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5"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guerrero.egido\Documents\Mantenimineto Israel\DATA for maintenance\OCS Layouts + Workbooks + Sectioning diagrams\EP04\"/>
    </mc:Choice>
  </mc:AlternateContent>
  <xr:revisionPtr revIDLastSave="0" documentId="13_ncr:1_{502156A2-9BAB-44DD-BDFD-C62F2D2ABB1E}" xr6:coauthVersionLast="47" xr6:coauthVersionMax="47" xr10:uidLastSave="{00000000-0000-0000-0000-000000000000}"/>
  <bookViews>
    <workbookView xWindow="-108" yWindow="-108" windowWidth="23256" windowHeight="13896" tabRatio="904" firstSheet="15" activeTab="15" xr2:uid="{00000000-000D-0000-FFFF-FFFF00000000}"/>
  </bookViews>
  <sheets>
    <sheet name="Revision Data" sheetId="21403" r:id="rId1"/>
    <sheet name="HR Track 1" sheetId="2" r:id="rId2"/>
    <sheet name="HR Track 2" sheetId="21398" r:id="rId3"/>
    <sheet name="HR Track 3 ZIC" sheetId="3" r:id="rId4"/>
    <sheet name="HR Track 4 ZIC" sheetId="108" r:id="rId5"/>
    <sheet name="HR Track 3 BIN" sheetId="21413" r:id="rId6"/>
    <sheet name="HR Track 4 BIN" sheetId="21400" r:id="rId7"/>
    <sheet name="HR Track 5 BIN" sheetId="21399" r:id="rId8"/>
    <sheet name="HR TRACK 3 HAD" sheetId="21415" r:id="rId9"/>
    <sheet name="HR TRACK 3 KFA" sheetId="21416" r:id="rId10"/>
    <sheet name="HR TRACK 4 KFA" sheetId="21417" r:id="rId11"/>
    <sheet name="Pole_Calc" sheetId="21410" state="hidden" r:id="rId12"/>
    <sheet name="Legend" sheetId="21411" state="hidden" r:id="rId13"/>
    <sheet name="Foundation_Calc" sheetId="21406" state="hidden" r:id="rId14"/>
    <sheet name="Foundation_BOQ" sheetId="21412" state="hidden" r:id="rId15"/>
    <sheet name="Recuento Conjuntos" sheetId="21408" r:id="rId16"/>
    <sheet name="Arms" sheetId="21402" state="hidden" r:id="rId17"/>
    <sheet name="ALIGNMENT TRACK" sheetId="21414" state="hidden" r:id="rId18"/>
  </sheets>
  <definedNames>
    <definedName name="_xlnm._FilterDatabase" localSheetId="1" hidden="1">'HR Track 1'!$A$2:$BD$1274</definedName>
    <definedName name="_xlnm._FilterDatabase" localSheetId="2" hidden="1">'HR Track 2'!$A$2:$BD$1272</definedName>
    <definedName name="_xlnm._FilterDatabase" localSheetId="5" hidden="1">'HR Track 3 BIN'!$A$2:$BK$56</definedName>
    <definedName name="_xlnm._FilterDatabase" localSheetId="8" hidden="1">'HR TRACK 3 HAD'!$A$2:$BK$63</definedName>
    <definedName name="_xlnm._FilterDatabase" localSheetId="9" hidden="1">'HR TRACK 3 KFA'!$A$2:$BK$57</definedName>
    <definedName name="_xlnm._FilterDatabase" localSheetId="3" hidden="1">'HR Track 3 ZIC'!$A$2:$BD$74</definedName>
    <definedName name="_xlnm._FilterDatabase" localSheetId="6" hidden="1">'HR Track 4 BIN'!$A$2:$BD$45</definedName>
    <definedName name="_xlnm._FilterDatabase" localSheetId="10" hidden="1">'HR TRACK 4 KFA'!$A$2:$BK$63</definedName>
    <definedName name="_xlnm._FilterDatabase" localSheetId="4" hidden="1">'HR Track 4 ZIC'!$A$2:$BD$45</definedName>
    <definedName name="_xlnm._FilterDatabase" localSheetId="7" hidden="1">'HR Track 5 BIN'!$A$2:$BD$39</definedName>
    <definedName name="_xlnm._FilterDatabase" localSheetId="15" hidden="1">'Recuento Conjuntos'!$A$2:$N$63</definedName>
    <definedName name="Area_S1">'HR Track 1'!$AJ$5:$AJ$3943</definedName>
    <definedName name="Area_S2">'HR Track 2'!$AJ$5:$AJ$3621</definedName>
    <definedName name="Area_S3BIN">'HR Track 3 BIN'!$AJ$5:$AJ$55</definedName>
    <definedName name="Area_S3HAD">'HR TRACK 3 HAD'!$AJ$5:$AJ$62</definedName>
    <definedName name="Area_S3KFA">'HR TRACK 3 KFA'!$AJ$5:$AJ$55</definedName>
    <definedName name="Area_S3ZIC">'HR Track 3 ZIC'!$AJ$5:$AJ$74</definedName>
    <definedName name="Area_S4BIN">'HR Track 4 BIN'!$AJ$13:$AJ$35</definedName>
    <definedName name="Area_S4KFA">'HR TRACK 4 KFA'!$AJ$5:$AJ$73</definedName>
    <definedName name="Area_S4ZIC">'HR Track 4 ZIC'!$AJ$11:$AJ$65</definedName>
    <definedName name="Area_S5BIN">'HR Track 5 BIN'!$AJ$10:$AJ$35</definedName>
    <definedName name="Area_v1">'HR Track 1'!$A$5:$AM$3943</definedName>
    <definedName name="Area_v1_AncFound">'HR Track 1'!$K$5:$K$3943</definedName>
    <definedName name="Area_v2">'HR Track 2'!$A$5:$AM$3621</definedName>
    <definedName name="Area_v2_AncFound">'HR Track 2'!$K$5:$K$3621</definedName>
    <definedName name="Area_v3BIN">'HR Track 3 BIN'!$A$5:$AM$55</definedName>
    <definedName name="Area_v3BIN_AncFound">'HR Track 3 BIN'!$K$5:$K$55</definedName>
    <definedName name="Area_v3HAD">'HR TRACK 3 HAD'!$A$5:$AM$62</definedName>
    <definedName name="Area_v3HAD_AncFound">'HR TRACK 3 HAD'!$K$5:$K$62</definedName>
    <definedName name="Area_v3KFA">'HR TRACK 3 KFA'!$A$5:$AM$55</definedName>
    <definedName name="Area_v3KFA_AncFound">'HR TRACK 3 KFA'!$K$5:$K$55</definedName>
    <definedName name="Area_v3ZIC">'HR Track 3 ZIC'!$A$5:$AM$74</definedName>
    <definedName name="Area_v3ZIC_AncFound">'HR Track 3 ZIC'!$K$5:$K$74</definedName>
    <definedName name="Area_v4BIN">'HR Track 4 BIN'!$A$13:$AM$35</definedName>
    <definedName name="Area_v4BIN_AncFound">'HR Track 4 BIN'!$K$13:$K$35</definedName>
    <definedName name="Area_v4KFA">'HR TRACK 4 KFA'!$A$5:$AM$73</definedName>
    <definedName name="Area_v4KFA_AncFound">'HR TRACK 4 KFA'!$K$5:$K$73</definedName>
    <definedName name="Area_v4ZIC">'HR Track 4 ZIC'!$A$11:$AM$65</definedName>
    <definedName name="Area_v4ZIC_AncFound">'HR Track 4 ZIC'!$K$11:$K$39</definedName>
    <definedName name="Area_v5BIN">'HR Track 5 BIN'!$A$10:$AM$35</definedName>
    <definedName name="Area_v5BIN_AncFound">'HR Track 5 BIN'!$K$10:$K$35</definedName>
    <definedName name="cantones_v1">'HR Track 1'!$I$5:$I$3943</definedName>
    <definedName name="cantones_v2">'HR Track 2'!$I$5:$I$3621</definedName>
    <definedName name="cantones_v3BIN">'HR Track 3 BIN'!$I$5:$I$55</definedName>
    <definedName name="cantones_v3HAD">'HR TRACK 3 HAD'!$I$5:$I$62</definedName>
    <definedName name="cantones_V3KFA">'HR TRACK 3 KFA'!$I$5:$I$55</definedName>
    <definedName name="cantones_v3ZIC">'HR Track 3 ZIC'!$I$5:$I$74</definedName>
    <definedName name="cantones_v4BIN">'HR Track 4 BIN'!$I$13:$I$35</definedName>
    <definedName name="cantones_V4KFA">'HR TRACK 4 KFA'!$I$5:$I$73</definedName>
    <definedName name="cantones_v4ZIC">'HR Track 4 ZIC'!$I$11:$I$39</definedName>
    <definedName name="cantones_v5BIN">'HR Track 5 BIN'!$I$10:$I$35</definedName>
    <definedName name="m2_v1">'HR Track 1'!$O$4:$O$3943</definedName>
    <definedName name="m2_v2">'HR Track 2'!$O$5:$O$3621</definedName>
    <definedName name="m2_v3BIN">'HR Track 3 BIN'!$O$5:$O$55</definedName>
    <definedName name="m2_V3HAD">'HR TRACK 3 HAD'!$O$5:$O$62</definedName>
    <definedName name="m2_v3KFA">'HR TRACK 3 KFA'!$O$5:$O$55</definedName>
    <definedName name="m2_v3ZIC">'HR Track 3 ZIC'!$O$5:$O$74</definedName>
    <definedName name="m2_v4BIN">'HR Track 4 BIN'!$O$13:$O$35</definedName>
    <definedName name="m2_v4KFA">'HR TRACK 4 KFA'!$O$5:$O$73</definedName>
    <definedName name="m2_v4ZIC">'HR Track 4 ZIC'!$O$11:$O$39</definedName>
    <definedName name="m2_v5BIN">'HR Track 5 BIN'!$O$11:$O$35</definedName>
    <definedName name="_xlnm.Print_Area" localSheetId="1">'HR Track 1'!$A$1:$BD$1274</definedName>
    <definedName name="_xlnm.Print_Area" localSheetId="2">'HR Track 2'!$A$1:$BD$1272</definedName>
    <definedName name="_xlnm.Print_Area" localSheetId="3">'HR Track 3 ZIC'!$A$1:$BD$74</definedName>
    <definedName name="_xlnm.Print_Area" localSheetId="6">'HR Track 4 BIN'!$A$1:$BD$45</definedName>
    <definedName name="_xlnm.Print_Area" localSheetId="4">'HR Track 4 ZIC'!$A$1:$BD$45</definedName>
    <definedName name="_xlnm.Print_Area" localSheetId="7">'HR Track 5 BIN'!$A$1:$BD$39</definedName>
    <definedName name="_xlnm.Print_Area" localSheetId="15">'Recuento Conjuntos'!$A$1:$N$380</definedName>
    <definedName name="_xlnm.Print_Area" localSheetId="0">'Revision Data'!$A$1:$D$36</definedName>
    <definedName name="_xlnm.Print_Area" localSheetId="14">Foundation_BOQ!$A$1:$K$349</definedName>
    <definedName name="_xlnm.Print_Area" localSheetId="5">'HR Track 3 BIN'!$A$1:$BD$56</definedName>
    <definedName name="_xlnm.Print_Area" localSheetId="8">'HR TRACK 3 HAD'!$A$1:$BD$63</definedName>
    <definedName name="_xlnm.Print_Area" localSheetId="9">'HR TRACK 3 KFA'!$A$1:$BD$57</definedName>
    <definedName name="_xlnm.Print_Area" localSheetId="10">'HR TRACK 4 KFA'!$A$1:$BD$67</definedName>
    <definedName name="_xlnm.Print_Titles" localSheetId="1">'HR Track 1'!$1:$3</definedName>
    <definedName name="_xlnm.Print_Titles" localSheetId="2">'HR Track 2'!$1:$3</definedName>
    <definedName name="_xlnm.Print_Titles" localSheetId="3">'HR Track 3 ZIC'!$1:$3</definedName>
    <definedName name="_xlnm.Print_Titles" localSheetId="6">'HR Track 4 BIN'!$1:$3</definedName>
    <definedName name="_xlnm.Print_Titles" localSheetId="4">'HR Track 4 ZIC'!$1:$3</definedName>
    <definedName name="_xlnm.Print_Titles" localSheetId="7">'HR Track 5 BIN'!$1:$3</definedName>
    <definedName name="_xlnm.Print_Titles" localSheetId="15">'Recuento Conjuntos'!$2:$2</definedName>
    <definedName name="_xlnm.Print_Titles" localSheetId="14">Foundation_BOQ!$1:$1</definedName>
    <definedName name="_xlnm.Print_Titles" localSheetId="5">'HR Track 3 BIN'!$1:$3</definedName>
    <definedName name="_xlnm.Print_Titles" localSheetId="8">'HR TRACK 3 HAD'!$1:$3</definedName>
    <definedName name="_xlnm.Print_Titles" localSheetId="9">'HR TRACK 3 KFA'!$1:$3</definedName>
    <definedName name="_xlnm.Print_Titles" localSheetId="10">'HR TRACK 4 KFA'!$1:$3</definedName>
    <definedName name="Vanos_v1">'HR Track 1'!$G$5:$G$3943</definedName>
    <definedName name="vanos_v2">'HR Track 2'!$G$5:$G$3621</definedName>
    <definedName name="vanos_v3BIN">'HR Track 3 BIN'!$G$5:$G$55</definedName>
    <definedName name="vanos_v3HAD">'HR TRACK 3 HAD'!$G$5:$G$62</definedName>
    <definedName name="vanos_v3KFA">'HR TRACK 3 KFA'!$G$5:$G$55</definedName>
    <definedName name="vanos_v3ZIC">'HR Track 3 ZIC'!$G$5:$G$74</definedName>
    <definedName name="vanos_v4BIN">'HR Track 4 BIN'!$G$13:$G$35</definedName>
    <definedName name="vanos_v4KFA">'HR TRACK 4 KFA'!$G$5:$G$73</definedName>
    <definedName name="vanos_v4ZIC">'HR Track 4 ZIC'!$G$11:$G$39</definedName>
    <definedName name="vanos_v5BIN">'HR Track 5 BIN'!$G$10:$G$35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71" i="21408" l="1"/>
  <c r="Q271" i="21408"/>
  <c r="O271" i="21408"/>
  <c r="N271" i="21408"/>
  <c r="M271" i="21408"/>
  <c r="L271" i="21408"/>
  <c r="O255" i="21408"/>
  <c r="P255" i="21408"/>
  <c r="Q255" i="21408"/>
  <c r="M255" i="21408"/>
  <c r="N255" i="21408"/>
  <c r="L255" i="21408"/>
  <c r="K305" i="21408"/>
  <c r="K199" i="21408"/>
  <c r="K271" i="21408"/>
  <c r="K255" i="21408"/>
  <c r="J305" i="21408"/>
  <c r="J199" i="21408"/>
  <c r="J271" i="21408"/>
  <c r="J255" i="21408"/>
  <c r="I334" i="21408"/>
  <c r="I305" i="21408"/>
  <c r="I199" i="21408"/>
  <c r="H199" i="21408"/>
  <c r="I271" i="21408"/>
  <c r="I255" i="21408"/>
  <c r="H255" i="21408"/>
  <c r="H271" i="21408"/>
  <c r="H334" i="21408"/>
  <c r="G334" i="21408"/>
  <c r="BD300" i="21398"/>
  <c r="AZ300" i="21398"/>
  <c r="BB300" i="21398" s="1"/>
  <c r="AX300" i="21398"/>
  <c r="AY300" i="21398" s="1"/>
  <c r="BA300" i="21398" s="1"/>
  <c r="AW300" i="21398"/>
  <c r="AT302" i="2"/>
  <c r="AQ301" i="2"/>
  <c r="AT300" i="21398"/>
  <c r="AT300" i="2"/>
  <c r="AT298" i="2"/>
  <c r="AQ299" i="2"/>
  <c r="M300" i="21398" l="1"/>
  <c r="BC300" i="21398" s="1"/>
  <c r="C304" i="2" l="1"/>
  <c r="C62" i="2"/>
  <c r="BD537" i="21398"/>
  <c r="BA537" i="21398"/>
  <c r="AZ537" i="21398"/>
  <c r="BB537" i="21398" s="1"/>
  <c r="AY537" i="21398"/>
  <c r="AX537" i="21398"/>
  <c r="AW537" i="21398"/>
  <c r="AC537" i="21398"/>
  <c r="M537" i="21398"/>
  <c r="BC537" i="21398" s="1"/>
  <c r="AZ536" i="21398"/>
  <c r="BB536" i="21398" s="1"/>
  <c r="BD537" i="2"/>
  <c r="AZ537" i="2"/>
  <c r="BB537" i="2" s="1"/>
  <c r="AY537" i="2"/>
  <c r="BA537" i="2" s="1"/>
  <c r="AX537" i="2"/>
  <c r="AW537" i="2"/>
  <c r="AC537" i="2"/>
  <c r="M537" i="2"/>
  <c r="BC537" i="2" s="1"/>
  <c r="AZ536" i="2"/>
  <c r="BB536" i="2" s="1"/>
  <c r="AQ537" i="21398"/>
  <c r="AT536" i="21398"/>
  <c r="AC536" i="21398" l="1"/>
  <c r="I667" i="2"/>
  <c r="AZ652" i="2"/>
  <c r="BB652" i="2" s="1"/>
  <c r="I649" i="21398"/>
  <c r="AZ650" i="21398"/>
  <c r="BB650" i="21398" s="1"/>
  <c r="BD1307" i="2"/>
  <c r="BC1307" i="2"/>
  <c r="AZ1307" i="2"/>
  <c r="BB1307" i="2" s="1"/>
  <c r="AY1307" i="2"/>
  <c r="BA1307" i="2" s="1"/>
  <c r="AX1307" i="2"/>
  <c r="AW1307" i="2"/>
  <c r="BD1306" i="2"/>
  <c r="BC1306" i="2"/>
  <c r="AZ1306" i="2"/>
  <c r="BB1306" i="2" s="1"/>
  <c r="AY1306" i="2"/>
  <c r="BA1306" i="2" s="1"/>
  <c r="AX1306" i="2"/>
  <c r="AW1306" i="2"/>
  <c r="BD1305" i="2"/>
  <c r="BC1305" i="2"/>
  <c r="AZ1305" i="2"/>
  <c r="BB1305" i="2" s="1"/>
  <c r="AY1305" i="2"/>
  <c r="BA1305" i="2" s="1"/>
  <c r="AX1305" i="2"/>
  <c r="AW1305" i="2"/>
  <c r="BD1304" i="2"/>
  <c r="BC1304" i="2"/>
  <c r="AZ1304" i="2"/>
  <c r="BB1304" i="2" s="1"/>
  <c r="AY1304" i="2"/>
  <c r="BA1304" i="2" s="1"/>
  <c r="AX1304" i="2"/>
  <c r="AW1304" i="2"/>
  <c r="BD1303" i="2"/>
  <c r="AZ1303" i="2"/>
  <c r="BB1303" i="2" s="1"/>
  <c r="AY1303" i="2"/>
  <c r="BA1303" i="2" s="1"/>
  <c r="AX1303" i="2"/>
  <c r="AW1303" i="2"/>
  <c r="BD1302" i="2"/>
  <c r="AZ1302" i="2"/>
  <c r="BB1302" i="2" s="1"/>
  <c r="AY1302" i="2"/>
  <c r="BA1302" i="2" s="1"/>
  <c r="AX1302" i="2"/>
  <c r="AW1302" i="2"/>
  <c r="BD1301" i="2"/>
  <c r="AZ1301" i="2"/>
  <c r="BB1301" i="2" s="1"/>
  <c r="AY1301" i="2"/>
  <c r="BA1301" i="2" s="1"/>
  <c r="AX1301" i="2"/>
  <c r="AW1301" i="2"/>
  <c r="BD1300" i="2"/>
  <c r="AZ1300" i="2"/>
  <c r="BB1300" i="2" s="1"/>
  <c r="AY1300" i="2"/>
  <c r="BA1300" i="2" s="1"/>
  <c r="AX1300" i="2"/>
  <c r="AW1300" i="2"/>
  <c r="BD1299" i="2"/>
  <c r="AZ1299" i="2"/>
  <c r="BB1299" i="2" s="1"/>
  <c r="AY1299" i="2"/>
  <c r="BA1299" i="2" s="1"/>
  <c r="AX1299" i="2"/>
  <c r="AW1299" i="2"/>
  <c r="BD1298" i="2"/>
  <c r="AZ1298" i="2"/>
  <c r="BB1298" i="2" s="1"/>
  <c r="AY1298" i="2"/>
  <c r="BA1298" i="2" s="1"/>
  <c r="AX1298" i="2"/>
  <c r="AW1298" i="2"/>
  <c r="BD1297" i="2"/>
  <c r="AZ1297" i="2"/>
  <c r="BB1297" i="2" s="1"/>
  <c r="AY1297" i="2"/>
  <c r="BA1297" i="2" s="1"/>
  <c r="AX1297" i="2"/>
  <c r="AW1297" i="2"/>
  <c r="BD1296" i="2"/>
  <c r="AZ1296" i="2"/>
  <c r="BB1296" i="2" s="1"/>
  <c r="AY1296" i="2"/>
  <c r="BA1296" i="2" s="1"/>
  <c r="AX1296" i="2"/>
  <c r="AW1296" i="2"/>
  <c r="BD1295" i="2"/>
  <c r="AZ1295" i="2"/>
  <c r="BB1295" i="2" s="1"/>
  <c r="AY1295" i="2"/>
  <c r="BA1295" i="2" s="1"/>
  <c r="AX1295" i="2"/>
  <c r="AW1295" i="2"/>
  <c r="BD1294" i="2"/>
  <c r="AZ1294" i="2"/>
  <c r="BB1294" i="2" s="1"/>
  <c r="AY1294" i="2"/>
  <c r="BA1294" i="2" s="1"/>
  <c r="AX1294" i="2"/>
  <c r="AW1294" i="2"/>
  <c r="BD1293" i="2"/>
  <c r="AZ1293" i="2"/>
  <c r="BB1293" i="2" s="1"/>
  <c r="AY1293" i="2"/>
  <c r="BA1293" i="2" s="1"/>
  <c r="AX1293" i="2"/>
  <c r="AW1293" i="2"/>
  <c r="BD1292" i="2"/>
  <c r="AZ1292" i="2"/>
  <c r="BB1292" i="2" s="1"/>
  <c r="AY1292" i="2"/>
  <c r="BA1292" i="2" s="1"/>
  <c r="AX1292" i="2"/>
  <c r="AW1292" i="2"/>
  <c r="BD1291" i="2"/>
  <c r="AZ1291" i="2"/>
  <c r="BB1291" i="2" s="1"/>
  <c r="AY1291" i="2"/>
  <c r="BA1291" i="2" s="1"/>
  <c r="AX1291" i="2"/>
  <c r="AW1291" i="2"/>
  <c r="BD1290" i="2"/>
  <c r="AZ1290" i="2"/>
  <c r="BB1290" i="2" s="1"/>
  <c r="AY1290" i="2"/>
  <c r="BA1290" i="2" s="1"/>
  <c r="AX1290" i="2"/>
  <c r="AW1290" i="2"/>
  <c r="BD1289" i="2"/>
  <c r="AZ1289" i="2"/>
  <c r="BB1289" i="2" s="1"/>
  <c r="AY1289" i="2"/>
  <c r="BA1289" i="2" s="1"/>
  <c r="AX1289" i="2"/>
  <c r="AW1289" i="2"/>
  <c r="BD1288" i="2"/>
  <c r="AZ1288" i="2"/>
  <c r="BB1288" i="2" s="1"/>
  <c r="AY1288" i="2"/>
  <c r="BA1288" i="2" s="1"/>
  <c r="AX1288" i="2"/>
  <c r="AW1288" i="2"/>
  <c r="BD1287" i="2"/>
  <c r="AZ1287" i="2"/>
  <c r="BB1287" i="2" s="1"/>
  <c r="AY1287" i="2"/>
  <c r="BA1287" i="2" s="1"/>
  <c r="AX1287" i="2"/>
  <c r="AW1287" i="2"/>
  <c r="BD1286" i="2"/>
  <c r="AZ1286" i="2"/>
  <c r="BB1286" i="2" s="1"/>
  <c r="AY1286" i="2"/>
  <c r="BA1286" i="2" s="1"/>
  <c r="AX1286" i="2"/>
  <c r="AW1286" i="2"/>
  <c r="BD1285" i="2"/>
  <c r="AZ1285" i="2"/>
  <c r="BB1285" i="2" s="1"/>
  <c r="AY1285" i="2"/>
  <c r="BA1285" i="2" s="1"/>
  <c r="AX1285" i="2"/>
  <c r="AW1285" i="2"/>
  <c r="BD1284" i="2"/>
  <c r="AZ1284" i="2"/>
  <c r="BB1284" i="2" s="1"/>
  <c r="AY1284" i="2"/>
  <c r="BA1284" i="2" s="1"/>
  <c r="AX1284" i="2"/>
  <c r="AW1284" i="2"/>
  <c r="BD1283" i="2"/>
  <c r="AZ1283" i="2"/>
  <c r="BB1283" i="2" s="1"/>
  <c r="AY1283" i="2"/>
  <c r="BA1283" i="2" s="1"/>
  <c r="AX1283" i="2"/>
  <c r="AW1283" i="2"/>
  <c r="BD1282" i="2"/>
  <c r="AZ1282" i="2"/>
  <c r="BB1282" i="2" s="1"/>
  <c r="AY1282" i="2"/>
  <c r="BA1282" i="2" s="1"/>
  <c r="AX1282" i="2"/>
  <c r="AW1282" i="2"/>
  <c r="BD1281" i="2"/>
  <c r="AZ1281" i="2"/>
  <c r="BB1281" i="2" s="1"/>
  <c r="AY1281" i="2"/>
  <c r="BA1281" i="2" s="1"/>
  <c r="AX1281" i="2"/>
  <c r="AW1281" i="2"/>
  <c r="BD1280" i="2"/>
  <c r="AZ1280" i="2"/>
  <c r="BB1280" i="2" s="1"/>
  <c r="AY1280" i="2"/>
  <c r="BA1280" i="2" s="1"/>
  <c r="AX1280" i="2"/>
  <c r="AW1280" i="2"/>
  <c r="BD1279" i="2"/>
  <c r="AZ1279" i="2"/>
  <c r="BB1279" i="2" s="1"/>
  <c r="AY1279" i="2"/>
  <c r="BA1279" i="2" s="1"/>
  <c r="AX1279" i="2"/>
  <c r="AW1279" i="2"/>
  <c r="BD1278" i="2"/>
  <c r="AZ1278" i="2"/>
  <c r="BB1278" i="2" s="1"/>
  <c r="AY1278" i="2"/>
  <c r="BA1278" i="2" s="1"/>
  <c r="AX1278" i="2"/>
  <c r="AW1278" i="2"/>
  <c r="BD1277" i="2"/>
  <c r="AZ1277" i="2"/>
  <c r="BB1277" i="2" s="1"/>
  <c r="AY1277" i="2"/>
  <c r="BA1277" i="2" s="1"/>
  <c r="AX1277" i="2"/>
  <c r="AW1277" i="2"/>
  <c r="BD1276" i="2"/>
  <c r="AZ1276" i="2"/>
  <c r="BB1276" i="2" s="1"/>
  <c r="AY1276" i="2"/>
  <c r="BA1276" i="2" s="1"/>
  <c r="AX1276" i="2"/>
  <c r="AW1276" i="2"/>
  <c r="BD1275" i="2"/>
  <c r="M1303" i="2"/>
  <c r="BC1303" i="2" s="1"/>
  <c r="M1302" i="2"/>
  <c r="BC1302" i="2" s="1"/>
  <c r="M1301" i="2"/>
  <c r="BC1301" i="2" s="1"/>
  <c r="M1300" i="2"/>
  <c r="BC1300" i="2" s="1"/>
  <c r="M1299" i="2"/>
  <c r="BC1299" i="2" s="1"/>
  <c r="M1298" i="2"/>
  <c r="BC1298" i="2" s="1"/>
  <c r="M1297" i="2"/>
  <c r="BC1297" i="2" s="1"/>
  <c r="M1296" i="2"/>
  <c r="BC1296" i="2" s="1"/>
  <c r="M1295" i="2"/>
  <c r="BC1295" i="2" s="1"/>
  <c r="M1294" i="2"/>
  <c r="BC1294" i="2" s="1"/>
  <c r="M1293" i="2"/>
  <c r="BC1293" i="2" s="1"/>
  <c r="M1292" i="2"/>
  <c r="BC1292" i="2" s="1"/>
  <c r="M1291" i="2"/>
  <c r="BC1291" i="2" s="1"/>
  <c r="M1290" i="2"/>
  <c r="BC1290" i="2" s="1"/>
  <c r="M1289" i="2"/>
  <c r="BC1289" i="2" s="1"/>
  <c r="M1288" i="2"/>
  <c r="BC1288" i="2" s="1"/>
  <c r="M1287" i="2"/>
  <c r="BC1287" i="2" s="1"/>
  <c r="M1286" i="2"/>
  <c r="BC1286" i="2" s="1"/>
  <c r="M1285" i="2"/>
  <c r="BC1285" i="2" s="1"/>
  <c r="M1284" i="2"/>
  <c r="BC1284" i="2" s="1"/>
  <c r="M1283" i="2"/>
  <c r="BC1283" i="2" s="1"/>
  <c r="M1282" i="2"/>
  <c r="BC1282" i="2" s="1"/>
  <c r="M1281" i="2"/>
  <c r="BC1281" i="2" s="1"/>
  <c r="M1280" i="2"/>
  <c r="BC1280" i="2" s="1"/>
  <c r="M1279" i="2"/>
  <c r="BC1279" i="2" s="1"/>
  <c r="M1278" i="2"/>
  <c r="BC1278" i="2" s="1"/>
  <c r="M1277" i="2"/>
  <c r="BC1277" i="2" s="1"/>
  <c r="M1276" i="2"/>
  <c r="BC1276" i="2" s="1"/>
  <c r="AT132" i="21398"/>
  <c r="AQ653" i="21398"/>
  <c r="AT636" i="21398"/>
  <c r="AQ647" i="21398"/>
  <c r="AQ641" i="21398"/>
  <c r="AQ649" i="21398"/>
  <c r="AT642" i="21398"/>
  <c r="AT644" i="21398"/>
  <c r="AT650" i="21398"/>
  <c r="AQ645" i="21398"/>
  <c r="AQ635" i="21398"/>
  <c r="AQ651" i="21398"/>
  <c r="AT646" i="21398"/>
  <c r="AQ637" i="21398"/>
  <c r="AT652" i="21398"/>
  <c r="AT656" i="21398"/>
  <c r="AQ133" i="21398"/>
  <c r="AQ655" i="21398"/>
  <c r="AT134" i="21398"/>
  <c r="AT654" i="21398"/>
  <c r="AT638" i="21398"/>
  <c r="AQ633" i="21398"/>
  <c r="AQ639" i="21398"/>
  <c r="AT634" i="21398"/>
  <c r="AT648" i="21398"/>
  <c r="AT640" i="21398"/>
  <c r="AQ643" i="21398"/>
  <c r="AC646" i="21398" l="1"/>
  <c r="AC648" i="21398"/>
  <c r="AY1163" i="2"/>
  <c r="BA1163" i="2" s="1"/>
  <c r="AY1171" i="2"/>
  <c r="BA1171" i="2" s="1"/>
  <c r="I30" i="21416"/>
  <c r="I28" i="21416"/>
  <c r="BC1135" i="2"/>
  <c r="AZ1135" i="2"/>
  <c r="BB1135" i="2" s="1"/>
  <c r="AY1135" i="2"/>
  <c r="BA1135" i="2" s="1"/>
  <c r="AX1135" i="2"/>
  <c r="AW1135" i="2"/>
  <c r="AZ1134" i="2"/>
  <c r="BB1134" i="2" s="1"/>
  <c r="AZ1133" i="21398"/>
  <c r="BB1133" i="21398" s="1"/>
  <c r="AY1133" i="21398"/>
  <c r="BA1133" i="21398" s="1"/>
  <c r="AX1133" i="21398"/>
  <c r="AW1133" i="21398"/>
  <c r="AZ1132" i="21398"/>
  <c r="BB1132" i="21398" s="1"/>
  <c r="BC4" i="21417"/>
  <c r="AY4" i="21417"/>
  <c r="BA4" i="21417" s="1"/>
  <c r="AY1147" i="2"/>
  <c r="BC4" i="21416"/>
  <c r="AY4" i="21416"/>
  <c r="BA4" i="21416" s="1"/>
  <c r="AC8" i="21416"/>
  <c r="AC14" i="21417"/>
  <c r="AC12" i="21417"/>
  <c r="AC11" i="21417"/>
  <c r="AC10" i="21417"/>
  <c r="AC8" i="21417"/>
  <c r="AC6" i="21417"/>
  <c r="AC5" i="21417"/>
  <c r="AC4" i="21417"/>
  <c r="AC64" i="21417"/>
  <c r="AC62" i="21417"/>
  <c r="AC60" i="21417"/>
  <c r="AC58" i="21417"/>
  <c r="AC56" i="21417"/>
  <c r="AC54" i="21417"/>
  <c r="AC52" i="21417"/>
  <c r="AC50" i="21417"/>
  <c r="AC48" i="21417"/>
  <c r="AC46" i="21417"/>
  <c r="AZ1218" i="21398"/>
  <c r="BB1218" i="21398" s="1"/>
  <c r="BD1217" i="21398"/>
  <c r="BC1217" i="21398"/>
  <c r="AZ1217" i="21398"/>
  <c r="BB1217" i="21398" s="1"/>
  <c r="AY1217" i="21398"/>
  <c r="BA1217" i="21398" s="1"/>
  <c r="AX1217" i="21398"/>
  <c r="AW1217" i="21398"/>
  <c r="AZ1216" i="21398"/>
  <c r="BB1216" i="21398" s="1"/>
  <c r="I1219" i="21398"/>
  <c r="M1223" i="2"/>
  <c r="BC1223" i="2" s="1"/>
  <c r="AC1223" i="2"/>
  <c r="AY1223" i="2"/>
  <c r="BA1223" i="2" s="1"/>
  <c r="BD1223" i="2"/>
  <c r="AZ1220" i="2"/>
  <c r="BB1220" i="2" s="1"/>
  <c r="AZ1218" i="2"/>
  <c r="BB1218" i="2" s="1"/>
  <c r="M593" i="21398"/>
  <c r="M591" i="21398"/>
  <c r="M589" i="21398"/>
  <c r="M587" i="21398"/>
  <c r="M585" i="21398"/>
  <c r="AZ592" i="21398"/>
  <c r="BB592" i="21398" s="1"/>
  <c r="AZ591" i="21398"/>
  <c r="BB591" i="21398" s="1"/>
  <c r="AY591" i="21398"/>
  <c r="BA591" i="21398" s="1"/>
  <c r="AX591" i="21398"/>
  <c r="AW591" i="21398"/>
  <c r="AZ590" i="21398"/>
  <c r="BB590" i="21398" s="1"/>
  <c r="AZ589" i="21398"/>
  <c r="BB589" i="21398" s="1"/>
  <c r="AY589" i="21398"/>
  <c r="BA589" i="21398" s="1"/>
  <c r="AX589" i="21398"/>
  <c r="AW589" i="21398"/>
  <c r="AZ588" i="21398"/>
  <c r="BB588" i="21398" s="1"/>
  <c r="AZ587" i="21398"/>
  <c r="BB587" i="21398" s="1"/>
  <c r="AY587" i="21398"/>
  <c r="BA587" i="21398" s="1"/>
  <c r="AX587" i="21398"/>
  <c r="AW587" i="21398"/>
  <c r="AZ586" i="21398"/>
  <c r="BB586" i="21398" s="1"/>
  <c r="BC782" i="21398"/>
  <c r="AZ782" i="21398"/>
  <c r="BB782" i="21398" s="1"/>
  <c r="BC780" i="21398"/>
  <c r="AZ780" i="21398"/>
  <c r="BB780" i="21398" s="1"/>
  <c r="AZ784" i="2"/>
  <c r="BB784" i="2" s="1"/>
  <c r="AZ782" i="2"/>
  <c r="BB782" i="2" s="1"/>
  <c r="BC918" i="2"/>
  <c r="BC916" i="2"/>
  <c r="BC926" i="2"/>
  <c r="BB926" i="2"/>
  <c r="BA926" i="2"/>
  <c r="BC924" i="2"/>
  <c r="AZ902" i="21398"/>
  <c r="BB902" i="21398" s="1"/>
  <c r="AV5" i="21400"/>
  <c r="AU5" i="21400"/>
  <c r="AT5" i="21400"/>
  <c r="AS5" i="21400"/>
  <c r="AR5" i="21400"/>
  <c r="C9" i="21417"/>
  <c r="C9" i="21416"/>
  <c r="C9" i="21399"/>
  <c r="C9" i="21400"/>
  <c r="C9" i="108"/>
  <c r="AZ1134" i="21398"/>
  <c r="BB1134" i="21398" s="1"/>
  <c r="BD60" i="21417"/>
  <c r="BD58" i="21417"/>
  <c r="BD56" i="21417"/>
  <c r="BD54" i="21417"/>
  <c r="BD52" i="21417"/>
  <c r="BD50" i="21417"/>
  <c r="BD48" i="21417"/>
  <c r="AZ60" i="21417"/>
  <c r="BB60" i="21417" s="1"/>
  <c r="AY60" i="21417"/>
  <c r="BA60" i="21417" s="1"/>
  <c r="AX60" i="21417"/>
  <c r="AW60" i="21417"/>
  <c r="AZ59" i="21417"/>
  <c r="BB59" i="21417" s="1"/>
  <c r="AZ58" i="21417"/>
  <c r="BB58" i="21417" s="1"/>
  <c r="AY58" i="21417"/>
  <c r="BA58" i="21417" s="1"/>
  <c r="AX58" i="21417"/>
  <c r="AW58" i="21417"/>
  <c r="AZ57" i="21417"/>
  <c r="BB57" i="21417" s="1"/>
  <c r="AZ56" i="21417"/>
  <c r="BB56" i="21417" s="1"/>
  <c r="AY56" i="21417"/>
  <c r="BA56" i="21417" s="1"/>
  <c r="AX56" i="21417"/>
  <c r="AW56" i="21417"/>
  <c r="AZ55" i="21417"/>
  <c r="BB55" i="21417" s="1"/>
  <c r="AZ54" i="21417"/>
  <c r="BB54" i="21417" s="1"/>
  <c r="AY54" i="21417"/>
  <c r="BA54" i="21417" s="1"/>
  <c r="AX54" i="21417"/>
  <c r="AW54" i="21417"/>
  <c r="AZ53" i="21417"/>
  <c r="BB53" i="21417" s="1"/>
  <c r="AZ52" i="21417"/>
  <c r="BB52" i="21417" s="1"/>
  <c r="AY52" i="21417"/>
  <c r="BA52" i="21417" s="1"/>
  <c r="AX52" i="21417"/>
  <c r="AW52" i="21417"/>
  <c r="AZ51" i="21417"/>
  <c r="BB51" i="21417" s="1"/>
  <c r="AY50" i="21417"/>
  <c r="BA50" i="21417" s="1"/>
  <c r="AZ49" i="21417"/>
  <c r="BB49" i="21417" s="1"/>
  <c r="AZ48" i="21417"/>
  <c r="BB48" i="21417" s="1"/>
  <c r="AY48" i="21417"/>
  <c r="BA48" i="21417" s="1"/>
  <c r="AX48" i="21417"/>
  <c r="AW48" i="21417"/>
  <c r="AZ47" i="21417"/>
  <c r="BB47" i="21417" s="1"/>
  <c r="AY46" i="21417"/>
  <c r="BA46" i="21417" s="1"/>
  <c r="M60" i="21417"/>
  <c r="BC60" i="21417" s="1"/>
  <c r="M58" i="21417"/>
  <c r="BC58" i="21417" s="1"/>
  <c r="M56" i="21417"/>
  <c r="BC56" i="21417" s="1"/>
  <c r="M54" i="21417"/>
  <c r="BC54" i="21417" s="1"/>
  <c r="M52" i="21417"/>
  <c r="BC52" i="21417" s="1"/>
  <c r="M50" i="21417"/>
  <c r="BC50" i="21417" s="1"/>
  <c r="M48" i="21417"/>
  <c r="BC48" i="21417" s="1"/>
  <c r="M46" i="21417"/>
  <c r="BC46" i="21417" s="1"/>
  <c r="BC14" i="21417"/>
  <c r="AZ14" i="21417"/>
  <c r="BB14" i="21417" s="1"/>
  <c r="AY14" i="21417"/>
  <c r="BA14" i="21417" s="1"/>
  <c r="AX14" i="21417"/>
  <c r="AW14" i="21417"/>
  <c r="AZ13" i="21417"/>
  <c r="BB13" i="21417" s="1"/>
  <c r="AZ12" i="21417"/>
  <c r="BB12" i="21417" s="1"/>
  <c r="AY12" i="21417"/>
  <c r="BA12" i="21417" s="1"/>
  <c r="AX12" i="21417"/>
  <c r="AW12" i="21417"/>
  <c r="BC6" i="21417"/>
  <c r="AZ6" i="21417"/>
  <c r="BB6" i="21417" s="1"/>
  <c r="AY6" i="21417"/>
  <c r="BA6" i="21417" s="1"/>
  <c r="AX6" i="21417"/>
  <c r="AW6" i="21417"/>
  <c r="AZ5" i="21417"/>
  <c r="BB5" i="21417" s="1"/>
  <c r="C5" i="21417"/>
  <c r="AX5" i="21417" s="1"/>
  <c r="M5" i="21417" s="1"/>
  <c r="BC5" i="21417" s="1"/>
  <c r="AQ8" i="21417"/>
  <c r="AQ56" i="21417"/>
  <c r="AT59" i="21417"/>
  <c r="AT7" i="21417"/>
  <c r="AT57" i="21417"/>
  <c r="AQ44" i="21417"/>
  <c r="AQ16" i="21417"/>
  <c r="AQ64" i="21417"/>
  <c r="AQ54" i="21417"/>
  <c r="AQ901" i="21398"/>
  <c r="AQ20" i="21417"/>
  <c r="AT1222" i="21398"/>
  <c r="AT47" i="21417"/>
  <c r="AT65" i="21417"/>
  <c r="AQ26" i="21417"/>
  <c r="AQ32" i="21417"/>
  <c r="AT27" i="21417"/>
  <c r="AQ18" i="21417"/>
  <c r="AQ14" i="21417"/>
  <c r="AT43" i="21417"/>
  <c r="AT17" i="21417"/>
  <c r="AQ24" i="21417"/>
  <c r="AT904" i="21398"/>
  <c r="AQ60" i="21417"/>
  <c r="AT39" i="21417"/>
  <c r="AT1220" i="21398"/>
  <c r="AT35" i="21417"/>
  <c r="AQ62" i="21417"/>
  <c r="AT13" i="21417"/>
  <c r="AQ38" i="21417"/>
  <c r="AT63" i="21417"/>
  <c r="AQ42" i="21417"/>
  <c r="AQ22" i="21417"/>
  <c r="AQ6" i="21417"/>
  <c r="AQ52" i="21417"/>
  <c r="AQ10" i="21417"/>
  <c r="AT29" i="21417"/>
  <c r="AT1136" i="21398"/>
  <c r="AT31" i="21417"/>
  <c r="AT902" i="21398"/>
  <c r="AT21" i="21417"/>
  <c r="AQ46" i="21417"/>
  <c r="AQ36" i="21417"/>
  <c r="AT15" i="21417"/>
  <c r="AT51" i="21417"/>
  <c r="AT23" i="21417"/>
  <c r="AQ1221" i="21398"/>
  <c r="AT19" i="21417"/>
  <c r="AT49" i="21417"/>
  <c r="AT61" i="21417"/>
  <c r="AT1216" i="2"/>
  <c r="AT41" i="21417"/>
  <c r="AT16" i="21400"/>
  <c r="AT900" i="21398"/>
  <c r="AT33" i="21417"/>
  <c r="AQ48" i="21417"/>
  <c r="AQ30" i="21417"/>
  <c r="AQ28" i="21417"/>
  <c r="AT25" i="21417"/>
  <c r="AQ1137" i="21398"/>
  <c r="AQ15" i="21400"/>
  <c r="AQ40" i="21417"/>
  <c r="AT45" i="21417"/>
  <c r="AQ50" i="21417"/>
  <c r="AT55" i="21417"/>
  <c r="AQ34" i="21417"/>
  <c r="AT37" i="21417"/>
  <c r="AT53" i="21417"/>
  <c r="AT9" i="21417"/>
  <c r="J4" i="21417" l="1"/>
  <c r="AC49" i="21417"/>
  <c r="AC63" i="21417"/>
  <c r="AC15" i="21417"/>
  <c r="AC9" i="21417"/>
  <c r="AC47" i="21417"/>
  <c r="AC65" i="21417"/>
  <c r="AC7" i="21417"/>
  <c r="AC13" i="21417"/>
  <c r="AC57" i="21417"/>
  <c r="AC55" i="21417"/>
  <c r="AC61" i="21417"/>
  <c r="AC51" i="21417"/>
  <c r="AW5" i="21417"/>
  <c r="AY5" i="21417" s="1"/>
  <c r="BA5" i="21417" s="1"/>
  <c r="BC784" i="2"/>
  <c r="BC782" i="2"/>
  <c r="AW4" i="21417" l="1"/>
  <c r="AX4" i="21417"/>
  <c r="AZ4" i="21417" s="1"/>
  <c r="BB4" i="21417" s="1"/>
  <c r="M1271" i="2"/>
  <c r="M1269" i="2"/>
  <c r="M1267" i="2"/>
  <c r="M1265" i="2"/>
  <c r="M1263" i="2"/>
  <c r="M1261" i="2"/>
  <c r="M1259" i="2"/>
  <c r="M1257" i="2"/>
  <c r="M1255" i="2"/>
  <c r="I805" i="21398" l="1"/>
  <c r="I781" i="21398"/>
  <c r="I807" i="21398"/>
  <c r="BD835" i="21398"/>
  <c r="BD833" i="21398"/>
  <c r="BD831" i="21398"/>
  <c r="BD829" i="21398"/>
  <c r="BD827" i="21398"/>
  <c r="BD825" i="21398"/>
  <c r="BD823" i="21398"/>
  <c r="BD821" i="21398"/>
  <c r="BD819" i="21398"/>
  <c r="BD817" i="21398"/>
  <c r="BC835" i="21398"/>
  <c r="AY835" i="21398"/>
  <c r="BA835" i="21398" s="1"/>
  <c r="AZ834" i="21398"/>
  <c r="BB834" i="21398" s="1"/>
  <c r="AZ833" i="21398"/>
  <c r="BB833" i="21398" s="1"/>
  <c r="AY833" i="21398"/>
  <c r="BA833" i="21398" s="1"/>
  <c r="AX833" i="21398"/>
  <c r="AW833" i="21398"/>
  <c r="AZ832" i="21398"/>
  <c r="BB832" i="21398" s="1"/>
  <c r="AZ831" i="21398"/>
  <c r="BB831" i="21398" s="1"/>
  <c r="AY831" i="21398"/>
  <c r="BA831" i="21398" s="1"/>
  <c r="AX831" i="21398"/>
  <c r="AW831" i="21398"/>
  <c r="AZ830" i="21398"/>
  <c r="BB830" i="21398" s="1"/>
  <c r="AZ829" i="21398"/>
  <c r="BB829" i="21398" s="1"/>
  <c r="AY829" i="21398"/>
  <c r="BA829" i="21398" s="1"/>
  <c r="AX829" i="21398"/>
  <c r="AW829" i="21398"/>
  <c r="AZ828" i="21398"/>
  <c r="BB828" i="21398" s="1"/>
  <c r="AZ827" i="21398"/>
  <c r="BB827" i="21398" s="1"/>
  <c r="AY827" i="21398"/>
  <c r="BA827" i="21398" s="1"/>
  <c r="AX827" i="21398"/>
  <c r="AW827" i="21398"/>
  <c r="AZ826" i="21398"/>
  <c r="BB826" i="21398" s="1"/>
  <c r="AZ825" i="21398"/>
  <c r="BB825" i="21398" s="1"/>
  <c r="AY825" i="21398"/>
  <c r="BA825" i="21398" s="1"/>
  <c r="AX825" i="21398"/>
  <c r="AW825" i="21398"/>
  <c r="AZ824" i="21398"/>
  <c r="BB824" i="21398" s="1"/>
  <c r="AZ823" i="21398"/>
  <c r="BB823" i="21398" s="1"/>
  <c r="AY823" i="21398"/>
  <c r="BA823" i="21398" s="1"/>
  <c r="AX823" i="21398"/>
  <c r="AW823" i="21398"/>
  <c r="AZ822" i="21398"/>
  <c r="BB822" i="21398" s="1"/>
  <c r="AY821" i="21398"/>
  <c r="BA821" i="21398" s="1"/>
  <c r="AZ820" i="21398"/>
  <c r="BB820" i="21398" s="1"/>
  <c r="AY819" i="21398"/>
  <c r="BA819" i="21398" s="1"/>
  <c r="AZ818" i="21398"/>
  <c r="BB818" i="21398" s="1"/>
  <c r="AZ817" i="21398"/>
  <c r="BB817" i="21398" s="1"/>
  <c r="AY817" i="21398"/>
  <c r="BA817" i="21398" s="1"/>
  <c r="AX817" i="21398"/>
  <c r="AW817" i="21398"/>
  <c r="M833" i="21398"/>
  <c r="BC833" i="21398" s="1"/>
  <c r="M831" i="21398"/>
  <c r="BC831" i="21398" s="1"/>
  <c r="M829" i="21398"/>
  <c r="BC829" i="21398" s="1"/>
  <c r="M827" i="21398"/>
  <c r="BC827" i="21398" s="1"/>
  <c r="M825" i="21398"/>
  <c r="BC825" i="21398" s="1"/>
  <c r="M823" i="21398"/>
  <c r="BC823" i="21398" s="1"/>
  <c r="M821" i="21398"/>
  <c r="BC821" i="21398" s="1"/>
  <c r="M819" i="21398"/>
  <c r="BC819" i="21398" s="1"/>
  <c r="M817" i="21398"/>
  <c r="BC817" i="21398" s="1"/>
  <c r="I841" i="21398"/>
  <c r="I807" i="2"/>
  <c r="I843" i="2"/>
  <c r="I809" i="2"/>
  <c r="BD837" i="2"/>
  <c r="BD835" i="2"/>
  <c r="BD833" i="2"/>
  <c r="BD831" i="2"/>
  <c r="BD829" i="2"/>
  <c r="BD827" i="2"/>
  <c r="BD825" i="2"/>
  <c r="BD823" i="2"/>
  <c r="BD821" i="2"/>
  <c r="BD819" i="2"/>
  <c r="BC837" i="2"/>
  <c r="AY837" i="2"/>
  <c r="BA837" i="2" s="1"/>
  <c r="AZ836" i="2"/>
  <c r="BB836" i="2" s="1"/>
  <c r="AZ835" i="2"/>
  <c r="BB835" i="2" s="1"/>
  <c r="AY835" i="2"/>
  <c r="BA835" i="2" s="1"/>
  <c r="AX835" i="2"/>
  <c r="AW835" i="2"/>
  <c r="AZ834" i="2"/>
  <c r="BB834" i="2" s="1"/>
  <c r="AZ833" i="2"/>
  <c r="BB833" i="2" s="1"/>
  <c r="AY833" i="2"/>
  <c r="BA833" i="2" s="1"/>
  <c r="AX833" i="2"/>
  <c r="AW833" i="2"/>
  <c r="AZ832" i="2"/>
  <c r="BB832" i="2" s="1"/>
  <c r="AZ831" i="2"/>
  <c r="BB831" i="2" s="1"/>
  <c r="AY831" i="2"/>
  <c r="BA831" i="2" s="1"/>
  <c r="AX831" i="2"/>
  <c r="AW831" i="2"/>
  <c r="AZ830" i="2"/>
  <c r="BB830" i="2" s="1"/>
  <c r="AZ829" i="2"/>
  <c r="BB829" i="2" s="1"/>
  <c r="AY829" i="2"/>
  <c r="BA829" i="2" s="1"/>
  <c r="AX829" i="2"/>
  <c r="AW829" i="2"/>
  <c r="AZ828" i="2"/>
  <c r="BB828" i="2" s="1"/>
  <c r="AZ827" i="2"/>
  <c r="BB827" i="2" s="1"/>
  <c r="AY827" i="2"/>
  <c r="BA827" i="2" s="1"/>
  <c r="AX827" i="2"/>
  <c r="AW827" i="2"/>
  <c r="AZ826" i="2"/>
  <c r="BB826" i="2" s="1"/>
  <c r="AZ825" i="2"/>
  <c r="BB825" i="2" s="1"/>
  <c r="AY825" i="2"/>
  <c r="BA825" i="2" s="1"/>
  <c r="AX825" i="2"/>
  <c r="AW825" i="2"/>
  <c r="AZ824" i="2"/>
  <c r="BB824" i="2" s="1"/>
  <c r="AY823" i="2"/>
  <c r="BA823" i="2" s="1"/>
  <c r="AZ822" i="2"/>
  <c r="BB822" i="2" s="1"/>
  <c r="AY821" i="2"/>
  <c r="BA821" i="2" s="1"/>
  <c r="AZ820" i="2"/>
  <c r="BB820" i="2" s="1"/>
  <c r="AZ819" i="2"/>
  <c r="BB819" i="2" s="1"/>
  <c r="AY819" i="2"/>
  <c r="BA819" i="2" s="1"/>
  <c r="AX819" i="2"/>
  <c r="AW819" i="2"/>
  <c r="M835" i="2"/>
  <c r="BC835" i="2" s="1"/>
  <c r="M833" i="2"/>
  <c r="BC833" i="2" s="1"/>
  <c r="M831" i="2"/>
  <c r="BC831" i="2" s="1"/>
  <c r="M829" i="2"/>
  <c r="BC829" i="2" s="1"/>
  <c r="M827" i="2"/>
  <c r="BC827" i="2" s="1"/>
  <c r="M825" i="2"/>
  <c r="BC825" i="2" s="1"/>
  <c r="M823" i="2"/>
  <c r="BC823" i="2" s="1"/>
  <c r="M821" i="2"/>
  <c r="BC821" i="2" s="1"/>
  <c r="M819" i="2"/>
  <c r="BC819" i="2" s="1"/>
  <c r="I733" i="21398"/>
  <c r="I731" i="21398"/>
  <c r="AZ726" i="21398"/>
  <c r="BB726" i="21398" s="1"/>
  <c r="I725" i="2"/>
  <c r="I723" i="21398"/>
  <c r="I735" i="2"/>
  <c r="I733" i="2"/>
  <c r="AZ728" i="2"/>
  <c r="BB728" i="2" s="1"/>
  <c r="I683" i="21398"/>
  <c r="I681" i="21398"/>
  <c r="I685" i="2"/>
  <c r="I683" i="2"/>
  <c r="AQ713" i="21398"/>
  <c r="AQ717" i="21398"/>
  <c r="AT704" i="21398"/>
  <c r="AT702" i="21398"/>
  <c r="AQ835" i="21398"/>
  <c r="AQ697" i="21398"/>
  <c r="AT788" i="21398"/>
  <c r="AQ689" i="21398"/>
  <c r="AQ785" i="21398"/>
  <c r="AQ705" i="21398"/>
  <c r="AT794" i="21398"/>
  <c r="AT720" i="21398"/>
  <c r="AT674" i="21398"/>
  <c r="AT790" i="21398"/>
  <c r="AT686" i="21398"/>
  <c r="AT698" i="21398"/>
  <c r="AT712" i="21398"/>
  <c r="AQ719" i="21398"/>
  <c r="AT690" i="21398"/>
  <c r="AT728" i="2"/>
  <c r="AQ721" i="21398"/>
  <c r="AT798" i="21398"/>
  <c r="AQ683" i="21398"/>
  <c r="AT676" i="21398"/>
  <c r="AT678" i="21398"/>
  <c r="AT724" i="21398"/>
  <c r="AT792" i="21398"/>
  <c r="AT706" i="21398"/>
  <c r="AQ677" i="21398"/>
  <c r="AT700" i="21398"/>
  <c r="AT694" i="21398"/>
  <c r="AT796" i="21398"/>
  <c r="AT722" i="21398"/>
  <c r="AQ727" i="21398"/>
  <c r="AQ695" i="21398"/>
  <c r="AT718" i="21398"/>
  <c r="AT726" i="21398"/>
  <c r="AQ793" i="21398"/>
  <c r="AQ789" i="21398"/>
  <c r="AQ715" i="21398"/>
  <c r="AQ723" i="21398"/>
  <c r="AT688" i="21398"/>
  <c r="AQ725" i="21398"/>
  <c r="AT682" i="21398"/>
  <c r="AT714" i="21398"/>
  <c r="AT684" i="21398"/>
  <c r="AQ699" i="21398"/>
  <c r="AQ693" i="21398"/>
  <c r="AQ703" i="21398"/>
  <c r="AQ691" i="21398"/>
  <c r="AT696" i="21398"/>
  <c r="AT680" i="21398"/>
  <c r="AQ685" i="21398"/>
  <c r="AT786" i="21398"/>
  <c r="AT692" i="21398"/>
  <c r="AT716" i="21398"/>
  <c r="AT834" i="21398"/>
  <c r="AQ701" i="21398"/>
  <c r="AQ687" i="21398"/>
  <c r="AQ787" i="21398"/>
  <c r="AC834" i="21398" l="1"/>
  <c r="AC726" i="21398"/>
  <c r="AC714" i="21398"/>
  <c r="AC728" i="2"/>
  <c r="AC684" i="21398"/>
  <c r="AN1190" i="21398"/>
  <c r="AN1192" i="21398" s="1"/>
  <c r="AN1184" i="21398"/>
  <c r="AN1182" i="21398" s="1"/>
  <c r="AN1186" i="2"/>
  <c r="AN1184" i="2" s="1"/>
  <c r="AN1192" i="2"/>
  <c r="AN1194" i="2" s="1"/>
  <c r="AY1271" i="2" l="1"/>
  <c r="AY1269" i="2"/>
  <c r="AY1267" i="2"/>
  <c r="AY1265" i="2"/>
  <c r="AY1263" i="2"/>
  <c r="AY1261" i="2"/>
  <c r="AY1259" i="2"/>
  <c r="AY1257" i="2"/>
  <c r="AY1255" i="2"/>
  <c r="AY1269" i="21398"/>
  <c r="BA1269" i="21398" s="1"/>
  <c r="AY1267" i="21398"/>
  <c r="BA1267" i="21398" s="1"/>
  <c r="AY1265" i="21398"/>
  <c r="AY1263" i="21398"/>
  <c r="AY1261" i="21398"/>
  <c r="AY1259" i="21398"/>
  <c r="AY1257" i="21398"/>
  <c r="AY1255" i="21398"/>
  <c r="BA1255" i="21398" s="1"/>
  <c r="AY1253" i="21398"/>
  <c r="BA1253" i="21398" s="1"/>
  <c r="AY1251" i="21398"/>
  <c r="M64" i="21417" l="1"/>
  <c r="M44" i="21417"/>
  <c r="BC44" i="21417" s="1"/>
  <c r="M42" i="21417"/>
  <c r="BC42" i="21417" s="1"/>
  <c r="M40" i="21417"/>
  <c r="BC40" i="21417" s="1"/>
  <c r="M38" i="21417"/>
  <c r="BC38" i="21417" s="1"/>
  <c r="M36" i="21417"/>
  <c r="BC36" i="21417" s="1"/>
  <c r="M34" i="21417"/>
  <c r="BC34" i="21417" s="1"/>
  <c r="M32" i="21417"/>
  <c r="BC32" i="21417" s="1"/>
  <c r="M30" i="21417"/>
  <c r="BC30" i="21417" s="1"/>
  <c r="M28" i="21417"/>
  <c r="BC28" i="21417" s="1"/>
  <c r="M26" i="21417"/>
  <c r="M24" i="21417"/>
  <c r="M22" i="21417"/>
  <c r="M20" i="21417"/>
  <c r="M18" i="21417"/>
  <c r="M16" i="21417"/>
  <c r="M12" i="21417"/>
  <c r="BC12" i="21417" s="1"/>
  <c r="M10" i="21417"/>
  <c r="M8" i="21417"/>
  <c r="M35" i="21399"/>
  <c r="M33" i="21399"/>
  <c r="M31" i="21399"/>
  <c r="M29" i="21399"/>
  <c r="M27" i="21399"/>
  <c r="M25" i="21399"/>
  <c r="M23" i="21399"/>
  <c r="M21" i="21399"/>
  <c r="M19" i="21399"/>
  <c r="M17" i="21399"/>
  <c r="M15" i="21399"/>
  <c r="M13" i="21399"/>
  <c r="M11" i="21399"/>
  <c r="AY32" i="21400"/>
  <c r="M35" i="21400"/>
  <c r="M31" i="21400"/>
  <c r="M29" i="21400"/>
  <c r="M27" i="21400"/>
  <c r="M25" i="21400"/>
  <c r="M23" i="21400"/>
  <c r="M21" i="21400"/>
  <c r="M19" i="21400"/>
  <c r="M17" i="21400"/>
  <c r="M16" i="21400"/>
  <c r="M15" i="21400"/>
  <c r="M13" i="21400"/>
  <c r="M53" i="21413"/>
  <c r="M51" i="21413"/>
  <c r="M49" i="21413"/>
  <c r="M47" i="21413"/>
  <c r="M45" i="21413"/>
  <c r="M43" i="21413"/>
  <c r="M41" i="21413"/>
  <c r="M39" i="21413"/>
  <c r="M38" i="21413"/>
  <c r="M37" i="21413"/>
  <c r="M36" i="21413"/>
  <c r="M35" i="21413"/>
  <c r="M34" i="21413"/>
  <c r="M33" i="21413"/>
  <c r="M32" i="21413"/>
  <c r="M31" i="21413"/>
  <c r="M30" i="21413"/>
  <c r="M29" i="21413"/>
  <c r="M28" i="21413"/>
  <c r="M27" i="21413"/>
  <c r="M26" i="21413"/>
  <c r="M25" i="21413"/>
  <c r="M24" i="21413"/>
  <c r="M23" i="21413"/>
  <c r="M22" i="21413"/>
  <c r="M21" i="21413"/>
  <c r="M19" i="21413"/>
  <c r="M18" i="21413"/>
  <c r="M17" i="21413"/>
  <c r="M15" i="21413"/>
  <c r="M13" i="21413"/>
  <c r="M11" i="21413"/>
  <c r="M9" i="21413"/>
  <c r="M7" i="21413"/>
  <c r="AW55" i="21413"/>
  <c r="AW53" i="21413"/>
  <c r="AW49" i="21413"/>
  <c r="AW47" i="21413"/>
  <c r="AW45" i="21413"/>
  <c r="AW43" i="21413"/>
  <c r="AW39" i="21413"/>
  <c r="AW37" i="21413"/>
  <c r="AW35" i="21413"/>
  <c r="AW33" i="21413"/>
  <c r="AW31" i="21413"/>
  <c r="AW29" i="21413"/>
  <c r="AW27" i="21413"/>
  <c r="AW25" i="21413"/>
  <c r="AW23" i="21413"/>
  <c r="AW21" i="21413"/>
  <c r="AW19" i="21413"/>
  <c r="AW17" i="21413"/>
  <c r="AW13" i="21413"/>
  <c r="AW11" i="21413"/>
  <c r="AW7" i="21413"/>
  <c r="M39" i="108"/>
  <c r="M37" i="108"/>
  <c r="M35" i="108"/>
  <c r="M33" i="108"/>
  <c r="M31" i="108"/>
  <c r="M29" i="108"/>
  <c r="M27" i="108"/>
  <c r="M25" i="108"/>
  <c r="M23" i="108"/>
  <c r="M21" i="108"/>
  <c r="M19" i="108"/>
  <c r="M17" i="108"/>
  <c r="M15" i="108"/>
  <c r="M13" i="108"/>
  <c r="M11" i="108"/>
  <c r="M74" i="3"/>
  <c r="M72" i="3"/>
  <c r="M70" i="3"/>
  <c r="M68" i="3"/>
  <c r="M66" i="3"/>
  <c r="M64" i="3"/>
  <c r="M62" i="3"/>
  <c r="M60" i="3"/>
  <c r="M58" i="3"/>
  <c r="M56" i="3"/>
  <c r="M54" i="3"/>
  <c r="M52" i="3"/>
  <c r="M50" i="3"/>
  <c r="M48" i="3"/>
  <c r="M46" i="3"/>
  <c r="M44" i="3"/>
  <c r="M42" i="3"/>
  <c r="M41" i="3"/>
  <c r="M40" i="3"/>
  <c r="M39" i="3"/>
  <c r="M38" i="3"/>
  <c r="M37" i="3"/>
  <c r="M36" i="3"/>
  <c r="M35" i="3"/>
  <c r="M34" i="3"/>
  <c r="M33" i="3"/>
  <c r="M32" i="3"/>
  <c r="M31" i="3"/>
  <c r="M30" i="3"/>
  <c r="M29" i="3"/>
  <c r="M28" i="3"/>
  <c r="M27" i="3"/>
  <c r="M26" i="3"/>
  <c r="M25" i="3"/>
  <c r="M24" i="3"/>
  <c r="M23" i="3"/>
  <c r="M22" i="3"/>
  <c r="M21" i="3"/>
  <c r="M20" i="3"/>
  <c r="M19" i="3"/>
  <c r="M18" i="3"/>
  <c r="M17" i="3"/>
  <c r="M16" i="3"/>
  <c r="M15" i="3"/>
  <c r="M14" i="3"/>
  <c r="M12" i="3"/>
  <c r="M10" i="3"/>
  <c r="M8" i="3"/>
  <c r="M6" i="3"/>
  <c r="AZ893" i="21398"/>
  <c r="BB893" i="21398" s="1"/>
  <c r="AY893" i="21398"/>
  <c r="BA893" i="21398" s="1"/>
  <c r="AX893" i="21398"/>
  <c r="AW893" i="21398"/>
  <c r="AZ892" i="21398"/>
  <c r="BB892" i="21398" s="1"/>
  <c r="AY891" i="21398"/>
  <c r="BA891" i="21398" s="1"/>
  <c r="AZ890" i="21398"/>
  <c r="BB890" i="21398" s="1"/>
  <c r="AZ889" i="21398"/>
  <c r="BB889" i="21398" s="1"/>
  <c r="AY889" i="21398"/>
  <c r="BA889" i="21398" s="1"/>
  <c r="AX889" i="21398"/>
  <c r="AW889" i="21398"/>
  <c r="AZ888" i="21398"/>
  <c r="BB888" i="21398" s="1"/>
  <c r="AZ887" i="21398"/>
  <c r="BB887" i="21398" s="1"/>
  <c r="AY887" i="21398"/>
  <c r="BA887" i="21398" s="1"/>
  <c r="AX887" i="21398"/>
  <c r="AW887" i="21398"/>
  <c r="AZ886" i="21398"/>
  <c r="BB886" i="21398" s="1"/>
  <c r="AZ885" i="21398"/>
  <c r="BB885" i="21398" s="1"/>
  <c r="AY885" i="21398"/>
  <c r="BA885" i="21398" s="1"/>
  <c r="AX885" i="21398"/>
  <c r="AW885" i="21398"/>
  <c r="AZ884" i="21398"/>
  <c r="BB884" i="21398" s="1"/>
  <c r="AY883" i="21398"/>
  <c r="BA883" i="21398" s="1"/>
  <c r="AZ882" i="21398"/>
  <c r="BB882" i="21398" s="1"/>
  <c r="AZ881" i="21398"/>
  <c r="BB881" i="21398" s="1"/>
  <c r="AY881" i="21398"/>
  <c r="BA881" i="21398" s="1"/>
  <c r="AX881" i="21398"/>
  <c r="AW881" i="21398"/>
  <c r="AZ880" i="21398"/>
  <c r="BB880" i="21398" s="1"/>
  <c r="AZ879" i="21398"/>
  <c r="BB879" i="21398" s="1"/>
  <c r="AY879" i="21398"/>
  <c r="BA879" i="21398" s="1"/>
  <c r="AX879" i="21398"/>
  <c r="AW879" i="21398"/>
  <c r="AZ878" i="21398"/>
  <c r="BB878" i="21398" s="1"/>
  <c r="AZ877" i="21398"/>
  <c r="BB877" i="21398" s="1"/>
  <c r="AY877" i="21398"/>
  <c r="BA877" i="21398" s="1"/>
  <c r="AX877" i="21398"/>
  <c r="AW877" i="21398"/>
  <c r="AZ876" i="21398"/>
  <c r="BB876" i="21398" s="1"/>
  <c r="AY875" i="21398"/>
  <c r="BA875" i="21398" s="1"/>
  <c r="AZ874" i="21398"/>
  <c r="BB874" i="21398" s="1"/>
  <c r="AZ873" i="21398"/>
  <c r="BB873" i="21398" s="1"/>
  <c r="AY873" i="21398"/>
  <c r="BA873" i="21398" s="1"/>
  <c r="AX873" i="21398"/>
  <c r="AW873" i="21398"/>
  <c r="AZ872" i="21398"/>
  <c r="BB872" i="21398" s="1"/>
  <c r="AZ871" i="21398"/>
  <c r="BB871" i="21398" s="1"/>
  <c r="AY871" i="21398"/>
  <c r="BA871" i="21398" s="1"/>
  <c r="AX871" i="21398"/>
  <c r="AW871" i="21398"/>
  <c r="M891" i="21398"/>
  <c r="BC891" i="21398" s="1"/>
  <c r="M889" i="21398"/>
  <c r="BC889" i="21398" s="1"/>
  <c r="M887" i="21398"/>
  <c r="BC887" i="21398" s="1"/>
  <c r="M885" i="21398"/>
  <c r="BC885" i="21398" s="1"/>
  <c r="M883" i="21398"/>
  <c r="BC883" i="21398" s="1"/>
  <c r="M881" i="21398"/>
  <c r="BC881" i="21398" s="1"/>
  <c r="M879" i="21398"/>
  <c r="BC879" i="21398" s="1"/>
  <c r="M877" i="21398"/>
  <c r="BC877" i="21398" s="1"/>
  <c r="M875" i="21398"/>
  <c r="BC875" i="21398" s="1"/>
  <c r="M873" i="21398"/>
  <c r="BC873" i="21398" s="1"/>
  <c r="M1140" i="21398"/>
  <c r="M1139" i="21398"/>
  <c r="M1138" i="21398"/>
  <c r="M1137" i="21398"/>
  <c r="M1136" i="21398"/>
  <c r="M1133" i="21398"/>
  <c r="BC1133" i="21398" s="1"/>
  <c r="M1131" i="21398"/>
  <c r="M1129" i="21398"/>
  <c r="M1127" i="21398"/>
  <c r="M1125" i="21398"/>
  <c r="M1123" i="21398"/>
  <c r="M1121" i="21398"/>
  <c r="M1119" i="21398"/>
  <c r="M1117" i="21398"/>
  <c r="M1115" i="21398"/>
  <c r="M1113" i="21398"/>
  <c r="M1111" i="21398"/>
  <c r="M1109" i="21398"/>
  <c r="M1107" i="21398"/>
  <c r="M1105" i="21398"/>
  <c r="M1103" i="21398"/>
  <c r="M1101" i="21398"/>
  <c r="M1099" i="21398"/>
  <c r="M1097" i="21398"/>
  <c r="M1095" i="21398"/>
  <c r="M1093" i="21398"/>
  <c r="M1091" i="21398"/>
  <c r="M1089" i="21398"/>
  <c r="M1087" i="21398"/>
  <c r="M1085" i="21398"/>
  <c r="M1083" i="21398"/>
  <c r="M1081" i="21398"/>
  <c r="M1079" i="21398"/>
  <c r="M1077" i="21398"/>
  <c r="M1075" i="21398"/>
  <c r="M1073" i="21398"/>
  <c r="M1071" i="21398"/>
  <c r="M1069" i="21398"/>
  <c r="M1067" i="21398"/>
  <c r="M1065" i="21398"/>
  <c r="M1063" i="21398"/>
  <c r="M1061" i="21398"/>
  <c r="M1059" i="21398"/>
  <c r="M1057" i="21398"/>
  <c r="M1055" i="21398"/>
  <c r="M1053" i="21398"/>
  <c r="M1051" i="21398"/>
  <c r="M1049" i="21398"/>
  <c r="M1047" i="21398"/>
  <c r="M1045" i="21398"/>
  <c r="M1043" i="21398"/>
  <c r="M1041" i="21398"/>
  <c r="M1039" i="21398"/>
  <c r="M1037" i="21398"/>
  <c r="M1035" i="21398"/>
  <c r="M1033" i="21398"/>
  <c r="M1031" i="21398"/>
  <c r="M1029" i="21398"/>
  <c r="M1027" i="21398"/>
  <c r="M1025" i="21398"/>
  <c r="M1023" i="21398"/>
  <c r="M1021" i="21398"/>
  <c r="M1019" i="21398"/>
  <c r="M1017" i="21398"/>
  <c r="M1015" i="21398"/>
  <c r="M1013" i="21398"/>
  <c r="M1011" i="21398"/>
  <c r="M1009" i="21398"/>
  <c r="M1007" i="21398"/>
  <c r="M1005" i="21398"/>
  <c r="M1003" i="21398"/>
  <c r="M1001" i="21398"/>
  <c r="M999" i="21398"/>
  <c r="M997" i="21398"/>
  <c r="M995" i="21398"/>
  <c r="M993" i="21398"/>
  <c r="M991" i="21398"/>
  <c r="M989" i="21398"/>
  <c r="M987" i="21398"/>
  <c r="M985" i="21398"/>
  <c r="M983" i="21398"/>
  <c r="M981" i="21398"/>
  <c r="M979" i="21398"/>
  <c r="M977" i="21398"/>
  <c r="M975" i="21398"/>
  <c r="M973" i="21398"/>
  <c r="M971" i="21398"/>
  <c r="M969" i="21398"/>
  <c r="M967" i="21398"/>
  <c r="M965" i="21398"/>
  <c r="M963" i="21398"/>
  <c r="M961" i="21398"/>
  <c r="M959" i="21398"/>
  <c r="M957" i="21398"/>
  <c r="M955" i="21398"/>
  <c r="M953" i="21398"/>
  <c r="M951" i="21398"/>
  <c r="M949" i="21398"/>
  <c r="M948" i="21398"/>
  <c r="M947" i="21398"/>
  <c r="M946" i="21398"/>
  <c r="M945" i="21398"/>
  <c r="M943" i="21398"/>
  <c r="M941" i="21398"/>
  <c r="M939" i="21398"/>
  <c r="M937" i="21398"/>
  <c r="M935" i="21398"/>
  <c r="M933" i="21398"/>
  <c r="M932" i="21398"/>
  <c r="M931" i="21398"/>
  <c r="M929" i="21398"/>
  <c r="M928" i="21398"/>
  <c r="M927" i="21398"/>
  <c r="M926" i="21398"/>
  <c r="M925" i="21398"/>
  <c r="M924" i="21398"/>
  <c r="M923" i="21398"/>
  <c r="M922" i="21398"/>
  <c r="M921" i="21398"/>
  <c r="M920" i="21398"/>
  <c r="M919" i="21398"/>
  <c r="M918" i="21398"/>
  <c r="M917" i="21398"/>
  <c r="M916" i="21398"/>
  <c r="M915" i="21398"/>
  <c r="M914" i="21398"/>
  <c r="M913" i="21398"/>
  <c r="M912" i="21398"/>
  <c r="M911" i="21398"/>
  <c r="M910" i="21398"/>
  <c r="M909" i="21398"/>
  <c r="M908" i="21398"/>
  <c r="M907" i="21398"/>
  <c r="M906" i="21398"/>
  <c r="M905" i="21398"/>
  <c r="M904" i="21398"/>
  <c r="M903" i="21398"/>
  <c r="M901" i="21398"/>
  <c r="M900" i="21398"/>
  <c r="M899" i="21398"/>
  <c r="M898" i="21398"/>
  <c r="M897" i="21398"/>
  <c r="M895" i="21398"/>
  <c r="M893" i="21398"/>
  <c r="BC893" i="21398" s="1"/>
  <c r="A1272" i="21398" l="1"/>
  <c r="M1271" i="21398"/>
  <c r="M1269" i="21398"/>
  <c r="BC1269" i="21398" s="1"/>
  <c r="M1267" i="21398"/>
  <c r="BC1267" i="21398" s="1"/>
  <c r="M1265" i="21398"/>
  <c r="M1263" i="21398"/>
  <c r="M1261" i="21398"/>
  <c r="M1259" i="21398"/>
  <c r="M1257" i="21398"/>
  <c r="M1255" i="21398"/>
  <c r="BC1255" i="21398" s="1"/>
  <c r="M1253" i="21398"/>
  <c r="BC1253" i="21398" s="1"/>
  <c r="M1251" i="21398"/>
  <c r="M1249" i="21398"/>
  <c r="M1247" i="21398"/>
  <c r="M1245" i="21398"/>
  <c r="M1243" i="21398"/>
  <c r="M1241" i="21398"/>
  <c r="M1239" i="21398"/>
  <c r="M1237" i="21398"/>
  <c r="M1235" i="21398"/>
  <c r="M1233" i="21398"/>
  <c r="M1231" i="21398"/>
  <c r="M1229" i="21398"/>
  <c r="M1227" i="21398"/>
  <c r="M1225" i="21398"/>
  <c r="M1223" i="21398"/>
  <c r="M1221" i="21398"/>
  <c r="M1215" i="21398"/>
  <c r="M1213" i="21398"/>
  <c r="M1211" i="21398"/>
  <c r="M1209" i="21398"/>
  <c r="M1207" i="21398"/>
  <c r="M1205" i="21398"/>
  <c r="M1203" i="21398"/>
  <c r="M1201" i="21398"/>
  <c r="M1199" i="21398"/>
  <c r="M1197" i="21398"/>
  <c r="M1195" i="21398"/>
  <c r="M1193" i="21398"/>
  <c r="M1191" i="21398"/>
  <c r="M1189" i="21398"/>
  <c r="M1188" i="21398"/>
  <c r="M1187" i="21398"/>
  <c r="M1186" i="21398"/>
  <c r="M1185" i="21398"/>
  <c r="M1183" i="21398"/>
  <c r="M1181" i="21398"/>
  <c r="M1179" i="21398"/>
  <c r="M1177" i="21398"/>
  <c r="M1175" i="21398"/>
  <c r="M1173" i="21398"/>
  <c r="M1172" i="21398"/>
  <c r="M1171" i="21398"/>
  <c r="M1170" i="21398"/>
  <c r="M1169" i="21398"/>
  <c r="M1168" i="21398"/>
  <c r="M1167" i="21398"/>
  <c r="M1166" i="21398"/>
  <c r="M1165" i="21398"/>
  <c r="M1164" i="21398"/>
  <c r="M1163" i="21398"/>
  <c r="M1162" i="21398"/>
  <c r="M1161" i="21398"/>
  <c r="M1160" i="21398"/>
  <c r="M1159" i="21398"/>
  <c r="M1158" i="21398"/>
  <c r="M1157" i="21398"/>
  <c r="M1156" i="21398"/>
  <c r="M1155" i="21398"/>
  <c r="M1154" i="21398"/>
  <c r="M1153" i="21398"/>
  <c r="M1152" i="21398"/>
  <c r="M1151" i="21398"/>
  <c r="M1150" i="21398"/>
  <c r="M1149" i="21398"/>
  <c r="M1148" i="21398"/>
  <c r="M1147" i="21398"/>
  <c r="M1146" i="21398"/>
  <c r="M1145" i="21398"/>
  <c r="M1144" i="21398"/>
  <c r="M1143" i="21398"/>
  <c r="M1142" i="21398"/>
  <c r="M1141" i="21398"/>
  <c r="M871" i="21398"/>
  <c r="BC871" i="21398" s="1"/>
  <c r="M869" i="21398"/>
  <c r="M867" i="21398"/>
  <c r="M865" i="21398"/>
  <c r="M863" i="21398"/>
  <c r="M861" i="21398"/>
  <c r="M859" i="21398"/>
  <c r="M857" i="21398"/>
  <c r="M855" i="21398"/>
  <c r="M853" i="21398"/>
  <c r="M851" i="21398"/>
  <c r="M849" i="21398"/>
  <c r="M847" i="21398"/>
  <c r="M845" i="21398"/>
  <c r="M843" i="21398"/>
  <c r="M841" i="21398"/>
  <c r="M839" i="21398"/>
  <c r="M837" i="21398"/>
  <c r="M815" i="21398"/>
  <c r="M813" i="21398"/>
  <c r="M811" i="21398"/>
  <c r="M809" i="21398"/>
  <c r="M807" i="21398"/>
  <c r="M805" i="21398"/>
  <c r="M803" i="21398"/>
  <c r="M801" i="21398"/>
  <c r="M799" i="21398"/>
  <c r="M797" i="21398"/>
  <c r="M795" i="21398"/>
  <c r="BC795" i="21398" s="1"/>
  <c r="M793" i="21398"/>
  <c r="M791" i="21398"/>
  <c r="M789" i="21398"/>
  <c r="M787" i="21398"/>
  <c r="BC787" i="21398" s="1"/>
  <c r="M785" i="21398"/>
  <c r="M783" i="21398"/>
  <c r="M781" i="21398"/>
  <c r="M779" i="21398"/>
  <c r="M777" i="21398"/>
  <c r="M775" i="21398"/>
  <c r="M773" i="21398"/>
  <c r="M771" i="21398"/>
  <c r="M769" i="21398"/>
  <c r="M767" i="21398"/>
  <c r="M765" i="21398"/>
  <c r="M763" i="21398"/>
  <c r="M761" i="21398"/>
  <c r="M759" i="21398"/>
  <c r="M757" i="21398"/>
  <c r="M755" i="21398"/>
  <c r="M753" i="21398"/>
  <c r="M751" i="21398"/>
  <c r="M749" i="21398"/>
  <c r="M747" i="21398"/>
  <c r="M745" i="21398"/>
  <c r="M743" i="21398"/>
  <c r="M741" i="21398"/>
  <c r="M739" i="21398"/>
  <c r="M737" i="21398"/>
  <c r="M735" i="21398"/>
  <c r="M733" i="21398"/>
  <c r="M731" i="21398"/>
  <c r="M729" i="21398"/>
  <c r="M725" i="21398"/>
  <c r="M723" i="21398"/>
  <c r="M721" i="21398"/>
  <c r="M719" i="21398"/>
  <c r="M717" i="21398"/>
  <c r="M715" i="21398"/>
  <c r="M713" i="21398"/>
  <c r="M711" i="21398"/>
  <c r="M709" i="21398"/>
  <c r="M707" i="21398"/>
  <c r="M705" i="21398"/>
  <c r="M703" i="21398"/>
  <c r="M701" i="21398"/>
  <c r="M699" i="21398"/>
  <c r="M697" i="21398"/>
  <c r="M695" i="21398"/>
  <c r="M693" i="21398"/>
  <c r="M691" i="21398"/>
  <c r="M689" i="21398"/>
  <c r="M687" i="21398"/>
  <c r="M685" i="21398"/>
  <c r="M683" i="21398"/>
  <c r="M681" i="21398"/>
  <c r="M679" i="21398"/>
  <c r="M677" i="21398"/>
  <c r="M675" i="21398"/>
  <c r="M673" i="21398"/>
  <c r="M671" i="21398"/>
  <c r="M669" i="21398"/>
  <c r="M667" i="21398"/>
  <c r="M665" i="21398"/>
  <c r="M663" i="21398"/>
  <c r="M661" i="21398"/>
  <c r="M659" i="21398"/>
  <c r="M657" i="21398"/>
  <c r="M655" i="21398"/>
  <c r="M653" i="21398"/>
  <c r="M651" i="21398"/>
  <c r="M649" i="21398"/>
  <c r="M647" i="21398"/>
  <c r="M645" i="21398"/>
  <c r="M643" i="21398"/>
  <c r="M641" i="21398"/>
  <c r="M639" i="21398"/>
  <c r="M637" i="21398"/>
  <c r="M635" i="21398"/>
  <c r="M633" i="21398"/>
  <c r="M631" i="21398"/>
  <c r="M629" i="21398"/>
  <c r="M627" i="21398"/>
  <c r="M625" i="21398"/>
  <c r="M623" i="21398"/>
  <c r="M621" i="21398"/>
  <c r="M619" i="21398"/>
  <c r="M617" i="21398"/>
  <c r="M615" i="21398"/>
  <c r="M613" i="21398"/>
  <c r="M611" i="21398"/>
  <c r="M609" i="21398"/>
  <c r="M607" i="21398"/>
  <c r="M605" i="21398"/>
  <c r="M603" i="21398"/>
  <c r="M601" i="21398"/>
  <c r="M599" i="21398"/>
  <c r="M597" i="21398"/>
  <c r="M595" i="21398"/>
  <c r="BC591" i="21398"/>
  <c r="BC589" i="21398"/>
  <c r="BC587" i="21398"/>
  <c r="M583" i="21398"/>
  <c r="M581" i="21398"/>
  <c r="M579" i="21398"/>
  <c r="M577" i="21398"/>
  <c r="M575" i="21398"/>
  <c r="M573" i="21398"/>
  <c r="M571" i="21398"/>
  <c r="M569" i="21398"/>
  <c r="M567" i="21398"/>
  <c r="M565" i="21398"/>
  <c r="M563" i="21398"/>
  <c r="M561" i="21398"/>
  <c r="M559" i="21398"/>
  <c r="M557" i="21398"/>
  <c r="M555" i="21398"/>
  <c r="M553" i="21398"/>
  <c r="M551" i="21398"/>
  <c r="M549" i="21398"/>
  <c r="M547" i="21398"/>
  <c r="M545" i="21398"/>
  <c r="M543" i="21398"/>
  <c r="M541" i="21398"/>
  <c r="M539" i="21398"/>
  <c r="M535" i="21398"/>
  <c r="M533" i="21398"/>
  <c r="M531" i="21398"/>
  <c r="M529" i="21398"/>
  <c r="M527" i="21398"/>
  <c r="M525" i="21398"/>
  <c r="M523" i="21398"/>
  <c r="M521" i="21398"/>
  <c r="M519" i="21398"/>
  <c r="M517" i="21398"/>
  <c r="M515" i="21398"/>
  <c r="M513" i="21398"/>
  <c r="M511" i="21398"/>
  <c r="M509" i="21398"/>
  <c r="M507" i="21398"/>
  <c r="M505" i="21398"/>
  <c r="M503" i="21398"/>
  <c r="M501" i="21398"/>
  <c r="M499" i="21398"/>
  <c r="M497" i="21398"/>
  <c r="M495" i="21398"/>
  <c r="M494" i="21398"/>
  <c r="M493" i="21398"/>
  <c r="M492" i="21398"/>
  <c r="M491" i="21398"/>
  <c r="M490" i="21398"/>
  <c r="M489" i="21398"/>
  <c r="M488" i="21398"/>
  <c r="M487" i="21398"/>
  <c r="M486" i="21398"/>
  <c r="M485" i="21398"/>
  <c r="M484" i="21398"/>
  <c r="M483" i="21398"/>
  <c r="M482" i="21398"/>
  <c r="M481" i="21398"/>
  <c r="M480" i="21398"/>
  <c r="M479" i="21398"/>
  <c r="M478" i="21398"/>
  <c r="M477" i="21398"/>
  <c r="M475" i="21398"/>
  <c r="M474" i="21398"/>
  <c r="M473" i="21398"/>
  <c r="M472" i="21398"/>
  <c r="M471" i="21398"/>
  <c r="M470" i="21398"/>
  <c r="M469" i="21398"/>
  <c r="M468" i="21398"/>
  <c r="M467" i="21398"/>
  <c r="M466" i="21398"/>
  <c r="M465" i="21398"/>
  <c r="M464" i="21398"/>
  <c r="M463" i="21398"/>
  <c r="M462" i="21398"/>
  <c r="M461" i="21398"/>
  <c r="M460" i="21398"/>
  <c r="M459" i="21398"/>
  <c r="M458" i="21398"/>
  <c r="M457" i="21398"/>
  <c r="M456" i="21398"/>
  <c r="M455" i="21398"/>
  <c r="M454" i="21398"/>
  <c r="M453" i="21398"/>
  <c r="M452" i="21398"/>
  <c r="M451" i="21398"/>
  <c r="M450" i="21398"/>
  <c r="M449" i="21398"/>
  <c r="M447" i="21398"/>
  <c r="M445" i="21398"/>
  <c r="M443" i="21398"/>
  <c r="M441" i="21398"/>
  <c r="M439" i="21398"/>
  <c r="M437" i="21398"/>
  <c r="M435" i="21398"/>
  <c r="M433" i="21398"/>
  <c r="M431" i="21398"/>
  <c r="M429" i="21398"/>
  <c r="M427" i="21398"/>
  <c r="M425" i="21398"/>
  <c r="M423" i="21398"/>
  <c r="M421" i="21398"/>
  <c r="M419" i="21398"/>
  <c r="M417" i="21398"/>
  <c r="M415" i="21398"/>
  <c r="M413" i="21398"/>
  <c r="M411" i="21398"/>
  <c r="M409" i="21398"/>
  <c r="M407" i="21398"/>
  <c r="M405" i="21398"/>
  <c r="M403" i="21398"/>
  <c r="M401" i="21398"/>
  <c r="M399" i="21398"/>
  <c r="M397" i="21398"/>
  <c r="M395" i="21398"/>
  <c r="M393" i="21398"/>
  <c r="M391" i="21398"/>
  <c r="M389" i="21398"/>
  <c r="M387" i="21398"/>
  <c r="M385" i="21398"/>
  <c r="M383" i="21398"/>
  <c r="M381" i="21398"/>
  <c r="M379" i="21398"/>
  <c r="M377" i="21398"/>
  <c r="M375" i="21398"/>
  <c r="M373" i="21398"/>
  <c r="M371" i="21398"/>
  <c r="M369" i="21398"/>
  <c r="M367" i="21398"/>
  <c r="M365" i="21398"/>
  <c r="M363" i="21398"/>
  <c r="M361" i="21398"/>
  <c r="M359" i="21398"/>
  <c r="M357" i="21398"/>
  <c r="M355" i="21398"/>
  <c r="M353" i="21398"/>
  <c r="M351" i="21398"/>
  <c r="M349" i="21398"/>
  <c r="M347" i="21398"/>
  <c r="M345" i="21398"/>
  <c r="M343" i="21398"/>
  <c r="M341" i="21398"/>
  <c r="M339" i="21398"/>
  <c r="M337" i="21398"/>
  <c r="M335" i="21398"/>
  <c r="M333" i="21398"/>
  <c r="M331" i="21398"/>
  <c r="M329" i="21398"/>
  <c r="M327" i="21398"/>
  <c r="M325" i="21398"/>
  <c r="M323" i="21398"/>
  <c r="M321" i="21398"/>
  <c r="M319" i="21398"/>
  <c r="M317" i="21398"/>
  <c r="M315" i="21398"/>
  <c r="M313" i="21398"/>
  <c r="M311" i="21398"/>
  <c r="M309" i="21398"/>
  <c r="M307" i="21398"/>
  <c r="M305" i="21398"/>
  <c r="M303" i="21398"/>
  <c r="M301" i="21398"/>
  <c r="M299" i="21398"/>
  <c r="M297" i="21398"/>
  <c r="M295" i="21398"/>
  <c r="M293" i="21398"/>
  <c r="M291" i="21398"/>
  <c r="M289" i="21398"/>
  <c r="M287" i="21398"/>
  <c r="M285" i="21398"/>
  <c r="M283" i="21398"/>
  <c r="M281" i="21398"/>
  <c r="M279" i="21398"/>
  <c r="M277" i="21398"/>
  <c r="M275" i="21398"/>
  <c r="M273" i="21398"/>
  <c r="M271" i="21398"/>
  <c r="M269" i="21398"/>
  <c r="M267" i="21398"/>
  <c r="M265" i="21398"/>
  <c r="M263" i="21398"/>
  <c r="M261" i="21398"/>
  <c r="M259" i="21398"/>
  <c r="M257" i="21398"/>
  <c r="M255" i="21398"/>
  <c r="M253" i="21398"/>
  <c r="M251" i="21398"/>
  <c r="M249" i="21398"/>
  <c r="M247" i="21398"/>
  <c r="M245" i="21398"/>
  <c r="M243" i="21398"/>
  <c r="M241" i="21398"/>
  <c r="M239" i="21398"/>
  <c r="M237" i="21398"/>
  <c r="M235" i="21398"/>
  <c r="M233" i="21398"/>
  <c r="M231" i="21398"/>
  <c r="M229" i="21398"/>
  <c r="M227" i="21398"/>
  <c r="M225" i="21398"/>
  <c r="M223" i="21398"/>
  <c r="M221" i="21398"/>
  <c r="M219" i="21398"/>
  <c r="M217" i="21398"/>
  <c r="M215" i="21398"/>
  <c r="M213" i="21398"/>
  <c r="M211" i="21398"/>
  <c r="M210" i="21398"/>
  <c r="M209" i="21398"/>
  <c r="M208" i="21398"/>
  <c r="M207" i="21398"/>
  <c r="M206" i="21398"/>
  <c r="M205" i="21398"/>
  <c r="M204" i="21398"/>
  <c r="M203" i="21398"/>
  <c r="M202" i="21398"/>
  <c r="M201" i="21398"/>
  <c r="M200" i="21398"/>
  <c r="M199" i="21398"/>
  <c r="M198" i="21398"/>
  <c r="M197" i="21398"/>
  <c r="M196" i="21398"/>
  <c r="M195" i="21398"/>
  <c r="M194" i="21398"/>
  <c r="M193" i="21398"/>
  <c r="M192" i="21398"/>
  <c r="M191" i="21398"/>
  <c r="M190" i="21398"/>
  <c r="M189" i="21398"/>
  <c r="M188" i="21398"/>
  <c r="M187" i="21398"/>
  <c r="M186" i="21398"/>
  <c r="M185" i="21398"/>
  <c r="M184" i="21398"/>
  <c r="M183" i="21398"/>
  <c r="M182" i="21398"/>
  <c r="M181" i="21398"/>
  <c r="M180" i="21398"/>
  <c r="M179" i="21398"/>
  <c r="M178" i="21398"/>
  <c r="M177" i="21398"/>
  <c r="M176" i="21398"/>
  <c r="M175" i="21398"/>
  <c r="M174" i="21398"/>
  <c r="M173" i="21398"/>
  <c r="M172" i="21398"/>
  <c r="M171" i="21398"/>
  <c r="M170" i="21398"/>
  <c r="M169" i="21398"/>
  <c r="M168" i="21398"/>
  <c r="M167" i="21398"/>
  <c r="M166" i="21398"/>
  <c r="M165" i="21398"/>
  <c r="M164" i="21398"/>
  <c r="M163" i="21398"/>
  <c r="M162" i="21398"/>
  <c r="M161" i="21398"/>
  <c r="M160" i="21398"/>
  <c r="M159" i="21398"/>
  <c r="M158" i="21398"/>
  <c r="M157" i="21398"/>
  <c r="M156" i="21398"/>
  <c r="M155" i="21398"/>
  <c r="M154" i="21398"/>
  <c r="M153" i="21398"/>
  <c r="M152" i="21398"/>
  <c r="M151" i="21398"/>
  <c r="M150" i="21398"/>
  <c r="M149" i="21398"/>
  <c r="M148" i="21398"/>
  <c r="M147" i="21398"/>
  <c r="M146" i="21398"/>
  <c r="M145" i="21398"/>
  <c r="M143" i="21398"/>
  <c r="M141" i="21398"/>
  <c r="M139" i="21398"/>
  <c r="M137" i="21398"/>
  <c r="M135" i="21398"/>
  <c r="M133" i="21398"/>
  <c r="M131" i="21398"/>
  <c r="M129" i="21398"/>
  <c r="M127" i="21398"/>
  <c r="M125" i="21398"/>
  <c r="M123" i="21398"/>
  <c r="M121" i="21398"/>
  <c r="M119" i="21398"/>
  <c r="M117" i="21398"/>
  <c r="M115" i="21398"/>
  <c r="M113" i="21398"/>
  <c r="M111" i="21398"/>
  <c r="M109" i="21398"/>
  <c r="M107" i="21398"/>
  <c r="M105" i="21398"/>
  <c r="M103" i="21398"/>
  <c r="M101" i="21398"/>
  <c r="M99" i="21398"/>
  <c r="M97" i="21398"/>
  <c r="M95" i="21398"/>
  <c r="M93" i="21398"/>
  <c r="M92" i="21398"/>
  <c r="M91" i="21398"/>
  <c r="M89" i="21398"/>
  <c r="M87" i="21398"/>
  <c r="M85" i="21398"/>
  <c r="M83" i="21398"/>
  <c r="M81" i="21398"/>
  <c r="M79" i="21398"/>
  <c r="M77" i="21398"/>
  <c r="M75" i="21398"/>
  <c r="M73" i="21398"/>
  <c r="M71" i="21398"/>
  <c r="M69" i="21398"/>
  <c r="M67" i="21398"/>
  <c r="M65" i="21398"/>
  <c r="M63" i="21398"/>
  <c r="M61" i="21398"/>
  <c r="M59" i="21398"/>
  <c r="M57" i="21398"/>
  <c r="M55" i="21398"/>
  <c r="M53" i="21398"/>
  <c r="M51" i="21398"/>
  <c r="M49" i="21398"/>
  <c r="M47" i="21398"/>
  <c r="M45" i="21398"/>
  <c r="M43" i="21398"/>
  <c r="M41" i="21398"/>
  <c r="M39" i="21398"/>
  <c r="M37" i="21398"/>
  <c r="M35" i="21398"/>
  <c r="M33" i="21398"/>
  <c r="M31" i="21398"/>
  <c r="M29" i="21398"/>
  <c r="M27" i="21398"/>
  <c r="M25" i="21398"/>
  <c r="M23" i="21398"/>
  <c r="BC23" i="21398" s="1"/>
  <c r="M21" i="21398"/>
  <c r="BC21" i="21398" s="1"/>
  <c r="M19" i="21398"/>
  <c r="M17" i="21398"/>
  <c r="M15" i="21398"/>
  <c r="M13" i="21398"/>
  <c r="M11" i="21398"/>
  <c r="M9" i="21398"/>
  <c r="BC9" i="21398" s="1"/>
  <c r="M7" i="21398"/>
  <c r="BC7" i="21398" s="1"/>
  <c r="M5" i="21398"/>
  <c r="AW211" i="21398"/>
  <c r="AX211" i="21398"/>
  <c r="AZ65" i="21417"/>
  <c r="AZ64" i="21417"/>
  <c r="AY64" i="21417"/>
  <c r="AZ63" i="21417"/>
  <c r="AZ45" i="21417"/>
  <c r="BB45" i="21417" s="1"/>
  <c r="AZ44" i="21417"/>
  <c r="BB44" i="21417" s="1"/>
  <c r="AY44" i="21417"/>
  <c r="BA44" i="21417" s="1"/>
  <c r="AZ43" i="21417"/>
  <c r="BB43" i="21417" s="1"/>
  <c r="AZ42" i="21417"/>
  <c r="BB42" i="21417" s="1"/>
  <c r="AY42" i="21417"/>
  <c r="BA42" i="21417" s="1"/>
  <c r="AZ41" i="21417"/>
  <c r="BB41" i="21417" s="1"/>
  <c r="AY40" i="21417"/>
  <c r="BA40" i="21417" s="1"/>
  <c r="AZ39" i="21417"/>
  <c r="BB39" i="21417" s="1"/>
  <c r="AZ38" i="21417"/>
  <c r="BB38" i="21417" s="1"/>
  <c r="AY38" i="21417"/>
  <c r="BA38" i="21417" s="1"/>
  <c r="AZ37" i="21417"/>
  <c r="BB37" i="21417" s="1"/>
  <c r="AY36" i="21417"/>
  <c r="BA36" i="21417" s="1"/>
  <c r="AZ35" i="21417"/>
  <c r="BB35" i="21417" s="1"/>
  <c r="AZ34" i="21417"/>
  <c r="BB34" i="21417" s="1"/>
  <c r="AY34" i="21417"/>
  <c r="BA34" i="21417" s="1"/>
  <c r="AZ33" i="21417"/>
  <c r="BB33" i="21417" s="1"/>
  <c r="AZ32" i="21417"/>
  <c r="BB32" i="21417" s="1"/>
  <c r="AY32" i="21417"/>
  <c r="BA32" i="21417" s="1"/>
  <c r="AZ31" i="21417"/>
  <c r="BB31" i="21417" s="1"/>
  <c r="AY30" i="21417"/>
  <c r="BA30" i="21417" s="1"/>
  <c r="AZ29" i="21417"/>
  <c r="BB29" i="21417" s="1"/>
  <c r="AZ28" i="21417"/>
  <c r="BB28" i="21417" s="1"/>
  <c r="AY28" i="21417"/>
  <c r="BA28" i="21417" s="1"/>
  <c r="AZ27" i="21417"/>
  <c r="BB27" i="21417" s="1"/>
  <c r="AY26" i="21417"/>
  <c r="AZ25" i="21417"/>
  <c r="AZ24" i="21417"/>
  <c r="AY24" i="21417"/>
  <c r="AZ23" i="21417"/>
  <c r="AZ22" i="21417"/>
  <c r="AY22" i="21417"/>
  <c r="AZ21" i="21417"/>
  <c r="AY20" i="21417"/>
  <c r="AZ19" i="21417"/>
  <c r="AZ18" i="21417"/>
  <c r="AY18" i="21417"/>
  <c r="AZ17" i="21417"/>
  <c r="AY16" i="21417"/>
  <c r="AZ15" i="21417"/>
  <c r="AZ11" i="21417"/>
  <c r="AZ10" i="21417"/>
  <c r="AY10" i="21417"/>
  <c r="AZ9" i="21417"/>
  <c r="AZ8" i="21417"/>
  <c r="AY8" i="21417"/>
  <c r="AZ7" i="21417"/>
  <c r="M57" i="21416"/>
  <c r="AZ57" i="21416"/>
  <c r="AY57" i="21416"/>
  <c r="AZ56" i="21416"/>
  <c r="AY56" i="21416"/>
  <c r="AZ55" i="21416"/>
  <c r="AZ54" i="21416"/>
  <c r="AY54" i="21416"/>
  <c r="AZ53" i="21416"/>
  <c r="AZ52" i="21416"/>
  <c r="AY52" i="21416"/>
  <c r="AZ51" i="21416"/>
  <c r="AZ50" i="21416"/>
  <c r="AY50" i="21416"/>
  <c r="AZ49" i="21416"/>
  <c r="AY48" i="21416"/>
  <c r="AZ47" i="21416"/>
  <c r="AY46" i="21416"/>
  <c r="AZ45" i="21416"/>
  <c r="AZ44" i="21416"/>
  <c r="AY44" i="21416"/>
  <c r="AZ43" i="21416"/>
  <c r="AZ42" i="21416"/>
  <c r="AY42" i="21416"/>
  <c r="AZ41" i="21416"/>
  <c r="AZ40" i="21416"/>
  <c r="AY40" i="21416"/>
  <c r="AZ39" i="21416"/>
  <c r="AY38" i="21416"/>
  <c r="AZ37" i="21416"/>
  <c r="AY36" i="21416"/>
  <c r="AZ35" i="21416"/>
  <c r="AZ34" i="21416"/>
  <c r="AY34" i="21416"/>
  <c r="AZ33" i="21416"/>
  <c r="AY32" i="21416"/>
  <c r="AZ30" i="21416"/>
  <c r="AY30" i="21416"/>
  <c r="AZ29" i="21416"/>
  <c r="AY28" i="21416"/>
  <c r="AZ27" i="21416"/>
  <c r="AY26" i="21416"/>
  <c r="AZ25" i="21416"/>
  <c r="AZ24" i="21416"/>
  <c r="AY24" i="21416"/>
  <c r="AZ23" i="21416"/>
  <c r="AZ22" i="21416"/>
  <c r="AY22" i="21416"/>
  <c r="AZ21" i="21416"/>
  <c r="AY20" i="21416"/>
  <c r="AY18" i="21416"/>
  <c r="AZ17" i="21416"/>
  <c r="AY16" i="21416"/>
  <c r="AZ15" i="21416"/>
  <c r="AZ14" i="21416"/>
  <c r="AY14" i="21416"/>
  <c r="AZ13" i="21416"/>
  <c r="AZ12" i="21416"/>
  <c r="AY12" i="21416"/>
  <c r="AZ11" i="21416"/>
  <c r="AZ10" i="21416"/>
  <c r="AY10" i="21416"/>
  <c r="AZ9" i="21416"/>
  <c r="AZ8" i="21416"/>
  <c r="AY8" i="21416"/>
  <c r="AZ7" i="21416"/>
  <c r="AZ6" i="21416"/>
  <c r="AY6" i="21416"/>
  <c r="AZ5" i="21416"/>
  <c r="AZ62" i="21415"/>
  <c r="AY61" i="21415"/>
  <c r="AZ60" i="21415"/>
  <c r="AZ59" i="21415"/>
  <c r="AY59" i="21415"/>
  <c r="AZ58" i="21415"/>
  <c r="AZ57" i="21415"/>
  <c r="AY57" i="21415"/>
  <c r="AZ56" i="21415"/>
  <c r="AZ55" i="21415"/>
  <c r="AY55" i="21415"/>
  <c r="AZ54" i="21415"/>
  <c r="AZ53" i="21415"/>
  <c r="AY53" i="21415"/>
  <c r="AZ52" i="21415"/>
  <c r="AZ51" i="21415"/>
  <c r="AY51" i="21415"/>
  <c r="AZ50" i="21415"/>
  <c r="AZ49" i="21415"/>
  <c r="AY49" i="21415"/>
  <c r="AZ48" i="21415"/>
  <c r="AZ47" i="21415"/>
  <c r="AY47" i="21415"/>
  <c r="AZ46" i="21415"/>
  <c r="AZ45" i="21415"/>
  <c r="AY45" i="21415"/>
  <c r="AZ44" i="21415"/>
  <c r="AZ43" i="21415"/>
  <c r="AY43" i="21415"/>
  <c r="AZ42" i="21415"/>
  <c r="AZ41" i="21415"/>
  <c r="AY41" i="21415"/>
  <c r="AZ40" i="21415"/>
  <c r="AY39" i="21415"/>
  <c r="AZ38" i="21415"/>
  <c r="AY37" i="21415"/>
  <c r="AZ36" i="21415"/>
  <c r="AZ35" i="21415"/>
  <c r="AY35" i="21415"/>
  <c r="AZ34" i="21415"/>
  <c r="AZ33" i="21415"/>
  <c r="AY33" i="21415"/>
  <c r="AZ32" i="21415"/>
  <c r="AY31" i="21415"/>
  <c r="BA31" i="21415" s="1"/>
  <c r="AZ30" i="21415"/>
  <c r="BB30" i="21415" s="1"/>
  <c r="AY29" i="21415"/>
  <c r="BA29" i="21415" s="1"/>
  <c r="AZ28" i="21415"/>
  <c r="BB28" i="21415" s="1"/>
  <c r="AZ27" i="21415"/>
  <c r="BB27" i="21415" s="1"/>
  <c r="AY27" i="21415"/>
  <c r="BA27" i="21415" s="1"/>
  <c r="AZ26" i="21415"/>
  <c r="BB26" i="21415" s="1"/>
  <c r="AZ25" i="21415"/>
  <c r="BB25" i="21415" s="1"/>
  <c r="AY25" i="21415"/>
  <c r="BA25" i="21415" s="1"/>
  <c r="AZ24" i="21415"/>
  <c r="BB24" i="21415" s="1"/>
  <c r="AZ23" i="21415"/>
  <c r="BB23" i="21415" s="1"/>
  <c r="AY23" i="21415"/>
  <c r="BA23" i="21415" s="1"/>
  <c r="AZ22" i="21415"/>
  <c r="BB22" i="21415" s="1"/>
  <c r="AZ21" i="21415"/>
  <c r="BB21" i="21415" s="1"/>
  <c r="AY21" i="21415"/>
  <c r="BA21" i="21415" s="1"/>
  <c r="AZ20" i="21415"/>
  <c r="AZ18" i="21415"/>
  <c r="AY17" i="21415"/>
  <c r="AZ16" i="21415"/>
  <c r="AZ15" i="21415"/>
  <c r="AY15" i="21415"/>
  <c r="AZ14" i="21415"/>
  <c r="AY13" i="21415"/>
  <c r="AZ12" i="21415"/>
  <c r="AZ11" i="21415"/>
  <c r="AY11" i="21415"/>
  <c r="AZ10" i="21415"/>
  <c r="AY9" i="21415"/>
  <c r="AZ8" i="21415"/>
  <c r="AZ7" i="21415"/>
  <c r="AY7" i="21415"/>
  <c r="AZ6" i="21415"/>
  <c r="AZ35" i="21399"/>
  <c r="AY35" i="21399"/>
  <c r="AY33" i="21399"/>
  <c r="AZ32" i="21399"/>
  <c r="AZ31" i="21399"/>
  <c r="AY31" i="21399"/>
  <c r="AZ30" i="21399"/>
  <c r="AZ29" i="21399"/>
  <c r="AY29" i="21399"/>
  <c r="AZ28" i="21399"/>
  <c r="AZ27" i="21399"/>
  <c r="AY27" i="21399"/>
  <c r="AZ26" i="21399"/>
  <c r="AZ25" i="21399"/>
  <c r="AY25" i="21399"/>
  <c r="AZ24" i="21399"/>
  <c r="AZ23" i="21399"/>
  <c r="AY23" i="21399"/>
  <c r="AZ22" i="21399"/>
  <c r="AZ21" i="21399"/>
  <c r="AY21" i="21399"/>
  <c r="AZ20" i="21399"/>
  <c r="AZ19" i="21399"/>
  <c r="AY19" i="21399"/>
  <c r="AZ18" i="21399"/>
  <c r="AZ17" i="21399"/>
  <c r="AY17" i="21399"/>
  <c r="AZ16" i="21399"/>
  <c r="AZ15" i="21399"/>
  <c r="AY15" i="21399"/>
  <c r="AZ14" i="21399"/>
  <c r="AZ13" i="21399"/>
  <c r="AY13" i="21399"/>
  <c r="AY11" i="21399"/>
  <c r="AY5" i="21400" s="1"/>
  <c r="AZ10" i="21399"/>
  <c r="AZ35" i="21400"/>
  <c r="AY35" i="21400"/>
  <c r="AZ34" i="21400"/>
  <c r="AY33" i="21400"/>
  <c r="AZ32" i="21400"/>
  <c r="AZ31" i="21400"/>
  <c r="AY31" i="21400"/>
  <c r="AZ30" i="21400"/>
  <c r="AY29" i="21400"/>
  <c r="AZ28" i="21400"/>
  <c r="AZ27" i="21400"/>
  <c r="AY27" i="21400"/>
  <c r="AZ26" i="21400"/>
  <c r="AZ25" i="21400"/>
  <c r="AY25" i="21400"/>
  <c r="AZ24" i="21400"/>
  <c r="AY23" i="21400"/>
  <c r="AZ22" i="21400"/>
  <c r="AZ21" i="21400"/>
  <c r="AY21" i="21400"/>
  <c r="AZ20" i="21400"/>
  <c r="AZ19" i="21400"/>
  <c r="AY19" i="21400"/>
  <c r="AZ18" i="21400"/>
  <c r="AY17" i="21400"/>
  <c r="AZ16" i="21400"/>
  <c r="AY16" i="21400"/>
  <c r="AY15" i="21400"/>
  <c r="AZ14" i="21400"/>
  <c r="AZ13" i="21400"/>
  <c r="AY13" i="21400"/>
  <c r="AY55" i="21413"/>
  <c r="AZ54" i="21413"/>
  <c r="AZ53" i="21413"/>
  <c r="AY53" i="21413"/>
  <c r="AZ52" i="21413"/>
  <c r="AY51" i="21413"/>
  <c r="AZ50" i="21413"/>
  <c r="AZ49" i="21413"/>
  <c r="AY49" i="21413"/>
  <c r="AZ48" i="21413"/>
  <c r="AZ47" i="21413"/>
  <c r="AY47" i="21413"/>
  <c r="AZ46" i="21413"/>
  <c r="AZ45" i="21413"/>
  <c r="AY45" i="21413"/>
  <c r="AZ44" i="21413"/>
  <c r="AZ43" i="21413"/>
  <c r="AY43" i="21413"/>
  <c r="AZ42" i="21413"/>
  <c r="AY41" i="21413"/>
  <c r="AZ40" i="21413"/>
  <c r="AZ39" i="21413"/>
  <c r="AY39" i="21413"/>
  <c r="AZ38" i="21413"/>
  <c r="AY38" i="21413"/>
  <c r="AZ37" i="21413"/>
  <c r="AY37" i="21413"/>
  <c r="AZ36" i="21413"/>
  <c r="AY36" i="21413"/>
  <c r="AZ35" i="21413"/>
  <c r="AY35" i="21413"/>
  <c r="AZ34" i="21413"/>
  <c r="AY34" i="21413"/>
  <c r="AZ33" i="21413"/>
  <c r="AY33" i="21413"/>
  <c r="AZ32" i="21413"/>
  <c r="AY32" i="21413"/>
  <c r="AZ31" i="21413"/>
  <c r="AY31" i="21413"/>
  <c r="AZ30" i="21413"/>
  <c r="AY30" i="21413"/>
  <c r="AZ29" i="21413"/>
  <c r="AY29" i="21413"/>
  <c r="AZ28" i="21413"/>
  <c r="AY28" i="21413"/>
  <c r="AZ27" i="21413"/>
  <c r="AY27" i="21413"/>
  <c r="AZ26" i="21413"/>
  <c r="AY26" i="21413"/>
  <c r="AZ25" i="21413"/>
  <c r="AY25" i="21413"/>
  <c r="AZ24" i="21413"/>
  <c r="AY24" i="21413"/>
  <c r="AZ23" i="21413"/>
  <c r="AY23" i="21413"/>
  <c r="AZ22" i="21413"/>
  <c r="AY22" i="21413"/>
  <c r="AZ21" i="21413"/>
  <c r="AY21" i="21413"/>
  <c r="AZ20" i="21413"/>
  <c r="AZ19" i="21413"/>
  <c r="AY19" i="21413"/>
  <c r="AZ18" i="21413"/>
  <c r="AY18" i="21413"/>
  <c r="AZ17" i="21413"/>
  <c r="AY17" i="21413"/>
  <c r="AZ16" i="21413"/>
  <c r="AY15" i="21413"/>
  <c r="AZ14" i="21413"/>
  <c r="AZ13" i="21413"/>
  <c r="AY13" i="21413"/>
  <c r="AZ12" i="21413"/>
  <c r="AZ11" i="21413"/>
  <c r="AY11" i="21413"/>
  <c r="AZ10" i="21413"/>
  <c r="AY9" i="21413"/>
  <c r="AZ8" i="21413"/>
  <c r="AZ7" i="21413"/>
  <c r="AY7" i="21413"/>
  <c r="AZ6" i="21413"/>
  <c r="BB6" i="21413" s="1"/>
  <c r="AZ39" i="108"/>
  <c r="AY39" i="108"/>
  <c r="AZ38" i="108"/>
  <c r="AZ37" i="108"/>
  <c r="AY37" i="108"/>
  <c r="AZ36" i="108"/>
  <c r="AY35" i="108"/>
  <c r="AZ34" i="108"/>
  <c r="AY33" i="108"/>
  <c r="AZ31" i="108"/>
  <c r="AY31" i="108"/>
  <c r="AZ30" i="108"/>
  <c r="AY29" i="108"/>
  <c r="AZ28" i="108"/>
  <c r="AZ27" i="108"/>
  <c r="AY27" i="108"/>
  <c r="AZ26" i="108"/>
  <c r="AZ25" i="108"/>
  <c r="AY25" i="108"/>
  <c r="AZ24" i="108"/>
  <c r="AY23" i="108"/>
  <c r="AZ22" i="108"/>
  <c r="AZ21" i="108"/>
  <c r="AY21" i="108"/>
  <c r="AZ20" i="108"/>
  <c r="AZ19" i="108"/>
  <c r="AY19" i="108"/>
  <c r="AZ18" i="108"/>
  <c r="AZ17" i="108"/>
  <c r="AY17" i="108"/>
  <c r="AZ16" i="108"/>
  <c r="AZ15" i="108"/>
  <c r="AY15" i="108"/>
  <c r="AZ14" i="108"/>
  <c r="AY13" i="108"/>
  <c r="AZ12" i="108"/>
  <c r="AZ11" i="108"/>
  <c r="AY11" i="108"/>
  <c r="AZ74" i="3"/>
  <c r="AY74" i="3"/>
  <c r="AZ73" i="3"/>
  <c r="AZ72" i="3"/>
  <c r="AY72" i="3"/>
  <c r="AZ71" i="3"/>
  <c r="AZ70" i="3"/>
  <c r="AY70" i="3"/>
  <c r="AZ69" i="3"/>
  <c r="AZ68" i="3"/>
  <c r="AY68" i="3"/>
  <c r="AZ67" i="3"/>
  <c r="AZ66" i="3"/>
  <c r="AY66" i="3"/>
  <c r="AZ65" i="3"/>
  <c r="AY64" i="3"/>
  <c r="AZ63" i="3"/>
  <c r="AZ62" i="3"/>
  <c r="AY62" i="3"/>
  <c r="AZ61" i="3"/>
  <c r="AZ60" i="3"/>
  <c r="AY60" i="3"/>
  <c r="AZ59" i="3"/>
  <c r="AY58" i="3"/>
  <c r="AZ57" i="3"/>
  <c r="AZ56" i="3"/>
  <c r="AY56" i="3"/>
  <c r="AZ55" i="3"/>
  <c r="AZ54" i="3"/>
  <c r="AY54" i="3"/>
  <c r="AZ53" i="3"/>
  <c r="AZ52" i="3"/>
  <c r="AY52" i="3"/>
  <c r="AZ51" i="3"/>
  <c r="AY50" i="3"/>
  <c r="AZ49" i="3"/>
  <c r="AY48" i="3"/>
  <c r="AZ47" i="3"/>
  <c r="AZ46" i="3"/>
  <c r="AY46" i="3"/>
  <c r="AZ45" i="3"/>
  <c r="AZ44" i="3"/>
  <c r="AY44" i="3"/>
  <c r="AZ43" i="3"/>
  <c r="AZ42" i="3"/>
  <c r="AY42" i="3"/>
  <c r="AZ41" i="3"/>
  <c r="AY41" i="3"/>
  <c r="AZ40" i="3"/>
  <c r="AY40" i="3"/>
  <c r="AZ39" i="3"/>
  <c r="AY39" i="3"/>
  <c r="AZ38" i="3"/>
  <c r="AY38" i="3"/>
  <c r="AZ37" i="3"/>
  <c r="AY37" i="3"/>
  <c r="AZ36" i="3"/>
  <c r="AY36" i="3"/>
  <c r="AZ35" i="3"/>
  <c r="AY35" i="3"/>
  <c r="AZ34" i="3"/>
  <c r="AY34" i="3"/>
  <c r="AZ33" i="3"/>
  <c r="AY33" i="3"/>
  <c r="AZ32" i="3"/>
  <c r="AY32" i="3"/>
  <c r="AZ31" i="3"/>
  <c r="AY31" i="3"/>
  <c r="AZ30" i="3"/>
  <c r="AY30" i="3"/>
  <c r="AZ29" i="3"/>
  <c r="AY29" i="3"/>
  <c r="AZ28" i="3"/>
  <c r="AY28" i="3"/>
  <c r="AZ27" i="3"/>
  <c r="AY27" i="3"/>
  <c r="AZ26" i="3"/>
  <c r="AY26" i="3"/>
  <c r="AZ25" i="3"/>
  <c r="AY25" i="3"/>
  <c r="AZ24" i="3"/>
  <c r="AY24" i="3"/>
  <c r="AZ23" i="3"/>
  <c r="AY23" i="3"/>
  <c r="AZ22" i="3"/>
  <c r="AY22" i="3"/>
  <c r="AZ21" i="3"/>
  <c r="AY21" i="3"/>
  <c r="AZ20" i="3"/>
  <c r="AY20" i="3"/>
  <c r="AZ19" i="3"/>
  <c r="AY19" i="3"/>
  <c r="AZ18" i="3"/>
  <c r="AY18" i="3"/>
  <c r="AZ17" i="3"/>
  <c r="AY17" i="3"/>
  <c r="AZ16" i="3"/>
  <c r="AY16" i="3"/>
  <c r="AZ15" i="3"/>
  <c r="AY15" i="3"/>
  <c r="AZ14" i="3"/>
  <c r="AY14" i="3"/>
  <c r="AZ13" i="3"/>
  <c r="AZ12" i="3"/>
  <c r="AY12" i="3"/>
  <c r="AZ11" i="3"/>
  <c r="AZ10" i="3"/>
  <c r="AY10" i="3"/>
  <c r="AZ9" i="3"/>
  <c r="AZ8" i="3"/>
  <c r="AY8" i="3"/>
  <c r="AZ7" i="3"/>
  <c r="AZ6" i="3"/>
  <c r="AY6" i="3"/>
  <c r="AZ5" i="3"/>
  <c r="AY1271" i="21398"/>
  <c r="AZ1270" i="21398"/>
  <c r="AZ1269" i="21398"/>
  <c r="BB1269" i="21398" s="1"/>
  <c r="AZ1268" i="21398"/>
  <c r="BB1268" i="21398" s="1"/>
  <c r="AZ1266" i="21398"/>
  <c r="AZ1264" i="21398"/>
  <c r="AZ1263" i="21398"/>
  <c r="AZ1262" i="21398"/>
  <c r="AZ1261" i="21398"/>
  <c r="AZ1260" i="21398"/>
  <c r="AZ1259" i="21398"/>
  <c r="AZ1258" i="21398"/>
  <c r="AZ1257" i="21398"/>
  <c r="AZ1256" i="21398"/>
  <c r="AZ1255" i="21398"/>
  <c r="BB1255" i="21398" s="1"/>
  <c r="AZ1254" i="21398"/>
  <c r="BB1254" i="21398" s="1"/>
  <c r="AZ1253" i="21398"/>
  <c r="BB1253" i="21398" s="1"/>
  <c r="AZ1252" i="21398"/>
  <c r="AZ1250" i="21398"/>
  <c r="AZ1249" i="21398"/>
  <c r="AY1249" i="21398"/>
  <c r="AZ1248" i="21398"/>
  <c r="AZ1247" i="21398"/>
  <c r="AY1247" i="21398"/>
  <c r="AZ1246" i="21398"/>
  <c r="AZ1245" i="21398"/>
  <c r="AY1245" i="21398"/>
  <c r="AZ1244" i="21398"/>
  <c r="AZ1243" i="21398"/>
  <c r="AY1243" i="21398"/>
  <c r="AZ1242" i="21398"/>
  <c r="AY1241" i="21398"/>
  <c r="AZ1240" i="21398"/>
  <c r="AZ1239" i="21398"/>
  <c r="AY1239" i="21398"/>
  <c r="AZ1238" i="21398"/>
  <c r="AZ1237" i="21398"/>
  <c r="AY1237" i="21398"/>
  <c r="AZ1236" i="21398"/>
  <c r="AY1235" i="21398"/>
  <c r="AZ1234" i="21398"/>
  <c r="AZ1233" i="21398"/>
  <c r="AY1233" i="21398"/>
  <c r="AZ1232" i="21398"/>
  <c r="AZ1231" i="21398"/>
  <c r="AY1231" i="21398"/>
  <c r="AZ1230" i="21398"/>
  <c r="AZ1229" i="21398"/>
  <c r="AY1229" i="21398"/>
  <c r="AZ1228" i="21398"/>
  <c r="AZ1227" i="21398"/>
  <c r="AY1227" i="21398"/>
  <c r="AZ1226" i="21398"/>
  <c r="AZ1225" i="21398"/>
  <c r="AY1225" i="21398"/>
  <c r="AZ1224" i="21398"/>
  <c r="AZ1223" i="21398"/>
  <c r="AY1223" i="21398"/>
  <c r="AZ1222" i="21398"/>
  <c r="AY1221" i="21398"/>
  <c r="AZ1220" i="21398"/>
  <c r="AZ1215" i="21398"/>
  <c r="AY1215" i="21398"/>
  <c r="AZ1214" i="21398"/>
  <c r="AZ1213" i="21398"/>
  <c r="AY1213" i="21398"/>
  <c r="AZ1212" i="21398"/>
  <c r="AZ1211" i="21398"/>
  <c r="AY1211" i="21398"/>
  <c r="AZ1210" i="21398"/>
  <c r="AY1209" i="21398"/>
  <c r="AZ1208" i="21398"/>
  <c r="AZ1207" i="21398"/>
  <c r="AY1207" i="21398"/>
  <c r="AZ1206" i="21398"/>
  <c r="AZ1205" i="21398"/>
  <c r="AY1205" i="21398"/>
  <c r="AZ1204" i="21398"/>
  <c r="AZ1203" i="21398"/>
  <c r="AY1203" i="21398"/>
  <c r="AZ1202" i="21398"/>
  <c r="AY1201" i="21398"/>
  <c r="AZ1200" i="21398"/>
  <c r="AZ1199" i="21398"/>
  <c r="AY1199" i="21398"/>
  <c r="AZ1198" i="21398"/>
  <c r="AZ1197" i="21398"/>
  <c r="AY1197" i="21398"/>
  <c r="AZ1196" i="21398"/>
  <c r="AZ1195" i="21398"/>
  <c r="AY1195" i="21398"/>
  <c r="AZ1194" i="21398"/>
  <c r="AZ1193" i="21398"/>
  <c r="AY1193" i="21398"/>
  <c r="AZ1192" i="21398"/>
  <c r="AZ1191" i="21398"/>
  <c r="AY1191" i="21398"/>
  <c r="AZ1190" i="21398"/>
  <c r="AZ1189" i="21398"/>
  <c r="AY1189" i="21398"/>
  <c r="AZ1188" i="21398"/>
  <c r="AY1188" i="21398"/>
  <c r="AZ1187" i="21398"/>
  <c r="AY1187" i="21398"/>
  <c r="AZ1186" i="21398"/>
  <c r="AY1186" i="21398"/>
  <c r="AZ1185" i="21398"/>
  <c r="AY1185" i="21398"/>
  <c r="AZ1184" i="21398"/>
  <c r="AZ1183" i="21398"/>
  <c r="AY1183" i="21398"/>
  <c r="AZ1182" i="21398"/>
  <c r="AY1181" i="21398"/>
  <c r="AZ1180" i="21398"/>
  <c r="AZ1179" i="21398"/>
  <c r="AY1179" i="21398"/>
  <c r="AZ1178" i="21398"/>
  <c r="AY1177" i="21398"/>
  <c r="AZ1176" i="21398"/>
  <c r="AZ1175" i="21398"/>
  <c r="AY1175" i="21398"/>
  <c r="AZ1174" i="21398"/>
  <c r="AY1173" i="21398"/>
  <c r="AZ1172" i="21398"/>
  <c r="AY1172" i="21398"/>
  <c r="AZ1171" i="21398"/>
  <c r="AY1171" i="21398"/>
  <c r="AZ1170" i="21398"/>
  <c r="AY1170" i="21398"/>
  <c r="AZ1169" i="21398"/>
  <c r="AY1169" i="21398"/>
  <c r="AZ1168" i="21398"/>
  <c r="AY1168" i="21398"/>
  <c r="AZ1167" i="21398"/>
  <c r="AY1167" i="21398"/>
  <c r="AZ1166" i="21398"/>
  <c r="AY1166" i="21398"/>
  <c r="AZ1165" i="21398"/>
  <c r="AY1165" i="21398"/>
  <c r="AZ1164" i="21398"/>
  <c r="AY1164" i="21398"/>
  <c r="AZ1163" i="21398"/>
  <c r="AY1163" i="21398"/>
  <c r="AZ1162" i="21398"/>
  <c r="AY1162" i="21398"/>
  <c r="AZ1161" i="21398"/>
  <c r="AY1161" i="21398"/>
  <c r="AZ1160" i="21398"/>
  <c r="AY1160" i="21398"/>
  <c r="AZ1159" i="21398"/>
  <c r="AY1159" i="21398"/>
  <c r="AZ1158" i="21398"/>
  <c r="AY1158" i="21398"/>
  <c r="AZ1157" i="21398"/>
  <c r="AY1157" i="21398"/>
  <c r="AZ1156" i="21398"/>
  <c r="AY1156" i="21398"/>
  <c r="AZ1155" i="21398"/>
  <c r="AY1155" i="21398"/>
  <c r="AZ1154" i="21398"/>
  <c r="AY1154" i="21398"/>
  <c r="AZ1153" i="21398"/>
  <c r="AY1153" i="21398"/>
  <c r="AZ1152" i="21398"/>
  <c r="AY1152" i="21398"/>
  <c r="AZ1151" i="21398"/>
  <c r="AY1151" i="21398"/>
  <c r="AZ1150" i="21398"/>
  <c r="AY1150" i="21398"/>
  <c r="AZ1149" i="21398"/>
  <c r="AY1149" i="21398"/>
  <c r="AZ1148" i="21398"/>
  <c r="AY1148" i="21398"/>
  <c r="AZ1147" i="21398"/>
  <c r="AY1147" i="21398"/>
  <c r="AZ1146" i="21398"/>
  <c r="AY1146" i="21398"/>
  <c r="AZ1145" i="21398"/>
  <c r="AY1145" i="21398"/>
  <c r="AZ1144" i="21398"/>
  <c r="AY1144" i="21398"/>
  <c r="AZ1143" i="21398"/>
  <c r="AY1143" i="21398"/>
  <c r="AZ1142" i="21398"/>
  <c r="AY1142" i="21398"/>
  <c r="AZ1141" i="21398"/>
  <c r="AY1141" i="21398"/>
  <c r="AZ1140" i="21398"/>
  <c r="AY1140" i="21398"/>
  <c r="AZ1139" i="21398"/>
  <c r="AY1139" i="21398"/>
  <c r="AZ1138" i="21398"/>
  <c r="AY1138" i="21398"/>
  <c r="AZ1137" i="21398"/>
  <c r="AY1137" i="21398"/>
  <c r="AZ1136" i="21398"/>
  <c r="AY1136" i="21398"/>
  <c r="AZ1131" i="21398"/>
  <c r="AY1131" i="21398"/>
  <c r="AY1129" i="21398"/>
  <c r="AZ1128" i="21398"/>
  <c r="AZ1127" i="21398"/>
  <c r="AY1127" i="21398"/>
  <c r="AZ1126" i="21398"/>
  <c r="AZ1125" i="21398"/>
  <c r="AY1125" i="21398"/>
  <c r="AZ1124" i="21398"/>
  <c r="AZ1123" i="21398"/>
  <c r="AY1123" i="21398"/>
  <c r="AZ1122" i="21398"/>
  <c r="AY1121" i="21398"/>
  <c r="AZ1120" i="21398"/>
  <c r="AZ1119" i="21398"/>
  <c r="AY1119" i="21398"/>
  <c r="AZ1118" i="21398"/>
  <c r="AZ1117" i="21398"/>
  <c r="AY1117" i="21398"/>
  <c r="AZ1116" i="21398"/>
  <c r="AZ1115" i="21398"/>
  <c r="AY1115" i="21398"/>
  <c r="AZ1114" i="21398"/>
  <c r="AZ1113" i="21398"/>
  <c r="AY1113" i="21398"/>
  <c r="AZ1112" i="21398"/>
  <c r="AZ1111" i="21398"/>
  <c r="AY1111" i="21398"/>
  <c r="AZ1110" i="21398"/>
  <c r="AY1109" i="21398"/>
  <c r="AZ1108" i="21398"/>
  <c r="AZ1107" i="21398"/>
  <c r="AY1107" i="21398"/>
  <c r="AZ1106" i="21398"/>
  <c r="AZ1105" i="21398"/>
  <c r="AY1105" i="21398"/>
  <c r="AZ1104" i="21398"/>
  <c r="AY1103" i="21398"/>
  <c r="AZ1102" i="21398"/>
  <c r="AZ1101" i="21398"/>
  <c r="AY1101" i="21398"/>
  <c r="AZ1100" i="21398"/>
  <c r="AZ1099" i="21398"/>
  <c r="AY1099" i="21398"/>
  <c r="AZ1098" i="21398"/>
  <c r="AZ1097" i="21398"/>
  <c r="AY1097" i="21398"/>
  <c r="AZ1096" i="21398"/>
  <c r="AZ1095" i="21398"/>
  <c r="AY1095" i="21398"/>
  <c r="AZ1094" i="21398"/>
  <c r="AZ1093" i="21398"/>
  <c r="AY1093" i="21398"/>
  <c r="AZ1092" i="21398"/>
  <c r="AY1091" i="21398"/>
  <c r="AZ1090" i="21398"/>
  <c r="AY1089" i="21398"/>
  <c r="AZ1088" i="21398"/>
  <c r="AY1087" i="21398"/>
  <c r="AZ1086" i="21398"/>
  <c r="AZ1085" i="21398"/>
  <c r="AY1085" i="21398"/>
  <c r="AZ1084" i="21398"/>
  <c r="AY1083" i="21398"/>
  <c r="AZ1082" i="21398"/>
  <c r="AZ1081" i="21398"/>
  <c r="AY1081" i="21398"/>
  <c r="AZ1080" i="21398"/>
  <c r="AZ1079" i="21398"/>
  <c r="AY1079" i="21398"/>
  <c r="AZ1078" i="21398"/>
  <c r="AZ1077" i="21398"/>
  <c r="AY1077" i="21398"/>
  <c r="AZ1076" i="21398"/>
  <c r="AZ1075" i="21398"/>
  <c r="AY1075" i="21398"/>
  <c r="AZ1074" i="21398"/>
  <c r="AZ1073" i="21398"/>
  <c r="AY1073" i="21398"/>
  <c r="AZ1072" i="21398"/>
  <c r="AY1071" i="21398"/>
  <c r="AZ1070" i="21398"/>
  <c r="AZ1069" i="21398"/>
  <c r="AY1069" i="21398"/>
  <c r="AZ1068" i="21398"/>
  <c r="AZ1067" i="21398"/>
  <c r="AY1067" i="21398"/>
  <c r="AZ1066" i="21398"/>
  <c r="AY1065" i="21398"/>
  <c r="AZ1064" i="21398"/>
  <c r="AZ1063" i="21398"/>
  <c r="AY1063" i="21398"/>
  <c r="AZ1062" i="21398"/>
  <c r="AZ1061" i="21398"/>
  <c r="AY1061" i="21398"/>
  <c r="AZ1060" i="21398"/>
  <c r="AZ1059" i="21398"/>
  <c r="AY1059" i="21398"/>
  <c r="AZ1058" i="21398"/>
  <c r="AZ1057" i="21398"/>
  <c r="AY1057" i="21398"/>
  <c r="AZ1056" i="21398"/>
  <c r="AZ1055" i="21398"/>
  <c r="AY1055" i="21398"/>
  <c r="AZ1054" i="21398"/>
  <c r="AY1053" i="21398"/>
  <c r="AZ1052" i="21398"/>
  <c r="AZ1051" i="21398"/>
  <c r="AY1051" i="21398"/>
  <c r="AZ1050" i="21398"/>
  <c r="AZ1049" i="21398"/>
  <c r="AY1049" i="21398"/>
  <c r="AZ1048" i="21398"/>
  <c r="AZ1047" i="21398"/>
  <c r="AY1047" i="21398"/>
  <c r="AZ1046" i="21398"/>
  <c r="AY1045" i="21398"/>
  <c r="AZ1044" i="21398"/>
  <c r="AZ1043" i="21398"/>
  <c r="AY1043" i="21398"/>
  <c r="AZ1042" i="21398"/>
  <c r="AZ1041" i="21398"/>
  <c r="AY1041" i="21398"/>
  <c r="AZ1040" i="21398"/>
  <c r="AZ1039" i="21398"/>
  <c r="AY1039" i="21398"/>
  <c r="AZ1038" i="21398"/>
  <c r="AZ1037" i="21398"/>
  <c r="AY1037" i="21398"/>
  <c r="AZ1036" i="21398"/>
  <c r="AZ1035" i="21398"/>
  <c r="AY1035" i="21398"/>
  <c r="AZ1034" i="21398"/>
  <c r="AY1033" i="21398"/>
  <c r="AZ1032" i="21398"/>
  <c r="AZ1031" i="21398"/>
  <c r="AY1031" i="21398"/>
  <c r="AZ1030" i="21398"/>
  <c r="AZ1029" i="21398"/>
  <c r="AY1029" i="21398"/>
  <c r="AZ1028" i="21398"/>
  <c r="AY1027" i="21398"/>
  <c r="AZ1026" i="21398"/>
  <c r="AZ1025" i="21398"/>
  <c r="AY1025" i="21398"/>
  <c r="AZ1024" i="21398"/>
  <c r="AZ1023" i="21398"/>
  <c r="AY1023" i="21398"/>
  <c r="AZ1022" i="21398"/>
  <c r="AZ1021" i="21398"/>
  <c r="AY1021" i="21398"/>
  <c r="AZ1020" i="21398"/>
  <c r="AZ1019" i="21398"/>
  <c r="AY1019" i="21398"/>
  <c r="AZ1018" i="21398"/>
  <c r="AZ1017" i="21398"/>
  <c r="AY1017" i="21398"/>
  <c r="AZ1016" i="21398"/>
  <c r="AZ1015" i="21398"/>
  <c r="AY1015" i="21398"/>
  <c r="AZ1014" i="21398"/>
  <c r="AY1013" i="21398"/>
  <c r="AZ1012" i="21398"/>
  <c r="AZ1011" i="21398"/>
  <c r="AY1011" i="21398"/>
  <c r="AZ1010" i="21398"/>
  <c r="AY1009" i="21398"/>
  <c r="AZ1008" i="21398"/>
  <c r="AY1007" i="21398"/>
  <c r="AZ1006" i="21398"/>
  <c r="AY1005" i="21398"/>
  <c r="AZ1004" i="21398"/>
  <c r="AZ1003" i="21398"/>
  <c r="AY1003" i="21398"/>
  <c r="AZ1002" i="21398"/>
  <c r="AZ1001" i="21398"/>
  <c r="AY1001" i="21398"/>
  <c r="AZ1000" i="21398"/>
  <c r="AZ999" i="21398"/>
  <c r="AY999" i="21398"/>
  <c r="AZ998" i="21398"/>
  <c r="AZ997" i="21398"/>
  <c r="AY997" i="21398"/>
  <c r="AZ996" i="21398"/>
  <c r="AZ995" i="21398"/>
  <c r="AY995" i="21398"/>
  <c r="AZ994" i="21398"/>
  <c r="AY993" i="21398"/>
  <c r="AZ992" i="21398"/>
  <c r="AZ991" i="21398"/>
  <c r="AY991" i="21398"/>
  <c r="AZ990" i="21398"/>
  <c r="AZ989" i="21398"/>
  <c r="AY989" i="21398"/>
  <c r="AZ988" i="21398"/>
  <c r="AY987" i="21398"/>
  <c r="AZ986" i="21398"/>
  <c r="AZ985" i="21398"/>
  <c r="AY985" i="21398"/>
  <c r="AZ984" i="21398"/>
  <c r="AZ983" i="21398"/>
  <c r="AY983" i="21398"/>
  <c r="AZ982" i="21398"/>
  <c r="AZ981" i="21398"/>
  <c r="AY981" i="21398"/>
  <c r="AZ980" i="21398"/>
  <c r="AZ979" i="21398"/>
  <c r="AY979" i="21398"/>
  <c r="AZ978" i="21398"/>
  <c r="AZ977" i="21398"/>
  <c r="AY977" i="21398"/>
  <c r="AZ976" i="21398"/>
  <c r="AY975" i="21398"/>
  <c r="AZ974" i="21398"/>
  <c r="AZ973" i="21398"/>
  <c r="AY973" i="21398"/>
  <c r="AZ972" i="21398"/>
  <c r="AZ971" i="21398"/>
  <c r="AY971" i="21398"/>
  <c r="AZ970" i="21398"/>
  <c r="AZ969" i="21398"/>
  <c r="AY969" i="21398"/>
  <c r="AZ968" i="21398"/>
  <c r="AY967" i="21398"/>
  <c r="AZ966" i="21398"/>
  <c r="AZ965" i="21398"/>
  <c r="AY965" i="21398"/>
  <c r="AZ964" i="21398"/>
  <c r="AZ963" i="21398"/>
  <c r="AY963" i="21398"/>
  <c r="AZ962" i="21398"/>
  <c r="AZ961" i="21398"/>
  <c r="AY961" i="21398"/>
  <c r="AZ960" i="21398"/>
  <c r="AY959" i="21398"/>
  <c r="AZ958" i="21398"/>
  <c r="AZ957" i="21398"/>
  <c r="AY957" i="21398"/>
  <c r="AZ956" i="21398"/>
  <c r="AZ955" i="21398"/>
  <c r="AY955" i="21398"/>
  <c r="AZ954" i="21398"/>
  <c r="AY953" i="21398"/>
  <c r="AZ952" i="21398"/>
  <c r="AY951" i="21398"/>
  <c r="AZ950" i="21398"/>
  <c r="AZ949" i="21398"/>
  <c r="AY949" i="21398"/>
  <c r="AZ948" i="21398"/>
  <c r="AY948" i="21398"/>
  <c r="AZ947" i="21398"/>
  <c r="AY947" i="21398"/>
  <c r="AZ946" i="21398"/>
  <c r="AY946" i="21398"/>
  <c r="AZ945" i="21398"/>
  <c r="AY945" i="21398"/>
  <c r="AZ944" i="21398"/>
  <c r="AZ943" i="21398"/>
  <c r="AY943" i="21398"/>
  <c r="AZ942" i="21398"/>
  <c r="AZ941" i="21398"/>
  <c r="AY941" i="21398"/>
  <c r="AZ940" i="21398"/>
  <c r="AY939" i="21398"/>
  <c r="AZ937" i="21398"/>
  <c r="AY937" i="21398"/>
  <c r="AZ936" i="21398"/>
  <c r="AZ935" i="21398"/>
  <c r="AY935" i="21398"/>
  <c r="AZ934" i="21398"/>
  <c r="AY933" i="21398"/>
  <c r="AZ932" i="21398"/>
  <c r="AY932" i="21398"/>
  <c r="AZ931" i="21398"/>
  <c r="AY931" i="21398"/>
  <c r="AZ930" i="21398"/>
  <c r="AY929" i="21398"/>
  <c r="AZ928" i="21398"/>
  <c r="AY928" i="21398"/>
  <c r="AZ927" i="21398"/>
  <c r="AY927" i="21398"/>
  <c r="AZ926" i="21398"/>
  <c r="AY926" i="21398"/>
  <c r="AZ925" i="21398"/>
  <c r="AY925" i="21398"/>
  <c r="AZ924" i="21398"/>
  <c r="AY924" i="21398"/>
  <c r="AZ923" i="21398"/>
  <c r="AY923" i="21398"/>
  <c r="AZ922" i="21398"/>
  <c r="AY922" i="21398"/>
  <c r="AZ921" i="21398"/>
  <c r="AY921" i="21398"/>
  <c r="AZ920" i="21398"/>
  <c r="AY920" i="21398"/>
  <c r="AZ919" i="21398"/>
  <c r="AY919" i="21398"/>
  <c r="AZ918" i="21398"/>
  <c r="AY918" i="21398"/>
  <c r="AZ917" i="21398"/>
  <c r="AY917" i="21398"/>
  <c r="AZ916" i="21398"/>
  <c r="AY916" i="21398"/>
  <c r="AZ915" i="21398"/>
  <c r="AY915" i="21398"/>
  <c r="AZ914" i="21398"/>
  <c r="AY914" i="21398"/>
  <c r="AZ913" i="21398"/>
  <c r="AY913" i="21398"/>
  <c r="AZ912" i="21398"/>
  <c r="AY912" i="21398"/>
  <c r="AZ911" i="21398"/>
  <c r="AY911" i="21398"/>
  <c r="AZ910" i="21398"/>
  <c r="AY910" i="21398"/>
  <c r="AZ909" i="21398"/>
  <c r="AY909" i="21398"/>
  <c r="AZ908" i="21398"/>
  <c r="AY908" i="21398"/>
  <c r="AZ907" i="21398"/>
  <c r="AY907" i="21398"/>
  <c r="AZ906" i="21398"/>
  <c r="AY906" i="21398"/>
  <c r="AZ905" i="21398"/>
  <c r="AY905" i="21398"/>
  <c r="AZ904" i="21398"/>
  <c r="AY904" i="21398"/>
  <c r="AZ903" i="21398"/>
  <c r="AY903" i="21398"/>
  <c r="AZ901" i="21398"/>
  <c r="AY901" i="21398"/>
  <c r="AZ900" i="21398"/>
  <c r="AY900" i="21398"/>
  <c r="AZ899" i="21398"/>
  <c r="AY899" i="21398"/>
  <c r="AZ898" i="21398"/>
  <c r="AY898" i="21398"/>
  <c r="AZ897" i="21398"/>
  <c r="AY897" i="21398"/>
  <c r="AZ896" i="21398"/>
  <c r="AY895" i="21398"/>
  <c r="AZ894" i="21398"/>
  <c r="AZ870" i="21398"/>
  <c r="AY869" i="21398"/>
  <c r="AZ868" i="21398"/>
  <c r="AZ867" i="21398"/>
  <c r="AY867" i="21398"/>
  <c r="AZ866" i="21398"/>
  <c r="AZ865" i="21398"/>
  <c r="AY865" i="21398"/>
  <c r="AZ864" i="21398"/>
  <c r="AZ863" i="21398"/>
  <c r="AY863" i="21398"/>
  <c r="AZ862" i="21398"/>
  <c r="AZ861" i="21398"/>
  <c r="AY861" i="21398"/>
  <c r="AZ860" i="21398"/>
  <c r="AY859" i="21398"/>
  <c r="AZ858" i="21398"/>
  <c r="AZ857" i="21398"/>
  <c r="AY857" i="21398"/>
  <c r="AZ856" i="21398"/>
  <c r="AZ855" i="21398"/>
  <c r="AY855" i="21398"/>
  <c r="AZ854" i="21398"/>
  <c r="AZ853" i="21398"/>
  <c r="AY853" i="21398"/>
  <c r="AZ852" i="21398"/>
  <c r="AY851" i="21398"/>
  <c r="AZ850" i="21398"/>
  <c r="AZ849" i="21398"/>
  <c r="AY849" i="21398"/>
  <c r="AZ848" i="21398"/>
  <c r="AZ847" i="21398"/>
  <c r="AY847" i="21398"/>
  <c r="AZ846" i="21398"/>
  <c r="AY845" i="21398"/>
  <c r="AZ844" i="21398"/>
  <c r="AZ843" i="21398"/>
  <c r="AY843" i="21398"/>
  <c r="AZ842" i="21398"/>
  <c r="AZ841" i="21398"/>
  <c r="AY841" i="21398"/>
  <c r="AZ840" i="21398"/>
  <c r="AY839" i="21398"/>
  <c r="AZ838" i="21398"/>
  <c r="AZ837" i="21398"/>
  <c r="AY837" i="21398"/>
  <c r="AZ836" i="21398"/>
  <c r="AZ816" i="21398"/>
  <c r="AY815" i="21398"/>
  <c r="AZ814" i="21398"/>
  <c r="AZ813" i="21398"/>
  <c r="AY813" i="21398"/>
  <c r="AZ812" i="21398"/>
  <c r="AZ811" i="21398"/>
  <c r="AY811" i="21398"/>
  <c r="AZ810" i="21398"/>
  <c r="AZ809" i="21398"/>
  <c r="AY809" i="21398"/>
  <c r="AZ808" i="21398"/>
  <c r="AY807" i="21398"/>
  <c r="AZ806" i="21398"/>
  <c r="AZ805" i="21398"/>
  <c r="AY805" i="21398"/>
  <c r="AZ804" i="21398"/>
  <c r="AY803" i="21398"/>
  <c r="AZ802" i="21398"/>
  <c r="AY801" i="21398"/>
  <c r="AZ800" i="21398"/>
  <c r="AZ799" i="21398"/>
  <c r="AY799" i="21398"/>
  <c r="AZ798" i="21398"/>
  <c r="AY797" i="21398"/>
  <c r="AZ796" i="21398"/>
  <c r="AZ795" i="21398"/>
  <c r="BB795" i="21398" s="1"/>
  <c r="AY795" i="21398"/>
  <c r="BA795" i="21398" s="1"/>
  <c r="AZ794" i="21398"/>
  <c r="AZ793" i="21398"/>
  <c r="AY793" i="21398"/>
  <c r="AZ792" i="21398"/>
  <c r="AZ791" i="21398"/>
  <c r="AY791" i="21398"/>
  <c r="AZ790" i="21398"/>
  <c r="AY789" i="21398"/>
  <c r="AZ788" i="21398"/>
  <c r="AZ787" i="21398"/>
  <c r="BB787" i="21398" s="1"/>
  <c r="AY787" i="21398"/>
  <c r="BA787" i="21398" s="1"/>
  <c r="AZ786" i="21398"/>
  <c r="AY785" i="21398"/>
  <c r="AZ784" i="21398"/>
  <c r="AY783" i="21398"/>
  <c r="AZ781" i="21398"/>
  <c r="AY781" i="21398"/>
  <c r="AZ779" i="21398"/>
  <c r="AY779" i="21398"/>
  <c r="AZ778" i="21398"/>
  <c r="AY777" i="21398"/>
  <c r="AZ776" i="21398"/>
  <c r="AZ775" i="21398"/>
  <c r="AY775" i="21398"/>
  <c r="AZ774" i="21398"/>
  <c r="AY773" i="21398"/>
  <c r="AZ772" i="21398"/>
  <c r="AZ771" i="21398"/>
  <c r="AY771" i="21398"/>
  <c r="AZ770" i="21398"/>
  <c r="AZ769" i="21398"/>
  <c r="AY769" i="21398"/>
  <c r="AZ768" i="21398"/>
  <c r="AZ767" i="21398"/>
  <c r="AY767" i="21398"/>
  <c r="AZ766" i="21398"/>
  <c r="AY765" i="21398"/>
  <c r="AZ764" i="21398"/>
  <c r="AZ763" i="21398"/>
  <c r="AY763" i="21398"/>
  <c r="AZ762" i="21398"/>
  <c r="AZ761" i="21398"/>
  <c r="AY761" i="21398"/>
  <c r="AZ760" i="21398"/>
  <c r="AY759" i="21398"/>
  <c r="AZ758" i="21398"/>
  <c r="AY757" i="21398"/>
  <c r="AZ756" i="21398"/>
  <c r="AZ755" i="21398"/>
  <c r="AY755" i="21398"/>
  <c r="AZ754" i="21398"/>
  <c r="AZ753" i="21398"/>
  <c r="AY753" i="21398"/>
  <c r="AZ752" i="21398"/>
  <c r="AY751" i="21398"/>
  <c r="AZ750" i="21398"/>
  <c r="AZ749" i="21398"/>
  <c r="AY749" i="21398"/>
  <c r="AZ748" i="21398"/>
  <c r="AZ747" i="21398"/>
  <c r="AY747" i="21398"/>
  <c r="AZ746" i="21398"/>
  <c r="AZ745" i="21398"/>
  <c r="AY745" i="21398"/>
  <c r="AZ744" i="21398"/>
  <c r="AY743" i="21398"/>
  <c r="AZ742" i="21398"/>
  <c r="AZ741" i="21398"/>
  <c r="AY741" i="21398"/>
  <c r="AZ740" i="21398"/>
  <c r="AZ739" i="21398"/>
  <c r="AY739" i="21398"/>
  <c r="AZ738" i="21398"/>
  <c r="AY737" i="21398"/>
  <c r="AZ736" i="21398"/>
  <c r="AY735" i="21398"/>
  <c r="AZ734" i="21398"/>
  <c r="AZ733" i="21398"/>
  <c r="AY733" i="21398"/>
  <c r="AZ732" i="21398"/>
  <c r="AY731" i="21398"/>
  <c r="AZ730" i="21398"/>
  <c r="AZ729" i="21398"/>
  <c r="AY729" i="21398"/>
  <c r="AZ728" i="21398"/>
  <c r="AY725" i="21398"/>
  <c r="AZ724" i="21398"/>
  <c r="AZ723" i="21398"/>
  <c r="AY723" i="21398"/>
  <c r="AZ722" i="21398"/>
  <c r="AZ721" i="21398"/>
  <c r="AY721" i="21398"/>
  <c r="AZ720" i="21398"/>
  <c r="AY719" i="21398"/>
  <c r="AZ718" i="21398"/>
  <c r="AZ717" i="21398"/>
  <c r="AY717" i="21398"/>
  <c r="AZ716" i="21398"/>
  <c r="AZ715" i="21398"/>
  <c r="AY715" i="21398"/>
  <c r="AZ714" i="21398"/>
  <c r="AY713" i="21398"/>
  <c r="AZ712" i="21398"/>
  <c r="AY711" i="21398"/>
  <c r="AZ710" i="21398"/>
  <c r="AZ709" i="21398"/>
  <c r="AY709" i="21398"/>
  <c r="AZ708" i="21398"/>
  <c r="AZ707" i="21398"/>
  <c r="AY707" i="21398"/>
  <c r="AZ706" i="21398"/>
  <c r="AY705" i="21398"/>
  <c r="AZ704" i="21398"/>
  <c r="AZ703" i="21398"/>
  <c r="AY703" i="21398"/>
  <c r="AZ702" i="21398"/>
  <c r="AZ701" i="21398"/>
  <c r="AY701" i="21398"/>
  <c r="AZ700" i="21398"/>
  <c r="AY699" i="21398"/>
  <c r="AZ698" i="21398"/>
  <c r="AY697" i="21398"/>
  <c r="AZ696" i="21398"/>
  <c r="AZ695" i="21398"/>
  <c r="AY695" i="21398"/>
  <c r="AZ694" i="21398"/>
  <c r="AY693" i="21398"/>
  <c r="AZ692" i="21398"/>
  <c r="AZ691" i="21398"/>
  <c r="AY691" i="21398"/>
  <c r="AZ690" i="21398"/>
  <c r="AZ689" i="21398"/>
  <c r="AY689" i="21398"/>
  <c r="AZ688" i="21398"/>
  <c r="AZ687" i="21398"/>
  <c r="AY687" i="21398"/>
  <c r="AZ686" i="21398"/>
  <c r="AY685" i="21398"/>
  <c r="AZ684" i="21398"/>
  <c r="AZ683" i="21398"/>
  <c r="AY683" i="21398"/>
  <c r="AZ682" i="21398"/>
  <c r="AY681" i="21398"/>
  <c r="AZ680" i="21398"/>
  <c r="AY679" i="21398"/>
  <c r="AZ678" i="21398"/>
  <c r="AZ677" i="21398"/>
  <c r="AY677" i="21398"/>
  <c r="AZ676" i="21398"/>
  <c r="AZ675" i="21398"/>
  <c r="AY675" i="21398"/>
  <c r="AZ674" i="21398"/>
  <c r="AY673" i="21398"/>
  <c r="AZ672" i="21398"/>
  <c r="AZ671" i="21398"/>
  <c r="AY671" i="21398"/>
  <c r="AZ670" i="21398"/>
  <c r="AZ669" i="21398"/>
  <c r="AY669" i="21398"/>
  <c r="AZ668" i="21398"/>
  <c r="AY667" i="21398"/>
  <c r="AZ666" i="21398"/>
  <c r="AZ665" i="21398"/>
  <c r="AY665" i="21398"/>
  <c r="AZ664" i="21398"/>
  <c r="AZ663" i="21398"/>
  <c r="AY663" i="21398"/>
  <c r="AZ662" i="21398"/>
  <c r="AZ661" i="21398"/>
  <c r="AY661" i="21398"/>
  <c r="AZ660" i="21398"/>
  <c r="AY659" i="21398"/>
  <c r="AZ658" i="21398"/>
  <c r="AY657" i="21398"/>
  <c r="AZ656" i="21398"/>
  <c r="AZ655" i="21398"/>
  <c r="AY655" i="21398"/>
  <c r="AZ654" i="21398"/>
  <c r="AZ653" i="21398"/>
  <c r="AY653" i="21398"/>
  <c r="AZ652" i="21398"/>
  <c r="AY651" i="21398"/>
  <c r="AY649" i="21398"/>
  <c r="AZ648" i="21398"/>
  <c r="AZ647" i="21398"/>
  <c r="AY647" i="21398"/>
  <c r="AZ646" i="21398"/>
  <c r="AY645" i="21398"/>
  <c r="AY643" i="21398"/>
  <c r="AZ642" i="21398"/>
  <c r="AZ641" i="21398"/>
  <c r="AY641" i="21398"/>
  <c r="AZ640" i="21398"/>
  <c r="AY639" i="21398"/>
  <c r="AZ638" i="21398"/>
  <c r="AZ637" i="21398"/>
  <c r="AY637" i="21398"/>
  <c r="AZ636" i="21398"/>
  <c r="AZ635" i="21398"/>
  <c r="AY635" i="21398"/>
  <c r="AZ634" i="21398"/>
  <c r="AY633" i="21398"/>
  <c r="AZ632" i="21398"/>
  <c r="AY631" i="21398"/>
  <c r="AZ630" i="21398"/>
  <c r="AY629" i="21398"/>
  <c r="AZ628" i="21398"/>
  <c r="AZ627" i="21398"/>
  <c r="AY627" i="21398"/>
  <c r="AZ626" i="21398"/>
  <c r="AY625" i="21398"/>
  <c r="AZ624" i="21398"/>
  <c r="AZ623" i="21398"/>
  <c r="AY623" i="21398"/>
  <c r="AZ622" i="21398"/>
  <c r="AZ621" i="21398"/>
  <c r="AY621" i="21398"/>
  <c r="AZ620" i="21398"/>
  <c r="AZ619" i="21398"/>
  <c r="AY619" i="21398"/>
  <c r="AZ618" i="21398"/>
  <c r="AZ617" i="21398"/>
  <c r="AY617" i="21398"/>
  <c r="AZ616" i="21398"/>
  <c r="AY615" i="21398"/>
  <c r="AZ614" i="21398"/>
  <c r="AZ613" i="21398"/>
  <c r="AY613" i="21398"/>
  <c r="AZ612" i="21398"/>
  <c r="AZ611" i="21398"/>
  <c r="AY611" i="21398"/>
  <c r="AZ610" i="21398"/>
  <c r="AY609" i="21398"/>
  <c r="AZ608" i="21398"/>
  <c r="AZ607" i="21398"/>
  <c r="AY607" i="21398"/>
  <c r="AZ606" i="21398"/>
  <c r="AZ605" i="21398"/>
  <c r="AY605" i="21398"/>
  <c r="AZ604" i="21398"/>
  <c r="AZ603" i="21398"/>
  <c r="AY603" i="21398"/>
  <c r="AZ602" i="21398"/>
  <c r="AY601" i="21398"/>
  <c r="AZ600" i="21398"/>
  <c r="AZ599" i="21398"/>
  <c r="AY599" i="21398"/>
  <c r="AZ598" i="21398"/>
  <c r="AZ597" i="21398"/>
  <c r="AY597" i="21398"/>
  <c r="AZ596" i="21398"/>
  <c r="AZ595" i="21398"/>
  <c r="AY595" i="21398"/>
  <c r="AZ594" i="21398"/>
  <c r="AY593" i="21398"/>
  <c r="AY585" i="21398"/>
  <c r="AZ584" i="21398"/>
  <c r="AZ583" i="21398"/>
  <c r="AY583" i="21398"/>
  <c r="AZ582" i="21398"/>
  <c r="AZ581" i="21398"/>
  <c r="AY581" i="21398"/>
  <c r="AZ580" i="21398"/>
  <c r="AY579" i="21398"/>
  <c r="AZ578" i="21398"/>
  <c r="AZ577" i="21398"/>
  <c r="AY577" i="21398"/>
  <c r="AZ576" i="21398"/>
  <c r="AZ575" i="21398"/>
  <c r="AY575" i="21398"/>
  <c r="AZ574" i="21398"/>
  <c r="AY573" i="21398"/>
  <c r="AZ572" i="21398"/>
  <c r="AZ571" i="21398"/>
  <c r="AY571" i="21398"/>
  <c r="AZ570" i="21398"/>
  <c r="AZ569" i="21398"/>
  <c r="AY569" i="21398"/>
  <c r="AZ568" i="21398"/>
  <c r="AZ567" i="21398"/>
  <c r="AY567" i="21398"/>
  <c r="AZ566" i="21398"/>
  <c r="AY565" i="21398"/>
  <c r="AZ564" i="21398"/>
  <c r="AZ563" i="21398"/>
  <c r="AY563" i="21398"/>
  <c r="AZ562" i="21398"/>
  <c r="AZ561" i="21398"/>
  <c r="AY561" i="21398"/>
  <c r="AZ560" i="21398"/>
  <c r="AZ559" i="21398"/>
  <c r="AY559" i="21398"/>
  <c r="AZ558" i="21398"/>
  <c r="AZ557" i="21398"/>
  <c r="AY557" i="21398"/>
  <c r="AZ556" i="21398"/>
  <c r="AZ555" i="21398"/>
  <c r="AY555" i="21398"/>
  <c r="AZ554" i="21398"/>
  <c r="AZ553" i="21398"/>
  <c r="AY553" i="21398"/>
  <c r="AZ552" i="21398"/>
  <c r="AY551" i="21398"/>
  <c r="AZ550" i="21398"/>
  <c r="AY549" i="21398"/>
  <c r="AZ548" i="21398"/>
  <c r="AY547" i="21398"/>
  <c r="AZ546" i="21398"/>
  <c r="AY545" i="21398"/>
  <c r="AZ544" i="21398"/>
  <c r="AZ543" i="21398"/>
  <c r="AY543" i="21398"/>
  <c r="AZ542" i="21398"/>
  <c r="AZ541" i="21398"/>
  <c r="AY541" i="21398"/>
  <c r="AZ540" i="21398"/>
  <c r="AZ539" i="21398"/>
  <c r="AY539" i="21398"/>
  <c r="AZ538" i="21398"/>
  <c r="AZ535" i="21398"/>
  <c r="AY535" i="21398"/>
  <c r="AZ534" i="21398"/>
  <c r="AZ533" i="21398"/>
  <c r="AY533" i="21398"/>
  <c r="AZ532" i="21398"/>
  <c r="AZ531" i="21398"/>
  <c r="AY531" i="21398"/>
  <c r="AZ530" i="21398"/>
  <c r="AY529" i="21398"/>
  <c r="AZ528" i="21398"/>
  <c r="AZ527" i="21398"/>
  <c r="AY527" i="21398"/>
  <c r="AZ526" i="21398"/>
  <c r="AZ525" i="21398"/>
  <c r="AY525" i="21398"/>
  <c r="AZ524" i="21398"/>
  <c r="AZ523" i="21398"/>
  <c r="AY523" i="21398"/>
  <c r="AZ522" i="21398"/>
  <c r="AY521" i="21398"/>
  <c r="AZ520" i="21398"/>
  <c r="AZ519" i="21398"/>
  <c r="AY519" i="21398"/>
  <c r="AZ518" i="21398"/>
  <c r="AZ517" i="21398"/>
  <c r="AY517" i="21398"/>
  <c r="AZ516" i="21398"/>
  <c r="AY515" i="21398"/>
  <c r="AZ514" i="21398"/>
  <c r="AZ513" i="21398"/>
  <c r="AY513" i="21398"/>
  <c r="AZ512" i="21398"/>
  <c r="AZ511" i="21398"/>
  <c r="AY511" i="21398"/>
  <c r="AZ510" i="21398"/>
  <c r="AY509" i="21398"/>
  <c r="AZ508" i="21398"/>
  <c r="AZ507" i="21398"/>
  <c r="AY507" i="21398"/>
  <c r="AZ506" i="21398"/>
  <c r="AZ505" i="21398"/>
  <c r="AY505" i="21398"/>
  <c r="AZ504" i="21398"/>
  <c r="AY503" i="21398"/>
  <c r="AZ502" i="21398"/>
  <c r="AZ501" i="21398"/>
  <c r="AY501" i="21398"/>
  <c r="AZ500" i="21398"/>
  <c r="AZ499" i="21398"/>
  <c r="AY499" i="21398"/>
  <c r="AZ498" i="21398"/>
  <c r="AZ497" i="21398"/>
  <c r="AY497" i="21398"/>
  <c r="AZ496" i="21398"/>
  <c r="AZ495" i="21398"/>
  <c r="AY495" i="21398"/>
  <c r="AZ494" i="21398"/>
  <c r="AY494" i="21398"/>
  <c r="AZ493" i="21398"/>
  <c r="AY493" i="21398"/>
  <c r="AZ492" i="21398"/>
  <c r="AY492" i="21398"/>
  <c r="AZ491" i="21398"/>
  <c r="AY491" i="21398"/>
  <c r="AZ490" i="21398"/>
  <c r="AY490" i="21398"/>
  <c r="AZ489" i="21398"/>
  <c r="AY489" i="21398"/>
  <c r="AZ488" i="21398"/>
  <c r="AY488" i="21398"/>
  <c r="AZ487" i="21398"/>
  <c r="AY487" i="21398"/>
  <c r="AZ486" i="21398"/>
  <c r="AY486" i="21398"/>
  <c r="AZ485" i="21398"/>
  <c r="AY485" i="21398"/>
  <c r="AZ484" i="21398"/>
  <c r="AY484" i="21398"/>
  <c r="AZ483" i="21398"/>
  <c r="AY483" i="21398"/>
  <c r="AZ482" i="21398"/>
  <c r="AY482" i="21398"/>
  <c r="AZ481" i="21398"/>
  <c r="AY481" i="21398"/>
  <c r="AZ480" i="21398"/>
  <c r="AY480" i="21398"/>
  <c r="AZ479" i="21398"/>
  <c r="AY479" i="21398"/>
  <c r="AZ478" i="21398"/>
  <c r="AY478" i="21398"/>
  <c r="AY477" i="21398"/>
  <c r="AZ476" i="21398"/>
  <c r="AZ475" i="21398"/>
  <c r="AY475" i="21398"/>
  <c r="AZ474" i="21398"/>
  <c r="AY474" i="21398"/>
  <c r="AZ473" i="21398"/>
  <c r="AY473" i="21398"/>
  <c r="AZ472" i="21398"/>
  <c r="AY472" i="21398"/>
  <c r="AZ471" i="21398"/>
  <c r="AY471" i="21398"/>
  <c r="AZ470" i="21398"/>
  <c r="AY470" i="21398"/>
  <c r="AZ469" i="21398"/>
  <c r="AY469" i="21398"/>
  <c r="AZ468" i="21398"/>
  <c r="AY468" i="21398"/>
  <c r="AZ467" i="21398"/>
  <c r="AY467" i="21398"/>
  <c r="AZ466" i="21398"/>
  <c r="AY466" i="21398"/>
  <c r="AZ465" i="21398"/>
  <c r="AY465" i="21398"/>
  <c r="AZ464" i="21398"/>
  <c r="AY464" i="21398"/>
  <c r="AZ463" i="21398"/>
  <c r="AY463" i="21398"/>
  <c r="AZ462" i="21398"/>
  <c r="AY462" i="21398"/>
  <c r="AZ461" i="21398"/>
  <c r="AY461" i="21398"/>
  <c r="AZ460" i="21398"/>
  <c r="AY460" i="21398"/>
  <c r="AZ459" i="21398"/>
  <c r="AY459" i="21398"/>
  <c r="AZ458" i="21398"/>
  <c r="AY458" i="21398"/>
  <c r="AZ457" i="21398"/>
  <c r="AY457" i="21398"/>
  <c r="AZ456" i="21398"/>
  <c r="AY456" i="21398"/>
  <c r="AZ455" i="21398"/>
  <c r="AY455" i="21398"/>
  <c r="AZ454" i="21398"/>
  <c r="AY454" i="21398"/>
  <c r="AZ453" i="21398"/>
  <c r="AY453" i="21398"/>
  <c r="AZ452" i="21398"/>
  <c r="AY452" i="21398"/>
  <c r="AZ451" i="21398"/>
  <c r="AY451" i="21398"/>
  <c r="AZ450" i="21398"/>
  <c r="AY450" i="21398"/>
  <c r="AZ449" i="21398"/>
  <c r="AY449" i="21398"/>
  <c r="AZ448" i="21398"/>
  <c r="AY447" i="21398"/>
  <c r="AZ446" i="21398"/>
  <c r="AY445" i="21398"/>
  <c r="AZ444" i="21398"/>
  <c r="AZ443" i="21398"/>
  <c r="AY443" i="21398"/>
  <c r="AZ442" i="21398"/>
  <c r="AZ441" i="21398"/>
  <c r="AY441" i="21398"/>
  <c r="AZ440" i="21398"/>
  <c r="AZ439" i="21398"/>
  <c r="AY439" i="21398"/>
  <c r="AZ438" i="21398"/>
  <c r="AZ437" i="21398"/>
  <c r="AY437" i="21398"/>
  <c r="AZ436" i="21398"/>
  <c r="AZ435" i="21398"/>
  <c r="AY435" i="21398"/>
  <c r="AZ434" i="21398"/>
  <c r="AZ433" i="21398"/>
  <c r="AY433" i="21398"/>
  <c r="AZ432" i="21398"/>
  <c r="AY431" i="21398"/>
  <c r="AZ430" i="21398"/>
  <c r="AZ429" i="21398"/>
  <c r="AY429" i="21398"/>
  <c r="AZ428" i="21398"/>
  <c r="AZ427" i="21398"/>
  <c r="AY427" i="21398"/>
  <c r="AZ426" i="21398"/>
  <c r="AY425" i="21398"/>
  <c r="AZ424" i="21398"/>
  <c r="AZ423" i="21398"/>
  <c r="AY423" i="21398"/>
  <c r="AZ422" i="21398"/>
  <c r="AZ421" i="21398"/>
  <c r="AY421" i="21398"/>
  <c r="AZ420" i="21398"/>
  <c r="AY419" i="21398"/>
  <c r="AZ418" i="21398"/>
  <c r="AZ417" i="21398"/>
  <c r="AY417" i="21398"/>
  <c r="AZ416" i="21398"/>
  <c r="AZ415" i="21398"/>
  <c r="AY415" i="21398"/>
  <c r="AZ414" i="21398"/>
  <c r="AZ413" i="21398"/>
  <c r="AY413" i="21398"/>
  <c r="AZ412" i="21398"/>
  <c r="AY411" i="21398"/>
  <c r="AZ410" i="21398"/>
  <c r="AZ409" i="21398"/>
  <c r="AY409" i="21398"/>
  <c r="AZ408" i="21398"/>
  <c r="AZ407" i="21398"/>
  <c r="AY407" i="21398"/>
  <c r="AZ406" i="21398"/>
  <c r="AZ405" i="21398"/>
  <c r="AY405" i="21398"/>
  <c r="AZ404" i="21398"/>
  <c r="AY403" i="21398"/>
  <c r="AZ402" i="21398"/>
  <c r="AZ401" i="21398"/>
  <c r="AY401" i="21398"/>
  <c r="AZ400" i="21398"/>
  <c r="AZ399" i="21398"/>
  <c r="AY399" i="21398"/>
  <c r="AZ398" i="21398"/>
  <c r="AZ397" i="21398"/>
  <c r="AY397" i="21398"/>
  <c r="AZ396" i="21398"/>
  <c r="AZ395" i="21398"/>
  <c r="AY395" i="21398"/>
  <c r="AZ394" i="21398"/>
  <c r="AZ393" i="21398"/>
  <c r="AY393" i="21398"/>
  <c r="AZ392" i="21398"/>
  <c r="AY391" i="21398"/>
  <c r="AZ390" i="21398"/>
  <c r="AZ389" i="21398"/>
  <c r="AY389" i="21398"/>
  <c r="AZ388" i="21398"/>
  <c r="AZ387" i="21398"/>
  <c r="AY387" i="21398"/>
  <c r="AZ386" i="21398"/>
  <c r="AY385" i="21398"/>
  <c r="AZ384" i="21398"/>
  <c r="AZ383" i="21398"/>
  <c r="AY383" i="21398"/>
  <c r="AZ382" i="21398"/>
  <c r="AZ381" i="21398"/>
  <c r="AY381" i="21398"/>
  <c r="AZ380" i="21398"/>
  <c r="AZ379" i="21398"/>
  <c r="AY379" i="21398"/>
  <c r="AZ378" i="21398"/>
  <c r="AY377" i="21398"/>
  <c r="AZ376" i="21398"/>
  <c r="AZ375" i="21398"/>
  <c r="AY375" i="21398"/>
  <c r="AZ374" i="21398"/>
  <c r="AZ373" i="21398"/>
  <c r="AY373" i="21398"/>
  <c r="AZ372" i="21398"/>
  <c r="AZ371" i="21398"/>
  <c r="AY371" i="21398"/>
  <c r="AZ370" i="21398"/>
  <c r="AY369" i="21398"/>
  <c r="AZ368" i="21398"/>
  <c r="AZ367" i="21398"/>
  <c r="AY367" i="21398"/>
  <c r="AZ366" i="21398"/>
  <c r="AY365" i="21398"/>
  <c r="AZ364" i="21398"/>
  <c r="AY363" i="21398"/>
  <c r="AZ362" i="21398"/>
  <c r="AY361" i="21398"/>
  <c r="AZ360" i="21398"/>
  <c r="AY359" i="21398"/>
  <c r="AZ358" i="21398"/>
  <c r="AZ357" i="21398"/>
  <c r="AY357" i="21398"/>
  <c r="AZ356" i="21398"/>
  <c r="AY355" i="21398"/>
  <c r="AZ354" i="21398"/>
  <c r="AZ353" i="21398"/>
  <c r="AY353" i="21398"/>
  <c r="AZ352" i="21398"/>
  <c r="AZ351" i="21398"/>
  <c r="AY351" i="21398"/>
  <c r="AZ350" i="21398"/>
  <c r="AZ349" i="21398"/>
  <c r="AY349" i="21398"/>
  <c r="AZ348" i="21398"/>
  <c r="AZ347" i="21398"/>
  <c r="AY347" i="21398"/>
  <c r="AZ346" i="21398"/>
  <c r="AZ345" i="21398"/>
  <c r="AY345" i="21398"/>
  <c r="AZ344" i="21398"/>
  <c r="AZ343" i="21398"/>
  <c r="AY343" i="21398"/>
  <c r="AZ342" i="21398"/>
  <c r="AZ341" i="21398"/>
  <c r="AY341" i="21398"/>
  <c r="AZ340" i="21398"/>
  <c r="AY339" i="21398"/>
  <c r="AZ338" i="21398"/>
  <c r="AZ337" i="21398"/>
  <c r="AY337" i="21398"/>
  <c r="AZ336" i="21398"/>
  <c r="AZ335" i="21398"/>
  <c r="AY335" i="21398"/>
  <c r="AZ334" i="21398"/>
  <c r="AZ333" i="21398"/>
  <c r="AY333" i="21398"/>
  <c r="AZ332" i="21398"/>
  <c r="AY331" i="21398"/>
  <c r="AZ330" i="21398"/>
  <c r="AZ329" i="21398"/>
  <c r="AY329" i="21398"/>
  <c r="AZ328" i="21398"/>
  <c r="AZ327" i="21398"/>
  <c r="AY327" i="21398"/>
  <c r="AZ326" i="21398"/>
  <c r="AY325" i="21398"/>
  <c r="AZ324" i="21398"/>
  <c r="AZ323" i="21398"/>
  <c r="AY323" i="21398"/>
  <c r="AZ322" i="21398"/>
  <c r="BB322" i="21398" s="1"/>
  <c r="AZ321" i="21398"/>
  <c r="AY321" i="21398"/>
  <c r="AZ320" i="21398"/>
  <c r="AZ319" i="21398"/>
  <c r="AY319" i="21398"/>
  <c r="AZ318" i="21398"/>
  <c r="AY317" i="21398"/>
  <c r="AZ316" i="21398"/>
  <c r="AZ315" i="21398"/>
  <c r="AY315" i="21398"/>
  <c r="AZ314" i="21398"/>
  <c r="AZ313" i="21398"/>
  <c r="AY313" i="21398"/>
  <c r="AZ312" i="21398"/>
  <c r="AZ311" i="21398"/>
  <c r="AY311" i="21398"/>
  <c r="AZ310" i="21398"/>
  <c r="AY309" i="21398"/>
  <c r="AZ308" i="21398"/>
  <c r="AZ307" i="21398"/>
  <c r="AY307" i="21398"/>
  <c r="AZ306" i="21398"/>
  <c r="AZ305" i="21398"/>
  <c r="AY305" i="21398"/>
  <c r="AZ304" i="21398"/>
  <c r="AY303" i="21398"/>
  <c r="AZ302" i="21398"/>
  <c r="AZ301" i="21398"/>
  <c r="AY301" i="21398"/>
  <c r="AZ299" i="21398"/>
  <c r="AY299" i="21398"/>
  <c r="AZ298" i="21398"/>
  <c r="AY297" i="21398"/>
  <c r="AZ296" i="21398"/>
  <c r="AZ295" i="21398"/>
  <c r="AY295" i="21398"/>
  <c r="AZ294" i="21398"/>
  <c r="AY293" i="21398"/>
  <c r="AZ292" i="21398"/>
  <c r="AZ291" i="21398"/>
  <c r="AY291" i="21398"/>
  <c r="AZ290" i="21398"/>
  <c r="AZ289" i="21398"/>
  <c r="AY289" i="21398"/>
  <c r="AZ288" i="21398"/>
  <c r="AZ287" i="21398"/>
  <c r="AY287" i="21398"/>
  <c r="AZ286" i="21398"/>
  <c r="AY285" i="21398"/>
  <c r="AZ284" i="21398"/>
  <c r="AZ283" i="21398"/>
  <c r="AY283" i="21398"/>
  <c r="AZ282" i="21398"/>
  <c r="AZ281" i="21398"/>
  <c r="AY281" i="21398"/>
  <c r="AZ280" i="21398"/>
  <c r="AZ279" i="21398"/>
  <c r="AY279" i="21398"/>
  <c r="AZ278" i="21398"/>
  <c r="AZ277" i="21398"/>
  <c r="AY277" i="21398"/>
  <c r="AZ276" i="21398"/>
  <c r="AY275" i="21398"/>
  <c r="AZ274" i="21398"/>
  <c r="AY273" i="21398"/>
  <c r="AZ272" i="21398"/>
  <c r="AY271" i="21398"/>
  <c r="AZ270" i="21398"/>
  <c r="AY269" i="21398"/>
  <c r="AZ268" i="21398"/>
  <c r="AZ267" i="21398"/>
  <c r="AY267" i="21398"/>
  <c r="AZ266" i="21398"/>
  <c r="AZ265" i="21398"/>
  <c r="AY265" i="21398"/>
  <c r="AZ264" i="21398"/>
  <c r="AZ263" i="21398"/>
  <c r="AY263" i="21398"/>
  <c r="AZ262" i="21398"/>
  <c r="AY261" i="21398"/>
  <c r="AZ260" i="21398"/>
  <c r="AZ259" i="21398"/>
  <c r="AY259" i="21398"/>
  <c r="AZ258" i="21398"/>
  <c r="AZ257" i="21398"/>
  <c r="AY257" i="21398"/>
  <c r="AZ256" i="21398"/>
  <c r="AZ255" i="21398"/>
  <c r="AY255" i="21398"/>
  <c r="AZ254" i="21398"/>
  <c r="AY253" i="21398"/>
  <c r="AZ252" i="21398"/>
  <c r="AZ251" i="21398"/>
  <c r="AY251" i="21398"/>
  <c r="AZ250" i="21398"/>
  <c r="AZ249" i="21398"/>
  <c r="AY249" i="21398"/>
  <c r="AZ248" i="21398"/>
  <c r="AZ247" i="21398"/>
  <c r="AY247" i="21398"/>
  <c r="AZ246" i="21398"/>
  <c r="AZ245" i="21398"/>
  <c r="AY245" i="21398"/>
  <c r="AZ244" i="21398"/>
  <c r="AY243" i="21398"/>
  <c r="AZ242" i="21398"/>
  <c r="AZ241" i="21398"/>
  <c r="AY241" i="21398"/>
  <c r="AZ240" i="21398"/>
  <c r="AZ239" i="21398"/>
  <c r="AY239" i="21398"/>
  <c r="AZ238" i="21398"/>
  <c r="AY237" i="21398"/>
  <c r="AZ236" i="21398"/>
  <c r="AZ235" i="21398"/>
  <c r="AY235" i="21398"/>
  <c r="AZ234" i="21398"/>
  <c r="AZ233" i="21398"/>
  <c r="AY233" i="21398"/>
  <c r="AZ232" i="21398"/>
  <c r="AZ231" i="21398"/>
  <c r="AY231" i="21398"/>
  <c r="AZ230" i="21398"/>
  <c r="AZ229" i="21398"/>
  <c r="AY229" i="21398"/>
  <c r="AZ228" i="21398"/>
  <c r="AY227" i="21398"/>
  <c r="AZ226" i="21398"/>
  <c r="AZ225" i="21398"/>
  <c r="AY225" i="21398"/>
  <c r="AZ224" i="21398"/>
  <c r="AZ223" i="21398"/>
  <c r="AY223" i="21398"/>
  <c r="AZ222" i="21398"/>
  <c r="AZ221" i="21398"/>
  <c r="AY221" i="21398"/>
  <c r="AZ220" i="21398"/>
  <c r="AY219" i="21398"/>
  <c r="AZ218" i="21398"/>
  <c r="AZ217" i="21398"/>
  <c r="AY217" i="21398"/>
  <c r="AZ216" i="21398"/>
  <c r="AY215" i="21398"/>
  <c r="AZ214" i="21398"/>
  <c r="AZ213" i="21398"/>
  <c r="AY213" i="21398"/>
  <c r="AZ212" i="21398"/>
  <c r="AZ211" i="21398"/>
  <c r="AY211" i="21398"/>
  <c r="AZ210" i="21398"/>
  <c r="AY210" i="21398"/>
  <c r="AZ209" i="21398"/>
  <c r="AY209" i="21398"/>
  <c r="AZ208" i="21398"/>
  <c r="AY208" i="21398"/>
  <c r="AZ207" i="21398"/>
  <c r="AY207" i="21398"/>
  <c r="AZ206" i="21398"/>
  <c r="AY206" i="21398"/>
  <c r="AZ205" i="21398"/>
  <c r="AY205" i="21398"/>
  <c r="AZ204" i="21398"/>
  <c r="AY204" i="21398"/>
  <c r="AZ203" i="21398"/>
  <c r="AY203" i="21398"/>
  <c r="AZ202" i="21398"/>
  <c r="AY202" i="21398"/>
  <c r="AZ201" i="21398"/>
  <c r="AY201" i="21398"/>
  <c r="AZ200" i="21398"/>
  <c r="AY200" i="21398"/>
  <c r="AZ199" i="21398"/>
  <c r="AY199" i="21398"/>
  <c r="AZ198" i="21398"/>
  <c r="AY198" i="21398"/>
  <c r="AZ197" i="21398"/>
  <c r="AY197" i="21398"/>
  <c r="AZ196" i="21398"/>
  <c r="AY196" i="21398"/>
  <c r="AZ195" i="21398"/>
  <c r="AY195" i="21398"/>
  <c r="AZ194" i="21398"/>
  <c r="AY194" i="21398"/>
  <c r="AZ193" i="21398"/>
  <c r="AY193" i="21398"/>
  <c r="AZ192" i="21398"/>
  <c r="AY192" i="21398"/>
  <c r="AZ191" i="21398"/>
  <c r="AY191" i="21398"/>
  <c r="AZ190" i="21398"/>
  <c r="AY190" i="21398"/>
  <c r="AZ189" i="21398"/>
  <c r="AY189" i="21398"/>
  <c r="AZ188" i="21398"/>
  <c r="AY188" i="21398"/>
  <c r="AZ187" i="21398"/>
  <c r="AY187" i="21398"/>
  <c r="AZ186" i="21398"/>
  <c r="AY186" i="21398"/>
  <c r="AZ185" i="21398"/>
  <c r="AY185" i="21398"/>
  <c r="AZ184" i="21398"/>
  <c r="AY184" i="21398"/>
  <c r="AZ183" i="21398"/>
  <c r="AY183" i="21398"/>
  <c r="AZ182" i="21398"/>
  <c r="AY182" i="21398"/>
  <c r="AZ181" i="21398"/>
  <c r="AY181" i="21398"/>
  <c r="AZ180" i="21398"/>
  <c r="AY180" i="21398"/>
  <c r="AZ179" i="21398"/>
  <c r="AY179" i="21398"/>
  <c r="AZ178" i="21398"/>
  <c r="AY178" i="21398"/>
  <c r="AZ177" i="21398"/>
  <c r="AY177" i="21398"/>
  <c r="AZ176" i="21398"/>
  <c r="AY176" i="21398"/>
  <c r="AZ175" i="21398"/>
  <c r="AY175" i="21398"/>
  <c r="AZ174" i="21398"/>
  <c r="AY174" i="21398"/>
  <c r="AZ173" i="21398"/>
  <c r="AY173" i="21398"/>
  <c r="AZ172" i="21398"/>
  <c r="AY172" i="21398"/>
  <c r="AZ171" i="21398"/>
  <c r="AY171" i="21398"/>
  <c r="AZ170" i="21398"/>
  <c r="AY170" i="21398"/>
  <c r="AZ169" i="21398"/>
  <c r="AY169" i="21398"/>
  <c r="AZ168" i="21398"/>
  <c r="AY168" i="21398"/>
  <c r="AZ167" i="21398"/>
  <c r="AY167" i="21398"/>
  <c r="AZ166" i="21398"/>
  <c r="AY166" i="21398"/>
  <c r="AZ165" i="21398"/>
  <c r="AY165" i="21398"/>
  <c r="AZ164" i="21398"/>
  <c r="AY164" i="21398"/>
  <c r="AZ163" i="21398"/>
  <c r="AY163" i="21398"/>
  <c r="AZ162" i="21398"/>
  <c r="AY162" i="21398"/>
  <c r="AZ161" i="21398"/>
  <c r="AY161" i="21398"/>
  <c r="AZ160" i="21398"/>
  <c r="AY160" i="21398"/>
  <c r="AZ159" i="21398"/>
  <c r="AY159" i="21398"/>
  <c r="AZ158" i="21398"/>
  <c r="AY158" i="21398"/>
  <c r="AZ157" i="21398"/>
  <c r="AY157" i="21398"/>
  <c r="AZ156" i="21398"/>
  <c r="AY156" i="21398"/>
  <c r="AZ155" i="21398"/>
  <c r="AY155" i="21398"/>
  <c r="AZ154" i="21398"/>
  <c r="AY154" i="21398"/>
  <c r="AZ153" i="21398"/>
  <c r="AY153" i="21398"/>
  <c r="AZ152" i="21398"/>
  <c r="AY152" i="21398"/>
  <c r="AZ151" i="21398"/>
  <c r="AY151" i="21398"/>
  <c r="AZ150" i="21398"/>
  <c r="AY150" i="21398"/>
  <c r="AZ149" i="21398"/>
  <c r="AY149" i="21398"/>
  <c r="AZ148" i="21398"/>
  <c r="AY148" i="21398"/>
  <c r="AZ147" i="21398"/>
  <c r="AY147" i="21398"/>
  <c r="AZ146" i="21398"/>
  <c r="AY146" i="21398"/>
  <c r="AZ145" i="21398"/>
  <c r="AY145" i="21398"/>
  <c r="AZ144" i="21398"/>
  <c r="AZ143" i="21398"/>
  <c r="AY143" i="21398"/>
  <c r="AZ142" i="21398"/>
  <c r="AZ141" i="21398"/>
  <c r="AY141" i="21398"/>
  <c r="AZ140" i="21398"/>
  <c r="AZ139" i="21398"/>
  <c r="AY139" i="21398"/>
  <c r="AZ138" i="21398"/>
  <c r="AZ137" i="21398"/>
  <c r="AY137" i="21398"/>
  <c r="AZ136" i="21398"/>
  <c r="AY135" i="21398"/>
  <c r="AZ134" i="21398"/>
  <c r="AZ133" i="21398"/>
  <c r="AY133" i="21398"/>
  <c r="AZ132" i="21398"/>
  <c r="AZ131" i="21398"/>
  <c r="AY131" i="21398"/>
  <c r="AZ130" i="21398"/>
  <c r="AZ129" i="21398"/>
  <c r="AY129" i="21398"/>
  <c r="AZ128" i="21398"/>
  <c r="AZ127" i="21398"/>
  <c r="AY127" i="21398"/>
  <c r="AZ126" i="21398"/>
  <c r="AZ125" i="21398"/>
  <c r="AY125" i="21398"/>
  <c r="AZ124" i="21398"/>
  <c r="AY123" i="21398"/>
  <c r="AZ122" i="21398"/>
  <c r="AZ121" i="21398"/>
  <c r="AY121" i="21398"/>
  <c r="AZ120" i="21398"/>
  <c r="AZ119" i="21398"/>
  <c r="AY119" i="21398"/>
  <c r="AZ118" i="21398"/>
  <c r="AY117" i="21398"/>
  <c r="AZ116" i="21398"/>
  <c r="AZ115" i="21398"/>
  <c r="AY115" i="21398"/>
  <c r="AZ114" i="21398"/>
  <c r="AZ113" i="21398"/>
  <c r="AY113" i="21398"/>
  <c r="AZ112" i="21398"/>
  <c r="AZ111" i="21398"/>
  <c r="AY111" i="21398"/>
  <c r="AZ110" i="21398"/>
  <c r="AZ109" i="21398"/>
  <c r="AY109" i="21398"/>
  <c r="AZ108" i="21398"/>
  <c r="AZ107" i="21398"/>
  <c r="AY107" i="21398"/>
  <c r="AZ106" i="21398"/>
  <c r="AZ105" i="21398"/>
  <c r="AY105" i="21398"/>
  <c r="AZ104" i="21398"/>
  <c r="AY103" i="21398"/>
  <c r="AZ102" i="21398"/>
  <c r="AZ101" i="21398"/>
  <c r="AY101" i="21398"/>
  <c r="AZ100" i="21398"/>
  <c r="AZ99" i="21398"/>
  <c r="AY99" i="21398"/>
  <c r="AZ98" i="21398"/>
  <c r="AZ97" i="21398"/>
  <c r="AY97" i="21398"/>
  <c r="AZ96" i="21398"/>
  <c r="AY95" i="21398"/>
  <c r="AZ94" i="21398"/>
  <c r="AZ93" i="21398"/>
  <c r="AY93" i="21398"/>
  <c r="AZ92" i="21398"/>
  <c r="AY92" i="21398"/>
  <c r="AZ91" i="21398"/>
  <c r="AY91" i="21398"/>
  <c r="AZ90" i="21398"/>
  <c r="AZ89" i="21398"/>
  <c r="AY89" i="21398"/>
  <c r="AZ88" i="21398"/>
  <c r="AY87" i="21398"/>
  <c r="AZ86" i="21398"/>
  <c r="AY85" i="21398"/>
  <c r="AZ83" i="21398"/>
  <c r="AY83" i="21398"/>
  <c r="AZ82" i="21398"/>
  <c r="AZ81" i="21398"/>
  <c r="AY81" i="21398"/>
  <c r="AZ80" i="21398"/>
  <c r="AY79" i="21398"/>
  <c r="AZ78" i="21398"/>
  <c r="AZ77" i="21398"/>
  <c r="AY77" i="21398"/>
  <c r="AZ76" i="21398"/>
  <c r="AZ75" i="21398"/>
  <c r="AY75" i="21398"/>
  <c r="AZ74" i="21398"/>
  <c r="AZ73" i="21398"/>
  <c r="AY73" i="21398"/>
  <c r="AZ72" i="21398"/>
  <c r="AZ71" i="21398"/>
  <c r="AY71" i="21398"/>
  <c r="AZ70" i="21398"/>
  <c r="AY69" i="21398"/>
  <c r="AZ68" i="21398"/>
  <c r="AZ67" i="21398"/>
  <c r="AY67" i="21398"/>
  <c r="AZ66" i="21398"/>
  <c r="AZ65" i="21398"/>
  <c r="AY65" i="21398"/>
  <c r="AZ64" i="21398"/>
  <c r="AZ63" i="21398"/>
  <c r="AY63" i="21398"/>
  <c r="AZ62" i="21398"/>
  <c r="AY61" i="21398"/>
  <c r="AZ60" i="21398"/>
  <c r="AZ59" i="21398"/>
  <c r="AY59" i="21398"/>
  <c r="AZ58" i="21398"/>
  <c r="AZ57" i="21398"/>
  <c r="AY57" i="21398"/>
  <c r="AZ56" i="21398"/>
  <c r="AZ55" i="21398"/>
  <c r="AY55" i="21398"/>
  <c r="AZ54" i="21398"/>
  <c r="AZ53" i="21398"/>
  <c r="AY53" i="21398"/>
  <c r="AZ52" i="21398"/>
  <c r="AY51" i="21398"/>
  <c r="AZ50" i="21398"/>
  <c r="AZ49" i="21398"/>
  <c r="AY49" i="21398"/>
  <c r="AZ48" i="21398"/>
  <c r="AZ47" i="21398"/>
  <c r="AY47" i="21398"/>
  <c r="AZ46" i="21398"/>
  <c r="AY45" i="21398"/>
  <c r="AZ44" i="21398"/>
  <c r="AZ43" i="21398"/>
  <c r="AY43" i="21398"/>
  <c r="AZ42" i="21398"/>
  <c r="AZ41" i="21398"/>
  <c r="AY41" i="21398"/>
  <c r="AZ40" i="21398"/>
  <c r="AY39" i="21398"/>
  <c r="AZ38" i="21398"/>
  <c r="AZ37" i="21398"/>
  <c r="AY37" i="21398"/>
  <c r="AZ36" i="21398"/>
  <c r="AZ35" i="21398"/>
  <c r="AY35" i="21398"/>
  <c r="AZ34" i="21398"/>
  <c r="AZ33" i="21398"/>
  <c r="AY33" i="21398"/>
  <c r="AZ32" i="21398"/>
  <c r="AY31" i="21398"/>
  <c r="AZ30" i="21398"/>
  <c r="AZ29" i="21398"/>
  <c r="AY29" i="21398"/>
  <c r="AZ28" i="21398"/>
  <c r="AZ27" i="21398"/>
  <c r="AY27" i="21398"/>
  <c r="AZ26" i="21398"/>
  <c r="AY25" i="21398"/>
  <c r="AZ24" i="21398"/>
  <c r="AZ23" i="21398"/>
  <c r="BB23" i="21398" s="1"/>
  <c r="AY23" i="21398"/>
  <c r="BA23" i="21398" s="1"/>
  <c r="AZ22" i="21398"/>
  <c r="BB22" i="21398" s="1"/>
  <c r="AZ21" i="21398"/>
  <c r="BB21" i="21398" s="1"/>
  <c r="AY21" i="21398"/>
  <c r="BA21" i="21398" s="1"/>
  <c r="AZ20" i="21398"/>
  <c r="AZ19" i="21398"/>
  <c r="AY19" i="21398"/>
  <c r="AZ18" i="21398"/>
  <c r="AZ17" i="21398"/>
  <c r="AY17" i="21398"/>
  <c r="AZ16" i="21398"/>
  <c r="AZ15" i="21398"/>
  <c r="AY15" i="21398"/>
  <c r="AZ14" i="21398"/>
  <c r="AZ13" i="21398"/>
  <c r="AY13" i="21398"/>
  <c r="AZ12" i="21398"/>
  <c r="AZ11" i="21398"/>
  <c r="AY11" i="21398"/>
  <c r="AZ10" i="21398"/>
  <c r="AZ9" i="21398"/>
  <c r="BB9" i="21398" s="1"/>
  <c r="AY9" i="21398"/>
  <c r="BA9" i="21398" s="1"/>
  <c r="AZ8" i="21398"/>
  <c r="BB8" i="21398" s="1"/>
  <c r="AZ7" i="21398"/>
  <c r="BB7" i="21398" s="1"/>
  <c r="AY7" i="21398"/>
  <c r="BA7" i="21398" s="1"/>
  <c r="AZ6" i="21398"/>
  <c r="AY5" i="21398"/>
  <c r="AY1273" i="2"/>
  <c r="AZ1272" i="2"/>
  <c r="AZ1271" i="2"/>
  <c r="AZ1270" i="2"/>
  <c r="AZ1268" i="2"/>
  <c r="AZ1266" i="2"/>
  <c r="AZ1265" i="2"/>
  <c r="AZ1264" i="2"/>
  <c r="AZ1263" i="2"/>
  <c r="AZ1262" i="2"/>
  <c r="AZ1261" i="2"/>
  <c r="AZ1260" i="2"/>
  <c r="AZ1259" i="2"/>
  <c r="AZ1258" i="2"/>
  <c r="AZ1257" i="2"/>
  <c r="AZ1256" i="2"/>
  <c r="AZ1255" i="2"/>
  <c r="AZ1254" i="2"/>
  <c r="AY1253" i="2"/>
  <c r="AZ1252" i="2"/>
  <c r="AZ1251" i="2"/>
  <c r="AY1251" i="2"/>
  <c r="AZ1250" i="2"/>
  <c r="AZ1249" i="2"/>
  <c r="AY1249" i="2"/>
  <c r="AZ1248" i="2"/>
  <c r="AZ1247" i="2"/>
  <c r="AY1247" i="2"/>
  <c r="AZ1246" i="2"/>
  <c r="AZ1245" i="2"/>
  <c r="AY1245" i="2"/>
  <c r="AZ1244" i="2"/>
  <c r="AY1243" i="2"/>
  <c r="AZ1242" i="2"/>
  <c r="AZ1241" i="2"/>
  <c r="AY1241" i="2"/>
  <c r="AZ1240" i="2"/>
  <c r="AZ1239" i="2"/>
  <c r="AY1239" i="2"/>
  <c r="AZ1238" i="2"/>
  <c r="AY1237" i="2"/>
  <c r="AZ1236" i="2"/>
  <c r="AZ1235" i="2"/>
  <c r="AY1235" i="2"/>
  <c r="AZ1234" i="2"/>
  <c r="AZ1233" i="2"/>
  <c r="AY1233" i="2"/>
  <c r="AZ1232" i="2"/>
  <c r="AZ1231" i="2"/>
  <c r="AY1231" i="2"/>
  <c r="AZ1230" i="2"/>
  <c r="AZ1229" i="2"/>
  <c r="AY1229" i="2"/>
  <c r="AZ1228" i="2"/>
  <c r="AZ1227" i="2"/>
  <c r="AY1227" i="2"/>
  <c r="AZ1226" i="2"/>
  <c r="AZ1225" i="2"/>
  <c r="AY1225" i="2"/>
  <c r="AZ1224" i="2"/>
  <c r="AZ1222" i="2"/>
  <c r="AZ1216" i="2"/>
  <c r="AZ1215" i="2"/>
  <c r="AY1215" i="2"/>
  <c r="AZ1214" i="2"/>
  <c r="AZ1213" i="2"/>
  <c r="AY1213" i="2"/>
  <c r="AZ1212" i="2"/>
  <c r="AY1211" i="2"/>
  <c r="AZ1210" i="2"/>
  <c r="AZ1209" i="2"/>
  <c r="AY1209" i="2"/>
  <c r="AZ1208" i="2"/>
  <c r="AZ1207" i="2"/>
  <c r="AY1207" i="2"/>
  <c r="AZ1206" i="2"/>
  <c r="AZ1205" i="2"/>
  <c r="AY1205" i="2"/>
  <c r="AZ1204" i="2"/>
  <c r="AY1203" i="2"/>
  <c r="AZ1202" i="2"/>
  <c r="AZ1201" i="2"/>
  <c r="AY1201" i="2"/>
  <c r="AZ1200" i="2"/>
  <c r="AZ1199" i="2"/>
  <c r="AY1199" i="2"/>
  <c r="AZ1198" i="2"/>
  <c r="AZ1197" i="2"/>
  <c r="AY1197" i="2"/>
  <c r="AZ1196" i="2"/>
  <c r="AY1195" i="2"/>
  <c r="AZ1194" i="2"/>
  <c r="AZ1193" i="2"/>
  <c r="AY1193" i="2"/>
  <c r="AZ1192" i="2"/>
  <c r="AZ1191" i="2"/>
  <c r="AY1191" i="2"/>
  <c r="AZ1190" i="2"/>
  <c r="AZ1189" i="2"/>
  <c r="AY1189" i="2"/>
  <c r="AZ1188" i="2"/>
  <c r="AY1187" i="2"/>
  <c r="AZ1186" i="2"/>
  <c r="AZ1185" i="2"/>
  <c r="AY1185" i="2"/>
  <c r="AZ1184" i="2"/>
  <c r="AY1184" i="2"/>
  <c r="AZ1183" i="2"/>
  <c r="AY1183" i="2"/>
  <c r="AZ1182" i="2"/>
  <c r="AY1182" i="2"/>
  <c r="AZ1181" i="2"/>
  <c r="AY1181" i="2"/>
  <c r="AZ1180" i="2"/>
  <c r="AY1180" i="2"/>
  <c r="AZ1179" i="2"/>
  <c r="AY1179" i="2"/>
  <c r="AZ1178" i="2"/>
  <c r="AY1178" i="2"/>
  <c r="AZ1177" i="2"/>
  <c r="AY1177" i="2"/>
  <c r="AZ1176" i="2"/>
  <c r="AY1176" i="2"/>
  <c r="AZ1175" i="2"/>
  <c r="AY1175" i="2"/>
  <c r="AZ1174" i="2"/>
  <c r="AY1174" i="2"/>
  <c r="AZ1173" i="2"/>
  <c r="AY1173" i="2"/>
  <c r="AZ1172" i="2"/>
  <c r="AY1172" i="2"/>
  <c r="AZ1170" i="2"/>
  <c r="AY1170" i="2"/>
  <c r="AZ1169" i="2"/>
  <c r="AY1169" i="2"/>
  <c r="AZ1168" i="2"/>
  <c r="AY1168" i="2"/>
  <c r="AZ1167" i="2"/>
  <c r="AY1167" i="2"/>
  <c r="AZ1166" i="2"/>
  <c r="AY1166" i="2"/>
  <c r="AZ1165" i="2"/>
  <c r="AY1165" i="2"/>
  <c r="AZ1164" i="2"/>
  <c r="AY1164" i="2"/>
  <c r="AZ1162" i="2"/>
  <c r="AY1162" i="2"/>
  <c r="AZ1161" i="2"/>
  <c r="AY1161" i="2"/>
  <c r="AZ1160" i="2"/>
  <c r="AY1160" i="2"/>
  <c r="AZ1159" i="2"/>
  <c r="AY1159" i="2"/>
  <c r="AZ1158" i="2"/>
  <c r="AY1158" i="2"/>
  <c r="AZ1157" i="2"/>
  <c r="AY1157" i="2"/>
  <c r="AZ1156" i="2"/>
  <c r="AY1156" i="2"/>
  <c r="AZ1155" i="2"/>
  <c r="AY1155" i="2"/>
  <c r="AZ1154" i="2"/>
  <c r="AY1154" i="2"/>
  <c r="AZ1153" i="2"/>
  <c r="AY1153" i="2"/>
  <c r="AZ1152" i="2"/>
  <c r="AY1152" i="2"/>
  <c r="AZ1151" i="2"/>
  <c r="AY1151" i="2"/>
  <c r="AZ1150" i="2"/>
  <c r="AY1150" i="2"/>
  <c r="AZ1149" i="2"/>
  <c r="AY1149" i="2"/>
  <c r="AZ1148" i="2"/>
  <c r="AY1148" i="2"/>
  <c r="AZ1146" i="2"/>
  <c r="AY1145" i="2"/>
  <c r="AZ1144" i="2"/>
  <c r="AY1144" i="2"/>
  <c r="AZ1143" i="2"/>
  <c r="AY1143" i="2"/>
  <c r="AZ1142" i="2"/>
  <c r="AY1142" i="2"/>
  <c r="AZ1141" i="2"/>
  <c r="AY1141" i="2"/>
  <c r="AZ1140" i="2"/>
  <c r="AY1140" i="2"/>
  <c r="AZ1139" i="2"/>
  <c r="AY1139" i="2"/>
  <c r="AZ1138" i="2"/>
  <c r="AY1138" i="2"/>
  <c r="AZ1137" i="2"/>
  <c r="AY1137" i="2"/>
  <c r="AZ1136" i="2"/>
  <c r="AZ1133" i="2"/>
  <c r="AY1133" i="2"/>
  <c r="AZ1132" i="2"/>
  <c r="AY1131" i="2"/>
  <c r="AZ1130" i="2"/>
  <c r="AZ1129" i="2"/>
  <c r="AY1129" i="2"/>
  <c r="AZ1128" i="2"/>
  <c r="AZ1127" i="2"/>
  <c r="AY1127" i="2"/>
  <c r="AZ1126" i="2"/>
  <c r="AZ1125" i="2"/>
  <c r="AY1125" i="2"/>
  <c r="AZ1124" i="2"/>
  <c r="AY1123" i="2"/>
  <c r="AZ1122" i="2"/>
  <c r="AZ1121" i="2"/>
  <c r="AY1121" i="2"/>
  <c r="AZ1120" i="2"/>
  <c r="AZ1119" i="2"/>
  <c r="AY1119" i="2"/>
  <c r="AZ1118" i="2"/>
  <c r="AZ1117" i="2"/>
  <c r="AY1117" i="2"/>
  <c r="AZ1116" i="2"/>
  <c r="AZ1115" i="2"/>
  <c r="AY1115" i="2"/>
  <c r="AZ1114" i="2"/>
  <c r="AZ1113" i="2"/>
  <c r="AY1113" i="2"/>
  <c r="AZ1112" i="2"/>
  <c r="AY1111" i="2"/>
  <c r="AZ1110" i="2"/>
  <c r="AZ1109" i="2"/>
  <c r="AY1109" i="2"/>
  <c r="AZ1108" i="2"/>
  <c r="AZ1107" i="2"/>
  <c r="AY1107" i="2"/>
  <c r="AZ1106" i="2"/>
  <c r="AY1105" i="2"/>
  <c r="AZ1104" i="2"/>
  <c r="AZ1103" i="2"/>
  <c r="AY1103" i="2"/>
  <c r="AZ1102" i="2"/>
  <c r="AZ1101" i="2"/>
  <c r="AY1101" i="2"/>
  <c r="AZ1100" i="2"/>
  <c r="AZ1099" i="2"/>
  <c r="AY1099" i="2"/>
  <c r="AZ1098" i="2"/>
  <c r="AZ1097" i="2"/>
  <c r="AY1097" i="2"/>
  <c r="AZ1096" i="2"/>
  <c r="AZ1095" i="2"/>
  <c r="AY1095" i="2"/>
  <c r="AZ1094" i="2"/>
  <c r="AY1093" i="2"/>
  <c r="AZ1092" i="2"/>
  <c r="AY1091" i="2"/>
  <c r="AZ1090" i="2"/>
  <c r="AY1089" i="2"/>
  <c r="AZ1088" i="2"/>
  <c r="AZ1087" i="2"/>
  <c r="AY1087" i="2"/>
  <c r="AZ1086" i="2"/>
  <c r="AY1085" i="2"/>
  <c r="AZ1084" i="2"/>
  <c r="AZ1083" i="2"/>
  <c r="AY1083" i="2"/>
  <c r="AZ1082" i="2"/>
  <c r="AZ1081" i="2"/>
  <c r="AY1081" i="2"/>
  <c r="AZ1080" i="2"/>
  <c r="AZ1079" i="2"/>
  <c r="AY1079" i="2"/>
  <c r="AZ1078" i="2"/>
  <c r="AZ1077" i="2"/>
  <c r="AY1077" i="2"/>
  <c r="AZ1076" i="2"/>
  <c r="AZ1075" i="2"/>
  <c r="AY1075" i="2"/>
  <c r="AZ1074" i="2"/>
  <c r="AY1073" i="2"/>
  <c r="AZ1072" i="2"/>
  <c r="AZ1071" i="2"/>
  <c r="AY1071" i="2"/>
  <c r="AZ1070" i="2"/>
  <c r="AZ1069" i="2"/>
  <c r="AY1069" i="2"/>
  <c r="AZ1068" i="2"/>
  <c r="AY1067" i="2"/>
  <c r="AZ1066" i="2"/>
  <c r="AZ1065" i="2"/>
  <c r="AY1065" i="2"/>
  <c r="AZ1064" i="2"/>
  <c r="AZ1063" i="2"/>
  <c r="AY1063" i="2"/>
  <c r="AZ1062" i="2"/>
  <c r="AZ1061" i="2"/>
  <c r="AY1061" i="2"/>
  <c r="AZ1060" i="2"/>
  <c r="AZ1059" i="2"/>
  <c r="AY1059" i="2"/>
  <c r="AZ1058" i="2"/>
  <c r="AZ1057" i="2"/>
  <c r="AY1057" i="2"/>
  <c r="AZ1056" i="2"/>
  <c r="AY1055" i="2"/>
  <c r="AZ1054" i="2"/>
  <c r="AZ1053" i="2"/>
  <c r="AY1053" i="2"/>
  <c r="AZ1052" i="2"/>
  <c r="AZ1051" i="2"/>
  <c r="AY1051" i="2"/>
  <c r="AZ1050" i="2"/>
  <c r="AZ1049" i="2"/>
  <c r="AY1049" i="2"/>
  <c r="AZ1048" i="2"/>
  <c r="AY1047" i="2"/>
  <c r="AZ1046" i="2"/>
  <c r="AZ1045" i="2"/>
  <c r="AY1045" i="2"/>
  <c r="AZ1044" i="2"/>
  <c r="AZ1043" i="2"/>
  <c r="AY1043" i="2"/>
  <c r="AZ1042" i="2"/>
  <c r="AZ1041" i="2"/>
  <c r="AY1041" i="2"/>
  <c r="AZ1040" i="2"/>
  <c r="AZ1039" i="2"/>
  <c r="AY1039" i="2"/>
  <c r="AZ1038" i="2"/>
  <c r="AZ1037" i="2"/>
  <c r="AY1037" i="2"/>
  <c r="AZ1036" i="2"/>
  <c r="AY1035" i="2"/>
  <c r="AZ1034" i="2"/>
  <c r="AZ1033" i="2"/>
  <c r="AY1033" i="2"/>
  <c r="AZ1032" i="2"/>
  <c r="AZ1031" i="2"/>
  <c r="AY1031" i="2"/>
  <c r="AZ1030" i="2"/>
  <c r="AY1029" i="2"/>
  <c r="AZ1028" i="2"/>
  <c r="AZ1027" i="2"/>
  <c r="AY1027" i="2"/>
  <c r="AZ1026" i="2"/>
  <c r="AZ1025" i="2"/>
  <c r="AY1025" i="2"/>
  <c r="AZ1024" i="2"/>
  <c r="AZ1023" i="2"/>
  <c r="AY1023" i="2"/>
  <c r="AZ1022" i="2"/>
  <c r="AZ1021" i="2"/>
  <c r="AY1021" i="2"/>
  <c r="AZ1020" i="2"/>
  <c r="AZ1019" i="2"/>
  <c r="AY1019" i="2"/>
  <c r="AZ1018" i="2"/>
  <c r="AZ1017" i="2"/>
  <c r="AY1017" i="2"/>
  <c r="AZ1016" i="2"/>
  <c r="AY1015" i="2"/>
  <c r="AZ1014" i="2"/>
  <c r="AZ1013" i="2"/>
  <c r="AY1013" i="2"/>
  <c r="AZ1012" i="2"/>
  <c r="AY1011" i="2"/>
  <c r="AZ1010" i="2"/>
  <c r="AY1009" i="2"/>
  <c r="AZ1008" i="2"/>
  <c r="AY1007" i="2"/>
  <c r="AZ1006" i="2"/>
  <c r="AZ1005" i="2"/>
  <c r="AY1005" i="2"/>
  <c r="AZ1004" i="2"/>
  <c r="AZ1003" i="2"/>
  <c r="AY1003" i="2"/>
  <c r="AZ1002" i="2"/>
  <c r="AZ1001" i="2"/>
  <c r="AY1001" i="2"/>
  <c r="AZ1000" i="2"/>
  <c r="AZ999" i="2"/>
  <c r="AY999" i="2"/>
  <c r="AZ998" i="2"/>
  <c r="AZ997" i="2"/>
  <c r="AY997" i="2"/>
  <c r="AZ996" i="2"/>
  <c r="AY995" i="2"/>
  <c r="AZ994" i="2"/>
  <c r="AZ993" i="2"/>
  <c r="AY993" i="2"/>
  <c r="AZ992" i="2"/>
  <c r="AZ991" i="2"/>
  <c r="AY991" i="2"/>
  <c r="AZ990" i="2"/>
  <c r="AY989" i="2"/>
  <c r="AZ988" i="2"/>
  <c r="AZ987" i="2"/>
  <c r="AY987" i="2"/>
  <c r="AZ986" i="2"/>
  <c r="AZ985" i="2"/>
  <c r="AY985" i="2"/>
  <c r="AZ984" i="2"/>
  <c r="AZ983" i="2"/>
  <c r="AY983" i="2"/>
  <c r="AZ982" i="2"/>
  <c r="AZ981" i="2"/>
  <c r="AY981" i="2"/>
  <c r="AZ980" i="2"/>
  <c r="AZ979" i="2"/>
  <c r="AY979" i="2"/>
  <c r="AZ978" i="2"/>
  <c r="AY977" i="2"/>
  <c r="AZ976" i="2"/>
  <c r="AZ975" i="2"/>
  <c r="AY975" i="2"/>
  <c r="AZ974" i="2"/>
  <c r="AZ973" i="2"/>
  <c r="AY973" i="2"/>
  <c r="AZ972" i="2"/>
  <c r="AZ971" i="2"/>
  <c r="AY971" i="2"/>
  <c r="AZ970" i="2"/>
  <c r="AY969" i="2"/>
  <c r="AZ968" i="2"/>
  <c r="AZ967" i="2"/>
  <c r="AY967" i="2"/>
  <c r="AZ966" i="2"/>
  <c r="AZ965" i="2"/>
  <c r="AY965" i="2"/>
  <c r="AZ964" i="2"/>
  <c r="AZ963" i="2"/>
  <c r="AY963" i="2"/>
  <c r="AZ962" i="2"/>
  <c r="AY961" i="2"/>
  <c r="AZ960" i="2"/>
  <c r="AZ959" i="2"/>
  <c r="AY959" i="2"/>
  <c r="AZ958" i="2"/>
  <c r="AZ957" i="2"/>
  <c r="AY957" i="2"/>
  <c r="AZ956" i="2"/>
  <c r="AY955" i="2"/>
  <c r="AZ954" i="2"/>
  <c r="AZ953" i="2"/>
  <c r="AY953" i="2"/>
  <c r="AZ952" i="2"/>
  <c r="AZ951" i="2"/>
  <c r="AY951" i="2"/>
  <c r="AZ950" i="2"/>
  <c r="AY949" i="2"/>
  <c r="AZ948" i="2"/>
  <c r="AZ947" i="2"/>
  <c r="AY947" i="2"/>
  <c r="AZ946" i="2"/>
  <c r="AY945" i="2"/>
  <c r="AZ944" i="2"/>
  <c r="AZ943" i="2"/>
  <c r="AY943" i="2"/>
  <c r="AZ942" i="2"/>
  <c r="AY941" i="2"/>
  <c r="AZ940" i="2"/>
  <c r="AY939" i="2"/>
  <c r="AZ938" i="2"/>
  <c r="AZ937" i="2"/>
  <c r="AY937" i="2"/>
  <c r="AZ936" i="2"/>
  <c r="AZ935" i="2"/>
  <c r="AY935" i="2"/>
  <c r="AZ934" i="2"/>
  <c r="AZ933" i="2"/>
  <c r="AY933" i="2"/>
  <c r="AZ932" i="2"/>
  <c r="AY931" i="2"/>
  <c r="AY929" i="2"/>
  <c r="AZ925" i="2"/>
  <c r="BB925" i="2" s="1"/>
  <c r="AY925" i="2"/>
  <c r="BA925" i="2" s="1"/>
  <c r="AZ924" i="2"/>
  <c r="BB924" i="2" s="1"/>
  <c r="AY924" i="2"/>
  <c r="BA924" i="2" s="1"/>
  <c r="AZ923" i="2"/>
  <c r="AY923" i="2"/>
  <c r="AZ922" i="2"/>
  <c r="AY922" i="2"/>
  <c r="AZ921" i="2"/>
  <c r="AY921" i="2"/>
  <c r="AZ920" i="2"/>
  <c r="AY920" i="2"/>
  <c r="AZ919" i="2"/>
  <c r="AY919" i="2"/>
  <c r="AZ918" i="2"/>
  <c r="BB918" i="2" s="1"/>
  <c r="AY918" i="2"/>
  <c r="BA918" i="2" s="1"/>
  <c r="AZ917" i="2"/>
  <c r="BB917" i="2" s="1"/>
  <c r="AY917" i="2"/>
  <c r="BA917" i="2" s="1"/>
  <c r="AZ916" i="2"/>
  <c r="BB916" i="2" s="1"/>
  <c r="AY916" i="2"/>
  <c r="BA916" i="2" s="1"/>
  <c r="AY915" i="2"/>
  <c r="BA915" i="2" s="1"/>
  <c r="AZ914" i="2"/>
  <c r="AY913" i="2"/>
  <c r="AZ912" i="2"/>
  <c r="AZ911" i="2"/>
  <c r="AY911" i="2"/>
  <c r="AZ910" i="2"/>
  <c r="AZ909" i="2"/>
  <c r="AY909" i="2"/>
  <c r="AZ908" i="2"/>
  <c r="AY907" i="2"/>
  <c r="AZ906" i="2"/>
  <c r="AZ905" i="2"/>
  <c r="AY905" i="2"/>
  <c r="AZ904" i="2"/>
  <c r="AY904" i="2"/>
  <c r="AZ903" i="2"/>
  <c r="AY903" i="2"/>
  <c r="AZ902" i="2"/>
  <c r="AZ901" i="2"/>
  <c r="AY901" i="2"/>
  <c r="AZ900" i="2"/>
  <c r="AZ899" i="2"/>
  <c r="AY899" i="2"/>
  <c r="AZ898" i="2"/>
  <c r="AZ897" i="2"/>
  <c r="AY897" i="2"/>
  <c r="AZ896" i="2"/>
  <c r="AZ895" i="2"/>
  <c r="AY895" i="2"/>
  <c r="AZ894" i="2"/>
  <c r="AZ893" i="2"/>
  <c r="AY893" i="2"/>
  <c r="AZ892" i="2"/>
  <c r="AZ891" i="2"/>
  <c r="AY891" i="2"/>
  <c r="AZ890" i="2"/>
  <c r="AZ889" i="2"/>
  <c r="AY889" i="2"/>
  <c r="AZ888" i="2"/>
  <c r="AZ887" i="2"/>
  <c r="AY887" i="2"/>
  <c r="AZ886" i="2"/>
  <c r="AY885" i="2"/>
  <c r="AZ884" i="2"/>
  <c r="AZ883" i="2"/>
  <c r="AY883" i="2"/>
  <c r="AZ882" i="2"/>
  <c r="AZ881" i="2"/>
  <c r="AY881" i="2"/>
  <c r="AZ880" i="2"/>
  <c r="AZ879" i="2"/>
  <c r="AY879" i="2"/>
  <c r="AZ878" i="2"/>
  <c r="AY877" i="2"/>
  <c r="AZ876" i="2"/>
  <c r="AZ875" i="2"/>
  <c r="AY875" i="2"/>
  <c r="AZ874" i="2"/>
  <c r="AZ873" i="2"/>
  <c r="AY873" i="2"/>
  <c r="AZ872" i="2"/>
  <c r="AY871" i="2"/>
  <c r="AZ870" i="2"/>
  <c r="AZ869" i="2"/>
  <c r="AY869" i="2"/>
  <c r="AZ868" i="2"/>
  <c r="AZ867" i="2"/>
  <c r="AY867" i="2"/>
  <c r="AZ866" i="2"/>
  <c r="AZ865" i="2"/>
  <c r="AY865" i="2"/>
  <c r="AZ864" i="2"/>
  <c r="AZ863" i="2"/>
  <c r="AY863" i="2"/>
  <c r="AZ862" i="2"/>
  <c r="AY861" i="2"/>
  <c r="AZ860" i="2"/>
  <c r="AZ859" i="2"/>
  <c r="AY859" i="2"/>
  <c r="AZ858" i="2"/>
  <c r="AZ857" i="2"/>
  <c r="AY857" i="2"/>
  <c r="AZ856" i="2"/>
  <c r="AZ855" i="2"/>
  <c r="AY855" i="2"/>
  <c r="AZ854" i="2"/>
  <c r="AY853" i="2"/>
  <c r="AZ852" i="2"/>
  <c r="AZ851" i="2"/>
  <c r="AY851" i="2"/>
  <c r="AZ850" i="2"/>
  <c r="AZ849" i="2"/>
  <c r="AY849" i="2"/>
  <c r="AZ848" i="2"/>
  <c r="AY847" i="2"/>
  <c r="AZ846" i="2"/>
  <c r="AZ845" i="2"/>
  <c r="AY845" i="2"/>
  <c r="AZ844" i="2"/>
  <c r="AZ843" i="2"/>
  <c r="AY843" i="2"/>
  <c r="AZ842" i="2"/>
  <c r="AY841" i="2"/>
  <c r="AZ840" i="2"/>
  <c r="AZ839" i="2"/>
  <c r="AY839" i="2"/>
  <c r="AZ838" i="2"/>
  <c r="AZ818" i="2"/>
  <c r="AY817" i="2"/>
  <c r="AZ816" i="2"/>
  <c r="AZ815" i="2"/>
  <c r="AY815" i="2"/>
  <c r="AZ814" i="2"/>
  <c r="AZ813" i="2"/>
  <c r="AY813" i="2"/>
  <c r="AZ812" i="2"/>
  <c r="AZ811" i="2"/>
  <c r="AY811" i="2"/>
  <c r="AZ810" i="2"/>
  <c r="AY809" i="2"/>
  <c r="AZ808" i="2"/>
  <c r="AZ807" i="2"/>
  <c r="AY807" i="2"/>
  <c r="AZ806" i="2"/>
  <c r="AY805" i="2"/>
  <c r="AZ804" i="2"/>
  <c r="AY803" i="2"/>
  <c r="AZ802" i="2"/>
  <c r="AZ801" i="2"/>
  <c r="AY801" i="2"/>
  <c r="AZ800" i="2"/>
  <c r="AY799" i="2"/>
  <c r="AZ798" i="2"/>
  <c r="AZ797" i="2"/>
  <c r="BB797" i="2" s="1"/>
  <c r="AY797" i="2"/>
  <c r="BA797" i="2" s="1"/>
  <c r="AZ796" i="2"/>
  <c r="AZ795" i="2"/>
  <c r="AY795" i="2"/>
  <c r="AZ794" i="2"/>
  <c r="AZ793" i="2"/>
  <c r="AY793" i="2"/>
  <c r="AZ792" i="2"/>
  <c r="AY791" i="2"/>
  <c r="AZ790" i="2"/>
  <c r="AZ789" i="2"/>
  <c r="BB789" i="2" s="1"/>
  <c r="AY789" i="2"/>
  <c r="BA789" i="2" s="1"/>
  <c r="AZ788" i="2"/>
  <c r="AY787" i="2"/>
  <c r="AZ786" i="2"/>
  <c r="AY785" i="2"/>
  <c r="AZ783" i="2"/>
  <c r="AY783" i="2"/>
  <c r="AZ781" i="2"/>
  <c r="AY781" i="2"/>
  <c r="AZ780" i="2"/>
  <c r="AY779" i="2"/>
  <c r="AZ778" i="2"/>
  <c r="AZ777" i="2"/>
  <c r="AY777" i="2"/>
  <c r="AZ776" i="2"/>
  <c r="AY775" i="2"/>
  <c r="AZ774" i="2"/>
  <c r="AZ773" i="2"/>
  <c r="AY773" i="2"/>
  <c r="AZ772" i="2"/>
  <c r="AZ771" i="2"/>
  <c r="AY771" i="2"/>
  <c r="AZ770" i="2"/>
  <c r="AZ769" i="2"/>
  <c r="AY769" i="2"/>
  <c r="AZ768" i="2"/>
  <c r="AY767" i="2"/>
  <c r="AZ766" i="2"/>
  <c r="AZ765" i="2"/>
  <c r="AY765" i="2"/>
  <c r="AZ764" i="2"/>
  <c r="AZ763" i="2"/>
  <c r="AY763" i="2"/>
  <c r="AZ762" i="2"/>
  <c r="AZ761" i="2"/>
  <c r="AY761" i="2"/>
  <c r="AZ760" i="2"/>
  <c r="AY759" i="2"/>
  <c r="AZ758" i="2"/>
  <c r="AZ757" i="2"/>
  <c r="AY757" i="2"/>
  <c r="AZ756" i="2"/>
  <c r="AZ755" i="2"/>
  <c r="AY755" i="2"/>
  <c r="AZ754" i="2"/>
  <c r="AY753" i="2"/>
  <c r="AZ752" i="2"/>
  <c r="AZ751" i="2"/>
  <c r="AY751" i="2"/>
  <c r="AZ750" i="2"/>
  <c r="AZ749" i="2"/>
  <c r="AY749" i="2"/>
  <c r="AZ748" i="2"/>
  <c r="AZ747" i="2"/>
  <c r="AY747" i="2"/>
  <c r="AY745" i="2"/>
  <c r="AZ744" i="2"/>
  <c r="AZ743" i="2"/>
  <c r="AY743" i="2"/>
  <c r="AZ742" i="2"/>
  <c r="AZ741" i="2"/>
  <c r="AY741" i="2"/>
  <c r="AZ740" i="2"/>
  <c r="AY739" i="2"/>
  <c r="AZ738" i="2"/>
  <c r="AY737" i="2"/>
  <c r="AZ736" i="2"/>
  <c r="AZ735" i="2"/>
  <c r="AY735" i="2"/>
  <c r="AZ734" i="2"/>
  <c r="AY733" i="2"/>
  <c r="AZ732" i="2"/>
  <c r="AZ731" i="2"/>
  <c r="AY731" i="2"/>
  <c r="AZ730" i="2"/>
  <c r="AY727" i="2"/>
  <c r="AZ726" i="2"/>
  <c r="AZ725" i="2"/>
  <c r="AY725" i="2"/>
  <c r="AZ724" i="2"/>
  <c r="AZ723" i="2"/>
  <c r="AY723" i="2"/>
  <c r="AZ722" i="2"/>
  <c r="AY721" i="2"/>
  <c r="AZ720" i="2"/>
  <c r="AZ719" i="2"/>
  <c r="AY719" i="2"/>
  <c r="AZ718" i="2"/>
  <c r="AZ717" i="2"/>
  <c r="AY717" i="2"/>
  <c r="AZ716" i="2"/>
  <c r="AY715" i="2"/>
  <c r="AZ714" i="2"/>
  <c r="AY713" i="2"/>
  <c r="AZ712" i="2"/>
  <c r="AZ711" i="2"/>
  <c r="AY711" i="2"/>
  <c r="AZ710" i="2"/>
  <c r="AZ709" i="2"/>
  <c r="AY709" i="2"/>
  <c r="AZ708" i="2"/>
  <c r="AY707" i="2"/>
  <c r="AZ706" i="2"/>
  <c r="AZ705" i="2"/>
  <c r="AY705" i="2"/>
  <c r="AZ704" i="2"/>
  <c r="AZ703" i="2"/>
  <c r="AY703" i="2"/>
  <c r="AZ702" i="2"/>
  <c r="AY701" i="2"/>
  <c r="AZ700" i="2"/>
  <c r="AY699" i="2"/>
  <c r="AZ698" i="2"/>
  <c r="AZ697" i="2"/>
  <c r="AY697" i="2"/>
  <c r="AZ696" i="2"/>
  <c r="AY695" i="2"/>
  <c r="AZ694" i="2"/>
  <c r="AZ693" i="2"/>
  <c r="AY693" i="2"/>
  <c r="AZ692" i="2"/>
  <c r="AZ691" i="2"/>
  <c r="AY691" i="2"/>
  <c r="AZ690" i="2"/>
  <c r="AZ689" i="2"/>
  <c r="AY689" i="2"/>
  <c r="AZ688" i="2"/>
  <c r="AY687" i="2"/>
  <c r="AZ686" i="2"/>
  <c r="AZ685" i="2"/>
  <c r="AY685" i="2"/>
  <c r="AZ684" i="2"/>
  <c r="AY683" i="2"/>
  <c r="AZ682" i="2"/>
  <c r="AY681" i="2"/>
  <c r="AZ680" i="2"/>
  <c r="AZ679" i="2"/>
  <c r="AY679" i="2"/>
  <c r="AZ678" i="2"/>
  <c r="AZ677" i="2"/>
  <c r="AY677" i="2"/>
  <c r="AZ676" i="2"/>
  <c r="AY675" i="2"/>
  <c r="AZ674" i="2"/>
  <c r="AZ673" i="2"/>
  <c r="AY673" i="2"/>
  <c r="AZ672" i="2"/>
  <c r="AZ671" i="2"/>
  <c r="AY671" i="2"/>
  <c r="AZ670" i="2"/>
  <c r="AY669" i="2"/>
  <c r="AZ668" i="2"/>
  <c r="AZ667" i="2"/>
  <c r="AY667" i="2"/>
  <c r="AZ666" i="2"/>
  <c r="AZ665" i="2"/>
  <c r="AY665" i="2"/>
  <c r="AZ664" i="2"/>
  <c r="AY663" i="2"/>
  <c r="AZ662" i="2"/>
  <c r="AY661" i="2"/>
  <c r="AZ660" i="2"/>
  <c r="AZ659" i="2"/>
  <c r="AY659" i="2"/>
  <c r="AZ658" i="2"/>
  <c r="AY657" i="2"/>
  <c r="AZ656" i="2"/>
  <c r="AZ655" i="2"/>
  <c r="AY655" i="2"/>
  <c r="AZ654" i="2"/>
  <c r="AZ651" i="2"/>
  <c r="AY651" i="2"/>
  <c r="AZ650" i="2"/>
  <c r="AZ649" i="2"/>
  <c r="AY649" i="2"/>
  <c r="AZ648" i="2"/>
  <c r="AZ647" i="2"/>
  <c r="AY647" i="2"/>
  <c r="AZ646" i="2"/>
  <c r="AZ645" i="2"/>
  <c r="AY645" i="2"/>
  <c r="AZ644" i="2"/>
  <c r="AY643" i="2"/>
  <c r="AZ642" i="2"/>
  <c r="AZ641" i="2"/>
  <c r="AY641" i="2"/>
  <c r="AZ640" i="2"/>
  <c r="AZ639" i="2"/>
  <c r="AY639" i="2"/>
  <c r="AZ638" i="2"/>
  <c r="AZ637" i="2"/>
  <c r="AY637" i="2"/>
  <c r="AZ636" i="2"/>
  <c r="AY635" i="2"/>
  <c r="AZ634" i="2"/>
  <c r="AZ633" i="2"/>
  <c r="AY633" i="2"/>
  <c r="AZ632" i="2"/>
  <c r="AY631" i="2"/>
  <c r="AZ630" i="2"/>
  <c r="AY629" i="2"/>
  <c r="AZ628" i="2"/>
  <c r="AZ627" i="2"/>
  <c r="AY627" i="2"/>
  <c r="AZ626" i="2"/>
  <c r="AY625" i="2"/>
  <c r="AZ624" i="2"/>
  <c r="AZ623" i="2"/>
  <c r="AY623" i="2"/>
  <c r="AZ622" i="2"/>
  <c r="AZ621" i="2"/>
  <c r="AY621" i="2"/>
  <c r="AZ620" i="2"/>
  <c r="AZ619" i="2"/>
  <c r="AY619" i="2"/>
  <c r="AZ618" i="2"/>
  <c r="AZ617" i="2"/>
  <c r="AY617" i="2"/>
  <c r="AZ616" i="2"/>
  <c r="AZ615" i="2"/>
  <c r="AY615" i="2"/>
  <c r="AZ614" i="2"/>
  <c r="AZ613" i="2"/>
  <c r="AY613" i="2"/>
  <c r="AZ612" i="2"/>
  <c r="AZ611" i="2"/>
  <c r="AY611" i="2"/>
  <c r="AZ610" i="2"/>
  <c r="AY609" i="2"/>
  <c r="AZ608" i="2"/>
  <c r="AZ607" i="2"/>
  <c r="AY607" i="2"/>
  <c r="AZ606" i="2"/>
  <c r="AZ605" i="2"/>
  <c r="AY605" i="2"/>
  <c r="AZ604" i="2"/>
  <c r="AZ603" i="2"/>
  <c r="AY603" i="2"/>
  <c r="AZ602" i="2"/>
  <c r="AY601" i="2"/>
  <c r="AZ600" i="2"/>
  <c r="AZ599" i="2"/>
  <c r="AY599" i="2"/>
  <c r="AZ598" i="2"/>
  <c r="AZ597" i="2"/>
  <c r="AY597" i="2"/>
  <c r="AZ596" i="2"/>
  <c r="AZ595" i="2"/>
  <c r="AY595" i="2"/>
  <c r="AZ594" i="2"/>
  <c r="AY593" i="2"/>
  <c r="AZ592" i="2"/>
  <c r="AY592" i="2"/>
  <c r="AZ591" i="2"/>
  <c r="AY591" i="2"/>
  <c r="AZ590" i="2"/>
  <c r="AY590" i="2"/>
  <c r="AZ589" i="2"/>
  <c r="AY589" i="2"/>
  <c r="AZ588" i="2"/>
  <c r="AY588" i="2"/>
  <c r="AZ587" i="2"/>
  <c r="AY587" i="2"/>
  <c r="AZ586" i="2"/>
  <c r="AY586" i="2"/>
  <c r="AY585" i="2"/>
  <c r="AZ584" i="2"/>
  <c r="AZ583" i="2"/>
  <c r="AY583" i="2"/>
  <c r="AZ582" i="2"/>
  <c r="AZ581" i="2"/>
  <c r="AY581" i="2"/>
  <c r="AZ580" i="2"/>
  <c r="AY579" i="2"/>
  <c r="AZ578" i="2"/>
  <c r="AZ577" i="2"/>
  <c r="AY577" i="2"/>
  <c r="AZ576" i="2"/>
  <c r="AZ575" i="2"/>
  <c r="AY575" i="2"/>
  <c r="AZ574" i="2"/>
  <c r="AY573" i="2"/>
  <c r="AZ572" i="2"/>
  <c r="AZ571" i="2"/>
  <c r="AY571" i="2"/>
  <c r="AZ570" i="2"/>
  <c r="AZ569" i="2"/>
  <c r="AY569" i="2"/>
  <c r="AZ568" i="2"/>
  <c r="AZ567" i="2"/>
  <c r="AY567" i="2"/>
  <c r="AZ566" i="2"/>
  <c r="AY565" i="2"/>
  <c r="AZ564" i="2"/>
  <c r="AZ563" i="2"/>
  <c r="AY563" i="2"/>
  <c r="AZ562" i="2"/>
  <c r="AZ561" i="2"/>
  <c r="AY561" i="2"/>
  <c r="AZ560" i="2"/>
  <c r="AZ559" i="2"/>
  <c r="AY559" i="2"/>
  <c r="AZ558" i="2"/>
  <c r="AZ557" i="2"/>
  <c r="AY557" i="2"/>
  <c r="AZ556" i="2"/>
  <c r="AZ555" i="2"/>
  <c r="AY555" i="2"/>
  <c r="AZ554" i="2"/>
  <c r="AZ553" i="2"/>
  <c r="AY553" i="2"/>
  <c r="AZ552" i="2"/>
  <c r="AY551" i="2"/>
  <c r="AZ550" i="2"/>
  <c r="AY549" i="2"/>
  <c r="AZ548" i="2"/>
  <c r="AY547" i="2"/>
  <c r="AZ546" i="2"/>
  <c r="AY545" i="2"/>
  <c r="AZ544" i="2"/>
  <c r="AZ543" i="2"/>
  <c r="AY543" i="2"/>
  <c r="AZ542" i="2"/>
  <c r="AZ541" i="2"/>
  <c r="AY541" i="2"/>
  <c r="AZ540" i="2"/>
  <c r="AZ539" i="2"/>
  <c r="AY539" i="2"/>
  <c r="AZ538" i="2"/>
  <c r="AZ535" i="2"/>
  <c r="AY535" i="2"/>
  <c r="AZ534" i="2"/>
  <c r="AZ533" i="2"/>
  <c r="AY533" i="2"/>
  <c r="AZ532" i="2"/>
  <c r="AZ531" i="2"/>
  <c r="AY531" i="2"/>
  <c r="AZ530" i="2"/>
  <c r="AY529" i="2"/>
  <c r="AZ528" i="2"/>
  <c r="AZ527" i="2"/>
  <c r="AY527" i="2"/>
  <c r="AZ526" i="2"/>
  <c r="AZ525" i="2"/>
  <c r="AY525" i="2"/>
  <c r="AZ524" i="2"/>
  <c r="AZ523" i="2"/>
  <c r="AY523" i="2"/>
  <c r="AZ522" i="2"/>
  <c r="AY521" i="2"/>
  <c r="AZ520" i="2"/>
  <c r="AZ519" i="2"/>
  <c r="AY519" i="2"/>
  <c r="AZ518" i="2"/>
  <c r="AZ517" i="2"/>
  <c r="AY517" i="2"/>
  <c r="AZ516" i="2"/>
  <c r="AY515" i="2"/>
  <c r="AZ514" i="2"/>
  <c r="AZ513" i="2"/>
  <c r="AY513" i="2"/>
  <c r="AZ512" i="2"/>
  <c r="AZ511" i="2"/>
  <c r="AY511" i="2"/>
  <c r="AZ510" i="2"/>
  <c r="AY509" i="2"/>
  <c r="AZ508" i="2"/>
  <c r="AZ507" i="2"/>
  <c r="AY507" i="2"/>
  <c r="AZ506" i="2"/>
  <c r="AZ505" i="2"/>
  <c r="AY505" i="2"/>
  <c r="AZ504" i="2"/>
  <c r="AY503" i="2"/>
  <c r="AZ502" i="2"/>
  <c r="AZ501" i="2"/>
  <c r="AY501" i="2"/>
  <c r="AZ500" i="2"/>
  <c r="AY499" i="2"/>
  <c r="AZ498" i="2"/>
  <c r="AZ497" i="2"/>
  <c r="AY497" i="2"/>
  <c r="AZ495" i="2"/>
  <c r="AY495" i="2"/>
  <c r="AZ493" i="2"/>
  <c r="AY493" i="2"/>
  <c r="AZ492" i="2"/>
  <c r="AZ491" i="2"/>
  <c r="AY491" i="2"/>
  <c r="AZ490" i="2"/>
  <c r="AZ489" i="2"/>
  <c r="AY489" i="2"/>
  <c r="AZ488" i="2"/>
  <c r="AY487" i="2"/>
  <c r="AZ486" i="2"/>
  <c r="AZ485" i="2"/>
  <c r="AY485" i="2"/>
  <c r="AZ484" i="2"/>
  <c r="AY483" i="2"/>
  <c r="AZ482" i="2"/>
  <c r="AY481" i="2"/>
  <c r="AZ480" i="2"/>
  <c r="AY479" i="2"/>
  <c r="BA479" i="2" s="1"/>
  <c r="AZ478" i="2"/>
  <c r="AY478" i="2"/>
  <c r="AZ477" i="2"/>
  <c r="AY477" i="2"/>
  <c r="AZ476" i="2"/>
  <c r="AY476" i="2"/>
  <c r="AZ475" i="2"/>
  <c r="AY475" i="2"/>
  <c r="AZ474" i="2"/>
  <c r="AY474" i="2"/>
  <c r="AZ473" i="2"/>
  <c r="AY473" i="2"/>
  <c r="AZ472" i="2"/>
  <c r="AY472" i="2"/>
  <c r="AZ471" i="2"/>
  <c r="AY471" i="2"/>
  <c r="AZ470" i="2"/>
  <c r="AY470" i="2"/>
  <c r="AZ469" i="2"/>
  <c r="AY469" i="2"/>
  <c r="AZ468" i="2"/>
  <c r="AY468" i="2"/>
  <c r="AZ467" i="2"/>
  <c r="AY467" i="2"/>
  <c r="AZ466" i="2"/>
  <c r="AY466" i="2"/>
  <c r="AZ465" i="2"/>
  <c r="AY465" i="2"/>
  <c r="AZ464" i="2"/>
  <c r="AY464" i="2"/>
  <c r="AZ463" i="2"/>
  <c r="AY463" i="2"/>
  <c r="AZ462" i="2"/>
  <c r="AY462" i="2"/>
  <c r="AZ461" i="2"/>
  <c r="AY461" i="2"/>
  <c r="AZ460" i="2"/>
  <c r="AY460" i="2"/>
  <c r="AZ459" i="2"/>
  <c r="AY459" i="2"/>
  <c r="AZ458" i="2"/>
  <c r="AZ457" i="2"/>
  <c r="AY457" i="2"/>
  <c r="AZ456" i="2"/>
  <c r="AZ455" i="2"/>
  <c r="AY455" i="2"/>
  <c r="AZ454" i="2"/>
  <c r="AY453" i="2"/>
  <c r="AZ452" i="2"/>
  <c r="AZ451" i="2"/>
  <c r="AY451" i="2"/>
  <c r="AZ450" i="2"/>
  <c r="AY449" i="2"/>
  <c r="AZ448" i="2"/>
  <c r="AY447" i="2"/>
  <c r="AZ446" i="2"/>
  <c r="AY445" i="2"/>
  <c r="AZ444" i="2"/>
  <c r="AZ443" i="2"/>
  <c r="AY443" i="2"/>
  <c r="AZ442" i="2"/>
  <c r="AZ441" i="2"/>
  <c r="AY441" i="2"/>
  <c r="AZ440" i="2"/>
  <c r="AZ439" i="2"/>
  <c r="AY439" i="2"/>
  <c r="AZ438" i="2"/>
  <c r="AZ437" i="2"/>
  <c r="AY437" i="2"/>
  <c r="AZ436" i="2"/>
  <c r="AZ435" i="2"/>
  <c r="AY435" i="2"/>
  <c r="AZ434" i="2"/>
  <c r="AZ433" i="2"/>
  <c r="AY433" i="2"/>
  <c r="AZ432" i="2"/>
  <c r="AY431" i="2"/>
  <c r="AZ430" i="2"/>
  <c r="AZ429" i="2"/>
  <c r="AY429" i="2"/>
  <c r="AZ428" i="2"/>
  <c r="AZ427" i="2"/>
  <c r="AY427" i="2"/>
  <c r="AZ426" i="2"/>
  <c r="AY425" i="2"/>
  <c r="AZ424" i="2"/>
  <c r="AZ423" i="2"/>
  <c r="AY423" i="2"/>
  <c r="AZ422" i="2"/>
  <c r="AZ421" i="2"/>
  <c r="AY421" i="2"/>
  <c r="AZ420" i="2"/>
  <c r="AZ419" i="2"/>
  <c r="AY419" i="2"/>
  <c r="AZ418" i="2"/>
  <c r="AZ417" i="2"/>
  <c r="AY417" i="2"/>
  <c r="AZ416" i="2"/>
  <c r="AZ415" i="2"/>
  <c r="AY415" i="2"/>
  <c r="AZ414" i="2"/>
  <c r="AZ413" i="2"/>
  <c r="AY413" i="2"/>
  <c r="AZ412" i="2"/>
  <c r="AY411" i="2"/>
  <c r="AZ410" i="2"/>
  <c r="AZ409" i="2"/>
  <c r="AY409" i="2"/>
  <c r="AZ408" i="2"/>
  <c r="AZ407" i="2"/>
  <c r="AY407" i="2"/>
  <c r="AZ406" i="2"/>
  <c r="AZ405" i="2"/>
  <c r="AY405" i="2"/>
  <c r="AZ404" i="2"/>
  <c r="AY403" i="2"/>
  <c r="AZ402" i="2"/>
  <c r="AZ401" i="2"/>
  <c r="AY401" i="2"/>
  <c r="AZ400" i="2"/>
  <c r="AZ399" i="2"/>
  <c r="AY399" i="2"/>
  <c r="AZ398" i="2"/>
  <c r="AZ397" i="2"/>
  <c r="AY397" i="2"/>
  <c r="AZ396" i="2"/>
  <c r="AZ395" i="2"/>
  <c r="AY395" i="2"/>
  <c r="AZ394" i="2"/>
  <c r="AZ393" i="2"/>
  <c r="AY393" i="2"/>
  <c r="AZ392" i="2"/>
  <c r="AY391" i="2"/>
  <c r="AZ390" i="2"/>
  <c r="AZ389" i="2"/>
  <c r="AY389" i="2"/>
  <c r="AZ388" i="2"/>
  <c r="AZ387" i="2"/>
  <c r="AY387" i="2"/>
  <c r="AZ386" i="2"/>
  <c r="AY385" i="2"/>
  <c r="AZ384" i="2"/>
  <c r="AZ383" i="2"/>
  <c r="AY383" i="2"/>
  <c r="AZ382" i="2"/>
  <c r="AZ381" i="2"/>
  <c r="AY381" i="2"/>
  <c r="AZ380" i="2"/>
  <c r="AZ379" i="2"/>
  <c r="AY379" i="2"/>
  <c r="AZ378" i="2"/>
  <c r="AY377" i="2"/>
  <c r="AZ376" i="2"/>
  <c r="AZ375" i="2"/>
  <c r="AY375" i="2"/>
  <c r="AZ374" i="2"/>
  <c r="AZ373" i="2"/>
  <c r="AY373" i="2"/>
  <c r="AZ372" i="2"/>
  <c r="AZ371" i="2"/>
  <c r="AY371" i="2"/>
  <c r="AZ370" i="2"/>
  <c r="AY369" i="2"/>
  <c r="AZ368" i="2"/>
  <c r="AZ367" i="2"/>
  <c r="AY367" i="2"/>
  <c r="AZ366" i="2"/>
  <c r="AY365" i="2"/>
  <c r="AZ364" i="2"/>
  <c r="AY363" i="2"/>
  <c r="AZ362" i="2"/>
  <c r="AY361" i="2"/>
  <c r="AZ360" i="2"/>
  <c r="AY359" i="2"/>
  <c r="AZ358" i="2"/>
  <c r="AZ357" i="2"/>
  <c r="AY357" i="2"/>
  <c r="AZ356" i="2"/>
  <c r="AY355" i="2"/>
  <c r="AZ354" i="2"/>
  <c r="AZ353" i="2"/>
  <c r="AY353" i="2"/>
  <c r="AZ352" i="2"/>
  <c r="AZ351" i="2"/>
  <c r="AY351" i="2"/>
  <c r="AZ350" i="2"/>
  <c r="AZ349" i="2"/>
  <c r="AY349" i="2"/>
  <c r="AZ348" i="2"/>
  <c r="AZ347" i="2"/>
  <c r="AY347" i="2"/>
  <c r="AZ346" i="2"/>
  <c r="AZ345" i="2"/>
  <c r="AY345" i="2"/>
  <c r="AZ344" i="2"/>
  <c r="AZ343" i="2"/>
  <c r="AY343" i="2"/>
  <c r="AZ342" i="2"/>
  <c r="AZ341" i="2"/>
  <c r="AY341" i="2"/>
  <c r="AZ340" i="2"/>
  <c r="AY339" i="2"/>
  <c r="AZ338" i="2"/>
  <c r="AZ337" i="2"/>
  <c r="AY337" i="2"/>
  <c r="AZ336" i="2"/>
  <c r="AZ335" i="2"/>
  <c r="AY335" i="2"/>
  <c r="AZ334" i="2"/>
  <c r="AZ333" i="2"/>
  <c r="AY333" i="2"/>
  <c r="AZ332" i="2"/>
  <c r="AY331" i="2"/>
  <c r="AZ330" i="2"/>
  <c r="AZ329" i="2"/>
  <c r="AY329" i="2"/>
  <c r="AZ328" i="2"/>
  <c r="AZ327" i="2"/>
  <c r="AY327" i="2"/>
  <c r="AZ326" i="2"/>
  <c r="AY325" i="2"/>
  <c r="AZ324" i="2"/>
  <c r="AZ323" i="2"/>
  <c r="AY323" i="2"/>
  <c r="AZ322" i="2"/>
  <c r="AZ321" i="2"/>
  <c r="AY321" i="2"/>
  <c r="AZ320" i="2"/>
  <c r="AZ319" i="2"/>
  <c r="AY319" i="2"/>
  <c r="AZ318" i="2"/>
  <c r="AY317" i="2"/>
  <c r="AZ316" i="2"/>
  <c r="AZ315" i="2"/>
  <c r="AY315" i="2"/>
  <c r="AZ314" i="2"/>
  <c r="AZ313" i="2"/>
  <c r="AY313" i="2"/>
  <c r="AZ312" i="2"/>
  <c r="AZ311" i="2"/>
  <c r="AY311" i="2"/>
  <c r="AZ310" i="2"/>
  <c r="AY309" i="2"/>
  <c r="AZ308" i="2"/>
  <c r="AZ307" i="2"/>
  <c r="AY307" i="2"/>
  <c r="AZ306" i="2"/>
  <c r="AZ305" i="2"/>
  <c r="AY305" i="2"/>
  <c r="AZ304" i="2"/>
  <c r="AY303" i="2"/>
  <c r="AZ302" i="2"/>
  <c r="AZ301" i="2"/>
  <c r="AY301" i="2"/>
  <c r="AZ300" i="2"/>
  <c r="AZ299" i="2"/>
  <c r="AY299" i="2"/>
  <c r="AZ298" i="2"/>
  <c r="AY297" i="2"/>
  <c r="AZ296" i="2"/>
  <c r="AZ295" i="2"/>
  <c r="AY295" i="2"/>
  <c r="AZ294" i="2"/>
  <c r="AY293" i="2"/>
  <c r="AZ292" i="2"/>
  <c r="AZ291" i="2"/>
  <c r="AY291" i="2"/>
  <c r="AZ290" i="2"/>
  <c r="AZ289" i="2"/>
  <c r="AY289" i="2"/>
  <c r="AZ288" i="2"/>
  <c r="AZ287" i="2"/>
  <c r="AY287" i="2"/>
  <c r="AZ286" i="2"/>
  <c r="AY285" i="2"/>
  <c r="AZ284" i="2"/>
  <c r="AZ283" i="2"/>
  <c r="AY283" i="2"/>
  <c r="AZ282" i="2"/>
  <c r="AZ281" i="2"/>
  <c r="AY281" i="2"/>
  <c r="AZ280" i="2"/>
  <c r="AZ279" i="2"/>
  <c r="AY279" i="2"/>
  <c r="AZ278" i="2"/>
  <c r="AZ277" i="2"/>
  <c r="AY277" i="2"/>
  <c r="AZ276" i="2"/>
  <c r="AY275" i="2"/>
  <c r="AZ274" i="2"/>
  <c r="AY273" i="2"/>
  <c r="AZ272" i="2"/>
  <c r="AY271" i="2"/>
  <c r="AZ270" i="2"/>
  <c r="AY269" i="2"/>
  <c r="AZ268" i="2"/>
  <c r="AZ267" i="2"/>
  <c r="AY267" i="2"/>
  <c r="AZ266" i="2"/>
  <c r="AZ265" i="2"/>
  <c r="AY265" i="2"/>
  <c r="AZ264" i="2"/>
  <c r="AZ263" i="2"/>
  <c r="AY263" i="2"/>
  <c r="AZ262" i="2"/>
  <c r="AY261" i="2"/>
  <c r="AZ260" i="2"/>
  <c r="AZ259" i="2"/>
  <c r="AY259" i="2"/>
  <c r="AZ258" i="2"/>
  <c r="AZ257" i="2"/>
  <c r="AY257" i="2"/>
  <c r="AZ256" i="2"/>
  <c r="AZ255" i="2"/>
  <c r="AY255" i="2"/>
  <c r="AZ254" i="2"/>
  <c r="AY253" i="2"/>
  <c r="AZ252" i="2"/>
  <c r="AZ251" i="2"/>
  <c r="AY251" i="2"/>
  <c r="AZ250" i="2"/>
  <c r="AZ249" i="2"/>
  <c r="AY249" i="2"/>
  <c r="AZ248" i="2"/>
  <c r="AZ247" i="2"/>
  <c r="AY247" i="2"/>
  <c r="AZ246" i="2"/>
  <c r="AZ245" i="2"/>
  <c r="AY245" i="2"/>
  <c r="AZ244" i="2"/>
  <c r="AY243" i="2"/>
  <c r="AZ242" i="2"/>
  <c r="AZ241" i="2"/>
  <c r="AY241" i="2"/>
  <c r="AZ240" i="2"/>
  <c r="AZ239" i="2"/>
  <c r="AY239" i="2"/>
  <c r="AZ238" i="2"/>
  <c r="AY237" i="2"/>
  <c r="AZ236" i="2"/>
  <c r="AZ235" i="2"/>
  <c r="AY235" i="2"/>
  <c r="AZ234" i="2"/>
  <c r="AZ233" i="2"/>
  <c r="AY233" i="2"/>
  <c r="AZ232" i="2"/>
  <c r="AZ231" i="2"/>
  <c r="AY231" i="2"/>
  <c r="AZ230" i="2"/>
  <c r="AZ229" i="2"/>
  <c r="AY229" i="2"/>
  <c r="AZ228" i="2"/>
  <c r="AY227" i="2"/>
  <c r="AZ226" i="2"/>
  <c r="AZ225" i="2"/>
  <c r="AY225" i="2"/>
  <c r="AZ224" i="2"/>
  <c r="AZ223" i="2"/>
  <c r="AY223" i="2"/>
  <c r="AZ222" i="2"/>
  <c r="AZ221" i="2"/>
  <c r="AY221" i="2"/>
  <c r="AZ220" i="2"/>
  <c r="AY219" i="2"/>
  <c r="AZ217" i="2"/>
  <c r="AY217" i="2"/>
  <c r="AZ216" i="2"/>
  <c r="AY215" i="2"/>
  <c r="AZ214" i="2"/>
  <c r="AZ213" i="2"/>
  <c r="AY213" i="2"/>
  <c r="AZ212" i="2"/>
  <c r="AZ211" i="2"/>
  <c r="AY211" i="2"/>
  <c r="AZ210" i="2"/>
  <c r="AZ209" i="2"/>
  <c r="AY209" i="2"/>
  <c r="AZ208" i="2"/>
  <c r="AZ207" i="2"/>
  <c r="AY207" i="2"/>
  <c r="AZ206" i="2"/>
  <c r="AY205" i="2"/>
  <c r="AZ204" i="2"/>
  <c r="AZ203" i="2"/>
  <c r="AY203" i="2"/>
  <c r="AZ202" i="2"/>
  <c r="AZ201" i="2"/>
  <c r="AY201" i="2"/>
  <c r="AY199" i="2"/>
  <c r="AZ198" i="2"/>
  <c r="AZ197" i="2"/>
  <c r="AY197" i="2"/>
  <c r="AZ196" i="2"/>
  <c r="AY195" i="2"/>
  <c r="AZ194" i="2"/>
  <c r="AZ193" i="2"/>
  <c r="AY193" i="2"/>
  <c r="AZ192" i="2"/>
  <c r="AY191" i="2"/>
  <c r="AZ190" i="2"/>
  <c r="AZ189" i="2"/>
  <c r="AY189" i="2"/>
  <c r="AZ188" i="2"/>
  <c r="AZ187" i="2"/>
  <c r="AY187" i="2"/>
  <c r="AZ186" i="2"/>
  <c r="AZ185" i="2"/>
  <c r="AY185" i="2"/>
  <c r="AZ184" i="2"/>
  <c r="AY183" i="2"/>
  <c r="AZ181" i="2"/>
  <c r="AY181" i="2"/>
  <c r="AZ180" i="2"/>
  <c r="AZ179" i="2"/>
  <c r="AY179" i="2"/>
  <c r="AZ178" i="2"/>
  <c r="AY177" i="2"/>
  <c r="AZ176" i="2"/>
  <c r="AY175" i="2"/>
  <c r="AZ174" i="2"/>
  <c r="AZ173" i="2"/>
  <c r="AY173" i="2"/>
  <c r="AZ172" i="2"/>
  <c r="AZ171" i="2"/>
  <c r="AY171" i="2"/>
  <c r="AZ170" i="2"/>
  <c r="AZ169" i="2"/>
  <c r="AY169" i="2"/>
  <c r="AZ168" i="2"/>
  <c r="AZ167" i="2"/>
  <c r="AY167" i="2"/>
  <c r="AZ166" i="2"/>
  <c r="AZ165" i="2"/>
  <c r="AY165" i="2"/>
  <c r="AZ164" i="2"/>
  <c r="AZ163" i="2"/>
  <c r="AY163" i="2"/>
  <c r="AZ162" i="2"/>
  <c r="AY161" i="2"/>
  <c r="AZ159" i="2"/>
  <c r="AY159" i="2"/>
  <c r="AZ158" i="2"/>
  <c r="AZ157" i="2"/>
  <c r="AY157" i="2"/>
  <c r="AZ156" i="2"/>
  <c r="AZ155" i="2"/>
  <c r="AY155" i="2"/>
  <c r="AZ154" i="2"/>
  <c r="AZ153" i="2"/>
  <c r="AY153" i="2"/>
  <c r="AZ152" i="2"/>
  <c r="AY151" i="2"/>
  <c r="AZ150" i="2"/>
  <c r="AZ149" i="2"/>
  <c r="AY149" i="2"/>
  <c r="AZ148" i="2"/>
  <c r="AZ147" i="2"/>
  <c r="AY147" i="2"/>
  <c r="AZ146" i="2"/>
  <c r="AY145" i="2"/>
  <c r="AZ144" i="2"/>
  <c r="AY143" i="2"/>
  <c r="AZ142" i="2"/>
  <c r="AZ141" i="2"/>
  <c r="AY141" i="2"/>
  <c r="AZ140" i="2"/>
  <c r="AY139" i="2"/>
  <c r="AZ138" i="2"/>
  <c r="AZ137" i="2"/>
  <c r="AY137" i="2"/>
  <c r="AZ136" i="2"/>
  <c r="AY135" i="2"/>
  <c r="AZ134" i="2"/>
  <c r="AZ133" i="2"/>
  <c r="AY133" i="2"/>
  <c r="AZ132" i="2"/>
  <c r="AZ131" i="2"/>
  <c r="AY131" i="2"/>
  <c r="AZ130" i="2"/>
  <c r="AZ129" i="2"/>
  <c r="AY129" i="2"/>
  <c r="AZ128" i="2"/>
  <c r="AZ127" i="2"/>
  <c r="AY127" i="2"/>
  <c r="AZ126" i="2"/>
  <c r="AZ125" i="2"/>
  <c r="AY125" i="2"/>
  <c r="AZ124" i="2"/>
  <c r="AY123" i="2"/>
  <c r="AZ122" i="2"/>
  <c r="AZ121" i="2"/>
  <c r="AY121" i="2"/>
  <c r="AZ120" i="2"/>
  <c r="AZ119" i="2"/>
  <c r="AY119" i="2"/>
  <c r="AZ118" i="2"/>
  <c r="AY117" i="2"/>
  <c r="AZ116" i="2"/>
  <c r="AZ115" i="2"/>
  <c r="AY115" i="2"/>
  <c r="AZ114" i="2"/>
  <c r="AZ113" i="2"/>
  <c r="AY113" i="2"/>
  <c r="AZ112" i="2"/>
  <c r="AZ111" i="2"/>
  <c r="AY111" i="2"/>
  <c r="AZ110" i="2"/>
  <c r="AZ109" i="2"/>
  <c r="AY109" i="2"/>
  <c r="AZ108" i="2"/>
  <c r="AZ107" i="2"/>
  <c r="AY107" i="2"/>
  <c r="AZ106" i="2"/>
  <c r="AZ105" i="2"/>
  <c r="AY105" i="2"/>
  <c r="AZ104" i="2"/>
  <c r="AY103" i="2"/>
  <c r="AZ102" i="2"/>
  <c r="AZ101" i="2"/>
  <c r="AY101" i="2"/>
  <c r="AZ100" i="2"/>
  <c r="AZ99" i="2"/>
  <c r="AY99" i="2"/>
  <c r="AZ98" i="2"/>
  <c r="AZ97" i="2"/>
  <c r="AY97" i="2"/>
  <c r="AZ96" i="2"/>
  <c r="AY95" i="2"/>
  <c r="AZ94" i="2"/>
  <c r="AZ93" i="2"/>
  <c r="AY93" i="2"/>
  <c r="AZ92" i="2"/>
  <c r="AZ91" i="2"/>
  <c r="AY91" i="2"/>
  <c r="AZ90" i="2"/>
  <c r="BB90" i="2" s="1"/>
  <c r="AZ89" i="2"/>
  <c r="BB89" i="2" s="1"/>
  <c r="AY89" i="2"/>
  <c r="BA89" i="2" s="1"/>
  <c r="AZ88" i="2"/>
  <c r="BB88" i="2" s="1"/>
  <c r="AY87" i="2"/>
  <c r="BA87" i="2" s="1"/>
  <c r="AZ86" i="2"/>
  <c r="BB86" i="2" s="1"/>
  <c r="AY85" i="2"/>
  <c r="BA85" i="2" s="1"/>
  <c r="AZ83" i="2"/>
  <c r="BB83" i="2" s="1"/>
  <c r="AY83" i="2"/>
  <c r="BA83" i="2" s="1"/>
  <c r="AZ82" i="2"/>
  <c r="BB82" i="2" s="1"/>
  <c r="AZ81" i="2"/>
  <c r="BB81" i="2" s="1"/>
  <c r="AY81" i="2"/>
  <c r="BA81" i="2" s="1"/>
  <c r="AZ80" i="2"/>
  <c r="BB80" i="2" s="1"/>
  <c r="AY79" i="2"/>
  <c r="BA79" i="2" s="1"/>
  <c r="AZ78" i="2"/>
  <c r="BB78" i="2" s="1"/>
  <c r="AZ77" i="2"/>
  <c r="BB77" i="2" s="1"/>
  <c r="AY77" i="2"/>
  <c r="BA77" i="2" s="1"/>
  <c r="AZ76" i="2"/>
  <c r="BB76" i="2" s="1"/>
  <c r="AZ75" i="2"/>
  <c r="BB75" i="2" s="1"/>
  <c r="AY75" i="2"/>
  <c r="BA75" i="2" s="1"/>
  <c r="AZ74" i="2"/>
  <c r="BB74" i="2" s="1"/>
  <c r="AZ73" i="2"/>
  <c r="BB73" i="2" s="1"/>
  <c r="AY73" i="2"/>
  <c r="BA73" i="2" s="1"/>
  <c r="AZ72" i="2"/>
  <c r="BB72" i="2" s="1"/>
  <c r="AZ71" i="2"/>
  <c r="BB71" i="2" s="1"/>
  <c r="AY71" i="2"/>
  <c r="BA71" i="2" s="1"/>
  <c r="AZ70" i="2"/>
  <c r="BB70" i="2" s="1"/>
  <c r="AY69" i="2"/>
  <c r="BA69" i="2" s="1"/>
  <c r="AZ68" i="2"/>
  <c r="BB68" i="2" s="1"/>
  <c r="AZ67" i="2"/>
  <c r="BB67" i="2" s="1"/>
  <c r="AY67" i="2"/>
  <c r="BA67" i="2" s="1"/>
  <c r="AZ66" i="2"/>
  <c r="BB66" i="2" s="1"/>
  <c r="AZ65" i="2"/>
  <c r="BB65" i="2" s="1"/>
  <c r="AY65" i="2"/>
  <c r="BA65" i="2" s="1"/>
  <c r="AZ64" i="2"/>
  <c r="BB64" i="2" s="1"/>
  <c r="AZ63" i="2"/>
  <c r="BB63" i="2" s="1"/>
  <c r="AY63" i="2"/>
  <c r="BA63" i="2" s="1"/>
  <c r="AZ62" i="2"/>
  <c r="AY61" i="2"/>
  <c r="AZ60" i="2"/>
  <c r="AZ59" i="2"/>
  <c r="AY59" i="2"/>
  <c r="AZ58" i="2"/>
  <c r="AZ57" i="2"/>
  <c r="AY57" i="2"/>
  <c r="AZ56" i="2"/>
  <c r="AZ55" i="2"/>
  <c r="AY55" i="2"/>
  <c r="AZ54" i="2"/>
  <c r="AZ53" i="2"/>
  <c r="AY53" i="2"/>
  <c r="AZ52" i="2"/>
  <c r="AY51" i="2"/>
  <c r="AZ50" i="2"/>
  <c r="AZ49" i="2"/>
  <c r="AY49" i="2"/>
  <c r="AZ48" i="2"/>
  <c r="AZ47" i="2"/>
  <c r="AY47" i="2"/>
  <c r="AZ46" i="2"/>
  <c r="AY45" i="2"/>
  <c r="AZ44" i="2"/>
  <c r="AZ43" i="2"/>
  <c r="AY43" i="2"/>
  <c r="AZ42" i="2"/>
  <c r="AZ41" i="2"/>
  <c r="AY41" i="2"/>
  <c r="AZ40" i="2"/>
  <c r="AY39" i="2"/>
  <c r="AZ38" i="2"/>
  <c r="AZ37" i="2"/>
  <c r="AY37" i="2"/>
  <c r="AZ36" i="2"/>
  <c r="AZ35" i="2"/>
  <c r="AY35" i="2"/>
  <c r="AZ34" i="2"/>
  <c r="AZ33" i="2"/>
  <c r="AY33" i="2"/>
  <c r="AZ32" i="2"/>
  <c r="AY31" i="2"/>
  <c r="AZ30" i="2"/>
  <c r="AZ29" i="2"/>
  <c r="AY29" i="2"/>
  <c r="AZ28" i="2"/>
  <c r="AZ27" i="2"/>
  <c r="AY27" i="2"/>
  <c r="AZ26" i="2"/>
  <c r="AY25" i="2"/>
  <c r="BA25" i="2" s="1"/>
  <c r="AZ24" i="2"/>
  <c r="AZ23" i="2"/>
  <c r="AY23" i="2"/>
  <c r="AZ22" i="2"/>
  <c r="AZ21" i="2"/>
  <c r="AY21" i="2"/>
  <c r="AZ20" i="2"/>
  <c r="AZ19" i="2"/>
  <c r="AY19" i="2"/>
  <c r="AZ18" i="2"/>
  <c r="AZ17" i="2"/>
  <c r="AY17" i="2"/>
  <c r="AZ16" i="2"/>
  <c r="AZ15" i="2"/>
  <c r="AY15" i="2"/>
  <c r="AZ14" i="2"/>
  <c r="AZ13" i="2"/>
  <c r="AY13" i="2"/>
  <c r="AZ12" i="2"/>
  <c r="AZ11" i="2"/>
  <c r="AY11" i="2"/>
  <c r="AZ10" i="2"/>
  <c r="AZ9" i="2"/>
  <c r="AY9" i="2"/>
  <c r="AZ8" i="2"/>
  <c r="BB8" i="2" s="1"/>
  <c r="AZ7" i="2"/>
  <c r="AY7" i="2"/>
  <c r="AZ6" i="2"/>
  <c r="BB6" i="2" s="1"/>
  <c r="AY5" i="2"/>
  <c r="AX65" i="21417"/>
  <c r="M65" i="21417" s="1"/>
  <c r="AX64" i="21417"/>
  <c r="AX63" i="21417"/>
  <c r="M63" i="21417" s="1"/>
  <c r="AX44" i="21417"/>
  <c r="AX42" i="21417"/>
  <c r="AX38" i="21417"/>
  <c r="AX34" i="21417"/>
  <c r="AX32" i="21417"/>
  <c r="AX28" i="21417"/>
  <c r="AX24" i="21417"/>
  <c r="AX22" i="21417"/>
  <c r="AX18" i="21417"/>
  <c r="AX10" i="21417"/>
  <c r="AX9" i="21417"/>
  <c r="M9" i="21417" s="1"/>
  <c r="AX8" i="21417"/>
  <c r="AX7" i="21417"/>
  <c r="AX54" i="21416"/>
  <c r="AX52" i="21416"/>
  <c r="AX50" i="21416"/>
  <c r="AX44" i="21416"/>
  <c r="AX42" i="21416"/>
  <c r="AX40" i="21416"/>
  <c r="AX34" i="21416"/>
  <c r="AX32" i="21416"/>
  <c r="AZ32" i="21416" s="1"/>
  <c r="AX30" i="21416"/>
  <c r="AX24" i="21416"/>
  <c r="AX22" i="21416"/>
  <c r="AX14" i="21416"/>
  <c r="AX12" i="21416"/>
  <c r="AX10" i="21416"/>
  <c r="AX9" i="21416"/>
  <c r="AX8" i="21416"/>
  <c r="AX7" i="21416"/>
  <c r="AX6" i="21416"/>
  <c r="AX59" i="21415"/>
  <c r="AX57" i="21415"/>
  <c r="AX55" i="21415"/>
  <c r="AX53" i="21415"/>
  <c r="AX51" i="21415"/>
  <c r="AX49" i="21415"/>
  <c r="AX47" i="21415"/>
  <c r="AX45" i="21415"/>
  <c r="AX43" i="21415"/>
  <c r="AX41" i="21415"/>
  <c r="AX39" i="21415"/>
  <c r="AX35" i="21415"/>
  <c r="AX33" i="21415"/>
  <c r="AX29" i="21415"/>
  <c r="AX27" i="21415"/>
  <c r="AX25" i="21415"/>
  <c r="AX23" i="21415"/>
  <c r="AX21" i="21415"/>
  <c r="AX15" i="21415"/>
  <c r="AX11" i="21415"/>
  <c r="AX7" i="21415"/>
  <c r="AX6" i="21415"/>
  <c r="AX35" i="21399"/>
  <c r="AW35" i="21399"/>
  <c r="AX31" i="21399"/>
  <c r="AW31" i="21399"/>
  <c r="AX29" i="21399"/>
  <c r="AW29" i="21399"/>
  <c r="AX27" i="21399"/>
  <c r="AW27" i="21399"/>
  <c r="AX25" i="21399"/>
  <c r="AW25" i="21399"/>
  <c r="AX23" i="21399"/>
  <c r="AW23" i="21399"/>
  <c r="AX21" i="21399"/>
  <c r="AW21" i="21399"/>
  <c r="AX19" i="21399"/>
  <c r="AW19" i="21399"/>
  <c r="AX17" i="21399"/>
  <c r="AW17" i="21399"/>
  <c r="AX15" i="21399"/>
  <c r="AW15" i="21399"/>
  <c r="AX13" i="21399"/>
  <c r="AW13" i="21399"/>
  <c r="AX35" i="21400"/>
  <c r="AW35" i="21400"/>
  <c r="AX31" i="21400"/>
  <c r="AW31" i="21400"/>
  <c r="AX29" i="21400"/>
  <c r="AW29" i="21400"/>
  <c r="AZ29" i="21400" s="1"/>
  <c r="AX27" i="21400"/>
  <c r="AW27" i="21400"/>
  <c r="AX25" i="21400"/>
  <c r="AW25" i="21400"/>
  <c r="AX21" i="21400"/>
  <c r="AW21" i="21400"/>
  <c r="AX19" i="21400"/>
  <c r="AW19" i="21400"/>
  <c r="AX17" i="21400"/>
  <c r="AW17" i="21400"/>
  <c r="AZ17" i="21400" s="1"/>
  <c r="AX13" i="21400"/>
  <c r="AW13" i="21400"/>
  <c r="AX55" i="21413"/>
  <c r="AZ55" i="21413" s="1"/>
  <c r="AX53" i="21413"/>
  <c r="AX49" i="21413"/>
  <c r="AX47" i="21413"/>
  <c r="AX45" i="21413"/>
  <c r="AX43" i="21413"/>
  <c r="AX39" i="21413"/>
  <c r="AX21" i="21413"/>
  <c r="AX19" i="21413"/>
  <c r="AX17" i="21413"/>
  <c r="AX13" i="21413"/>
  <c r="AX11" i="21413"/>
  <c r="AX7" i="21413"/>
  <c r="AX6" i="21413"/>
  <c r="M6" i="21413" s="1"/>
  <c r="BC6" i="21413" s="1"/>
  <c r="AW6" i="21413"/>
  <c r="AX37" i="108"/>
  <c r="AX35" i="108"/>
  <c r="AX33" i="108"/>
  <c r="AX31" i="108"/>
  <c r="AX29" i="108"/>
  <c r="AX27" i="108"/>
  <c r="AX25" i="108"/>
  <c r="AX21" i="108"/>
  <c r="AX19" i="108"/>
  <c r="AX17" i="108"/>
  <c r="AX15" i="108"/>
  <c r="AX72" i="3"/>
  <c r="AX70" i="3"/>
  <c r="AX68" i="3"/>
  <c r="AX66" i="3"/>
  <c r="AX62" i="3"/>
  <c r="AX60" i="3"/>
  <c r="AX56" i="3"/>
  <c r="AX54" i="3"/>
  <c r="AX52" i="3"/>
  <c r="AX46" i="3"/>
  <c r="AX44" i="3"/>
  <c r="AX42" i="3"/>
  <c r="AX14" i="3"/>
  <c r="AX12" i="3"/>
  <c r="AX10" i="3"/>
  <c r="AX6" i="3"/>
  <c r="AX5" i="3"/>
  <c r="M5" i="3" s="1"/>
  <c r="AX1249" i="21398"/>
  <c r="AX1247" i="21398"/>
  <c r="AX1245" i="21398"/>
  <c r="AX1243" i="21398"/>
  <c r="AX1239" i="21398"/>
  <c r="AX1237" i="21398"/>
  <c r="AX1233" i="21398"/>
  <c r="AX1231" i="21398"/>
  <c r="AX1229" i="21398"/>
  <c r="AX1227" i="21398"/>
  <c r="AX1225" i="21398"/>
  <c r="AX1223" i="21398"/>
  <c r="AX1215" i="21398"/>
  <c r="AX1213" i="21398"/>
  <c r="AX1211" i="21398"/>
  <c r="AX1207" i="21398"/>
  <c r="AX1205" i="21398"/>
  <c r="AX1203" i="21398"/>
  <c r="AX1199" i="21398"/>
  <c r="AX1197" i="21398"/>
  <c r="AX1195" i="21398"/>
  <c r="AX1193" i="21398"/>
  <c r="AX1191" i="21398"/>
  <c r="AX1189" i="21398"/>
  <c r="AX1185" i="21398"/>
  <c r="AX1183" i="21398"/>
  <c r="AX1179" i="21398"/>
  <c r="AX1175" i="21398"/>
  <c r="AX1131" i="21398"/>
  <c r="AX1127" i="21398"/>
  <c r="AX1125" i="21398"/>
  <c r="AX1123" i="21398"/>
  <c r="AX1119" i="21398"/>
  <c r="AX1117" i="21398"/>
  <c r="AX1115" i="21398"/>
  <c r="AX1113" i="21398"/>
  <c r="AX1111" i="21398"/>
  <c r="AX1107" i="21398"/>
  <c r="AX1105" i="21398"/>
  <c r="AX1101" i="21398"/>
  <c r="AX1099" i="21398"/>
  <c r="AX1097" i="21398"/>
  <c r="AX1095" i="21398"/>
  <c r="AX1093" i="21398"/>
  <c r="AX1085" i="21398"/>
  <c r="AX1081" i="21398"/>
  <c r="AX1079" i="21398"/>
  <c r="AX1077" i="21398"/>
  <c r="AX1075" i="21398"/>
  <c r="AX1073" i="21398"/>
  <c r="AX1069" i="21398"/>
  <c r="AX1067" i="21398"/>
  <c r="AX1063" i="21398"/>
  <c r="AX1061" i="21398"/>
  <c r="AX1059" i="21398"/>
  <c r="AX1057" i="21398"/>
  <c r="AX1055" i="21398"/>
  <c r="AX1051" i="21398"/>
  <c r="AX1049" i="21398"/>
  <c r="AX1047" i="21398"/>
  <c r="AX1043" i="21398"/>
  <c r="AX1041" i="21398"/>
  <c r="AX1039" i="21398"/>
  <c r="AX1037" i="21398"/>
  <c r="AX1035" i="21398"/>
  <c r="AX1031" i="21398"/>
  <c r="AX1029" i="21398"/>
  <c r="AX1025" i="21398"/>
  <c r="AX1023" i="21398"/>
  <c r="AX1021" i="21398"/>
  <c r="AX1019" i="21398"/>
  <c r="AX1017" i="21398"/>
  <c r="AX1015" i="21398"/>
  <c r="AX1011" i="21398"/>
  <c r="AX1003" i="21398"/>
  <c r="AX1001" i="21398"/>
  <c r="AX999" i="21398"/>
  <c r="AX997" i="21398"/>
  <c r="AX995" i="21398"/>
  <c r="AX991" i="21398"/>
  <c r="AX989" i="21398"/>
  <c r="AX985" i="21398"/>
  <c r="AX983" i="21398"/>
  <c r="AX981" i="21398"/>
  <c r="AX979" i="21398"/>
  <c r="AX977" i="21398"/>
  <c r="AX973" i="21398"/>
  <c r="AX971" i="21398"/>
  <c r="AX969" i="21398"/>
  <c r="AX965" i="21398"/>
  <c r="AX963" i="21398"/>
  <c r="AX961" i="21398"/>
  <c r="AX957" i="21398"/>
  <c r="AX955" i="21398"/>
  <c r="AX949" i="21398"/>
  <c r="AX945" i="21398"/>
  <c r="AX943" i="21398"/>
  <c r="AX941" i="21398"/>
  <c r="AX937" i="21398"/>
  <c r="AX935" i="21398"/>
  <c r="AX931" i="21398"/>
  <c r="AX897" i="21398"/>
  <c r="AX867" i="21398"/>
  <c r="AX865" i="21398"/>
  <c r="AX863" i="21398"/>
  <c r="AX861" i="21398"/>
  <c r="AX857" i="21398"/>
  <c r="AX855" i="21398"/>
  <c r="AX853" i="21398"/>
  <c r="AX849" i="21398"/>
  <c r="AX847" i="21398"/>
  <c r="AX843" i="21398"/>
  <c r="AX841" i="21398"/>
  <c r="AX837" i="21398"/>
  <c r="AX813" i="21398"/>
  <c r="AX811" i="21398"/>
  <c r="AX809" i="21398"/>
  <c r="AX805" i="21398"/>
  <c r="AX799" i="21398"/>
  <c r="AX795" i="21398"/>
  <c r="AX793" i="21398"/>
  <c r="AX791" i="21398"/>
  <c r="AX787" i="21398"/>
  <c r="AX779" i="21398"/>
  <c r="AX775" i="21398"/>
  <c r="AX771" i="21398"/>
  <c r="AX769" i="21398"/>
  <c r="AX767" i="21398"/>
  <c r="AX763" i="21398"/>
  <c r="AX761" i="21398"/>
  <c r="AX755" i="21398"/>
  <c r="AX753" i="21398"/>
  <c r="AX749" i="21398"/>
  <c r="AX747" i="21398"/>
  <c r="AX745" i="21398"/>
  <c r="AX741" i="21398"/>
  <c r="AX739" i="21398"/>
  <c r="AX733" i="21398"/>
  <c r="AX729" i="21398"/>
  <c r="AX723" i="21398"/>
  <c r="AX721" i="21398"/>
  <c r="AX717" i="21398"/>
  <c r="AX715" i="21398"/>
  <c r="AX709" i="21398"/>
  <c r="AX707" i="21398"/>
  <c r="AX703" i="21398"/>
  <c r="AX701" i="21398"/>
  <c r="AX695" i="21398"/>
  <c r="AX691" i="21398"/>
  <c r="AX689" i="21398"/>
  <c r="AX687" i="21398"/>
  <c r="AX683" i="21398"/>
  <c r="AX677" i="21398"/>
  <c r="AX675" i="21398"/>
  <c r="AX671" i="21398"/>
  <c r="AX669" i="21398"/>
  <c r="AX665" i="21398"/>
  <c r="AX663" i="21398"/>
  <c r="AX661" i="21398"/>
  <c r="AX655" i="21398"/>
  <c r="AX653" i="21398"/>
  <c r="AX647" i="21398"/>
  <c r="AX641" i="21398"/>
  <c r="AX637" i="21398"/>
  <c r="AX635" i="21398"/>
  <c r="AX627" i="21398"/>
  <c r="AX623" i="21398"/>
  <c r="AX621" i="21398"/>
  <c r="AX619" i="21398"/>
  <c r="AX617" i="21398"/>
  <c r="AX613" i="21398"/>
  <c r="AX611" i="21398"/>
  <c r="AX607" i="21398"/>
  <c r="AX605" i="21398"/>
  <c r="AX603" i="21398"/>
  <c r="AX599" i="21398"/>
  <c r="AX597" i="21398"/>
  <c r="AX595" i="21398"/>
  <c r="AX583" i="21398"/>
  <c r="AX581" i="21398"/>
  <c r="AX577" i="21398"/>
  <c r="AX575" i="21398"/>
  <c r="AX571" i="21398"/>
  <c r="AX569" i="21398"/>
  <c r="AX567" i="21398"/>
  <c r="AX563" i="21398"/>
  <c r="AX561" i="21398"/>
  <c r="AX559" i="21398"/>
  <c r="AX557" i="21398"/>
  <c r="AX555" i="21398"/>
  <c r="AX553" i="21398"/>
  <c r="AX543" i="21398"/>
  <c r="AX541" i="21398"/>
  <c r="AX539" i="21398"/>
  <c r="AX535" i="21398"/>
  <c r="AX533" i="21398"/>
  <c r="AX531" i="21398"/>
  <c r="AX527" i="21398"/>
  <c r="AX525" i="21398"/>
  <c r="AX523" i="21398"/>
  <c r="AX519" i="21398"/>
  <c r="AX517" i="21398"/>
  <c r="AX513" i="21398"/>
  <c r="AX511" i="21398"/>
  <c r="AX507" i="21398"/>
  <c r="AX505" i="21398"/>
  <c r="AX501" i="21398"/>
  <c r="AX499" i="21398"/>
  <c r="AX497" i="21398"/>
  <c r="AX495" i="21398"/>
  <c r="AX475" i="21398"/>
  <c r="AX457" i="21398"/>
  <c r="AX449" i="21398"/>
  <c r="AX443" i="21398"/>
  <c r="AX441" i="21398"/>
  <c r="AX439" i="21398"/>
  <c r="AX437" i="21398"/>
  <c r="AX435" i="21398"/>
  <c r="AX433" i="21398"/>
  <c r="AX429" i="21398"/>
  <c r="AX427" i="21398"/>
  <c r="AX423" i="21398"/>
  <c r="AX421" i="21398"/>
  <c r="AX417" i="21398"/>
  <c r="AX415" i="21398"/>
  <c r="AX413" i="21398"/>
  <c r="AX409" i="21398"/>
  <c r="AX407" i="21398"/>
  <c r="AX405" i="21398"/>
  <c r="AX401" i="21398"/>
  <c r="AX399" i="21398"/>
  <c r="AX397" i="21398"/>
  <c r="AX395" i="21398"/>
  <c r="AX393" i="21398"/>
  <c r="AX389" i="21398"/>
  <c r="AX387" i="21398"/>
  <c r="AX383" i="21398"/>
  <c r="AX381" i="21398"/>
  <c r="AX379" i="21398"/>
  <c r="AX375" i="21398"/>
  <c r="AX373" i="21398"/>
  <c r="AX371" i="21398"/>
  <c r="AX367" i="21398"/>
  <c r="AX357" i="21398"/>
  <c r="AX353" i="21398"/>
  <c r="AX351" i="21398"/>
  <c r="AX349" i="21398"/>
  <c r="AX347" i="21398"/>
  <c r="AX345" i="21398"/>
  <c r="AX343" i="21398"/>
  <c r="AX341" i="21398"/>
  <c r="AX337" i="21398"/>
  <c r="AX335" i="21398"/>
  <c r="AX333" i="21398"/>
  <c r="AX329" i="21398"/>
  <c r="AX327" i="21398"/>
  <c r="AX323" i="21398"/>
  <c r="AX321" i="21398"/>
  <c r="AX319" i="21398"/>
  <c r="AX315" i="21398"/>
  <c r="AX313" i="21398"/>
  <c r="AX311" i="21398"/>
  <c r="AX307" i="21398"/>
  <c r="AX305" i="21398"/>
  <c r="AX301" i="21398"/>
  <c r="AX299" i="21398"/>
  <c r="AX295" i="21398"/>
  <c r="AX291" i="21398"/>
  <c r="AX289" i="21398"/>
  <c r="AX287" i="21398"/>
  <c r="AX283" i="21398"/>
  <c r="AX281" i="21398"/>
  <c r="AX279" i="21398"/>
  <c r="AX277" i="21398"/>
  <c r="AX267" i="21398"/>
  <c r="AX265" i="21398"/>
  <c r="AX263" i="21398"/>
  <c r="AX259" i="21398"/>
  <c r="AX257" i="21398"/>
  <c r="AX255" i="21398"/>
  <c r="AX251" i="21398"/>
  <c r="AX249" i="21398"/>
  <c r="AX247" i="21398"/>
  <c r="AX245" i="21398"/>
  <c r="AX241" i="21398"/>
  <c r="AX239" i="21398"/>
  <c r="AX235" i="21398"/>
  <c r="AX233" i="21398"/>
  <c r="AX231" i="21398"/>
  <c r="AX229" i="21398"/>
  <c r="AX225" i="21398"/>
  <c r="AX223" i="21398"/>
  <c r="AX221" i="21398"/>
  <c r="AX217" i="21398"/>
  <c r="AX213" i="21398"/>
  <c r="AX145" i="21398"/>
  <c r="AX143" i="21398"/>
  <c r="AX141" i="21398"/>
  <c r="AX139" i="21398"/>
  <c r="AX137" i="21398"/>
  <c r="AX135" i="21398"/>
  <c r="AX133" i="21398"/>
  <c r="AX131" i="21398"/>
  <c r="AX129" i="21398"/>
  <c r="AX127" i="21398"/>
  <c r="AX125" i="21398"/>
  <c r="AX123" i="21398"/>
  <c r="AX121" i="21398"/>
  <c r="AX119" i="21398"/>
  <c r="AX117" i="21398"/>
  <c r="AX115" i="21398"/>
  <c r="AX113" i="21398"/>
  <c r="AX111" i="21398"/>
  <c r="AX109" i="21398"/>
  <c r="AX107" i="21398"/>
  <c r="AX105" i="21398"/>
  <c r="AX103" i="21398"/>
  <c r="AX101" i="21398"/>
  <c r="AX99" i="21398"/>
  <c r="AX97" i="21398"/>
  <c r="AX93" i="21398"/>
  <c r="AX91" i="21398"/>
  <c r="AX89" i="21398"/>
  <c r="AX83" i="21398"/>
  <c r="AX81" i="21398"/>
  <c r="AX77" i="21398"/>
  <c r="AX75" i="21398"/>
  <c r="AX73" i="21398"/>
  <c r="AX71" i="21398"/>
  <c r="AX67" i="21398"/>
  <c r="AX65" i="21398"/>
  <c r="AX63" i="21398"/>
  <c r="AX59" i="21398"/>
  <c r="AX57" i="21398"/>
  <c r="AX55" i="21398"/>
  <c r="AX53" i="21398"/>
  <c r="AX49" i="21398"/>
  <c r="AX47" i="21398"/>
  <c r="AX43" i="21398"/>
  <c r="AX41" i="21398"/>
  <c r="AX37" i="21398"/>
  <c r="AX35" i="21398"/>
  <c r="AX33" i="21398"/>
  <c r="AX29" i="21398"/>
  <c r="AX27" i="21398"/>
  <c r="AX23" i="21398"/>
  <c r="AX21" i="21398"/>
  <c r="AX19" i="21398"/>
  <c r="AX17" i="21398"/>
  <c r="AX15" i="21398"/>
  <c r="AX13" i="21398"/>
  <c r="AX11" i="21398"/>
  <c r="AX9" i="21398"/>
  <c r="AX7" i="21398"/>
  <c r="AX6" i="21398"/>
  <c r="M6" i="21398" s="1"/>
  <c r="AX1271" i="2"/>
  <c r="AX1265" i="2"/>
  <c r="AX1263" i="2"/>
  <c r="AX1261" i="2"/>
  <c r="AX1259" i="2"/>
  <c r="AX1257" i="2"/>
  <c r="AX1255" i="2"/>
  <c r="AX1251" i="2"/>
  <c r="AX1249" i="2"/>
  <c r="AX1247" i="2"/>
  <c r="AX1245" i="2"/>
  <c r="AX1241" i="2"/>
  <c r="AX1239" i="2"/>
  <c r="AX1235" i="2"/>
  <c r="AX1233" i="2"/>
  <c r="AX1231" i="2"/>
  <c r="AX1229" i="2"/>
  <c r="AX1227" i="2"/>
  <c r="AX1225" i="2"/>
  <c r="AX1215" i="2"/>
  <c r="AX1213" i="2"/>
  <c r="AX1209" i="2"/>
  <c r="AX1207" i="2"/>
  <c r="AX1205" i="2"/>
  <c r="AX1201" i="2"/>
  <c r="AX1199" i="2"/>
  <c r="AX1197" i="2"/>
  <c r="AX1193" i="2"/>
  <c r="AX1191" i="2"/>
  <c r="AX1189" i="2"/>
  <c r="AX1185" i="2"/>
  <c r="AX1183" i="2"/>
  <c r="AX1137" i="2"/>
  <c r="AX1133" i="2"/>
  <c r="AX1129" i="2"/>
  <c r="AX1127" i="2"/>
  <c r="AX1125" i="2"/>
  <c r="AX1121" i="2"/>
  <c r="AX1119" i="2"/>
  <c r="AX1117" i="2"/>
  <c r="AX1115" i="2"/>
  <c r="AX1113" i="2"/>
  <c r="AX1109" i="2"/>
  <c r="AX1107" i="2"/>
  <c r="AX1103" i="2"/>
  <c r="AX1101" i="2"/>
  <c r="AX1099" i="2"/>
  <c r="AX1097" i="2"/>
  <c r="AX1095" i="2"/>
  <c r="AX1087" i="2"/>
  <c r="AX1083" i="2"/>
  <c r="AX1081" i="2"/>
  <c r="AX1079" i="2"/>
  <c r="AX1077" i="2"/>
  <c r="AX1075" i="2"/>
  <c r="AX1071" i="2"/>
  <c r="AX1069" i="2"/>
  <c r="AX1065" i="2"/>
  <c r="AX1063" i="2"/>
  <c r="AX1061" i="2"/>
  <c r="AX1059" i="2"/>
  <c r="AX1057" i="2"/>
  <c r="AX1053" i="2"/>
  <c r="AX1051" i="2"/>
  <c r="AX1049" i="2"/>
  <c r="AX1045" i="2"/>
  <c r="AX1043" i="2"/>
  <c r="AX1041" i="2"/>
  <c r="AX1039" i="2"/>
  <c r="AX1037" i="2"/>
  <c r="AX1033" i="2"/>
  <c r="AX1031" i="2"/>
  <c r="AX1027" i="2"/>
  <c r="AX1025" i="2"/>
  <c r="AX1023" i="2"/>
  <c r="AX1021" i="2"/>
  <c r="AX1019" i="2"/>
  <c r="AX1017" i="2"/>
  <c r="AX1013" i="2"/>
  <c r="AX1005" i="2"/>
  <c r="AX1003" i="2"/>
  <c r="AX1001" i="2"/>
  <c r="AX999" i="2"/>
  <c r="AX997" i="2"/>
  <c r="AX993" i="2"/>
  <c r="AX991" i="2"/>
  <c r="AX987" i="2"/>
  <c r="AX985" i="2"/>
  <c r="AX983" i="2"/>
  <c r="AX981" i="2"/>
  <c r="AX979" i="2"/>
  <c r="AX975" i="2"/>
  <c r="AX973" i="2"/>
  <c r="AX971" i="2"/>
  <c r="AX967" i="2"/>
  <c r="AX965" i="2"/>
  <c r="AX963" i="2"/>
  <c r="AX959" i="2"/>
  <c r="AX957" i="2"/>
  <c r="AX953" i="2"/>
  <c r="AX951" i="2"/>
  <c r="AX947" i="2"/>
  <c r="AX943" i="2"/>
  <c r="AX937" i="2"/>
  <c r="AX935" i="2"/>
  <c r="AX933" i="2"/>
  <c r="AX925" i="2"/>
  <c r="AX911" i="2"/>
  <c r="AX909" i="2"/>
  <c r="AX905" i="2"/>
  <c r="AX903" i="2"/>
  <c r="AX901" i="2"/>
  <c r="AX899" i="2"/>
  <c r="AX897" i="2"/>
  <c r="AX895" i="2"/>
  <c r="AX893" i="2"/>
  <c r="AX891" i="2"/>
  <c r="AX889" i="2"/>
  <c r="AX887" i="2"/>
  <c r="AX883" i="2"/>
  <c r="AX881" i="2"/>
  <c r="AX879" i="2"/>
  <c r="AX875" i="2"/>
  <c r="AX873" i="2"/>
  <c r="AX869" i="2"/>
  <c r="AX867" i="2"/>
  <c r="AX865" i="2"/>
  <c r="AX863" i="2"/>
  <c r="AX859" i="2"/>
  <c r="AX857" i="2"/>
  <c r="AX855" i="2"/>
  <c r="AX851" i="2"/>
  <c r="AX849" i="2"/>
  <c r="AX845" i="2"/>
  <c r="AX843" i="2"/>
  <c r="AX839" i="2"/>
  <c r="AX815" i="2"/>
  <c r="AX813" i="2"/>
  <c r="AX811" i="2"/>
  <c r="AX807" i="2"/>
  <c r="AX801" i="2"/>
  <c r="AX797" i="2"/>
  <c r="AX795" i="2"/>
  <c r="AX793" i="2"/>
  <c r="AX789" i="2"/>
  <c r="AX781" i="2"/>
  <c r="AX777" i="2"/>
  <c r="AX773" i="2"/>
  <c r="AX771" i="2"/>
  <c r="AX769" i="2"/>
  <c r="AX765" i="2"/>
  <c r="AX763" i="2"/>
  <c r="AX761" i="2"/>
  <c r="AX757" i="2"/>
  <c r="AX755" i="2"/>
  <c r="AX751" i="2"/>
  <c r="AX749" i="2"/>
  <c r="AX747" i="2"/>
  <c r="AX743" i="2"/>
  <c r="AX741" i="2"/>
  <c r="AX735" i="2"/>
  <c r="AX731" i="2"/>
  <c r="AX725" i="2"/>
  <c r="AX723" i="2"/>
  <c r="AX719" i="2"/>
  <c r="AX717" i="2"/>
  <c r="AX711" i="2"/>
  <c r="AX709" i="2"/>
  <c r="AX705" i="2"/>
  <c r="AX703" i="2"/>
  <c r="AX697" i="2"/>
  <c r="AX693" i="2"/>
  <c r="AX691" i="2"/>
  <c r="AX689" i="2"/>
  <c r="AX685" i="2"/>
  <c r="AX679" i="2"/>
  <c r="AX677" i="2"/>
  <c r="AX673" i="2"/>
  <c r="AX671" i="2"/>
  <c r="AX667" i="2"/>
  <c r="AX665" i="2"/>
  <c r="AX659" i="2"/>
  <c r="AX655" i="2"/>
  <c r="AX651" i="2"/>
  <c r="AX649" i="2"/>
  <c r="AX647" i="2"/>
  <c r="AX645" i="2"/>
  <c r="AX641" i="2"/>
  <c r="AX639" i="2"/>
  <c r="AX637" i="2"/>
  <c r="AX633" i="2"/>
  <c r="AX627" i="2"/>
  <c r="AX623" i="2"/>
  <c r="AX621" i="2"/>
  <c r="AX619" i="2"/>
  <c r="AX617" i="2"/>
  <c r="AX615" i="2"/>
  <c r="AX613" i="2"/>
  <c r="AX611" i="2"/>
  <c r="AX607" i="2"/>
  <c r="AX605" i="2"/>
  <c r="AX603" i="2"/>
  <c r="AX599" i="2"/>
  <c r="AX597" i="2"/>
  <c r="AX595" i="2"/>
  <c r="AX583" i="2"/>
  <c r="AX581" i="2"/>
  <c r="AX577" i="2"/>
  <c r="AX575" i="2"/>
  <c r="AX571" i="2"/>
  <c r="AX569" i="2"/>
  <c r="AX567" i="2"/>
  <c r="AX563" i="2"/>
  <c r="AX561" i="2"/>
  <c r="AX559" i="2"/>
  <c r="AX557" i="2"/>
  <c r="AX555" i="2"/>
  <c r="AX553" i="2"/>
  <c r="AX543" i="2"/>
  <c r="AX541" i="2"/>
  <c r="AX539" i="2"/>
  <c r="AX535" i="2"/>
  <c r="AX533" i="2"/>
  <c r="AX531" i="2"/>
  <c r="AX527" i="2"/>
  <c r="AX525" i="2"/>
  <c r="AX523" i="2"/>
  <c r="AX519" i="2"/>
  <c r="AX517" i="2"/>
  <c r="AX513" i="2"/>
  <c r="AX511" i="2"/>
  <c r="AX507" i="2"/>
  <c r="AX505" i="2"/>
  <c r="AX501" i="2"/>
  <c r="AX497" i="2"/>
  <c r="AX495" i="2"/>
  <c r="AX493" i="2"/>
  <c r="AX491" i="2"/>
  <c r="AX489" i="2"/>
  <c r="AX485" i="2"/>
  <c r="AX459" i="2"/>
  <c r="AX457" i="2"/>
  <c r="AX455" i="2"/>
  <c r="AX451" i="2"/>
  <c r="AX443" i="2"/>
  <c r="AX441" i="2"/>
  <c r="AX439" i="2"/>
  <c r="AX437" i="2"/>
  <c r="AX435" i="2"/>
  <c r="AX433" i="2"/>
  <c r="AX429" i="2"/>
  <c r="AX427" i="2"/>
  <c r="AX423" i="2"/>
  <c r="AX421" i="2"/>
  <c r="AX419" i="2"/>
  <c r="AX417" i="2"/>
  <c r="AX415" i="2"/>
  <c r="AX413" i="2"/>
  <c r="AX409" i="2"/>
  <c r="AX407" i="2"/>
  <c r="AX405" i="2"/>
  <c r="AX401" i="2"/>
  <c r="AX399" i="2"/>
  <c r="AX397" i="2"/>
  <c r="AX395" i="2"/>
  <c r="AX393" i="2"/>
  <c r="AX389" i="2"/>
  <c r="AX387" i="2"/>
  <c r="AX383" i="2"/>
  <c r="AX381" i="2"/>
  <c r="AX379" i="2"/>
  <c r="AX375" i="2"/>
  <c r="AX373" i="2"/>
  <c r="AX371" i="2"/>
  <c r="AX367" i="2"/>
  <c r="AX357" i="2"/>
  <c r="AX353" i="2"/>
  <c r="AX351" i="2"/>
  <c r="AX349" i="2"/>
  <c r="AX347" i="2"/>
  <c r="AX345" i="2"/>
  <c r="AX343" i="2"/>
  <c r="AX341" i="2"/>
  <c r="AX337" i="2"/>
  <c r="AX335" i="2"/>
  <c r="AX333" i="2"/>
  <c r="AX329" i="2"/>
  <c r="AX327" i="2"/>
  <c r="AX323" i="2"/>
  <c r="AX321" i="2"/>
  <c r="AX319" i="2"/>
  <c r="AX315" i="2"/>
  <c r="AX313" i="2"/>
  <c r="AX311" i="2"/>
  <c r="AX307" i="2"/>
  <c r="AX305" i="2"/>
  <c r="AX301" i="2"/>
  <c r="AX299" i="2"/>
  <c r="AX295" i="2"/>
  <c r="AX291" i="2"/>
  <c r="AX289" i="2"/>
  <c r="AX287" i="2"/>
  <c r="AX283" i="2"/>
  <c r="AX281" i="2"/>
  <c r="AX279" i="2"/>
  <c r="AX277" i="2"/>
  <c r="AX267" i="2"/>
  <c r="AX265" i="2"/>
  <c r="AX263" i="2"/>
  <c r="AX259" i="2"/>
  <c r="AX257" i="2"/>
  <c r="AX255" i="2"/>
  <c r="AX251" i="2"/>
  <c r="AX249" i="2"/>
  <c r="AX247" i="2"/>
  <c r="AX245" i="2"/>
  <c r="AX241" i="2"/>
  <c r="AX239" i="2"/>
  <c r="AX235" i="2"/>
  <c r="AX233" i="2"/>
  <c r="AX231" i="2"/>
  <c r="AX229" i="2"/>
  <c r="AX225" i="2"/>
  <c r="AX223" i="2"/>
  <c r="AX221" i="2"/>
  <c r="AX217" i="2"/>
  <c r="AX213" i="2"/>
  <c r="AX211" i="2"/>
  <c r="AX209" i="2"/>
  <c r="AX207" i="2"/>
  <c r="AX203" i="2"/>
  <c r="AX201" i="2"/>
  <c r="AX197" i="2"/>
  <c r="AX193" i="2"/>
  <c r="AX189" i="2"/>
  <c r="AX187" i="2"/>
  <c r="AX185" i="2"/>
  <c r="AX181" i="2"/>
  <c r="AX179" i="2"/>
  <c r="AX173" i="2"/>
  <c r="AX171" i="2"/>
  <c r="AX169" i="2"/>
  <c r="AX167" i="2"/>
  <c r="AX165" i="2"/>
  <c r="AX163" i="2"/>
  <c r="AX159" i="2"/>
  <c r="AX157" i="2"/>
  <c r="AX155" i="2"/>
  <c r="AX153" i="2"/>
  <c r="AX149" i="2"/>
  <c r="AX147" i="2"/>
  <c r="AX141" i="2"/>
  <c r="AX137" i="2"/>
  <c r="AX133" i="2"/>
  <c r="AX131" i="2"/>
  <c r="AX129" i="2"/>
  <c r="AX127" i="2"/>
  <c r="AX125" i="2"/>
  <c r="AX121" i="2"/>
  <c r="AX119" i="2"/>
  <c r="AX115" i="2"/>
  <c r="AX113" i="2"/>
  <c r="AX111" i="2"/>
  <c r="AX109" i="2"/>
  <c r="AX107" i="2"/>
  <c r="AX105" i="2"/>
  <c r="AX101" i="2"/>
  <c r="AX99" i="2"/>
  <c r="AX97" i="2"/>
  <c r="AX93" i="2"/>
  <c r="AX91" i="2"/>
  <c r="AX89" i="2"/>
  <c r="AX83" i="2"/>
  <c r="AX81" i="2"/>
  <c r="AX77" i="2"/>
  <c r="AX75" i="2"/>
  <c r="AX73" i="2"/>
  <c r="AX71" i="2"/>
  <c r="AX67" i="2"/>
  <c r="AX65" i="2"/>
  <c r="AX63" i="2"/>
  <c r="AX59" i="2"/>
  <c r="AX57" i="2"/>
  <c r="AX55" i="2"/>
  <c r="AX53" i="2"/>
  <c r="AX49" i="2"/>
  <c r="AX47" i="2"/>
  <c r="AX43" i="2"/>
  <c r="AX41" i="2"/>
  <c r="AX37" i="2"/>
  <c r="AX35" i="2"/>
  <c r="AX33" i="2"/>
  <c r="AX29" i="2"/>
  <c r="AX27" i="2"/>
  <c r="AX23" i="2"/>
  <c r="AX21" i="2"/>
  <c r="AX19" i="2"/>
  <c r="AX17" i="2"/>
  <c r="AX15" i="2"/>
  <c r="AX13" i="2"/>
  <c r="AX11" i="2"/>
  <c r="AX9" i="2"/>
  <c r="AX7" i="2"/>
  <c r="AX6" i="2"/>
  <c r="I1149" i="21398" l="1"/>
  <c r="I33" i="21415" l="1"/>
  <c r="AN916" i="21398"/>
  <c r="AN910" i="21398"/>
  <c r="AN912" i="21398" s="1"/>
  <c r="AN914" i="21398" s="1"/>
  <c r="I771" i="21398" l="1"/>
  <c r="I773" i="2"/>
  <c r="I627" i="2" l="1"/>
  <c r="AN448" i="2" l="1"/>
  <c r="AN446" i="2" s="1"/>
  <c r="AN442" i="2"/>
  <c r="AN444" i="2" s="1"/>
  <c r="I911" i="2"/>
  <c r="I909" i="2"/>
  <c r="AN234" i="21398" l="1"/>
  <c r="AN230" i="21398"/>
  <c r="AN232" i="21398" s="1"/>
  <c r="AN234" i="2"/>
  <c r="AN230" i="2"/>
  <c r="AN232" i="2" s="1"/>
  <c r="AN220" i="21398"/>
  <c r="AN216" i="21398"/>
  <c r="AN218" i="21398" s="1"/>
  <c r="AN220" i="2"/>
  <c r="AN216" i="2"/>
  <c r="AN218" i="2" s="1"/>
  <c r="I225" i="2" l="1"/>
  <c r="I7" i="21398" l="1"/>
  <c r="I7" i="2"/>
  <c r="BC65" i="21417"/>
  <c r="BB65" i="21417"/>
  <c r="AW65" i="21417"/>
  <c r="AY65" i="21417" s="1"/>
  <c r="BA65" i="21417" s="1"/>
  <c r="BC64" i="21417"/>
  <c r="BA64" i="21417"/>
  <c r="BB64" i="21417"/>
  <c r="AW64" i="21417"/>
  <c r="BB63" i="21417"/>
  <c r="AW63" i="21417"/>
  <c r="AY63" i="21417" s="1"/>
  <c r="BA63" i="21417" s="1"/>
  <c r="AT43" i="21416"/>
  <c r="AT12" i="21415"/>
  <c r="AQ38" i="21416"/>
  <c r="AQ51" i="21415"/>
  <c r="AQ43" i="21415"/>
  <c r="AT42" i="21415"/>
  <c r="AT45" i="21416"/>
  <c r="AQ20" i="21416"/>
  <c r="AT53" i="21416"/>
  <c r="AT21" i="21416"/>
  <c r="AT33" i="21416"/>
  <c r="AT37" i="21416"/>
  <c r="AT25" i="21416"/>
  <c r="AQ22" i="21416"/>
  <c r="AT31" i="21416"/>
  <c r="AT17" i="21416"/>
  <c r="AT38" i="21415"/>
  <c r="AT40" i="21415"/>
  <c r="AT35" i="21416"/>
  <c r="AT7" i="21416"/>
  <c r="AQ12" i="21416"/>
  <c r="AT23" i="21416"/>
  <c r="AT10" i="21415"/>
  <c r="AT9" i="21416"/>
  <c r="AQ59" i="21415"/>
  <c r="AT60" i="21415"/>
  <c r="AQ48" i="21416"/>
  <c r="AQ10" i="21416"/>
  <c r="AQ14" i="21416"/>
  <c r="AQ8" i="21416"/>
  <c r="AQ54" i="21416"/>
  <c r="AQ52" i="21416"/>
  <c r="AQ57" i="21415"/>
  <c r="AQ36" i="21416"/>
  <c r="AT47" i="21416"/>
  <c r="AQ44" i="21416"/>
  <c r="AQ41" i="21415"/>
  <c r="AQ6" i="21416"/>
  <c r="AT44" i="21415"/>
  <c r="AT49" i="21416"/>
  <c r="AT27" i="21416"/>
  <c r="AT51" i="21416"/>
  <c r="AT19" i="21416"/>
  <c r="AQ34" i="21416"/>
  <c r="AQ50" i="21416"/>
  <c r="AT15" i="21416"/>
  <c r="AT56" i="21415"/>
  <c r="AQ13" i="21415"/>
  <c r="AQ26" i="21416"/>
  <c r="AT11" i="21416"/>
  <c r="AQ37" i="21415"/>
  <c r="AQ30" i="21416"/>
  <c r="AQ32" i="21416"/>
  <c r="AQ39" i="21415"/>
  <c r="AT39" i="21416"/>
  <c r="AT41" i="21416"/>
  <c r="AQ18" i="21416"/>
  <c r="AQ40" i="21416"/>
  <c r="AQ42" i="21416"/>
  <c r="AQ46" i="21416"/>
  <c r="AT29" i="21416"/>
  <c r="AT13" i="21416"/>
  <c r="AQ11" i="21415"/>
  <c r="AQ24" i="21416"/>
  <c r="AQ16" i="21416"/>
  <c r="AQ28" i="21416"/>
  <c r="AC7" i="21416" l="1"/>
  <c r="AC9" i="21416"/>
  <c r="AC11" i="21416"/>
  <c r="AC13" i="21416"/>
  <c r="AC13" i="21415"/>
  <c r="AC11" i="21415"/>
  <c r="AC9" i="21415"/>
  <c r="AC7" i="21415"/>
  <c r="AC6" i="21415"/>
  <c r="AC61" i="21415"/>
  <c r="AC59" i="21415"/>
  <c r="AC57" i="21415"/>
  <c r="AC55" i="21415"/>
  <c r="AC23" i="21399"/>
  <c r="AC21" i="21399"/>
  <c r="AC19" i="21399"/>
  <c r="AC17" i="21399"/>
  <c r="AC15" i="21399"/>
  <c r="AC13" i="21399"/>
  <c r="AC11" i="21399"/>
  <c r="AC33" i="21400"/>
  <c r="AC31" i="21400"/>
  <c r="AC29" i="21400"/>
  <c r="AC27" i="21400"/>
  <c r="AC25" i="21400"/>
  <c r="AC23" i="21400"/>
  <c r="AC21" i="21400"/>
  <c r="AC19" i="21400"/>
  <c r="AC17" i="21400"/>
  <c r="AC15" i="21400"/>
  <c r="AC13" i="21400"/>
  <c r="AC54" i="21413"/>
  <c r="AC53" i="21413"/>
  <c r="AC51" i="21413"/>
  <c r="AC49" i="21413"/>
  <c r="AC47" i="21413"/>
  <c r="AC45" i="21413"/>
  <c r="AC43" i="21413"/>
  <c r="AC41" i="21413"/>
  <c r="AC39" i="21413"/>
  <c r="AC37" i="21413"/>
  <c r="AC35" i="21413"/>
  <c r="AC33" i="21413"/>
  <c r="AC31" i="21413"/>
  <c r="AC29" i="21413"/>
  <c r="AC27" i="21413"/>
  <c r="AC25" i="21413"/>
  <c r="AC23" i="21413"/>
  <c r="AC21" i="21413"/>
  <c r="AC19" i="21413"/>
  <c r="AC17" i="21413"/>
  <c r="AC15" i="21413"/>
  <c r="AC13" i="21413"/>
  <c r="AC11" i="21413"/>
  <c r="AC9" i="21413"/>
  <c r="AC7" i="21413"/>
  <c r="AC6" i="21413"/>
  <c r="AC37" i="108"/>
  <c r="AC35" i="108"/>
  <c r="AC33" i="108"/>
  <c r="AC31" i="108"/>
  <c r="AC29" i="108"/>
  <c r="AC74" i="3"/>
  <c r="AC72" i="3"/>
  <c r="AC70" i="3"/>
  <c r="AC68" i="3"/>
  <c r="AC66" i="3"/>
  <c r="AC64" i="3"/>
  <c r="AC62" i="3"/>
  <c r="AC60" i="3"/>
  <c r="AC58" i="3"/>
  <c r="AC56" i="3"/>
  <c r="AC54" i="3"/>
  <c r="AC52" i="3"/>
  <c r="AC50" i="3"/>
  <c r="AC48" i="3"/>
  <c r="AC46" i="3"/>
  <c r="AC44" i="3"/>
  <c r="AC42" i="3"/>
  <c r="AC40" i="3"/>
  <c r="AC38" i="3"/>
  <c r="AC36" i="3"/>
  <c r="AC34" i="3"/>
  <c r="AC32" i="3"/>
  <c r="AC30" i="3"/>
  <c r="AC28" i="3"/>
  <c r="AC26" i="3"/>
  <c r="AC24" i="3"/>
  <c r="AC22" i="3"/>
  <c r="AC20" i="3"/>
  <c r="AC18" i="3"/>
  <c r="AC16" i="3"/>
  <c r="AC14" i="3"/>
  <c r="AC12" i="3"/>
  <c r="AC10" i="3"/>
  <c r="AC8" i="3"/>
  <c r="AC6" i="3"/>
  <c r="AC1271" i="21398"/>
  <c r="AC1269" i="21398"/>
  <c r="AC1268" i="21398"/>
  <c r="AC1267" i="21398"/>
  <c r="AC1265" i="21398"/>
  <c r="AC1264" i="21398"/>
  <c r="AC1263" i="21398"/>
  <c r="AC1262" i="21398"/>
  <c r="AC1261" i="21398"/>
  <c r="AC1259" i="21398"/>
  <c r="AC1257" i="21398"/>
  <c r="AC1255" i="21398"/>
  <c r="AC1254" i="21398"/>
  <c r="AC1253" i="21398"/>
  <c r="AC1251" i="21398"/>
  <c r="AC1249" i="21398"/>
  <c r="AC1247" i="21398"/>
  <c r="AC1245" i="21398"/>
  <c r="AC1243" i="21398"/>
  <c r="AC1241" i="21398"/>
  <c r="AC1239" i="21398"/>
  <c r="AC1237" i="21398"/>
  <c r="AC1235" i="21398"/>
  <c r="AC1233" i="21398"/>
  <c r="AC1231" i="21398"/>
  <c r="AC1229" i="21398"/>
  <c r="AC1227" i="21398"/>
  <c r="AC1225" i="21398"/>
  <c r="AC1223" i="21398"/>
  <c r="AC1221" i="21398"/>
  <c r="AC1215" i="21398"/>
  <c r="AC1213" i="21398"/>
  <c r="AC1211" i="21398"/>
  <c r="AC1209" i="21398"/>
  <c r="AC1207" i="21398"/>
  <c r="AC1205" i="21398"/>
  <c r="AC1203" i="21398"/>
  <c r="AC1201" i="21398"/>
  <c r="AC1199" i="21398"/>
  <c r="AC1197" i="21398"/>
  <c r="AC1195" i="21398"/>
  <c r="AC1193" i="21398"/>
  <c r="AC1191" i="21398"/>
  <c r="AC1189" i="21398"/>
  <c r="AC1187" i="21398"/>
  <c r="AC1185" i="21398"/>
  <c r="AC1183" i="21398"/>
  <c r="AC1181" i="21398"/>
  <c r="AC1179" i="21398"/>
  <c r="AC1177" i="21398"/>
  <c r="AC1175" i="21398"/>
  <c r="AC1173" i="21398"/>
  <c r="AC1171" i="21398"/>
  <c r="AC1169" i="21398"/>
  <c r="AC1167" i="21398"/>
  <c r="AC1165" i="21398"/>
  <c r="AC1163" i="21398"/>
  <c r="AC1161" i="21398"/>
  <c r="AC1159" i="21398"/>
  <c r="AC1157" i="21398"/>
  <c r="AC1155" i="21398"/>
  <c r="AC1153" i="21398"/>
  <c r="AC1151" i="21398"/>
  <c r="AC1149" i="21398"/>
  <c r="AC1147" i="21398"/>
  <c r="AC1145" i="21398"/>
  <c r="AC1143" i="21398"/>
  <c r="AC1141" i="21398"/>
  <c r="AC1139" i="21398"/>
  <c r="AC1137" i="21398"/>
  <c r="AC1133" i="21398"/>
  <c r="AC1131" i="21398"/>
  <c r="AC1129" i="21398"/>
  <c r="AC1127" i="21398"/>
  <c r="AC1125" i="21398"/>
  <c r="AC1123" i="21398"/>
  <c r="AC1121" i="21398"/>
  <c r="AC1119" i="21398"/>
  <c r="AC1117" i="21398"/>
  <c r="AC1115" i="21398"/>
  <c r="AC1113" i="21398"/>
  <c r="AC1111" i="21398"/>
  <c r="AC1109" i="21398"/>
  <c r="AC1107" i="21398"/>
  <c r="AC1105" i="21398"/>
  <c r="AC1103" i="21398"/>
  <c r="AC1101" i="21398"/>
  <c r="AC1099" i="21398"/>
  <c r="AC1097" i="21398"/>
  <c r="AC1095" i="21398"/>
  <c r="AC1093" i="21398"/>
  <c r="AC1091" i="21398"/>
  <c r="AC1089" i="21398"/>
  <c r="AC1087" i="21398"/>
  <c r="AC1085" i="21398"/>
  <c r="AC1083" i="21398"/>
  <c r="AC1081" i="21398"/>
  <c r="AC1079" i="21398"/>
  <c r="AC1077" i="21398"/>
  <c r="AC1075" i="21398"/>
  <c r="AC1073" i="21398"/>
  <c r="AC1071" i="21398"/>
  <c r="AC1069" i="21398"/>
  <c r="AC1067" i="21398"/>
  <c r="AC1065" i="21398"/>
  <c r="AC1063" i="21398"/>
  <c r="AC1061" i="21398"/>
  <c r="AC1059" i="21398"/>
  <c r="AC1057" i="21398"/>
  <c r="AC1055" i="21398"/>
  <c r="AC1053" i="21398"/>
  <c r="AC1051" i="21398"/>
  <c r="AC1049" i="21398"/>
  <c r="AC1047" i="21398"/>
  <c r="AC1045" i="21398"/>
  <c r="AC1043" i="21398"/>
  <c r="AC1041" i="21398"/>
  <c r="AC1039" i="21398"/>
  <c r="AC1037" i="21398"/>
  <c r="AC1035" i="21398"/>
  <c r="AC1033" i="21398"/>
  <c r="AC1031" i="21398"/>
  <c r="AC1029" i="21398"/>
  <c r="AC1027" i="21398"/>
  <c r="AC1025" i="21398"/>
  <c r="AC1023" i="21398"/>
  <c r="AC1021" i="21398"/>
  <c r="AC1019" i="21398"/>
  <c r="AC1017" i="21398"/>
  <c r="AC1015" i="21398"/>
  <c r="AC1013" i="21398"/>
  <c r="AC1011" i="21398"/>
  <c r="AC1009" i="21398"/>
  <c r="AC1007" i="21398"/>
  <c r="AC1005" i="21398"/>
  <c r="AC1003" i="21398"/>
  <c r="AC1001" i="21398"/>
  <c r="AC999" i="21398"/>
  <c r="AC997" i="21398"/>
  <c r="AC995" i="21398"/>
  <c r="AC993" i="21398"/>
  <c r="AC991" i="21398"/>
  <c r="AC989" i="21398"/>
  <c r="AC987" i="21398"/>
  <c r="AC985" i="21398"/>
  <c r="AC983" i="21398"/>
  <c r="AC981" i="21398"/>
  <c r="AC979" i="21398"/>
  <c r="AC977" i="21398"/>
  <c r="AC975" i="21398"/>
  <c r="AC973" i="21398"/>
  <c r="AC971" i="21398"/>
  <c r="AC969" i="21398"/>
  <c r="AC967" i="21398"/>
  <c r="AC965" i="21398"/>
  <c r="AC963" i="21398"/>
  <c r="AC961" i="21398"/>
  <c r="AC959" i="21398"/>
  <c r="AC957" i="21398"/>
  <c r="AC955" i="21398"/>
  <c r="AC953" i="21398"/>
  <c r="AC951" i="21398"/>
  <c r="AC949" i="21398"/>
  <c r="AC947" i="21398"/>
  <c r="AC945" i="21398"/>
  <c r="AC943" i="21398"/>
  <c r="AC941" i="21398"/>
  <c r="AC939" i="21398"/>
  <c r="AC937" i="21398"/>
  <c r="AC935" i="21398"/>
  <c r="AC933" i="21398"/>
  <c r="AC931" i="21398"/>
  <c r="AC929" i="21398"/>
  <c r="AC927" i="21398"/>
  <c r="AC925" i="21398"/>
  <c r="AC923" i="21398"/>
  <c r="AC921" i="21398"/>
  <c r="AC919" i="21398"/>
  <c r="AC917" i="21398"/>
  <c r="AC915" i="21398"/>
  <c r="AC913" i="21398"/>
  <c r="AC911" i="21398"/>
  <c r="AC909" i="21398"/>
  <c r="AC907" i="21398"/>
  <c r="AC905" i="21398"/>
  <c r="AC903" i="21398"/>
  <c r="AC901" i="21398"/>
  <c r="AC899" i="21398"/>
  <c r="AC897" i="21398"/>
  <c r="AC895" i="21398"/>
  <c r="AC893" i="21398"/>
  <c r="AC891" i="21398"/>
  <c r="AC889" i="21398"/>
  <c r="AC887" i="21398"/>
  <c r="AC885" i="21398"/>
  <c r="AC883" i="21398"/>
  <c r="AC881" i="21398"/>
  <c r="AC879" i="21398"/>
  <c r="AC877" i="21398"/>
  <c r="AC875" i="21398"/>
  <c r="AC873" i="21398"/>
  <c r="AC871" i="21398"/>
  <c r="AC869" i="21398"/>
  <c r="AC867" i="21398"/>
  <c r="AC865" i="21398"/>
  <c r="AC863" i="21398"/>
  <c r="AC861" i="21398"/>
  <c r="AC859" i="21398"/>
  <c r="AC857" i="21398"/>
  <c r="AC855" i="21398"/>
  <c r="AC853" i="21398"/>
  <c r="AC851" i="21398"/>
  <c r="AC849" i="21398"/>
  <c r="AC847" i="21398"/>
  <c r="AC845" i="21398"/>
  <c r="AC843" i="21398"/>
  <c r="AC841" i="21398"/>
  <c r="AC839" i="21398"/>
  <c r="AC837" i="21398"/>
  <c r="AC831" i="21398"/>
  <c r="AC829" i="21398"/>
  <c r="AC825" i="21398"/>
  <c r="AC821" i="21398"/>
  <c r="AC819" i="21398"/>
  <c r="AC815" i="21398"/>
  <c r="AC813" i="21398"/>
  <c r="AC811" i="21398"/>
  <c r="AC809" i="21398"/>
  <c r="AC807" i="21398"/>
  <c r="AC805" i="21398"/>
  <c r="AC803" i="21398"/>
  <c r="AC801" i="21398"/>
  <c r="AC799" i="21398"/>
  <c r="AC797" i="21398"/>
  <c r="AC795" i="21398"/>
  <c r="AC793" i="21398"/>
  <c r="AC791" i="21398"/>
  <c r="AC789" i="21398"/>
  <c r="AC787" i="21398"/>
  <c r="AC785" i="21398"/>
  <c r="AC783" i="21398"/>
  <c r="AC781" i="21398"/>
  <c r="AC779" i="21398"/>
  <c r="AC777" i="21398"/>
  <c r="AC775" i="21398"/>
  <c r="AC773" i="21398"/>
  <c r="AC771" i="21398"/>
  <c r="AC769" i="21398"/>
  <c r="AC767" i="21398"/>
  <c r="AC765" i="21398"/>
  <c r="AC763" i="21398"/>
  <c r="AC761" i="21398"/>
  <c r="AC759" i="21398"/>
  <c r="AC757" i="21398"/>
  <c r="AC755" i="21398"/>
  <c r="AC753" i="21398"/>
  <c r="AC751" i="21398"/>
  <c r="AC749" i="21398"/>
  <c r="AC747" i="21398"/>
  <c r="AC745" i="21398"/>
  <c r="AC743" i="21398"/>
  <c r="AC741" i="21398"/>
  <c r="AC739" i="21398"/>
  <c r="AC737" i="21398"/>
  <c r="AC735" i="21398"/>
  <c r="AC733" i="21398"/>
  <c r="AC731" i="21398"/>
  <c r="AC729" i="21398"/>
  <c r="AC725" i="21398"/>
  <c r="AC723" i="21398"/>
  <c r="AC721" i="21398"/>
  <c r="AC719" i="21398"/>
  <c r="AC717" i="21398"/>
  <c r="AC715" i="21398"/>
  <c r="AC713" i="21398"/>
  <c r="AC711" i="21398"/>
  <c r="AC709" i="21398"/>
  <c r="AC707" i="21398"/>
  <c r="AC705" i="21398"/>
  <c r="AC703" i="21398"/>
  <c r="AC701" i="21398"/>
  <c r="AC699" i="21398"/>
  <c r="AC697" i="21398"/>
  <c r="AC695" i="21398"/>
  <c r="AC693" i="21398"/>
  <c r="AC691" i="21398"/>
  <c r="AC689" i="21398"/>
  <c r="AC687" i="21398"/>
  <c r="AC685" i="21398"/>
  <c r="AC683" i="21398"/>
  <c r="AC681" i="21398"/>
  <c r="AC679" i="21398"/>
  <c r="AC677" i="21398"/>
  <c r="AC675" i="21398"/>
  <c r="AC673" i="21398"/>
  <c r="AC671" i="21398"/>
  <c r="AC669" i="21398"/>
  <c r="AC667" i="21398"/>
  <c r="AC665" i="21398"/>
  <c r="AC663" i="21398"/>
  <c r="AC661" i="21398"/>
  <c r="AC659" i="21398"/>
  <c r="AC657" i="21398"/>
  <c r="AC655" i="21398"/>
  <c r="AC653" i="21398"/>
  <c r="AC651" i="21398"/>
  <c r="AC649" i="21398"/>
  <c r="AC647" i="21398"/>
  <c r="AC645" i="21398"/>
  <c r="AC643" i="21398"/>
  <c r="AC641" i="21398"/>
  <c r="AC639" i="21398"/>
  <c r="AC637" i="21398"/>
  <c r="AC635" i="21398"/>
  <c r="AC633" i="21398"/>
  <c r="AC631" i="21398"/>
  <c r="AC629" i="21398"/>
  <c r="AC627" i="21398"/>
  <c r="AC625" i="21398"/>
  <c r="AC623" i="21398"/>
  <c r="AC621" i="21398"/>
  <c r="AC619" i="21398"/>
  <c r="AC617" i="21398"/>
  <c r="AC615" i="21398"/>
  <c r="AC613" i="21398"/>
  <c r="AC611" i="21398"/>
  <c r="AC609" i="21398"/>
  <c r="AC607" i="21398"/>
  <c r="AC605" i="21398"/>
  <c r="AC603" i="21398"/>
  <c r="AC601" i="21398"/>
  <c r="AC599" i="21398"/>
  <c r="AC597" i="21398"/>
  <c r="AC595" i="21398"/>
  <c r="AC593" i="21398"/>
  <c r="AC591" i="21398"/>
  <c r="AC589" i="21398"/>
  <c r="AC587" i="21398"/>
  <c r="AC585" i="21398"/>
  <c r="AC583" i="21398"/>
  <c r="AC581" i="21398"/>
  <c r="AC579" i="21398"/>
  <c r="AC577" i="21398"/>
  <c r="AC575" i="21398"/>
  <c r="AC573" i="21398"/>
  <c r="AC571" i="21398"/>
  <c r="AC569" i="21398"/>
  <c r="AC567" i="21398"/>
  <c r="AC565" i="21398"/>
  <c r="AC563" i="21398"/>
  <c r="AC561" i="21398"/>
  <c r="AC559" i="21398"/>
  <c r="AC557" i="21398"/>
  <c r="AC555" i="21398"/>
  <c r="AC553" i="21398"/>
  <c r="AC551" i="21398"/>
  <c r="AC549" i="21398"/>
  <c r="AC547" i="21398"/>
  <c r="AC545" i="21398"/>
  <c r="AC543" i="21398"/>
  <c r="AC541" i="21398"/>
  <c r="AC539" i="21398"/>
  <c r="AC535" i="21398"/>
  <c r="AC533" i="21398"/>
  <c r="AC531" i="21398"/>
  <c r="AC529" i="21398"/>
  <c r="AC527" i="21398"/>
  <c r="AC525" i="21398"/>
  <c r="AC523" i="21398"/>
  <c r="AC521" i="21398"/>
  <c r="AC519" i="21398"/>
  <c r="AC517" i="21398"/>
  <c r="AC515" i="21398"/>
  <c r="AC513" i="21398"/>
  <c r="AC511" i="21398"/>
  <c r="AC509" i="21398"/>
  <c r="AC507" i="21398"/>
  <c r="AC505" i="21398"/>
  <c r="AC503" i="21398"/>
  <c r="AC501" i="21398"/>
  <c r="AC499" i="21398"/>
  <c r="AC497" i="21398"/>
  <c r="AC495" i="21398"/>
  <c r="AC493" i="21398"/>
  <c r="AC491" i="21398"/>
  <c r="AC489" i="21398"/>
  <c r="AC487" i="21398"/>
  <c r="AC485" i="21398"/>
  <c r="AC483" i="21398"/>
  <c r="AC481" i="21398"/>
  <c r="AC479" i="21398"/>
  <c r="AC477" i="21398"/>
  <c r="AC475" i="21398"/>
  <c r="AC473" i="21398"/>
  <c r="AC471" i="21398"/>
  <c r="AC469" i="21398"/>
  <c r="AC467" i="21398"/>
  <c r="AC465" i="21398"/>
  <c r="AC463" i="21398"/>
  <c r="AC461" i="21398"/>
  <c r="AC459" i="21398"/>
  <c r="AC457" i="21398"/>
  <c r="AC455" i="21398"/>
  <c r="AC453" i="21398"/>
  <c r="AC451" i="21398"/>
  <c r="AC449" i="21398"/>
  <c r="AC447" i="21398"/>
  <c r="AC445" i="21398"/>
  <c r="AC443" i="21398"/>
  <c r="AC441" i="21398"/>
  <c r="AC439" i="21398"/>
  <c r="AC437" i="21398"/>
  <c r="AC435" i="21398"/>
  <c r="AC433" i="21398"/>
  <c r="AC431" i="21398"/>
  <c r="AC429" i="21398"/>
  <c r="AC427" i="21398"/>
  <c r="AC425" i="21398"/>
  <c r="AC423" i="21398"/>
  <c r="AC421" i="21398"/>
  <c r="AC419" i="21398"/>
  <c r="AC417" i="21398"/>
  <c r="AC415" i="21398"/>
  <c r="AC413" i="21398"/>
  <c r="AC411" i="21398"/>
  <c r="AC409" i="21398"/>
  <c r="AC407" i="21398"/>
  <c r="AC405" i="21398"/>
  <c r="AC10" i="21415" l="1"/>
  <c r="AC12" i="21415"/>
  <c r="AC56" i="21415"/>
  <c r="AC60" i="21415"/>
  <c r="AC28" i="21400"/>
  <c r="AC1273" i="2" l="1"/>
  <c r="AC1271" i="2"/>
  <c r="AC1269" i="2"/>
  <c r="AC1267" i="2"/>
  <c r="AC1265" i="2"/>
  <c r="AC1263" i="2"/>
  <c r="AC1261" i="2"/>
  <c r="AC1259" i="2"/>
  <c r="AC1257" i="2"/>
  <c r="AC1255" i="2"/>
  <c r="AC1253" i="2"/>
  <c r="AC1251" i="2"/>
  <c r="AC1249" i="2"/>
  <c r="AC1247" i="2"/>
  <c r="AC1245" i="2"/>
  <c r="AC1243" i="2"/>
  <c r="AC1241" i="2"/>
  <c r="AC1239" i="2"/>
  <c r="AC1237" i="2"/>
  <c r="AC1235" i="2"/>
  <c r="AC1233" i="2"/>
  <c r="AC1231" i="2"/>
  <c r="AC1229" i="2"/>
  <c r="AC1227" i="2"/>
  <c r="AC1225" i="2"/>
  <c r="AC1215" i="2"/>
  <c r="AC1213" i="2"/>
  <c r="AC1211" i="2"/>
  <c r="AC1209" i="2"/>
  <c r="AC1207" i="2"/>
  <c r="AC1205" i="2"/>
  <c r="AC1203" i="2"/>
  <c r="AC1201" i="2"/>
  <c r="AC1199" i="2"/>
  <c r="AC1197" i="2"/>
  <c r="AC1195" i="2"/>
  <c r="AC1193" i="2"/>
  <c r="AC1191" i="2"/>
  <c r="AC1189" i="2"/>
  <c r="AC1187" i="2"/>
  <c r="AC1185" i="2"/>
  <c r="AC1183" i="2"/>
  <c r="AC1181" i="2"/>
  <c r="AC1179" i="2"/>
  <c r="AC1177" i="2"/>
  <c r="AC1175" i="2"/>
  <c r="AC1173" i="2"/>
  <c r="AC1171" i="2"/>
  <c r="AC1169" i="2"/>
  <c r="AC1167" i="2"/>
  <c r="AC1165" i="2"/>
  <c r="AC1163" i="2"/>
  <c r="AC1161" i="2"/>
  <c r="AC1159" i="2"/>
  <c r="AC1157" i="2"/>
  <c r="AC1155" i="2"/>
  <c r="AC1153" i="2"/>
  <c r="AC1151" i="2"/>
  <c r="AC1149" i="2"/>
  <c r="AC1147" i="2"/>
  <c r="AC1145" i="2"/>
  <c r="AC1143" i="2"/>
  <c r="AC1141" i="2"/>
  <c r="AC1139" i="2"/>
  <c r="AC1137" i="2"/>
  <c r="AC1135" i="2"/>
  <c r="AC1133" i="2"/>
  <c r="AC1131" i="2"/>
  <c r="AC1129" i="2"/>
  <c r="AC1127" i="2"/>
  <c r="AC1125" i="2"/>
  <c r="AC1123" i="2"/>
  <c r="AC1121" i="2"/>
  <c r="AC1119" i="2"/>
  <c r="AC1117" i="2"/>
  <c r="AC1115" i="2"/>
  <c r="AC1113" i="2"/>
  <c r="AC1111" i="2"/>
  <c r="AC1109" i="2"/>
  <c r="AC1107" i="2"/>
  <c r="AC1105" i="2"/>
  <c r="AC1103" i="2"/>
  <c r="AC1101" i="2"/>
  <c r="AC1099" i="2"/>
  <c r="AC1097" i="2"/>
  <c r="AC1095" i="2"/>
  <c r="AC1093" i="2"/>
  <c r="AC1091" i="2"/>
  <c r="AC1089" i="2"/>
  <c r="AC1087" i="2"/>
  <c r="AC1085" i="2"/>
  <c r="AC1083" i="2"/>
  <c r="AC1081" i="2"/>
  <c r="AC1079" i="2"/>
  <c r="AC1077" i="2"/>
  <c r="AC1075" i="2"/>
  <c r="AC1073" i="2"/>
  <c r="AC1071" i="2"/>
  <c r="AC1069" i="2"/>
  <c r="AC1067" i="2"/>
  <c r="AC1065" i="2"/>
  <c r="AC1063" i="2"/>
  <c r="AC1061" i="2"/>
  <c r="AC1059" i="2"/>
  <c r="AC1057" i="2"/>
  <c r="AC1055" i="2"/>
  <c r="AC1053" i="2"/>
  <c r="AC1051" i="2"/>
  <c r="AC1049" i="2"/>
  <c r="AC1047" i="2"/>
  <c r="AC1045" i="2"/>
  <c r="AC1043" i="2"/>
  <c r="AC1041" i="2"/>
  <c r="AC1039" i="2"/>
  <c r="AC1037" i="2"/>
  <c r="AC1035" i="2"/>
  <c r="AC1033" i="2"/>
  <c r="AC1031" i="2"/>
  <c r="AC1029" i="2"/>
  <c r="AC1027" i="2"/>
  <c r="AC1025" i="2"/>
  <c r="AC1023" i="2"/>
  <c r="AC1021" i="2"/>
  <c r="AC1019" i="2"/>
  <c r="AC1017" i="2"/>
  <c r="AC1015" i="2"/>
  <c r="AC1013" i="2"/>
  <c r="AC1011" i="2"/>
  <c r="AC1009" i="2"/>
  <c r="AC1007" i="2"/>
  <c r="AC1005" i="2"/>
  <c r="AC1003" i="2"/>
  <c r="AC1001" i="2"/>
  <c r="AC999" i="2"/>
  <c r="AC997" i="2"/>
  <c r="AC995" i="2"/>
  <c r="AC993" i="2"/>
  <c r="AC991" i="2"/>
  <c r="AC989" i="2"/>
  <c r="AC987" i="2"/>
  <c r="AC985" i="2"/>
  <c r="AC983" i="2"/>
  <c r="AC981" i="2"/>
  <c r="AC979" i="2"/>
  <c r="AC977" i="2"/>
  <c r="AC975" i="2"/>
  <c r="AC973" i="2"/>
  <c r="AC971" i="2"/>
  <c r="AC969" i="2"/>
  <c r="AC967" i="2"/>
  <c r="AC965" i="2"/>
  <c r="AC963" i="2"/>
  <c r="AC961" i="2"/>
  <c r="AC959" i="2"/>
  <c r="AC957" i="2"/>
  <c r="AC955" i="2"/>
  <c r="AC953" i="2"/>
  <c r="AC951" i="2"/>
  <c r="AC949" i="2"/>
  <c r="AC947" i="2"/>
  <c r="AC945" i="2"/>
  <c r="AC943" i="2"/>
  <c r="AC941" i="2"/>
  <c r="AC939" i="2"/>
  <c r="AC937" i="2"/>
  <c r="AC935" i="2"/>
  <c r="AC933" i="2"/>
  <c r="AC931" i="2"/>
  <c r="AC929" i="2"/>
  <c r="AC927" i="2"/>
  <c r="AC925" i="2"/>
  <c r="AC923" i="2"/>
  <c r="AC921" i="2"/>
  <c r="AC919" i="2"/>
  <c r="AC917" i="2"/>
  <c r="AC915" i="2"/>
  <c r="AC913" i="2"/>
  <c r="AC911" i="2"/>
  <c r="AC909" i="2"/>
  <c r="AC907" i="2"/>
  <c r="AC905" i="2"/>
  <c r="AC903" i="2"/>
  <c r="AC901" i="2"/>
  <c r="AC899" i="2"/>
  <c r="AC897" i="2"/>
  <c r="AC895" i="2"/>
  <c r="AC893" i="2"/>
  <c r="AC891" i="2"/>
  <c r="AC889" i="2"/>
  <c r="AC887" i="2"/>
  <c r="AC885" i="2"/>
  <c r="AC883" i="2"/>
  <c r="AC881" i="2"/>
  <c r="AC879" i="2"/>
  <c r="AC877" i="2"/>
  <c r="AC875" i="2"/>
  <c r="AC873" i="2"/>
  <c r="AC871" i="2"/>
  <c r="AC869" i="2"/>
  <c r="AC867" i="2"/>
  <c r="AC865" i="2"/>
  <c r="AC863" i="2"/>
  <c r="AC861" i="2"/>
  <c r="AC859" i="2"/>
  <c r="AC857" i="2"/>
  <c r="AC855" i="2"/>
  <c r="AC853" i="2"/>
  <c r="AC851" i="2"/>
  <c r="AC849" i="2"/>
  <c r="AC847" i="2"/>
  <c r="AC845" i="2"/>
  <c r="AC843" i="2"/>
  <c r="AC841" i="2"/>
  <c r="AC839" i="2"/>
  <c r="AC835" i="2"/>
  <c r="AC831" i="2"/>
  <c r="AC827" i="2"/>
  <c r="AC823" i="2"/>
  <c r="AC819" i="2"/>
  <c r="AC817" i="2"/>
  <c r="AC815" i="2"/>
  <c r="AC813" i="2"/>
  <c r="AC811" i="2"/>
  <c r="AC809" i="2"/>
  <c r="AC807" i="2"/>
  <c r="AC805" i="2"/>
  <c r="AC803" i="2"/>
  <c r="AC801" i="2"/>
  <c r="AC799" i="2"/>
  <c r="AC797" i="2"/>
  <c r="AC795" i="2"/>
  <c r="AC793" i="2"/>
  <c r="AC791" i="2"/>
  <c r="AC789" i="2"/>
  <c r="AC787" i="2"/>
  <c r="AC785" i="2"/>
  <c r="AC783" i="2"/>
  <c r="AC781" i="2"/>
  <c r="AC779" i="2"/>
  <c r="AC777" i="2"/>
  <c r="AC775" i="2"/>
  <c r="AC773" i="2"/>
  <c r="AC771" i="2"/>
  <c r="AC769" i="2"/>
  <c r="AC767" i="2"/>
  <c r="AC765" i="2"/>
  <c r="AC763" i="2"/>
  <c r="AC761" i="2"/>
  <c r="AC759" i="2"/>
  <c r="AC757" i="2"/>
  <c r="AC755" i="2"/>
  <c r="AC753" i="2"/>
  <c r="AC751" i="2"/>
  <c r="AC749" i="2"/>
  <c r="AC747" i="2"/>
  <c r="AC745" i="2"/>
  <c r="AC743" i="2"/>
  <c r="AC741" i="2"/>
  <c r="AC739" i="2"/>
  <c r="AC737" i="2"/>
  <c r="AC735" i="2"/>
  <c r="AC733" i="2"/>
  <c r="AC731" i="2"/>
  <c r="AC727" i="2"/>
  <c r="AC725" i="2"/>
  <c r="AC723" i="2"/>
  <c r="AC721" i="2"/>
  <c r="AC719" i="2"/>
  <c r="AC717" i="2"/>
  <c r="AC715" i="2"/>
  <c r="AC713" i="2"/>
  <c r="AC711" i="2"/>
  <c r="AC709" i="2"/>
  <c r="AC707" i="2"/>
  <c r="AC705" i="2"/>
  <c r="AC703" i="2"/>
  <c r="AC701" i="2"/>
  <c r="AC699" i="2"/>
  <c r="AC697" i="2"/>
  <c r="AC695" i="2"/>
  <c r="AC693" i="2"/>
  <c r="AC691" i="2"/>
  <c r="AC689" i="2"/>
  <c r="AC687" i="2"/>
  <c r="AC685" i="2"/>
  <c r="AC683" i="2"/>
  <c r="AC681" i="2"/>
  <c r="AC679" i="2"/>
  <c r="AC677" i="2"/>
  <c r="AC675" i="2"/>
  <c r="AC673" i="2"/>
  <c r="AC671" i="2"/>
  <c r="AC669" i="2"/>
  <c r="AC667" i="2"/>
  <c r="AC665" i="2"/>
  <c r="AC663" i="2"/>
  <c r="AC661" i="2"/>
  <c r="AC659" i="2"/>
  <c r="AC657" i="2"/>
  <c r="AC655" i="2"/>
  <c r="AC651" i="2"/>
  <c r="AC649" i="2"/>
  <c r="AC647" i="2"/>
  <c r="AC645" i="2"/>
  <c r="AC643" i="2"/>
  <c r="AC641" i="2"/>
  <c r="AC639" i="2"/>
  <c r="AC637" i="2"/>
  <c r="AC635" i="2"/>
  <c r="AC633" i="2"/>
  <c r="AC631" i="2"/>
  <c r="AC629" i="2"/>
  <c r="AC627" i="2"/>
  <c r="AC625" i="2"/>
  <c r="AC623" i="2"/>
  <c r="AC621" i="2"/>
  <c r="AC619" i="2"/>
  <c r="AC617" i="2"/>
  <c r="AC615" i="2"/>
  <c r="AC613" i="2"/>
  <c r="AC611" i="2"/>
  <c r="AC609" i="2"/>
  <c r="AC607" i="2"/>
  <c r="AC605" i="2"/>
  <c r="AC603" i="2"/>
  <c r="AC601" i="2"/>
  <c r="AC599" i="2"/>
  <c r="AC597" i="2"/>
  <c r="AC595" i="2"/>
  <c r="AC593" i="2"/>
  <c r="AC591" i="2"/>
  <c r="AC589" i="2"/>
  <c r="AC587" i="2"/>
  <c r="AC585" i="2"/>
  <c r="AC583" i="2"/>
  <c r="AC581" i="2"/>
  <c r="AC579" i="2"/>
  <c r="AC577" i="2"/>
  <c r="AC575" i="2"/>
  <c r="AC573" i="2"/>
  <c r="AC571" i="2"/>
  <c r="AC569" i="2"/>
  <c r="AC567" i="2"/>
  <c r="AC565" i="2"/>
  <c r="AC563" i="2"/>
  <c r="AC561" i="2"/>
  <c r="AC559" i="2"/>
  <c r="AC557" i="2"/>
  <c r="AC555" i="2"/>
  <c r="AC553" i="2"/>
  <c r="AC551" i="2"/>
  <c r="AC549" i="2"/>
  <c r="AC547" i="2"/>
  <c r="AC545" i="2"/>
  <c r="AC543" i="2"/>
  <c r="AC541" i="2"/>
  <c r="AC539" i="2"/>
  <c r="AC535" i="2"/>
  <c r="AC533" i="2"/>
  <c r="AC531" i="2"/>
  <c r="AC529" i="2"/>
  <c r="AC527" i="2"/>
  <c r="AC525" i="2"/>
  <c r="AC523" i="2"/>
  <c r="AC521" i="2"/>
  <c r="AC519" i="2"/>
  <c r="AC517" i="2"/>
  <c r="AC515" i="2"/>
  <c r="AC513" i="2"/>
  <c r="AC511" i="2"/>
  <c r="AC509" i="2"/>
  <c r="AC507" i="2"/>
  <c r="AC505" i="2"/>
  <c r="AC503" i="2"/>
  <c r="AC501" i="2"/>
  <c r="AC499" i="2"/>
  <c r="AC497" i="2"/>
  <c r="AC495" i="2"/>
  <c r="AC493" i="2"/>
  <c r="AC491" i="2"/>
  <c r="AC489" i="2"/>
  <c r="AC487" i="2"/>
  <c r="AC485" i="2"/>
  <c r="AC483" i="2"/>
  <c r="AC481" i="2"/>
  <c r="AC479" i="2"/>
  <c r="AC477" i="2"/>
  <c r="AC475" i="2"/>
  <c r="AC473" i="2"/>
  <c r="AC471" i="2"/>
  <c r="AC469" i="2"/>
  <c r="AC467" i="2"/>
  <c r="AC465" i="2"/>
  <c r="AC463" i="2"/>
  <c r="AC461" i="2"/>
  <c r="AC459" i="2"/>
  <c r="AC457" i="2"/>
  <c r="AC455" i="2"/>
  <c r="AC453" i="2"/>
  <c r="AC451" i="2"/>
  <c r="AC449" i="2"/>
  <c r="AC447" i="2"/>
  <c r="AC445" i="2"/>
  <c r="AC443" i="2"/>
  <c r="AC441" i="2"/>
  <c r="AC439" i="2"/>
  <c r="AC437" i="2"/>
  <c r="AC435" i="2"/>
  <c r="AC433" i="2"/>
  <c r="AC431" i="2"/>
  <c r="AC429" i="2"/>
  <c r="AC427" i="2"/>
  <c r="AC425" i="2"/>
  <c r="AC423" i="2"/>
  <c r="AC421" i="2"/>
  <c r="AC419" i="2"/>
  <c r="AC417" i="2"/>
  <c r="AC415" i="2"/>
  <c r="AC413" i="2"/>
  <c r="AC411" i="2"/>
  <c r="AC409" i="2"/>
  <c r="AC407" i="2"/>
  <c r="AC405" i="2"/>
  <c r="AC403" i="2"/>
  <c r="AC401" i="2"/>
  <c r="AC399" i="2"/>
  <c r="AC397" i="2"/>
  <c r="AC395" i="2"/>
  <c r="AC393" i="2"/>
  <c r="AC391" i="2"/>
  <c r="AC389" i="2"/>
  <c r="AC387" i="2"/>
  <c r="AC385" i="2"/>
  <c r="AC383" i="2"/>
  <c r="AC381" i="2"/>
  <c r="AC379" i="2"/>
  <c r="AC377" i="2"/>
  <c r="AC375" i="2"/>
  <c r="AC373" i="2"/>
  <c r="AC371" i="2"/>
  <c r="AC369" i="2"/>
  <c r="AC367" i="2"/>
  <c r="AC365" i="2"/>
  <c r="AC363" i="2"/>
  <c r="AC361" i="2"/>
  <c r="AC359" i="2"/>
  <c r="AC357" i="2"/>
  <c r="AC355" i="2"/>
  <c r="AC353" i="2"/>
  <c r="AC351" i="2"/>
  <c r="AC349" i="2"/>
  <c r="AC347" i="2"/>
  <c r="AC345" i="2"/>
  <c r="AC343" i="2"/>
  <c r="AC341" i="2"/>
  <c r="AC339" i="2"/>
  <c r="AC337" i="2"/>
  <c r="AC335" i="2"/>
  <c r="AC333" i="2"/>
  <c r="AC331" i="2"/>
  <c r="AC329" i="2"/>
  <c r="AC327" i="2"/>
  <c r="AC325" i="2"/>
  <c r="AC323" i="2"/>
  <c r="AC321" i="2"/>
  <c r="AC319" i="2"/>
  <c r="AC317" i="2"/>
  <c r="AC315" i="2"/>
  <c r="AC313" i="2"/>
  <c r="AC311" i="2"/>
  <c r="AC309" i="2"/>
  <c r="AC307" i="2"/>
  <c r="AC305" i="2"/>
  <c r="AC303" i="2"/>
  <c r="AC301" i="2"/>
  <c r="AC299" i="2"/>
  <c r="AC297" i="2"/>
  <c r="AC295" i="2"/>
  <c r="AC293" i="2"/>
  <c r="AC291" i="2"/>
  <c r="AC289" i="2"/>
  <c r="AC287" i="2"/>
  <c r="AC285" i="2"/>
  <c r="AC283" i="2"/>
  <c r="AC281" i="2"/>
  <c r="AC279" i="2"/>
  <c r="AC277" i="2"/>
  <c r="AC275" i="2"/>
  <c r="AC273" i="2"/>
  <c r="AC271" i="2"/>
  <c r="AC269" i="2"/>
  <c r="AC267" i="2"/>
  <c r="AC265" i="2"/>
  <c r="AC263" i="2"/>
  <c r="AC261" i="2"/>
  <c r="AC259" i="2"/>
  <c r="AC257" i="2"/>
  <c r="AC255" i="2"/>
  <c r="AC253" i="2"/>
  <c r="AC251" i="2"/>
  <c r="AC249" i="2"/>
  <c r="AC247" i="2"/>
  <c r="AC245" i="2"/>
  <c r="AC243" i="2"/>
  <c r="AC241" i="2"/>
  <c r="AC239" i="2"/>
  <c r="AC237" i="2"/>
  <c r="AC235" i="2"/>
  <c r="AC233" i="2"/>
  <c r="AC231" i="2"/>
  <c r="AC229" i="2"/>
  <c r="AC227" i="2"/>
  <c r="AC225" i="2"/>
  <c r="AC223" i="2"/>
  <c r="AC221" i="2"/>
  <c r="AC219" i="2"/>
  <c r="AC217" i="2"/>
  <c r="AC215" i="2"/>
  <c r="AC213" i="2"/>
  <c r="AC211" i="2"/>
  <c r="AC209" i="2"/>
  <c r="AC207" i="2"/>
  <c r="AC205" i="2"/>
  <c r="AC203" i="2"/>
  <c r="AC201" i="2"/>
  <c r="AC199" i="2"/>
  <c r="AC197" i="2"/>
  <c r="AC195" i="2"/>
  <c r="AC193" i="2"/>
  <c r="AC191" i="2"/>
  <c r="AC189" i="2"/>
  <c r="AC187" i="2"/>
  <c r="AC185" i="2"/>
  <c r="AC183" i="2"/>
  <c r="AC181" i="2"/>
  <c r="AC179" i="2"/>
  <c r="AC177" i="2"/>
  <c r="AC175" i="2"/>
  <c r="AC173" i="2"/>
  <c r="AC171" i="2"/>
  <c r="AC169" i="2"/>
  <c r="AC167" i="2"/>
  <c r="AC165" i="2"/>
  <c r="AC163" i="2"/>
  <c r="AC161" i="2"/>
  <c r="AC159" i="2"/>
  <c r="AC157" i="2"/>
  <c r="AC155" i="2"/>
  <c r="AC153" i="2"/>
  <c r="AC151" i="2"/>
  <c r="AC149" i="2"/>
  <c r="AC147" i="2"/>
  <c r="AC145" i="2"/>
  <c r="AC143" i="2"/>
  <c r="AC141" i="2"/>
  <c r="AC139" i="2"/>
  <c r="AC137" i="2"/>
  <c r="AC135" i="2"/>
  <c r="AC133" i="2"/>
  <c r="AC131" i="2"/>
  <c r="AC129" i="2"/>
  <c r="AC127" i="2"/>
  <c r="AC125" i="2"/>
  <c r="AC123" i="2"/>
  <c r="AC121" i="2"/>
  <c r="AC119" i="2"/>
  <c r="AC117" i="2"/>
  <c r="AC115" i="2"/>
  <c r="AC113" i="2"/>
  <c r="AC111" i="2"/>
  <c r="AC109" i="2"/>
  <c r="AC107" i="2"/>
  <c r="AC105" i="2"/>
  <c r="AC103" i="2"/>
  <c r="AC101" i="2"/>
  <c r="AC99" i="2"/>
  <c r="AC97" i="2"/>
  <c r="AC95" i="2"/>
  <c r="AC93" i="2"/>
  <c r="AC91" i="2"/>
  <c r="AC89" i="2"/>
  <c r="AC87" i="2"/>
  <c r="AC85" i="2"/>
  <c r="AC83" i="2"/>
  <c r="AC81" i="2"/>
  <c r="AC79" i="2"/>
  <c r="AC77" i="2"/>
  <c r="AC75" i="2"/>
  <c r="AC73" i="2"/>
  <c r="AC71" i="2"/>
  <c r="AC69" i="2"/>
  <c r="AC67" i="2"/>
  <c r="AC65" i="2"/>
  <c r="AC63" i="2"/>
  <c r="AC61" i="2"/>
  <c r="AC59" i="2"/>
  <c r="AC57" i="2"/>
  <c r="AC55" i="2"/>
  <c r="AC53" i="2"/>
  <c r="AC51" i="2"/>
  <c r="AC49" i="2"/>
  <c r="AC47" i="2"/>
  <c r="AC45" i="2"/>
  <c r="AC43" i="2"/>
  <c r="AC41" i="2"/>
  <c r="AC37" i="2"/>
  <c r="AC35" i="2"/>
  <c r="AC33" i="2"/>
  <c r="AC31" i="2"/>
  <c r="AC29" i="2"/>
  <c r="AC27" i="2"/>
  <c r="AC25" i="2"/>
  <c r="AC23" i="2"/>
  <c r="AC21" i="2"/>
  <c r="AC19" i="2"/>
  <c r="AC17" i="2"/>
  <c r="AC15" i="2"/>
  <c r="AC13" i="2"/>
  <c r="AC11" i="2"/>
  <c r="AC9" i="2"/>
  <c r="AC8" i="2"/>
  <c r="AC7" i="2"/>
  <c r="AC39" i="2" l="1"/>
  <c r="A1274" i="2"/>
  <c r="AC1270" i="2"/>
  <c r="AC1266" i="2"/>
  <c r="AC1264" i="2"/>
  <c r="AC1256" i="2"/>
  <c r="AC1136" i="2"/>
  <c r="AC350" i="2"/>
  <c r="AC344" i="2"/>
  <c r="AC18" i="2"/>
  <c r="AC16" i="2"/>
  <c r="I1199" i="21398"/>
  <c r="AN18" i="21415"/>
  <c r="AN14" i="21415"/>
  <c r="AN16" i="21415" s="1"/>
  <c r="AN912" i="2"/>
  <c r="AN908" i="2"/>
  <c r="AN910" i="2" s="1"/>
  <c r="AN886" i="2"/>
  <c r="AN882" i="2"/>
  <c r="AN884" i="2" s="1"/>
  <c r="AN884" i="21398"/>
  <c r="AN880" i="21398"/>
  <c r="AN882" i="21398" s="1"/>
  <c r="AN870" i="21398" l="1"/>
  <c r="AN866" i="21398"/>
  <c r="AN868" i="21398" s="1"/>
  <c r="AN860" i="21398"/>
  <c r="AN856" i="21398"/>
  <c r="AN858" i="21398" s="1"/>
  <c r="AN872" i="2"/>
  <c r="AN868" i="2"/>
  <c r="AN870" i="2" s="1"/>
  <c r="AN862" i="2"/>
  <c r="AN858" i="2"/>
  <c r="AN860" i="2" s="1"/>
  <c r="AN816" i="21398"/>
  <c r="AN812" i="21398"/>
  <c r="AN814" i="21398" s="1"/>
  <c r="AN806" i="21398"/>
  <c r="AN802" i="21398"/>
  <c r="AN804" i="21398" s="1"/>
  <c r="AN818" i="2"/>
  <c r="AN814" i="2"/>
  <c r="AN816" i="2" s="1"/>
  <c r="AN808" i="2"/>
  <c r="AN804" i="2"/>
  <c r="AN806" i="2" s="1"/>
  <c r="AN736" i="21398"/>
  <c r="AN732" i="21398"/>
  <c r="AN734" i="21398" s="1"/>
  <c r="AN738" i="2"/>
  <c r="AN734" i="2"/>
  <c r="AN736" i="2" s="1"/>
  <c r="AN56" i="21413" l="1"/>
  <c r="AM56" i="21413"/>
  <c r="AN448" i="21398" l="1"/>
  <c r="AN446" i="21398" s="1"/>
  <c r="AN442" i="21398"/>
  <c r="AN444" i="21398" s="1"/>
  <c r="AN436" i="2"/>
  <c r="AN434" i="2" s="1"/>
  <c r="AN430" i="2"/>
  <c r="AN432" i="2" s="1"/>
  <c r="AN436" i="21398"/>
  <c r="AN434" i="21398" s="1"/>
  <c r="AN430" i="21398"/>
  <c r="AN432" i="21398" s="1"/>
  <c r="AN106" i="21398" l="1"/>
  <c r="AN102" i="21398"/>
  <c r="AN104" i="21398" s="1"/>
  <c r="AN88" i="21398"/>
  <c r="AN86" i="21398" s="1"/>
  <c r="AN82" i="21398"/>
  <c r="AN84" i="21398" s="1"/>
  <c r="AN106" i="2"/>
  <c r="AN102" i="2"/>
  <c r="AN104" i="2" s="1"/>
  <c r="AN88" i="2"/>
  <c r="AN86" i="2" s="1"/>
  <c r="AN82" i="2"/>
  <c r="AN84" i="2" s="1"/>
  <c r="O2" i="21402" l="1"/>
  <c r="N2" i="21402"/>
  <c r="M2" i="21402"/>
  <c r="L2" i="21402"/>
  <c r="G377" i="21408"/>
  <c r="G376" i="21408"/>
  <c r="G374" i="21408"/>
  <c r="G348" i="21408"/>
  <c r="G308" i="21408"/>
  <c r="G307" i="21408"/>
  <c r="G306" i="21408"/>
  <c r="G298" i="21408"/>
  <c r="G297" i="21408"/>
  <c r="G296" i="21408"/>
  <c r="G295" i="21408"/>
  <c r="G292" i="21408"/>
  <c r="G291" i="21408"/>
  <c r="G290" i="21408"/>
  <c r="G289" i="21408"/>
  <c r="G288" i="21408"/>
  <c r="G270" i="21408"/>
  <c r="G262" i="21408"/>
  <c r="G139" i="21408"/>
  <c r="G138" i="21408"/>
  <c r="Q361" i="21408"/>
  <c r="Q359" i="21408"/>
  <c r="Q358" i="21408"/>
  <c r="Q357" i="21408"/>
  <c r="Q356" i="21408"/>
  <c r="Q355" i="21408"/>
  <c r="Q354" i="21408"/>
  <c r="Q353" i="21408" s="1"/>
  <c r="Q352" i="21408"/>
  <c r="Q351" i="21408"/>
  <c r="Q350" i="21408"/>
  <c r="Q349" i="21408"/>
  <c r="Q347" i="21408"/>
  <c r="Q346" i="21408"/>
  <c r="Q345" i="21408"/>
  <c r="Q344" i="21408"/>
  <c r="Q343" i="21408"/>
  <c r="Q342" i="21408"/>
  <c r="Q341" i="21408"/>
  <c r="Q340" i="21408"/>
  <c r="Q339" i="21408"/>
  <c r="Q338" i="21408"/>
  <c r="Q337" i="21408"/>
  <c r="Q336" i="21408"/>
  <c r="Q335" i="21408"/>
  <c r="Q333" i="21408"/>
  <c r="Q332" i="21408"/>
  <c r="Q331" i="21408"/>
  <c r="Q330" i="21408"/>
  <c r="Q101" i="21408"/>
  <c r="Q100" i="21408"/>
  <c r="Q99" i="21408"/>
  <c r="Q98" i="21408"/>
  <c r="Q67" i="21408"/>
  <c r="Q66" i="21408"/>
  <c r="Q65" i="21408"/>
  <c r="Q64" i="21408"/>
  <c r="P361" i="21408"/>
  <c r="P359" i="21408"/>
  <c r="P358" i="21408"/>
  <c r="P357" i="21408"/>
  <c r="P356" i="21408"/>
  <c r="P355" i="21408"/>
  <c r="P354" i="21408"/>
  <c r="P353" i="21408" s="1"/>
  <c r="P352" i="21408"/>
  <c r="P351" i="21408"/>
  <c r="P350" i="21408"/>
  <c r="P349" i="21408"/>
  <c r="P347" i="21408"/>
  <c r="P346" i="21408"/>
  <c r="P345" i="21408"/>
  <c r="P344" i="21408"/>
  <c r="P343" i="21408"/>
  <c r="P342" i="21408"/>
  <c r="P341" i="21408"/>
  <c r="P340" i="21408"/>
  <c r="P339" i="21408"/>
  <c r="P338" i="21408"/>
  <c r="P337" i="21408"/>
  <c r="P336" i="21408"/>
  <c r="P335" i="21408"/>
  <c r="P333" i="21408"/>
  <c r="P332" i="21408"/>
  <c r="P331" i="21408"/>
  <c r="P330" i="21408"/>
  <c r="P101" i="21408"/>
  <c r="P100" i="21408"/>
  <c r="P99" i="21408"/>
  <c r="P98" i="21408"/>
  <c r="P67" i="21408"/>
  <c r="P66" i="21408"/>
  <c r="P65" i="21408"/>
  <c r="P64" i="21408"/>
  <c r="O361" i="21408"/>
  <c r="O359" i="21408"/>
  <c r="O358" i="21408"/>
  <c r="O357" i="21408"/>
  <c r="O356" i="21408"/>
  <c r="O355" i="21408"/>
  <c r="O354" i="21408"/>
  <c r="O353" i="21408" s="1"/>
  <c r="O352" i="21408"/>
  <c r="O351" i="21408"/>
  <c r="O350" i="21408"/>
  <c r="O349" i="21408"/>
  <c r="O347" i="21408"/>
  <c r="O346" i="21408"/>
  <c r="O345" i="21408"/>
  <c r="O344" i="21408"/>
  <c r="O343" i="21408"/>
  <c r="O342" i="21408"/>
  <c r="O341" i="21408"/>
  <c r="O340" i="21408"/>
  <c r="O339" i="21408"/>
  <c r="O338" i="21408"/>
  <c r="O337" i="21408"/>
  <c r="O336" i="21408"/>
  <c r="O335" i="21408"/>
  <c r="O333" i="21408"/>
  <c r="O332" i="21408"/>
  <c r="O331" i="21408"/>
  <c r="O330" i="21408"/>
  <c r="O101" i="21408"/>
  <c r="O100" i="21408"/>
  <c r="O99" i="21408"/>
  <c r="O98" i="21408"/>
  <c r="O67" i="21408"/>
  <c r="O66" i="21408"/>
  <c r="O65" i="21408"/>
  <c r="O64" i="21408"/>
  <c r="BC26" i="21417"/>
  <c r="BC24" i="21417"/>
  <c r="BC22" i="21417"/>
  <c r="BC20" i="21417"/>
  <c r="BC18" i="21417"/>
  <c r="BC16" i="21417"/>
  <c r="BC10" i="21417"/>
  <c r="BC8" i="21417"/>
  <c r="M54" i="21416"/>
  <c r="M52" i="21416"/>
  <c r="M50" i="21416"/>
  <c r="M48" i="21416"/>
  <c r="M46" i="21416"/>
  <c r="M44" i="21416"/>
  <c r="M42" i="21416"/>
  <c r="M40" i="21416"/>
  <c r="M38" i="21416"/>
  <c r="M36" i="21416"/>
  <c r="M34" i="21416"/>
  <c r="M32" i="21416"/>
  <c r="M30" i="21416"/>
  <c r="M28" i="21416"/>
  <c r="M26" i="21416"/>
  <c r="M24" i="21416"/>
  <c r="M22" i="21416"/>
  <c r="M20" i="21416"/>
  <c r="M18" i="21416"/>
  <c r="M16" i="21416"/>
  <c r="M14" i="21416"/>
  <c r="M12" i="21416"/>
  <c r="M10" i="21416"/>
  <c r="M8" i="21416"/>
  <c r="BC8" i="21416" s="1"/>
  <c r="M6" i="21416"/>
  <c r="BC6" i="21416" s="1"/>
  <c r="M61" i="21415"/>
  <c r="M59" i="21415"/>
  <c r="M57" i="21415"/>
  <c r="M55" i="21415"/>
  <c r="M53" i="21415"/>
  <c r="M51" i="21415"/>
  <c r="M49" i="21415"/>
  <c r="M47" i="21415"/>
  <c r="M45" i="21415"/>
  <c r="M43" i="21415"/>
  <c r="M41" i="21415"/>
  <c r="M39" i="21415"/>
  <c r="M37" i="21415"/>
  <c r="M35" i="21415"/>
  <c r="M33" i="21415"/>
  <c r="M31" i="21415"/>
  <c r="BC31" i="21415" s="1"/>
  <c r="M29" i="21415"/>
  <c r="BC29" i="21415" s="1"/>
  <c r="M27" i="21415"/>
  <c r="BC27" i="21415" s="1"/>
  <c r="M25" i="21415"/>
  <c r="BC25" i="21415" s="1"/>
  <c r="M23" i="21415"/>
  <c r="BC23" i="21415" s="1"/>
  <c r="M21" i="21415"/>
  <c r="BC21" i="21415" s="1"/>
  <c r="M17" i="21415"/>
  <c r="M15" i="21415"/>
  <c r="M13" i="21415"/>
  <c r="M11" i="21415"/>
  <c r="M9" i="21415"/>
  <c r="M7" i="21415"/>
  <c r="M5" i="21415"/>
  <c r="C11" i="21417"/>
  <c r="Q2" i="21408"/>
  <c r="P2" i="21408"/>
  <c r="I32" i="21416"/>
  <c r="P286" i="21408" s="1"/>
  <c r="C11" i="21416"/>
  <c r="AX11" i="21416" s="1"/>
  <c r="M11" i="21416" s="1"/>
  <c r="C5" i="21416"/>
  <c r="BC63" i="21417"/>
  <c r="AC45" i="21417"/>
  <c r="BD44" i="21417"/>
  <c r="AW44" i="21417"/>
  <c r="AC44" i="21417"/>
  <c r="BD42" i="21417"/>
  <c r="AW42" i="21417"/>
  <c r="AC42" i="21417"/>
  <c r="AC41" i="21417"/>
  <c r="BD40" i="21417"/>
  <c r="AC40" i="21417"/>
  <c r="AC39" i="21417"/>
  <c r="BD38" i="21417"/>
  <c r="AW38" i="21417"/>
  <c r="AC38" i="21417"/>
  <c r="AC37" i="21417"/>
  <c r="BD36" i="21417"/>
  <c r="AC36" i="21417"/>
  <c r="AC35" i="21417"/>
  <c r="BD34" i="21417"/>
  <c r="AW34" i="21417"/>
  <c r="AC34" i="21417"/>
  <c r="AC33" i="21417"/>
  <c r="BD32" i="21417"/>
  <c r="AW32" i="21417"/>
  <c r="AC32" i="21417"/>
  <c r="AC31" i="21417"/>
  <c r="BD30" i="21417"/>
  <c r="AC30" i="21417"/>
  <c r="AC29" i="21417"/>
  <c r="BD28" i="21417"/>
  <c r="AW28" i="21417"/>
  <c r="AC28" i="21417"/>
  <c r="AC27" i="21417"/>
  <c r="BD26" i="21417"/>
  <c r="BA26" i="21417"/>
  <c r="AC26" i="21417"/>
  <c r="BB25" i="21417"/>
  <c r="AC25" i="21417"/>
  <c r="BD24" i="21417"/>
  <c r="BA24" i="21417"/>
  <c r="BB24" i="21417"/>
  <c r="AW24" i="21417"/>
  <c r="AC24" i="21417"/>
  <c r="BB23" i="21417"/>
  <c r="AC23" i="21417"/>
  <c r="BD22" i="21417"/>
  <c r="BA22" i="21417"/>
  <c r="BB22" i="21417"/>
  <c r="AW22" i="21417"/>
  <c r="AC22" i="21417"/>
  <c r="BB21" i="21417"/>
  <c r="AC21" i="21417"/>
  <c r="BD20" i="21417"/>
  <c r="BA20" i="21417"/>
  <c r="AC20" i="21417"/>
  <c r="BB19" i="21417"/>
  <c r="AC19" i="21417"/>
  <c r="BD18" i="21417"/>
  <c r="BA18" i="21417"/>
  <c r="BB18" i="21417"/>
  <c r="AW18" i="21417"/>
  <c r="AC18" i="21417"/>
  <c r="BB17" i="21417"/>
  <c r="AC17" i="21417"/>
  <c r="BD16" i="21417"/>
  <c r="BA16" i="21417"/>
  <c r="AC16" i="21417"/>
  <c r="BB15" i="21417"/>
  <c r="BB11" i="21417"/>
  <c r="BD10" i="21417"/>
  <c r="BA10" i="21417"/>
  <c r="BB10" i="21417"/>
  <c r="AW10" i="21417"/>
  <c r="BB9" i="21417"/>
  <c r="BC9" i="21417"/>
  <c r="AW9" i="21417"/>
  <c r="AY9" i="21417" s="1"/>
  <c r="BA9" i="21417" s="1"/>
  <c r="BD8" i="21417"/>
  <c r="BA8" i="21417"/>
  <c r="BB8" i="21417"/>
  <c r="AW8" i="21417"/>
  <c r="BB7" i="21417"/>
  <c r="M7" i="21417"/>
  <c r="BC7" i="21417" s="1"/>
  <c r="AW7" i="21417"/>
  <c r="AY7" i="21417" s="1"/>
  <c r="BA7" i="21417" s="1"/>
  <c r="BD56" i="21416"/>
  <c r="BA56" i="21416"/>
  <c r="BB56" i="21416"/>
  <c r="AX56" i="21416"/>
  <c r="AW56" i="21416"/>
  <c r="BB55" i="21416"/>
  <c r="BD54" i="21416"/>
  <c r="BA54" i="21416"/>
  <c r="BB54" i="21416"/>
  <c r="AW54" i="21416"/>
  <c r="BB53" i="21416"/>
  <c r="BD52" i="21416"/>
  <c r="BA52" i="21416"/>
  <c r="BB52" i="21416"/>
  <c r="AW52" i="21416"/>
  <c r="BB51" i="21416"/>
  <c r="BD50" i="21416"/>
  <c r="BA50" i="21416"/>
  <c r="BB50" i="21416"/>
  <c r="AW50" i="21416"/>
  <c r="BB49" i="21416"/>
  <c r="BD48" i="21416"/>
  <c r="BA48" i="21416"/>
  <c r="BB47" i="21416"/>
  <c r="BD46" i="21416"/>
  <c r="BA46" i="21416"/>
  <c r="BB45" i="21416"/>
  <c r="BD44" i="21416"/>
  <c r="AW44" i="21416"/>
  <c r="BD42" i="21416"/>
  <c r="AW42" i="21416"/>
  <c r="BD40" i="21416"/>
  <c r="AW40" i="21416"/>
  <c r="BD38" i="21416"/>
  <c r="BD36" i="21416"/>
  <c r="BD34" i="21416"/>
  <c r="AW34" i="21416"/>
  <c r="BD32" i="21416"/>
  <c r="AW32" i="21416"/>
  <c r="BD30" i="21416"/>
  <c r="AW30" i="21416"/>
  <c r="BD28" i="21416"/>
  <c r="BD26" i="21416"/>
  <c r="BD24" i="21416"/>
  <c r="BA24" i="21416"/>
  <c r="BB24" i="21416"/>
  <c r="AW24" i="21416"/>
  <c r="BB23" i="21416"/>
  <c r="BD22" i="21416"/>
  <c r="BA22" i="21416"/>
  <c r="BB22" i="21416"/>
  <c r="AW22" i="21416"/>
  <c r="BB21" i="21416"/>
  <c r="BD20" i="21416"/>
  <c r="BA20" i="21416"/>
  <c r="BD18" i="21416"/>
  <c r="BA18" i="21416"/>
  <c r="BB17" i="21416"/>
  <c r="BD16" i="21416"/>
  <c r="BA16" i="21416"/>
  <c r="BB15" i="21416"/>
  <c r="BD14" i="21416"/>
  <c r="BA14" i="21416"/>
  <c r="BB14" i="21416"/>
  <c r="AW14" i="21416"/>
  <c r="BB13" i="21416"/>
  <c r="BD12" i="21416"/>
  <c r="BA12" i="21416"/>
  <c r="BB12" i="21416"/>
  <c r="AW12" i="21416"/>
  <c r="BB11" i="21416"/>
  <c r="BD10" i="21416"/>
  <c r="BA10" i="21416"/>
  <c r="BB10" i="21416"/>
  <c r="AW10" i="21416"/>
  <c r="BB9" i="21416"/>
  <c r="M9" i="21416"/>
  <c r="BC9" i="21416" s="1"/>
  <c r="AW9" i="21416"/>
  <c r="AY9" i="21416" s="1"/>
  <c r="BA9" i="21416" s="1"/>
  <c r="BD8" i="21416"/>
  <c r="BA8" i="21416"/>
  <c r="BB8" i="21416"/>
  <c r="AW8" i="21416"/>
  <c r="BB7" i="21416"/>
  <c r="M7" i="21416"/>
  <c r="BC7" i="21416" s="1"/>
  <c r="AW7" i="21416"/>
  <c r="AY7" i="21416" s="1"/>
  <c r="BA7" i="21416" s="1"/>
  <c r="BD6" i="21416"/>
  <c r="BA6" i="21416"/>
  <c r="BB6" i="21416"/>
  <c r="AW6" i="21416"/>
  <c r="BB5" i="21416"/>
  <c r="AW5" i="21416" l="1"/>
  <c r="J4" i="21416"/>
  <c r="AX5" i="21416"/>
  <c r="M5" i="21416" s="1"/>
  <c r="BC5" i="21416" s="1"/>
  <c r="C13" i="21416"/>
  <c r="AW11" i="21416"/>
  <c r="AY11" i="21416" s="1"/>
  <c r="BA11" i="21416" s="1"/>
  <c r="C13" i="21417"/>
  <c r="C15" i="21417"/>
  <c r="AX15" i="21417" s="1"/>
  <c r="M15" i="21417" s="1"/>
  <c r="AX11" i="21417"/>
  <c r="M11" i="21417" s="1"/>
  <c r="Q363" i="21408"/>
  <c r="Q362" i="21408"/>
  <c r="Q360" i="21408"/>
  <c r="Q256" i="21408"/>
  <c r="Q258" i="21408"/>
  <c r="Q257" i="21408"/>
  <c r="AW11" i="21417"/>
  <c r="BC11" i="21417"/>
  <c r="P362" i="21408"/>
  <c r="P363" i="21408"/>
  <c r="P360" i="21408"/>
  <c r="P287" i="21408"/>
  <c r="O362" i="21408"/>
  <c r="O2" i="21408"/>
  <c r="N2" i="21408"/>
  <c r="I31" i="21415"/>
  <c r="O286" i="21408" s="1"/>
  <c r="O287" i="21408" s="1"/>
  <c r="J9" i="21415"/>
  <c r="AX9" i="21415" s="1"/>
  <c r="C8" i="21415"/>
  <c r="C10" i="21415" s="1"/>
  <c r="BB62" i="21415"/>
  <c r="BD61" i="21415"/>
  <c r="BA61" i="21415"/>
  <c r="BB60" i="21415"/>
  <c r="BD59" i="21415"/>
  <c r="BA59" i="21415"/>
  <c r="BB59" i="21415"/>
  <c r="AW59" i="21415"/>
  <c r="BB58" i="21415"/>
  <c r="BD57" i="21415"/>
  <c r="BA57" i="21415"/>
  <c r="BB57" i="21415"/>
  <c r="AW57" i="21415"/>
  <c r="BB56" i="21415"/>
  <c r="BD55" i="21415"/>
  <c r="BA55" i="21415"/>
  <c r="BB55" i="21415"/>
  <c r="AW55" i="21415"/>
  <c r="BB54" i="21415"/>
  <c r="BD53" i="21415"/>
  <c r="BA53" i="21415"/>
  <c r="BB53" i="21415"/>
  <c r="AW53" i="21415"/>
  <c r="BB52" i="21415"/>
  <c r="BD51" i="21415"/>
  <c r="BA51" i="21415"/>
  <c r="BB51" i="21415"/>
  <c r="AW51" i="21415"/>
  <c r="BB50" i="21415"/>
  <c r="BD49" i="21415"/>
  <c r="BA49" i="21415"/>
  <c r="BB49" i="21415"/>
  <c r="AW49" i="21415"/>
  <c r="BB48" i="21415"/>
  <c r="BD47" i="21415"/>
  <c r="BA47" i="21415"/>
  <c r="BB47" i="21415"/>
  <c r="AW47" i="21415"/>
  <c r="BB46" i="21415"/>
  <c r="BD45" i="21415"/>
  <c r="BA45" i="21415"/>
  <c r="BB45" i="21415"/>
  <c r="AW45" i="21415"/>
  <c r="BB44" i="21415"/>
  <c r="BD43" i="21415"/>
  <c r="BA43" i="21415"/>
  <c r="BB43" i="21415"/>
  <c r="AW43" i="21415"/>
  <c r="BB42" i="21415"/>
  <c r="BD41" i="21415"/>
  <c r="BA41" i="21415"/>
  <c r="BB41" i="21415"/>
  <c r="AW41" i="21415"/>
  <c r="BB40" i="21415"/>
  <c r="BD39" i="21415"/>
  <c r="BA39" i="21415"/>
  <c r="BB38" i="21415"/>
  <c r="BD37" i="21415"/>
  <c r="BA37" i="21415"/>
  <c r="BB36" i="21415"/>
  <c r="BD35" i="21415"/>
  <c r="BA35" i="21415"/>
  <c r="BB35" i="21415"/>
  <c r="AW35" i="21415"/>
  <c r="BB34" i="21415"/>
  <c r="BD33" i="21415"/>
  <c r="BA33" i="21415"/>
  <c r="BB33" i="21415"/>
  <c r="AW33" i="21415"/>
  <c r="BB32" i="21415"/>
  <c r="BD31" i="21415"/>
  <c r="BD29" i="21415"/>
  <c r="BD27" i="21415"/>
  <c r="AW27" i="21415"/>
  <c r="BD25" i="21415"/>
  <c r="AW25" i="21415"/>
  <c r="BD23" i="21415"/>
  <c r="AW23" i="21415"/>
  <c r="BD21" i="21415"/>
  <c r="AW21" i="21415"/>
  <c r="BB20" i="21415"/>
  <c r="BA19" i="21415"/>
  <c r="BB18" i="21415"/>
  <c r="BD17" i="21415"/>
  <c r="BA17" i="21415"/>
  <c r="BB16" i="21415"/>
  <c r="BD15" i="21415"/>
  <c r="BA15" i="21415"/>
  <c r="BB15" i="21415"/>
  <c r="AW15" i="21415"/>
  <c r="BB14" i="21415"/>
  <c r="BD13" i="21415"/>
  <c r="BA13" i="21415"/>
  <c r="BB12" i="21415"/>
  <c r="BD11" i="21415"/>
  <c r="BA11" i="21415"/>
  <c r="BB11" i="21415"/>
  <c r="AW11" i="21415"/>
  <c r="BB10" i="21415"/>
  <c r="BC9" i="21415"/>
  <c r="BA9" i="21415"/>
  <c r="BB8" i="21415"/>
  <c r="AW8" i="21415"/>
  <c r="BD7" i="21415"/>
  <c r="BC7" i="21415"/>
  <c r="BA7" i="21415"/>
  <c r="BB7" i="21415"/>
  <c r="AW7" i="21415"/>
  <c r="BA6" i="21415"/>
  <c r="BB6" i="21415"/>
  <c r="M6" i="21415"/>
  <c r="BC6" i="21415" s="1"/>
  <c r="AW6" i="21415"/>
  <c r="AY6" i="21415" s="1"/>
  <c r="BD5" i="21415"/>
  <c r="BA5" i="21415"/>
  <c r="AZ5" i="21415"/>
  <c r="BB5" i="21415" s="1"/>
  <c r="AX5" i="21415"/>
  <c r="AW5" i="21415"/>
  <c r="BC61" i="21415"/>
  <c r="AI60" i="21415"/>
  <c r="AH60" i="21415"/>
  <c r="AG60" i="21415"/>
  <c r="AF60" i="21415"/>
  <c r="S60" i="21415"/>
  <c r="R60" i="21415"/>
  <c r="Q60" i="21415"/>
  <c r="BC59" i="21415"/>
  <c r="BC57" i="21415"/>
  <c r="BD57" i="21416"/>
  <c r="AC57" i="21416"/>
  <c r="AV56" i="21416"/>
  <c r="AU56" i="21416"/>
  <c r="AP56" i="21416"/>
  <c r="AO56" i="21416"/>
  <c r="AI56" i="21416"/>
  <c r="AH56" i="21416"/>
  <c r="AG56" i="21416"/>
  <c r="AF56" i="21416"/>
  <c r="AE56" i="21416"/>
  <c r="AD56" i="21416"/>
  <c r="AB56" i="21416"/>
  <c r="AA56" i="21416"/>
  <c r="Z56" i="21416"/>
  <c r="Y56" i="21416"/>
  <c r="X56" i="21416"/>
  <c r="AC55" i="21416"/>
  <c r="AC54" i="21416"/>
  <c r="BC54" i="21416"/>
  <c r="AC53" i="21416"/>
  <c r="AC52" i="21416"/>
  <c r="BC52" i="21416"/>
  <c r="AC51" i="21416"/>
  <c r="AC50" i="21416"/>
  <c r="BC50" i="21416"/>
  <c r="AC49" i="21416"/>
  <c r="AC48" i="21416"/>
  <c r="BC48" i="21416"/>
  <c r="AC47" i="21416"/>
  <c r="AC46" i="21416"/>
  <c r="BC46" i="21416"/>
  <c r="AC45" i="21416"/>
  <c r="AC44" i="21416"/>
  <c r="AC43" i="21416"/>
  <c r="AC42" i="21416"/>
  <c r="AC41" i="21416"/>
  <c r="AC40" i="21416"/>
  <c r="AC39" i="21416"/>
  <c r="AC38" i="21416"/>
  <c r="AC37" i="21416"/>
  <c r="AC36" i="21416"/>
  <c r="AC35" i="21416"/>
  <c r="AC34" i="21416"/>
  <c r="AC33" i="21416"/>
  <c r="AC32" i="21416"/>
  <c r="AC31" i="21416"/>
  <c r="AC30" i="21416"/>
  <c r="AC29" i="21416"/>
  <c r="AC28" i="21416"/>
  <c r="AC27" i="21416"/>
  <c r="AC26" i="21416"/>
  <c r="AC25" i="21416"/>
  <c r="AC24" i="21416"/>
  <c r="BC24" i="21416"/>
  <c r="AC23" i="21416"/>
  <c r="AC22" i="21416"/>
  <c r="BC22" i="21416"/>
  <c r="AC21" i="21416"/>
  <c r="AC20" i="21416"/>
  <c r="BC20" i="21416"/>
  <c r="AC19" i="21416"/>
  <c r="AC18" i="21416"/>
  <c r="BC18" i="21416"/>
  <c r="AC17" i="21416"/>
  <c r="AC16" i="21416"/>
  <c r="BC16" i="21416"/>
  <c r="AC15" i="21416"/>
  <c r="AC14" i="21416"/>
  <c r="BC14" i="21416"/>
  <c r="BC12" i="21416"/>
  <c r="BC11" i="21416"/>
  <c r="BC10" i="21416"/>
  <c r="AI56" i="21415"/>
  <c r="AH56" i="21415"/>
  <c r="AG56" i="21415"/>
  <c r="AF56" i="21415"/>
  <c r="S56" i="21415"/>
  <c r="R56" i="21415"/>
  <c r="Q56" i="21415"/>
  <c r="BC55" i="21415"/>
  <c r="AC53" i="21415"/>
  <c r="BC53" i="21415"/>
  <c r="AC51" i="21415"/>
  <c r="BC51" i="21415"/>
  <c r="AC49" i="21415"/>
  <c r="BC49" i="21415"/>
  <c r="AC47" i="21415"/>
  <c r="BC47" i="21415"/>
  <c r="AC45" i="21415"/>
  <c r="BC45" i="21415"/>
  <c r="AC44" i="21415"/>
  <c r="AC43" i="21415"/>
  <c r="BC43" i="21415"/>
  <c r="AC42" i="21415"/>
  <c r="AC41" i="21415"/>
  <c r="BC41" i="21415"/>
  <c r="AC40" i="21415"/>
  <c r="AC39" i="21415"/>
  <c r="BC39" i="21415"/>
  <c r="AC38" i="21415"/>
  <c r="AC37" i="21415"/>
  <c r="BC37" i="21415"/>
  <c r="AC35" i="21415"/>
  <c r="BC35" i="21415"/>
  <c r="AC33" i="21415"/>
  <c r="BC33" i="21415"/>
  <c r="AC31" i="21415"/>
  <c r="AC29" i="21415"/>
  <c r="AC27" i="21415"/>
  <c r="AC25" i="21415"/>
  <c r="AC23" i="21415"/>
  <c r="AC21" i="21415"/>
  <c r="AC19" i="21415"/>
  <c r="AC17" i="21415"/>
  <c r="BC17" i="21415"/>
  <c r="AC15" i="21415"/>
  <c r="BC15" i="21415"/>
  <c r="BC13" i="21415"/>
  <c r="BC11" i="21415"/>
  <c r="BD33" i="21399"/>
  <c r="BD31" i="21399"/>
  <c r="BD29" i="21399"/>
  <c r="BD27" i="21399"/>
  <c r="BD25" i="21399"/>
  <c r="BD23" i="21399"/>
  <c r="BD21" i="21399"/>
  <c r="BD19" i="21399"/>
  <c r="BD17" i="21399"/>
  <c r="BD15" i="21399"/>
  <c r="BD13" i="21399"/>
  <c r="BD11" i="21399"/>
  <c r="A10" i="21400"/>
  <c r="I33" i="21413"/>
  <c r="I31" i="21413"/>
  <c r="BC39" i="108"/>
  <c r="BB39" i="108"/>
  <c r="BA39" i="108"/>
  <c r="AX39" i="108"/>
  <c r="AW39" i="108"/>
  <c r="BB38" i="108"/>
  <c r="BC37" i="108"/>
  <c r="BB37" i="108"/>
  <c r="BA37" i="108"/>
  <c r="AW37" i="108"/>
  <c r="BB36" i="108"/>
  <c r="BA35" i="108"/>
  <c r="BB34" i="108"/>
  <c r="BA33" i="108"/>
  <c r="BB31" i="108"/>
  <c r="BA31" i="108"/>
  <c r="AW31" i="108"/>
  <c r="BB30" i="108"/>
  <c r="I72" i="3"/>
  <c r="BB74" i="3"/>
  <c r="BA74" i="3"/>
  <c r="AX74" i="3"/>
  <c r="AW74" i="3"/>
  <c r="BB73" i="3"/>
  <c r="BB72" i="3"/>
  <c r="BA72" i="3"/>
  <c r="AW72" i="3"/>
  <c r="BB71" i="3"/>
  <c r="BB70" i="3"/>
  <c r="BA70" i="3"/>
  <c r="AW70" i="3"/>
  <c r="BB69" i="3"/>
  <c r="BB68" i="3"/>
  <c r="BA68" i="3"/>
  <c r="AW68" i="3"/>
  <c r="BB67" i="3"/>
  <c r="BC66" i="3"/>
  <c r="BB66" i="3"/>
  <c r="BA66" i="3"/>
  <c r="AW66" i="3"/>
  <c r="BB65" i="3"/>
  <c r="BC64" i="3"/>
  <c r="BA64" i="3"/>
  <c r="BB63" i="3"/>
  <c r="BC62" i="3"/>
  <c r="BB62" i="3"/>
  <c r="BA62" i="3"/>
  <c r="AW62" i="3"/>
  <c r="BB61" i="3"/>
  <c r="BC60" i="3"/>
  <c r="BB60" i="3"/>
  <c r="BA60" i="3"/>
  <c r="AW60" i="3"/>
  <c r="BB59" i="3"/>
  <c r="BC58" i="3"/>
  <c r="BA58" i="3"/>
  <c r="BB57" i="3"/>
  <c r="BC56" i="3"/>
  <c r="BB56" i="3"/>
  <c r="BA56" i="3"/>
  <c r="AW56" i="3"/>
  <c r="BB55" i="3"/>
  <c r="BC54" i="3"/>
  <c r="BB54" i="3"/>
  <c r="BA54" i="3"/>
  <c r="AW54" i="3"/>
  <c r="BB53" i="3"/>
  <c r="BC52" i="3"/>
  <c r="BB52" i="3"/>
  <c r="BA52" i="3"/>
  <c r="AW52" i="3"/>
  <c r="I32" i="3"/>
  <c r="I30" i="3"/>
  <c r="BB28" i="3"/>
  <c r="BA28" i="3"/>
  <c r="AW28" i="3"/>
  <c r="BC27" i="3"/>
  <c r="BB27" i="3"/>
  <c r="BA27" i="3"/>
  <c r="BC26" i="3"/>
  <c r="BB26" i="3"/>
  <c r="BA26" i="3"/>
  <c r="AW26" i="3"/>
  <c r="BC25" i="3"/>
  <c r="BB25" i="3"/>
  <c r="BA25" i="3"/>
  <c r="BC24" i="3"/>
  <c r="BB24" i="3"/>
  <c r="BA24" i="3"/>
  <c r="AW24" i="3"/>
  <c r="BC23" i="3"/>
  <c r="BB23" i="3"/>
  <c r="BA23" i="3"/>
  <c r="BC22" i="3"/>
  <c r="BB22" i="3"/>
  <c r="BA22" i="3"/>
  <c r="AW22" i="3"/>
  <c r="BC21" i="3"/>
  <c r="BB21" i="3"/>
  <c r="BA21" i="3"/>
  <c r="BC20" i="3"/>
  <c r="BB20" i="3"/>
  <c r="BA20" i="3"/>
  <c r="AW20" i="3"/>
  <c r="BC19" i="3"/>
  <c r="BB19" i="3"/>
  <c r="BA19" i="3"/>
  <c r="BB18" i="3"/>
  <c r="BA18" i="3"/>
  <c r="AW18" i="3"/>
  <c r="AX10" i="21415" l="1"/>
  <c r="M10" i="21415" s="1"/>
  <c r="BC10" i="21415" s="1"/>
  <c r="AY11" i="21417"/>
  <c r="BA11" i="21417" s="1"/>
  <c r="AW4" i="21416"/>
  <c r="AX4" i="21416"/>
  <c r="AX8" i="21415"/>
  <c r="AY8" i="21415" s="1"/>
  <c r="BA8" i="21415" s="1"/>
  <c r="AX13" i="21417"/>
  <c r="AW13" i="21417"/>
  <c r="AX13" i="21416"/>
  <c r="M13" i="21416" s="1"/>
  <c r="BC13" i="21416" s="1"/>
  <c r="C15" i="21416"/>
  <c r="AW13" i="21416"/>
  <c r="P256" i="21408"/>
  <c r="P258" i="21408"/>
  <c r="P257" i="21408"/>
  <c r="O258" i="21408"/>
  <c r="O257" i="21408"/>
  <c r="O256" i="21408"/>
  <c r="AW15" i="21417"/>
  <c r="AY15" i="21417" s="1"/>
  <c r="BA15" i="21417" s="1"/>
  <c r="C17" i="21417"/>
  <c r="BC15" i="21417"/>
  <c r="O363" i="21408"/>
  <c r="O360" i="21408"/>
  <c r="C12" i="21415"/>
  <c r="AX12" i="21415" s="1"/>
  <c r="AW9" i="21415"/>
  <c r="AZ9" i="21415" s="1"/>
  <c r="BB9" i="21415" s="1"/>
  <c r="M12" i="21415"/>
  <c r="AW12" i="21415"/>
  <c r="AY12" i="21415" s="1"/>
  <c r="BA12" i="21415" s="1"/>
  <c r="C14" i="21415"/>
  <c r="AW10" i="21415"/>
  <c r="AY10" i="21415" s="1"/>
  <c r="BA10" i="21415" s="1"/>
  <c r="I1239" i="21398"/>
  <c r="M8" i="21415" l="1"/>
  <c r="BC8" i="21415" s="1"/>
  <c r="J13" i="21415"/>
  <c r="AX13" i="21415" s="1"/>
  <c r="AX14" i="21415"/>
  <c r="AZ4" i="21416"/>
  <c r="BB4" i="21416" s="1"/>
  <c r="AX15" i="21416"/>
  <c r="M15" i="21416" s="1"/>
  <c r="BC15" i="21416" s="1"/>
  <c r="C17" i="21416"/>
  <c r="AW15" i="21416"/>
  <c r="AY15" i="21416" s="1"/>
  <c r="BA15" i="21416" s="1"/>
  <c r="J16" i="21416"/>
  <c r="AY13" i="21416"/>
  <c r="BA13" i="21416" s="1"/>
  <c r="M13" i="21417"/>
  <c r="BC13" i="21417" s="1"/>
  <c r="AY13" i="21417"/>
  <c r="BA13" i="21417" s="1"/>
  <c r="AX17" i="21417"/>
  <c r="M17" i="21417" s="1"/>
  <c r="BC17" i="21417" s="1"/>
  <c r="J16" i="21417"/>
  <c r="C19" i="21417"/>
  <c r="AW17" i="21417"/>
  <c r="AW13" i="21415"/>
  <c r="AZ13" i="21415" s="1"/>
  <c r="BB13" i="21415" s="1"/>
  <c r="C16" i="21415"/>
  <c r="AX16" i="21415" s="1"/>
  <c r="M14" i="21415"/>
  <c r="AW14" i="21415"/>
  <c r="AY14" i="21415" s="1"/>
  <c r="BA14" i="21415" s="1"/>
  <c r="BC1271" i="21398"/>
  <c r="BA1271" i="21398"/>
  <c r="BB1270" i="21398"/>
  <c r="AW1269" i="21398"/>
  <c r="BB1266" i="21398"/>
  <c r="BC1265" i="21398"/>
  <c r="BA1265" i="21398"/>
  <c r="BB1264" i="21398"/>
  <c r="BC1263" i="21398"/>
  <c r="BA1263" i="21398"/>
  <c r="BB1263" i="21398"/>
  <c r="AW1263" i="21398"/>
  <c r="BB1262" i="21398"/>
  <c r="BC1261" i="21398"/>
  <c r="BA1261" i="21398"/>
  <c r="BB1261" i="21398"/>
  <c r="AW1261" i="21398"/>
  <c r="BB1260" i="21398"/>
  <c r="BC1259" i="21398"/>
  <c r="BA1259" i="21398"/>
  <c r="BB1259" i="21398"/>
  <c r="AW1259" i="21398"/>
  <c r="BB1258" i="21398"/>
  <c r="BC1257" i="21398"/>
  <c r="BA1257" i="21398"/>
  <c r="BB1257" i="21398"/>
  <c r="AW1257" i="21398"/>
  <c r="BB1256" i="21398"/>
  <c r="AW1255" i="21398"/>
  <c r="AW1253" i="21398"/>
  <c r="BB1252" i="21398"/>
  <c r="BC1251" i="21398"/>
  <c r="BA1251" i="21398"/>
  <c r="BD1273" i="2"/>
  <c r="BD1271" i="2"/>
  <c r="BD1269" i="2"/>
  <c r="BD1267" i="2"/>
  <c r="BD1265" i="2"/>
  <c r="BD1263" i="2"/>
  <c r="BD1261" i="2"/>
  <c r="BD1259" i="2"/>
  <c r="BD1257" i="2"/>
  <c r="BD1255" i="2"/>
  <c r="BD1253" i="2"/>
  <c r="BC1273" i="2"/>
  <c r="BA1273" i="2"/>
  <c r="BB1272" i="2"/>
  <c r="BC1271" i="2"/>
  <c r="BB1271" i="2"/>
  <c r="BA1271" i="2"/>
  <c r="AW1271" i="2"/>
  <c r="BB1270" i="2"/>
  <c r="BC1269" i="2"/>
  <c r="BA1269" i="2"/>
  <c r="BC1268" i="2"/>
  <c r="BB1268" i="2"/>
  <c r="BC1267" i="2"/>
  <c r="BA1267" i="2"/>
  <c r="BB1266" i="2"/>
  <c r="BC1265" i="2"/>
  <c r="BB1265" i="2"/>
  <c r="BA1265" i="2"/>
  <c r="AW1265" i="2"/>
  <c r="BB1264" i="2"/>
  <c r="BC1263" i="2"/>
  <c r="BB1263" i="2"/>
  <c r="BA1263" i="2"/>
  <c r="AW1263" i="2"/>
  <c r="BB1262" i="2"/>
  <c r="BC1261" i="2"/>
  <c r="BB1261" i="2"/>
  <c r="BA1261" i="2"/>
  <c r="AW1261" i="2"/>
  <c r="BB1260" i="2"/>
  <c r="BC1259" i="2"/>
  <c r="BB1259" i="2"/>
  <c r="BA1259" i="2"/>
  <c r="AW1259" i="2"/>
  <c r="BB1258" i="2"/>
  <c r="BC1257" i="2"/>
  <c r="BB1257" i="2"/>
  <c r="BA1257" i="2"/>
  <c r="AW1257" i="2"/>
  <c r="BB1256" i="2"/>
  <c r="BC1255" i="2"/>
  <c r="BB1255" i="2"/>
  <c r="BA1255" i="2"/>
  <c r="AW1255" i="2"/>
  <c r="BB1254" i="2"/>
  <c r="BC1253" i="2"/>
  <c r="BA1253" i="2"/>
  <c r="I1241" i="2"/>
  <c r="I1239" i="2"/>
  <c r="AX19" i="21417" l="1"/>
  <c r="M19" i="21417" s="1"/>
  <c r="J20" i="21417"/>
  <c r="AY17" i="21417"/>
  <c r="BA17" i="21417" s="1"/>
  <c r="AX17" i="21416"/>
  <c r="M17" i="21416" s="1"/>
  <c r="BC17" i="21416" s="1"/>
  <c r="AW17" i="21416"/>
  <c r="J18" i="21416"/>
  <c r="C19" i="21416"/>
  <c r="AW16" i="21416"/>
  <c r="AX16" i="21416"/>
  <c r="AX16" i="21417"/>
  <c r="AW16" i="21417"/>
  <c r="J17" i="21415"/>
  <c r="AX17" i="21415" s="1"/>
  <c r="C21" i="21417"/>
  <c r="AX21" i="21417" s="1"/>
  <c r="M21" i="21417" s="1"/>
  <c r="BC19" i="21417"/>
  <c r="AW19" i="21417"/>
  <c r="AY19" i="21417" s="1"/>
  <c r="BA19" i="21417" s="1"/>
  <c r="C18" i="21415"/>
  <c r="AW16" i="21415"/>
  <c r="AY16" i="21415" s="1"/>
  <c r="BA16" i="21415" s="1"/>
  <c r="M16" i="21415"/>
  <c r="BC12" i="21415"/>
  <c r="I1237" i="21398"/>
  <c r="BB1136" i="21398"/>
  <c r="BA1136" i="21398"/>
  <c r="BC1136" i="21398"/>
  <c r="AW1137" i="21398"/>
  <c r="BB1137" i="21398"/>
  <c r="BA1137" i="21398"/>
  <c r="BC1137" i="21398"/>
  <c r="BD1137" i="21398"/>
  <c r="BB1138" i="21398"/>
  <c r="BA1138" i="21398"/>
  <c r="BC1138" i="21398"/>
  <c r="BB1139" i="21398"/>
  <c r="BA1139" i="21398"/>
  <c r="BC1139" i="21398"/>
  <c r="BD1139" i="21398"/>
  <c r="BB1140" i="21398"/>
  <c r="BA1140" i="21398"/>
  <c r="BC1140" i="21398"/>
  <c r="BB1141" i="21398"/>
  <c r="BA1141" i="21398"/>
  <c r="BC1141" i="21398"/>
  <c r="BB1142" i="21398"/>
  <c r="BA1142" i="21398"/>
  <c r="BC1142" i="21398"/>
  <c r="BB1143" i="21398"/>
  <c r="BA1143" i="21398"/>
  <c r="BC1143" i="21398"/>
  <c r="BB1144" i="21398"/>
  <c r="BA1144" i="21398"/>
  <c r="BC1144" i="21398"/>
  <c r="BB1145" i="21398"/>
  <c r="BA1145" i="21398"/>
  <c r="BC1145" i="21398"/>
  <c r="BB1146" i="21398"/>
  <c r="BA1146" i="21398"/>
  <c r="BC1146" i="21398"/>
  <c r="BB1147" i="21398"/>
  <c r="BA1147" i="21398"/>
  <c r="BC1147" i="21398"/>
  <c r="BB1148" i="21398"/>
  <c r="BA1148" i="21398"/>
  <c r="BC1148" i="21398"/>
  <c r="BB1149" i="21398"/>
  <c r="BA1149" i="21398"/>
  <c r="BC1149" i="21398"/>
  <c r="BD1149" i="21398"/>
  <c r="I1185" i="2"/>
  <c r="I1147" i="21398"/>
  <c r="I1183" i="2"/>
  <c r="I1149" i="2"/>
  <c r="I1147" i="2"/>
  <c r="BB1252" i="2"/>
  <c r="BB1251" i="2"/>
  <c r="BA1251" i="2"/>
  <c r="BB1250" i="2"/>
  <c r="BB1249" i="2"/>
  <c r="BA1249" i="2"/>
  <c r="BB1248" i="2"/>
  <c r="BB1247" i="2"/>
  <c r="BA1247" i="2"/>
  <c r="BB1246" i="2"/>
  <c r="BB1245" i="2"/>
  <c r="BA1245" i="2"/>
  <c r="BB1244" i="2"/>
  <c r="BA1243" i="2"/>
  <c r="BB1242" i="2"/>
  <c r="BB1241" i="2"/>
  <c r="BA1241" i="2"/>
  <c r="BB1240" i="2"/>
  <c r="BB1239" i="2"/>
  <c r="BA1239" i="2"/>
  <c r="BB1238" i="2"/>
  <c r="BA1237" i="2"/>
  <c r="BB1236" i="2"/>
  <c r="BB1235" i="2"/>
  <c r="BA1235" i="2"/>
  <c r="BB1234" i="2"/>
  <c r="BB1233" i="2"/>
  <c r="BA1233" i="2"/>
  <c r="BB1232" i="2"/>
  <c r="BB1231" i="2"/>
  <c r="BA1231" i="2"/>
  <c r="BB1230" i="2"/>
  <c r="BB1229" i="2"/>
  <c r="BA1229" i="2"/>
  <c r="BB1228" i="2"/>
  <c r="BB1227" i="2"/>
  <c r="BA1227" i="2"/>
  <c r="BB1226" i="2"/>
  <c r="BB1225" i="2"/>
  <c r="BA1225" i="2"/>
  <c r="BB1224" i="2"/>
  <c r="BB1222" i="2"/>
  <c r="BB1216" i="2"/>
  <c r="BB1215" i="2"/>
  <c r="BA1215" i="2"/>
  <c r="BB1214" i="2"/>
  <c r="BB1213" i="2"/>
  <c r="BA1213" i="2"/>
  <c r="BB1212" i="2"/>
  <c r="BA1211" i="2"/>
  <c r="BB1210" i="2"/>
  <c r="BB1209" i="2"/>
  <c r="BA1209" i="2"/>
  <c r="BB1208" i="2"/>
  <c r="BB1207" i="2"/>
  <c r="BA1207" i="2"/>
  <c r="BB1206" i="2"/>
  <c r="BB1205" i="2"/>
  <c r="BA1205" i="2"/>
  <c r="BB1204" i="2"/>
  <c r="BA1203" i="2"/>
  <c r="BB1202" i="2"/>
  <c r="BB1201" i="2"/>
  <c r="BA1201" i="2"/>
  <c r="BB1200" i="2"/>
  <c r="BB1199" i="2"/>
  <c r="BA1199" i="2"/>
  <c r="BB1198" i="2"/>
  <c r="BB1197" i="2"/>
  <c r="BA1197" i="2"/>
  <c r="BB1196" i="2"/>
  <c r="BA1195" i="2"/>
  <c r="BB1194" i="2"/>
  <c r="BB1193" i="2"/>
  <c r="BA1193" i="2"/>
  <c r="BB1192" i="2"/>
  <c r="BB1191" i="2"/>
  <c r="BA1191" i="2"/>
  <c r="BB1190" i="2"/>
  <c r="BB1189" i="2"/>
  <c r="BA1189" i="2"/>
  <c r="BB1188" i="2"/>
  <c r="BA1187" i="2"/>
  <c r="BB1186" i="2"/>
  <c r="BB1185" i="2"/>
  <c r="BA1185" i="2"/>
  <c r="BB1184" i="2"/>
  <c r="BA1184" i="2"/>
  <c r="BB1183" i="2"/>
  <c r="BA1183" i="2"/>
  <c r="BB1182" i="2"/>
  <c r="BA1182" i="2"/>
  <c r="BB1181" i="2"/>
  <c r="BA1181" i="2"/>
  <c r="BB1180" i="2"/>
  <c r="BA1180" i="2"/>
  <c r="BB1179" i="2"/>
  <c r="BA1179" i="2"/>
  <c r="BB1178" i="2"/>
  <c r="BA1178" i="2"/>
  <c r="BB1177" i="2"/>
  <c r="BA1177" i="2"/>
  <c r="BB1176" i="2"/>
  <c r="BA1176" i="2"/>
  <c r="BB1175" i="2"/>
  <c r="BA1175" i="2"/>
  <c r="BB1174" i="2"/>
  <c r="BA1174" i="2"/>
  <c r="BB1173" i="2"/>
  <c r="BA1173" i="2"/>
  <c r="BB1172" i="2"/>
  <c r="BA1172" i="2"/>
  <c r="BB1170" i="2"/>
  <c r="BA1170" i="2"/>
  <c r="BB1169" i="2"/>
  <c r="BA1169" i="2"/>
  <c r="BB1168" i="2"/>
  <c r="BA1168" i="2"/>
  <c r="BB1167" i="2"/>
  <c r="BA1167" i="2"/>
  <c r="BB1166" i="2"/>
  <c r="BA1166" i="2"/>
  <c r="BB1165" i="2"/>
  <c r="BA1165" i="2"/>
  <c r="BB1164" i="2"/>
  <c r="BA1164" i="2"/>
  <c r="BB1162" i="2"/>
  <c r="BA1162" i="2"/>
  <c r="BB1161" i="2"/>
  <c r="BA1161" i="2"/>
  <c r="BB1160" i="2"/>
  <c r="BA1160" i="2"/>
  <c r="BB1159" i="2"/>
  <c r="BA1159" i="2"/>
  <c r="BB1158" i="2"/>
  <c r="BA1158" i="2"/>
  <c r="BB1157" i="2"/>
  <c r="BA1157" i="2"/>
  <c r="BB1156" i="2"/>
  <c r="BA1156" i="2"/>
  <c r="BB1155" i="2"/>
  <c r="BA1155" i="2"/>
  <c r="BB1154" i="2"/>
  <c r="BA1154" i="2"/>
  <c r="BB1153" i="2"/>
  <c r="BA1153" i="2"/>
  <c r="BB1152" i="2"/>
  <c r="BA1152" i="2"/>
  <c r="BB1151" i="2"/>
  <c r="BA1151" i="2"/>
  <c r="BB1150" i="2"/>
  <c r="BA1150" i="2"/>
  <c r="BB1149" i="2"/>
  <c r="BA1149" i="2"/>
  <c r="BB1148" i="2"/>
  <c r="BA1148" i="2"/>
  <c r="BA1147" i="2"/>
  <c r="BB1146" i="2"/>
  <c r="BA1145" i="2"/>
  <c r="BB1144" i="2"/>
  <c r="BA1144" i="2"/>
  <c r="BB1143" i="2"/>
  <c r="BA1143" i="2"/>
  <c r="BB1142" i="2"/>
  <c r="BA1142" i="2"/>
  <c r="BB1141" i="2"/>
  <c r="BA1141" i="2"/>
  <c r="BB1140" i="2"/>
  <c r="BA1140" i="2"/>
  <c r="BB1139" i="2"/>
  <c r="BA1139" i="2"/>
  <c r="BB1138" i="2"/>
  <c r="BA1138" i="2"/>
  <c r="BB1137" i="2"/>
  <c r="BA1137" i="2"/>
  <c r="BB1136" i="2"/>
  <c r="BB1133" i="2"/>
  <c r="BA1133" i="2"/>
  <c r="BB1132" i="2"/>
  <c r="BA1131" i="2"/>
  <c r="BB1130" i="2"/>
  <c r="BB1129" i="2"/>
  <c r="BA1129" i="2"/>
  <c r="BB1128" i="2"/>
  <c r="BB1127" i="2"/>
  <c r="BA1127" i="2"/>
  <c r="BB1126" i="2"/>
  <c r="BB1125" i="2"/>
  <c r="BA1125" i="2"/>
  <c r="BB1124" i="2"/>
  <c r="BA1123" i="2"/>
  <c r="BB1122" i="2"/>
  <c r="BB1121" i="2"/>
  <c r="BA1121" i="2"/>
  <c r="BB1120" i="2"/>
  <c r="BB1119" i="2"/>
  <c r="BA1119" i="2"/>
  <c r="BB1118" i="2"/>
  <c r="BB1117" i="2"/>
  <c r="BA1117" i="2"/>
  <c r="BB1116" i="2"/>
  <c r="BB1115" i="2"/>
  <c r="BA1115" i="2"/>
  <c r="BB1114" i="2"/>
  <c r="BB1113" i="2"/>
  <c r="BA1113" i="2"/>
  <c r="BB1112" i="2"/>
  <c r="BA1111" i="2"/>
  <c r="BB1110" i="2"/>
  <c r="BB1109" i="2"/>
  <c r="BA1109" i="2"/>
  <c r="BB1108" i="2"/>
  <c r="BB1107" i="2"/>
  <c r="BA1107" i="2"/>
  <c r="BB1106" i="2"/>
  <c r="BA1105" i="2"/>
  <c r="BB1104" i="2"/>
  <c r="BB1103" i="2"/>
  <c r="BA1103" i="2"/>
  <c r="BB1102" i="2"/>
  <c r="BB1101" i="2"/>
  <c r="BA1101" i="2"/>
  <c r="BB1100" i="2"/>
  <c r="BB1099" i="2"/>
  <c r="BA1099" i="2"/>
  <c r="BB1098" i="2"/>
  <c r="BB1097" i="2"/>
  <c r="BA1097" i="2"/>
  <c r="BB1096" i="2"/>
  <c r="BB1095" i="2"/>
  <c r="BA1095" i="2"/>
  <c r="BB1094" i="2"/>
  <c r="BA1093" i="2"/>
  <c r="BB1092" i="2"/>
  <c r="BA1091" i="2"/>
  <c r="BB1090" i="2"/>
  <c r="BA1089" i="2"/>
  <c r="BB1088" i="2"/>
  <c r="BB1087" i="2"/>
  <c r="BA1087" i="2"/>
  <c r="BB1086" i="2"/>
  <c r="BA1085" i="2"/>
  <c r="BB1084" i="2"/>
  <c r="BB1083" i="2"/>
  <c r="BA1083" i="2"/>
  <c r="BB1082" i="2"/>
  <c r="BB1081" i="2"/>
  <c r="BA1081" i="2"/>
  <c r="BB1080" i="2"/>
  <c r="BB1079" i="2"/>
  <c r="BA1079" i="2"/>
  <c r="BB1078" i="2"/>
  <c r="BB1077" i="2"/>
  <c r="BA1077" i="2"/>
  <c r="BB1076" i="2"/>
  <c r="BB1075" i="2"/>
  <c r="BA1075" i="2"/>
  <c r="BB1074" i="2"/>
  <c r="BA1073" i="2"/>
  <c r="BB1072" i="2"/>
  <c r="BB1071" i="2"/>
  <c r="BA1071" i="2"/>
  <c r="BB1070" i="2"/>
  <c r="BB1069" i="2"/>
  <c r="BA1069" i="2"/>
  <c r="BB1068" i="2"/>
  <c r="BA1067" i="2"/>
  <c r="BB1066" i="2"/>
  <c r="BB1065" i="2"/>
  <c r="BA1065" i="2"/>
  <c r="BB1064" i="2"/>
  <c r="BB1063" i="2"/>
  <c r="BA1063" i="2"/>
  <c r="BB1062" i="2"/>
  <c r="BB1061" i="2"/>
  <c r="BA1061" i="2"/>
  <c r="BB1060" i="2"/>
  <c r="BB1059" i="2"/>
  <c r="BA1059" i="2"/>
  <c r="BB1058" i="2"/>
  <c r="BB1057" i="2"/>
  <c r="BA1057" i="2"/>
  <c r="BB1056" i="2"/>
  <c r="BA1055" i="2"/>
  <c r="BB1054" i="2"/>
  <c r="BB1053" i="2"/>
  <c r="BA1053" i="2"/>
  <c r="BB1052" i="2"/>
  <c r="BB1051" i="2"/>
  <c r="BA1051" i="2"/>
  <c r="BB1050" i="2"/>
  <c r="BB1049" i="2"/>
  <c r="BA1049" i="2"/>
  <c r="BB1048" i="2"/>
  <c r="BA1047" i="2"/>
  <c r="BB1046" i="2"/>
  <c r="BB1045" i="2"/>
  <c r="BA1045" i="2"/>
  <c r="BB1044" i="2"/>
  <c r="BB1043" i="2"/>
  <c r="BA1043" i="2"/>
  <c r="BB1042" i="2"/>
  <c r="BB1041" i="2"/>
  <c r="BA1041" i="2"/>
  <c r="BB1040" i="2"/>
  <c r="BB1039" i="2"/>
  <c r="BA1039" i="2"/>
  <c r="BB1038" i="2"/>
  <c r="BB1037" i="2"/>
  <c r="BA1037" i="2"/>
  <c r="BB1036" i="2"/>
  <c r="BA1035" i="2"/>
  <c r="BB1034" i="2"/>
  <c r="BB1033" i="2"/>
  <c r="BA1033" i="2"/>
  <c r="BB1032" i="2"/>
  <c r="BB1031" i="2"/>
  <c r="BA1031" i="2"/>
  <c r="BB1030" i="2"/>
  <c r="BA1029" i="2"/>
  <c r="BB1028" i="2"/>
  <c r="BB1027" i="2"/>
  <c r="BA1027" i="2"/>
  <c r="BB1026" i="2"/>
  <c r="BB1025" i="2"/>
  <c r="BA1025" i="2"/>
  <c r="BB1024" i="2"/>
  <c r="BB1023" i="2"/>
  <c r="BA1023" i="2"/>
  <c r="BB1022" i="2"/>
  <c r="BB1021" i="2"/>
  <c r="BA1021" i="2"/>
  <c r="BB1020" i="2"/>
  <c r="BB1019" i="2"/>
  <c r="BA1019" i="2"/>
  <c r="BB1018" i="2"/>
  <c r="BB1017" i="2"/>
  <c r="BA1017" i="2"/>
  <c r="BB1016" i="2"/>
  <c r="BA1015" i="2"/>
  <c r="BB1014" i="2"/>
  <c r="BB1013" i="2"/>
  <c r="BA1013" i="2"/>
  <c r="BB1012" i="2"/>
  <c r="BA1011" i="2"/>
  <c r="BB1010" i="2"/>
  <c r="BA1009" i="2"/>
  <c r="BB1008" i="2"/>
  <c r="BA1007" i="2"/>
  <c r="BB1006" i="2"/>
  <c r="BB1005" i="2"/>
  <c r="BA1005" i="2"/>
  <c r="BB1004" i="2"/>
  <c r="BB1003" i="2"/>
  <c r="BA1003" i="2"/>
  <c r="BB1002" i="2"/>
  <c r="BB1001" i="2"/>
  <c r="BA1001" i="2"/>
  <c r="BB1000" i="2"/>
  <c r="BB999" i="2"/>
  <c r="BA999" i="2"/>
  <c r="BB998" i="2"/>
  <c r="BB997" i="2"/>
  <c r="BA997" i="2"/>
  <c r="BB996" i="2"/>
  <c r="BA995" i="2"/>
  <c r="BB994" i="2"/>
  <c r="BB993" i="2"/>
  <c r="BA993" i="2"/>
  <c r="BB992" i="2"/>
  <c r="BB991" i="2"/>
  <c r="BA991" i="2"/>
  <c r="BB990" i="2"/>
  <c r="BA989" i="2"/>
  <c r="BB988" i="2"/>
  <c r="BB987" i="2"/>
  <c r="BA987" i="2"/>
  <c r="BB986" i="2"/>
  <c r="BB985" i="2"/>
  <c r="BA985" i="2"/>
  <c r="BB984" i="2"/>
  <c r="BB983" i="2"/>
  <c r="BA983" i="2"/>
  <c r="BB982" i="2"/>
  <c r="BB981" i="2"/>
  <c r="BA981" i="2"/>
  <c r="BB980" i="2"/>
  <c r="BB979" i="2"/>
  <c r="BA979" i="2"/>
  <c r="BB978" i="2"/>
  <c r="BA977" i="2"/>
  <c r="BB976" i="2"/>
  <c r="BB975" i="2"/>
  <c r="BA975" i="2"/>
  <c r="BB974" i="2"/>
  <c r="BB973" i="2"/>
  <c r="BA973" i="2"/>
  <c r="BB972" i="2"/>
  <c r="BB971" i="2"/>
  <c r="BA971" i="2"/>
  <c r="BB970" i="2"/>
  <c r="BA969" i="2"/>
  <c r="BB968" i="2"/>
  <c r="BB967" i="2"/>
  <c r="BA967" i="2"/>
  <c r="BB966" i="2"/>
  <c r="BB965" i="2"/>
  <c r="BA965" i="2"/>
  <c r="BB964" i="2"/>
  <c r="BB963" i="2"/>
  <c r="BA963" i="2"/>
  <c r="BB962" i="2"/>
  <c r="BA961" i="2"/>
  <c r="BB960" i="2"/>
  <c r="BB959" i="2"/>
  <c r="BA959" i="2"/>
  <c r="BB958" i="2"/>
  <c r="BB957" i="2"/>
  <c r="BA957" i="2"/>
  <c r="BB956" i="2"/>
  <c r="BA955" i="2"/>
  <c r="BB954" i="2"/>
  <c r="BB953" i="2"/>
  <c r="BA953" i="2"/>
  <c r="BB952" i="2"/>
  <c r="BB951" i="2"/>
  <c r="BA951" i="2"/>
  <c r="BB950" i="2"/>
  <c r="BA949" i="2"/>
  <c r="BB948" i="2"/>
  <c r="BB947" i="2"/>
  <c r="BA947" i="2"/>
  <c r="BB946" i="2"/>
  <c r="BA945" i="2"/>
  <c r="BB944" i="2"/>
  <c r="BB943" i="2"/>
  <c r="BA943" i="2"/>
  <c r="BB942" i="2"/>
  <c r="BA941" i="2"/>
  <c r="BB940" i="2"/>
  <c r="BA939" i="2"/>
  <c r="BB938" i="2"/>
  <c r="BB937" i="2"/>
  <c r="BA937" i="2"/>
  <c r="BB936" i="2"/>
  <c r="BB935" i="2"/>
  <c r="BA935" i="2"/>
  <c r="BB934" i="2"/>
  <c r="BB933" i="2"/>
  <c r="BA933" i="2"/>
  <c r="BB932" i="2"/>
  <c r="BA931" i="2"/>
  <c r="BA929" i="2"/>
  <c r="BB928" i="2"/>
  <c r="BA927" i="2"/>
  <c r="BB914" i="2"/>
  <c r="BA913" i="2"/>
  <c r="BB912" i="2"/>
  <c r="BB911" i="2"/>
  <c r="BA911" i="2"/>
  <c r="BB910" i="2"/>
  <c r="BB909" i="2"/>
  <c r="BA909" i="2"/>
  <c r="BB908" i="2"/>
  <c r="BA907" i="2"/>
  <c r="BB906" i="2"/>
  <c r="BB905" i="2"/>
  <c r="BA905" i="2"/>
  <c r="BB904" i="2"/>
  <c r="BA904" i="2"/>
  <c r="BB903" i="2"/>
  <c r="BA903" i="2"/>
  <c r="BB902" i="2"/>
  <c r="BB901" i="2"/>
  <c r="BA901" i="2"/>
  <c r="BB900" i="2"/>
  <c r="BB899" i="2"/>
  <c r="BA899" i="2"/>
  <c r="BB898" i="2"/>
  <c r="BB897" i="2"/>
  <c r="BA897" i="2"/>
  <c r="BB896" i="2"/>
  <c r="BB895" i="2"/>
  <c r="BA895" i="2"/>
  <c r="BB894" i="2"/>
  <c r="BB893" i="2"/>
  <c r="BA893" i="2"/>
  <c r="BB892" i="2"/>
  <c r="BB891" i="2"/>
  <c r="BA891" i="2"/>
  <c r="BB890" i="2"/>
  <c r="BB889" i="2"/>
  <c r="BA889" i="2"/>
  <c r="BB888" i="2"/>
  <c r="BB887" i="2"/>
  <c r="BA887" i="2"/>
  <c r="BB886" i="2"/>
  <c r="BA885" i="2"/>
  <c r="BB884" i="2"/>
  <c r="BB883" i="2"/>
  <c r="BA883" i="2"/>
  <c r="BB882" i="2"/>
  <c r="BB881" i="2"/>
  <c r="BA881" i="2"/>
  <c r="BB880" i="2"/>
  <c r="BB879" i="2"/>
  <c r="BA879" i="2"/>
  <c r="BB878" i="2"/>
  <c r="BA877" i="2"/>
  <c r="BB876" i="2"/>
  <c r="BB875" i="2"/>
  <c r="BA875" i="2"/>
  <c r="BB874" i="2"/>
  <c r="BB873" i="2"/>
  <c r="BA873" i="2"/>
  <c r="BB872" i="2"/>
  <c r="BA871" i="2"/>
  <c r="BB870" i="2"/>
  <c r="BB869" i="2"/>
  <c r="BA869" i="2"/>
  <c r="BB868" i="2"/>
  <c r="BB867" i="2"/>
  <c r="BA867" i="2"/>
  <c r="BB866" i="2"/>
  <c r="BB865" i="2"/>
  <c r="BA865" i="2"/>
  <c r="BB864" i="2"/>
  <c r="BB863" i="2"/>
  <c r="BA863" i="2"/>
  <c r="BB862" i="2"/>
  <c r="BA861" i="2"/>
  <c r="BB860" i="2"/>
  <c r="BB859" i="2"/>
  <c r="BA859" i="2"/>
  <c r="BB858" i="2"/>
  <c r="BB857" i="2"/>
  <c r="BA857" i="2"/>
  <c r="BB856" i="2"/>
  <c r="BB855" i="2"/>
  <c r="BA855" i="2"/>
  <c r="BB854" i="2"/>
  <c r="BA853" i="2"/>
  <c r="BB852" i="2"/>
  <c r="BB851" i="2"/>
  <c r="BA851" i="2"/>
  <c r="AW1137" i="2"/>
  <c r="AX20" i="21417" l="1"/>
  <c r="AW20" i="21417"/>
  <c r="AW17" i="21415"/>
  <c r="AZ17" i="21415" s="1"/>
  <c r="BB17" i="21415" s="1"/>
  <c r="J19" i="21415"/>
  <c r="AX19" i="21415" s="1"/>
  <c r="AX18" i="21415"/>
  <c r="AY17" i="21416"/>
  <c r="BA17" i="21416" s="1"/>
  <c r="AZ16" i="21417"/>
  <c r="BB16" i="21417" s="1"/>
  <c r="AX19" i="21416"/>
  <c r="J19" i="21416"/>
  <c r="J20" i="21416"/>
  <c r="C21" i="21416"/>
  <c r="AW19" i="21416"/>
  <c r="AW18" i="21416"/>
  <c r="AX18" i="21416"/>
  <c r="AZ16" i="21416"/>
  <c r="BB16" i="21416" s="1"/>
  <c r="BC21" i="21417"/>
  <c r="C23" i="21417"/>
  <c r="AX23" i="21417" s="1"/>
  <c r="M23" i="21417" s="1"/>
  <c r="AW21" i="21417"/>
  <c r="AY21" i="21417" s="1"/>
  <c r="BA21" i="21417" s="1"/>
  <c r="AW18" i="21415"/>
  <c r="AY18" i="21415" s="1"/>
  <c r="BA18" i="21415" s="1"/>
  <c r="C20" i="21415"/>
  <c r="AX20" i="21415" s="1"/>
  <c r="BC14" i="21415"/>
  <c r="I1107" i="21398"/>
  <c r="I1105" i="21398"/>
  <c r="I1109" i="2"/>
  <c r="I1107" i="2"/>
  <c r="AW19" i="21415" l="1"/>
  <c r="AZ19" i="21415" s="1"/>
  <c r="AZ20" i="21417"/>
  <c r="BB20" i="21417" s="1"/>
  <c r="AX21" i="21416"/>
  <c r="M21" i="21416" s="1"/>
  <c r="BC21" i="21416" s="1"/>
  <c r="C23" i="21416"/>
  <c r="AW21" i="21416"/>
  <c r="AY21" i="21416" s="1"/>
  <c r="BA21" i="21416" s="1"/>
  <c r="AX20" i="21416"/>
  <c r="AW20" i="21416"/>
  <c r="AZ18" i="21416"/>
  <c r="BB18" i="21416" s="1"/>
  <c r="AY19" i="21416"/>
  <c r="BA19" i="21416" s="1"/>
  <c r="M19" i="21416"/>
  <c r="AZ19" i="21416"/>
  <c r="BB19" i="21416" s="1"/>
  <c r="M18" i="21415"/>
  <c r="BC18" i="21415" s="1"/>
  <c r="AW23" i="21417"/>
  <c r="AY23" i="21417" s="1"/>
  <c r="BA23" i="21417" s="1"/>
  <c r="C25" i="21417"/>
  <c r="BC23" i="21417"/>
  <c r="BB19" i="21415"/>
  <c r="BC19" i="21415"/>
  <c r="C22" i="21415"/>
  <c r="AX22" i="21415" s="1"/>
  <c r="AW20" i="21415"/>
  <c r="AY20" i="21415" s="1"/>
  <c r="BA20" i="21415" s="1"/>
  <c r="BC16" i="21415"/>
  <c r="I1069" i="21398"/>
  <c r="I1067" i="21398"/>
  <c r="I1069" i="2"/>
  <c r="I1071" i="2"/>
  <c r="I1031" i="21398"/>
  <c r="I1029" i="21398"/>
  <c r="I1031" i="2"/>
  <c r="I1033" i="2"/>
  <c r="I991" i="21398"/>
  <c r="I989" i="21398"/>
  <c r="I993" i="2"/>
  <c r="I991" i="2"/>
  <c r="I957" i="21398"/>
  <c r="I955" i="21398"/>
  <c r="I959" i="2"/>
  <c r="I957" i="2"/>
  <c r="I927" i="21398"/>
  <c r="I925" i="21398"/>
  <c r="I909" i="21398"/>
  <c r="I947" i="2"/>
  <c r="I873" i="21398"/>
  <c r="I871" i="21398"/>
  <c r="I875" i="2"/>
  <c r="I873" i="2"/>
  <c r="I843" i="21398"/>
  <c r="I845" i="2"/>
  <c r="I783" i="2"/>
  <c r="I781" i="2"/>
  <c r="I779" i="21398"/>
  <c r="AZ20" i="21416" l="1"/>
  <c r="BB20" i="21416" s="1"/>
  <c r="AX23" i="21416"/>
  <c r="M23" i="21416" s="1"/>
  <c r="C25" i="21416"/>
  <c r="AW23" i="21416"/>
  <c r="AY23" i="21416" s="1"/>
  <c r="BA23" i="21416" s="1"/>
  <c r="BC19" i="21416"/>
  <c r="AX25" i="21417"/>
  <c r="M25" i="21417" s="1"/>
  <c r="BC25" i="21417" s="1"/>
  <c r="J26" i="21417"/>
  <c r="M20" i="21415"/>
  <c r="BC20" i="21415" s="1"/>
  <c r="AW25" i="21417"/>
  <c r="C27" i="21417"/>
  <c r="AX27" i="21417" s="1"/>
  <c r="M27" i="21417" s="1"/>
  <c r="BC27" i="21417" s="1"/>
  <c r="AW22" i="21415"/>
  <c r="AY22" i="21415" s="1"/>
  <c r="BA22" i="21415" s="1"/>
  <c r="C24" i="21415"/>
  <c r="AX24" i="21415" s="1"/>
  <c r="AW797" i="2"/>
  <c r="AW789" i="2"/>
  <c r="AY25" i="21417" l="1"/>
  <c r="BA25" i="21417" s="1"/>
  <c r="AX25" i="21416"/>
  <c r="M25" i="21416" s="1"/>
  <c r="AW25" i="21416"/>
  <c r="AY25" i="21416" s="1"/>
  <c r="C27" i="21416"/>
  <c r="J26" i="21416" s="1"/>
  <c r="BC23" i="21416"/>
  <c r="AW26" i="21417"/>
  <c r="AX26" i="21417"/>
  <c r="M22" i="21415"/>
  <c r="BC22" i="21415" s="1"/>
  <c r="C29" i="21417"/>
  <c r="AX29" i="21417" s="1"/>
  <c r="M29" i="21417" s="1"/>
  <c r="BC29" i="21417" s="1"/>
  <c r="AW27" i="21417"/>
  <c r="AY27" i="21417" s="1"/>
  <c r="BA27" i="21417" s="1"/>
  <c r="AW24" i="21415"/>
  <c r="AY24" i="21415" s="1"/>
  <c r="BA24" i="21415" s="1"/>
  <c r="C26" i="21415"/>
  <c r="AX26" i="21415" s="1"/>
  <c r="BB1250" i="21398"/>
  <c r="BC1249" i="21398"/>
  <c r="BA1249" i="21398"/>
  <c r="BB1249" i="21398"/>
  <c r="AW1249" i="21398"/>
  <c r="BB1248" i="21398"/>
  <c r="BC1247" i="21398"/>
  <c r="BA1247" i="21398"/>
  <c r="BB1247" i="21398"/>
  <c r="AW1247" i="21398"/>
  <c r="BB1246" i="21398"/>
  <c r="BC1245" i="21398"/>
  <c r="BA1245" i="21398"/>
  <c r="BB1245" i="21398"/>
  <c r="AW1245" i="21398"/>
  <c r="BB1244" i="21398"/>
  <c r="BC1243" i="21398"/>
  <c r="BA1243" i="21398"/>
  <c r="BB1243" i="21398"/>
  <c r="AW1243" i="21398"/>
  <c r="BB1242" i="21398"/>
  <c r="BC1241" i="21398"/>
  <c r="BA1241" i="21398"/>
  <c r="BB1240" i="21398"/>
  <c r="BC1239" i="21398"/>
  <c r="BA1239" i="21398"/>
  <c r="BB1239" i="21398"/>
  <c r="AW1239" i="21398"/>
  <c r="BB1238" i="21398"/>
  <c r="BC1237" i="21398"/>
  <c r="BA1237" i="21398"/>
  <c r="BB1237" i="21398"/>
  <c r="AW1237" i="21398"/>
  <c r="BB1236" i="21398"/>
  <c r="BC1235" i="21398"/>
  <c r="BA1235" i="21398"/>
  <c r="BB1234" i="21398"/>
  <c r="BC1233" i="21398"/>
  <c r="BA1233" i="21398"/>
  <c r="BB1233" i="21398"/>
  <c r="AW1233" i="21398"/>
  <c r="BB1232" i="21398"/>
  <c r="BC1231" i="21398"/>
  <c r="BA1231" i="21398"/>
  <c r="BB1231" i="21398"/>
  <c r="AW1231" i="21398"/>
  <c r="BB1230" i="21398"/>
  <c r="BC1229" i="21398"/>
  <c r="BA1229" i="21398"/>
  <c r="BB1229" i="21398"/>
  <c r="AW1229" i="21398"/>
  <c r="BB1228" i="21398"/>
  <c r="BC1227" i="21398"/>
  <c r="BA1227" i="21398"/>
  <c r="BB1227" i="21398"/>
  <c r="AW1227" i="21398"/>
  <c r="BB1226" i="21398"/>
  <c r="BC1225" i="21398"/>
  <c r="BA1225" i="21398"/>
  <c r="BB1225" i="21398"/>
  <c r="AW1225" i="21398"/>
  <c r="BB1224" i="21398"/>
  <c r="BC1223" i="21398"/>
  <c r="BA1223" i="21398"/>
  <c r="BB1223" i="21398"/>
  <c r="AW1223" i="21398"/>
  <c r="BB1222" i="21398"/>
  <c r="BC1221" i="21398"/>
  <c r="BA1221" i="21398"/>
  <c r="BB1220" i="21398"/>
  <c r="BC1215" i="21398"/>
  <c r="BA1215" i="21398"/>
  <c r="BB1215" i="21398"/>
  <c r="AW1215" i="21398"/>
  <c r="BB1214" i="21398"/>
  <c r="BC1213" i="21398"/>
  <c r="BA1213" i="21398"/>
  <c r="BB1213" i="21398"/>
  <c r="AW1213" i="21398"/>
  <c r="BB1212" i="21398"/>
  <c r="BC1211" i="21398"/>
  <c r="BA1211" i="21398"/>
  <c r="BB1211" i="21398"/>
  <c r="AW1211" i="21398"/>
  <c r="BB1210" i="21398"/>
  <c r="BC1209" i="21398"/>
  <c r="BA1209" i="21398"/>
  <c r="BB1208" i="21398"/>
  <c r="BC1207" i="21398"/>
  <c r="BA1207" i="21398"/>
  <c r="BB1207" i="21398"/>
  <c r="AW1207" i="21398"/>
  <c r="BB1206" i="21398"/>
  <c r="BC1205" i="21398"/>
  <c r="BA1205" i="21398"/>
  <c r="BB1205" i="21398"/>
  <c r="AW1205" i="21398"/>
  <c r="BB1204" i="21398"/>
  <c r="BC1203" i="21398"/>
  <c r="BA1203" i="21398"/>
  <c r="BB1203" i="21398"/>
  <c r="AW1203" i="21398"/>
  <c r="BB1202" i="21398"/>
  <c r="BC1201" i="21398"/>
  <c r="BA1201" i="21398"/>
  <c r="BB1200" i="21398"/>
  <c r="BC1199" i="21398"/>
  <c r="BA1199" i="21398"/>
  <c r="BB1199" i="21398"/>
  <c r="AW1199" i="21398"/>
  <c r="BB1198" i="21398"/>
  <c r="BC1197" i="21398"/>
  <c r="BA1197" i="21398"/>
  <c r="BB1197" i="21398"/>
  <c r="AW1197" i="21398"/>
  <c r="BB1196" i="21398"/>
  <c r="BC1195" i="21398"/>
  <c r="BA1195" i="21398"/>
  <c r="BB1195" i="21398"/>
  <c r="AW1195" i="21398"/>
  <c r="BB1194" i="21398"/>
  <c r="BC1193" i="21398"/>
  <c r="BA1193" i="21398"/>
  <c r="BB1192" i="21398"/>
  <c r="BC1191" i="21398"/>
  <c r="BA1191" i="21398"/>
  <c r="BB1191" i="21398"/>
  <c r="AW1191" i="21398"/>
  <c r="BB1190" i="21398"/>
  <c r="BC1189" i="21398"/>
  <c r="BA1189" i="21398"/>
  <c r="BB1189" i="21398"/>
  <c r="AW1189" i="21398"/>
  <c r="BC1188" i="21398"/>
  <c r="BA1188" i="21398"/>
  <c r="BB1188" i="21398"/>
  <c r="BC1187" i="21398"/>
  <c r="BA1187" i="21398"/>
  <c r="BB1187" i="21398"/>
  <c r="AW1187" i="21398"/>
  <c r="BC1186" i="21398"/>
  <c r="BA1186" i="21398"/>
  <c r="BB1186" i="21398"/>
  <c r="BC1185" i="21398"/>
  <c r="BA1185" i="21398"/>
  <c r="BB1185" i="21398"/>
  <c r="AW1185" i="21398"/>
  <c r="BB1184" i="21398"/>
  <c r="BC1183" i="21398"/>
  <c r="BA1183" i="21398"/>
  <c r="BB1183" i="21398"/>
  <c r="AW1183" i="21398"/>
  <c r="BB1182" i="21398"/>
  <c r="BC1181" i="21398"/>
  <c r="BA1181" i="21398"/>
  <c r="BB1180" i="21398"/>
  <c r="BC1179" i="21398"/>
  <c r="BA1179" i="21398"/>
  <c r="BB1179" i="21398"/>
  <c r="AW1179" i="21398"/>
  <c r="BB1178" i="21398"/>
  <c r="BC1177" i="21398"/>
  <c r="BA1177" i="21398"/>
  <c r="BB1176" i="21398"/>
  <c r="BC1175" i="21398"/>
  <c r="BA1175" i="21398"/>
  <c r="BB1175" i="21398"/>
  <c r="AW1175" i="21398"/>
  <c r="BB1174" i="21398"/>
  <c r="BC1173" i="21398"/>
  <c r="BA1173" i="21398"/>
  <c r="BC1172" i="21398"/>
  <c r="BA1172" i="21398"/>
  <c r="BB1172" i="21398"/>
  <c r="BC1171" i="21398"/>
  <c r="BA1171" i="21398"/>
  <c r="BB1171" i="21398"/>
  <c r="BC1170" i="21398"/>
  <c r="BA1170" i="21398"/>
  <c r="BB1170" i="21398"/>
  <c r="BC1169" i="21398"/>
  <c r="BA1169" i="21398"/>
  <c r="BB1169" i="21398"/>
  <c r="BC1168" i="21398"/>
  <c r="BA1168" i="21398"/>
  <c r="BB1168" i="21398"/>
  <c r="BC1167" i="21398"/>
  <c r="BA1167" i="21398"/>
  <c r="BB1167" i="21398"/>
  <c r="BC1166" i="21398"/>
  <c r="BA1166" i="21398"/>
  <c r="BB1166" i="21398"/>
  <c r="BC1165" i="21398"/>
  <c r="BA1165" i="21398"/>
  <c r="BB1165" i="21398"/>
  <c r="BC1164" i="21398"/>
  <c r="BA1164" i="21398"/>
  <c r="BB1164" i="21398"/>
  <c r="BC1163" i="21398"/>
  <c r="BA1163" i="21398"/>
  <c r="BB1163" i="21398"/>
  <c r="BC1162" i="21398"/>
  <c r="BA1162" i="21398"/>
  <c r="BB1162" i="21398"/>
  <c r="BC1161" i="21398"/>
  <c r="BA1161" i="21398"/>
  <c r="BB1161" i="21398"/>
  <c r="BC1160" i="21398"/>
  <c r="BA1160" i="21398"/>
  <c r="BB1160" i="21398"/>
  <c r="BC1159" i="21398"/>
  <c r="BA1159" i="21398"/>
  <c r="BB1159" i="21398"/>
  <c r="BC1158" i="21398"/>
  <c r="BA1158" i="21398"/>
  <c r="BB1158" i="21398"/>
  <c r="BC1157" i="21398"/>
  <c r="BA1157" i="21398"/>
  <c r="BB1157" i="21398"/>
  <c r="BC1156" i="21398"/>
  <c r="BA1156" i="21398"/>
  <c r="BB1156" i="21398"/>
  <c r="BC1155" i="21398"/>
  <c r="BA1155" i="21398"/>
  <c r="BB1155" i="21398"/>
  <c r="BC1154" i="21398"/>
  <c r="BA1154" i="21398"/>
  <c r="BB1154" i="21398"/>
  <c r="BC1153" i="21398"/>
  <c r="BA1153" i="21398"/>
  <c r="BB1153" i="21398"/>
  <c r="BC1152" i="21398"/>
  <c r="BA1152" i="21398"/>
  <c r="BB1152" i="21398"/>
  <c r="BC1151" i="21398"/>
  <c r="BA1151" i="21398"/>
  <c r="BB1151" i="21398"/>
  <c r="BC1150" i="21398"/>
  <c r="BA1150" i="21398"/>
  <c r="BB1150" i="21398"/>
  <c r="BC1131" i="21398"/>
  <c r="BA1131" i="21398"/>
  <c r="BB1131" i="21398"/>
  <c r="AW1131" i="21398"/>
  <c r="BC1129" i="21398"/>
  <c r="BA1129" i="21398"/>
  <c r="BB1128" i="21398"/>
  <c r="BC1127" i="21398"/>
  <c r="BA1127" i="21398"/>
  <c r="BB1127" i="21398"/>
  <c r="AW1127" i="21398"/>
  <c r="BB1126" i="21398"/>
  <c r="BC1125" i="21398"/>
  <c r="BA1125" i="21398"/>
  <c r="BB1125" i="21398"/>
  <c r="AW1125" i="21398"/>
  <c r="BB1124" i="21398"/>
  <c r="BC1123" i="21398"/>
  <c r="BA1123" i="21398"/>
  <c r="BB1123" i="21398"/>
  <c r="AW1123" i="21398"/>
  <c r="BB1122" i="21398"/>
  <c r="BC1121" i="21398"/>
  <c r="BA1121" i="21398"/>
  <c r="BB1120" i="21398"/>
  <c r="BC1119" i="21398"/>
  <c r="BA1119" i="21398"/>
  <c r="BB1119" i="21398"/>
  <c r="AW1119" i="21398"/>
  <c r="BB1118" i="21398"/>
  <c r="BC1117" i="21398"/>
  <c r="BA1117" i="21398"/>
  <c r="BB1117" i="21398"/>
  <c r="AW1117" i="21398"/>
  <c r="BB1116" i="21398"/>
  <c r="BC1115" i="21398"/>
  <c r="BA1115" i="21398"/>
  <c r="BB1115" i="21398"/>
  <c r="AW1115" i="21398"/>
  <c r="BB1114" i="21398"/>
  <c r="BC1113" i="21398"/>
  <c r="BA1113" i="21398"/>
  <c r="BB1113" i="21398"/>
  <c r="AW1113" i="21398"/>
  <c r="BB1112" i="21398"/>
  <c r="BC1111" i="21398"/>
  <c r="BA1111" i="21398"/>
  <c r="BB1111" i="21398"/>
  <c r="AW1111" i="21398"/>
  <c r="BB1110" i="21398"/>
  <c r="BC1109" i="21398"/>
  <c r="BA1109" i="21398"/>
  <c r="BB1108" i="21398"/>
  <c r="BC1107" i="21398"/>
  <c r="BA1107" i="21398"/>
  <c r="BB1107" i="21398"/>
  <c r="AW1107" i="21398"/>
  <c r="BB1106" i="21398"/>
  <c r="BC1105" i="21398"/>
  <c r="BA1105" i="21398"/>
  <c r="BB1105" i="21398"/>
  <c r="AW1105" i="21398"/>
  <c r="BB1104" i="21398"/>
  <c r="BC1103" i="21398"/>
  <c r="BA1103" i="21398"/>
  <c r="BB1102" i="21398"/>
  <c r="BC1101" i="21398"/>
  <c r="BA1101" i="21398"/>
  <c r="BB1101" i="21398"/>
  <c r="AW1101" i="21398"/>
  <c r="BB1100" i="21398"/>
  <c r="BC1099" i="21398"/>
  <c r="BA1099" i="21398"/>
  <c r="BB1099" i="21398"/>
  <c r="AW1099" i="21398"/>
  <c r="BB1098" i="21398"/>
  <c r="BC1097" i="21398"/>
  <c r="BA1097" i="21398"/>
  <c r="BB1097" i="21398"/>
  <c r="AW1097" i="21398"/>
  <c r="BB1096" i="21398"/>
  <c r="BC1095" i="21398"/>
  <c r="BA1095" i="21398"/>
  <c r="BB1095" i="21398"/>
  <c r="AW1095" i="21398"/>
  <c r="BB1094" i="21398"/>
  <c r="BC1093" i="21398"/>
  <c r="BA1093" i="21398"/>
  <c r="BB1093" i="21398"/>
  <c r="AW1093" i="21398"/>
  <c r="BB1092" i="21398"/>
  <c r="BC1091" i="21398"/>
  <c r="BA1091" i="21398"/>
  <c r="BB1090" i="21398"/>
  <c r="BC1089" i="21398"/>
  <c r="BA1089" i="21398"/>
  <c r="BB1088" i="21398"/>
  <c r="BC1087" i="21398"/>
  <c r="BA1087" i="21398"/>
  <c r="BB1086" i="21398"/>
  <c r="BC1085" i="21398"/>
  <c r="BA1085" i="21398"/>
  <c r="BB1085" i="21398"/>
  <c r="AW1085" i="21398"/>
  <c r="BB1084" i="21398"/>
  <c r="BC1083" i="21398"/>
  <c r="BA1083" i="21398"/>
  <c r="BB1082" i="21398"/>
  <c r="BC1081" i="21398"/>
  <c r="BA1081" i="21398"/>
  <c r="BB1081" i="21398"/>
  <c r="AW1081" i="21398"/>
  <c r="BB1080" i="21398"/>
  <c r="BC1079" i="21398"/>
  <c r="BA1079" i="21398"/>
  <c r="BB1079" i="21398"/>
  <c r="AW1079" i="21398"/>
  <c r="BB1078" i="21398"/>
  <c r="BC1077" i="21398"/>
  <c r="BA1077" i="21398"/>
  <c r="BB1077" i="21398"/>
  <c r="AW1077" i="21398"/>
  <c r="BB1076" i="21398"/>
  <c r="BC1075" i="21398"/>
  <c r="BA1075" i="21398"/>
  <c r="BB1075" i="21398"/>
  <c r="AW1075" i="21398"/>
  <c r="BB1074" i="21398"/>
  <c r="BC1073" i="21398"/>
  <c r="BA1073" i="21398"/>
  <c r="BB1073" i="21398"/>
  <c r="AW1073" i="21398"/>
  <c r="BB1072" i="21398"/>
  <c r="BC1071" i="21398"/>
  <c r="BA1071" i="21398"/>
  <c r="BB1070" i="21398"/>
  <c r="BC1069" i="21398"/>
  <c r="BA1069" i="21398"/>
  <c r="BB1069" i="21398"/>
  <c r="AW1069" i="21398"/>
  <c r="BB1068" i="21398"/>
  <c r="BC1067" i="21398"/>
  <c r="BA1067" i="21398"/>
  <c r="BB1067" i="21398"/>
  <c r="AW1067" i="21398"/>
  <c r="BB1066" i="21398"/>
  <c r="BC1065" i="21398"/>
  <c r="BA1065" i="21398"/>
  <c r="BB1064" i="21398"/>
  <c r="BC1063" i="21398"/>
  <c r="BA1063" i="21398"/>
  <c r="BB1063" i="21398"/>
  <c r="AW1063" i="21398"/>
  <c r="BB1062" i="21398"/>
  <c r="BC1061" i="21398"/>
  <c r="BA1061" i="21398"/>
  <c r="BB1061" i="21398"/>
  <c r="AW1061" i="21398"/>
  <c r="BB1060" i="21398"/>
  <c r="BC1059" i="21398"/>
  <c r="BA1059" i="21398"/>
  <c r="BB1059" i="21398"/>
  <c r="AW1059" i="21398"/>
  <c r="BB1058" i="21398"/>
  <c r="BC1057" i="21398"/>
  <c r="BA1057" i="21398"/>
  <c r="BB1057" i="21398"/>
  <c r="AW1057" i="21398"/>
  <c r="BB1056" i="21398"/>
  <c r="BC1055" i="21398"/>
  <c r="BA1055" i="21398"/>
  <c r="BB1055" i="21398"/>
  <c r="AW1055" i="21398"/>
  <c r="BB1054" i="21398"/>
  <c r="BC1053" i="21398"/>
  <c r="BA1053" i="21398"/>
  <c r="BB1052" i="21398"/>
  <c r="BC1051" i="21398"/>
  <c r="BA1051" i="21398"/>
  <c r="BB1051" i="21398"/>
  <c r="AW1051" i="21398"/>
  <c r="BB1050" i="21398"/>
  <c r="BC1049" i="21398"/>
  <c r="BA1049" i="21398"/>
  <c r="BB1049" i="21398"/>
  <c r="AW1049" i="21398"/>
  <c r="BB1048" i="21398"/>
  <c r="BC1047" i="21398"/>
  <c r="BA1047" i="21398"/>
  <c r="BB1047" i="21398"/>
  <c r="AW1047" i="21398"/>
  <c r="BB1046" i="21398"/>
  <c r="BC1045" i="21398"/>
  <c r="BA1045" i="21398"/>
  <c r="BB1044" i="21398"/>
  <c r="BC1043" i="21398"/>
  <c r="BA1043" i="21398"/>
  <c r="BB1043" i="21398"/>
  <c r="AW1043" i="21398"/>
  <c r="BB1042" i="21398"/>
  <c r="BC1041" i="21398"/>
  <c r="BA1041" i="21398"/>
  <c r="BB1041" i="21398"/>
  <c r="AW1041" i="21398"/>
  <c r="BB1040" i="21398"/>
  <c r="BC1039" i="21398"/>
  <c r="BA1039" i="21398"/>
  <c r="BB1039" i="21398"/>
  <c r="AW1039" i="21398"/>
  <c r="BB1038" i="21398"/>
  <c r="BC1037" i="21398"/>
  <c r="BA1037" i="21398"/>
  <c r="BB1037" i="21398"/>
  <c r="AW1037" i="21398"/>
  <c r="BB1036" i="21398"/>
  <c r="BC1035" i="21398"/>
  <c r="BA1035" i="21398"/>
  <c r="BB1035" i="21398"/>
  <c r="AW1035" i="21398"/>
  <c r="BB1034" i="21398"/>
  <c r="BC1033" i="21398"/>
  <c r="BA1033" i="21398"/>
  <c r="BB1032" i="21398"/>
  <c r="BC1031" i="21398"/>
  <c r="BA1031" i="21398"/>
  <c r="BB1031" i="21398"/>
  <c r="AW1031" i="21398"/>
  <c r="BB1030" i="21398"/>
  <c r="BC1029" i="21398"/>
  <c r="BA1029" i="21398"/>
  <c r="BB1029" i="21398"/>
  <c r="AW1029" i="21398"/>
  <c r="BB1028" i="21398"/>
  <c r="BC1027" i="21398"/>
  <c r="BA1027" i="21398"/>
  <c r="BB1026" i="21398"/>
  <c r="BC1025" i="21398"/>
  <c r="BA1025" i="21398"/>
  <c r="BB1025" i="21398"/>
  <c r="AW1025" i="21398"/>
  <c r="BB1024" i="21398"/>
  <c r="BC1023" i="21398"/>
  <c r="BA1023" i="21398"/>
  <c r="BB1023" i="21398"/>
  <c r="AW1023" i="21398"/>
  <c r="BB1022" i="21398"/>
  <c r="BC1021" i="21398"/>
  <c r="BA1021" i="21398"/>
  <c r="BB1021" i="21398"/>
  <c r="AW1021" i="21398"/>
  <c r="BB1020" i="21398"/>
  <c r="BC1019" i="21398"/>
  <c r="BA1019" i="21398"/>
  <c r="BB1019" i="21398"/>
  <c r="AW1019" i="21398"/>
  <c r="BB1018" i="21398"/>
  <c r="BC1017" i="21398"/>
  <c r="BA1017" i="21398"/>
  <c r="BB1017" i="21398"/>
  <c r="AW1017" i="21398"/>
  <c r="BB1016" i="21398"/>
  <c r="BC1015" i="21398"/>
  <c r="BA1015" i="21398"/>
  <c r="BB1015" i="21398"/>
  <c r="AW1015" i="21398"/>
  <c r="BB1014" i="21398"/>
  <c r="BC1013" i="21398"/>
  <c r="BA1013" i="21398"/>
  <c r="BB1012" i="21398"/>
  <c r="BC1011" i="21398"/>
  <c r="BA1011" i="21398"/>
  <c r="BB1011" i="21398"/>
  <c r="AW1011" i="21398"/>
  <c r="BB1010" i="21398"/>
  <c r="BC1009" i="21398"/>
  <c r="BA1009" i="21398"/>
  <c r="BB1008" i="21398"/>
  <c r="BC1007" i="21398"/>
  <c r="BA1007" i="21398"/>
  <c r="BB1006" i="21398"/>
  <c r="BC1005" i="21398"/>
  <c r="BA1005" i="21398"/>
  <c r="BB1004" i="21398"/>
  <c r="BC1003" i="21398"/>
  <c r="BA1003" i="21398"/>
  <c r="BB1003" i="21398"/>
  <c r="AW1003" i="21398"/>
  <c r="BB1002" i="21398"/>
  <c r="BC1001" i="21398"/>
  <c r="BA1001" i="21398"/>
  <c r="BB1001" i="21398"/>
  <c r="AW1001" i="21398"/>
  <c r="BB1000" i="21398"/>
  <c r="BC999" i="21398"/>
  <c r="BA999" i="21398"/>
  <c r="BB999" i="21398"/>
  <c r="AW999" i="21398"/>
  <c r="BB998" i="21398"/>
  <c r="BC997" i="21398"/>
  <c r="BA997" i="21398"/>
  <c r="BB997" i="21398"/>
  <c r="AW997" i="21398"/>
  <c r="BB996" i="21398"/>
  <c r="BC995" i="21398"/>
  <c r="BA995" i="21398"/>
  <c r="BB995" i="21398"/>
  <c r="AW995" i="21398"/>
  <c r="BB994" i="21398"/>
  <c r="BC993" i="21398"/>
  <c r="BA993" i="21398"/>
  <c r="BB992" i="21398"/>
  <c r="BC991" i="21398"/>
  <c r="BA991" i="21398"/>
  <c r="BB991" i="21398"/>
  <c r="AW991" i="21398"/>
  <c r="BB990" i="21398"/>
  <c r="BC989" i="21398"/>
  <c r="BA989" i="21398"/>
  <c r="BB989" i="21398"/>
  <c r="AW989" i="21398"/>
  <c r="BB988" i="21398"/>
  <c r="BC987" i="21398"/>
  <c r="BA987" i="21398"/>
  <c r="BB986" i="21398"/>
  <c r="BC985" i="21398"/>
  <c r="BA985" i="21398"/>
  <c r="BB985" i="21398"/>
  <c r="AW985" i="21398"/>
  <c r="BB984" i="21398"/>
  <c r="BC983" i="21398"/>
  <c r="BA983" i="21398"/>
  <c r="BB983" i="21398"/>
  <c r="AW983" i="21398"/>
  <c r="BB982" i="21398"/>
  <c r="BC981" i="21398"/>
  <c r="BA981" i="21398"/>
  <c r="BB981" i="21398"/>
  <c r="AW981" i="21398"/>
  <c r="BB980" i="21398"/>
  <c r="BC979" i="21398"/>
  <c r="BA979" i="21398"/>
  <c r="BB979" i="21398"/>
  <c r="AW979" i="21398"/>
  <c r="BB978" i="21398"/>
  <c r="BC977" i="21398"/>
  <c r="BA977" i="21398"/>
  <c r="BB977" i="21398"/>
  <c r="AW977" i="21398"/>
  <c r="BC975" i="21398"/>
  <c r="BA975" i="21398"/>
  <c r="BB974" i="21398"/>
  <c r="BC973" i="21398"/>
  <c r="BA973" i="21398"/>
  <c r="BB973" i="21398"/>
  <c r="AW973" i="21398"/>
  <c r="BB972" i="21398"/>
  <c r="BC971" i="21398"/>
  <c r="BA971" i="21398"/>
  <c r="BB971" i="21398"/>
  <c r="AW971" i="21398"/>
  <c r="BB970" i="21398"/>
  <c r="BC969" i="21398"/>
  <c r="BA969" i="21398"/>
  <c r="BB969" i="21398"/>
  <c r="AW969" i="21398"/>
  <c r="BC967" i="21398"/>
  <c r="BA967" i="21398"/>
  <c r="BB966" i="21398"/>
  <c r="BC965" i="21398"/>
  <c r="BA965" i="21398"/>
  <c r="BB965" i="21398"/>
  <c r="AW965" i="21398"/>
  <c r="BB964" i="21398"/>
  <c r="BC963" i="21398"/>
  <c r="BA963" i="21398"/>
  <c r="BB963" i="21398"/>
  <c r="AW963" i="21398"/>
  <c r="BB962" i="21398"/>
  <c r="BC961" i="21398"/>
  <c r="BA961" i="21398"/>
  <c r="BB961" i="21398"/>
  <c r="AW961" i="21398"/>
  <c r="BC959" i="21398"/>
  <c r="BA959" i="21398"/>
  <c r="BB958" i="21398"/>
  <c r="BC957" i="21398"/>
  <c r="BA957" i="21398"/>
  <c r="BB957" i="21398"/>
  <c r="AW957" i="21398"/>
  <c r="BB956" i="21398"/>
  <c r="BC955" i="21398"/>
  <c r="BA955" i="21398"/>
  <c r="BB955" i="21398"/>
  <c r="AW955" i="21398"/>
  <c r="BC953" i="21398"/>
  <c r="BA953" i="21398"/>
  <c r="BB952" i="21398"/>
  <c r="BC951" i="21398"/>
  <c r="BA951" i="21398"/>
  <c r="BB950" i="21398"/>
  <c r="BC949" i="21398"/>
  <c r="BA949" i="21398"/>
  <c r="BB949" i="21398"/>
  <c r="AW949" i="21398"/>
  <c r="BC948" i="21398"/>
  <c r="BA948" i="21398"/>
  <c r="BB948" i="21398"/>
  <c r="BC947" i="21398"/>
  <c r="BA947" i="21398"/>
  <c r="BB947" i="21398"/>
  <c r="AW947" i="21398"/>
  <c r="BC946" i="21398"/>
  <c r="BA946" i="21398"/>
  <c r="BB946" i="21398"/>
  <c r="BC945" i="21398"/>
  <c r="BA945" i="21398"/>
  <c r="BB945" i="21398"/>
  <c r="AW945" i="21398"/>
  <c r="BB944" i="21398"/>
  <c r="BC943" i="21398"/>
  <c r="BA943" i="21398"/>
  <c r="BB943" i="21398"/>
  <c r="AW943" i="21398"/>
  <c r="BB942" i="21398"/>
  <c r="BC941" i="21398"/>
  <c r="BA941" i="21398"/>
  <c r="BB941" i="21398"/>
  <c r="AW941" i="21398"/>
  <c r="BB940" i="21398"/>
  <c r="BC939" i="21398"/>
  <c r="BA939" i="21398"/>
  <c r="BC937" i="21398"/>
  <c r="BA937" i="21398"/>
  <c r="BB937" i="21398"/>
  <c r="AW937" i="21398"/>
  <c r="BB936" i="21398"/>
  <c r="BC935" i="21398"/>
  <c r="BA935" i="21398"/>
  <c r="BB935" i="21398"/>
  <c r="AW935" i="21398"/>
  <c r="BB934" i="21398"/>
  <c r="BC933" i="21398"/>
  <c r="BA933" i="21398"/>
  <c r="BC932" i="21398"/>
  <c r="BA932" i="21398"/>
  <c r="BB932" i="21398"/>
  <c r="BC931" i="21398"/>
  <c r="BA931" i="21398"/>
  <c r="BB931" i="21398"/>
  <c r="AW931" i="21398"/>
  <c r="BB930" i="21398"/>
  <c r="BC929" i="21398"/>
  <c r="BA929" i="21398"/>
  <c r="BC928" i="21398"/>
  <c r="BA928" i="21398"/>
  <c r="BB928" i="21398"/>
  <c r="BC927" i="21398"/>
  <c r="BA927" i="21398"/>
  <c r="BB927" i="21398"/>
  <c r="BC926" i="21398"/>
  <c r="BA926" i="21398"/>
  <c r="BB926" i="21398"/>
  <c r="BC925" i="21398"/>
  <c r="BA925" i="21398"/>
  <c r="BB925" i="21398"/>
  <c r="BC924" i="21398"/>
  <c r="BA924" i="21398"/>
  <c r="BB924" i="21398"/>
  <c r="BC923" i="21398"/>
  <c r="BA923" i="21398"/>
  <c r="BB923" i="21398"/>
  <c r="BC922" i="21398"/>
  <c r="BA922" i="21398"/>
  <c r="BB922" i="21398"/>
  <c r="BC921" i="21398"/>
  <c r="BA921" i="21398"/>
  <c r="BB921" i="21398"/>
  <c r="BC920" i="21398"/>
  <c r="BA920" i="21398"/>
  <c r="BB920" i="21398"/>
  <c r="BC919" i="21398"/>
  <c r="BA919" i="21398"/>
  <c r="BB919" i="21398"/>
  <c r="BC918" i="21398"/>
  <c r="BA918" i="21398"/>
  <c r="BB918" i="21398"/>
  <c r="BC917" i="21398"/>
  <c r="BA917" i="21398"/>
  <c r="BB917" i="21398"/>
  <c r="BC916" i="21398"/>
  <c r="BA916" i="21398"/>
  <c r="BB916" i="21398"/>
  <c r="BC915" i="21398"/>
  <c r="BA915" i="21398"/>
  <c r="BB915" i="21398"/>
  <c r="BC914" i="21398"/>
  <c r="BA914" i="21398"/>
  <c r="BB914" i="21398"/>
  <c r="BC913" i="21398"/>
  <c r="BA913" i="21398"/>
  <c r="BB913" i="21398"/>
  <c r="BC912" i="21398"/>
  <c r="BA912" i="21398"/>
  <c r="BB912" i="21398"/>
  <c r="BC911" i="21398"/>
  <c r="BA911" i="21398"/>
  <c r="BB911" i="21398"/>
  <c r="BC910" i="21398"/>
  <c r="BA910" i="21398"/>
  <c r="BB910" i="21398"/>
  <c r="BC909" i="21398"/>
  <c r="BA909" i="21398"/>
  <c r="BB909" i="21398"/>
  <c r="BC908" i="21398"/>
  <c r="BA908" i="21398"/>
  <c r="BB908" i="21398"/>
  <c r="BC907" i="21398"/>
  <c r="BA907" i="21398"/>
  <c r="BB907" i="21398"/>
  <c r="BC906" i="21398"/>
  <c r="BA906" i="21398"/>
  <c r="BB906" i="21398"/>
  <c r="BC905" i="21398"/>
  <c r="BA905" i="21398"/>
  <c r="BB905" i="21398"/>
  <c r="AW905" i="21398"/>
  <c r="BC904" i="21398"/>
  <c r="BA904" i="21398"/>
  <c r="BB904" i="21398"/>
  <c r="BC903" i="21398"/>
  <c r="BA903" i="21398"/>
  <c r="BB903" i="21398"/>
  <c r="BC901" i="21398"/>
  <c r="BA901" i="21398"/>
  <c r="BB901" i="21398"/>
  <c r="BC900" i="21398"/>
  <c r="BA900" i="21398"/>
  <c r="BB900" i="21398"/>
  <c r="BC899" i="21398"/>
  <c r="BA899" i="21398"/>
  <c r="BB899" i="21398"/>
  <c r="AW899" i="21398"/>
  <c r="BC898" i="21398"/>
  <c r="BA898" i="21398"/>
  <c r="BB898" i="21398"/>
  <c r="BC897" i="21398"/>
  <c r="BA897" i="21398"/>
  <c r="BB897" i="21398"/>
  <c r="AW897" i="21398"/>
  <c r="BB896" i="21398"/>
  <c r="BC895" i="21398"/>
  <c r="BA895" i="21398"/>
  <c r="BB894" i="21398"/>
  <c r="BB870" i="21398"/>
  <c r="BC869" i="21398"/>
  <c r="BA869" i="21398"/>
  <c r="BB868" i="21398"/>
  <c r="BC867" i="21398"/>
  <c r="BA867" i="21398"/>
  <c r="BB867" i="21398"/>
  <c r="AW867" i="21398"/>
  <c r="BB866" i="21398"/>
  <c r="BC865" i="21398"/>
  <c r="BA865" i="21398"/>
  <c r="BB865" i="21398"/>
  <c r="AW865" i="21398"/>
  <c r="BB864" i="21398"/>
  <c r="BC863" i="21398"/>
  <c r="BA863" i="21398"/>
  <c r="BB863" i="21398"/>
  <c r="AW863" i="21398"/>
  <c r="BB862" i="21398"/>
  <c r="BC861" i="21398"/>
  <c r="BA861" i="21398"/>
  <c r="BB861" i="21398"/>
  <c r="AW861" i="21398"/>
  <c r="BB860" i="21398"/>
  <c r="BC859" i="21398"/>
  <c r="BA859" i="21398"/>
  <c r="BB858" i="21398"/>
  <c r="BC857" i="21398"/>
  <c r="BA857" i="21398"/>
  <c r="BB857" i="21398"/>
  <c r="AW857" i="21398"/>
  <c r="BB856" i="21398"/>
  <c r="BC855" i="21398"/>
  <c r="BA855" i="21398"/>
  <c r="BB855" i="21398"/>
  <c r="AW855" i="21398"/>
  <c r="BB854" i="21398"/>
  <c r="BC853" i="21398"/>
  <c r="BA853" i="21398"/>
  <c r="BB853" i="21398"/>
  <c r="AW853" i="21398"/>
  <c r="BB852" i="21398"/>
  <c r="BC851" i="21398"/>
  <c r="BA851" i="21398"/>
  <c r="BB850" i="21398"/>
  <c r="BC849" i="21398"/>
  <c r="BA849" i="21398"/>
  <c r="BB849" i="21398"/>
  <c r="AW849" i="21398"/>
  <c r="BB848" i="21398"/>
  <c r="BC847" i="21398"/>
  <c r="BA847" i="21398"/>
  <c r="BB847" i="21398"/>
  <c r="AW847" i="21398"/>
  <c r="BB846" i="21398"/>
  <c r="BC845" i="21398"/>
  <c r="BA845" i="21398"/>
  <c r="BB844" i="21398"/>
  <c r="BC843" i="21398"/>
  <c r="BA843" i="21398"/>
  <c r="BB843" i="21398"/>
  <c r="AW843" i="21398"/>
  <c r="BB842" i="21398"/>
  <c r="BC841" i="21398"/>
  <c r="BA841" i="21398"/>
  <c r="BB841" i="21398"/>
  <c r="AW841" i="21398"/>
  <c r="BB840" i="21398"/>
  <c r="BC839" i="21398"/>
  <c r="BA839" i="21398"/>
  <c r="BB838" i="21398"/>
  <c r="BC837" i="21398"/>
  <c r="BA837" i="21398"/>
  <c r="BB837" i="21398"/>
  <c r="AW837" i="21398"/>
  <c r="BB836" i="21398"/>
  <c r="BB816" i="21398"/>
  <c r="BC815" i="21398"/>
  <c r="BA815" i="21398"/>
  <c r="BB814" i="21398"/>
  <c r="BC813" i="21398"/>
  <c r="BA813" i="21398"/>
  <c r="BB813" i="21398"/>
  <c r="AW813" i="21398"/>
  <c r="BB812" i="21398"/>
  <c r="BC811" i="21398"/>
  <c r="BA811" i="21398"/>
  <c r="BB811" i="21398"/>
  <c r="AW811" i="21398"/>
  <c r="BB810" i="21398"/>
  <c r="BC809" i="21398"/>
  <c r="BA809" i="21398"/>
  <c r="BB809" i="21398"/>
  <c r="AW809" i="21398"/>
  <c r="BB808" i="21398"/>
  <c r="BC807" i="21398"/>
  <c r="BA807" i="21398"/>
  <c r="BB806" i="21398"/>
  <c r="BC805" i="21398"/>
  <c r="BA805" i="21398"/>
  <c r="BB805" i="21398"/>
  <c r="AW805" i="21398"/>
  <c r="BB804" i="21398"/>
  <c r="BC803" i="21398"/>
  <c r="BA803" i="21398"/>
  <c r="BB802" i="21398"/>
  <c r="BC801" i="21398"/>
  <c r="BA801" i="21398"/>
  <c r="BB800" i="21398"/>
  <c r="BC799" i="21398"/>
  <c r="BA799" i="21398"/>
  <c r="BB799" i="21398"/>
  <c r="AW799" i="21398"/>
  <c r="BB798" i="21398"/>
  <c r="BC797" i="21398"/>
  <c r="BA797" i="21398"/>
  <c r="BB796" i="21398"/>
  <c r="AW795" i="21398"/>
  <c r="BB794" i="21398"/>
  <c r="BC793" i="21398"/>
  <c r="BA793" i="21398"/>
  <c r="BB793" i="21398"/>
  <c r="AW793" i="21398"/>
  <c r="BB792" i="21398"/>
  <c r="BC791" i="21398"/>
  <c r="BA791" i="21398"/>
  <c r="BB791" i="21398"/>
  <c r="AW791" i="21398"/>
  <c r="BB790" i="21398"/>
  <c r="BC789" i="21398"/>
  <c r="BA789" i="21398"/>
  <c r="BB788" i="21398"/>
  <c r="AW787" i="21398"/>
  <c r="BB786" i="21398"/>
  <c r="BC785" i="21398"/>
  <c r="BA785" i="21398"/>
  <c r="BB784" i="21398"/>
  <c r="BC783" i="21398"/>
  <c r="BA783" i="21398"/>
  <c r="BC781" i="21398"/>
  <c r="BA781" i="21398"/>
  <c r="BB781" i="21398"/>
  <c r="BC779" i="21398"/>
  <c r="BA779" i="21398"/>
  <c r="BB779" i="21398"/>
  <c r="AW779" i="21398"/>
  <c r="BB778" i="21398"/>
  <c r="BC777" i="21398"/>
  <c r="BA777" i="21398"/>
  <c r="BB776" i="21398"/>
  <c r="BC775" i="21398"/>
  <c r="BA775" i="21398"/>
  <c r="BB775" i="21398"/>
  <c r="AW775" i="21398"/>
  <c r="BB774" i="21398"/>
  <c r="BC773" i="21398"/>
  <c r="BA773" i="21398"/>
  <c r="BB772" i="21398"/>
  <c r="BC771" i="21398"/>
  <c r="BA771" i="21398"/>
  <c r="BB771" i="21398"/>
  <c r="AW771" i="21398"/>
  <c r="BB770" i="21398"/>
  <c r="BC769" i="21398"/>
  <c r="BA769" i="21398"/>
  <c r="BB769" i="21398"/>
  <c r="AW769" i="21398"/>
  <c r="BB768" i="21398"/>
  <c r="BC767" i="21398"/>
  <c r="BA767" i="21398"/>
  <c r="BB767" i="21398"/>
  <c r="AW767" i="21398"/>
  <c r="BB766" i="21398"/>
  <c r="BC765" i="21398"/>
  <c r="BA765" i="21398"/>
  <c r="BB764" i="21398"/>
  <c r="BC763" i="21398"/>
  <c r="BA763" i="21398"/>
  <c r="BB763" i="21398"/>
  <c r="AW763" i="21398"/>
  <c r="BB762" i="21398"/>
  <c r="BC761" i="21398"/>
  <c r="BA761" i="21398"/>
  <c r="BB761" i="21398"/>
  <c r="AW761" i="21398"/>
  <c r="BB760" i="21398"/>
  <c r="BC759" i="21398"/>
  <c r="BA759" i="21398"/>
  <c r="BB758" i="21398"/>
  <c r="BC757" i="21398"/>
  <c r="BA757" i="21398"/>
  <c r="BB756" i="21398"/>
  <c r="BC755" i="21398"/>
  <c r="BA755" i="21398"/>
  <c r="BB755" i="21398"/>
  <c r="AW755" i="21398"/>
  <c r="BB754" i="21398"/>
  <c r="BC753" i="21398"/>
  <c r="BA753" i="21398"/>
  <c r="BB753" i="21398"/>
  <c r="AW753" i="21398"/>
  <c r="BB752" i="21398"/>
  <c r="BC751" i="21398"/>
  <c r="BA751" i="21398"/>
  <c r="BB750" i="21398"/>
  <c r="BC749" i="21398"/>
  <c r="BA749" i="21398"/>
  <c r="BB749" i="21398"/>
  <c r="AW749" i="21398"/>
  <c r="BB748" i="21398"/>
  <c r="BC747" i="21398"/>
  <c r="BA747" i="21398"/>
  <c r="BB747" i="21398"/>
  <c r="AW747" i="21398"/>
  <c r="BB746" i="21398"/>
  <c r="BC745" i="21398"/>
  <c r="BA745" i="21398"/>
  <c r="BB745" i="21398"/>
  <c r="AW745" i="21398"/>
  <c r="BB744" i="21398"/>
  <c r="BC743" i="21398"/>
  <c r="BA743" i="21398"/>
  <c r="BB742" i="21398"/>
  <c r="BC741" i="21398"/>
  <c r="BA741" i="21398"/>
  <c r="BB741" i="21398"/>
  <c r="AW741" i="21398"/>
  <c r="BB740" i="21398"/>
  <c r="BC739" i="21398"/>
  <c r="BA739" i="21398"/>
  <c r="BB739" i="21398"/>
  <c r="AW739" i="21398"/>
  <c r="BB738" i="21398"/>
  <c r="BC737" i="21398"/>
  <c r="BA737" i="21398"/>
  <c r="BB736" i="21398"/>
  <c r="BC735" i="21398"/>
  <c r="BA735" i="21398"/>
  <c r="I646" i="21398"/>
  <c r="BC659" i="21398"/>
  <c r="BC657" i="21398"/>
  <c r="BC655" i="21398"/>
  <c r="AW655" i="21398"/>
  <c r="BC653" i="21398"/>
  <c r="AW653" i="21398"/>
  <c r="BC651" i="21398"/>
  <c r="BC649" i="21398"/>
  <c r="BC647" i="21398"/>
  <c r="AW647" i="21398"/>
  <c r="BC645" i="21398"/>
  <c r="BC643" i="21398"/>
  <c r="BC641" i="21398"/>
  <c r="AW641" i="21398"/>
  <c r="BC639" i="21398"/>
  <c r="BC637" i="21398"/>
  <c r="AW637" i="21398"/>
  <c r="BC635" i="21398"/>
  <c r="AW635" i="21398"/>
  <c r="BC633" i="21398"/>
  <c r="BC631" i="21398"/>
  <c r="BC629" i="21398"/>
  <c r="BC627" i="21398"/>
  <c r="AW627" i="21398"/>
  <c r="BC625" i="21398"/>
  <c r="BC623" i="21398"/>
  <c r="AW623" i="21398"/>
  <c r="I613" i="21398"/>
  <c r="I611" i="21398"/>
  <c r="I613" i="2"/>
  <c r="I611" i="2"/>
  <c r="M609" i="2"/>
  <c r="AX26" i="21416" l="1"/>
  <c r="AW26" i="21416"/>
  <c r="AX27" i="21416"/>
  <c r="M27" i="21416" s="1"/>
  <c r="AW27" i="21416"/>
  <c r="AY27" i="21416" s="1"/>
  <c r="C29" i="21416"/>
  <c r="AZ26" i="21417"/>
  <c r="BB26" i="21417" s="1"/>
  <c r="M24" i="21415"/>
  <c r="BC24" i="21415" s="1"/>
  <c r="AW29" i="21417"/>
  <c r="AY29" i="21417" s="1"/>
  <c r="BA29" i="21417" s="1"/>
  <c r="C31" i="21417"/>
  <c r="BB623" i="21398"/>
  <c r="BA625" i="21398"/>
  <c r="BB636" i="21398"/>
  <c r="BA637" i="21398"/>
  <c r="BB646" i="21398"/>
  <c r="BA647" i="21398"/>
  <c r="BB653" i="21398"/>
  <c r="BA623" i="21398"/>
  <c r="BA629" i="21398"/>
  <c r="BA633" i="21398"/>
  <c r="BA639" i="21398"/>
  <c r="BA653" i="21398"/>
  <c r="BA657" i="21398"/>
  <c r="BB632" i="21398"/>
  <c r="BA635" i="21398"/>
  <c r="BA649" i="21398"/>
  <c r="BB627" i="21398"/>
  <c r="BA631" i="21398"/>
  <c r="BB638" i="21398"/>
  <c r="BB641" i="21398"/>
  <c r="BB648" i="21398"/>
  <c r="BB652" i="21398"/>
  <c r="BB655" i="21398"/>
  <c r="BA659" i="21398"/>
  <c r="BB628" i="21398"/>
  <c r="BB630" i="21398"/>
  <c r="BB634" i="21398"/>
  <c r="BB637" i="21398"/>
  <c r="BB642" i="21398"/>
  <c r="BA643" i="21398"/>
  <c r="BB647" i="21398"/>
  <c r="BA651" i="21398"/>
  <c r="BB656" i="21398"/>
  <c r="BB658" i="21398"/>
  <c r="BB624" i="21398"/>
  <c r="BB626" i="21398"/>
  <c r="BA627" i="21398"/>
  <c r="BB635" i="21398"/>
  <c r="BB640" i="21398"/>
  <c r="BA641" i="21398"/>
  <c r="BA645" i="21398"/>
  <c r="BB654" i="21398"/>
  <c r="BA655" i="21398"/>
  <c r="C28" i="21415"/>
  <c r="AX28" i="21415" s="1"/>
  <c r="AW26" i="21415"/>
  <c r="AY26" i="21415" s="1"/>
  <c r="BA26" i="21415" s="1"/>
  <c r="I583" i="21398"/>
  <c r="I581" i="21398"/>
  <c r="I583" i="2"/>
  <c r="I581" i="2"/>
  <c r="AX31" i="21417" l="1"/>
  <c r="M31" i="21417" s="1"/>
  <c r="BC31" i="21417" s="1"/>
  <c r="J30" i="21417"/>
  <c r="AZ26" i="21416"/>
  <c r="AX29" i="21416"/>
  <c r="M29" i="21416" s="1"/>
  <c r="AW29" i="21416"/>
  <c r="C31" i="21416"/>
  <c r="J31" i="21416" s="1"/>
  <c r="J28" i="21416"/>
  <c r="M26" i="21415"/>
  <c r="BC26" i="21415" s="1"/>
  <c r="C33" i="21417"/>
  <c r="AW31" i="21417"/>
  <c r="AY31" i="21417" s="1"/>
  <c r="BA31" i="21417" s="1"/>
  <c r="C30" i="21415"/>
  <c r="AX30" i="21415" s="1"/>
  <c r="AW28" i="21415"/>
  <c r="AY28" i="21415" s="1"/>
  <c r="BA28" i="21415" s="1"/>
  <c r="I550" i="21398"/>
  <c r="I546" i="21398"/>
  <c r="I513" i="21398"/>
  <c r="I511" i="21398"/>
  <c r="I475" i="21398"/>
  <c r="I473" i="21398"/>
  <c r="AW443" i="21398"/>
  <c r="AW441" i="21398"/>
  <c r="I429" i="21398"/>
  <c r="I427" i="21398"/>
  <c r="I389" i="21398"/>
  <c r="I387" i="21398"/>
  <c r="AW375" i="21398"/>
  <c r="AW373" i="21398"/>
  <c r="AW371" i="21398"/>
  <c r="AW367" i="21398"/>
  <c r="I364" i="21398"/>
  <c r="I360" i="21398"/>
  <c r="I364" i="2"/>
  <c r="I329" i="21398"/>
  <c r="I327" i="21398"/>
  <c r="I301" i="21398"/>
  <c r="I299" i="21398"/>
  <c r="I274" i="21398"/>
  <c r="I270" i="21398"/>
  <c r="I241" i="21398"/>
  <c r="I239" i="21398"/>
  <c r="I205" i="21398"/>
  <c r="I203" i="21398"/>
  <c r="I193" i="21398"/>
  <c r="I157" i="21398"/>
  <c r="I155" i="21398"/>
  <c r="I121" i="21398"/>
  <c r="I119" i="21398"/>
  <c r="AX30" i="21417" l="1"/>
  <c r="AZ30" i="21417" s="1"/>
  <c r="BB30" i="21417" s="1"/>
  <c r="AW30" i="21417"/>
  <c r="AY29" i="21416"/>
  <c r="AX33" i="21417"/>
  <c r="M33" i="21417" s="1"/>
  <c r="BC33" i="21417" s="1"/>
  <c r="I32" i="21417"/>
  <c r="AX28" i="21416"/>
  <c r="AW28" i="21416"/>
  <c r="AZ28" i="21416" s="1"/>
  <c r="AX31" i="21416"/>
  <c r="C33" i="21416"/>
  <c r="AW31" i="21416"/>
  <c r="M28" i="21415"/>
  <c r="BC28" i="21415" s="1"/>
  <c r="C35" i="21417"/>
  <c r="AW33" i="21417"/>
  <c r="AW29" i="21415"/>
  <c r="AZ29" i="21415" s="1"/>
  <c r="BB29" i="21415" s="1"/>
  <c r="C32" i="21415"/>
  <c r="AW30" i="21415"/>
  <c r="AY30" i="21415" s="1"/>
  <c r="BA30" i="21415" s="1"/>
  <c r="I83" i="21398"/>
  <c r="I81" i="21398"/>
  <c r="I49" i="21398"/>
  <c r="I47" i="21398"/>
  <c r="BD1271" i="21398"/>
  <c r="BD1269" i="21398"/>
  <c r="BD1267" i="21398"/>
  <c r="BD1265" i="21398"/>
  <c r="BD1263" i="21398"/>
  <c r="BD1261" i="21398"/>
  <c r="BD1259" i="21398"/>
  <c r="BD1257" i="21398"/>
  <c r="BD1255" i="21398"/>
  <c r="BD1253" i="21398"/>
  <c r="BD1251" i="21398"/>
  <c r="BD1249" i="21398"/>
  <c r="BD1247" i="21398"/>
  <c r="BD1245" i="21398"/>
  <c r="BD1243" i="21398"/>
  <c r="BD1241" i="21398"/>
  <c r="BD1239" i="21398"/>
  <c r="BD1237" i="21398"/>
  <c r="BD1235" i="21398"/>
  <c r="BD1233" i="21398"/>
  <c r="BD1231" i="21398"/>
  <c r="BD1229" i="21398"/>
  <c r="BD1227" i="21398"/>
  <c r="BD1225" i="21398"/>
  <c r="BD1223" i="21398"/>
  <c r="BD1221" i="21398"/>
  <c r="BD1215" i="21398"/>
  <c r="BD1213" i="21398"/>
  <c r="BD1211" i="21398"/>
  <c r="BD1209" i="21398"/>
  <c r="BD1207" i="21398"/>
  <c r="BD1205" i="21398"/>
  <c r="BD1203" i="21398"/>
  <c r="BD1201" i="21398"/>
  <c r="BD1199" i="21398"/>
  <c r="BD1197" i="21398"/>
  <c r="BD1195" i="21398"/>
  <c r="BD1193" i="21398"/>
  <c r="BD1191" i="21398"/>
  <c r="BD1189" i="21398"/>
  <c r="BD1187" i="21398"/>
  <c r="BD1185" i="21398"/>
  <c r="BD1183" i="21398"/>
  <c r="BD1181" i="21398"/>
  <c r="BD1179" i="21398"/>
  <c r="BD1177" i="21398"/>
  <c r="BD1175" i="21398"/>
  <c r="BD1173" i="21398"/>
  <c r="BD1133" i="21398"/>
  <c r="BD1131" i="21398"/>
  <c r="BD1129" i="21398"/>
  <c r="BD1127" i="21398"/>
  <c r="BD1125" i="21398"/>
  <c r="BD1123" i="21398"/>
  <c r="BD1121" i="21398"/>
  <c r="BD1119" i="21398"/>
  <c r="BD1117" i="21398"/>
  <c r="BD1115" i="21398"/>
  <c r="BD1113" i="21398"/>
  <c r="BD1111" i="21398"/>
  <c r="BD1109" i="21398"/>
  <c r="BD1107" i="21398"/>
  <c r="BD1105" i="21398"/>
  <c r="BD1103" i="21398"/>
  <c r="BD1101" i="21398"/>
  <c r="BD1099" i="21398"/>
  <c r="BD1097" i="21398"/>
  <c r="BD1095" i="21398"/>
  <c r="BD1093" i="21398"/>
  <c r="BD1091" i="21398"/>
  <c r="BD1089" i="21398"/>
  <c r="BD1087" i="21398"/>
  <c r="BD1085" i="21398"/>
  <c r="BD1083" i="21398"/>
  <c r="BD1081" i="21398"/>
  <c r="BD1079" i="21398"/>
  <c r="BD1077" i="21398"/>
  <c r="BD1075" i="21398"/>
  <c r="BD1073" i="21398"/>
  <c r="BD1071" i="21398"/>
  <c r="BD1069" i="21398"/>
  <c r="BD1067" i="21398"/>
  <c r="BD1065" i="21398"/>
  <c r="BD1063" i="21398"/>
  <c r="BD1061" i="21398"/>
  <c r="BD1059" i="21398"/>
  <c r="BD1057" i="21398"/>
  <c r="BD1055" i="21398"/>
  <c r="BD1053" i="21398"/>
  <c r="BD1051" i="21398"/>
  <c r="BD1049" i="21398"/>
  <c r="BD1047" i="21398"/>
  <c r="BD1045" i="21398"/>
  <c r="BD1043" i="21398"/>
  <c r="BD1041" i="21398"/>
  <c r="BD1039" i="21398"/>
  <c r="BD1037" i="21398"/>
  <c r="BD1035" i="21398"/>
  <c r="BD1033" i="21398"/>
  <c r="BD1031" i="21398"/>
  <c r="BD1029" i="21398"/>
  <c r="BD1027" i="21398"/>
  <c r="BD1025" i="21398"/>
  <c r="BD1023" i="21398"/>
  <c r="BD1021" i="21398"/>
  <c r="BD1019" i="21398"/>
  <c r="BD1017" i="21398"/>
  <c r="BD1015" i="21398"/>
  <c r="BD1013" i="21398"/>
  <c r="BD1011" i="21398"/>
  <c r="BD1009" i="21398"/>
  <c r="BD1007" i="21398"/>
  <c r="BD1005" i="21398"/>
  <c r="BD1003" i="21398"/>
  <c r="BD1001" i="21398"/>
  <c r="BD999" i="21398"/>
  <c r="BD997" i="21398"/>
  <c r="BD995" i="21398"/>
  <c r="BD993" i="21398"/>
  <c r="BD991" i="21398"/>
  <c r="BD989" i="21398"/>
  <c r="BD987" i="21398"/>
  <c r="BD985" i="21398"/>
  <c r="BD983" i="21398"/>
  <c r="BD981" i="21398"/>
  <c r="BD979" i="21398"/>
  <c r="BD977" i="21398"/>
  <c r="BD975" i="21398"/>
  <c r="BD973" i="21398"/>
  <c r="BD971" i="21398"/>
  <c r="BD969" i="21398"/>
  <c r="BD967" i="21398"/>
  <c r="BD965" i="21398"/>
  <c r="BD963" i="21398"/>
  <c r="BD961" i="21398"/>
  <c r="BD959" i="21398"/>
  <c r="BD957" i="21398"/>
  <c r="BD955" i="21398"/>
  <c r="BD953" i="21398"/>
  <c r="BD951" i="21398"/>
  <c r="BD949" i="21398"/>
  <c r="BD947" i="21398"/>
  <c r="BD945" i="21398"/>
  <c r="BD943" i="21398"/>
  <c r="BD941" i="21398"/>
  <c r="BD939" i="21398"/>
  <c r="BD937" i="21398"/>
  <c r="BD935" i="21398"/>
  <c r="BD933" i="21398"/>
  <c r="BD931" i="21398"/>
  <c r="BD929" i="21398"/>
  <c r="BD927" i="21398"/>
  <c r="BD925" i="21398"/>
  <c r="BD923" i="21398"/>
  <c r="BD911" i="21398"/>
  <c r="BD905" i="21398"/>
  <c r="BD899" i="21398"/>
  <c r="BD897" i="21398"/>
  <c r="BD895" i="21398"/>
  <c r="BD893" i="21398"/>
  <c r="BD891" i="21398"/>
  <c r="BD889" i="21398"/>
  <c r="BD887" i="21398"/>
  <c r="BD885" i="21398"/>
  <c r="BD883" i="21398"/>
  <c r="BD881" i="21398"/>
  <c r="BD879" i="21398"/>
  <c r="BD877" i="21398"/>
  <c r="BD875" i="21398"/>
  <c r="BD873" i="21398"/>
  <c r="BD871" i="21398"/>
  <c r="BD869" i="21398"/>
  <c r="BD867" i="21398"/>
  <c r="BD865" i="21398"/>
  <c r="BD863" i="21398"/>
  <c r="BD861" i="21398"/>
  <c r="BD859" i="21398"/>
  <c r="BD857" i="21398"/>
  <c r="BD855" i="21398"/>
  <c r="BD853" i="21398"/>
  <c r="BD851" i="21398"/>
  <c r="BD849" i="21398"/>
  <c r="BD847" i="21398"/>
  <c r="BD845" i="21398"/>
  <c r="BD843" i="21398"/>
  <c r="BD841" i="21398"/>
  <c r="BD839" i="21398"/>
  <c r="BD837" i="21398"/>
  <c r="BD815" i="21398"/>
  <c r="BD813" i="21398"/>
  <c r="BD811" i="21398"/>
  <c r="BD809" i="21398"/>
  <c r="BD807" i="21398"/>
  <c r="BD805" i="21398"/>
  <c r="BD803" i="21398"/>
  <c r="BD801" i="21398"/>
  <c r="BD799" i="21398"/>
  <c r="BD797" i="21398"/>
  <c r="BD795" i="21398"/>
  <c r="BD793" i="21398"/>
  <c r="BD791" i="21398"/>
  <c r="BD789" i="21398"/>
  <c r="BD787" i="21398"/>
  <c r="BD785" i="21398"/>
  <c r="BD783" i="21398"/>
  <c r="BD781" i="21398"/>
  <c r="BD779" i="21398"/>
  <c r="BD777" i="21398"/>
  <c r="BD775" i="21398"/>
  <c r="BD773" i="21398"/>
  <c r="BD771" i="21398"/>
  <c r="BD769" i="21398"/>
  <c r="BD767" i="21398"/>
  <c r="BD765" i="21398"/>
  <c r="BD763" i="21398"/>
  <c r="BD761" i="21398"/>
  <c r="BD759" i="21398"/>
  <c r="BD757" i="21398"/>
  <c r="BD755" i="21398"/>
  <c r="BD753" i="21398"/>
  <c r="BD751" i="21398"/>
  <c r="BD749" i="21398"/>
  <c r="BD747" i="21398"/>
  <c r="BD745" i="21398"/>
  <c r="BD743" i="21398"/>
  <c r="BD741" i="21398"/>
  <c r="BD739" i="21398"/>
  <c r="BD737" i="21398"/>
  <c r="BD735" i="21398"/>
  <c r="BD733" i="21398"/>
  <c r="BD731" i="21398"/>
  <c r="BD729" i="21398"/>
  <c r="BD725" i="21398"/>
  <c r="BD723" i="21398"/>
  <c r="BD721" i="21398"/>
  <c r="BD719" i="21398"/>
  <c r="BD717" i="21398"/>
  <c r="BD715" i="21398"/>
  <c r="BD713" i="21398"/>
  <c r="BD711" i="21398"/>
  <c r="BD709" i="21398"/>
  <c r="BD707" i="21398"/>
  <c r="BD705" i="21398"/>
  <c r="BD703" i="21398"/>
  <c r="BD701" i="21398"/>
  <c r="BD699" i="21398"/>
  <c r="BD697" i="21398"/>
  <c r="BD695" i="21398"/>
  <c r="BD693" i="21398"/>
  <c r="BD691" i="21398"/>
  <c r="BD689" i="21398"/>
  <c r="BD687" i="21398"/>
  <c r="BD685" i="21398"/>
  <c r="BD683" i="21398"/>
  <c r="BD681" i="21398"/>
  <c r="BD679" i="21398"/>
  <c r="BD677" i="21398"/>
  <c r="BD675" i="21398"/>
  <c r="BD673" i="21398"/>
  <c r="BD671" i="21398"/>
  <c r="BD669" i="21398"/>
  <c r="BD667" i="21398"/>
  <c r="BD665" i="21398"/>
  <c r="BD663" i="21398"/>
  <c r="BD661" i="21398"/>
  <c r="BD659" i="21398"/>
  <c r="BD657" i="21398"/>
  <c r="BD655" i="21398"/>
  <c r="BD653" i="21398"/>
  <c r="BD651" i="21398"/>
  <c r="BD649" i="21398"/>
  <c r="BD647" i="21398"/>
  <c r="BD645" i="21398"/>
  <c r="BD643" i="21398"/>
  <c r="BD641" i="21398"/>
  <c r="BD639" i="21398"/>
  <c r="BD637" i="21398"/>
  <c r="BD635" i="21398"/>
  <c r="BD633" i="21398"/>
  <c r="BD631" i="21398"/>
  <c r="BD629" i="21398"/>
  <c r="BD627" i="21398"/>
  <c r="BD625" i="21398"/>
  <c r="BD623" i="21398"/>
  <c r="BD621" i="21398"/>
  <c r="BD619" i="21398"/>
  <c r="BD617" i="21398"/>
  <c r="BD615" i="21398"/>
  <c r="BD613" i="21398"/>
  <c r="BD611" i="21398"/>
  <c r="BD609" i="21398"/>
  <c r="BD607" i="21398"/>
  <c r="BD605" i="21398"/>
  <c r="BD603" i="21398"/>
  <c r="BD601" i="21398"/>
  <c r="BD599" i="21398"/>
  <c r="BD597" i="21398"/>
  <c r="BD595" i="21398"/>
  <c r="BD593" i="21398"/>
  <c r="BD585" i="21398"/>
  <c r="BD583" i="21398"/>
  <c r="BD581" i="21398"/>
  <c r="BD579" i="21398"/>
  <c r="BD577" i="21398"/>
  <c r="BD575" i="21398"/>
  <c r="BD573" i="21398"/>
  <c r="BD571" i="21398"/>
  <c r="BD569" i="21398"/>
  <c r="BD567" i="21398"/>
  <c r="BD565" i="21398"/>
  <c r="BD563" i="21398"/>
  <c r="BD561" i="21398"/>
  <c r="BD559" i="21398"/>
  <c r="BD557" i="21398"/>
  <c r="BD555" i="21398"/>
  <c r="BD553" i="21398"/>
  <c r="BD551" i="21398"/>
  <c r="BD549" i="21398"/>
  <c r="BD547" i="21398"/>
  <c r="BD545" i="21398"/>
  <c r="BD543" i="21398"/>
  <c r="BD541" i="21398"/>
  <c r="BD539" i="21398"/>
  <c r="BD535" i="21398"/>
  <c r="BD533" i="21398"/>
  <c r="BD531" i="21398"/>
  <c r="BD529" i="21398"/>
  <c r="BD527" i="21398"/>
  <c r="BD525" i="21398"/>
  <c r="BD523" i="21398"/>
  <c r="BD521" i="21398"/>
  <c r="BD519" i="21398"/>
  <c r="BD517" i="21398"/>
  <c r="BD515" i="21398"/>
  <c r="BD513" i="21398"/>
  <c r="BD511" i="21398"/>
  <c r="BD509" i="21398"/>
  <c r="BD507" i="21398"/>
  <c r="BD505" i="21398"/>
  <c r="BD503" i="21398"/>
  <c r="BD501" i="21398"/>
  <c r="BD499" i="21398"/>
  <c r="BD497" i="21398"/>
  <c r="BD495" i="21398"/>
  <c r="BD493" i="21398"/>
  <c r="BD489" i="21398"/>
  <c r="BD487" i="21398"/>
  <c r="BD485" i="21398"/>
  <c r="BD477" i="21398"/>
  <c r="BD475" i="21398"/>
  <c r="BD473" i="21398"/>
  <c r="BD471" i="21398"/>
  <c r="BD469" i="21398"/>
  <c r="BD467" i="21398"/>
  <c r="BD465" i="21398"/>
  <c r="BD463" i="21398"/>
  <c r="BD461" i="21398"/>
  <c r="BD459" i="21398"/>
  <c r="BD457" i="21398"/>
  <c r="BD455" i="21398"/>
  <c r="BD453" i="21398"/>
  <c r="BD451" i="21398"/>
  <c r="BD449" i="21398"/>
  <c r="BD447" i="21398"/>
  <c r="BD445" i="21398"/>
  <c r="BD443" i="21398"/>
  <c r="BD441" i="21398"/>
  <c r="BD439" i="21398"/>
  <c r="BD437" i="21398"/>
  <c r="BD435" i="21398"/>
  <c r="BD433" i="21398"/>
  <c r="BD431" i="21398"/>
  <c r="BD429" i="21398"/>
  <c r="BD427" i="21398"/>
  <c r="BD425" i="21398"/>
  <c r="BD423" i="21398"/>
  <c r="BD421" i="21398"/>
  <c r="BD419" i="21398"/>
  <c r="BD417" i="21398"/>
  <c r="BD415" i="21398"/>
  <c r="BD413" i="21398"/>
  <c r="BD411" i="21398"/>
  <c r="BD409" i="21398"/>
  <c r="BD407" i="21398"/>
  <c r="BD405" i="21398"/>
  <c r="BD403" i="21398"/>
  <c r="BD401" i="21398"/>
  <c r="BD399" i="21398"/>
  <c r="BD397" i="21398"/>
  <c r="BD395" i="21398"/>
  <c r="BD393" i="21398"/>
  <c r="BD391" i="21398"/>
  <c r="BD389" i="21398"/>
  <c r="BD387" i="21398"/>
  <c r="BD385" i="21398"/>
  <c r="BD383" i="21398"/>
  <c r="BD381" i="21398"/>
  <c r="BD379" i="21398"/>
  <c r="BD377" i="21398"/>
  <c r="BD375" i="21398"/>
  <c r="BD373" i="21398"/>
  <c r="BD371" i="21398"/>
  <c r="BD369" i="21398"/>
  <c r="BD367" i="21398"/>
  <c r="BD365" i="21398"/>
  <c r="BD363" i="21398"/>
  <c r="BD361" i="21398"/>
  <c r="BD359" i="21398"/>
  <c r="BD357" i="21398"/>
  <c r="BD355" i="21398"/>
  <c r="BD353" i="21398"/>
  <c r="BD351" i="21398"/>
  <c r="BD349" i="21398"/>
  <c r="BD347" i="21398"/>
  <c r="BD345" i="21398"/>
  <c r="BD343" i="21398"/>
  <c r="BD341" i="21398"/>
  <c r="BD339" i="21398"/>
  <c r="BD337" i="21398"/>
  <c r="BD335" i="21398"/>
  <c r="BD333" i="21398"/>
  <c r="BD331" i="21398"/>
  <c r="BD329" i="21398"/>
  <c r="BD327" i="21398"/>
  <c r="BD325" i="21398"/>
  <c r="BD323" i="21398"/>
  <c r="BD321" i="21398"/>
  <c r="BD319" i="21398"/>
  <c r="BD317" i="21398"/>
  <c r="BD315" i="21398"/>
  <c r="BD313" i="21398"/>
  <c r="BD311" i="21398"/>
  <c r="BD309" i="21398"/>
  <c r="BD307" i="21398"/>
  <c r="BD305" i="21398"/>
  <c r="BD303" i="21398"/>
  <c r="BD301" i="21398"/>
  <c r="BD299" i="21398"/>
  <c r="BD297" i="21398"/>
  <c r="BD295" i="21398"/>
  <c r="BD293" i="21398"/>
  <c r="BD291" i="21398"/>
  <c r="BD289" i="21398"/>
  <c r="BD287" i="21398"/>
  <c r="BD285" i="21398"/>
  <c r="BD283" i="21398"/>
  <c r="BD281" i="21398"/>
  <c r="BD279" i="21398"/>
  <c r="BD277" i="21398"/>
  <c r="BD275" i="21398"/>
  <c r="BD273" i="21398"/>
  <c r="BD271" i="21398"/>
  <c r="BD269" i="21398"/>
  <c r="BD267" i="21398"/>
  <c r="BD265" i="21398"/>
  <c r="BD263" i="21398"/>
  <c r="BD261" i="21398"/>
  <c r="BD259" i="21398"/>
  <c r="BD257" i="21398"/>
  <c r="BD255" i="21398"/>
  <c r="BD253" i="21398"/>
  <c r="BD251" i="21398"/>
  <c r="BD249" i="21398"/>
  <c r="BD247" i="21398"/>
  <c r="BD245" i="21398"/>
  <c r="BD243" i="21398"/>
  <c r="BD241" i="21398"/>
  <c r="BD239" i="21398"/>
  <c r="BD237" i="21398"/>
  <c r="BD235" i="21398"/>
  <c r="BD233" i="21398"/>
  <c r="BD231" i="21398"/>
  <c r="BD229" i="21398"/>
  <c r="BD227" i="21398"/>
  <c r="BD225" i="21398"/>
  <c r="BD223" i="21398"/>
  <c r="BD221" i="21398"/>
  <c r="BD219" i="21398"/>
  <c r="BD217" i="21398"/>
  <c r="BD215" i="21398"/>
  <c r="BD213" i="21398"/>
  <c r="BD211" i="21398"/>
  <c r="BD209" i="21398"/>
  <c r="BD207" i="21398"/>
  <c r="BD205" i="21398"/>
  <c r="BD203" i="21398"/>
  <c r="BD201" i="21398"/>
  <c r="BD199" i="21398"/>
  <c r="BD197" i="21398"/>
  <c r="BD193" i="21398"/>
  <c r="BD191" i="21398"/>
  <c r="BD189" i="21398"/>
  <c r="BD187" i="21398"/>
  <c r="BD185" i="21398"/>
  <c r="BD175" i="21398"/>
  <c r="BD171" i="21398"/>
  <c r="BD159" i="21398"/>
  <c r="BD157" i="21398"/>
  <c r="BD155" i="21398"/>
  <c r="BD153" i="21398"/>
  <c r="BD151" i="21398"/>
  <c r="BD149" i="21398"/>
  <c r="BD147" i="21398"/>
  <c r="BD145" i="21398"/>
  <c r="BD143" i="21398"/>
  <c r="BD141" i="21398"/>
  <c r="BD139" i="21398"/>
  <c r="BD137" i="21398"/>
  <c r="BD135" i="21398"/>
  <c r="BD133" i="21398"/>
  <c r="BD131" i="21398"/>
  <c r="BD129" i="21398"/>
  <c r="BD127" i="21398"/>
  <c r="BD125" i="21398"/>
  <c r="BD123" i="21398"/>
  <c r="BD121" i="21398"/>
  <c r="BD119" i="21398"/>
  <c r="BD117" i="21398"/>
  <c r="BD115" i="21398"/>
  <c r="BD113" i="21398"/>
  <c r="BD111" i="21398"/>
  <c r="BD109" i="21398"/>
  <c r="BD107" i="21398"/>
  <c r="BD105" i="21398"/>
  <c r="BD103" i="21398"/>
  <c r="BD101" i="21398"/>
  <c r="BD99" i="21398"/>
  <c r="BD97" i="21398"/>
  <c r="BD95" i="21398"/>
  <c r="BD93" i="21398"/>
  <c r="BD91" i="21398"/>
  <c r="BD89" i="21398"/>
  <c r="BD87" i="21398"/>
  <c r="BD85" i="21398"/>
  <c r="BD83" i="21398"/>
  <c r="BD81" i="21398"/>
  <c r="BD79" i="21398"/>
  <c r="BD77" i="21398"/>
  <c r="BD75" i="21398"/>
  <c r="BD73" i="21398"/>
  <c r="BD71" i="21398"/>
  <c r="BD69" i="21398"/>
  <c r="BD67" i="21398"/>
  <c r="BD65" i="21398"/>
  <c r="BD63" i="21398"/>
  <c r="BD61" i="21398"/>
  <c r="BD59" i="21398"/>
  <c r="BD57" i="21398"/>
  <c r="BD55" i="21398"/>
  <c r="BD53" i="21398"/>
  <c r="BD51" i="21398"/>
  <c r="BD49" i="21398"/>
  <c r="BD47" i="21398"/>
  <c r="BD45" i="21398"/>
  <c r="BD43" i="21398"/>
  <c r="BD41" i="21398"/>
  <c r="BD39" i="21398"/>
  <c r="BD37" i="21398"/>
  <c r="BD35" i="21398"/>
  <c r="BD33" i="21398"/>
  <c r="BD31" i="21398"/>
  <c r="BD29" i="21398"/>
  <c r="BD27" i="21398"/>
  <c r="BD25" i="21398"/>
  <c r="BD23" i="21398"/>
  <c r="BD21" i="21398"/>
  <c r="BD19" i="21398"/>
  <c r="BD17" i="21398"/>
  <c r="BD15" i="21398"/>
  <c r="BD13" i="21398"/>
  <c r="BD11" i="21398"/>
  <c r="BD9" i="21398"/>
  <c r="BD7" i="21398"/>
  <c r="AW9" i="21398"/>
  <c r="AW7" i="21398"/>
  <c r="C10" i="21398"/>
  <c r="AX35" i="21417" l="1"/>
  <c r="M35" i="21417" s="1"/>
  <c r="BC35" i="21417" s="1"/>
  <c r="J36" i="21417"/>
  <c r="J31" i="21415"/>
  <c r="AX31" i="21415" s="1"/>
  <c r="AX32" i="21415"/>
  <c r="M31" i="21416"/>
  <c r="AZ31" i="21416"/>
  <c r="AY33" i="21417"/>
  <c r="BA33" i="21417" s="1"/>
  <c r="AY31" i="21416"/>
  <c r="AX33" i="21416"/>
  <c r="M33" i="21416" s="1"/>
  <c r="AW33" i="21416"/>
  <c r="C35" i="21416"/>
  <c r="C8" i="21398"/>
  <c r="AX8" i="21398" s="1"/>
  <c r="M8" i="21398" s="1"/>
  <c r="BC8" i="21398" s="1"/>
  <c r="AX10" i="21398"/>
  <c r="M10" i="21398" s="1"/>
  <c r="M30" i="21415"/>
  <c r="BC30" i="21415" s="1"/>
  <c r="C37" i="21417"/>
  <c r="AX37" i="21417" s="1"/>
  <c r="M37" i="21417" s="1"/>
  <c r="BC37" i="21417" s="1"/>
  <c r="AW35" i="21417"/>
  <c r="AY35" i="21417" s="1"/>
  <c r="BA35" i="21417" s="1"/>
  <c r="AW31" i="21415"/>
  <c r="AZ31" i="21415" s="1"/>
  <c r="BB31" i="21415" s="1"/>
  <c r="C34" i="21415"/>
  <c r="AX34" i="21415" s="1"/>
  <c r="AW32" i="21415"/>
  <c r="I546" i="2"/>
  <c r="I550" i="2"/>
  <c r="I513" i="2"/>
  <c r="I511" i="2"/>
  <c r="I501" i="2"/>
  <c r="I473" i="2"/>
  <c r="I471" i="2"/>
  <c r="I429" i="2"/>
  <c r="I427" i="2"/>
  <c r="I389" i="2"/>
  <c r="I387" i="2"/>
  <c r="AY32" i="21415" l="1"/>
  <c r="BA32" i="21415" s="1"/>
  <c r="AY33" i="21416"/>
  <c r="AX36" i="21417"/>
  <c r="AW36" i="21417"/>
  <c r="AX35" i="21416"/>
  <c r="M35" i="21416" s="1"/>
  <c r="AW35" i="21416"/>
  <c r="AY35" i="21416" s="1"/>
  <c r="C37" i="21416"/>
  <c r="AC788" i="21398"/>
  <c r="AC706" i="21398"/>
  <c r="AC796" i="21398"/>
  <c r="AC674" i="21398"/>
  <c r="AC798" i="21398"/>
  <c r="AC694" i="21398"/>
  <c r="AC722" i="21398"/>
  <c r="AC792" i="21398"/>
  <c r="AC688" i="21398"/>
  <c r="AC718" i="21398"/>
  <c r="AC696" i="21398"/>
  <c r="AC676" i="21398"/>
  <c r="AC678" i="21398"/>
  <c r="AC720" i="21398"/>
  <c r="AC692" i="21398"/>
  <c r="AC682" i="21398"/>
  <c r="AC794" i="21398"/>
  <c r="AC698" i="21398"/>
  <c r="AC724" i="21398"/>
  <c r="AC690" i="21398"/>
  <c r="AC712" i="21398"/>
  <c r="AC786" i="21398"/>
  <c r="AC704" i="21398"/>
  <c r="AC702" i="21398"/>
  <c r="AC680" i="21398"/>
  <c r="AC790" i="21398"/>
  <c r="AC686" i="21398"/>
  <c r="AW8" i="21398"/>
  <c r="AY8" i="21398" s="1"/>
  <c r="BA8" i="21398" s="1"/>
  <c r="M32" i="21415"/>
  <c r="BC32" i="21415" s="1"/>
  <c r="AW37" i="21417"/>
  <c r="AY37" i="21417" s="1"/>
  <c r="BA37" i="21417" s="1"/>
  <c r="C39" i="21417"/>
  <c r="AX39" i="21417" s="1"/>
  <c r="M39" i="21417" s="1"/>
  <c r="BC39" i="21417" s="1"/>
  <c r="C36" i="21415"/>
  <c r="AW34" i="21415"/>
  <c r="AY34" i="21415" s="1"/>
  <c r="BA34" i="21415" s="1"/>
  <c r="I360" i="2"/>
  <c r="I329" i="2"/>
  <c r="I327" i="2"/>
  <c r="I301" i="2"/>
  <c r="I299" i="2"/>
  <c r="I149" i="2"/>
  <c r="AZ36" i="21417" l="1"/>
  <c r="BB36" i="21417" s="1"/>
  <c r="J37" i="21415"/>
  <c r="AX37" i="21415" s="1"/>
  <c r="AX36" i="21415"/>
  <c r="AX37" i="21416"/>
  <c r="M37" i="21416" s="1"/>
  <c r="AW37" i="21416"/>
  <c r="AY37" i="21416" s="1"/>
  <c r="J36" i="21416"/>
  <c r="C39" i="21416"/>
  <c r="J38" i="21416"/>
  <c r="M34" i="21415"/>
  <c r="C41" i="21417"/>
  <c r="AW39" i="21417"/>
  <c r="AY39" i="21417" s="1"/>
  <c r="BA39" i="21417" s="1"/>
  <c r="AW37" i="21415"/>
  <c r="AZ37" i="21415" s="1"/>
  <c r="BB37" i="21415" s="1"/>
  <c r="AW36" i="21415"/>
  <c r="AY36" i="21415" s="1"/>
  <c r="BA36" i="21415" s="1"/>
  <c r="C38" i="21415"/>
  <c r="I274" i="2"/>
  <c r="I270" i="2"/>
  <c r="I241" i="2"/>
  <c r="I239" i="2"/>
  <c r="C40" i="21415" l="1"/>
  <c r="AX40" i="21415" s="1"/>
  <c r="AX38" i="21415"/>
  <c r="AX39" i="21416"/>
  <c r="M39" i="21416" s="1"/>
  <c r="C41" i="21416"/>
  <c r="AW39" i="21416"/>
  <c r="AX36" i="21416"/>
  <c r="AW36" i="21416"/>
  <c r="AX38" i="21416"/>
  <c r="AW38" i="21416"/>
  <c r="AX41" i="21417"/>
  <c r="M41" i="21417" s="1"/>
  <c r="BC41" i="21417" s="1"/>
  <c r="J40" i="21417"/>
  <c r="BC34" i="21415"/>
  <c r="M36" i="21415"/>
  <c r="BC36" i="21415" s="1"/>
  <c r="C43" i="21417"/>
  <c r="AX43" i="21417" s="1"/>
  <c r="M43" i="21417" s="1"/>
  <c r="BC43" i="21417" s="1"/>
  <c r="AW41" i="21417"/>
  <c r="AW39" i="21415"/>
  <c r="AZ39" i="21415" s="1"/>
  <c r="BB39" i="21415" s="1"/>
  <c r="AW38" i="21415"/>
  <c r="AY38" i="21415" s="1"/>
  <c r="BA38" i="21415" s="1"/>
  <c r="I213" i="2"/>
  <c r="BD185" i="2"/>
  <c r="BD183" i="2"/>
  <c r="BD181" i="2"/>
  <c r="BD179" i="2"/>
  <c r="BD177" i="2"/>
  <c r="BD175" i="2"/>
  <c r="BD173" i="2"/>
  <c r="BD171" i="2"/>
  <c r="BD169" i="2"/>
  <c r="BD167" i="2"/>
  <c r="BD165" i="2"/>
  <c r="I181" i="2"/>
  <c r="I179" i="2"/>
  <c r="AW1251" i="2"/>
  <c r="AW1249" i="2"/>
  <c r="AW1247" i="2"/>
  <c r="AW1245" i="2"/>
  <c r="AW1241" i="2"/>
  <c r="AW1239" i="2"/>
  <c r="AW1235" i="2"/>
  <c r="AW1233" i="2"/>
  <c r="AW1231" i="2"/>
  <c r="AW1229" i="2"/>
  <c r="AW1227" i="2"/>
  <c r="AW1225" i="2"/>
  <c r="AW1215" i="2"/>
  <c r="AW1213" i="2"/>
  <c r="AW1209" i="2"/>
  <c r="AW1207" i="2"/>
  <c r="AW1205" i="2"/>
  <c r="AW1201" i="2"/>
  <c r="AW1199" i="2"/>
  <c r="AW1197" i="2"/>
  <c r="AW1193" i="2"/>
  <c r="AW1191" i="2"/>
  <c r="AW1189" i="2"/>
  <c r="AW1185" i="2"/>
  <c r="AW1183" i="2"/>
  <c r="AW1177" i="2"/>
  <c r="AW1175" i="2"/>
  <c r="AW1155" i="2"/>
  <c r="AW1151" i="2"/>
  <c r="AW1149" i="2"/>
  <c r="AW1143" i="2"/>
  <c r="AW1141" i="2"/>
  <c r="AW1139" i="2"/>
  <c r="AW1133" i="2"/>
  <c r="AW1129" i="2"/>
  <c r="AW1127" i="2"/>
  <c r="AW1125" i="2"/>
  <c r="AW1121" i="2"/>
  <c r="AW1119" i="2"/>
  <c r="AW1117" i="2"/>
  <c r="AW1115" i="2"/>
  <c r="AW1113" i="2"/>
  <c r="AW1109" i="2"/>
  <c r="AW1107" i="2"/>
  <c r="AW1103" i="2"/>
  <c r="AW1101" i="2"/>
  <c r="AW1099" i="2"/>
  <c r="AW1097" i="2"/>
  <c r="AW1095" i="2"/>
  <c r="AW1087" i="2"/>
  <c r="AW1083" i="2"/>
  <c r="AW1081" i="2"/>
  <c r="AW1079" i="2"/>
  <c r="AW1077" i="2"/>
  <c r="AW1075" i="2"/>
  <c r="AW1071" i="2"/>
  <c r="AW1069" i="2"/>
  <c r="AW1065" i="2"/>
  <c r="AW1063" i="2"/>
  <c r="AW1061" i="2"/>
  <c r="AW1059" i="2"/>
  <c r="AW1057" i="2"/>
  <c r="AW1053" i="2"/>
  <c r="AW1051" i="2"/>
  <c r="AW1049" i="2"/>
  <c r="AW1045" i="2"/>
  <c r="AW1043" i="2"/>
  <c r="AW1041" i="2"/>
  <c r="AW1039" i="2"/>
  <c r="AW1037" i="2"/>
  <c r="AW1033" i="2"/>
  <c r="AW1031" i="2"/>
  <c r="AW1027" i="2"/>
  <c r="AW1025" i="2"/>
  <c r="AW1023" i="2"/>
  <c r="AW1021" i="2"/>
  <c r="AW1019" i="2"/>
  <c r="AW1017" i="2"/>
  <c r="AW1013" i="2"/>
  <c r="AW1005" i="2"/>
  <c r="AW1003" i="2"/>
  <c r="AW1001" i="2"/>
  <c r="AW999" i="2"/>
  <c r="AW997" i="2"/>
  <c r="AW993" i="2"/>
  <c r="AW991" i="2"/>
  <c r="AW987" i="2"/>
  <c r="AW985" i="2"/>
  <c r="AW983" i="2"/>
  <c r="AW981" i="2"/>
  <c r="AW979" i="2"/>
  <c r="AW975" i="2"/>
  <c r="AW973" i="2"/>
  <c r="AW971" i="2"/>
  <c r="AW967" i="2"/>
  <c r="AW965" i="2"/>
  <c r="AW963" i="2"/>
  <c r="AW959" i="2"/>
  <c r="AW957" i="2"/>
  <c r="AW953" i="2"/>
  <c r="AW951" i="2"/>
  <c r="AW947" i="2"/>
  <c r="AW943" i="2"/>
  <c r="AW937" i="2"/>
  <c r="AW935" i="2"/>
  <c r="AW933" i="2"/>
  <c r="AW925" i="2"/>
  <c r="AW911" i="2"/>
  <c r="AW905" i="2"/>
  <c r="AW903" i="2"/>
  <c r="AW901" i="2"/>
  <c r="AW899" i="2"/>
  <c r="AW897" i="2"/>
  <c r="AW895" i="2"/>
  <c r="AW893" i="2"/>
  <c r="AW891" i="2"/>
  <c r="AW889" i="2"/>
  <c r="AW887" i="2"/>
  <c r="AW883" i="2"/>
  <c r="AW881" i="2"/>
  <c r="AW879" i="2"/>
  <c r="AW875" i="2"/>
  <c r="AW873" i="2"/>
  <c r="AW869" i="2"/>
  <c r="AW867" i="2"/>
  <c r="AW865" i="2"/>
  <c r="AW863" i="2"/>
  <c r="AW859" i="2"/>
  <c r="AW857" i="2"/>
  <c r="AW855" i="2"/>
  <c r="AW851" i="2"/>
  <c r="AW849" i="2"/>
  <c r="AW845" i="2"/>
  <c r="AW843" i="2"/>
  <c r="AW839" i="2"/>
  <c r="AW815" i="2"/>
  <c r="AW813" i="2"/>
  <c r="AW811" i="2"/>
  <c r="AW807" i="2"/>
  <c r="AW801" i="2"/>
  <c r="AW795" i="2"/>
  <c r="AW793" i="2"/>
  <c r="AW781" i="2"/>
  <c r="AW777" i="2"/>
  <c r="AW773" i="2"/>
  <c r="AW771" i="2"/>
  <c r="AW769" i="2"/>
  <c r="AW765" i="2"/>
  <c r="AW763" i="2"/>
  <c r="AW761" i="2"/>
  <c r="AW757" i="2"/>
  <c r="AW755" i="2"/>
  <c r="AW751" i="2"/>
  <c r="AW749" i="2"/>
  <c r="AW747" i="2"/>
  <c r="AW743" i="2"/>
  <c r="AW741" i="2"/>
  <c r="AW735" i="2"/>
  <c r="AW731" i="2"/>
  <c r="AW725" i="2"/>
  <c r="AW723" i="2"/>
  <c r="AW719" i="2"/>
  <c r="AW717" i="2"/>
  <c r="AW711" i="2"/>
  <c r="AW709" i="2"/>
  <c r="AW705" i="2"/>
  <c r="AW703" i="2"/>
  <c r="AW697" i="2"/>
  <c r="AW693" i="2"/>
  <c r="AW691" i="2"/>
  <c r="AW689" i="2"/>
  <c r="AW685" i="2"/>
  <c r="AW679" i="2"/>
  <c r="AW677" i="2"/>
  <c r="AW673" i="2"/>
  <c r="AW671" i="2"/>
  <c r="AW667" i="2"/>
  <c r="AW665" i="2"/>
  <c r="AW659" i="2"/>
  <c r="AW655" i="2"/>
  <c r="AW651" i="2"/>
  <c r="AW649" i="2"/>
  <c r="AW647" i="2"/>
  <c r="AW645" i="2"/>
  <c r="AW641" i="2"/>
  <c r="AW639" i="2"/>
  <c r="AW637" i="2"/>
  <c r="AW633" i="2"/>
  <c r="AW627" i="2"/>
  <c r="AW623" i="2"/>
  <c r="AW621" i="2"/>
  <c r="AW619" i="2"/>
  <c r="AW617" i="2"/>
  <c r="AW615" i="2"/>
  <c r="AW613" i="2"/>
  <c r="AW611" i="2"/>
  <c r="AW607" i="2"/>
  <c r="AW605" i="2"/>
  <c r="AW603" i="2"/>
  <c r="AW599" i="2"/>
  <c r="AW597" i="2"/>
  <c r="AW595" i="2"/>
  <c r="AW583" i="2"/>
  <c r="AW581" i="2"/>
  <c r="AW577" i="2"/>
  <c r="AW575" i="2"/>
  <c r="AW571" i="2"/>
  <c r="AW569" i="2"/>
  <c r="AW567" i="2"/>
  <c r="AW563" i="2"/>
  <c r="AW561" i="2"/>
  <c r="AW559" i="2"/>
  <c r="AW557" i="2"/>
  <c r="AW555" i="2"/>
  <c r="AW553" i="2"/>
  <c r="AW543" i="2"/>
  <c r="AW541" i="2"/>
  <c r="AW539" i="2"/>
  <c r="AW535" i="2"/>
  <c r="AW533" i="2"/>
  <c r="AW531" i="2"/>
  <c r="AW527" i="2"/>
  <c r="AW525" i="2"/>
  <c r="AW523" i="2"/>
  <c r="AW519" i="2"/>
  <c r="AW517" i="2"/>
  <c r="AW513" i="2"/>
  <c r="AW511" i="2"/>
  <c r="AW507" i="2"/>
  <c r="AW505" i="2"/>
  <c r="AW501" i="2"/>
  <c r="AW497" i="2"/>
  <c r="AW495" i="2"/>
  <c r="AW493" i="2"/>
  <c r="AW491" i="2"/>
  <c r="AW489" i="2"/>
  <c r="AW485" i="2"/>
  <c r="AW459" i="2"/>
  <c r="AW457" i="2"/>
  <c r="AW455" i="2"/>
  <c r="AW451" i="2"/>
  <c r="AW443" i="2"/>
  <c r="AW441" i="2"/>
  <c r="AW439" i="2"/>
  <c r="AW437" i="2"/>
  <c r="AW435" i="2"/>
  <c r="AW433" i="2"/>
  <c r="AW429" i="2"/>
  <c r="AW427" i="2"/>
  <c r="AW423" i="2"/>
  <c r="AW421" i="2"/>
  <c r="AW419" i="2"/>
  <c r="AW417" i="2"/>
  <c r="AW415" i="2"/>
  <c r="AW413" i="2"/>
  <c r="AW409" i="2"/>
  <c r="AW407" i="2"/>
  <c r="AW405" i="2"/>
  <c r="AW401" i="2"/>
  <c r="AW399" i="2"/>
  <c r="AW397" i="2"/>
  <c r="AW395" i="2"/>
  <c r="AW393" i="2"/>
  <c r="AW389" i="2"/>
  <c r="AW387" i="2"/>
  <c r="AW383" i="2"/>
  <c r="AW381" i="2"/>
  <c r="AW379" i="2"/>
  <c r="AW375" i="2"/>
  <c r="AW373" i="2"/>
  <c r="AW371" i="2"/>
  <c r="AW367" i="2"/>
  <c r="AW357" i="2"/>
  <c r="AW353" i="2"/>
  <c r="AW351" i="2"/>
  <c r="AW349" i="2"/>
  <c r="AW347" i="2"/>
  <c r="AW345" i="2"/>
  <c r="AW343" i="2"/>
  <c r="AW341" i="2"/>
  <c r="AW337" i="2"/>
  <c r="AW335" i="2"/>
  <c r="AW333" i="2"/>
  <c r="AW329" i="2"/>
  <c r="AW327" i="2"/>
  <c r="AW323" i="2"/>
  <c r="AW321" i="2"/>
  <c r="AW319" i="2"/>
  <c r="AW315" i="2"/>
  <c r="AW313" i="2"/>
  <c r="AW311" i="2"/>
  <c r="AW307" i="2"/>
  <c r="AW305" i="2"/>
  <c r="AW301" i="2"/>
  <c r="AW299" i="2"/>
  <c r="AW295" i="2"/>
  <c r="AW291" i="2"/>
  <c r="AW289" i="2"/>
  <c r="AW287" i="2"/>
  <c r="AW283" i="2"/>
  <c r="AW281" i="2"/>
  <c r="AW279" i="2"/>
  <c r="AW277" i="2"/>
  <c r="AW267" i="2"/>
  <c r="AW265" i="2"/>
  <c r="AW263" i="2"/>
  <c r="AW259" i="2"/>
  <c r="AW257" i="2"/>
  <c r="AW255" i="2"/>
  <c r="AW251" i="2"/>
  <c r="AW249" i="2"/>
  <c r="AW247" i="2"/>
  <c r="AW245" i="2"/>
  <c r="AW241" i="2"/>
  <c r="AW239" i="2"/>
  <c r="AW235" i="2"/>
  <c r="AW233" i="2"/>
  <c r="AW231" i="2"/>
  <c r="AW229" i="2"/>
  <c r="AW225" i="2"/>
  <c r="AW223" i="2"/>
  <c r="AW221" i="2"/>
  <c r="AW217" i="2"/>
  <c r="AW213" i="2"/>
  <c r="AW211" i="2"/>
  <c r="AW209" i="2"/>
  <c r="AW207" i="2"/>
  <c r="AW203" i="2"/>
  <c r="AW201" i="2"/>
  <c r="AW197" i="2"/>
  <c r="AW193" i="2"/>
  <c r="AW189" i="2"/>
  <c r="AW187" i="2"/>
  <c r="AW185" i="2"/>
  <c r="AW181" i="2"/>
  <c r="AW179" i="2"/>
  <c r="AZ38" i="21416" l="1"/>
  <c r="AY39" i="21416"/>
  <c r="AZ36" i="21416"/>
  <c r="AX41" i="21416"/>
  <c r="M41" i="21416" s="1"/>
  <c r="AW41" i="21416"/>
  <c r="C43" i="21416"/>
  <c r="AY41" i="21417"/>
  <c r="BA41" i="21417" s="1"/>
  <c r="AX40" i="21417"/>
  <c r="AW40" i="21417"/>
  <c r="M38" i="21415"/>
  <c r="C45" i="21417"/>
  <c r="J46" i="21417" s="1"/>
  <c r="AW43" i="21417"/>
  <c r="AY43" i="21417" s="1"/>
  <c r="BA43" i="21417" s="1"/>
  <c r="C42" i="21415"/>
  <c r="AX42" i="21415" s="1"/>
  <c r="AW40" i="21415"/>
  <c r="AY40" i="21415" s="1"/>
  <c r="BA40" i="21415" s="1"/>
  <c r="I147" i="2"/>
  <c r="AZ40" i="21417" l="1"/>
  <c r="BB40" i="21417" s="1"/>
  <c r="AY41" i="21416"/>
  <c r="AX46" i="21417"/>
  <c r="AW46" i="21417"/>
  <c r="AX45" i="21417"/>
  <c r="M45" i="21417" s="1"/>
  <c r="BC45" i="21417" s="1"/>
  <c r="C47" i="21417"/>
  <c r="AX43" i="21416"/>
  <c r="M43" i="21416" s="1"/>
  <c r="AW43" i="21416"/>
  <c r="AY43" i="21416" s="1"/>
  <c r="C45" i="21416"/>
  <c r="BC38" i="21415"/>
  <c r="M40" i="21415"/>
  <c r="BC40" i="21415" s="1"/>
  <c r="AW45" i="21417"/>
  <c r="AW42" i="21415"/>
  <c r="AY42" i="21415" s="1"/>
  <c r="BA42" i="21415" s="1"/>
  <c r="C44" i="21415"/>
  <c r="AX44" i="21415" s="1"/>
  <c r="I121" i="2"/>
  <c r="A82" i="21414"/>
  <c r="E82" i="21414" s="1"/>
  <c r="AY45" i="21417" l="1"/>
  <c r="BA45" i="21417" s="1"/>
  <c r="AZ46" i="21417"/>
  <c r="BB46" i="21417" s="1"/>
  <c r="AC16" i="21400"/>
  <c r="C49" i="21417"/>
  <c r="AX45" i="21416"/>
  <c r="M45" i="21416" s="1"/>
  <c r="BC45" i="21416" s="1"/>
  <c r="C47" i="21416"/>
  <c r="AW45" i="21416"/>
  <c r="M42" i="21415"/>
  <c r="C46" i="21415"/>
  <c r="AX46" i="21415" s="1"/>
  <c r="AW44" i="21415"/>
  <c r="AY44" i="21415" s="1"/>
  <c r="BA44" i="21415" s="1"/>
  <c r="BD1251" i="2"/>
  <c r="BD1249" i="2"/>
  <c r="BD1247" i="2"/>
  <c r="BD1245" i="2"/>
  <c r="BD1243" i="2"/>
  <c r="BD1241" i="2"/>
  <c r="BD1239" i="2"/>
  <c r="BD1237" i="2"/>
  <c r="BD1235" i="2"/>
  <c r="BD1233" i="2"/>
  <c r="BD1231" i="2"/>
  <c r="BD1229" i="2"/>
  <c r="BD1227" i="2"/>
  <c r="BD1225" i="2"/>
  <c r="BD1215" i="2"/>
  <c r="BD1213" i="2"/>
  <c r="BD1211" i="2"/>
  <c r="BD1209" i="2"/>
  <c r="BD1207" i="2"/>
  <c r="BD1205" i="2"/>
  <c r="BD1203" i="2"/>
  <c r="BD1201" i="2"/>
  <c r="BD1199" i="2"/>
  <c r="BD1197" i="2"/>
  <c r="BD1195" i="2"/>
  <c r="BD1193" i="2"/>
  <c r="BD1191" i="2"/>
  <c r="BD1189" i="2"/>
  <c r="BD1187" i="2"/>
  <c r="BD1185" i="2"/>
  <c r="BD1183" i="2"/>
  <c r="BD1177" i="2"/>
  <c r="BD1175" i="2"/>
  <c r="BD1173" i="2"/>
  <c r="BD1171" i="2"/>
  <c r="BD1151" i="2"/>
  <c r="BD1149" i="2"/>
  <c r="BD1147" i="2"/>
  <c r="BD1145" i="2"/>
  <c r="BD1143" i="2"/>
  <c r="BD1141" i="2"/>
  <c r="BD1139" i="2"/>
  <c r="BD1137" i="2"/>
  <c r="BD1133" i="2"/>
  <c r="BD1131" i="2"/>
  <c r="BD1129" i="2"/>
  <c r="BD1127" i="2"/>
  <c r="BD1125" i="2"/>
  <c r="BD1123" i="2"/>
  <c r="BD1121" i="2"/>
  <c r="BD1119" i="2"/>
  <c r="BD1117" i="2"/>
  <c r="BD1115" i="2"/>
  <c r="BD1113" i="2"/>
  <c r="BD1111" i="2"/>
  <c r="BD1109" i="2"/>
  <c r="BD1107" i="2"/>
  <c r="BD1105" i="2"/>
  <c r="BD1103" i="2"/>
  <c r="BD1101" i="2"/>
  <c r="BD1099" i="2"/>
  <c r="BD1097" i="2"/>
  <c r="BD1095" i="2"/>
  <c r="BD1093" i="2"/>
  <c r="BD1091" i="2"/>
  <c r="BD1089" i="2"/>
  <c r="BD1087" i="2"/>
  <c r="BD1085" i="2"/>
  <c r="BD1083" i="2"/>
  <c r="BD1081" i="2"/>
  <c r="BD1079" i="2"/>
  <c r="BD1077" i="2"/>
  <c r="BD1075" i="2"/>
  <c r="BD1073" i="2"/>
  <c r="BD1071" i="2"/>
  <c r="BD1069" i="2"/>
  <c r="BD1067" i="2"/>
  <c r="BD1065" i="2"/>
  <c r="BD1063" i="2"/>
  <c r="BD1061" i="2"/>
  <c r="BD1059" i="2"/>
  <c r="BD1057" i="2"/>
  <c r="BD1055" i="2"/>
  <c r="BD1053" i="2"/>
  <c r="BD1051" i="2"/>
  <c r="BD1049" i="2"/>
  <c r="BD1047" i="2"/>
  <c r="BD1045" i="2"/>
  <c r="BD1043" i="2"/>
  <c r="BD1041" i="2"/>
  <c r="BD1039" i="2"/>
  <c r="BD1037" i="2"/>
  <c r="BD1035" i="2"/>
  <c r="BD1033" i="2"/>
  <c r="BD1031" i="2"/>
  <c r="BD1029" i="2"/>
  <c r="BD1027" i="2"/>
  <c r="BD1025" i="2"/>
  <c r="BD1023" i="2"/>
  <c r="BD1021" i="2"/>
  <c r="BD1019" i="2"/>
  <c r="BD1017" i="2"/>
  <c r="BD1015" i="2"/>
  <c r="BD1013" i="2"/>
  <c r="BD1011" i="2"/>
  <c r="BD1009" i="2"/>
  <c r="BD1007" i="2"/>
  <c r="BD1005" i="2"/>
  <c r="BD1003" i="2"/>
  <c r="BD1001" i="2"/>
  <c r="BD999" i="2"/>
  <c r="BD997" i="2"/>
  <c r="BD995" i="2"/>
  <c r="BD993" i="2"/>
  <c r="BD991" i="2"/>
  <c r="BD989" i="2"/>
  <c r="BD987" i="2"/>
  <c r="BD985" i="2"/>
  <c r="BD983" i="2"/>
  <c r="BD981" i="2"/>
  <c r="BD979" i="2"/>
  <c r="BD977" i="2"/>
  <c r="BD975" i="2"/>
  <c r="BD973" i="2"/>
  <c r="BD971" i="2"/>
  <c r="BD969" i="2"/>
  <c r="BD967" i="2"/>
  <c r="BD965" i="2"/>
  <c r="BD963" i="2"/>
  <c r="BD961" i="2"/>
  <c r="BD959" i="2"/>
  <c r="BD957" i="2"/>
  <c r="BD955" i="2"/>
  <c r="BD953" i="2"/>
  <c r="BD951" i="2"/>
  <c r="BD949" i="2"/>
  <c r="BD947" i="2"/>
  <c r="BD945" i="2"/>
  <c r="BD943" i="2"/>
  <c r="BD941" i="2"/>
  <c r="BD939" i="2"/>
  <c r="BD937" i="2"/>
  <c r="BD935" i="2"/>
  <c r="BD931" i="2"/>
  <c r="BD929" i="2"/>
  <c r="BD925" i="2"/>
  <c r="BD901" i="2"/>
  <c r="BD899" i="2"/>
  <c r="BD897" i="2"/>
  <c r="BD895" i="2"/>
  <c r="BD893" i="2"/>
  <c r="BD891" i="2"/>
  <c r="BD889" i="2"/>
  <c r="BD887" i="2"/>
  <c r="BD885" i="2"/>
  <c r="BD883" i="2"/>
  <c r="BD881" i="2"/>
  <c r="BD879" i="2"/>
  <c r="BD877" i="2"/>
  <c r="BD875" i="2"/>
  <c r="BD873" i="2"/>
  <c r="BD871" i="2"/>
  <c r="BD869" i="2"/>
  <c r="BD867" i="2"/>
  <c r="BD865" i="2"/>
  <c r="BD863" i="2"/>
  <c r="BD861" i="2"/>
  <c r="BD859" i="2"/>
  <c r="BD857" i="2"/>
  <c r="BD855" i="2"/>
  <c r="BD853" i="2"/>
  <c r="BD851" i="2"/>
  <c r="BD849" i="2"/>
  <c r="BD847" i="2"/>
  <c r="BD845" i="2"/>
  <c r="BD843" i="2"/>
  <c r="BD841" i="2"/>
  <c r="BD839" i="2"/>
  <c r="BD817" i="2"/>
  <c r="BD815" i="2"/>
  <c r="BD813" i="2"/>
  <c r="BD811" i="2"/>
  <c r="BD809" i="2"/>
  <c r="BD807" i="2"/>
  <c r="BD805" i="2"/>
  <c r="BD803" i="2"/>
  <c r="BD801" i="2"/>
  <c r="BD799" i="2"/>
  <c r="BD797" i="2"/>
  <c r="BD795" i="2"/>
  <c r="BD793" i="2"/>
  <c r="BD791" i="2"/>
  <c r="BD789" i="2"/>
  <c r="BD787" i="2"/>
  <c r="BD785" i="2"/>
  <c r="BD783" i="2"/>
  <c r="BD781" i="2"/>
  <c r="BD779" i="2"/>
  <c r="BD777" i="2"/>
  <c r="BD775" i="2"/>
  <c r="BD773" i="2"/>
  <c r="BD771" i="2"/>
  <c r="BD769" i="2"/>
  <c r="BD767" i="2"/>
  <c r="BD765" i="2"/>
  <c r="BD763" i="2"/>
  <c r="BD761" i="2"/>
  <c r="BD759" i="2"/>
  <c r="BD757" i="2"/>
  <c r="BD755" i="2"/>
  <c r="BD753" i="2"/>
  <c r="BD751" i="2"/>
  <c r="BD749" i="2"/>
  <c r="BD747" i="2"/>
  <c r="BD745" i="2"/>
  <c r="BD743" i="2"/>
  <c r="BD741" i="2"/>
  <c r="BD739" i="2"/>
  <c r="BD737" i="2"/>
  <c r="BD735" i="2"/>
  <c r="BD733" i="2"/>
  <c r="BD731" i="2"/>
  <c r="BD727" i="2"/>
  <c r="BD725" i="2"/>
  <c r="BD723" i="2"/>
  <c r="BD721" i="2"/>
  <c r="BD719" i="2"/>
  <c r="BD717" i="2"/>
  <c r="BD715" i="2"/>
  <c r="BD713" i="2"/>
  <c r="BD711" i="2"/>
  <c r="BD709" i="2"/>
  <c r="BD707" i="2"/>
  <c r="BD705" i="2"/>
  <c r="BD703" i="2"/>
  <c r="BD701" i="2"/>
  <c r="BD699" i="2"/>
  <c r="BD697" i="2"/>
  <c r="BD695" i="2"/>
  <c r="BD693" i="2"/>
  <c r="BD691" i="2"/>
  <c r="BD689" i="2"/>
  <c r="BD687" i="2"/>
  <c r="BD685" i="2"/>
  <c r="BD683" i="2"/>
  <c r="BD681" i="2"/>
  <c r="BD679" i="2"/>
  <c r="BD677" i="2"/>
  <c r="BD675" i="2"/>
  <c r="BD673" i="2"/>
  <c r="BD671" i="2"/>
  <c r="BD669" i="2"/>
  <c r="BD667" i="2"/>
  <c r="BD665" i="2"/>
  <c r="BD663" i="2"/>
  <c r="BD661" i="2"/>
  <c r="BD659" i="2"/>
  <c r="BD657" i="2"/>
  <c r="BD655" i="2"/>
  <c r="BD651" i="2"/>
  <c r="BD649" i="2"/>
  <c r="BD647" i="2"/>
  <c r="BD645" i="2"/>
  <c r="BD643" i="2"/>
  <c r="BD641" i="2"/>
  <c r="BD639" i="2"/>
  <c r="BD637" i="2"/>
  <c r="BD635" i="2"/>
  <c r="BD633" i="2"/>
  <c r="BD631" i="2"/>
  <c r="BD629" i="2"/>
  <c r="BD627" i="2"/>
  <c r="BD625" i="2"/>
  <c r="BD623" i="2"/>
  <c r="BD621" i="2"/>
  <c r="BD619" i="2"/>
  <c r="BD617" i="2"/>
  <c r="BD615" i="2"/>
  <c r="BD613" i="2"/>
  <c r="BD611" i="2"/>
  <c r="BD609" i="2"/>
  <c r="BD607" i="2"/>
  <c r="BD605" i="2"/>
  <c r="BD603" i="2"/>
  <c r="BD601" i="2"/>
  <c r="BD599" i="2"/>
  <c r="BD597" i="2"/>
  <c r="BD595" i="2"/>
  <c r="BD587" i="2"/>
  <c r="BD585" i="2"/>
  <c r="BD583" i="2"/>
  <c r="BD581" i="2"/>
  <c r="BD579" i="2"/>
  <c r="BD577" i="2"/>
  <c r="BD575" i="2"/>
  <c r="BD573" i="2"/>
  <c r="BD571" i="2"/>
  <c r="BD569" i="2"/>
  <c r="BD567" i="2"/>
  <c r="BD565" i="2"/>
  <c r="BD563" i="2"/>
  <c r="BD561" i="2"/>
  <c r="BD559" i="2"/>
  <c r="BD557" i="2"/>
  <c r="BD555" i="2"/>
  <c r="BD553" i="2"/>
  <c r="BD551" i="2"/>
  <c r="BD549" i="2"/>
  <c r="BD547" i="2"/>
  <c r="BD545" i="2"/>
  <c r="BD543" i="2"/>
  <c r="BD541" i="2"/>
  <c r="BD539" i="2"/>
  <c r="BD535" i="2"/>
  <c r="BD533" i="2"/>
  <c r="BD531" i="2"/>
  <c r="BD529" i="2"/>
  <c r="BD527" i="2"/>
  <c r="BD525" i="2"/>
  <c r="BD523" i="2"/>
  <c r="BD521" i="2"/>
  <c r="BD519" i="2"/>
  <c r="BD517" i="2"/>
  <c r="BD515" i="2"/>
  <c r="BD513" i="2"/>
  <c r="BD511" i="2"/>
  <c r="BD509" i="2"/>
  <c r="BD507" i="2"/>
  <c r="BD505" i="2"/>
  <c r="BD503" i="2"/>
  <c r="BD501" i="2"/>
  <c r="BD499" i="2"/>
  <c r="BD497" i="2"/>
  <c r="BD495" i="2"/>
  <c r="BD493" i="2"/>
  <c r="BD491" i="2"/>
  <c r="BD489" i="2"/>
  <c r="BD487" i="2"/>
  <c r="BD485" i="2"/>
  <c r="BD483" i="2"/>
  <c r="BD481" i="2"/>
  <c r="BD479" i="2"/>
  <c r="BD477" i="2"/>
  <c r="BD475" i="2"/>
  <c r="BD473" i="2"/>
  <c r="BD471" i="2"/>
  <c r="BD469" i="2"/>
  <c r="BD465" i="2"/>
  <c r="BD463" i="2"/>
  <c r="BD459" i="2"/>
  <c r="BD457" i="2"/>
  <c r="BD455" i="2"/>
  <c r="BD453" i="2"/>
  <c r="BD451" i="2"/>
  <c r="BD449" i="2"/>
  <c r="BD447" i="2"/>
  <c r="BD445" i="2"/>
  <c r="BD443" i="2"/>
  <c r="BD441" i="2"/>
  <c r="BD439" i="2"/>
  <c r="BD437" i="2"/>
  <c r="BD435" i="2"/>
  <c r="BD433" i="2"/>
  <c r="BD431" i="2"/>
  <c r="BD429" i="2"/>
  <c r="BD427" i="2"/>
  <c r="BD425" i="2"/>
  <c r="BD423" i="2"/>
  <c r="BD421" i="2"/>
  <c r="BD419" i="2"/>
  <c r="BD417" i="2"/>
  <c r="BD415" i="2"/>
  <c r="BD413" i="2"/>
  <c r="BD411" i="2"/>
  <c r="BD409" i="2"/>
  <c r="BD407" i="2"/>
  <c r="BD405" i="2"/>
  <c r="BD403" i="2"/>
  <c r="BD401" i="2"/>
  <c r="BD399" i="2"/>
  <c r="BD397" i="2"/>
  <c r="BD395" i="2"/>
  <c r="BD393" i="2"/>
  <c r="BD391" i="2"/>
  <c r="BD389" i="2"/>
  <c r="BD387" i="2"/>
  <c r="BD385" i="2"/>
  <c r="BD383" i="2"/>
  <c r="BD381" i="2"/>
  <c r="BD379" i="2"/>
  <c r="BD377" i="2"/>
  <c r="BD375" i="2"/>
  <c r="BD373" i="2"/>
  <c r="BD371" i="2"/>
  <c r="BD369" i="2"/>
  <c r="BD367" i="2"/>
  <c r="BD365" i="2"/>
  <c r="BD363" i="2"/>
  <c r="BD361" i="2"/>
  <c r="BD359" i="2"/>
  <c r="BD357" i="2"/>
  <c r="BD355" i="2"/>
  <c r="BD353" i="2"/>
  <c r="BD351" i="2"/>
  <c r="BD349" i="2"/>
  <c r="BD347" i="2"/>
  <c r="BD345" i="2"/>
  <c r="BD343" i="2"/>
  <c r="BD341" i="2"/>
  <c r="BD339" i="2"/>
  <c r="BD337" i="2"/>
  <c r="BD335" i="2"/>
  <c r="BD333" i="2"/>
  <c r="BD331" i="2"/>
  <c r="BD329" i="2"/>
  <c r="BD327" i="2"/>
  <c r="BD325" i="2"/>
  <c r="BD323" i="2"/>
  <c r="BD321" i="2"/>
  <c r="BD319" i="2"/>
  <c r="BD317" i="2"/>
  <c r="BD315" i="2"/>
  <c r="BD313" i="2"/>
  <c r="BD311" i="2"/>
  <c r="BD309" i="2"/>
  <c r="BD307" i="2"/>
  <c r="BD305" i="2"/>
  <c r="BD303" i="2"/>
  <c r="BD301" i="2"/>
  <c r="BD299" i="2"/>
  <c r="BD297" i="2"/>
  <c r="BD295" i="2"/>
  <c r="BD293" i="2"/>
  <c r="BD291" i="2"/>
  <c r="BD289" i="2"/>
  <c r="BD287" i="2"/>
  <c r="BD285" i="2"/>
  <c r="BD283" i="2"/>
  <c r="BD281" i="2"/>
  <c r="BD279" i="2"/>
  <c r="BD277" i="2"/>
  <c r="BD275" i="2"/>
  <c r="BD273" i="2"/>
  <c r="BD271" i="2"/>
  <c r="BD269" i="2"/>
  <c r="BD267" i="2"/>
  <c r="BD265" i="2"/>
  <c r="BD263" i="2"/>
  <c r="BD261" i="2"/>
  <c r="BD259" i="2"/>
  <c r="BD257" i="2"/>
  <c r="BD255" i="2"/>
  <c r="BD253" i="2"/>
  <c r="BD251" i="2"/>
  <c r="BD249" i="2"/>
  <c r="BD247" i="2"/>
  <c r="BD245" i="2"/>
  <c r="BD243" i="2"/>
  <c r="BD241" i="2"/>
  <c r="BD239" i="2"/>
  <c r="BD237" i="2"/>
  <c r="BD235" i="2"/>
  <c r="BD233" i="2"/>
  <c r="BD231" i="2"/>
  <c r="BD229" i="2"/>
  <c r="BD227" i="2"/>
  <c r="BD225" i="2"/>
  <c r="BD223" i="2"/>
  <c r="BD221" i="2"/>
  <c r="BD219" i="2"/>
  <c r="BD217" i="2"/>
  <c r="BD215" i="2"/>
  <c r="BD213" i="2"/>
  <c r="BD211" i="2"/>
  <c r="BD209" i="2"/>
  <c r="BD207" i="2"/>
  <c r="BD205" i="2"/>
  <c r="BD203" i="2"/>
  <c r="BD201" i="2"/>
  <c r="BD199" i="2"/>
  <c r="BD197" i="2"/>
  <c r="BD195" i="2"/>
  <c r="BD193" i="2"/>
  <c r="BD191" i="2"/>
  <c r="BD189" i="2"/>
  <c r="BD187" i="2"/>
  <c r="BD163" i="2"/>
  <c r="BD161" i="2"/>
  <c r="BD159" i="2"/>
  <c r="BD157" i="2"/>
  <c r="BD155" i="2"/>
  <c r="BD153" i="2"/>
  <c r="BD151" i="2"/>
  <c r="BD149" i="2"/>
  <c r="BD147" i="2"/>
  <c r="BD145" i="2"/>
  <c r="BD143" i="2"/>
  <c r="BD141" i="2"/>
  <c r="BD139" i="2"/>
  <c r="BD137" i="2"/>
  <c r="BD135" i="2"/>
  <c r="BD133" i="2"/>
  <c r="BD131" i="2"/>
  <c r="BD129" i="2"/>
  <c r="BD127" i="2"/>
  <c r="BD125" i="2"/>
  <c r="BD123" i="2"/>
  <c r="BD121" i="2"/>
  <c r="BD119" i="2"/>
  <c r="BD117" i="2"/>
  <c r="BD115" i="2"/>
  <c r="BD113" i="2"/>
  <c r="BD111" i="2"/>
  <c r="BD109" i="2"/>
  <c r="BD107" i="2"/>
  <c r="BD105" i="2"/>
  <c r="BD103" i="2"/>
  <c r="BD101" i="2"/>
  <c r="BD99" i="2"/>
  <c r="BD97" i="2"/>
  <c r="BD95" i="2"/>
  <c r="BD93" i="2"/>
  <c r="BD91" i="2"/>
  <c r="BD89" i="2"/>
  <c r="BD87" i="2"/>
  <c r="BD85" i="2"/>
  <c r="BD83" i="2"/>
  <c r="BD81" i="2"/>
  <c r="BD79" i="2"/>
  <c r="BD77" i="2"/>
  <c r="BD75" i="2"/>
  <c r="BD73" i="2"/>
  <c r="BD71" i="2"/>
  <c r="BD69" i="2"/>
  <c r="BD67" i="2"/>
  <c r="BD65" i="2"/>
  <c r="BD63" i="2"/>
  <c r="BD61" i="2"/>
  <c r="BD59" i="2"/>
  <c r="BD57" i="2"/>
  <c r="BD55" i="2"/>
  <c r="BD53" i="2"/>
  <c r="BD51" i="2"/>
  <c r="BD49" i="2"/>
  <c r="BD47" i="2"/>
  <c r="BD45" i="2"/>
  <c r="BD43" i="2"/>
  <c r="BD41" i="2"/>
  <c r="BD39" i="2"/>
  <c r="BD37" i="2"/>
  <c r="BD35" i="2"/>
  <c r="BD33" i="2"/>
  <c r="BD31" i="2"/>
  <c r="BD29" i="2"/>
  <c r="BD27" i="2"/>
  <c r="BD25" i="2"/>
  <c r="BD23" i="2"/>
  <c r="BD21" i="2"/>
  <c r="BD19" i="2"/>
  <c r="BD17" i="2"/>
  <c r="BD15" i="2"/>
  <c r="BD13" i="2"/>
  <c r="BD11" i="2"/>
  <c r="BD9" i="2"/>
  <c r="BD7" i="2"/>
  <c r="BD5" i="2"/>
  <c r="M1251" i="2"/>
  <c r="BC1251" i="2" s="1"/>
  <c r="M1249" i="2"/>
  <c r="BC1249" i="2" s="1"/>
  <c r="M1247" i="2"/>
  <c r="BC1247" i="2" s="1"/>
  <c r="M1245" i="2"/>
  <c r="BC1245" i="2" s="1"/>
  <c r="M1243" i="2"/>
  <c r="BC1243" i="2" s="1"/>
  <c r="M1241" i="2"/>
  <c r="BC1241" i="2" s="1"/>
  <c r="M1239" i="2"/>
  <c r="BC1239" i="2" s="1"/>
  <c r="M1237" i="2"/>
  <c r="BC1237" i="2" s="1"/>
  <c r="M1235" i="2"/>
  <c r="BC1235" i="2" s="1"/>
  <c r="M1233" i="2"/>
  <c r="BC1233" i="2" s="1"/>
  <c r="M1231" i="2"/>
  <c r="BC1231" i="2" s="1"/>
  <c r="M1229" i="2"/>
  <c r="BC1229" i="2" s="1"/>
  <c r="M1227" i="2"/>
  <c r="BC1227" i="2" s="1"/>
  <c r="M1225" i="2"/>
  <c r="BC1225" i="2" s="1"/>
  <c r="M1215" i="2"/>
  <c r="BC1215" i="2" s="1"/>
  <c r="M1213" i="2"/>
  <c r="BC1213" i="2" s="1"/>
  <c r="M1211" i="2"/>
  <c r="BC1211" i="2" s="1"/>
  <c r="M1209" i="2"/>
  <c r="BC1209" i="2" s="1"/>
  <c r="M1207" i="2"/>
  <c r="BC1207" i="2" s="1"/>
  <c r="M1205" i="2"/>
  <c r="BC1205" i="2" s="1"/>
  <c r="M1203" i="2"/>
  <c r="BC1203" i="2" s="1"/>
  <c r="M1201" i="2"/>
  <c r="BC1201" i="2" s="1"/>
  <c r="M1199" i="2"/>
  <c r="BC1199" i="2" s="1"/>
  <c r="M1197" i="2"/>
  <c r="BC1197" i="2" s="1"/>
  <c r="M1195" i="2"/>
  <c r="BC1195" i="2" s="1"/>
  <c r="M1193" i="2"/>
  <c r="BC1193" i="2" s="1"/>
  <c r="M1191" i="2"/>
  <c r="BC1191" i="2" s="1"/>
  <c r="M1189" i="2"/>
  <c r="BC1189" i="2" s="1"/>
  <c r="M1187" i="2"/>
  <c r="BC1187" i="2" s="1"/>
  <c r="M1185" i="2"/>
  <c r="BC1185" i="2" s="1"/>
  <c r="M1184" i="2"/>
  <c r="BC1184" i="2" s="1"/>
  <c r="M1183" i="2"/>
  <c r="BC1183" i="2" s="1"/>
  <c r="M1182" i="2"/>
  <c r="BC1182" i="2" s="1"/>
  <c r="M1181" i="2"/>
  <c r="BC1181" i="2" s="1"/>
  <c r="M1180" i="2"/>
  <c r="BC1180" i="2" s="1"/>
  <c r="M1179" i="2"/>
  <c r="BC1179" i="2" s="1"/>
  <c r="M1178" i="2"/>
  <c r="BC1178" i="2" s="1"/>
  <c r="M1177" i="2"/>
  <c r="BC1177" i="2" s="1"/>
  <c r="M1176" i="2"/>
  <c r="BC1176" i="2" s="1"/>
  <c r="M1175" i="2"/>
  <c r="BC1175" i="2" s="1"/>
  <c r="M1174" i="2"/>
  <c r="BC1174" i="2" s="1"/>
  <c r="M1173" i="2"/>
  <c r="BC1173" i="2" s="1"/>
  <c r="M1172" i="2"/>
  <c r="BC1172" i="2" s="1"/>
  <c r="M1171" i="2"/>
  <c r="BC1171" i="2" s="1"/>
  <c r="M1170" i="2"/>
  <c r="BC1170" i="2" s="1"/>
  <c r="M1169" i="2"/>
  <c r="BC1169" i="2" s="1"/>
  <c r="M1168" i="2"/>
  <c r="BC1168" i="2" s="1"/>
  <c r="M1167" i="2"/>
  <c r="BC1167" i="2" s="1"/>
  <c r="M1166" i="2"/>
  <c r="BC1166" i="2" s="1"/>
  <c r="M1165" i="2"/>
  <c r="BC1165" i="2" s="1"/>
  <c r="M1164" i="2"/>
  <c r="BC1164" i="2" s="1"/>
  <c r="M1163" i="2"/>
  <c r="BC1163" i="2" s="1"/>
  <c r="M1162" i="2"/>
  <c r="BC1162" i="2" s="1"/>
  <c r="M1161" i="2"/>
  <c r="BC1161" i="2" s="1"/>
  <c r="M1160" i="2"/>
  <c r="BC1160" i="2" s="1"/>
  <c r="M1159" i="2"/>
  <c r="BC1159" i="2" s="1"/>
  <c r="M1158" i="2"/>
  <c r="BC1158" i="2" s="1"/>
  <c r="M1157" i="2"/>
  <c r="BC1157" i="2" s="1"/>
  <c r="M1156" i="2"/>
  <c r="BC1156" i="2" s="1"/>
  <c r="M1155" i="2"/>
  <c r="BC1155" i="2" s="1"/>
  <c r="M1154" i="2"/>
  <c r="BC1154" i="2" s="1"/>
  <c r="M1153" i="2"/>
  <c r="BC1153" i="2" s="1"/>
  <c r="M1152" i="2"/>
  <c r="BC1152" i="2" s="1"/>
  <c r="M1151" i="2"/>
  <c r="BC1151" i="2" s="1"/>
  <c r="M1150" i="2"/>
  <c r="BC1150" i="2" s="1"/>
  <c r="M1149" i="2"/>
  <c r="BC1149" i="2" s="1"/>
  <c r="M1148" i="2"/>
  <c r="BC1148" i="2" s="1"/>
  <c r="M1147" i="2"/>
  <c r="BC1147" i="2" s="1"/>
  <c r="M1145" i="2"/>
  <c r="BC1145" i="2" s="1"/>
  <c r="M1144" i="2"/>
  <c r="BC1144" i="2" s="1"/>
  <c r="M1143" i="2"/>
  <c r="BC1143" i="2" s="1"/>
  <c r="M1142" i="2"/>
  <c r="BC1142" i="2" s="1"/>
  <c r="M1141" i="2"/>
  <c r="BC1141" i="2" s="1"/>
  <c r="M1140" i="2"/>
  <c r="BC1140" i="2" s="1"/>
  <c r="M1139" i="2"/>
  <c r="BC1139" i="2" s="1"/>
  <c r="M1138" i="2"/>
  <c r="BC1138" i="2" s="1"/>
  <c r="M1137" i="2"/>
  <c r="BC1137" i="2" s="1"/>
  <c r="M1133" i="2"/>
  <c r="BC1133" i="2" s="1"/>
  <c r="M1131" i="2"/>
  <c r="BC1131" i="2" s="1"/>
  <c r="M1129" i="2"/>
  <c r="BC1129" i="2" s="1"/>
  <c r="M1127" i="2"/>
  <c r="BC1127" i="2" s="1"/>
  <c r="M1125" i="2"/>
  <c r="BC1125" i="2" s="1"/>
  <c r="M1123" i="2"/>
  <c r="BC1123" i="2" s="1"/>
  <c r="M1121" i="2"/>
  <c r="BC1121" i="2" s="1"/>
  <c r="M1119" i="2"/>
  <c r="BC1119" i="2" s="1"/>
  <c r="M1117" i="2"/>
  <c r="BC1117" i="2" s="1"/>
  <c r="M1115" i="2"/>
  <c r="BC1115" i="2" s="1"/>
  <c r="M1113" i="2"/>
  <c r="BC1113" i="2" s="1"/>
  <c r="M1111" i="2"/>
  <c r="BC1111" i="2" s="1"/>
  <c r="M1109" i="2"/>
  <c r="BC1109" i="2" s="1"/>
  <c r="M1107" i="2"/>
  <c r="BC1107" i="2" s="1"/>
  <c r="M1105" i="2"/>
  <c r="BC1105" i="2" s="1"/>
  <c r="M1103" i="2"/>
  <c r="BC1103" i="2" s="1"/>
  <c r="M1101" i="2"/>
  <c r="BC1101" i="2" s="1"/>
  <c r="M1099" i="2"/>
  <c r="BC1099" i="2" s="1"/>
  <c r="M1097" i="2"/>
  <c r="BC1097" i="2" s="1"/>
  <c r="M1095" i="2"/>
  <c r="BC1095" i="2" s="1"/>
  <c r="M1093" i="2"/>
  <c r="BC1093" i="2" s="1"/>
  <c r="M1091" i="2"/>
  <c r="BC1091" i="2" s="1"/>
  <c r="M1089" i="2"/>
  <c r="BC1089" i="2" s="1"/>
  <c r="M1087" i="2"/>
  <c r="BC1087" i="2" s="1"/>
  <c r="M1085" i="2"/>
  <c r="BC1085" i="2" s="1"/>
  <c r="M1083" i="2"/>
  <c r="BC1083" i="2" s="1"/>
  <c r="M1081" i="2"/>
  <c r="BC1081" i="2" s="1"/>
  <c r="M1079" i="2"/>
  <c r="BC1079" i="2" s="1"/>
  <c r="M1077" i="2"/>
  <c r="BC1077" i="2" s="1"/>
  <c r="M1075" i="2"/>
  <c r="BC1075" i="2" s="1"/>
  <c r="M1073" i="2"/>
  <c r="BC1073" i="2" s="1"/>
  <c r="M1071" i="2"/>
  <c r="BC1071" i="2" s="1"/>
  <c r="M1069" i="2"/>
  <c r="BC1069" i="2" s="1"/>
  <c r="M1067" i="2"/>
  <c r="BC1067" i="2" s="1"/>
  <c r="M1065" i="2"/>
  <c r="BC1065" i="2" s="1"/>
  <c r="M1063" i="2"/>
  <c r="BC1063" i="2" s="1"/>
  <c r="M1061" i="2"/>
  <c r="BC1061" i="2" s="1"/>
  <c r="M1059" i="2"/>
  <c r="BC1059" i="2" s="1"/>
  <c r="M1057" i="2"/>
  <c r="BC1057" i="2" s="1"/>
  <c r="M1055" i="2"/>
  <c r="BC1055" i="2" s="1"/>
  <c r="M1053" i="2"/>
  <c r="BC1053" i="2" s="1"/>
  <c r="M1051" i="2"/>
  <c r="BC1051" i="2" s="1"/>
  <c r="M1049" i="2"/>
  <c r="BC1049" i="2" s="1"/>
  <c r="M1047" i="2"/>
  <c r="BC1047" i="2" s="1"/>
  <c r="M1045" i="2"/>
  <c r="BC1045" i="2" s="1"/>
  <c r="M1043" i="2"/>
  <c r="BC1043" i="2" s="1"/>
  <c r="M1041" i="2"/>
  <c r="BC1041" i="2" s="1"/>
  <c r="M1039" i="2"/>
  <c r="BC1039" i="2" s="1"/>
  <c r="M1037" i="2"/>
  <c r="BC1037" i="2" s="1"/>
  <c r="M1035" i="2"/>
  <c r="BC1035" i="2" s="1"/>
  <c r="M1033" i="2"/>
  <c r="BC1033" i="2" s="1"/>
  <c r="M1031" i="2"/>
  <c r="BC1031" i="2" s="1"/>
  <c r="M1029" i="2"/>
  <c r="BC1029" i="2" s="1"/>
  <c r="M1027" i="2"/>
  <c r="BC1027" i="2" s="1"/>
  <c r="M1025" i="2"/>
  <c r="BC1025" i="2" s="1"/>
  <c r="M1023" i="2"/>
  <c r="BC1023" i="2" s="1"/>
  <c r="M1021" i="2"/>
  <c r="BC1021" i="2" s="1"/>
  <c r="M1019" i="2"/>
  <c r="BC1019" i="2" s="1"/>
  <c r="M1017" i="2"/>
  <c r="BC1017" i="2" s="1"/>
  <c r="M1015" i="2"/>
  <c r="BC1015" i="2" s="1"/>
  <c r="M1013" i="2"/>
  <c r="BC1013" i="2" s="1"/>
  <c r="M1011" i="2"/>
  <c r="BC1011" i="2" s="1"/>
  <c r="M1009" i="2"/>
  <c r="BC1009" i="2" s="1"/>
  <c r="M1007" i="2"/>
  <c r="BC1007" i="2" s="1"/>
  <c r="M1005" i="2"/>
  <c r="BC1005" i="2" s="1"/>
  <c r="M1003" i="2"/>
  <c r="BC1003" i="2" s="1"/>
  <c r="M1001" i="2"/>
  <c r="BC1001" i="2" s="1"/>
  <c r="M999" i="2"/>
  <c r="BC999" i="2" s="1"/>
  <c r="M997" i="2"/>
  <c r="BC997" i="2" s="1"/>
  <c r="M995" i="2"/>
  <c r="BC995" i="2" s="1"/>
  <c r="M993" i="2"/>
  <c r="BC993" i="2" s="1"/>
  <c r="M991" i="2"/>
  <c r="BC991" i="2" s="1"/>
  <c r="M989" i="2"/>
  <c r="BC989" i="2" s="1"/>
  <c r="M987" i="2"/>
  <c r="BC987" i="2" s="1"/>
  <c r="M985" i="2"/>
  <c r="BC985" i="2" s="1"/>
  <c r="M983" i="2"/>
  <c r="BC983" i="2" s="1"/>
  <c r="M981" i="2"/>
  <c r="BC981" i="2" s="1"/>
  <c r="M979" i="2"/>
  <c r="BC979" i="2" s="1"/>
  <c r="M977" i="2"/>
  <c r="BC977" i="2" s="1"/>
  <c r="M975" i="2"/>
  <c r="BC975" i="2" s="1"/>
  <c r="M973" i="2"/>
  <c r="BC973" i="2" s="1"/>
  <c r="M971" i="2"/>
  <c r="BC971" i="2" s="1"/>
  <c r="M969" i="2"/>
  <c r="BC969" i="2" s="1"/>
  <c r="M967" i="2"/>
  <c r="BC967" i="2" s="1"/>
  <c r="M965" i="2"/>
  <c r="BC965" i="2" s="1"/>
  <c r="M963" i="2"/>
  <c r="BC963" i="2" s="1"/>
  <c r="M961" i="2"/>
  <c r="BC961" i="2" s="1"/>
  <c r="M959" i="2"/>
  <c r="BC959" i="2" s="1"/>
  <c r="M957" i="2"/>
  <c r="BC957" i="2" s="1"/>
  <c r="M955" i="2"/>
  <c r="BC955" i="2" s="1"/>
  <c r="M953" i="2"/>
  <c r="BC953" i="2" s="1"/>
  <c r="M951" i="2"/>
  <c r="BC951" i="2" s="1"/>
  <c r="M949" i="2"/>
  <c r="BC949" i="2" s="1"/>
  <c r="M947" i="2"/>
  <c r="BC947" i="2" s="1"/>
  <c r="M945" i="2"/>
  <c r="BC945" i="2" s="1"/>
  <c r="M943" i="2"/>
  <c r="BC943" i="2" s="1"/>
  <c r="M941" i="2"/>
  <c r="BC941" i="2" s="1"/>
  <c r="M939" i="2"/>
  <c r="BC939" i="2" s="1"/>
  <c r="M937" i="2"/>
  <c r="BC937" i="2" s="1"/>
  <c r="M935" i="2"/>
  <c r="BC935" i="2" s="1"/>
  <c r="M933" i="2"/>
  <c r="BC933" i="2" s="1"/>
  <c r="M931" i="2"/>
  <c r="BC931" i="2" s="1"/>
  <c r="M929" i="2"/>
  <c r="BC929" i="2" s="1"/>
  <c r="M927" i="2"/>
  <c r="BC927" i="2" s="1"/>
  <c r="M925" i="2"/>
  <c r="BC925" i="2" s="1"/>
  <c r="M923" i="2"/>
  <c r="M921" i="2"/>
  <c r="M919" i="2"/>
  <c r="M917" i="2"/>
  <c r="BC917" i="2" s="1"/>
  <c r="M915" i="2"/>
  <c r="BC915" i="2" s="1"/>
  <c r="M913" i="2"/>
  <c r="BC913" i="2" s="1"/>
  <c r="M911" i="2"/>
  <c r="BC911" i="2" s="1"/>
  <c r="M909" i="2"/>
  <c r="BC909" i="2" s="1"/>
  <c r="M907" i="2"/>
  <c r="BC907" i="2" s="1"/>
  <c r="M905" i="2"/>
  <c r="BC905" i="2" s="1"/>
  <c r="M903" i="2"/>
  <c r="BC903" i="2" s="1"/>
  <c r="M901" i="2"/>
  <c r="BC901" i="2" s="1"/>
  <c r="M899" i="2"/>
  <c r="BC899" i="2" s="1"/>
  <c r="M897" i="2"/>
  <c r="BC897" i="2" s="1"/>
  <c r="M895" i="2"/>
  <c r="BC895" i="2" s="1"/>
  <c r="M893" i="2"/>
  <c r="BC893" i="2" s="1"/>
  <c r="M891" i="2"/>
  <c r="BC891" i="2" s="1"/>
  <c r="M889" i="2"/>
  <c r="BC889" i="2" s="1"/>
  <c r="M887" i="2"/>
  <c r="BC887" i="2" s="1"/>
  <c r="M885" i="2"/>
  <c r="BC885" i="2" s="1"/>
  <c r="M883" i="2"/>
  <c r="BC883" i="2" s="1"/>
  <c r="M881" i="2"/>
  <c r="BC881" i="2" s="1"/>
  <c r="M879" i="2"/>
  <c r="BC879" i="2" s="1"/>
  <c r="M877" i="2"/>
  <c r="BC877" i="2" s="1"/>
  <c r="M875" i="2"/>
  <c r="BC875" i="2" s="1"/>
  <c r="M873" i="2"/>
  <c r="BC873" i="2" s="1"/>
  <c r="M871" i="2"/>
  <c r="BC871" i="2" s="1"/>
  <c r="M869" i="2"/>
  <c r="BC869" i="2" s="1"/>
  <c r="M867" i="2"/>
  <c r="BC867" i="2" s="1"/>
  <c r="M865" i="2"/>
  <c r="BC865" i="2" s="1"/>
  <c r="M863" i="2"/>
  <c r="BC863" i="2" s="1"/>
  <c r="M861" i="2"/>
  <c r="BC861" i="2" s="1"/>
  <c r="M859" i="2"/>
  <c r="BC859" i="2" s="1"/>
  <c r="M857" i="2"/>
  <c r="BC857" i="2" s="1"/>
  <c r="M855" i="2"/>
  <c r="BC855" i="2" s="1"/>
  <c r="M853" i="2"/>
  <c r="BC853" i="2" s="1"/>
  <c r="M851" i="2"/>
  <c r="BC851" i="2" s="1"/>
  <c r="M849" i="2"/>
  <c r="M847" i="2"/>
  <c r="M845" i="2"/>
  <c r="M843" i="2"/>
  <c r="M841" i="2"/>
  <c r="M839" i="2"/>
  <c r="M817" i="2"/>
  <c r="M815" i="2"/>
  <c r="M813" i="2"/>
  <c r="M811" i="2"/>
  <c r="M809" i="2"/>
  <c r="M807" i="2"/>
  <c r="M805" i="2"/>
  <c r="M803" i="2"/>
  <c r="M801" i="2"/>
  <c r="M799" i="2"/>
  <c r="M797" i="2"/>
  <c r="BC797" i="2" s="1"/>
  <c r="M795" i="2"/>
  <c r="M793" i="2"/>
  <c r="M791" i="2"/>
  <c r="M789" i="2"/>
  <c r="BC789" i="2" s="1"/>
  <c r="M787" i="2"/>
  <c r="M783" i="2"/>
  <c r="M781" i="2"/>
  <c r="M779" i="2"/>
  <c r="M777" i="2"/>
  <c r="M775" i="2"/>
  <c r="M773" i="2"/>
  <c r="M771" i="2"/>
  <c r="M769" i="2"/>
  <c r="M767" i="2"/>
  <c r="M765" i="2"/>
  <c r="M763" i="2"/>
  <c r="M761" i="2"/>
  <c r="M759" i="2"/>
  <c r="M757" i="2"/>
  <c r="M755" i="2"/>
  <c r="M753" i="2"/>
  <c r="M751" i="2"/>
  <c r="M749" i="2"/>
  <c r="M747" i="2"/>
  <c r="M745" i="2"/>
  <c r="M743" i="2"/>
  <c r="M741" i="2"/>
  <c r="M739" i="2"/>
  <c r="M737" i="2"/>
  <c r="M735" i="2"/>
  <c r="M733" i="2"/>
  <c r="M731" i="2"/>
  <c r="M727" i="2"/>
  <c r="M725" i="2"/>
  <c r="M723" i="2"/>
  <c r="M721" i="2"/>
  <c r="M719" i="2"/>
  <c r="M717" i="2"/>
  <c r="M715" i="2"/>
  <c r="M713" i="2"/>
  <c r="M711" i="2"/>
  <c r="M709" i="2"/>
  <c r="M707" i="2"/>
  <c r="M705" i="2"/>
  <c r="M703" i="2"/>
  <c r="M701" i="2"/>
  <c r="M699" i="2"/>
  <c r="M697" i="2"/>
  <c r="M695" i="2"/>
  <c r="M693" i="2"/>
  <c r="M691" i="2"/>
  <c r="M689" i="2"/>
  <c r="M687" i="2"/>
  <c r="M685" i="2"/>
  <c r="M683" i="2"/>
  <c r="M681" i="2"/>
  <c r="M679" i="2"/>
  <c r="M677" i="2"/>
  <c r="M675" i="2"/>
  <c r="M673" i="2"/>
  <c r="M671" i="2"/>
  <c r="M669" i="2"/>
  <c r="M667" i="2"/>
  <c r="M665" i="2"/>
  <c r="M663" i="2"/>
  <c r="M661" i="2"/>
  <c r="M659" i="2"/>
  <c r="M657" i="2"/>
  <c r="M655" i="2"/>
  <c r="M651" i="2"/>
  <c r="M649" i="2"/>
  <c r="M647" i="2"/>
  <c r="M645" i="2"/>
  <c r="M643" i="2"/>
  <c r="M641" i="2"/>
  <c r="M639" i="2"/>
  <c r="M637" i="2"/>
  <c r="M635" i="2"/>
  <c r="M633" i="2"/>
  <c r="M631" i="2"/>
  <c r="M629" i="2"/>
  <c r="M627" i="2"/>
  <c r="M625" i="2"/>
  <c r="M623" i="2"/>
  <c r="M621" i="2"/>
  <c r="M619" i="2"/>
  <c r="M617" i="2"/>
  <c r="M615" i="2"/>
  <c r="M613" i="2"/>
  <c r="M611" i="2"/>
  <c r="M607" i="2"/>
  <c r="M605" i="2"/>
  <c r="M603" i="2"/>
  <c r="M601" i="2"/>
  <c r="M599" i="2"/>
  <c r="M597" i="2"/>
  <c r="M595" i="2"/>
  <c r="M593" i="2"/>
  <c r="M592" i="2"/>
  <c r="M591" i="2"/>
  <c r="M590" i="2"/>
  <c r="M589" i="2"/>
  <c r="M588" i="2"/>
  <c r="M587" i="2"/>
  <c r="M586" i="2"/>
  <c r="M585" i="2"/>
  <c r="M583" i="2"/>
  <c r="M581" i="2"/>
  <c r="M579" i="2"/>
  <c r="M577" i="2"/>
  <c r="M575" i="2"/>
  <c r="M573" i="2"/>
  <c r="M571" i="2"/>
  <c r="M569" i="2"/>
  <c r="M567" i="2"/>
  <c r="M565" i="2"/>
  <c r="M563" i="2"/>
  <c r="M561" i="2"/>
  <c r="M559" i="2"/>
  <c r="M557" i="2"/>
  <c r="M555" i="2"/>
  <c r="M553" i="2"/>
  <c r="M551" i="2"/>
  <c r="M549" i="2"/>
  <c r="M547" i="2"/>
  <c r="M545" i="2"/>
  <c r="M543" i="2"/>
  <c r="M541" i="2"/>
  <c r="M539" i="2"/>
  <c r="M535" i="2"/>
  <c r="M533" i="2"/>
  <c r="M531" i="2"/>
  <c r="M529" i="2"/>
  <c r="M527" i="2"/>
  <c r="M525" i="2"/>
  <c r="M523" i="2"/>
  <c r="M521" i="2"/>
  <c r="M519" i="2"/>
  <c r="M517" i="2"/>
  <c r="M515" i="2"/>
  <c r="M513" i="2"/>
  <c r="M511" i="2"/>
  <c r="M509" i="2"/>
  <c r="M507" i="2"/>
  <c r="M505" i="2"/>
  <c r="M503" i="2"/>
  <c r="M501" i="2"/>
  <c r="M499" i="2"/>
  <c r="M497" i="2"/>
  <c r="M495" i="2"/>
  <c r="M493" i="2"/>
  <c r="M491" i="2"/>
  <c r="M489" i="2"/>
  <c r="M487" i="2"/>
  <c r="M485" i="2"/>
  <c r="M483" i="2"/>
  <c r="M481" i="2"/>
  <c r="M479" i="2"/>
  <c r="BC479" i="2" s="1"/>
  <c r="M477" i="2"/>
  <c r="M475" i="2"/>
  <c r="M473" i="2"/>
  <c r="M471" i="2"/>
  <c r="M469" i="2"/>
  <c r="M467" i="2"/>
  <c r="M465" i="2"/>
  <c r="M463" i="2"/>
  <c r="M461" i="2"/>
  <c r="M459" i="2"/>
  <c r="M457" i="2"/>
  <c r="M455" i="2"/>
  <c r="M453" i="2"/>
  <c r="M451" i="2"/>
  <c r="M449" i="2"/>
  <c r="M447" i="2"/>
  <c r="M445" i="2"/>
  <c r="M443" i="2"/>
  <c r="M441" i="2"/>
  <c r="M439" i="2"/>
  <c r="M437" i="2"/>
  <c r="M435" i="2"/>
  <c r="M433" i="2"/>
  <c r="M431" i="2"/>
  <c r="M429" i="2"/>
  <c r="M427" i="2"/>
  <c r="M425" i="2"/>
  <c r="M423" i="2"/>
  <c r="M421" i="2"/>
  <c r="M419" i="2"/>
  <c r="M417" i="2"/>
  <c r="M415" i="2"/>
  <c r="M413" i="2"/>
  <c r="M411" i="2"/>
  <c r="M409" i="2"/>
  <c r="M407" i="2"/>
  <c r="M405" i="2"/>
  <c r="M403" i="2"/>
  <c r="M401" i="2"/>
  <c r="M399" i="2"/>
  <c r="M397" i="2"/>
  <c r="M395" i="2"/>
  <c r="M393" i="2"/>
  <c r="M391" i="2"/>
  <c r="M389" i="2"/>
  <c r="M387" i="2"/>
  <c r="M385" i="2"/>
  <c r="M383" i="2"/>
  <c r="M381" i="2"/>
  <c r="M379" i="2"/>
  <c r="M377" i="2"/>
  <c r="M375" i="2"/>
  <c r="M373" i="2"/>
  <c r="M371" i="2"/>
  <c r="M369" i="2"/>
  <c r="M367" i="2"/>
  <c r="M365" i="2"/>
  <c r="M363" i="2"/>
  <c r="M361" i="2"/>
  <c r="M359" i="2"/>
  <c r="M357" i="2"/>
  <c r="M355" i="2"/>
  <c r="M353" i="2"/>
  <c r="M351" i="2"/>
  <c r="M349" i="2"/>
  <c r="M347" i="2"/>
  <c r="M345" i="2"/>
  <c r="M343" i="2"/>
  <c r="M341" i="2"/>
  <c r="M339" i="2"/>
  <c r="M337" i="2"/>
  <c r="M335" i="2"/>
  <c r="M333" i="2"/>
  <c r="M331" i="2"/>
  <c r="M329" i="2"/>
  <c r="M327" i="2"/>
  <c r="M325" i="2"/>
  <c r="M323" i="2"/>
  <c r="M321" i="2"/>
  <c r="M319" i="2"/>
  <c r="M317" i="2"/>
  <c r="M315" i="2"/>
  <c r="M313" i="2"/>
  <c r="M311" i="2"/>
  <c r="M309" i="2"/>
  <c r="M307" i="2"/>
  <c r="M305" i="2"/>
  <c r="M303" i="2"/>
  <c r="M301" i="2"/>
  <c r="M299" i="2"/>
  <c r="M297" i="2"/>
  <c r="M295" i="2"/>
  <c r="M293" i="2"/>
  <c r="M291" i="2"/>
  <c r="M289" i="2"/>
  <c r="M287" i="2"/>
  <c r="M285" i="2"/>
  <c r="M283" i="2"/>
  <c r="M281" i="2"/>
  <c r="M279" i="2"/>
  <c r="M277" i="2"/>
  <c r="M275" i="2"/>
  <c r="M273" i="2"/>
  <c r="M271" i="2"/>
  <c r="M269" i="2"/>
  <c r="M267" i="2"/>
  <c r="M265" i="2"/>
  <c r="M263" i="2"/>
  <c r="M261" i="2"/>
  <c r="M259" i="2"/>
  <c r="M257" i="2"/>
  <c r="M255" i="2"/>
  <c r="M253" i="2"/>
  <c r="M251" i="2"/>
  <c r="M249" i="2"/>
  <c r="M247" i="2"/>
  <c r="M245" i="2"/>
  <c r="M243" i="2"/>
  <c r="M241" i="2"/>
  <c r="M239" i="2"/>
  <c r="M237" i="2"/>
  <c r="M235" i="2"/>
  <c r="M233" i="2"/>
  <c r="M231" i="2"/>
  <c r="M229" i="2"/>
  <c r="M227" i="2"/>
  <c r="M225" i="2"/>
  <c r="M223" i="2"/>
  <c r="M221" i="2"/>
  <c r="M219" i="2"/>
  <c r="M217" i="2"/>
  <c r="M215" i="2"/>
  <c r="M213" i="2"/>
  <c r="M211" i="2"/>
  <c r="M209" i="2"/>
  <c r="M207" i="2"/>
  <c r="M205" i="2"/>
  <c r="M203" i="2"/>
  <c r="M201" i="2"/>
  <c r="M199" i="2"/>
  <c r="M197" i="2"/>
  <c r="M195" i="2"/>
  <c r="M193" i="2"/>
  <c r="M191" i="2"/>
  <c r="M189" i="2"/>
  <c r="M187" i="2"/>
  <c r="M185" i="2"/>
  <c r="M183" i="2"/>
  <c r="M181" i="2"/>
  <c r="M179" i="2"/>
  <c r="M177" i="2"/>
  <c r="M175" i="2"/>
  <c r="M173" i="2"/>
  <c r="M171" i="2"/>
  <c r="M169" i="2"/>
  <c r="M167" i="2"/>
  <c r="M165" i="2"/>
  <c r="M163" i="2"/>
  <c r="M161" i="2"/>
  <c r="M159" i="2"/>
  <c r="M157" i="2"/>
  <c r="M155" i="2"/>
  <c r="M153" i="2"/>
  <c r="M151" i="2"/>
  <c r="M149" i="2"/>
  <c r="M147" i="2"/>
  <c r="M145" i="2"/>
  <c r="M143" i="2"/>
  <c r="M141" i="2"/>
  <c r="M139" i="2"/>
  <c r="M137" i="2"/>
  <c r="M135" i="2"/>
  <c r="M133" i="2"/>
  <c r="M131" i="2"/>
  <c r="M129" i="2"/>
  <c r="M127" i="2"/>
  <c r="M125" i="2"/>
  <c r="M123" i="2"/>
  <c r="M121" i="2"/>
  <c r="M119" i="2"/>
  <c r="M117" i="2"/>
  <c r="M115" i="2"/>
  <c r="M113" i="2"/>
  <c r="M111" i="2"/>
  <c r="M109" i="2"/>
  <c r="M107" i="2"/>
  <c r="M105" i="2"/>
  <c r="M103" i="2"/>
  <c r="M101" i="2"/>
  <c r="M99" i="2"/>
  <c r="M97" i="2"/>
  <c r="M95" i="2"/>
  <c r="M93" i="2"/>
  <c r="M92" i="2"/>
  <c r="M91" i="2"/>
  <c r="M89" i="2"/>
  <c r="BC89" i="2" s="1"/>
  <c r="M87" i="2"/>
  <c r="BC87" i="2" s="1"/>
  <c r="M85" i="2"/>
  <c r="BC85" i="2" s="1"/>
  <c r="M83" i="2"/>
  <c r="BC83" i="2" s="1"/>
  <c r="M81" i="2"/>
  <c r="BC81" i="2" s="1"/>
  <c r="M79" i="2"/>
  <c r="BC79" i="2" s="1"/>
  <c r="M77" i="2"/>
  <c r="BC77" i="2" s="1"/>
  <c r="M75" i="2"/>
  <c r="BC75" i="2" s="1"/>
  <c r="M73" i="2"/>
  <c r="BC73" i="2" s="1"/>
  <c r="M71" i="2"/>
  <c r="BC71" i="2" s="1"/>
  <c r="M69" i="2"/>
  <c r="BC69" i="2" s="1"/>
  <c r="M67" i="2"/>
  <c r="BC67" i="2" s="1"/>
  <c r="M65" i="2"/>
  <c r="BC65" i="2" s="1"/>
  <c r="M63" i="2"/>
  <c r="BC63" i="2" s="1"/>
  <c r="M61" i="2"/>
  <c r="M59" i="2"/>
  <c r="M57" i="2"/>
  <c r="M55" i="2"/>
  <c r="M53" i="2"/>
  <c r="M51" i="2"/>
  <c r="M49" i="2"/>
  <c r="M47" i="2"/>
  <c r="M45" i="2"/>
  <c r="M43" i="2"/>
  <c r="M41" i="2"/>
  <c r="M39" i="2"/>
  <c r="M37" i="2"/>
  <c r="M35" i="2"/>
  <c r="M33" i="2"/>
  <c r="M31" i="2"/>
  <c r="M29" i="2"/>
  <c r="M27" i="2"/>
  <c r="M25" i="2"/>
  <c r="BC25" i="2" s="1"/>
  <c r="M23" i="2"/>
  <c r="M21" i="2"/>
  <c r="M19" i="2"/>
  <c r="M17" i="2"/>
  <c r="M15" i="2"/>
  <c r="M13" i="2"/>
  <c r="M11" i="2"/>
  <c r="M9" i="2"/>
  <c r="M7" i="2"/>
  <c r="M5" i="2"/>
  <c r="AY45" i="21416" l="1"/>
  <c r="BA45" i="21416" s="1"/>
  <c r="C51" i="21417"/>
  <c r="AW47" i="21416"/>
  <c r="AX47" i="21416"/>
  <c r="M47" i="21416" s="1"/>
  <c r="BC47" i="21416" s="1"/>
  <c r="C49" i="21416"/>
  <c r="J48" i="21416" s="1"/>
  <c r="J46" i="21416"/>
  <c r="AY47" i="21417"/>
  <c r="BA47" i="21417" s="1"/>
  <c r="BC47" i="21417"/>
  <c r="BC42" i="21415"/>
  <c r="M44" i="21415"/>
  <c r="BC44" i="21415" s="1"/>
  <c r="C48" i="21415"/>
  <c r="AW46" i="21415"/>
  <c r="AY46" i="21415" s="1"/>
  <c r="BA46" i="21415" s="1"/>
  <c r="J9" i="21414"/>
  <c r="J7" i="21414"/>
  <c r="J5" i="21414"/>
  <c r="J3" i="21414"/>
  <c r="AW6" i="2"/>
  <c r="J81" i="21414"/>
  <c r="J79" i="21414"/>
  <c r="J77" i="21414"/>
  <c r="J75" i="21414"/>
  <c r="J73" i="21414"/>
  <c r="J71" i="21414"/>
  <c r="J69" i="21414"/>
  <c r="J67" i="21414"/>
  <c r="J65" i="21414"/>
  <c r="J63" i="21414"/>
  <c r="J61" i="21414"/>
  <c r="J59" i="21414"/>
  <c r="J57" i="21414"/>
  <c r="J55" i="21414"/>
  <c r="J53" i="21414"/>
  <c r="J51" i="21414"/>
  <c r="J49" i="21414"/>
  <c r="J47" i="21414"/>
  <c r="J45" i="21414"/>
  <c r="J43" i="21414"/>
  <c r="J41" i="21414"/>
  <c r="J39" i="21414"/>
  <c r="J37" i="21414"/>
  <c r="J35" i="21414"/>
  <c r="J33" i="21414"/>
  <c r="J31" i="21414"/>
  <c r="J29" i="21414"/>
  <c r="J27" i="21414"/>
  <c r="J25" i="21414"/>
  <c r="J23" i="21414"/>
  <c r="J21" i="21414"/>
  <c r="J19" i="21414"/>
  <c r="J17" i="21414"/>
  <c r="J15" i="21414"/>
  <c r="J13" i="21414"/>
  <c r="J11" i="21414"/>
  <c r="A81" i="21414"/>
  <c r="B80" i="21414" s="1"/>
  <c r="A77" i="21414"/>
  <c r="B76" i="21414" s="1"/>
  <c r="A73" i="21414"/>
  <c r="B72" i="21414" s="1"/>
  <c r="A69" i="21414"/>
  <c r="A65" i="21414"/>
  <c r="A61" i="21414"/>
  <c r="B60" i="21414" s="1"/>
  <c r="A57" i="21414"/>
  <c r="B56" i="21414" s="1"/>
  <c r="A53" i="21414"/>
  <c r="B52" i="21414" s="1"/>
  <c r="A49" i="21414"/>
  <c r="B48" i="21414" s="1"/>
  <c r="A45" i="21414"/>
  <c r="B44" i="21414" s="1"/>
  <c r="A41" i="21414"/>
  <c r="A37" i="21414"/>
  <c r="B36" i="21414" s="1"/>
  <c r="A33" i="21414"/>
  <c r="B32" i="21414" s="1"/>
  <c r="A29" i="21414"/>
  <c r="B28" i="21414" s="1"/>
  <c r="A25" i="21414"/>
  <c r="B24" i="21414" s="1"/>
  <c r="A21" i="21414"/>
  <c r="A17" i="21414"/>
  <c r="B16" i="21414" s="1"/>
  <c r="A13" i="21414"/>
  <c r="B12" i="21414" s="1"/>
  <c r="B79" i="21414"/>
  <c r="A80" i="21414" s="1"/>
  <c r="B75" i="21414"/>
  <c r="A76" i="21414" s="1"/>
  <c r="B71" i="21414"/>
  <c r="A72" i="21414" s="1"/>
  <c r="B67" i="21414"/>
  <c r="A68" i="21414" s="1"/>
  <c r="B63" i="21414"/>
  <c r="A64" i="21414" s="1"/>
  <c r="B59" i="21414"/>
  <c r="A60" i="21414" s="1"/>
  <c r="B51" i="21414"/>
  <c r="A52" i="21414" s="1"/>
  <c r="B55" i="21414"/>
  <c r="A56" i="21414" s="1"/>
  <c r="B47" i="21414"/>
  <c r="A48" i="21414" s="1"/>
  <c r="B43" i="21414"/>
  <c r="A44" i="21414" s="1"/>
  <c r="B39" i="21414"/>
  <c r="A40" i="21414" s="1"/>
  <c r="B35" i="21414"/>
  <c r="A36" i="21414" s="1"/>
  <c r="B31" i="21414"/>
  <c r="A32" i="21414" s="1"/>
  <c r="B27" i="21414"/>
  <c r="A28" i="21414" s="1"/>
  <c r="B23" i="21414"/>
  <c r="A24" i="21414" s="1"/>
  <c r="B19" i="21414"/>
  <c r="A20" i="21414" s="1"/>
  <c r="B15" i="21414"/>
  <c r="A16" i="21414" s="1"/>
  <c r="B11" i="21414"/>
  <c r="A12" i="21414" s="1"/>
  <c r="B68" i="21414"/>
  <c r="B64" i="21414"/>
  <c r="B20" i="21414"/>
  <c r="B8" i="21414"/>
  <c r="A9" i="21414"/>
  <c r="B7" i="21414"/>
  <c r="A8" i="21414" s="1"/>
  <c r="A5" i="21414"/>
  <c r="B78" i="21414"/>
  <c r="E78" i="21414" s="1"/>
  <c r="A78" i="21414"/>
  <c r="B74" i="21414"/>
  <c r="A74" i="21414"/>
  <c r="B70" i="21414"/>
  <c r="A70" i="21414"/>
  <c r="B66" i="21414"/>
  <c r="A66" i="21414"/>
  <c r="B62" i="21414"/>
  <c r="E62" i="21414" s="1"/>
  <c r="A62" i="21414"/>
  <c r="B58" i="21414"/>
  <c r="A58" i="21414"/>
  <c r="B54" i="21414"/>
  <c r="E54" i="21414" s="1"/>
  <c r="A54" i="21414"/>
  <c r="B50" i="21414"/>
  <c r="A50" i="21414"/>
  <c r="E50" i="21414" s="1"/>
  <c r="B46" i="21414"/>
  <c r="A46" i="21414"/>
  <c r="B42" i="21414"/>
  <c r="A42" i="21414"/>
  <c r="B38" i="21414"/>
  <c r="A38" i="21414"/>
  <c r="B34" i="21414"/>
  <c r="A34" i="21414"/>
  <c r="B30" i="21414"/>
  <c r="A30" i="21414"/>
  <c r="B26" i="21414"/>
  <c r="A26" i="21414"/>
  <c r="B22" i="21414"/>
  <c r="E22" i="21414" s="1"/>
  <c r="A22" i="21414"/>
  <c r="B18" i="21414"/>
  <c r="A18" i="21414"/>
  <c r="B14" i="21414"/>
  <c r="A14" i="21414"/>
  <c r="B10" i="21414"/>
  <c r="A10" i="21414"/>
  <c r="B6" i="21414"/>
  <c r="A6" i="21414"/>
  <c r="B3" i="21414"/>
  <c r="A4" i="21414" s="1"/>
  <c r="H12" i="21414"/>
  <c r="H16" i="21414"/>
  <c r="H20" i="21414"/>
  <c r="H24" i="21414"/>
  <c r="H28" i="21414"/>
  <c r="H32" i="21414"/>
  <c r="H36" i="21414"/>
  <c r="H40" i="21414"/>
  <c r="H44" i="21414"/>
  <c r="H48" i="21414"/>
  <c r="H52" i="21414"/>
  <c r="H56" i="21414"/>
  <c r="H60" i="21414"/>
  <c r="H64" i="21414"/>
  <c r="H68" i="21414"/>
  <c r="H72" i="21414"/>
  <c r="H76" i="21414"/>
  <c r="H80" i="21414"/>
  <c r="H8" i="21414"/>
  <c r="H4" i="21414"/>
  <c r="E42" i="21414"/>
  <c r="E30" i="21414"/>
  <c r="BC135" i="2"/>
  <c r="BA135" i="2"/>
  <c r="I119" i="2"/>
  <c r="I83" i="2"/>
  <c r="I81" i="2"/>
  <c r="I49" i="2"/>
  <c r="I47" i="2"/>
  <c r="AW21" i="2"/>
  <c r="BA21" i="2"/>
  <c r="BB21" i="2"/>
  <c r="BB22" i="2"/>
  <c r="AW23" i="2"/>
  <c r="BA23" i="2"/>
  <c r="BB23" i="2"/>
  <c r="BC23" i="2"/>
  <c r="AW7" i="2"/>
  <c r="AW9" i="2"/>
  <c r="C50" i="21415" l="1"/>
  <c r="AX50" i="21415" s="1"/>
  <c r="AX48" i="21415"/>
  <c r="E18" i="21414"/>
  <c r="AX48" i="21416"/>
  <c r="AZ48" i="21416" s="1"/>
  <c r="BB48" i="21416" s="1"/>
  <c r="AW48" i="21416"/>
  <c r="AC902" i="21398"/>
  <c r="AC900" i="21398"/>
  <c r="AC904" i="21398"/>
  <c r="AY47" i="21416"/>
  <c r="BA47" i="21416" s="1"/>
  <c r="AX46" i="21416"/>
  <c r="AW46" i="21416"/>
  <c r="AZ46" i="21416" s="1"/>
  <c r="BB46" i="21416" s="1"/>
  <c r="AX49" i="21416"/>
  <c r="M49" i="21416" s="1"/>
  <c r="BC49" i="21416" s="1"/>
  <c r="C51" i="21416"/>
  <c r="AW49" i="21416"/>
  <c r="AY49" i="21417"/>
  <c r="BA49" i="21417" s="1"/>
  <c r="BC49" i="21417"/>
  <c r="J50" i="21417"/>
  <c r="C53" i="21417"/>
  <c r="M46" i="21415"/>
  <c r="AW48" i="21415"/>
  <c r="AY48" i="21415" s="1"/>
  <c r="BA48" i="21415" s="1"/>
  <c r="E74" i="21414"/>
  <c r="E66" i="21414"/>
  <c r="E58" i="21414"/>
  <c r="B40" i="21414"/>
  <c r="E38" i="21414"/>
  <c r="E34" i="21414"/>
  <c r="E26" i="21414"/>
  <c r="E14" i="21414"/>
  <c r="F6" i="2"/>
  <c r="B4" i="21414"/>
  <c r="E10" i="21414"/>
  <c r="E46" i="21414"/>
  <c r="E70" i="21414"/>
  <c r="E6" i="21414"/>
  <c r="AY49" i="21416" l="1"/>
  <c r="BA49" i="21416" s="1"/>
  <c r="BA51" i="21417"/>
  <c r="M51" i="21417"/>
  <c r="BC51" i="21417" s="1"/>
  <c r="C55" i="21417"/>
  <c r="AW50" i="21417"/>
  <c r="AX50" i="21417"/>
  <c r="AX51" i="21416"/>
  <c r="M51" i="21416" s="1"/>
  <c r="BC51" i="21416" s="1"/>
  <c r="C53" i="21416"/>
  <c r="AW51" i="21416"/>
  <c r="AY51" i="21416" s="1"/>
  <c r="BA51" i="21416" s="1"/>
  <c r="BC46" i="21415"/>
  <c r="M48" i="21415"/>
  <c r="BC48" i="21415" s="1"/>
  <c r="C52" i="21415"/>
  <c r="AX52" i="21415" s="1"/>
  <c r="AW50" i="21415"/>
  <c r="AY50" i="21415" s="1"/>
  <c r="BA50" i="21415" s="1"/>
  <c r="J5" i="2"/>
  <c r="AX5" i="2" s="1"/>
  <c r="AZ50" i="21417" l="1"/>
  <c r="BB50" i="21417" s="1"/>
  <c r="C57" i="21417"/>
  <c r="AX53" i="21416"/>
  <c r="M53" i="21416" s="1"/>
  <c r="BC53" i="21416" s="1"/>
  <c r="C55" i="21416"/>
  <c r="AW53" i="21416"/>
  <c r="AY53" i="21417"/>
  <c r="BA53" i="21417" s="1"/>
  <c r="BC53" i="21417"/>
  <c r="M50" i="21415"/>
  <c r="C54" i="21415"/>
  <c r="AX54" i="21415" s="1"/>
  <c r="AW52" i="21415"/>
  <c r="AY52" i="21415" s="1"/>
  <c r="BA52" i="21415" s="1"/>
  <c r="J5" i="21398"/>
  <c r="AX5" i="21398" s="1"/>
  <c r="AY53" i="21416" l="1"/>
  <c r="BA53" i="21416" s="1"/>
  <c r="AX57" i="21417"/>
  <c r="AW57" i="21417"/>
  <c r="C59" i="21417"/>
  <c r="I34" i="21417" s="1"/>
  <c r="Q286" i="21408" s="1"/>
  <c r="Q287" i="21408" s="1"/>
  <c r="AY55" i="21417"/>
  <c r="BA55" i="21417" s="1"/>
  <c r="BC55" i="21417"/>
  <c r="AX55" i="21416"/>
  <c r="M55" i="21416" s="1"/>
  <c r="AW55" i="21416"/>
  <c r="BC50" i="21415"/>
  <c r="M52" i="21415"/>
  <c r="BC52" i="21415" s="1"/>
  <c r="AW54" i="21415"/>
  <c r="AY54" i="21415" s="1"/>
  <c r="BA54" i="21415" s="1"/>
  <c r="C56" i="21415"/>
  <c r="F34" i="21399"/>
  <c r="A39" i="21399"/>
  <c r="A38" i="21399"/>
  <c r="A37" i="21399"/>
  <c r="AZ37" i="21399"/>
  <c r="AY37" i="21399"/>
  <c r="AX37" i="21399"/>
  <c r="AW37" i="21399"/>
  <c r="AV37" i="21399"/>
  <c r="AU37" i="21399"/>
  <c r="AT37" i="21399"/>
  <c r="AS37" i="21399"/>
  <c r="AR37" i="21399"/>
  <c r="AP37" i="21399"/>
  <c r="AO37" i="21399"/>
  <c r="AN37" i="21399"/>
  <c r="AM37" i="21399"/>
  <c r="AL37" i="21399"/>
  <c r="AK37" i="21399"/>
  <c r="AJ37" i="21399"/>
  <c r="AI37" i="21399"/>
  <c r="AH37" i="21399"/>
  <c r="AG37" i="21399"/>
  <c r="AF37" i="21399"/>
  <c r="AE37" i="21399"/>
  <c r="AD37" i="21399"/>
  <c r="AB37" i="21399"/>
  <c r="AA37" i="21399"/>
  <c r="Z37" i="21399"/>
  <c r="Y37" i="21399"/>
  <c r="X37" i="21399"/>
  <c r="W37" i="21399"/>
  <c r="V37" i="21399"/>
  <c r="U37" i="21399"/>
  <c r="T37" i="21399"/>
  <c r="S37" i="21399"/>
  <c r="R37" i="21399"/>
  <c r="Q37" i="21399"/>
  <c r="P37" i="21399"/>
  <c r="O37" i="21399"/>
  <c r="N37" i="21399"/>
  <c r="L37" i="21399"/>
  <c r="K37" i="21399"/>
  <c r="J37" i="21399"/>
  <c r="H37" i="21399"/>
  <c r="G37" i="21399"/>
  <c r="F37" i="21399"/>
  <c r="E37" i="21399"/>
  <c r="D37" i="21399"/>
  <c r="C37" i="21399"/>
  <c r="B37" i="21399"/>
  <c r="AZ36" i="21399"/>
  <c r="AV36" i="21399"/>
  <c r="AU36" i="21399"/>
  <c r="AS36" i="21399"/>
  <c r="AR36" i="21399"/>
  <c r="AQ36" i="21399"/>
  <c r="AP36" i="21399"/>
  <c r="AO36" i="21399"/>
  <c r="AN36" i="21399"/>
  <c r="AM36" i="21399"/>
  <c r="AL36" i="21399"/>
  <c r="AK36" i="21399"/>
  <c r="AJ36" i="21399"/>
  <c r="AI36" i="21399"/>
  <c r="AH36" i="21399"/>
  <c r="AG36" i="21399"/>
  <c r="AF36" i="21399"/>
  <c r="AE36" i="21399"/>
  <c r="AD36" i="21399"/>
  <c r="AB36" i="21399"/>
  <c r="AA36" i="21399"/>
  <c r="Z36" i="21399"/>
  <c r="Y36" i="21399"/>
  <c r="X36" i="21399"/>
  <c r="W36" i="21399"/>
  <c r="V36" i="21399"/>
  <c r="U36" i="21399"/>
  <c r="T36" i="21399"/>
  <c r="S36" i="21399"/>
  <c r="R36" i="21399"/>
  <c r="Q36" i="21399"/>
  <c r="P36" i="21399"/>
  <c r="O36" i="21399"/>
  <c r="N36" i="21399"/>
  <c r="L36" i="21399"/>
  <c r="K36" i="21399"/>
  <c r="J36" i="21399"/>
  <c r="I36" i="21399"/>
  <c r="H36" i="21399"/>
  <c r="G36" i="21399"/>
  <c r="F36" i="21399"/>
  <c r="E36" i="21399"/>
  <c r="D36" i="21399"/>
  <c r="B36" i="21399"/>
  <c r="A36" i="21399"/>
  <c r="BD9" i="21399"/>
  <c r="BC9" i="21399"/>
  <c r="BB9" i="21399"/>
  <c r="BA9" i="21399"/>
  <c r="AY9" i="21399"/>
  <c r="AV9" i="21399"/>
  <c r="AU9" i="21399"/>
  <c r="AT9" i="21399"/>
  <c r="AS9" i="21399"/>
  <c r="AR9" i="21399"/>
  <c r="AP9" i="21399"/>
  <c r="AO9" i="21399"/>
  <c r="AN9" i="21399"/>
  <c r="AM9" i="21399"/>
  <c r="AL9" i="21399"/>
  <c r="AK9" i="21399"/>
  <c r="AJ9" i="21399"/>
  <c r="AI9" i="21399"/>
  <c r="AH9" i="21399"/>
  <c r="AG9" i="21399"/>
  <c r="AF9" i="21399"/>
  <c r="AE9" i="21399"/>
  <c r="AD9" i="21399"/>
  <c r="AC9" i="21399"/>
  <c r="AB9" i="21399"/>
  <c r="AA9" i="21399"/>
  <c r="Z9" i="21399"/>
  <c r="Y9" i="21399"/>
  <c r="X9" i="21399"/>
  <c r="W9" i="21399"/>
  <c r="V9" i="21399"/>
  <c r="U9" i="21399"/>
  <c r="T9" i="21399"/>
  <c r="S9" i="21399"/>
  <c r="R9" i="21399"/>
  <c r="Q9" i="21399"/>
  <c r="P9" i="21399"/>
  <c r="O9" i="21399"/>
  <c r="N9" i="21399"/>
  <c r="M9" i="21399"/>
  <c r="L9" i="21399"/>
  <c r="K9" i="21399"/>
  <c r="I9" i="21399"/>
  <c r="H9" i="21399"/>
  <c r="G9" i="21399"/>
  <c r="F9" i="21399"/>
  <c r="E9" i="21399"/>
  <c r="D9" i="21399"/>
  <c r="B9" i="21399"/>
  <c r="BC8" i="21399"/>
  <c r="BB8" i="21399"/>
  <c r="BA8" i="21399"/>
  <c r="AZ8" i="21399"/>
  <c r="AV8" i="21399"/>
  <c r="AU8" i="21399"/>
  <c r="AS8" i="21399"/>
  <c r="AR8" i="21399"/>
  <c r="AQ8" i="21399"/>
  <c r="AP8" i="21399"/>
  <c r="AO8" i="21399"/>
  <c r="AN8" i="21399"/>
  <c r="AM8" i="21399"/>
  <c r="AL8" i="21399"/>
  <c r="AK8" i="21399"/>
  <c r="AJ8" i="21399"/>
  <c r="AI8" i="21399"/>
  <c r="AH8" i="21399"/>
  <c r="AG8" i="21399"/>
  <c r="AF8" i="21399"/>
  <c r="AE8" i="21399"/>
  <c r="AD8" i="21399"/>
  <c r="AB8" i="21399"/>
  <c r="AA8" i="21399"/>
  <c r="Z8" i="21399"/>
  <c r="Y8" i="21399"/>
  <c r="X8" i="21399"/>
  <c r="W8" i="21399"/>
  <c r="V8" i="21399"/>
  <c r="U8" i="21399"/>
  <c r="T8" i="21399"/>
  <c r="S8" i="21399"/>
  <c r="R8" i="21399"/>
  <c r="Q8" i="21399"/>
  <c r="P8" i="21399"/>
  <c r="O8" i="21399"/>
  <c r="N8" i="21399"/>
  <c r="L8" i="21399"/>
  <c r="K8" i="21399"/>
  <c r="J8" i="21399"/>
  <c r="I8" i="21399"/>
  <c r="H8" i="21399"/>
  <c r="G8" i="21399"/>
  <c r="F8" i="21399"/>
  <c r="E8" i="21399"/>
  <c r="D8" i="21399"/>
  <c r="B8" i="21399"/>
  <c r="A8" i="21399"/>
  <c r="BD7" i="21399"/>
  <c r="BC7" i="21399"/>
  <c r="BB7" i="21399"/>
  <c r="BA7" i="21399"/>
  <c r="AZ7" i="21399"/>
  <c r="AY7" i="21399"/>
  <c r="AX7" i="21399"/>
  <c r="AW7" i="21399"/>
  <c r="AV7" i="21399"/>
  <c r="AU7" i="21399"/>
  <c r="AT7" i="21399"/>
  <c r="AS7" i="21399"/>
  <c r="AR7" i="21399"/>
  <c r="AP7" i="21399"/>
  <c r="AO7" i="21399"/>
  <c r="AN7" i="21399"/>
  <c r="AM7" i="21399"/>
  <c r="AL7" i="21399"/>
  <c r="AK7" i="21399"/>
  <c r="AJ7" i="21399"/>
  <c r="AI7" i="21399"/>
  <c r="AH7" i="21399"/>
  <c r="AG7" i="21399"/>
  <c r="AF7" i="21399"/>
  <c r="AE7" i="21399"/>
  <c r="AD7" i="21399"/>
  <c r="AC7" i="21399"/>
  <c r="AB7" i="21399"/>
  <c r="AA7" i="21399"/>
  <c r="Z7" i="21399"/>
  <c r="Y7" i="21399"/>
  <c r="X7" i="21399"/>
  <c r="W7" i="21399"/>
  <c r="V7" i="21399"/>
  <c r="U7" i="21399"/>
  <c r="T7" i="21399"/>
  <c r="S7" i="21399"/>
  <c r="R7" i="21399"/>
  <c r="Q7" i="21399"/>
  <c r="P7" i="21399"/>
  <c r="O7" i="21399"/>
  <c r="N7" i="21399"/>
  <c r="M7" i="21399"/>
  <c r="L7" i="21399"/>
  <c r="K7" i="21399"/>
  <c r="J7" i="21399"/>
  <c r="I7" i="21399"/>
  <c r="H7" i="21399"/>
  <c r="G7" i="21399"/>
  <c r="F7" i="21399"/>
  <c r="E7" i="21399"/>
  <c r="D7" i="21399"/>
  <c r="C7" i="21399"/>
  <c r="B7" i="21399"/>
  <c r="A6" i="21399"/>
  <c r="BD45" i="21400"/>
  <c r="AV45" i="21400"/>
  <c r="AU45" i="21400"/>
  <c r="AT45" i="21400"/>
  <c r="AS45" i="21400"/>
  <c r="AR45" i="21400"/>
  <c r="AP45" i="21400"/>
  <c r="AO45" i="21400"/>
  <c r="AN45" i="21400"/>
  <c r="AM45" i="21400"/>
  <c r="AL45" i="21400"/>
  <c r="AK45" i="21400"/>
  <c r="AJ45" i="21400"/>
  <c r="AI45" i="21400"/>
  <c r="AH45" i="21400"/>
  <c r="AG45" i="21400"/>
  <c r="AF45" i="21400"/>
  <c r="AE45" i="21400"/>
  <c r="AD45" i="21400"/>
  <c r="AB45" i="21400"/>
  <c r="AA45" i="21400"/>
  <c r="Z45" i="21400"/>
  <c r="Y45" i="21400"/>
  <c r="X45" i="21400"/>
  <c r="W45" i="21400"/>
  <c r="V45" i="21400"/>
  <c r="U45" i="21400"/>
  <c r="T45" i="21400"/>
  <c r="S45" i="21400"/>
  <c r="R45" i="21400"/>
  <c r="Q45" i="21400"/>
  <c r="P45" i="21400"/>
  <c r="O45" i="21400"/>
  <c r="N45" i="21400"/>
  <c r="L45" i="21400"/>
  <c r="K45" i="21400"/>
  <c r="J45" i="21400"/>
  <c r="I45" i="21400"/>
  <c r="H45" i="21400"/>
  <c r="G45" i="21400"/>
  <c r="F45" i="21400"/>
  <c r="E45" i="21400"/>
  <c r="D45" i="21400"/>
  <c r="C45" i="21400"/>
  <c r="B45" i="21400"/>
  <c r="AV44" i="21400"/>
  <c r="AU44" i="21400"/>
  <c r="AS44" i="21400"/>
  <c r="AR44" i="21400"/>
  <c r="AQ44" i="21400"/>
  <c r="AP44" i="21400"/>
  <c r="AO44" i="21400"/>
  <c r="AN44" i="21400"/>
  <c r="AM44" i="21400"/>
  <c r="AL44" i="21400"/>
  <c r="AK44" i="21400"/>
  <c r="AJ44" i="21400"/>
  <c r="AI44" i="21400"/>
  <c r="AH44" i="21400"/>
  <c r="AG44" i="21400"/>
  <c r="AF44" i="21400"/>
  <c r="AE44" i="21400"/>
  <c r="AD44" i="21400"/>
  <c r="AB44" i="21400"/>
  <c r="AA44" i="21400"/>
  <c r="Z44" i="21400"/>
  <c r="Y44" i="21400"/>
  <c r="X44" i="21400"/>
  <c r="W44" i="21400"/>
  <c r="V44" i="21400"/>
  <c r="U44" i="21400"/>
  <c r="T44" i="21400"/>
  <c r="S44" i="21400"/>
  <c r="R44" i="21400"/>
  <c r="Q44" i="21400"/>
  <c r="P44" i="21400"/>
  <c r="O44" i="21400"/>
  <c r="N44" i="21400"/>
  <c r="L44" i="21400"/>
  <c r="K44" i="21400"/>
  <c r="J44" i="21400"/>
  <c r="I44" i="21400"/>
  <c r="H44" i="21400"/>
  <c r="G44" i="21400"/>
  <c r="F44" i="21400"/>
  <c r="E44" i="21400"/>
  <c r="D44" i="21400"/>
  <c r="B44" i="21400"/>
  <c r="BD43" i="21400"/>
  <c r="AV43" i="21400"/>
  <c r="AU43" i="21400"/>
  <c r="AT43" i="21400"/>
  <c r="AS43" i="21400"/>
  <c r="AR43" i="21400"/>
  <c r="AP43" i="21400"/>
  <c r="AO43" i="21400"/>
  <c r="AN43" i="21400"/>
  <c r="AM43" i="21400"/>
  <c r="AL43" i="21400"/>
  <c r="AK43" i="21400"/>
  <c r="AJ43" i="21400"/>
  <c r="AI43" i="21400"/>
  <c r="AH43" i="21400"/>
  <c r="AG43" i="21400"/>
  <c r="AF43" i="21400"/>
  <c r="AE43" i="21400"/>
  <c r="AD43" i="21400"/>
  <c r="AB43" i="21400"/>
  <c r="AA43" i="21400"/>
  <c r="Z43" i="21400"/>
  <c r="Y43" i="21400"/>
  <c r="X43" i="21400"/>
  <c r="W43" i="21400"/>
  <c r="V43" i="21400"/>
  <c r="U43" i="21400"/>
  <c r="T43" i="21400"/>
  <c r="S43" i="21400"/>
  <c r="R43" i="21400"/>
  <c r="Q43" i="21400"/>
  <c r="P43" i="21400"/>
  <c r="O43" i="21400"/>
  <c r="N43" i="21400"/>
  <c r="L43" i="21400"/>
  <c r="K43" i="21400"/>
  <c r="J43" i="21400"/>
  <c r="I43" i="21400"/>
  <c r="H43" i="21400"/>
  <c r="G43" i="21400"/>
  <c r="F43" i="21400"/>
  <c r="E43" i="21400"/>
  <c r="D43" i="21400"/>
  <c r="C43" i="21400"/>
  <c r="B43" i="21400"/>
  <c r="AV42" i="21400"/>
  <c r="AU42" i="21400"/>
  <c r="AS42" i="21400"/>
  <c r="AR42" i="21400"/>
  <c r="AQ42" i="21400"/>
  <c r="AP42" i="21400"/>
  <c r="AO42" i="21400"/>
  <c r="AN42" i="21400"/>
  <c r="AM42" i="21400"/>
  <c r="AL42" i="21400"/>
  <c r="AK42" i="21400"/>
  <c r="AJ42" i="21400"/>
  <c r="AI42" i="21400"/>
  <c r="AH42" i="21400"/>
  <c r="AG42" i="21400"/>
  <c r="AF42" i="21400"/>
  <c r="AE42" i="21400"/>
  <c r="AD42" i="21400"/>
  <c r="AB42" i="21400"/>
  <c r="AA42" i="21400"/>
  <c r="Z42" i="21400"/>
  <c r="Y42" i="21400"/>
  <c r="X42" i="21400"/>
  <c r="W42" i="21400"/>
  <c r="V42" i="21400"/>
  <c r="U42" i="21400"/>
  <c r="T42" i="21400"/>
  <c r="S42" i="21400"/>
  <c r="R42" i="21400"/>
  <c r="Q42" i="21400"/>
  <c r="P42" i="21400"/>
  <c r="O42" i="21400"/>
  <c r="N42" i="21400"/>
  <c r="L42" i="21400"/>
  <c r="K42" i="21400"/>
  <c r="J42" i="21400"/>
  <c r="I42" i="21400"/>
  <c r="H42" i="21400"/>
  <c r="G42" i="21400"/>
  <c r="F42" i="21400"/>
  <c r="E42" i="21400"/>
  <c r="D42" i="21400"/>
  <c r="B42" i="21400"/>
  <c r="BD41" i="21400"/>
  <c r="AV41" i="21400"/>
  <c r="AU41" i="21400"/>
  <c r="AT41" i="21400"/>
  <c r="AS41" i="21400"/>
  <c r="AR41" i="21400"/>
  <c r="AP41" i="21400"/>
  <c r="AO41" i="21400"/>
  <c r="AN41" i="21400"/>
  <c r="AM41" i="21400"/>
  <c r="AL41" i="21400"/>
  <c r="AK41" i="21400"/>
  <c r="AJ41" i="21400"/>
  <c r="AI41" i="21400"/>
  <c r="AH41" i="21400"/>
  <c r="AG41" i="21400"/>
  <c r="AF41" i="21400"/>
  <c r="AE41" i="21400"/>
  <c r="AD41" i="21400"/>
  <c r="AB41" i="21400"/>
  <c r="AA41" i="21400"/>
  <c r="Z41" i="21400"/>
  <c r="Y41" i="21400"/>
  <c r="X41" i="21400"/>
  <c r="W41" i="21400"/>
  <c r="V41" i="21400"/>
  <c r="U41" i="21400"/>
  <c r="T41" i="21400"/>
  <c r="S41" i="21400"/>
  <c r="R41" i="21400"/>
  <c r="Q41" i="21400"/>
  <c r="P41" i="21400"/>
  <c r="O41" i="21400"/>
  <c r="N41" i="21400"/>
  <c r="L41" i="21400"/>
  <c r="K41" i="21400"/>
  <c r="J41" i="21400"/>
  <c r="I41" i="21400"/>
  <c r="H41" i="21400"/>
  <c r="G41" i="21400"/>
  <c r="F41" i="21400"/>
  <c r="E41" i="21400"/>
  <c r="D41" i="21400"/>
  <c r="C41" i="21400"/>
  <c r="B41" i="21400"/>
  <c r="AV40" i="21400"/>
  <c r="AU40" i="21400"/>
  <c r="AS40" i="21400"/>
  <c r="AR40" i="21400"/>
  <c r="AQ40" i="21400"/>
  <c r="AP40" i="21400"/>
  <c r="AO40" i="21400"/>
  <c r="AN40" i="21400"/>
  <c r="AM40" i="21400"/>
  <c r="AL40" i="21400"/>
  <c r="AK40" i="21400"/>
  <c r="AJ40" i="21400"/>
  <c r="AI40" i="21400"/>
  <c r="AH40" i="21400"/>
  <c r="AG40" i="21400"/>
  <c r="AF40" i="21400"/>
  <c r="AE40" i="21400"/>
  <c r="AD40" i="21400"/>
  <c r="AB40" i="21400"/>
  <c r="AA40" i="21400"/>
  <c r="Z40" i="21400"/>
  <c r="Y40" i="21400"/>
  <c r="X40" i="21400"/>
  <c r="W40" i="21400"/>
  <c r="V40" i="21400"/>
  <c r="U40" i="21400"/>
  <c r="T40" i="21400"/>
  <c r="S40" i="21400"/>
  <c r="R40" i="21400"/>
  <c r="Q40" i="21400"/>
  <c r="P40" i="21400"/>
  <c r="O40" i="21400"/>
  <c r="N40" i="21400"/>
  <c r="L40" i="21400"/>
  <c r="K40" i="21400"/>
  <c r="J40" i="21400"/>
  <c r="I40" i="21400"/>
  <c r="H40" i="21400"/>
  <c r="G40" i="21400"/>
  <c r="F40" i="21400"/>
  <c r="E40" i="21400"/>
  <c r="D40" i="21400"/>
  <c r="B40" i="21400"/>
  <c r="BD39" i="21400"/>
  <c r="AV39" i="21400"/>
  <c r="AU39" i="21400"/>
  <c r="AT39" i="21400"/>
  <c r="AS39" i="21400"/>
  <c r="AR39" i="21400"/>
  <c r="AP39" i="21400"/>
  <c r="AO39" i="21400"/>
  <c r="AN39" i="21400"/>
  <c r="AM39" i="21400"/>
  <c r="AL39" i="21400"/>
  <c r="AK39" i="21400"/>
  <c r="AJ39" i="21400"/>
  <c r="AI39" i="21400"/>
  <c r="AH39" i="21400"/>
  <c r="AG39" i="21400"/>
  <c r="AF39" i="21400"/>
  <c r="AE39" i="21400"/>
  <c r="AD39" i="21400"/>
  <c r="AB39" i="21400"/>
  <c r="AA39" i="21400"/>
  <c r="Z39" i="21400"/>
  <c r="Y39" i="21400"/>
  <c r="X39" i="21400"/>
  <c r="W39" i="21400"/>
  <c r="V39" i="21400"/>
  <c r="U39" i="21400"/>
  <c r="T39" i="21400"/>
  <c r="S39" i="21400"/>
  <c r="R39" i="21400"/>
  <c r="Q39" i="21400"/>
  <c r="P39" i="21400"/>
  <c r="O39" i="21400"/>
  <c r="N39" i="21400"/>
  <c r="L39" i="21400"/>
  <c r="K39" i="21400"/>
  <c r="J39" i="21400"/>
  <c r="I39" i="21400"/>
  <c r="H39" i="21400"/>
  <c r="G39" i="21400"/>
  <c r="F39" i="21400"/>
  <c r="E39" i="21400"/>
  <c r="D39" i="21400"/>
  <c r="C39" i="21400"/>
  <c r="B39" i="21400"/>
  <c r="AV38" i="21400"/>
  <c r="AU38" i="21400"/>
  <c r="AS38" i="21400"/>
  <c r="AR38" i="21400"/>
  <c r="AQ38" i="21400"/>
  <c r="AP38" i="21400"/>
  <c r="AO38" i="21400"/>
  <c r="AN38" i="21400"/>
  <c r="AM38" i="21400"/>
  <c r="AL38" i="21400"/>
  <c r="AK38" i="21400"/>
  <c r="AJ38" i="21400"/>
  <c r="AI38" i="21400"/>
  <c r="AH38" i="21400"/>
  <c r="AG38" i="21400"/>
  <c r="AF38" i="21400"/>
  <c r="AE38" i="21400"/>
  <c r="AD38" i="21400"/>
  <c r="AB38" i="21400"/>
  <c r="AA38" i="21400"/>
  <c r="Z38" i="21400"/>
  <c r="Y38" i="21400"/>
  <c r="X38" i="21400"/>
  <c r="W38" i="21400"/>
  <c r="V38" i="21400"/>
  <c r="U38" i="21400"/>
  <c r="T38" i="21400"/>
  <c r="S38" i="21400"/>
  <c r="R38" i="21400"/>
  <c r="Q38" i="21400"/>
  <c r="P38" i="21400"/>
  <c r="O38" i="21400"/>
  <c r="N38" i="21400"/>
  <c r="L38" i="21400"/>
  <c r="K38" i="21400"/>
  <c r="J38" i="21400"/>
  <c r="I38" i="21400"/>
  <c r="H38" i="21400"/>
  <c r="G38" i="21400"/>
  <c r="F38" i="21400"/>
  <c r="E38" i="21400"/>
  <c r="D38" i="21400"/>
  <c r="B38" i="21400"/>
  <c r="BD37" i="21400"/>
  <c r="BD39" i="21399" s="1"/>
  <c r="AV37" i="21400"/>
  <c r="AV39" i="21399" s="1"/>
  <c r="AU37" i="21400"/>
  <c r="AU39" i="21399" s="1"/>
  <c r="AT37" i="21400"/>
  <c r="AT39" i="21399" s="1"/>
  <c r="AS37" i="21400"/>
  <c r="AS39" i="21399" s="1"/>
  <c r="AR37" i="21400"/>
  <c r="AR39" i="21399" s="1"/>
  <c r="AP37" i="21400"/>
  <c r="AP39" i="21399" s="1"/>
  <c r="AO37" i="21400"/>
  <c r="AO39" i="21399" s="1"/>
  <c r="AN37" i="21400"/>
  <c r="AN39" i="21399" s="1"/>
  <c r="AM37" i="21400"/>
  <c r="AM39" i="21399" s="1"/>
  <c r="AL37" i="21400"/>
  <c r="AL39" i="21399" s="1"/>
  <c r="AK37" i="21400"/>
  <c r="AK39" i="21399" s="1"/>
  <c r="AJ37" i="21400"/>
  <c r="AJ39" i="21399" s="1"/>
  <c r="AI37" i="21400"/>
  <c r="AI39" i="21399" s="1"/>
  <c r="AH37" i="21400"/>
  <c r="AH39" i="21399" s="1"/>
  <c r="AG37" i="21400"/>
  <c r="AG39" i="21399" s="1"/>
  <c r="AF37" i="21400"/>
  <c r="AF39" i="21399" s="1"/>
  <c r="AE37" i="21400"/>
  <c r="AE39" i="21399" s="1"/>
  <c r="AD37" i="21400"/>
  <c r="AD39" i="21399" s="1"/>
  <c r="AB37" i="21400"/>
  <c r="AB39" i="21399" s="1"/>
  <c r="AA37" i="21400"/>
  <c r="AA39" i="21399" s="1"/>
  <c r="Z37" i="21400"/>
  <c r="Z39" i="21399" s="1"/>
  <c r="Y37" i="21400"/>
  <c r="Y39" i="21399" s="1"/>
  <c r="X37" i="21400"/>
  <c r="X39" i="21399" s="1"/>
  <c r="W37" i="21400"/>
  <c r="W39" i="21399" s="1"/>
  <c r="V37" i="21400"/>
  <c r="V39" i="21399" s="1"/>
  <c r="U37" i="21400"/>
  <c r="U39" i="21399" s="1"/>
  <c r="T37" i="21400"/>
  <c r="T39" i="21399" s="1"/>
  <c r="S37" i="21400"/>
  <c r="S39" i="21399" s="1"/>
  <c r="R37" i="21400"/>
  <c r="R39" i="21399" s="1"/>
  <c r="Q37" i="21400"/>
  <c r="Q39" i="21399" s="1"/>
  <c r="P37" i="21400"/>
  <c r="P39" i="21399" s="1"/>
  <c r="O37" i="21400"/>
  <c r="O39" i="21399" s="1"/>
  <c r="N37" i="21400"/>
  <c r="N39" i="21399" s="1"/>
  <c r="L37" i="21400"/>
  <c r="L39" i="21399" s="1"/>
  <c r="K37" i="21400"/>
  <c r="K39" i="21399" s="1"/>
  <c r="I37" i="21400"/>
  <c r="I39" i="21399" s="1"/>
  <c r="H37" i="21400"/>
  <c r="H39" i="21399" s="1"/>
  <c r="G37" i="21400"/>
  <c r="G39" i="21399" s="1"/>
  <c r="F37" i="21400"/>
  <c r="F39" i="21399" s="1"/>
  <c r="E37" i="21400"/>
  <c r="E39" i="21399" s="1"/>
  <c r="D37" i="21400"/>
  <c r="D39" i="21399" s="1"/>
  <c r="C37" i="21400"/>
  <c r="C39" i="21399" s="1"/>
  <c r="B37" i="21400"/>
  <c r="B39" i="21399" s="1"/>
  <c r="AV36" i="21400"/>
  <c r="AV38" i="21399" s="1"/>
  <c r="AU36" i="21400"/>
  <c r="AU38" i="21399" s="1"/>
  <c r="AS36" i="21400"/>
  <c r="AS38" i="21399" s="1"/>
  <c r="AR36" i="21400"/>
  <c r="AR38" i="21399" s="1"/>
  <c r="AQ36" i="21400"/>
  <c r="AQ38" i="21399" s="1"/>
  <c r="AP36" i="21400"/>
  <c r="AP38" i="21399" s="1"/>
  <c r="AO36" i="21400"/>
  <c r="AO38" i="21399" s="1"/>
  <c r="AN36" i="21400"/>
  <c r="AN38" i="21399" s="1"/>
  <c r="AM36" i="21400"/>
  <c r="AM38" i="21399" s="1"/>
  <c r="AL36" i="21400"/>
  <c r="AL38" i="21399" s="1"/>
  <c r="AK36" i="21400"/>
  <c r="AK38" i="21399" s="1"/>
  <c r="AJ36" i="21400"/>
  <c r="AJ38" i="21399" s="1"/>
  <c r="AI36" i="21400"/>
  <c r="AI38" i="21399" s="1"/>
  <c r="AH36" i="21400"/>
  <c r="AH38" i="21399" s="1"/>
  <c r="AG36" i="21400"/>
  <c r="AG38" i="21399" s="1"/>
  <c r="AF36" i="21400"/>
  <c r="AF38" i="21399" s="1"/>
  <c r="AE36" i="21400"/>
  <c r="AE38" i="21399" s="1"/>
  <c r="AD36" i="21400"/>
  <c r="AD38" i="21399" s="1"/>
  <c r="AB36" i="21400"/>
  <c r="AB38" i="21399" s="1"/>
  <c r="AA36" i="21400"/>
  <c r="AA38" i="21399" s="1"/>
  <c r="Z36" i="21400"/>
  <c r="Z38" i="21399" s="1"/>
  <c r="Y36" i="21400"/>
  <c r="Y38" i="21399" s="1"/>
  <c r="X36" i="21400"/>
  <c r="X38" i="21399" s="1"/>
  <c r="W36" i="21400"/>
  <c r="W38" i="21399" s="1"/>
  <c r="V36" i="21400"/>
  <c r="U36" i="21400"/>
  <c r="U38" i="21399" s="1"/>
  <c r="T36" i="21400"/>
  <c r="T38" i="21399" s="1"/>
  <c r="S36" i="21400"/>
  <c r="S38" i="21399" s="1"/>
  <c r="R36" i="21400"/>
  <c r="R38" i="21399" s="1"/>
  <c r="Q36" i="21400"/>
  <c r="Q38" i="21399" s="1"/>
  <c r="P36" i="21400"/>
  <c r="P38" i="21399" s="1"/>
  <c r="O36" i="21400"/>
  <c r="O38" i="21399" s="1"/>
  <c r="N36" i="21400"/>
  <c r="N38" i="21399" s="1"/>
  <c r="L36" i="21400"/>
  <c r="L38" i="21399" s="1"/>
  <c r="K36" i="21400"/>
  <c r="K38" i="21399" s="1"/>
  <c r="J36" i="21400"/>
  <c r="J38" i="21399" s="1"/>
  <c r="I36" i="21400"/>
  <c r="I38" i="21399" s="1"/>
  <c r="H36" i="21400"/>
  <c r="H38" i="21399" s="1"/>
  <c r="G36" i="21400"/>
  <c r="F36" i="21400"/>
  <c r="E36" i="21400"/>
  <c r="E38" i="21399" s="1"/>
  <c r="D36" i="21400"/>
  <c r="D38" i="21399" s="1"/>
  <c r="B36" i="21400"/>
  <c r="B38" i="21399" s="1"/>
  <c r="AV12" i="21400"/>
  <c r="AV6" i="21399" s="1"/>
  <c r="AU12" i="21400"/>
  <c r="AU6" i="21399" s="1"/>
  <c r="AS12" i="21400"/>
  <c r="AS6" i="21399" s="1"/>
  <c r="AR12" i="21400"/>
  <c r="AR6" i="21399" s="1"/>
  <c r="AQ12" i="21400"/>
  <c r="AQ6" i="21399" s="1"/>
  <c r="AP12" i="21400"/>
  <c r="AP6" i="21399" s="1"/>
  <c r="AO12" i="21400"/>
  <c r="AO6" i="21399" s="1"/>
  <c r="AN12" i="21400"/>
  <c r="AN6" i="21399" s="1"/>
  <c r="AM12" i="21400"/>
  <c r="AM6" i="21399" s="1"/>
  <c r="AL12" i="21400"/>
  <c r="AL6" i="21399" s="1"/>
  <c r="AK12" i="21400"/>
  <c r="AK6" i="21399" s="1"/>
  <c r="AJ12" i="21400"/>
  <c r="AJ6" i="21399" s="1"/>
  <c r="AI12" i="21400"/>
  <c r="AI6" i="21399" s="1"/>
  <c r="AH12" i="21400"/>
  <c r="AH6" i="21399" s="1"/>
  <c r="AG12" i="21400"/>
  <c r="AG6" i="21399" s="1"/>
  <c r="AF12" i="21400"/>
  <c r="AF6" i="21399" s="1"/>
  <c r="AE12" i="21400"/>
  <c r="AE6" i="21399" s="1"/>
  <c r="AD12" i="21400"/>
  <c r="AD6" i="21399" s="1"/>
  <c r="AB12" i="21400"/>
  <c r="AB6" i="21399" s="1"/>
  <c r="AA12" i="21400"/>
  <c r="AA6" i="21399" s="1"/>
  <c r="Z12" i="21400"/>
  <c r="Z6" i="21399" s="1"/>
  <c r="Y12" i="21400"/>
  <c r="Y6" i="21399" s="1"/>
  <c r="X12" i="21400"/>
  <c r="X6" i="21399" s="1"/>
  <c r="W12" i="21400"/>
  <c r="W6" i="21399" s="1"/>
  <c r="V12" i="21400"/>
  <c r="V6" i="21399" s="1"/>
  <c r="U12" i="21400"/>
  <c r="T12" i="21400"/>
  <c r="S12" i="21400"/>
  <c r="S6" i="21399" s="1"/>
  <c r="R12" i="21400"/>
  <c r="R6" i="21399" s="1"/>
  <c r="Q12" i="21400"/>
  <c r="Q6" i="21399" s="1"/>
  <c r="P12" i="21400"/>
  <c r="P6" i="21399" s="1"/>
  <c r="O12" i="21400"/>
  <c r="O6" i="21399" s="1"/>
  <c r="N12" i="21400"/>
  <c r="N6" i="21399" s="1"/>
  <c r="L12" i="21400"/>
  <c r="L6" i="21399" s="1"/>
  <c r="K12" i="21400"/>
  <c r="K6" i="21399" s="1"/>
  <c r="J12" i="21400"/>
  <c r="J6" i="21399" s="1"/>
  <c r="I12" i="21400"/>
  <c r="I6" i="21399" s="1"/>
  <c r="H12" i="21400"/>
  <c r="H6" i="21399" s="1"/>
  <c r="G12" i="21400"/>
  <c r="G6" i="21399" s="1"/>
  <c r="F12" i="21400"/>
  <c r="F6" i="21399" s="1"/>
  <c r="E12" i="21400"/>
  <c r="E6" i="21399" s="1"/>
  <c r="D12" i="21400"/>
  <c r="D6" i="21399" s="1"/>
  <c r="B12" i="21400"/>
  <c r="B6" i="21399" s="1"/>
  <c r="BD11" i="21400"/>
  <c r="BD5" i="21399" s="1"/>
  <c r="AV11" i="21400"/>
  <c r="AV5" i="21399" s="1"/>
  <c r="AU11" i="21400"/>
  <c r="AU5" i="21399" s="1"/>
  <c r="AT11" i="21400"/>
  <c r="AT5" i="21399" s="1"/>
  <c r="AS11" i="21400"/>
  <c r="AS5" i="21399" s="1"/>
  <c r="AR11" i="21400"/>
  <c r="AR5" i="21399" s="1"/>
  <c r="AP11" i="21400"/>
  <c r="AP5" i="21399" s="1"/>
  <c r="AO11" i="21400"/>
  <c r="AO5" i="21399" s="1"/>
  <c r="AN11" i="21400"/>
  <c r="AN5" i="21399" s="1"/>
  <c r="AM11" i="21400"/>
  <c r="AM5" i="21399" s="1"/>
  <c r="AL11" i="21400"/>
  <c r="AL5" i="21399" s="1"/>
  <c r="AK11" i="21400"/>
  <c r="AK5" i="21399" s="1"/>
  <c r="AJ11" i="21400"/>
  <c r="AJ5" i="21399" s="1"/>
  <c r="AI11" i="21400"/>
  <c r="AI5" i="21399" s="1"/>
  <c r="AH11" i="21400"/>
  <c r="AH5" i="21399" s="1"/>
  <c r="AG11" i="21400"/>
  <c r="AG5" i="21399" s="1"/>
  <c r="AF11" i="21400"/>
  <c r="AF5" i="21399" s="1"/>
  <c r="AE11" i="21400"/>
  <c r="AE5" i="21399" s="1"/>
  <c r="AD11" i="21400"/>
  <c r="AD5" i="21399" s="1"/>
  <c r="AB11" i="21400"/>
  <c r="AB5" i="21399" s="1"/>
  <c r="AA11" i="21400"/>
  <c r="AA5" i="21399" s="1"/>
  <c r="Z11" i="21400"/>
  <c r="Z5" i="21399" s="1"/>
  <c r="Y11" i="21400"/>
  <c r="Y5" i="21399" s="1"/>
  <c r="X11" i="21400"/>
  <c r="X5" i="21399" s="1"/>
  <c r="W11" i="21400"/>
  <c r="W5" i="21399" s="1"/>
  <c r="V11" i="21400"/>
  <c r="V5" i="21399" s="1"/>
  <c r="U11" i="21400"/>
  <c r="U5" i="21399" s="1"/>
  <c r="T11" i="21400"/>
  <c r="T5" i="21399" s="1"/>
  <c r="S11" i="21400"/>
  <c r="S5" i="21399" s="1"/>
  <c r="R11" i="21400"/>
  <c r="R5" i="21399" s="1"/>
  <c r="Q11" i="21400"/>
  <c r="Q5" i="21399" s="1"/>
  <c r="P11" i="21400"/>
  <c r="P5" i="21399" s="1"/>
  <c r="O11" i="21400"/>
  <c r="O5" i="21399" s="1"/>
  <c r="N11" i="21400"/>
  <c r="N5" i="21399" s="1"/>
  <c r="L11" i="21400"/>
  <c r="L5" i="21399" s="1"/>
  <c r="K11" i="21400"/>
  <c r="K5" i="21399" s="1"/>
  <c r="I11" i="21400"/>
  <c r="I5" i="21399" s="1"/>
  <c r="H11" i="21400"/>
  <c r="H5" i="21399" s="1"/>
  <c r="G11" i="21400"/>
  <c r="G5" i="21399" s="1"/>
  <c r="F11" i="21400"/>
  <c r="F5" i="21399" s="1"/>
  <c r="E11" i="21400"/>
  <c r="E5" i="21399" s="1"/>
  <c r="D11" i="21400"/>
  <c r="D5" i="21399" s="1"/>
  <c r="C11" i="21400"/>
  <c r="C5" i="21399" s="1"/>
  <c r="B11" i="21400"/>
  <c r="B5" i="21399" s="1"/>
  <c r="AV10" i="21400"/>
  <c r="AU10" i="21400"/>
  <c r="AS10" i="21400"/>
  <c r="AR10" i="21400"/>
  <c r="AQ10" i="21400"/>
  <c r="AP10" i="21400"/>
  <c r="AO10" i="21400"/>
  <c r="AN10" i="21400"/>
  <c r="AM10" i="21400"/>
  <c r="AL10" i="21400"/>
  <c r="AK10" i="21400"/>
  <c r="AJ10" i="21400"/>
  <c r="AI10" i="21400"/>
  <c r="AH10" i="21400"/>
  <c r="AG10" i="21400"/>
  <c r="AF10" i="21400"/>
  <c r="AE10" i="21400"/>
  <c r="AD10" i="21400"/>
  <c r="AB10" i="21400"/>
  <c r="AA10" i="21400"/>
  <c r="Z10" i="21400"/>
  <c r="Y10" i="21400"/>
  <c r="X10" i="21400"/>
  <c r="W10" i="21400"/>
  <c r="V10" i="21400"/>
  <c r="U10" i="21400"/>
  <c r="T10" i="21400"/>
  <c r="S10" i="21400"/>
  <c r="R10" i="21400"/>
  <c r="Q10" i="21400"/>
  <c r="P10" i="21400"/>
  <c r="O10" i="21400"/>
  <c r="N10" i="21400"/>
  <c r="L10" i="21400"/>
  <c r="K10" i="21400"/>
  <c r="J10" i="21400"/>
  <c r="I10" i="21400"/>
  <c r="H10" i="21400"/>
  <c r="G10" i="21400"/>
  <c r="F10" i="21400"/>
  <c r="E10" i="21400"/>
  <c r="D10" i="21400"/>
  <c r="B10" i="21400"/>
  <c r="BD9" i="21400"/>
  <c r="AV9" i="21400"/>
  <c r="AU9" i="21400"/>
  <c r="AT9" i="21400"/>
  <c r="AS9" i="21400"/>
  <c r="AR9" i="21400"/>
  <c r="AP9" i="21400"/>
  <c r="AO9" i="21400"/>
  <c r="AN9" i="21400"/>
  <c r="AM9" i="21400"/>
  <c r="AL9" i="21400"/>
  <c r="AK9" i="21400"/>
  <c r="AJ9" i="21400"/>
  <c r="AI9" i="21400"/>
  <c r="AH9" i="21400"/>
  <c r="AG9" i="21400"/>
  <c r="AF9" i="21400"/>
  <c r="AE9" i="21400"/>
  <c r="AD9" i="21400"/>
  <c r="AC9" i="21400"/>
  <c r="AB9" i="21400"/>
  <c r="AA9" i="21400"/>
  <c r="Z9" i="21400"/>
  <c r="Y9" i="21400"/>
  <c r="X9" i="21400"/>
  <c r="W9" i="21400"/>
  <c r="V9" i="21400"/>
  <c r="U9" i="21400"/>
  <c r="T9" i="21400"/>
  <c r="S9" i="21400"/>
  <c r="R9" i="21400"/>
  <c r="Q9" i="21400"/>
  <c r="P9" i="21400"/>
  <c r="O9" i="21400"/>
  <c r="N9" i="21400"/>
  <c r="L9" i="21400"/>
  <c r="K9" i="21400"/>
  <c r="I9" i="21400"/>
  <c r="H9" i="21400"/>
  <c r="G9" i="21400"/>
  <c r="F9" i="21400"/>
  <c r="E9" i="21400"/>
  <c r="D9" i="21400"/>
  <c r="B9" i="21400"/>
  <c r="AV8" i="21400"/>
  <c r="AU8" i="21400"/>
  <c r="AS8" i="21400"/>
  <c r="AR8" i="21400"/>
  <c r="AQ8" i="21400"/>
  <c r="AP8" i="21400"/>
  <c r="AO8" i="21400"/>
  <c r="AN8" i="21400"/>
  <c r="AM8" i="21400"/>
  <c r="AL8" i="21400"/>
  <c r="AK8" i="21400"/>
  <c r="AJ8" i="21400"/>
  <c r="AI8" i="21400"/>
  <c r="AH8" i="21400"/>
  <c r="AG8" i="21400"/>
  <c r="AF8" i="21400"/>
  <c r="AE8" i="21400"/>
  <c r="AD8" i="21400"/>
  <c r="AC8" i="21400"/>
  <c r="AB8" i="21400"/>
  <c r="AA8" i="21400"/>
  <c r="Z8" i="21400"/>
  <c r="Y8" i="21400"/>
  <c r="X8" i="21400"/>
  <c r="W8" i="21400"/>
  <c r="V8" i="21400"/>
  <c r="U8" i="21400"/>
  <c r="T8" i="21400"/>
  <c r="S8" i="21400"/>
  <c r="R8" i="21400"/>
  <c r="Q8" i="21400"/>
  <c r="P8" i="21400"/>
  <c r="O8" i="21400"/>
  <c r="N8" i="21400"/>
  <c r="L8" i="21400"/>
  <c r="K8" i="21400"/>
  <c r="J8" i="21400"/>
  <c r="I8" i="21400"/>
  <c r="H8" i="21400"/>
  <c r="G8" i="21400"/>
  <c r="F8" i="21400"/>
  <c r="E8" i="21400"/>
  <c r="D8" i="21400"/>
  <c r="B8" i="21400"/>
  <c r="BD7" i="21400"/>
  <c r="AV7" i="21400"/>
  <c r="AU7" i="21400"/>
  <c r="AT7" i="21400"/>
  <c r="AS7" i="21400"/>
  <c r="AR7" i="21400"/>
  <c r="AP7" i="21400"/>
  <c r="AO7" i="21400"/>
  <c r="AN7" i="21400"/>
  <c r="AM7" i="21400"/>
  <c r="AL7" i="21400"/>
  <c r="AK7" i="21400"/>
  <c r="AJ7" i="21400"/>
  <c r="AI7" i="21400"/>
  <c r="AH7" i="21400"/>
  <c r="AG7" i="21400"/>
  <c r="AF7" i="21400"/>
  <c r="AE7" i="21400"/>
  <c r="AD7" i="21400"/>
  <c r="AC7" i="21400"/>
  <c r="AB7" i="21400"/>
  <c r="AA7" i="21400"/>
  <c r="Z7" i="21400"/>
  <c r="Y7" i="21400"/>
  <c r="X7" i="21400"/>
  <c r="W7" i="21400"/>
  <c r="V7" i="21400"/>
  <c r="U7" i="21400"/>
  <c r="T7" i="21400"/>
  <c r="S7" i="21400"/>
  <c r="R7" i="21400"/>
  <c r="Q7" i="21400"/>
  <c r="P7" i="21400"/>
  <c r="O7" i="21400"/>
  <c r="N7" i="21400"/>
  <c r="L7" i="21400"/>
  <c r="K7" i="21400"/>
  <c r="J7" i="21400"/>
  <c r="I7" i="21400"/>
  <c r="H7" i="21400"/>
  <c r="G7" i="21400"/>
  <c r="F7" i="21400"/>
  <c r="E7" i="21400"/>
  <c r="D7" i="21400"/>
  <c r="C7" i="21400"/>
  <c r="B7" i="21400"/>
  <c r="AV6" i="21400"/>
  <c r="AU6" i="21400"/>
  <c r="AS6" i="21400"/>
  <c r="AR6" i="21400"/>
  <c r="AQ6" i="21400"/>
  <c r="AP6" i="21400"/>
  <c r="AO6" i="21400"/>
  <c r="AN6" i="21400"/>
  <c r="AM6" i="21400"/>
  <c r="AL6" i="21400"/>
  <c r="AK6" i="21400"/>
  <c r="AJ6" i="21400"/>
  <c r="AI6" i="21400"/>
  <c r="AH6" i="21400"/>
  <c r="AG6" i="21400"/>
  <c r="AF6" i="21400"/>
  <c r="AE6" i="21400"/>
  <c r="AD6" i="21400"/>
  <c r="AB6" i="21400"/>
  <c r="AA6" i="21400"/>
  <c r="Z6" i="21400"/>
  <c r="Y6" i="21400"/>
  <c r="X6" i="21400"/>
  <c r="W6" i="21400"/>
  <c r="V6" i="21400"/>
  <c r="U6" i="21400"/>
  <c r="T6" i="21400"/>
  <c r="S6" i="21400"/>
  <c r="R6" i="21400"/>
  <c r="Q6" i="21400"/>
  <c r="P6" i="21400"/>
  <c r="O6" i="21400"/>
  <c r="N6" i="21400"/>
  <c r="L6" i="21400"/>
  <c r="K6" i="21400"/>
  <c r="J6" i="21400"/>
  <c r="I6" i="21400"/>
  <c r="H6" i="21400"/>
  <c r="G6" i="21400"/>
  <c r="F6" i="21400"/>
  <c r="E6" i="21400"/>
  <c r="D6" i="21400"/>
  <c r="B6" i="21400"/>
  <c r="AV56" i="21413"/>
  <c r="AU56" i="21413"/>
  <c r="AS56" i="21413"/>
  <c r="AR56" i="21413"/>
  <c r="AQ56" i="21413"/>
  <c r="AP56" i="21413"/>
  <c r="AO56" i="21413"/>
  <c r="AL56" i="21413"/>
  <c r="AK56" i="21413"/>
  <c r="AJ56" i="21413"/>
  <c r="AI56" i="21413"/>
  <c r="AH56" i="21413"/>
  <c r="AG56" i="21413"/>
  <c r="AF56" i="21413"/>
  <c r="AE56" i="21413"/>
  <c r="AD56" i="21413"/>
  <c r="AB56" i="21413"/>
  <c r="AA56" i="21413"/>
  <c r="Z56" i="21413"/>
  <c r="Y56" i="21413"/>
  <c r="X56" i="21413"/>
  <c r="W56" i="21413"/>
  <c r="V56" i="21413"/>
  <c r="U56" i="21413"/>
  <c r="T56" i="21413"/>
  <c r="S56" i="21413"/>
  <c r="R56" i="21413"/>
  <c r="Q56" i="21413"/>
  <c r="P56" i="21413"/>
  <c r="O56" i="21413"/>
  <c r="N56" i="21413"/>
  <c r="K56" i="21413"/>
  <c r="J56" i="21413"/>
  <c r="I56" i="21413"/>
  <c r="H56" i="21413"/>
  <c r="G56" i="21413"/>
  <c r="F56" i="21413"/>
  <c r="E56" i="21413"/>
  <c r="D56" i="21413"/>
  <c r="B56" i="21413"/>
  <c r="A56" i="21413"/>
  <c r="C8" i="21413"/>
  <c r="AQ13" i="21400"/>
  <c r="AT14" i="21400"/>
  <c r="C58" i="21415" l="1"/>
  <c r="AX56" i="21415"/>
  <c r="AC14" i="21400"/>
  <c r="AC8" i="21399" s="1"/>
  <c r="AT8" i="21399"/>
  <c r="AQ7" i="21399"/>
  <c r="C10" i="21413"/>
  <c r="AW8" i="21413"/>
  <c r="AX8" i="21413"/>
  <c r="U6" i="21399"/>
  <c r="I25" i="21400"/>
  <c r="I27" i="21400"/>
  <c r="AX59" i="21417"/>
  <c r="AW59" i="21417"/>
  <c r="P62" i="21408"/>
  <c r="BC55" i="21416"/>
  <c r="N71" i="21402"/>
  <c r="P83" i="21408"/>
  <c r="P171" i="21408"/>
  <c r="P280" i="21408"/>
  <c r="P217" i="21408"/>
  <c r="P233" i="21408"/>
  <c r="P226" i="21408"/>
  <c r="P225" i="21408"/>
  <c r="N20" i="21402"/>
  <c r="P118" i="21408"/>
  <c r="N19" i="21402"/>
  <c r="P20" i="21408"/>
  <c r="P46" i="21408"/>
  <c r="P263" i="21408"/>
  <c r="P326" i="21408"/>
  <c r="N3" i="21402"/>
  <c r="P128" i="21408"/>
  <c r="P210" i="21408"/>
  <c r="P31" i="21408"/>
  <c r="P249" i="21408"/>
  <c r="P211" i="21408"/>
  <c r="P200" i="21408"/>
  <c r="P241" i="21408"/>
  <c r="N10" i="21402"/>
  <c r="P169" i="21408"/>
  <c r="P15" i="21408"/>
  <c r="P121" i="21408"/>
  <c r="P148" i="21408"/>
  <c r="P156" i="21408"/>
  <c r="P94" i="21408"/>
  <c r="P30" i="21408"/>
  <c r="P22" i="21408"/>
  <c r="P366" i="21408"/>
  <c r="P252" i="21408"/>
  <c r="P378" i="21408"/>
  <c r="P266" i="21408"/>
  <c r="P104" i="21408"/>
  <c r="P312" i="21408"/>
  <c r="N39" i="21402"/>
  <c r="P173" i="21408"/>
  <c r="P190" i="21408"/>
  <c r="P254" i="21408"/>
  <c r="P206" i="21408"/>
  <c r="P140" i="21408"/>
  <c r="P102" i="21408"/>
  <c r="P3" i="21408"/>
  <c r="P24" i="21408"/>
  <c r="P127" i="21408"/>
  <c r="P109" i="21408"/>
  <c r="P155" i="21408"/>
  <c r="P68" i="21408"/>
  <c r="N56" i="21402"/>
  <c r="P234" i="21408"/>
  <c r="P133" i="21408"/>
  <c r="P59" i="21408"/>
  <c r="P220" i="21408"/>
  <c r="N5" i="21402"/>
  <c r="N24" i="21402"/>
  <c r="P188" i="21408"/>
  <c r="P84" i="21408"/>
  <c r="P45" i="21408"/>
  <c r="P110" i="21408"/>
  <c r="N41" i="21402"/>
  <c r="P329" i="21408"/>
  <c r="P113" i="21408"/>
  <c r="P176" i="21408"/>
  <c r="P123" i="21408"/>
  <c r="P368" i="21408"/>
  <c r="P71" i="21408"/>
  <c r="P278" i="21408"/>
  <c r="P202" i="21408"/>
  <c r="P187" i="21408"/>
  <c r="P89" i="21408"/>
  <c r="P207" i="21408"/>
  <c r="P275" i="21408"/>
  <c r="P170" i="21408"/>
  <c r="P19" i="21408"/>
  <c r="P284" i="21408"/>
  <c r="P90" i="21408"/>
  <c r="P151" i="21408"/>
  <c r="P325" i="21408"/>
  <c r="N42" i="21402"/>
  <c r="P120" i="21408"/>
  <c r="P208" i="21408"/>
  <c r="P174" i="21408"/>
  <c r="P43" i="21408"/>
  <c r="P95" i="21408"/>
  <c r="P93" i="21408"/>
  <c r="P183" i="21408"/>
  <c r="P236" i="21408"/>
  <c r="P108" i="21408"/>
  <c r="P8" i="21408"/>
  <c r="P311" i="21408"/>
  <c r="P78" i="21408"/>
  <c r="P136" i="21408"/>
  <c r="P227" i="21408"/>
  <c r="P86" i="21408"/>
  <c r="P246" i="21408"/>
  <c r="N34" i="21402"/>
  <c r="P300" i="21408"/>
  <c r="P299" i="21408" s="1"/>
  <c r="P259" i="21408"/>
  <c r="P144" i="21408"/>
  <c r="P214" i="21408"/>
  <c r="P60" i="21408"/>
  <c r="P274" i="21408"/>
  <c r="N36" i="21402"/>
  <c r="P260" i="21408"/>
  <c r="P238" i="21408"/>
  <c r="P91" i="21408"/>
  <c r="P10" i="21408"/>
  <c r="P315" i="21408"/>
  <c r="N17" i="21402"/>
  <c r="P184" i="21408"/>
  <c r="P224" i="21408"/>
  <c r="P115" i="21408"/>
  <c r="P147" i="21408"/>
  <c r="P157" i="21408"/>
  <c r="N22" i="21402"/>
  <c r="P137" i="21408"/>
  <c r="P198" i="21408"/>
  <c r="P92" i="21408"/>
  <c r="P245" i="21408"/>
  <c r="P81" i="21408"/>
  <c r="P237" i="21408"/>
  <c r="P194" i="21408"/>
  <c r="P304" i="21408"/>
  <c r="P193" i="21408"/>
  <c r="P178" i="21408"/>
  <c r="P69" i="21408"/>
  <c r="P164" i="21408"/>
  <c r="P79" i="21408"/>
  <c r="P364" i="21408"/>
  <c r="P106" i="21408"/>
  <c r="P323" i="21408"/>
  <c r="P196" i="21408"/>
  <c r="P379" i="21408"/>
  <c r="N57" i="21402"/>
  <c r="P159" i="21408"/>
  <c r="P201" i="21408"/>
  <c r="P242" i="21408"/>
  <c r="P180" i="21408"/>
  <c r="P26" i="21408"/>
  <c r="P41" i="21408"/>
  <c r="P132" i="21408"/>
  <c r="P29" i="21408"/>
  <c r="P96" i="21408"/>
  <c r="P39" i="21408"/>
  <c r="P40" i="21408"/>
  <c r="P166" i="21408"/>
  <c r="P195" i="21408"/>
  <c r="P77" i="21408"/>
  <c r="P160" i="21408"/>
  <c r="P131" i="21408"/>
  <c r="N58" i="21402"/>
  <c r="P367" i="21408"/>
  <c r="N52" i="21402"/>
  <c r="P129" i="21408"/>
  <c r="P124" i="21408"/>
  <c r="N67" i="21402"/>
  <c r="P54" i="21408"/>
  <c r="P23" i="21408"/>
  <c r="P105" i="21408"/>
  <c r="P56" i="21408"/>
  <c r="P250" i="21408"/>
  <c r="P42" i="21408"/>
  <c r="P380" i="21408"/>
  <c r="P221" i="21408"/>
  <c r="P14" i="21408"/>
  <c r="P87" i="21408"/>
  <c r="N4" i="21402"/>
  <c r="P117" i="21408"/>
  <c r="P327" i="21408"/>
  <c r="P321" i="21408"/>
  <c r="P70" i="21408"/>
  <c r="P158" i="21408"/>
  <c r="P53" i="21408"/>
  <c r="P146" i="21408"/>
  <c r="P372" i="21408"/>
  <c r="P213" i="21408"/>
  <c r="N40" i="21402"/>
  <c r="N35" i="21402"/>
  <c r="P167" i="21408"/>
  <c r="P135" i="21408"/>
  <c r="P229" i="21408"/>
  <c r="P285" i="21408"/>
  <c r="P192" i="21408"/>
  <c r="P122" i="21408"/>
  <c r="P319" i="21408"/>
  <c r="P163" i="21408"/>
  <c r="P239" i="21408"/>
  <c r="P175" i="21408"/>
  <c r="P141" i="21408"/>
  <c r="N59" i="21402"/>
  <c r="P365" i="21408"/>
  <c r="P134" i="21408"/>
  <c r="N54" i="21402"/>
  <c r="N18" i="21402"/>
  <c r="P27" i="21408"/>
  <c r="P47" i="21408"/>
  <c r="P16" i="21408"/>
  <c r="N21" i="21402"/>
  <c r="P85" i="21408"/>
  <c r="P35" i="21408"/>
  <c r="P97" i="21408"/>
  <c r="P324" i="21408"/>
  <c r="P228" i="21408"/>
  <c r="P75" i="21408"/>
  <c r="N26" i="21402"/>
  <c r="P276" i="21408"/>
  <c r="P103" i="21408"/>
  <c r="P369" i="21408"/>
  <c r="P4" i="21408"/>
  <c r="P370" i="21408"/>
  <c r="P177" i="21408"/>
  <c r="P267" i="21408"/>
  <c r="P107" i="21408"/>
  <c r="P186" i="21408"/>
  <c r="N68" i="21402"/>
  <c r="P320" i="21408"/>
  <c r="P38" i="21408"/>
  <c r="P247" i="21408"/>
  <c r="P181" i="21408"/>
  <c r="P215" i="21408"/>
  <c r="P240" i="21408"/>
  <c r="P18" i="21408"/>
  <c r="P143" i="21408"/>
  <c r="P317" i="21408"/>
  <c r="P222" i="21408"/>
  <c r="P17" i="21408"/>
  <c r="P82" i="21408"/>
  <c r="P51" i="21408"/>
  <c r="P11" i="21408"/>
  <c r="P251" i="21408"/>
  <c r="N60" i="21402"/>
  <c r="P253" i="21408"/>
  <c r="P235" i="21408"/>
  <c r="N72" i="21402"/>
  <c r="N70" i="21402"/>
  <c r="P172" i="21408"/>
  <c r="P223" i="21408"/>
  <c r="P281" i="21408"/>
  <c r="P272" i="21408"/>
  <c r="P248" i="21408"/>
  <c r="P114" i="21408"/>
  <c r="P373" i="21408"/>
  <c r="N61" i="21402"/>
  <c r="P142" i="21408"/>
  <c r="P130" i="21408"/>
  <c r="P316" i="21408"/>
  <c r="P50" i="21408"/>
  <c r="P243" i="21408"/>
  <c r="P55" i="21408"/>
  <c r="P125" i="21408"/>
  <c r="P150" i="21408"/>
  <c r="P5" i="21408"/>
  <c r="P76" i="21408"/>
  <c r="P152" i="21408"/>
  <c r="P21" i="21408"/>
  <c r="P61" i="21408"/>
  <c r="P126" i="21408"/>
  <c r="P74" i="21408"/>
  <c r="P189" i="21408"/>
  <c r="P154" i="21408"/>
  <c r="N32" i="21402"/>
  <c r="P244" i="21408"/>
  <c r="P371" i="21408"/>
  <c r="N16" i="21402"/>
  <c r="P162" i="21408"/>
  <c r="P32" i="21408"/>
  <c r="P52" i="21408"/>
  <c r="P34" i="21408"/>
  <c r="P283" i="21408"/>
  <c r="P212" i="21408"/>
  <c r="P149" i="21408"/>
  <c r="N8" i="21402"/>
  <c r="P6" i="21408"/>
  <c r="N53" i="21402"/>
  <c r="P165" i="21408"/>
  <c r="P309" i="21408"/>
  <c r="P310" i="21408"/>
  <c r="P168" i="21408"/>
  <c r="N25" i="21402"/>
  <c r="P116" i="21408"/>
  <c r="P72" i="21408"/>
  <c r="P277" i="21408"/>
  <c r="P80" i="21408"/>
  <c r="P269" i="21408"/>
  <c r="P12" i="21408"/>
  <c r="N43" i="21402"/>
  <c r="P73" i="21408"/>
  <c r="P63" i="21408"/>
  <c r="P264" i="21408"/>
  <c r="N69" i="21402"/>
  <c r="P179" i="21408"/>
  <c r="P322" i="21408"/>
  <c r="P182" i="21408"/>
  <c r="P44" i="21408"/>
  <c r="P37" i="21408"/>
  <c r="N23" i="21402"/>
  <c r="P328" i="21408"/>
  <c r="P145" i="21408"/>
  <c r="N55" i="21402"/>
  <c r="P49" i="21408"/>
  <c r="P303" i="21408"/>
  <c r="P185" i="21408"/>
  <c r="P279" i="21408"/>
  <c r="P119" i="21408"/>
  <c r="N50" i="21402"/>
  <c r="P261" i="21408"/>
  <c r="P111" i="21408"/>
  <c r="P191" i="21408"/>
  <c r="N15" i="21402"/>
  <c r="P48" i="21408"/>
  <c r="P273" i="21408"/>
  <c r="P112" i="21408"/>
  <c r="P88" i="21408"/>
  <c r="N37" i="21402"/>
  <c r="N33" i="21402"/>
  <c r="P9" i="21408"/>
  <c r="P197" i="21408"/>
  <c r="P153" i="21408"/>
  <c r="P7" i="21408"/>
  <c r="P57" i="21408"/>
  <c r="N9" i="21402"/>
  <c r="N49" i="21402"/>
  <c r="P58" i="21408"/>
  <c r="N38" i="21402"/>
  <c r="P318" i="21408"/>
  <c r="P232" i="21408"/>
  <c r="P28" i="21408"/>
  <c r="P33" i="21408"/>
  <c r="P230" i="21408"/>
  <c r="P25" i="21408"/>
  <c r="N6" i="21402"/>
  <c r="P231" i="21408"/>
  <c r="P161" i="21408"/>
  <c r="P205" i="21408"/>
  <c r="P209" i="21408"/>
  <c r="P282" i="21408"/>
  <c r="P268" i="21408"/>
  <c r="N51" i="21402"/>
  <c r="P219" i="21408"/>
  <c r="P13" i="21408"/>
  <c r="P36" i="21408"/>
  <c r="AY57" i="21417"/>
  <c r="BA57" i="21417" s="1"/>
  <c r="M57" i="21417"/>
  <c r="BC57" i="21417" s="1"/>
  <c r="I37" i="21399"/>
  <c r="AQ9" i="21399"/>
  <c r="T6" i="21399"/>
  <c r="F38" i="21399"/>
  <c r="V38" i="21399"/>
  <c r="M54" i="21415"/>
  <c r="BC54" i="21415" s="1"/>
  <c r="AW56" i="21415"/>
  <c r="AY56" i="21415" s="1"/>
  <c r="BA56" i="21415" s="1"/>
  <c r="M56" i="21415"/>
  <c r="BC56" i="21415" s="1"/>
  <c r="G38" i="21399"/>
  <c r="C12" i="21413"/>
  <c r="J9" i="21413"/>
  <c r="C6" i="21400"/>
  <c r="C60" i="21415" l="1"/>
  <c r="AX58" i="21415"/>
  <c r="AW10" i="21413"/>
  <c r="AX10" i="21413"/>
  <c r="C8" i="21400"/>
  <c r="AW12" i="21413"/>
  <c r="AX12" i="21413"/>
  <c r="M8" i="21413"/>
  <c r="AY8" i="21413"/>
  <c r="AC1222" i="21398"/>
  <c r="AC1220" i="21398"/>
  <c r="AW9" i="21413"/>
  <c r="AX9" i="21413"/>
  <c r="M59" i="21417"/>
  <c r="BC59" i="21417" s="1"/>
  <c r="AW58" i="21415"/>
  <c r="AY58" i="21415" s="1"/>
  <c r="BA58" i="21415" s="1"/>
  <c r="C14" i="21413"/>
  <c r="J9" i="21400"/>
  <c r="AV45" i="108"/>
  <c r="AU45" i="108"/>
  <c r="AT45" i="108"/>
  <c r="AS45" i="108"/>
  <c r="AR45" i="108"/>
  <c r="AP45" i="108"/>
  <c r="AO45" i="108"/>
  <c r="AN45" i="108"/>
  <c r="AM45" i="108"/>
  <c r="AL45" i="108"/>
  <c r="AK45" i="108"/>
  <c r="AJ45" i="108"/>
  <c r="AI45" i="108"/>
  <c r="AH45" i="108"/>
  <c r="AG45" i="108"/>
  <c r="AF45" i="108"/>
  <c r="AE45" i="108"/>
  <c r="AD45" i="108"/>
  <c r="AB45" i="108"/>
  <c r="AA45" i="108"/>
  <c r="Z45" i="108"/>
  <c r="Y45" i="108"/>
  <c r="X45" i="108"/>
  <c r="W45" i="108"/>
  <c r="V45" i="108"/>
  <c r="U45" i="108"/>
  <c r="T45" i="108"/>
  <c r="S45" i="108"/>
  <c r="R45" i="108"/>
  <c r="Q45" i="108"/>
  <c r="P45" i="108"/>
  <c r="O45" i="108"/>
  <c r="N45" i="108"/>
  <c r="L45" i="108"/>
  <c r="K45" i="108"/>
  <c r="I45" i="108"/>
  <c r="H45" i="108"/>
  <c r="F45" i="108"/>
  <c r="E45" i="108"/>
  <c r="D45" i="108"/>
  <c r="C45" i="108"/>
  <c r="B45" i="108"/>
  <c r="A45" i="108"/>
  <c r="AV44" i="108"/>
  <c r="AU44" i="108"/>
  <c r="AS44" i="108"/>
  <c r="AR44" i="108"/>
  <c r="AQ44" i="108"/>
  <c r="AP44" i="108"/>
  <c r="AO44" i="108"/>
  <c r="AN44" i="108"/>
  <c r="AM44" i="108"/>
  <c r="AL44" i="108"/>
  <c r="AK44" i="108"/>
  <c r="AJ44" i="108"/>
  <c r="AI44" i="108"/>
  <c r="AH44" i="108"/>
  <c r="AG44" i="108"/>
  <c r="AF44" i="108"/>
  <c r="AE44" i="108"/>
  <c r="AD44" i="108"/>
  <c r="AB44" i="108"/>
  <c r="AA44" i="108"/>
  <c r="Z44" i="108"/>
  <c r="Y44" i="108"/>
  <c r="X44" i="108"/>
  <c r="W44" i="108"/>
  <c r="V44" i="108"/>
  <c r="U44" i="108"/>
  <c r="T44" i="108"/>
  <c r="S44" i="108"/>
  <c r="R44" i="108"/>
  <c r="Q44" i="108"/>
  <c r="P44" i="108"/>
  <c r="O44" i="108"/>
  <c r="N44" i="108"/>
  <c r="L44" i="108"/>
  <c r="K44" i="108"/>
  <c r="J44" i="108"/>
  <c r="I44" i="108"/>
  <c r="H44" i="108"/>
  <c r="G44" i="108"/>
  <c r="F44" i="108"/>
  <c r="E44" i="108"/>
  <c r="D44" i="108"/>
  <c r="B44" i="108"/>
  <c r="BD43" i="108"/>
  <c r="AV43" i="108"/>
  <c r="AU43" i="108"/>
  <c r="AT43" i="108"/>
  <c r="AS43" i="108"/>
  <c r="AR43" i="108"/>
  <c r="AP43" i="108"/>
  <c r="AO43" i="108"/>
  <c r="AN43" i="108"/>
  <c r="AM43" i="108"/>
  <c r="AL43" i="108"/>
  <c r="AK43" i="108"/>
  <c r="AJ43" i="108"/>
  <c r="AI43" i="108"/>
  <c r="AH43" i="108"/>
  <c r="AG43" i="108"/>
  <c r="AF43" i="108"/>
  <c r="AE43" i="108"/>
  <c r="AD43" i="108"/>
  <c r="AB43" i="108"/>
  <c r="AA43" i="108"/>
  <c r="Z43" i="108"/>
  <c r="Y43" i="108"/>
  <c r="X43" i="108"/>
  <c r="W43" i="108"/>
  <c r="V43" i="108"/>
  <c r="U43" i="108"/>
  <c r="T43" i="108"/>
  <c r="S43" i="108"/>
  <c r="R43" i="108"/>
  <c r="Q43" i="108"/>
  <c r="P43" i="108"/>
  <c r="O43" i="108"/>
  <c r="N43" i="108"/>
  <c r="L43" i="108"/>
  <c r="K43" i="108"/>
  <c r="J43" i="108"/>
  <c r="I43" i="108"/>
  <c r="H43" i="108"/>
  <c r="G43" i="108"/>
  <c r="F43" i="108"/>
  <c r="E43" i="108"/>
  <c r="D43" i="108"/>
  <c r="C43" i="108"/>
  <c r="B43" i="108"/>
  <c r="AV42" i="108"/>
  <c r="AU42" i="108"/>
  <c r="AS42" i="108"/>
  <c r="AR42" i="108"/>
  <c r="AQ42" i="108"/>
  <c r="AP42" i="108"/>
  <c r="AO42" i="108"/>
  <c r="AN42" i="108"/>
  <c r="AM42" i="108"/>
  <c r="AL42" i="108"/>
  <c r="AK42" i="108"/>
  <c r="AJ42" i="108"/>
  <c r="AI42" i="108"/>
  <c r="AH42" i="108"/>
  <c r="AG42" i="108"/>
  <c r="AF42" i="108"/>
  <c r="AE42" i="108"/>
  <c r="AD42" i="108"/>
  <c r="AB42" i="108"/>
  <c r="AA42" i="108"/>
  <c r="Z42" i="108"/>
  <c r="Y42" i="108"/>
  <c r="X42" i="108"/>
  <c r="W42" i="108"/>
  <c r="V42" i="108"/>
  <c r="U42" i="108"/>
  <c r="T42" i="108"/>
  <c r="S42" i="108"/>
  <c r="R42" i="108"/>
  <c r="Q42" i="108"/>
  <c r="P42" i="108"/>
  <c r="O42" i="108"/>
  <c r="N42" i="108"/>
  <c r="L42" i="108"/>
  <c r="K42" i="108"/>
  <c r="J42" i="108"/>
  <c r="I42" i="108"/>
  <c r="H42" i="108"/>
  <c r="G42" i="108"/>
  <c r="F42" i="108"/>
  <c r="E42" i="108"/>
  <c r="D42" i="108"/>
  <c r="B42" i="108"/>
  <c r="BD41" i="108"/>
  <c r="AV41" i="108"/>
  <c r="AU41" i="108"/>
  <c r="AT41" i="108"/>
  <c r="AS41" i="108"/>
  <c r="AR41" i="108"/>
  <c r="AP41" i="108"/>
  <c r="AO41" i="108"/>
  <c r="AN41" i="108"/>
  <c r="AM41" i="108"/>
  <c r="AL41" i="108"/>
  <c r="AK41" i="108"/>
  <c r="AJ41" i="108"/>
  <c r="AI41" i="108"/>
  <c r="AH41" i="108"/>
  <c r="AG41" i="108"/>
  <c r="AF41" i="108"/>
  <c r="AE41" i="108"/>
  <c r="AD41" i="108"/>
  <c r="AB41" i="108"/>
  <c r="AA41" i="108"/>
  <c r="Z41" i="108"/>
  <c r="Y41" i="108"/>
  <c r="X41" i="108"/>
  <c r="W41" i="108"/>
  <c r="V41" i="108"/>
  <c r="U41" i="108"/>
  <c r="T41" i="108"/>
  <c r="S41" i="108"/>
  <c r="R41" i="108"/>
  <c r="Q41" i="108"/>
  <c r="P41" i="108"/>
  <c r="O41" i="108"/>
  <c r="N41" i="108"/>
  <c r="L41" i="108"/>
  <c r="K41" i="108"/>
  <c r="J41" i="108"/>
  <c r="I41" i="108"/>
  <c r="H41" i="108"/>
  <c r="G41" i="108"/>
  <c r="F41" i="108"/>
  <c r="E41" i="108"/>
  <c r="D41" i="108"/>
  <c r="C41" i="108"/>
  <c r="B41" i="108"/>
  <c r="AV40" i="108"/>
  <c r="AU40" i="108"/>
  <c r="AS40" i="108"/>
  <c r="AR40" i="108"/>
  <c r="AQ40" i="108"/>
  <c r="AP40" i="108"/>
  <c r="AO40" i="108"/>
  <c r="AN40" i="108"/>
  <c r="AM40" i="108"/>
  <c r="AL40" i="108"/>
  <c r="AK40" i="108"/>
  <c r="AJ40" i="108"/>
  <c r="AI40" i="108"/>
  <c r="AH40" i="108"/>
  <c r="AG40" i="108"/>
  <c r="AF40" i="108"/>
  <c r="AE40" i="108"/>
  <c r="AD40" i="108"/>
  <c r="AB40" i="108"/>
  <c r="AA40" i="108"/>
  <c r="Z40" i="108"/>
  <c r="Y40" i="108"/>
  <c r="X40" i="108"/>
  <c r="W40" i="108"/>
  <c r="V40" i="108"/>
  <c r="U40" i="108"/>
  <c r="T40" i="108"/>
  <c r="S40" i="108"/>
  <c r="R40" i="108"/>
  <c r="Q40" i="108"/>
  <c r="P40" i="108"/>
  <c r="O40" i="108"/>
  <c r="N40" i="108"/>
  <c r="L40" i="108"/>
  <c r="K40" i="108"/>
  <c r="J40" i="108"/>
  <c r="I40" i="108"/>
  <c r="H40" i="108"/>
  <c r="G40" i="108"/>
  <c r="F40" i="108"/>
  <c r="E40" i="108"/>
  <c r="D40" i="108"/>
  <c r="B40" i="108"/>
  <c r="A40" i="108"/>
  <c r="AV10" i="108"/>
  <c r="AU10" i="108"/>
  <c r="AS10" i="108"/>
  <c r="AR10" i="108"/>
  <c r="AQ10" i="108"/>
  <c r="AP10" i="108"/>
  <c r="AO10" i="108"/>
  <c r="AN10" i="108"/>
  <c r="AM10" i="108"/>
  <c r="AL10" i="108"/>
  <c r="AK10" i="108"/>
  <c r="AJ10" i="108"/>
  <c r="AI10" i="108"/>
  <c r="AH10" i="108"/>
  <c r="AG10" i="108"/>
  <c r="AF10" i="108"/>
  <c r="AE10" i="108"/>
  <c r="AD10" i="108"/>
  <c r="AB10" i="108"/>
  <c r="AA10" i="108"/>
  <c r="Z10" i="108"/>
  <c r="Y10" i="108"/>
  <c r="X10" i="108"/>
  <c r="W10" i="108"/>
  <c r="V10" i="108"/>
  <c r="U10" i="108"/>
  <c r="T10" i="108"/>
  <c r="S10" i="108"/>
  <c r="R10" i="108"/>
  <c r="Q10" i="108"/>
  <c r="P10" i="108"/>
  <c r="O10" i="108"/>
  <c r="N10" i="108"/>
  <c r="L10" i="108"/>
  <c r="K10" i="108"/>
  <c r="J10" i="108"/>
  <c r="I10" i="108"/>
  <c r="H10" i="108"/>
  <c r="G10" i="108"/>
  <c r="F10" i="108"/>
  <c r="E10" i="108"/>
  <c r="D10" i="108"/>
  <c r="B10" i="108"/>
  <c r="BD9" i="108"/>
  <c r="AV9" i="108"/>
  <c r="AU9" i="108"/>
  <c r="AT9" i="108"/>
  <c r="AS9" i="108"/>
  <c r="AR9" i="108"/>
  <c r="AP9" i="108"/>
  <c r="AO9" i="108"/>
  <c r="AN9" i="108"/>
  <c r="AM9" i="108"/>
  <c r="AL9" i="108"/>
  <c r="AK9" i="108"/>
  <c r="AJ9" i="108"/>
  <c r="AI9" i="108"/>
  <c r="AH9" i="108"/>
  <c r="AG9" i="108"/>
  <c r="AF9" i="108"/>
  <c r="AE9" i="108"/>
  <c r="AD9" i="108"/>
  <c r="AB9" i="108"/>
  <c r="AA9" i="108"/>
  <c r="Z9" i="108"/>
  <c r="Y9" i="108"/>
  <c r="X9" i="108"/>
  <c r="W9" i="108"/>
  <c r="V9" i="108"/>
  <c r="U9" i="108"/>
  <c r="T9" i="108"/>
  <c r="S9" i="108"/>
  <c r="R9" i="108"/>
  <c r="Q9" i="108"/>
  <c r="P9" i="108"/>
  <c r="O9" i="108"/>
  <c r="N9" i="108"/>
  <c r="L9" i="108"/>
  <c r="K9" i="108"/>
  <c r="J9" i="108"/>
  <c r="I9" i="108"/>
  <c r="H9" i="108"/>
  <c r="G9" i="108"/>
  <c r="F9" i="108"/>
  <c r="E9" i="108"/>
  <c r="D9" i="108"/>
  <c r="B9" i="108"/>
  <c r="AV8" i="108"/>
  <c r="AU8" i="108"/>
  <c r="AS8" i="108"/>
  <c r="AR8" i="108"/>
  <c r="AQ8" i="108"/>
  <c r="AP8" i="108"/>
  <c r="AO8" i="108"/>
  <c r="AN8" i="108"/>
  <c r="AM8" i="108"/>
  <c r="AL8" i="108"/>
  <c r="AK8" i="108"/>
  <c r="AJ8" i="108"/>
  <c r="AI8" i="108"/>
  <c r="AH8" i="108"/>
  <c r="AG8" i="108"/>
  <c r="AF8" i="108"/>
  <c r="AE8" i="108"/>
  <c r="AD8" i="108"/>
  <c r="AB8" i="108"/>
  <c r="AA8" i="108"/>
  <c r="Z8" i="108"/>
  <c r="Y8" i="108"/>
  <c r="X8" i="108"/>
  <c r="W8" i="108"/>
  <c r="V8" i="108"/>
  <c r="U8" i="108"/>
  <c r="T8" i="108"/>
  <c r="S8" i="108"/>
  <c r="R8" i="108"/>
  <c r="Q8" i="108"/>
  <c r="P8" i="108"/>
  <c r="O8" i="108"/>
  <c r="N8" i="108"/>
  <c r="L8" i="108"/>
  <c r="K8" i="108"/>
  <c r="J8" i="108"/>
  <c r="I8" i="108"/>
  <c r="H8" i="108"/>
  <c r="G8" i="108"/>
  <c r="F8" i="108"/>
  <c r="E8" i="108"/>
  <c r="D8" i="108"/>
  <c r="B8" i="108"/>
  <c r="BD7" i="108"/>
  <c r="AV7" i="108"/>
  <c r="AU7" i="108"/>
  <c r="AT7" i="108"/>
  <c r="AS7" i="108"/>
  <c r="AR7" i="108"/>
  <c r="AP7" i="108"/>
  <c r="AO7" i="108"/>
  <c r="AN7" i="108"/>
  <c r="AM7" i="108"/>
  <c r="AL7" i="108"/>
  <c r="AK7" i="108"/>
  <c r="AJ7" i="108"/>
  <c r="AI7" i="108"/>
  <c r="AH7" i="108"/>
  <c r="AG7" i="108"/>
  <c r="AF7" i="108"/>
  <c r="AE7" i="108"/>
  <c r="AD7" i="108"/>
  <c r="AB7" i="108"/>
  <c r="AA7" i="108"/>
  <c r="Z7" i="108"/>
  <c r="Y7" i="108"/>
  <c r="X7" i="108"/>
  <c r="W7" i="108"/>
  <c r="V7" i="108"/>
  <c r="U7" i="108"/>
  <c r="T7" i="108"/>
  <c r="S7" i="108"/>
  <c r="R7" i="108"/>
  <c r="Q7" i="108"/>
  <c r="P7" i="108"/>
  <c r="O7" i="108"/>
  <c r="N7" i="108"/>
  <c r="L7" i="108"/>
  <c r="K7" i="108"/>
  <c r="J7" i="108"/>
  <c r="I7" i="108"/>
  <c r="H7" i="108"/>
  <c r="G7" i="108"/>
  <c r="F7" i="108"/>
  <c r="E7" i="108"/>
  <c r="D7" i="108"/>
  <c r="C7" i="108"/>
  <c r="B7" i="108"/>
  <c r="AV6" i="108"/>
  <c r="AU6" i="108"/>
  <c r="AS6" i="108"/>
  <c r="AR6" i="108"/>
  <c r="AQ6" i="108"/>
  <c r="AP6" i="108"/>
  <c r="AO6" i="108"/>
  <c r="AN6" i="108"/>
  <c r="AM6" i="108"/>
  <c r="AL6" i="108"/>
  <c r="AK6" i="108"/>
  <c r="AJ6" i="108"/>
  <c r="AI6" i="108"/>
  <c r="AH6" i="108"/>
  <c r="AG6" i="108"/>
  <c r="AF6" i="108"/>
  <c r="AE6" i="108"/>
  <c r="AD6" i="108"/>
  <c r="AB6" i="108"/>
  <c r="AA6" i="108"/>
  <c r="Z6" i="108"/>
  <c r="Y6" i="108"/>
  <c r="X6" i="108"/>
  <c r="W6" i="108"/>
  <c r="V6" i="108"/>
  <c r="U6" i="108"/>
  <c r="T6" i="108"/>
  <c r="S6" i="108"/>
  <c r="R6" i="108"/>
  <c r="Q6" i="108"/>
  <c r="P6" i="108"/>
  <c r="O6" i="108"/>
  <c r="N6" i="108"/>
  <c r="L6" i="108"/>
  <c r="K6" i="108"/>
  <c r="J6" i="108"/>
  <c r="I6" i="108"/>
  <c r="H6" i="108"/>
  <c r="G6" i="108"/>
  <c r="F6" i="108"/>
  <c r="E6" i="108"/>
  <c r="D6" i="108"/>
  <c r="B6" i="108"/>
  <c r="BD5" i="108"/>
  <c r="AV5" i="108"/>
  <c r="AU5" i="108"/>
  <c r="AT5" i="108"/>
  <c r="AS5" i="108"/>
  <c r="AR5" i="108"/>
  <c r="AP5" i="108"/>
  <c r="AO5" i="108"/>
  <c r="AN5" i="108"/>
  <c r="AM5" i="108"/>
  <c r="AL5" i="108"/>
  <c r="AK5" i="108"/>
  <c r="AJ5" i="108"/>
  <c r="AI5" i="108"/>
  <c r="AH5" i="108"/>
  <c r="AG5" i="108"/>
  <c r="AF5" i="108"/>
  <c r="AE5" i="108"/>
  <c r="AD5" i="108"/>
  <c r="AB5" i="108"/>
  <c r="AA5" i="108"/>
  <c r="Z5" i="108"/>
  <c r="Y5" i="108"/>
  <c r="X5" i="108"/>
  <c r="W5" i="108"/>
  <c r="V5" i="108"/>
  <c r="U5" i="108"/>
  <c r="T5" i="108"/>
  <c r="S5" i="108"/>
  <c r="R5" i="108"/>
  <c r="Q5" i="108"/>
  <c r="P5" i="108"/>
  <c r="O5" i="108"/>
  <c r="N5" i="108"/>
  <c r="L5" i="108"/>
  <c r="K5" i="108"/>
  <c r="I5" i="108"/>
  <c r="H5" i="108"/>
  <c r="G5" i="108"/>
  <c r="F5" i="108"/>
  <c r="E5" i="108"/>
  <c r="D5" i="108"/>
  <c r="C5" i="108"/>
  <c r="B5" i="108"/>
  <c r="A5" i="108"/>
  <c r="C7" i="3"/>
  <c r="C9" i="3" l="1"/>
  <c r="AX9" i="3" s="1"/>
  <c r="M9" i="3" s="1"/>
  <c r="AX7" i="3"/>
  <c r="M7" i="3" s="1"/>
  <c r="J61" i="21415"/>
  <c r="AX60" i="21415"/>
  <c r="M10" i="21413"/>
  <c r="AY10" i="21413"/>
  <c r="AW14" i="21413"/>
  <c r="AX14" i="21413"/>
  <c r="M12" i="21413"/>
  <c r="AY12" i="21413"/>
  <c r="AC650" i="21398"/>
  <c r="AC638" i="21398"/>
  <c r="AC654" i="21398"/>
  <c r="AC636" i="21398"/>
  <c r="AC634" i="21398"/>
  <c r="AC640" i="21398"/>
  <c r="AC644" i="21398"/>
  <c r="AC652" i="21398"/>
  <c r="I27" i="108"/>
  <c r="I25" i="108"/>
  <c r="M58" i="21415"/>
  <c r="BC58" i="21415" s="1"/>
  <c r="AW60" i="21415"/>
  <c r="AY60" i="21415" s="1"/>
  <c r="BA60" i="21415" s="1"/>
  <c r="M60" i="21415"/>
  <c r="BC60" i="21415" s="1"/>
  <c r="C62" i="21415"/>
  <c r="AX62" i="21415" s="1"/>
  <c r="C16" i="21413"/>
  <c r="C10" i="21400"/>
  <c r="C6" i="108"/>
  <c r="C11" i="3"/>
  <c r="AX11" i="3" s="1"/>
  <c r="M11" i="3" s="1"/>
  <c r="C10" i="2"/>
  <c r="AX10" i="2" s="1"/>
  <c r="C12" i="21398"/>
  <c r="AX61" i="21415" l="1"/>
  <c r="AW61" i="21415"/>
  <c r="AZ61" i="21415" s="1"/>
  <c r="BB61" i="21415" s="1"/>
  <c r="J8" i="3"/>
  <c r="M14" i="21413"/>
  <c r="AY14" i="21413"/>
  <c r="AW16" i="21413"/>
  <c r="AX16" i="21413"/>
  <c r="C14" i="21398"/>
  <c r="AX12" i="21398"/>
  <c r="M12" i="21398" s="1"/>
  <c r="AW62" i="21415"/>
  <c r="C18" i="21413"/>
  <c r="C20" i="21413" s="1"/>
  <c r="J15" i="21413"/>
  <c r="C12" i="21400"/>
  <c r="C13" i="3"/>
  <c r="AX13" i="3" s="1"/>
  <c r="M13" i="3" s="1"/>
  <c r="C8" i="108"/>
  <c r="C8" i="2"/>
  <c r="F10" i="2"/>
  <c r="C12" i="2"/>
  <c r="AX12" i="2" s="1"/>
  <c r="BB49" i="3"/>
  <c r="AX8" i="3" l="1"/>
  <c r="J5" i="108"/>
  <c r="M16" i="21413"/>
  <c r="AY16" i="21413"/>
  <c r="J11" i="21400"/>
  <c r="J5" i="21399" s="1"/>
  <c r="AW15" i="21413"/>
  <c r="AX15" i="21413"/>
  <c r="AZ15" i="21413" s="1"/>
  <c r="AW20" i="21413"/>
  <c r="AX20" i="21413"/>
  <c r="C16" i="21398"/>
  <c r="AX14" i="21398"/>
  <c r="M14" i="21398" s="1"/>
  <c r="F8" i="2"/>
  <c r="AX8" i="2"/>
  <c r="M8" i="2" s="1"/>
  <c r="BC8" i="2" s="1"/>
  <c r="M62" i="21415"/>
  <c r="AW8" i="2"/>
  <c r="C22" i="21413"/>
  <c r="C24" i="21413" s="1"/>
  <c r="C26" i="21413" s="1"/>
  <c r="C28" i="21413" s="1"/>
  <c r="C30" i="21413" s="1"/>
  <c r="C32" i="21413" s="1"/>
  <c r="C34" i="21413" s="1"/>
  <c r="C36" i="21413" s="1"/>
  <c r="C38" i="21413" s="1"/>
  <c r="C40" i="21413" s="1"/>
  <c r="C6" i="21399"/>
  <c r="C14" i="21400"/>
  <c r="C16" i="21400" s="1"/>
  <c r="C10" i="21399" s="1"/>
  <c r="C15" i="3"/>
  <c r="C17" i="3" s="1"/>
  <c r="C19" i="3" s="1"/>
  <c r="C21" i="3" s="1"/>
  <c r="C23" i="3" s="1"/>
  <c r="C25" i="3" s="1"/>
  <c r="C27" i="3" s="1"/>
  <c r="C29" i="3" s="1"/>
  <c r="C31" i="3" s="1"/>
  <c r="C33" i="3" s="1"/>
  <c r="C35" i="3" s="1"/>
  <c r="C37" i="3" s="1"/>
  <c r="C39" i="3" s="1"/>
  <c r="C41" i="3" s="1"/>
  <c r="C43" i="3" s="1"/>
  <c r="AX43" i="3" s="1"/>
  <c r="M43" i="3" s="1"/>
  <c r="C10" i="108"/>
  <c r="C12" i="108" s="1"/>
  <c r="AX12" i="108" s="1"/>
  <c r="M12" i="108" s="1"/>
  <c r="C14" i="2"/>
  <c r="AX14" i="2" s="1"/>
  <c r="F12" i="2"/>
  <c r="AC656" i="21398" l="1"/>
  <c r="J15" i="21400"/>
  <c r="AW14" i="21400"/>
  <c r="AX14" i="21400"/>
  <c r="J41" i="21413"/>
  <c r="AW40" i="21413"/>
  <c r="AX40" i="21413"/>
  <c r="M20" i="21413"/>
  <c r="AY20" i="21413"/>
  <c r="C18" i="21398"/>
  <c r="AX16" i="21398"/>
  <c r="M16" i="21398" s="1"/>
  <c r="AY8" i="2"/>
  <c r="BA8" i="2" s="1"/>
  <c r="C8" i="21399"/>
  <c r="BC62" i="21415"/>
  <c r="C42" i="21413"/>
  <c r="C36" i="21400"/>
  <c r="C38" i="21399" s="1"/>
  <c r="C18" i="21400"/>
  <c r="C14" i="108"/>
  <c r="J13" i="108"/>
  <c r="AX13" i="108" s="1"/>
  <c r="C45" i="3"/>
  <c r="AX45" i="3" s="1"/>
  <c r="M45" i="3" s="1"/>
  <c r="C40" i="108"/>
  <c r="C16" i="2"/>
  <c r="AX16" i="2" s="1"/>
  <c r="F14" i="2"/>
  <c r="AW15" i="21400" l="1"/>
  <c r="AW9" i="21399" s="1"/>
  <c r="AX15" i="21400"/>
  <c r="J9" i="21399"/>
  <c r="AW10" i="21399"/>
  <c r="AY10" i="21399" s="1"/>
  <c r="AX10" i="21399"/>
  <c r="M10" i="21399" s="1"/>
  <c r="AX18" i="21400"/>
  <c r="M18" i="21400" s="1"/>
  <c r="AW18" i="21400"/>
  <c r="M14" i="21400"/>
  <c r="M8" i="21399" s="1"/>
  <c r="AX8" i="21399"/>
  <c r="AY14" i="21400"/>
  <c r="AY8" i="21399" s="1"/>
  <c r="AW8" i="21399"/>
  <c r="M40" i="21413"/>
  <c r="AY40" i="21413"/>
  <c r="C44" i="21413"/>
  <c r="C46" i="21413" s="1"/>
  <c r="AW42" i="21413"/>
  <c r="AX42" i="21413"/>
  <c r="J37" i="21400"/>
  <c r="J39" i="21399" s="1"/>
  <c r="AW41" i="21413"/>
  <c r="AX41" i="21413"/>
  <c r="C16" i="108"/>
  <c r="AX14" i="108"/>
  <c r="M14" i="108" s="1"/>
  <c r="C20" i="21398"/>
  <c r="AX18" i="21398"/>
  <c r="M18" i="21398" s="1"/>
  <c r="C38" i="21400"/>
  <c r="C12" i="21399"/>
  <c r="J11" i="21399"/>
  <c r="C20" i="21400"/>
  <c r="C40" i="21400"/>
  <c r="C47" i="3"/>
  <c r="AX47" i="3" s="1"/>
  <c r="M47" i="3" s="1"/>
  <c r="C42" i="108"/>
  <c r="C18" i="2"/>
  <c r="AX18" i="2" s="1"/>
  <c r="F16" i="2"/>
  <c r="J2" i="21402"/>
  <c r="L2" i="21408"/>
  <c r="AZ41" i="21413" l="1"/>
  <c r="AZ15" i="21400"/>
  <c r="AZ9" i="21399" s="1"/>
  <c r="AX9" i="21399"/>
  <c r="AY18" i="21400"/>
  <c r="AX12" i="21399"/>
  <c r="AW12" i="21399"/>
  <c r="AX11" i="21399"/>
  <c r="AX5" i="21400" s="1"/>
  <c r="AW11" i="21399"/>
  <c r="C22" i="21400"/>
  <c r="AX20" i="21400"/>
  <c r="M20" i="21400" s="1"/>
  <c r="AW20" i="21400"/>
  <c r="AW44" i="21413"/>
  <c r="AX44" i="21413"/>
  <c r="AW46" i="21413"/>
  <c r="AX46" i="21413"/>
  <c r="M42" i="21413"/>
  <c r="AY42" i="21413"/>
  <c r="C18" i="108"/>
  <c r="AX16" i="108"/>
  <c r="M16" i="108" s="1"/>
  <c r="AX20" i="21398"/>
  <c r="M20" i="21398" s="1"/>
  <c r="C22" i="21398"/>
  <c r="C24" i="21398"/>
  <c r="C14" i="21399"/>
  <c r="J12" i="21399"/>
  <c r="C24" i="21400"/>
  <c r="C48" i="21413"/>
  <c r="C42" i="21400"/>
  <c r="C49" i="3"/>
  <c r="J48" i="3"/>
  <c r="C44" i="108"/>
  <c r="C20" i="2"/>
  <c r="AX20" i="2" s="1"/>
  <c r="F18" i="2"/>
  <c r="AZ12" i="21399" l="1"/>
  <c r="AZ11" i="21399"/>
  <c r="AZ5" i="21400" s="1"/>
  <c r="AW5" i="21400"/>
  <c r="C16" i="21399"/>
  <c r="AW14" i="21399"/>
  <c r="AX14" i="21399"/>
  <c r="M14" i="21399" s="1"/>
  <c r="AY20" i="21400"/>
  <c r="M12" i="21399"/>
  <c r="AY12" i="21399"/>
  <c r="AX24" i="21400"/>
  <c r="M24" i="21400" s="1"/>
  <c r="AW24" i="21400"/>
  <c r="AX22" i="21400"/>
  <c r="M22" i="21400" s="1"/>
  <c r="AW22" i="21400"/>
  <c r="M46" i="21413"/>
  <c r="AY46" i="21413"/>
  <c r="AW48" i="21413"/>
  <c r="AX48" i="21413"/>
  <c r="M44" i="21413"/>
  <c r="AY44" i="21413"/>
  <c r="J45" i="108"/>
  <c r="AX48" i="3"/>
  <c r="C51" i="3"/>
  <c r="AX51" i="3" s="1"/>
  <c r="M51" i="3" s="1"/>
  <c r="AX49" i="3"/>
  <c r="M49" i="3" s="1"/>
  <c r="C20" i="108"/>
  <c r="AX18" i="108"/>
  <c r="M18" i="108" s="1"/>
  <c r="AX24" i="21398"/>
  <c r="M24" i="21398" s="1"/>
  <c r="J25" i="21398"/>
  <c r="AX25" i="21398" s="1"/>
  <c r="C26" i="21398"/>
  <c r="AX22" i="21398"/>
  <c r="AW22" i="21398"/>
  <c r="C26" i="21400"/>
  <c r="J23" i="21400"/>
  <c r="C50" i="21413"/>
  <c r="C44" i="21400"/>
  <c r="C53" i="3"/>
  <c r="AX53" i="3" s="1"/>
  <c r="M53" i="3" s="1"/>
  <c r="BC53" i="3" s="1"/>
  <c r="J50" i="3"/>
  <c r="AX50" i="3" s="1"/>
  <c r="F20" i="2"/>
  <c r="C24" i="2"/>
  <c r="AX24" i="2" s="1"/>
  <c r="C22" i="2"/>
  <c r="AX22" i="2" s="1"/>
  <c r="BD35" i="21400"/>
  <c r="BD37" i="21399" s="1"/>
  <c r="BD33" i="21400"/>
  <c r="BD31" i="21400"/>
  <c r="BD29" i="21400"/>
  <c r="BD27" i="21400"/>
  <c r="M37" i="21399"/>
  <c r="M33" i="21400"/>
  <c r="A5" i="21399"/>
  <c r="AP5" i="21400"/>
  <c r="AO5" i="21400"/>
  <c r="AN5" i="21400"/>
  <c r="AM5" i="21400"/>
  <c r="AL5" i="21400"/>
  <c r="AK5" i="21400"/>
  <c r="AJ5" i="21400"/>
  <c r="AI5" i="21400"/>
  <c r="AH5" i="21400"/>
  <c r="AG5" i="21400"/>
  <c r="AF5" i="21400"/>
  <c r="AE5" i="21400"/>
  <c r="AD5" i="21400"/>
  <c r="AC5" i="21400"/>
  <c r="AB5" i="21400"/>
  <c r="AA5" i="21400"/>
  <c r="Z5" i="21400"/>
  <c r="Y5" i="21400"/>
  <c r="X5" i="21400"/>
  <c r="W5" i="21400"/>
  <c r="V5" i="21400"/>
  <c r="U5" i="21400"/>
  <c r="T5" i="21400"/>
  <c r="S5" i="21400"/>
  <c r="R5" i="21400"/>
  <c r="Q5" i="21400"/>
  <c r="P5" i="21400"/>
  <c r="O5" i="21400"/>
  <c r="N5" i="21400"/>
  <c r="L5" i="21400"/>
  <c r="K5" i="21400"/>
  <c r="I5" i="21400"/>
  <c r="H5" i="21400"/>
  <c r="G5" i="21400"/>
  <c r="F5" i="21400"/>
  <c r="E5" i="21400"/>
  <c r="D5" i="21400"/>
  <c r="C5" i="21400"/>
  <c r="B5" i="21400"/>
  <c r="A5" i="21400"/>
  <c r="BD5" i="21400"/>
  <c r="BA33" i="21399"/>
  <c r="BB32" i="21399"/>
  <c r="BB31" i="21399"/>
  <c r="BA31" i="21399"/>
  <c r="BB30" i="21399"/>
  <c r="BB29" i="21399"/>
  <c r="BA29" i="21399"/>
  <c r="BB28" i="21399"/>
  <c r="BB5" i="21400"/>
  <c r="BA5" i="21400"/>
  <c r="BB10" i="21399"/>
  <c r="BA10" i="21399"/>
  <c r="BC33" i="21399"/>
  <c r="BC31" i="21399"/>
  <c r="BC29" i="21399"/>
  <c r="BC5" i="21400"/>
  <c r="BC10" i="21399"/>
  <c r="AY24" i="21400" l="1"/>
  <c r="AY22" i="21400"/>
  <c r="AY14" i="21399"/>
  <c r="C18" i="21399"/>
  <c r="AX16" i="21399"/>
  <c r="M16" i="21399" s="1"/>
  <c r="AW16" i="21399"/>
  <c r="AX23" i="21400"/>
  <c r="AW23" i="21400"/>
  <c r="AX26" i="21400"/>
  <c r="M26" i="21400" s="1"/>
  <c r="AW26" i="21400"/>
  <c r="AY26" i="21400" s="1"/>
  <c r="AW50" i="21413"/>
  <c r="AX50" i="21413"/>
  <c r="M48" i="21413"/>
  <c r="AY48" i="21413"/>
  <c r="C22" i="108"/>
  <c r="AX20" i="108"/>
  <c r="M20" i="108" s="1"/>
  <c r="AY22" i="21398"/>
  <c r="BA22" i="21398" s="1"/>
  <c r="M22" i="21398"/>
  <c r="BC22" i="21398" s="1"/>
  <c r="C28" i="21398"/>
  <c r="AX26" i="21398"/>
  <c r="M26" i="21398" s="1"/>
  <c r="C28" i="21400"/>
  <c r="C52" i="21413"/>
  <c r="J51" i="21413"/>
  <c r="C55" i="3"/>
  <c r="AX55" i="3" s="1"/>
  <c r="M55" i="3" s="1"/>
  <c r="BC55" i="3" s="1"/>
  <c r="AW53" i="3"/>
  <c r="AY53" i="3" s="1"/>
  <c r="BA53" i="3" s="1"/>
  <c r="F24" i="2"/>
  <c r="J25" i="2"/>
  <c r="AX25" i="2" s="1"/>
  <c r="C26" i="2"/>
  <c r="AX26" i="2" s="1"/>
  <c r="F22" i="2"/>
  <c r="AW22" i="2"/>
  <c r="AY22" i="2" s="1"/>
  <c r="M5" i="21400"/>
  <c r="AY16" i="21399" l="1"/>
  <c r="AZ23" i="21400"/>
  <c r="C20" i="21399"/>
  <c r="AW18" i="21399"/>
  <c r="AX18" i="21399"/>
  <c r="M18" i="21399" s="1"/>
  <c r="C30" i="21400"/>
  <c r="AX28" i="21400"/>
  <c r="M28" i="21400" s="1"/>
  <c r="AW28" i="21400"/>
  <c r="AY28" i="21400" s="1"/>
  <c r="AW51" i="21413"/>
  <c r="AX51" i="21413"/>
  <c r="M50" i="21413"/>
  <c r="AY50" i="21413"/>
  <c r="C54" i="21413"/>
  <c r="AW52" i="21413"/>
  <c r="AX52" i="21413"/>
  <c r="C24" i="108"/>
  <c r="AX22" i="108"/>
  <c r="M22" i="108" s="1"/>
  <c r="AZ32" i="108"/>
  <c r="BB32" i="108" s="1"/>
  <c r="C30" i="21398"/>
  <c r="AX28" i="21398"/>
  <c r="M28" i="21398" s="1"/>
  <c r="C57" i="3"/>
  <c r="AX57" i="3" s="1"/>
  <c r="M57" i="3" s="1"/>
  <c r="BC57" i="3" s="1"/>
  <c r="AW55" i="3"/>
  <c r="AY55" i="3" s="1"/>
  <c r="BA55" i="3" s="1"/>
  <c r="BA22" i="2"/>
  <c r="M22" i="2"/>
  <c r="BC22" i="2" s="1"/>
  <c r="C28" i="2"/>
  <c r="AX28" i="2" s="1"/>
  <c r="F26" i="2"/>
  <c r="J5" i="21400"/>
  <c r="AZ51" i="21413" l="1"/>
  <c r="AY18" i="21399"/>
  <c r="C22" i="21399"/>
  <c r="AX20" i="21399"/>
  <c r="M20" i="21399" s="1"/>
  <c r="AW20" i="21399"/>
  <c r="C32" i="21400"/>
  <c r="AX30" i="21400"/>
  <c r="M30" i="21400" s="1"/>
  <c r="AW30" i="21400"/>
  <c r="M52" i="21413"/>
  <c r="AY52" i="21413"/>
  <c r="AW54" i="21413"/>
  <c r="AX54" i="21413"/>
  <c r="M54" i="21413" s="1"/>
  <c r="AX24" i="108"/>
  <c r="M24" i="108" s="1"/>
  <c r="C26" i="108"/>
  <c r="J23" i="108"/>
  <c r="AX23" i="108" s="1"/>
  <c r="AX30" i="21398"/>
  <c r="M30" i="21398" s="1"/>
  <c r="C32" i="21398"/>
  <c r="AW35" i="108"/>
  <c r="AZ35" i="108" s="1"/>
  <c r="BB35" i="108" s="1"/>
  <c r="AW33" i="108"/>
  <c r="AZ33" i="108" s="1"/>
  <c r="BB33" i="108" s="1"/>
  <c r="C59" i="3"/>
  <c r="AX59" i="3" s="1"/>
  <c r="M59" i="3" s="1"/>
  <c r="BC59" i="3" s="1"/>
  <c r="J58" i="3"/>
  <c r="AX58" i="3" s="1"/>
  <c r="AW57" i="3"/>
  <c r="AY57" i="3" s="1"/>
  <c r="BA57" i="3" s="1"/>
  <c r="C30" i="2"/>
  <c r="AX30" i="2" s="1"/>
  <c r="F28" i="2"/>
  <c r="AQ595" i="21398"/>
  <c r="AQ935" i="21398"/>
  <c r="AT826" i="21398"/>
  <c r="AQ939" i="21398"/>
  <c r="AT970" i="21398"/>
  <c r="AQ33" i="21399"/>
  <c r="AQ35" i="21413"/>
  <c r="AQ161" i="21398"/>
  <c r="AQ885" i="21398"/>
  <c r="AQ409" i="21398"/>
  <c r="AQ1031" i="21398"/>
  <c r="AQ173" i="21398"/>
  <c r="AT26" i="21415"/>
  <c r="AQ1159" i="21398"/>
  <c r="AQ65" i="21398"/>
  <c r="AQ853" i="21398"/>
  <c r="AT280" i="21398"/>
  <c r="AQ113" i="21398"/>
  <c r="AT250" i="21398"/>
  <c r="AT67" i="3"/>
  <c r="AQ1141" i="21398"/>
  <c r="AT22" i="21399"/>
  <c r="AT16" i="108"/>
  <c r="AQ83" i="21398"/>
  <c r="AQ407" i="21398"/>
  <c r="AQ1117" i="21398"/>
  <c r="AQ1237" i="21398"/>
  <c r="AT928" i="21398"/>
  <c r="AQ513" i="21398"/>
  <c r="AT154" i="21398"/>
  <c r="AT162" i="21398"/>
  <c r="AQ999" i="21398"/>
  <c r="AQ425" i="21398"/>
  <c r="AQ781" i="21398"/>
  <c r="AQ7" i="21398"/>
  <c r="AQ931" i="21398"/>
  <c r="AQ949" i="21398"/>
  <c r="AQ795" i="21398"/>
  <c r="AT410" i="21398"/>
  <c r="AT274" i="21398"/>
  <c r="AT144" i="21398"/>
  <c r="AQ1083" i="21398"/>
  <c r="AQ1089" i="21398"/>
  <c r="AT888" i="21398"/>
  <c r="AT270" i="21398"/>
  <c r="AQ319" i="21398"/>
  <c r="AT836" i="21398"/>
  <c r="AQ353" i="21398"/>
  <c r="AQ47" i="21398"/>
  <c r="AT598" i="21398"/>
  <c r="AQ177" i="21398"/>
  <c r="AT316" i="21398"/>
  <c r="AT1236" i="21398"/>
  <c r="AT1208" i="21398"/>
  <c r="AT42" i="21413"/>
  <c r="AT86" i="21398"/>
  <c r="AT772" i="21398"/>
  <c r="AT740" i="21398"/>
  <c r="AT30" i="21398"/>
  <c r="AT1092" i="21398"/>
  <c r="AQ63" i="21398"/>
  <c r="AT33" i="3"/>
  <c r="AT586" i="21398"/>
  <c r="AQ1077" i="21398"/>
  <c r="AQ1199" i="21398"/>
  <c r="AQ17" i="21399"/>
  <c r="AT548" i="21398"/>
  <c r="AT36" i="21398"/>
  <c r="AQ1037" i="21398"/>
  <c r="AQ455" i="21398"/>
  <c r="AT416" i="21398"/>
  <c r="AT50" i="21413"/>
  <c r="AQ863" i="21398"/>
  <c r="AT152" i="21398"/>
  <c r="AT188" i="21398"/>
  <c r="AT34" i="108"/>
  <c r="AQ15" i="108"/>
  <c r="AT662" i="21398"/>
  <c r="AT34" i="21415"/>
  <c r="AQ953" i="21398"/>
  <c r="AT170" i="21398"/>
  <c r="AQ1143" i="21398"/>
  <c r="AQ237" i="21398"/>
  <c r="AQ6" i="3"/>
  <c r="AT306" i="21398"/>
  <c r="AQ11" i="21399"/>
  <c r="AQ56" i="3"/>
  <c r="AT1132" i="21398"/>
  <c r="AT210" i="21398"/>
  <c r="AQ1165" i="21398"/>
  <c r="AQ445" i="21398"/>
  <c r="AQ565" i="21398"/>
  <c r="AT53" i="3"/>
  <c r="AT82" i="21398"/>
  <c r="AQ29" i="21415"/>
  <c r="AT108" i="21398"/>
  <c r="AT910" i="21398"/>
  <c r="AQ275" i="21398"/>
  <c r="AQ419" i="21398"/>
  <c r="AQ49" i="21398"/>
  <c r="AQ167" i="21398"/>
  <c r="AQ21" i="21400"/>
  <c r="AT40" i="21413"/>
  <c r="AQ461" i="21398"/>
  <c r="AT742" i="21398"/>
  <c r="AT8" i="21413"/>
  <c r="AT590" i="21398"/>
  <c r="AT806" i="21398"/>
  <c r="AT34" i="21400"/>
  <c r="AQ55" i="21415"/>
  <c r="AT168" i="21398"/>
  <c r="AT422" i="21398"/>
  <c r="AQ221" i="21398"/>
  <c r="AQ505" i="21398"/>
  <c r="AT594" i="21398"/>
  <c r="AQ587" i="21398"/>
  <c r="AQ1191" i="21398"/>
  <c r="AT1154" i="21398"/>
  <c r="AQ68" i="3"/>
  <c r="AT472" i="21398"/>
  <c r="AT69" i="3"/>
  <c r="AT876" i="21398"/>
  <c r="AQ31" i="21415"/>
  <c r="AQ1247" i="21398"/>
  <c r="AT776" i="21398"/>
  <c r="AQ881" i="21398"/>
  <c r="AT1234" i="21398"/>
  <c r="AT1096" i="21398"/>
  <c r="AQ33" i="21415"/>
  <c r="AT502" i="21398"/>
  <c r="AQ773" i="21398"/>
  <c r="AQ13" i="108"/>
  <c r="AT480" i="21398"/>
  <c r="AQ1171" i="21398"/>
  <c r="AT1106" i="21398"/>
  <c r="AQ451" i="21398"/>
  <c r="AQ139" i="21398"/>
  <c r="AT38" i="21413"/>
  <c r="AQ739" i="21398"/>
  <c r="AQ577" i="21398"/>
  <c r="AQ219" i="21398"/>
  <c r="AT1140" i="21398"/>
  <c r="AT930" i="21398"/>
  <c r="AT1270" i="21398"/>
  <c r="AT1190" i="21398"/>
  <c r="AT204" i="21398"/>
  <c r="AT1206" i="21398"/>
  <c r="AT398" i="21398"/>
  <c r="AQ479" i="21398"/>
  <c r="AT58" i="21415"/>
  <c r="AQ35" i="108"/>
  <c r="AT1040" i="21398"/>
  <c r="AQ52" i="3"/>
  <c r="AT238" i="21398"/>
  <c r="AQ1095" i="21398"/>
  <c r="AQ11" i="21413"/>
  <c r="AT414" i="21398"/>
  <c r="AQ213" i="21398"/>
  <c r="AQ201" i="21398"/>
  <c r="AT844" i="21398"/>
  <c r="AT260" i="21398"/>
  <c r="AQ883" i="21398"/>
  <c r="AT550" i="21398"/>
  <c r="AT50" i="21398"/>
  <c r="AT1110" i="21398"/>
  <c r="AT32" i="21398"/>
  <c r="AQ619" i="21398"/>
  <c r="AQ107" i="21398"/>
  <c r="AT758" i="21398"/>
  <c r="AQ13" i="21398"/>
  <c r="AQ859" i="21398"/>
  <c r="AQ1157" i="21398"/>
  <c r="AQ923" i="21398"/>
  <c r="AT816" i="21398"/>
  <c r="AQ23" i="21399"/>
  <c r="AT358" i="21398"/>
  <c r="AT176" i="21398"/>
  <c r="AQ1063" i="21398"/>
  <c r="AT160" i="21398"/>
  <c r="AT1128" i="21398"/>
  <c r="AQ659" i="21398"/>
  <c r="AQ227" i="21398"/>
  <c r="AT1098" i="21398"/>
  <c r="AQ355" i="21398"/>
  <c r="AT1044" i="21398"/>
  <c r="AT498" i="21398"/>
  <c r="AQ389" i="21398"/>
  <c r="AT102" i="21398"/>
  <c r="AQ737" i="21398"/>
  <c r="AT542" i="21398"/>
  <c r="AQ1203" i="21398"/>
  <c r="AQ429" i="21398"/>
  <c r="AQ1177" i="21398"/>
  <c r="AQ209" i="21398"/>
  <c r="AT32" i="21415"/>
  <c r="AQ15" i="21413"/>
  <c r="AT774" i="21398"/>
  <c r="AQ39" i="21413"/>
  <c r="AQ1155" i="21398"/>
  <c r="AQ19" i="108"/>
  <c r="AT400" i="21398"/>
  <c r="AQ325" i="21398"/>
  <c r="AT952" i="21398"/>
  <c r="AQ41" i="21398"/>
  <c r="AT18" i="21400"/>
  <c r="AQ1125" i="21398"/>
  <c r="AT1060" i="21398"/>
  <c r="AQ397" i="21398"/>
  <c r="AT916" i="21398"/>
  <c r="AT894" i="21398"/>
  <c r="AT1032" i="21398"/>
  <c r="AT982" i="21398"/>
  <c r="AT318" i="21398"/>
  <c r="AT394" i="21398"/>
  <c r="AT1150" i="21398"/>
  <c r="AT1162" i="21398"/>
  <c r="AT60" i="21398"/>
  <c r="AQ151" i="21398"/>
  <c r="AQ415" i="21398"/>
  <c r="AQ24" i="3"/>
  <c r="AT388" i="21398"/>
  <c r="AQ245" i="21398"/>
  <c r="AT1074" i="21398"/>
  <c r="AT778" i="21398"/>
  <c r="AT1146" i="21398"/>
  <c r="AT386" i="21398"/>
  <c r="AQ1269" i="2"/>
  <c r="AQ48" i="3"/>
  <c r="AT96" i="21398"/>
  <c r="AT1244" i="21398"/>
  <c r="AQ247" i="21398"/>
  <c r="AQ457" i="21398"/>
  <c r="AQ993" i="21398"/>
  <c r="AQ10" i="3"/>
  <c r="AT120" i="21398"/>
  <c r="AQ35" i="21415"/>
  <c r="AQ58" i="3"/>
  <c r="AQ903" i="21398"/>
  <c r="AQ1101" i="21398"/>
  <c r="AQ905" i="21398"/>
  <c r="AT1204" i="21398"/>
  <c r="AT28" i="21413"/>
  <c r="AT520" i="21398"/>
  <c r="AQ851" i="21398"/>
  <c r="AQ281" i="21398"/>
  <c r="AQ1009" i="21398"/>
  <c r="AQ191" i="21398"/>
  <c r="AQ159" i="21398"/>
  <c r="AT49" i="3"/>
  <c r="AT20" i="21413"/>
  <c r="AQ87" i="21398"/>
  <c r="AQ947" i="21398"/>
  <c r="AT18" i="21413"/>
  <c r="AQ51" i="21398"/>
  <c r="AT278" i="21398"/>
  <c r="AQ755" i="21398"/>
  <c r="AQ27" i="108"/>
  <c r="AT20" i="21399"/>
  <c r="AT1016" i="21398"/>
  <c r="AT206" i="21398"/>
  <c r="AQ289" i="21398"/>
  <c r="AT464" i="21398"/>
  <c r="AQ187" i="21398"/>
  <c r="AT482" i="21398"/>
  <c r="AT184" i="21398"/>
  <c r="AT508" i="21398"/>
  <c r="AQ979" i="21398"/>
  <c r="AT340" i="21398"/>
  <c r="AT518" i="21398"/>
  <c r="AT972" i="21398"/>
  <c r="AQ945" i="21398"/>
  <c r="AT156" i="21398"/>
  <c r="AQ1175" i="21398"/>
  <c r="AQ433" i="21398"/>
  <c r="AT1230" i="21398"/>
  <c r="AT568" i="21398"/>
  <c r="AQ1113" i="21398"/>
  <c r="AT954" i="21398"/>
  <c r="AQ1085" i="21398"/>
  <c r="AQ745" i="21398"/>
  <c r="AQ357" i="21398"/>
  <c r="AQ1161" i="21398"/>
  <c r="AT29" i="3"/>
  <c r="AT522" i="21398"/>
  <c r="AT1210" i="21398"/>
  <c r="AT484" i="21398"/>
  <c r="AQ527" i="21398"/>
  <c r="AQ743" i="21398"/>
  <c r="AT284" i="21398"/>
  <c r="AQ313" i="21398"/>
  <c r="AQ969" i="21398"/>
  <c r="AQ193" i="21398"/>
  <c r="AT664" i="21398"/>
  <c r="AT44" i="21413"/>
  <c r="AQ335" i="21398"/>
  <c r="AT12" i="21399"/>
  <c r="AT736" i="21398"/>
  <c r="AT32" i="21400"/>
  <c r="AQ765" i="21398"/>
  <c r="AT468" i="21398"/>
  <c r="AT1240" i="21398"/>
  <c r="AQ267" i="21398"/>
  <c r="AQ955" i="21398"/>
  <c r="AT874" i="21398"/>
  <c r="AQ1123" i="21398"/>
  <c r="AT912" i="21398"/>
  <c r="AT1158" i="21398"/>
  <c r="AT44" i="21398"/>
  <c r="AT672" i="21398"/>
  <c r="AT1214" i="21398"/>
  <c r="AT570" i="21398"/>
  <c r="AT1130" i="21398"/>
  <c r="AT964" i="21398"/>
  <c r="AQ31" i="21400"/>
  <c r="AT26" i="21398"/>
  <c r="AQ1259" i="21398"/>
  <c r="AQ53" i="21398"/>
  <c r="AT440" i="21398"/>
  <c r="AT24" i="21399"/>
  <c r="AQ1035" i="21398"/>
  <c r="AT812" i="21398"/>
  <c r="AQ503" i="21398"/>
  <c r="AQ157" i="21398"/>
  <c r="AQ399" i="21398"/>
  <c r="AT996" i="21398"/>
  <c r="AQ49" i="21415"/>
  <c r="AT364" i="21398"/>
  <c r="AT496" i="21398"/>
  <c r="AQ329" i="21398"/>
  <c r="AQ153" i="21398"/>
  <c r="AQ327" i="21398"/>
  <c r="AQ309" i="21398"/>
  <c r="AQ27" i="21415"/>
  <c r="AQ375" i="21398"/>
  <c r="AQ1239" i="21398"/>
  <c r="AQ981" i="21398"/>
  <c r="AT408" i="21398"/>
  <c r="AT614" i="21398"/>
  <c r="AT310" i="21398"/>
  <c r="AQ79" i="21398"/>
  <c r="AQ523" i="21398"/>
  <c r="AT800" i="21398"/>
  <c r="AQ95" i="21398"/>
  <c r="AQ803" i="21398"/>
  <c r="AQ181" i="21398"/>
  <c r="AT1238" i="21398"/>
  <c r="AT1008" i="21398"/>
  <c r="AQ849" i="21398"/>
  <c r="AT668" i="21398"/>
  <c r="AQ257" i="21398"/>
  <c r="AQ589" i="21398"/>
  <c r="AQ1109" i="21398"/>
  <c r="AQ1041" i="21398"/>
  <c r="AT22" i="21415"/>
  <c r="AT978" i="21398"/>
  <c r="AQ183" i="21398"/>
  <c r="AQ841" i="21398"/>
  <c r="AT360" i="21398"/>
  <c r="AT992" i="21398"/>
  <c r="AQ893" i="21398"/>
  <c r="AQ1233" i="21398"/>
  <c r="AQ1193" i="21398"/>
  <c r="AT1170" i="21398"/>
  <c r="AT10" i="21413"/>
  <c r="AQ919" i="21398"/>
  <c r="AT224" i="21398"/>
  <c r="AT242" i="21398"/>
  <c r="AT110" i="21398"/>
  <c r="AQ1045" i="21398"/>
  <c r="AT286" i="21398"/>
  <c r="AT12" i="21413"/>
  <c r="AT424" i="21398"/>
  <c r="AQ607" i="21398"/>
  <c r="AQ449" i="21398"/>
  <c r="AT38" i="108"/>
  <c r="AQ137" i="21398"/>
  <c r="AQ811" i="21398"/>
  <c r="AT1002" i="21398"/>
  <c r="AQ985" i="21398"/>
  <c r="AT266" i="21398"/>
  <c r="AT840" i="21398"/>
  <c r="AT112" i="21398"/>
  <c r="AQ401" i="21398"/>
  <c r="AT412" i="21398"/>
  <c r="AQ447" i="21398"/>
  <c r="AT98" i="21398"/>
  <c r="AQ233" i="21398"/>
  <c r="AQ1131" i="21398"/>
  <c r="AQ1271" i="21398"/>
  <c r="AT228" i="21398"/>
  <c r="AT540" i="21398"/>
  <c r="AQ81" i="21398"/>
  <c r="AT766" i="21398"/>
  <c r="AT136" i="21398"/>
  <c r="AQ185" i="21398"/>
  <c r="AT216" i="21398"/>
  <c r="AT94" i="21398"/>
  <c r="AT128" i="21398"/>
  <c r="AT404" i="21398"/>
  <c r="AQ1265" i="21398"/>
  <c r="AT54" i="21398"/>
  <c r="AT492" i="21398"/>
  <c r="AT80" i="21398"/>
  <c r="AT430" i="21398"/>
  <c r="AQ1075" i="21398"/>
  <c r="AQ229" i="21398"/>
  <c r="AQ1027" i="21398"/>
  <c r="AQ521" i="21398"/>
  <c r="AQ1135" i="2"/>
  <c r="AQ1011" i="21398"/>
  <c r="AQ489" i="21398"/>
  <c r="AQ1081" i="21398"/>
  <c r="AT958" i="21398"/>
  <c r="AT46" i="21415"/>
  <c r="AT976" i="21398"/>
  <c r="AQ1049" i="21398"/>
  <c r="AQ377" i="21398"/>
  <c r="AQ963" i="21398"/>
  <c r="AQ69" i="21398"/>
  <c r="AT30" i="21413"/>
  <c r="AQ91" i="21398"/>
  <c r="AT1070" i="21398"/>
  <c r="AQ45" i="21413"/>
  <c r="AT1224" i="21398"/>
  <c r="AT1078" i="21398"/>
  <c r="AT858" i="21398"/>
  <c r="AQ25" i="21413"/>
  <c r="AQ1069" i="21398"/>
  <c r="AQ1255" i="2"/>
  <c r="AT500" i="21398"/>
  <c r="AQ25" i="21398"/>
  <c r="AQ515" i="21398"/>
  <c r="AT248" i="21398"/>
  <c r="AT526" i="21398"/>
  <c r="AT1122" i="21398"/>
  <c r="AT452" i="21398"/>
  <c r="AQ623" i="21398"/>
  <c r="AQ991" i="21398"/>
  <c r="AT762" i="21398"/>
  <c r="AQ1007" i="21398"/>
  <c r="AQ271" i="21398"/>
  <c r="AQ917" i="21398"/>
  <c r="AQ843" i="21398"/>
  <c r="AT31" i="3"/>
  <c r="AQ417" i="21398"/>
  <c r="AT35" i="3"/>
  <c r="AT528" i="21398"/>
  <c r="AQ1061" i="21398"/>
  <c r="AQ929" i="21398"/>
  <c r="AQ1023" i="21398"/>
  <c r="AT1006" i="21398"/>
  <c r="AQ1205" i="21398"/>
  <c r="AT1180" i="21398"/>
  <c r="AT802" i="21398"/>
  <c r="AT292" i="21398"/>
  <c r="AQ601" i="21398"/>
  <c r="AQ207" i="21398"/>
  <c r="AT126" i="21398"/>
  <c r="AT34" i="21398"/>
  <c r="AT192" i="21398"/>
  <c r="AQ283" i="21398"/>
  <c r="AQ757" i="21398"/>
  <c r="AQ405" i="21398"/>
  <c r="AQ1207" i="21398"/>
  <c r="AQ73" i="21398"/>
  <c r="AT574" i="21398"/>
  <c r="AQ277" i="21398"/>
  <c r="AT572" i="21398"/>
  <c r="AQ337" i="21398"/>
  <c r="AT37" i="3"/>
  <c r="AT39" i="3"/>
  <c r="AQ501" i="21398"/>
  <c r="AQ42" i="3"/>
  <c r="AT190" i="21398"/>
  <c r="AT244" i="21398"/>
  <c r="AQ64" i="3"/>
  <c r="AQ735" i="21398"/>
  <c r="AQ199" i="21398"/>
  <c r="AQ363" i="21398"/>
  <c r="AQ70" i="3"/>
  <c r="AT820" i="21398"/>
  <c r="AQ403" i="21398"/>
  <c r="AQ467" i="21398"/>
  <c r="AQ343" i="21398"/>
  <c r="AT486" i="21398"/>
  <c r="AQ387" i="21398"/>
  <c r="AT862" i="21398"/>
  <c r="AQ915" i="21398"/>
  <c r="AT470" i="21398"/>
  <c r="AT27" i="3"/>
  <c r="AT338" i="21398"/>
  <c r="AT488" i="21398"/>
  <c r="AQ307" i="21398"/>
  <c r="AT1104" i="21398"/>
  <c r="AQ1017" i="21398"/>
  <c r="AT36" i="21413"/>
  <c r="AQ1127" i="21398"/>
  <c r="AQ39" i="21398"/>
  <c r="AT872" i="21398"/>
  <c r="AT10" i="21399"/>
  <c r="AT1174" i="21398"/>
  <c r="AT320" i="21398"/>
  <c r="AQ629" i="21398"/>
  <c r="AT708" i="21398"/>
  <c r="AQ611" i="21398"/>
  <c r="AT14" i="21398"/>
  <c r="AT48" i="21398"/>
  <c r="AT22" i="21413"/>
  <c r="AQ20" i="3"/>
  <c r="AQ889" i="21398"/>
  <c r="AT78" i="21398"/>
  <c r="AT116" i="21398"/>
  <c r="AQ973" i="21398"/>
  <c r="AT334" i="21398"/>
  <c r="AT1192" i="21398"/>
  <c r="AT1164" i="21398"/>
  <c r="AT30" i="21399"/>
  <c r="AT62" i="21398"/>
  <c r="AT258" i="21398"/>
  <c r="AT30" i="21415"/>
  <c r="AT710" i="21398"/>
  <c r="AT1182" i="21398"/>
  <c r="AQ239" i="21398"/>
  <c r="AT328" i="21398"/>
  <c r="AT13" i="3"/>
  <c r="AQ769" i="21398"/>
  <c r="AQ1185" i="21398"/>
  <c r="AT748" i="21398"/>
  <c r="AT368" i="21398"/>
  <c r="AT448" i="21398"/>
  <c r="AT630" i="21398"/>
  <c r="AQ97" i="21398"/>
  <c r="AT214" i="21398"/>
  <c r="AT1248" i="21398"/>
  <c r="AT752" i="21398"/>
  <c r="AQ1103" i="21398"/>
  <c r="AQ1115" i="21398"/>
  <c r="AT830" i="21398"/>
  <c r="AT602" i="21398"/>
  <c r="AQ597" i="21398"/>
  <c r="AQ1139" i="21398"/>
  <c r="AQ1261" i="2"/>
  <c r="AT780" i="21398"/>
  <c r="AQ123" i="21398"/>
  <c r="AQ459" i="21398"/>
  <c r="AQ25" i="21399"/>
  <c r="AQ1025" i="21398"/>
  <c r="AT24" i="108"/>
  <c r="AQ815" i="21398"/>
  <c r="AQ783" i="21398"/>
  <c r="AQ791" i="21398"/>
  <c r="AT32" i="108"/>
  <c r="AT28" i="21398"/>
  <c r="AQ809" i="21398"/>
  <c r="AQ1073" i="21398"/>
  <c r="AQ707" i="21398"/>
  <c r="AQ331" i="21398"/>
  <c r="AQ663" i="21398"/>
  <c r="AQ493" i="21398"/>
  <c r="AT256" i="2"/>
  <c r="AQ8" i="3"/>
  <c r="AQ1273" i="2"/>
  <c r="AT246" i="21398"/>
  <c r="AT130" i="21398"/>
  <c r="AQ54" i="3"/>
  <c r="AT908" i="21398"/>
  <c r="AQ997" i="21398"/>
  <c r="AQ369" i="21398"/>
  <c r="AT622" i="21398"/>
  <c r="AQ965" i="21398"/>
  <c r="AQ1189" i="21398"/>
  <c r="AT600" i="21398"/>
  <c r="AQ1033" i="21398"/>
  <c r="AQ241" i="21398"/>
  <c r="AT90" i="21398"/>
  <c r="AQ681" i="21398"/>
  <c r="AQ75" i="21398"/>
  <c r="AQ16" i="3"/>
  <c r="AQ1209" i="21398"/>
  <c r="AQ147" i="21398"/>
  <c r="AQ1187" i="21398"/>
  <c r="AT604" i="21398"/>
  <c r="AQ33" i="21398"/>
  <c r="AT148" i="21398"/>
  <c r="AT948" i="21398"/>
  <c r="AQ341" i="21398"/>
  <c r="AT660" i="21398"/>
  <c r="AQ373" i="21398"/>
  <c r="AQ59" i="21398"/>
  <c r="AQ1015" i="21398"/>
  <c r="AT212" i="21398"/>
  <c r="AQ38" i="3"/>
  <c r="AQ907" i="21398"/>
  <c r="AQ55" i="21398"/>
  <c r="AQ1183" i="21398"/>
  <c r="AT294" i="21398"/>
  <c r="AT20" i="21398"/>
  <c r="AQ33" i="21413"/>
  <c r="AT838" i="21398"/>
  <c r="AQ631" i="21398"/>
  <c r="AQ279" i="21398"/>
  <c r="AT1188" i="21398"/>
  <c r="AQ273" i="21398"/>
  <c r="AT272" i="21398"/>
  <c r="AQ47" i="21415"/>
  <c r="AQ1195" i="21398"/>
  <c r="AT20" i="21415"/>
  <c r="AQ741" i="21398"/>
  <c r="AQ255" i="2"/>
  <c r="AT1014" i="21398"/>
  <c r="AQ47" i="21413"/>
  <c r="AQ617" i="21398"/>
  <c r="AT58" i="21398"/>
  <c r="AQ1013" i="21398"/>
  <c r="AQ125" i="21398"/>
  <c r="AT71" i="3"/>
  <c r="AT14" i="21415"/>
  <c r="AQ555" i="21398"/>
  <c r="AQ529" i="21398"/>
  <c r="AT140" i="21398"/>
  <c r="AQ33" i="108"/>
  <c r="AQ1043" i="21398"/>
  <c r="AQ711" i="21398"/>
  <c r="AQ435" i="21398"/>
  <c r="AQ1229" i="21398"/>
  <c r="AT1126" i="21398"/>
  <c r="AQ347" i="21398"/>
  <c r="AT1200" i="21398"/>
  <c r="AQ31" i="108"/>
  <c r="AT1046" i="21398"/>
  <c r="AT1232" i="21398"/>
  <c r="AT466" i="21398"/>
  <c r="AT418" i="21398"/>
  <c r="AQ865" i="21398"/>
  <c r="AQ1029" i="21398"/>
  <c r="AT158" i="21398"/>
  <c r="AQ679" i="21398"/>
  <c r="AQ567" i="21398"/>
  <c r="AQ485" i="21398"/>
  <c r="AT64" i="21398"/>
  <c r="AT1178" i="21398"/>
  <c r="AQ1067" i="21398"/>
  <c r="AQ977" i="21398"/>
  <c r="AQ121" i="21398"/>
  <c r="AQ311" i="21398"/>
  <c r="AQ189" i="21398"/>
  <c r="AT728" i="21398"/>
  <c r="AQ26" i="3"/>
  <c r="AQ35" i="21398"/>
  <c r="AQ1201" i="21398"/>
  <c r="AT57" i="3"/>
  <c r="AQ867" i="21398"/>
  <c r="AT54" i="21415"/>
  <c r="AQ17" i="21415"/>
  <c r="AQ937" i="21398"/>
  <c r="AT810" i="21398"/>
  <c r="AQ667" i="21398"/>
  <c r="AQ45" i="21398"/>
  <c r="AT804" i="21398"/>
  <c r="AT22" i="108"/>
  <c r="AT1100" i="21398"/>
  <c r="AT584" i="21398"/>
  <c r="AQ395" i="21398"/>
  <c r="AQ19" i="21400"/>
  <c r="AT732" i="21398"/>
  <c r="AQ365" i="21398"/>
  <c r="AT196" i="21398"/>
  <c r="AT950" i="21398"/>
  <c r="AT26" i="21399"/>
  <c r="AT436" i="21398"/>
  <c r="AQ21" i="21413"/>
  <c r="AT276" i="21398"/>
  <c r="AQ547" i="21398"/>
  <c r="AT16" i="21415"/>
  <c r="AQ591" i="21398"/>
  <c r="AT8" i="21415"/>
  <c r="AT1124" i="21398"/>
  <c r="AQ371" i="21398"/>
  <c r="AT1108" i="21398"/>
  <c r="AQ27" i="21398"/>
  <c r="AQ1133" i="21398"/>
  <c r="AT1010" i="21398"/>
  <c r="AT988" i="21398"/>
  <c r="AQ437" i="21398"/>
  <c r="AT1144" i="21398"/>
  <c r="AT342" i="21398"/>
  <c r="AT980" i="21398"/>
  <c r="AQ855" i="21398"/>
  <c r="AT990" i="21398"/>
  <c r="AQ423" i="21398"/>
  <c r="AQ297" i="21398"/>
  <c r="AQ255" i="21398"/>
  <c r="AQ665" i="21398"/>
  <c r="AQ127" i="21398"/>
  <c r="AT556" i="21398"/>
  <c r="AT104" i="21398"/>
  <c r="AT378" i="21398"/>
  <c r="AQ825" i="21398"/>
  <c r="AQ1245" i="21398"/>
  <c r="AT784" i="21398"/>
  <c r="AQ891" i="21398"/>
  <c r="AT100" i="21398"/>
  <c r="AQ17" i="21400"/>
  <c r="AT898" i="21398"/>
  <c r="AT474" i="21398"/>
  <c r="AQ671" i="21398"/>
  <c r="AQ259" i="21398"/>
  <c r="AQ29" i="108"/>
  <c r="AT352" i="21398"/>
  <c r="AT262" i="21398"/>
  <c r="AQ557" i="21398"/>
  <c r="AQ50" i="3"/>
  <c r="AT1084" i="21398"/>
  <c r="AQ911" i="21398"/>
  <c r="AT658" i="21398"/>
  <c r="AQ15" i="21398"/>
  <c r="AQ569" i="21398"/>
  <c r="AT1262" i="2"/>
  <c r="AT1194" i="21398"/>
  <c r="AQ1145" i="21398"/>
  <c r="AT220" i="21398"/>
  <c r="AT434" i="21398"/>
  <c r="AT208" i="21398"/>
  <c r="AQ571" i="21398"/>
  <c r="AQ269" i="21398"/>
  <c r="AT26" i="21400"/>
  <c r="AT16" i="21399"/>
  <c r="AQ44" i="3"/>
  <c r="AT20" i="21400"/>
  <c r="AQ1235" i="21398"/>
  <c r="AQ1047" i="21398"/>
  <c r="AQ1213" i="21398"/>
  <c r="AQ179" i="21398"/>
  <c r="AT1254" i="2"/>
  <c r="AT854" i="21398"/>
  <c r="AT1120" i="21398"/>
  <c r="AQ959" i="21398"/>
  <c r="AQ1129" i="21398"/>
  <c r="AQ989" i="21398"/>
  <c r="AT332" i="21398"/>
  <c r="AQ1267" i="2"/>
  <c r="AT66" i="21398"/>
  <c r="AT366" i="21398"/>
  <c r="AQ249" i="21398"/>
  <c r="AQ27" i="21413"/>
  <c r="AT26" i="21413"/>
  <c r="AQ481" i="21398"/>
  <c r="AQ585" i="21398"/>
  <c r="AQ1179" i="21398"/>
  <c r="AT738" i="21398"/>
  <c r="AQ41" i="21413"/>
  <c r="AQ749" i="21398"/>
  <c r="AQ539" i="21398"/>
  <c r="AT1034" i="21398"/>
  <c r="AQ971" i="21398"/>
  <c r="AQ149" i="21398"/>
  <c r="AT490" i="21398"/>
  <c r="AQ19" i="21415"/>
  <c r="AT918" i="21398"/>
  <c r="AT362" i="21398"/>
  <c r="AQ13" i="21399"/>
  <c r="AT178" i="21398"/>
  <c r="AT28" i="108"/>
  <c r="AQ40" i="3"/>
  <c r="AT1000" i="21398"/>
  <c r="AT268" i="21398"/>
  <c r="AQ553" i="21398"/>
  <c r="AQ89" i="21398"/>
  <c r="AT620" i="21398"/>
  <c r="AQ763" i="21398"/>
  <c r="AQ315" i="21398"/>
  <c r="AQ21" i="21415"/>
  <c r="AT1090" i="21398"/>
  <c r="AT966" i="21398"/>
  <c r="AT1186" i="21398"/>
  <c r="AT52" i="21413"/>
  <c r="AQ293" i="21398"/>
  <c r="AQ1079" i="21398"/>
  <c r="AT46" i="21413"/>
  <c r="AT944" i="21398"/>
  <c r="AQ231" i="21398"/>
  <c r="AQ109" i="21398"/>
  <c r="AQ615" i="21398"/>
  <c r="AT730" i="21398"/>
  <c r="AT46" i="21398"/>
  <c r="AQ323" i="21398"/>
  <c r="AQ491" i="21398"/>
  <c r="AQ35" i="21399"/>
  <c r="AT924" i="21398"/>
  <c r="AQ477" i="21398"/>
  <c r="AT1066" i="21398"/>
  <c r="AT9" i="3"/>
  <c r="AQ13" i="21413"/>
  <c r="AT938" i="21398"/>
  <c r="AQ879" i="21398"/>
  <c r="AT824" i="21398"/>
  <c r="AQ427" i="21398"/>
  <c r="AT232" i="21398"/>
  <c r="AQ367" i="21398"/>
  <c r="AT28" i="21415"/>
  <c r="AQ77" i="21398"/>
  <c r="AQ19" i="21413"/>
  <c r="AQ747" i="21398"/>
  <c r="AQ37" i="21398"/>
  <c r="AT1258" i="21398"/>
  <c r="AQ43" i="21413"/>
  <c r="AQ31" i="21413"/>
  <c r="AT182" i="21398"/>
  <c r="AQ66" i="3"/>
  <c r="AT226" i="21398"/>
  <c r="AQ103" i="21398"/>
  <c r="AQ27" i="21399"/>
  <c r="AT1156" i="21398"/>
  <c r="AT1012" i="21398"/>
  <c r="AQ265" i="21398"/>
  <c r="AT420" i="21398"/>
  <c r="AQ117" i="21398"/>
  <c r="AQ1051" i="21398"/>
  <c r="AQ30" i="3"/>
  <c r="AQ99" i="21398"/>
  <c r="AT172" i="21398"/>
  <c r="AT326" i="21398"/>
  <c r="AQ9" i="21415"/>
  <c r="AQ813" i="21398"/>
  <c r="AQ163" i="21398"/>
  <c r="AQ975" i="21398"/>
  <c r="AT986" i="21398"/>
  <c r="AQ165" i="21398"/>
  <c r="AT23" i="3"/>
  <c r="AT856" i="21398"/>
  <c r="AQ25" i="108"/>
  <c r="AQ943" i="21398"/>
  <c r="AT180" i="21398"/>
  <c r="AQ18" i="3"/>
  <c r="AQ101" i="21398"/>
  <c r="AQ483" i="21398"/>
  <c r="AT52" i="21415"/>
  <c r="AQ135" i="21398"/>
  <c r="AQ72" i="3"/>
  <c r="AQ317" i="21398"/>
  <c r="AT1086" i="21398"/>
  <c r="AQ777" i="21398"/>
  <c r="AQ17" i="21413"/>
  <c r="AQ543" i="21398"/>
  <c r="AQ29" i="21413"/>
  <c r="AT166" i="21398"/>
  <c r="AT84" i="21398"/>
  <c r="AQ933" i="21398"/>
  <c r="AT63" i="3"/>
  <c r="AQ873" i="21398"/>
  <c r="AQ61" i="21415"/>
  <c r="AT392" i="21398"/>
  <c r="AT230" i="21398"/>
  <c r="AQ305" i="21398"/>
  <c r="AQ46" i="3"/>
  <c r="AQ171" i="21398"/>
  <c r="AT402" i="21398"/>
  <c r="AT19" i="3"/>
  <c r="AQ31" i="21398"/>
  <c r="AT32" i="21413"/>
  <c r="AQ799" i="21398"/>
  <c r="AT1228" i="21398"/>
  <c r="AT24" i="21413"/>
  <c r="AQ25" i="21415"/>
  <c r="AT1198" i="21398"/>
  <c r="AT45" i="3"/>
  <c r="AQ1093" i="21398"/>
  <c r="AQ443" i="21398"/>
  <c r="AQ155" i="21398"/>
  <c r="AT124" i="21398"/>
  <c r="AT566" i="21398"/>
  <c r="AQ303" i="21398"/>
  <c r="AT74" i="21398"/>
  <c r="AT744" i="21398"/>
  <c r="AT632" i="21398"/>
  <c r="AT30" i="21400"/>
  <c r="AQ385" i="21398"/>
  <c r="AQ49" i="21413"/>
  <c r="AQ37" i="21413"/>
  <c r="AT200" i="21398"/>
  <c r="AQ897" i="21398"/>
  <c r="AQ1197" i="21398"/>
  <c r="AT50" i="21415"/>
  <c r="AQ119" i="21398"/>
  <c r="AT51" i="3"/>
  <c r="AQ961" i="21398"/>
  <c r="AQ285" i="21398"/>
  <c r="AQ11" i="108"/>
  <c r="AT22" i="21400"/>
  <c r="AT1094" i="21398"/>
  <c r="AQ421" i="21398"/>
  <c r="AT616" i="21398"/>
  <c r="AT59" i="3"/>
  <c r="AQ253" i="21398"/>
  <c r="AQ23" i="21413"/>
  <c r="AT458" i="21398"/>
  <c r="AQ205" i="21398"/>
  <c r="AT254" i="21398"/>
  <c r="AT1160" i="21398"/>
  <c r="AQ23" i="108"/>
  <c r="AT564" i="21398"/>
  <c r="AQ45" i="21415"/>
  <c r="AQ29" i="21398"/>
  <c r="AT852" i="21398"/>
  <c r="AQ465" i="21398"/>
  <c r="AT372" i="21398"/>
  <c r="AQ411" i="21398"/>
  <c r="AQ381" i="21398"/>
  <c r="AT1054" i="21398"/>
  <c r="AT998" i="21398"/>
  <c r="AT850" i="21398"/>
  <c r="AT670" i="21398"/>
  <c r="AQ599" i="21398"/>
  <c r="AQ605" i="21398"/>
  <c r="AQ1253" i="21398"/>
  <c r="AT478" i="21398"/>
  <c r="AQ1231" i="21398"/>
  <c r="AT114" i="21398"/>
  <c r="AQ1153" i="21398"/>
  <c r="AT406" i="21398"/>
  <c r="AT10" i="21398"/>
  <c r="AQ983" i="21398"/>
  <c r="AQ129" i="21398"/>
  <c r="AT942" i="21398"/>
  <c r="AT48" i="21415"/>
  <c r="AT624" i="21398"/>
  <c r="AQ17" i="108"/>
  <c r="AQ333" i="21398"/>
  <c r="AT14" i="108"/>
  <c r="AT432" i="21398"/>
  <c r="AQ9" i="21413"/>
  <c r="AT16" i="21413"/>
  <c r="AT390" i="21398"/>
  <c r="AT554" i="21398"/>
  <c r="AQ751" i="21398"/>
  <c r="AQ21" i="21399"/>
  <c r="AQ339" i="21398"/>
  <c r="AQ829" i="21398"/>
  <c r="AQ1227" i="21398"/>
  <c r="AQ105" i="21398"/>
  <c r="AT61" i="3"/>
  <c r="AT560" i="21398"/>
  <c r="AT896" i="21398"/>
  <c r="AT36" i="21415"/>
  <c r="AT1062" i="21398"/>
  <c r="AQ215" i="21398"/>
  <c r="AQ497" i="21398"/>
  <c r="AT106" i="21398"/>
  <c r="AQ217" i="21398"/>
  <c r="AQ203" i="21398"/>
  <c r="AT256" i="21398"/>
  <c r="AQ211" i="21398"/>
  <c r="AT222" i="21398"/>
  <c r="AQ771" i="21398"/>
  <c r="AT438" i="21398"/>
  <c r="AT1048" i="21398"/>
  <c r="AT198" i="21398"/>
  <c r="AT1082" i="21398"/>
  <c r="AT1080" i="21398"/>
  <c r="AT218" i="21398"/>
  <c r="AQ1211" i="21398"/>
  <c r="AT12" i="21398"/>
  <c r="AT960" i="21398"/>
  <c r="AQ733" i="21398"/>
  <c r="AT538" i="21398"/>
  <c r="AT532" i="21398"/>
  <c r="AT24" i="2"/>
  <c r="AT14" i="2"/>
  <c r="AT20" i="2"/>
  <c r="AT41" i="3"/>
  <c r="AT1050" i="21398"/>
  <c r="AT868" i="21398"/>
  <c r="AT956" i="21398"/>
  <c r="AQ453" i="21398"/>
  <c r="AT11" i="3"/>
  <c r="AQ535" i="21398"/>
  <c r="AQ19" i="2"/>
  <c r="AQ25" i="2"/>
  <c r="AQ525" i="21398"/>
  <c r="AT510" i="21398"/>
  <c r="AT240" i="21398"/>
  <c r="AT1176" i="21398"/>
  <c r="AQ609" i="21398"/>
  <c r="AQ463" i="21398"/>
  <c r="AQ1059" i="21398"/>
  <c r="AQ31" i="21399"/>
  <c r="AT252" i="21398"/>
  <c r="AQ37" i="108"/>
  <c r="AQ1151" i="21398"/>
  <c r="AT1260" i="2"/>
  <c r="AQ34" i="3"/>
  <c r="AT864" i="21398"/>
  <c r="AT1256" i="21398"/>
  <c r="AQ383" i="21398"/>
  <c r="AT534" i="21398"/>
  <c r="AT26" i="2"/>
  <c r="AQ1001" i="21398"/>
  <c r="AQ12" i="3"/>
  <c r="AQ1163" i="21398"/>
  <c r="AT1196" i="21398"/>
  <c r="AT1114" i="21398"/>
  <c r="AT17" i="3"/>
  <c r="AT1030" i="21398"/>
  <c r="AT1272" i="2"/>
  <c r="AT21" i="3"/>
  <c r="AQ1251" i="21398"/>
  <c r="AT380" i="21398"/>
  <c r="AT1246" i="21398"/>
  <c r="AT588" i="21398"/>
  <c r="AQ531" i="21398"/>
  <c r="AT1038" i="21398"/>
  <c r="AQ145" i="21398"/>
  <c r="AQ21" i="21398"/>
  <c r="AT1072" i="21398"/>
  <c r="AT596" i="21398"/>
  <c r="AQ753" i="21398"/>
  <c r="AT504" i="21398"/>
  <c r="AT1242" i="21398"/>
  <c r="AQ921" i="21398"/>
  <c r="AT1036" i="21398"/>
  <c r="AQ441" i="21398"/>
  <c r="AQ779" i="21398"/>
  <c r="AQ11" i="21398"/>
  <c r="AT288" i="21398"/>
  <c r="AQ495" i="21398"/>
  <c r="AQ759" i="21398"/>
  <c r="AQ379" i="21398"/>
  <c r="AT932" i="21398"/>
  <c r="AT25" i="3"/>
  <c r="AT70" i="21398"/>
  <c r="AT330" i="21398"/>
  <c r="AQ1147" i="21398"/>
  <c r="AQ85" i="21398"/>
  <c r="AT606" i="21398"/>
  <c r="AT920" i="21398"/>
  <c r="AT922" i="21398"/>
  <c r="AT118" i="21398"/>
  <c r="AT1138" i="21398"/>
  <c r="AQ877" i="21398"/>
  <c r="AQ507" i="21398"/>
  <c r="AQ19" i="21399"/>
  <c r="AT348" i="21398"/>
  <c r="AQ391" i="21398"/>
  <c r="AT870" i="21398"/>
  <c r="AQ487" i="21398"/>
  <c r="AT460" i="21398"/>
  <c r="AQ621" i="21398"/>
  <c r="AQ561" i="21398"/>
  <c r="AT1068" i="21398"/>
  <c r="AT290" i="21398"/>
  <c r="AT882" i="21398"/>
  <c r="AT446" i="21398"/>
  <c r="AT750" i="21398"/>
  <c r="AT1076" i="21398"/>
  <c r="AQ845" i="21398"/>
  <c r="AT582" i="21398"/>
  <c r="AQ875" i="21398"/>
  <c r="AT1118" i="21398"/>
  <c r="AT860" i="21398"/>
  <c r="AT376" i="21398"/>
  <c r="AT38" i="21398"/>
  <c r="AT1260" i="21398"/>
  <c r="AQ925" i="21398"/>
  <c r="AQ169" i="21398"/>
  <c r="AT892" i="21398"/>
  <c r="AQ361" i="21398"/>
  <c r="AT48" i="21413"/>
  <c r="AT476" i="21398"/>
  <c r="AQ439" i="21398"/>
  <c r="AQ33" i="21400"/>
  <c r="AT354" i="21398"/>
  <c r="AQ7" i="21413"/>
  <c r="AQ545" i="21398"/>
  <c r="AQ1225" i="21398"/>
  <c r="AT1022" i="21398"/>
  <c r="AT842" i="21398"/>
  <c r="AT1202" i="21398"/>
  <c r="AT946" i="21398"/>
  <c r="AQ15" i="21415"/>
  <c r="AT592" i="21398"/>
  <c r="AQ583" i="21398"/>
  <c r="AT1226" i="21398"/>
  <c r="AT30" i="108"/>
  <c r="AT530" i="21398"/>
  <c r="AT428" i="21398"/>
  <c r="AT312" i="21398"/>
  <c r="AQ1121" i="21398"/>
  <c r="AQ1269" i="21398"/>
  <c r="AT194" i="21398"/>
  <c r="AT562" i="21398"/>
  <c r="AQ29" i="21399"/>
  <c r="AQ1223" i="21398"/>
  <c r="AQ603" i="21398"/>
  <c r="AT72" i="21398"/>
  <c r="AQ469" i="21398"/>
  <c r="AT138" i="21398"/>
  <c r="AQ29" i="21400"/>
  <c r="AQ39" i="108"/>
  <c r="AQ287" i="21398"/>
  <c r="AQ1249" i="21398"/>
  <c r="AQ295" i="21398"/>
  <c r="AQ627" i="21398"/>
  <c r="AT186" i="21398"/>
  <c r="AQ32" i="3"/>
  <c r="AQ473" i="21398"/>
  <c r="AQ1039" i="21398"/>
  <c r="AQ661" i="21398"/>
  <c r="AT544" i="21398"/>
  <c r="AT1026" i="21398"/>
  <c r="AQ909" i="21398"/>
  <c r="AT234" i="21398"/>
  <c r="AT68" i="21398"/>
  <c r="AT382" i="21398"/>
  <c r="AT296" i="21398"/>
  <c r="AT454" i="21398"/>
  <c r="AQ519" i="21398"/>
  <c r="AQ801" i="21398"/>
  <c r="AQ951" i="21398"/>
  <c r="AQ225" i="21398"/>
  <c r="AQ1167" i="21398"/>
  <c r="AT866" i="21398"/>
  <c r="AT462" i="21398"/>
  <c r="AT55" i="3"/>
  <c r="AQ1065" i="21398"/>
  <c r="AQ1005" i="21398"/>
  <c r="AT506" i="21398"/>
  <c r="AQ579" i="21398"/>
  <c r="AT1148" i="21398"/>
  <c r="AT906" i="21398"/>
  <c r="AT236" i="21398"/>
  <c r="AT10" i="2"/>
  <c r="AQ11" i="2"/>
  <c r="AT1004" i="21398"/>
  <c r="AQ1019" i="21398"/>
  <c r="AQ957" i="21398"/>
  <c r="AQ821" i="21398"/>
  <c r="AQ549" i="21398"/>
  <c r="AT936" i="21398"/>
  <c r="AQ967" i="21398"/>
  <c r="AT516" i="21398"/>
  <c r="AT1116" i="21398"/>
  <c r="AQ819" i="21398"/>
  <c r="AT15" i="3"/>
  <c r="AT18" i="21399"/>
  <c r="AQ1119" i="21398"/>
  <c r="AQ927" i="21398"/>
  <c r="AT1088" i="21398"/>
  <c r="AQ899" i="21398"/>
  <c r="AT1212" i="21398"/>
  <c r="AQ1099" i="21398"/>
  <c r="AQ223" i="21398"/>
  <c r="AT1184" i="21398"/>
  <c r="AT26" i="108"/>
  <c r="AQ941" i="21398"/>
  <c r="AQ913" i="21398"/>
  <c r="AQ871" i="21398"/>
  <c r="AT76" i="21398"/>
  <c r="AQ575" i="21398"/>
  <c r="AT1152" i="21398"/>
  <c r="AQ61" i="21398"/>
  <c r="AT24" i="21398"/>
  <c r="AQ1097" i="21398"/>
  <c r="AT164" i="21398"/>
  <c r="AT32" i="21399"/>
  <c r="AT7" i="3"/>
  <c r="AT142" i="21398"/>
  <c r="AQ887" i="21398"/>
  <c r="AT578" i="21398"/>
  <c r="AQ1055" i="21398"/>
  <c r="AT146" i="21398"/>
  <c r="AT88" i="21398"/>
  <c r="AQ7" i="21415"/>
  <c r="AQ1253" i="2"/>
  <c r="AQ613" i="21398"/>
  <c r="AT450" i="21398"/>
  <c r="AQ131" i="21398"/>
  <c r="AQ93" i="21398"/>
  <c r="AT1018" i="21398"/>
  <c r="AQ1259" i="2"/>
  <c r="AQ175" i="21398"/>
  <c r="AT746" i="21398"/>
  <c r="AQ261" i="21398"/>
  <c r="AQ1257" i="21398"/>
  <c r="AT512" i="21398"/>
  <c r="AQ509" i="21398"/>
  <c r="AQ1105" i="21398"/>
  <c r="AT14" i="21413"/>
  <c r="AQ767" i="21398"/>
  <c r="AT546" i="21398"/>
  <c r="AT150" i="21398"/>
  <c r="AQ839" i="21398"/>
  <c r="AT314" i="21398"/>
  <c r="AT754" i="21398"/>
  <c r="AT558" i="21398"/>
  <c r="AT47" i="3"/>
  <c r="AQ393" i="21398"/>
  <c r="AQ195" i="21398"/>
  <c r="AQ541" i="21398"/>
  <c r="AQ471" i="21398"/>
  <c r="AQ15" i="21399"/>
  <c r="AQ559" i="21398"/>
  <c r="AQ995" i="21398"/>
  <c r="AT552" i="21398"/>
  <c r="AT886" i="21398"/>
  <c r="AT890" i="21398"/>
  <c r="AT734" i="21398"/>
  <c r="AT34" i="21413"/>
  <c r="AT612" i="21398"/>
  <c r="AT1268" i="2"/>
  <c r="AQ857" i="21398"/>
  <c r="AQ291" i="21398"/>
  <c r="AQ53" i="21415"/>
  <c r="AT524" i="21398"/>
  <c r="AQ1111" i="21398"/>
  <c r="AT1028" i="21398"/>
  <c r="AT934" i="21398"/>
  <c r="AQ573" i="21398"/>
  <c r="AT122" i="21398"/>
  <c r="AQ1107" i="21398"/>
  <c r="AT618" i="21398"/>
  <c r="AT322" i="21398"/>
  <c r="AT514" i="21398"/>
  <c r="AQ22" i="3"/>
  <c r="AQ1091" i="21398"/>
  <c r="AQ359" i="21398"/>
  <c r="AT756" i="21398"/>
  <c r="AT1172" i="21398"/>
  <c r="AT808" i="21398"/>
  <c r="AQ21" i="108"/>
  <c r="AT52" i="21398"/>
  <c r="AT174" i="21398"/>
  <c r="AT926" i="21398"/>
  <c r="AT848" i="21398"/>
  <c r="AT24" i="21415"/>
  <c r="AT610" i="21398"/>
  <c r="AQ14" i="3"/>
  <c r="AT304" i="21398"/>
  <c r="AT92" i="21398"/>
  <c r="AT576" i="21398"/>
  <c r="AQ729" i="21398"/>
  <c r="AT42" i="21398"/>
  <c r="AT846" i="21398"/>
  <c r="AT814" i="21398"/>
  <c r="AQ431" i="21398"/>
  <c r="AT384" i="21398"/>
  <c r="AT34" i="21399"/>
  <c r="AQ563" i="21398"/>
  <c r="AT880" i="21398"/>
  <c r="AT346" i="21398"/>
  <c r="AT884" i="21398"/>
  <c r="AQ23" i="2"/>
  <c r="AT12" i="2"/>
  <c r="AQ111" i="21398"/>
  <c r="AQ869" i="21398"/>
  <c r="AQ837" i="21398"/>
  <c r="AT56" i="21398"/>
  <c r="AQ67" i="21398"/>
  <c r="AQ709" i="21398"/>
  <c r="AT1064" i="21398"/>
  <c r="AQ71" i="21398"/>
  <c r="AT426" i="21398"/>
  <c r="AQ251" i="21398"/>
  <c r="AT264" i="21398"/>
  <c r="AT356" i="21398"/>
  <c r="AQ27" i="21400"/>
  <c r="AT20" i="108"/>
  <c r="AT940" i="21398"/>
  <c r="AT1042" i="21398"/>
  <c r="AQ43" i="21398"/>
  <c r="AT770" i="21398"/>
  <c r="AT442" i="21398"/>
  <c r="AQ57" i="21398"/>
  <c r="AQ475" i="21398"/>
  <c r="AQ675" i="21398"/>
  <c r="AQ36" i="3"/>
  <c r="AT782" i="21398"/>
  <c r="AT968" i="21398"/>
  <c r="AT1166" i="21398"/>
  <c r="AT1102" i="21398"/>
  <c r="AQ28" i="3"/>
  <c r="AQ657" i="21398"/>
  <c r="AQ1169" i="21398"/>
  <c r="AQ1003" i="21398"/>
  <c r="AT282" i="21398"/>
  <c r="AQ1243" i="21398"/>
  <c r="AT914" i="21398"/>
  <c r="AQ517" i="21398"/>
  <c r="AT444" i="21398"/>
  <c r="AQ9" i="2"/>
  <c r="AQ321" i="21398"/>
  <c r="AT308" i="21398"/>
  <c r="AT1250" i="21398"/>
  <c r="AQ1173" i="21398"/>
  <c r="AT1266" i="21398"/>
  <c r="AQ141" i="21398"/>
  <c r="AQ235" i="21398"/>
  <c r="AQ351" i="21398"/>
  <c r="AQ143" i="21398"/>
  <c r="AT580" i="21398"/>
  <c r="AQ673" i="21398"/>
  <c r="AT396" i="21398"/>
  <c r="AQ761" i="21398"/>
  <c r="AQ731" i="21398"/>
  <c r="AT12" i="108"/>
  <c r="AT984" i="21398"/>
  <c r="AQ895" i="21398"/>
  <c r="AQ60" i="3"/>
  <c r="AT14" i="21399"/>
  <c r="AT626" i="21398"/>
  <c r="AT18" i="108"/>
  <c r="AQ263" i="21398"/>
  <c r="AQ35" i="21400"/>
  <c r="AT18" i="21415"/>
  <c r="AQ775" i="21398"/>
  <c r="AQ499" i="21398"/>
  <c r="AQ593" i="21398"/>
  <c r="AQ1181" i="21398"/>
  <c r="AT1052" i="21398"/>
  <c r="AT65" i="3"/>
  <c r="AT878" i="21398"/>
  <c r="AT6" i="2"/>
  <c r="AT608" i="21398"/>
  <c r="AQ62" i="3"/>
  <c r="AT40" i="21398"/>
  <c r="AT1112" i="21398"/>
  <c r="AT494" i="21398"/>
  <c r="AT1168" i="21398"/>
  <c r="AT370" i="21398"/>
  <c r="AT760" i="21398"/>
  <c r="AT974" i="21398"/>
  <c r="AT1142" i="21398"/>
  <c r="AQ669" i="21398"/>
  <c r="AT1258" i="2"/>
  <c r="AT374" i="21398"/>
  <c r="AT456" i="21398"/>
  <c r="AQ625" i="21398"/>
  <c r="AT28" i="21399"/>
  <c r="AQ831" i="21398"/>
  <c r="AQ23" i="21400"/>
  <c r="AQ197" i="21398"/>
  <c r="AQ1215" i="21398"/>
  <c r="AT36" i="108"/>
  <c r="AQ551" i="21398"/>
  <c r="AQ847" i="21398"/>
  <c r="AQ861" i="21398"/>
  <c r="AT324" i="21398"/>
  <c r="AQ1057" i="21398"/>
  <c r="AT1056" i="21398"/>
  <c r="AQ511" i="21398"/>
  <c r="AT628" i="21398"/>
  <c r="AQ13" i="2"/>
  <c r="AT336" i="21398"/>
  <c r="AQ1053" i="21398"/>
  <c r="AT768" i="21398"/>
  <c r="AT24" i="21400"/>
  <c r="AQ25" i="21400"/>
  <c r="AT666" i="21398"/>
  <c r="AT43" i="3"/>
  <c r="AT202" i="21398"/>
  <c r="AQ1021" i="21398"/>
  <c r="AT764" i="21398"/>
  <c r="AQ581" i="21398"/>
  <c r="AQ1087" i="21398"/>
  <c r="AQ51" i="21413"/>
  <c r="AT994" i="21398"/>
  <c r="AQ23" i="21415"/>
  <c r="AT962" i="21398"/>
  <c r="AQ413" i="21398"/>
  <c r="AQ987" i="21398"/>
  <c r="AT1252" i="21398"/>
  <c r="AQ1241" i="21398"/>
  <c r="AQ1149" i="21398"/>
  <c r="AQ805" i="21398"/>
  <c r="AQ807" i="21398"/>
  <c r="AQ243" i="21398"/>
  <c r="AT1024" i="21398"/>
  <c r="AQ115" i="21398"/>
  <c r="AT1020" i="21398"/>
  <c r="AQ1071" i="21398"/>
  <c r="AT1058" i="21398"/>
  <c r="AQ797" i="21398"/>
  <c r="AQ533" i="21398"/>
  <c r="AQ27" i="2"/>
  <c r="AT298" i="21398"/>
  <c r="AQ301" i="21398"/>
  <c r="AQ299" i="21398"/>
  <c r="AT302" i="21398"/>
  <c r="AC1058" i="21398" l="1"/>
  <c r="AC1020" i="21398"/>
  <c r="AC1024" i="21398"/>
  <c r="AC1252" i="21398"/>
  <c r="AC962" i="21398"/>
  <c r="AC994" i="21398"/>
  <c r="AC764" i="21398"/>
  <c r="AC202" i="21398"/>
  <c r="AT40" i="108"/>
  <c r="AC43" i="3"/>
  <c r="AC666" i="21398"/>
  <c r="AC24" i="21400"/>
  <c r="AC1056" i="21398"/>
  <c r="AC36" i="108"/>
  <c r="AC456" i="21398"/>
  <c r="AC1258" i="2"/>
  <c r="AC1142" i="21398"/>
  <c r="AC974" i="21398"/>
  <c r="AC760" i="21398"/>
  <c r="AC1168" i="21398"/>
  <c r="AC494" i="21398"/>
  <c r="AC1112" i="21398"/>
  <c r="AC608" i="21398"/>
  <c r="AC6" i="2"/>
  <c r="AC878" i="21398"/>
  <c r="AC65" i="3"/>
  <c r="AC1052" i="21398"/>
  <c r="AC18" i="21415"/>
  <c r="AQ37" i="21399"/>
  <c r="AC626" i="21398"/>
  <c r="AC14" i="21399"/>
  <c r="AC984" i="21398"/>
  <c r="AC580" i="21398"/>
  <c r="AC1266" i="21398"/>
  <c r="AC1250" i="21398"/>
  <c r="AC444" i="21398"/>
  <c r="AC914" i="21398"/>
  <c r="AC1102" i="21398"/>
  <c r="AC1166" i="21398"/>
  <c r="AC968" i="21398"/>
  <c r="AC782" i="21398"/>
  <c r="AC442" i="21398"/>
  <c r="AC770" i="21398"/>
  <c r="AC1042" i="21398"/>
  <c r="AC940" i="21398"/>
  <c r="AC426" i="21398"/>
  <c r="AC1064" i="21398"/>
  <c r="AC12" i="2"/>
  <c r="AC884" i="21398"/>
  <c r="AC880" i="21398"/>
  <c r="AC34" i="21399"/>
  <c r="AC814" i="21398"/>
  <c r="AC846" i="21398"/>
  <c r="AC576" i="21398"/>
  <c r="AC610" i="21398"/>
  <c r="AC24" i="21415"/>
  <c r="AC848" i="21398"/>
  <c r="AC926" i="21398"/>
  <c r="AC808" i="21398"/>
  <c r="AC756" i="21398"/>
  <c r="AC514" i="21398"/>
  <c r="AC322" i="21398"/>
  <c r="AC618" i="21398"/>
  <c r="AC1028" i="21398"/>
  <c r="AC1268" i="2"/>
  <c r="AC612" i="21398"/>
  <c r="AC34" i="21413"/>
  <c r="AC734" i="21398"/>
  <c r="AC890" i="21398"/>
  <c r="AC552" i="21398"/>
  <c r="AT44" i="108"/>
  <c r="AC47" i="3"/>
  <c r="AC558" i="21398"/>
  <c r="AC754" i="21398"/>
  <c r="AC546" i="21398"/>
  <c r="AT10" i="21400"/>
  <c r="AC512" i="21398"/>
  <c r="AC1018" i="21398"/>
  <c r="AC450" i="21398"/>
  <c r="AC578" i="21398"/>
  <c r="AC7" i="3"/>
  <c r="AC1152" i="21398"/>
  <c r="AC1184" i="21398"/>
  <c r="AC1088" i="21398"/>
  <c r="AC18" i="21399"/>
  <c r="AC15" i="3"/>
  <c r="AC1116" i="21398"/>
  <c r="AC516" i="21398"/>
  <c r="AC936" i="21398"/>
  <c r="AC1004" i="21398"/>
  <c r="AC1148" i="21398"/>
  <c r="AC506" i="21398"/>
  <c r="AC55" i="3"/>
  <c r="AC462" i="21398"/>
  <c r="AC866" i="21398"/>
  <c r="AC454" i="21398"/>
  <c r="AC1026" i="21398"/>
  <c r="AC544" i="21398"/>
  <c r="AC186" i="21398"/>
  <c r="AC562" i="21398"/>
  <c r="AC194" i="21398"/>
  <c r="AC428" i="21398"/>
  <c r="AC530" i="21398"/>
  <c r="AC30" i="108"/>
  <c r="AC1226" i="21398"/>
  <c r="AC592" i="21398"/>
  <c r="AC946" i="21398"/>
  <c r="AC1202" i="21398"/>
  <c r="AC842" i="21398"/>
  <c r="AC1022" i="21398"/>
  <c r="AC476" i="21398"/>
  <c r="AC48" i="21413"/>
  <c r="AT44" i="21400"/>
  <c r="AC892" i="21398"/>
  <c r="AC860" i="21398"/>
  <c r="AC1118" i="21398"/>
  <c r="AC582" i="21398"/>
  <c r="AC1076" i="21398"/>
  <c r="AC750" i="21398"/>
  <c r="AC446" i="21398"/>
  <c r="AC882" i="21398"/>
  <c r="AC1068" i="21398"/>
  <c r="AC460" i="21398"/>
  <c r="AC870" i="21398"/>
  <c r="AC1138" i="21398"/>
  <c r="AC922" i="21398"/>
  <c r="AC920" i="21398"/>
  <c r="AC606" i="21398"/>
  <c r="AC25" i="3"/>
  <c r="AC1036" i="21398"/>
  <c r="AC1242" i="21398"/>
  <c r="AC504" i="21398"/>
  <c r="AC1072" i="21398"/>
  <c r="AC1038" i="21398"/>
  <c r="AC588" i="21398"/>
  <c r="AC1246" i="21398"/>
  <c r="AC21" i="3"/>
  <c r="AC1272" i="2"/>
  <c r="AC1030" i="21398"/>
  <c r="AC17" i="3"/>
  <c r="AC1114" i="21398"/>
  <c r="AQ9" i="108"/>
  <c r="AC26" i="2"/>
  <c r="AC534" i="21398"/>
  <c r="AC864" i="21398"/>
  <c r="AC1260" i="2"/>
  <c r="AC1176" i="21398"/>
  <c r="AC510" i="21398"/>
  <c r="AT8" i="108"/>
  <c r="AC956" i="21398"/>
  <c r="AC868" i="21398"/>
  <c r="AC1050" i="21398"/>
  <c r="AC41" i="3"/>
  <c r="AC20" i="2"/>
  <c r="AC24" i="2"/>
  <c r="AC532" i="21398"/>
  <c r="AC538" i="21398"/>
  <c r="AC960" i="21398"/>
  <c r="AC1080" i="21398"/>
  <c r="AC1082" i="21398"/>
  <c r="AC198" i="21398"/>
  <c r="AC438" i="21398"/>
  <c r="AC1062" i="21398"/>
  <c r="AC36" i="21415"/>
  <c r="AC896" i="21398"/>
  <c r="AC560" i="21398"/>
  <c r="AC61" i="3"/>
  <c r="AC554" i="21398"/>
  <c r="AC16" i="21413"/>
  <c r="AT12" i="21400"/>
  <c r="AT6" i="21399" s="1"/>
  <c r="AC432" i="21398"/>
  <c r="AC624" i="21398"/>
  <c r="AC48" i="21415"/>
  <c r="AC478" i="21398"/>
  <c r="AC670" i="21398"/>
  <c r="AC850" i="21398"/>
  <c r="AC998" i="21398"/>
  <c r="AC1054" i="21398"/>
  <c r="AC852" i="21398"/>
  <c r="AC564" i="21398"/>
  <c r="AC1160" i="21398"/>
  <c r="AC458" i="21398"/>
  <c r="AC59" i="3"/>
  <c r="AC616" i="21398"/>
  <c r="AC1094" i="21398"/>
  <c r="AC51" i="3"/>
  <c r="AC50" i="21415"/>
  <c r="AC200" i="21398"/>
  <c r="AQ45" i="21400"/>
  <c r="AC30" i="21400"/>
  <c r="AC632" i="21398"/>
  <c r="AC744" i="21398"/>
  <c r="AC566" i="21398"/>
  <c r="AC45" i="3"/>
  <c r="AT42" i="108"/>
  <c r="AC1198" i="21398"/>
  <c r="AC24" i="21413"/>
  <c r="AC1228" i="21398"/>
  <c r="AC32" i="21413"/>
  <c r="AC19" i="3"/>
  <c r="AQ43" i="108"/>
  <c r="AC63" i="3"/>
  <c r="AC52" i="21415"/>
  <c r="AC180" i="21398"/>
  <c r="AC856" i="21398"/>
  <c r="AC23" i="3"/>
  <c r="AC986" i="21398"/>
  <c r="AC420" i="21398"/>
  <c r="AC1012" i="21398"/>
  <c r="AC1156" i="21398"/>
  <c r="AC182" i="21398"/>
  <c r="AQ39" i="21400"/>
  <c r="AC1258" i="21398"/>
  <c r="AC28" i="21415"/>
  <c r="AC824" i="21398"/>
  <c r="AC938" i="21398"/>
  <c r="AQ9" i="21400"/>
  <c r="AT6" i="108"/>
  <c r="AC9" i="3"/>
  <c r="AC1066" i="21398"/>
  <c r="AC924" i="21398"/>
  <c r="AC730" i="21398"/>
  <c r="AC944" i="21398"/>
  <c r="AT42" i="21400"/>
  <c r="AC52" i="21413"/>
  <c r="AC1186" i="21398"/>
  <c r="AC966" i="21398"/>
  <c r="AC1090" i="21398"/>
  <c r="AC620" i="21398"/>
  <c r="AC1000" i="21398"/>
  <c r="AC178" i="21398"/>
  <c r="AC918" i="21398"/>
  <c r="AC490" i="21398"/>
  <c r="AC1034" i="21398"/>
  <c r="AQ37" i="21400"/>
  <c r="AQ39" i="21399" s="1"/>
  <c r="AC738" i="21398"/>
  <c r="AC26" i="21413"/>
  <c r="AC1120" i="21398"/>
  <c r="AC1254" i="2"/>
  <c r="AC20" i="21400"/>
  <c r="AQ41" i="108"/>
  <c r="AC16" i="21399"/>
  <c r="AC26" i="21400"/>
  <c r="AC208" i="21398"/>
  <c r="AC434" i="21398"/>
  <c r="AC1194" i="21398"/>
  <c r="AC1262" i="2"/>
  <c r="AC658" i="21398"/>
  <c r="AC1084" i="21398"/>
  <c r="AC474" i="21398"/>
  <c r="AC784" i="21398"/>
  <c r="AC556" i="21398"/>
  <c r="AC990" i="21398"/>
  <c r="AC980" i="21398"/>
  <c r="AC1144" i="21398"/>
  <c r="AC988" i="21398"/>
  <c r="AC1010" i="21398"/>
  <c r="AC1108" i="21398"/>
  <c r="AC8" i="21415"/>
  <c r="AC16" i="21415"/>
  <c r="O130" i="21408" s="1"/>
  <c r="AC436" i="21398"/>
  <c r="AC950" i="21398"/>
  <c r="AC196" i="21398"/>
  <c r="AC732" i="21398"/>
  <c r="AC584" i="21398"/>
  <c r="AC1100" i="21398"/>
  <c r="AC804" i="21398"/>
  <c r="AC810" i="21398"/>
  <c r="AC54" i="21415"/>
  <c r="AC57" i="3"/>
  <c r="AC728" i="21398"/>
  <c r="AC1178" i="21398"/>
  <c r="AC418" i="21398"/>
  <c r="AC466" i="21398"/>
  <c r="AC1232" i="21398"/>
  <c r="AC1046" i="21398"/>
  <c r="AC1200" i="21398"/>
  <c r="AC1126" i="21398"/>
  <c r="AC14" i="21415"/>
  <c r="AC71" i="3"/>
  <c r="AQ43" i="21400"/>
  <c r="AC1014" i="21398"/>
  <c r="AC20" i="21415"/>
  <c r="AC1188" i="21398"/>
  <c r="AC838" i="21398"/>
  <c r="AC660" i="21398"/>
  <c r="AC948" i="21398"/>
  <c r="AC604" i="21398"/>
  <c r="AC600" i="21398"/>
  <c r="AC622" i="21398"/>
  <c r="AC908" i="21398"/>
  <c r="AQ5" i="108"/>
  <c r="AC256" i="2"/>
  <c r="AC32" i="108"/>
  <c r="AC780" i="21398"/>
  <c r="AC602" i="21398"/>
  <c r="AC830" i="21398"/>
  <c r="AC752" i="21398"/>
  <c r="AC1248" i="21398"/>
  <c r="AC630" i="21398"/>
  <c r="AC448" i="21398"/>
  <c r="AC748" i="21398"/>
  <c r="AC13" i="3"/>
  <c r="AT10" i="108"/>
  <c r="AC1182" i="21398"/>
  <c r="AC710" i="21398"/>
  <c r="AC30" i="21415"/>
  <c r="AC1164" i="21398"/>
  <c r="AC1192" i="21398"/>
  <c r="AC22" i="21413"/>
  <c r="AC708" i="21398"/>
  <c r="AC1174" i="21398"/>
  <c r="AC10" i="21399"/>
  <c r="AC872" i="21398"/>
  <c r="AC36" i="21413"/>
  <c r="AC1104" i="21398"/>
  <c r="AC488" i="21398"/>
  <c r="AC27" i="3"/>
  <c r="AC470" i="21398"/>
  <c r="AC862" i="21398"/>
  <c r="AC486" i="21398"/>
  <c r="AC190" i="21398"/>
  <c r="AC39" i="3"/>
  <c r="AC37" i="3"/>
  <c r="AC572" i="21398"/>
  <c r="AC574" i="21398"/>
  <c r="AC192" i="21398"/>
  <c r="AC802" i="21398"/>
  <c r="AC1180" i="21398"/>
  <c r="AC1006" i="21398"/>
  <c r="AC528" i="21398"/>
  <c r="AC35" i="3"/>
  <c r="AC31" i="3"/>
  <c r="AC762" i="21398"/>
  <c r="AC452" i="21398"/>
  <c r="AC1122" i="21398"/>
  <c r="AC526" i="21398"/>
  <c r="AC500" i="21398"/>
  <c r="AC858" i="21398"/>
  <c r="AC1078" i="21398"/>
  <c r="AC1224" i="21398"/>
  <c r="AQ41" i="21400"/>
  <c r="AC1070" i="21398"/>
  <c r="AC30" i="21413"/>
  <c r="AC976" i="21398"/>
  <c r="AC46" i="21415"/>
  <c r="AC958" i="21398"/>
  <c r="AC430" i="21398"/>
  <c r="AC492" i="21398"/>
  <c r="AC766" i="21398"/>
  <c r="AC540" i="21398"/>
  <c r="AC412" i="21398"/>
  <c r="AC840" i="21398"/>
  <c r="AC1002" i="21398"/>
  <c r="AC424" i="21398"/>
  <c r="AT8" i="21400"/>
  <c r="AC10" i="21413"/>
  <c r="AC6" i="21400" s="1"/>
  <c r="AT6" i="21400"/>
  <c r="AC1170" i="21398"/>
  <c r="AC992" i="21398"/>
  <c r="AC978" i="21398"/>
  <c r="AC22" i="21415"/>
  <c r="AC668" i="21398"/>
  <c r="AC1238" i="21398"/>
  <c r="AC800" i="21398"/>
  <c r="AC614" i="21398"/>
  <c r="AC408" i="21398"/>
  <c r="AT56" i="21413"/>
  <c r="AC496" i="21398"/>
  <c r="AC996" i="21398"/>
  <c r="AC812" i="21398"/>
  <c r="AC440" i="21398"/>
  <c r="AC964" i="21398"/>
  <c r="AC1130" i="21398"/>
  <c r="AC570" i="21398"/>
  <c r="AC1214" i="21398"/>
  <c r="AC672" i="21398"/>
  <c r="AC1158" i="21398"/>
  <c r="AC912" i="21398"/>
  <c r="AC874" i="21398"/>
  <c r="AC1240" i="21398"/>
  <c r="AC468" i="21398"/>
  <c r="AC32" i="21400"/>
  <c r="AC736" i="21398"/>
  <c r="AC12" i="21399"/>
  <c r="AC44" i="21413"/>
  <c r="AT40" i="21400"/>
  <c r="AC664" i="21398"/>
  <c r="AC484" i="21398"/>
  <c r="AC1210" i="21398"/>
  <c r="AC522" i="21398"/>
  <c r="AC29" i="3"/>
  <c r="AC954" i="21398"/>
  <c r="AC1230" i="21398"/>
  <c r="AC972" i="21398"/>
  <c r="AC518" i="21398"/>
  <c r="AC508" i="21398"/>
  <c r="AC184" i="21398"/>
  <c r="AC482" i="21398"/>
  <c r="AC464" i="21398"/>
  <c r="AC206" i="21398"/>
  <c r="AC1016" i="21398"/>
  <c r="AC20" i="21399"/>
  <c r="AC18" i="21413"/>
  <c r="AC20" i="21413"/>
  <c r="AC49" i="3"/>
  <c r="AC520" i="21398"/>
  <c r="AC28" i="21413"/>
  <c r="AC1204" i="21398"/>
  <c r="AQ7" i="108"/>
  <c r="AC1244" i="21398"/>
  <c r="AQ45" i="108"/>
  <c r="AC1146" i="21398"/>
  <c r="AC778" i="21398"/>
  <c r="AC1074" i="21398"/>
  <c r="AC1162" i="21398"/>
  <c r="AC1150" i="21398"/>
  <c r="AC982" i="21398"/>
  <c r="AC1032" i="21398"/>
  <c r="AC894" i="21398"/>
  <c r="AC916" i="21398"/>
  <c r="AC1060" i="21398"/>
  <c r="AC18" i="21400"/>
  <c r="AC952" i="21398"/>
  <c r="AC774" i="21398"/>
  <c r="AQ11" i="21400"/>
  <c r="AQ5" i="21399" s="1"/>
  <c r="AC32" i="21415"/>
  <c r="AC542" i="21398"/>
  <c r="AC1044" i="21398"/>
  <c r="AC1098" i="21398"/>
  <c r="AC1128" i="21398"/>
  <c r="AC816" i="21398"/>
  <c r="AC758" i="21398"/>
  <c r="AC1110" i="21398"/>
  <c r="AC550" i="21398"/>
  <c r="AC844" i="21398"/>
  <c r="AC414" i="21398"/>
  <c r="AQ7" i="21400"/>
  <c r="AC1040" i="21398"/>
  <c r="AC58" i="21415"/>
  <c r="AC1206" i="21398"/>
  <c r="AC204" i="21398"/>
  <c r="AC1190" i="21398"/>
  <c r="AC1270" i="21398"/>
  <c r="AC930" i="21398"/>
  <c r="AC1140" i="21398"/>
  <c r="AC38" i="21413"/>
  <c r="AC1106" i="21398"/>
  <c r="AC480" i="21398"/>
  <c r="AC502" i="21398"/>
  <c r="AC1096" i="21398"/>
  <c r="AC1234" i="21398"/>
  <c r="AC776" i="21398"/>
  <c r="AC876" i="21398"/>
  <c r="AC69" i="3"/>
  <c r="AC472" i="21398"/>
  <c r="AC1154" i="21398"/>
  <c r="AC594" i="21398"/>
  <c r="AC422" i="21398"/>
  <c r="AT36" i="21399"/>
  <c r="AC34" i="21400"/>
  <c r="AC806" i="21398"/>
  <c r="AC590" i="21398"/>
  <c r="AC8" i="21413"/>
  <c r="AC742" i="21398"/>
  <c r="AT36" i="21400"/>
  <c r="AT38" i="21399" s="1"/>
  <c r="AC910" i="21398"/>
  <c r="AQ5" i="21400"/>
  <c r="AC34" i="21415"/>
  <c r="AC34" i="108"/>
  <c r="AC50" i="21413"/>
  <c r="AC416" i="21398"/>
  <c r="AC548" i="21398"/>
  <c r="AC586" i="21398"/>
  <c r="AC33" i="3"/>
  <c r="AC1092" i="21398"/>
  <c r="AC740" i="21398"/>
  <c r="AC772" i="21398"/>
  <c r="AT38" i="21400"/>
  <c r="AC42" i="21413"/>
  <c r="AC1208" i="21398"/>
  <c r="AC1236" i="21398"/>
  <c r="AC598" i="21398"/>
  <c r="AC836" i="21398"/>
  <c r="AC888" i="21398"/>
  <c r="AC410" i="21398"/>
  <c r="AC928" i="21398"/>
  <c r="AC22" i="21399"/>
  <c r="AC26" i="21415"/>
  <c r="AC826" i="21398"/>
  <c r="O34" i="21408"/>
  <c r="M54" i="21402"/>
  <c r="O259" i="21408"/>
  <c r="M40" i="21402"/>
  <c r="O82" i="21408"/>
  <c r="O211" i="21408"/>
  <c r="M3" i="21402"/>
  <c r="O26" i="21408"/>
  <c r="M39" i="21402"/>
  <c r="M59" i="21402"/>
  <c r="O69" i="21408"/>
  <c r="O182" i="21408"/>
  <c r="O112" i="21408"/>
  <c r="O164" i="21408"/>
  <c r="M19" i="21402"/>
  <c r="M4" i="21402"/>
  <c r="O86" i="21408"/>
  <c r="O372" i="21408"/>
  <c r="O246" i="21408"/>
  <c r="M9" i="21402"/>
  <c r="O167" i="21408"/>
  <c r="O120" i="21408"/>
  <c r="O322" i="21408"/>
  <c r="M70" i="21402"/>
  <c r="O237" i="21408"/>
  <c r="M42" i="21402"/>
  <c r="O250" i="21408"/>
  <c r="O19" i="21408"/>
  <c r="M33" i="21402"/>
  <c r="O83" i="21408"/>
  <c r="O63" i="21408"/>
  <c r="M5" i="21402"/>
  <c r="O43" i="21408"/>
  <c r="O118" i="21408"/>
  <c r="M67" i="21402"/>
  <c r="O89" i="21408"/>
  <c r="O279" i="21408"/>
  <c r="M16" i="21402"/>
  <c r="O23" i="21408"/>
  <c r="O71" i="21408"/>
  <c r="O8" i="21408"/>
  <c r="M8" i="21402"/>
  <c r="M57" i="21402"/>
  <c r="O59" i="21408"/>
  <c r="O161" i="21408"/>
  <c r="M21" i="21402"/>
  <c r="O197" i="21408"/>
  <c r="O260" i="21408"/>
  <c r="M22" i="21402"/>
  <c r="O123" i="21408"/>
  <c r="AY20" i="21399"/>
  <c r="O76" i="21408"/>
  <c r="O116" i="21408"/>
  <c r="O137" i="21408"/>
  <c r="O189" i="21408"/>
  <c r="O252" i="21408"/>
  <c r="O148" i="21408"/>
  <c r="O94" i="21408"/>
  <c r="M38" i="21402"/>
  <c r="O239" i="21408"/>
  <c r="M50" i="21402"/>
  <c r="O29" i="21408"/>
  <c r="O181" i="21408"/>
  <c r="O240" i="21408"/>
  <c r="O171" i="21408"/>
  <c r="M32" i="21402"/>
  <c r="O219" i="21408"/>
  <c r="O207" i="21408"/>
  <c r="O310" i="21408"/>
  <c r="O11" i="21408"/>
  <c r="O128" i="21408"/>
  <c r="O214" i="21408"/>
  <c r="O91" i="21408"/>
  <c r="O111" i="21408"/>
  <c r="O191" i="21408"/>
  <c r="O107" i="21408"/>
  <c r="O110" i="21408"/>
  <c r="O51" i="21408"/>
  <c r="O329" i="21408"/>
  <c r="O74" i="21408"/>
  <c r="O194" i="21408"/>
  <c r="O134" i="21408"/>
  <c r="O316" i="21408"/>
  <c r="O6" i="21408"/>
  <c r="O35" i="21408"/>
  <c r="M68" i="21402"/>
  <c r="M61" i="21402"/>
  <c r="O50" i="21408"/>
  <c r="O80" i="21408"/>
  <c r="O55" i="21408"/>
  <c r="O73" i="21408"/>
  <c r="O75" i="21408"/>
  <c r="O24" i="21408"/>
  <c r="O31" i="21408"/>
  <c r="O370" i="21408"/>
  <c r="O32" i="21408"/>
  <c r="O206" i="21408"/>
  <c r="O87" i="21408"/>
  <c r="AY30" i="21400"/>
  <c r="C24" i="21399"/>
  <c r="AW22" i="21399"/>
  <c r="AX22" i="21399"/>
  <c r="M22" i="21399" s="1"/>
  <c r="C34" i="21400"/>
  <c r="C34" i="21399"/>
  <c r="C28" i="108"/>
  <c r="AX26" i="108"/>
  <c r="M26" i="108" s="1"/>
  <c r="AX32" i="21398"/>
  <c r="M32" i="21398" s="1"/>
  <c r="J31" i="21398"/>
  <c r="AX31" i="21398" s="1"/>
  <c r="C34" i="21398"/>
  <c r="AW58" i="3"/>
  <c r="AZ58" i="3" s="1"/>
  <c r="BB58" i="3" s="1"/>
  <c r="C61" i="3"/>
  <c r="AX61" i="3" s="1"/>
  <c r="M61" i="3" s="1"/>
  <c r="BC61" i="3" s="1"/>
  <c r="AW59" i="3"/>
  <c r="AY59" i="3" s="1"/>
  <c r="BA59" i="3" s="1"/>
  <c r="C32" i="2"/>
  <c r="AX32" i="2" s="1"/>
  <c r="F30" i="2"/>
  <c r="AT28" i="2"/>
  <c r="AT30" i="2"/>
  <c r="O70" i="21408" l="1"/>
  <c r="O149" i="21408"/>
  <c r="O208" i="21408"/>
  <c r="O48" i="21408"/>
  <c r="O77" i="21408"/>
  <c r="M35" i="21402"/>
  <c r="O3" i="21408"/>
  <c r="O159" i="21408"/>
  <c r="O136" i="21408"/>
  <c r="O169" i="21408"/>
  <c r="O245" i="21408"/>
  <c r="M51" i="21402"/>
  <c r="O365" i="21408"/>
  <c r="O106" i="21408"/>
  <c r="O190" i="21408"/>
  <c r="O122" i="21408"/>
  <c r="O205" i="21408"/>
  <c r="M49" i="21402"/>
  <c r="O40" i="21408"/>
  <c r="O141" i="21408"/>
  <c r="O174" i="21408"/>
  <c r="O13" i="21408"/>
  <c r="O300" i="21408"/>
  <c r="O299" i="21408" s="1"/>
  <c r="O380" i="21408"/>
  <c r="O160" i="21408"/>
  <c r="O61" i="21408"/>
  <c r="O266" i="21408"/>
  <c r="O369" i="21408"/>
  <c r="M10" i="21402"/>
  <c r="O251" i="21408"/>
  <c r="O309" i="21408"/>
  <c r="O27" i="21408"/>
  <c r="O326" i="21408"/>
  <c r="O234" i="21408"/>
  <c r="O371" i="21408"/>
  <c r="O90" i="21408"/>
  <c r="O125" i="21408"/>
  <c r="M41" i="21402"/>
  <c r="O68" i="21408"/>
  <c r="O230" i="21408"/>
  <c r="O37" i="21408"/>
  <c r="M58" i="21402"/>
  <c r="O209" i="21408"/>
  <c r="O274" i="21408"/>
  <c r="O248" i="21408"/>
  <c r="M26" i="21402"/>
  <c r="O84" i="21408"/>
  <c r="O210" i="21408"/>
  <c r="O244" i="21408"/>
  <c r="O223" i="21408"/>
  <c r="O325" i="21408"/>
  <c r="O247" i="21408"/>
  <c r="O109" i="21408"/>
  <c r="O57" i="21408"/>
  <c r="O172" i="21408"/>
  <c r="O276" i="21408"/>
  <c r="O238" i="21408"/>
  <c r="O269" i="21408"/>
  <c r="O52" i="21408"/>
  <c r="O150" i="21408"/>
  <c r="M37" i="21402"/>
  <c r="O228" i="21408"/>
  <c r="O281" i="21408"/>
  <c r="O41" i="21408"/>
  <c r="O62" i="21408"/>
  <c r="O373" i="21408"/>
  <c r="O131" i="21408"/>
  <c r="O113" i="21408"/>
  <c r="O275" i="21408"/>
  <c r="O217" i="21408"/>
  <c r="O193" i="21408"/>
  <c r="O242" i="21408"/>
  <c r="O180" i="21408"/>
  <c r="O327" i="21408"/>
  <c r="O155" i="21408"/>
  <c r="O60" i="21408"/>
  <c r="O202" i="21408"/>
  <c r="O195" i="21408"/>
  <c r="O10" i="21408"/>
  <c r="O277" i="21408"/>
  <c r="O97" i="21408"/>
  <c r="O114" i="21408"/>
  <c r="O28" i="21408"/>
  <c r="O317" i="21408"/>
  <c r="O168" i="21408"/>
  <c r="O47" i="21408"/>
  <c r="O140" i="21408"/>
  <c r="O321" i="21408"/>
  <c r="O231" i="21408"/>
  <c r="O117" i="21408"/>
  <c r="O156" i="21408"/>
  <c r="O21" i="21408"/>
  <c r="O104" i="21408"/>
  <c r="O25" i="21408"/>
  <c r="O102" i="21408"/>
  <c r="O145" i="21408"/>
  <c r="O249" i="21408"/>
  <c r="O198" i="21408"/>
  <c r="O170" i="21408"/>
  <c r="O154" i="21408"/>
  <c r="M53" i="21402"/>
  <c r="O225" i="21408"/>
  <c r="O184" i="21408"/>
  <c r="O320" i="21408"/>
  <c r="M60" i="21402"/>
  <c r="O282" i="21408"/>
  <c r="O81" i="21408"/>
  <c r="O53" i="21408"/>
  <c r="O119" i="21408"/>
  <c r="O146" i="21408"/>
  <c r="O283" i="21408"/>
  <c r="M71" i="21402"/>
  <c r="O15" i="21408"/>
  <c r="O20" i="21408"/>
  <c r="O366" i="21408"/>
  <c r="O315" i="21408"/>
  <c r="O303" i="21408"/>
  <c r="O121" i="21408"/>
  <c r="O115" i="21408"/>
  <c r="O196" i="21408"/>
  <c r="M25" i="21402"/>
  <c r="M17" i="21402"/>
  <c r="O318" i="21408"/>
  <c r="O142" i="21408"/>
  <c r="O183" i="21408"/>
  <c r="O235" i="21408"/>
  <c r="O54" i="21408"/>
  <c r="O85" i="21408"/>
  <c r="O5" i="21408"/>
  <c r="O328" i="21408"/>
  <c r="O368" i="21408"/>
  <c r="O324" i="21408"/>
  <c r="O103" i="21408"/>
  <c r="O153" i="21408"/>
  <c r="O367" i="21408"/>
  <c r="O188" i="21408"/>
  <c r="O124" i="21408"/>
  <c r="O79" i="21408"/>
  <c r="O18" i="21408"/>
  <c r="O105" i="21408"/>
  <c r="M18" i="21402"/>
  <c r="O233" i="21408"/>
  <c r="O16" i="21408"/>
  <c r="O33" i="21408"/>
  <c r="O72" i="21408"/>
  <c r="O284" i="21408"/>
  <c r="M55" i="21402"/>
  <c r="M52" i="21402"/>
  <c r="O254" i="21408"/>
  <c r="M36" i="21402"/>
  <c r="O176" i="21408"/>
  <c r="O9" i="21408"/>
  <c r="O157" i="21408"/>
  <c r="O273" i="21408"/>
  <c r="O263" i="21408"/>
  <c r="M24" i="21402"/>
  <c r="O151" i="21408"/>
  <c r="O129" i="21408"/>
  <c r="O200" i="21408"/>
  <c r="O264" i="21408"/>
  <c r="O272" i="21408"/>
  <c r="O261" i="21408"/>
  <c r="O232" i="21408"/>
  <c r="O127" i="21408"/>
  <c r="O36" i="21408"/>
  <c r="O152" i="21408"/>
  <c r="O17" i="21408"/>
  <c r="O267" i="21408"/>
  <c r="O88" i="21408"/>
  <c r="O220" i="21408"/>
  <c r="O379" i="21408"/>
  <c r="M34" i="21402"/>
  <c r="O175" i="21408"/>
  <c r="O78" i="21408"/>
  <c r="O147" i="21408"/>
  <c r="O93" i="21408"/>
  <c r="O143" i="21408"/>
  <c r="O133" i="21408"/>
  <c r="O92" i="21408"/>
  <c r="O95" i="21408"/>
  <c r="O186" i="21408"/>
  <c r="O224" i="21408"/>
  <c r="O177" i="21408"/>
  <c r="O49" i="21408"/>
  <c r="O132" i="21408"/>
  <c r="O165" i="21408"/>
  <c r="O253" i="21408"/>
  <c r="O56" i="21408"/>
  <c r="O221" i="21408"/>
  <c r="M6" i="21402"/>
  <c r="O22" i="21408"/>
  <c r="O96" i="21408"/>
  <c r="O285" i="21408"/>
  <c r="O108" i="21408"/>
  <c r="M56" i="21402"/>
  <c r="M43" i="21402"/>
  <c r="O280" i="21408"/>
  <c r="O323" i="21408"/>
  <c r="O241" i="21408"/>
  <c r="O135" i="21408"/>
  <c r="O229" i="21408"/>
  <c r="O378" i="21408"/>
  <c r="O42" i="21408"/>
  <c r="O311" i="21408"/>
  <c r="O44" i="21408"/>
  <c r="O187" i="21408"/>
  <c r="O126" i="21408"/>
  <c r="O215" i="21408"/>
  <c r="M23" i="21402"/>
  <c r="O304" i="21408"/>
  <c r="O364" i="21408"/>
  <c r="O173" i="21408"/>
  <c r="O192" i="21408"/>
  <c r="M69" i="21402"/>
  <c r="O268" i="21408"/>
  <c r="O14" i="21408"/>
  <c r="O236" i="21408"/>
  <c r="O4" i="21408"/>
  <c r="M72" i="21402"/>
  <c r="O58" i="21408"/>
  <c r="O12" i="21408"/>
  <c r="O39" i="21408"/>
  <c r="O38" i="21408"/>
  <c r="O212" i="21408"/>
  <c r="O278" i="21408"/>
  <c r="O179" i="21408"/>
  <c r="O7" i="21408"/>
  <c r="O30" i="21408"/>
  <c r="O185" i="21408"/>
  <c r="O222" i="21408"/>
  <c r="O213" i="21408"/>
  <c r="O312" i="21408"/>
  <c r="O163" i="21408"/>
  <c r="O45" i="21408"/>
  <c r="O227" i="21408"/>
  <c r="O319" i="21408"/>
  <c r="O178" i="21408"/>
  <c r="O144" i="21408"/>
  <c r="O166" i="21408"/>
  <c r="O201" i="21408"/>
  <c r="O158" i="21408"/>
  <c r="M15" i="21402"/>
  <c r="O243" i="21408"/>
  <c r="O46" i="21408"/>
  <c r="M20" i="21402"/>
  <c r="O162" i="21408"/>
  <c r="O226" i="21408"/>
  <c r="AC56" i="21416"/>
  <c r="AC56" i="21413"/>
  <c r="AC28" i="2"/>
  <c r="AY22" i="21399"/>
  <c r="C26" i="21399"/>
  <c r="AX24" i="21399"/>
  <c r="M24" i="21399" s="1"/>
  <c r="AW24" i="21399"/>
  <c r="AX34" i="21399"/>
  <c r="AW34" i="21399"/>
  <c r="AZ34" i="21399" s="1"/>
  <c r="AW34" i="21400"/>
  <c r="AX34" i="21400"/>
  <c r="C36" i="21399"/>
  <c r="J33" i="21400"/>
  <c r="AX28" i="108"/>
  <c r="M28" i="108" s="1"/>
  <c r="C30" i="108"/>
  <c r="C36" i="21398"/>
  <c r="AX34" i="21398"/>
  <c r="M34" i="21398" s="1"/>
  <c r="AC30" i="2"/>
  <c r="C63" i="3"/>
  <c r="AX63" i="3" s="1"/>
  <c r="M63" i="3" s="1"/>
  <c r="BC63" i="3" s="1"/>
  <c r="AW61" i="3"/>
  <c r="AY61" i="3" s="1"/>
  <c r="BA61" i="3" s="1"/>
  <c r="F32" i="2"/>
  <c r="C34" i="2"/>
  <c r="AX34" i="2" s="1"/>
  <c r="J31" i="2"/>
  <c r="AX31" i="2" s="1"/>
  <c r="M55" i="21413"/>
  <c r="BC55" i="21413" s="1"/>
  <c r="BC53" i="21413"/>
  <c r="BC38" i="21413"/>
  <c r="BC36" i="21413"/>
  <c r="BC34" i="21413"/>
  <c r="BC32" i="21413"/>
  <c r="BC30" i="21413"/>
  <c r="BC28" i="21413"/>
  <c r="BC26" i="21413"/>
  <c r="BC24" i="21413"/>
  <c r="BC22" i="21413"/>
  <c r="BD53" i="21413"/>
  <c r="BD51" i="21413"/>
  <c r="BB50" i="21413"/>
  <c r="BA50" i="21413"/>
  <c r="AX44" i="21400"/>
  <c r="AW44" i="21400"/>
  <c r="AZ42" i="21400"/>
  <c r="AX42" i="21400"/>
  <c r="AW42" i="21400"/>
  <c r="AX40" i="21400"/>
  <c r="AW40" i="21400"/>
  <c r="AZ38" i="21400"/>
  <c r="AX38" i="21400"/>
  <c r="AW38" i="21400"/>
  <c r="BB39" i="21413"/>
  <c r="BB38" i="21413"/>
  <c r="BA38" i="21413"/>
  <c r="BB37" i="21413"/>
  <c r="BB36" i="21413"/>
  <c r="BA36" i="21413"/>
  <c r="BB35" i="21413"/>
  <c r="BA34" i="21413"/>
  <c r="BB33" i="21413"/>
  <c r="BA32" i="21413"/>
  <c r="BB31" i="21413"/>
  <c r="BB30" i="21413"/>
  <c r="BA30" i="21413"/>
  <c r="BB29" i="21413"/>
  <c r="BB28" i="21413"/>
  <c r="BA28" i="21413"/>
  <c r="BB27" i="21413"/>
  <c r="BB26" i="21413"/>
  <c r="BA26" i="21413"/>
  <c r="BB25" i="21413"/>
  <c r="BB24" i="21413"/>
  <c r="BA24" i="21413"/>
  <c r="BB23" i="21413"/>
  <c r="BA22" i="21413"/>
  <c r="BB21" i="21413"/>
  <c r="AZ12" i="21400"/>
  <c r="AZ6" i="21399" s="1"/>
  <c r="AX12" i="21400"/>
  <c r="AX6" i="21399" s="1"/>
  <c r="AW12" i="21400"/>
  <c r="AW6" i="21399" s="1"/>
  <c r="AX10" i="21400"/>
  <c r="AW10" i="21400"/>
  <c r="AX6" i="21400"/>
  <c r="AW6" i="21400"/>
  <c r="BC621" i="21398"/>
  <c r="BD55" i="21413"/>
  <c r="BA55" i="21413"/>
  <c r="BB55" i="21413"/>
  <c r="AC55" i="21413"/>
  <c r="BB54" i="21413"/>
  <c r="BB53" i="21413"/>
  <c r="BA53" i="21413"/>
  <c r="AC45" i="21400"/>
  <c r="AC44" i="21400"/>
  <c r="AC43" i="21400"/>
  <c r="AC42" i="21400"/>
  <c r="AC41" i="21400"/>
  <c r="AC40" i="21400"/>
  <c r="AC39" i="21400"/>
  <c r="AC38" i="21400"/>
  <c r="AC37" i="21400"/>
  <c r="AC39" i="21399" s="1"/>
  <c r="AC36" i="21400"/>
  <c r="AC38" i="21399" s="1"/>
  <c r="AC12" i="21400"/>
  <c r="AC6" i="21399" s="1"/>
  <c r="AC11" i="21400"/>
  <c r="AC5" i="21399" s="1"/>
  <c r="AC10" i="21400"/>
  <c r="AQ29" i="2"/>
  <c r="AT32" i="2"/>
  <c r="AQ31" i="2"/>
  <c r="AY24" i="21399" l="1"/>
  <c r="C28" i="21399"/>
  <c r="AW26" i="21399"/>
  <c r="AX26" i="21399"/>
  <c r="M26" i="21399" s="1"/>
  <c r="M34" i="21400"/>
  <c r="M36" i="21399" s="1"/>
  <c r="AX36" i="21399"/>
  <c r="AY34" i="21400"/>
  <c r="AY36" i="21399" s="1"/>
  <c r="AW36" i="21399"/>
  <c r="AX33" i="21400"/>
  <c r="AW33" i="21400"/>
  <c r="M34" i="21399"/>
  <c r="AY34" i="21399"/>
  <c r="AX30" i="108"/>
  <c r="M30" i="108" s="1"/>
  <c r="AW30" i="108"/>
  <c r="C32" i="108"/>
  <c r="AX36" i="21398"/>
  <c r="M36" i="21398" s="1"/>
  <c r="C38" i="21398"/>
  <c r="AC32" i="2"/>
  <c r="AY42" i="21400"/>
  <c r="BA44" i="21413"/>
  <c r="BA40" i="21400" s="1"/>
  <c r="L100" i="21408"/>
  <c r="L66" i="21408"/>
  <c r="L99" i="21408"/>
  <c r="L65" i="21408"/>
  <c r="L98" i="21408"/>
  <c r="L64" i="21408"/>
  <c r="L101" i="21408"/>
  <c r="L67" i="21408"/>
  <c r="L359" i="21408"/>
  <c r="L355" i="21408"/>
  <c r="L350" i="21408"/>
  <c r="L345" i="21408"/>
  <c r="L341" i="21408"/>
  <c r="L337" i="21408"/>
  <c r="L332" i="21408"/>
  <c r="L358" i="21408"/>
  <c r="L354" i="21408"/>
  <c r="L353" i="21408" s="1"/>
  <c r="L349" i="21408"/>
  <c r="L344" i="21408"/>
  <c r="L340" i="21408"/>
  <c r="L336" i="21408"/>
  <c r="L331" i="21408"/>
  <c r="L357" i="21408"/>
  <c r="L352" i="21408"/>
  <c r="L347" i="21408"/>
  <c r="L343" i="21408"/>
  <c r="L339" i="21408"/>
  <c r="L335" i="21408"/>
  <c r="L330" i="21408"/>
  <c r="L361" i="21408"/>
  <c r="L356" i="21408"/>
  <c r="L351" i="21408"/>
  <c r="L363" i="21408" s="1"/>
  <c r="L346" i="21408"/>
  <c r="L342" i="21408"/>
  <c r="L338" i="21408"/>
  <c r="L333" i="21408"/>
  <c r="L257" i="21408"/>
  <c r="L256" i="21408"/>
  <c r="L258" i="21408"/>
  <c r="BB660" i="21398"/>
  <c r="BB664" i="21398"/>
  <c r="BB661" i="21398"/>
  <c r="BB665" i="21398"/>
  <c r="BB663" i="21398"/>
  <c r="BB662" i="21398"/>
  <c r="BB666" i="21398"/>
  <c r="BC12" i="21400"/>
  <c r="BC6" i="21399" s="1"/>
  <c r="BC54" i="21413"/>
  <c r="AY10" i="21400"/>
  <c r="BA48" i="21413"/>
  <c r="BA44" i="21400" s="1"/>
  <c r="M6" i="21400"/>
  <c r="BC42" i="21413"/>
  <c r="BC38" i="21400" s="1"/>
  <c r="BC50" i="21413"/>
  <c r="BA6" i="21400"/>
  <c r="BA12" i="21400"/>
  <c r="BA6" i="21399" s="1"/>
  <c r="BA42" i="21413"/>
  <c r="BA38" i="21400" s="1"/>
  <c r="BC44" i="21413"/>
  <c r="BC40" i="21400" s="1"/>
  <c r="BC48" i="21413"/>
  <c r="BC44" i="21400" s="1"/>
  <c r="BC10" i="21400"/>
  <c r="BC46" i="21413"/>
  <c r="BC42" i="21400" s="1"/>
  <c r="C65" i="3"/>
  <c r="AX65" i="3" s="1"/>
  <c r="M65" i="3" s="1"/>
  <c r="BC65" i="3" s="1"/>
  <c r="AW63" i="3"/>
  <c r="AY63" i="3" s="1"/>
  <c r="BA63" i="3" s="1"/>
  <c r="C36" i="2"/>
  <c r="AX36" i="2" s="1"/>
  <c r="F34" i="2"/>
  <c r="BB12" i="21400"/>
  <c r="BB6" i="21399" s="1"/>
  <c r="BB46" i="21413"/>
  <c r="BB42" i="21400" s="1"/>
  <c r="BB42" i="21413"/>
  <c r="BB38" i="21400" s="1"/>
  <c r="BB7" i="21400"/>
  <c r="AZ7" i="21400"/>
  <c r="BB47" i="21413"/>
  <c r="BB43" i="21400" s="1"/>
  <c r="AZ43" i="21400"/>
  <c r="BB49" i="21413"/>
  <c r="BB45" i="21400" s="1"/>
  <c r="AZ45" i="21400"/>
  <c r="BB43" i="21413"/>
  <c r="BB39" i="21400" s="1"/>
  <c r="AZ39" i="21400"/>
  <c r="BB45" i="21413"/>
  <c r="BB41" i="21400" s="1"/>
  <c r="AZ41" i="21400"/>
  <c r="BB10" i="21400"/>
  <c r="AZ10" i="21400"/>
  <c r="BB44" i="21413"/>
  <c r="BB40" i="21400" s="1"/>
  <c r="AZ40" i="21400"/>
  <c r="BB48" i="21413"/>
  <c r="BB44" i="21400" s="1"/>
  <c r="AZ44" i="21400"/>
  <c r="BB6" i="21400"/>
  <c r="AZ6" i="21400"/>
  <c r="L286" i="21408"/>
  <c r="L287" i="21408" s="1"/>
  <c r="BB613" i="21398"/>
  <c r="BB612" i="21398"/>
  <c r="BB611" i="21398"/>
  <c r="BC733" i="21398"/>
  <c r="BB733" i="21398"/>
  <c r="BA733" i="21398"/>
  <c r="BB732" i="21398"/>
  <c r="BC731" i="21398"/>
  <c r="BA731" i="21398"/>
  <c r="BC729" i="21398"/>
  <c r="BB729" i="21398"/>
  <c r="BA729" i="21398"/>
  <c r="BC725" i="21398"/>
  <c r="BA725" i="21398"/>
  <c r="BB724" i="21398"/>
  <c r="BC723" i="21398"/>
  <c r="BB723" i="21398"/>
  <c r="BA723" i="21398"/>
  <c r="BB722" i="21398"/>
  <c r="BC721" i="21398"/>
  <c r="BB721" i="21398"/>
  <c r="BA721" i="21398"/>
  <c r="BB720" i="21398"/>
  <c r="BC719" i="21398"/>
  <c r="BA719" i="21398"/>
  <c r="BB718" i="21398"/>
  <c r="BC717" i="21398"/>
  <c r="BB717" i="21398"/>
  <c r="BA717" i="21398"/>
  <c r="BB716" i="21398"/>
  <c r="BC715" i="21398"/>
  <c r="BB715" i="21398"/>
  <c r="BA715" i="21398"/>
  <c r="BB714" i="21398"/>
  <c r="BC713" i="21398"/>
  <c r="BA713" i="21398"/>
  <c r="BB712" i="21398"/>
  <c r="BC711" i="21398"/>
  <c r="BA711" i="21398"/>
  <c r="BB709" i="21398"/>
  <c r="BB707" i="21398"/>
  <c r="BB706" i="21398"/>
  <c r="BB704" i="21398"/>
  <c r="BB703" i="21398"/>
  <c r="BB701" i="21398"/>
  <c r="BB700" i="21398"/>
  <c r="BB698" i="21398"/>
  <c r="BB696" i="21398"/>
  <c r="BB695" i="21398"/>
  <c r="BB694" i="21398"/>
  <c r="BB692" i="21398"/>
  <c r="BB691" i="21398"/>
  <c r="BB690" i="21398"/>
  <c r="BB689" i="21398"/>
  <c r="BB687" i="21398"/>
  <c r="BB683" i="21398"/>
  <c r="BB682" i="21398"/>
  <c r="BB680" i="21398"/>
  <c r="BB678" i="21398"/>
  <c r="BB677" i="21398"/>
  <c r="BB675" i="21398"/>
  <c r="BB671" i="21398"/>
  <c r="BB669" i="21398"/>
  <c r="BB610" i="21398"/>
  <c r="BB607" i="21398"/>
  <c r="BB606" i="21398"/>
  <c r="BB605" i="21398"/>
  <c r="BB604" i="21398"/>
  <c r="BB603" i="21398"/>
  <c r="BB602" i="21398"/>
  <c r="BB600" i="21398"/>
  <c r="BB599" i="21398"/>
  <c r="BB598" i="21398"/>
  <c r="BB597" i="21398"/>
  <c r="BB596" i="21398"/>
  <c r="BB595" i="21398"/>
  <c r="BB584" i="21398"/>
  <c r="BB583" i="21398"/>
  <c r="BB582" i="21398"/>
  <c r="BB581" i="21398"/>
  <c r="AQ33" i="2"/>
  <c r="AT34" i="2"/>
  <c r="AY30" i="108" l="1"/>
  <c r="BA30" i="108" s="1"/>
  <c r="AY26" i="21399"/>
  <c r="C30" i="21399"/>
  <c r="AX28" i="21399"/>
  <c r="M28" i="21399" s="1"/>
  <c r="BC28" i="21399" s="1"/>
  <c r="AW28" i="21399"/>
  <c r="AZ33" i="21400"/>
  <c r="AX32" i="108"/>
  <c r="C34" i="108"/>
  <c r="AW32" i="108"/>
  <c r="AX38" i="21398"/>
  <c r="M38" i="21398" s="1"/>
  <c r="C40" i="21398"/>
  <c r="J39" i="21398"/>
  <c r="AX39" i="21398" s="1"/>
  <c r="BA46" i="21413"/>
  <c r="BA42" i="21400" s="1"/>
  <c r="BA10" i="21400"/>
  <c r="AY40" i="21400"/>
  <c r="BC6" i="21400"/>
  <c r="AY44" i="21400"/>
  <c r="M44" i="21400"/>
  <c r="L362" i="21408"/>
  <c r="M40" i="21400"/>
  <c r="L360" i="21408"/>
  <c r="M42" i="21400"/>
  <c r="M10" i="21400"/>
  <c r="M38" i="21400"/>
  <c r="AY12" i="21400"/>
  <c r="AY6" i="21399" s="1"/>
  <c r="M12" i="21400"/>
  <c r="M6" i="21399" s="1"/>
  <c r="AY38" i="21400"/>
  <c r="BB622" i="21398"/>
  <c r="BB620" i="21398"/>
  <c r="BB614" i="21398"/>
  <c r="AZ4" i="21415"/>
  <c r="BB621" i="21398"/>
  <c r="BA621" i="21398"/>
  <c r="AY6" i="21400"/>
  <c r="C67" i="3"/>
  <c r="AX67" i="3" s="1"/>
  <c r="M67" i="3" s="1"/>
  <c r="J64" i="3"/>
  <c r="AX64" i="3" s="1"/>
  <c r="AW65" i="3"/>
  <c r="AY65" i="3" s="1"/>
  <c r="BA65" i="3" s="1"/>
  <c r="C38" i="2"/>
  <c r="AX38" i="2" s="1"/>
  <c r="F36" i="2"/>
  <c r="BB618" i="21398"/>
  <c r="BB616" i="21398"/>
  <c r="BB617" i="21398"/>
  <c r="BB619" i="21398"/>
  <c r="AQ35" i="2"/>
  <c r="AY28" i="21399" l="1"/>
  <c r="BA28" i="21399" s="1"/>
  <c r="C32" i="21399"/>
  <c r="AX30" i="21399"/>
  <c r="M30" i="21399" s="1"/>
  <c r="BC30" i="21399" s="1"/>
  <c r="AW30" i="21399"/>
  <c r="AX34" i="108"/>
  <c r="M34" i="108" s="1"/>
  <c r="AW34" i="108"/>
  <c r="C36" i="108"/>
  <c r="M32" i="108"/>
  <c r="AY32" i="108"/>
  <c r="BA32" i="108" s="1"/>
  <c r="AX40" i="21398"/>
  <c r="M40" i="21398" s="1"/>
  <c r="C42" i="21398"/>
  <c r="BB4" i="21415"/>
  <c r="AW64" i="3"/>
  <c r="AZ64" i="3" s="1"/>
  <c r="BB64" i="3" s="1"/>
  <c r="C69" i="3"/>
  <c r="AX69" i="3" s="1"/>
  <c r="M69" i="3" s="1"/>
  <c r="AW67" i="3"/>
  <c r="AY67" i="3" s="1"/>
  <c r="BA67" i="3" s="1"/>
  <c r="F38" i="2"/>
  <c r="J39" i="2"/>
  <c r="AX39" i="2" s="1"/>
  <c r="C40" i="2"/>
  <c r="AX40" i="2" s="1"/>
  <c r="BB578" i="21398"/>
  <c r="BB577" i="21398"/>
  <c r="BB576" i="21398"/>
  <c r="BB575" i="21398"/>
  <c r="BB574" i="21398"/>
  <c r="BB571" i="21398"/>
  <c r="BB570" i="21398"/>
  <c r="BB569" i="21398"/>
  <c r="BB568" i="21398"/>
  <c r="BB567" i="21398"/>
  <c r="BB566" i="21398"/>
  <c r="BB564" i="21398"/>
  <c r="BB563" i="21398"/>
  <c r="BB561" i="21398"/>
  <c r="BB560" i="21398"/>
  <c r="BB559" i="21398"/>
  <c r="BB558" i="21398"/>
  <c r="BB557" i="21398"/>
  <c r="BB555" i="21398"/>
  <c r="BB554" i="21398"/>
  <c r="BB553" i="21398"/>
  <c r="BB552" i="21398"/>
  <c r="BB550" i="21398"/>
  <c r="BB548" i="21398"/>
  <c r="AT38" i="2"/>
  <c r="AT36" i="2"/>
  <c r="AQ37" i="2"/>
  <c r="AY34" i="108" l="1"/>
  <c r="BA34" i="108" s="1"/>
  <c r="AC36" i="2"/>
  <c r="AY30" i="21399"/>
  <c r="BA30" i="21399" s="1"/>
  <c r="J33" i="21399"/>
  <c r="AW32" i="21399"/>
  <c r="AX32" i="21399"/>
  <c r="M32" i="21399" s="1"/>
  <c r="BC32" i="21399" s="1"/>
  <c r="AX36" i="108"/>
  <c r="M36" i="108" s="1"/>
  <c r="AW36" i="108"/>
  <c r="AY36" i="108" s="1"/>
  <c r="BA36" i="108" s="1"/>
  <c r="C38" i="108"/>
  <c r="C44" i="21398"/>
  <c r="AX42" i="21398"/>
  <c r="M42" i="21398" s="1"/>
  <c r="AC38" i="2"/>
  <c r="C71" i="3"/>
  <c r="AX71" i="3" s="1"/>
  <c r="M71" i="3" s="1"/>
  <c r="AW69" i="3"/>
  <c r="AY69" i="3" s="1"/>
  <c r="BA69" i="3" s="1"/>
  <c r="F40" i="2"/>
  <c r="C42" i="2"/>
  <c r="AX42" i="2" s="1"/>
  <c r="BB543" i="21398"/>
  <c r="BB541" i="21398"/>
  <c r="BB540" i="21398"/>
  <c r="BB539" i="21398"/>
  <c r="BB535" i="21398"/>
  <c r="BB534" i="21398"/>
  <c r="BB533" i="21398"/>
  <c r="BB532" i="21398"/>
  <c r="BB531" i="21398"/>
  <c r="BB530" i="21398"/>
  <c r="BB528" i="21398"/>
  <c r="BB527" i="21398"/>
  <c r="BB525" i="21398"/>
  <c r="BB524" i="21398"/>
  <c r="BB523" i="21398"/>
  <c r="BB522" i="21398"/>
  <c r="BB519" i="21398"/>
  <c r="BB518" i="21398"/>
  <c r="BB517" i="21398"/>
  <c r="BB516" i="21398"/>
  <c r="BB514" i="21398"/>
  <c r="BB513" i="21398"/>
  <c r="BB512" i="21398"/>
  <c r="BB511" i="21398"/>
  <c r="BB510" i="21398"/>
  <c r="BB543" i="2"/>
  <c r="BB541" i="2"/>
  <c r="BB540" i="2"/>
  <c r="BB539" i="2"/>
  <c r="BB535" i="2"/>
  <c r="BB534" i="2"/>
  <c r="BB533" i="2"/>
  <c r="BB532" i="2"/>
  <c r="BB531" i="2"/>
  <c r="BB530" i="2"/>
  <c r="BB528" i="2"/>
  <c r="BB527" i="2"/>
  <c r="BB525" i="2"/>
  <c r="BB524" i="2"/>
  <c r="BB523" i="2"/>
  <c r="BB522" i="2"/>
  <c r="BB519" i="2"/>
  <c r="BB518" i="2"/>
  <c r="BB517" i="2"/>
  <c r="BB516" i="2"/>
  <c r="BB514" i="2"/>
  <c r="BB513" i="2"/>
  <c r="BB512" i="2"/>
  <c r="BB511" i="2"/>
  <c r="BB510" i="2"/>
  <c r="BB507" i="21398"/>
  <c r="BB506" i="21398"/>
  <c r="BB505" i="21398"/>
  <c r="BB504" i="21398"/>
  <c r="BB502" i="21398"/>
  <c r="BB501" i="21398"/>
  <c r="BB499" i="21398"/>
  <c r="BB498" i="21398"/>
  <c r="BB497" i="21398"/>
  <c r="BB495" i="21398"/>
  <c r="BB494" i="21398"/>
  <c r="BA494" i="21398"/>
  <c r="BB493" i="21398"/>
  <c r="BB492" i="21398"/>
  <c r="BA492" i="21398"/>
  <c r="BB491" i="21398"/>
  <c r="BA490" i="21398"/>
  <c r="BB489" i="21398"/>
  <c r="BB488" i="21398"/>
  <c r="BA488" i="21398"/>
  <c r="BB487" i="21398"/>
  <c r="BB486" i="21398"/>
  <c r="BA486" i="21398"/>
  <c r="BB485" i="21398"/>
  <c r="BA484" i="21398"/>
  <c r="BB483" i="21398"/>
  <c r="BB482" i="21398"/>
  <c r="BA482" i="21398"/>
  <c r="BB481" i="21398"/>
  <c r="BB480" i="21398"/>
  <c r="BA480" i="21398"/>
  <c r="BB479" i="21398"/>
  <c r="BB478" i="21398"/>
  <c r="BA478" i="21398"/>
  <c r="BB476" i="21398"/>
  <c r="BC494" i="21398"/>
  <c r="BC492" i="21398"/>
  <c r="BC490" i="21398"/>
  <c r="BC488" i="21398"/>
  <c r="BC486" i="21398"/>
  <c r="BC484" i="21398"/>
  <c r="BC482" i="21398"/>
  <c r="BC480" i="21398"/>
  <c r="BC478" i="21398"/>
  <c r="BC474" i="21398"/>
  <c r="BC472" i="21398"/>
  <c r="BC470" i="21398"/>
  <c r="BB850" i="2"/>
  <c r="BC849" i="2"/>
  <c r="BB849" i="2"/>
  <c r="BA849" i="2"/>
  <c r="BB848" i="2"/>
  <c r="BC847" i="2"/>
  <c r="BA847" i="2"/>
  <c r="BB846" i="2"/>
  <c r="BC845" i="2"/>
  <c r="BB845" i="2"/>
  <c r="BA845" i="2"/>
  <c r="BB844" i="2"/>
  <c r="BC843" i="2"/>
  <c r="BB843" i="2"/>
  <c r="BA843" i="2"/>
  <c r="BB842" i="2"/>
  <c r="BC841" i="2"/>
  <c r="BA841" i="2"/>
  <c r="BB840" i="2"/>
  <c r="BC839" i="2"/>
  <c r="BB839" i="2"/>
  <c r="BA839" i="2"/>
  <c r="BB838" i="2"/>
  <c r="BB818" i="2"/>
  <c r="BC817" i="2"/>
  <c r="BA817" i="2"/>
  <c r="BB816" i="2"/>
  <c r="BC815" i="2"/>
  <c r="BB815" i="2"/>
  <c r="BA815" i="2"/>
  <c r="BB814" i="2"/>
  <c r="BC813" i="2"/>
  <c r="BB813" i="2"/>
  <c r="BA813" i="2"/>
  <c r="BB812" i="2"/>
  <c r="BC811" i="2"/>
  <c r="BB811" i="2"/>
  <c r="BA811" i="2"/>
  <c r="BB810" i="2"/>
  <c r="BC809" i="2"/>
  <c r="BA809" i="2"/>
  <c r="BB808" i="2"/>
  <c r="BC807" i="2"/>
  <c r="BB807" i="2"/>
  <c r="BA807" i="2"/>
  <c r="BB806" i="2"/>
  <c r="BC805" i="2"/>
  <c r="BA805" i="2"/>
  <c r="BB804" i="2"/>
  <c r="BC803" i="2"/>
  <c r="BA803" i="2"/>
  <c r="BB802" i="2"/>
  <c r="BC801" i="2"/>
  <c r="BB801" i="2"/>
  <c r="BA801" i="2"/>
  <c r="BB800" i="2"/>
  <c r="BC799" i="2"/>
  <c r="BA799" i="2"/>
  <c r="BB798" i="2"/>
  <c r="BB796" i="2"/>
  <c r="BC795" i="2"/>
  <c r="BB795" i="2"/>
  <c r="BA795" i="2"/>
  <c r="BB794" i="2"/>
  <c r="BC793" i="2"/>
  <c r="BB793" i="2"/>
  <c r="BA793" i="2"/>
  <c r="BB792" i="2"/>
  <c r="BC791" i="2"/>
  <c r="BA791" i="2"/>
  <c r="BB790" i="2"/>
  <c r="BB788" i="2"/>
  <c r="BC787" i="2"/>
  <c r="BA787" i="2"/>
  <c r="BB786" i="2"/>
  <c r="BC785" i="2"/>
  <c r="BA785" i="2"/>
  <c r="BC783" i="2"/>
  <c r="BB783" i="2"/>
  <c r="BA783" i="2"/>
  <c r="BC781" i="2"/>
  <c r="BB781" i="2"/>
  <c r="BA781" i="2"/>
  <c r="BB780" i="2"/>
  <c r="BC779" i="2"/>
  <c r="BA779" i="2"/>
  <c r="BB778" i="2"/>
  <c r="BC777" i="2"/>
  <c r="BB777" i="2"/>
  <c r="BA777" i="2"/>
  <c r="BB776" i="2"/>
  <c r="BC775" i="2"/>
  <c r="BA775" i="2"/>
  <c r="BB774" i="2"/>
  <c r="BC773" i="2"/>
  <c r="BB773" i="2"/>
  <c r="BA773" i="2"/>
  <c r="BB772" i="2"/>
  <c r="BC771" i="2"/>
  <c r="BB771" i="2"/>
  <c r="BA771" i="2"/>
  <c r="BB770" i="2"/>
  <c r="BC769" i="2"/>
  <c r="BB769" i="2"/>
  <c r="BA769" i="2"/>
  <c r="BB768" i="2"/>
  <c r="BC767" i="2"/>
  <c r="BA767" i="2"/>
  <c r="BB766" i="2"/>
  <c r="BC765" i="2"/>
  <c r="BB765" i="2"/>
  <c r="BA765" i="2"/>
  <c r="BB764" i="2"/>
  <c r="BC763" i="2"/>
  <c r="BB763" i="2"/>
  <c r="BA763" i="2"/>
  <c r="BB762" i="2"/>
  <c r="BC761" i="2"/>
  <c r="BB761" i="2"/>
  <c r="BA761" i="2"/>
  <c r="BB760" i="2"/>
  <c r="BC759" i="2"/>
  <c r="BA759" i="2"/>
  <c r="BB758" i="2"/>
  <c r="BC757" i="2"/>
  <c r="BB757" i="2"/>
  <c r="BA757" i="2"/>
  <c r="BB756" i="2"/>
  <c r="BC755" i="2"/>
  <c r="BB755" i="2"/>
  <c r="BA755" i="2"/>
  <c r="BB754" i="2"/>
  <c r="BC753" i="2"/>
  <c r="BA753" i="2"/>
  <c r="BB752" i="2"/>
  <c r="BC751" i="2"/>
  <c r="BB751" i="2"/>
  <c r="BA751" i="2"/>
  <c r="BB750" i="2"/>
  <c r="BC749" i="2"/>
  <c r="BB749" i="2"/>
  <c r="BA749" i="2"/>
  <c r="BB748" i="2"/>
  <c r="BC747" i="2"/>
  <c r="BB747" i="2"/>
  <c r="BA747" i="2"/>
  <c r="BC745" i="2"/>
  <c r="BA745" i="2"/>
  <c r="BB744" i="2"/>
  <c r="BC743" i="2"/>
  <c r="BB743" i="2"/>
  <c r="BA743" i="2"/>
  <c r="BB742" i="2"/>
  <c r="BC741" i="2"/>
  <c r="BB741" i="2"/>
  <c r="BA741" i="2"/>
  <c r="BB740" i="2"/>
  <c r="BC739" i="2"/>
  <c r="BA739" i="2"/>
  <c r="BB738" i="2"/>
  <c r="BC737" i="2"/>
  <c r="BA737" i="2"/>
  <c r="BB736" i="2"/>
  <c r="BC735" i="2"/>
  <c r="BB735" i="2"/>
  <c r="BA735" i="2"/>
  <c r="BB734" i="2"/>
  <c r="BC733" i="2"/>
  <c r="BA733" i="2"/>
  <c r="BB732" i="2"/>
  <c r="BC731" i="2"/>
  <c r="BB731" i="2"/>
  <c r="BA731" i="2"/>
  <c r="BB730" i="2"/>
  <c r="BC727" i="2"/>
  <c r="BA727" i="2"/>
  <c r="BB726" i="2"/>
  <c r="BC725" i="2"/>
  <c r="BB725" i="2"/>
  <c r="BA725" i="2"/>
  <c r="BB724" i="2"/>
  <c r="BC723" i="2"/>
  <c r="BB723" i="2"/>
  <c r="BA723" i="2"/>
  <c r="BB722" i="2"/>
  <c r="BC721" i="2"/>
  <c r="BA721" i="2"/>
  <c r="BB720" i="2"/>
  <c r="BC719" i="2"/>
  <c r="BB719" i="2"/>
  <c r="BA719" i="2"/>
  <c r="BB718" i="2"/>
  <c r="BC717" i="2"/>
  <c r="BB717" i="2"/>
  <c r="BA717" i="2"/>
  <c r="BB716" i="2"/>
  <c r="BC715" i="2"/>
  <c r="BA715" i="2"/>
  <c r="BB714" i="2"/>
  <c r="BC713" i="2"/>
  <c r="BA713" i="2"/>
  <c r="BB712" i="2"/>
  <c r="BB711" i="2"/>
  <c r="BB709" i="2"/>
  <c r="BB708" i="2"/>
  <c r="BB706" i="2"/>
  <c r="BB705" i="2"/>
  <c r="BB703" i="2"/>
  <c r="BB702" i="2"/>
  <c r="BB700" i="2"/>
  <c r="BB697" i="2"/>
  <c r="BB696" i="2"/>
  <c r="BB694" i="2"/>
  <c r="BB693" i="2"/>
  <c r="BB691" i="2"/>
  <c r="BC689" i="2"/>
  <c r="BB689" i="2"/>
  <c r="BA689" i="2"/>
  <c r="BB688" i="2"/>
  <c r="BC685" i="2"/>
  <c r="BB685" i="2"/>
  <c r="BA685" i="2"/>
  <c r="BB684" i="2"/>
  <c r="BC683" i="2"/>
  <c r="BA683" i="2"/>
  <c r="BB682" i="2"/>
  <c r="BC681" i="2"/>
  <c r="BA681" i="2"/>
  <c r="BB680" i="2"/>
  <c r="BB679" i="2"/>
  <c r="BB677" i="2"/>
  <c r="BB676" i="2"/>
  <c r="BB673" i="2"/>
  <c r="BB671" i="2"/>
  <c r="BB670" i="2"/>
  <c r="BB668" i="2"/>
  <c r="BB667" i="2"/>
  <c r="BB666" i="2"/>
  <c r="BB665" i="2"/>
  <c r="BB664" i="2"/>
  <c r="BB660" i="2"/>
  <c r="BB659" i="2"/>
  <c r="BB658" i="2"/>
  <c r="BB656" i="2"/>
  <c r="BB655" i="2"/>
  <c r="BB654" i="2"/>
  <c r="BB651" i="2"/>
  <c r="BB650" i="2"/>
  <c r="BB649" i="2"/>
  <c r="BB648" i="2"/>
  <c r="BB647" i="2"/>
  <c r="BB646" i="2"/>
  <c r="BB645" i="2"/>
  <c r="BB642" i="2"/>
  <c r="BB641" i="2"/>
  <c r="BB640" i="2"/>
  <c r="BB639" i="2"/>
  <c r="BB637" i="2"/>
  <c r="BB636" i="2"/>
  <c r="BB634" i="2"/>
  <c r="BB633" i="2"/>
  <c r="BB632" i="2"/>
  <c r="BB630" i="2"/>
  <c r="BB628" i="2"/>
  <c r="BB627" i="2"/>
  <c r="BB626" i="2"/>
  <c r="BB624" i="2"/>
  <c r="BB623" i="2"/>
  <c r="BB621" i="2"/>
  <c r="BB620" i="2"/>
  <c r="BB619" i="2"/>
  <c r="BB618" i="2"/>
  <c r="BB617" i="2"/>
  <c r="BB616" i="2"/>
  <c r="BB615" i="2"/>
  <c r="BB614" i="2"/>
  <c r="BB613" i="2"/>
  <c r="BB612" i="2"/>
  <c r="BB611" i="2"/>
  <c r="BB607" i="2"/>
  <c r="BB606" i="2"/>
  <c r="BB605" i="2"/>
  <c r="BB604" i="2"/>
  <c r="BB603" i="2"/>
  <c r="BB602" i="2"/>
  <c r="BB600" i="2"/>
  <c r="BB599" i="2"/>
  <c r="BB598" i="2"/>
  <c r="BB597" i="2"/>
  <c r="BB596" i="2"/>
  <c r="BB595" i="2"/>
  <c r="BB584" i="2"/>
  <c r="BB583" i="2"/>
  <c r="BB582" i="2"/>
  <c r="BB581" i="2"/>
  <c r="BB578" i="2"/>
  <c r="BB577" i="2"/>
  <c r="BB576" i="2"/>
  <c r="BB575" i="2"/>
  <c r="BB574" i="2"/>
  <c r="BB571" i="2"/>
  <c r="BB570" i="2"/>
  <c r="BB569" i="2"/>
  <c r="BB568" i="2"/>
  <c r="BB567" i="2"/>
  <c r="BB566" i="2"/>
  <c r="BB564" i="2"/>
  <c r="BB563" i="2"/>
  <c r="BB561" i="2"/>
  <c r="BB560" i="2"/>
  <c r="BB559" i="2"/>
  <c r="BB558" i="2"/>
  <c r="BB557" i="2"/>
  <c r="BB555" i="2"/>
  <c r="BB554" i="2"/>
  <c r="BB553" i="2"/>
  <c r="BB552" i="2"/>
  <c r="BB550" i="2"/>
  <c r="BB548" i="2"/>
  <c r="BB507" i="2"/>
  <c r="BB506" i="2"/>
  <c r="BB505" i="2"/>
  <c r="BB504" i="2"/>
  <c r="BB502" i="2"/>
  <c r="BB501" i="2"/>
  <c r="BB498" i="2"/>
  <c r="BB497" i="2"/>
  <c r="BB495" i="2"/>
  <c r="BB493" i="2"/>
  <c r="BB492" i="2"/>
  <c r="BB491" i="2"/>
  <c r="BB489" i="2"/>
  <c r="BB488" i="2"/>
  <c r="BB486" i="2"/>
  <c r="BB475" i="21398"/>
  <c r="BB474" i="21398"/>
  <c r="BA474" i="21398"/>
  <c r="BB473" i="21398"/>
  <c r="BB472" i="21398"/>
  <c r="BA472" i="21398"/>
  <c r="BB471" i="21398"/>
  <c r="BA470" i="21398"/>
  <c r="BB469" i="21398"/>
  <c r="BB468" i="21398"/>
  <c r="BA468" i="21398"/>
  <c r="BC468" i="21398"/>
  <c r="BC447" i="21398"/>
  <c r="BC445" i="21398"/>
  <c r="BC443" i="21398"/>
  <c r="BB467" i="21398"/>
  <c r="BB466" i="21398"/>
  <c r="BA466" i="21398"/>
  <c r="BB465" i="21398"/>
  <c r="BB464" i="21398"/>
  <c r="BA464" i="21398"/>
  <c r="BB463" i="21398"/>
  <c r="BB461" i="21398"/>
  <c r="BA460" i="21398"/>
  <c r="BB459" i="21398"/>
  <c r="BA458" i="21398"/>
  <c r="BB457" i="21398"/>
  <c r="BA456" i="21398"/>
  <c r="BB455" i="21398"/>
  <c r="BB454" i="21398"/>
  <c r="BA454" i="21398"/>
  <c r="BB453" i="21398"/>
  <c r="BB452" i="21398"/>
  <c r="BA452" i="21398"/>
  <c r="BB451" i="21398"/>
  <c r="BA450" i="21398"/>
  <c r="BB449" i="21398"/>
  <c r="BB448" i="21398"/>
  <c r="BA447" i="21398"/>
  <c r="BB446" i="21398"/>
  <c r="BA445" i="21398"/>
  <c r="BB444" i="21398"/>
  <c r="BB443" i="21398"/>
  <c r="BA443" i="21398"/>
  <c r="BB442" i="21398"/>
  <c r="BB441" i="21398"/>
  <c r="BA441" i="21398"/>
  <c r="BB440" i="21398"/>
  <c r="BB439" i="21398"/>
  <c r="BB438" i="21398"/>
  <c r="BB437" i="21398"/>
  <c r="BB435" i="21398"/>
  <c r="BB434" i="21398"/>
  <c r="BB433" i="21398"/>
  <c r="BB430" i="21398"/>
  <c r="BB429" i="21398"/>
  <c r="BB428" i="21398"/>
  <c r="BC466" i="21398"/>
  <c r="BC464" i="21398"/>
  <c r="BC460" i="21398"/>
  <c r="BC458" i="21398"/>
  <c r="BC456" i="21398"/>
  <c r="BC454" i="21398"/>
  <c r="BC452" i="21398"/>
  <c r="BC450" i="21398"/>
  <c r="BC441" i="21398"/>
  <c r="BB485" i="2"/>
  <c r="BB482" i="2"/>
  <c r="BB480" i="2"/>
  <c r="BC441" i="2"/>
  <c r="BB448" i="2"/>
  <c r="BA447" i="2"/>
  <c r="BB446" i="2"/>
  <c r="BA445" i="2"/>
  <c r="BB444" i="2"/>
  <c r="BB443" i="2"/>
  <c r="BA443" i="2"/>
  <c r="BB442" i="2"/>
  <c r="BB441" i="2"/>
  <c r="BA441" i="2"/>
  <c r="BB440" i="2"/>
  <c r="BB439" i="2"/>
  <c r="BB438" i="2"/>
  <c r="BB437" i="2"/>
  <c r="BC447" i="2"/>
  <c r="BC445" i="2"/>
  <c r="BC443" i="2"/>
  <c r="AQ39" i="2"/>
  <c r="AY32" i="21399" l="1"/>
  <c r="BA32" i="21399" s="1"/>
  <c r="AX33" i="21399"/>
  <c r="AW33" i="21399"/>
  <c r="AX38" i="108"/>
  <c r="M38" i="108" s="1"/>
  <c r="BC38" i="108" s="1"/>
  <c r="AW38" i="108"/>
  <c r="C46" i="21398"/>
  <c r="AX44" i="21398"/>
  <c r="M44" i="21398" s="1"/>
  <c r="C73" i="3"/>
  <c r="AX73" i="3" s="1"/>
  <c r="M73" i="3" s="1"/>
  <c r="AW71" i="3"/>
  <c r="AY71" i="3" s="1"/>
  <c r="BA71" i="3" s="1"/>
  <c r="C44" i="2"/>
  <c r="AX44" i="2" s="1"/>
  <c r="F42" i="2"/>
  <c r="BB496" i="21398"/>
  <c r="BB56" i="21413" s="1"/>
  <c r="AZ56" i="21413"/>
  <c r="BB435" i="2"/>
  <c r="BB434" i="2"/>
  <c r="BB433" i="2"/>
  <c r="BB432" i="2"/>
  <c r="BB430" i="2"/>
  <c r="BB429" i="2"/>
  <c r="BB428" i="2"/>
  <c r="BB427" i="2"/>
  <c r="BB426" i="2"/>
  <c r="BB424" i="2"/>
  <c r="BB423" i="2"/>
  <c r="BB422" i="2"/>
  <c r="BB421" i="2"/>
  <c r="BB420" i="2"/>
  <c r="BB419" i="2"/>
  <c r="BB417" i="2"/>
  <c r="BB415" i="2"/>
  <c r="BB413" i="2"/>
  <c r="BB412" i="2"/>
  <c r="BB410" i="2"/>
  <c r="BB409" i="2"/>
  <c r="BB427" i="21398"/>
  <c r="BB426" i="21398"/>
  <c r="BB424" i="21398"/>
  <c r="BB423" i="21398"/>
  <c r="BB422" i="21398"/>
  <c r="BB421" i="21398"/>
  <c r="BB420" i="21398"/>
  <c r="BB417" i="21398"/>
  <c r="BB415" i="21398"/>
  <c r="BB413" i="21398"/>
  <c r="BB412" i="21398"/>
  <c r="BB410" i="21398"/>
  <c r="BB409" i="21398"/>
  <c r="BB407" i="21398"/>
  <c r="BB406" i="21398"/>
  <c r="BB407" i="2"/>
  <c r="BB406" i="2"/>
  <c r="AQ41" i="2"/>
  <c r="AT40" i="2"/>
  <c r="AY38" i="108" l="1"/>
  <c r="BA38" i="108" s="1"/>
  <c r="AC40" i="2"/>
  <c r="AZ33" i="21399"/>
  <c r="BB33" i="21399" s="1"/>
  <c r="AX46" i="21398"/>
  <c r="M46" i="21398" s="1"/>
  <c r="C48" i="21398"/>
  <c r="J45" i="21398"/>
  <c r="AX45" i="21398" s="1"/>
  <c r="AW73" i="3"/>
  <c r="F44" i="2"/>
  <c r="C46" i="2"/>
  <c r="AX46" i="2" s="1"/>
  <c r="AT42" i="2"/>
  <c r="AQ43" i="2"/>
  <c r="AT44" i="2"/>
  <c r="AC42" i="2" l="1"/>
  <c r="C50" i="21398"/>
  <c r="AX48" i="21398"/>
  <c r="M48" i="21398" s="1"/>
  <c r="AC44" i="2"/>
  <c r="F46" i="2"/>
  <c r="J45" i="2"/>
  <c r="AX45" i="2" s="1"/>
  <c r="C48" i="2"/>
  <c r="AX48" i="2" s="1"/>
  <c r="BD29" i="108"/>
  <c r="BD27" i="108"/>
  <c r="BD15" i="108"/>
  <c r="BD13" i="108"/>
  <c r="AW28" i="108"/>
  <c r="AY28" i="108" s="1"/>
  <c r="AW26" i="108"/>
  <c r="AY26" i="108" s="1"/>
  <c r="AW16" i="108"/>
  <c r="AY16" i="108" s="1"/>
  <c r="AW14" i="108"/>
  <c r="AY14" i="108" s="1"/>
  <c r="BD50" i="3"/>
  <c r="BD45" i="108"/>
  <c r="BD6" i="3"/>
  <c r="AW51" i="3"/>
  <c r="AY51" i="3" s="1"/>
  <c r="AW50" i="3"/>
  <c r="AZ50" i="3" s="1"/>
  <c r="AY45" i="108"/>
  <c r="AZ44" i="108"/>
  <c r="AY43" i="108"/>
  <c r="AZ42" i="108"/>
  <c r="AZ41" i="108"/>
  <c r="AY41" i="108"/>
  <c r="AX41" i="108"/>
  <c r="AW44" i="3"/>
  <c r="AW41" i="108" s="1"/>
  <c r="AZ40" i="108"/>
  <c r="AZ10" i="108"/>
  <c r="AZ9" i="108"/>
  <c r="AY9" i="108"/>
  <c r="AX9" i="108"/>
  <c r="AW12" i="3"/>
  <c r="AW9" i="108" s="1"/>
  <c r="AZ8" i="108"/>
  <c r="AZ7" i="108"/>
  <c r="AY7" i="108"/>
  <c r="AX7" i="108"/>
  <c r="AW10" i="3"/>
  <c r="AW7" i="108" s="1"/>
  <c r="AZ6" i="108"/>
  <c r="AZ5" i="108"/>
  <c r="AY5" i="108"/>
  <c r="AX5" i="108"/>
  <c r="AW8" i="3"/>
  <c r="AW5" i="108" s="1"/>
  <c r="AW7" i="3"/>
  <c r="AY7" i="3" s="1"/>
  <c r="AW5" i="3"/>
  <c r="M45" i="108"/>
  <c r="M43" i="108"/>
  <c r="M41" i="108"/>
  <c r="BC36" i="108"/>
  <c r="BC34" i="108"/>
  <c r="BC32" i="108"/>
  <c r="BC30" i="108"/>
  <c r="BC28" i="3"/>
  <c r="BC18" i="3"/>
  <c r="M9" i="108"/>
  <c r="M7" i="108"/>
  <c r="M5" i="108"/>
  <c r="AW14" i="3"/>
  <c r="AT46" i="2"/>
  <c r="AX50" i="21398" l="1"/>
  <c r="M50" i="21398" s="1"/>
  <c r="C52" i="21398"/>
  <c r="J51" i="21398"/>
  <c r="AX51" i="21398" s="1"/>
  <c r="AC46" i="2"/>
  <c r="C50" i="2"/>
  <c r="AX50" i="2" s="1"/>
  <c r="F48" i="2"/>
  <c r="AW6" i="3"/>
  <c r="AW9" i="3"/>
  <c r="AQ45" i="2"/>
  <c r="AQ47" i="2"/>
  <c r="AT48" i="2"/>
  <c r="AW6" i="108" l="1"/>
  <c r="AY9" i="3"/>
  <c r="C54" i="21398"/>
  <c r="AX52" i="21398"/>
  <c r="M52" i="21398" s="1"/>
  <c r="AC48" i="2"/>
  <c r="J51" i="2"/>
  <c r="AX51" i="2" s="1"/>
  <c r="F50" i="2"/>
  <c r="C52" i="2"/>
  <c r="AX52" i="2" s="1"/>
  <c r="AX6" i="108"/>
  <c r="AT50" i="2"/>
  <c r="AQ49" i="2"/>
  <c r="C56" i="21398" l="1"/>
  <c r="AX54" i="21398"/>
  <c r="M54" i="21398" s="1"/>
  <c r="AC50" i="2"/>
  <c r="AY6" i="108"/>
  <c r="C54" i="2"/>
  <c r="AX54" i="2" s="1"/>
  <c r="F52" i="2"/>
  <c r="AX8" i="108"/>
  <c r="AW11" i="3"/>
  <c r="AT52" i="2"/>
  <c r="AQ51" i="2"/>
  <c r="AW8" i="108" l="1"/>
  <c r="AY11" i="3"/>
  <c r="AY8" i="108" s="1"/>
  <c r="AX56" i="21398"/>
  <c r="M56" i="21398" s="1"/>
  <c r="C58" i="21398"/>
  <c r="M6" i="108"/>
  <c r="AC52" i="2"/>
  <c r="C56" i="2"/>
  <c r="AX56" i="2" s="1"/>
  <c r="F54" i="2"/>
  <c r="AX11" i="108"/>
  <c r="AW11" i="108"/>
  <c r="M8" i="108"/>
  <c r="AX10" i="108"/>
  <c r="AW13" i="3"/>
  <c r="BB167" i="2"/>
  <c r="AT54" i="2"/>
  <c r="AQ53" i="2"/>
  <c r="AW10" i="108" l="1"/>
  <c r="AY13" i="3"/>
  <c r="AY10" i="108" s="1"/>
  <c r="C60" i="21398"/>
  <c r="AX58" i="21398"/>
  <c r="M58" i="21398" s="1"/>
  <c r="AC54" i="2"/>
  <c r="C58" i="2"/>
  <c r="AX58" i="2" s="1"/>
  <c r="F56" i="2"/>
  <c r="AW12" i="108"/>
  <c r="AY12" i="108" s="1"/>
  <c r="AW13" i="108"/>
  <c r="AZ13" i="108" s="1"/>
  <c r="AQ55" i="2"/>
  <c r="AT56" i="2"/>
  <c r="C62" i="21398" l="1"/>
  <c r="AX60" i="21398"/>
  <c r="M60" i="21398" s="1"/>
  <c r="M10" i="108"/>
  <c r="AC56" i="2"/>
  <c r="C60" i="2"/>
  <c r="AX60" i="2" s="1"/>
  <c r="F58" i="2"/>
  <c r="AW15" i="108"/>
  <c r="AQ57" i="2"/>
  <c r="AT58" i="2"/>
  <c r="AX62" i="21398" l="1"/>
  <c r="M62" i="21398" s="1"/>
  <c r="C64" i="21398"/>
  <c r="J61" i="21398"/>
  <c r="AX61" i="21398" s="1"/>
  <c r="AC58" i="2"/>
  <c r="AX62" i="2"/>
  <c r="F60" i="2"/>
  <c r="AW17" i="108"/>
  <c r="AW16" i="3"/>
  <c r="AQ59" i="2"/>
  <c r="AT60" i="2"/>
  <c r="AX64" i="21398" l="1"/>
  <c r="M64" i="21398" s="1"/>
  <c r="C66" i="21398"/>
  <c r="AC60" i="2"/>
  <c r="F62" i="2"/>
  <c r="C64" i="2"/>
  <c r="AX64" i="2" s="1"/>
  <c r="J61" i="2"/>
  <c r="AX61" i="2" s="1"/>
  <c r="AW19" i="108"/>
  <c r="AQ61" i="2"/>
  <c r="AX66" i="21398" l="1"/>
  <c r="M66" i="21398" s="1"/>
  <c r="C68" i="21398"/>
  <c r="C66" i="2"/>
  <c r="AX66" i="2" s="1"/>
  <c r="F64" i="2"/>
  <c r="AW21" i="108"/>
  <c r="AW18" i="108"/>
  <c r="AY18" i="108" s="1"/>
  <c r="AQ63" i="2"/>
  <c r="AT62" i="2"/>
  <c r="AT64" i="2"/>
  <c r="AC62" i="2" l="1"/>
  <c r="AX68" i="21398"/>
  <c r="M68" i="21398" s="1"/>
  <c r="C70" i="21398"/>
  <c r="J69" i="21398"/>
  <c r="AX69" i="21398" s="1"/>
  <c r="C68" i="2"/>
  <c r="AX68" i="2" s="1"/>
  <c r="F66" i="2"/>
  <c r="AW22" i="108"/>
  <c r="AY22" i="108" s="1"/>
  <c r="AW23" i="108"/>
  <c r="AZ23" i="108" s="1"/>
  <c r="AW32" i="3"/>
  <c r="BC31" i="108"/>
  <c r="AW20" i="108"/>
  <c r="AY20" i="108" s="1"/>
  <c r="AQ65" i="2"/>
  <c r="AT66" i="2"/>
  <c r="AX70" i="21398" l="1"/>
  <c r="M70" i="21398" s="1"/>
  <c r="C72" i="21398"/>
  <c r="AC66" i="2"/>
  <c r="F68" i="2"/>
  <c r="C70" i="2"/>
  <c r="AX70" i="2" s="1"/>
  <c r="J69" i="2"/>
  <c r="AX69" i="2" s="1"/>
  <c r="AW25" i="108"/>
  <c r="AW24" i="108"/>
  <c r="AY24" i="108" s="1"/>
  <c r="BC33" i="108"/>
  <c r="AQ67" i="2"/>
  <c r="C74" i="21398" l="1"/>
  <c r="AX72" i="21398"/>
  <c r="M72" i="21398" s="1"/>
  <c r="F70" i="2"/>
  <c r="C72" i="2"/>
  <c r="AX72" i="2" s="1"/>
  <c r="AW27" i="108"/>
  <c r="AQ69" i="2"/>
  <c r="AT70" i="2"/>
  <c r="AT68" i="2"/>
  <c r="AC68" i="2" l="1"/>
  <c r="C76" i="21398"/>
  <c r="AX74" i="21398"/>
  <c r="M74" i="21398" s="1"/>
  <c r="BC35" i="108"/>
  <c r="AC70" i="2"/>
  <c r="F72" i="2"/>
  <c r="C74" i="2"/>
  <c r="AX74" i="2" s="1"/>
  <c r="AW29" i="108"/>
  <c r="AZ29" i="108" s="1"/>
  <c r="AQ71" i="2"/>
  <c r="AT72" i="2"/>
  <c r="C78" i="21398" l="1"/>
  <c r="AX76" i="21398"/>
  <c r="M76" i="21398" s="1"/>
  <c r="AC72" i="2"/>
  <c r="F74" i="2"/>
  <c r="C76" i="2"/>
  <c r="AX76" i="2" s="1"/>
  <c r="AX40" i="108"/>
  <c r="AW43" i="3"/>
  <c r="AT74" i="2"/>
  <c r="AQ73" i="2"/>
  <c r="AW40" i="108" l="1"/>
  <c r="AY43" i="3"/>
  <c r="AY40" i="108" s="1"/>
  <c r="C80" i="21398"/>
  <c r="AX78" i="21398"/>
  <c r="M78" i="21398" s="1"/>
  <c r="AC74" i="2"/>
  <c r="C78" i="2"/>
  <c r="AX78" i="2" s="1"/>
  <c r="F76" i="2"/>
  <c r="AW45" i="3"/>
  <c r="AX42" i="108"/>
  <c r="AW42" i="3"/>
  <c r="AT76" i="2"/>
  <c r="AW42" i="108" l="1"/>
  <c r="AY45" i="3"/>
  <c r="AY42" i="108" s="1"/>
  <c r="AX80" i="21398"/>
  <c r="M80" i="21398" s="1"/>
  <c r="J79" i="21398"/>
  <c r="AX79" i="21398" s="1"/>
  <c r="C82" i="21398"/>
  <c r="M40" i="108"/>
  <c r="AC76" i="2"/>
  <c r="F78" i="2"/>
  <c r="C80" i="2"/>
  <c r="AX80" i="2" s="1"/>
  <c r="M42" i="108"/>
  <c r="AW46" i="3"/>
  <c r="AW43" i="108" s="1"/>
  <c r="AW47" i="3"/>
  <c r="AX44" i="108"/>
  <c r="AQ75" i="2"/>
  <c r="AT78" i="2"/>
  <c r="AQ77" i="2"/>
  <c r="AW44" i="108" l="1"/>
  <c r="AY47" i="3"/>
  <c r="AY44" i="108" s="1"/>
  <c r="C84" i="21398"/>
  <c r="AW84" i="21398" s="1"/>
  <c r="AX82" i="21398"/>
  <c r="M82" i="21398" s="1"/>
  <c r="AC78" i="2"/>
  <c r="J79" i="2"/>
  <c r="AX79" i="2" s="1"/>
  <c r="C82" i="2"/>
  <c r="AX82" i="2" s="1"/>
  <c r="F80" i="2"/>
  <c r="AZ43" i="108"/>
  <c r="AX43" i="108"/>
  <c r="AW49" i="3"/>
  <c r="AY49" i="3" s="1"/>
  <c r="M44" i="108"/>
  <c r="AW48" i="3"/>
  <c r="AW82" i="21398"/>
  <c r="AW78" i="21398"/>
  <c r="AY78" i="21398" s="1"/>
  <c r="AW76" i="21398"/>
  <c r="AY76" i="21398" s="1"/>
  <c r="AW74" i="21398"/>
  <c r="AY74" i="21398" s="1"/>
  <c r="AW73" i="21398"/>
  <c r="AW71" i="21398"/>
  <c r="AW69" i="21398"/>
  <c r="AZ69" i="21398" s="1"/>
  <c r="AW67" i="21398"/>
  <c r="AQ79" i="2"/>
  <c r="AW45" i="108" l="1"/>
  <c r="AZ48" i="3"/>
  <c r="AZ45" i="108" s="1"/>
  <c r="AY82" i="21398"/>
  <c r="AX84" i="21398"/>
  <c r="M84" i="21398" s="1"/>
  <c r="C86" i="21398"/>
  <c r="J84" i="21398"/>
  <c r="F82" i="2"/>
  <c r="C84" i="2"/>
  <c r="AX84" i="2" s="1"/>
  <c r="AX45" i="108"/>
  <c r="BA49" i="3"/>
  <c r="BC49" i="3"/>
  <c r="AT80" i="2"/>
  <c r="AQ81" i="2"/>
  <c r="AT82" i="2"/>
  <c r="AC80" i="2" l="1"/>
  <c r="AX86" i="21398"/>
  <c r="M86" i="21398" s="1"/>
  <c r="C88" i="21398"/>
  <c r="J87" i="21398"/>
  <c r="AX87" i="21398" s="1"/>
  <c r="J85" i="21398"/>
  <c r="AX85" i="21398" s="1"/>
  <c r="AZ84" i="21398"/>
  <c r="AY84" i="21398"/>
  <c r="AC82" i="2"/>
  <c r="F84" i="2"/>
  <c r="J84" i="2"/>
  <c r="C86" i="2"/>
  <c r="AX86" i="2" s="1"/>
  <c r="AT84" i="2"/>
  <c r="AQ83" i="2"/>
  <c r="AX88" i="21398" l="1"/>
  <c r="M88" i="21398" s="1"/>
  <c r="C90" i="21398"/>
  <c r="AW88" i="21398"/>
  <c r="AC84" i="2"/>
  <c r="F86" i="2"/>
  <c r="J85" i="2"/>
  <c r="AX85" i="2" s="1"/>
  <c r="J87" i="2"/>
  <c r="AX87" i="2" s="1"/>
  <c r="C88" i="2"/>
  <c r="AX88" i="2" s="1"/>
  <c r="AW63" i="21398"/>
  <c r="AW61" i="21398"/>
  <c r="AZ61" i="21398" s="1"/>
  <c r="AW59" i="21398"/>
  <c r="AW55" i="21398"/>
  <c r="AW53" i="21398"/>
  <c r="AW51" i="21398"/>
  <c r="AZ51" i="21398" s="1"/>
  <c r="AW49" i="21398"/>
  <c r="AW47" i="21398"/>
  <c r="AW43" i="21398"/>
  <c r="AW41" i="21398"/>
  <c r="AW37" i="21398"/>
  <c r="AW35" i="21398"/>
  <c r="AW33" i="21398"/>
  <c r="AW31" i="21398"/>
  <c r="AZ31" i="21398" s="1"/>
  <c r="AW27" i="21398"/>
  <c r="BD5" i="21398"/>
  <c r="AW19" i="21398"/>
  <c r="AW17" i="21398"/>
  <c r="AW15" i="21398"/>
  <c r="AW13" i="21398"/>
  <c r="AW11" i="21398"/>
  <c r="AW6" i="21398"/>
  <c r="AW5" i="21398"/>
  <c r="AZ5" i="21398" s="1"/>
  <c r="BC21" i="2"/>
  <c r="AW25" i="2"/>
  <c r="AZ25" i="2" s="1"/>
  <c r="BB25" i="2" s="1"/>
  <c r="AT86" i="2"/>
  <c r="AQ85" i="2"/>
  <c r="C92" i="21398" l="1"/>
  <c r="C94" i="21398" s="1"/>
  <c r="AX90" i="21398"/>
  <c r="M90" i="21398" s="1"/>
  <c r="AW90" i="21398"/>
  <c r="AY88" i="21398"/>
  <c r="AC86" i="2"/>
  <c r="F88" i="2"/>
  <c r="C90" i="2"/>
  <c r="AX90" i="2" s="1"/>
  <c r="M90" i="2" s="1"/>
  <c r="BC90" i="2" s="1"/>
  <c r="AW14" i="21398"/>
  <c r="AY14" i="21398" s="1"/>
  <c r="AW12" i="21398"/>
  <c r="AY12" i="21398" s="1"/>
  <c r="AW16" i="21398"/>
  <c r="AY16" i="21398" s="1"/>
  <c r="M88" i="2"/>
  <c r="BC88" i="2" s="1"/>
  <c r="AW88" i="2"/>
  <c r="AY88" i="2" s="1"/>
  <c r="BA88" i="2" s="1"/>
  <c r="AW84" i="2"/>
  <c r="M82" i="2"/>
  <c r="BC82" i="2" s="1"/>
  <c r="AW82" i="2"/>
  <c r="AY82" i="2" s="1"/>
  <c r="BA82" i="2" s="1"/>
  <c r="M78" i="2"/>
  <c r="BC78" i="2" s="1"/>
  <c r="AW78" i="2"/>
  <c r="AY78" i="2" s="1"/>
  <c r="BA78" i="2" s="1"/>
  <c r="M76" i="2"/>
  <c r="BC76" i="2" s="1"/>
  <c r="AW76" i="2"/>
  <c r="AY76" i="2" s="1"/>
  <c r="BA76" i="2" s="1"/>
  <c r="M74" i="2"/>
  <c r="BC74" i="2" s="1"/>
  <c r="AW74" i="2"/>
  <c r="AY74" i="2" s="1"/>
  <c r="BA74" i="2" s="1"/>
  <c r="AW71" i="2"/>
  <c r="AW69" i="2"/>
  <c r="AZ69" i="2" s="1"/>
  <c r="BB69" i="2" s="1"/>
  <c r="AW63" i="2"/>
  <c r="AW61" i="2"/>
  <c r="AZ61" i="2" s="1"/>
  <c r="AW59" i="2"/>
  <c r="AW55" i="2"/>
  <c r="AW53" i="2"/>
  <c r="AW51" i="2"/>
  <c r="AZ51" i="2" s="1"/>
  <c r="AW49" i="2"/>
  <c r="AW47" i="2"/>
  <c r="AW43" i="2"/>
  <c r="AW41" i="2"/>
  <c r="AW37" i="2"/>
  <c r="AW35" i="2"/>
  <c r="AW33" i="2"/>
  <c r="AW31" i="2"/>
  <c r="AZ31" i="2" s="1"/>
  <c r="AW29" i="2"/>
  <c r="AW27" i="2"/>
  <c r="AW19" i="2"/>
  <c r="AW17" i="2"/>
  <c r="M14" i="2"/>
  <c r="AW14" i="2"/>
  <c r="AY14" i="2" s="1"/>
  <c r="AW13" i="2"/>
  <c r="M12" i="2"/>
  <c r="AW12" i="2"/>
  <c r="AY12" i="2" s="1"/>
  <c r="AW11" i="2"/>
  <c r="M10" i="2"/>
  <c r="AW10" i="2"/>
  <c r="AY10" i="2" s="1"/>
  <c r="M6" i="2"/>
  <c r="BC6" i="2" s="1"/>
  <c r="AQ87" i="2"/>
  <c r="AT88" i="2"/>
  <c r="AY90" i="21398" l="1"/>
  <c r="C96" i="21398"/>
  <c r="AX94" i="21398"/>
  <c r="M94" i="21398" s="1"/>
  <c r="AW94" i="21398"/>
  <c r="AW90" i="2"/>
  <c r="AY90" i="2" s="1"/>
  <c r="BA90" i="2" s="1"/>
  <c r="AY84" i="2"/>
  <c r="BA84" i="2" s="1"/>
  <c r="AZ84" i="2"/>
  <c r="BB84" i="2" s="1"/>
  <c r="AC88" i="2"/>
  <c r="F90" i="2"/>
  <c r="C92" i="2"/>
  <c r="M84" i="2"/>
  <c r="BC84" i="2" s="1"/>
  <c r="M66" i="2"/>
  <c r="BC66" i="2" s="1"/>
  <c r="AW66" i="2"/>
  <c r="AY66" i="2" s="1"/>
  <c r="BA66" i="2" s="1"/>
  <c r="AW10" i="21398"/>
  <c r="AY10" i="21398" s="1"/>
  <c r="AW18" i="21398"/>
  <c r="AY18" i="21398" s="1"/>
  <c r="M16" i="2"/>
  <c r="AW16" i="2"/>
  <c r="AY16" i="2" s="1"/>
  <c r="AT90" i="2"/>
  <c r="AQ89" i="2"/>
  <c r="AY94" i="21398" l="1"/>
  <c r="AX96" i="21398"/>
  <c r="M96" i="21398" s="1"/>
  <c r="J95" i="21398"/>
  <c r="AX95" i="21398" s="1"/>
  <c r="C98" i="21398"/>
  <c r="AW96" i="21398"/>
  <c r="AC90" i="2"/>
  <c r="F92" i="2"/>
  <c r="C94" i="2"/>
  <c r="AX94" i="2" s="1"/>
  <c r="M68" i="2"/>
  <c r="BC68" i="2" s="1"/>
  <c r="AW68" i="2"/>
  <c r="AW20" i="21398"/>
  <c r="AY20" i="21398" s="1"/>
  <c r="M18" i="2"/>
  <c r="AW18" i="2"/>
  <c r="AY18" i="2" s="1"/>
  <c r="AT92" i="2"/>
  <c r="AQ91" i="2"/>
  <c r="C100" i="21398" l="1"/>
  <c r="AX98" i="21398"/>
  <c r="M98" i="21398" s="1"/>
  <c r="AC92" i="2"/>
  <c r="F94" i="2"/>
  <c r="C96" i="2"/>
  <c r="AX96" i="2" s="1"/>
  <c r="AW94" i="2"/>
  <c r="AY94" i="2" s="1"/>
  <c r="M70" i="2"/>
  <c r="BC70" i="2" s="1"/>
  <c r="AW70" i="2"/>
  <c r="AY70" i="2" s="1"/>
  <c r="BA70" i="2" s="1"/>
  <c r="AW24" i="21398"/>
  <c r="M20" i="2"/>
  <c r="AW20" i="2"/>
  <c r="AY20" i="2" s="1"/>
  <c r="AQ93" i="2"/>
  <c r="AT94" i="2"/>
  <c r="C102" i="21398" l="1"/>
  <c r="AX100" i="21398"/>
  <c r="M100" i="21398" s="1"/>
  <c r="AW100" i="21398"/>
  <c r="AC94" i="2"/>
  <c r="M94" i="2"/>
  <c r="AX95" i="2"/>
  <c r="F96" i="2"/>
  <c r="C98" i="2"/>
  <c r="AX98" i="2" s="1"/>
  <c r="AW96" i="2"/>
  <c r="M72" i="2"/>
  <c r="BC72" i="2" s="1"/>
  <c r="AW72" i="2"/>
  <c r="AY72" i="2" s="1"/>
  <c r="BA72" i="2" s="1"/>
  <c r="AW25" i="21398"/>
  <c r="AZ25" i="21398" s="1"/>
  <c r="AW23" i="21398"/>
  <c r="AW26" i="21398"/>
  <c r="AY26" i="21398" s="1"/>
  <c r="M24" i="2"/>
  <c r="AW24" i="2"/>
  <c r="AT96" i="2"/>
  <c r="AY100" i="21398" l="1"/>
  <c r="C104" i="21398"/>
  <c r="AX102" i="21398"/>
  <c r="M102" i="21398" s="1"/>
  <c r="AW102" i="21398"/>
  <c r="AC96" i="2"/>
  <c r="M96" i="2"/>
  <c r="C100" i="2"/>
  <c r="AX100" i="2" s="1"/>
  <c r="F98" i="2"/>
  <c r="AW75" i="2"/>
  <c r="AW28" i="21398"/>
  <c r="AY28" i="21398" s="1"/>
  <c r="M26" i="2"/>
  <c r="AW26" i="2"/>
  <c r="AY26" i="2" s="1"/>
  <c r="AQ95" i="2"/>
  <c r="AQ97" i="2"/>
  <c r="AT98" i="2"/>
  <c r="C106" i="21398" l="1"/>
  <c r="AX104" i="21398"/>
  <c r="M104" i="21398" s="1"/>
  <c r="AW104" i="21398"/>
  <c r="F100" i="2"/>
  <c r="C102" i="2"/>
  <c r="AX102" i="2" s="1"/>
  <c r="AW100" i="2"/>
  <c r="AY100" i="2" s="1"/>
  <c r="AW77" i="2"/>
  <c r="AW29" i="21398"/>
  <c r="AW30" i="21398"/>
  <c r="AY30" i="21398" s="1"/>
  <c r="M28" i="2"/>
  <c r="AW28" i="2"/>
  <c r="AY28" i="2" s="1"/>
  <c r="AQ99" i="2"/>
  <c r="AT100" i="2"/>
  <c r="AY104" i="21398" l="1"/>
  <c r="C108" i="21398"/>
  <c r="AX106" i="21398"/>
  <c r="M106" i="21398" s="1"/>
  <c r="AC100" i="2"/>
  <c r="M100" i="2"/>
  <c r="F102" i="2"/>
  <c r="C104" i="2"/>
  <c r="AX104" i="2" s="1"/>
  <c r="J103" i="2"/>
  <c r="AX103" i="2" s="1"/>
  <c r="AW102" i="2"/>
  <c r="AW79" i="2"/>
  <c r="AZ79" i="2" s="1"/>
  <c r="BB79" i="2" s="1"/>
  <c r="AW32" i="21398"/>
  <c r="M30" i="2"/>
  <c r="AW30" i="2"/>
  <c r="AY30" i="2" s="1"/>
  <c r="AT102" i="2"/>
  <c r="AQ101" i="2"/>
  <c r="C110" i="21398" l="1"/>
  <c r="AX108" i="21398"/>
  <c r="M108" i="21398" s="1"/>
  <c r="AW108" i="21398"/>
  <c r="AC102" i="2"/>
  <c r="C106" i="2"/>
  <c r="AX106" i="2" s="1"/>
  <c r="F104" i="2"/>
  <c r="AW104" i="2"/>
  <c r="AY104" i="2" s="1"/>
  <c r="M102" i="2"/>
  <c r="AW81" i="2"/>
  <c r="AW34" i="21398"/>
  <c r="AY34" i="21398" s="1"/>
  <c r="M32" i="2"/>
  <c r="AW32" i="2"/>
  <c r="AQ103" i="2"/>
  <c r="AT104" i="2"/>
  <c r="AY108" i="21398" l="1"/>
  <c r="C112" i="21398"/>
  <c r="AX110" i="21398"/>
  <c r="M110" i="21398" s="1"/>
  <c r="AW110" i="21398"/>
  <c r="AC104" i="2"/>
  <c r="M104" i="2"/>
  <c r="F106" i="2"/>
  <c r="C108" i="2"/>
  <c r="AX108" i="2" s="1"/>
  <c r="AW83" i="2"/>
  <c r="AW80" i="2"/>
  <c r="AY80" i="2" s="1"/>
  <c r="BA80" i="2" s="1"/>
  <c r="AW36" i="21398"/>
  <c r="AY36" i="21398" s="1"/>
  <c r="AW34" i="2"/>
  <c r="AY34" i="2" s="1"/>
  <c r="M34" i="2"/>
  <c r="AQ105" i="2"/>
  <c r="AY110" i="21398" l="1"/>
  <c r="C114" i="21398"/>
  <c r="AX112" i="21398"/>
  <c r="M112" i="21398" s="1"/>
  <c r="AW112" i="21398"/>
  <c r="AW108" i="2"/>
  <c r="AY108" i="2" s="1"/>
  <c r="C110" i="2"/>
  <c r="AX110" i="2" s="1"/>
  <c r="F108" i="2"/>
  <c r="M80" i="2"/>
  <c r="BC80" i="2" s="1"/>
  <c r="AW85" i="2"/>
  <c r="AZ85" i="2" s="1"/>
  <c r="BB85" i="2" s="1"/>
  <c r="AW38" i="21398"/>
  <c r="M36" i="2"/>
  <c r="AW36" i="2"/>
  <c r="AY36" i="2" s="1"/>
  <c r="AT106" i="2"/>
  <c r="AT108" i="2"/>
  <c r="AQ107" i="2"/>
  <c r="AC106" i="2" l="1"/>
  <c r="AY112" i="21398"/>
  <c r="AX114" i="21398"/>
  <c r="M114" i="21398" s="1"/>
  <c r="C116" i="21398"/>
  <c r="AW114" i="21398"/>
  <c r="AC108" i="2"/>
  <c r="F110" i="2"/>
  <c r="C112" i="2"/>
  <c r="AX112" i="2" s="1"/>
  <c r="AW110" i="2"/>
  <c r="AY110" i="2" s="1"/>
  <c r="M108" i="2"/>
  <c r="AW87" i="2"/>
  <c r="AZ87" i="2" s="1"/>
  <c r="BB87" i="2" s="1"/>
  <c r="AW86" i="2"/>
  <c r="AY86" i="2" s="1"/>
  <c r="BA86" i="2" s="1"/>
  <c r="AW40" i="21398"/>
  <c r="AY40" i="21398" s="1"/>
  <c r="M38" i="2"/>
  <c r="AW38" i="2"/>
  <c r="AQ109" i="2"/>
  <c r="AT110" i="2"/>
  <c r="AX116" i="21398" l="1"/>
  <c r="M116" i="21398" s="1"/>
  <c r="C118" i="21398"/>
  <c r="AY114" i="21398"/>
  <c r="AC110" i="2"/>
  <c r="M110" i="2"/>
  <c r="AW112" i="2"/>
  <c r="AY112" i="2" s="1"/>
  <c r="C114" i="2"/>
  <c r="AX114" i="2" s="1"/>
  <c r="F112" i="2"/>
  <c r="M86" i="2"/>
  <c r="BC86" i="2" s="1"/>
  <c r="AW89" i="2"/>
  <c r="AW39" i="21398"/>
  <c r="AZ39" i="21398" s="1"/>
  <c r="AW42" i="21398"/>
  <c r="AY42" i="21398" s="1"/>
  <c r="AW40" i="2"/>
  <c r="AY40" i="2" s="1"/>
  <c r="M40" i="2"/>
  <c r="AQ111" i="2"/>
  <c r="AT112" i="2"/>
  <c r="AX118" i="21398" l="1"/>
  <c r="M118" i="21398" s="1"/>
  <c r="C120" i="21398"/>
  <c r="AC112" i="2"/>
  <c r="M112" i="2"/>
  <c r="AW114" i="2"/>
  <c r="AY114" i="2" s="1"/>
  <c r="C116" i="2"/>
  <c r="AX116" i="2" s="1"/>
  <c r="F114" i="2"/>
  <c r="AW91" i="2"/>
  <c r="AW44" i="21398"/>
  <c r="AY44" i="21398" s="1"/>
  <c r="AW39" i="2"/>
  <c r="AZ39" i="2" s="1"/>
  <c r="AW42" i="2"/>
  <c r="AY42" i="2" s="1"/>
  <c r="M42" i="2"/>
  <c r="AT114" i="2"/>
  <c r="AQ113" i="2"/>
  <c r="C122" i="21398" l="1"/>
  <c r="AX120" i="21398"/>
  <c r="M120" i="21398" s="1"/>
  <c r="AC114" i="2"/>
  <c r="M114" i="2"/>
  <c r="F116" i="2"/>
  <c r="C118" i="2"/>
  <c r="AX118" i="2" s="1"/>
  <c r="AW93" i="2"/>
  <c r="AW46" i="21398"/>
  <c r="AY46" i="21398" s="1"/>
  <c r="AW45" i="21398"/>
  <c r="AZ45" i="21398" s="1"/>
  <c r="AW44" i="2"/>
  <c r="AY44" i="2" s="1"/>
  <c r="M44" i="2"/>
  <c r="AQ115" i="2"/>
  <c r="C124" i="21398" l="1"/>
  <c r="AX122" i="21398"/>
  <c r="M122" i="21398" s="1"/>
  <c r="C120" i="2"/>
  <c r="AX120" i="2" s="1"/>
  <c r="F118" i="2"/>
  <c r="J117" i="2"/>
  <c r="AX117" i="2" s="1"/>
  <c r="AW95" i="2"/>
  <c r="AZ95" i="2" s="1"/>
  <c r="AW48" i="21398"/>
  <c r="AY48" i="21398" s="1"/>
  <c r="M46" i="2"/>
  <c r="AW46" i="2"/>
  <c r="AY46" i="2" s="1"/>
  <c r="AW45" i="2"/>
  <c r="AZ45" i="2" s="1"/>
  <c r="AQ117" i="2"/>
  <c r="AT118" i="2"/>
  <c r="AT116" i="2"/>
  <c r="AC116" i="2" l="1"/>
  <c r="AX124" i="21398"/>
  <c r="M124" i="21398" s="1"/>
  <c r="C126" i="21398"/>
  <c r="AW124" i="21398"/>
  <c r="AC118" i="2"/>
  <c r="C122" i="2"/>
  <c r="AX122" i="2" s="1"/>
  <c r="F120" i="2"/>
  <c r="AW97" i="2"/>
  <c r="AW50" i="21398"/>
  <c r="AY50" i="21398" s="1"/>
  <c r="M48" i="2"/>
  <c r="AW48" i="2"/>
  <c r="AY48" i="2" s="1"/>
  <c r="AT120" i="2"/>
  <c r="AQ119" i="2"/>
  <c r="C128" i="21398" l="1"/>
  <c r="AX126" i="21398"/>
  <c r="M126" i="21398" s="1"/>
  <c r="AW126" i="21398"/>
  <c r="AY124" i="21398"/>
  <c r="AC120" i="2"/>
  <c r="C124" i="2"/>
  <c r="AX124" i="2" s="1"/>
  <c r="F122" i="2"/>
  <c r="J123" i="2"/>
  <c r="AX123" i="2" s="1"/>
  <c r="AW99" i="2"/>
  <c r="AW52" i="21398"/>
  <c r="AY52" i="21398" s="1"/>
  <c r="M50" i="2"/>
  <c r="AW50" i="2"/>
  <c r="AY50" i="2" s="1"/>
  <c r="AQ121" i="2"/>
  <c r="C130" i="21398" l="1"/>
  <c r="AX128" i="21398"/>
  <c r="M128" i="21398" s="1"/>
  <c r="AW128" i="21398"/>
  <c r="AY126" i="21398"/>
  <c r="F124" i="2"/>
  <c r="AW124" i="2"/>
  <c r="AY124" i="2" s="1"/>
  <c r="C126" i="2"/>
  <c r="AX126" i="2" s="1"/>
  <c r="AW101" i="2"/>
  <c r="AW98" i="2"/>
  <c r="AY98" i="2" s="1"/>
  <c r="AW54" i="21398"/>
  <c r="AY54" i="21398" s="1"/>
  <c r="M52" i="2"/>
  <c r="AW52" i="2"/>
  <c r="AY52" i="2" s="1"/>
  <c r="AT124" i="2"/>
  <c r="AQ123" i="2"/>
  <c r="AT122" i="2"/>
  <c r="AC122" i="2" l="1"/>
  <c r="AY128" i="21398"/>
  <c r="C132" i="21398"/>
  <c r="C134" i="21398" s="1"/>
  <c r="AX130" i="21398"/>
  <c r="M130" i="21398" s="1"/>
  <c r="AW130" i="21398"/>
  <c r="AC124" i="2"/>
  <c r="M124" i="2"/>
  <c r="C128" i="2"/>
  <c r="AX128" i="2" s="1"/>
  <c r="AW126" i="2"/>
  <c r="AY126" i="2" s="1"/>
  <c r="F126" i="2"/>
  <c r="M98" i="2"/>
  <c r="AW103" i="2"/>
  <c r="AZ103" i="2" s="1"/>
  <c r="AW56" i="21398"/>
  <c r="AY56" i="21398" s="1"/>
  <c r="M54" i="2"/>
  <c r="AW54" i="2"/>
  <c r="AY54" i="2" s="1"/>
  <c r="AT126" i="2"/>
  <c r="AQ125" i="2"/>
  <c r="AY130" i="21398" l="1"/>
  <c r="AX132" i="21398"/>
  <c r="M132" i="21398" s="1"/>
  <c r="AC126" i="2"/>
  <c r="M126" i="2"/>
  <c r="AW128" i="2"/>
  <c r="AY128" i="2" s="1"/>
  <c r="C130" i="2"/>
  <c r="AX130" i="2" s="1"/>
  <c r="F128" i="2"/>
  <c r="AW107" i="2"/>
  <c r="AW105" i="2"/>
  <c r="AW58" i="21398"/>
  <c r="AY58" i="21398" s="1"/>
  <c r="M56" i="2"/>
  <c r="AW56" i="2"/>
  <c r="AY56" i="2" s="1"/>
  <c r="AT128" i="2"/>
  <c r="AC128" i="2" l="1"/>
  <c r="AW130" i="2"/>
  <c r="AY130" i="2" s="1"/>
  <c r="F130" i="2"/>
  <c r="C132" i="2"/>
  <c r="M128" i="2"/>
  <c r="AW109" i="2"/>
  <c r="AW106" i="2"/>
  <c r="AY106" i="2" s="1"/>
  <c r="AW57" i="21398"/>
  <c r="AW60" i="21398"/>
  <c r="AY60" i="21398" s="1"/>
  <c r="AW58" i="2"/>
  <c r="AY58" i="2" s="1"/>
  <c r="M58" i="2"/>
  <c r="AQ127" i="2"/>
  <c r="AT130" i="2"/>
  <c r="AX132" i="2" l="1"/>
  <c r="C134" i="2"/>
  <c r="AX134" i="21398"/>
  <c r="M134" i="21398" s="1"/>
  <c r="C136" i="21398"/>
  <c r="AW134" i="21398"/>
  <c r="AC130" i="2"/>
  <c r="F132" i="2"/>
  <c r="M130" i="2"/>
  <c r="M106" i="2"/>
  <c r="AW111" i="2"/>
  <c r="AW62" i="21398"/>
  <c r="AW60" i="2"/>
  <c r="AY60" i="2" s="1"/>
  <c r="M60" i="2"/>
  <c r="AW57" i="2"/>
  <c r="AQ129" i="2"/>
  <c r="AQ131" i="2"/>
  <c r="AT132" i="2"/>
  <c r="AX136" i="21398" l="1"/>
  <c r="M136" i="21398" s="1"/>
  <c r="C138" i="21398"/>
  <c r="AY134" i="21398"/>
  <c r="AC132" i="2"/>
  <c r="AX134" i="2"/>
  <c r="AW66" i="21398"/>
  <c r="AY66" i="21398" s="1"/>
  <c r="AW113" i="2"/>
  <c r="AW64" i="21398"/>
  <c r="AY64" i="21398" s="1"/>
  <c r="AW62" i="2"/>
  <c r="M62" i="2"/>
  <c r="AW138" i="21398" l="1"/>
  <c r="C140" i="21398"/>
  <c r="AX138" i="21398"/>
  <c r="M138" i="21398" s="1"/>
  <c r="F134" i="2"/>
  <c r="C136" i="2"/>
  <c r="AX136" i="2" s="1"/>
  <c r="AW134" i="2"/>
  <c r="AY134" i="2" s="1"/>
  <c r="AW68" i="21398"/>
  <c r="AW65" i="21398"/>
  <c r="AW115" i="2"/>
  <c r="AW64" i="2"/>
  <c r="AY64" i="2" s="1"/>
  <c r="BA64" i="2" s="1"/>
  <c r="M64" i="2"/>
  <c r="BC64" i="2" s="1"/>
  <c r="AT134" i="2"/>
  <c r="AQ133" i="2"/>
  <c r="AW140" i="21398" l="1"/>
  <c r="C142" i="21398"/>
  <c r="AX140" i="21398"/>
  <c r="M140" i="21398" s="1"/>
  <c r="AY138" i="21398"/>
  <c r="AC134" i="2"/>
  <c r="AX135" i="2"/>
  <c r="F136" i="2"/>
  <c r="C138" i="2"/>
  <c r="AX138" i="2" s="1"/>
  <c r="M134" i="2"/>
  <c r="AW70" i="21398"/>
  <c r="AY70" i="21398" s="1"/>
  <c r="AW117" i="2"/>
  <c r="AZ117" i="2" s="1"/>
  <c r="AW65" i="2"/>
  <c r="AT136" i="2"/>
  <c r="AY140" i="21398" l="1"/>
  <c r="AW142" i="21398"/>
  <c r="AX142" i="21398"/>
  <c r="M142" i="21398" s="1"/>
  <c r="C144" i="21398"/>
  <c r="AC136" i="2"/>
  <c r="AW138" i="2"/>
  <c r="AY138" i="2" s="1"/>
  <c r="C140" i="2"/>
  <c r="AX140" i="2" s="1"/>
  <c r="F138" i="2"/>
  <c r="AW135" i="2"/>
  <c r="AZ135" i="2" s="1"/>
  <c r="BB135" i="2" s="1"/>
  <c r="AW72" i="21398"/>
  <c r="AY72" i="21398" s="1"/>
  <c r="AW119" i="2"/>
  <c r="AW116" i="2"/>
  <c r="AY116" i="2" s="1"/>
  <c r="AQ135" i="2"/>
  <c r="AQ137" i="2"/>
  <c r="AW144" i="21398" l="1"/>
  <c r="C146" i="21398"/>
  <c r="C148" i="21398" s="1"/>
  <c r="C150" i="21398" s="1"/>
  <c r="C152" i="21398" s="1"/>
  <c r="C154" i="21398" s="1"/>
  <c r="C156" i="21398" s="1"/>
  <c r="C158" i="21398" s="1"/>
  <c r="C160" i="21398" s="1"/>
  <c r="C162" i="21398" s="1"/>
  <c r="C164" i="21398" s="1"/>
  <c r="C166" i="21398" s="1"/>
  <c r="C168" i="21398" s="1"/>
  <c r="C170" i="21398" s="1"/>
  <c r="C172" i="21398" s="1"/>
  <c r="C174" i="21398" s="1"/>
  <c r="C176" i="21398" s="1"/>
  <c r="C178" i="21398" s="1"/>
  <c r="C180" i="21398" s="1"/>
  <c r="C182" i="21398" s="1"/>
  <c r="C184" i="21398" s="1"/>
  <c r="C186" i="21398" s="1"/>
  <c r="C188" i="21398" s="1"/>
  <c r="C190" i="21398" s="1"/>
  <c r="C192" i="21398" s="1"/>
  <c r="C194" i="21398" s="1"/>
  <c r="C196" i="21398" s="1"/>
  <c r="C198" i="21398" s="1"/>
  <c r="C200" i="21398" s="1"/>
  <c r="C202" i="21398" s="1"/>
  <c r="C204" i="21398" s="1"/>
  <c r="C206" i="21398" s="1"/>
  <c r="C208" i="21398" s="1"/>
  <c r="C210" i="21398" s="1"/>
  <c r="C212" i="21398" s="1"/>
  <c r="AX144" i="21398"/>
  <c r="M144" i="21398" s="1"/>
  <c r="AY142" i="21398"/>
  <c r="AW140" i="2"/>
  <c r="AY140" i="2" s="1"/>
  <c r="F140" i="2"/>
  <c r="C142" i="2"/>
  <c r="AX142" i="2" s="1"/>
  <c r="J139" i="2"/>
  <c r="AX139" i="2" s="1"/>
  <c r="M138" i="2"/>
  <c r="M116" i="2"/>
  <c r="AW75" i="21398"/>
  <c r="AW118" i="2"/>
  <c r="AY118" i="2" s="1"/>
  <c r="AW120" i="2"/>
  <c r="AY120" i="2" s="1"/>
  <c r="AW121" i="2"/>
  <c r="M131" i="21406"/>
  <c r="M125" i="21406"/>
  <c r="M122" i="21406"/>
  <c r="M119" i="21406"/>
  <c r="M93" i="21406"/>
  <c r="AY59" i="21417" s="1"/>
  <c r="BA59" i="21417" s="1"/>
  <c r="M87" i="21406"/>
  <c r="M84" i="21406"/>
  <c r="M81" i="21406"/>
  <c r="M69" i="21406"/>
  <c r="M55" i="21406"/>
  <c r="M49" i="21406"/>
  <c r="M46" i="21406"/>
  <c r="M43" i="21406"/>
  <c r="M18" i="21406"/>
  <c r="M12" i="21406"/>
  <c r="M9" i="21406"/>
  <c r="M6" i="21406"/>
  <c r="AT138" i="2"/>
  <c r="AQ139" i="2"/>
  <c r="AY54" i="21413" l="1"/>
  <c r="AY6" i="2"/>
  <c r="BA6" i="2" s="1"/>
  <c r="AY6" i="21398"/>
  <c r="AY96" i="21398"/>
  <c r="AY24" i="21398"/>
  <c r="AY96" i="2"/>
  <c r="AY24" i="2"/>
  <c r="AY102" i="21398"/>
  <c r="AY32" i="21398"/>
  <c r="AY102" i="2"/>
  <c r="AY32" i="2"/>
  <c r="AY38" i="21398"/>
  <c r="AY38" i="2"/>
  <c r="AY144" i="21398"/>
  <c r="AW212" i="21398"/>
  <c r="C214" i="21398"/>
  <c r="AX212" i="21398"/>
  <c r="M212" i="21398" s="1"/>
  <c r="J143" i="2"/>
  <c r="AX143" i="2" s="1"/>
  <c r="AW142" i="2"/>
  <c r="C144" i="2"/>
  <c r="AX144" i="2" s="1"/>
  <c r="F142" i="2"/>
  <c r="M140" i="2"/>
  <c r="M120" i="2"/>
  <c r="M118" i="2"/>
  <c r="AW77" i="21398"/>
  <c r="AW122" i="2"/>
  <c r="AY122" i="2" s="1"/>
  <c r="AW123" i="2"/>
  <c r="AZ123" i="2" s="1"/>
  <c r="BB35" i="21400"/>
  <c r="BB37" i="21399" s="1"/>
  <c r="BA35" i="21400"/>
  <c r="BA37" i="21399" s="1"/>
  <c r="BB34" i="21400"/>
  <c r="BB36" i="21399" s="1"/>
  <c r="BA34" i="21400"/>
  <c r="BA36" i="21399" s="1"/>
  <c r="BB33" i="21400"/>
  <c r="BA33" i="21400"/>
  <c r="BB32" i="21400"/>
  <c r="BA32" i="21400"/>
  <c r="BB31" i="21400"/>
  <c r="BA31" i="21400"/>
  <c r="BB30" i="21400"/>
  <c r="BA30" i="21400"/>
  <c r="BB29" i="21400"/>
  <c r="BA29" i="21400"/>
  <c r="BB28" i="21400"/>
  <c r="BA28" i="21400"/>
  <c r="BD19" i="21400"/>
  <c r="AC35" i="21400"/>
  <c r="AC37" i="21399" s="1"/>
  <c r="AC36" i="21399"/>
  <c r="AC22" i="21400"/>
  <c r="M150" i="21408" s="1"/>
  <c r="BC35" i="21400"/>
  <c r="BC37" i="21399" s="1"/>
  <c r="BC34" i="21400"/>
  <c r="BC36" i="21399" s="1"/>
  <c r="BC33" i="21400"/>
  <c r="BC32" i="21400"/>
  <c r="BC31" i="21400"/>
  <c r="BC30" i="21400"/>
  <c r="BC29" i="21400"/>
  <c r="BC28" i="21400"/>
  <c r="BB29" i="108"/>
  <c r="BA29" i="108"/>
  <c r="BB28" i="108"/>
  <c r="BA28" i="108"/>
  <c r="BB27" i="108"/>
  <c r="BA27" i="108"/>
  <c r="BB26" i="108"/>
  <c r="BA26" i="108"/>
  <c r="BB25" i="108"/>
  <c r="BA25" i="108"/>
  <c r="BB24" i="108"/>
  <c r="BA24" i="108"/>
  <c r="BB23" i="108"/>
  <c r="BA23" i="108"/>
  <c r="BB22" i="108"/>
  <c r="BA22" i="108"/>
  <c r="BB21" i="108"/>
  <c r="BA21" i="108"/>
  <c r="BB20" i="108"/>
  <c r="BA20" i="108"/>
  <c r="BB19" i="108"/>
  <c r="BA19" i="108"/>
  <c r="BB18" i="108"/>
  <c r="BA18" i="108"/>
  <c r="BB17" i="108"/>
  <c r="BA17" i="108"/>
  <c r="BB16" i="108"/>
  <c r="BA16" i="108"/>
  <c r="BB15" i="108"/>
  <c r="BA15" i="108"/>
  <c r="BB14" i="108"/>
  <c r="BA14" i="108"/>
  <c r="BB13" i="108"/>
  <c r="BA13" i="108"/>
  <c r="BB12" i="108"/>
  <c r="BA12" i="108"/>
  <c r="BB11" i="108"/>
  <c r="BA11" i="108"/>
  <c r="AC28" i="108"/>
  <c r="AC27" i="108"/>
  <c r="AC26" i="108"/>
  <c r="AC25" i="108"/>
  <c r="AC24" i="108"/>
  <c r="AC23" i="108"/>
  <c r="AC22" i="108"/>
  <c r="AC21" i="108"/>
  <c r="AC20" i="108"/>
  <c r="AC19" i="108"/>
  <c r="AC18" i="108"/>
  <c r="AC17" i="108"/>
  <c r="AC16" i="108"/>
  <c r="AC15" i="108"/>
  <c r="AC14" i="108"/>
  <c r="AC13" i="108"/>
  <c r="AC12" i="108"/>
  <c r="AC11" i="108"/>
  <c r="AT140" i="2"/>
  <c r="AT142" i="2"/>
  <c r="AQ141" i="2"/>
  <c r="AC140" i="2" l="1"/>
  <c r="AY212" i="21398"/>
  <c r="AX214" i="21398"/>
  <c r="M214" i="21398" s="1"/>
  <c r="C216" i="21398"/>
  <c r="J215" i="21398"/>
  <c r="AX215" i="21398" s="1"/>
  <c r="AW214" i="21398"/>
  <c r="AW144" i="2"/>
  <c r="AY144" i="2" s="1"/>
  <c r="F144" i="2"/>
  <c r="C146" i="2"/>
  <c r="AX146" i="2" s="1"/>
  <c r="M142" i="2"/>
  <c r="BC142" i="2" s="1"/>
  <c r="BB122" i="2"/>
  <c r="M122" i="2"/>
  <c r="BC122" i="2" s="1"/>
  <c r="BA122" i="2"/>
  <c r="AW79" i="21398"/>
  <c r="AZ79" i="21398" s="1"/>
  <c r="BB79" i="21398" s="1"/>
  <c r="BC77" i="21398"/>
  <c r="BA77" i="21398"/>
  <c r="AW125" i="2"/>
  <c r="BC123" i="2"/>
  <c r="BA123" i="2"/>
  <c r="BB51" i="3"/>
  <c r="BA51" i="3"/>
  <c r="BB50" i="3"/>
  <c r="BA50" i="3"/>
  <c r="BB48" i="3"/>
  <c r="BB45" i="108" s="1"/>
  <c r="BA48" i="3"/>
  <c r="BA45" i="108" s="1"/>
  <c r="BB47" i="3"/>
  <c r="BB44" i="108" s="1"/>
  <c r="BA47" i="3"/>
  <c r="BA44" i="108" s="1"/>
  <c r="BB46" i="3"/>
  <c r="BB43" i="108" s="1"/>
  <c r="BA46" i="3"/>
  <c r="BA43" i="108" s="1"/>
  <c r="BB45" i="3"/>
  <c r="BB42" i="108" s="1"/>
  <c r="BA45" i="3"/>
  <c r="BA42" i="108" s="1"/>
  <c r="BB44" i="3"/>
  <c r="BB41" i="108" s="1"/>
  <c r="BA44" i="3"/>
  <c r="BA41" i="108" s="1"/>
  <c r="BB43" i="3"/>
  <c r="BB40" i="108" s="1"/>
  <c r="BA43" i="3"/>
  <c r="BA40" i="108" s="1"/>
  <c r="BB42" i="3"/>
  <c r="BA42" i="3"/>
  <c r="BB41" i="3"/>
  <c r="BA41" i="3"/>
  <c r="BB40" i="3"/>
  <c r="BA40" i="3"/>
  <c r="BB39" i="3"/>
  <c r="BA39" i="3"/>
  <c r="BB38" i="3"/>
  <c r="BA38" i="3"/>
  <c r="BB37" i="3"/>
  <c r="BA37" i="3"/>
  <c r="BB36" i="3"/>
  <c r="BA36" i="3"/>
  <c r="BB35" i="3"/>
  <c r="BA35" i="3"/>
  <c r="BB34" i="3"/>
  <c r="BA34" i="3"/>
  <c r="BB33" i="3"/>
  <c r="BA33" i="3"/>
  <c r="BB32" i="3"/>
  <c r="BA32" i="3"/>
  <c r="BB31" i="3"/>
  <c r="BA31" i="3"/>
  <c r="BB30" i="3"/>
  <c r="BA30" i="3"/>
  <c r="BB29" i="3"/>
  <c r="BA29" i="3"/>
  <c r="BB17" i="3"/>
  <c r="BA17" i="3"/>
  <c r="BB16" i="3"/>
  <c r="BA16" i="3"/>
  <c r="BB15" i="3"/>
  <c r="BA15" i="3"/>
  <c r="BB14" i="3"/>
  <c r="BA14" i="3"/>
  <c r="BB13" i="3"/>
  <c r="BB10" i="108" s="1"/>
  <c r="BA13" i="3"/>
  <c r="BA10" i="108" s="1"/>
  <c r="BB12" i="3"/>
  <c r="BB9" i="108" s="1"/>
  <c r="BA12" i="3"/>
  <c r="BA9" i="108" s="1"/>
  <c r="BB11" i="3"/>
  <c r="BB8" i="108" s="1"/>
  <c r="BA11" i="3"/>
  <c r="BA8" i="108" s="1"/>
  <c r="BB10" i="3"/>
  <c r="BB7" i="108" s="1"/>
  <c r="BA10" i="3"/>
  <c r="BA7" i="108" s="1"/>
  <c r="BB9" i="3"/>
  <c r="BB6" i="108" s="1"/>
  <c r="BA9" i="3"/>
  <c r="BA6" i="108" s="1"/>
  <c r="BB8" i="3"/>
  <c r="BB5" i="108" s="1"/>
  <c r="BA8" i="3"/>
  <c r="BA5" i="108" s="1"/>
  <c r="BB7" i="3"/>
  <c r="BA7" i="3"/>
  <c r="BB6" i="3"/>
  <c r="BA6" i="3"/>
  <c r="BB5" i="3"/>
  <c r="AC45" i="108"/>
  <c r="AC44" i="108"/>
  <c r="AC43" i="108"/>
  <c r="AC42" i="108"/>
  <c r="AC41" i="108"/>
  <c r="AC40" i="108"/>
  <c r="AC10" i="108"/>
  <c r="AC9" i="108"/>
  <c r="AC8" i="108"/>
  <c r="AC7" i="108"/>
  <c r="AC6" i="108"/>
  <c r="AC5" i="108"/>
  <c r="AC5" i="3"/>
  <c r="AC33" i="21399"/>
  <c r="AC32" i="21399"/>
  <c r="AC31" i="21399"/>
  <c r="AC30" i="21399"/>
  <c r="AC29" i="21399"/>
  <c r="AC28" i="21399"/>
  <c r="AC27" i="21399"/>
  <c r="AC26" i="21399"/>
  <c r="AC25" i="21399"/>
  <c r="AC24" i="21399"/>
  <c r="AC404" i="21398"/>
  <c r="AC403" i="21398"/>
  <c r="AC402" i="21398"/>
  <c r="AC401" i="21398"/>
  <c r="AC400" i="21398"/>
  <c r="AC399" i="21398"/>
  <c r="AC398" i="21398"/>
  <c r="AC397" i="21398"/>
  <c r="AC396" i="21398"/>
  <c r="AC395" i="21398"/>
  <c r="AC394" i="21398"/>
  <c r="AC393" i="21398"/>
  <c r="AC392" i="21398"/>
  <c r="AC391" i="21398"/>
  <c r="AC390" i="21398"/>
  <c r="AC389" i="21398"/>
  <c r="AC388" i="21398"/>
  <c r="AC387" i="21398"/>
  <c r="AC386" i="21398"/>
  <c r="AC385" i="21398"/>
  <c r="AC384" i="21398"/>
  <c r="AC383" i="21398"/>
  <c r="AC382" i="21398"/>
  <c r="AC381" i="21398"/>
  <c r="AC380" i="21398"/>
  <c r="AC379" i="21398"/>
  <c r="AC378" i="21398"/>
  <c r="AC377" i="21398"/>
  <c r="AC376" i="21398"/>
  <c r="AC375" i="21398"/>
  <c r="AC374" i="21398"/>
  <c r="AC373" i="21398"/>
  <c r="AC371" i="21398"/>
  <c r="AC370" i="21398"/>
  <c r="AC369" i="21398"/>
  <c r="AC368" i="21398"/>
  <c r="AC367" i="21398"/>
  <c r="AC366" i="21398"/>
  <c r="AC365" i="21398"/>
  <c r="AC364" i="21398"/>
  <c r="AC363" i="21398"/>
  <c r="AC362" i="21398"/>
  <c r="AC361" i="21398"/>
  <c r="AC360" i="21398"/>
  <c r="AC359" i="21398"/>
  <c r="AC358" i="21398"/>
  <c r="AC357" i="21398"/>
  <c r="AC356" i="21398"/>
  <c r="AC355" i="21398"/>
  <c r="AC354" i="21398"/>
  <c r="AC353" i="21398"/>
  <c r="AC352" i="21398"/>
  <c r="AC351" i="21398"/>
  <c r="AC350" i="21398"/>
  <c r="AC349" i="21398"/>
  <c r="AC348" i="21398"/>
  <c r="AC347" i="21398"/>
  <c r="AC346" i="21398"/>
  <c r="AC345" i="21398"/>
  <c r="AC344" i="21398"/>
  <c r="AC343" i="21398"/>
  <c r="AC341" i="21398"/>
  <c r="AC340" i="21398"/>
  <c r="AC339" i="21398"/>
  <c r="AC338" i="21398"/>
  <c r="AC337" i="21398"/>
  <c r="AC336" i="21398"/>
  <c r="AC335" i="21398"/>
  <c r="AC334" i="21398"/>
  <c r="AC333" i="21398"/>
  <c r="AC332" i="21398"/>
  <c r="AC331" i="21398"/>
  <c r="AC330" i="21398"/>
  <c r="AC329" i="21398"/>
  <c r="AC328" i="21398"/>
  <c r="AC327" i="21398"/>
  <c r="AC326" i="21398"/>
  <c r="AC325" i="21398"/>
  <c r="AC324" i="21398"/>
  <c r="AC323" i="21398"/>
  <c r="AC320" i="21398"/>
  <c r="AC319" i="21398"/>
  <c r="AC318" i="21398"/>
  <c r="AC317" i="21398"/>
  <c r="AC316" i="21398"/>
  <c r="AC315" i="21398"/>
  <c r="AC314" i="21398"/>
  <c r="AC313" i="21398"/>
  <c r="AC311" i="21398"/>
  <c r="AC310" i="21398"/>
  <c r="AC309" i="21398"/>
  <c r="AC308" i="21398"/>
  <c r="AC307" i="21398"/>
  <c r="AC306" i="21398"/>
  <c r="AC305" i="21398"/>
  <c r="AC304" i="21398"/>
  <c r="AC303" i="21398"/>
  <c r="AC302" i="21398"/>
  <c r="AC301" i="21398"/>
  <c r="AC300" i="21398"/>
  <c r="AC299" i="21398"/>
  <c r="AC298" i="21398"/>
  <c r="AC297" i="21398"/>
  <c r="AC296" i="21398"/>
  <c r="AC295" i="21398"/>
  <c r="AC294" i="21398"/>
  <c r="AC293" i="21398"/>
  <c r="AC292" i="21398"/>
  <c r="AC291" i="21398"/>
  <c r="AC290" i="21398"/>
  <c r="AC289" i="21398"/>
  <c r="AC287" i="21398"/>
  <c r="AC286" i="21398"/>
  <c r="AC285" i="21398"/>
  <c r="AC284" i="21398"/>
  <c r="AC283" i="21398"/>
  <c r="AC282" i="21398"/>
  <c r="AC281" i="21398"/>
  <c r="AC280" i="21398"/>
  <c r="AC279" i="21398"/>
  <c r="AC278" i="21398"/>
  <c r="AC277" i="21398"/>
  <c r="AC276" i="21398"/>
  <c r="AC275" i="21398"/>
  <c r="AC274" i="21398"/>
  <c r="AC273" i="21398"/>
  <c r="AC272" i="21398"/>
  <c r="AC271" i="21398"/>
  <c r="AC270" i="21398"/>
  <c r="AC269" i="21398"/>
  <c r="AC268" i="21398"/>
  <c r="AC267" i="21398"/>
  <c r="AC266" i="21398"/>
  <c r="AC265" i="21398"/>
  <c r="AC264" i="21398"/>
  <c r="AC263" i="21398"/>
  <c r="AC262" i="21398"/>
  <c r="AC261" i="21398"/>
  <c r="AC260" i="21398"/>
  <c r="AC259" i="21398"/>
  <c r="AC258" i="21398"/>
  <c r="AC257" i="21398"/>
  <c r="AC255" i="21398"/>
  <c r="AC254" i="21398"/>
  <c r="AC253" i="21398"/>
  <c r="AC252" i="21398"/>
  <c r="AC251" i="21398"/>
  <c r="AC250" i="21398"/>
  <c r="AC249" i="21398"/>
  <c r="AC248" i="21398"/>
  <c r="AC247" i="21398"/>
  <c r="AC246" i="21398"/>
  <c r="AC245" i="21398"/>
  <c r="AC244" i="21398"/>
  <c r="AC243" i="21398"/>
  <c r="AC242" i="21398"/>
  <c r="AC241" i="21398"/>
  <c r="AC240" i="21398"/>
  <c r="AC239" i="21398"/>
  <c r="AC238" i="21398"/>
  <c r="AC237" i="21398"/>
  <c r="AC236" i="21398"/>
  <c r="AC235" i="21398"/>
  <c r="AC234" i="21398"/>
  <c r="AC233" i="21398"/>
  <c r="AC232" i="21398"/>
  <c r="AC231" i="21398"/>
  <c r="AC230" i="21398"/>
  <c r="AC229" i="21398"/>
  <c r="AC228" i="21398"/>
  <c r="AC227" i="21398"/>
  <c r="AC226" i="21398"/>
  <c r="AC225" i="21398"/>
  <c r="AC224" i="21398"/>
  <c r="AC223" i="21398"/>
  <c r="AC221" i="21398"/>
  <c r="AC220" i="21398"/>
  <c r="AC219" i="21398"/>
  <c r="AC218" i="21398"/>
  <c r="AC217" i="21398"/>
  <c r="AC216" i="21398"/>
  <c r="AC215" i="21398"/>
  <c r="AC214" i="21398"/>
  <c r="AC213" i="21398"/>
  <c r="AC212" i="21398"/>
  <c r="AC211" i="21398"/>
  <c r="AC209" i="21398"/>
  <c r="AC207" i="21398"/>
  <c r="AC205" i="21398"/>
  <c r="AC203" i="21398"/>
  <c r="AC201" i="21398"/>
  <c r="AC199" i="21398"/>
  <c r="AC197" i="21398"/>
  <c r="AC195" i="21398"/>
  <c r="AC193" i="21398"/>
  <c r="AC191" i="21398"/>
  <c r="AC189" i="21398"/>
  <c r="AC187" i="21398"/>
  <c r="AC185" i="21398"/>
  <c r="AC183" i="21398"/>
  <c r="AC181" i="21398"/>
  <c r="AC179" i="21398"/>
  <c r="AC177" i="21398"/>
  <c r="AC176" i="21398"/>
  <c r="AC175" i="21398"/>
  <c r="AC174" i="21398"/>
  <c r="AC173" i="21398"/>
  <c r="AC171" i="21398"/>
  <c r="AC170" i="21398"/>
  <c r="AC169" i="21398"/>
  <c r="AC168" i="21398"/>
  <c r="AC167" i="21398"/>
  <c r="AC166" i="21398"/>
  <c r="AC165" i="21398"/>
  <c r="AC164" i="21398"/>
  <c r="AC163" i="21398"/>
  <c r="AC162" i="21398"/>
  <c r="AC161" i="21398"/>
  <c r="AC160" i="21398"/>
  <c r="AC159" i="21398"/>
  <c r="AC158" i="21398"/>
  <c r="AC157" i="21398"/>
  <c r="AC156" i="21398"/>
  <c r="AC155" i="21398"/>
  <c r="AC154" i="21398"/>
  <c r="AC153" i="21398"/>
  <c r="AC152" i="21398"/>
  <c r="AC151" i="21398"/>
  <c r="AC150" i="21398"/>
  <c r="AC149" i="21398"/>
  <c r="AC148" i="21398"/>
  <c r="AC147" i="21398"/>
  <c r="AC145" i="21398"/>
  <c r="AC143" i="21398"/>
  <c r="AC142" i="21398"/>
  <c r="AC141" i="21398"/>
  <c r="AC140" i="21398"/>
  <c r="AC139" i="21398"/>
  <c r="AC137" i="21398"/>
  <c r="AC136" i="21398"/>
  <c r="AC135" i="21398"/>
  <c r="AC134" i="21398"/>
  <c r="AC133" i="21398"/>
  <c r="AC132" i="21398"/>
  <c r="AC131" i="21398"/>
  <c r="AC130" i="21398"/>
  <c r="AC129" i="21398"/>
  <c r="AC128" i="21398"/>
  <c r="AC127" i="21398"/>
  <c r="AC126" i="21398"/>
  <c r="AC125" i="21398"/>
  <c r="AC124" i="21398"/>
  <c r="AC123" i="21398"/>
  <c r="AC122" i="21398"/>
  <c r="AC121" i="21398"/>
  <c r="AC120" i="21398"/>
  <c r="AC119" i="21398"/>
  <c r="AC118" i="21398"/>
  <c r="AC117" i="21398"/>
  <c r="AC116" i="21398"/>
  <c r="AC115" i="21398"/>
  <c r="AC114" i="21398"/>
  <c r="AC113" i="21398"/>
  <c r="AC112" i="21398"/>
  <c r="AC111" i="21398"/>
  <c r="AC110" i="21398"/>
  <c r="AC109" i="21398"/>
  <c r="AC108" i="21398"/>
  <c r="AC107" i="21398"/>
  <c r="AC106" i="21398"/>
  <c r="AC105" i="21398"/>
  <c r="AC104" i="21398"/>
  <c r="AC103" i="21398"/>
  <c r="AC102" i="21398"/>
  <c r="AC101" i="21398"/>
  <c r="AC100" i="21398"/>
  <c r="AC99" i="21398"/>
  <c r="AC97" i="21398"/>
  <c r="AC96" i="21398"/>
  <c r="AC95" i="21398"/>
  <c r="AC94" i="21398"/>
  <c r="AC93" i="21398"/>
  <c r="AC92" i="21398"/>
  <c r="AC91" i="21398"/>
  <c r="AC90" i="21398"/>
  <c r="AC89" i="21398"/>
  <c r="AC88" i="21398"/>
  <c r="AC87" i="21398"/>
  <c r="AC86" i="21398"/>
  <c r="AC85" i="21398"/>
  <c r="AC84" i="21398"/>
  <c r="AC83" i="21398"/>
  <c r="AC82" i="21398"/>
  <c r="AC81" i="21398"/>
  <c r="AC80" i="21398"/>
  <c r="AC79" i="21398"/>
  <c r="AC78" i="21398"/>
  <c r="AC77" i="21398"/>
  <c r="AC76" i="21398"/>
  <c r="AC75" i="21398"/>
  <c r="AC74" i="21398"/>
  <c r="AC73" i="21398"/>
  <c r="AC71" i="21398"/>
  <c r="AC70" i="21398"/>
  <c r="AC69" i="21398"/>
  <c r="AC68" i="21398"/>
  <c r="AC67" i="21398"/>
  <c r="AC66" i="21398"/>
  <c r="AC65" i="21398"/>
  <c r="AC64" i="21398"/>
  <c r="AC63" i="21398"/>
  <c r="AC62" i="21398"/>
  <c r="AC61" i="21398"/>
  <c r="AC60" i="21398"/>
  <c r="AC59" i="21398"/>
  <c r="AC58" i="21398"/>
  <c r="AC57" i="21398"/>
  <c r="AC56" i="21398"/>
  <c r="AC55" i="21398"/>
  <c r="AC54" i="21398"/>
  <c r="AC53" i="21398"/>
  <c r="AC52" i="21398"/>
  <c r="AC51" i="21398"/>
  <c r="AC50" i="21398"/>
  <c r="AC49" i="21398"/>
  <c r="AC48" i="21398"/>
  <c r="AC47" i="21398"/>
  <c r="AC46" i="21398"/>
  <c r="AC45" i="21398"/>
  <c r="AC44" i="21398"/>
  <c r="AC43" i="21398"/>
  <c r="AC42" i="21398"/>
  <c r="AC41" i="21398"/>
  <c r="AC40" i="21398"/>
  <c r="AC39" i="21398"/>
  <c r="AC38" i="21398"/>
  <c r="AC37" i="21398"/>
  <c r="AC36" i="21398"/>
  <c r="AC33" i="21398"/>
  <c r="AC32" i="21398"/>
  <c r="AC31" i="21398"/>
  <c r="AC30" i="21398"/>
  <c r="AC29" i="21398"/>
  <c r="AC28" i="21398"/>
  <c r="AC27" i="21398"/>
  <c r="AC26" i="21398"/>
  <c r="AC25" i="21398"/>
  <c r="AC24" i="21398"/>
  <c r="AC23" i="21398"/>
  <c r="AC20" i="21398"/>
  <c r="AC19" i="21398"/>
  <c r="AC18" i="21398"/>
  <c r="AC17" i="21398"/>
  <c r="AC16" i="21398"/>
  <c r="AC15" i="21398"/>
  <c r="AC13" i="21398"/>
  <c r="AC12" i="21398"/>
  <c r="AC11" i="21398"/>
  <c r="AC7" i="21398"/>
  <c r="AC6" i="21398"/>
  <c r="AC5" i="21398"/>
  <c r="BB405" i="21398"/>
  <c r="BB402" i="21398"/>
  <c r="BB401" i="21398"/>
  <c r="BB400" i="21398"/>
  <c r="BB399" i="21398"/>
  <c r="BB398" i="21398"/>
  <c r="BB397" i="21398"/>
  <c r="BB395" i="21398"/>
  <c r="BB394" i="21398"/>
  <c r="BB393" i="21398"/>
  <c r="BB392" i="21398"/>
  <c r="BB390" i="21398"/>
  <c r="BB389" i="21398"/>
  <c r="BB388" i="21398"/>
  <c r="BB387" i="21398"/>
  <c r="BB386" i="21398"/>
  <c r="BB383" i="21398"/>
  <c r="BB381" i="21398"/>
  <c r="BB379" i="21398"/>
  <c r="BA377" i="21398"/>
  <c r="BB376" i="21398"/>
  <c r="BB375" i="21398"/>
  <c r="BA375" i="21398"/>
  <c r="BB374" i="21398"/>
  <c r="BB373" i="21398"/>
  <c r="BA373" i="21398"/>
  <c r="BB372" i="21398"/>
  <c r="BB371" i="21398"/>
  <c r="BA371" i="21398"/>
  <c r="BB370" i="21398"/>
  <c r="BA369" i="21398"/>
  <c r="BB368" i="21398"/>
  <c r="BB367" i="21398"/>
  <c r="BA367" i="21398"/>
  <c r="BB366" i="21398"/>
  <c r="BA365" i="21398"/>
  <c r="BB362" i="21398"/>
  <c r="BB360" i="21398"/>
  <c r="BB358" i="21398"/>
  <c r="BB357" i="21398"/>
  <c r="BB354" i="21398"/>
  <c r="BB353" i="21398"/>
  <c r="BB352" i="21398"/>
  <c r="BB351" i="21398"/>
  <c r="BB349" i="21398"/>
  <c r="BB348" i="21398"/>
  <c r="BB347" i="21398"/>
  <c r="BB346" i="21398"/>
  <c r="BB345" i="21398"/>
  <c r="BB343" i="21398"/>
  <c r="BB342" i="21398"/>
  <c r="BB341" i="21398"/>
  <c r="BB340" i="21398"/>
  <c r="BB337" i="21398"/>
  <c r="BB336" i="21398"/>
  <c r="BB335" i="21398"/>
  <c r="BB334" i="21398"/>
  <c r="BB333" i="21398"/>
  <c r="BB332" i="21398"/>
  <c r="BB329" i="21398"/>
  <c r="BB328" i="21398"/>
  <c r="BB327" i="21398"/>
  <c r="BB326" i="21398"/>
  <c r="BB324" i="21398"/>
  <c r="BB323" i="21398"/>
  <c r="BB320" i="21398"/>
  <c r="BB319" i="21398"/>
  <c r="BB315" i="21398"/>
  <c r="BB313" i="21398"/>
  <c r="BB311" i="21398"/>
  <c r="BB310" i="21398"/>
  <c r="BB308" i="21398"/>
  <c r="BB307" i="21398"/>
  <c r="BB306" i="21398"/>
  <c r="BB305" i="21398"/>
  <c r="BB302" i="21398"/>
  <c r="BB301" i="21398"/>
  <c r="BB299" i="21398"/>
  <c r="BB298" i="21398"/>
  <c r="BB296" i="21398"/>
  <c r="BB295" i="21398"/>
  <c r="BB294" i="21398"/>
  <c r="BB292" i="21398"/>
  <c r="BB291" i="21398"/>
  <c r="BB290" i="21398"/>
  <c r="BB289" i="21398"/>
  <c r="BB288" i="21398"/>
  <c r="BB287" i="21398"/>
  <c r="BB286" i="21398"/>
  <c r="BB283" i="21398"/>
  <c r="BB282" i="21398"/>
  <c r="BB281" i="21398"/>
  <c r="BB280" i="21398"/>
  <c r="BB279" i="21398"/>
  <c r="BB277" i="21398"/>
  <c r="BB276" i="21398"/>
  <c r="BB274" i="21398"/>
  <c r="BB270" i="21398"/>
  <c r="BB268" i="21398"/>
  <c r="BB267" i="21398"/>
  <c r="BB266" i="21398"/>
  <c r="BB265" i="21398"/>
  <c r="BB263" i="21398"/>
  <c r="BB262" i="21398"/>
  <c r="BB260" i="21398"/>
  <c r="BB259" i="21398"/>
  <c r="BB258" i="21398"/>
  <c r="BB257" i="21398"/>
  <c r="BB255" i="21398"/>
  <c r="BB254" i="21398"/>
  <c r="BB252" i="21398"/>
  <c r="BB251" i="21398"/>
  <c r="BB250" i="21398"/>
  <c r="BB249" i="21398"/>
  <c r="BB247" i="21398"/>
  <c r="BB246" i="21398"/>
  <c r="BB245" i="21398"/>
  <c r="BB244" i="21398"/>
  <c r="BB241" i="21398"/>
  <c r="BB240" i="21398"/>
  <c r="BB239" i="21398"/>
  <c r="BB235" i="21398"/>
  <c r="BB234" i="21398"/>
  <c r="BB233" i="21398"/>
  <c r="BB232" i="21398"/>
  <c r="BB231" i="21398"/>
  <c r="BB229" i="21398"/>
  <c r="BB228" i="21398"/>
  <c r="BB225" i="21398"/>
  <c r="BB224" i="21398"/>
  <c r="BB223" i="21398"/>
  <c r="BB221" i="21398"/>
  <c r="BB220" i="21398"/>
  <c r="BB218" i="21398"/>
  <c r="BB217" i="21398"/>
  <c r="BB216" i="21398"/>
  <c r="BB214" i="21398"/>
  <c r="BB213" i="21398"/>
  <c r="BB212" i="21398"/>
  <c r="BA212" i="21398"/>
  <c r="BB211" i="21398"/>
  <c r="BB210" i="21398"/>
  <c r="BA210" i="21398"/>
  <c r="BB209" i="21398"/>
  <c r="BB208" i="21398"/>
  <c r="BA208" i="21398"/>
  <c r="BB207" i="21398"/>
  <c r="BB206" i="21398"/>
  <c r="BA206" i="21398"/>
  <c r="BB205" i="21398"/>
  <c r="BA205" i="21398"/>
  <c r="BB204" i="21398"/>
  <c r="BA204" i="21398"/>
  <c r="BB203" i="21398"/>
  <c r="BA203" i="21398"/>
  <c r="BB202" i="21398"/>
  <c r="BA202" i="21398"/>
  <c r="BB201" i="21398"/>
  <c r="BA201" i="21398"/>
  <c r="BB200" i="21398"/>
  <c r="BA200" i="21398"/>
  <c r="BB199" i="21398"/>
  <c r="BA199" i="21398"/>
  <c r="BB198" i="21398"/>
  <c r="BA198" i="21398"/>
  <c r="BB197" i="21398"/>
  <c r="BA196" i="21398"/>
  <c r="BB195" i="21398"/>
  <c r="BB194" i="21398"/>
  <c r="BA194" i="21398"/>
  <c r="BB193" i="21398"/>
  <c r="BB192" i="21398"/>
  <c r="BA192" i="21398"/>
  <c r="BB191" i="21398"/>
  <c r="BB190" i="21398"/>
  <c r="BA190" i="21398"/>
  <c r="BB189" i="21398"/>
  <c r="BB188" i="21398"/>
  <c r="BA188" i="21398"/>
  <c r="BB187" i="21398"/>
  <c r="BA186" i="21398"/>
  <c r="BB185" i="21398"/>
  <c r="BA184" i="21398"/>
  <c r="BB183" i="21398"/>
  <c r="BA182" i="21398"/>
  <c r="BB181" i="21398"/>
  <c r="BB180" i="21398"/>
  <c r="BA180" i="21398"/>
  <c r="BB179" i="21398"/>
  <c r="BA179" i="21398"/>
  <c r="BB178" i="21398"/>
  <c r="BA178" i="21398"/>
  <c r="BB177" i="21398"/>
  <c r="BA176" i="21398"/>
  <c r="BB175" i="21398"/>
  <c r="BA174" i="21398"/>
  <c r="BB173" i="21398"/>
  <c r="BB172" i="21398"/>
  <c r="BA172" i="21398"/>
  <c r="BB171" i="21398"/>
  <c r="BA170" i="21398"/>
  <c r="BB169" i="21398"/>
  <c r="BB168" i="21398"/>
  <c r="BA168" i="21398"/>
  <c r="BB167" i="21398"/>
  <c r="BA166" i="21398"/>
  <c r="BB165" i="21398"/>
  <c r="BB164" i="21398"/>
  <c r="BA164" i="21398"/>
  <c r="BB163" i="21398"/>
  <c r="BB162" i="21398"/>
  <c r="BA162" i="21398"/>
  <c r="BB161" i="21398"/>
  <c r="BB160" i="21398"/>
  <c r="BA160" i="21398"/>
  <c r="BB159" i="21398"/>
  <c r="BB158" i="21398"/>
  <c r="BA158" i="21398"/>
  <c r="BB157" i="21398"/>
  <c r="BB156" i="21398"/>
  <c r="BA156" i="21398"/>
  <c r="BB155" i="21398"/>
  <c r="BA154" i="21398"/>
  <c r="BB153" i="21398"/>
  <c r="BB152" i="21398"/>
  <c r="BA152" i="21398"/>
  <c r="BB151" i="21398"/>
  <c r="BB150" i="21398"/>
  <c r="BA150" i="21398"/>
  <c r="BB149" i="21398"/>
  <c r="BA148" i="21398"/>
  <c r="BB147" i="21398"/>
  <c r="BB146" i="21398"/>
  <c r="BA146" i="21398"/>
  <c r="BB145" i="21398"/>
  <c r="BB144" i="21398"/>
  <c r="BA144" i="21398"/>
  <c r="BB143" i="21398"/>
  <c r="BB142" i="21398"/>
  <c r="BA142" i="21398"/>
  <c r="BB141" i="21398"/>
  <c r="BB140" i="21398"/>
  <c r="BA140" i="21398"/>
  <c r="BB139" i="21398"/>
  <c r="BB138" i="21398"/>
  <c r="BA138" i="21398"/>
  <c r="BB137" i="21398"/>
  <c r="BB134" i="21398"/>
  <c r="BA134" i="21398"/>
  <c r="BB133" i="21398"/>
  <c r="BB131" i="21398"/>
  <c r="BB130" i="21398"/>
  <c r="BA130" i="21398"/>
  <c r="BB129" i="21398"/>
  <c r="BB128" i="21398"/>
  <c r="BA128" i="21398"/>
  <c r="BB127" i="21398"/>
  <c r="BB126" i="21398"/>
  <c r="BA126" i="21398"/>
  <c r="BB125" i="21398"/>
  <c r="BB124" i="21398"/>
  <c r="BA124" i="21398"/>
  <c r="BB121" i="21398"/>
  <c r="BB119" i="21398"/>
  <c r="BB115" i="21398"/>
  <c r="BB114" i="21398"/>
  <c r="BA114" i="21398"/>
  <c r="BB113" i="21398"/>
  <c r="BB112" i="21398"/>
  <c r="BA112" i="21398"/>
  <c r="BB111" i="21398"/>
  <c r="BB110" i="21398"/>
  <c r="BA110" i="21398"/>
  <c r="BB109" i="21398"/>
  <c r="BB108" i="21398"/>
  <c r="BA108" i="21398"/>
  <c r="BB107" i="21398"/>
  <c r="BB105" i="21398"/>
  <c r="BB104" i="21398"/>
  <c r="BA104" i="21398"/>
  <c r="BB102" i="21398"/>
  <c r="BB101" i="21398"/>
  <c r="BB100" i="21398"/>
  <c r="BA100" i="21398"/>
  <c r="BB99" i="21398"/>
  <c r="BB97" i="21398"/>
  <c r="BB96" i="21398"/>
  <c r="BB94" i="21398"/>
  <c r="BA94" i="21398"/>
  <c r="BB93" i="21398"/>
  <c r="BB92" i="21398"/>
  <c r="BA92" i="21398"/>
  <c r="BB91" i="21398"/>
  <c r="BB90" i="21398"/>
  <c r="BA90" i="21398"/>
  <c r="BB89" i="21398"/>
  <c r="BB88" i="21398"/>
  <c r="BA88" i="21398"/>
  <c r="BB84" i="21398"/>
  <c r="BA84" i="21398"/>
  <c r="BB83" i="21398"/>
  <c r="BB82" i="21398"/>
  <c r="BA82" i="21398"/>
  <c r="BB81" i="21398"/>
  <c r="BB78" i="21398"/>
  <c r="BA78" i="21398"/>
  <c r="BB77" i="21398"/>
  <c r="BB76" i="21398"/>
  <c r="BA76" i="21398"/>
  <c r="BB75" i="21398"/>
  <c r="BA75" i="21398"/>
  <c r="BB74" i="21398"/>
  <c r="BA74" i="21398"/>
  <c r="BB73" i="21398"/>
  <c r="BA73" i="21398"/>
  <c r="BB71" i="21398"/>
  <c r="BA71" i="21398"/>
  <c r="BB70" i="21398"/>
  <c r="BA70" i="21398"/>
  <c r="BB69" i="21398"/>
  <c r="BA69" i="21398"/>
  <c r="BB68" i="21398"/>
  <c r="BB67" i="21398"/>
  <c r="BA67" i="21398"/>
  <c r="BB66" i="21398"/>
  <c r="BA66" i="21398"/>
  <c r="BB65" i="21398"/>
  <c r="BA65" i="21398"/>
  <c r="BB64" i="21398"/>
  <c r="BA64" i="21398"/>
  <c r="BB63" i="21398"/>
  <c r="BA63" i="21398"/>
  <c r="BB62" i="21398"/>
  <c r="BB61" i="21398"/>
  <c r="BA61" i="21398"/>
  <c r="BB60" i="21398"/>
  <c r="BA60" i="21398"/>
  <c r="BB59" i="21398"/>
  <c r="BA59" i="21398"/>
  <c r="BB58" i="21398"/>
  <c r="BA58" i="21398"/>
  <c r="BB57" i="21398"/>
  <c r="BA57" i="21398"/>
  <c r="BB56" i="21398"/>
  <c r="BA56" i="21398"/>
  <c r="BB55" i="21398"/>
  <c r="BA55" i="21398"/>
  <c r="BB54" i="21398"/>
  <c r="BA54" i="21398"/>
  <c r="BB53" i="21398"/>
  <c r="BA53" i="21398"/>
  <c r="BB52" i="21398"/>
  <c r="BA52" i="21398"/>
  <c r="BB51" i="21398"/>
  <c r="BA51" i="21398"/>
  <c r="BB50" i="21398"/>
  <c r="BA50" i="21398"/>
  <c r="BB49" i="21398"/>
  <c r="BA49" i="21398"/>
  <c r="BB48" i="21398"/>
  <c r="BA48" i="21398"/>
  <c r="BB47" i="21398"/>
  <c r="BA47" i="21398"/>
  <c r="BB46" i="21398"/>
  <c r="BA46" i="21398"/>
  <c r="BB45" i="21398"/>
  <c r="BA45" i="21398"/>
  <c r="BB44" i="21398"/>
  <c r="BA44" i="21398"/>
  <c r="BB43" i="21398"/>
  <c r="BA43" i="21398"/>
  <c r="BB42" i="21398"/>
  <c r="BA42" i="21398"/>
  <c r="BB41" i="21398"/>
  <c r="BA41" i="21398"/>
  <c r="BB40" i="21398"/>
  <c r="BA40" i="21398"/>
  <c r="BB38" i="21398"/>
  <c r="BB37" i="21398"/>
  <c r="BA37" i="21398"/>
  <c r="BB36" i="21398"/>
  <c r="BA36" i="21398"/>
  <c r="BB35" i="21398"/>
  <c r="BA35" i="21398"/>
  <c r="BB34" i="21398"/>
  <c r="BA34" i="21398"/>
  <c r="BB33" i="21398"/>
  <c r="BA33" i="21398"/>
  <c r="BB32" i="21398"/>
  <c r="BB31" i="21398"/>
  <c r="BA31" i="21398"/>
  <c r="BB30" i="21398"/>
  <c r="BA30" i="21398"/>
  <c r="BB29" i="21398"/>
  <c r="BA29" i="21398"/>
  <c r="BB28" i="21398"/>
  <c r="BA28" i="21398"/>
  <c r="BB27" i="21398"/>
  <c r="BA27" i="21398"/>
  <c r="BB26" i="21398"/>
  <c r="BA26" i="21398"/>
  <c r="BB25" i="21398"/>
  <c r="BA25" i="21398"/>
  <c r="BB24" i="21398"/>
  <c r="BB20" i="21398"/>
  <c r="BA20" i="21398"/>
  <c r="BB19" i="21398"/>
  <c r="BA19" i="21398"/>
  <c r="BB18" i="21398"/>
  <c r="BA18" i="21398"/>
  <c r="BB17" i="21398"/>
  <c r="BA17" i="21398"/>
  <c r="BB16" i="21398"/>
  <c r="BA16" i="21398"/>
  <c r="BB15" i="21398"/>
  <c r="BA15" i="21398"/>
  <c r="BB14" i="21398"/>
  <c r="BA14" i="21398"/>
  <c r="BB13" i="21398"/>
  <c r="BA13" i="21398"/>
  <c r="BB12" i="21398"/>
  <c r="BA12" i="21398"/>
  <c r="BB11" i="21398"/>
  <c r="BA11" i="21398"/>
  <c r="BB10" i="21398"/>
  <c r="BA10" i="21398"/>
  <c r="BB6" i="21398"/>
  <c r="BB5" i="21398"/>
  <c r="BA5" i="21398"/>
  <c r="BC377" i="21398"/>
  <c r="BC375" i="21398"/>
  <c r="BC373" i="21398"/>
  <c r="BC371" i="21398"/>
  <c r="BC369" i="21398"/>
  <c r="BC367" i="21398"/>
  <c r="BC365" i="21398"/>
  <c r="BC212" i="21398"/>
  <c r="BC210" i="21398"/>
  <c r="BC208" i="21398"/>
  <c r="BC206" i="21398"/>
  <c r="BC205" i="21398"/>
  <c r="BC204" i="21398"/>
  <c r="BC203" i="21398"/>
  <c r="BC202" i="21398"/>
  <c r="BC201" i="21398"/>
  <c r="BC200" i="21398"/>
  <c r="BC199" i="21398"/>
  <c r="BC198" i="21398"/>
  <c r="BC196" i="21398"/>
  <c r="BC194" i="21398"/>
  <c r="BC192" i="21398"/>
  <c r="BC190" i="21398"/>
  <c r="BC188" i="21398"/>
  <c r="BC186" i="21398"/>
  <c r="BC184" i="21398"/>
  <c r="BC182" i="21398"/>
  <c r="BC180" i="21398"/>
  <c r="BC179" i="21398"/>
  <c r="BC178" i="21398"/>
  <c r="BC176" i="21398"/>
  <c r="BC174" i="21398"/>
  <c r="BC172" i="21398"/>
  <c r="BC170" i="21398"/>
  <c r="BC168" i="21398"/>
  <c r="BC166" i="21398"/>
  <c r="BC164" i="21398"/>
  <c r="BC162" i="21398"/>
  <c r="BC160" i="21398"/>
  <c r="BC158" i="21398"/>
  <c r="BC156" i="21398"/>
  <c r="BC154" i="21398"/>
  <c r="BC152" i="21398"/>
  <c r="BC150" i="21398"/>
  <c r="BC148" i="21398"/>
  <c r="BC146" i="21398"/>
  <c r="BC144" i="21398"/>
  <c r="BC142" i="21398"/>
  <c r="BC140" i="21398"/>
  <c r="BC138" i="21398"/>
  <c r="BC134" i="21398"/>
  <c r="BC130" i="21398"/>
  <c r="BC128" i="21398"/>
  <c r="BC126" i="21398"/>
  <c r="BC124" i="21398"/>
  <c r="BC114" i="21398"/>
  <c r="BC112" i="21398"/>
  <c r="BC110" i="21398"/>
  <c r="BC108" i="21398"/>
  <c r="BC104" i="21398"/>
  <c r="BC102" i="21398"/>
  <c r="BC100" i="21398"/>
  <c r="BC96" i="21398"/>
  <c r="BC94" i="21398"/>
  <c r="BC92" i="21398"/>
  <c r="BC90" i="21398"/>
  <c r="BC88" i="21398"/>
  <c r="BC84" i="21398"/>
  <c r="BC82" i="21398"/>
  <c r="BC78" i="21398"/>
  <c r="BC76" i="21398"/>
  <c r="BC75" i="21398"/>
  <c r="BC74" i="21398"/>
  <c r="BC73" i="21398"/>
  <c r="BC71" i="21398"/>
  <c r="BC70" i="21398"/>
  <c r="BC69" i="21398"/>
  <c r="BC68" i="21398"/>
  <c r="BC67" i="21398"/>
  <c r="BC66" i="21398"/>
  <c r="BC65" i="21398"/>
  <c r="BC64" i="21398"/>
  <c r="BC63" i="21398"/>
  <c r="BC62" i="21398"/>
  <c r="BC61" i="21398"/>
  <c r="BC60" i="21398"/>
  <c r="BC59" i="21398"/>
  <c r="BC58" i="21398"/>
  <c r="BC57" i="21398"/>
  <c r="BC56" i="21398"/>
  <c r="BC55" i="21398"/>
  <c r="BC54" i="21398"/>
  <c r="BC53" i="21398"/>
  <c r="BC52" i="21398"/>
  <c r="BC51" i="21398"/>
  <c r="BC50" i="21398"/>
  <c r="BC49" i="21398"/>
  <c r="BC48" i="21398"/>
  <c r="BC47" i="21398"/>
  <c r="BC46" i="21398"/>
  <c r="BC45" i="21398"/>
  <c r="BC44" i="21398"/>
  <c r="BC43" i="21398"/>
  <c r="BC42" i="21398"/>
  <c r="BC41" i="21398"/>
  <c r="BC40" i="21398"/>
  <c r="BC38" i="21398"/>
  <c r="BC37" i="21398"/>
  <c r="BC36" i="21398"/>
  <c r="BC35" i="21398"/>
  <c r="BC34" i="21398"/>
  <c r="BC33" i="21398"/>
  <c r="BC32" i="21398"/>
  <c r="BC31" i="21398"/>
  <c r="BC30" i="21398"/>
  <c r="BC29" i="21398"/>
  <c r="BC28" i="21398"/>
  <c r="BC27" i="21398"/>
  <c r="BC25" i="21398"/>
  <c r="BC24" i="21398"/>
  <c r="BC20" i="21398"/>
  <c r="BC19" i="21398"/>
  <c r="BC18" i="21398"/>
  <c r="BC17" i="21398"/>
  <c r="BC16" i="21398"/>
  <c r="BC15" i="21398"/>
  <c r="BC14" i="21398"/>
  <c r="BC13" i="21398"/>
  <c r="BC12" i="21398"/>
  <c r="BC11" i="21398"/>
  <c r="BC10" i="21398"/>
  <c r="BC6" i="21398"/>
  <c r="BC12" i="2"/>
  <c r="BB12" i="2"/>
  <c r="BA12" i="2"/>
  <c r="BC11" i="2"/>
  <c r="BB11" i="2"/>
  <c r="BA11" i="2"/>
  <c r="BC10" i="2"/>
  <c r="BB10" i="2"/>
  <c r="BA10" i="2"/>
  <c r="BB405" i="2"/>
  <c r="BB402" i="2"/>
  <c r="BB401" i="2"/>
  <c r="BB400" i="2"/>
  <c r="BB399" i="2"/>
  <c r="BB398" i="2"/>
  <c r="BB397" i="2"/>
  <c r="BB395" i="2"/>
  <c r="BB394" i="2"/>
  <c r="BB393" i="2"/>
  <c r="BB392" i="2"/>
  <c r="BB390" i="2"/>
  <c r="BB389" i="2"/>
  <c r="BB388" i="2"/>
  <c r="BB387" i="2"/>
  <c r="BB386" i="2"/>
  <c r="BB383" i="2"/>
  <c r="BB381" i="2"/>
  <c r="BB379" i="2"/>
  <c r="BA377" i="2"/>
  <c r="BB376" i="2"/>
  <c r="BB375" i="2"/>
  <c r="BA375" i="2"/>
  <c r="BB374" i="2"/>
  <c r="BB373" i="2"/>
  <c r="BA373" i="2"/>
  <c r="BB372" i="2"/>
  <c r="BB371" i="2"/>
  <c r="BA371" i="2"/>
  <c r="BB370" i="2"/>
  <c r="BA369" i="2"/>
  <c r="BB368" i="2"/>
  <c r="BB367" i="2"/>
  <c r="BA367" i="2"/>
  <c r="BB366" i="2"/>
  <c r="BA365" i="2"/>
  <c r="BB362" i="2"/>
  <c r="BB360" i="2"/>
  <c r="BB358" i="2"/>
  <c r="BB357" i="2"/>
  <c r="BB354" i="2"/>
  <c r="BB353" i="2"/>
  <c r="BB352" i="2"/>
  <c r="BB351" i="2"/>
  <c r="BB349" i="2"/>
  <c r="BB348" i="2"/>
  <c r="BB347" i="2"/>
  <c r="BB346" i="2"/>
  <c r="BB345" i="2"/>
  <c r="BB343" i="2"/>
  <c r="BB342" i="2"/>
  <c r="BB341" i="2"/>
  <c r="BB340" i="2"/>
  <c r="BB337" i="2"/>
  <c r="BB336" i="2"/>
  <c r="BB335" i="2"/>
  <c r="BB334" i="2"/>
  <c r="BB333" i="2"/>
  <c r="BB332" i="2"/>
  <c r="BB329" i="2"/>
  <c r="BB328" i="2"/>
  <c r="BB327" i="2"/>
  <c r="BB326" i="2"/>
  <c r="BB324" i="2"/>
  <c r="BB323" i="2"/>
  <c r="BB320" i="2"/>
  <c r="BB319" i="2"/>
  <c r="BB315" i="2"/>
  <c r="BB313" i="2"/>
  <c r="BB311" i="2"/>
  <c r="BB310" i="2"/>
  <c r="BB308" i="2"/>
  <c r="BB307" i="2"/>
  <c r="BB306" i="2"/>
  <c r="BB305" i="2"/>
  <c r="BB302" i="2"/>
  <c r="BB301" i="2"/>
  <c r="BB300" i="2"/>
  <c r="BB299" i="2"/>
  <c r="BB298" i="2"/>
  <c r="BB296" i="2"/>
  <c r="BB295" i="2"/>
  <c r="BB294" i="2"/>
  <c r="BB292" i="2"/>
  <c r="BB291" i="2"/>
  <c r="BB290" i="2"/>
  <c r="BB289" i="2"/>
  <c r="BB288" i="2"/>
  <c r="BB287" i="2"/>
  <c r="BB286" i="2"/>
  <c r="BB283" i="2"/>
  <c r="BB282" i="2"/>
  <c r="BB281" i="2"/>
  <c r="BB280" i="2"/>
  <c r="BB279" i="2"/>
  <c r="BB277" i="2"/>
  <c r="BB276" i="2"/>
  <c r="BB274" i="2"/>
  <c r="BB270" i="2"/>
  <c r="BB268" i="2"/>
  <c r="BB267" i="2"/>
  <c r="BB266" i="2"/>
  <c r="BB265" i="2"/>
  <c r="BB263" i="2"/>
  <c r="BB262" i="2"/>
  <c r="BB260" i="2"/>
  <c r="BB259" i="2"/>
  <c r="BB258" i="2"/>
  <c r="BB257" i="2"/>
  <c r="BB255" i="2"/>
  <c r="BB254" i="2"/>
  <c r="BB252" i="2"/>
  <c r="BB251" i="2"/>
  <c r="BB250" i="2"/>
  <c r="BB249" i="2"/>
  <c r="BB247" i="2"/>
  <c r="BB246" i="2"/>
  <c r="BB245" i="2"/>
  <c r="BB244" i="2"/>
  <c r="BB241" i="2"/>
  <c r="BB240" i="2"/>
  <c r="BB239" i="2"/>
  <c r="BB235" i="2"/>
  <c r="BB234" i="2"/>
  <c r="BB233" i="2"/>
  <c r="BB232" i="2"/>
  <c r="BB231" i="2"/>
  <c r="BB229" i="2"/>
  <c r="BB226" i="2"/>
  <c r="BB225" i="2"/>
  <c r="BA225" i="2"/>
  <c r="BB224" i="2"/>
  <c r="BB223" i="2"/>
  <c r="BA223" i="2"/>
  <c r="BB222" i="2"/>
  <c r="BB221" i="2"/>
  <c r="BA221" i="2"/>
  <c r="BB220" i="2"/>
  <c r="BA219" i="2"/>
  <c r="BB217" i="2"/>
  <c r="BA217" i="2"/>
  <c r="BB216" i="2"/>
  <c r="BA215" i="2"/>
  <c r="BB214" i="2"/>
  <c r="BB213" i="2"/>
  <c r="BB212" i="2"/>
  <c r="BB210" i="2"/>
  <c r="BB209" i="2"/>
  <c r="BA209" i="2"/>
  <c r="BB208" i="2"/>
  <c r="BB207" i="2"/>
  <c r="BA207" i="2"/>
  <c r="BA205" i="2"/>
  <c r="BB204" i="2"/>
  <c r="BB203" i="2"/>
  <c r="BA203" i="2"/>
  <c r="BB202" i="2"/>
  <c r="BB201" i="2"/>
  <c r="BA201" i="2"/>
  <c r="BA199" i="2"/>
  <c r="BB198" i="2"/>
  <c r="BB197" i="2"/>
  <c r="BA197" i="2"/>
  <c r="BB196" i="2"/>
  <c r="BA195" i="2"/>
  <c r="BB194" i="2"/>
  <c r="BB193" i="2"/>
  <c r="BA193" i="2"/>
  <c r="BB192" i="2"/>
  <c r="BA191" i="2"/>
  <c r="BB190" i="2"/>
  <c r="BB187" i="2"/>
  <c r="BB186" i="2"/>
  <c r="BB185" i="2"/>
  <c r="BA185" i="2"/>
  <c r="BB181" i="2"/>
  <c r="BB180" i="2"/>
  <c r="BB179" i="2"/>
  <c r="BA179" i="2"/>
  <c r="BB178" i="2"/>
  <c r="BB173" i="2"/>
  <c r="BB172" i="2"/>
  <c r="BB171" i="2"/>
  <c r="BB170" i="2"/>
  <c r="BB169" i="2"/>
  <c r="BB168" i="2"/>
  <c r="BB165" i="2"/>
  <c r="BB164" i="2"/>
  <c r="BB163" i="2"/>
  <c r="BB162" i="2"/>
  <c r="BB159" i="2"/>
  <c r="BB158" i="2"/>
  <c r="BB157" i="2"/>
  <c r="BB156" i="2"/>
  <c r="BB155" i="2"/>
  <c r="BB153" i="2"/>
  <c r="BB152" i="2"/>
  <c r="BB150" i="2"/>
  <c r="BB149" i="2"/>
  <c r="BB147" i="2"/>
  <c r="BB146" i="2"/>
  <c r="BB144" i="2"/>
  <c r="BB142" i="2"/>
  <c r="BB141" i="2"/>
  <c r="BB140" i="2"/>
  <c r="BA140" i="2"/>
  <c r="BB138" i="2"/>
  <c r="BA138" i="2"/>
  <c r="BB137" i="2"/>
  <c r="BB134" i="2"/>
  <c r="BA134" i="2"/>
  <c r="BB133" i="2"/>
  <c r="BB131" i="2"/>
  <c r="BB130" i="2"/>
  <c r="BA130" i="2"/>
  <c r="BB129" i="2"/>
  <c r="BB128" i="2"/>
  <c r="BA128" i="2"/>
  <c r="BB127" i="2"/>
  <c r="BB126" i="2"/>
  <c r="BA126" i="2"/>
  <c r="BB125" i="2"/>
  <c r="BB124" i="2"/>
  <c r="BA124" i="2"/>
  <c r="BB123" i="2"/>
  <c r="BB121" i="2"/>
  <c r="BA121" i="2"/>
  <c r="BB120" i="2"/>
  <c r="BA120" i="2"/>
  <c r="BB119" i="2"/>
  <c r="BA119" i="2"/>
  <c r="BB118" i="2"/>
  <c r="BA118" i="2"/>
  <c r="BB117" i="2"/>
  <c r="BA117" i="2"/>
  <c r="BB116" i="2"/>
  <c r="BA116" i="2"/>
  <c r="BB115" i="2"/>
  <c r="BA115" i="2"/>
  <c r="BB114" i="2"/>
  <c r="BA114" i="2"/>
  <c r="BB113" i="2"/>
  <c r="BA113" i="2"/>
  <c r="BB112" i="2"/>
  <c r="BA112" i="2"/>
  <c r="BB111" i="2"/>
  <c r="BA111" i="2"/>
  <c r="BB110" i="2"/>
  <c r="BA110" i="2"/>
  <c r="BB109" i="2"/>
  <c r="BA109" i="2"/>
  <c r="BB108" i="2"/>
  <c r="BA108" i="2"/>
  <c r="BB107" i="2"/>
  <c r="BA107" i="2"/>
  <c r="BB106" i="2"/>
  <c r="BA106" i="2"/>
  <c r="BB105" i="2"/>
  <c r="BA105" i="2"/>
  <c r="BB104" i="2"/>
  <c r="BA104" i="2"/>
  <c r="BB103" i="2"/>
  <c r="BA103" i="2"/>
  <c r="BB102" i="2"/>
  <c r="BB101" i="2"/>
  <c r="BA101" i="2"/>
  <c r="BB100" i="2"/>
  <c r="BA100" i="2"/>
  <c r="BB99" i="2"/>
  <c r="BA99" i="2"/>
  <c r="BB98" i="2"/>
  <c r="BA98" i="2"/>
  <c r="BB97" i="2"/>
  <c r="BA97" i="2"/>
  <c r="BB96" i="2"/>
  <c r="BB95" i="2"/>
  <c r="BA95" i="2"/>
  <c r="BB94" i="2"/>
  <c r="BA94" i="2"/>
  <c r="BB93" i="2"/>
  <c r="BA93" i="2"/>
  <c r="BB91" i="2"/>
  <c r="BA91" i="2"/>
  <c r="BB62" i="2"/>
  <c r="BB61" i="2"/>
  <c r="BA61" i="2"/>
  <c r="BB60" i="2"/>
  <c r="BA60" i="2"/>
  <c r="BB59" i="2"/>
  <c r="BA59" i="2"/>
  <c r="BA58" i="2"/>
  <c r="BB58" i="2"/>
  <c r="BA57" i="2"/>
  <c r="BB56" i="2"/>
  <c r="BA56" i="2"/>
  <c r="BB55" i="2"/>
  <c r="BA55" i="2"/>
  <c r="BB54" i="2"/>
  <c r="BA54" i="2"/>
  <c r="BB53" i="2"/>
  <c r="BA53" i="2"/>
  <c r="BB52" i="2"/>
  <c r="BA52" i="2"/>
  <c r="BB51" i="2"/>
  <c r="BA51" i="2"/>
  <c r="BB50" i="2"/>
  <c r="BA50" i="2"/>
  <c r="BB49" i="2"/>
  <c r="BA49" i="2"/>
  <c r="BB48" i="2"/>
  <c r="BA48" i="2"/>
  <c r="BB47" i="2"/>
  <c r="BA47" i="2"/>
  <c r="BB46" i="2"/>
  <c r="BA46" i="2"/>
  <c r="BA45" i="2"/>
  <c r="BB45" i="2"/>
  <c r="BB44" i="2"/>
  <c r="BA44" i="2"/>
  <c r="BB43" i="2"/>
  <c r="BA43" i="2"/>
  <c r="BB42" i="2"/>
  <c r="BA42" i="2"/>
  <c r="BB41" i="2"/>
  <c r="BA41" i="2"/>
  <c r="BB40" i="2"/>
  <c r="BA40" i="2"/>
  <c r="BA39" i="2"/>
  <c r="BB39" i="2"/>
  <c r="BB38" i="2"/>
  <c r="BB37" i="2"/>
  <c r="BA37" i="2"/>
  <c r="BB36" i="2"/>
  <c r="BA36" i="2"/>
  <c r="BB35" i="2"/>
  <c r="BA35" i="2"/>
  <c r="BB34" i="2"/>
  <c r="BA34" i="2"/>
  <c r="BB32" i="2"/>
  <c r="BB31" i="2"/>
  <c r="BA31" i="2"/>
  <c r="BB30" i="2"/>
  <c r="BA30" i="2"/>
  <c r="BA29" i="2"/>
  <c r="BB28" i="2"/>
  <c r="BA28" i="2"/>
  <c r="BB27" i="2"/>
  <c r="BA27" i="2"/>
  <c r="BB26" i="2"/>
  <c r="BA26" i="2"/>
  <c r="BB24" i="2"/>
  <c r="BB20" i="2"/>
  <c r="BA20" i="2"/>
  <c r="BB19" i="2"/>
  <c r="BA19" i="2"/>
  <c r="BB18" i="2"/>
  <c r="BA18" i="2"/>
  <c r="BB17" i="2"/>
  <c r="BA17" i="2"/>
  <c r="BB16" i="2"/>
  <c r="BA16" i="2"/>
  <c r="BB15" i="2"/>
  <c r="BA15" i="2"/>
  <c r="AW15" i="2"/>
  <c r="BB14" i="2"/>
  <c r="BA14" i="2"/>
  <c r="BC225" i="2"/>
  <c r="BC223" i="2"/>
  <c r="BC221" i="2"/>
  <c r="BC140" i="2"/>
  <c r="BC138" i="2"/>
  <c r="BC134" i="2"/>
  <c r="BC130" i="2"/>
  <c r="BC128" i="2"/>
  <c r="BC126" i="2"/>
  <c r="BC124" i="2"/>
  <c r="BC121" i="2"/>
  <c r="BC120" i="2"/>
  <c r="BC119" i="2"/>
  <c r="BC91" i="2"/>
  <c r="BC62" i="2"/>
  <c r="BC61" i="2"/>
  <c r="BC60" i="2"/>
  <c r="BC59" i="2"/>
  <c r="BC58" i="2"/>
  <c r="BC57" i="2"/>
  <c r="BC56" i="2"/>
  <c r="BC55" i="2"/>
  <c r="BC54" i="2"/>
  <c r="BB13" i="2"/>
  <c r="BA13" i="2"/>
  <c r="AT144" i="2"/>
  <c r="AQ143" i="2"/>
  <c r="N150" i="21408" l="1"/>
  <c r="C218" i="21398"/>
  <c r="AX216" i="21398"/>
  <c r="M216" i="21398" s="1"/>
  <c r="AW216" i="21398"/>
  <c r="AY214" i="21398"/>
  <c r="BC214" i="21398"/>
  <c r="AC144" i="2"/>
  <c r="C148" i="2"/>
  <c r="AX148" i="2" s="1"/>
  <c r="F146" i="2"/>
  <c r="AW146" i="2"/>
  <c r="AY146" i="2" s="1"/>
  <c r="J145" i="2"/>
  <c r="AX145" i="2" s="1"/>
  <c r="BA144" i="2"/>
  <c r="M144" i="2"/>
  <c r="AW81" i="21398"/>
  <c r="BC79" i="21398"/>
  <c r="BA79" i="21398"/>
  <c r="BC125" i="2"/>
  <c r="BA125" i="2"/>
  <c r="AW127" i="2"/>
  <c r="BB57" i="2"/>
  <c r="BC18" i="2"/>
  <c r="BB29" i="2"/>
  <c r="AT146" i="2"/>
  <c r="AY216" i="21398" l="1"/>
  <c r="BA216" i="21398" s="1"/>
  <c r="BC216" i="21398"/>
  <c r="AX218" i="21398"/>
  <c r="M218" i="21398" s="1"/>
  <c r="C220" i="21398"/>
  <c r="AW218" i="21398"/>
  <c r="AC146" i="2"/>
  <c r="M146" i="2"/>
  <c r="BC146" i="2" s="1"/>
  <c r="BA146" i="2"/>
  <c r="C150" i="2"/>
  <c r="AX150" i="2" s="1"/>
  <c r="F148" i="2"/>
  <c r="AW80" i="21398"/>
  <c r="AY80" i="21398" s="1"/>
  <c r="BC81" i="21398"/>
  <c r="BA81" i="21398"/>
  <c r="AW83" i="21398"/>
  <c r="BC127" i="2"/>
  <c r="BA127" i="2"/>
  <c r="AW129" i="2"/>
  <c r="F61" i="21408"/>
  <c r="F62" i="21408" s="1"/>
  <c r="F32" i="21408" s="1"/>
  <c r="F59" i="21408"/>
  <c r="F60" i="21408" s="1"/>
  <c r="F30" i="21408" s="1"/>
  <c r="F57" i="21408"/>
  <c r="F58" i="21408" s="1"/>
  <c r="F28" i="21408" s="1"/>
  <c r="F55" i="21408"/>
  <c r="F56" i="21408" s="1"/>
  <c r="F26" i="21408" s="1"/>
  <c r="F53" i="21408"/>
  <c r="F54" i="21408" s="1"/>
  <c r="F24" i="21408" s="1"/>
  <c r="F51" i="21408"/>
  <c r="F52" i="21408" s="1"/>
  <c r="F22" i="21408" s="1"/>
  <c r="F49" i="21408"/>
  <c r="F50" i="21408" s="1"/>
  <c r="F20" i="21408" s="1"/>
  <c r="F47" i="21408"/>
  <c r="F48" i="21408" s="1"/>
  <c r="F18" i="21408" s="1"/>
  <c r="F45" i="21408"/>
  <c r="F46" i="21408" s="1"/>
  <c r="F16" i="21408" s="1"/>
  <c r="F43" i="21408"/>
  <c r="F44" i="21408" s="1"/>
  <c r="F14" i="21408" s="1"/>
  <c r="F41" i="21408"/>
  <c r="F42" i="21408" s="1"/>
  <c r="F12" i="21408" s="1"/>
  <c r="F39" i="21408"/>
  <c r="F40" i="21408" s="1"/>
  <c r="F10" i="21408" s="1"/>
  <c r="F37" i="21408"/>
  <c r="F38" i="21408" s="1"/>
  <c r="F8" i="21408" s="1"/>
  <c r="F35" i="21408"/>
  <c r="F36" i="21408" s="1"/>
  <c r="F6" i="21408" s="1"/>
  <c r="F33" i="21408"/>
  <c r="F34" i="21408" s="1"/>
  <c r="F4" i="21408" s="1"/>
  <c r="AQ145" i="2"/>
  <c r="AT148" i="2"/>
  <c r="AQ147" i="2"/>
  <c r="AX220" i="21398" l="1"/>
  <c r="M220" i="21398" s="1"/>
  <c r="C222" i="21398"/>
  <c r="J219" i="21398"/>
  <c r="AX219" i="21398" s="1"/>
  <c r="AW220" i="21398"/>
  <c r="AY218" i="21398"/>
  <c r="BA218" i="21398" s="1"/>
  <c r="BC218" i="21398"/>
  <c r="AC148" i="2"/>
  <c r="F150" i="2"/>
  <c r="J151" i="2"/>
  <c r="AX151" i="2" s="1"/>
  <c r="AW150" i="2"/>
  <c r="AY150" i="2" s="1"/>
  <c r="C152" i="2"/>
  <c r="AX152" i="2" s="1"/>
  <c r="BA80" i="21398"/>
  <c r="BC80" i="21398"/>
  <c r="BB80" i="21398"/>
  <c r="AW85" i="21398"/>
  <c r="AZ85" i="21398" s="1"/>
  <c r="BB85" i="21398" s="1"/>
  <c r="BA83" i="21398"/>
  <c r="BC83" i="21398"/>
  <c r="AW131" i="2"/>
  <c r="BC129" i="2"/>
  <c r="BA129" i="2"/>
  <c r="F5" i="21408"/>
  <c r="F9" i="21408"/>
  <c r="F13" i="21408"/>
  <c r="F17" i="21408"/>
  <c r="F21" i="21408"/>
  <c r="F25" i="21408"/>
  <c r="F29" i="21408"/>
  <c r="F3" i="21408"/>
  <c r="F7" i="21408"/>
  <c r="F11" i="21408"/>
  <c r="F15" i="21408"/>
  <c r="F19" i="21408"/>
  <c r="F23" i="21408"/>
  <c r="F27" i="21408"/>
  <c r="F31" i="21408"/>
  <c r="AQ149" i="2"/>
  <c r="AT150" i="2"/>
  <c r="AX222" i="21398" l="1"/>
  <c r="M222" i="21398" s="1"/>
  <c r="C224" i="21398"/>
  <c r="AY220" i="21398"/>
  <c r="BC220" i="21398"/>
  <c r="AC150" i="2"/>
  <c r="M150" i="2"/>
  <c r="BA150" i="2"/>
  <c r="F152" i="2"/>
  <c r="C154" i="2"/>
  <c r="AX154" i="2" s="1"/>
  <c r="AW152" i="2"/>
  <c r="AY152" i="2" s="1"/>
  <c r="BB206" i="2"/>
  <c r="AW87" i="21398"/>
  <c r="AZ87" i="21398" s="1"/>
  <c r="AW86" i="21398"/>
  <c r="AY86" i="21398" s="1"/>
  <c r="BC85" i="21398"/>
  <c r="BA85" i="21398"/>
  <c r="BC131" i="2"/>
  <c r="BA131" i="2"/>
  <c r="AW133" i="2"/>
  <c r="AQ151" i="2"/>
  <c r="AT152" i="2"/>
  <c r="AX224" i="21398" l="1"/>
  <c r="M224" i="21398" s="1"/>
  <c r="C226" i="21398"/>
  <c r="AW224" i="21398"/>
  <c r="AC152" i="2"/>
  <c r="M152" i="2"/>
  <c r="BA152" i="2"/>
  <c r="C156" i="2"/>
  <c r="AX156" i="2" s="1"/>
  <c r="F154" i="2"/>
  <c r="BB86" i="21398"/>
  <c r="BA86" i="21398"/>
  <c r="BC86" i="21398"/>
  <c r="BC87" i="21398"/>
  <c r="BB87" i="21398"/>
  <c r="BA87" i="21398"/>
  <c r="AW89" i="21398"/>
  <c r="AW132" i="2"/>
  <c r="AY132" i="2" s="1"/>
  <c r="BC133" i="2"/>
  <c r="BA133" i="2"/>
  <c r="AT154" i="2"/>
  <c r="AX226" i="21398" l="1"/>
  <c r="M226" i="21398" s="1"/>
  <c r="J227" i="21398"/>
  <c r="AX227" i="21398" s="1"/>
  <c r="C228" i="21398"/>
  <c r="AY224" i="21398"/>
  <c r="BA224" i="21398" s="1"/>
  <c r="BC224" i="21398"/>
  <c r="AC154" i="2"/>
  <c r="F156" i="2"/>
  <c r="AW156" i="2"/>
  <c r="AY156" i="2" s="1"/>
  <c r="C158" i="2"/>
  <c r="AX158" i="2" s="1"/>
  <c r="BB132" i="2"/>
  <c r="M132" i="2"/>
  <c r="BC132" i="2" s="1"/>
  <c r="BA132" i="2"/>
  <c r="BC89" i="21398"/>
  <c r="BA89" i="21398"/>
  <c r="BC91" i="21398"/>
  <c r="AW91" i="21398"/>
  <c r="BA91" i="21398" s="1"/>
  <c r="BC108" i="2"/>
  <c r="BC106" i="2"/>
  <c r="BC104" i="2"/>
  <c r="BC102" i="2"/>
  <c r="BC100" i="2"/>
  <c r="BC98" i="2"/>
  <c r="BC96" i="2"/>
  <c r="BC94" i="2"/>
  <c r="BC53" i="2"/>
  <c r="BC51" i="2"/>
  <c r="BC49" i="2"/>
  <c r="BC47" i="2"/>
  <c r="BC45" i="2"/>
  <c r="BC43" i="2"/>
  <c r="BC41" i="2"/>
  <c r="BC39" i="2"/>
  <c r="BC37" i="2"/>
  <c r="BC35" i="2"/>
  <c r="BC33" i="2"/>
  <c r="BC31" i="2"/>
  <c r="BC29" i="2"/>
  <c r="BC27" i="2"/>
  <c r="BC19" i="2"/>
  <c r="BC17" i="2"/>
  <c r="BC15" i="2"/>
  <c r="AQ153" i="2"/>
  <c r="AQ155" i="2"/>
  <c r="AT156" i="2"/>
  <c r="AX228" i="21398" l="1"/>
  <c r="M228" i="21398" s="1"/>
  <c r="C230" i="21398"/>
  <c r="AW228" i="21398"/>
  <c r="AC156" i="2"/>
  <c r="C160" i="2"/>
  <c r="AX160" i="2" s="1"/>
  <c r="F158" i="2"/>
  <c r="AW158" i="2"/>
  <c r="AY158" i="2" s="1"/>
  <c r="BA156" i="2"/>
  <c r="M156" i="2"/>
  <c r="AW93" i="21398"/>
  <c r="BC13" i="2"/>
  <c r="L151" i="21406"/>
  <c r="L150" i="21406"/>
  <c r="L148" i="21406"/>
  <c r="L147" i="21406"/>
  <c r="L146" i="21406"/>
  <c r="L145" i="21406"/>
  <c r="L144" i="21406"/>
  <c r="L143" i="21406"/>
  <c r="L142" i="21406"/>
  <c r="L141" i="21406"/>
  <c r="L140" i="21406"/>
  <c r="L139" i="21406"/>
  <c r="L138" i="21406"/>
  <c r="L137" i="21406"/>
  <c r="L136" i="21406"/>
  <c r="L135" i="21406"/>
  <c r="L134" i="21406"/>
  <c r="L133" i="21406"/>
  <c r="L132" i="21406"/>
  <c r="L131" i="21406"/>
  <c r="L130" i="21406"/>
  <c r="L129" i="21406"/>
  <c r="L128" i="21406"/>
  <c r="L127" i="21406"/>
  <c r="L126" i="21406"/>
  <c r="L125" i="21406"/>
  <c r="L124" i="21406"/>
  <c r="L123" i="21406"/>
  <c r="L122" i="21406"/>
  <c r="L121" i="21406"/>
  <c r="L120" i="21406"/>
  <c r="L119" i="21406"/>
  <c r="L118" i="21406"/>
  <c r="L117" i="21406"/>
  <c r="L113" i="21406"/>
  <c r="L112" i="21406"/>
  <c r="L110" i="21406"/>
  <c r="L109" i="21406"/>
  <c r="L108" i="21406"/>
  <c r="L107" i="21406"/>
  <c r="L106" i="21406"/>
  <c r="L105" i="21406"/>
  <c r="L104" i="21406"/>
  <c r="L103" i="21406"/>
  <c r="L102" i="21406"/>
  <c r="L101" i="21406"/>
  <c r="L100" i="21406"/>
  <c r="L99" i="21406"/>
  <c r="L98" i="21406"/>
  <c r="L97" i="21406"/>
  <c r="L96" i="21406"/>
  <c r="L95" i="21406"/>
  <c r="L94" i="21406"/>
  <c r="L93" i="21406"/>
  <c r="L92" i="21406"/>
  <c r="L91" i="21406"/>
  <c r="L90" i="21406"/>
  <c r="L89" i="21406"/>
  <c r="L88" i="21406"/>
  <c r="L87" i="21406"/>
  <c r="L86" i="21406"/>
  <c r="L85" i="21406"/>
  <c r="L84" i="21406"/>
  <c r="L83" i="21406"/>
  <c r="L82" i="21406"/>
  <c r="L81" i="21406"/>
  <c r="L80" i="21406"/>
  <c r="L79" i="21406"/>
  <c r="R144" i="21406"/>
  <c r="R145" i="21406" s="1"/>
  <c r="Q144" i="21406"/>
  <c r="Q145" i="21406" s="1"/>
  <c r="P144" i="21406"/>
  <c r="P145" i="21406" s="1"/>
  <c r="R131" i="21406"/>
  <c r="Q131" i="21406"/>
  <c r="P131" i="21406"/>
  <c r="O131" i="21406"/>
  <c r="N131" i="21406"/>
  <c r="R125" i="21406"/>
  <c r="Q125" i="21406"/>
  <c r="P125" i="21406"/>
  <c r="O125" i="21406"/>
  <c r="N125" i="21406"/>
  <c r="R122" i="21406"/>
  <c r="Q122" i="21406"/>
  <c r="P122" i="21406"/>
  <c r="O122" i="21406"/>
  <c r="N122" i="21406"/>
  <c r="R119" i="21406"/>
  <c r="Q119" i="21406"/>
  <c r="P119" i="21406"/>
  <c r="O119" i="21406"/>
  <c r="N119" i="21406"/>
  <c r="R93" i="21406"/>
  <c r="Q93" i="21406"/>
  <c r="P93" i="21406"/>
  <c r="O93" i="21406"/>
  <c r="N93" i="21406"/>
  <c r="R87" i="21406"/>
  <c r="Q87" i="21406"/>
  <c r="P87" i="21406"/>
  <c r="O87" i="21406"/>
  <c r="N87" i="21406"/>
  <c r="R84" i="21406"/>
  <c r="Q84" i="21406"/>
  <c r="P84" i="21406"/>
  <c r="O84" i="21406"/>
  <c r="N84" i="21406"/>
  <c r="R81" i="21406"/>
  <c r="Q81" i="21406"/>
  <c r="P81" i="21406"/>
  <c r="O81" i="21406"/>
  <c r="N81" i="21406"/>
  <c r="AQ157" i="2"/>
  <c r="AT158" i="2"/>
  <c r="C232" i="21398" l="1"/>
  <c r="AX230" i="21398"/>
  <c r="M230" i="21398" s="1"/>
  <c r="AY228" i="21398"/>
  <c r="BA228" i="21398" s="1"/>
  <c r="BC228" i="21398"/>
  <c r="AY55" i="21416"/>
  <c r="BA55" i="21416" s="1"/>
  <c r="AY5" i="21416"/>
  <c r="BA5" i="21416" s="1"/>
  <c r="AY62" i="21415"/>
  <c r="BA62" i="21415" s="1"/>
  <c r="AY6" i="21413"/>
  <c r="BA6" i="21413" s="1"/>
  <c r="AY73" i="3"/>
  <c r="BA73" i="3" s="1"/>
  <c r="AY5" i="3"/>
  <c r="BA5" i="3" s="1"/>
  <c r="AY68" i="21398"/>
  <c r="BA68" i="21398" s="1"/>
  <c r="AY62" i="21398"/>
  <c r="BA62" i="21398" s="1"/>
  <c r="AY68" i="2"/>
  <c r="BA68" i="2" s="1"/>
  <c r="AY62" i="2"/>
  <c r="BA62" i="2" s="1"/>
  <c r="AY142" i="2"/>
  <c r="BA142" i="2" s="1"/>
  <c r="BA54" i="21413"/>
  <c r="BA32" i="21398"/>
  <c r="BA32" i="2"/>
  <c r="BA38" i="21398"/>
  <c r="BA38" i="2"/>
  <c r="BA96" i="21398"/>
  <c r="BA102" i="21398"/>
  <c r="BA96" i="2"/>
  <c r="BA102" i="2"/>
  <c r="AC158" i="2"/>
  <c r="M158" i="2"/>
  <c r="BA158" i="2"/>
  <c r="C162" i="2"/>
  <c r="AX162" i="2" s="1"/>
  <c r="AW160" i="2"/>
  <c r="AZ160" i="2" s="1"/>
  <c r="F160" i="2"/>
  <c r="AW95" i="21398"/>
  <c r="AZ95" i="21398" s="1"/>
  <c r="BC93" i="21398"/>
  <c r="BA93" i="21398"/>
  <c r="AW137" i="2"/>
  <c r="AW136" i="2"/>
  <c r="AY136" i="2" s="1"/>
  <c r="A237" i="21410"/>
  <c r="A232" i="21410"/>
  <c r="A226" i="21410"/>
  <c r="A225" i="21410"/>
  <c r="A224" i="21410"/>
  <c r="A223" i="21410"/>
  <c r="A222" i="21410"/>
  <c r="A221" i="21410"/>
  <c r="A220" i="21410"/>
  <c r="A219" i="21410"/>
  <c r="A218" i="21410"/>
  <c r="AT160" i="2"/>
  <c r="AQ159" i="2"/>
  <c r="BD656" i="2" l="1"/>
  <c r="BD652" i="2"/>
  <c r="BD658" i="21398"/>
  <c r="BD588" i="21398"/>
  <c r="BD902" i="21398"/>
  <c r="BD586" i="21398"/>
  <c r="BD592" i="21398"/>
  <c r="BD590" i="21398"/>
  <c r="AW232" i="21398"/>
  <c r="C234" i="21398"/>
  <c r="AX232" i="21398"/>
  <c r="M232" i="21398" s="1"/>
  <c r="AY160" i="2"/>
  <c r="BA160" i="2" s="1"/>
  <c r="BD10" i="21399"/>
  <c r="AC160" i="2"/>
  <c r="AW162" i="2"/>
  <c r="AY162" i="2" s="1"/>
  <c r="J161" i="2"/>
  <c r="AX161" i="2" s="1"/>
  <c r="F162" i="2"/>
  <c r="C164" i="2"/>
  <c r="AX164" i="2" s="1"/>
  <c r="M160" i="2"/>
  <c r="BB160" i="2"/>
  <c r="BC95" i="21398"/>
  <c r="BB95" i="21398"/>
  <c r="BB136" i="2"/>
  <c r="M136" i="2"/>
  <c r="BC136" i="2" s="1"/>
  <c r="BA136" i="2"/>
  <c r="BA95" i="21398"/>
  <c r="AW97" i="21398"/>
  <c r="AW139" i="2"/>
  <c r="AZ139" i="2" s="1"/>
  <c r="BB139" i="2" s="1"/>
  <c r="BC137" i="2"/>
  <c r="BA137" i="2"/>
  <c r="J2" i="21408"/>
  <c r="AQ161" i="2"/>
  <c r="AT162" i="2"/>
  <c r="AY232" i="21398" l="1"/>
  <c r="BA232" i="21398" s="1"/>
  <c r="BC232" i="21398"/>
  <c r="AW234" i="21398"/>
  <c r="C236" i="21398"/>
  <c r="AX234" i="21398"/>
  <c r="M234" i="21398" s="1"/>
  <c r="AC162" i="2"/>
  <c r="BA162" i="2"/>
  <c r="M162" i="2"/>
  <c r="F164" i="2"/>
  <c r="AW164" i="2"/>
  <c r="AY164" i="2" s="1"/>
  <c r="C166" i="2"/>
  <c r="AX166" i="2" s="1"/>
  <c r="BC97" i="21398"/>
  <c r="BA97" i="21398"/>
  <c r="AW99" i="21398"/>
  <c r="BC141" i="2"/>
  <c r="AW141" i="2"/>
  <c r="BA141" i="2" s="1"/>
  <c r="BA139" i="2"/>
  <c r="BC139" i="2"/>
  <c r="BC14" i="2"/>
  <c r="AQ163" i="2"/>
  <c r="AT164" i="2"/>
  <c r="AY234" i="21398" l="1"/>
  <c r="BA234" i="21398" s="1"/>
  <c r="BC234" i="21398"/>
  <c r="C238" i="21398"/>
  <c r="AX236" i="21398"/>
  <c r="M236" i="21398" s="1"/>
  <c r="AC164" i="2"/>
  <c r="M164" i="2"/>
  <c r="BA164" i="2"/>
  <c r="C168" i="2"/>
  <c r="AX168" i="2" s="1"/>
  <c r="F166" i="2"/>
  <c r="AW98" i="21398"/>
  <c r="AY98" i="21398" s="1"/>
  <c r="BC99" i="21398"/>
  <c r="BA99" i="21398"/>
  <c r="AW101" i="21398"/>
  <c r="AW143" i="2"/>
  <c r="AZ143" i="2" s="1"/>
  <c r="BB143" i="2" s="1"/>
  <c r="BC16" i="2"/>
  <c r="BC20" i="2"/>
  <c r="D349" i="21412"/>
  <c r="D348" i="21412"/>
  <c r="D347" i="21412"/>
  <c r="D346" i="21412"/>
  <c r="D345" i="21412"/>
  <c r="D344" i="21412"/>
  <c r="D343" i="21412"/>
  <c r="D342" i="21412"/>
  <c r="D341" i="21412"/>
  <c r="D340" i="21412"/>
  <c r="D339" i="21412"/>
  <c r="D338" i="21412"/>
  <c r="D337" i="21412"/>
  <c r="D336" i="21412"/>
  <c r="D335" i="21412"/>
  <c r="D334" i="21412"/>
  <c r="D333" i="21412"/>
  <c r="D332" i="21412"/>
  <c r="D331" i="21412"/>
  <c r="D330" i="21412"/>
  <c r="D329" i="21412"/>
  <c r="D328" i="21412"/>
  <c r="D327" i="21412"/>
  <c r="D326" i="21412"/>
  <c r="D319" i="21412"/>
  <c r="D318" i="21412"/>
  <c r="D317" i="21412"/>
  <c r="D316" i="21412"/>
  <c r="D315" i="21412"/>
  <c r="D314" i="21412"/>
  <c r="D307" i="21412"/>
  <c r="D306" i="21412"/>
  <c r="D305" i="21412"/>
  <c r="D304" i="21412"/>
  <c r="D303" i="21412"/>
  <c r="D302" i="21412"/>
  <c r="D325" i="21412"/>
  <c r="D324" i="21412"/>
  <c r="D323" i="21412"/>
  <c r="D322" i="21412"/>
  <c r="D321" i="21412"/>
  <c r="D320" i="21412"/>
  <c r="D313" i="21412"/>
  <c r="D312" i="21412"/>
  <c r="D311" i="21412"/>
  <c r="D310" i="21412"/>
  <c r="D309" i="21412"/>
  <c r="D308" i="21412"/>
  <c r="D301" i="21412"/>
  <c r="D300" i="21412"/>
  <c r="D299" i="21412"/>
  <c r="D298" i="21412"/>
  <c r="D297" i="21412"/>
  <c r="D296" i="21412"/>
  <c r="D295" i="21412"/>
  <c r="D294" i="21412"/>
  <c r="D293" i="21412"/>
  <c r="D292" i="21412"/>
  <c r="D291" i="21412"/>
  <c r="D290" i="21412"/>
  <c r="D283" i="21412"/>
  <c r="D282" i="21412"/>
  <c r="D281" i="21412"/>
  <c r="D280" i="21412"/>
  <c r="D279" i="21412"/>
  <c r="D278" i="21412"/>
  <c r="D265" i="21412"/>
  <c r="D264" i="21412"/>
  <c r="D263" i="21412"/>
  <c r="D262" i="21412"/>
  <c r="D261" i="21412"/>
  <c r="D260" i="21412"/>
  <c r="D271" i="21412"/>
  <c r="D270" i="21412"/>
  <c r="D269" i="21412"/>
  <c r="D268" i="21412"/>
  <c r="D267" i="21412"/>
  <c r="D266" i="21412"/>
  <c r="D259" i="21412"/>
  <c r="D258" i="21412"/>
  <c r="D257" i="21412"/>
  <c r="D256" i="21412"/>
  <c r="D255" i="21412"/>
  <c r="D254" i="21412"/>
  <c r="D253" i="21412"/>
  <c r="D252" i="21412"/>
  <c r="D251" i="21412"/>
  <c r="D250" i="21412"/>
  <c r="D249" i="21412"/>
  <c r="D248" i="21412"/>
  <c r="D241" i="21412"/>
  <c r="D240" i="21412"/>
  <c r="D239" i="21412"/>
  <c r="D238" i="21412"/>
  <c r="D237" i="21412"/>
  <c r="D236" i="21412"/>
  <c r="D247" i="21412"/>
  <c r="D246" i="21412"/>
  <c r="D245" i="21412"/>
  <c r="D244" i="21412"/>
  <c r="D243" i="21412"/>
  <c r="D242" i="21412"/>
  <c r="D235" i="21412"/>
  <c r="D234" i="21412"/>
  <c r="D233" i="21412"/>
  <c r="D232" i="21412"/>
  <c r="D231" i="21412"/>
  <c r="D230" i="21412"/>
  <c r="D229" i="21412"/>
  <c r="D228" i="21412"/>
  <c r="D227" i="21412"/>
  <c r="D226" i="21412"/>
  <c r="D225" i="21412"/>
  <c r="D224" i="21412"/>
  <c r="D217" i="21412"/>
  <c r="D216" i="21412"/>
  <c r="D215" i="21412"/>
  <c r="D214" i="21412"/>
  <c r="D213" i="21412"/>
  <c r="D212" i="21412"/>
  <c r="D223" i="21412"/>
  <c r="D222" i="21412"/>
  <c r="D221" i="21412"/>
  <c r="D220" i="21412"/>
  <c r="D219" i="21412"/>
  <c r="D218" i="21412"/>
  <c r="D211" i="21412"/>
  <c r="D210" i="21412"/>
  <c r="D209" i="21412"/>
  <c r="D208" i="21412"/>
  <c r="D207" i="21412"/>
  <c r="D206" i="21412"/>
  <c r="D205" i="21412"/>
  <c r="D204" i="21412"/>
  <c r="D203" i="21412"/>
  <c r="D202" i="21412"/>
  <c r="D201" i="21412"/>
  <c r="D200" i="21412"/>
  <c r="D193" i="21412"/>
  <c r="D192" i="21412"/>
  <c r="D191" i="21412"/>
  <c r="D190" i="21412"/>
  <c r="D189" i="21412"/>
  <c r="D188" i="21412"/>
  <c r="D199" i="21412"/>
  <c r="D198" i="21412"/>
  <c r="D197" i="21412"/>
  <c r="D196" i="21412"/>
  <c r="D195" i="21412"/>
  <c r="D194" i="21412"/>
  <c r="D187" i="21412"/>
  <c r="D186" i="21412"/>
  <c r="D185" i="21412"/>
  <c r="D184" i="21412"/>
  <c r="D183" i="21412"/>
  <c r="D182" i="21412"/>
  <c r="D181" i="21412"/>
  <c r="D180" i="21412"/>
  <c r="D179" i="21412"/>
  <c r="D178" i="21412"/>
  <c r="D177" i="21412"/>
  <c r="D176" i="21412"/>
  <c r="D169" i="21412"/>
  <c r="D168" i="21412"/>
  <c r="D167" i="21412"/>
  <c r="D166" i="21412"/>
  <c r="D165" i="21412"/>
  <c r="D164" i="21412"/>
  <c r="D175" i="21412"/>
  <c r="D174" i="21412"/>
  <c r="D173" i="21412"/>
  <c r="D172" i="21412"/>
  <c r="D171" i="21412"/>
  <c r="D170" i="21412"/>
  <c r="D163" i="21412"/>
  <c r="D162" i="21412"/>
  <c r="D161" i="21412"/>
  <c r="D160" i="21412"/>
  <c r="D159" i="21412"/>
  <c r="D158" i="21412"/>
  <c r="D157" i="21412"/>
  <c r="D156" i="21412"/>
  <c r="D155" i="21412"/>
  <c r="D154" i="21412"/>
  <c r="D153" i="21412"/>
  <c r="D152" i="21412"/>
  <c r="D145" i="21412"/>
  <c r="D144" i="21412"/>
  <c r="D143" i="21412"/>
  <c r="D142" i="21412"/>
  <c r="D141" i="21412"/>
  <c r="D140" i="21412"/>
  <c r="D151" i="21412"/>
  <c r="D150" i="21412"/>
  <c r="D149" i="21412"/>
  <c r="D148" i="21412"/>
  <c r="D147" i="21412"/>
  <c r="D146" i="21412"/>
  <c r="D139" i="21412"/>
  <c r="D138" i="21412"/>
  <c r="D137" i="21412"/>
  <c r="D136" i="21412"/>
  <c r="D135" i="21412"/>
  <c r="D134" i="21412"/>
  <c r="D133" i="21412"/>
  <c r="D132" i="21412"/>
  <c r="D131" i="21412"/>
  <c r="D130" i="21412"/>
  <c r="D129" i="21412"/>
  <c r="D128" i="21412"/>
  <c r="D121" i="21412"/>
  <c r="D120" i="21412"/>
  <c r="D119" i="21412"/>
  <c r="D118" i="21412"/>
  <c r="D117" i="21412"/>
  <c r="D116" i="21412"/>
  <c r="D127" i="21412"/>
  <c r="D126" i="21412"/>
  <c r="D125" i="21412"/>
  <c r="D124" i="21412"/>
  <c r="D123" i="21412"/>
  <c r="D122" i="21412"/>
  <c r="D115" i="21412"/>
  <c r="D114" i="21412"/>
  <c r="D113" i="21412"/>
  <c r="D112" i="21412"/>
  <c r="D111" i="21412"/>
  <c r="D110" i="21412"/>
  <c r="D109" i="21412"/>
  <c r="D108" i="21412"/>
  <c r="D107" i="21412"/>
  <c r="D106" i="21412"/>
  <c r="D105" i="21412"/>
  <c r="D104" i="21412"/>
  <c r="D97" i="21412"/>
  <c r="D96" i="21412"/>
  <c r="D95" i="21412"/>
  <c r="D94" i="21412"/>
  <c r="D93" i="21412"/>
  <c r="D92" i="21412"/>
  <c r="D103" i="21412"/>
  <c r="D102" i="21412"/>
  <c r="D101" i="21412"/>
  <c r="D100" i="21412"/>
  <c r="D99" i="21412"/>
  <c r="D98" i="21412"/>
  <c r="D91" i="21412"/>
  <c r="D90" i="21412"/>
  <c r="D89" i="21412"/>
  <c r="D88" i="21412"/>
  <c r="D87" i="21412"/>
  <c r="D86" i="21412"/>
  <c r="D85" i="21412"/>
  <c r="D84" i="21412"/>
  <c r="D83" i="21412"/>
  <c r="D82" i="21412"/>
  <c r="D81" i="21412"/>
  <c r="D80" i="21412"/>
  <c r="D73" i="21412"/>
  <c r="D72" i="21412"/>
  <c r="D71" i="21412"/>
  <c r="D70" i="21412"/>
  <c r="D69" i="21412"/>
  <c r="D68" i="21412"/>
  <c r="D79" i="21412"/>
  <c r="D78" i="21412"/>
  <c r="D77" i="21412"/>
  <c r="D76" i="21412"/>
  <c r="D75" i="21412"/>
  <c r="D74" i="21412"/>
  <c r="D67" i="21412"/>
  <c r="D66" i="21412"/>
  <c r="D65" i="21412"/>
  <c r="D64" i="21412"/>
  <c r="D63" i="21412"/>
  <c r="D62" i="21412"/>
  <c r="D61" i="21412"/>
  <c r="D60" i="21412"/>
  <c r="D59" i="21412"/>
  <c r="D58" i="21412"/>
  <c r="D57" i="21412"/>
  <c r="D56" i="21412"/>
  <c r="D49" i="21412"/>
  <c r="D48" i="21412"/>
  <c r="D47" i="21412"/>
  <c r="D46" i="21412"/>
  <c r="D45" i="21412"/>
  <c r="D44" i="21412"/>
  <c r="D55" i="21412"/>
  <c r="D54" i="21412"/>
  <c r="D53" i="21412"/>
  <c r="D52" i="21412"/>
  <c r="D51" i="21412"/>
  <c r="D50" i="21412"/>
  <c r="D43" i="21412"/>
  <c r="D42" i="21412"/>
  <c r="D41" i="21412"/>
  <c r="D40" i="21412"/>
  <c r="D39" i="21412"/>
  <c r="D38" i="21412"/>
  <c r="D37" i="21412"/>
  <c r="D36" i="21412"/>
  <c r="D35" i="21412"/>
  <c r="D34" i="21412"/>
  <c r="D33" i="21412"/>
  <c r="D32" i="21412"/>
  <c r="D31" i="21412"/>
  <c r="D30" i="21412"/>
  <c r="D29" i="21412"/>
  <c r="D28" i="21412"/>
  <c r="D27" i="21412"/>
  <c r="D26" i="21412"/>
  <c r="D25" i="21412"/>
  <c r="D24" i="21412"/>
  <c r="D23" i="21412"/>
  <c r="D22" i="21412"/>
  <c r="D21" i="21412"/>
  <c r="D20" i="21412"/>
  <c r="D19" i="21412"/>
  <c r="D18" i="21412"/>
  <c r="D17" i="21412"/>
  <c r="D16" i="21412"/>
  <c r="D15" i="21412"/>
  <c r="D14" i="21412"/>
  <c r="D13" i="21412"/>
  <c r="D12" i="21412"/>
  <c r="D11" i="21412"/>
  <c r="D10" i="21412"/>
  <c r="D9" i="21412"/>
  <c r="D8" i="21412"/>
  <c r="D7" i="21412"/>
  <c r="D6" i="21412"/>
  <c r="D5" i="21412"/>
  <c r="D4" i="21412"/>
  <c r="D3" i="21412"/>
  <c r="D2" i="21412"/>
  <c r="AT166" i="2"/>
  <c r="AQ165" i="2"/>
  <c r="AX238" i="21398" l="1"/>
  <c r="M238" i="21398" s="1"/>
  <c r="J237" i="21398"/>
  <c r="AX237" i="21398" s="1"/>
  <c r="C240" i="21398"/>
  <c r="AC166" i="2"/>
  <c r="F168" i="2"/>
  <c r="AW168" i="2"/>
  <c r="AY168" i="2" s="1"/>
  <c r="C170" i="2"/>
  <c r="AX170" i="2" s="1"/>
  <c r="BB98" i="21398"/>
  <c r="BC98" i="21398"/>
  <c r="BA98" i="21398"/>
  <c r="AW103" i="21398"/>
  <c r="AZ103" i="21398" s="1"/>
  <c r="BB103" i="21398" s="1"/>
  <c r="BA101" i="21398"/>
  <c r="BC101" i="21398"/>
  <c r="AW145" i="2"/>
  <c r="AZ145" i="2" s="1"/>
  <c r="BB145" i="2" s="1"/>
  <c r="BC143" i="2"/>
  <c r="BA143" i="2"/>
  <c r="BC24" i="2"/>
  <c r="H334" i="21412"/>
  <c r="K334" i="21412"/>
  <c r="I334" i="21412"/>
  <c r="J334" i="21412"/>
  <c r="H332" i="21412"/>
  <c r="I332" i="21412"/>
  <c r="K332" i="21412"/>
  <c r="J332" i="21412"/>
  <c r="H336" i="21412"/>
  <c r="K336" i="21412"/>
  <c r="I336" i="21412"/>
  <c r="J336" i="21412"/>
  <c r="H344" i="21412"/>
  <c r="K344" i="21412"/>
  <c r="I344" i="21412"/>
  <c r="J344" i="21412"/>
  <c r="H348" i="21412"/>
  <c r="I348" i="21412"/>
  <c r="K348" i="21412"/>
  <c r="J348" i="21412"/>
  <c r="J333" i="21412"/>
  <c r="I333" i="21412"/>
  <c r="H333" i="21412"/>
  <c r="K333" i="21412"/>
  <c r="J337" i="21412"/>
  <c r="K337" i="21412"/>
  <c r="I337" i="21412"/>
  <c r="H337" i="21412"/>
  <c r="J345" i="21412"/>
  <c r="I345" i="21412"/>
  <c r="H345" i="21412"/>
  <c r="K345" i="21412"/>
  <c r="J349" i="21412"/>
  <c r="I349" i="21412"/>
  <c r="H349" i="21412"/>
  <c r="K349" i="21412"/>
  <c r="H346" i="21412"/>
  <c r="K346" i="21412"/>
  <c r="I346" i="21412"/>
  <c r="J346" i="21412"/>
  <c r="J335" i="21412"/>
  <c r="I335" i="21412"/>
  <c r="H335" i="21412"/>
  <c r="K335" i="21412"/>
  <c r="J347" i="21412"/>
  <c r="I347" i="21412"/>
  <c r="H347" i="21412"/>
  <c r="K347" i="21412"/>
  <c r="AT168" i="2"/>
  <c r="C242" i="21398" l="1"/>
  <c r="AW240" i="21398"/>
  <c r="AX240" i="21398"/>
  <c r="M240" i="21398" s="1"/>
  <c r="AC168" i="2"/>
  <c r="F170" i="2"/>
  <c r="C172" i="2"/>
  <c r="AX172" i="2" s="1"/>
  <c r="AW170" i="2"/>
  <c r="AY170" i="2" s="1"/>
  <c r="M168" i="2"/>
  <c r="BC168" i="2" s="1"/>
  <c r="BA168" i="2"/>
  <c r="BC103" i="21398"/>
  <c r="BA103" i="21398"/>
  <c r="AW105" i="21398"/>
  <c r="BA145" i="2"/>
  <c r="AW147" i="2"/>
  <c r="BC26" i="21398"/>
  <c r="BC26" i="2"/>
  <c r="BC73" i="3"/>
  <c r="BC72" i="3"/>
  <c r="BC71" i="3"/>
  <c r="BC70" i="3"/>
  <c r="BC69" i="3"/>
  <c r="BC68" i="3"/>
  <c r="BC67" i="3"/>
  <c r="BC51" i="3"/>
  <c r="BC50" i="3"/>
  <c r="BC48" i="3"/>
  <c r="BC45" i="108" s="1"/>
  <c r="BC47" i="3"/>
  <c r="BC44" i="108" s="1"/>
  <c r="BC46" i="3"/>
  <c r="BC43" i="108" s="1"/>
  <c r="BC45" i="3"/>
  <c r="BC42" i="108" s="1"/>
  <c r="BC44" i="3"/>
  <c r="BC41" i="108" s="1"/>
  <c r="BC43" i="3"/>
  <c r="BC40" i="108" s="1"/>
  <c r="BC42" i="3"/>
  <c r="BC41" i="3"/>
  <c r="BC40" i="3"/>
  <c r="BC39" i="3"/>
  <c r="BC38" i="3"/>
  <c r="BC37" i="3"/>
  <c r="BC36" i="3"/>
  <c r="BC35" i="3"/>
  <c r="BC34" i="3"/>
  <c r="BC33" i="3"/>
  <c r="BC31" i="3"/>
  <c r="BC29" i="3"/>
  <c r="BC17" i="3"/>
  <c r="BC16" i="3"/>
  <c r="BC15" i="3"/>
  <c r="BC14" i="3"/>
  <c r="BC13" i="3"/>
  <c r="BC10" i="108" s="1"/>
  <c r="BC12" i="3"/>
  <c r="BC9" i="108" s="1"/>
  <c r="BC11" i="3"/>
  <c r="BC8" i="108" s="1"/>
  <c r="BC10" i="3"/>
  <c r="BC7" i="108" s="1"/>
  <c r="BC9" i="3"/>
  <c r="BC6" i="108" s="1"/>
  <c r="BC8" i="3"/>
  <c r="BC5" i="108" s="1"/>
  <c r="BC7" i="3"/>
  <c r="BC6" i="3"/>
  <c r="AC39" i="108"/>
  <c r="AC38" i="108"/>
  <c r="K150" i="21408" s="1"/>
  <c r="BC29" i="108"/>
  <c r="BC27" i="108"/>
  <c r="BC25" i="108"/>
  <c r="BC24" i="108"/>
  <c r="BC23" i="108"/>
  <c r="BC22" i="108"/>
  <c r="BC21" i="108"/>
  <c r="BC20" i="108"/>
  <c r="BC19" i="108"/>
  <c r="BC18" i="108"/>
  <c r="BC17" i="108"/>
  <c r="BC16" i="108"/>
  <c r="BC15" i="108"/>
  <c r="BC14" i="108"/>
  <c r="BC13" i="108"/>
  <c r="BC12" i="108"/>
  <c r="BC11" i="108"/>
  <c r="BB39" i="21398"/>
  <c r="BA39" i="21398"/>
  <c r="BC39" i="21398"/>
  <c r="AC35" i="21398"/>
  <c r="BC377" i="2"/>
  <c r="BC375" i="2"/>
  <c r="BC373" i="2"/>
  <c r="BC371" i="2"/>
  <c r="BC369" i="2"/>
  <c r="BC367" i="2"/>
  <c r="BC365" i="2"/>
  <c r="BC164" i="2"/>
  <c r="BC162" i="2"/>
  <c r="BC160" i="2"/>
  <c r="BC158" i="2"/>
  <c r="BC156" i="2"/>
  <c r="BC152" i="2"/>
  <c r="BC150" i="2"/>
  <c r="BC144" i="2"/>
  <c r="BC118" i="2"/>
  <c r="BC116" i="2"/>
  <c r="BC114" i="2"/>
  <c r="BC112" i="2"/>
  <c r="BC110" i="2"/>
  <c r="BB33" i="2"/>
  <c r="BA33" i="2"/>
  <c r="K2" i="21402"/>
  <c r="I2" i="21402"/>
  <c r="H2" i="21402"/>
  <c r="G2" i="21402"/>
  <c r="F2" i="21402"/>
  <c r="AQ167" i="2"/>
  <c r="AT170" i="2"/>
  <c r="AQ169" i="2"/>
  <c r="AY240" i="21398" l="1"/>
  <c r="BA240" i="21398" s="1"/>
  <c r="BC240" i="21398"/>
  <c r="AX242" i="21398"/>
  <c r="M242" i="21398" s="1"/>
  <c r="C244" i="21398"/>
  <c r="J243" i="21398"/>
  <c r="AX243" i="21398" s="1"/>
  <c r="BC74" i="3"/>
  <c r="J150" i="21408"/>
  <c r="M170" i="2"/>
  <c r="BC170" i="2" s="1"/>
  <c r="BA170" i="2"/>
  <c r="AW172" i="2"/>
  <c r="AY172" i="2" s="1"/>
  <c r="C174" i="2"/>
  <c r="AX174" i="2" s="1"/>
  <c r="F172" i="2"/>
  <c r="BA105" i="21398"/>
  <c r="BC105" i="21398"/>
  <c r="AW106" i="21398"/>
  <c r="AY106" i="21398" s="1"/>
  <c r="AW107" i="21398"/>
  <c r="AW149" i="2"/>
  <c r="BA147" i="2"/>
  <c r="BC26" i="108"/>
  <c r="BC30" i="2"/>
  <c r="BC28" i="2"/>
  <c r="I340" i="21412"/>
  <c r="I342" i="21412"/>
  <c r="I339" i="21412"/>
  <c r="I338" i="21412"/>
  <c r="I341" i="21412"/>
  <c r="I343" i="21412"/>
  <c r="AK1" i="21411"/>
  <c r="AE1" i="21411"/>
  <c r="Y1" i="21411"/>
  <c r="S1" i="21411"/>
  <c r="M1" i="21411"/>
  <c r="G1" i="21411"/>
  <c r="AT172" i="2"/>
  <c r="AQ171" i="2"/>
  <c r="C246" i="21398" l="1"/>
  <c r="AX244" i="21398"/>
  <c r="M244" i="21398" s="1"/>
  <c r="AW244" i="21398"/>
  <c r="AC172" i="2"/>
  <c r="F174" i="2"/>
  <c r="C176" i="2"/>
  <c r="AX176" i="2" s="1"/>
  <c r="M172" i="2"/>
  <c r="BC172" i="2" s="1"/>
  <c r="BA172" i="2"/>
  <c r="BB106" i="21398"/>
  <c r="BA106" i="21398"/>
  <c r="BC106" i="21398"/>
  <c r="BC107" i="21398"/>
  <c r="BA107" i="21398"/>
  <c r="AW109" i="21398"/>
  <c r="AW151" i="2"/>
  <c r="AZ151" i="2" s="1"/>
  <c r="BB151" i="2" s="1"/>
  <c r="AW148" i="2"/>
  <c r="AY148" i="2" s="1"/>
  <c r="BA149" i="2"/>
  <c r="BC28" i="108"/>
  <c r="BC32" i="2"/>
  <c r="A323" i="21410"/>
  <c r="A322" i="21410"/>
  <c r="AT174" i="2"/>
  <c r="AQ173" i="2"/>
  <c r="BD1220" i="2" l="1"/>
  <c r="BD1218" i="21398"/>
  <c r="BD1216" i="21398"/>
  <c r="BD1218" i="2"/>
  <c r="BD1264" i="21398"/>
  <c r="BD18" i="2"/>
  <c r="BD1262" i="21398"/>
  <c r="BD1266" i="2"/>
  <c r="BD18" i="21398"/>
  <c r="BD1264" i="2"/>
  <c r="BD16" i="2"/>
  <c r="BD16" i="21398"/>
  <c r="BD822" i="21398"/>
  <c r="BD830" i="2"/>
  <c r="BD828" i="21398"/>
  <c r="BD824" i="2"/>
  <c r="BD350" i="21398"/>
  <c r="BD1268" i="2"/>
  <c r="BD344" i="21398"/>
  <c r="BD350" i="2"/>
  <c r="BD1266" i="21398"/>
  <c r="BD344" i="2"/>
  <c r="AY244" i="21398"/>
  <c r="BA244" i="21398" s="1"/>
  <c r="BC244" i="21398"/>
  <c r="AW246" i="21398"/>
  <c r="C248" i="21398"/>
  <c r="AX246" i="21398"/>
  <c r="M246" i="21398" s="1"/>
  <c r="AC174" i="2"/>
  <c r="AX177" i="2"/>
  <c r="C178" i="2"/>
  <c r="AX178" i="2" s="1"/>
  <c r="F176" i="2"/>
  <c r="AW176" i="2"/>
  <c r="AY176" i="2" s="1"/>
  <c r="AX175" i="2"/>
  <c r="BB148" i="2"/>
  <c r="M148" i="2"/>
  <c r="BC148" i="2" s="1"/>
  <c r="BA148" i="2"/>
  <c r="BC109" i="21398"/>
  <c r="BA109" i="21398"/>
  <c r="AW111" i="21398"/>
  <c r="BA151" i="2"/>
  <c r="AW153" i="2"/>
  <c r="H327" i="21412"/>
  <c r="H328" i="21412"/>
  <c r="H331" i="21412"/>
  <c r="H330" i="21412"/>
  <c r="H326" i="21412"/>
  <c r="H329" i="21412"/>
  <c r="BC30" i="3"/>
  <c r="BC34" i="2"/>
  <c r="A328" i="21410"/>
  <c r="A242" i="21410"/>
  <c r="A193" i="21410"/>
  <c r="A192" i="21410"/>
  <c r="A191" i="21410"/>
  <c r="A190" i="21410"/>
  <c r="A185" i="21410"/>
  <c r="A184" i="21410"/>
  <c r="A183" i="21410"/>
  <c r="A182" i="21410"/>
  <c r="A177" i="21410"/>
  <c r="A176" i="21410"/>
  <c r="A175" i="21410"/>
  <c r="A174" i="21410"/>
  <c r="A160" i="21410"/>
  <c r="A159" i="21410"/>
  <c r="A158" i="21410"/>
  <c r="A157" i="21410"/>
  <c r="A156" i="21410"/>
  <c r="A155" i="21410"/>
  <c r="A154" i="21410"/>
  <c r="A153" i="21410"/>
  <c r="A152" i="21410"/>
  <c r="A134" i="21410"/>
  <c r="A133" i="21410"/>
  <c r="A132" i="21410"/>
  <c r="A131" i="21410"/>
  <c r="A130" i="21410"/>
  <c r="A129" i="21410"/>
  <c r="A128" i="21410"/>
  <c r="A127" i="21410"/>
  <c r="A126" i="21410"/>
  <c r="A108" i="21410"/>
  <c r="A107" i="21410"/>
  <c r="A106" i="21410"/>
  <c r="A105" i="21410"/>
  <c r="A104" i="21410"/>
  <c r="A103" i="21410"/>
  <c r="A102" i="21410"/>
  <c r="A101" i="21410"/>
  <c r="A100" i="21410"/>
  <c r="A82" i="21410"/>
  <c r="A81" i="21410"/>
  <c r="A80" i="21410"/>
  <c r="A79" i="21410"/>
  <c r="A78" i="21410"/>
  <c r="A77" i="21410"/>
  <c r="A76" i="21410"/>
  <c r="A75" i="21410"/>
  <c r="A74" i="21410"/>
  <c r="A56" i="21410"/>
  <c r="A55" i="21410"/>
  <c r="A54" i="21410"/>
  <c r="A53" i="21410"/>
  <c r="A52" i="21410"/>
  <c r="A51" i="21410"/>
  <c r="A50" i="21410"/>
  <c r="A49" i="21410"/>
  <c r="A48" i="21410"/>
  <c r="AT176" i="2"/>
  <c r="AQ175" i="2"/>
  <c r="C250" i="21398" l="1"/>
  <c r="AX248" i="21398"/>
  <c r="M248" i="21398" s="1"/>
  <c r="AY246" i="21398"/>
  <c r="BA246" i="21398" s="1"/>
  <c r="BC246" i="21398"/>
  <c r="AC176" i="2"/>
  <c r="M176" i="2"/>
  <c r="BC176" i="2" s="1"/>
  <c r="BA176" i="2"/>
  <c r="AW175" i="2"/>
  <c r="AZ175" i="2" s="1"/>
  <c r="BB175" i="2" s="1"/>
  <c r="F178" i="2"/>
  <c r="C180" i="2"/>
  <c r="AX180" i="2" s="1"/>
  <c r="AW178" i="2"/>
  <c r="AY178" i="2" s="1"/>
  <c r="AW177" i="2"/>
  <c r="AZ177" i="2" s="1"/>
  <c r="BB177" i="2" s="1"/>
  <c r="BC111" i="21398"/>
  <c r="BA111" i="21398"/>
  <c r="AW113" i="21398"/>
  <c r="AW154" i="2"/>
  <c r="AY154" i="2" s="1"/>
  <c r="BA153" i="2"/>
  <c r="AW155" i="2"/>
  <c r="BC32" i="3"/>
  <c r="I329" i="21412"/>
  <c r="I327" i="21412"/>
  <c r="I330" i="21412"/>
  <c r="I326" i="21412"/>
  <c r="I328" i="21412"/>
  <c r="I331" i="21412"/>
  <c r="BC36" i="2"/>
  <c r="A30" i="21410"/>
  <c r="A29" i="21410"/>
  <c r="A28" i="21410"/>
  <c r="A27" i="21410"/>
  <c r="A26" i="21410"/>
  <c r="A25" i="21410"/>
  <c r="A24" i="21410"/>
  <c r="A23" i="21410"/>
  <c r="A22" i="21410"/>
  <c r="AQ177" i="2"/>
  <c r="AT178" i="2"/>
  <c r="AW250" i="21398" l="1"/>
  <c r="C252" i="21398"/>
  <c r="AX250" i="21398"/>
  <c r="M250" i="21398" s="1"/>
  <c r="AC178" i="2"/>
  <c r="M178" i="2"/>
  <c r="BC178" i="2" s="1"/>
  <c r="BA178" i="2"/>
  <c r="F180" i="2"/>
  <c r="AW180" i="2"/>
  <c r="AY180" i="2" s="1"/>
  <c r="C182" i="2"/>
  <c r="AX182" i="2" s="1"/>
  <c r="BB154" i="2"/>
  <c r="M154" i="2"/>
  <c r="BC154" i="2" s="1"/>
  <c r="BA154" i="2"/>
  <c r="AW115" i="21398"/>
  <c r="BC113" i="21398"/>
  <c r="BA113" i="21398"/>
  <c r="BA155" i="2"/>
  <c r="AW157" i="2"/>
  <c r="H341" i="21412"/>
  <c r="H339" i="21412"/>
  <c r="H343" i="21412"/>
  <c r="H340" i="21412"/>
  <c r="H338" i="21412"/>
  <c r="H342" i="21412"/>
  <c r="BC38" i="2"/>
  <c r="A9" i="21410"/>
  <c r="A10" i="21410"/>
  <c r="BD648" i="21398" s="1"/>
  <c r="A11" i="21410"/>
  <c r="BD650" i="21398" s="1"/>
  <c r="A12" i="21410"/>
  <c r="A13" i="21410"/>
  <c r="A14" i="21410"/>
  <c r="A15" i="21410"/>
  <c r="A16" i="21410"/>
  <c r="A17" i="21410"/>
  <c r="AT180" i="2"/>
  <c r="AQ179" i="2"/>
  <c r="BD642" i="21398" l="1"/>
  <c r="BD640" i="21398"/>
  <c r="BD644" i="21398"/>
  <c r="BD636" i="2"/>
  <c r="BD59" i="21417"/>
  <c r="BD834" i="21398"/>
  <c r="BD836" i="2"/>
  <c r="BD638" i="21398"/>
  <c r="BD648" i="2"/>
  <c r="BD658" i="2"/>
  <c r="BD13" i="21417"/>
  <c r="BD1190" i="21398"/>
  <c r="BD826" i="21398"/>
  <c r="BD832" i="2"/>
  <c r="BD822" i="2"/>
  <c r="BD828" i="2"/>
  <c r="BD830" i="21398"/>
  <c r="BD820" i="21398"/>
  <c r="BD826" i="2"/>
  <c r="BD824" i="21398"/>
  <c r="BD536" i="21398"/>
  <c r="BD536" i="2"/>
  <c r="BD57" i="21417"/>
  <c r="BD728" i="2"/>
  <c r="BD726" i="21398"/>
  <c r="AY250" i="21398"/>
  <c r="BA250" i="21398" s="1"/>
  <c r="BC250" i="21398"/>
  <c r="AW252" i="21398"/>
  <c r="C254" i="21398"/>
  <c r="AX252" i="21398"/>
  <c r="M252" i="21398" s="1"/>
  <c r="BD1106" i="21398"/>
  <c r="BD1030" i="21398"/>
  <c r="BD990" i="21398"/>
  <c r="BD702" i="21398"/>
  <c r="BD872" i="21398"/>
  <c r="BD780" i="21398"/>
  <c r="BD1238" i="21398"/>
  <c r="BD1068" i="21398"/>
  <c r="BD956" i="21398"/>
  <c r="BD676" i="21398"/>
  <c r="BD612" i="21398"/>
  <c r="BD388" i="21398"/>
  <c r="BD842" i="21398"/>
  <c r="BD548" i="21398"/>
  <c r="BD804" i="21398"/>
  <c r="BD734" i="21398"/>
  <c r="BD428" i="21398"/>
  <c r="BD362" i="21398"/>
  <c r="BD328" i="21398"/>
  <c r="BD272" i="21398"/>
  <c r="BD240" i="21398"/>
  <c r="BD120" i="21398"/>
  <c r="BD512" i="21398"/>
  <c r="BD82" i="21398"/>
  <c r="BD48" i="21398"/>
  <c r="BD1240" i="2"/>
  <c r="BD1070" i="2"/>
  <c r="BD958" i="2"/>
  <c r="BD844" i="2"/>
  <c r="BD806" i="2"/>
  <c r="BD388" i="2"/>
  <c r="BD48" i="2"/>
  <c r="BD704" i="2"/>
  <c r="BD512" i="2"/>
  <c r="BD120" i="2"/>
  <c r="BD1108" i="2"/>
  <c r="BD1032" i="2"/>
  <c r="BD992" i="2"/>
  <c r="BD874" i="2"/>
  <c r="BD782" i="2"/>
  <c r="BD82" i="2"/>
  <c r="BD736" i="2"/>
  <c r="BD428" i="2"/>
  <c r="BD362" i="2"/>
  <c r="BD328" i="2"/>
  <c r="BD678" i="2"/>
  <c r="BD612" i="2"/>
  <c r="BD272" i="2"/>
  <c r="BD548" i="2"/>
  <c r="BD240" i="2"/>
  <c r="BD15" i="21416"/>
  <c r="BD58" i="21415"/>
  <c r="BD38" i="21415"/>
  <c r="BD414" i="21398"/>
  <c r="BD936" i="21398"/>
  <c r="BD212" i="21398"/>
  <c r="BD144" i="2"/>
  <c r="BD934" i="21398"/>
  <c r="BD896" i="2"/>
  <c r="BD1260" i="2"/>
  <c r="BD1262" i="2"/>
  <c r="BD1258" i="2"/>
  <c r="BD1214" i="21398"/>
  <c r="BD1198" i="21398"/>
  <c r="BD1132" i="21398"/>
  <c r="BD1086" i="21398"/>
  <c r="BD1050" i="21398"/>
  <c r="BD1010" i="21398"/>
  <c r="BD970" i="21398"/>
  <c r="BD944" i="21398"/>
  <c r="BD792" i="21398"/>
  <c r="BD714" i="21398"/>
  <c r="BD690" i="21398"/>
  <c r="BD662" i="21398"/>
  <c r="BD1260" i="21398"/>
  <c r="BD1256" i="21398"/>
  <c r="BD888" i="21398"/>
  <c r="BD856" i="21398"/>
  <c r="BD794" i="21398"/>
  <c r="BD788" i="21398"/>
  <c r="BD768" i="21398"/>
  <c r="BD748" i="21398"/>
  <c r="BD1212" i="21398"/>
  <c r="BD1196" i="21398"/>
  <c r="BD1124" i="21398"/>
  <c r="BD1088" i="21398"/>
  <c r="BD1048" i="21398"/>
  <c r="BD1008" i="21398"/>
  <c r="BD972" i="21398"/>
  <c r="BD942" i="21398"/>
  <c r="BD790" i="21398"/>
  <c r="BD886" i="21398"/>
  <c r="BD854" i="21398"/>
  <c r="BD770" i="21398"/>
  <c r="BD628" i="21398"/>
  <c r="BD596" i="21398"/>
  <c r="BD408" i="21398"/>
  <c r="BD372" i="21398"/>
  <c r="BD352" i="21398"/>
  <c r="BD342" i="21398"/>
  <c r="BD314" i="21398"/>
  <c r="BD290" i="21398"/>
  <c r="BD258" i="21398"/>
  <c r="BD138" i="21398"/>
  <c r="BD664" i="21398"/>
  <c r="BD568" i="21398"/>
  <c r="BD526" i="21398"/>
  <c r="BD498" i="21398"/>
  <c r="BD416" i="21398"/>
  <c r="BD1258" i="21398"/>
  <c r="BD716" i="21398"/>
  <c r="BD684" i="21398"/>
  <c r="BD630" i="21398"/>
  <c r="BD598" i="21398"/>
  <c r="BD406" i="21398"/>
  <c r="BD374" i="21398"/>
  <c r="BD312" i="21398"/>
  <c r="BD288" i="21398"/>
  <c r="BD256" i="21398"/>
  <c r="BD224" i="21398"/>
  <c r="BD140" i="21398"/>
  <c r="BD524" i="21398"/>
  <c r="BD144" i="21398"/>
  <c r="BD100" i="21398"/>
  <c r="BD12" i="21398"/>
  <c r="BD10" i="21398"/>
  <c r="BD66" i="21398"/>
  <c r="BD34" i="21398"/>
  <c r="BD20" i="21398"/>
  <c r="BD570" i="21398"/>
  <c r="BD64" i="21398"/>
  <c r="BD36" i="21398"/>
  <c r="BD500" i="21398"/>
  <c r="BD98" i="21398"/>
  <c r="BD14" i="21398"/>
  <c r="BD212" i="2"/>
  <c r="BD1214" i="2"/>
  <c r="BD1198" i="2"/>
  <c r="BD1126" i="2"/>
  <c r="BD1090" i="2"/>
  <c r="BD1050" i="2"/>
  <c r="BD1010" i="2"/>
  <c r="BD974" i="2"/>
  <c r="BD888" i="2"/>
  <c r="BD856" i="2"/>
  <c r="BD772" i="2"/>
  <c r="BD664" i="2"/>
  <c r="BD638" i="2"/>
  <c r="BD630" i="2"/>
  <c r="BD598" i="2"/>
  <c r="BD372" i="2"/>
  <c r="BD352" i="2"/>
  <c r="BD342" i="2"/>
  <c r="BD314" i="2"/>
  <c r="BD290" i="2"/>
  <c r="BD258" i="2"/>
  <c r="BD222" i="2"/>
  <c r="BD64" i="2"/>
  <c r="BD936" i="2"/>
  <c r="BD794" i="2"/>
  <c r="BD716" i="2"/>
  <c r="BD570" i="2"/>
  <c r="BD524" i="2"/>
  <c r="BD500" i="2"/>
  <c r="BD216" i="2"/>
  <c r="BD100" i="2"/>
  <c r="BD1216" i="2"/>
  <c r="BD1200" i="2"/>
  <c r="BD1088" i="2"/>
  <c r="BD1052" i="2"/>
  <c r="BD1012" i="2"/>
  <c r="BD972" i="2"/>
  <c r="BD946" i="2"/>
  <c r="BD890" i="2"/>
  <c r="BD858" i="2"/>
  <c r="BD796" i="2"/>
  <c r="BD790" i="2"/>
  <c r="BD770" i="2"/>
  <c r="BD750" i="2"/>
  <c r="BD666" i="2"/>
  <c r="BD406" i="2"/>
  <c r="BD374" i="2"/>
  <c r="BD98" i="2"/>
  <c r="BD66" i="2"/>
  <c r="BD20" i="2"/>
  <c r="BD14" i="2"/>
  <c r="BD10" i="2"/>
  <c r="BD894" i="2"/>
  <c r="BD792" i="2"/>
  <c r="BD718" i="2"/>
  <c r="BD686" i="2"/>
  <c r="BD526" i="2"/>
  <c r="BD312" i="2"/>
  <c r="BD138" i="2"/>
  <c r="BD36" i="2"/>
  <c r="BD596" i="2"/>
  <c r="BD256" i="2"/>
  <c r="BD640" i="2"/>
  <c r="BD448" i="2"/>
  <c r="BD12" i="2"/>
  <c r="BD628" i="2"/>
  <c r="BD568" i="2"/>
  <c r="BD288" i="2"/>
  <c r="BD224" i="2"/>
  <c r="BD34" i="2"/>
  <c r="BD30" i="21399"/>
  <c r="BD26" i="21399"/>
  <c r="BD22" i="21399"/>
  <c r="BD18" i="21399"/>
  <c r="BD14" i="21399"/>
  <c r="BD56" i="21415"/>
  <c r="BD54" i="21415"/>
  <c r="BD52" i="21415"/>
  <c r="BD50" i="21415"/>
  <c r="BD48" i="21415"/>
  <c r="BD46" i="21415"/>
  <c r="BD44" i="21415"/>
  <c r="BD42" i="21415"/>
  <c r="BD32" i="21399"/>
  <c r="BD28" i="21399"/>
  <c r="BD24" i="21399"/>
  <c r="BD20" i="21399"/>
  <c r="BD16" i="21399"/>
  <c r="BD12" i="21399"/>
  <c r="BD898" i="2"/>
  <c r="BD1248" i="21398"/>
  <c r="BD1244" i="21398"/>
  <c r="BD1232" i="21398"/>
  <c r="BD1228" i="21398"/>
  <c r="BD1224" i="21398"/>
  <c r="BD1206" i="21398"/>
  <c r="BD1202" i="21398"/>
  <c r="BD1184" i="21398"/>
  <c r="BD1118" i="21398"/>
  <c r="BD1114" i="21398"/>
  <c r="BD1110" i="21398"/>
  <c r="BD1102" i="21398"/>
  <c r="BD1098" i="21398"/>
  <c r="BD1094" i="21398"/>
  <c r="BD1082" i="21398"/>
  <c r="BD1078" i="21398"/>
  <c r="BD1074" i="21398"/>
  <c r="BD1062" i="21398"/>
  <c r="BD1058" i="21398"/>
  <c r="BD1054" i="21398"/>
  <c r="BD1042" i="21398"/>
  <c r="BD1038" i="21398"/>
  <c r="BD1034" i="21398"/>
  <c r="BD1026" i="21398"/>
  <c r="BD1022" i="21398"/>
  <c r="BD1018" i="21398"/>
  <c r="BD1014" i="21398"/>
  <c r="BD1002" i="21398"/>
  <c r="BD998" i="21398"/>
  <c r="BD994" i="21398"/>
  <c r="BD986" i="21398"/>
  <c r="BD982" i="21398"/>
  <c r="BD978" i="21398"/>
  <c r="BD966" i="21398"/>
  <c r="BD962" i="21398"/>
  <c r="BD950" i="21398"/>
  <c r="BD740" i="21398"/>
  <c r="BD728" i="21398"/>
  <c r="BD722" i="21398"/>
  <c r="BD710" i="21398"/>
  <c r="BD706" i="21398"/>
  <c r="BD698" i="21398"/>
  <c r="BD694" i="21398"/>
  <c r="BD670" i="21398"/>
  <c r="BD892" i="21398"/>
  <c r="BD880" i="21398"/>
  <c r="BD876" i="21398"/>
  <c r="BD868" i="21398"/>
  <c r="BD864" i="21398"/>
  <c r="BD860" i="21398"/>
  <c r="BD848" i="21398"/>
  <c r="BD836" i="21398"/>
  <c r="BD814" i="21398"/>
  <c r="BD810" i="21398"/>
  <c r="BD798" i="21398"/>
  <c r="BD784" i="21398"/>
  <c r="BD776" i="21398"/>
  <c r="BD764" i="21398"/>
  <c r="BD760" i="21398"/>
  <c r="BD756" i="21398"/>
  <c r="BD752" i="21398"/>
  <c r="BD1250" i="21398"/>
  <c r="BD1246" i="21398"/>
  <c r="BD1242" i="21398"/>
  <c r="BD1234" i="21398"/>
  <c r="BD1230" i="21398"/>
  <c r="BD1226" i="21398"/>
  <c r="BD1222" i="21398"/>
  <c r="BD1208" i="21398"/>
  <c r="BD1204" i="21398"/>
  <c r="BD1192" i="21398"/>
  <c r="BD1120" i="21398"/>
  <c r="BD1116" i="21398"/>
  <c r="BD1112" i="21398"/>
  <c r="BD1100" i="21398"/>
  <c r="BD1096" i="21398"/>
  <c r="BD1092" i="21398"/>
  <c r="BD1080" i="21398"/>
  <c r="BD1076" i="21398"/>
  <c r="BD1072" i="21398"/>
  <c r="BD1064" i="21398"/>
  <c r="BD1060" i="21398"/>
  <c r="BD1056" i="21398"/>
  <c r="BD1044" i="21398"/>
  <c r="BD1040" i="21398"/>
  <c r="BD1036" i="21398"/>
  <c r="BD1024" i="21398"/>
  <c r="BD1020" i="21398"/>
  <c r="BD1016" i="21398"/>
  <c r="BD1004" i="21398"/>
  <c r="BD1000" i="21398"/>
  <c r="BD996" i="21398"/>
  <c r="BD984" i="21398"/>
  <c r="BD980" i="21398"/>
  <c r="BD976" i="21398"/>
  <c r="BD964" i="21398"/>
  <c r="BD960" i="21398"/>
  <c r="BD952" i="21398"/>
  <c r="BD838" i="21398"/>
  <c r="BD812" i="21398"/>
  <c r="BD754" i="21398"/>
  <c r="BD742" i="21398"/>
  <c r="BD724" i="21398"/>
  <c r="BD708" i="21398"/>
  <c r="BD656" i="21398"/>
  <c r="BD636" i="21398"/>
  <c r="BD624" i="21398"/>
  <c r="BD620" i="21398"/>
  <c r="BD616" i="21398"/>
  <c r="BD608" i="21398"/>
  <c r="BD604" i="21398"/>
  <c r="BD442" i="21398"/>
  <c r="BD438" i="21398"/>
  <c r="BD434" i="21398"/>
  <c r="BD422" i="21398"/>
  <c r="BD412" i="21398"/>
  <c r="BD400" i="21398"/>
  <c r="BD396" i="21398"/>
  <c r="BD392" i="21398"/>
  <c r="BD384" i="21398"/>
  <c r="BD380" i="21398"/>
  <c r="BD368" i="21398"/>
  <c r="BD356" i="21398"/>
  <c r="BD338" i="21398"/>
  <c r="BD334" i="21398"/>
  <c r="BD322" i="21398"/>
  <c r="BD318" i="21398"/>
  <c r="BD306" i="21398"/>
  <c r="BD294" i="21398"/>
  <c r="BD282" i="21398"/>
  <c r="BD278" i="21398"/>
  <c r="BD266" i="21398"/>
  <c r="BD262" i="21398"/>
  <c r="BD250" i="21398"/>
  <c r="BD246" i="21398"/>
  <c r="BD234" i="21398"/>
  <c r="BD230" i="21398"/>
  <c r="BD134" i="21398"/>
  <c r="BD132" i="21398"/>
  <c r="BD800" i="21398"/>
  <c r="BD774" i="21398"/>
  <c r="BD758" i="21398"/>
  <c r="BD730" i="21398"/>
  <c r="BD696" i="21398"/>
  <c r="BD680" i="21398"/>
  <c r="BD576" i="21398"/>
  <c r="BD564" i="21398"/>
  <c r="BD560" i="21398"/>
  <c r="BD556" i="21398"/>
  <c r="BD552" i="21398"/>
  <c r="BD544" i="21398"/>
  <c r="BD540" i="21398"/>
  <c r="BD534" i="21398"/>
  <c r="BD530" i="21398"/>
  <c r="BD518" i="21398"/>
  <c r="BD506" i="21398"/>
  <c r="BD216" i="21398"/>
  <c r="BD894" i="21398"/>
  <c r="BD878" i="21398"/>
  <c r="BD862" i="21398"/>
  <c r="BD846" i="21398"/>
  <c r="BD762" i="21398"/>
  <c r="BD668" i="21398"/>
  <c r="BD634" i="21398"/>
  <c r="BD622" i="21398"/>
  <c r="BD618" i="21398"/>
  <c r="BD606" i="21398"/>
  <c r="BD602" i="21398"/>
  <c r="BD444" i="21398"/>
  <c r="BD440" i="21398"/>
  <c r="BD436" i="21398"/>
  <c r="BD432" i="21398"/>
  <c r="BD424" i="21398"/>
  <c r="BD420" i="21398"/>
  <c r="BD402" i="21398"/>
  <c r="BD398" i="21398"/>
  <c r="BD394" i="21398"/>
  <c r="BD382" i="21398"/>
  <c r="BD378" i="21398"/>
  <c r="BD366" i="21398"/>
  <c r="BD358" i="21398"/>
  <c r="BD336" i="21398"/>
  <c r="BD332" i="21398"/>
  <c r="BD324" i="21398"/>
  <c r="BD320" i="21398"/>
  <c r="BD308" i="21398"/>
  <c r="BD304" i="21398"/>
  <c r="BD296" i="21398"/>
  <c r="BD284" i="21398"/>
  <c r="BD280" i="21398"/>
  <c r="BD276" i="21398"/>
  <c r="BD268" i="21398"/>
  <c r="BD264" i="21398"/>
  <c r="BD252" i="21398"/>
  <c r="BD248" i="21398"/>
  <c r="BD244" i="21398"/>
  <c r="BD236" i="21398"/>
  <c r="BD232" i="21398"/>
  <c r="BD228" i="21398"/>
  <c r="BD850" i="21398"/>
  <c r="BD720" i="21398"/>
  <c r="BD574" i="21398"/>
  <c r="BD558" i="21398"/>
  <c r="BD542" i="21398"/>
  <c r="BD508" i="21398"/>
  <c r="BD128" i="21398"/>
  <c r="BD124" i="21398"/>
  <c r="BD116" i="21398"/>
  <c r="BD112" i="21398"/>
  <c r="BD108" i="21398"/>
  <c r="BD104" i="21398"/>
  <c r="BD126" i="21398"/>
  <c r="BD106" i="21398"/>
  <c r="BD94" i="21398"/>
  <c r="BD866" i="21398"/>
  <c r="BD554" i="21398"/>
  <c r="BD538" i="21398"/>
  <c r="BD504" i="21398"/>
  <c r="BD52" i="21398"/>
  <c r="BD44" i="21398"/>
  <c r="BD578" i="21398"/>
  <c r="BD562" i="21398"/>
  <c r="BD218" i="21398"/>
  <c r="BD90" i="21398"/>
  <c r="BD86" i="21398"/>
  <c r="BD78" i="21398"/>
  <c r="BD74" i="21398"/>
  <c r="BD70" i="21398"/>
  <c r="BD58" i="21398"/>
  <c r="BD54" i="21398"/>
  <c r="BD42" i="21398"/>
  <c r="BD30" i="21398"/>
  <c r="BD26" i="21398"/>
  <c r="BD130" i="21398"/>
  <c r="BD110" i="21398"/>
  <c r="BD738" i="21398"/>
  <c r="BD672" i="21398"/>
  <c r="BD72" i="21398"/>
  <c r="BD882" i="21398"/>
  <c r="BD808" i="21398"/>
  <c r="BD532" i="21398"/>
  <c r="BD516" i="21398"/>
  <c r="BD114" i="21398"/>
  <c r="BD520" i="21398"/>
  <c r="BD88" i="21398"/>
  <c r="BD76" i="21398"/>
  <c r="BD60" i="21398"/>
  <c r="BD56" i="21398"/>
  <c r="BD40" i="21398"/>
  <c r="BD28" i="21398"/>
  <c r="BD1252" i="2"/>
  <c r="BD1248" i="2"/>
  <c r="BD1244" i="2"/>
  <c r="BD1236" i="2"/>
  <c r="BD1232" i="2"/>
  <c r="BD1228" i="2"/>
  <c r="BD1224" i="2"/>
  <c r="BD1210" i="2"/>
  <c r="BD1206" i="2"/>
  <c r="BD1194" i="2"/>
  <c r="BD1122" i="2"/>
  <c r="BD1118" i="2"/>
  <c r="BD1114" i="2"/>
  <c r="BD1102" i="2"/>
  <c r="BD1098" i="2"/>
  <c r="BD1094" i="2"/>
  <c r="BD1082" i="2"/>
  <c r="BD1078" i="2"/>
  <c r="BD1074" i="2"/>
  <c r="BD1066" i="2"/>
  <c r="BD1062" i="2"/>
  <c r="BD1058" i="2"/>
  <c r="BD1046" i="2"/>
  <c r="BD1042" i="2"/>
  <c r="BD1038" i="2"/>
  <c r="BD1026" i="2"/>
  <c r="BD1022" i="2"/>
  <c r="BD1018" i="2"/>
  <c r="BD1006" i="2"/>
  <c r="BD1002" i="2"/>
  <c r="BD998" i="2"/>
  <c r="BD986" i="2"/>
  <c r="BD982" i="2"/>
  <c r="BD978" i="2"/>
  <c r="BD966" i="2"/>
  <c r="BD962" i="2"/>
  <c r="BD954" i="2"/>
  <c r="BD884" i="2"/>
  <c r="BD880" i="2"/>
  <c r="BD868" i="2"/>
  <c r="BD864" i="2"/>
  <c r="BD852" i="2"/>
  <c r="BD848" i="2"/>
  <c r="BD840" i="2"/>
  <c r="BD814" i="2"/>
  <c r="BD810" i="2"/>
  <c r="BD802" i="2"/>
  <c r="BD776" i="2"/>
  <c r="BD764" i="2"/>
  <c r="BD760" i="2"/>
  <c r="BD756" i="2"/>
  <c r="BD672" i="2"/>
  <c r="BD660" i="2"/>
  <c r="BD650" i="2"/>
  <c r="BD634" i="2"/>
  <c r="BD622" i="2"/>
  <c r="BD618" i="2"/>
  <c r="BD606" i="2"/>
  <c r="BD602" i="2"/>
  <c r="BD400" i="2"/>
  <c r="BD396" i="2"/>
  <c r="BD392" i="2"/>
  <c r="BD384" i="2"/>
  <c r="BD380" i="2"/>
  <c r="BD368" i="2"/>
  <c r="BD356" i="2"/>
  <c r="BD338" i="2"/>
  <c r="BD334" i="2"/>
  <c r="BD322" i="2"/>
  <c r="BD318" i="2"/>
  <c r="BD306" i="2"/>
  <c r="BD294" i="2"/>
  <c r="BD282" i="2"/>
  <c r="BD278" i="2"/>
  <c r="BD266" i="2"/>
  <c r="BD262" i="2"/>
  <c r="BD250" i="2"/>
  <c r="BD246" i="2"/>
  <c r="BD234" i="2"/>
  <c r="BD230" i="2"/>
  <c r="BD88" i="2"/>
  <c r="BD76" i="2"/>
  <c r="BD72" i="2"/>
  <c r="BD60" i="2"/>
  <c r="BD56" i="2"/>
  <c r="BD52" i="2"/>
  <c r="BD1134" i="2"/>
  <c r="BD742" i="2"/>
  <c r="BD730" i="2"/>
  <c r="BD724" i="2"/>
  <c r="BD712" i="2"/>
  <c r="BD708" i="2"/>
  <c r="BD700" i="2"/>
  <c r="BD696" i="2"/>
  <c r="BD578" i="2"/>
  <c r="BD574" i="2"/>
  <c r="BD562" i="2"/>
  <c r="BD558" i="2"/>
  <c r="BD554" i="2"/>
  <c r="BD542" i="2"/>
  <c r="BD538" i="2"/>
  <c r="BD532" i="2"/>
  <c r="BD520" i="2"/>
  <c r="BD516" i="2"/>
  <c r="BD508" i="2"/>
  <c r="BD504" i="2"/>
  <c r="BD442" i="2"/>
  <c r="BD438" i="2"/>
  <c r="BD434" i="2"/>
  <c r="BD422" i="2"/>
  <c r="BD418" i="2"/>
  <c r="BD414" i="2"/>
  <c r="BD134" i="2"/>
  <c r="BD132" i="2"/>
  <c r="BD128" i="2"/>
  <c r="BD124" i="2"/>
  <c r="BD116" i="2"/>
  <c r="BD112" i="2"/>
  <c r="BD108" i="2"/>
  <c r="BD104" i="2"/>
  <c r="BD1250" i="2"/>
  <c r="BD1246" i="2"/>
  <c r="BD1234" i="2"/>
  <c r="BD1230" i="2"/>
  <c r="BD1226" i="2"/>
  <c r="BD1208" i="2"/>
  <c r="BD1204" i="2"/>
  <c r="BD1192" i="2"/>
  <c r="BD1120" i="2"/>
  <c r="BD1116" i="2"/>
  <c r="BD1112" i="2"/>
  <c r="BD1104" i="2"/>
  <c r="BD1100" i="2"/>
  <c r="BD1096" i="2"/>
  <c r="BD1084" i="2"/>
  <c r="BD1080" i="2"/>
  <c r="BD1076" i="2"/>
  <c r="BD1064" i="2"/>
  <c r="BD1060" i="2"/>
  <c r="BD1056" i="2"/>
  <c r="BD1044" i="2"/>
  <c r="BD1040" i="2"/>
  <c r="BD1036" i="2"/>
  <c r="BD1028" i="2"/>
  <c r="BD1024" i="2"/>
  <c r="BD1020" i="2"/>
  <c r="BD1016" i="2"/>
  <c r="BD1004" i="2"/>
  <c r="BD1000" i="2"/>
  <c r="BD996" i="2"/>
  <c r="BD988" i="2"/>
  <c r="BD984" i="2"/>
  <c r="BD980" i="2"/>
  <c r="BD968" i="2"/>
  <c r="BD964" i="2"/>
  <c r="BD952" i="2"/>
  <c r="BD882" i="2"/>
  <c r="BD878" i="2"/>
  <c r="BD870" i="2"/>
  <c r="BD866" i="2"/>
  <c r="BD862" i="2"/>
  <c r="BD850" i="2"/>
  <c r="BD838" i="2"/>
  <c r="BD816" i="2"/>
  <c r="BD812" i="2"/>
  <c r="BD800" i="2"/>
  <c r="BD786" i="2"/>
  <c r="BD778" i="2"/>
  <c r="BD766" i="2"/>
  <c r="BD762" i="2"/>
  <c r="BD758" i="2"/>
  <c r="BD754" i="2"/>
  <c r="BD1132" i="2"/>
  <c r="BD732" i="2"/>
  <c r="BD698" i="2"/>
  <c r="BD682" i="2"/>
  <c r="BD616" i="2"/>
  <c r="BD556" i="2"/>
  <c r="BD540" i="2"/>
  <c r="BD506" i="2"/>
  <c r="BD440" i="2"/>
  <c r="BD424" i="2"/>
  <c r="BD358" i="2"/>
  <c r="BD324" i="2"/>
  <c r="BD308" i="2"/>
  <c r="BD276" i="2"/>
  <c r="BD244" i="2"/>
  <c r="BD228" i="2"/>
  <c r="BD130" i="2"/>
  <c r="BD114" i="2"/>
  <c r="BD30" i="2"/>
  <c r="BD670" i="2"/>
  <c r="BD620" i="2"/>
  <c r="BD604" i="2"/>
  <c r="BD576" i="2"/>
  <c r="BD560" i="2"/>
  <c r="BD544" i="2"/>
  <c r="BD476" i="2"/>
  <c r="BD444" i="2"/>
  <c r="BD394" i="2"/>
  <c r="BD378" i="2"/>
  <c r="BD296" i="2"/>
  <c r="BD280" i="2"/>
  <c r="BD264" i="2"/>
  <c r="BD248" i="2"/>
  <c r="BD232" i="2"/>
  <c r="BD86" i="2"/>
  <c r="BD70" i="2"/>
  <c r="BD54" i="2"/>
  <c r="BD44" i="2"/>
  <c r="BD40" i="2"/>
  <c r="BD28" i="2"/>
  <c r="BD744" i="2"/>
  <c r="BD552" i="2"/>
  <c r="BD534" i="2"/>
  <c r="BD518" i="2"/>
  <c r="BD402" i="2"/>
  <c r="BD740" i="2"/>
  <c r="BD722" i="2"/>
  <c r="BD674" i="2"/>
  <c r="BD624" i="2"/>
  <c r="BD608" i="2"/>
  <c r="BD564" i="2"/>
  <c r="BD530" i="2"/>
  <c r="BD432" i="2"/>
  <c r="BD416" i="2"/>
  <c r="BD398" i="2"/>
  <c r="BD382" i="2"/>
  <c r="BD366" i="2"/>
  <c r="BD332" i="2"/>
  <c r="BD284" i="2"/>
  <c r="BD268" i="2"/>
  <c r="BD252" i="2"/>
  <c r="BD236" i="2"/>
  <c r="BD106" i="2"/>
  <c r="BD90" i="2"/>
  <c r="BD74" i="2"/>
  <c r="BD58" i="2"/>
  <c r="BD726" i="2"/>
  <c r="BD710" i="2"/>
  <c r="BD644" i="2"/>
  <c r="BD436" i="2"/>
  <c r="BD420" i="2"/>
  <c r="BD336" i="2"/>
  <c r="BD320" i="2"/>
  <c r="BD304" i="2"/>
  <c r="BD126" i="2"/>
  <c r="BD110" i="2"/>
  <c r="BD94" i="2"/>
  <c r="BD78" i="2"/>
  <c r="BD42" i="2"/>
  <c r="BD26" i="2"/>
  <c r="BD54" i="21413"/>
  <c r="BD418" i="21398"/>
  <c r="BD938" i="21398"/>
  <c r="BD214" i="21398"/>
  <c r="BD1130" i="21398"/>
  <c r="BD1272" i="2"/>
  <c r="BD1254" i="2"/>
  <c r="BD1252" i="21398"/>
  <c r="BD1210" i="21398"/>
  <c r="BD1194" i="21398"/>
  <c r="BD1122" i="21398"/>
  <c r="BD1090" i="21398"/>
  <c r="BD1046" i="21398"/>
  <c r="BD1006" i="21398"/>
  <c r="BD974" i="21398"/>
  <c r="BD940" i="21398"/>
  <c r="BD744" i="21398"/>
  <c r="BD718" i="21398"/>
  <c r="BD682" i="21398"/>
  <c r="BD666" i="21398"/>
  <c r="BD884" i="21398"/>
  <c r="BD852" i="21398"/>
  <c r="BD772" i="21398"/>
  <c r="BD1220" i="21398"/>
  <c r="BD1200" i="21398"/>
  <c r="BD1084" i="21398"/>
  <c r="BD1052" i="21398"/>
  <c r="BD1012" i="21398"/>
  <c r="BD968" i="21398"/>
  <c r="BD796" i="21398"/>
  <c r="BD786" i="21398"/>
  <c r="BD692" i="21398"/>
  <c r="BD660" i="21398"/>
  <c r="BD632" i="21398"/>
  <c r="BD600" i="21398"/>
  <c r="BD446" i="21398"/>
  <c r="BD404" i="21398"/>
  <c r="BD376" i="21398"/>
  <c r="BD310" i="21398"/>
  <c r="BD286" i="21398"/>
  <c r="BD254" i="21398"/>
  <c r="BD226" i="21398"/>
  <c r="BD1128" i="21398"/>
  <c r="BD890" i="21398"/>
  <c r="BD858" i="21398"/>
  <c r="BD816" i="21398"/>
  <c r="BD712" i="21398"/>
  <c r="BD572" i="21398"/>
  <c r="BD522" i="21398"/>
  <c r="BD502" i="21398"/>
  <c r="BD220" i="21398"/>
  <c r="BD626" i="21398"/>
  <c r="BD594" i="21398"/>
  <c r="BD410" i="21398"/>
  <c r="BD370" i="21398"/>
  <c r="BD354" i="21398"/>
  <c r="BD340" i="21398"/>
  <c r="BD316" i="21398"/>
  <c r="BD292" i="21398"/>
  <c r="BD260" i="21398"/>
  <c r="BD136" i="21398"/>
  <c r="BD750" i="21398"/>
  <c r="BD96" i="21398"/>
  <c r="BD766" i="21398"/>
  <c r="BD68" i="21398"/>
  <c r="BD32" i="21398"/>
  <c r="BD528" i="21398"/>
  <c r="BD62" i="21398"/>
  <c r="BD38" i="21398"/>
  <c r="BD6" i="21398"/>
  <c r="BD102" i="21398"/>
  <c r="BD1270" i="21398"/>
  <c r="BD24" i="21398"/>
  <c r="BD566" i="21398"/>
  <c r="BD218" i="2"/>
  <c r="BD1222" i="2"/>
  <c r="BD1202" i="2"/>
  <c r="BD1086" i="2"/>
  <c r="BD1054" i="2"/>
  <c r="BD1014" i="2"/>
  <c r="BD970" i="2"/>
  <c r="BD860" i="2"/>
  <c r="BD818" i="2"/>
  <c r="BD798" i="2"/>
  <c r="BD788" i="2"/>
  <c r="BD768" i="2"/>
  <c r="BD752" i="2"/>
  <c r="BD684" i="2"/>
  <c r="BD668" i="2"/>
  <c r="BD642" i="2"/>
  <c r="BD626" i="2"/>
  <c r="BD594" i="2"/>
  <c r="BD404" i="2"/>
  <c r="BD376" i="2"/>
  <c r="BD310" i="2"/>
  <c r="BD286" i="2"/>
  <c r="BD254" i="2"/>
  <c r="BD226" i="2"/>
  <c r="BD68" i="2"/>
  <c r="BD1130" i="2"/>
  <c r="BD746" i="2"/>
  <c r="BD720" i="2"/>
  <c r="BD566" i="2"/>
  <c r="BD528" i="2"/>
  <c r="BD446" i="2"/>
  <c r="BD96" i="2"/>
  <c r="BD1212" i="2"/>
  <c r="BD1196" i="2"/>
  <c r="BD1124" i="2"/>
  <c r="BD1092" i="2"/>
  <c r="BD1048" i="2"/>
  <c r="BD1008" i="2"/>
  <c r="BD976" i="2"/>
  <c r="BD886" i="2"/>
  <c r="BD854" i="2"/>
  <c r="BD774" i="2"/>
  <c r="BD714" i="2"/>
  <c r="BD600" i="2"/>
  <c r="BD572" i="2"/>
  <c r="BD522" i="2"/>
  <c r="BD340" i="2"/>
  <c r="BD292" i="2"/>
  <c r="BD260" i="2"/>
  <c r="BD6" i="2"/>
  <c r="BD932" i="2"/>
  <c r="BD102" i="2"/>
  <c r="BD32" i="2"/>
  <c r="BD24" i="2"/>
  <c r="BD662" i="2"/>
  <c r="BD502" i="2"/>
  <c r="BD370" i="2"/>
  <c r="BD38" i="2"/>
  <c r="BD938" i="2"/>
  <c r="BD316" i="2"/>
  <c r="BD220" i="2"/>
  <c r="BD694" i="2"/>
  <c r="BD354" i="2"/>
  <c r="BD62" i="2"/>
  <c r="BD10" i="21415"/>
  <c r="BD896" i="21398"/>
  <c r="BD494" i="2"/>
  <c r="BD142" i="2"/>
  <c r="BD448" i="21398"/>
  <c r="BD214" i="2"/>
  <c r="BD686" i="21398"/>
  <c r="BD346" i="21398"/>
  <c r="BD348" i="21398"/>
  <c r="BD688" i="21398"/>
  <c r="BD688" i="2"/>
  <c r="BD346" i="2"/>
  <c r="BD348" i="2"/>
  <c r="BD690" i="2"/>
  <c r="BD1240" i="21398"/>
  <c r="BD1236" i="21398"/>
  <c r="BD1070" i="21398"/>
  <c r="BD1066" i="21398"/>
  <c r="BD958" i="21398"/>
  <c r="BD954" i="21398"/>
  <c r="BD736" i="21398"/>
  <c r="BD732" i="21398"/>
  <c r="BD678" i="21398"/>
  <c r="BD674" i="21398"/>
  <c r="BD844" i="21398"/>
  <c r="BD840" i="21398"/>
  <c r="BD806" i="21398"/>
  <c r="BD802" i="21398"/>
  <c r="BD1108" i="21398"/>
  <c r="BD1104" i="21398"/>
  <c r="BD1032" i="21398"/>
  <c r="BD1028" i="21398"/>
  <c r="BD992" i="21398"/>
  <c r="BD988" i="21398"/>
  <c r="BD870" i="21398"/>
  <c r="BD430" i="21398"/>
  <c r="BD426" i="21398"/>
  <c r="BD364" i="21398"/>
  <c r="BD360" i="21398"/>
  <c r="BD330" i="21398"/>
  <c r="BD326" i="21398"/>
  <c r="BD302" i="21398"/>
  <c r="BD298" i="21398"/>
  <c r="BD274" i="21398"/>
  <c r="BD270" i="21398"/>
  <c r="BD242" i="21398"/>
  <c r="BD238" i="21398"/>
  <c r="BD874" i="21398"/>
  <c r="BD580" i="21398"/>
  <c r="BD514" i="21398"/>
  <c r="BD510" i="21398"/>
  <c r="BD778" i="21398"/>
  <c r="BD700" i="21398"/>
  <c r="BD614" i="21398"/>
  <c r="BD610" i="21398"/>
  <c r="BD390" i="21398"/>
  <c r="BD386" i="21398"/>
  <c r="BD118" i="21398"/>
  <c r="BD80" i="21398"/>
  <c r="BD704" i="21398"/>
  <c r="BD546" i="21398"/>
  <c r="BD50" i="21398"/>
  <c r="BD46" i="21398"/>
  <c r="BD122" i="21398"/>
  <c r="BD84" i="21398"/>
  <c r="BD782" i="21398"/>
  <c r="BD550" i="21398"/>
  <c r="BD1110" i="2"/>
  <c r="BD1106" i="2"/>
  <c r="BD1034" i="2"/>
  <c r="BD1030" i="2"/>
  <c r="BD994" i="2"/>
  <c r="BD990" i="2"/>
  <c r="BD876" i="2"/>
  <c r="BD872" i="2"/>
  <c r="BD784" i="2"/>
  <c r="BD780" i="2"/>
  <c r="BD680" i="2"/>
  <c r="BD676" i="2"/>
  <c r="BD614" i="2"/>
  <c r="BD610" i="2"/>
  <c r="BD364" i="2"/>
  <c r="BD360" i="2"/>
  <c r="BD330" i="2"/>
  <c r="BD326" i="2"/>
  <c r="BD302" i="2"/>
  <c r="BD298" i="2"/>
  <c r="BD274" i="2"/>
  <c r="BD270" i="2"/>
  <c r="BD242" i="2"/>
  <c r="BD238" i="2"/>
  <c r="BD84" i="2"/>
  <c r="BD80" i="2"/>
  <c r="BD738" i="2"/>
  <c r="BD734" i="2"/>
  <c r="BD550" i="2"/>
  <c r="BD546" i="2"/>
  <c r="BD430" i="2"/>
  <c r="BD426" i="2"/>
  <c r="BD1242" i="2"/>
  <c r="BD1238" i="2"/>
  <c r="BD1186" i="2"/>
  <c r="BD1072" i="2"/>
  <c r="BD1068" i="2"/>
  <c r="BD960" i="2"/>
  <c r="BD956" i="2"/>
  <c r="BD846" i="2"/>
  <c r="BD842" i="2"/>
  <c r="BD808" i="2"/>
  <c r="BD804" i="2"/>
  <c r="BD390" i="2"/>
  <c r="BD50" i="2"/>
  <c r="BD702" i="2"/>
  <c r="BD510" i="2"/>
  <c r="BD118" i="2"/>
  <c r="BD46" i="2"/>
  <c r="BD706" i="2"/>
  <c r="BD580" i="2"/>
  <c r="BD514" i="2"/>
  <c r="BD122" i="2"/>
  <c r="BD386" i="2"/>
  <c r="AC180" i="2"/>
  <c r="AW182" i="2"/>
  <c r="AZ182" i="2" s="1"/>
  <c r="C184" i="2"/>
  <c r="AX184" i="2" s="1"/>
  <c r="J182" i="2"/>
  <c r="F182" i="2"/>
  <c r="BA180" i="2"/>
  <c r="M180" i="2"/>
  <c r="BC180" i="2" s="1"/>
  <c r="BC115" i="21398"/>
  <c r="BA115" i="21398"/>
  <c r="AW117" i="21398"/>
  <c r="AZ117" i="21398" s="1"/>
  <c r="BB117" i="21398" s="1"/>
  <c r="BA157" i="2"/>
  <c r="AW159" i="2"/>
  <c r="BC40" i="2"/>
  <c r="N361" i="21408"/>
  <c r="M361" i="21408"/>
  <c r="K361" i="21408"/>
  <c r="J361" i="21408"/>
  <c r="H361" i="21408"/>
  <c r="N355" i="21408"/>
  <c r="M355" i="21408"/>
  <c r="K355" i="21408"/>
  <c r="J355" i="21408"/>
  <c r="I355" i="21408"/>
  <c r="H355" i="21408"/>
  <c r="N341" i="21408"/>
  <c r="M341" i="21408"/>
  <c r="K341" i="21408"/>
  <c r="J341" i="21408"/>
  <c r="I341" i="21408"/>
  <c r="H341" i="21408"/>
  <c r="N337" i="21408"/>
  <c r="M337" i="21408"/>
  <c r="K337" i="21408"/>
  <c r="J337" i="21408"/>
  <c r="I337" i="21408"/>
  <c r="H337" i="21408"/>
  <c r="N332" i="21408"/>
  <c r="M332" i="21408"/>
  <c r="K332" i="21408"/>
  <c r="I332" i="21408"/>
  <c r="J332" i="21408"/>
  <c r="H332" i="21408"/>
  <c r="I330" i="21408"/>
  <c r="J330" i="21408"/>
  <c r="K330" i="21408"/>
  <c r="M330" i="21408"/>
  <c r="N330" i="21408"/>
  <c r="H330" i="21408"/>
  <c r="AO38" i="21411"/>
  <c r="AO27" i="21411"/>
  <c r="AO26" i="21411"/>
  <c r="AO24" i="21411"/>
  <c r="AO21" i="21411"/>
  <c r="AO20" i="21411"/>
  <c r="AO19" i="21411"/>
  <c r="AO18" i="21411"/>
  <c r="AO17" i="21411"/>
  <c r="AO16" i="21411"/>
  <c r="AO12" i="21411"/>
  <c r="AO9" i="21411"/>
  <c r="AO8" i="21411"/>
  <c r="AO7" i="21411"/>
  <c r="AO6" i="21411"/>
  <c r="AO5" i="21411"/>
  <c r="AI38" i="21411"/>
  <c r="AI27" i="21411"/>
  <c r="AI26" i="21411"/>
  <c r="AI24" i="21411"/>
  <c r="AI21" i="21411"/>
  <c r="AI20" i="21411"/>
  <c r="AI19" i="21411"/>
  <c r="AI18" i="21411"/>
  <c r="AI17" i="21411"/>
  <c r="AI16" i="21411"/>
  <c r="AI12" i="21411"/>
  <c r="AI9" i="21411"/>
  <c r="AI8" i="21411"/>
  <c r="AI7" i="21411"/>
  <c r="AI6" i="21411"/>
  <c r="AI5" i="21411"/>
  <c r="AC38" i="21411"/>
  <c r="AC27" i="21411"/>
  <c r="AC26" i="21411"/>
  <c r="AC24" i="21411"/>
  <c r="AC21" i="21411"/>
  <c r="AC20" i="21411"/>
  <c r="AC19" i="21411"/>
  <c r="AC18" i="21411"/>
  <c r="AC17" i="21411"/>
  <c r="AC16" i="21411"/>
  <c r="AC12" i="21411"/>
  <c r="AC9" i="21411"/>
  <c r="AC8" i="21411"/>
  <c r="AC7" i="21411"/>
  <c r="AC6" i="21411"/>
  <c r="AC5" i="21411"/>
  <c r="W38" i="21411"/>
  <c r="W27" i="21411"/>
  <c r="W26" i="21411"/>
  <c r="W24" i="21411"/>
  <c r="W21" i="21411"/>
  <c r="W20" i="21411"/>
  <c r="W19" i="21411"/>
  <c r="W18" i="21411"/>
  <c r="W17" i="21411"/>
  <c r="W16" i="21411"/>
  <c r="W12" i="21411"/>
  <c r="W9" i="21411"/>
  <c r="W8" i="21411"/>
  <c r="W7" i="21411"/>
  <c r="W6" i="21411"/>
  <c r="W5" i="21411"/>
  <c r="Q38" i="21411"/>
  <c r="Q27" i="21411"/>
  <c r="Q26" i="21411"/>
  <c r="Q24" i="21411"/>
  <c r="Q21" i="21411"/>
  <c r="Q20" i="21411"/>
  <c r="Q19" i="21411"/>
  <c r="Q18" i="21411"/>
  <c r="Q17" i="21411"/>
  <c r="Q16" i="21411"/>
  <c r="Q12" i="21411"/>
  <c r="Q9" i="21411"/>
  <c r="Q8" i="21411"/>
  <c r="Q7" i="21411"/>
  <c r="Q6" i="21411"/>
  <c r="Q5" i="21411"/>
  <c r="AT182" i="2"/>
  <c r="AQ181" i="2"/>
  <c r="C256" i="21398" l="1"/>
  <c r="AW254" i="21398"/>
  <c r="J253" i="21398"/>
  <c r="AX253" i="21398" s="1"/>
  <c r="AX254" i="21398"/>
  <c r="M254" i="21398" s="1"/>
  <c r="AY252" i="21398"/>
  <c r="BA252" i="21398" s="1"/>
  <c r="BC252" i="21398"/>
  <c r="AY182" i="2"/>
  <c r="BA182" i="2" s="1"/>
  <c r="AC182" i="2"/>
  <c r="G337" i="21408"/>
  <c r="G355" i="21408"/>
  <c r="G330" i="21408"/>
  <c r="G332" i="21408"/>
  <c r="G341" i="21408"/>
  <c r="C186" i="2"/>
  <c r="AX186" i="2" s="1"/>
  <c r="AW184" i="2"/>
  <c r="AY184" i="2" s="1"/>
  <c r="J183" i="2"/>
  <c r="AX183" i="2" s="1"/>
  <c r="F184" i="2"/>
  <c r="M182" i="2"/>
  <c r="BC182" i="2" s="1"/>
  <c r="BB182" i="2"/>
  <c r="AW116" i="21398"/>
  <c r="AY116" i="21398" s="1"/>
  <c r="BC117" i="21398"/>
  <c r="BA117" i="21398"/>
  <c r="AW119" i="21398"/>
  <c r="AW161" i="2"/>
  <c r="AZ161" i="2" s="1"/>
  <c r="BB161" i="2" s="1"/>
  <c r="BA159" i="2"/>
  <c r="Q10" i="21411"/>
  <c r="I293" i="21408" s="1"/>
  <c r="Q35" i="21411"/>
  <c r="W35" i="21411"/>
  <c r="AC35" i="21411"/>
  <c r="AI10" i="21411"/>
  <c r="M293" i="21408" s="1"/>
  <c r="AI35" i="21411"/>
  <c r="AO35" i="21411"/>
  <c r="BC42" i="2"/>
  <c r="W22" i="21411"/>
  <c r="W10" i="21411"/>
  <c r="AC10" i="21411"/>
  <c r="K293" i="21408" s="1"/>
  <c r="AO10" i="21411"/>
  <c r="N293" i="21408" s="1"/>
  <c r="Q22" i="21411"/>
  <c r="I294" i="21408" s="1"/>
  <c r="AC22" i="21411"/>
  <c r="K294" i="21408" s="1"/>
  <c r="AI22" i="21411"/>
  <c r="M294" i="21408" s="1"/>
  <c r="AO22" i="21411"/>
  <c r="N294" i="21408" s="1"/>
  <c r="M257" i="21408"/>
  <c r="N101" i="21408"/>
  <c r="M101" i="21408"/>
  <c r="K101" i="21408"/>
  <c r="J101" i="21408"/>
  <c r="I101" i="21408"/>
  <c r="H101" i="21408"/>
  <c r="N100" i="21408"/>
  <c r="M100" i="21408"/>
  <c r="K100" i="21408"/>
  <c r="J100" i="21408"/>
  <c r="I100" i="21408"/>
  <c r="H100" i="21408"/>
  <c r="N99" i="21408"/>
  <c r="M99" i="21408"/>
  <c r="K99" i="21408"/>
  <c r="J99" i="21408"/>
  <c r="I99" i="21408"/>
  <c r="H99" i="21408"/>
  <c r="N98" i="21408"/>
  <c r="M98" i="21408"/>
  <c r="K98" i="21408"/>
  <c r="J98" i="21408"/>
  <c r="I98" i="21408"/>
  <c r="H98" i="21408"/>
  <c r="AQ183" i="2"/>
  <c r="AT184" i="2"/>
  <c r="J293" i="21408" l="1"/>
  <c r="Q293" i="21408"/>
  <c r="P293" i="21408"/>
  <c r="O293" i="21408"/>
  <c r="L293" i="21408"/>
  <c r="J294" i="21408"/>
  <c r="Q294" i="21408"/>
  <c r="P294" i="21408"/>
  <c r="O294" i="21408"/>
  <c r="L294" i="21408"/>
  <c r="BC254" i="21398"/>
  <c r="AY254" i="21398"/>
  <c r="BA254" i="21398" s="1"/>
  <c r="C258" i="21398"/>
  <c r="AX256" i="21398"/>
  <c r="M256" i="21398" s="1"/>
  <c r="AC184" i="2"/>
  <c r="G99" i="21408"/>
  <c r="G101" i="21408"/>
  <c r="G98" i="21408"/>
  <c r="G100" i="21408"/>
  <c r="M184" i="2"/>
  <c r="BC184" i="2" s="1"/>
  <c r="BA184" i="2"/>
  <c r="AW183" i="2"/>
  <c r="AZ183" i="2" s="1"/>
  <c r="BB183" i="2" s="1"/>
  <c r="C188" i="2"/>
  <c r="AX188" i="2" s="1"/>
  <c r="AW186" i="2"/>
  <c r="AY186" i="2" s="1"/>
  <c r="F186" i="2"/>
  <c r="BB116" i="21398"/>
  <c r="BC116" i="21398"/>
  <c r="BA116" i="21398"/>
  <c r="BA119" i="21398"/>
  <c r="BC119" i="21398"/>
  <c r="AW118" i="21398"/>
  <c r="AY118" i="21398" s="1"/>
  <c r="AW121" i="21398"/>
  <c r="AW120" i="21398"/>
  <c r="AY120" i="21398" s="1"/>
  <c r="AW163" i="2"/>
  <c r="BA161" i="2"/>
  <c r="K331" i="21412"/>
  <c r="K327" i="21412"/>
  <c r="K328" i="21412"/>
  <c r="K326" i="21412"/>
  <c r="K330" i="21412"/>
  <c r="K329" i="21412"/>
  <c r="BC44" i="2"/>
  <c r="AQ185" i="2"/>
  <c r="AT186" i="2"/>
  <c r="AX258" i="21398" l="1"/>
  <c r="M258" i="21398" s="1"/>
  <c r="C260" i="21398"/>
  <c r="AW258" i="21398"/>
  <c r="M186" i="2"/>
  <c r="BC186" i="2" s="1"/>
  <c r="BA186" i="2"/>
  <c r="C190" i="2"/>
  <c r="AX190" i="2" s="1"/>
  <c r="F188" i="2"/>
  <c r="AW188" i="2"/>
  <c r="AY188" i="2" s="1"/>
  <c r="BB120" i="21398"/>
  <c r="BA120" i="21398"/>
  <c r="BC120" i="21398"/>
  <c r="BB118" i="21398"/>
  <c r="BA118" i="21398"/>
  <c r="BC118" i="21398"/>
  <c r="AW122" i="21398"/>
  <c r="AY122" i="21398" s="1"/>
  <c r="AW123" i="21398"/>
  <c r="AZ123" i="21398" s="1"/>
  <c r="BB123" i="21398" s="1"/>
  <c r="BC121" i="21398"/>
  <c r="BA121" i="21398"/>
  <c r="AW165" i="2"/>
  <c r="BA163" i="2"/>
  <c r="BC46" i="2"/>
  <c r="BC5" i="3"/>
  <c r="BC5" i="21398"/>
  <c r="AQ187" i="2"/>
  <c r="AT188" i="2"/>
  <c r="AX260" i="21398" l="1"/>
  <c r="M260" i="21398" s="1"/>
  <c r="C262" i="21398"/>
  <c r="AW260" i="21398"/>
  <c r="J261" i="21398"/>
  <c r="AX261" i="21398" s="1"/>
  <c r="AY258" i="21398"/>
  <c r="BA258" i="21398" s="1"/>
  <c r="BC258" i="21398"/>
  <c r="AC188" i="2"/>
  <c r="AW190" i="2"/>
  <c r="AY190" i="2" s="1"/>
  <c r="F190" i="2"/>
  <c r="C192" i="2"/>
  <c r="AX192" i="2" s="1"/>
  <c r="BA188" i="2"/>
  <c r="M188" i="2"/>
  <c r="BC188" i="2" s="1"/>
  <c r="BB122" i="21398"/>
  <c r="BA122" i="21398"/>
  <c r="BC122" i="21398"/>
  <c r="AW125" i="21398"/>
  <c r="BC123" i="21398"/>
  <c r="BA123" i="21398"/>
  <c r="AW167" i="2"/>
  <c r="BA165" i="2"/>
  <c r="K52" i="21408"/>
  <c r="K36" i="21408"/>
  <c r="K33" i="21408"/>
  <c r="K62" i="21408"/>
  <c r="K46" i="21408"/>
  <c r="K56" i="21408"/>
  <c r="K58" i="21408"/>
  <c r="K53" i="21408"/>
  <c r="K37" i="21408"/>
  <c r="K35" i="21408"/>
  <c r="K169" i="21408"/>
  <c r="K34" i="21408"/>
  <c r="K61" i="21408"/>
  <c r="K45" i="21408"/>
  <c r="K57" i="21408"/>
  <c r="K51" i="21408"/>
  <c r="K55" i="21408"/>
  <c r="K39" i="21408"/>
  <c r="K48" i="21408"/>
  <c r="K50" i="21408"/>
  <c r="K41" i="21408"/>
  <c r="K47" i="21408"/>
  <c r="K59" i="21408"/>
  <c r="K60" i="21408"/>
  <c r="K44" i="21408"/>
  <c r="K49" i="21408"/>
  <c r="K43" i="21408"/>
  <c r="K54" i="21408"/>
  <c r="K38" i="21408"/>
  <c r="K40" i="21408"/>
  <c r="K42" i="21408"/>
  <c r="J51" i="21408"/>
  <c r="J35" i="21408"/>
  <c r="J57" i="21408"/>
  <c r="J41" i="21408"/>
  <c r="J38" i="21408"/>
  <c r="J47" i="21408"/>
  <c r="J62" i="21408"/>
  <c r="J36" i="21408"/>
  <c r="J42" i="21408"/>
  <c r="J48" i="21408"/>
  <c r="J37" i="21408"/>
  <c r="J60" i="21408"/>
  <c r="J44" i="21408"/>
  <c r="J54" i="21408"/>
  <c r="J50" i="21408"/>
  <c r="J34" i="21408"/>
  <c r="J56" i="21408"/>
  <c r="J40" i="21408"/>
  <c r="J61" i="21408"/>
  <c r="J52" i="21408"/>
  <c r="J58" i="21408"/>
  <c r="J53" i="21408"/>
  <c r="J169" i="21408"/>
  <c r="J59" i="21408"/>
  <c r="J43" i="21408"/>
  <c r="J45" i="21408"/>
  <c r="J49" i="21408"/>
  <c r="J33" i="21408"/>
  <c r="J55" i="21408"/>
  <c r="J39" i="21408"/>
  <c r="J46" i="21408"/>
  <c r="BC48" i="2"/>
  <c r="K304" i="21408"/>
  <c r="K303" i="21408"/>
  <c r="J303" i="21408"/>
  <c r="J304" i="21408"/>
  <c r="I324" i="21412"/>
  <c r="I320" i="21412"/>
  <c r="I316" i="21412"/>
  <c r="I312" i="21412"/>
  <c r="I308" i="21412"/>
  <c r="I304" i="21412"/>
  <c r="I300" i="21412"/>
  <c r="I296" i="21412"/>
  <c r="I292" i="21412"/>
  <c r="I280" i="21412"/>
  <c r="I268" i="21412"/>
  <c r="I264" i="21412"/>
  <c r="I260" i="21412"/>
  <c r="I256" i="21412"/>
  <c r="I252" i="21412"/>
  <c r="I248" i="21412"/>
  <c r="I244" i="21412"/>
  <c r="I240" i="21412"/>
  <c r="I236" i="21412"/>
  <c r="I232" i="21412"/>
  <c r="I228" i="21412"/>
  <c r="I224" i="21412"/>
  <c r="I220" i="21412"/>
  <c r="I216" i="21412"/>
  <c r="I325" i="21412"/>
  <c r="I321" i="21412"/>
  <c r="I317" i="21412"/>
  <c r="I322" i="21412"/>
  <c r="I318" i="21412"/>
  <c r="I314" i="21412"/>
  <c r="I310" i="21412"/>
  <c r="I306" i="21412"/>
  <c r="I302" i="21412"/>
  <c r="I298" i="21412"/>
  <c r="I294" i="21412"/>
  <c r="I290" i="21412"/>
  <c r="I282" i="21412"/>
  <c r="I278" i="21412"/>
  <c r="I270" i="21412"/>
  <c r="I266" i="21412"/>
  <c r="I262" i="21412"/>
  <c r="I258" i="21412"/>
  <c r="I254" i="21412"/>
  <c r="I250" i="21412"/>
  <c r="I246" i="21412"/>
  <c r="I242" i="21412"/>
  <c r="I238" i="21412"/>
  <c r="I234" i="21412"/>
  <c r="I230" i="21412"/>
  <c r="I226" i="21412"/>
  <c r="I222" i="21412"/>
  <c r="I218" i="21412"/>
  <c r="I214" i="21412"/>
  <c r="I319" i="21412"/>
  <c r="I311" i="21412"/>
  <c r="I303" i="21412"/>
  <c r="I295" i="21412"/>
  <c r="I279" i="21412"/>
  <c r="I271" i="21412"/>
  <c r="I263" i="21412"/>
  <c r="I255" i="21412"/>
  <c r="I247" i="21412"/>
  <c r="I239" i="21412"/>
  <c r="I231" i="21412"/>
  <c r="I223" i="21412"/>
  <c r="I215" i="21412"/>
  <c r="I211" i="21412"/>
  <c r="I207" i="21412"/>
  <c r="I203" i="21412"/>
  <c r="I199" i="21412"/>
  <c r="I195" i="21412"/>
  <c r="I191" i="21412"/>
  <c r="I187" i="21412"/>
  <c r="I183" i="21412"/>
  <c r="I179" i="21412"/>
  <c r="I175" i="21412"/>
  <c r="I171" i="21412"/>
  <c r="I167" i="21412"/>
  <c r="I163" i="21412"/>
  <c r="I159" i="21412"/>
  <c r="I155" i="21412"/>
  <c r="I323" i="21412"/>
  <c r="I313" i="21412"/>
  <c r="I305" i="21412"/>
  <c r="I297" i="21412"/>
  <c r="I281" i="21412"/>
  <c r="I265" i="21412"/>
  <c r="I257" i="21412"/>
  <c r="I249" i="21412"/>
  <c r="I241" i="21412"/>
  <c r="I233" i="21412"/>
  <c r="I225" i="21412"/>
  <c r="I217" i="21412"/>
  <c r="I212" i="21412"/>
  <c r="I208" i="21412"/>
  <c r="I204" i="21412"/>
  <c r="I200" i="21412"/>
  <c r="I196" i="21412"/>
  <c r="I192" i="21412"/>
  <c r="I188" i="21412"/>
  <c r="I184" i="21412"/>
  <c r="I180" i="21412"/>
  <c r="I176" i="21412"/>
  <c r="I172" i="21412"/>
  <c r="I168" i="21412"/>
  <c r="I164" i="21412"/>
  <c r="I160" i="21412"/>
  <c r="I156" i="21412"/>
  <c r="I307" i="21412"/>
  <c r="I299" i="21412"/>
  <c r="I291" i="21412"/>
  <c r="I283" i="21412"/>
  <c r="I267" i="21412"/>
  <c r="I259" i="21412"/>
  <c r="I251" i="21412"/>
  <c r="I243" i="21412"/>
  <c r="I235" i="21412"/>
  <c r="I227" i="21412"/>
  <c r="I219" i="21412"/>
  <c r="I209" i="21412"/>
  <c r="I205" i="21412"/>
  <c r="I201" i="21412"/>
  <c r="I197" i="21412"/>
  <c r="I193" i="21412"/>
  <c r="I189" i="21412"/>
  <c r="I185" i="21412"/>
  <c r="I181" i="21412"/>
  <c r="I177" i="21412"/>
  <c r="I173" i="21412"/>
  <c r="I169" i="21412"/>
  <c r="I165" i="21412"/>
  <c r="I161" i="21412"/>
  <c r="I157" i="21412"/>
  <c r="I315" i="21412"/>
  <c r="I309" i="21412"/>
  <c r="I301" i="21412"/>
  <c r="I293" i="21412"/>
  <c r="I269" i="21412"/>
  <c r="I261" i="21412"/>
  <c r="I253" i="21412"/>
  <c r="I245" i="21412"/>
  <c r="I237" i="21412"/>
  <c r="I229" i="21412"/>
  <c r="I221" i="21412"/>
  <c r="I213" i="21412"/>
  <c r="I210" i="21412"/>
  <c r="I206" i="21412"/>
  <c r="I202" i="21412"/>
  <c r="I198" i="21412"/>
  <c r="I194" i="21412"/>
  <c r="I190" i="21412"/>
  <c r="I186" i="21412"/>
  <c r="I182" i="21412"/>
  <c r="I178" i="21412"/>
  <c r="I174" i="21412"/>
  <c r="I170" i="21412"/>
  <c r="I166" i="21412"/>
  <c r="I162" i="21412"/>
  <c r="I158" i="21412"/>
  <c r="I154" i="21412"/>
  <c r="I153" i="21412"/>
  <c r="I150" i="21412"/>
  <c r="I146" i="21412"/>
  <c r="I142" i="21412"/>
  <c r="I138" i="21412"/>
  <c r="I134" i="21412"/>
  <c r="I130" i="21412"/>
  <c r="I126" i="21412"/>
  <c r="I122" i="21412"/>
  <c r="I118" i="21412"/>
  <c r="I114" i="21412"/>
  <c r="I110" i="21412"/>
  <c r="I106" i="21412"/>
  <c r="I102" i="21412"/>
  <c r="I98" i="21412"/>
  <c r="I94" i="21412"/>
  <c r="I90" i="21412"/>
  <c r="I86" i="21412"/>
  <c r="I82" i="21412"/>
  <c r="I78" i="21412"/>
  <c r="I74" i="21412"/>
  <c r="I70" i="21412"/>
  <c r="I66" i="21412"/>
  <c r="I62" i="21412"/>
  <c r="I58" i="21412"/>
  <c r="I54" i="21412"/>
  <c r="I50" i="21412"/>
  <c r="I46" i="21412"/>
  <c r="I151" i="21412"/>
  <c r="I147" i="21412"/>
  <c r="I143" i="21412"/>
  <c r="I139" i="21412"/>
  <c r="I135" i="21412"/>
  <c r="I131" i="21412"/>
  <c r="I127" i="21412"/>
  <c r="I123" i="21412"/>
  <c r="I119" i="21412"/>
  <c r="I115" i="21412"/>
  <c r="I111" i="21412"/>
  <c r="I107" i="21412"/>
  <c r="I103" i="21412"/>
  <c r="I99" i="21412"/>
  <c r="I95" i="21412"/>
  <c r="I91" i="21412"/>
  <c r="I87" i="21412"/>
  <c r="I83" i="21412"/>
  <c r="I79" i="21412"/>
  <c r="I75" i="21412"/>
  <c r="I71" i="21412"/>
  <c r="I67" i="21412"/>
  <c r="I63" i="21412"/>
  <c r="I59" i="21412"/>
  <c r="I55" i="21412"/>
  <c r="I51" i="21412"/>
  <c r="I47" i="21412"/>
  <c r="I43" i="21412"/>
  <c r="I152" i="21412"/>
  <c r="I148" i="21412"/>
  <c r="I144" i="21412"/>
  <c r="I140" i="21412"/>
  <c r="I136" i="21412"/>
  <c r="I132" i="21412"/>
  <c r="I128" i="21412"/>
  <c r="I124" i="21412"/>
  <c r="I120" i="21412"/>
  <c r="I116" i="21412"/>
  <c r="I112" i="21412"/>
  <c r="I108" i="21412"/>
  <c r="I104" i="21412"/>
  <c r="I100" i="21412"/>
  <c r="I96" i="21412"/>
  <c r="I92" i="21412"/>
  <c r="I88" i="21412"/>
  <c r="I84" i="21412"/>
  <c r="I80" i="21412"/>
  <c r="I76" i="21412"/>
  <c r="I72" i="21412"/>
  <c r="I68" i="21412"/>
  <c r="I64" i="21412"/>
  <c r="I60" i="21412"/>
  <c r="I56" i="21412"/>
  <c r="I52" i="21412"/>
  <c r="I48" i="21412"/>
  <c r="I44" i="21412"/>
  <c r="I40" i="21412"/>
  <c r="I149" i="21412"/>
  <c r="I145" i="21412"/>
  <c r="I141" i="21412"/>
  <c r="I137" i="21412"/>
  <c r="I133" i="21412"/>
  <c r="I129" i="21412"/>
  <c r="I125" i="21412"/>
  <c r="I121" i="21412"/>
  <c r="I117" i="21412"/>
  <c r="I113" i="21412"/>
  <c r="I109" i="21412"/>
  <c r="I105" i="21412"/>
  <c r="I101" i="21412"/>
  <c r="I97" i="21412"/>
  <c r="I93" i="21412"/>
  <c r="I89" i="21412"/>
  <c r="I85" i="21412"/>
  <c r="I81" i="21412"/>
  <c r="I77" i="21412"/>
  <c r="I73" i="21412"/>
  <c r="I69" i="21412"/>
  <c r="I65" i="21412"/>
  <c r="I61" i="21412"/>
  <c r="I57" i="21412"/>
  <c r="I53" i="21412"/>
  <c r="I49" i="21412"/>
  <c r="I45" i="21412"/>
  <c r="I41" i="21412"/>
  <c r="I42" i="21412"/>
  <c r="I35" i="21412"/>
  <c r="I31" i="21412"/>
  <c r="I27" i="21412"/>
  <c r="I23" i="21412"/>
  <c r="I19" i="21412"/>
  <c r="I15" i="21412"/>
  <c r="I11" i="21412"/>
  <c r="I39" i="21412"/>
  <c r="I36" i="21412"/>
  <c r="I32" i="21412"/>
  <c r="I28" i="21412"/>
  <c r="I24" i="21412"/>
  <c r="I20" i="21412"/>
  <c r="I16" i="21412"/>
  <c r="I12" i="21412"/>
  <c r="I8" i="21412"/>
  <c r="I37" i="21412"/>
  <c r="I33" i="21412"/>
  <c r="I29" i="21412"/>
  <c r="I25" i="21412"/>
  <c r="I21" i="21412"/>
  <c r="I17" i="21412"/>
  <c r="I13" i="21412"/>
  <c r="I38" i="21412"/>
  <c r="I34" i="21412"/>
  <c r="I30" i="21412"/>
  <c r="I26" i="21412"/>
  <c r="I22" i="21412"/>
  <c r="I18" i="21412"/>
  <c r="I14" i="21412"/>
  <c r="I10" i="21412"/>
  <c r="I9" i="21412"/>
  <c r="I6" i="21412"/>
  <c r="I2" i="21412"/>
  <c r="I7" i="21412"/>
  <c r="I3" i="21412"/>
  <c r="I4" i="21412"/>
  <c r="I5" i="21412"/>
  <c r="H323" i="21412"/>
  <c r="H319" i="21412"/>
  <c r="H315" i="21412"/>
  <c r="H311" i="21412"/>
  <c r="H307" i="21412"/>
  <c r="H303" i="21412"/>
  <c r="H299" i="21412"/>
  <c r="H295" i="21412"/>
  <c r="H291" i="21412"/>
  <c r="H283" i="21412"/>
  <c r="H279" i="21412"/>
  <c r="H271" i="21412"/>
  <c r="H267" i="21412"/>
  <c r="H263" i="21412"/>
  <c r="H259" i="21412"/>
  <c r="H255" i="21412"/>
  <c r="H251" i="21412"/>
  <c r="H247" i="21412"/>
  <c r="H243" i="21412"/>
  <c r="H239" i="21412"/>
  <c r="H235" i="21412"/>
  <c r="H231" i="21412"/>
  <c r="H227" i="21412"/>
  <c r="H223" i="21412"/>
  <c r="H219" i="21412"/>
  <c r="H215" i="21412"/>
  <c r="H324" i="21412"/>
  <c r="H320" i="21412"/>
  <c r="H316" i="21412"/>
  <c r="H325" i="21412"/>
  <c r="H321" i="21412"/>
  <c r="H317" i="21412"/>
  <c r="H313" i="21412"/>
  <c r="H309" i="21412"/>
  <c r="H305" i="21412"/>
  <c r="H301" i="21412"/>
  <c r="H297" i="21412"/>
  <c r="H293" i="21412"/>
  <c r="H281" i="21412"/>
  <c r="H269" i="21412"/>
  <c r="H265" i="21412"/>
  <c r="H261" i="21412"/>
  <c r="H257" i="21412"/>
  <c r="H253" i="21412"/>
  <c r="H249" i="21412"/>
  <c r="H245" i="21412"/>
  <c r="H241" i="21412"/>
  <c r="H237" i="21412"/>
  <c r="H233" i="21412"/>
  <c r="H229" i="21412"/>
  <c r="H225" i="21412"/>
  <c r="H221" i="21412"/>
  <c r="H217" i="21412"/>
  <c r="H213" i="21412"/>
  <c r="H314" i="21412"/>
  <c r="H306" i="21412"/>
  <c r="H298" i="21412"/>
  <c r="H290" i="21412"/>
  <c r="H282" i="21412"/>
  <c r="H266" i="21412"/>
  <c r="H258" i="21412"/>
  <c r="H250" i="21412"/>
  <c r="H242" i="21412"/>
  <c r="H234" i="21412"/>
  <c r="H226" i="21412"/>
  <c r="H218" i="21412"/>
  <c r="H210" i="21412"/>
  <c r="H206" i="21412"/>
  <c r="H202" i="21412"/>
  <c r="H198" i="21412"/>
  <c r="H194" i="21412"/>
  <c r="H190" i="21412"/>
  <c r="H186" i="21412"/>
  <c r="H182" i="21412"/>
  <c r="H178" i="21412"/>
  <c r="H174" i="21412"/>
  <c r="H170" i="21412"/>
  <c r="H166" i="21412"/>
  <c r="H162" i="21412"/>
  <c r="H158" i="21412"/>
  <c r="H154" i="21412"/>
  <c r="H318" i="21412"/>
  <c r="H308" i="21412"/>
  <c r="H300" i="21412"/>
  <c r="H292" i="21412"/>
  <c r="H268" i="21412"/>
  <c r="H260" i="21412"/>
  <c r="H252" i="21412"/>
  <c r="H244" i="21412"/>
  <c r="H236" i="21412"/>
  <c r="H228" i="21412"/>
  <c r="H220" i="21412"/>
  <c r="H211" i="21412"/>
  <c r="H207" i="21412"/>
  <c r="H203" i="21412"/>
  <c r="H199" i="21412"/>
  <c r="H195" i="21412"/>
  <c r="H191" i="21412"/>
  <c r="H187" i="21412"/>
  <c r="H183" i="21412"/>
  <c r="H179" i="21412"/>
  <c r="H175" i="21412"/>
  <c r="H171" i="21412"/>
  <c r="H167" i="21412"/>
  <c r="H163" i="21412"/>
  <c r="H159" i="21412"/>
  <c r="H155" i="21412"/>
  <c r="H322" i="21412"/>
  <c r="H310" i="21412"/>
  <c r="H302" i="21412"/>
  <c r="H294" i="21412"/>
  <c r="H278" i="21412"/>
  <c r="H270" i="21412"/>
  <c r="H262" i="21412"/>
  <c r="H254" i="21412"/>
  <c r="H246" i="21412"/>
  <c r="H238" i="21412"/>
  <c r="H230" i="21412"/>
  <c r="H222" i="21412"/>
  <c r="H214" i="21412"/>
  <c r="H212" i="21412"/>
  <c r="H208" i="21412"/>
  <c r="H204" i="21412"/>
  <c r="H200" i="21412"/>
  <c r="H196" i="21412"/>
  <c r="H192" i="21412"/>
  <c r="H188" i="21412"/>
  <c r="H184" i="21412"/>
  <c r="H180" i="21412"/>
  <c r="H176" i="21412"/>
  <c r="H172" i="21412"/>
  <c r="H168" i="21412"/>
  <c r="H164" i="21412"/>
  <c r="H160" i="21412"/>
  <c r="H156" i="21412"/>
  <c r="H312" i="21412"/>
  <c r="H304" i="21412"/>
  <c r="H296" i="21412"/>
  <c r="H280" i="21412"/>
  <c r="H264" i="21412"/>
  <c r="H256" i="21412"/>
  <c r="H248" i="21412"/>
  <c r="H240" i="21412"/>
  <c r="H232" i="21412"/>
  <c r="H224" i="21412"/>
  <c r="H216" i="21412"/>
  <c r="H209" i="21412"/>
  <c r="H205" i="21412"/>
  <c r="H201" i="21412"/>
  <c r="H197" i="21412"/>
  <c r="H193" i="21412"/>
  <c r="H189" i="21412"/>
  <c r="H185" i="21412"/>
  <c r="H181" i="21412"/>
  <c r="H177" i="21412"/>
  <c r="H173" i="21412"/>
  <c r="H169" i="21412"/>
  <c r="H165" i="21412"/>
  <c r="H161" i="21412"/>
  <c r="H157" i="21412"/>
  <c r="H153" i="21412"/>
  <c r="H149" i="21412"/>
  <c r="H145" i="21412"/>
  <c r="H141" i="21412"/>
  <c r="H137" i="21412"/>
  <c r="H133" i="21412"/>
  <c r="H129" i="21412"/>
  <c r="H125" i="21412"/>
  <c r="H121" i="21412"/>
  <c r="H117" i="21412"/>
  <c r="H113" i="21412"/>
  <c r="H109" i="21412"/>
  <c r="H105" i="21412"/>
  <c r="H101" i="21412"/>
  <c r="H97" i="21412"/>
  <c r="H93" i="21412"/>
  <c r="H89" i="21412"/>
  <c r="H85" i="21412"/>
  <c r="H81" i="21412"/>
  <c r="H77" i="21412"/>
  <c r="H73" i="21412"/>
  <c r="H69" i="21412"/>
  <c r="H65" i="21412"/>
  <c r="H61" i="21412"/>
  <c r="H57" i="21412"/>
  <c r="H53" i="21412"/>
  <c r="H49" i="21412"/>
  <c r="H45" i="21412"/>
  <c r="H150" i="21412"/>
  <c r="H146" i="21412"/>
  <c r="H142" i="21412"/>
  <c r="H138" i="21412"/>
  <c r="H134" i="21412"/>
  <c r="H130" i="21412"/>
  <c r="H126" i="21412"/>
  <c r="H122" i="21412"/>
  <c r="H118" i="21412"/>
  <c r="H114" i="21412"/>
  <c r="H110" i="21412"/>
  <c r="H106" i="21412"/>
  <c r="H102" i="21412"/>
  <c r="H98" i="21412"/>
  <c r="H94" i="21412"/>
  <c r="H90" i="21412"/>
  <c r="H86" i="21412"/>
  <c r="H82" i="21412"/>
  <c r="H78" i="21412"/>
  <c r="H74" i="21412"/>
  <c r="H70" i="21412"/>
  <c r="H66" i="21412"/>
  <c r="H62" i="21412"/>
  <c r="H58" i="21412"/>
  <c r="H54" i="21412"/>
  <c r="H50" i="21412"/>
  <c r="H46" i="21412"/>
  <c r="H151" i="21412"/>
  <c r="H147" i="21412"/>
  <c r="H143" i="21412"/>
  <c r="H139" i="21412"/>
  <c r="H135" i="21412"/>
  <c r="H131" i="21412"/>
  <c r="H127" i="21412"/>
  <c r="H123" i="21412"/>
  <c r="H119" i="21412"/>
  <c r="H115" i="21412"/>
  <c r="H111" i="21412"/>
  <c r="H107" i="21412"/>
  <c r="H103" i="21412"/>
  <c r="H99" i="21412"/>
  <c r="H95" i="21412"/>
  <c r="H91" i="21412"/>
  <c r="H87" i="21412"/>
  <c r="H83" i="21412"/>
  <c r="H79" i="21412"/>
  <c r="H75" i="21412"/>
  <c r="H71" i="21412"/>
  <c r="H67" i="21412"/>
  <c r="H63" i="21412"/>
  <c r="H59" i="21412"/>
  <c r="H55" i="21412"/>
  <c r="H51" i="21412"/>
  <c r="H47" i="21412"/>
  <c r="H43" i="21412"/>
  <c r="H39" i="21412"/>
  <c r="H152" i="21412"/>
  <c r="H148" i="21412"/>
  <c r="H144" i="21412"/>
  <c r="H140" i="21412"/>
  <c r="H136" i="21412"/>
  <c r="H132" i="21412"/>
  <c r="H128" i="21412"/>
  <c r="H124" i="21412"/>
  <c r="H120" i="21412"/>
  <c r="H116" i="21412"/>
  <c r="H112" i="21412"/>
  <c r="H108" i="21412"/>
  <c r="H104" i="21412"/>
  <c r="H100" i="21412"/>
  <c r="H96" i="21412"/>
  <c r="H92" i="21412"/>
  <c r="H88" i="21412"/>
  <c r="H84" i="21412"/>
  <c r="H80" i="21412"/>
  <c r="H76" i="21412"/>
  <c r="H72" i="21412"/>
  <c r="H68" i="21412"/>
  <c r="H64" i="21412"/>
  <c r="H60" i="21412"/>
  <c r="H56" i="21412"/>
  <c r="H52" i="21412"/>
  <c r="H48" i="21412"/>
  <c r="H44" i="21412"/>
  <c r="H40" i="21412"/>
  <c r="H38" i="21412"/>
  <c r="H34" i="21412"/>
  <c r="H30" i="21412"/>
  <c r="H26" i="21412"/>
  <c r="H22" i="21412"/>
  <c r="H18" i="21412"/>
  <c r="H14" i="21412"/>
  <c r="H10" i="21412"/>
  <c r="H8" i="21412"/>
  <c r="H42" i="21412"/>
  <c r="H35" i="21412"/>
  <c r="H31" i="21412"/>
  <c r="H27" i="21412"/>
  <c r="H23" i="21412"/>
  <c r="H19" i="21412"/>
  <c r="H15" i="21412"/>
  <c r="H11" i="21412"/>
  <c r="H41" i="21412"/>
  <c r="H36" i="21412"/>
  <c r="H32" i="21412"/>
  <c r="H28" i="21412"/>
  <c r="H24" i="21412"/>
  <c r="H20" i="21412"/>
  <c r="H16" i="21412"/>
  <c r="H12" i="21412"/>
  <c r="H37" i="21412"/>
  <c r="H33" i="21412"/>
  <c r="H29" i="21412"/>
  <c r="H25" i="21412"/>
  <c r="H21" i="21412"/>
  <c r="H17" i="21412"/>
  <c r="H13" i="21412"/>
  <c r="H9" i="21412"/>
  <c r="H5" i="21412"/>
  <c r="H6" i="21412"/>
  <c r="H2" i="21412"/>
  <c r="H7" i="21412"/>
  <c r="H3" i="21412"/>
  <c r="H4" i="21412"/>
  <c r="J211" i="21408"/>
  <c r="J206" i="21408"/>
  <c r="J208" i="21408"/>
  <c r="J209" i="21408"/>
  <c r="J205" i="21408"/>
  <c r="J212" i="21408"/>
  <c r="J207" i="21408"/>
  <c r="J210" i="21408"/>
  <c r="J378" i="21408"/>
  <c r="J329" i="21408"/>
  <c r="J315" i="21408"/>
  <c r="J379" i="21408"/>
  <c r="J328" i="21408"/>
  <c r="J310" i="21408"/>
  <c r="J380" i="21408"/>
  <c r="J375" i="21408" s="1"/>
  <c r="J263" i="21408"/>
  <c r="J232" i="21408"/>
  <c r="J202" i="21408"/>
  <c r="J179" i="21408"/>
  <c r="J213" i="21408"/>
  <c r="J223" i="21408"/>
  <c r="J194" i="21408"/>
  <c r="J178" i="21408"/>
  <c r="J264" i="21408"/>
  <c r="J180" i="21408"/>
  <c r="J234" i="21408"/>
  <c r="J222" i="21408"/>
  <c r="J181" i="21408"/>
  <c r="J177" i="21408"/>
  <c r="J235" i="21408"/>
  <c r="K210" i="21408"/>
  <c r="K205" i="21408"/>
  <c r="K208" i="21408"/>
  <c r="K209" i="21408"/>
  <c r="K212" i="21408"/>
  <c r="K207" i="21408"/>
  <c r="K211" i="21408"/>
  <c r="K206" i="21408"/>
  <c r="K379" i="21408"/>
  <c r="K328" i="21408"/>
  <c r="K310" i="21408"/>
  <c r="K378" i="21408"/>
  <c r="K380" i="21408"/>
  <c r="K375" i="21408" s="1"/>
  <c r="K329" i="21408"/>
  <c r="K315" i="21408"/>
  <c r="K223" i="21408"/>
  <c r="K194" i="21408"/>
  <c r="K178" i="21408"/>
  <c r="K179" i="21408"/>
  <c r="K234" i="21408"/>
  <c r="K222" i="21408"/>
  <c r="K181" i="21408"/>
  <c r="K177" i="21408"/>
  <c r="K232" i="21408"/>
  <c r="K264" i="21408"/>
  <c r="K235" i="21408"/>
  <c r="K213" i="21408"/>
  <c r="K180" i="21408"/>
  <c r="K263" i="21408"/>
  <c r="K202" i="21408"/>
  <c r="K1" i="21412"/>
  <c r="J1" i="21412"/>
  <c r="I1" i="21412"/>
  <c r="H1" i="21412"/>
  <c r="G1" i="21412"/>
  <c r="F1" i="21412"/>
  <c r="AT190" i="2"/>
  <c r="AX262" i="21398" l="1"/>
  <c r="M262" i="21398" s="1"/>
  <c r="AW262" i="21398"/>
  <c r="C264" i="21398"/>
  <c r="BC260" i="21398"/>
  <c r="AY260" i="21398"/>
  <c r="BA260" i="21398" s="1"/>
  <c r="AC190" i="2"/>
  <c r="F192" i="2"/>
  <c r="M192" i="2"/>
  <c r="BC192" i="2" s="1"/>
  <c r="AW192" i="2"/>
  <c r="AY192" i="2" s="1"/>
  <c r="BA192" i="2" s="1"/>
  <c r="C194" i="2"/>
  <c r="AX194" i="2" s="1"/>
  <c r="J191" i="2"/>
  <c r="AX191" i="2" s="1"/>
  <c r="M190" i="2"/>
  <c r="BC190" i="2" s="1"/>
  <c r="BA190" i="2"/>
  <c r="AW127" i="21398"/>
  <c r="BC125" i="21398"/>
  <c r="BA125" i="21398"/>
  <c r="AW166" i="2"/>
  <c r="AY166" i="2" s="1"/>
  <c r="AW169" i="2"/>
  <c r="BC167" i="2"/>
  <c r="BA167" i="2"/>
  <c r="BC50" i="2"/>
  <c r="L74" i="21406"/>
  <c r="L73" i="21406"/>
  <c r="L72" i="21406"/>
  <c r="L71" i="21406"/>
  <c r="L70" i="21406"/>
  <c r="L69" i="21406"/>
  <c r="L68" i="21406"/>
  <c r="L67" i="21406"/>
  <c r="L66" i="21406"/>
  <c r="L65" i="21406"/>
  <c r="L64" i="21406"/>
  <c r="L63" i="21406"/>
  <c r="L62" i="21406"/>
  <c r="L61" i="21406"/>
  <c r="L60" i="21406"/>
  <c r="L59" i="21406"/>
  <c r="L57" i="21406"/>
  <c r="L56" i="21406"/>
  <c r="L55" i="21406"/>
  <c r="L54" i="21406"/>
  <c r="L53" i="21406"/>
  <c r="L52" i="21406"/>
  <c r="L51" i="21406"/>
  <c r="L50" i="21406"/>
  <c r="L49" i="21406"/>
  <c r="L48" i="21406"/>
  <c r="L47" i="21406"/>
  <c r="L46" i="21406"/>
  <c r="L45" i="21406"/>
  <c r="L44" i="21406"/>
  <c r="L43" i="21406"/>
  <c r="L42" i="21406"/>
  <c r="L37" i="21406"/>
  <c r="L36" i="21406"/>
  <c r="L35" i="21406"/>
  <c r="L34" i="21406"/>
  <c r="L33" i="21406"/>
  <c r="L32" i="21406"/>
  <c r="L31" i="21406"/>
  <c r="L30" i="21406"/>
  <c r="L29" i="21406"/>
  <c r="L28" i="21406"/>
  <c r="L27" i="21406"/>
  <c r="L26" i="21406"/>
  <c r="L25" i="21406"/>
  <c r="L24" i="21406"/>
  <c r="L23" i="21406"/>
  <c r="L22" i="21406"/>
  <c r="L20" i="21406"/>
  <c r="L19" i="21406"/>
  <c r="L18" i="21406"/>
  <c r="L17" i="21406"/>
  <c r="L16" i="21406"/>
  <c r="L15" i="21406"/>
  <c r="L14" i="21406"/>
  <c r="L13" i="21406"/>
  <c r="L12" i="21406"/>
  <c r="L11" i="21406"/>
  <c r="L10" i="21406"/>
  <c r="L9" i="21406"/>
  <c r="L8" i="21406"/>
  <c r="L7" i="21406"/>
  <c r="L6" i="21406"/>
  <c r="L5" i="21406"/>
  <c r="AQ189" i="2"/>
  <c r="AT192" i="2"/>
  <c r="AQ191" i="2"/>
  <c r="AX264" i="21398" l="1"/>
  <c r="M264" i="21398" s="1"/>
  <c r="C266" i="21398"/>
  <c r="AY262" i="21398"/>
  <c r="BA262" i="21398" s="1"/>
  <c r="BC262" i="21398"/>
  <c r="AC192" i="2"/>
  <c r="C196" i="2"/>
  <c r="AX196" i="2" s="1"/>
  <c r="F194" i="2"/>
  <c r="M194" i="2"/>
  <c r="BC194" i="2" s="1"/>
  <c r="J195" i="2"/>
  <c r="AX195" i="2" s="1"/>
  <c r="AW194" i="2"/>
  <c r="AY194" i="2" s="1"/>
  <c r="BA194" i="2" s="1"/>
  <c r="AW191" i="2"/>
  <c r="AZ191" i="2" s="1"/>
  <c r="BB191" i="2" s="1"/>
  <c r="BB166" i="2"/>
  <c r="M166" i="2"/>
  <c r="BC166" i="2" s="1"/>
  <c r="BA166" i="2"/>
  <c r="AW129" i="21398"/>
  <c r="BC127" i="21398"/>
  <c r="BA127" i="21398"/>
  <c r="AW171" i="2"/>
  <c r="BA169" i="2"/>
  <c r="BC52" i="2"/>
  <c r="K322" i="21408"/>
  <c r="J322" i="21408"/>
  <c r="K321" i="21408"/>
  <c r="J321" i="21408"/>
  <c r="K320" i="21408"/>
  <c r="J320" i="21408"/>
  <c r="K319" i="21408"/>
  <c r="J319" i="21408"/>
  <c r="K318" i="21408"/>
  <c r="J318" i="21408"/>
  <c r="K317" i="21408"/>
  <c r="J317" i="21408"/>
  <c r="K316" i="21408"/>
  <c r="K314" i="21408" s="1"/>
  <c r="J316" i="21408"/>
  <c r="J314" i="21408" s="1"/>
  <c r="AT194" i="2"/>
  <c r="AQ193" i="2"/>
  <c r="AX266" i="21398" l="1"/>
  <c r="M266" i="21398" s="1"/>
  <c r="C268" i="21398"/>
  <c r="AW266" i="21398"/>
  <c r="AW195" i="2"/>
  <c r="AZ195" i="2" s="1"/>
  <c r="BB195" i="2" s="1"/>
  <c r="C198" i="2"/>
  <c r="AX198" i="2" s="1"/>
  <c r="M196" i="2"/>
  <c r="BC196" i="2" s="1"/>
  <c r="AW196" i="2"/>
  <c r="AY196" i="2" s="1"/>
  <c r="BA196" i="2" s="1"/>
  <c r="F196" i="2"/>
  <c r="BC129" i="21398"/>
  <c r="BA129" i="21398"/>
  <c r="AW131" i="21398"/>
  <c r="BA171" i="2"/>
  <c r="AW173" i="2"/>
  <c r="N257" i="21408"/>
  <c r="K257" i="21408"/>
  <c r="J257" i="21408"/>
  <c r="I257" i="21408"/>
  <c r="H257" i="21408"/>
  <c r="AT196" i="2"/>
  <c r="AQ195" i="2"/>
  <c r="AX268" i="21398" l="1"/>
  <c r="M268" i="21398" s="1"/>
  <c r="AW268" i="21398"/>
  <c r="C270" i="21398"/>
  <c r="AY266" i="21398"/>
  <c r="BA266" i="21398" s="1"/>
  <c r="BC266" i="21398"/>
  <c r="AC196" i="2"/>
  <c r="G257" i="21408"/>
  <c r="C200" i="2"/>
  <c r="AX200" i="2" s="1"/>
  <c r="M198" i="2"/>
  <c r="BC198" i="2" s="1"/>
  <c r="J199" i="2"/>
  <c r="AX199" i="2" s="1"/>
  <c r="F198" i="2"/>
  <c r="AW198" i="2"/>
  <c r="AY198" i="2" s="1"/>
  <c r="BA198" i="2" s="1"/>
  <c r="AW133" i="21398"/>
  <c r="BC131" i="21398"/>
  <c r="BA131" i="21398"/>
  <c r="BA173" i="2"/>
  <c r="AW174" i="2"/>
  <c r="J328" i="21412"/>
  <c r="J326" i="21412"/>
  <c r="J330" i="21412"/>
  <c r="J331" i="21412"/>
  <c r="J329" i="21412"/>
  <c r="J327" i="21412"/>
  <c r="AT198" i="2"/>
  <c r="AQ197" i="2"/>
  <c r="AX270" i="21398" l="1"/>
  <c r="M270" i="21398" s="1"/>
  <c r="AW270" i="21398"/>
  <c r="C272" i="21398"/>
  <c r="J269" i="21398"/>
  <c r="AX269" i="21398" s="1"/>
  <c r="AY268" i="21398"/>
  <c r="BA268" i="21398" s="1"/>
  <c r="BC268" i="21398"/>
  <c r="BB174" i="2"/>
  <c r="AY174" i="2"/>
  <c r="BA174" i="2" s="1"/>
  <c r="AC198" i="2"/>
  <c r="AW199" i="2"/>
  <c r="AZ199" i="2" s="1"/>
  <c r="BB199" i="2" s="1"/>
  <c r="F200" i="2"/>
  <c r="J200" i="2"/>
  <c r="M200" i="2"/>
  <c r="BC200" i="2" s="1"/>
  <c r="C202" i="2"/>
  <c r="AX202" i="2" s="1"/>
  <c r="AW200" i="2"/>
  <c r="AZ200" i="2" s="1"/>
  <c r="BB200" i="2" s="1"/>
  <c r="M174" i="2"/>
  <c r="BC174" i="2" s="1"/>
  <c r="BC133" i="21398"/>
  <c r="BA133" i="21398"/>
  <c r="AW132" i="21398"/>
  <c r="AY132" i="21398" s="1"/>
  <c r="BA175" i="2"/>
  <c r="K372" i="21408"/>
  <c r="J372" i="21408"/>
  <c r="K367" i="21408"/>
  <c r="J367" i="21408"/>
  <c r="K260" i="21408"/>
  <c r="J260" i="21408"/>
  <c r="K233" i="21408"/>
  <c r="J233" i="21408"/>
  <c r="M2" i="21408"/>
  <c r="K2" i="21408"/>
  <c r="I2" i="21408"/>
  <c r="H2" i="21408"/>
  <c r="AT200" i="2"/>
  <c r="AQ199" i="2"/>
  <c r="AX272" i="21398" l="1"/>
  <c r="M272" i="21398" s="1"/>
  <c r="J271" i="21398"/>
  <c r="AX271" i="21398" s="1"/>
  <c r="C274" i="21398"/>
  <c r="J273" i="21398"/>
  <c r="AX273" i="21398" s="1"/>
  <c r="AY270" i="21398"/>
  <c r="BA270" i="21398" s="1"/>
  <c r="BC270" i="21398"/>
  <c r="AY200" i="2"/>
  <c r="BA200" i="2" s="1"/>
  <c r="AC200" i="2"/>
  <c r="F202" i="2"/>
  <c r="M202" i="2"/>
  <c r="BC202" i="2" s="1"/>
  <c r="AW202" i="2"/>
  <c r="AY202" i="2" s="1"/>
  <c r="BA202" i="2" s="1"/>
  <c r="C204" i="2"/>
  <c r="AX204" i="2" s="1"/>
  <c r="BB132" i="21398"/>
  <c r="BC132" i="21398"/>
  <c r="BA132" i="21398"/>
  <c r="BA177" i="2"/>
  <c r="BB176" i="2"/>
  <c r="K5" i="21411"/>
  <c r="AW5" i="2"/>
  <c r="AZ5" i="2" s="1"/>
  <c r="AC5" i="2"/>
  <c r="F66" i="21408"/>
  <c r="F67" i="21408" s="1"/>
  <c r="F64" i="21408"/>
  <c r="F65" i="21408" s="1"/>
  <c r="K38" i="21411"/>
  <c r="K27" i="21411"/>
  <c r="K26" i="21411"/>
  <c r="K24" i="21411"/>
  <c r="K21" i="21411"/>
  <c r="K20" i="21411"/>
  <c r="K19" i="21411"/>
  <c r="K18" i="21411"/>
  <c r="K17" i="21411"/>
  <c r="K16" i="21411"/>
  <c r="K12" i="21411"/>
  <c r="K9" i="21411"/>
  <c r="K8" i="21411"/>
  <c r="K7" i="21411"/>
  <c r="K6" i="21411"/>
  <c r="AT202" i="2"/>
  <c r="AX274" i="21398" l="1"/>
  <c r="M274" i="21398" s="1"/>
  <c r="J275" i="21398"/>
  <c r="AX275" i="21398" s="1"/>
  <c r="AW274" i="21398"/>
  <c r="C276" i="21398"/>
  <c r="AC202" i="2"/>
  <c r="M204" i="2"/>
  <c r="BC204" i="2" s="1"/>
  <c r="AW204" i="2"/>
  <c r="AY204" i="2" s="1"/>
  <c r="BA204" i="2" s="1"/>
  <c r="C206" i="2"/>
  <c r="AX206" i="2" s="1"/>
  <c r="F204" i="2"/>
  <c r="AW135" i="21398"/>
  <c r="AZ135" i="21398" s="1"/>
  <c r="BB135" i="21398" s="1"/>
  <c r="BA181" i="2"/>
  <c r="BC5" i="2"/>
  <c r="BB5" i="2"/>
  <c r="BA5" i="2"/>
  <c r="K313" i="21408"/>
  <c r="J313" i="21408"/>
  <c r="K35" i="21411"/>
  <c r="K10" i="21411"/>
  <c r="H293" i="21408" s="1"/>
  <c r="G293" i="21408" s="1"/>
  <c r="K22" i="21411"/>
  <c r="H294" i="21408" s="1"/>
  <c r="G294" i="21408" s="1"/>
  <c r="I72" i="21402"/>
  <c r="H72" i="21402"/>
  <c r="I71" i="21402"/>
  <c r="H71" i="21402"/>
  <c r="I70" i="21402"/>
  <c r="H70" i="21402"/>
  <c r="I69" i="21402"/>
  <c r="H69" i="21402"/>
  <c r="I68" i="21402"/>
  <c r="H68" i="21402"/>
  <c r="I67" i="21402"/>
  <c r="H67" i="21402"/>
  <c r="I61" i="21402"/>
  <c r="H61" i="21402"/>
  <c r="I60" i="21402"/>
  <c r="H60" i="21402"/>
  <c r="I59" i="21402"/>
  <c r="H59" i="21402"/>
  <c r="I58" i="21402"/>
  <c r="H58" i="21402"/>
  <c r="I57" i="21402"/>
  <c r="H57" i="21402"/>
  <c r="I56" i="21402"/>
  <c r="H56" i="21402"/>
  <c r="I55" i="21402"/>
  <c r="H55" i="21402"/>
  <c r="I54" i="21402"/>
  <c r="H54" i="21402"/>
  <c r="I53" i="21402"/>
  <c r="H53" i="21402"/>
  <c r="I52" i="21402"/>
  <c r="H52" i="21402"/>
  <c r="I51" i="21402"/>
  <c r="H51" i="21402"/>
  <c r="I50" i="21402"/>
  <c r="H50" i="21402"/>
  <c r="I49" i="21402"/>
  <c r="H49" i="21402"/>
  <c r="I43" i="21402"/>
  <c r="H43" i="21402"/>
  <c r="I42" i="21402"/>
  <c r="H42" i="21402"/>
  <c r="I41" i="21402"/>
  <c r="H41" i="21402"/>
  <c r="I40" i="21402"/>
  <c r="H40" i="21402"/>
  <c r="I39" i="21402"/>
  <c r="H39" i="21402"/>
  <c r="I38" i="21402"/>
  <c r="H38" i="21402"/>
  <c r="I37" i="21402"/>
  <c r="H37" i="21402"/>
  <c r="I36" i="21402"/>
  <c r="H36" i="21402"/>
  <c r="I35" i="21402"/>
  <c r="H35" i="21402"/>
  <c r="I34" i="21402"/>
  <c r="H34" i="21402"/>
  <c r="I33" i="21402"/>
  <c r="H33" i="21402"/>
  <c r="I32" i="21402"/>
  <c r="H32" i="21402"/>
  <c r="I26" i="21402"/>
  <c r="H26" i="21402"/>
  <c r="I25" i="21402"/>
  <c r="H25" i="21402"/>
  <c r="I24" i="21402"/>
  <c r="H24" i="21402"/>
  <c r="I23" i="21402"/>
  <c r="H23" i="21402"/>
  <c r="I22" i="21402"/>
  <c r="H22" i="21402"/>
  <c r="I21" i="21402"/>
  <c r="H21" i="21402"/>
  <c r="I20" i="21402"/>
  <c r="H20" i="21402"/>
  <c r="I19" i="21402"/>
  <c r="H19" i="21402"/>
  <c r="I18" i="21402"/>
  <c r="H18" i="21402"/>
  <c r="I17" i="21402"/>
  <c r="H17" i="21402"/>
  <c r="I16" i="21402"/>
  <c r="H16" i="21402"/>
  <c r="I15" i="21402"/>
  <c r="H15" i="21402"/>
  <c r="I10" i="21402"/>
  <c r="H10" i="21402"/>
  <c r="I9" i="21402"/>
  <c r="H9" i="21402"/>
  <c r="I8" i="21402"/>
  <c r="H8" i="21402"/>
  <c r="I6" i="21402"/>
  <c r="H6" i="21402"/>
  <c r="I5" i="21402"/>
  <c r="H5" i="21402"/>
  <c r="I4" i="21402"/>
  <c r="H4" i="21402"/>
  <c r="I3" i="21402"/>
  <c r="H3" i="21402"/>
  <c r="R68" i="21406"/>
  <c r="Q68" i="21406"/>
  <c r="O68" i="21406"/>
  <c r="R55" i="21406"/>
  <c r="Q55" i="21406"/>
  <c r="P55" i="21406"/>
  <c r="O55" i="21406"/>
  <c r="N55" i="21406"/>
  <c r="R49" i="21406"/>
  <c r="Q49" i="21406"/>
  <c r="P49" i="21406"/>
  <c r="O49" i="21406"/>
  <c r="N49" i="21406"/>
  <c r="R46" i="21406"/>
  <c r="Q46" i="21406"/>
  <c r="P46" i="21406"/>
  <c r="O46" i="21406"/>
  <c r="N46" i="21406"/>
  <c r="R43" i="21406"/>
  <c r="Q43" i="21406"/>
  <c r="P43" i="21406"/>
  <c r="O43" i="21406"/>
  <c r="N43" i="21406"/>
  <c r="R18" i="21406"/>
  <c r="Q18" i="21406"/>
  <c r="P18" i="21406"/>
  <c r="O18" i="21406"/>
  <c r="N18" i="21406"/>
  <c r="R12" i="21406"/>
  <c r="Q12" i="21406"/>
  <c r="P12" i="21406"/>
  <c r="O12" i="21406"/>
  <c r="N12" i="21406"/>
  <c r="R9" i="21406"/>
  <c r="Q9" i="21406"/>
  <c r="P9" i="21406"/>
  <c r="O9" i="21406"/>
  <c r="N9" i="21406"/>
  <c r="R6" i="21406"/>
  <c r="Q6" i="21406"/>
  <c r="P6" i="21406"/>
  <c r="O6" i="21406"/>
  <c r="N6" i="21406"/>
  <c r="S4" i="21406"/>
  <c r="A289" i="21410"/>
  <c r="A251" i="21410"/>
  <c r="A213" i="21410"/>
  <c r="A212" i="21410"/>
  <c r="A211" i="21410"/>
  <c r="A210" i="21410"/>
  <c r="A209" i="21410"/>
  <c r="A208" i="21410"/>
  <c r="A207" i="21410"/>
  <c r="A206" i="21410"/>
  <c r="A205" i="21410"/>
  <c r="A199" i="21410"/>
  <c r="BD5" i="21417" s="1"/>
  <c r="A169" i="21410"/>
  <c r="A168" i="21410"/>
  <c r="A167" i="21410"/>
  <c r="A166" i="21410"/>
  <c r="A147" i="21410"/>
  <c r="A146" i="21410"/>
  <c r="A145" i="21410"/>
  <c r="A144" i="21410"/>
  <c r="A143" i="21410"/>
  <c r="A142" i="21410"/>
  <c r="A141" i="21410"/>
  <c r="A140" i="21410"/>
  <c r="A139" i="21410"/>
  <c r="A121" i="21410"/>
  <c r="A120" i="21410"/>
  <c r="A119" i="21410"/>
  <c r="A118" i="21410"/>
  <c r="A117" i="21410"/>
  <c r="A116" i="21410"/>
  <c r="BD140" i="2" s="1"/>
  <c r="A115" i="21410"/>
  <c r="A114" i="21410"/>
  <c r="A113" i="21410"/>
  <c r="A95" i="21410"/>
  <c r="A94" i="21410"/>
  <c r="A93" i="21410"/>
  <c r="A92" i="21410"/>
  <c r="A91" i="21410"/>
  <c r="A90" i="21410"/>
  <c r="A89" i="21410"/>
  <c r="A88" i="21410"/>
  <c r="A87" i="21410"/>
  <c r="A69" i="21410"/>
  <c r="A68" i="21410"/>
  <c r="A67" i="21410"/>
  <c r="A66" i="21410"/>
  <c r="A65" i="21410"/>
  <c r="A64" i="21410"/>
  <c r="A63" i="21410"/>
  <c r="A62" i="21410"/>
  <c r="A61" i="21410"/>
  <c r="A43" i="21410"/>
  <c r="A42" i="21410"/>
  <c r="A41" i="21410"/>
  <c r="A40" i="21410"/>
  <c r="A39" i="21410"/>
  <c r="A38" i="21410"/>
  <c r="A37" i="21410"/>
  <c r="A36" i="21410"/>
  <c r="A35" i="21410"/>
  <c r="K373" i="21408"/>
  <c r="J373" i="21408"/>
  <c r="K371" i="21408"/>
  <c r="J371" i="21408"/>
  <c r="K370" i="21408"/>
  <c r="J370" i="21408"/>
  <c r="K369" i="21408"/>
  <c r="J369" i="21408"/>
  <c r="K368" i="21408"/>
  <c r="J368" i="21408"/>
  <c r="K366" i="21408"/>
  <c r="J366" i="21408"/>
  <c r="K365" i="21408"/>
  <c r="J365" i="21408"/>
  <c r="K364" i="21408"/>
  <c r="J364" i="21408"/>
  <c r="K312" i="21408"/>
  <c r="J312" i="21408"/>
  <c r="K311" i="21408"/>
  <c r="J311" i="21408"/>
  <c r="K309" i="21408"/>
  <c r="J309" i="21408"/>
  <c r="N339" i="21408"/>
  <c r="M339" i="21408"/>
  <c r="K339" i="21408"/>
  <c r="J339" i="21408"/>
  <c r="I339" i="21408"/>
  <c r="H339" i="21408"/>
  <c r="N338" i="21408"/>
  <c r="M338" i="21408"/>
  <c r="K338" i="21408"/>
  <c r="J338" i="21408"/>
  <c r="I338" i="21408"/>
  <c r="H338" i="21408"/>
  <c r="I361" i="21408"/>
  <c r="G361" i="21408" s="1"/>
  <c r="N359" i="21408"/>
  <c r="M359" i="21408"/>
  <c r="K359" i="21408"/>
  <c r="J359" i="21408"/>
  <c r="I359" i="21408"/>
  <c r="H359" i="21408"/>
  <c r="N358" i="21408"/>
  <c r="M358" i="21408"/>
  <c r="K358" i="21408"/>
  <c r="J358" i="21408"/>
  <c r="I358" i="21408"/>
  <c r="H358" i="21408"/>
  <c r="N357" i="21408"/>
  <c r="M357" i="21408"/>
  <c r="K357" i="21408"/>
  <c r="J357" i="21408"/>
  <c r="I357" i="21408"/>
  <c r="H357" i="21408"/>
  <c r="N356" i="21408"/>
  <c r="M356" i="21408"/>
  <c r="K356" i="21408"/>
  <c r="J356" i="21408"/>
  <c r="I356" i="21408"/>
  <c r="H356" i="21408"/>
  <c r="N354" i="21408"/>
  <c r="N353" i="21408" s="1"/>
  <c r="M354" i="21408"/>
  <c r="M353" i="21408" s="1"/>
  <c r="K354" i="21408"/>
  <c r="K353" i="21408" s="1"/>
  <c r="J354" i="21408"/>
  <c r="J353" i="21408" s="1"/>
  <c r="I354" i="21408"/>
  <c r="I353" i="21408" s="1"/>
  <c r="H354" i="21408"/>
  <c r="N352" i="21408"/>
  <c r="M352" i="21408"/>
  <c r="K352" i="21408"/>
  <c r="J352" i="21408"/>
  <c r="I352" i="21408"/>
  <c r="H352" i="21408"/>
  <c r="N351" i="21408"/>
  <c r="M351" i="21408"/>
  <c r="K351" i="21408"/>
  <c r="J351" i="21408"/>
  <c r="I351" i="21408"/>
  <c r="H351" i="21408"/>
  <c r="N350" i="21408"/>
  <c r="M350" i="21408"/>
  <c r="K350" i="21408"/>
  <c r="J350" i="21408"/>
  <c r="I350" i="21408"/>
  <c r="H350" i="21408"/>
  <c r="N349" i="21408"/>
  <c r="M349" i="21408"/>
  <c r="K349" i="21408"/>
  <c r="J349" i="21408"/>
  <c r="I349" i="21408"/>
  <c r="H349" i="21408"/>
  <c r="N347" i="21408"/>
  <c r="M347" i="21408"/>
  <c r="K347" i="21408"/>
  <c r="J347" i="21408"/>
  <c r="I347" i="21408"/>
  <c r="H347" i="21408"/>
  <c r="N346" i="21408"/>
  <c r="M346" i="21408"/>
  <c r="K346" i="21408"/>
  <c r="J346" i="21408"/>
  <c r="I346" i="21408"/>
  <c r="H346" i="21408"/>
  <c r="N345" i="21408"/>
  <c r="M345" i="21408"/>
  <c r="K345" i="21408"/>
  <c r="J345" i="21408"/>
  <c r="I345" i="21408"/>
  <c r="H345" i="21408"/>
  <c r="N344" i="21408"/>
  <c r="M344" i="21408"/>
  <c r="K344" i="21408"/>
  <c r="J344" i="21408"/>
  <c r="I344" i="21408"/>
  <c r="H344" i="21408"/>
  <c r="N343" i="21408"/>
  <c r="M343" i="21408"/>
  <c r="K343" i="21408"/>
  <c r="J343" i="21408"/>
  <c r="I343" i="21408"/>
  <c r="H343" i="21408"/>
  <c r="N342" i="21408"/>
  <c r="M342" i="21408"/>
  <c r="K342" i="21408"/>
  <c r="J342" i="21408"/>
  <c r="I342" i="21408"/>
  <c r="H342" i="21408"/>
  <c r="N340" i="21408"/>
  <c r="M340" i="21408"/>
  <c r="K340" i="21408"/>
  <c r="J340" i="21408"/>
  <c r="I340" i="21408"/>
  <c r="H340" i="21408"/>
  <c r="N336" i="21408"/>
  <c r="M336" i="21408"/>
  <c r="K336" i="21408"/>
  <c r="J336" i="21408"/>
  <c r="I336" i="21408"/>
  <c r="H336" i="21408"/>
  <c r="N335" i="21408"/>
  <c r="M335" i="21408"/>
  <c r="K335" i="21408"/>
  <c r="J335" i="21408"/>
  <c r="I335" i="21408"/>
  <c r="H335" i="21408"/>
  <c r="N333" i="21408"/>
  <c r="M333" i="21408"/>
  <c r="K333" i="21408"/>
  <c r="J333" i="21408"/>
  <c r="I333" i="21408"/>
  <c r="H333" i="21408"/>
  <c r="N331" i="21408"/>
  <c r="M331" i="21408"/>
  <c r="K331" i="21408"/>
  <c r="J331" i="21408"/>
  <c r="I331" i="21408"/>
  <c r="H331" i="21408"/>
  <c r="K285" i="21408"/>
  <c r="J285" i="21408"/>
  <c r="K284" i="21408"/>
  <c r="J284" i="21408"/>
  <c r="K300" i="21408"/>
  <c r="K301" i="21408" s="1"/>
  <c r="K302" i="21408" s="1"/>
  <c r="J300" i="21408"/>
  <c r="J301" i="21408" s="1"/>
  <c r="J302" i="21408" s="1"/>
  <c r="K327" i="21408"/>
  <c r="J327" i="21408"/>
  <c r="K326" i="21408"/>
  <c r="J326" i="21408"/>
  <c r="K325" i="21408"/>
  <c r="J325" i="21408"/>
  <c r="K324" i="21408"/>
  <c r="J324" i="21408"/>
  <c r="K323" i="21408"/>
  <c r="J323" i="21408"/>
  <c r="K283" i="21408"/>
  <c r="J283" i="21408"/>
  <c r="K282" i="21408"/>
  <c r="J282" i="21408"/>
  <c r="K281" i="21408"/>
  <c r="J281" i="21408"/>
  <c r="K280" i="21408"/>
  <c r="J280" i="21408"/>
  <c r="K279" i="21408"/>
  <c r="J279" i="21408"/>
  <c r="K278" i="21408"/>
  <c r="J278" i="21408"/>
  <c r="K277" i="21408"/>
  <c r="J277" i="21408"/>
  <c r="K276" i="21408"/>
  <c r="J276" i="21408"/>
  <c r="K275" i="21408"/>
  <c r="J275" i="21408"/>
  <c r="K274" i="21408"/>
  <c r="J274" i="21408"/>
  <c r="K273" i="21408"/>
  <c r="J273" i="21408"/>
  <c r="K272" i="21408"/>
  <c r="J272" i="21408"/>
  <c r="N286" i="21408"/>
  <c r="N287" i="21408" s="1"/>
  <c r="M286" i="21408"/>
  <c r="M287" i="21408" s="1"/>
  <c r="K286" i="21408"/>
  <c r="K287" i="21408" s="1"/>
  <c r="J286" i="21408"/>
  <c r="J287" i="21408" s="1"/>
  <c r="I286" i="21408"/>
  <c r="I287" i="21408" s="1"/>
  <c r="H286" i="21408"/>
  <c r="K261" i="21408"/>
  <c r="J261" i="21408"/>
  <c r="K259" i="21408"/>
  <c r="J259" i="21408"/>
  <c r="N258" i="21408"/>
  <c r="M258" i="21408"/>
  <c r="K258" i="21408"/>
  <c r="J258" i="21408"/>
  <c r="I258" i="21408"/>
  <c r="H258" i="21408"/>
  <c r="N256" i="21408"/>
  <c r="M256" i="21408"/>
  <c r="K256" i="21408"/>
  <c r="J256" i="21408"/>
  <c r="I256" i="21408"/>
  <c r="H256" i="21408"/>
  <c r="K254" i="21408"/>
  <c r="J254" i="21408"/>
  <c r="K253" i="21408"/>
  <c r="J253" i="21408"/>
  <c r="K252" i="21408"/>
  <c r="J252" i="21408"/>
  <c r="K251" i="21408"/>
  <c r="J251" i="21408"/>
  <c r="K250" i="21408"/>
  <c r="J250" i="21408"/>
  <c r="K249" i="21408"/>
  <c r="J249" i="21408"/>
  <c r="K248" i="21408"/>
  <c r="J248" i="21408"/>
  <c r="K247" i="21408"/>
  <c r="J247" i="21408"/>
  <c r="K246" i="21408"/>
  <c r="J246" i="21408"/>
  <c r="K245" i="21408"/>
  <c r="J245" i="21408"/>
  <c r="K244" i="21408"/>
  <c r="J244" i="21408"/>
  <c r="K243" i="21408"/>
  <c r="J243" i="21408"/>
  <c r="K242" i="21408"/>
  <c r="J242" i="21408"/>
  <c r="K241" i="21408"/>
  <c r="J241" i="21408"/>
  <c r="K240" i="21408"/>
  <c r="J240" i="21408"/>
  <c r="K239" i="21408"/>
  <c r="J239" i="21408"/>
  <c r="K238" i="21408"/>
  <c r="J238" i="21408"/>
  <c r="K237" i="21408"/>
  <c r="J237" i="21408"/>
  <c r="K236" i="21408"/>
  <c r="J236" i="21408"/>
  <c r="K269" i="21408"/>
  <c r="J269" i="21408"/>
  <c r="K268" i="21408"/>
  <c r="J268" i="21408"/>
  <c r="K267" i="21408"/>
  <c r="J267" i="21408"/>
  <c r="K266" i="21408"/>
  <c r="J266" i="21408"/>
  <c r="K231" i="21408"/>
  <c r="J231" i="21408"/>
  <c r="K230" i="21408"/>
  <c r="J230" i="21408"/>
  <c r="K229" i="21408"/>
  <c r="J229" i="21408"/>
  <c r="K228" i="21408"/>
  <c r="J228" i="21408"/>
  <c r="K227" i="21408"/>
  <c r="J227" i="21408"/>
  <c r="K226" i="21408"/>
  <c r="J226" i="21408"/>
  <c r="K225" i="21408"/>
  <c r="J225" i="21408"/>
  <c r="K224" i="21408"/>
  <c r="J224" i="21408"/>
  <c r="K221" i="21408"/>
  <c r="J221" i="21408"/>
  <c r="K220" i="21408"/>
  <c r="J220" i="21408"/>
  <c r="K219" i="21408"/>
  <c r="J219" i="21408"/>
  <c r="K217" i="21408"/>
  <c r="K218" i="21408" s="1"/>
  <c r="J217" i="21408"/>
  <c r="J218" i="21408" s="1"/>
  <c r="K215" i="21408"/>
  <c r="K216" i="21408" s="1"/>
  <c r="J215" i="21408"/>
  <c r="J216" i="21408" s="1"/>
  <c r="K214" i="21408"/>
  <c r="J214" i="21408"/>
  <c r="K201" i="21408"/>
  <c r="J201" i="21408"/>
  <c r="K200" i="21408"/>
  <c r="J200" i="21408"/>
  <c r="K198" i="21408"/>
  <c r="J198" i="21408"/>
  <c r="K197" i="21408"/>
  <c r="J197" i="21408"/>
  <c r="K196" i="21408"/>
  <c r="J196" i="21408"/>
  <c r="K195" i="21408"/>
  <c r="J195" i="21408"/>
  <c r="K193" i="21408"/>
  <c r="J193" i="21408"/>
  <c r="K192" i="21408"/>
  <c r="J192" i="21408"/>
  <c r="K191" i="21408"/>
  <c r="J191" i="21408"/>
  <c r="K190" i="21408"/>
  <c r="J190" i="21408"/>
  <c r="K189" i="21408"/>
  <c r="J189" i="21408"/>
  <c r="K188" i="21408"/>
  <c r="J188" i="21408"/>
  <c r="K187" i="21408"/>
  <c r="J187" i="21408"/>
  <c r="K186" i="21408"/>
  <c r="J186" i="21408"/>
  <c r="K185" i="21408"/>
  <c r="J185" i="21408"/>
  <c r="K184" i="21408"/>
  <c r="J184" i="21408"/>
  <c r="K183" i="21408"/>
  <c r="J183" i="21408"/>
  <c r="K182" i="21408"/>
  <c r="J182" i="21408"/>
  <c r="K176" i="21408"/>
  <c r="J176" i="21408"/>
  <c r="K175" i="21408"/>
  <c r="J175" i="21408"/>
  <c r="K174" i="21408"/>
  <c r="J174" i="21408"/>
  <c r="K173" i="21408"/>
  <c r="J173" i="21408"/>
  <c r="K172" i="21408"/>
  <c r="J172" i="21408"/>
  <c r="K171" i="21408"/>
  <c r="J171" i="21408"/>
  <c r="K170" i="21408"/>
  <c r="J170" i="21408"/>
  <c r="K168" i="21408"/>
  <c r="J168" i="21408"/>
  <c r="K167" i="21408"/>
  <c r="J167" i="21408"/>
  <c r="K166" i="21408"/>
  <c r="J166" i="21408"/>
  <c r="K165" i="21408"/>
  <c r="J165" i="21408"/>
  <c r="K164" i="21408"/>
  <c r="J164" i="21408"/>
  <c r="K163" i="21408"/>
  <c r="J163" i="21408"/>
  <c r="K162" i="21408"/>
  <c r="J162" i="21408"/>
  <c r="K161" i="21408"/>
  <c r="J161" i="21408"/>
  <c r="K160" i="21408"/>
  <c r="J160" i="21408"/>
  <c r="K159" i="21408"/>
  <c r="J159" i="21408"/>
  <c r="K158" i="21408"/>
  <c r="J158" i="21408"/>
  <c r="K157" i="21408"/>
  <c r="J157" i="21408"/>
  <c r="K156" i="21408"/>
  <c r="J156" i="21408"/>
  <c r="K155" i="21408"/>
  <c r="J155" i="21408"/>
  <c r="K154" i="21408"/>
  <c r="J154" i="21408"/>
  <c r="K153" i="21408"/>
  <c r="J153" i="21408"/>
  <c r="K152" i="21408"/>
  <c r="J152" i="21408"/>
  <c r="K136" i="21408"/>
  <c r="J136" i="21408"/>
  <c r="K135" i="21408"/>
  <c r="J135" i="21408"/>
  <c r="K127" i="21408"/>
  <c r="J127" i="21408"/>
  <c r="K126" i="21408"/>
  <c r="J126" i="21408"/>
  <c r="K118" i="21408"/>
  <c r="J118" i="21408"/>
  <c r="K117" i="21408"/>
  <c r="J117" i="21408"/>
  <c r="K151" i="21408"/>
  <c r="J151" i="21408"/>
  <c r="K149" i="21408"/>
  <c r="J149" i="21408"/>
  <c r="K134" i="21408"/>
  <c r="J134" i="21408"/>
  <c r="K133" i="21408"/>
  <c r="J133" i="21408"/>
  <c r="K132" i="21408"/>
  <c r="J132" i="21408"/>
  <c r="K131" i="21408"/>
  <c r="J131" i="21408"/>
  <c r="K130" i="21408"/>
  <c r="J130" i="21408"/>
  <c r="K129" i="21408"/>
  <c r="J129" i="21408"/>
  <c r="K128" i="21408"/>
  <c r="J128" i="21408"/>
  <c r="K125" i="21408"/>
  <c r="J125" i="21408"/>
  <c r="K124" i="21408"/>
  <c r="J124" i="21408"/>
  <c r="K123" i="21408"/>
  <c r="J123" i="21408"/>
  <c r="K122" i="21408"/>
  <c r="J122" i="21408"/>
  <c r="K121" i="21408"/>
  <c r="J121" i="21408"/>
  <c r="K120" i="21408"/>
  <c r="J120" i="21408"/>
  <c r="K119" i="21408"/>
  <c r="J119" i="21408"/>
  <c r="K116" i="21408"/>
  <c r="J116" i="21408"/>
  <c r="K115" i="21408"/>
  <c r="J115" i="21408"/>
  <c r="K114" i="21408"/>
  <c r="J114" i="21408"/>
  <c r="K113" i="21408"/>
  <c r="J113" i="21408"/>
  <c r="K112" i="21408"/>
  <c r="J112" i="21408"/>
  <c r="K111" i="21408"/>
  <c r="J111" i="21408"/>
  <c r="K110" i="21408"/>
  <c r="J110" i="21408"/>
  <c r="K109" i="21408"/>
  <c r="J109" i="21408"/>
  <c r="K108" i="21408"/>
  <c r="J108" i="21408"/>
  <c r="K107" i="21408"/>
  <c r="J107" i="21408"/>
  <c r="K106" i="21408"/>
  <c r="J106" i="21408"/>
  <c r="K105" i="21408"/>
  <c r="J105" i="21408"/>
  <c r="K104" i="21408"/>
  <c r="J104" i="21408"/>
  <c r="K103" i="21408"/>
  <c r="J103" i="21408"/>
  <c r="K102" i="21408"/>
  <c r="J102" i="21408"/>
  <c r="K97" i="21408"/>
  <c r="J97" i="21408"/>
  <c r="K96" i="21408"/>
  <c r="J96" i="21408"/>
  <c r="K95" i="21408"/>
  <c r="J95" i="21408"/>
  <c r="K94" i="21408"/>
  <c r="J94" i="21408"/>
  <c r="K93" i="21408"/>
  <c r="J93" i="21408"/>
  <c r="K92" i="21408"/>
  <c r="J92" i="21408"/>
  <c r="K91" i="21408"/>
  <c r="J91" i="21408"/>
  <c r="K90" i="21408"/>
  <c r="J90" i="21408"/>
  <c r="K89" i="21408"/>
  <c r="J89" i="21408"/>
  <c r="K88" i="21408"/>
  <c r="J88" i="21408"/>
  <c r="K87" i="21408"/>
  <c r="J87" i="21408"/>
  <c r="K86" i="21408"/>
  <c r="J86" i="21408"/>
  <c r="K85" i="21408"/>
  <c r="J85" i="21408"/>
  <c r="K84" i="21408"/>
  <c r="J84" i="21408"/>
  <c r="K83" i="21408"/>
  <c r="J83" i="21408"/>
  <c r="K82" i="21408"/>
  <c r="J82" i="21408"/>
  <c r="K81" i="21408"/>
  <c r="J81" i="21408"/>
  <c r="K80" i="21408"/>
  <c r="J80" i="21408"/>
  <c r="K79" i="21408"/>
  <c r="J79" i="21408"/>
  <c r="K78" i="21408"/>
  <c r="J78" i="21408"/>
  <c r="K77" i="21408"/>
  <c r="J77" i="21408"/>
  <c r="K76" i="21408"/>
  <c r="J76" i="21408"/>
  <c r="K75" i="21408"/>
  <c r="J75" i="21408"/>
  <c r="K74" i="21408"/>
  <c r="J74" i="21408"/>
  <c r="K73" i="21408"/>
  <c r="J73" i="21408"/>
  <c r="K72" i="21408"/>
  <c r="J72" i="21408"/>
  <c r="K71" i="21408"/>
  <c r="J71" i="21408"/>
  <c r="K70" i="21408"/>
  <c r="J70" i="21408"/>
  <c r="K69" i="21408"/>
  <c r="J69" i="21408"/>
  <c r="K68" i="21408"/>
  <c r="J68" i="21408"/>
  <c r="K148" i="21408"/>
  <c r="J148" i="21408"/>
  <c r="K147" i="21408"/>
  <c r="J147" i="21408"/>
  <c r="K146" i="21408"/>
  <c r="J146" i="21408"/>
  <c r="K145" i="21408"/>
  <c r="J145" i="21408"/>
  <c r="K144" i="21408"/>
  <c r="J144" i="21408"/>
  <c r="K143" i="21408"/>
  <c r="J143" i="21408"/>
  <c r="K142" i="21408"/>
  <c r="J142" i="21408"/>
  <c r="K141" i="21408"/>
  <c r="J141" i="21408"/>
  <c r="K140" i="21408"/>
  <c r="J140" i="21408"/>
  <c r="K137" i="21408"/>
  <c r="J137" i="21408"/>
  <c r="N67" i="21408"/>
  <c r="M67" i="21408"/>
  <c r="K67" i="21408"/>
  <c r="J67" i="21408"/>
  <c r="I67" i="21408"/>
  <c r="H67" i="21408"/>
  <c r="N66" i="21408"/>
  <c r="M66" i="21408"/>
  <c r="K66" i="21408"/>
  <c r="J66" i="21408"/>
  <c r="I66" i="21408"/>
  <c r="H66" i="21408"/>
  <c r="N65" i="21408"/>
  <c r="M65" i="21408"/>
  <c r="K65" i="21408"/>
  <c r="J65" i="21408"/>
  <c r="I65" i="21408"/>
  <c r="H65" i="21408"/>
  <c r="N64" i="21408"/>
  <c r="M64" i="21408"/>
  <c r="K64" i="21408"/>
  <c r="J64" i="21408"/>
  <c r="I64" i="21408"/>
  <c r="H64" i="21408"/>
  <c r="K63" i="21408"/>
  <c r="J63" i="21408"/>
  <c r="K32" i="21408"/>
  <c r="J32" i="21408"/>
  <c r="K31" i="21408"/>
  <c r="J31" i="21408"/>
  <c r="K30" i="21408"/>
  <c r="J30" i="21408"/>
  <c r="K29" i="21408"/>
  <c r="J29" i="21408"/>
  <c r="K28" i="21408"/>
  <c r="J28" i="21408"/>
  <c r="K27" i="21408"/>
  <c r="J27" i="21408"/>
  <c r="K26" i="21408"/>
  <c r="J26" i="21408"/>
  <c r="K25" i="21408"/>
  <c r="J25" i="21408"/>
  <c r="K24" i="21408"/>
  <c r="J24" i="21408"/>
  <c r="K23" i="21408"/>
  <c r="J23" i="21408"/>
  <c r="K22" i="21408"/>
  <c r="J22" i="21408"/>
  <c r="K21" i="21408"/>
  <c r="J21" i="21408"/>
  <c r="K20" i="21408"/>
  <c r="J20" i="21408"/>
  <c r="K19" i="21408"/>
  <c r="J19" i="21408"/>
  <c r="K18" i="21408"/>
  <c r="J18" i="21408"/>
  <c r="K17" i="21408"/>
  <c r="J17" i="21408"/>
  <c r="K16" i="21408"/>
  <c r="J16" i="21408"/>
  <c r="K15" i="21408"/>
  <c r="J15" i="21408"/>
  <c r="K14" i="21408"/>
  <c r="J14" i="21408"/>
  <c r="K13" i="21408"/>
  <c r="J13" i="21408"/>
  <c r="K12" i="21408"/>
  <c r="J12" i="21408"/>
  <c r="K11" i="21408"/>
  <c r="J11" i="21408"/>
  <c r="K10" i="21408"/>
  <c r="J10" i="21408"/>
  <c r="K9" i="21408"/>
  <c r="J9" i="21408"/>
  <c r="K8" i="21408"/>
  <c r="J8" i="21408"/>
  <c r="K7" i="21408"/>
  <c r="J7" i="21408"/>
  <c r="K6" i="21408"/>
  <c r="J6" i="21408"/>
  <c r="K5" i="21408"/>
  <c r="J5" i="21408"/>
  <c r="K4" i="21408"/>
  <c r="J4" i="21408"/>
  <c r="K3" i="21408"/>
  <c r="J3" i="21408"/>
  <c r="AQ203" i="2"/>
  <c r="AQ201" i="2"/>
  <c r="AT204" i="2"/>
  <c r="BD34" i="21415" l="1"/>
  <c r="BD30" i="21415"/>
  <c r="BD208" i="2"/>
  <c r="BD152" i="2"/>
  <c r="BD632" i="2"/>
  <c r="BD654" i="2"/>
  <c r="BD930" i="21398"/>
  <c r="BD1134" i="21398"/>
  <c r="BD1136" i="2"/>
  <c r="BD408" i="2"/>
  <c r="BD496" i="2"/>
  <c r="BD944" i="2"/>
  <c r="BD942" i="2"/>
  <c r="BD410" i="2"/>
  <c r="BD498" i="2"/>
  <c r="BD646" i="2"/>
  <c r="BD646" i="21398"/>
  <c r="BD582" i="2"/>
  <c r="BD584" i="2"/>
  <c r="BD582" i="21398"/>
  <c r="BD584" i="21398"/>
  <c r="BD65" i="21417"/>
  <c r="BD63" i="21417"/>
  <c r="BD20" i="21413"/>
  <c r="BD43" i="21417"/>
  <c r="BD35" i="21417"/>
  <c r="BD27" i="21417"/>
  <c r="BD19" i="21417"/>
  <c r="BD9" i="21417"/>
  <c r="BD49" i="21416"/>
  <c r="BD41" i="21416"/>
  <c r="BD33" i="21416"/>
  <c r="BD25" i="21416"/>
  <c r="BD17" i="21416"/>
  <c r="BD7" i="21416"/>
  <c r="BD33" i="21417"/>
  <c r="BD25" i="21417"/>
  <c r="BD17" i="21417"/>
  <c r="BD13" i="21416"/>
  <c r="BD31" i="21417"/>
  <c r="BD15" i="21417"/>
  <c r="BD53" i="21416"/>
  <c r="BD45" i="21416"/>
  <c r="BD37" i="21416"/>
  <c r="BD21" i="21416"/>
  <c r="BD11" i="21416"/>
  <c r="BD45" i="21417"/>
  <c r="BD37" i="21417"/>
  <c r="BD21" i="21417"/>
  <c r="BD11" i="21417"/>
  <c r="BD51" i="21416"/>
  <c r="BD35" i="21416"/>
  <c r="BD27" i="21416"/>
  <c r="BD19" i="21416"/>
  <c r="BD9" i="21416"/>
  <c r="BD41" i="21417"/>
  <c r="BD7" i="21417"/>
  <c r="BD47" i="21416"/>
  <c r="BD39" i="21416"/>
  <c r="BD31" i="21416"/>
  <c r="BD23" i="21416"/>
  <c r="BD39" i="21417"/>
  <c r="BD29" i="21416"/>
  <c r="BD43" i="21416"/>
  <c r="BD23" i="21417"/>
  <c r="BD29" i="21417"/>
  <c r="BD8" i="21415"/>
  <c r="BD18" i="21415"/>
  <c r="BD26" i="21415"/>
  <c r="BD40" i="21415"/>
  <c r="BD28" i="21400"/>
  <c r="BD20" i="21400"/>
  <c r="BD52" i="21413"/>
  <c r="BD44" i="21413"/>
  <c r="BD40" i="21400" s="1"/>
  <c r="BD14" i="21413"/>
  <c r="BD10" i="21400" s="1"/>
  <c r="BD34" i="108"/>
  <c r="BD26" i="108"/>
  <c r="BD18" i="108"/>
  <c r="BD67" i="3"/>
  <c r="BD59" i="3"/>
  <c r="BD51" i="3"/>
  <c r="BD43" i="3"/>
  <c r="BD40" i="108" s="1"/>
  <c r="BD7" i="3"/>
  <c r="BD34" i="21400"/>
  <c r="BD36" i="21399" s="1"/>
  <c r="BD14" i="21400"/>
  <c r="BD8" i="21399" s="1"/>
  <c r="BD40" i="21413"/>
  <c r="BD36" i="21400" s="1"/>
  <c r="BD38" i="21399" s="1"/>
  <c r="BD38" i="108"/>
  <c r="BD22" i="108"/>
  <c r="BD63" i="3"/>
  <c r="BD47" i="3"/>
  <c r="BD44" i="108" s="1"/>
  <c r="BD30" i="21400"/>
  <c r="BD12" i="21415"/>
  <c r="BD20" i="21415"/>
  <c r="BD28" i="21415"/>
  <c r="BD60" i="21415"/>
  <c r="BD34" i="21399"/>
  <c r="BD26" i="21400"/>
  <c r="BD18" i="21400"/>
  <c r="BD50" i="21413"/>
  <c r="BD42" i="21413"/>
  <c r="BD38" i="21400" s="1"/>
  <c r="BD12" i="21413"/>
  <c r="BD8" i="21400" s="1"/>
  <c r="BD32" i="108"/>
  <c r="BD24" i="108"/>
  <c r="BD16" i="108"/>
  <c r="BD65" i="3"/>
  <c r="BD57" i="3"/>
  <c r="BD49" i="3"/>
  <c r="BD13" i="3"/>
  <c r="BD10" i="108" s="1"/>
  <c r="BD24" i="21400"/>
  <c r="BD48" i="21413"/>
  <c r="BD44" i="21400" s="1"/>
  <c r="BD8" i="21413"/>
  <c r="BD30" i="108"/>
  <c r="BD14" i="108"/>
  <c r="BD71" i="3"/>
  <c r="BD55" i="3"/>
  <c r="BD11" i="3"/>
  <c r="BD8" i="108" s="1"/>
  <c r="BD22" i="21400"/>
  <c r="BD16" i="21413"/>
  <c r="BD12" i="21400" s="1"/>
  <c r="BD6" i="21399" s="1"/>
  <c r="BD36" i="108"/>
  <c r="BD20" i="108"/>
  <c r="BD69" i="3"/>
  <c r="BD61" i="3"/>
  <c r="BD53" i="3"/>
  <c r="BD9" i="3"/>
  <c r="BD6" i="108" s="1"/>
  <c r="BD14" i="21415"/>
  <c r="BD22" i="21415"/>
  <c r="BD32" i="21415"/>
  <c r="BD6" i="21415"/>
  <c r="BD16" i="21415"/>
  <c r="BD24" i="21415"/>
  <c r="BD36" i="21415"/>
  <c r="BD46" i="21413"/>
  <c r="BD42" i="21400" s="1"/>
  <c r="BD10" i="21413"/>
  <c r="BD6" i="21400" s="1"/>
  <c r="BD28" i="108"/>
  <c r="BD12" i="108"/>
  <c r="BD45" i="3"/>
  <c r="BD42" i="108" s="1"/>
  <c r="BD1178" i="21398"/>
  <c r="BD1188" i="2"/>
  <c r="BD934" i="2"/>
  <c r="BD924" i="2"/>
  <c r="BD910" i="2"/>
  <c r="BD900" i="2"/>
  <c r="BD486" i="2"/>
  <c r="BD478" i="2"/>
  <c r="BD468" i="2"/>
  <c r="BD460" i="2"/>
  <c r="BD452" i="2"/>
  <c r="BD150" i="2"/>
  <c r="BD1146" i="2"/>
  <c r="BD908" i="2"/>
  <c r="BD484" i="2"/>
  <c r="BD466" i="2"/>
  <c r="BD450" i="2"/>
  <c r="BD1176" i="21398"/>
  <c r="BD930" i="2"/>
  <c r="BD918" i="2"/>
  <c r="BD492" i="2"/>
  <c r="BD474" i="2"/>
  <c r="BD458" i="2"/>
  <c r="BD1182" i="21398"/>
  <c r="BD1174" i="21398"/>
  <c r="BD950" i="2"/>
  <c r="BD928" i="2"/>
  <c r="BD914" i="2"/>
  <c r="BD906" i="2"/>
  <c r="BD490" i="2"/>
  <c r="BD482" i="2"/>
  <c r="BD472" i="2"/>
  <c r="BD464" i="2"/>
  <c r="BD456" i="2"/>
  <c r="BD1180" i="21398"/>
  <c r="BD476" i="21398"/>
  <c r="BD1190" i="2"/>
  <c r="BD948" i="2"/>
  <c r="BD926" i="2"/>
  <c r="BD912" i="2"/>
  <c r="BD902" i="2"/>
  <c r="BD488" i="2"/>
  <c r="BD480" i="2"/>
  <c r="BD470" i="2"/>
  <c r="BD462" i="2"/>
  <c r="BD454" i="2"/>
  <c r="BD204" i="2"/>
  <c r="BD198" i="2"/>
  <c r="BD190" i="2"/>
  <c r="BD184" i="2"/>
  <c r="BD180" i="2"/>
  <c r="BD176" i="2"/>
  <c r="BD172" i="2"/>
  <c r="BD168" i="2"/>
  <c r="BD206" i="2"/>
  <c r="BD200" i="2"/>
  <c r="BD202" i="2"/>
  <c r="BD196" i="2"/>
  <c r="BD188" i="2"/>
  <c r="BD192" i="2"/>
  <c r="BD210" i="2"/>
  <c r="BD194" i="2"/>
  <c r="BD186" i="2"/>
  <c r="BD182" i="2"/>
  <c r="BD178" i="2"/>
  <c r="BD174" i="2"/>
  <c r="BD170" i="2"/>
  <c r="BD166" i="2"/>
  <c r="BD162" i="2"/>
  <c r="BD154" i="2"/>
  <c r="BD160" i="2"/>
  <c r="BD148" i="2"/>
  <c r="BD164" i="2"/>
  <c r="BD156" i="2"/>
  <c r="BD158" i="2"/>
  <c r="BD146" i="2"/>
  <c r="AY274" i="21398"/>
  <c r="BA274" i="21398" s="1"/>
  <c r="BC274" i="21398"/>
  <c r="AX276" i="21398"/>
  <c r="M276" i="21398" s="1"/>
  <c r="C278" i="21398"/>
  <c r="AW276" i="21398"/>
  <c r="BA6" i="21398"/>
  <c r="BA24" i="21398"/>
  <c r="BA24" i="2"/>
  <c r="BA220" i="21398"/>
  <c r="BA214" i="21398"/>
  <c r="BD940" i="2"/>
  <c r="BD412" i="2"/>
  <c r="BD496" i="21398"/>
  <c r="BD56" i="21413" s="1"/>
  <c r="BD892" i="2"/>
  <c r="BD142" i="21398"/>
  <c r="BD136" i="2"/>
  <c r="BD1126" i="21398"/>
  <c r="BD746" i="21398"/>
  <c r="BD222" i="21398"/>
  <c r="BD748" i="2"/>
  <c r="BD1128" i="2"/>
  <c r="BD692" i="2"/>
  <c r="BD55" i="21416"/>
  <c r="BD5" i="21416"/>
  <c r="BD6" i="21413"/>
  <c r="BD73" i="3"/>
  <c r="BD5" i="3"/>
  <c r="BD62" i="21415"/>
  <c r="G358" i="21408"/>
  <c r="AC204" i="2"/>
  <c r="G359" i="21408"/>
  <c r="G350" i="21408"/>
  <c r="G352" i="21408"/>
  <c r="G356" i="21408"/>
  <c r="G64" i="21408"/>
  <c r="G66" i="21408"/>
  <c r="G333" i="21408"/>
  <c r="G336" i="21408"/>
  <c r="G342" i="21408"/>
  <c r="G344" i="21408"/>
  <c r="G346" i="21408"/>
  <c r="G349" i="21408"/>
  <c r="G351" i="21408"/>
  <c r="G338" i="21408"/>
  <c r="G357" i="21408"/>
  <c r="G65" i="21408"/>
  <c r="G67" i="21408"/>
  <c r="G331" i="21408"/>
  <c r="G335" i="21408"/>
  <c r="G340" i="21408"/>
  <c r="G343" i="21408"/>
  <c r="G345" i="21408"/>
  <c r="G347" i="21408"/>
  <c r="G339" i="21408"/>
  <c r="H287" i="21408"/>
  <c r="G287" i="21408" s="1"/>
  <c r="G286" i="21408"/>
  <c r="H353" i="21408"/>
  <c r="G353" i="21408" s="1"/>
  <c r="G354" i="21408"/>
  <c r="G256" i="21408"/>
  <c r="G258" i="21408"/>
  <c r="AW206" i="2"/>
  <c r="AY206" i="2" s="1"/>
  <c r="C208" i="2"/>
  <c r="AX208" i="2" s="1"/>
  <c r="J205" i="2"/>
  <c r="AX205" i="2" s="1"/>
  <c r="F206" i="2"/>
  <c r="BA135" i="21398"/>
  <c r="BC135" i="21398"/>
  <c r="AW137" i="21398"/>
  <c r="AW136" i="21398"/>
  <c r="AY136" i="21398" s="1"/>
  <c r="BB184" i="2"/>
  <c r="BA183" i="2"/>
  <c r="O69" i="21406"/>
  <c r="D286" i="21412" s="1"/>
  <c r="D274" i="21412"/>
  <c r="P69" i="21406"/>
  <c r="D287" i="21412" s="1"/>
  <c r="D275" i="21412"/>
  <c r="D284" i="21412"/>
  <c r="D272" i="21412"/>
  <c r="Q69" i="21406"/>
  <c r="D288" i="21412" s="1"/>
  <c r="D276" i="21412"/>
  <c r="N69" i="21406"/>
  <c r="D285" i="21412" s="1"/>
  <c r="D273" i="21412"/>
  <c r="R69" i="21406"/>
  <c r="D289" i="21412" s="1"/>
  <c r="D277" i="21412"/>
  <c r="K299" i="21408"/>
  <c r="J299" i="21408"/>
  <c r="J360" i="21408"/>
  <c r="M360" i="21408"/>
  <c r="I360" i="21408"/>
  <c r="N360" i="21408"/>
  <c r="K360" i="21408"/>
  <c r="K203" i="21408"/>
  <c r="K204" i="21408" s="1"/>
  <c r="J203" i="21408"/>
  <c r="J204" i="21408" s="1"/>
  <c r="J363" i="21408"/>
  <c r="K265" i="21408"/>
  <c r="J265" i="21408"/>
  <c r="M363" i="21408"/>
  <c r="I363" i="21408"/>
  <c r="N363" i="21408"/>
  <c r="K363" i="21408"/>
  <c r="I362" i="21408"/>
  <c r="N362" i="21408"/>
  <c r="J362" i="21408"/>
  <c r="K362" i="21408"/>
  <c r="M362" i="21408"/>
  <c r="H362" i="21408"/>
  <c r="H363" i="21408"/>
  <c r="AT206" i="2"/>
  <c r="AY276" i="21398" l="1"/>
  <c r="BA276" i="21398" s="1"/>
  <c r="BC276" i="21398"/>
  <c r="C280" i="21398"/>
  <c r="AX278" i="21398"/>
  <c r="M278" i="21398" s="1"/>
  <c r="AC206" i="2"/>
  <c r="G363" i="21408"/>
  <c r="G362" i="21408"/>
  <c r="H360" i="21408"/>
  <c r="G360" i="21408" s="1"/>
  <c r="AW205" i="2"/>
  <c r="AZ205" i="2" s="1"/>
  <c r="BB205" i="2" s="1"/>
  <c r="C210" i="2"/>
  <c r="AX210" i="2" s="1"/>
  <c r="F208" i="2"/>
  <c r="AW208" i="2"/>
  <c r="AY208" i="2" s="1"/>
  <c r="M206" i="2"/>
  <c r="BC206" i="2" s="1"/>
  <c r="BA206" i="2"/>
  <c r="BB136" i="21398"/>
  <c r="BC136" i="21398"/>
  <c r="BA136" i="21398"/>
  <c r="AW139" i="21398"/>
  <c r="BA137" i="21398"/>
  <c r="BC137" i="21398"/>
  <c r="BB188" i="2"/>
  <c r="BA187" i="2"/>
  <c r="H277" i="21412"/>
  <c r="I277" i="21412"/>
  <c r="I276" i="21412"/>
  <c r="H276" i="21412"/>
  <c r="H275" i="21412"/>
  <c r="I275" i="21412"/>
  <c r="I289" i="21412"/>
  <c r="H289" i="21412"/>
  <c r="H288" i="21412"/>
  <c r="I288" i="21412"/>
  <c r="I287" i="21412"/>
  <c r="H287" i="21412"/>
  <c r="I273" i="21412"/>
  <c r="H273" i="21412"/>
  <c r="H272" i="21412"/>
  <c r="I272" i="21412"/>
  <c r="I274" i="21412"/>
  <c r="H274" i="21412"/>
  <c r="I285" i="21412"/>
  <c r="H285" i="21412"/>
  <c r="I284" i="21412"/>
  <c r="H284" i="21412"/>
  <c r="I286" i="21412"/>
  <c r="H286" i="21412"/>
  <c r="AQ205" i="2"/>
  <c r="AQ207" i="2"/>
  <c r="AT208" i="2"/>
  <c r="AX280" i="21398" l="1"/>
  <c r="M280" i="21398" s="1"/>
  <c r="AW280" i="21398"/>
  <c r="C282" i="21398"/>
  <c r="AC208" i="2"/>
  <c r="C212" i="2"/>
  <c r="AX212" i="2" s="1"/>
  <c r="AW210" i="2"/>
  <c r="AY210" i="2" s="1"/>
  <c r="F210" i="2"/>
  <c r="BA208" i="2"/>
  <c r="M208" i="2"/>
  <c r="BC208" i="2" s="1"/>
  <c r="AW141" i="21398"/>
  <c r="BC139" i="21398"/>
  <c r="BA139" i="21398"/>
  <c r="BA189" i="2"/>
  <c r="BB189" i="2"/>
  <c r="BC93" i="2"/>
  <c r="AQ209" i="2"/>
  <c r="AT210" i="2"/>
  <c r="AX282" i="21398" l="1"/>
  <c r="M282" i="21398" s="1"/>
  <c r="C284" i="21398"/>
  <c r="AW282" i="21398"/>
  <c r="AY280" i="21398"/>
  <c r="BA280" i="21398" s="1"/>
  <c r="BC280" i="21398"/>
  <c r="AC210" i="2"/>
  <c r="BA210" i="2"/>
  <c r="M210" i="2"/>
  <c r="BC210" i="2" s="1"/>
  <c r="C214" i="2"/>
  <c r="AX214" i="2" s="1"/>
  <c r="F212" i="2"/>
  <c r="AW212" i="2"/>
  <c r="AY212" i="2" s="1"/>
  <c r="BA141" i="21398"/>
  <c r="BC141" i="21398"/>
  <c r="BC143" i="21398"/>
  <c r="AW143" i="21398"/>
  <c r="BC95" i="2"/>
  <c r="AT212" i="2"/>
  <c r="AQ211" i="2"/>
  <c r="AX284" i="21398" l="1"/>
  <c r="M284" i="21398" s="1"/>
  <c r="C286" i="21398"/>
  <c r="AY282" i="21398"/>
  <c r="BA282" i="21398" s="1"/>
  <c r="BC282" i="21398"/>
  <c r="AC212" i="2"/>
  <c r="M212" i="2"/>
  <c r="BC212" i="2" s="1"/>
  <c r="BA212" i="2"/>
  <c r="AX215" i="2"/>
  <c r="C216" i="2"/>
  <c r="AX216" i="2" s="1"/>
  <c r="F214" i="2"/>
  <c r="AW214" i="2"/>
  <c r="AY214" i="2" s="1"/>
  <c r="BA143" i="21398"/>
  <c r="AW145" i="21398"/>
  <c r="BA211" i="2"/>
  <c r="BB211" i="2"/>
  <c r="BA213" i="2"/>
  <c r="BC97" i="2"/>
  <c r="AT214" i="2"/>
  <c r="AX286" i="21398" l="1"/>
  <c r="M286" i="21398" s="1"/>
  <c r="C288" i="21398"/>
  <c r="J285" i="21398"/>
  <c r="AX285" i="21398" s="1"/>
  <c r="AW286" i="21398"/>
  <c r="AC214" i="2"/>
  <c r="C218" i="2"/>
  <c r="AX218" i="2" s="1"/>
  <c r="F216" i="2"/>
  <c r="AW216" i="2"/>
  <c r="AY216" i="2" s="1"/>
  <c r="BA214" i="2"/>
  <c r="M214" i="2"/>
  <c r="BC214" i="2" s="1"/>
  <c r="AW215" i="2"/>
  <c r="AZ215" i="2" s="1"/>
  <c r="BB215" i="2" s="1"/>
  <c r="BA145" i="21398"/>
  <c r="BC145" i="21398"/>
  <c r="BC99" i="2"/>
  <c r="AT216" i="2"/>
  <c r="AQ215" i="2"/>
  <c r="AQ213" i="2"/>
  <c r="AX288" i="21398" l="1"/>
  <c r="M288" i="21398" s="1"/>
  <c r="C290" i="21398"/>
  <c r="AW288" i="21398"/>
  <c r="AY286" i="21398"/>
  <c r="BA286" i="21398" s="1"/>
  <c r="BC286" i="21398"/>
  <c r="AC216" i="2"/>
  <c r="M216" i="2"/>
  <c r="BC216" i="2" s="1"/>
  <c r="BA216" i="2"/>
  <c r="F218" i="2"/>
  <c r="J218" i="2"/>
  <c r="C220" i="2"/>
  <c r="AX220" i="2" s="1"/>
  <c r="AW218" i="2"/>
  <c r="AZ218" i="2" s="1"/>
  <c r="BA147" i="21398"/>
  <c r="BC147" i="21398"/>
  <c r="BC101" i="2"/>
  <c r="AT218" i="2"/>
  <c r="AQ217" i="2"/>
  <c r="AX290" i="21398" l="1"/>
  <c r="M290" i="21398" s="1"/>
  <c r="C292" i="21398"/>
  <c r="AW290" i="21398"/>
  <c r="AY288" i="21398"/>
  <c r="BA288" i="21398" s="1"/>
  <c r="BC288" i="21398"/>
  <c r="AY218" i="2"/>
  <c r="BA218" i="2" s="1"/>
  <c r="AC218" i="2"/>
  <c r="J219" i="2"/>
  <c r="AX219" i="2" s="1"/>
  <c r="AW220" i="2"/>
  <c r="AY220" i="2" s="1"/>
  <c r="F220" i="2"/>
  <c r="C222" i="2"/>
  <c r="AX222" i="2" s="1"/>
  <c r="BB218" i="2"/>
  <c r="M218" i="2"/>
  <c r="BC218" i="2" s="1"/>
  <c r="BC151" i="21398"/>
  <c r="BA151" i="21398"/>
  <c r="BA149" i="21398"/>
  <c r="BC149" i="21398"/>
  <c r="BC227" i="2"/>
  <c r="BA227" i="2"/>
  <c r="BB228" i="2"/>
  <c r="BC103" i="2"/>
  <c r="AT220" i="2"/>
  <c r="AQ219" i="2"/>
  <c r="AX292" i="21398" l="1"/>
  <c r="M292" i="21398" s="1"/>
  <c r="C294" i="21398"/>
  <c r="J293" i="21398"/>
  <c r="AX293" i="21398" s="1"/>
  <c r="AW292" i="21398"/>
  <c r="AY290" i="21398"/>
  <c r="BA290" i="21398" s="1"/>
  <c r="BC290" i="21398"/>
  <c r="AC220" i="2"/>
  <c r="F222" i="2"/>
  <c r="AW222" i="2"/>
  <c r="AY222" i="2" s="1"/>
  <c r="C224" i="2"/>
  <c r="AX224" i="2" s="1"/>
  <c r="BA220" i="2"/>
  <c r="M220" i="2"/>
  <c r="BC220" i="2" s="1"/>
  <c r="AW219" i="2"/>
  <c r="AZ219" i="2" s="1"/>
  <c r="BB219" i="2" s="1"/>
  <c r="BB148" i="21398"/>
  <c r="BB230" i="2"/>
  <c r="BA229" i="2"/>
  <c r="BC105" i="2"/>
  <c r="AQ221" i="2"/>
  <c r="AX294" i="21398" l="1"/>
  <c r="M294" i="21398" s="1"/>
  <c r="AW294" i="21398"/>
  <c r="C296" i="21398"/>
  <c r="AY292" i="21398"/>
  <c r="BA292" i="21398" s="1"/>
  <c r="BC292" i="21398"/>
  <c r="AW224" i="2"/>
  <c r="AY224" i="2" s="1"/>
  <c r="F224" i="2"/>
  <c r="C226" i="2"/>
  <c r="AX226" i="2" s="1"/>
  <c r="BA222" i="2"/>
  <c r="M222" i="2"/>
  <c r="BC222" i="2" s="1"/>
  <c r="BA153" i="21398"/>
  <c r="BC153" i="21398"/>
  <c r="BB154" i="21398"/>
  <c r="BC155" i="21398"/>
  <c r="BA231" i="2"/>
  <c r="BA233" i="2"/>
  <c r="BC107" i="2"/>
  <c r="AT222" i="2"/>
  <c r="AQ223" i="2"/>
  <c r="AT224" i="2"/>
  <c r="AC222" i="2" l="1"/>
  <c r="AX296" i="21398"/>
  <c r="M296" i="21398" s="1"/>
  <c r="AW296" i="21398"/>
  <c r="C298" i="21398"/>
  <c r="AY294" i="21398"/>
  <c r="BA294" i="21398" s="1"/>
  <c r="BC294" i="21398"/>
  <c r="AC224" i="2"/>
  <c r="C228" i="2"/>
  <c r="AX228" i="2" s="1"/>
  <c r="J227" i="2"/>
  <c r="AX227" i="2" s="1"/>
  <c r="F226" i="2"/>
  <c r="AW226" i="2"/>
  <c r="AY226" i="2" s="1"/>
  <c r="M224" i="2"/>
  <c r="BC224" i="2" s="1"/>
  <c r="BA224" i="2"/>
  <c r="BA155" i="21398"/>
  <c r="BC109" i="2"/>
  <c r="AT226" i="2"/>
  <c r="AQ225" i="2"/>
  <c r="AY296" i="21398" l="1"/>
  <c r="BA296" i="21398" s="1"/>
  <c r="BC296" i="21398"/>
  <c r="AX298" i="21398"/>
  <c r="M298" i="21398" s="1"/>
  <c r="AW298" i="21398"/>
  <c r="C300" i="21398"/>
  <c r="J297" i="21398"/>
  <c r="AX297" i="21398" s="1"/>
  <c r="AC226" i="2"/>
  <c r="AW227" i="2"/>
  <c r="AZ227" i="2" s="1"/>
  <c r="BB227" i="2" s="1"/>
  <c r="BA226" i="2"/>
  <c r="M226" i="2"/>
  <c r="BC226" i="2" s="1"/>
  <c r="F228" i="2"/>
  <c r="C230" i="2"/>
  <c r="AX230" i="2" s="1"/>
  <c r="AW228" i="2"/>
  <c r="AY228" i="2" s="1"/>
  <c r="BC157" i="21398"/>
  <c r="BA157" i="21398"/>
  <c r="BA235" i="2"/>
  <c r="BC111" i="2"/>
  <c r="AT228" i="2"/>
  <c r="AQ227" i="2"/>
  <c r="C302" i="21398" l="1"/>
  <c r="AY298" i="21398"/>
  <c r="BA298" i="21398" s="1"/>
  <c r="BC298" i="21398"/>
  <c r="AC228" i="2"/>
  <c r="C232" i="2"/>
  <c r="AX232" i="2" s="1"/>
  <c r="F230" i="2"/>
  <c r="AW230" i="2"/>
  <c r="AY230" i="2" s="1"/>
  <c r="BA228" i="2"/>
  <c r="M228" i="2"/>
  <c r="BC228" i="2" s="1"/>
  <c r="BA159" i="21398"/>
  <c r="BC159" i="21398"/>
  <c r="BB238" i="2"/>
  <c r="BB236" i="2"/>
  <c r="BA237" i="2"/>
  <c r="BC113" i="2"/>
  <c r="AT230" i="2"/>
  <c r="AQ229" i="2"/>
  <c r="AX302" i="21398" l="1"/>
  <c r="M302" i="21398" s="1"/>
  <c r="C304" i="21398"/>
  <c r="J303" i="21398"/>
  <c r="AX303" i="21398" s="1"/>
  <c r="AW302" i="21398"/>
  <c r="AC230" i="2"/>
  <c r="BA230" i="2"/>
  <c r="M230" i="2"/>
  <c r="BC230" i="2" s="1"/>
  <c r="F232" i="2"/>
  <c r="AW232" i="2"/>
  <c r="AY232" i="2" s="1"/>
  <c r="C234" i="2"/>
  <c r="AX234" i="2" s="1"/>
  <c r="BA161" i="21398"/>
  <c r="BC161" i="21398"/>
  <c r="BC163" i="21398"/>
  <c r="BA239" i="2"/>
  <c r="BC115" i="2"/>
  <c r="AQ231" i="2"/>
  <c r="AT232" i="2"/>
  <c r="C306" i="21398" l="1"/>
  <c r="AX304" i="21398"/>
  <c r="M304" i="21398" s="1"/>
  <c r="AY302" i="21398"/>
  <c r="BA302" i="21398" s="1"/>
  <c r="BC302" i="21398"/>
  <c r="AC232" i="2"/>
  <c r="M232" i="2"/>
  <c r="BC232" i="2" s="1"/>
  <c r="BA232" i="2"/>
  <c r="C236" i="2"/>
  <c r="AX236" i="2" s="1"/>
  <c r="F234" i="2"/>
  <c r="AW234" i="2"/>
  <c r="AY234" i="2" s="1"/>
  <c r="BA163" i="21398"/>
  <c r="BA241" i="2"/>
  <c r="BC117" i="2"/>
  <c r="AQ233" i="2"/>
  <c r="AT234" i="2"/>
  <c r="AX306" i="21398" l="1"/>
  <c r="M306" i="21398" s="1"/>
  <c r="AW306" i="21398"/>
  <c r="C308" i="21398"/>
  <c r="AC234" i="2"/>
  <c r="F236" i="2"/>
  <c r="C238" i="2"/>
  <c r="AX238" i="2" s="1"/>
  <c r="AW236" i="2"/>
  <c r="AY236" i="2" s="1"/>
  <c r="BA234" i="2"/>
  <c r="M234" i="2"/>
  <c r="BC234" i="2" s="1"/>
  <c r="BA165" i="21398"/>
  <c r="BC165" i="21398"/>
  <c r="BB242" i="2"/>
  <c r="BA243" i="2"/>
  <c r="AQ235" i="2"/>
  <c r="AT236" i="2"/>
  <c r="AY306" i="21398" l="1"/>
  <c r="BA306" i="21398" s="1"/>
  <c r="BC306" i="21398"/>
  <c r="AX308" i="21398"/>
  <c r="M308" i="21398" s="1"/>
  <c r="C310" i="21398"/>
  <c r="AW308" i="21398"/>
  <c r="AC236" i="2"/>
  <c r="F238" i="2"/>
  <c r="J237" i="2"/>
  <c r="AX237" i="2" s="1"/>
  <c r="C240" i="2"/>
  <c r="AX240" i="2" s="1"/>
  <c r="AW238" i="2"/>
  <c r="AY238" i="2" s="1"/>
  <c r="M236" i="2"/>
  <c r="BC236" i="2" s="1"/>
  <c r="BA236" i="2"/>
  <c r="BB166" i="21398"/>
  <c r="BA167" i="21398"/>
  <c r="BC167" i="21398"/>
  <c r="BA245" i="2"/>
  <c r="AT238" i="2"/>
  <c r="AX310" i="21398" l="1"/>
  <c r="M310" i="21398" s="1"/>
  <c r="C312" i="21398"/>
  <c r="J309" i="21398"/>
  <c r="AX309" i="21398" s="1"/>
  <c r="AW310" i="21398"/>
  <c r="AY308" i="21398"/>
  <c r="BA308" i="21398" s="1"/>
  <c r="BC308" i="21398"/>
  <c r="AC238" i="2"/>
  <c r="AW237" i="2"/>
  <c r="AZ237" i="2" s="1"/>
  <c r="BB237" i="2" s="1"/>
  <c r="BA238" i="2"/>
  <c r="M238" i="2"/>
  <c r="BC238" i="2" s="1"/>
  <c r="C242" i="2"/>
  <c r="AX242" i="2" s="1"/>
  <c r="F240" i="2"/>
  <c r="AW240" i="2"/>
  <c r="AY240" i="2" s="1"/>
  <c r="BA169" i="21398"/>
  <c r="BC169" i="21398"/>
  <c r="BA247" i="2"/>
  <c r="BB248" i="2"/>
  <c r="AQ237" i="2"/>
  <c r="AT240" i="2"/>
  <c r="AQ239" i="2"/>
  <c r="C314" i="21398" l="1"/>
  <c r="AX312" i="21398"/>
  <c r="M312" i="21398" s="1"/>
  <c r="BC310" i="21398"/>
  <c r="AY310" i="21398"/>
  <c r="BA310" i="21398" s="1"/>
  <c r="AC240" i="2"/>
  <c r="BA240" i="2"/>
  <c r="M240" i="2"/>
  <c r="BC240" i="2" s="1"/>
  <c r="C244" i="2"/>
  <c r="AX244" i="2" s="1"/>
  <c r="F242" i="2"/>
  <c r="J243" i="2"/>
  <c r="AX243" i="2" s="1"/>
  <c r="AW242" i="2"/>
  <c r="AY242" i="2" s="1"/>
  <c r="BC171" i="21398"/>
  <c r="BA171" i="21398"/>
  <c r="BA249" i="2"/>
  <c r="BC145" i="2"/>
  <c r="AT242" i="2"/>
  <c r="AQ241" i="2"/>
  <c r="C316" i="21398" l="1"/>
  <c r="AX314" i="21398"/>
  <c r="M314" i="21398" s="1"/>
  <c r="AC242" i="2"/>
  <c r="F244" i="2"/>
  <c r="C246" i="2"/>
  <c r="AX246" i="2" s="1"/>
  <c r="AW244" i="2"/>
  <c r="AY244" i="2" s="1"/>
  <c r="AW243" i="2"/>
  <c r="AZ243" i="2" s="1"/>
  <c r="BB243" i="2" s="1"/>
  <c r="BA242" i="2"/>
  <c r="M242" i="2"/>
  <c r="BC242" i="2" s="1"/>
  <c r="BB170" i="21398"/>
  <c r="BA173" i="21398"/>
  <c r="BC173" i="21398"/>
  <c r="BA251" i="2"/>
  <c r="BC147" i="2"/>
  <c r="BC149" i="2"/>
  <c r="AQ243" i="2"/>
  <c r="AT244" i="2"/>
  <c r="AX316" i="21398" l="1"/>
  <c r="M316" i="21398" s="1"/>
  <c r="C318" i="21398"/>
  <c r="J317" i="21398"/>
  <c r="AX317" i="21398" s="1"/>
  <c r="AC244" i="2"/>
  <c r="BA244" i="2"/>
  <c r="M244" i="2"/>
  <c r="BC244" i="2" s="1"/>
  <c r="AW246" i="2"/>
  <c r="AY246" i="2" s="1"/>
  <c r="C248" i="2"/>
  <c r="AX248" i="2" s="1"/>
  <c r="F246" i="2"/>
  <c r="BB174" i="21398"/>
  <c r="BC175" i="21398"/>
  <c r="BA175" i="21398"/>
  <c r="BA253" i="2"/>
  <c r="BC151" i="2"/>
  <c r="AQ245" i="2"/>
  <c r="AT246" i="2"/>
  <c r="C320" i="21398" l="1"/>
  <c r="AX318" i="21398"/>
  <c r="M318" i="21398" s="1"/>
  <c r="AC246" i="2"/>
  <c r="BA246" i="2"/>
  <c r="M246" i="2"/>
  <c r="BC246" i="2" s="1"/>
  <c r="F248" i="2"/>
  <c r="C250" i="2"/>
  <c r="AX250" i="2" s="1"/>
  <c r="AW248" i="2"/>
  <c r="AY248" i="2" s="1"/>
  <c r="BC177" i="21398"/>
  <c r="BA177" i="21398"/>
  <c r="BB176" i="21398"/>
  <c r="BA255" i="2"/>
  <c r="BC153" i="2"/>
  <c r="AT248" i="2"/>
  <c r="AQ247" i="2"/>
  <c r="AX320" i="21398" l="1"/>
  <c r="M320" i="21398" s="1"/>
  <c r="C322" i="21398"/>
  <c r="AW320" i="21398"/>
  <c r="AC248" i="2"/>
  <c r="BA248" i="2"/>
  <c r="M248" i="2"/>
  <c r="BC248" i="2" s="1"/>
  <c r="AW250" i="2"/>
  <c r="AY250" i="2" s="1"/>
  <c r="F250" i="2"/>
  <c r="C252" i="2"/>
  <c r="AX252" i="2" s="1"/>
  <c r="BA181" i="21398"/>
  <c r="BC181" i="21398"/>
  <c r="BA257" i="2"/>
  <c r="BB256" i="2"/>
  <c r="BC155" i="2"/>
  <c r="AT250" i="2"/>
  <c r="AQ249" i="2"/>
  <c r="AX322" i="21398" l="1"/>
  <c r="C324" i="21398"/>
  <c r="AW322" i="21398"/>
  <c r="AY320" i="21398"/>
  <c r="BA320" i="21398" s="1"/>
  <c r="BC320" i="21398"/>
  <c r="AC250" i="2"/>
  <c r="BA250" i="2"/>
  <c r="M250" i="2"/>
  <c r="BC250" i="2" s="1"/>
  <c r="C254" i="2"/>
  <c r="AX254" i="2" s="1"/>
  <c r="AW252" i="2"/>
  <c r="AY252" i="2" s="1"/>
  <c r="F252" i="2"/>
  <c r="BA183" i="21398"/>
  <c r="BC183" i="21398"/>
  <c r="BB182" i="21398"/>
  <c r="BB184" i="21398"/>
  <c r="BC259" i="2"/>
  <c r="BA259" i="2"/>
  <c r="BC157" i="2"/>
  <c r="AQ251" i="2"/>
  <c r="AT252" i="2"/>
  <c r="AY322" i="21398" l="1"/>
  <c r="BA322" i="21398" s="1"/>
  <c r="M322" i="21398"/>
  <c r="BC322" i="21398" s="1"/>
  <c r="AX324" i="21398"/>
  <c r="M324" i="21398" s="1"/>
  <c r="AW324" i="21398"/>
  <c r="C326" i="21398"/>
  <c r="AC252" i="2"/>
  <c r="J253" i="2"/>
  <c r="AX253" i="2" s="1"/>
  <c r="F254" i="2"/>
  <c r="C256" i="2"/>
  <c r="AX256" i="2" s="1"/>
  <c r="AW254" i="2"/>
  <c r="AY254" i="2" s="1"/>
  <c r="M252" i="2"/>
  <c r="BC252" i="2" s="1"/>
  <c r="BA252" i="2"/>
  <c r="BB186" i="21398"/>
  <c r="BC185" i="21398"/>
  <c r="BA185" i="21398"/>
  <c r="BC261" i="2"/>
  <c r="BA261" i="2"/>
  <c r="BC159" i="2"/>
  <c r="AT254" i="2"/>
  <c r="AQ253" i="2"/>
  <c r="AX326" i="21398" l="1"/>
  <c r="M326" i="21398" s="1"/>
  <c r="AW326" i="21398"/>
  <c r="C328" i="21398"/>
  <c r="J325" i="21398"/>
  <c r="AX325" i="21398" s="1"/>
  <c r="AY324" i="21398"/>
  <c r="BA324" i="21398" s="1"/>
  <c r="BC324" i="21398"/>
  <c r="AC254" i="2"/>
  <c r="AW256" i="2"/>
  <c r="AY256" i="2" s="1"/>
  <c r="C258" i="2"/>
  <c r="AX258" i="2" s="1"/>
  <c r="BA254" i="2"/>
  <c r="M254" i="2"/>
  <c r="BC254" i="2" s="1"/>
  <c r="AW253" i="2"/>
  <c r="AZ253" i="2" s="1"/>
  <c r="BB253" i="2" s="1"/>
  <c r="BA187" i="21398"/>
  <c r="BC187" i="21398"/>
  <c r="BB264" i="2"/>
  <c r="BC263" i="2"/>
  <c r="BA263" i="2"/>
  <c r="BC161" i="2"/>
  <c r="AX328" i="21398" l="1"/>
  <c r="M328" i="21398" s="1"/>
  <c r="C330" i="21398"/>
  <c r="AW328" i="21398"/>
  <c r="AY326" i="21398"/>
  <c r="BA326" i="21398" s="1"/>
  <c r="BC326" i="21398"/>
  <c r="M256" i="2"/>
  <c r="BC256" i="2" s="1"/>
  <c r="BA256" i="2"/>
  <c r="F258" i="2"/>
  <c r="C260" i="2"/>
  <c r="AX260" i="2" s="1"/>
  <c r="AW258" i="2"/>
  <c r="AY258" i="2" s="1"/>
  <c r="BA189" i="21398"/>
  <c r="BC189" i="21398"/>
  <c r="BC265" i="2"/>
  <c r="BA265" i="2"/>
  <c r="BC163" i="2"/>
  <c r="AT258" i="2"/>
  <c r="AX330" i="21398" l="1"/>
  <c r="M330" i="21398" s="1"/>
  <c r="C332" i="21398"/>
  <c r="J331" i="21398"/>
  <c r="AX331" i="21398" s="1"/>
  <c r="AY328" i="21398"/>
  <c r="BA328" i="21398" s="1"/>
  <c r="BC328" i="21398"/>
  <c r="AC258" i="2"/>
  <c r="BA258" i="2"/>
  <c r="M258" i="2"/>
  <c r="BC258" i="2" s="1"/>
  <c r="C262" i="2"/>
  <c r="AX262" i="2" s="1"/>
  <c r="J261" i="2"/>
  <c r="AX261" i="2" s="1"/>
  <c r="AW260" i="2"/>
  <c r="AY260" i="2" s="1"/>
  <c r="F260" i="2"/>
  <c r="BC191" i="21398"/>
  <c r="BA191" i="21398"/>
  <c r="BA267" i="2"/>
  <c r="BC267" i="2"/>
  <c r="BC165" i="2"/>
  <c r="AT260" i="2"/>
  <c r="AQ257" i="2"/>
  <c r="AQ259" i="2"/>
  <c r="AX332" i="21398" l="1"/>
  <c r="M332" i="21398" s="1"/>
  <c r="C334" i="21398"/>
  <c r="AW332" i="21398"/>
  <c r="AC260" i="2"/>
  <c r="AW261" i="2"/>
  <c r="M260" i="2"/>
  <c r="BC260" i="2" s="1"/>
  <c r="BA260" i="2"/>
  <c r="AW262" i="2"/>
  <c r="AY262" i="2" s="1"/>
  <c r="F262" i="2"/>
  <c r="C264" i="2"/>
  <c r="AX264" i="2" s="1"/>
  <c r="BA193" i="21398"/>
  <c r="BC193" i="21398"/>
  <c r="BC269" i="2"/>
  <c r="BA269" i="2"/>
  <c r="BC169" i="2"/>
  <c r="AQ261" i="2"/>
  <c r="AT262" i="2"/>
  <c r="AX334" i="21398" l="1"/>
  <c r="M334" i="21398" s="1"/>
  <c r="C336" i="21398"/>
  <c r="AW334" i="21398"/>
  <c r="AY332" i="21398"/>
  <c r="BA332" i="21398" s="1"/>
  <c r="BC332" i="21398"/>
  <c r="AZ261" i="2"/>
  <c r="BB261" i="2" s="1"/>
  <c r="AC262" i="2"/>
  <c r="M262" i="2"/>
  <c r="BC262" i="2" s="1"/>
  <c r="BA262" i="2"/>
  <c r="C266" i="2"/>
  <c r="AX266" i="2" s="1"/>
  <c r="F264" i="2"/>
  <c r="AW264" i="2"/>
  <c r="AY264" i="2" s="1"/>
  <c r="BA195" i="21398"/>
  <c r="BC195" i="21398"/>
  <c r="BA271" i="2"/>
  <c r="BC271" i="2"/>
  <c r="BC171" i="2"/>
  <c r="AQ263" i="2"/>
  <c r="AT264" i="2"/>
  <c r="AX336" i="21398" l="1"/>
  <c r="M336" i="21398" s="1"/>
  <c r="C338" i="21398"/>
  <c r="AW336" i="21398"/>
  <c r="AY334" i="21398"/>
  <c r="BA334" i="21398" s="1"/>
  <c r="BC334" i="21398"/>
  <c r="AC264" i="2"/>
  <c r="BA264" i="2"/>
  <c r="M264" i="2"/>
  <c r="BC264" i="2" s="1"/>
  <c r="F266" i="2"/>
  <c r="C268" i="2"/>
  <c r="AX268" i="2" s="1"/>
  <c r="AW266" i="2"/>
  <c r="AY266" i="2" s="1"/>
  <c r="BA197" i="21398"/>
  <c r="BC197" i="21398"/>
  <c r="BB196" i="21398"/>
  <c r="BB272" i="2"/>
  <c r="BA273" i="2"/>
  <c r="BC273" i="2"/>
  <c r="BC173" i="2"/>
  <c r="AQ265" i="2"/>
  <c r="AT266" i="2"/>
  <c r="C340" i="21398" l="1"/>
  <c r="AX338" i="21398"/>
  <c r="M338" i="21398" s="1"/>
  <c r="AY336" i="21398"/>
  <c r="BA336" i="21398" s="1"/>
  <c r="BC336" i="21398"/>
  <c r="AC266" i="2"/>
  <c r="C270" i="2"/>
  <c r="AX270" i="2" s="1"/>
  <c r="AW268" i="2"/>
  <c r="AY268" i="2" s="1"/>
  <c r="F268" i="2"/>
  <c r="BA266" i="2"/>
  <c r="M266" i="2"/>
  <c r="BC266" i="2" s="1"/>
  <c r="BA207" i="21398"/>
  <c r="BC207" i="21398"/>
  <c r="BC275" i="2"/>
  <c r="BA275" i="2"/>
  <c r="BC175" i="2"/>
  <c r="AT268" i="2"/>
  <c r="AQ267" i="2"/>
  <c r="AX340" i="21398" l="1"/>
  <c r="M340" i="21398" s="1"/>
  <c r="AW340" i="21398"/>
  <c r="C342" i="21398"/>
  <c r="J339" i="21398"/>
  <c r="AX339" i="21398" s="1"/>
  <c r="AC268" i="2"/>
  <c r="BA268" i="2"/>
  <c r="M268" i="2"/>
  <c r="BC268" i="2" s="1"/>
  <c r="J269" i="2"/>
  <c r="AX269" i="2" s="1"/>
  <c r="F270" i="2"/>
  <c r="AW270" i="2"/>
  <c r="AY270" i="2" s="1"/>
  <c r="C272" i="2"/>
  <c r="AX272" i="2" s="1"/>
  <c r="BA209" i="21398"/>
  <c r="BC209" i="21398"/>
  <c r="BA277" i="2"/>
  <c r="BC277" i="2"/>
  <c r="BB278" i="2"/>
  <c r="BC177" i="2"/>
  <c r="AT270" i="2"/>
  <c r="AQ269" i="2"/>
  <c r="AX342" i="21398" l="1"/>
  <c r="M342" i="21398" s="1"/>
  <c r="AW342" i="21398"/>
  <c r="C346" i="21398"/>
  <c r="BC340" i="21398"/>
  <c r="AY340" i="21398"/>
  <c r="BA340" i="21398" s="1"/>
  <c r="AC270" i="2"/>
  <c r="J273" i="2"/>
  <c r="AX273" i="2" s="1"/>
  <c r="C274" i="2"/>
  <c r="AX274" i="2" s="1"/>
  <c r="J271" i="2"/>
  <c r="AX271" i="2" s="1"/>
  <c r="AW272" i="2"/>
  <c r="AY272" i="2" s="1"/>
  <c r="F272" i="2"/>
  <c r="BA270" i="2"/>
  <c r="M270" i="2"/>
  <c r="BC270" i="2" s="1"/>
  <c r="AW269" i="2"/>
  <c r="AW213" i="21398"/>
  <c r="BC211" i="21398"/>
  <c r="BA211" i="21398"/>
  <c r="BA279" i="2"/>
  <c r="BC279" i="2"/>
  <c r="BC179" i="2"/>
  <c r="AT272" i="2"/>
  <c r="AQ271" i="2"/>
  <c r="AX346" i="21398" l="1"/>
  <c r="M346" i="21398" s="1"/>
  <c r="C344" i="21398"/>
  <c r="AX344" i="21398" s="1"/>
  <c r="M344" i="21398" s="1"/>
  <c r="AW346" i="21398"/>
  <c r="C348" i="21398"/>
  <c r="AY342" i="21398"/>
  <c r="BA342" i="21398" s="1"/>
  <c r="BC342" i="21398"/>
  <c r="AZ269" i="2"/>
  <c r="BB269" i="2" s="1"/>
  <c r="AC272" i="2"/>
  <c r="AW271" i="2"/>
  <c r="AZ271" i="2" s="1"/>
  <c r="BB271" i="2" s="1"/>
  <c r="AW274" i="2"/>
  <c r="AY274" i="2" s="1"/>
  <c r="C276" i="2"/>
  <c r="AX276" i="2" s="1"/>
  <c r="F274" i="2"/>
  <c r="J275" i="2"/>
  <c r="AX275" i="2" s="1"/>
  <c r="M272" i="2"/>
  <c r="BC272" i="2" s="1"/>
  <c r="BA272" i="2"/>
  <c r="AW273" i="2"/>
  <c r="AZ273" i="2" s="1"/>
  <c r="BB273" i="2" s="1"/>
  <c r="BC213" i="21398"/>
  <c r="BA213" i="21398"/>
  <c r="AW215" i="21398"/>
  <c r="AZ215" i="21398" s="1"/>
  <c r="BB215" i="21398" s="1"/>
  <c r="BC281" i="2"/>
  <c r="BA281" i="2"/>
  <c r="BC181" i="2"/>
  <c r="AQ273" i="2"/>
  <c r="AT274" i="2"/>
  <c r="AX348" i="21398" l="1"/>
  <c r="M348" i="21398" s="1"/>
  <c r="C350" i="21398"/>
  <c r="AX350" i="21398" s="1"/>
  <c r="M350" i="21398" s="1"/>
  <c r="AW348" i="21398"/>
  <c r="C352" i="21398"/>
  <c r="AY346" i="21398"/>
  <c r="BA346" i="21398" s="1"/>
  <c r="BC346" i="21398"/>
  <c r="AC274" i="2"/>
  <c r="AW275" i="2"/>
  <c r="F334" i="21412" s="1"/>
  <c r="BA274" i="2"/>
  <c r="M274" i="2"/>
  <c r="BC274" i="2" s="1"/>
  <c r="C278" i="2"/>
  <c r="AX278" i="2" s="1"/>
  <c r="AW276" i="2"/>
  <c r="AY276" i="2" s="1"/>
  <c r="F276" i="2"/>
  <c r="BA215" i="21398"/>
  <c r="BC215" i="21398"/>
  <c r="AW217" i="21398"/>
  <c r="BA283" i="2"/>
  <c r="BC283" i="2"/>
  <c r="BC183" i="2"/>
  <c r="AQ275" i="2"/>
  <c r="AT276" i="2"/>
  <c r="F332" i="21412" l="1"/>
  <c r="F336" i="21412"/>
  <c r="AX352" i="21398"/>
  <c r="M352" i="21398" s="1"/>
  <c r="C354" i="21398"/>
  <c r="AW352" i="21398"/>
  <c r="AY348" i="21398"/>
  <c r="BA348" i="21398" s="1"/>
  <c r="BC348" i="21398"/>
  <c r="F335" i="21412"/>
  <c r="AZ275" i="2"/>
  <c r="BB275" i="2" s="1"/>
  <c r="F337" i="21412"/>
  <c r="F333" i="21412"/>
  <c r="AC276" i="2"/>
  <c r="BA276" i="2"/>
  <c r="M276" i="2"/>
  <c r="BC276" i="2" s="1"/>
  <c r="F278" i="2"/>
  <c r="C280" i="2"/>
  <c r="AX280" i="2" s="1"/>
  <c r="AW278" i="2"/>
  <c r="AY278" i="2" s="1"/>
  <c r="AW219" i="21398"/>
  <c r="AZ219" i="21398" s="1"/>
  <c r="BB219" i="21398" s="1"/>
  <c r="BA217" i="21398"/>
  <c r="BC217" i="21398"/>
  <c r="BA285" i="2"/>
  <c r="BC285" i="2"/>
  <c r="BC185" i="2"/>
  <c r="AT278" i="2"/>
  <c r="AQ277" i="2"/>
  <c r="AX354" i="21398" l="1"/>
  <c r="M354" i="21398" s="1"/>
  <c r="C356" i="21398"/>
  <c r="J355" i="21398"/>
  <c r="AX355" i="21398" s="1"/>
  <c r="AW354" i="21398"/>
  <c r="AY352" i="21398"/>
  <c r="BA352" i="21398" s="1"/>
  <c r="BC352" i="21398"/>
  <c r="AC278" i="2"/>
  <c r="M278" i="2"/>
  <c r="BC278" i="2" s="1"/>
  <c r="BA278" i="2"/>
  <c r="AW280" i="2"/>
  <c r="AY280" i="2" s="1"/>
  <c r="C282" i="2"/>
  <c r="AX282" i="2" s="1"/>
  <c r="F280" i="2"/>
  <c r="BC219" i="21398"/>
  <c r="BA219" i="21398"/>
  <c r="AW221" i="21398"/>
  <c r="BB284" i="2"/>
  <c r="BA289" i="2"/>
  <c r="BC289" i="2"/>
  <c r="BC187" i="2"/>
  <c r="AQ279" i="2"/>
  <c r="AT280" i="2"/>
  <c r="C358" i="21398" l="1"/>
  <c r="AX356" i="21398"/>
  <c r="M356" i="21398" s="1"/>
  <c r="BC354" i="21398"/>
  <c r="AY354" i="21398"/>
  <c r="BA354" i="21398" s="1"/>
  <c r="AC280" i="2"/>
  <c r="BA280" i="2"/>
  <c r="M280" i="2"/>
  <c r="BC280" i="2" s="1"/>
  <c r="C284" i="2"/>
  <c r="AX284" i="2" s="1"/>
  <c r="AW282" i="2"/>
  <c r="AY282" i="2" s="1"/>
  <c r="F282" i="2"/>
  <c r="BC221" i="21398"/>
  <c r="BA221" i="21398"/>
  <c r="AW223" i="21398"/>
  <c r="BC291" i="2"/>
  <c r="BA291" i="2"/>
  <c r="BC287" i="2"/>
  <c r="BA287" i="2"/>
  <c r="BC189" i="2"/>
  <c r="AQ281" i="2"/>
  <c r="AT282" i="2"/>
  <c r="AX358" i="21398" l="1"/>
  <c r="M358" i="21398" s="1"/>
  <c r="C360" i="21398"/>
  <c r="AW358" i="21398"/>
  <c r="AC282" i="2"/>
  <c r="BA282" i="2"/>
  <c r="M282" i="2"/>
  <c r="BC282" i="2" s="1"/>
  <c r="AW284" i="2"/>
  <c r="AY284" i="2" s="1"/>
  <c r="F284" i="2"/>
  <c r="C286" i="2"/>
  <c r="AX286" i="2" s="1"/>
  <c r="BC223" i="21398"/>
  <c r="BA223" i="21398"/>
  <c r="AW225" i="21398"/>
  <c r="AW222" i="21398"/>
  <c r="AY222" i="21398" s="1"/>
  <c r="BA293" i="2"/>
  <c r="BC293" i="2"/>
  <c r="BC191" i="2"/>
  <c r="AT284" i="2"/>
  <c r="AX360" i="21398" l="1"/>
  <c r="M360" i="21398" s="1"/>
  <c r="AW360" i="21398"/>
  <c r="J359" i="21398"/>
  <c r="AX359" i="21398" s="1"/>
  <c r="C362" i="21398"/>
  <c r="AY358" i="21398"/>
  <c r="BA358" i="21398" s="1"/>
  <c r="BC358" i="21398"/>
  <c r="AC284" i="2"/>
  <c r="M284" i="2"/>
  <c r="BC284" i="2" s="1"/>
  <c r="BA284" i="2"/>
  <c r="J285" i="2"/>
  <c r="AX285" i="2" s="1"/>
  <c r="AW286" i="2"/>
  <c r="AY286" i="2" s="1"/>
  <c r="C288" i="2"/>
  <c r="AX288" i="2" s="1"/>
  <c r="F286" i="2"/>
  <c r="BB222" i="21398"/>
  <c r="BC222" i="21398"/>
  <c r="BA222" i="21398"/>
  <c r="AW226" i="21398"/>
  <c r="AY226" i="21398" s="1"/>
  <c r="AW227" i="21398"/>
  <c r="AZ227" i="21398" s="1"/>
  <c r="BB227" i="21398" s="1"/>
  <c r="BC225" i="21398"/>
  <c r="BA225" i="21398"/>
  <c r="BC295" i="2"/>
  <c r="BA295" i="2"/>
  <c r="BC193" i="2"/>
  <c r="AQ283" i="2"/>
  <c r="AQ285" i="2"/>
  <c r="AT286" i="2"/>
  <c r="AX362" i="21398" l="1"/>
  <c r="M362" i="21398" s="1"/>
  <c r="J361" i="21398"/>
  <c r="AX361" i="21398" s="1"/>
  <c r="AW362" i="21398"/>
  <c r="J363" i="21398"/>
  <c r="AX363" i="21398" s="1"/>
  <c r="C364" i="21398"/>
  <c r="AY360" i="21398"/>
  <c r="BA360" i="21398" s="1"/>
  <c r="BC360" i="21398"/>
  <c r="AC286" i="2"/>
  <c r="BA286" i="2"/>
  <c r="M286" i="2"/>
  <c r="BC286" i="2" s="1"/>
  <c r="AW285" i="2"/>
  <c r="AZ285" i="2" s="1"/>
  <c r="BB285" i="2" s="1"/>
  <c r="AW288" i="2"/>
  <c r="AY288" i="2" s="1"/>
  <c r="F288" i="2"/>
  <c r="C290" i="2"/>
  <c r="AX290" i="2" s="1"/>
  <c r="BB226" i="21398"/>
  <c r="BC226" i="21398"/>
  <c r="BA226" i="21398"/>
  <c r="BC227" i="21398"/>
  <c r="BA227" i="21398"/>
  <c r="AW229" i="21398"/>
  <c r="BA297" i="2"/>
  <c r="BC297" i="2"/>
  <c r="BC195" i="2"/>
  <c r="AQ287" i="2"/>
  <c r="AT288" i="2"/>
  <c r="AX364" i="21398" l="1"/>
  <c r="M364" i="21398" s="1"/>
  <c r="C366" i="21398"/>
  <c r="J365" i="21398"/>
  <c r="AY362" i="21398"/>
  <c r="BA362" i="21398" s="1"/>
  <c r="BC362" i="21398"/>
  <c r="AW290" i="2"/>
  <c r="AY290" i="2" s="1"/>
  <c r="F290" i="2"/>
  <c r="C292" i="2"/>
  <c r="AX292" i="2" s="1"/>
  <c r="M288" i="2"/>
  <c r="BC288" i="2" s="1"/>
  <c r="BA288" i="2"/>
  <c r="AW230" i="21398"/>
  <c r="AY230" i="21398" s="1"/>
  <c r="BA229" i="21398"/>
  <c r="BC229" i="21398"/>
  <c r="AW231" i="21398"/>
  <c r="BC299" i="2"/>
  <c r="BA299" i="2"/>
  <c r="BC197" i="2"/>
  <c r="AQ289" i="2"/>
  <c r="AT290" i="2"/>
  <c r="AX366" i="21398" l="1"/>
  <c r="AW366" i="21398"/>
  <c r="C368" i="21398"/>
  <c r="AX365" i="21398"/>
  <c r="AW365" i="21398"/>
  <c r="AC290" i="2"/>
  <c r="BA290" i="2"/>
  <c r="M290" i="2"/>
  <c r="BC290" i="2" s="1"/>
  <c r="C294" i="2"/>
  <c r="AX294" i="2" s="1"/>
  <c r="J293" i="2"/>
  <c r="AX293" i="2" s="1"/>
  <c r="AW292" i="2"/>
  <c r="AY292" i="2" s="1"/>
  <c r="F292" i="2"/>
  <c r="BC230" i="21398"/>
  <c r="BA230" i="21398"/>
  <c r="BB230" i="21398"/>
  <c r="BA231" i="21398"/>
  <c r="BC231" i="21398"/>
  <c r="AW233" i="21398"/>
  <c r="BB304" i="2"/>
  <c r="BC305" i="2"/>
  <c r="BA305" i="2"/>
  <c r="BA301" i="2"/>
  <c r="BC301" i="2"/>
  <c r="BA303" i="2"/>
  <c r="BC303" i="2"/>
  <c r="BC199" i="2"/>
  <c r="AQ291" i="2"/>
  <c r="AT292" i="2"/>
  <c r="AY366" i="21398" l="1"/>
  <c r="BA366" i="21398" s="1"/>
  <c r="M366" i="21398"/>
  <c r="BC366" i="21398" s="1"/>
  <c r="AZ365" i="21398"/>
  <c r="BB365" i="21398" s="1"/>
  <c r="AX368" i="21398"/>
  <c r="M368" i="21398" s="1"/>
  <c r="BC368" i="21398" s="1"/>
  <c r="AW368" i="21398"/>
  <c r="C370" i="21398"/>
  <c r="AC292" i="2"/>
  <c r="M292" i="2"/>
  <c r="BC292" i="2" s="1"/>
  <c r="BA292" i="2"/>
  <c r="AW294" i="2"/>
  <c r="AY294" i="2" s="1"/>
  <c r="F294" i="2"/>
  <c r="C296" i="2"/>
  <c r="AX296" i="2" s="1"/>
  <c r="AW293" i="2"/>
  <c r="AZ293" i="2" s="1"/>
  <c r="BB293" i="2" s="1"/>
  <c r="AW235" i="21398"/>
  <c r="BA233" i="21398"/>
  <c r="BC233" i="21398"/>
  <c r="BC307" i="2"/>
  <c r="BC201" i="2"/>
  <c r="AQ293" i="2"/>
  <c r="AT294" i="2"/>
  <c r="AY368" i="21398" l="1"/>
  <c r="BA368" i="21398" s="1"/>
  <c r="AX370" i="21398"/>
  <c r="M370" i="21398" s="1"/>
  <c r="BC370" i="21398" s="1"/>
  <c r="J369" i="21398"/>
  <c r="C372" i="21398"/>
  <c r="AW370" i="21398"/>
  <c r="AC294" i="2"/>
  <c r="BA294" i="2"/>
  <c r="M294" i="2"/>
  <c r="BC294" i="2" s="1"/>
  <c r="F296" i="2"/>
  <c r="AW296" i="2"/>
  <c r="AY296" i="2" s="1"/>
  <c r="C298" i="2"/>
  <c r="AX298" i="2" s="1"/>
  <c r="AW237" i="21398"/>
  <c r="AZ237" i="21398" s="1"/>
  <c r="BB237" i="21398" s="1"/>
  <c r="BA235" i="21398"/>
  <c r="BC235" i="21398"/>
  <c r="BC309" i="2"/>
  <c r="BA309" i="2"/>
  <c r="BA307" i="2"/>
  <c r="BC203" i="2"/>
  <c r="AT296" i="2"/>
  <c r="AQ295" i="2"/>
  <c r="AY370" i="21398" l="1"/>
  <c r="BA370" i="21398" s="1"/>
  <c r="AX372" i="21398"/>
  <c r="C374" i="21398"/>
  <c r="AW372" i="21398"/>
  <c r="AX369" i="21398"/>
  <c r="AW369" i="21398"/>
  <c r="AC296" i="2"/>
  <c r="BA296" i="2"/>
  <c r="M296" i="2"/>
  <c r="BC296" i="2" s="1"/>
  <c r="J297" i="2"/>
  <c r="AX297" i="2" s="1"/>
  <c r="C300" i="2"/>
  <c r="AW298" i="2"/>
  <c r="AY298" i="2" s="1"/>
  <c r="F298" i="2"/>
  <c r="AW239" i="21398"/>
  <c r="BC237" i="21398"/>
  <c r="BA237" i="21398"/>
  <c r="AW236" i="21398"/>
  <c r="AY236" i="21398" s="1"/>
  <c r="AW238" i="21398"/>
  <c r="AY238" i="21398" s="1"/>
  <c r="BC205" i="2"/>
  <c r="AQ297" i="2"/>
  <c r="AY372" i="21398" l="1"/>
  <c r="BA372" i="21398" s="1"/>
  <c r="M372" i="21398"/>
  <c r="BC372" i="21398" s="1"/>
  <c r="AZ369" i="21398"/>
  <c r="BB369" i="21398" s="1"/>
  <c r="AX374" i="21398"/>
  <c r="C376" i="21398"/>
  <c r="AW374" i="21398"/>
  <c r="AC298" i="2"/>
  <c r="AW297" i="2"/>
  <c r="AZ297" i="2" s="1"/>
  <c r="BB297" i="2" s="1"/>
  <c r="AY300" i="2"/>
  <c r="F300" i="2"/>
  <c r="C302" i="2"/>
  <c r="AX302" i="2" s="1"/>
  <c r="BA298" i="2"/>
  <c r="M298" i="2"/>
  <c r="BC298" i="2" s="1"/>
  <c r="BB238" i="21398"/>
  <c r="BC238" i="21398"/>
  <c r="BA238" i="21398"/>
  <c r="BB236" i="21398"/>
  <c r="BC236" i="21398"/>
  <c r="BA236" i="21398"/>
  <c r="AW241" i="21398"/>
  <c r="BC239" i="21398"/>
  <c r="BA239" i="21398"/>
  <c r="BC311" i="2"/>
  <c r="BA311" i="2"/>
  <c r="BC207" i="2"/>
  <c r="AY374" i="21398" l="1"/>
  <c r="BA374" i="21398" s="1"/>
  <c r="M374" i="21398"/>
  <c r="BC374" i="21398" s="1"/>
  <c r="AX376" i="21398"/>
  <c r="J377" i="21398"/>
  <c r="AW376" i="21398"/>
  <c r="C378" i="21398"/>
  <c r="AC300" i="2"/>
  <c r="J303" i="2"/>
  <c r="AX303" i="2" s="1"/>
  <c r="F302" i="2"/>
  <c r="AX304" i="2"/>
  <c r="AW302" i="2"/>
  <c r="AY302" i="2" s="1"/>
  <c r="BC300" i="2"/>
  <c r="BA300" i="2"/>
  <c r="BA241" i="21398"/>
  <c r="BC241" i="21398"/>
  <c r="AW243" i="21398"/>
  <c r="AZ243" i="21398" s="1"/>
  <c r="BB243" i="21398" s="1"/>
  <c r="BC313" i="2"/>
  <c r="BA313" i="2"/>
  <c r="BB312" i="2"/>
  <c r="BC209" i="2"/>
  <c r="AY376" i="21398" l="1"/>
  <c r="BA376" i="21398" s="1"/>
  <c r="M376" i="21398"/>
  <c r="BC376" i="21398" s="1"/>
  <c r="C380" i="21398"/>
  <c r="AX378" i="21398"/>
  <c r="M378" i="21398" s="1"/>
  <c r="AX377" i="21398"/>
  <c r="AW377" i="21398"/>
  <c r="AC302" i="2"/>
  <c r="BA302" i="2"/>
  <c r="M302" i="2"/>
  <c r="BC302" i="2" s="1"/>
  <c r="AW304" i="2"/>
  <c r="AY304" i="2" s="1"/>
  <c r="C306" i="2"/>
  <c r="AX306" i="2" s="1"/>
  <c r="F304" i="2"/>
  <c r="AW303" i="2"/>
  <c r="AZ303" i="2" s="1"/>
  <c r="BB303" i="2" s="1"/>
  <c r="BC243" i="21398"/>
  <c r="BA243" i="21398"/>
  <c r="AW242" i="21398"/>
  <c r="AY242" i="21398" s="1"/>
  <c r="AW245" i="21398"/>
  <c r="BB316" i="2"/>
  <c r="BB314" i="2"/>
  <c r="BC315" i="2"/>
  <c r="BA315" i="2"/>
  <c r="BC211" i="2"/>
  <c r="AT304" i="2"/>
  <c r="AQ303" i="2"/>
  <c r="AZ377" i="21398" l="1"/>
  <c r="BB377" i="21398" s="1"/>
  <c r="C382" i="21398"/>
  <c r="AX380" i="21398"/>
  <c r="M380" i="21398" s="1"/>
  <c r="AC304" i="2"/>
  <c r="C308" i="2"/>
  <c r="AX308" i="2" s="1"/>
  <c r="F306" i="2"/>
  <c r="AW306" i="2"/>
  <c r="AY306" i="2" s="1"/>
  <c r="M304" i="2"/>
  <c r="BC304" i="2" s="1"/>
  <c r="BA304" i="2"/>
  <c r="BB242" i="21398"/>
  <c r="BC242" i="21398"/>
  <c r="BA242" i="21398"/>
  <c r="BA245" i="21398"/>
  <c r="BC245" i="21398"/>
  <c r="AW247" i="21398"/>
  <c r="BC317" i="2"/>
  <c r="BA317" i="2"/>
  <c r="BB318" i="2"/>
  <c r="BC213" i="2"/>
  <c r="AT306" i="2"/>
  <c r="AQ305" i="2"/>
  <c r="AX382" i="21398" l="1"/>
  <c r="M382" i="21398" s="1"/>
  <c r="C384" i="21398"/>
  <c r="AC306" i="2"/>
  <c r="BA306" i="2"/>
  <c r="M306" i="2"/>
  <c r="BC306" i="2" s="1"/>
  <c r="AW308" i="2"/>
  <c r="AY308" i="2" s="1"/>
  <c r="F308" i="2"/>
  <c r="C310" i="2"/>
  <c r="AX310" i="2" s="1"/>
  <c r="AW249" i="21398"/>
  <c r="AW248" i="21398"/>
  <c r="AY248" i="21398" s="1"/>
  <c r="BA247" i="21398"/>
  <c r="BC247" i="21398"/>
  <c r="BA319" i="2"/>
  <c r="BC319" i="2"/>
  <c r="BC215" i="2"/>
  <c r="AT308" i="2"/>
  <c r="C386" i="21398" l="1"/>
  <c r="AX384" i="21398"/>
  <c r="M384" i="21398" s="1"/>
  <c r="AC308" i="2"/>
  <c r="J309" i="2"/>
  <c r="AX309" i="2" s="1"/>
  <c r="F310" i="2"/>
  <c r="C312" i="2"/>
  <c r="AX312" i="2" s="1"/>
  <c r="AW310" i="2"/>
  <c r="AY310" i="2" s="1"/>
  <c r="BA308" i="2"/>
  <c r="M308" i="2"/>
  <c r="BC308" i="2" s="1"/>
  <c r="BB248" i="21398"/>
  <c r="BC248" i="21398"/>
  <c r="BA248" i="21398"/>
  <c r="AW251" i="21398"/>
  <c r="BC249" i="21398"/>
  <c r="BA249" i="21398"/>
  <c r="BC217" i="2"/>
  <c r="AT310" i="2"/>
  <c r="AQ307" i="2"/>
  <c r="AQ309" i="2"/>
  <c r="AX386" i="21398" l="1"/>
  <c r="AW386" i="21398"/>
  <c r="C388" i="21398"/>
  <c r="J385" i="21398"/>
  <c r="AX385" i="21398" s="1"/>
  <c r="AC310" i="2"/>
  <c r="M310" i="2"/>
  <c r="BC310" i="2" s="1"/>
  <c r="BA310" i="2"/>
  <c r="AW312" i="2"/>
  <c r="AY312" i="2" s="1"/>
  <c r="C314" i="2"/>
  <c r="AX314" i="2" s="1"/>
  <c r="F312" i="2"/>
  <c r="AW309" i="2"/>
  <c r="AZ309" i="2" s="1"/>
  <c r="BB309" i="2" s="1"/>
  <c r="AW253" i="21398"/>
  <c r="BC251" i="21398"/>
  <c r="BA251" i="21398"/>
  <c r="BC219" i="2"/>
  <c r="AT312" i="2"/>
  <c r="AQ311" i="2"/>
  <c r="AZ253" i="21398" l="1"/>
  <c r="BB253" i="21398" s="1"/>
  <c r="AX388" i="21398"/>
  <c r="C390" i="21398"/>
  <c r="AW388" i="21398"/>
  <c r="AY386" i="21398"/>
  <c r="BA386" i="21398" s="1"/>
  <c r="BC386" i="21398"/>
  <c r="AC312" i="2"/>
  <c r="AW314" i="2"/>
  <c r="AY314" i="2" s="1"/>
  <c r="F314" i="2"/>
  <c r="C316" i="2"/>
  <c r="AX316" i="2" s="1"/>
  <c r="M312" i="2"/>
  <c r="BC312" i="2" s="1"/>
  <c r="BA312" i="2"/>
  <c r="AW255" i="21398"/>
  <c r="BA253" i="21398"/>
  <c r="BC253" i="21398"/>
  <c r="BC229" i="2"/>
  <c r="AQ313" i="2"/>
  <c r="AT314" i="2"/>
  <c r="AY388" i="21398" l="1"/>
  <c r="BA388" i="21398" s="1"/>
  <c r="BC388" i="21398"/>
  <c r="AX390" i="21398"/>
  <c r="C392" i="21398"/>
  <c r="AW390" i="21398"/>
  <c r="J391" i="21398"/>
  <c r="AX391" i="21398" s="1"/>
  <c r="AC314" i="2"/>
  <c r="BA314" i="2"/>
  <c r="M314" i="2"/>
  <c r="BC314" i="2" s="1"/>
  <c r="J317" i="2"/>
  <c r="AX317" i="2" s="1"/>
  <c r="C318" i="2"/>
  <c r="AX318" i="2" s="1"/>
  <c r="AW316" i="2"/>
  <c r="AY316" i="2" s="1"/>
  <c r="F316" i="2"/>
  <c r="BC255" i="21398"/>
  <c r="BA255" i="21398"/>
  <c r="AW257" i="21398"/>
  <c r="BC231" i="2"/>
  <c r="AT316" i="2"/>
  <c r="AX392" i="21398" l="1"/>
  <c r="C394" i="21398"/>
  <c r="AW392" i="21398"/>
  <c r="AY390" i="21398"/>
  <c r="BA390" i="21398" s="1"/>
  <c r="BC390" i="21398"/>
  <c r="AC316" i="2"/>
  <c r="AW318" i="2"/>
  <c r="AY318" i="2" s="1"/>
  <c r="F318" i="2"/>
  <c r="C320" i="2"/>
  <c r="AX320" i="2" s="1"/>
  <c r="AW317" i="2"/>
  <c r="AZ317" i="2" s="1"/>
  <c r="BB317" i="2" s="1"/>
  <c r="M316" i="2"/>
  <c r="BC316" i="2" s="1"/>
  <c r="BA316" i="2"/>
  <c r="AW259" i="21398"/>
  <c r="BC257" i="21398"/>
  <c r="BA257" i="21398"/>
  <c r="AW256" i="21398"/>
  <c r="AY256" i="21398" s="1"/>
  <c r="BC233" i="2"/>
  <c r="AQ315" i="2"/>
  <c r="AQ317" i="2"/>
  <c r="AT318" i="2"/>
  <c r="AX394" i="21398" l="1"/>
  <c r="C396" i="21398"/>
  <c r="AW394" i="21398"/>
  <c r="AY392" i="21398"/>
  <c r="BA392" i="21398" s="1"/>
  <c r="BC392" i="21398"/>
  <c r="AC318" i="2"/>
  <c r="M318" i="2"/>
  <c r="BC318" i="2" s="1"/>
  <c r="BA318" i="2"/>
  <c r="C322" i="2"/>
  <c r="AX322" i="2" s="1"/>
  <c r="AW320" i="2"/>
  <c r="AY320" i="2" s="1"/>
  <c r="F320" i="2"/>
  <c r="BB256" i="21398"/>
  <c r="BC256" i="21398"/>
  <c r="BA256" i="21398"/>
  <c r="AW261" i="21398"/>
  <c r="BA259" i="21398"/>
  <c r="BC259" i="21398"/>
  <c r="BC235" i="2"/>
  <c r="AQ319" i="2"/>
  <c r="AT320" i="2"/>
  <c r="AZ261" i="21398" l="1"/>
  <c r="BB261" i="21398" s="1"/>
  <c r="AX396" i="21398"/>
  <c r="C398" i="21398"/>
  <c r="AY394" i="21398"/>
  <c r="BA394" i="21398" s="1"/>
  <c r="BC394" i="21398"/>
  <c r="AC320" i="2"/>
  <c r="C324" i="2"/>
  <c r="AX324" i="2" s="1"/>
  <c r="M322" i="2"/>
  <c r="F322" i="2"/>
  <c r="AW322" i="2"/>
  <c r="AY322" i="2" s="1"/>
  <c r="M320" i="2"/>
  <c r="BC320" i="2" s="1"/>
  <c r="BA320" i="2"/>
  <c r="BC261" i="21398"/>
  <c r="BA261" i="21398"/>
  <c r="AW263" i="21398"/>
  <c r="BC237" i="2"/>
  <c r="AQ321" i="2"/>
  <c r="AT322" i="2"/>
  <c r="AX398" i="21398" l="1"/>
  <c r="C400" i="21398"/>
  <c r="AW398" i="21398"/>
  <c r="AC322" i="2"/>
  <c r="F324" i="2"/>
  <c r="AW324" i="2"/>
  <c r="AY324" i="2" s="1"/>
  <c r="C326" i="2"/>
  <c r="AX326" i="2" s="1"/>
  <c r="AW265" i="21398"/>
  <c r="BC263" i="21398"/>
  <c r="BA263" i="21398"/>
  <c r="AW264" i="21398"/>
  <c r="AY264" i="21398" s="1"/>
  <c r="BC239" i="2"/>
  <c r="AQ323" i="2"/>
  <c r="AT324" i="2"/>
  <c r="AX400" i="21398" l="1"/>
  <c r="AW400" i="21398"/>
  <c r="C402" i="21398"/>
  <c r="AY398" i="21398"/>
  <c r="BA398" i="21398" s="1"/>
  <c r="BC398" i="21398"/>
  <c r="AC324" i="2"/>
  <c r="BA324" i="2"/>
  <c r="M324" i="2"/>
  <c r="BC324" i="2" s="1"/>
  <c r="J325" i="2"/>
  <c r="AX325" i="2" s="1"/>
  <c r="C328" i="2"/>
  <c r="AX328" i="2" s="1"/>
  <c r="F326" i="2"/>
  <c r="AW326" i="2"/>
  <c r="AY326" i="2" s="1"/>
  <c r="BB264" i="21398"/>
  <c r="BA264" i="21398"/>
  <c r="BC264" i="21398"/>
  <c r="BA265" i="21398"/>
  <c r="BC265" i="21398"/>
  <c r="AW267" i="21398"/>
  <c r="BC241" i="2"/>
  <c r="AT326" i="2"/>
  <c r="AQ325" i="2"/>
  <c r="AX402" i="21398" l="1"/>
  <c r="C404" i="21398"/>
  <c r="AW402" i="21398"/>
  <c r="AY400" i="21398"/>
  <c r="BA400" i="21398" s="1"/>
  <c r="BC400" i="21398"/>
  <c r="AC326" i="2"/>
  <c r="AW325" i="2"/>
  <c r="AZ325" i="2" s="1"/>
  <c r="BB325" i="2" s="1"/>
  <c r="F328" i="2"/>
  <c r="C330" i="2"/>
  <c r="AX330" i="2" s="1"/>
  <c r="AW328" i="2"/>
  <c r="AY328" i="2" s="1"/>
  <c r="BA326" i="2"/>
  <c r="M326" i="2"/>
  <c r="BC326" i="2" s="1"/>
  <c r="BA267" i="21398"/>
  <c r="BC267" i="21398"/>
  <c r="AW269" i="21398"/>
  <c r="BC243" i="2"/>
  <c r="AQ327" i="2"/>
  <c r="AZ269" i="21398" l="1"/>
  <c r="BB269" i="21398" s="1"/>
  <c r="AX404" i="21398"/>
  <c r="C406" i="21398"/>
  <c r="J403" i="21398"/>
  <c r="AX403" i="21398" s="1"/>
  <c r="AY402" i="21398"/>
  <c r="BA402" i="21398" s="1"/>
  <c r="BC402" i="21398"/>
  <c r="J331" i="2"/>
  <c r="AX331" i="2" s="1"/>
  <c r="F330" i="2"/>
  <c r="AW330" i="2"/>
  <c r="AY330" i="2" s="1"/>
  <c r="C332" i="2"/>
  <c r="AX332" i="2" s="1"/>
  <c r="BA328" i="2"/>
  <c r="M328" i="2"/>
  <c r="BC328" i="2" s="1"/>
  <c r="BC269" i="21398"/>
  <c r="BA269" i="21398"/>
  <c r="AW271" i="21398"/>
  <c r="AZ271" i="21398" s="1"/>
  <c r="BB271" i="21398" s="1"/>
  <c r="BC245" i="2"/>
  <c r="AQ329" i="2"/>
  <c r="AT330" i="2"/>
  <c r="AT328" i="2"/>
  <c r="AC328" i="2" l="1"/>
  <c r="AX406" i="21398"/>
  <c r="AW406" i="21398"/>
  <c r="C408" i="21398"/>
  <c r="C410" i="21398" s="1"/>
  <c r="AC330" i="2"/>
  <c r="F332" i="2"/>
  <c r="AW332" i="2"/>
  <c r="AY332" i="2" s="1"/>
  <c r="C334" i="2"/>
  <c r="AX334" i="2" s="1"/>
  <c r="M330" i="2"/>
  <c r="BC330" i="2" s="1"/>
  <c r="BA330" i="2"/>
  <c r="AW331" i="2"/>
  <c r="AZ331" i="2" s="1"/>
  <c r="BB331" i="2" s="1"/>
  <c r="BC271" i="21398"/>
  <c r="BA271" i="21398"/>
  <c r="AW273" i="21398"/>
  <c r="BC247" i="2"/>
  <c r="AQ331" i="2"/>
  <c r="AZ273" i="21398" l="1"/>
  <c r="BB273" i="21398" s="1"/>
  <c r="AX408" i="21398"/>
  <c r="AY406" i="21398"/>
  <c r="BA406" i="21398" s="1"/>
  <c r="BC406" i="21398"/>
  <c r="BA332" i="2"/>
  <c r="M332" i="2"/>
  <c r="BC332" i="2" s="1"/>
  <c r="AW334" i="2"/>
  <c r="AY334" i="2" s="1"/>
  <c r="C336" i="2"/>
  <c r="AX336" i="2" s="1"/>
  <c r="F334" i="2"/>
  <c r="AW272" i="21398"/>
  <c r="AY272" i="21398" s="1"/>
  <c r="BA273" i="21398"/>
  <c r="BC273" i="21398"/>
  <c r="AW275" i="21398"/>
  <c r="AZ275" i="21398" s="1"/>
  <c r="BB275" i="21398" s="1"/>
  <c r="BC249" i="2"/>
  <c r="AT332" i="2"/>
  <c r="AT334" i="2"/>
  <c r="AC332" i="2" l="1"/>
  <c r="AX410" i="21398"/>
  <c r="AW410" i="21398"/>
  <c r="C412" i="21398"/>
  <c r="C414" i="21398" s="1"/>
  <c r="J411" i="21398"/>
  <c r="AX411" i="21398" s="1"/>
  <c r="AC334" i="2"/>
  <c r="AW336" i="2"/>
  <c r="AY336" i="2" s="1"/>
  <c r="C338" i="2"/>
  <c r="AX338" i="2" s="1"/>
  <c r="F336" i="2"/>
  <c r="BA334" i="2"/>
  <c r="M334" i="2"/>
  <c r="BC334" i="2" s="1"/>
  <c r="BB272" i="21398"/>
  <c r="BA272" i="21398"/>
  <c r="BC272" i="21398"/>
  <c r="BA275" i="21398"/>
  <c r="BC275" i="21398"/>
  <c r="AW277" i="21398"/>
  <c r="BC251" i="2"/>
  <c r="AQ335" i="2"/>
  <c r="AT336" i="2"/>
  <c r="AQ333" i="2"/>
  <c r="AX412" i="21398" l="1"/>
  <c r="AW412" i="21398"/>
  <c r="AY410" i="21398"/>
  <c r="BA410" i="21398" s="1"/>
  <c r="BC410" i="21398"/>
  <c r="AC336" i="2"/>
  <c r="AW338" i="2"/>
  <c r="AY338" i="2" s="1"/>
  <c r="F338" i="2"/>
  <c r="C340" i="2"/>
  <c r="AX340" i="2" s="1"/>
  <c r="BA336" i="2"/>
  <c r="M336" i="2"/>
  <c r="BC336" i="2" s="1"/>
  <c r="AW279" i="21398"/>
  <c r="BC279" i="21398"/>
  <c r="BA277" i="21398"/>
  <c r="BC277" i="21398"/>
  <c r="AW278" i="21398"/>
  <c r="AY278" i="21398" s="1"/>
  <c r="BC253" i="2"/>
  <c r="AT338" i="2"/>
  <c r="C416" i="21398" l="1"/>
  <c r="AX414" i="21398"/>
  <c r="AY412" i="21398"/>
  <c r="BA412" i="21398" s="1"/>
  <c r="BC412" i="21398"/>
  <c r="AC338" i="2"/>
  <c r="J339" i="2"/>
  <c r="AX339" i="2" s="1"/>
  <c r="F340" i="2"/>
  <c r="C342" i="2"/>
  <c r="AX342" i="2" s="1"/>
  <c r="AW340" i="2"/>
  <c r="AY340" i="2" s="1"/>
  <c r="M338" i="2"/>
  <c r="BC338" i="2" s="1"/>
  <c r="BA338" i="2"/>
  <c r="BB278" i="21398"/>
  <c r="BC278" i="21398"/>
  <c r="BA278" i="21398"/>
  <c r="BA279" i="21398"/>
  <c r="AW281" i="21398"/>
  <c r="BC255" i="2"/>
  <c r="AQ339" i="2"/>
  <c r="AT340" i="2"/>
  <c r="AQ337" i="2"/>
  <c r="C418" i="21398" l="1"/>
  <c r="AX416" i="21398"/>
  <c r="AC340" i="2"/>
  <c r="C346" i="2"/>
  <c r="AX346" i="2" s="1"/>
  <c r="AW342" i="2"/>
  <c r="AY342" i="2" s="1"/>
  <c r="F342" i="2"/>
  <c r="M340" i="2"/>
  <c r="BC340" i="2" s="1"/>
  <c r="BA340" i="2"/>
  <c r="AW339" i="2"/>
  <c r="AZ339" i="2" s="1"/>
  <c r="BB339" i="2" s="1"/>
  <c r="BC283" i="21398"/>
  <c r="AW283" i="21398"/>
  <c r="BA281" i="21398"/>
  <c r="BC281" i="21398"/>
  <c r="BC257" i="2"/>
  <c r="AQ341" i="2"/>
  <c r="AT342" i="2"/>
  <c r="AX418" i="21398" l="1"/>
  <c r="C420" i="21398"/>
  <c r="J419" i="21398"/>
  <c r="AX419" i="21398" s="1"/>
  <c r="M342" i="2"/>
  <c r="BC342" i="2" s="1"/>
  <c r="BA342" i="2"/>
  <c r="F346" i="2"/>
  <c r="AW346" i="2"/>
  <c r="AY346" i="2" s="1"/>
  <c r="C344" i="2"/>
  <c r="AX344" i="2" s="1"/>
  <c r="C348" i="2"/>
  <c r="AX348" i="2" s="1"/>
  <c r="BA283" i="21398"/>
  <c r="AW285" i="21398"/>
  <c r="AZ285" i="21398" s="1"/>
  <c r="BB285" i="21398" s="1"/>
  <c r="AT346" i="2"/>
  <c r="AQ345" i="2"/>
  <c r="AX420" i="21398" l="1"/>
  <c r="C422" i="21398"/>
  <c r="AW420" i="21398"/>
  <c r="AC346" i="2"/>
  <c r="BA346" i="2"/>
  <c r="M346" i="2"/>
  <c r="BC346" i="2" s="1"/>
  <c r="C350" i="2"/>
  <c r="AX350" i="2" s="1"/>
  <c r="AW348" i="2"/>
  <c r="AY348" i="2" s="1"/>
  <c r="F348" i="2"/>
  <c r="C352" i="2"/>
  <c r="AX352" i="2" s="1"/>
  <c r="AW344" i="2"/>
  <c r="AY344" i="2" s="1"/>
  <c r="F344" i="2"/>
  <c r="AW284" i="21398"/>
  <c r="AY284" i="21398" s="1"/>
  <c r="AW289" i="21398"/>
  <c r="BC285" i="21398"/>
  <c r="BA285" i="21398"/>
  <c r="AT348" i="2"/>
  <c r="AQ347" i="2"/>
  <c r="AX422" i="21398" l="1"/>
  <c r="C424" i="21398"/>
  <c r="AW422" i="21398"/>
  <c r="AY420" i="21398"/>
  <c r="BA420" i="21398" s="1"/>
  <c r="BC420" i="21398"/>
  <c r="AC348" i="2"/>
  <c r="M348" i="2"/>
  <c r="BC348" i="2" s="1"/>
  <c r="BA348" i="2"/>
  <c r="C354" i="2"/>
  <c r="AX354" i="2" s="1"/>
  <c r="AW352" i="2"/>
  <c r="AY352" i="2" s="1"/>
  <c r="F352" i="2"/>
  <c r="AW350" i="2"/>
  <c r="AY350" i="2" s="1"/>
  <c r="F350" i="2"/>
  <c r="M344" i="2"/>
  <c r="BC344" i="2" s="1"/>
  <c r="BA344" i="2"/>
  <c r="BB284" i="21398"/>
  <c r="BC284" i="21398"/>
  <c r="BA284" i="21398"/>
  <c r="BC289" i="21398"/>
  <c r="BA289" i="21398"/>
  <c r="AW287" i="21398"/>
  <c r="AW291" i="21398"/>
  <c r="AQ351" i="2"/>
  <c r="AT352" i="2"/>
  <c r="AX424" i="21398" l="1"/>
  <c r="AW424" i="21398"/>
  <c r="C426" i="21398"/>
  <c r="AY422" i="21398"/>
  <c r="BA422" i="21398" s="1"/>
  <c r="BC422" i="21398"/>
  <c r="AC352" i="2"/>
  <c r="J355" i="2"/>
  <c r="AX355" i="2" s="1"/>
  <c r="C356" i="2"/>
  <c r="AX356" i="2" s="1"/>
  <c r="F354" i="2"/>
  <c r="AW354" i="2"/>
  <c r="AY354" i="2" s="1"/>
  <c r="M350" i="2"/>
  <c r="BC350" i="2" s="1"/>
  <c r="BA350" i="2"/>
  <c r="M352" i="2"/>
  <c r="BC352" i="2" s="1"/>
  <c r="BA352" i="2"/>
  <c r="BA291" i="21398"/>
  <c r="BC291" i="21398"/>
  <c r="AW293" i="21398"/>
  <c r="AZ293" i="21398" s="1"/>
  <c r="BB293" i="21398" s="1"/>
  <c r="BC287" i="21398"/>
  <c r="BA287" i="21398"/>
  <c r="AT354" i="2"/>
  <c r="AQ353" i="2"/>
  <c r="AX426" i="21398" l="1"/>
  <c r="C428" i="21398"/>
  <c r="J425" i="21398"/>
  <c r="AX425" i="21398" s="1"/>
  <c r="AW426" i="21398"/>
  <c r="AY424" i="21398"/>
  <c r="BA424" i="21398" s="1"/>
  <c r="BC424" i="21398"/>
  <c r="AC354" i="2"/>
  <c r="M354" i="2"/>
  <c r="BC354" i="2" s="1"/>
  <c r="BA354" i="2"/>
  <c r="C358" i="2"/>
  <c r="AX358" i="2" s="1"/>
  <c r="AW356" i="2"/>
  <c r="AY356" i="2" s="1"/>
  <c r="F356" i="2"/>
  <c r="AW355" i="2"/>
  <c r="AZ355" i="2" s="1"/>
  <c r="BB355" i="2" s="1"/>
  <c r="AW295" i="21398"/>
  <c r="BC293" i="21398"/>
  <c r="BA293" i="21398"/>
  <c r="AQ355" i="2"/>
  <c r="AX428" i="21398" l="1"/>
  <c r="M428" i="21398" s="1"/>
  <c r="C430" i="21398"/>
  <c r="AW428" i="21398"/>
  <c r="AY426" i="21398"/>
  <c r="BA426" i="21398" s="1"/>
  <c r="BC426" i="21398"/>
  <c r="C360" i="2"/>
  <c r="AX360" i="2" s="1"/>
  <c r="AW358" i="2"/>
  <c r="AY358" i="2" s="1"/>
  <c r="F358" i="2"/>
  <c r="M356" i="2"/>
  <c r="BC356" i="2" s="1"/>
  <c r="BA356" i="2"/>
  <c r="AW297" i="21398"/>
  <c r="AZ297" i="21398" s="1"/>
  <c r="BB297" i="21398" s="1"/>
  <c r="BC295" i="21398"/>
  <c r="BA295" i="21398"/>
  <c r="AT356" i="2"/>
  <c r="AT358" i="2"/>
  <c r="AQ357" i="2"/>
  <c r="AC356" i="2" l="1"/>
  <c r="AX430" i="21398"/>
  <c r="AW430" i="21398"/>
  <c r="C432" i="21398"/>
  <c r="J431" i="21398"/>
  <c r="AX431" i="21398" s="1"/>
  <c r="AY428" i="21398"/>
  <c r="BA428" i="21398" s="1"/>
  <c r="BC428" i="21398"/>
  <c r="AC358" i="2"/>
  <c r="BA358" i="2"/>
  <c r="M358" i="2"/>
  <c r="BC358" i="2" s="1"/>
  <c r="J359" i="2"/>
  <c r="AX359" i="2" s="1"/>
  <c r="F360" i="2"/>
  <c r="C362" i="2"/>
  <c r="AX362" i="2" s="1"/>
  <c r="AW360" i="2"/>
  <c r="AY360" i="2" s="1"/>
  <c r="BC297" i="21398"/>
  <c r="BA297" i="21398"/>
  <c r="AW299" i="21398"/>
  <c r="AT360" i="2"/>
  <c r="C434" i="21398" l="1"/>
  <c r="AX432" i="21398"/>
  <c r="AY430" i="21398"/>
  <c r="BA430" i="21398" s="1"/>
  <c r="BC430" i="21398"/>
  <c r="AC360" i="2"/>
  <c r="AW359" i="2"/>
  <c r="AZ359" i="2" s="1"/>
  <c r="BB359" i="2" s="1"/>
  <c r="J361" i="2"/>
  <c r="AX361" i="2" s="1"/>
  <c r="J363" i="2"/>
  <c r="AX363" i="2" s="1"/>
  <c r="F362" i="2"/>
  <c r="C364" i="2"/>
  <c r="AX364" i="2" s="1"/>
  <c r="AW362" i="2"/>
  <c r="AY362" i="2" s="1"/>
  <c r="BA360" i="2"/>
  <c r="M360" i="2"/>
  <c r="BC360" i="2" s="1"/>
  <c r="AW303" i="21398"/>
  <c r="AZ303" i="21398" s="1"/>
  <c r="BB303" i="21398" s="1"/>
  <c r="AW301" i="21398"/>
  <c r="BA299" i="21398"/>
  <c r="BC299" i="21398"/>
  <c r="AQ359" i="2"/>
  <c r="AQ361" i="2"/>
  <c r="AT362" i="2"/>
  <c r="AX434" i="21398" l="1"/>
  <c r="C436" i="21398"/>
  <c r="AW434" i="21398"/>
  <c r="AC362" i="2"/>
  <c r="M362" i="2"/>
  <c r="BC362" i="2" s="1"/>
  <c r="BA362" i="2"/>
  <c r="J365" i="2"/>
  <c r="AX365" i="2" s="1"/>
  <c r="AW364" i="2"/>
  <c r="AY364" i="2" s="1"/>
  <c r="F364" i="2"/>
  <c r="C366" i="2"/>
  <c r="AX366" i="2" s="1"/>
  <c r="AW361" i="2"/>
  <c r="AZ361" i="2" s="1"/>
  <c r="BB361" i="2" s="1"/>
  <c r="AW363" i="2"/>
  <c r="AZ363" i="2" s="1"/>
  <c r="BB363" i="2" s="1"/>
  <c r="BB418" i="2"/>
  <c r="AW304" i="21398"/>
  <c r="AY304" i="21398" s="1"/>
  <c r="AW305" i="21398"/>
  <c r="BC301" i="21398"/>
  <c r="BA301" i="21398"/>
  <c r="BA303" i="21398"/>
  <c r="BC303" i="21398"/>
  <c r="AQ363" i="2"/>
  <c r="AT364" i="2"/>
  <c r="C438" i="21398" l="1"/>
  <c r="AX436" i="21398"/>
  <c r="AY434" i="21398"/>
  <c r="BA434" i="21398" s="1"/>
  <c r="BC434" i="21398"/>
  <c r="AC364" i="2"/>
  <c r="AW366" i="2"/>
  <c r="AY366" i="2" s="1"/>
  <c r="C368" i="2"/>
  <c r="AX368" i="2" s="1"/>
  <c r="F366" i="2"/>
  <c r="AW365" i="2"/>
  <c r="AZ365" i="2" s="1"/>
  <c r="BB365" i="2" s="1"/>
  <c r="BA364" i="2"/>
  <c r="M364" i="2"/>
  <c r="BC364" i="2" s="1"/>
  <c r="BB304" i="21398"/>
  <c r="BC304" i="21398"/>
  <c r="BA304" i="21398"/>
  <c r="AW307" i="21398"/>
  <c r="BC305" i="21398"/>
  <c r="BA305" i="21398"/>
  <c r="AT366" i="2"/>
  <c r="AX438" i="21398" l="1"/>
  <c r="C440" i="21398"/>
  <c r="AW438" i="21398"/>
  <c r="AC366" i="2"/>
  <c r="C370" i="2"/>
  <c r="AX370" i="2" s="1"/>
  <c r="F368" i="2"/>
  <c r="AW368" i="2"/>
  <c r="AY368" i="2" s="1"/>
  <c r="BA366" i="2"/>
  <c r="M366" i="2"/>
  <c r="BC366" i="2" s="1"/>
  <c r="BA307" i="21398"/>
  <c r="BC307" i="21398"/>
  <c r="AW309" i="21398"/>
  <c r="AZ309" i="21398" s="1"/>
  <c r="BB309" i="21398" s="1"/>
  <c r="AQ365" i="2"/>
  <c r="AQ367" i="2"/>
  <c r="AT368" i="2"/>
  <c r="AX440" i="21398" l="1"/>
  <c r="M440" i="21398" s="1"/>
  <c r="C442" i="21398"/>
  <c r="AW440" i="21398"/>
  <c r="AY438" i="21398"/>
  <c r="BA438" i="21398" s="1"/>
  <c r="BC438" i="21398"/>
  <c r="AC368" i="2"/>
  <c r="J369" i="2"/>
  <c r="AX369" i="2" s="1"/>
  <c r="C372" i="2"/>
  <c r="AX372" i="2" s="1"/>
  <c r="F370" i="2"/>
  <c r="AW370" i="2"/>
  <c r="AY370" i="2" s="1"/>
  <c r="M368" i="2"/>
  <c r="BC368" i="2" s="1"/>
  <c r="BA368" i="2"/>
  <c r="AW311" i="21398"/>
  <c r="BA309" i="21398"/>
  <c r="BC309" i="21398"/>
  <c r="AQ369" i="2"/>
  <c r="AT370" i="2"/>
  <c r="AX442" i="21398" l="1"/>
  <c r="AW442" i="21398"/>
  <c r="C444" i="21398"/>
  <c r="AY440" i="21398"/>
  <c r="BA440" i="21398" s="1"/>
  <c r="BC440" i="21398"/>
  <c r="AC370" i="2"/>
  <c r="F372" i="2"/>
  <c r="AW372" i="2"/>
  <c r="AY372" i="2" s="1"/>
  <c r="C374" i="2"/>
  <c r="AX374" i="2" s="1"/>
  <c r="BA370" i="2"/>
  <c r="M370" i="2"/>
  <c r="BC370" i="2" s="1"/>
  <c r="AW369" i="2"/>
  <c r="BC311" i="21398"/>
  <c r="BA311" i="21398"/>
  <c r="AW313" i="21398"/>
  <c r="AT372" i="2"/>
  <c r="AQ371" i="2"/>
  <c r="AY442" i="21398" l="1"/>
  <c r="BA442" i="21398" s="1"/>
  <c r="M442" i="21398"/>
  <c r="BC442" i="21398" s="1"/>
  <c r="AX444" i="21398"/>
  <c r="C446" i="21398"/>
  <c r="AW444" i="21398"/>
  <c r="AZ369" i="2"/>
  <c r="BB369" i="2" s="1"/>
  <c r="BA372" i="2"/>
  <c r="M372" i="2"/>
  <c r="BC372" i="2" s="1"/>
  <c r="AW374" i="2"/>
  <c r="AY374" i="2" s="1"/>
  <c r="C376" i="2"/>
  <c r="AX376" i="2" s="1"/>
  <c r="F374" i="2"/>
  <c r="BA313" i="21398"/>
  <c r="BC313" i="21398"/>
  <c r="AW312" i="21398"/>
  <c r="AY312" i="21398" s="1"/>
  <c r="AW315" i="21398"/>
  <c r="AT374" i="2"/>
  <c r="AQ373" i="2"/>
  <c r="AY444" i="21398" l="1"/>
  <c r="BA444" i="21398" s="1"/>
  <c r="M444" i="21398"/>
  <c r="BC444" i="21398" s="1"/>
  <c r="AX446" i="21398"/>
  <c r="M446" i="21398" s="1"/>
  <c r="BC446" i="21398" s="1"/>
  <c r="C448" i="21398"/>
  <c r="AW448" i="21398" s="1"/>
  <c r="J445" i="21398"/>
  <c r="AW446" i="21398"/>
  <c r="AC374" i="2"/>
  <c r="J377" i="2"/>
  <c r="AX377" i="2" s="1"/>
  <c r="C378" i="2"/>
  <c r="AX378" i="2" s="1"/>
  <c r="F376" i="2"/>
  <c r="AW376" i="2"/>
  <c r="AY376" i="2" s="1"/>
  <c r="M374" i="2"/>
  <c r="BC374" i="2" s="1"/>
  <c r="BA374" i="2"/>
  <c r="BB312" i="21398"/>
  <c r="BA312" i="21398"/>
  <c r="BC312" i="21398"/>
  <c r="BC315" i="21398"/>
  <c r="BA315" i="21398"/>
  <c r="AW314" i="21398"/>
  <c r="AY314" i="21398" s="1"/>
  <c r="AW316" i="21398"/>
  <c r="AY316" i="21398" s="1"/>
  <c r="AW317" i="21398"/>
  <c r="AT376" i="2"/>
  <c r="AQ375" i="2"/>
  <c r="AZ317" i="21398" l="1"/>
  <c r="BB317" i="21398" s="1"/>
  <c r="G345" i="21412"/>
  <c r="G348" i="21412"/>
  <c r="G347" i="21412"/>
  <c r="G349" i="21412"/>
  <c r="G344" i="21412"/>
  <c r="G346" i="21412"/>
  <c r="AX445" i="21398"/>
  <c r="AW445" i="21398"/>
  <c r="AX448" i="21398"/>
  <c r="C450" i="21398"/>
  <c r="C452" i="21398" s="1"/>
  <c r="C454" i="21398" s="1"/>
  <c r="C456" i="21398" s="1"/>
  <c r="C458" i="21398" s="1"/>
  <c r="C460" i="21398" s="1"/>
  <c r="C462" i="21398" s="1"/>
  <c r="C464" i="21398" s="1"/>
  <c r="C466" i="21398" s="1"/>
  <c r="C468" i="21398" s="1"/>
  <c r="C470" i="21398" s="1"/>
  <c r="C472" i="21398" s="1"/>
  <c r="C474" i="21398" s="1"/>
  <c r="C476" i="21398" s="1"/>
  <c r="AY446" i="21398"/>
  <c r="BA446" i="21398" s="1"/>
  <c r="AC376" i="2"/>
  <c r="C380" i="2"/>
  <c r="AX380" i="2" s="1"/>
  <c r="AW378" i="2"/>
  <c r="AY378" i="2" s="1"/>
  <c r="F378" i="2"/>
  <c r="M376" i="2"/>
  <c r="BC376" i="2" s="1"/>
  <c r="BA376" i="2"/>
  <c r="AW377" i="2"/>
  <c r="BB316" i="21398"/>
  <c r="BA316" i="21398"/>
  <c r="BC316" i="21398"/>
  <c r="BB314" i="21398"/>
  <c r="BC314" i="21398"/>
  <c r="BA314" i="21398"/>
  <c r="BC317" i="21398"/>
  <c r="BA317" i="21398"/>
  <c r="AW318" i="21398"/>
  <c r="AY318" i="21398" s="1"/>
  <c r="AW319" i="21398"/>
  <c r="AQ377" i="2"/>
  <c r="AX447" i="21398" l="1"/>
  <c r="AW447" i="21398"/>
  <c r="AY448" i="21398"/>
  <c r="BA448" i="21398" s="1"/>
  <c r="M448" i="21398"/>
  <c r="BC448" i="21398" s="1"/>
  <c r="AZ445" i="21398"/>
  <c r="BB445" i="21398" s="1"/>
  <c r="AX476" i="21398"/>
  <c r="M476" i="21398" s="1"/>
  <c r="C478" i="21398"/>
  <c r="C480" i="21398" s="1"/>
  <c r="C482" i="21398" s="1"/>
  <c r="C484" i="21398" s="1"/>
  <c r="C486" i="21398" s="1"/>
  <c r="C488" i="21398" s="1"/>
  <c r="C490" i="21398" s="1"/>
  <c r="C492" i="21398" s="1"/>
  <c r="C494" i="21398" s="1"/>
  <c r="C496" i="21398" s="1"/>
  <c r="J477" i="21398"/>
  <c r="AX477" i="21398" s="1"/>
  <c r="AW476" i="21398"/>
  <c r="F349" i="21412"/>
  <c r="E349" i="21412" s="1"/>
  <c r="F347" i="21412"/>
  <c r="E347" i="21412" s="1"/>
  <c r="F348" i="21412"/>
  <c r="E348" i="21412" s="1"/>
  <c r="F346" i="21412"/>
  <c r="E346" i="21412" s="1"/>
  <c r="F345" i="21412"/>
  <c r="E345" i="21412" s="1"/>
  <c r="F344" i="21412"/>
  <c r="E344" i="21412" s="1"/>
  <c r="AZ377" i="2"/>
  <c r="BB377" i="2" s="1"/>
  <c r="AW380" i="2"/>
  <c r="AY380" i="2" s="1"/>
  <c r="F380" i="2"/>
  <c r="C382" i="2"/>
  <c r="AX382" i="2" s="1"/>
  <c r="M378" i="2"/>
  <c r="BC378" i="2" s="1"/>
  <c r="BA378" i="2"/>
  <c r="BB318" i="21398"/>
  <c r="BA318" i="21398"/>
  <c r="BC318" i="21398"/>
  <c r="BA319" i="21398"/>
  <c r="BC319" i="21398"/>
  <c r="AW323" i="21398"/>
  <c r="AT378" i="2"/>
  <c r="AT380" i="2"/>
  <c r="AC378" i="2" l="1"/>
  <c r="AZ447" i="21398"/>
  <c r="BB447" i="21398" s="1"/>
  <c r="AX496" i="21398"/>
  <c r="M496" i="21398" s="1"/>
  <c r="C498" i="21398"/>
  <c r="AW496" i="21398"/>
  <c r="AW56" i="21413" s="1"/>
  <c r="C56" i="21413"/>
  <c r="AY476" i="21398"/>
  <c r="BA476" i="21398" s="1"/>
  <c r="BC476" i="21398"/>
  <c r="AC380" i="2"/>
  <c r="C384" i="2"/>
  <c r="AX384" i="2" s="1"/>
  <c r="F382" i="2"/>
  <c r="AW382" i="2"/>
  <c r="AY382" i="2" s="1"/>
  <c r="BA380" i="2"/>
  <c r="M380" i="2"/>
  <c r="BC380" i="2" s="1"/>
  <c r="AW325" i="21398"/>
  <c r="BC323" i="21398"/>
  <c r="BA323" i="21398"/>
  <c r="AQ379" i="2"/>
  <c r="AT382" i="2"/>
  <c r="AQ381" i="2"/>
  <c r="AZ325" i="21398" l="1"/>
  <c r="BB325" i="21398" s="1"/>
  <c r="AX498" i="21398"/>
  <c r="M498" i="21398" s="1"/>
  <c r="C500" i="21398"/>
  <c r="AW498" i="21398"/>
  <c r="AY496" i="21398"/>
  <c r="AX56" i="21413"/>
  <c r="AC382" i="2"/>
  <c r="M382" i="2"/>
  <c r="BC382" i="2" s="1"/>
  <c r="BA382" i="2"/>
  <c r="F384" i="2"/>
  <c r="C386" i="2"/>
  <c r="AX386" i="2" s="1"/>
  <c r="AW384" i="2"/>
  <c r="AY384" i="2" s="1"/>
  <c r="AW327" i="21398"/>
  <c r="BC325" i="21398"/>
  <c r="BA325" i="21398"/>
  <c r="AT384" i="2"/>
  <c r="AQ383" i="2"/>
  <c r="AY56" i="21413" l="1"/>
  <c r="BA496" i="21398"/>
  <c r="BA56" i="21413" s="1"/>
  <c r="BC56" i="21416"/>
  <c r="M56" i="21413"/>
  <c r="BC496" i="21398"/>
  <c r="BC56" i="21413" s="1"/>
  <c r="AX500" i="21398"/>
  <c r="M500" i="21398" s="1"/>
  <c r="C502" i="21398"/>
  <c r="AY498" i="21398"/>
  <c r="BA498" i="21398" s="1"/>
  <c r="BC498" i="21398"/>
  <c r="AC384" i="2"/>
  <c r="J385" i="2"/>
  <c r="AX385" i="2" s="1"/>
  <c r="F386" i="2"/>
  <c r="AW386" i="2"/>
  <c r="AY386" i="2" s="1"/>
  <c r="C388" i="2"/>
  <c r="AX388" i="2" s="1"/>
  <c r="BA384" i="2"/>
  <c r="M384" i="2"/>
  <c r="BC384" i="2" s="1"/>
  <c r="AW329" i="21398"/>
  <c r="BC327" i="21398"/>
  <c r="BA327" i="21398"/>
  <c r="AT386" i="2"/>
  <c r="AQ385" i="2"/>
  <c r="AX502" i="21398" l="1"/>
  <c r="M502" i="21398" s="1"/>
  <c r="C504" i="21398"/>
  <c r="J503" i="21398"/>
  <c r="AX503" i="21398" s="1"/>
  <c r="AW502" i="21398"/>
  <c r="AC386" i="2"/>
  <c r="M386" i="2"/>
  <c r="BC386" i="2" s="1"/>
  <c r="BA386" i="2"/>
  <c r="AW388" i="2"/>
  <c r="AY388" i="2" s="1"/>
  <c r="F388" i="2"/>
  <c r="C390" i="2"/>
  <c r="AX390" i="2" s="1"/>
  <c r="AW385" i="2"/>
  <c r="AZ385" i="2" s="1"/>
  <c r="BB385" i="2" s="1"/>
  <c r="AW331" i="21398"/>
  <c r="BC329" i="21398"/>
  <c r="BA329" i="21398"/>
  <c r="AT388" i="2"/>
  <c r="AQ387" i="2"/>
  <c r="AZ331" i="21398" l="1"/>
  <c r="BB331" i="21398" s="1"/>
  <c r="G335" i="21412"/>
  <c r="E335" i="21412" s="1"/>
  <c r="G337" i="21412"/>
  <c r="E337" i="21412" s="1"/>
  <c r="G334" i="21412"/>
  <c r="E334" i="21412" s="1"/>
  <c r="AX504" i="21398"/>
  <c r="C506" i="21398"/>
  <c r="AW504" i="21398"/>
  <c r="AY502" i="21398"/>
  <c r="BA502" i="21398" s="1"/>
  <c r="BC502" i="21398"/>
  <c r="AC388" i="2"/>
  <c r="BA388" i="2"/>
  <c r="BC388" i="2"/>
  <c r="J391" i="2"/>
  <c r="AX391" i="2" s="1"/>
  <c r="AW390" i="2"/>
  <c r="AY390" i="2" s="1"/>
  <c r="C392" i="2"/>
  <c r="AX392" i="2" s="1"/>
  <c r="F390" i="2"/>
  <c r="AW333" i="21398"/>
  <c r="BC331" i="21398"/>
  <c r="BA331" i="21398"/>
  <c r="AW330" i="21398"/>
  <c r="AY330" i="21398" s="1"/>
  <c r="AQ389" i="2"/>
  <c r="AX506" i="21398" l="1"/>
  <c r="M506" i="21398" s="1"/>
  <c r="C508" i="21398"/>
  <c r="AW506" i="21398"/>
  <c r="AY504" i="21398"/>
  <c r="BA504" i="21398" s="1"/>
  <c r="BC504" i="21398"/>
  <c r="BA390" i="2"/>
  <c r="BC390" i="2"/>
  <c r="AW391" i="2"/>
  <c r="AZ391" i="2" s="1"/>
  <c r="BB391" i="2" s="1"/>
  <c r="F392" i="2"/>
  <c r="AW392" i="2"/>
  <c r="AY392" i="2" s="1"/>
  <c r="C394" i="2"/>
  <c r="AX394" i="2" s="1"/>
  <c r="BB330" i="21398"/>
  <c r="BC330" i="21398"/>
  <c r="BA330" i="21398"/>
  <c r="BC333" i="21398"/>
  <c r="BA333" i="21398"/>
  <c r="AW335" i="21398"/>
  <c r="AT392" i="2"/>
  <c r="AT390" i="2"/>
  <c r="AQ391" i="2"/>
  <c r="AC390" i="2" l="1"/>
  <c r="C510" i="21398"/>
  <c r="AX508" i="21398"/>
  <c r="M508" i="21398" s="1"/>
  <c r="AY506" i="21398"/>
  <c r="BA506" i="21398" s="1"/>
  <c r="BC506" i="21398"/>
  <c r="AC392" i="2"/>
  <c r="C396" i="2"/>
  <c r="AX396" i="2" s="1"/>
  <c r="F394" i="2"/>
  <c r="AW394" i="2"/>
  <c r="AY394" i="2" s="1"/>
  <c r="BC392" i="2"/>
  <c r="BA392" i="2"/>
  <c r="AW337" i="21398"/>
  <c r="BC335" i="21398"/>
  <c r="BA335" i="21398"/>
  <c r="AT394" i="2"/>
  <c r="AQ393" i="2"/>
  <c r="AX510" i="21398" l="1"/>
  <c r="M510" i="21398" s="1"/>
  <c r="AW510" i="21398"/>
  <c r="C512" i="21398"/>
  <c r="J509" i="21398"/>
  <c r="AX509" i="21398" s="1"/>
  <c r="AC394" i="2"/>
  <c r="BC394" i="2"/>
  <c r="BA394" i="2"/>
  <c r="AW396" i="2"/>
  <c r="AY396" i="2" s="1"/>
  <c r="F396" i="2"/>
  <c r="C398" i="2"/>
  <c r="AX398" i="2" s="1"/>
  <c r="BC337" i="21398"/>
  <c r="BA337" i="21398"/>
  <c r="AW339" i="21398"/>
  <c r="AZ339" i="21398" s="1"/>
  <c r="BB339" i="21398" s="1"/>
  <c r="AW338" i="21398"/>
  <c r="AY338" i="21398" s="1"/>
  <c r="AQ395" i="2"/>
  <c r="AT396" i="2"/>
  <c r="AX512" i="21398" l="1"/>
  <c r="M512" i="21398" s="1"/>
  <c r="C514" i="21398"/>
  <c r="AW512" i="21398"/>
  <c r="AY510" i="21398"/>
  <c r="BA510" i="21398" s="1"/>
  <c r="BC510" i="21398"/>
  <c r="AC396" i="2"/>
  <c r="AW398" i="2"/>
  <c r="AY398" i="2" s="1"/>
  <c r="F398" i="2"/>
  <c r="C400" i="2"/>
  <c r="AX400" i="2" s="1"/>
  <c r="BC396" i="2"/>
  <c r="BA396" i="2"/>
  <c r="BB338" i="21398"/>
  <c r="BC338" i="21398"/>
  <c r="BA338" i="21398"/>
  <c r="BA339" i="21398"/>
  <c r="BC339" i="21398"/>
  <c r="AW341" i="21398"/>
  <c r="AQ397" i="2"/>
  <c r="AX514" i="21398" l="1"/>
  <c r="M514" i="21398" s="1"/>
  <c r="C516" i="21398"/>
  <c r="J515" i="21398"/>
  <c r="AX515" i="21398" s="1"/>
  <c r="AW514" i="21398"/>
  <c r="AY512" i="21398"/>
  <c r="BA512" i="21398" s="1"/>
  <c r="BC512" i="21398"/>
  <c r="AW400" i="2"/>
  <c r="AY400" i="2" s="1"/>
  <c r="C402" i="2"/>
  <c r="AX402" i="2" s="1"/>
  <c r="F400" i="2"/>
  <c r="BA398" i="2"/>
  <c r="BC398" i="2"/>
  <c r="AW343" i="21398"/>
  <c r="BC341" i="21398"/>
  <c r="BA341" i="21398"/>
  <c r="AT398" i="2"/>
  <c r="AQ399" i="2"/>
  <c r="AC398" i="2" l="1"/>
  <c r="AX516" i="21398"/>
  <c r="M516" i="21398" s="1"/>
  <c r="AW516" i="21398"/>
  <c r="C518" i="21398"/>
  <c r="AY514" i="21398"/>
  <c r="BA514" i="21398" s="1"/>
  <c r="BC514" i="21398"/>
  <c r="F402" i="2"/>
  <c r="C404" i="2"/>
  <c r="AX404" i="2" s="1"/>
  <c r="AW402" i="2"/>
  <c r="AY402" i="2" s="1"/>
  <c r="BC400" i="2"/>
  <c r="BA400" i="2"/>
  <c r="BC343" i="21398"/>
  <c r="BA343" i="21398"/>
  <c r="AW345" i="21398"/>
  <c r="AT402" i="2"/>
  <c r="AT400" i="2"/>
  <c r="AQ401" i="2"/>
  <c r="AC400" i="2" l="1"/>
  <c r="AX518" i="21398"/>
  <c r="M518" i="21398" s="1"/>
  <c r="C520" i="21398"/>
  <c r="AW518" i="21398"/>
  <c r="AY516" i="21398"/>
  <c r="BA516" i="21398" s="1"/>
  <c r="BC516" i="21398"/>
  <c r="AC402" i="2"/>
  <c r="J403" i="2"/>
  <c r="AX403" i="2" s="1"/>
  <c r="AW404" i="2"/>
  <c r="AY404" i="2" s="1"/>
  <c r="C406" i="2"/>
  <c r="AX406" i="2" s="1"/>
  <c r="F404" i="2"/>
  <c r="BC402" i="2"/>
  <c r="BA402" i="2"/>
  <c r="BA345" i="21398"/>
  <c r="BC345" i="21398"/>
  <c r="AW344" i="21398"/>
  <c r="AY344" i="21398" s="1"/>
  <c r="AW347" i="21398"/>
  <c r="AT404" i="2"/>
  <c r="AQ403" i="2"/>
  <c r="AY518" i="21398" l="1"/>
  <c r="BA518" i="21398" s="1"/>
  <c r="BC518" i="21398"/>
  <c r="AX520" i="21398"/>
  <c r="M520" i="21398" s="1"/>
  <c r="C522" i="21398"/>
  <c r="AC404" i="2"/>
  <c r="AW406" i="2"/>
  <c r="AY406" i="2" s="1"/>
  <c r="F406" i="2"/>
  <c r="C408" i="2"/>
  <c r="BA404" i="2"/>
  <c r="BC404" i="2"/>
  <c r="AW403" i="2"/>
  <c r="AZ403" i="2" s="1"/>
  <c r="BB403" i="2" s="1"/>
  <c r="BB344" i="21398"/>
  <c r="BC344" i="21398"/>
  <c r="BA344" i="21398"/>
  <c r="AW349" i="21398"/>
  <c r="BC347" i="21398"/>
  <c r="BA347" i="21398"/>
  <c r="AT406" i="2"/>
  <c r="AQ405" i="2"/>
  <c r="AX408" i="2" l="1"/>
  <c r="C410" i="2"/>
  <c r="AX522" i="21398"/>
  <c r="M522" i="21398" s="1"/>
  <c r="J521" i="21398"/>
  <c r="AX521" i="21398" s="1"/>
  <c r="AW522" i="21398"/>
  <c r="C524" i="21398"/>
  <c r="BC406" i="2"/>
  <c r="BA406" i="2"/>
  <c r="F408" i="2"/>
  <c r="AX410" i="2"/>
  <c r="AW408" i="2"/>
  <c r="AW350" i="21398"/>
  <c r="AY350" i="21398" s="1"/>
  <c r="AW351" i="21398"/>
  <c r="BC349" i="21398"/>
  <c r="BA349" i="21398"/>
  <c r="AT408" i="2"/>
  <c r="AQ407" i="2"/>
  <c r="AY408" i="2" l="1"/>
  <c r="BA408" i="2" s="1"/>
  <c r="AX524" i="21398"/>
  <c r="M524" i="21398" s="1"/>
  <c r="C526" i="21398"/>
  <c r="AW524" i="21398"/>
  <c r="AY522" i="21398"/>
  <c r="BA522" i="21398" s="1"/>
  <c r="BC522" i="21398"/>
  <c r="AC408" i="2"/>
  <c r="AX411" i="2"/>
  <c r="F410" i="2"/>
  <c r="C412" i="2"/>
  <c r="AW410" i="2"/>
  <c r="AY410" i="2" s="1"/>
  <c r="BC408" i="2"/>
  <c r="BB350" i="21398"/>
  <c r="BA350" i="21398"/>
  <c r="BC350" i="21398"/>
  <c r="BA351" i="21398"/>
  <c r="BC351" i="21398"/>
  <c r="AW353" i="21398"/>
  <c r="AT410" i="2"/>
  <c r="AQ409" i="2"/>
  <c r="AX412" i="2" l="1"/>
  <c r="C414" i="2"/>
  <c r="AX414" i="2" s="1"/>
  <c r="C528" i="21398"/>
  <c r="AX526" i="21398"/>
  <c r="M526" i="21398" s="1"/>
  <c r="AY524" i="21398"/>
  <c r="BA524" i="21398" s="1"/>
  <c r="BC524" i="21398"/>
  <c r="AW412" i="2"/>
  <c r="F412" i="2"/>
  <c r="BA410" i="2"/>
  <c r="M410" i="2"/>
  <c r="BC410" i="2" s="1"/>
  <c r="AW411" i="2"/>
  <c r="AZ411" i="2" s="1"/>
  <c r="BB411" i="2" s="1"/>
  <c r="AW355" i="21398"/>
  <c r="AZ355" i="21398" s="1"/>
  <c r="BB355" i="21398" s="1"/>
  <c r="BA353" i="21398"/>
  <c r="BC353" i="21398"/>
  <c r="AT412" i="2"/>
  <c r="AY412" i="2" l="1"/>
  <c r="BA412" i="2" s="1"/>
  <c r="AC412" i="2"/>
  <c r="AX528" i="21398"/>
  <c r="M528" i="21398" s="1"/>
  <c r="C530" i="21398"/>
  <c r="J529" i="21398"/>
  <c r="AX529" i="21398" s="1"/>
  <c r="AW528" i="21398"/>
  <c r="C416" i="2"/>
  <c r="AX416" i="2" s="1"/>
  <c r="F414" i="2"/>
  <c r="AW414" i="2"/>
  <c r="AY414" i="2" s="1"/>
  <c r="BC412" i="2"/>
  <c r="AW357" i="21398"/>
  <c r="BC355" i="21398"/>
  <c r="BA355" i="21398"/>
  <c r="AQ413" i="2"/>
  <c r="AQ411" i="2"/>
  <c r="AT414" i="2"/>
  <c r="AX530" i="21398" l="1"/>
  <c r="M530" i="21398" s="1"/>
  <c r="C532" i="21398"/>
  <c r="AW530" i="21398"/>
  <c r="AY528" i="21398"/>
  <c r="BA528" i="21398" s="1"/>
  <c r="BC528" i="21398"/>
  <c r="AC414" i="2"/>
  <c r="BC414" i="2"/>
  <c r="BA414" i="2"/>
  <c r="C418" i="2"/>
  <c r="AX418" i="2" s="1"/>
  <c r="F416" i="2"/>
  <c r="AW416" i="2"/>
  <c r="AY416" i="2" s="1"/>
  <c r="BA357" i="21398"/>
  <c r="BC357" i="21398"/>
  <c r="AW356" i="21398"/>
  <c r="AY356" i="21398" s="1"/>
  <c r="AW359" i="21398"/>
  <c r="AZ359" i="21398" s="1"/>
  <c r="BB359" i="21398" s="1"/>
  <c r="AQ415" i="2"/>
  <c r="AT416" i="2"/>
  <c r="AX532" i="21398" l="1"/>
  <c r="M532" i="21398" s="1"/>
  <c r="C534" i="21398"/>
  <c r="C536" i="21398" s="1"/>
  <c r="AW532" i="21398"/>
  <c r="AY530" i="21398"/>
  <c r="BA530" i="21398" s="1"/>
  <c r="BC530" i="21398"/>
  <c r="AC416" i="2"/>
  <c r="BC416" i="2"/>
  <c r="BA416" i="2"/>
  <c r="AW418" i="2"/>
  <c r="AY418" i="2" s="1"/>
  <c r="F418" i="2"/>
  <c r="C420" i="2"/>
  <c r="AX420" i="2" s="1"/>
  <c r="BB356" i="21398"/>
  <c r="BA356" i="21398"/>
  <c r="BC356" i="21398"/>
  <c r="BA359" i="21398"/>
  <c r="BC359" i="21398"/>
  <c r="AW361" i="21398"/>
  <c r="AZ361" i="21398" s="1"/>
  <c r="BB361" i="21398" s="1"/>
  <c r="AT418" i="2"/>
  <c r="AQ417" i="2"/>
  <c r="C538" i="21398" l="1"/>
  <c r="AX536" i="21398"/>
  <c r="M536" i="21398" s="1"/>
  <c r="BC536" i="21398" s="1"/>
  <c r="AW536" i="21398"/>
  <c r="AY536" i="21398" s="1"/>
  <c r="BA536" i="21398" s="1"/>
  <c r="AX534" i="21398"/>
  <c r="M534" i="21398" s="1"/>
  <c r="AW534" i="21398"/>
  <c r="AY532" i="21398"/>
  <c r="BA532" i="21398" s="1"/>
  <c r="BC532" i="21398"/>
  <c r="AC418" i="2"/>
  <c r="F420" i="2"/>
  <c r="C422" i="2"/>
  <c r="AX422" i="2" s="1"/>
  <c r="AW420" i="2"/>
  <c r="AY420" i="2" s="1"/>
  <c r="BC418" i="2"/>
  <c r="BA418" i="2"/>
  <c r="AW363" i="21398"/>
  <c r="AZ363" i="21398" s="1"/>
  <c r="BB363" i="21398" s="1"/>
  <c r="BA361" i="21398"/>
  <c r="BC361" i="21398"/>
  <c r="AQ419" i="2"/>
  <c r="AT420" i="2"/>
  <c r="C540" i="21398" l="1"/>
  <c r="AX538" i="21398"/>
  <c r="M538" i="21398" s="1"/>
  <c r="AY534" i="21398"/>
  <c r="BA534" i="21398" s="1"/>
  <c r="BC534" i="21398"/>
  <c r="AC420" i="2"/>
  <c r="F422" i="2"/>
  <c r="AW422" i="2"/>
  <c r="AY422" i="2" s="1"/>
  <c r="C424" i="2"/>
  <c r="AX424" i="2" s="1"/>
  <c r="BC420" i="2"/>
  <c r="BA420" i="2"/>
  <c r="BA363" i="21398"/>
  <c r="BC363" i="21398"/>
  <c r="AW379" i="21398"/>
  <c r="AW364" i="21398"/>
  <c r="AY364" i="21398" s="1"/>
  <c r="AT422" i="2"/>
  <c r="AQ421" i="2"/>
  <c r="AX540" i="21398" l="1"/>
  <c r="M540" i="21398" s="1"/>
  <c r="C542" i="21398"/>
  <c r="AW540" i="21398"/>
  <c r="AC422" i="2"/>
  <c r="C426" i="2"/>
  <c r="AX426" i="2" s="1"/>
  <c r="AW424" i="2"/>
  <c r="AY424" i="2" s="1"/>
  <c r="F424" i="2"/>
  <c r="BC422" i="2"/>
  <c r="BA422" i="2"/>
  <c r="BB364" i="21398"/>
  <c r="BA364" i="21398"/>
  <c r="BC364" i="21398"/>
  <c r="AW378" i="21398"/>
  <c r="AY378" i="21398" s="1"/>
  <c r="BA379" i="21398"/>
  <c r="AW381" i="21398"/>
  <c r="AT424" i="2"/>
  <c r="AQ423" i="2"/>
  <c r="C544" i="21398" l="1"/>
  <c r="AX542" i="21398"/>
  <c r="M542" i="21398" s="1"/>
  <c r="AY540" i="21398"/>
  <c r="BA540" i="21398" s="1"/>
  <c r="BC540" i="21398"/>
  <c r="AC424" i="2"/>
  <c r="BA424" i="2"/>
  <c r="BC424" i="2"/>
  <c r="J425" i="2"/>
  <c r="AX425" i="2" s="1"/>
  <c r="F426" i="2"/>
  <c r="AW426" i="2"/>
  <c r="AY426" i="2" s="1"/>
  <c r="C428" i="2"/>
  <c r="AX428" i="2" s="1"/>
  <c r="BB378" i="21398"/>
  <c r="BA378" i="21398"/>
  <c r="BC378" i="21398"/>
  <c r="AW383" i="21398"/>
  <c r="BC381" i="21398"/>
  <c r="BA381" i="21398"/>
  <c r="AW382" i="21398"/>
  <c r="AY382" i="21398" s="1"/>
  <c r="AW380" i="21398"/>
  <c r="AY380" i="21398" s="1"/>
  <c r="BC379" i="21398"/>
  <c r="AT426" i="2"/>
  <c r="AQ425" i="2"/>
  <c r="C546" i="21398" l="1"/>
  <c r="AX544" i="21398"/>
  <c r="M544" i="21398" s="1"/>
  <c r="AC426" i="2"/>
  <c r="BA426" i="2"/>
  <c r="BC426" i="2"/>
  <c r="AW425" i="2"/>
  <c r="AZ425" i="2" s="1"/>
  <c r="BB425" i="2" s="1"/>
  <c r="C430" i="2"/>
  <c r="AX430" i="2" s="1"/>
  <c r="AW428" i="2"/>
  <c r="AY428" i="2" s="1"/>
  <c r="F428" i="2"/>
  <c r="BB380" i="21398"/>
  <c r="BC380" i="21398"/>
  <c r="BA380" i="21398"/>
  <c r="BB382" i="21398"/>
  <c r="BA382" i="21398"/>
  <c r="BC382" i="21398"/>
  <c r="BA383" i="21398"/>
  <c r="AW384" i="21398"/>
  <c r="AY384" i="21398" s="1"/>
  <c r="AW385" i="21398"/>
  <c r="AZ385" i="21398" s="1"/>
  <c r="BB385" i="21398" s="1"/>
  <c r="AQ427" i="2"/>
  <c r="AX546" i="21398" l="1"/>
  <c r="M546" i="21398" s="1"/>
  <c r="J545" i="21398"/>
  <c r="AX545" i="21398" s="1"/>
  <c r="C548" i="21398"/>
  <c r="M428" i="2"/>
  <c r="BC428" i="2" s="1"/>
  <c r="BA428" i="2"/>
  <c r="J431" i="2"/>
  <c r="AX431" i="2" s="1"/>
  <c r="AW430" i="2"/>
  <c r="AY430" i="2" s="1"/>
  <c r="C432" i="2"/>
  <c r="AX432" i="2" s="1"/>
  <c r="F430" i="2"/>
  <c r="BB384" i="21398"/>
  <c r="BA384" i="21398"/>
  <c r="BC384" i="21398"/>
  <c r="AW387" i="21398"/>
  <c r="BC383" i="21398"/>
  <c r="BC385" i="21398"/>
  <c r="BA385" i="21398"/>
  <c r="AT430" i="2"/>
  <c r="AT428" i="2"/>
  <c r="AC428" i="2" l="1"/>
  <c r="AX548" i="21398"/>
  <c r="M548" i="21398" s="1"/>
  <c r="C550" i="21398"/>
  <c r="J549" i="21398"/>
  <c r="AX549" i="21398" s="1"/>
  <c r="J547" i="21398"/>
  <c r="AX547" i="21398" s="1"/>
  <c r="AW548" i="21398"/>
  <c r="AC430" i="2"/>
  <c r="AW431" i="2"/>
  <c r="AZ431" i="2" s="1"/>
  <c r="BB431" i="2" s="1"/>
  <c r="M430" i="2"/>
  <c r="BC430" i="2" s="1"/>
  <c r="BA430" i="2"/>
  <c r="AW432" i="2"/>
  <c r="AY432" i="2" s="1"/>
  <c r="F432" i="2"/>
  <c r="C434" i="2"/>
  <c r="AX434" i="2" s="1"/>
  <c r="AW389" i="21398"/>
  <c r="BA387" i="21398"/>
  <c r="AQ431" i="2"/>
  <c r="AQ429" i="2"/>
  <c r="AT432" i="2"/>
  <c r="AX550" i="21398" l="1"/>
  <c r="M550" i="21398" s="1"/>
  <c r="AW550" i="21398"/>
  <c r="C552" i="21398"/>
  <c r="J551" i="21398"/>
  <c r="AX551" i="21398" s="1"/>
  <c r="AY548" i="21398"/>
  <c r="BA548" i="21398" s="1"/>
  <c r="BC548" i="21398"/>
  <c r="AC432" i="2"/>
  <c r="BA432" i="2"/>
  <c r="M432" i="2"/>
  <c r="BC432" i="2" s="1"/>
  <c r="AW434" i="2"/>
  <c r="AY434" i="2" s="1"/>
  <c r="F434" i="2"/>
  <c r="C436" i="2"/>
  <c r="AX436" i="2" s="1"/>
  <c r="BA389" i="21398"/>
  <c r="BC387" i="21398"/>
  <c r="AW391" i="21398"/>
  <c r="AZ391" i="21398" s="1"/>
  <c r="BB391" i="21398" s="1"/>
  <c r="AT434" i="2"/>
  <c r="AQ433" i="2"/>
  <c r="AY550" i="21398" l="1"/>
  <c r="BA550" i="21398" s="1"/>
  <c r="BC550" i="21398"/>
  <c r="AX552" i="21398"/>
  <c r="M552" i="21398" s="1"/>
  <c r="C554" i="21398"/>
  <c r="AW552" i="21398"/>
  <c r="AC434" i="2"/>
  <c r="BA434" i="2"/>
  <c r="M434" i="2"/>
  <c r="BC434" i="2" s="1"/>
  <c r="F436" i="2"/>
  <c r="C438" i="2"/>
  <c r="AX438" i="2" s="1"/>
  <c r="AW436" i="2"/>
  <c r="AY436" i="2" s="1"/>
  <c r="G329" i="21412"/>
  <c r="G327" i="21412"/>
  <c r="G326" i="21412"/>
  <c r="G330" i="21412"/>
  <c r="G331" i="21412"/>
  <c r="G328" i="21412"/>
  <c r="AW393" i="21398"/>
  <c r="BA391" i="21398"/>
  <c r="BC389" i="21398"/>
  <c r="AQ435" i="2"/>
  <c r="AT436" i="2"/>
  <c r="AY552" i="21398" l="1"/>
  <c r="BA552" i="21398" s="1"/>
  <c r="BC552" i="21398"/>
  <c r="AX554" i="21398"/>
  <c r="M554" i="21398" s="1"/>
  <c r="C556" i="21398"/>
  <c r="AW554" i="21398"/>
  <c r="AC436" i="2"/>
  <c r="F438" i="2"/>
  <c r="C440" i="2"/>
  <c r="AX440" i="2" s="1"/>
  <c r="AW438" i="2"/>
  <c r="AY438" i="2" s="1"/>
  <c r="M436" i="2"/>
  <c r="BC436" i="2" s="1"/>
  <c r="BA436" i="2"/>
  <c r="BC391" i="21398"/>
  <c r="AW395" i="21398"/>
  <c r="BA393" i="21398"/>
  <c r="AQ437" i="2"/>
  <c r="AT438" i="2"/>
  <c r="C558" i="21398" l="1"/>
  <c r="AX556" i="21398"/>
  <c r="M556" i="21398" s="1"/>
  <c r="AY554" i="21398"/>
  <c r="BA554" i="21398" s="1"/>
  <c r="BC554" i="21398"/>
  <c r="AC438" i="2"/>
  <c r="C442" i="2"/>
  <c r="AX442" i="2" s="1"/>
  <c r="AW440" i="2"/>
  <c r="AY440" i="2" s="1"/>
  <c r="F440" i="2"/>
  <c r="BA438" i="2"/>
  <c r="M438" i="2"/>
  <c r="BC438" i="2" s="1"/>
  <c r="AW397" i="21398"/>
  <c r="BA395" i="21398"/>
  <c r="BC395" i="21398"/>
  <c r="BC393" i="21398"/>
  <c r="AT440" i="2"/>
  <c r="AQ439" i="2"/>
  <c r="AX558" i="21398" l="1"/>
  <c r="M558" i="21398" s="1"/>
  <c r="AW558" i="21398"/>
  <c r="C560" i="21398"/>
  <c r="AC440" i="2"/>
  <c r="M440" i="2"/>
  <c r="BC440" i="2" s="1"/>
  <c r="BA440" i="2"/>
  <c r="AW442" i="2"/>
  <c r="AY442" i="2" s="1"/>
  <c r="C444" i="2"/>
  <c r="AX444" i="2" s="1"/>
  <c r="F442" i="2"/>
  <c r="AW399" i="21398"/>
  <c r="BA397" i="21398"/>
  <c r="BC397" i="21398"/>
  <c r="AW396" i="21398"/>
  <c r="AY396" i="21398" s="1"/>
  <c r="AQ441" i="2"/>
  <c r="AX560" i="21398" l="1"/>
  <c r="M560" i="21398" s="1"/>
  <c r="C562" i="21398"/>
  <c r="AW560" i="21398"/>
  <c r="AY558" i="21398"/>
  <c r="BA558" i="21398" s="1"/>
  <c r="BC558" i="21398"/>
  <c r="F444" i="2"/>
  <c r="AW444" i="2"/>
  <c r="AY444" i="2" s="1"/>
  <c r="C446" i="2"/>
  <c r="AX446" i="2" s="1"/>
  <c r="M442" i="2"/>
  <c r="BC442" i="2" s="1"/>
  <c r="BA442" i="2"/>
  <c r="BB396" i="21398"/>
  <c r="BC396" i="21398"/>
  <c r="BA396" i="21398"/>
  <c r="AW401" i="21398"/>
  <c r="BC399" i="21398"/>
  <c r="BA399" i="21398"/>
  <c r="AT444" i="2"/>
  <c r="AT442" i="2"/>
  <c r="AQ443" i="2"/>
  <c r="AC442" i="2" l="1"/>
  <c r="C564" i="21398"/>
  <c r="AX562" i="21398"/>
  <c r="M562" i="21398" s="1"/>
  <c r="AY560" i="21398"/>
  <c r="BA560" i="21398" s="1"/>
  <c r="BC560" i="21398"/>
  <c r="AC444" i="2"/>
  <c r="BA444" i="2"/>
  <c r="M444" i="2"/>
  <c r="BC444" i="2" s="1"/>
  <c r="J445" i="2"/>
  <c r="AX445" i="2" s="1"/>
  <c r="C448" i="2"/>
  <c r="AX448" i="2" s="1"/>
  <c r="F446" i="2"/>
  <c r="AW446" i="2"/>
  <c r="AY446" i="2" s="1"/>
  <c r="AW403" i="21398"/>
  <c r="AZ403" i="21398" s="1"/>
  <c r="BB403" i="21398" s="1"/>
  <c r="BA401" i="21398"/>
  <c r="BC401" i="21398"/>
  <c r="AT446" i="2"/>
  <c r="AQ445" i="2"/>
  <c r="AX564" i="21398" l="1"/>
  <c r="M564" i="21398" s="1"/>
  <c r="C566" i="21398"/>
  <c r="AW564" i="21398"/>
  <c r="AC446" i="2"/>
  <c r="BA446" i="2"/>
  <c r="M446" i="2"/>
  <c r="BC446" i="2" s="1"/>
  <c r="F448" i="2"/>
  <c r="J447" i="2"/>
  <c r="AX447" i="2" s="1"/>
  <c r="J449" i="2"/>
  <c r="AX449" i="2" s="1"/>
  <c r="AW448" i="2"/>
  <c r="AY448" i="2" s="1"/>
  <c r="C450" i="2"/>
  <c r="AX450" i="2" s="1"/>
  <c r="AW445" i="2"/>
  <c r="AZ445" i="2" s="1"/>
  <c r="BB445" i="2" s="1"/>
  <c r="AW404" i="21398"/>
  <c r="AY404" i="21398" s="1"/>
  <c r="BC403" i="21398"/>
  <c r="BA403" i="21398"/>
  <c r="AW405" i="21398"/>
  <c r="AQ447" i="2"/>
  <c r="AT448" i="2"/>
  <c r="G332" i="21412" l="1"/>
  <c r="E332" i="21412" s="1"/>
  <c r="G336" i="21412"/>
  <c r="E336" i="21412" s="1"/>
  <c r="G333" i="21412"/>
  <c r="E333" i="21412" s="1"/>
  <c r="AX566" i="21398"/>
  <c r="M566" i="21398" s="1"/>
  <c r="C568" i="21398"/>
  <c r="AW566" i="21398"/>
  <c r="J565" i="21398"/>
  <c r="AX565" i="21398" s="1"/>
  <c r="AY564" i="21398"/>
  <c r="BA564" i="21398" s="1"/>
  <c r="BC564" i="21398"/>
  <c r="AW450" i="2"/>
  <c r="AY450" i="2" s="1"/>
  <c r="C452" i="2"/>
  <c r="AX452" i="2" s="1"/>
  <c r="F450" i="2"/>
  <c r="AW447" i="2"/>
  <c r="AZ447" i="2" s="1"/>
  <c r="BB447" i="2" s="1"/>
  <c r="AW449" i="2"/>
  <c r="AZ449" i="2" s="1"/>
  <c r="M448" i="2"/>
  <c r="BC448" i="2" s="1"/>
  <c r="BA448" i="2"/>
  <c r="BB404" i="21398"/>
  <c r="BC404" i="21398"/>
  <c r="BA404" i="21398"/>
  <c r="BA405" i="21398"/>
  <c r="AW407" i="21398"/>
  <c r="G342" i="21412"/>
  <c r="G341" i="21412"/>
  <c r="G339" i="21412"/>
  <c r="G338" i="21412"/>
  <c r="G343" i="21412"/>
  <c r="G340" i="21412"/>
  <c r="AQ449" i="2"/>
  <c r="AT450" i="2"/>
  <c r="AX568" i="21398" l="1"/>
  <c r="M568" i="21398" s="1"/>
  <c r="AW568" i="21398"/>
  <c r="C570" i="21398"/>
  <c r="AY566" i="21398"/>
  <c r="BA566" i="21398" s="1"/>
  <c r="BC566" i="21398"/>
  <c r="AC450" i="2"/>
  <c r="M450" i="2"/>
  <c r="J453" i="2"/>
  <c r="AX453" i="2" s="1"/>
  <c r="F452" i="2"/>
  <c r="AW452" i="2"/>
  <c r="AY452" i="2" s="1"/>
  <c r="C454" i="2"/>
  <c r="AX454" i="2" s="1"/>
  <c r="AW409" i="21398"/>
  <c r="BC407" i="21398"/>
  <c r="BA407" i="21398"/>
  <c r="BC405" i="21398"/>
  <c r="G97" i="21412"/>
  <c r="G298" i="21412"/>
  <c r="G40" i="21412"/>
  <c r="G315" i="21412"/>
  <c r="G155" i="21412"/>
  <c r="G71" i="21412"/>
  <c r="G278" i="21412"/>
  <c r="G100" i="21412"/>
  <c r="G11" i="21412"/>
  <c r="G2" i="21412"/>
  <c r="G142" i="21412"/>
  <c r="G95" i="21412"/>
  <c r="G25" i="21412"/>
  <c r="G61" i="21412"/>
  <c r="G33" i="21412"/>
  <c r="G130" i="21412"/>
  <c r="G16" i="21412"/>
  <c r="G135" i="21412"/>
  <c r="G21" i="21412"/>
  <c r="G107" i="21412"/>
  <c r="G190" i="21412"/>
  <c r="G12" i="21412"/>
  <c r="G196" i="21412"/>
  <c r="G28" i="21412"/>
  <c r="G191" i="21412"/>
  <c r="G147" i="21412"/>
  <c r="G112" i="21412"/>
  <c r="G41" i="21412"/>
  <c r="G186" i="21412"/>
  <c r="G132" i="21412"/>
  <c r="G50" i="21412"/>
  <c r="G233" i="21412"/>
  <c r="G13" i="21412"/>
  <c r="G60" i="21412"/>
  <c r="G224" i="21412"/>
  <c r="G256" i="21412"/>
  <c r="G131" i="21412"/>
  <c r="G223" i="21412"/>
  <c r="G316" i="21412"/>
  <c r="G239" i="21412"/>
  <c r="G271" i="21412"/>
  <c r="G109" i="21412"/>
  <c r="G83" i="21412"/>
  <c r="G52" i="21412"/>
  <c r="G111" i="21412"/>
  <c r="G43" i="21412"/>
  <c r="G195" i="21412"/>
  <c r="G73" i="21412"/>
  <c r="G62" i="21412"/>
  <c r="G18" i="21412"/>
  <c r="G259" i="21412"/>
  <c r="G144" i="21412"/>
  <c r="G211" i="21412"/>
  <c r="G103" i="21412"/>
  <c r="G257" i="21412"/>
  <c r="G183" i="21412"/>
  <c r="G221" i="21412"/>
  <c r="G247" i="21412"/>
  <c r="G289" i="21412"/>
  <c r="G174" i="21412"/>
  <c r="G29" i="21412"/>
  <c r="G30" i="21412"/>
  <c r="G114" i="21412"/>
  <c r="G151" i="21412"/>
  <c r="G303" i="21412"/>
  <c r="G65" i="21412"/>
  <c r="G292" i="21412"/>
  <c r="G34" i="21412"/>
  <c r="G285" i="21412"/>
  <c r="G126" i="21412"/>
  <c r="G156" i="21412"/>
  <c r="G288" i="21412"/>
  <c r="G279" i="21412"/>
  <c r="G164" i="21412"/>
  <c r="G217" i="21412"/>
  <c r="G232" i="21412"/>
  <c r="G69" i="21412"/>
  <c r="G32" i="21412"/>
  <c r="G86" i="21412"/>
  <c r="G67" i="21412"/>
  <c r="G14" i="21412"/>
  <c r="G47" i="21412"/>
  <c r="G242" i="21412"/>
  <c r="G280" i="21412"/>
  <c r="G310" i="21412"/>
  <c r="G202" i="21412"/>
  <c r="G181" i="21412"/>
  <c r="G307" i="21412"/>
  <c r="G253" i="21412"/>
  <c r="G57" i="21412"/>
  <c r="G19" i="21412"/>
  <c r="G102" i="21412"/>
  <c r="G180" i="21412"/>
  <c r="G96" i="21412"/>
  <c r="G325" i="21412"/>
  <c r="G51" i="21412"/>
  <c r="G143" i="21412"/>
  <c r="G54" i="21412"/>
  <c r="G146" i="21412"/>
  <c r="G3" i="21412"/>
  <c r="G226" i="21412"/>
  <c r="G64" i="21412"/>
  <c r="G177" i="21412"/>
  <c r="G228" i="21412"/>
  <c r="G283" i="21412"/>
  <c r="G262" i="21412"/>
  <c r="G255" i="21412"/>
  <c r="G124" i="21412"/>
  <c r="G55" i="21412"/>
  <c r="G113" i="21412"/>
  <c r="G129" i="21412"/>
  <c r="G9" i="21412"/>
  <c r="G291" i="21412"/>
  <c r="G15" i="21412"/>
  <c r="G5" i="21412"/>
  <c r="G90" i="21412"/>
  <c r="G22" i="21412"/>
  <c r="G229" i="21412"/>
  <c r="G264" i="21412"/>
  <c r="G241" i="21412"/>
  <c r="G31" i="21412"/>
  <c r="G277" i="21412"/>
  <c r="G270" i="21412"/>
  <c r="G193" i="21412"/>
  <c r="G281" i="21412"/>
  <c r="G246" i="21412"/>
  <c r="G168" i="21412"/>
  <c r="G324" i="21412"/>
  <c r="G150" i="21412"/>
  <c r="G82" i="21412"/>
  <c r="G56" i="21412"/>
  <c r="G138" i="21412"/>
  <c r="G205" i="21412"/>
  <c r="G220" i="21412"/>
  <c r="G267" i="21412"/>
  <c r="G140" i="21412"/>
  <c r="G201" i="21412"/>
  <c r="G213" i="21412"/>
  <c r="G63" i="21412"/>
  <c r="G188" i="21412"/>
  <c r="G134" i="21412"/>
  <c r="G101" i="21412"/>
  <c r="G118" i="21412"/>
  <c r="G68" i="21412"/>
  <c r="G170" i="21412"/>
  <c r="G269" i="21412"/>
  <c r="G173" i="21412"/>
  <c r="G58" i="21412"/>
  <c r="G299" i="21412"/>
  <c r="G275" i="21412"/>
  <c r="G287" i="21412"/>
  <c r="G162" i="21412"/>
  <c r="G248" i="21412"/>
  <c r="G88" i="21412"/>
  <c r="G119" i="21412"/>
  <c r="G227" i="21412"/>
  <c r="G44" i="21412"/>
  <c r="G199" i="21412"/>
  <c r="G204" i="21412"/>
  <c r="G53" i="21412"/>
  <c r="G200" i="21412"/>
  <c r="G312" i="21412"/>
  <c r="G78" i="21412"/>
  <c r="G258" i="21412"/>
  <c r="G110" i="21412"/>
  <c r="G265" i="21412"/>
  <c r="G93" i="21412"/>
  <c r="G106" i="21412"/>
  <c r="G176" i="21412"/>
  <c r="G282" i="21412"/>
  <c r="G36" i="21412"/>
  <c r="G320" i="21412"/>
  <c r="G76" i="21412"/>
  <c r="G244" i="21412"/>
  <c r="G311" i="21412"/>
  <c r="G179" i="21412"/>
  <c r="G7" i="21412"/>
  <c r="G212" i="21412"/>
  <c r="G121" i="21412"/>
  <c r="G169" i="21412"/>
  <c r="G89" i="21412"/>
  <c r="G296" i="21412"/>
  <c r="G215" i="21412"/>
  <c r="G230" i="21412"/>
  <c r="G236" i="21412"/>
  <c r="G184" i="21412"/>
  <c r="G24" i="21412"/>
  <c r="G152" i="21412"/>
  <c r="G273" i="21412"/>
  <c r="G81" i="21412"/>
  <c r="G158" i="21412"/>
  <c r="G304" i="21412"/>
  <c r="G74" i="21412"/>
  <c r="G92" i="21412"/>
  <c r="G319" i="21412"/>
  <c r="G197" i="21412"/>
  <c r="G252" i="21412"/>
  <c r="G300" i="21412"/>
  <c r="G314" i="21412"/>
  <c r="G187" i="21412"/>
  <c r="G10" i="21412"/>
  <c r="G136" i="21412"/>
  <c r="G149" i="21412"/>
  <c r="G127" i="21412"/>
  <c r="G231" i="21412"/>
  <c r="G245" i="21412"/>
  <c r="G87" i="21412"/>
  <c r="G172" i="21412"/>
  <c r="G301" i="21412"/>
  <c r="G45" i="21412"/>
  <c r="G250" i="21412"/>
  <c r="G318" i="21412"/>
  <c r="G178" i="21412"/>
  <c r="G160" i="21412"/>
  <c r="G225" i="21412"/>
  <c r="G125" i="21412"/>
  <c r="G198" i="21412"/>
  <c r="G234" i="21412"/>
  <c r="G206" i="21412"/>
  <c r="G313" i="21412"/>
  <c r="G23" i="21412"/>
  <c r="G17" i="21412"/>
  <c r="G79" i="21412"/>
  <c r="G72" i="21412"/>
  <c r="G266" i="21412"/>
  <c r="G49" i="21412"/>
  <c r="G272" i="21412"/>
  <c r="G309" i="21412"/>
  <c r="G222" i="21412"/>
  <c r="G157" i="21412"/>
  <c r="G26" i="21412"/>
  <c r="G70" i="21412"/>
  <c r="G153" i="21412"/>
  <c r="G91" i="21412"/>
  <c r="G39" i="21412"/>
  <c r="G175" i="21412"/>
  <c r="G189" i="21412"/>
  <c r="G317" i="21412"/>
  <c r="G263" i="21412"/>
  <c r="G8" i="21412"/>
  <c r="G35" i="21412"/>
  <c r="G46" i="21412"/>
  <c r="G306" i="21412"/>
  <c r="G251" i="21412"/>
  <c r="G148" i="21412"/>
  <c r="G20" i="21412"/>
  <c r="G48" i="21412"/>
  <c r="G166" i="21412"/>
  <c r="G308" i="21412"/>
  <c r="G297" i="21412"/>
  <c r="G99" i="21412"/>
  <c r="G208" i="21412"/>
  <c r="G171" i="21412"/>
  <c r="G294" i="21412"/>
  <c r="G38" i="21412"/>
  <c r="G261" i="21412"/>
  <c r="G84" i="21412"/>
  <c r="G323" i="21412"/>
  <c r="G165" i="21412"/>
  <c r="G207" i="21412"/>
  <c r="G302" i="21412"/>
  <c r="G321" i="21412"/>
  <c r="G137" i="21412"/>
  <c r="G185" i="21412"/>
  <c r="G295" i="21412"/>
  <c r="G104" i="21412"/>
  <c r="G66" i="21412"/>
  <c r="G115" i="21412"/>
  <c r="G133" i="21412"/>
  <c r="G194" i="21412"/>
  <c r="G216" i="21412"/>
  <c r="G203" i="21412"/>
  <c r="G77" i="21412"/>
  <c r="G286" i="21412"/>
  <c r="G42" i="21412"/>
  <c r="G235" i="21412"/>
  <c r="G85" i="21412"/>
  <c r="G218" i="21412"/>
  <c r="G182" i="21412"/>
  <c r="G210" i="21412"/>
  <c r="G284" i="21412"/>
  <c r="G108" i="21412"/>
  <c r="G37" i="21412"/>
  <c r="G75" i="21412"/>
  <c r="G237" i="21412"/>
  <c r="G6" i="21412"/>
  <c r="G145" i="21412"/>
  <c r="G243" i="21412"/>
  <c r="G105" i="21412"/>
  <c r="G94" i="21412"/>
  <c r="G161" i="21412"/>
  <c r="G305" i="21412"/>
  <c r="G274" i="21412"/>
  <c r="G254" i="21412"/>
  <c r="G59" i="21412"/>
  <c r="G4" i="21412"/>
  <c r="G219" i="21412"/>
  <c r="G192" i="21412"/>
  <c r="G214" i="21412"/>
  <c r="G159" i="21412"/>
  <c r="G268" i="21412"/>
  <c r="G163" i="21412"/>
  <c r="G276" i="21412"/>
  <c r="G122" i="21412"/>
  <c r="G249" i="21412"/>
  <c r="G322" i="21412"/>
  <c r="G209" i="21412"/>
  <c r="G120" i="21412"/>
  <c r="G290" i="21412"/>
  <c r="G128" i="21412"/>
  <c r="G154" i="21412"/>
  <c r="G260" i="21412"/>
  <c r="G238" i="21412"/>
  <c r="G293" i="21412"/>
  <c r="G116" i="21412"/>
  <c r="G141" i="21412"/>
  <c r="G123" i="21412"/>
  <c r="G98" i="21412"/>
  <c r="G27" i="21412"/>
  <c r="G167" i="21412"/>
  <c r="G240" i="21412"/>
  <c r="G117" i="21412"/>
  <c r="G139" i="21412"/>
  <c r="G80" i="21412"/>
  <c r="AQ451" i="2"/>
  <c r="AT452" i="2"/>
  <c r="AX570" i="21398" l="1"/>
  <c r="M570" i="21398" s="1"/>
  <c r="C572" i="21398"/>
  <c r="AW570" i="21398"/>
  <c r="AY568" i="21398"/>
  <c r="BA568" i="21398" s="1"/>
  <c r="BC568" i="21398"/>
  <c r="AC452" i="2"/>
  <c r="AW454" i="2"/>
  <c r="AY454" i="2" s="1"/>
  <c r="C456" i="2"/>
  <c r="AX456" i="2" s="1"/>
  <c r="F454" i="2"/>
  <c r="AW453" i="2"/>
  <c r="AZ453" i="2" s="1"/>
  <c r="M452" i="2"/>
  <c r="BC409" i="21398"/>
  <c r="BA409" i="21398"/>
  <c r="AW408" i="21398"/>
  <c r="AY408" i="21398" s="1"/>
  <c r="AW411" i="21398"/>
  <c r="AZ411" i="21398" s="1"/>
  <c r="BB411" i="21398" s="1"/>
  <c r="AT454" i="2"/>
  <c r="AQ453" i="2"/>
  <c r="AX572" i="21398" l="1"/>
  <c r="M572" i="21398" s="1"/>
  <c r="C574" i="21398"/>
  <c r="J573" i="21398"/>
  <c r="AX573" i="21398" s="1"/>
  <c r="AY570" i="21398"/>
  <c r="BA570" i="21398" s="1"/>
  <c r="BC570" i="21398"/>
  <c r="AC454" i="2"/>
  <c r="M454" i="2"/>
  <c r="AW456" i="2"/>
  <c r="AY456" i="2" s="1"/>
  <c r="F456" i="2"/>
  <c r="C458" i="2"/>
  <c r="AX458" i="2" s="1"/>
  <c r="BB408" i="21398"/>
  <c r="BC408" i="21398"/>
  <c r="BA408" i="21398"/>
  <c r="AW413" i="21398"/>
  <c r="BC411" i="21398"/>
  <c r="BA411" i="21398"/>
  <c r="AQ455" i="2"/>
  <c r="AT456" i="2"/>
  <c r="AX574" i="21398" l="1"/>
  <c r="M574" i="21398" s="1"/>
  <c r="C576" i="21398"/>
  <c r="AW574" i="21398"/>
  <c r="AC456" i="2"/>
  <c r="AW458" i="2"/>
  <c r="AY458" i="2" s="1"/>
  <c r="C460" i="2"/>
  <c r="F458" i="2"/>
  <c r="M456" i="2"/>
  <c r="AW414" i="21398"/>
  <c r="AY414" i="21398" s="1"/>
  <c r="BA413" i="21398"/>
  <c r="BC413" i="21398"/>
  <c r="AW415" i="21398"/>
  <c r="AT458" i="2"/>
  <c r="AX576" i="21398" l="1"/>
  <c r="M576" i="21398" s="1"/>
  <c r="AW576" i="21398"/>
  <c r="C578" i="21398"/>
  <c r="AY574" i="21398"/>
  <c r="BA574" i="21398" s="1"/>
  <c r="BC574" i="21398"/>
  <c r="AC458" i="2"/>
  <c r="F460" i="2"/>
  <c r="C462" i="2"/>
  <c r="M458" i="2"/>
  <c r="BB414" i="21398"/>
  <c r="BC414" i="21398"/>
  <c r="BA414" i="21398"/>
  <c r="AW417" i="21398"/>
  <c r="BA415" i="21398"/>
  <c r="BC415" i="21398"/>
  <c r="AQ459" i="2"/>
  <c r="AT460" i="2"/>
  <c r="AQ457" i="2"/>
  <c r="AX578" i="21398" l="1"/>
  <c r="M578" i="21398" s="1"/>
  <c r="AW578" i="21398"/>
  <c r="C580" i="21398"/>
  <c r="AY576" i="21398"/>
  <c r="BA576" i="21398" s="1"/>
  <c r="BC576" i="21398"/>
  <c r="AC460" i="2"/>
  <c r="C464" i="2"/>
  <c r="F462" i="2"/>
  <c r="AW416" i="21398"/>
  <c r="AY416" i="21398" s="1"/>
  <c r="AW419" i="21398"/>
  <c r="AZ419" i="21398" s="1"/>
  <c r="BB419" i="21398" s="1"/>
  <c r="BC417" i="21398"/>
  <c r="BA417" i="21398"/>
  <c r="AQ461" i="2"/>
  <c r="AT462" i="2"/>
  <c r="AX580" i="21398" l="1"/>
  <c r="M580" i="21398" s="1"/>
  <c r="C582" i="21398"/>
  <c r="J579" i="21398"/>
  <c r="AX579" i="21398" s="1"/>
  <c r="AY578" i="21398"/>
  <c r="BA578" i="21398" s="1"/>
  <c r="BC578" i="21398"/>
  <c r="AC462" i="2"/>
  <c r="C466" i="2"/>
  <c r="F464" i="2"/>
  <c r="BB416" i="21398"/>
  <c r="BA416" i="21398"/>
  <c r="BC416" i="21398"/>
  <c r="BA419" i="21398"/>
  <c r="BC419" i="21398"/>
  <c r="AW421" i="21398"/>
  <c r="AW418" i="21398"/>
  <c r="AY418" i="21398" s="1"/>
  <c r="AT464" i="2"/>
  <c r="AQ463" i="2"/>
  <c r="AX582" i="21398" l="1"/>
  <c r="M582" i="21398" s="1"/>
  <c r="AW582" i="21398"/>
  <c r="C584" i="21398"/>
  <c r="AC464" i="2"/>
  <c r="F466" i="2"/>
  <c r="C468" i="2"/>
  <c r="BB418" i="21398"/>
  <c r="BC418" i="21398"/>
  <c r="BA418" i="21398"/>
  <c r="BC421" i="21398"/>
  <c r="BA421" i="21398"/>
  <c r="AW423" i="21398"/>
  <c r="AQ465" i="2"/>
  <c r="AT466" i="2"/>
  <c r="AX584" i="21398" l="1"/>
  <c r="M584" i="21398" s="1"/>
  <c r="C586" i="21398"/>
  <c r="J585" i="21398"/>
  <c r="AX585" i="21398" s="1"/>
  <c r="AW584" i="21398"/>
  <c r="AY582" i="21398"/>
  <c r="BA582" i="21398" s="1"/>
  <c r="BC582" i="21398"/>
  <c r="AC466" i="2"/>
  <c r="F468" i="2"/>
  <c r="C470" i="2"/>
  <c r="BC423" i="21398"/>
  <c r="BA423" i="21398"/>
  <c r="AW425" i="21398"/>
  <c r="AZ425" i="21398" s="1"/>
  <c r="BB425" i="21398" s="1"/>
  <c r="AQ467" i="2"/>
  <c r="AT468" i="2"/>
  <c r="C588" i="21398" l="1"/>
  <c r="AX586" i="21398"/>
  <c r="AW586" i="21398"/>
  <c r="AY584" i="21398"/>
  <c r="BA584" i="21398" s="1"/>
  <c r="BC584" i="21398"/>
  <c r="AC468" i="2"/>
  <c r="C472" i="2"/>
  <c r="F470" i="2"/>
  <c r="BC425" i="21398"/>
  <c r="BA425" i="21398"/>
  <c r="AW427" i="21398"/>
  <c r="AT470" i="2"/>
  <c r="AY586" i="21398" l="1"/>
  <c r="BA586" i="21398" s="1"/>
  <c r="M586" i="21398"/>
  <c r="BC586" i="21398" s="1"/>
  <c r="C590" i="21398"/>
  <c r="AX588" i="21398"/>
  <c r="M588" i="21398" s="1"/>
  <c r="BC588" i="21398" s="1"/>
  <c r="AW588" i="21398"/>
  <c r="AC470" i="2"/>
  <c r="F472" i="2"/>
  <c r="C474" i="2"/>
  <c r="AW429" i="21398"/>
  <c r="BA427" i="21398"/>
  <c r="BC427" i="21398"/>
  <c r="AQ471" i="2"/>
  <c r="AT472" i="2"/>
  <c r="AQ469" i="2"/>
  <c r="AY588" i="21398" l="1"/>
  <c r="BA588" i="21398" s="1"/>
  <c r="C592" i="21398"/>
  <c r="AX590" i="21398"/>
  <c r="AW590" i="21398"/>
  <c r="AC472" i="2"/>
  <c r="F474" i="2"/>
  <c r="C476" i="2"/>
  <c r="AW431" i="21398"/>
  <c r="AZ431" i="21398" s="1"/>
  <c r="BB431" i="21398" s="1"/>
  <c r="BA429" i="21398"/>
  <c r="BC429" i="21398"/>
  <c r="AQ473" i="2"/>
  <c r="AT474" i="2"/>
  <c r="AY590" i="21398" l="1"/>
  <c r="BA590" i="21398" s="1"/>
  <c r="M590" i="21398"/>
  <c r="BC590" i="21398" s="1"/>
  <c r="C594" i="21398"/>
  <c r="AX592" i="21398"/>
  <c r="AW592" i="21398"/>
  <c r="AC474" i="2"/>
  <c r="F476" i="2"/>
  <c r="C478" i="2"/>
  <c r="BA431" i="21398"/>
  <c r="BC431" i="21398"/>
  <c r="AW432" i="21398"/>
  <c r="AY432" i="21398" s="1"/>
  <c r="AW433" i="21398"/>
  <c r="AT476" i="2"/>
  <c r="AY592" i="21398" l="1"/>
  <c r="BA592" i="21398" s="1"/>
  <c r="M592" i="21398"/>
  <c r="BC592" i="21398" s="1"/>
  <c r="AX594" i="21398"/>
  <c r="M594" i="21398" s="1"/>
  <c r="J593" i="21398"/>
  <c r="AX593" i="21398" s="1"/>
  <c r="C596" i="21398"/>
  <c r="AC476" i="2"/>
  <c r="F478" i="2"/>
  <c r="C480" i="2"/>
  <c r="AX480" i="2" s="1"/>
  <c r="BB432" i="21398"/>
  <c r="BA432" i="21398"/>
  <c r="BC432" i="21398"/>
  <c r="BA433" i="21398"/>
  <c r="BC433" i="21398"/>
  <c r="AW435" i="21398"/>
  <c r="AT478" i="2"/>
  <c r="AQ475" i="2"/>
  <c r="AQ477" i="2"/>
  <c r="AX596" i="21398" l="1"/>
  <c r="C598" i="21398"/>
  <c r="AW596" i="21398"/>
  <c r="AC478" i="2"/>
  <c r="AW480" i="2"/>
  <c r="AY480" i="2" s="1"/>
  <c r="F480" i="2"/>
  <c r="AX479" i="2"/>
  <c r="C482" i="2"/>
  <c r="AX482" i="2" s="1"/>
  <c r="AX481" i="2"/>
  <c r="AW437" i="21398"/>
  <c r="BC435" i="21398"/>
  <c r="BA435" i="21398"/>
  <c r="AW436" i="21398"/>
  <c r="AY436" i="21398" s="1"/>
  <c r="AQ479" i="2"/>
  <c r="AT480" i="2"/>
  <c r="C600" i="21398" l="1"/>
  <c r="AW598" i="21398"/>
  <c r="AX598" i="21398"/>
  <c r="M596" i="21398"/>
  <c r="BC596" i="21398" s="1"/>
  <c r="AY596" i="21398"/>
  <c r="BA596" i="21398" s="1"/>
  <c r="AC480" i="2"/>
  <c r="M480" i="2"/>
  <c r="BC480" i="2" s="1"/>
  <c r="BA480" i="2"/>
  <c r="AW481" i="2"/>
  <c r="AZ481" i="2" s="1"/>
  <c r="BB481" i="2" s="1"/>
  <c r="AW482" i="2"/>
  <c r="AY482" i="2" s="1"/>
  <c r="C484" i="2"/>
  <c r="AX484" i="2" s="1"/>
  <c r="F482" i="2"/>
  <c r="AW479" i="2"/>
  <c r="AZ479" i="2" s="1"/>
  <c r="BB479" i="2" s="1"/>
  <c r="BB436" i="21398"/>
  <c r="BA436" i="21398"/>
  <c r="BC436" i="21398"/>
  <c r="BC437" i="21398"/>
  <c r="BA437" i="21398"/>
  <c r="AW439" i="21398"/>
  <c r="AQ481" i="2"/>
  <c r="AT482" i="2"/>
  <c r="M598" i="21398" l="1"/>
  <c r="BC598" i="21398" s="1"/>
  <c r="AY598" i="21398"/>
  <c r="BA598" i="21398" s="1"/>
  <c r="AW600" i="21398"/>
  <c r="C602" i="21398"/>
  <c r="AX600" i="21398"/>
  <c r="J601" i="21398"/>
  <c r="AX601" i="21398" s="1"/>
  <c r="AC482" i="2"/>
  <c r="M482" i="2"/>
  <c r="BC482" i="2" s="1"/>
  <c r="BA482" i="2"/>
  <c r="J483" i="2"/>
  <c r="AX483" i="2" s="1"/>
  <c r="F484" i="2"/>
  <c r="AW484" i="2"/>
  <c r="AY484" i="2" s="1"/>
  <c r="C486" i="2"/>
  <c r="AX486" i="2" s="1"/>
  <c r="AW449" i="21398"/>
  <c r="BA439" i="21398"/>
  <c r="BC439" i="21398"/>
  <c r="AT484" i="2"/>
  <c r="AQ483" i="2"/>
  <c r="M600" i="21398" l="1"/>
  <c r="BC600" i="21398" s="1"/>
  <c r="AY600" i="21398"/>
  <c r="BA600" i="21398" s="1"/>
  <c r="C604" i="21398"/>
  <c r="AW602" i="21398"/>
  <c r="AX602" i="21398"/>
  <c r="AC484" i="2"/>
  <c r="BA484" i="2"/>
  <c r="M484" i="2"/>
  <c r="BC484" i="2" s="1"/>
  <c r="AW483" i="2"/>
  <c r="AZ483" i="2" s="1"/>
  <c r="BB483" i="2" s="1"/>
  <c r="C488" i="2"/>
  <c r="AX488" i="2" s="1"/>
  <c r="F486" i="2"/>
  <c r="AW486" i="2"/>
  <c r="AY486" i="2" s="1"/>
  <c r="BC449" i="21398"/>
  <c r="BA449" i="21398"/>
  <c r="BB450" i="21398"/>
  <c r="AQ485" i="2"/>
  <c r="AT486" i="2"/>
  <c r="M602" i="21398" l="1"/>
  <c r="BC602" i="21398" s="1"/>
  <c r="AY602" i="21398"/>
  <c r="BA602" i="21398" s="1"/>
  <c r="C606" i="21398"/>
  <c r="AW604" i="21398"/>
  <c r="AX604" i="21398"/>
  <c r="M486" i="2"/>
  <c r="BC486" i="2" s="1"/>
  <c r="BA486" i="2"/>
  <c r="J487" i="2"/>
  <c r="AX487" i="2" s="1"/>
  <c r="AW488" i="2"/>
  <c r="AY488" i="2" s="1"/>
  <c r="C490" i="2"/>
  <c r="AX490" i="2" s="1"/>
  <c r="F488" i="2"/>
  <c r="BA451" i="21398"/>
  <c r="BC451" i="21398"/>
  <c r="AQ487" i="2"/>
  <c r="AT488" i="2"/>
  <c r="M604" i="21398" l="1"/>
  <c r="BC604" i="21398" s="1"/>
  <c r="AY604" i="21398"/>
  <c r="BA604" i="21398" s="1"/>
  <c r="AX606" i="21398"/>
  <c r="AW606" i="21398"/>
  <c r="C608" i="21398"/>
  <c r="AC488" i="2"/>
  <c r="BA488" i="2"/>
  <c r="M488" i="2"/>
  <c r="BC488" i="2" s="1"/>
  <c r="F490" i="2"/>
  <c r="C492" i="2"/>
  <c r="AX492" i="2" s="1"/>
  <c r="AW490" i="2"/>
  <c r="AY490" i="2" s="1"/>
  <c r="AW487" i="2"/>
  <c r="AZ487" i="2" s="1"/>
  <c r="BB487" i="2" s="1"/>
  <c r="BC453" i="21398"/>
  <c r="BA453" i="21398"/>
  <c r="AQ489" i="2"/>
  <c r="AT490" i="2"/>
  <c r="M606" i="21398" l="1"/>
  <c r="BC606" i="21398" s="1"/>
  <c r="AY606" i="21398"/>
  <c r="BA606" i="21398" s="1"/>
  <c r="C610" i="21398"/>
  <c r="AX608" i="21398"/>
  <c r="M608" i="21398" s="1"/>
  <c r="F492" i="2"/>
  <c r="AW492" i="2"/>
  <c r="AY492" i="2" s="1"/>
  <c r="C494" i="2"/>
  <c r="AX494" i="2" s="1"/>
  <c r="M490" i="2"/>
  <c r="BC490" i="2" s="1"/>
  <c r="BA490" i="2"/>
  <c r="BC455" i="21398"/>
  <c r="BA455" i="21398"/>
  <c r="AW457" i="21398"/>
  <c r="AT492" i="2"/>
  <c r="AQ491" i="2"/>
  <c r="AX610" i="21398" l="1"/>
  <c r="AW610" i="21398"/>
  <c r="C612" i="21398"/>
  <c r="J609" i="21398"/>
  <c r="AX609" i="21398" s="1"/>
  <c r="AC492" i="2"/>
  <c r="J494" i="2"/>
  <c r="C496" i="2"/>
  <c r="AX496" i="2" s="1"/>
  <c r="AW494" i="2"/>
  <c r="AY494" i="2" s="1"/>
  <c r="F494" i="2"/>
  <c r="M492" i="2"/>
  <c r="BC492" i="2" s="1"/>
  <c r="BA492" i="2"/>
  <c r="BA457" i="21398"/>
  <c r="BC457" i="21398"/>
  <c r="BB456" i="21398"/>
  <c r="AT494" i="2"/>
  <c r="AQ493" i="2"/>
  <c r="C614" i="21398" l="1"/>
  <c r="AW612" i="21398"/>
  <c r="AX612" i="21398"/>
  <c r="M610" i="21398"/>
  <c r="BC610" i="21398" s="1"/>
  <c r="AY610" i="21398"/>
  <c r="BA610" i="21398" s="1"/>
  <c r="AZ494" i="2"/>
  <c r="BB494" i="2" s="1"/>
  <c r="AC494" i="2"/>
  <c r="F496" i="2"/>
  <c r="C498" i="2"/>
  <c r="AX498" i="2" s="1"/>
  <c r="AW496" i="2"/>
  <c r="AY496" i="2" s="1"/>
  <c r="M494" i="2"/>
  <c r="BC494" i="2" s="1"/>
  <c r="BA494" i="2"/>
  <c r="BB460" i="21398"/>
  <c r="BC459" i="21398"/>
  <c r="BA459" i="21398"/>
  <c r="BB458" i="21398"/>
  <c r="AT496" i="2"/>
  <c r="M612" i="21398" l="1"/>
  <c r="BC612" i="21398" s="1"/>
  <c r="AY612" i="21398"/>
  <c r="BA612" i="21398" s="1"/>
  <c r="C616" i="21398"/>
  <c r="AX614" i="21398"/>
  <c r="AW614" i="21398"/>
  <c r="J615" i="21398"/>
  <c r="AX615" i="21398" s="1"/>
  <c r="AZ496" i="2"/>
  <c r="BB496" i="2" s="1"/>
  <c r="AC496" i="2"/>
  <c r="AX499" i="2"/>
  <c r="C500" i="2"/>
  <c r="AX500" i="2" s="1"/>
  <c r="AW498" i="2"/>
  <c r="AY498" i="2" s="1"/>
  <c r="F498" i="2"/>
  <c r="M496" i="2"/>
  <c r="BC496" i="2" s="1"/>
  <c r="BA496" i="2"/>
  <c r="BA461" i="21398"/>
  <c r="BC461" i="21398"/>
  <c r="AQ495" i="2"/>
  <c r="AQ497" i="2"/>
  <c r="AT498" i="2"/>
  <c r="M614" i="21398" l="1"/>
  <c r="BC614" i="21398" s="1"/>
  <c r="AY614" i="21398"/>
  <c r="BA614" i="21398" s="1"/>
  <c r="AX616" i="21398"/>
  <c r="C618" i="21398"/>
  <c r="AW616" i="21398"/>
  <c r="F500" i="2"/>
  <c r="C502" i="2"/>
  <c r="AX502" i="2" s="1"/>
  <c r="AW500" i="2"/>
  <c r="AY500" i="2" s="1"/>
  <c r="M498" i="2"/>
  <c r="BC498" i="2" s="1"/>
  <c r="BA498" i="2"/>
  <c r="AW499" i="2"/>
  <c r="AZ499" i="2" s="1"/>
  <c r="BB499" i="2" s="1"/>
  <c r="BA463" i="21398"/>
  <c r="BC463" i="21398"/>
  <c r="AQ499" i="2"/>
  <c r="AT500" i="2"/>
  <c r="BC4" i="21415" l="1"/>
  <c r="AX618" i="21398"/>
  <c r="C620" i="21398"/>
  <c r="AW618" i="21398"/>
  <c r="M616" i="21398"/>
  <c r="BC616" i="21398" s="1"/>
  <c r="AY616" i="21398"/>
  <c r="BA616" i="21398" s="1"/>
  <c r="AC500" i="2"/>
  <c r="J503" i="2"/>
  <c r="AX503" i="2" s="1"/>
  <c r="F502" i="2"/>
  <c r="C504" i="2"/>
  <c r="AX504" i="2" s="1"/>
  <c r="AW502" i="2"/>
  <c r="AY502" i="2" s="1"/>
  <c r="BA500" i="2"/>
  <c r="M500" i="2"/>
  <c r="BC500" i="2" s="1"/>
  <c r="BB462" i="21398"/>
  <c r="BA462" i="21398"/>
  <c r="BC462" i="21398"/>
  <c r="BA465" i="21398"/>
  <c r="BC465" i="21398"/>
  <c r="AT502" i="2"/>
  <c r="AQ501" i="2"/>
  <c r="M618" i="21398" l="1"/>
  <c r="BC618" i="21398" s="1"/>
  <c r="AY618" i="21398"/>
  <c r="BA618" i="21398" s="1"/>
  <c r="AX620" i="21398"/>
  <c r="AW620" i="21398"/>
  <c r="C622" i="21398"/>
  <c r="AC502" i="2"/>
  <c r="C506" i="2"/>
  <c r="AX506" i="2" s="1"/>
  <c r="AW504" i="2"/>
  <c r="AY504" i="2" s="1"/>
  <c r="F504" i="2"/>
  <c r="BA502" i="2"/>
  <c r="M502" i="2"/>
  <c r="BC502" i="2" s="1"/>
  <c r="AW503" i="2"/>
  <c r="AZ503" i="2" s="1"/>
  <c r="BB503" i="2" s="1"/>
  <c r="BA467" i="21398"/>
  <c r="BC467" i="21398"/>
  <c r="AQ503" i="2"/>
  <c r="AT504" i="2"/>
  <c r="AX622" i="21398" l="1"/>
  <c r="AW622" i="21398"/>
  <c r="C624" i="21398"/>
  <c r="M620" i="21398"/>
  <c r="BC620" i="21398" s="1"/>
  <c r="AY620" i="21398"/>
  <c r="BA620" i="21398" s="1"/>
  <c r="AC504" i="2"/>
  <c r="F506" i="2"/>
  <c r="C508" i="2"/>
  <c r="AX508" i="2" s="1"/>
  <c r="AW506" i="2"/>
  <c r="AY506" i="2" s="1"/>
  <c r="M504" i="2"/>
  <c r="BC504" i="2" s="1"/>
  <c r="BA504" i="2"/>
  <c r="BB470" i="21398"/>
  <c r="BC469" i="21398"/>
  <c r="BA469" i="21398"/>
  <c r="AQ505" i="2"/>
  <c r="AT506" i="2"/>
  <c r="M622" i="21398" l="1"/>
  <c r="BC622" i="21398" s="1"/>
  <c r="AY622" i="21398"/>
  <c r="BA622" i="21398" s="1"/>
  <c r="C626" i="21398"/>
  <c r="AX624" i="21398"/>
  <c r="AW624" i="21398"/>
  <c r="AC506" i="2"/>
  <c r="AW508" i="2"/>
  <c r="AY508" i="2" s="1"/>
  <c r="C510" i="2"/>
  <c r="AX510" i="2" s="1"/>
  <c r="F508" i="2"/>
  <c r="BA506" i="2"/>
  <c r="M506" i="2"/>
  <c r="BC506" i="2" s="1"/>
  <c r="BA471" i="21398"/>
  <c r="BC471" i="21398"/>
  <c r="AQ507" i="2"/>
  <c r="AT508" i="2"/>
  <c r="AY624" i="21398" l="1"/>
  <c r="BA624" i="21398" s="1"/>
  <c r="M624" i="21398"/>
  <c r="BC624" i="21398" s="1"/>
  <c r="AX626" i="21398"/>
  <c r="C628" i="21398"/>
  <c r="AW626" i="21398"/>
  <c r="J625" i="21398"/>
  <c r="AC508" i="2"/>
  <c r="M508" i="2"/>
  <c r="BC508" i="2" s="1"/>
  <c r="BA508" i="2"/>
  <c r="J509" i="2"/>
  <c r="AX509" i="2" s="1"/>
  <c r="C512" i="2"/>
  <c r="AX512" i="2" s="1"/>
  <c r="F510" i="2"/>
  <c r="AW510" i="2"/>
  <c r="AY510" i="2" s="1"/>
  <c r="AW475" i="21398"/>
  <c r="BC473" i="21398"/>
  <c r="BA473" i="21398"/>
  <c r="AT510" i="2"/>
  <c r="AW625" i="21398" l="1"/>
  <c r="AX625" i="21398"/>
  <c r="C630" i="21398"/>
  <c r="AW628" i="21398"/>
  <c r="AX628" i="21398"/>
  <c r="M626" i="21398"/>
  <c r="BC626" i="21398" s="1"/>
  <c r="AY626" i="21398"/>
  <c r="BA626" i="21398" s="1"/>
  <c r="AC510" i="2"/>
  <c r="M510" i="2"/>
  <c r="BC510" i="2" s="1"/>
  <c r="BA510" i="2"/>
  <c r="AW512" i="2"/>
  <c r="AY512" i="2" s="1"/>
  <c r="C514" i="2"/>
  <c r="AX514" i="2" s="1"/>
  <c r="F512" i="2"/>
  <c r="AW509" i="2"/>
  <c r="AZ509" i="2" s="1"/>
  <c r="BB509" i="2" s="1"/>
  <c r="AW477" i="21398"/>
  <c r="AZ477" i="21398" s="1"/>
  <c r="BB477" i="21398" s="1"/>
  <c r="BC475" i="21398"/>
  <c r="BA475" i="21398"/>
  <c r="AQ509" i="2"/>
  <c r="AQ511" i="2"/>
  <c r="AT512" i="2"/>
  <c r="AZ625" i="21398" l="1"/>
  <c r="BB625" i="21398" s="1"/>
  <c r="AX630" i="21398"/>
  <c r="J631" i="21398"/>
  <c r="J629" i="21398"/>
  <c r="AW630" i="21398"/>
  <c r="C632" i="21398"/>
  <c r="M628" i="21398"/>
  <c r="BC628" i="21398" s="1"/>
  <c r="AY628" i="21398"/>
  <c r="BA628" i="21398" s="1"/>
  <c r="AC512" i="2"/>
  <c r="J515" i="2"/>
  <c r="AX515" i="2" s="1"/>
  <c r="F514" i="2"/>
  <c r="C516" i="2"/>
  <c r="AX516" i="2" s="1"/>
  <c r="AW514" i="2"/>
  <c r="AY514" i="2" s="1"/>
  <c r="BA512" i="2"/>
  <c r="M512" i="2"/>
  <c r="BC512" i="2" s="1"/>
  <c r="BC477" i="21398"/>
  <c r="BA477" i="21398"/>
  <c r="AQ513" i="2"/>
  <c r="AW629" i="21398" l="1"/>
  <c r="AX629" i="21398"/>
  <c r="AX631" i="21398"/>
  <c r="AW631" i="21398"/>
  <c r="AW632" i="21398"/>
  <c r="J633" i="21398"/>
  <c r="C634" i="21398"/>
  <c r="AX632" i="21398"/>
  <c r="M630" i="21398"/>
  <c r="BC630" i="21398" s="1"/>
  <c r="AY630" i="21398"/>
  <c r="BA630" i="21398" s="1"/>
  <c r="AW515" i="2"/>
  <c r="AZ515" i="2" s="1"/>
  <c r="BB515" i="2" s="1"/>
  <c r="BA514" i="2"/>
  <c r="M514" i="2"/>
  <c r="BC514" i="2" s="1"/>
  <c r="F516" i="2"/>
  <c r="C518" i="2"/>
  <c r="AX518" i="2" s="1"/>
  <c r="AW516" i="2"/>
  <c r="AY516" i="2" s="1"/>
  <c r="BA479" i="21398"/>
  <c r="BC479" i="21398"/>
  <c r="AQ515" i="2"/>
  <c r="AT516" i="2"/>
  <c r="AT514" i="2"/>
  <c r="AC514" i="2" l="1"/>
  <c r="AZ629" i="21398"/>
  <c r="BB629" i="21398" s="1"/>
  <c r="AZ631" i="21398"/>
  <c r="BB631" i="21398" s="1"/>
  <c r="AW633" i="21398"/>
  <c r="AX633" i="21398"/>
  <c r="AY632" i="21398"/>
  <c r="BA632" i="21398" s="1"/>
  <c r="M632" i="21398"/>
  <c r="BC632" i="21398" s="1"/>
  <c r="C636" i="21398"/>
  <c r="AX634" i="21398"/>
  <c r="AW634" i="21398"/>
  <c r="AC516" i="2"/>
  <c r="AW518" i="2"/>
  <c r="AY518" i="2" s="1"/>
  <c r="F518" i="2"/>
  <c r="C520" i="2"/>
  <c r="AX520" i="2" s="1"/>
  <c r="M516" i="2"/>
  <c r="BC516" i="2" s="1"/>
  <c r="BA516" i="2"/>
  <c r="BA481" i="21398"/>
  <c r="BC481" i="21398"/>
  <c r="AQ517" i="2"/>
  <c r="AT518" i="2"/>
  <c r="AZ633" i="21398" l="1"/>
  <c r="BB633" i="21398" s="1"/>
  <c r="M634" i="21398"/>
  <c r="BC634" i="21398" s="1"/>
  <c r="AY634" i="21398"/>
  <c r="BA634" i="21398" s="1"/>
  <c r="AX636" i="21398"/>
  <c r="AW636" i="21398"/>
  <c r="C638" i="21398"/>
  <c r="AC518" i="2"/>
  <c r="AW520" i="2"/>
  <c r="AY520" i="2" s="1"/>
  <c r="C522" i="2"/>
  <c r="AX522" i="2" s="1"/>
  <c r="F520" i="2"/>
  <c r="M518" i="2"/>
  <c r="BC518" i="2" s="1"/>
  <c r="BA518" i="2"/>
  <c r="BA483" i="21398"/>
  <c r="BC483" i="21398"/>
  <c r="AQ519" i="2"/>
  <c r="AT520" i="2"/>
  <c r="M636" i="21398" l="1"/>
  <c r="BC636" i="21398" s="1"/>
  <c r="AY636" i="21398"/>
  <c r="BA636" i="21398" s="1"/>
  <c r="AX638" i="21398"/>
  <c r="AW638" i="21398"/>
  <c r="C640" i="21398"/>
  <c r="AC520" i="2"/>
  <c r="J521" i="2"/>
  <c r="AX521" i="2" s="1"/>
  <c r="C524" i="2"/>
  <c r="AX524" i="2" s="1"/>
  <c r="AW522" i="2"/>
  <c r="AY522" i="2" s="1"/>
  <c r="F522" i="2"/>
  <c r="M520" i="2"/>
  <c r="BC520" i="2" s="1"/>
  <c r="BA520" i="2"/>
  <c r="BC485" i="21398"/>
  <c r="BA485" i="21398"/>
  <c r="BB484" i="21398"/>
  <c r="AQ521" i="2"/>
  <c r="AT522" i="2"/>
  <c r="AX639" i="21398" l="1"/>
  <c r="AZ639" i="21398" s="1"/>
  <c r="BB639" i="21398" s="1"/>
  <c r="AW639" i="21398"/>
  <c r="M638" i="21398"/>
  <c r="BC638" i="21398" s="1"/>
  <c r="AY638" i="21398"/>
  <c r="BA638" i="21398" s="1"/>
  <c r="AX640" i="21398"/>
  <c r="C642" i="21398"/>
  <c r="AW640" i="21398"/>
  <c r="AC522" i="2"/>
  <c r="F524" i="2"/>
  <c r="AW524" i="2"/>
  <c r="AY524" i="2" s="1"/>
  <c r="C526" i="2"/>
  <c r="AX526" i="2" s="1"/>
  <c r="AW521" i="2"/>
  <c r="AZ521" i="2" s="1"/>
  <c r="BB521" i="2" s="1"/>
  <c r="BA522" i="2"/>
  <c r="M522" i="2"/>
  <c r="BC522" i="2" s="1"/>
  <c r="BA487" i="21398"/>
  <c r="BC487" i="21398"/>
  <c r="AQ523" i="2"/>
  <c r="AT524" i="2"/>
  <c r="C644" i="21398" l="1"/>
  <c r="J643" i="21398" s="1"/>
  <c r="AX643" i="21398" s="1"/>
  <c r="AW642" i="21398"/>
  <c r="AX642" i="21398"/>
  <c r="M640" i="21398"/>
  <c r="BC640" i="21398" s="1"/>
  <c r="AY640" i="21398"/>
  <c r="BA640" i="21398" s="1"/>
  <c r="M524" i="2"/>
  <c r="BC524" i="2" s="1"/>
  <c r="BA524" i="2"/>
  <c r="C528" i="2"/>
  <c r="AX528" i="2" s="1"/>
  <c r="AW526" i="2"/>
  <c r="AY526" i="2" s="1"/>
  <c r="F526" i="2"/>
  <c r="BB490" i="21398"/>
  <c r="BC489" i="21398"/>
  <c r="BA489" i="21398"/>
  <c r="AT526" i="2"/>
  <c r="AQ525" i="2"/>
  <c r="AW643" i="21398" l="1"/>
  <c r="AZ643" i="21398" s="1"/>
  <c r="BB643" i="21398" s="1"/>
  <c r="M642" i="21398"/>
  <c r="BC642" i="21398" s="1"/>
  <c r="AY642" i="21398"/>
  <c r="BA642" i="21398" s="1"/>
  <c r="AX644" i="21398"/>
  <c r="C646" i="21398"/>
  <c r="AW644" i="21398"/>
  <c r="AC526" i="2"/>
  <c r="M526" i="2"/>
  <c r="BC526" i="2" s="1"/>
  <c r="BA526" i="2"/>
  <c r="J529" i="2"/>
  <c r="AX529" i="2" s="1"/>
  <c r="F528" i="2"/>
  <c r="C530" i="2"/>
  <c r="AX530" i="2" s="1"/>
  <c r="AW528" i="2"/>
  <c r="AY528" i="2" s="1"/>
  <c r="BA491" i="21398"/>
  <c r="BC491" i="21398"/>
  <c r="AQ527" i="2"/>
  <c r="AT528" i="2"/>
  <c r="AZ644" i="21398" l="1"/>
  <c r="BB644" i="21398" s="1"/>
  <c r="J645" i="21398"/>
  <c r="AX646" i="21398"/>
  <c r="AW646" i="21398"/>
  <c r="C648" i="21398"/>
  <c r="M644" i="21398"/>
  <c r="BC644" i="21398" s="1"/>
  <c r="AY644" i="21398"/>
  <c r="BA644" i="21398" s="1"/>
  <c r="AC528" i="2"/>
  <c r="AW529" i="2"/>
  <c r="AZ529" i="2" s="1"/>
  <c r="BB529" i="2" s="1"/>
  <c r="BA528" i="2"/>
  <c r="M528" i="2"/>
  <c r="BC528" i="2" s="1"/>
  <c r="AW530" i="2"/>
  <c r="AY530" i="2" s="1"/>
  <c r="F530" i="2"/>
  <c r="C532" i="2"/>
  <c r="AX532" i="2" s="1"/>
  <c r="BC493" i="21398"/>
  <c r="BA493" i="21398"/>
  <c r="AW495" i="21398"/>
  <c r="AQ529" i="2"/>
  <c r="C650" i="21398" l="1"/>
  <c r="J649" i="21398"/>
  <c r="AX648" i="21398"/>
  <c r="AW648" i="21398"/>
  <c r="M646" i="21398"/>
  <c r="BC646" i="21398" s="1"/>
  <c r="AY646" i="21398"/>
  <c r="BA646" i="21398" s="1"/>
  <c r="AW645" i="21398"/>
  <c r="AX645" i="21398"/>
  <c r="F532" i="2"/>
  <c r="C534" i="2"/>
  <c r="AW532" i="2"/>
  <c r="AY532" i="2" s="1"/>
  <c r="M530" i="2"/>
  <c r="BC530" i="2" s="1"/>
  <c r="BA530" i="2"/>
  <c r="AW497" i="21398"/>
  <c r="BC495" i="21398"/>
  <c r="BA495" i="21398"/>
  <c r="AQ531" i="2"/>
  <c r="AT532" i="2"/>
  <c r="AT530" i="2"/>
  <c r="AX534" i="2" l="1"/>
  <c r="C536" i="2"/>
  <c r="AC530" i="2"/>
  <c r="AW650" i="21398"/>
  <c r="AX650" i="21398"/>
  <c r="J651" i="21398"/>
  <c r="AZ645" i="21398"/>
  <c r="BB645" i="21398" s="1"/>
  <c r="M648" i="21398"/>
  <c r="BC648" i="21398" s="1"/>
  <c r="AY648" i="21398"/>
  <c r="BA648" i="21398" s="1"/>
  <c r="AW649" i="21398"/>
  <c r="AX649" i="21398"/>
  <c r="C652" i="21398"/>
  <c r="AC532" i="2"/>
  <c r="M532" i="2"/>
  <c r="BC532" i="2" s="1"/>
  <c r="BA532" i="2"/>
  <c r="AW534" i="2"/>
  <c r="F534" i="2"/>
  <c r="AW499" i="21398"/>
  <c r="BC497" i="21398"/>
  <c r="BA497" i="21398"/>
  <c r="AT536" i="2"/>
  <c r="AT534" i="2"/>
  <c r="AQ533" i="2"/>
  <c r="AY534" i="2" l="1"/>
  <c r="BA534" i="2" s="1"/>
  <c r="AW536" i="2"/>
  <c r="AX536" i="2"/>
  <c r="F536" i="2"/>
  <c r="C538" i="2"/>
  <c r="AX538" i="2" s="1"/>
  <c r="AC536" i="2"/>
  <c r="AZ649" i="21398"/>
  <c r="BB649" i="21398" s="1"/>
  <c r="M650" i="21398"/>
  <c r="BC650" i="21398" s="1"/>
  <c r="AY650" i="21398"/>
  <c r="BA650" i="21398" s="1"/>
  <c r="C654" i="21398"/>
  <c r="AW651" i="21398"/>
  <c r="AX651" i="21398"/>
  <c r="AC534" i="2"/>
  <c r="M534" i="2"/>
  <c r="BC534" i="2" s="1"/>
  <c r="BA499" i="21398"/>
  <c r="BC499" i="21398"/>
  <c r="AW501" i="21398"/>
  <c r="AW538" i="2" l="1"/>
  <c r="AY538" i="2" s="1"/>
  <c r="BA538" i="2" s="1"/>
  <c r="F538" i="2"/>
  <c r="M536" i="2"/>
  <c r="BC536" i="2" s="1"/>
  <c r="AY536" i="2"/>
  <c r="BA536" i="2" s="1"/>
  <c r="C540" i="2"/>
  <c r="AX540" i="2" s="1"/>
  <c r="AZ651" i="21398"/>
  <c r="BB651" i="21398" s="1"/>
  <c r="C656" i="21398"/>
  <c r="AY652" i="21398"/>
  <c r="BA652" i="21398" s="1"/>
  <c r="BC652" i="21398"/>
  <c r="M538" i="2"/>
  <c r="BC538" i="2" s="1"/>
  <c r="AW503" i="21398"/>
  <c r="AZ503" i="21398" s="1"/>
  <c r="BB503" i="21398" s="1"/>
  <c r="AW500" i="21398"/>
  <c r="AY500" i="21398" s="1"/>
  <c r="BC501" i="21398"/>
  <c r="BA501" i="21398"/>
  <c r="AW540" i="2" l="1"/>
  <c r="AY540" i="2" s="1"/>
  <c r="BA540" i="2" s="1"/>
  <c r="F540" i="2"/>
  <c r="C542" i="2"/>
  <c r="AX542" i="2" s="1"/>
  <c r="BC654" i="21398"/>
  <c r="AY654" i="21398"/>
  <c r="BA654" i="21398" s="1"/>
  <c r="AW656" i="21398"/>
  <c r="AX656" i="21398"/>
  <c r="C658" i="21398"/>
  <c r="J657" i="21398" s="1"/>
  <c r="M540" i="2"/>
  <c r="BC540" i="2" s="1"/>
  <c r="BB500" i="21398"/>
  <c r="BC500" i="21398"/>
  <c r="BA500" i="21398"/>
  <c r="AW505" i="21398"/>
  <c r="BA503" i="21398"/>
  <c r="BC503" i="21398"/>
  <c r="AQ539" i="2"/>
  <c r="AT540" i="2"/>
  <c r="AQ537" i="2"/>
  <c r="AT538" i="2"/>
  <c r="AQ535" i="2"/>
  <c r="AC540" i="2" l="1"/>
  <c r="F542" i="2"/>
  <c r="AW542" i="2"/>
  <c r="AY542" i="2" s="1"/>
  <c r="BA542" i="2" s="1"/>
  <c r="C544" i="2"/>
  <c r="AX544" i="2" s="1"/>
  <c r="AC538" i="2"/>
  <c r="AY656" i="21398"/>
  <c r="BA656" i="21398" s="1"/>
  <c r="M656" i="21398"/>
  <c r="BC656" i="21398" s="1"/>
  <c r="AW658" i="21398"/>
  <c r="C660" i="21398"/>
  <c r="AX658" i="21398"/>
  <c r="F544" i="2"/>
  <c r="M542" i="2"/>
  <c r="BC542" i="2" s="1"/>
  <c r="AW507" i="21398"/>
  <c r="BC505" i="21398"/>
  <c r="BA505" i="21398"/>
  <c r="AT542" i="2"/>
  <c r="AQ541" i="2"/>
  <c r="AQ543" i="2"/>
  <c r="AT544" i="2"/>
  <c r="AC542" i="2" l="1"/>
  <c r="C546" i="2"/>
  <c r="AX546" i="2" s="1"/>
  <c r="AW544" i="2"/>
  <c r="AY544" i="2" s="1"/>
  <c r="BA544" i="2" s="1"/>
  <c r="M658" i="21398"/>
  <c r="BC658" i="21398" s="1"/>
  <c r="AY658" i="21398"/>
  <c r="BA658" i="21398" s="1"/>
  <c r="AX657" i="21398"/>
  <c r="AW657" i="21398"/>
  <c r="AW660" i="21398"/>
  <c r="C662" i="21398"/>
  <c r="J659" i="21398"/>
  <c r="AX660" i="21398"/>
  <c r="AC544" i="2"/>
  <c r="AW546" i="2"/>
  <c r="AY546" i="2" s="1"/>
  <c r="M544" i="2"/>
  <c r="BC544" i="2" s="1"/>
  <c r="BC507" i="21398"/>
  <c r="BA507" i="21398"/>
  <c r="AW509" i="21398"/>
  <c r="AZ509" i="21398" s="1"/>
  <c r="BB509" i="21398" s="1"/>
  <c r="AW508" i="21398"/>
  <c r="AY508" i="21398" s="1"/>
  <c r="J545" i="2" l="1"/>
  <c r="AX545" i="2" s="1"/>
  <c r="C548" i="2"/>
  <c r="AX548" i="2" s="1"/>
  <c r="F546" i="2"/>
  <c r="AZ657" i="21398"/>
  <c r="BB657" i="21398" s="1"/>
  <c r="AX659" i="21398"/>
  <c r="AW659" i="21398"/>
  <c r="M660" i="21398"/>
  <c r="BC660" i="21398" s="1"/>
  <c r="AY660" i="21398"/>
  <c r="BA660" i="21398" s="1"/>
  <c r="AW662" i="21398"/>
  <c r="AX662" i="21398"/>
  <c r="C664" i="21398"/>
  <c r="M546" i="2"/>
  <c r="BC546" i="2" s="1"/>
  <c r="BA546" i="2"/>
  <c r="J547" i="2"/>
  <c r="AX547" i="2" s="1"/>
  <c r="BB508" i="21398"/>
  <c r="BA508" i="21398"/>
  <c r="AW511" i="21398"/>
  <c r="BC509" i="21398"/>
  <c r="BA509" i="21398"/>
  <c r="AT546" i="2"/>
  <c r="AQ545" i="2"/>
  <c r="AC546" i="2" l="1"/>
  <c r="C550" i="2"/>
  <c r="AX550" i="2" s="1"/>
  <c r="AW545" i="2"/>
  <c r="AZ545" i="2" s="1"/>
  <c r="BB545" i="2" s="1"/>
  <c r="AW548" i="2"/>
  <c r="AY548" i="2" s="1"/>
  <c r="F548" i="2"/>
  <c r="J549" i="2"/>
  <c r="AX549" i="2" s="1"/>
  <c r="AZ659" i="21398"/>
  <c r="BB659" i="21398" s="1"/>
  <c r="AW664" i="21398"/>
  <c r="AX664" i="21398"/>
  <c r="C666" i="21398"/>
  <c r="M662" i="21398"/>
  <c r="BC662" i="21398" s="1"/>
  <c r="AY662" i="21398"/>
  <c r="BA662" i="21398" s="1"/>
  <c r="BC508" i="21398"/>
  <c r="M548" i="2"/>
  <c r="BC548" i="2" s="1"/>
  <c r="BA548" i="2"/>
  <c r="AW547" i="2"/>
  <c r="AZ547" i="2" s="1"/>
  <c r="BB547" i="2" s="1"/>
  <c r="AW549" i="2"/>
  <c r="AZ549" i="2" s="1"/>
  <c r="BB549" i="2" s="1"/>
  <c r="AW550" i="2"/>
  <c r="AY550" i="2" s="1"/>
  <c r="AW513" i="21398"/>
  <c r="BA511" i="21398"/>
  <c r="BC511" i="21398"/>
  <c r="AQ547" i="2"/>
  <c r="AT548" i="2"/>
  <c r="AC548" i="2" l="1"/>
  <c r="C552" i="2"/>
  <c r="AX552" i="2" s="1"/>
  <c r="F550" i="2"/>
  <c r="J551" i="2"/>
  <c r="AX551" i="2" s="1"/>
  <c r="J667" i="21398"/>
  <c r="AX667" i="21398" s="1"/>
  <c r="AW666" i="21398"/>
  <c r="AX666" i="21398"/>
  <c r="C668" i="21398"/>
  <c r="M664" i="21398"/>
  <c r="BC664" i="21398" s="1"/>
  <c r="AY664" i="21398"/>
  <c r="BA664" i="21398" s="1"/>
  <c r="AX673" i="21398"/>
  <c r="M550" i="2"/>
  <c r="BC550" i="2" s="1"/>
  <c r="BA550" i="2"/>
  <c r="F552" i="2"/>
  <c r="AW551" i="2"/>
  <c r="AZ551" i="2" s="1"/>
  <c r="BB551" i="2" s="1"/>
  <c r="AW515" i="21398"/>
  <c r="AZ515" i="21398" s="1"/>
  <c r="BB515" i="21398" s="1"/>
  <c r="BA513" i="21398"/>
  <c r="BC513" i="21398"/>
  <c r="AT550" i="2"/>
  <c r="AQ549" i="2"/>
  <c r="AQ551" i="2"/>
  <c r="AT552" i="2"/>
  <c r="C554" i="2" l="1"/>
  <c r="AX554" i="2" s="1"/>
  <c r="AW552" i="2"/>
  <c r="AY552" i="2" s="1"/>
  <c r="BA552" i="2" s="1"/>
  <c r="AC550" i="2"/>
  <c r="AX668" i="21398"/>
  <c r="M668" i="21398" s="1"/>
  <c r="C670" i="21398"/>
  <c r="M666" i="21398"/>
  <c r="BC666" i="21398" s="1"/>
  <c r="AY666" i="21398"/>
  <c r="BA666" i="21398" s="1"/>
  <c r="AC552" i="2"/>
  <c r="M552" i="2"/>
  <c r="BC552" i="2" s="1"/>
  <c r="F554" i="2"/>
  <c r="AW554" i="2"/>
  <c r="AY554" i="2" s="1"/>
  <c r="C556" i="2"/>
  <c r="AX556" i="2" s="1"/>
  <c r="BA515" i="21398"/>
  <c r="BC515" i="21398"/>
  <c r="AW517" i="21398"/>
  <c r="AT554" i="2"/>
  <c r="C672" i="21398" l="1"/>
  <c r="AX670" i="21398"/>
  <c r="M670" i="21398" s="1"/>
  <c r="AC554" i="2"/>
  <c r="M554" i="2"/>
  <c r="BC554" i="2" s="1"/>
  <c r="BA554" i="2"/>
  <c r="C558" i="2"/>
  <c r="AX558" i="2" s="1"/>
  <c r="AW556" i="2"/>
  <c r="AY556" i="2" s="1"/>
  <c r="F556" i="2"/>
  <c r="BA517" i="21398"/>
  <c r="BC517" i="21398"/>
  <c r="AW519" i="21398"/>
  <c r="AQ553" i="2"/>
  <c r="AQ555" i="2"/>
  <c r="AT556" i="2"/>
  <c r="AX672" i="21398" l="1"/>
  <c r="M672" i="21398" s="1"/>
  <c r="C674" i="21398"/>
  <c r="AC556" i="2"/>
  <c r="AW558" i="2"/>
  <c r="AY558" i="2" s="1"/>
  <c r="C560" i="2"/>
  <c r="AX560" i="2" s="1"/>
  <c r="F558" i="2"/>
  <c r="M556" i="2"/>
  <c r="BC556" i="2" s="1"/>
  <c r="BA556" i="2"/>
  <c r="AW521" i="21398"/>
  <c r="AZ521" i="21398" s="1"/>
  <c r="BB521" i="21398" s="1"/>
  <c r="BA519" i="21398"/>
  <c r="BC519" i="21398"/>
  <c r="AT558" i="2"/>
  <c r="AQ557" i="2"/>
  <c r="AX674" i="21398" l="1"/>
  <c r="M674" i="21398" s="1"/>
  <c r="C676" i="21398"/>
  <c r="AX681" i="21398"/>
  <c r="AC558" i="2"/>
  <c r="C562" i="2"/>
  <c r="AX562" i="2" s="1"/>
  <c r="F560" i="2"/>
  <c r="AW560" i="2"/>
  <c r="AY560" i="2" s="1"/>
  <c r="BA558" i="2"/>
  <c r="M558" i="2"/>
  <c r="BC558" i="2" s="1"/>
  <c r="AW523" i="21398"/>
  <c r="AW520" i="21398"/>
  <c r="AY520" i="21398" s="1"/>
  <c r="BA521" i="21398"/>
  <c r="BC521" i="21398"/>
  <c r="AT560" i="2"/>
  <c r="AQ559" i="2"/>
  <c r="AX676" i="21398" l="1"/>
  <c r="M676" i="21398" s="1"/>
  <c r="C678" i="21398"/>
  <c r="AC560" i="2"/>
  <c r="M560" i="2"/>
  <c r="BC560" i="2" s="1"/>
  <c r="BA560" i="2"/>
  <c r="C564" i="2"/>
  <c r="AX564" i="2" s="1"/>
  <c r="AW562" i="2"/>
  <c r="AY562" i="2" s="1"/>
  <c r="F562" i="2"/>
  <c r="BB520" i="21398"/>
  <c r="BA520" i="21398"/>
  <c r="BC520" i="21398"/>
  <c r="BA523" i="21398"/>
  <c r="BC523" i="21398"/>
  <c r="AW525" i="21398"/>
  <c r="AQ561" i="2"/>
  <c r="AT562" i="2"/>
  <c r="AW678" i="21398" l="1"/>
  <c r="AX678" i="21398"/>
  <c r="C680" i="21398"/>
  <c r="AC562" i="2"/>
  <c r="F564" i="2"/>
  <c r="AW564" i="2"/>
  <c r="AY564" i="2" s="1"/>
  <c r="C566" i="2"/>
  <c r="AX566" i="2" s="1"/>
  <c r="M562" i="2"/>
  <c r="BC562" i="2" s="1"/>
  <c r="BA562" i="2"/>
  <c r="AW526" i="21398"/>
  <c r="AY526" i="21398" s="1"/>
  <c r="BA525" i="21398"/>
  <c r="BC525" i="21398"/>
  <c r="AW527" i="21398"/>
  <c r="AT564" i="2"/>
  <c r="AQ563" i="2"/>
  <c r="J679" i="21398" l="1"/>
  <c r="AX679" i="21398" s="1"/>
  <c r="AX680" i="21398"/>
  <c r="AW680" i="21398"/>
  <c r="C682" i="21398"/>
  <c r="M678" i="21398"/>
  <c r="BC678" i="21398" s="1"/>
  <c r="AY678" i="21398"/>
  <c r="BA678" i="21398" s="1"/>
  <c r="AC564" i="2"/>
  <c r="J565" i="2"/>
  <c r="AX565" i="2" s="1"/>
  <c r="F566" i="2"/>
  <c r="C568" i="2"/>
  <c r="AX568" i="2" s="1"/>
  <c r="AW566" i="2"/>
  <c r="AY566" i="2" s="1"/>
  <c r="BA564" i="2"/>
  <c r="M564" i="2"/>
  <c r="BC564" i="2" s="1"/>
  <c r="BB526" i="21398"/>
  <c r="BA526" i="21398"/>
  <c r="BC526" i="21398"/>
  <c r="AW529" i="21398"/>
  <c r="AZ529" i="21398" s="1"/>
  <c r="BB529" i="21398" s="1"/>
  <c r="BA527" i="21398"/>
  <c r="BC527" i="21398"/>
  <c r="AQ565" i="2"/>
  <c r="AT566" i="2"/>
  <c r="AW682" i="21398" l="1"/>
  <c r="AX682" i="21398"/>
  <c r="C684" i="21398"/>
  <c r="M680" i="21398"/>
  <c r="BC680" i="21398" s="1"/>
  <c r="AY680" i="21398"/>
  <c r="BA680" i="21398" s="1"/>
  <c r="AC566" i="2"/>
  <c r="AW568" i="2"/>
  <c r="AY568" i="2" s="1"/>
  <c r="F568" i="2"/>
  <c r="C570" i="2"/>
  <c r="AX570" i="2" s="1"/>
  <c r="M566" i="2"/>
  <c r="BC566" i="2" s="1"/>
  <c r="BA566" i="2"/>
  <c r="AW565" i="2"/>
  <c r="AZ565" i="2" s="1"/>
  <c r="BB565" i="2" s="1"/>
  <c r="AW531" i="21398"/>
  <c r="BA529" i="21398"/>
  <c r="BC529" i="21398"/>
  <c r="AQ567" i="2"/>
  <c r="AT568" i="2"/>
  <c r="J685" i="21398" l="1"/>
  <c r="AX685" i="21398" s="1"/>
  <c r="C686" i="21398"/>
  <c r="AX684" i="21398"/>
  <c r="M684" i="21398" s="1"/>
  <c r="M682" i="21398"/>
  <c r="BC682" i="21398" s="1"/>
  <c r="AY682" i="21398"/>
  <c r="BA682" i="21398" s="1"/>
  <c r="AX693" i="21398"/>
  <c r="AW570" i="2"/>
  <c r="AY570" i="2" s="1"/>
  <c r="C572" i="2"/>
  <c r="AX572" i="2" s="1"/>
  <c r="F570" i="2"/>
  <c r="BA568" i="2"/>
  <c r="M568" i="2"/>
  <c r="BC568" i="2" s="1"/>
  <c r="AW533" i="21398"/>
  <c r="BA531" i="21398"/>
  <c r="BC531" i="21398"/>
  <c r="AT570" i="2"/>
  <c r="AQ569" i="2"/>
  <c r="AX686" i="21398" l="1"/>
  <c r="M686" i="21398" s="1"/>
  <c r="C688" i="21398"/>
  <c r="AC570" i="2"/>
  <c r="J573" i="2"/>
  <c r="AX573" i="2" s="1"/>
  <c r="F572" i="2"/>
  <c r="AW572" i="2"/>
  <c r="AY572" i="2" s="1"/>
  <c r="C574" i="2"/>
  <c r="AX574" i="2" s="1"/>
  <c r="M570" i="2"/>
  <c r="BC570" i="2" s="1"/>
  <c r="BA570" i="2"/>
  <c r="BC533" i="21398"/>
  <c r="BA533" i="21398"/>
  <c r="AW535" i="21398"/>
  <c r="AQ571" i="2"/>
  <c r="AT572" i="2"/>
  <c r="C690" i="21398" l="1"/>
  <c r="AX688" i="21398"/>
  <c r="M688" i="21398" s="1"/>
  <c r="AC572" i="2"/>
  <c r="M572" i="2"/>
  <c r="BC572" i="2" s="1"/>
  <c r="BA572" i="2"/>
  <c r="C576" i="2"/>
  <c r="AX576" i="2" s="1"/>
  <c r="AW574" i="2"/>
  <c r="AY574" i="2" s="1"/>
  <c r="F574" i="2"/>
  <c r="AW573" i="2"/>
  <c r="AZ573" i="2" s="1"/>
  <c r="BB573" i="2" s="1"/>
  <c r="BA535" i="21398"/>
  <c r="BC535" i="21398"/>
  <c r="AW539" i="21398"/>
  <c r="AQ573" i="2"/>
  <c r="AX690" i="21398" l="1"/>
  <c r="AW690" i="21398"/>
  <c r="C692" i="21398"/>
  <c r="C578" i="2"/>
  <c r="AX578" i="2" s="1"/>
  <c r="F576" i="2"/>
  <c r="AW576" i="2"/>
  <c r="AY576" i="2" s="1"/>
  <c r="M574" i="2"/>
  <c r="BC574" i="2" s="1"/>
  <c r="BA574" i="2"/>
  <c r="AW541" i="21398"/>
  <c r="AW538" i="21398"/>
  <c r="AY538" i="21398" s="1"/>
  <c r="BA539" i="21398"/>
  <c r="BC539" i="21398"/>
  <c r="AT574" i="2"/>
  <c r="AT576" i="2"/>
  <c r="AQ575" i="2"/>
  <c r="AC574" i="2" l="1"/>
  <c r="AX692" i="21398"/>
  <c r="C694" i="21398"/>
  <c r="AW692" i="21398"/>
  <c r="M690" i="21398"/>
  <c r="BC690" i="21398" s="1"/>
  <c r="AY690" i="21398"/>
  <c r="BA690" i="21398" s="1"/>
  <c r="AX699" i="21398"/>
  <c r="AC576" i="2"/>
  <c r="M576" i="2"/>
  <c r="BC576" i="2" s="1"/>
  <c r="BA576" i="2"/>
  <c r="C580" i="2"/>
  <c r="AX580" i="2" s="1"/>
  <c r="F578" i="2"/>
  <c r="AW578" i="2"/>
  <c r="AY578" i="2" s="1"/>
  <c r="BB538" i="21398"/>
  <c r="BA538" i="21398"/>
  <c r="BC538" i="21398"/>
  <c r="BA541" i="21398"/>
  <c r="BC541" i="21398"/>
  <c r="AW543" i="21398"/>
  <c r="AQ577" i="2"/>
  <c r="AX694" i="21398" l="1"/>
  <c r="C696" i="21398"/>
  <c r="AW694" i="21398"/>
  <c r="M692" i="21398"/>
  <c r="BC692" i="21398" s="1"/>
  <c r="AY692" i="21398"/>
  <c r="BA692" i="21398" s="1"/>
  <c r="J579" i="2"/>
  <c r="AX579" i="2" s="1"/>
  <c r="F580" i="2"/>
  <c r="AW580" i="2"/>
  <c r="AY580" i="2" s="1"/>
  <c r="C582" i="2"/>
  <c r="AX582" i="2" s="1"/>
  <c r="M578" i="2"/>
  <c r="BC578" i="2" s="1"/>
  <c r="BA578" i="2"/>
  <c r="BC543" i="21398"/>
  <c r="BA543" i="21398"/>
  <c r="AW542" i="21398"/>
  <c r="AY542" i="21398" s="1"/>
  <c r="AW544" i="21398"/>
  <c r="AY544" i="21398" s="1"/>
  <c r="AW545" i="21398"/>
  <c r="AZ545" i="21398" s="1"/>
  <c r="BB545" i="21398" s="1"/>
  <c r="AT578" i="2"/>
  <c r="AQ579" i="2"/>
  <c r="AT580" i="2"/>
  <c r="AC578" i="2" l="1"/>
  <c r="C698" i="21398"/>
  <c r="AX696" i="21398"/>
  <c r="M696" i="21398" s="1"/>
  <c r="M694" i="21398"/>
  <c r="BC694" i="21398" s="1"/>
  <c r="AY694" i="21398"/>
  <c r="BA694" i="21398" s="1"/>
  <c r="AC580" i="2"/>
  <c r="M580" i="2"/>
  <c r="BC580" i="2" s="1"/>
  <c r="BA580" i="2"/>
  <c r="F582" i="2"/>
  <c r="AW582" i="2"/>
  <c r="AY582" i="2" s="1"/>
  <c r="C584" i="2"/>
  <c r="AX584" i="2" s="1"/>
  <c r="AW579" i="2"/>
  <c r="AZ579" i="2" s="1"/>
  <c r="BB579" i="2" s="1"/>
  <c r="BB542" i="21398"/>
  <c r="BA542" i="21398"/>
  <c r="BC542" i="21398"/>
  <c r="BB544" i="21398"/>
  <c r="BC544" i="21398"/>
  <c r="BA544" i="21398"/>
  <c r="AW547" i="21398"/>
  <c r="AZ547" i="21398" s="1"/>
  <c r="BB547" i="21398" s="1"/>
  <c r="BA545" i="21398"/>
  <c r="BC545" i="21398"/>
  <c r="AW546" i="21398"/>
  <c r="AY546" i="21398" s="1"/>
  <c r="AT582" i="2"/>
  <c r="AQ581" i="2"/>
  <c r="J697" i="21398" l="1"/>
  <c r="AX697" i="21398" s="1"/>
  <c r="AW698" i="21398"/>
  <c r="C700" i="21398"/>
  <c r="AX698" i="21398"/>
  <c r="AC582" i="2"/>
  <c r="M582" i="2"/>
  <c r="BC582" i="2" s="1"/>
  <c r="BA582" i="2"/>
  <c r="J585" i="2"/>
  <c r="AX585" i="2" s="1"/>
  <c r="C586" i="2"/>
  <c r="F584" i="2"/>
  <c r="AW584" i="2"/>
  <c r="AY584" i="2" s="1"/>
  <c r="BB546" i="21398"/>
  <c r="BC546" i="21398"/>
  <c r="BA546" i="21398"/>
  <c r="BC547" i="21398"/>
  <c r="BA547" i="21398"/>
  <c r="AW549" i="21398"/>
  <c r="AZ549" i="21398" s="1"/>
  <c r="BB549" i="21398" s="1"/>
  <c r="AT584" i="2"/>
  <c r="AQ583" i="2"/>
  <c r="M698" i="21398" l="1"/>
  <c r="BC698" i="21398" s="1"/>
  <c r="AY698" i="21398"/>
  <c r="BA698" i="21398" s="1"/>
  <c r="AX700" i="21398"/>
  <c r="C702" i="21398"/>
  <c r="AW700" i="21398"/>
  <c r="AC584" i="2"/>
  <c r="C588" i="2"/>
  <c r="F586" i="2"/>
  <c r="AW585" i="2"/>
  <c r="AZ585" i="2" s="1"/>
  <c r="BA584" i="2"/>
  <c r="M584" i="2"/>
  <c r="BC584" i="2" s="1"/>
  <c r="BA549" i="21398"/>
  <c r="BC549" i="21398"/>
  <c r="AW551" i="21398"/>
  <c r="AZ551" i="21398" s="1"/>
  <c r="BB551" i="21398" s="1"/>
  <c r="AQ585" i="2"/>
  <c r="AT586" i="2"/>
  <c r="C704" i="21398" l="1"/>
  <c r="AX702" i="21398"/>
  <c r="M702" i="21398" s="1"/>
  <c r="M700" i="21398"/>
  <c r="BC700" i="21398" s="1"/>
  <c r="AY700" i="21398"/>
  <c r="BA700" i="21398" s="1"/>
  <c r="AC586" i="2"/>
  <c r="F588" i="2"/>
  <c r="C590" i="2"/>
  <c r="BA551" i="21398"/>
  <c r="BC551" i="21398"/>
  <c r="AW553" i="21398"/>
  <c r="AQ587" i="2"/>
  <c r="AT588" i="2"/>
  <c r="J705" i="21398" l="1"/>
  <c r="AX705" i="21398" s="1"/>
  <c r="AX704" i="21398"/>
  <c r="C706" i="21398"/>
  <c r="AW704" i="21398"/>
  <c r="AX711" i="21398"/>
  <c r="AC588" i="2"/>
  <c r="F590" i="2"/>
  <c r="C592" i="2"/>
  <c r="AW555" i="21398"/>
  <c r="BA553" i="21398"/>
  <c r="BC553" i="21398"/>
  <c r="AQ589" i="2"/>
  <c r="AT590" i="2"/>
  <c r="AX706" i="21398" l="1"/>
  <c r="AW706" i="21398"/>
  <c r="C708" i="21398"/>
  <c r="M704" i="21398"/>
  <c r="BC704" i="21398" s="1"/>
  <c r="AY704" i="21398"/>
  <c r="BA704" i="21398" s="1"/>
  <c r="AC590" i="2"/>
  <c r="F592" i="2"/>
  <c r="C594" i="2"/>
  <c r="AX594" i="2" s="1"/>
  <c r="AW557" i="21398"/>
  <c r="BC555" i="21398"/>
  <c r="BA555" i="21398"/>
  <c r="AT592" i="2"/>
  <c r="AQ591" i="2"/>
  <c r="C710" i="21398" l="1"/>
  <c r="AX708" i="21398"/>
  <c r="M708" i="21398" s="1"/>
  <c r="M706" i="21398"/>
  <c r="BC706" i="21398" s="1"/>
  <c r="AY706" i="21398"/>
  <c r="BA706" i="21398" s="1"/>
  <c r="AC592" i="2"/>
  <c r="J593" i="2"/>
  <c r="AX593" i="2" s="1"/>
  <c r="C596" i="2"/>
  <c r="AX596" i="2" s="1"/>
  <c r="AW594" i="2"/>
  <c r="AY594" i="2" s="1"/>
  <c r="F594" i="2"/>
  <c r="AW556" i="21398"/>
  <c r="AY556" i="21398" s="1"/>
  <c r="AW559" i="21398"/>
  <c r="BA557" i="21398"/>
  <c r="BC557" i="21398"/>
  <c r="AT594" i="2"/>
  <c r="AQ593" i="2"/>
  <c r="C712" i="21398" l="1"/>
  <c r="AX710" i="21398"/>
  <c r="M710" i="21398" s="1"/>
  <c r="BC710" i="21398" s="1"/>
  <c r="AX719" i="21398"/>
  <c r="AC594" i="2"/>
  <c r="F596" i="2"/>
  <c r="AW596" i="2"/>
  <c r="AY596" i="2" s="1"/>
  <c r="C598" i="2"/>
  <c r="AX598" i="2" s="1"/>
  <c r="M594" i="2"/>
  <c r="BC594" i="2" s="1"/>
  <c r="BA594" i="2"/>
  <c r="AW593" i="2"/>
  <c r="AZ593" i="2" s="1"/>
  <c r="BB556" i="21398"/>
  <c r="BA556" i="21398"/>
  <c r="BC556" i="21398"/>
  <c r="AW561" i="21398"/>
  <c r="BC559" i="21398"/>
  <c r="BA559" i="21398"/>
  <c r="AT596" i="2"/>
  <c r="AQ595" i="2"/>
  <c r="AX712" i="21398" l="1"/>
  <c r="AW712" i="21398"/>
  <c r="C714" i="21398"/>
  <c r="F598" i="2"/>
  <c r="AW598" i="2"/>
  <c r="AY598" i="2" s="1"/>
  <c r="C600" i="2"/>
  <c r="AX600" i="2" s="1"/>
  <c r="M596" i="2"/>
  <c r="BC596" i="2" s="1"/>
  <c r="BA596" i="2"/>
  <c r="BA561" i="21398"/>
  <c r="BC561" i="21398"/>
  <c r="AW563" i="21398"/>
  <c r="AW562" i="21398"/>
  <c r="AY562" i="21398" s="1"/>
  <c r="AQ597" i="2"/>
  <c r="J713" i="21398" l="1"/>
  <c r="AX713" i="21398" s="1"/>
  <c r="AX714" i="21398"/>
  <c r="C716" i="21398"/>
  <c r="AW714" i="21398"/>
  <c r="M712" i="21398"/>
  <c r="BC712" i="21398" s="1"/>
  <c r="AY712" i="21398"/>
  <c r="BA712" i="21398" s="1"/>
  <c r="J601" i="2"/>
  <c r="AX601" i="2" s="1"/>
  <c r="C602" i="2"/>
  <c r="AX602" i="2" s="1"/>
  <c r="F600" i="2"/>
  <c r="AW600" i="2"/>
  <c r="AY600" i="2" s="1"/>
  <c r="M598" i="2"/>
  <c r="BC598" i="2" s="1"/>
  <c r="BA598" i="2"/>
  <c r="BB954" i="21398"/>
  <c r="BB562" i="21398"/>
  <c r="BA562" i="21398"/>
  <c r="BC562" i="21398"/>
  <c r="AW565" i="21398"/>
  <c r="AZ565" i="21398" s="1"/>
  <c r="BB565" i="21398" s="1"/>
  <c r="BA563" i="21398"/>
  <c r="BC563" i="21398"/>
  <c r="AT598" i="2"/>
  <c r="AT600" i="2"/>
  <c r="AC598" i="2" l="1"/>
  <c r="C718" i="21398"/>
  <c r="AX716" i="21398"/>
  <c r="AW716" i="21398"/>
  <c r="AY714" i="21398"/>
  <c r="BA714" i="21398" s="1"/>
  <c r="M714" i="21398"/>
  <c r="BC714" i="21398" s="1"/>
  <c r="AC600" i="2"/>
  <c r="AW602" i="2"/>
  <c r="AY602" i="2" s="1"/>
  <c r="F602" i="2"/>
  <c r="C604" i="2"/>
  <c r="AX604" i="2" s="1"/>
  <c r="BA600" i="2"/>
  <c r="M600" i="2"/>
  <c r="BC600" i="2" s="1"/>
  <c r="AW601" i="2"/>
  <c r="AZ601" i="2" s="1"/>
  <c r="BB601" i="2" s="1"/>
  <c r="AW567" i="21398"/>
  <c r="BA565" i="21398"/>
  <c r="BC565" i="21398"/>
  <c r="AQ599" i="2"/>
  <c r="AQ601" i="2"/>
  <c r="AT602" i="2"/>
  <c r="AY716" i="21398" l="1"/>
  <c r="BA716" i="21398" s="1"/>
  <c r="M716" i="21398"/>
  <c r="BC716" i="21398" s="1"/>
  <c r="AX718" i="21398"/>
  <c r="C720" i="21398"/>
  <c r="AW718" i="21398"/>
  <c r="AC602" i="2"/>
  <c r="F604" i="2"/>
  <c r="AW604" i="2"/>
  <c r="AY604" i="2" s="1"/>
  <c r="C606" i="2"/>
  <c r="AX606" i="2" s="1"/>
  <c r="M602" i="2"/>
  <c r="BC602" i="2" s="1"/>
  <c r="BA602" i="2"/>
  <c r="AW569" i="21398"/>
  <c r="BA567" i="21398"/>
  <c r="BC567" i="21398"/>
  <c r="AT604" i="2"/>
  <c r="AQ603" i="2"/>
  <c r="AW720" i="21398" l="1"/>
  <c r="C722" i="21398"/>
  <c r="AX720" i="21398"/>
  <c r="M718" i="21398"/>
  <c r="BC718" i="21398" s="1"/>
  <c r="AY718" i="21398"/>
  <c r="BA718" i="21398" s="1"/>
  <c r="AC604" i="2"/>
  <c r="M604" i="2"/>
  <c r="BC604" i="2" s="1"/>
  <c r="BA604" i="2"/>
  <c r="AW606" i="2"/>
  <c r="AY606" i="2" s="1"/>
  <c r="C608" i="2"/>
  <c r="AX608" i="2" s="1"/>
  <c r="F606" i="2"/>
  <c r="BB960" i="21398"/>
  <c r="AW571" i="21398"/>
  <c r="BC569" i="21398"/>
  <c r="BA569" i="21398"/>
  <c r="AT606" i="2"/>
  <c r="AQ605" i="2"/>
  <c r="AY720" i="21398" l="1"/>
  <c r="BA720" i="21398" s="1"/>
  <c r="M720" i="21398"/>
  <c r="BC720" i="21398" s="1"/>
  <c r="AX722" i="21398"/>
  <c r="C724" i="21398"/>
  <c r="AW722" i="21398"/>
  <c r="AX731" i="21398"/>
  <c r="AC606" i="2"/>
  <c r="C610" i="2"/>
  <c r="AX610" i="2" s="1"/>
  <c r="F608" i="2"/>
  <c r="AW608" i="2"/>
  <c r="AY608" i="2" s="1"/>
  <c r="M606" i="2"/>
  <c r="BC606" i="2" s="1"/>
  <c r="BA606" i="2"/>
  <c r="AW573" i="21398"/>
  <c r="AZ573" i="21398" s="1"/>
  <c r="BB573" i="21398" s="1"/>
  <c r="BC571" i="21398"/>
  <c r="BA571" i="21398"/>
  <c r="AQ607" i="2"/>
  <c r="AT608" i="2"/>
  <c r="AX724" i="21398" l="1"/>
  <c r="C726" i="21398"/>
  <c r="AW724" i="21398"/>
  <c r="J725" i="21398"/>
  <c r="AX725" i="21398" s="1"/>
  <c r="M722" i="21398"/>
  <c r="BC722" i="21398" s="1"/>
  <c r="AY722" i="21398"/>
  <c r="BA722" i="21398" s="1"/>
  <c r="AC608" i="2"/>
  <c r="M608" i="2"/>
  <c r="BC608" i="2" s="1"/>
  <c r="BA608" i="2"/>
  <c r="J609" i="2"/>
  <c r="AX609" i="2" s="1"/>
  <c r="AW610" i="2"/>
  <c r="AY610" i="2" s="1"/>
  <c r="F610" i="2"/>
  <c r="C612" i="2"/>
  <c r="AX612" i="2" s="1"/>
  <c r="AW575" i="21398"/>
  <c r="BC573" i="21398"/>
  <c r="BA573" i="21398"/>
  <c r="AW572" i="21398"/>
  <c r="AY572" i="21398" s="1"/>
  <c r="AQ609" i="2"/>
  <c r="AW726" i="21398" l="1"/>
  <c r="C728" i="21398"/>
  <c r="AX726" i="21398"/>
  <c r="AY724" i="21398"/>
  <c r="BA724" i="21398" s="1"/>
  <c r="M724" i="21398"/>
  <c r="BC724" i="21398" s="1"/>
  <c r="M610" i="2"/>
  <c r="BC610" i="2" s="1"/>
  <c r="BA610" i="2"/>
  <c r="AW609" i="2"/>
  <c r="AZ609" i="2" s="1"/>
  <c r="BB609" i="2" s="1"/>
  <c r="AW612" i="2"/>
  <c r="AY612" i="2" s="1"/>
  <c r="F612" i="2"/>
  <c r="C614" i="2"/>
  <c r="AX614" i="2" s="1"/>
  <c r="BB572" i="21398"/>
  <c r="BA572" i="21398"/>
  <c r="BC572" i="21398"/>
  <c r="BC575" i="21398"/>
  <c r="BA575" i="21398"/>
  <c r="AW577" i="21398"/>
  <c r="AT610" i="2"/>
  <c r="AT612" i="2"/>
  <c r="AQ611" i="2"/>
  <c r="AC610" i="2" l="1"/>
  <c r="M726" i="21398"/>
  <c r="BC726" i="21398" s="1"/>
  <c r="AY726" i="21398"/>
  <c r="BA726" i="21398" s="1"/>
  <c r="AX728" i="21398"/>
  <c r="M728" i="21398" s="1"/>
  <c r="BC728" i="21398" s="1"/>
  <c r="C730" i="21398"/>
  <c r="AX737" i="21398"/>
  <c r="AW737" i="21398"/>
  <c r="AC612" i="2"/>
  <c r="F614" i="2"/>
  <c r="C616" i="2"/>
  <c r="AX616" i="2" s="1"/>
  <c r="AW614" i="2"/>
  <c r="AY614" i="2" s="1"/>
  <c r="BA612" i="2"/>
  <c r="M612" i="2"/>
  <c r="BC612" i="2" s="1"/>
  <c r="BB968" i="21398"/>
  <c r="AW579" i="21398"/>
  <c r="AZ579" i="21398" s="1"/>
  <c r="BB579" i="21398" s="1"/>
  <c r="BC577" i="21398"/>
  <c r="BA577" i="21398"/>
  <c r="AQ613" i="2"/>
  <c r="AX730" i="21398" l="1"/>
  <c r="M730" i="21398" s="1"/>
  <c r="BC730" i="21398" s="1"/>
  <c r="C732" i="21398"/>
  <c r="AZ737" i="21398"/>
  <c r="BB737" i="21398" s="1"/>
  <c r="M614" i="2"/>
  <c r="BC614" i="2" s="1"/>
  <c r="BA614" i="2"/>
  <c r="C618" i="2"/>
  <c r="AX618" i="2" s="1"/>
  <c r="AW616" i="2"/>
  <c r="AY616" i="2" s="1"/>
  <c r="F616" i="2"/>
  <c r="AW580" i="21398"/>
  <c r="AY580" i="21398" s="1"/>
  <c r="BC579" i="21398"/>
  <c r="BA579" i="21398"/>
  <c r="AW581" i="21398"/>
  <c r="AT614" i="2"/>
  <c r="AQ615" i="2"/>
  <c r="AT616" i="2"/>
  <c r="AC614" i="2" l="1"/>
  <c r="C734" i="21398"/>
  <c r="AX732" i="21398"/>
  <c r="AW732" i="21398"/>
  <c r="AC616" i="2"/>
  <c r="BA616" i="2"/>
  <c r="M616" i="2"/>
  <c r="BC616" i="2" s="1"/>
  <c r="F618" i="2"/>
  <c r="AW618" i="2"/>
  <c r="AY618" i="2" s="1"/>
  <c r="C620" i="2"/>
  <c r="AX620" i="2" s="1"/>
  <c r="BB580" i="21398"/>
  <c r="BC580" i="21398"/>
  <c r="BA580" i="21398"/>
  <c r="AW583" i="21398"/>
  <c r="BA581" i="21398"/>
  <c r="BC581" i="21398"/>
  <c r="AQ617" i="2"/>
  <c r="AT618" i="2"/>
  <c r="M732" i="21398" l="1"/>
  <c r="BC732" i="21398" s="1"/>
  <c r="AY732" i="21398"/>
  <c r="BA732" i="21398" s="1"/>
  <c r="J735" i="21398"/>
  <c r="AX734" i="21398"/>
  <c r="M734" i="21398" s="1"/>
  <c r="BC734" i="21398" s="1"/>
  <c r="C736" i="21398"/>
  <c r="AC618" i="2"/>
  <c r="C622" i="2"/>
  <c r="AX622" i="2" s="1"/>
  <c r="AW620" i="2"/>
  <c r="AY620" i="2" s="1"/>
  <c r="F620" i="2"/>
  <c r="BA618" i="2"/>
  <c r="M618" i="2"/>
  <c r="BC618" i="2" s="1"/>
  <c r="BC583" i="21398"/>
  <c r="BA583" i="21398"/>
  <c r="AW585" i="21398"/>
  <c r="AZ585" i="21398" s="1"/>
  <c r="AQ619" i="2"/>
  <c r="AT620" i="2"/>
  <c r="AX735" i="21398" l="1"/>
  <c r="AW735" i="21398"/>
  <c r="C738" i="21398"/>
  <c r="AX736" i="21398"/>
  <c r="AW736" i="21398"/>
  <c r="AC620" i="2"/>
  <c r="M620" i="2"/>
  <c r="BC620" i="2" s="1"/>
  <c r="BA620" i="2"/>
  <c r="C624" i="2"/>
  <c r="AX624" i="2" s="1"/>
  <c r="F622" i="2"/>
  <c r="AW622" i="2"/>
  <c r="AY622" i="2" s="1"/>
  <c r="BB976" i="21398"/>
  <c r="AT622" i="2"/>
  <c r="AQ621" i="2"/>
  <c r="AY736" i="21398" l="1"/>
  <c r="BA736" i="21398" s="1"/>
  <c r="M736" i="21398"/>
  <c r="BC736" i="21398" s="1"/>
  <c r="AX738" i="21398"/>
  <c r="C740" i="21398"/>
  <c r="AW738" i="21398"/>
  <c r="AZ735" i="21398"/>
  <c r="BB735" i="21398" s="1"/>
  <c r="AC622" i="2"/>
  <c r="C626" i="2"/>
  <c r="AX626" i="2" s="1"/>
  <c r="AW624" i="2"/>
  <c r="AY624" i="2" s="1"/>
  <c r="F624" i="2"/>
  <c r="BA622" i="2"/>
  <c r="M622" i="2"/>
  <c r="BC622" i="2" s="1"/>
  <c r="AT624" i="2"/>
  <c r="AQ623" i="2"/>
  <c r="C742" i="21398" l="1"/>
  <c r="AW740" i="21398"/>
  <c r="AX740" i="21398"/>
  <c r="M738" i="21398"/>
  <c r="BC738" i="21398" s="1"/>
  <c r="AY738" i="21398"/>
  <c r="BA738" i="21398" s="1"/>
  <c r="AC624" i="2"/>
  <c r="M624" i="2"/>
  <c r="BC624" i="2" s="1"/>
  <c r="BA624" i="2"/>
  <c r="J625" i="2"/>
  <c r="AX625" i="2" s="1"/>
  <c r="F626" i="2"/>
  <c r="C628" i="2"/>
  <c r="AX628" i="2" s="1"/>
  <c r="AW626" i="2"/>
  <c r="AY626" i="2" s="1"/>
  <c r="AQ625" i="2"/>
  <c r="AT626" i="2"/>
  <c r="M740" i="21398" l="1"/>
  <c r="BC740" i="21398" s="1"/>
  <c r="AY740" i="21398"/>
  <c r="BA740" i="21398" s="1"/>
  <c r="AX742" i="21398"/>
  <c r="C744" i="21398"/>
  <c r="AW742" i="21398"/>
  <c r="AC626" i="2"/>
  <c r="AW625" i="2"/>
  <c r="AZ625" i="2" s="1"/>
  <c r="BB625" i="2" s="1"/>
  <c r="M626" i="2"/>
  <c r="BC626" i="2" s="1"/>
  <c r="BA626" i="2"/>
  <c r="AW628" i="2"/>
  <c r="AY628" i="2" s="1"/>
  <c r="F628" i="2"/>
  <c r="C630" i="2"/>
  <c r="AX630" i="2" s="1"/>
  <c r="AW593" i="21398"/>
  <c r="AZ593" i="21398" s="1"/>
  <c r="AT628" i="2"/>
  <c r="AQ627" i="2"/>
  <c r="AW744" i="21398" l="1"/>
  <c r="J743" i="21398"/>
  <c r="C746" i="21398"/>
  <c r="AX744" i="21398"/>
  <c r="AY742" i="21398"/>
  <c r="BA742" i="21398" s="1"/>
  <c r="M742" i="21398"/>
  <c r="BC742" i="21398" s="1"/>
  <c r="J629" i="2"/>
  <c r="AX629" i="2" s="1"/>
  <c r="J631" i="2"/>
  <c r="AX631" i="2" s="1"/>
  <c r="C632" i="2"/>
  <c r="AX632" i="2" s="1"/>
  <c r="F630" i="2"/>
  <c r="AW630" i="2"/>
  <c r="AY630" i="2" s="1"/>
  <c r="BA628" i="2"/>
  <c r="M628" i="2"/>
  <c r="BC628" i="2" s="1"/>
  <c r="AW595" i="21398"/>
  <c r="AW594" i="21398"/>
  <c r="AY594" i="21398" s="1"/>
  <c r="AT630" i="2"/>
  <c r="AQ629" i="2"/>
  <c r="AY744" i="21398" l="1"/>
  <c r="BA744" i="21398" s="1"/>
  <c r="M744" i="21398"/>
  <c r="BC744" i="21398" s="1"/>
  <c r="AW746" i="21398"/>
  <c r="C748" i="21398"/>
  <c r="AX746" i="21398"/>
  <c r="AX743" i="21398"/>
  <c r="AW743" i="21398"/>
  <c r="AC630" i="2"/>
  <c r="C634" i="2"/>
  <c r="AX634" i="2" s="1"/>
  <c r="AW632" i="2"/>
  <c r="AY632" i="2" s="1"/>
  <c r="F632" i="2"/>
  <c r="AW631" i="2"/>
  <c r="AZ631" i="2" s="1"/>
  <c r="BB631" i="2" s="1"/>
  <c r="M630" i="2"/>
  <c r="BC630" i="2" s="1"/>
  <c r="BA630" i="2"/>
  <c r="AW629" i="2"/>
  <c r="AZ629" i="2" s="1"/>
  <c r="BB629" i="2" s="1"/>
  <c r="BB594" i="21398"/>
  <c r="BA594" i="21398"/>
  <c r="BC594" i="21398"/>
  <c r="AW597" i="21398"/>
  <c r="BC595" i="21398"/>
  <c r="BA595" i="21398"/>
  <c r="AQ631" i="2"/>
  <c r="AT632" i="2"/>
  <c r="AZ743" i="21398" l="1"/>
  <c r="BB743" i="21398" s="1"/>
  <c r="AW748" i="21398"/>
  <c r="C750" i="21398"/>
  <c r="AX748" i="21398"/>
  <c r="AY746" i="21398"/>
  <c r="BA746" i="21398" s="1"/>
  <c r="M746" i="21398"/>
  <c r="BC746" i="21398" s="1"/>
  <c r="AC632" i="2"/>
  <c r="BA632" i="2"/>
  <c r="M632" i="2"/>
  <c r="BC632" i="2" s="1"/>
  <c r="C636" i="2"/>
  <c r="AX636" i="2" s="1"/>
  <c r="AW634" i="2"/>
  <c r="AY634" i="2" s="1"/>
  <c r="F634" i="2"/>
  <c r="AW599" i="21398"/>
  <c r="BC597" i="21398"/>
  <c r="BA597" i="21398"/>
  <c r="AT634" i="2"/>
  <c r="M748" i="21398" l="1"/>
  <c r="BC748" i="21398" s="1"/>
  <c r="AY748" i="21398"/>
  <c r="BA748" i="21398" s="1"/>
  <c r="AW750" i="21398"/>
  <c r="AX750" i="21398"/>
  <c r="J751" i="21398"/>
  <c r="C752" i="21398"/>
  <c r="M634" i="2"/>
  <c r="BC634" i="2" s="1"/>
  <c r="BA634" i="2"/>
  <c r="J635" i="2"/>
  <c r="AX635" i="2" s="1"/>
  <c r="C638" i="2"/>
  <c r="AX638" i="2" s="1"/>
  <c r="AW636" i="2"/>
  <c r="AY636" i="2" s="1"/>
  <c r="F636" i="2"/>
  <c r="AW601" i="21398"/>
  <c r="AZ601" i="21398" s="1"/>
  <c r="BB601" i="21398" s="1"/>
  <c r="BA599" i="21398"/>
  <c r="BC599" i="21398"/>
  <c r="AQ635" i="2"/>
  <c r="AQ633" i="2"/>
  <c r="AX752" i="21398" l="1"/>
  <c r="C754" i="21398"/>
  <c r="AW752" i="21398"/>
  <c r="AW751" i="21398"/>
  <c r="AX751" i="21398"/>
  <c r="M750" i="21398"/>
  <c r="BC750" i="21398" s="1"/>
  <c r="AY750" i="21398"/>
  <c r="BA750" i="21398" s="1"/>
  <c r="C640" i="2"/>
  <c r="AX640" i="2" s="1"/>
  <c r="F638" i="2"/>
  <c r="AW638" i="2"/>
  <c r="AY638" i="2" s="1"/>
  <c r="AW635" i="2"/>
  <c r="AZ635" i="2" s="1"/>
  <c r="BB635" i="2" s="1"/>
  <c r="M636" i="2"/>
  <c r="BC636" i="2" s="1"/>
  <c r="BA636" i="2"/>
  <c r="AW603" i="21398"/>
  <c r="BC601" i="21398"/>
  <c r="BA601" i="21398"/>
  <c r="AT636" i="2"/>
  <c r="AT638" i="2"/>
  <c r="AQ637" i="2"/>
  <c r="AC636" i="2" l="1"/>
  <c r="C756" i="21398"/>
  <c r="AW754" i="21398"/>
  <c r="AX754" i="21398"/>
  <c r="AZ751" i="21398"/>
  <c r="BB751" i="21398" s="1"/>
  <c r="AY752" i="21398"/>
  <c r="BA752" i="21398" s="1"/>
  <c r="M752" i="21398"/>
  <c r="BC752" i="21398" s="1"/>
  <c r="M638" i="2"/>
  <c r="BC638" i="2" s="1"/>
  <c r="BA638" i="2"/>
  <c r="F640" i="2"/>
  <c r="C642" i="2"/>
  <c r="AX642" i="2" s="1"/>
  <c r="AW640" i="2"/>
  <c r="AY640" i="2" s="1"/>
  <c r="BA603" i="21398"/>
  <c r="BC603" i="21398"/>
  <c r="AW605" i="21398"/>
  <c r="AT640" i="2"/>
  <c r="AQ639" i="2"/>
  <c r="AY754" i="21398" l="1"/>
  <c r="BA754" i="21398" s="1"/>
  <c r="M754" i="21398"/>
  <c r="BC754" i="21398" s="1"/>
  <c r="AW756" i="21398"/>
  <c r="C758" i="21398"/>
  <c r="AX756" i="21398"/>
  <c r="AC640" i="2"/>
  <c r="M640" i="2"/>
  <c r="BC640" i="2" s="1"/>
  <c r="BA640" i="2"/>
  <c r="J643" i="2"/>
  <c r="AX643" i="2" s="1"/>
  <c r="C644" i="2"/>
  <c r="AX644" i="2" s="1"/>
  <c r="F642" i="2"/>
  <c r="AW642" i="2"/>
  <c r="AY642" i="2" s="1"/>
  <c r="AW607" i="21398"/>
  <c r="BA605" i="21398"/>
  <c r="BC605" i="21398"/>
  <c r="AQ641" i="2"/>
  <c r="AT642" i="2"/>
  <c r="AW758" i="21398" l="1"/>
  <c r="C760" i="21398"/>
  <c r="AX758" i="21398"/>
  <c r="J757" i="21398"/>
  <c r="J759" i="21398"/>
  <c r="AY756" i="21398"/>
  <c r="BA756" i="21398" s="1"/>
  <c r="M756" i="21398"/>
  <c r="BC756" i="21398" s="1"/>
  <c r="AC642" i="2"/>
  <c r="C646" i="2"/>
  <c r="AX646" i="2" s="1"/>
  <c r="AW644" i="2"/>
  <c r="AY644" i="2" s="1"/>
  <c r="F644" i="2"/>
  <c r="AW643" i="2"/>
  <c r="AZ643" i="2" s="1"/>
  <c r="BB643" i="2" s="1"/>
  <c r="M642" i="2"/>
  <c r="BC642" i="2" s="1"/>
  <c r="BA642" i="2"/>
  <c r="AW609" i="21398"/>
  <c r="AZ609" i="21398" s="1"/>
  <c r="BB609" i="21398" s="1"/>
  <c r="BC607" i="21398"/>
  <c r="BA607" i="21398"/>
  <c r="AT644" i="2"/>
  <c r="AQ643" i="2"/>
  <c r="AW757" i="21398" l="1"/>
  <c r="AX757" i="21398"/>
  <c r="AY758" i="21398"/>
  <c r="BA758" i="21398" s="1"/>
  <c r="M758" i="21398"/>
  <c r="BC758" i="21398" s="1"/>
  <c r="AX760" i="21398"/>
  <c r="C762" i="21398"/>
  <c r="AW760" i="21398"/>
  <c r="AW759" i="21398"/>
  <c r="AX759" i="21398"/>
  <c r="AC644" i="2"/>
  <c r="AW646" i="2"/>
  <c r="AY646" i="2" s="1"/>
  <c r="C648" i="2"/>
  <c r="AX648" i="2" s="1"/>
  <c r="F646" i="2"/>
  <c r="BA644" i="2"/>
  <c r="M644" i="2"/>
  <c r="BC644" i="2" s="1"/>
  <c r="BC609" i="21398"/>
  <c r="BA609" i="21398"/>
  <c r="AW611" i="21398"/>
  <c r="AW608" i="21398"/>
  <c r="AY608" i="21398" s="1"/>
  <c r="AQ645" i="2"/>
  <c r="AT646" i="2"/>
  <c r="AZ757" i="21398" l="1"/>
  <c r="BB757" i="21398" s="1"/>
  <c r="AX762" i="21398"/>
  <c r="AW762" i="21398"/>
  <c r="C764" i="21398"/>
  <c r="AZ759" i="21398"/>
  <c r="BB759" i="21398" s="1"/>
  <c r="M760" i="21398"/>
  <c r="BC760" i="21398" s="1"/>
  <c r="AY760" i="21398"/>
  <c r="BA760" i="21398" s="1"/>
  <c r="AC646" i="2"/>
  <c r="BA646" i="2"/>
  <c r="M646" i="2"/>
  <c r="BC646" i="2" s="1"/>
  <c r="AW648" i="2"/>
  <c r="AY648" i="2" s="1"/>
  <c r="C650" i="2"/>
  <c r="AX650" i="2" s="1"/>
  <c r="F648" i="2"/>
  <c r="BB608" i="21398"/>
  <c r="BC608" i="21398"/>
  <c r="BA608" i="21398"/>
  <c r="AW613" i="21398"/>
  <c r="BA611" i="21398"/>
  <c r="BC611" i="21398"/>
  <c r="AQ647" i="2"/>
  <c r="AX764" i="21398" l="1"/>
  <c r="C766" i="21398"/>
  <c r="AW764" i="21398"/>
  <c r="AY762" i="21398"/>
  <c r="BA762" i="21398" s="1"/>
  <c r="M762" i="21398"/>
  <c r="BC762" i="21398" s="1"/>
  <c r="M648" i="2"/>
  <c r="BC648" i="2" s="1"/>
  <c r="BA648" i="2"/>
  <c r="C654" i="2"/>
  <c r="AW650" i="2"/>
  <c r="AY650" i="2" s="1"/>
  <c r="F650" i="2"/>
  <c r="AW615" i="21398"/>
  <c r="BA613" i="21398"/>
  <c r="BC613" i="21398"/>
  <c r="AQ649" i="2"/>
  <c r="AT648" i="2"/>
  <c r="AT650" i="2"/>
  <c r="AC648" i="2" l="1"/>
  <c r="AX654" i="2"/>
  <c r="C652" i="2"/>
  <c r="AX766" i="21398"/>
  <c r="C768" i="21398"/>
  <c r="J765" i="21398"/>
  <c r="AW766" i="21398"/>
  <c r="M764" i="21398"/>
  <c r="BC764" i="21398" s="1"/>
  <c r="AY764" i="21398"/>
  <c r="BA764" i="21398" s="1"/>
  <c r="AZ615" i="21398"/>
  <c r="BB615" i="21398" s="1"/>
  <c r="AC650" i="2"/>
  <c r="M650" i="2"/>
  <c r="BC650" i="2" s="1"/>
  <c r="BA650" i="2"/>
  <c r="AW654" i="2"/>
  <c r="AY654" i="2" s="1"/>
  <c r="F654" i="2"/>
  <c r="C656" i="2"/>
  <c r="J657" i="2" s="1"/>
  <c r="Q150" i="21408"/>
  <c r="AW617" i="21398"/>
  <c r="AT654" i="2"/>
  <c r="AQ651" i="2"/>
  <c r="AX656" i="2" l="1"/>
  <c r="AW652" i="2"/>
  <c r="AX652" i="2"/>
  <c r="AX765" i="21398"/>
  <c r="AW765" i="21398"/>
  <c r="C770" i="21398"/>
  <c r="AW768" i="21398"/>
  <c r="AX768" i="21398"/>
  <c r="M766" i="21398"/>
  <c r="BC766" i="21398" s="1"/>
  <c r="AY766" i="21398"/>
  <c r="BA766" i="21398" s="1"/>
  <c r="AC654" i="2"/>
  <c r="Q164" i="21408"/>
  <c r="Q95" i="21408"/>
  <c r="Q79" i="21408"/>
  <c r="Q59" i="21408"/>
  <c r="Q51" i="21408"/>
  <c r="Q30" i="21408"/>
  <c r="Q63" i="21408"/>
  <c r="Q142" i="21408"/>
  <c r="O55" i="21402"/>
  <c r="O34" i="21402"/>
  <c r="O10" i="21402"/>
  <c r="Q367" i="21408"/>
  <c r="Q317" i="21408"/>
  <c r="Q280" i="21408"/>
  <c r="Q260" i="21408"/>
  <c r="Q239" i="21408"/>
  <c r="Q223" i="21408"/>
  <c r="Q205" i="21408"/>
  <c r="Q186" i="21408"/>
  <c r="Q170" i="21408"/>
  <c r="Q154" i="21408"/>
  <c r="Q135" i="21408"/>
  <c r="O69" i="21402"/>
  <c r="O43" i="21402"/>
  <c r="O61" i="21402"/>
  <c r="O40" i="21402"/>
  <c r="O19" i="21402"/>
  <c r="Q369" i="21408"/>
  <c r="Q319" i="21408"/>
  <c r="Q278" i="21408"/>
  <c r="O71" i="21402"/>
  <c r="O50" i="21402"/>
  <c r="O24" i="21402"/>
  <c r="Q324" i="21408"/>
  <c r="Q273" i="21408"/>
  <c r="Q242" i="21408"/>
  <c r="Q221" i="21408"/>
  <c r="Q195" i="21408"/>
  <c r="Q173" i="21408"/>
  <c r="Q152" i="21408"/>
  <c r="Q128" i="21408"/>
  <c r="Q110" i="21408"/>
  <c r="Q90" i="21408"/>
  <c r="Q74" i="21408"/>
  <c r="O16" i="21402"/>
  <c r="Q322" i="21408"/>
  <c r="Q259" i="21408"/>
  <c r="Q236" i="21408"/>
  <c r="Q212" i="21408"/>
  <c r="Q188" i="21408"/>
  <c r="Q167" i="21408"/>
  <c r="Q144" i="21408"/>
  <c r="Q121" i="21408"/>
  <c r="Q105" i="21408"/>
  <c r="Q85" i="21408"/>
  <c r="Q69" i="21408"/>
  <c r="Q49" i="21408"/>
  <c r="Q33" i="21408"/>
  <c r="Q17" i="21408"/>
  <c r="O26" i="21402"/>
  <c r="Q328" i="21408"/>
  <c r="Q43" i="21408"/>
  <c r="Q35" i="21408"/>
  <c r="Q27" i="21408"/>
  <c r="Q6" i="21408"/>
  <c r="Q38" i="21408"/>
  <c r="Q83" i="21408"/>
  <c r="O72" i="21402"/>
  <c r="O51" i="21402"/>
  <c r="O25" i="21402"/>
  <c r="O4" i="21402"/>
  <c r="Q329" i="21408"/>
  <c r="Q311" i="21408"/>
  <c r="Q276" i="21408"/>
  <c r="Q251" i="21408"/>
  <c r="Q235" i="21408"/>
  <c r="Q219" i="21408"/>
  <c r="Q198" i="21408"/>
  <c r="Q182" i="21408"/>
  <c r="Q166" i="21408"/>
  <c r="Q149" i="21408"/>
  <c r="Q131" i="21408"/>
  <c r="O60" i="21402"/>
  <c r="O39" i="21402"/>
  <c r="O57" i="21402"/>
  <c r="O36" i="21402"/>
  <c r="O15" i="21402"/>
  <c r="Q365" i="21408"/>
  <c r="Q315" i="21408"/>
  <c r="Q313" i="21408" s="1"/>
  <c r="Q274" i="21408"/>
  <c r="O67" i="21402"/>
  <c r="O41" i="21402"/>
  <c r="O9" i="21402"/>
  <c r="Q316" i="21408"/>
  <c r="Q314" i="21408" s="1"/>
  <c r="Q261" i="21408"/>
  <c r="Q237" i="21408"/>
  <c r="Q214" i="21408"/>
  <c r="Q189" i="21408"/>
  <c r="Q168" i="21408"/>
  <c r="Q146" i="21408"/>
  <c r="Q122" i="21408"/>
  <c r="Q106" i="21408"/>
  <c r="Q86" i="21408"/>
  <c r="Q70" i="21408"/>
  <c r="O3" i="21402"/>
  <c r="Q312" i="21408"/>
  <c r="Q252" i="21408"/>
  <c r="Q230" i="21408"/>
  <c r="Q207" i="21408"/>
  <c r="Q183" i="21408"/>
  <c r="Q161" i="21408"/>
  <c r="Q137" i="21408"/>
  <c r="Q117" i="21408"/>
  <c r="Q97" i="21408"/>
  <c r="Q81" i="21408"/>
  <c r="Q61" i="21408"/>
  <c r="Q45" i="21408"/>
  <c r="Q29" i="21408"/>
  <c r="Q13" i="21408"/>
  <c r="O18" i="21402"/>
  <c r="Q320" i="21408"/>
  <c r="Q267" i="21408"/>
  <c r="Q234" i="21408"/>
  <c r="Q211" i="21408"/>
  <c r="Q187" i="21408"/>
  <c r="Q165" i="21408"/>
  <c r="Q143" i="21408"/>
  <c r="Q120" i="21408"/>
  <c r="Q104" i="21408"/>
  <c r="Q84" i="21408"/>
  <c r="Q68" i="21408"/>
  <c r="Q48" i="21408"/>
  <c r="Q32" i="21408"/>
  <c r="Q16" i="21408"/>
  <c r="O20" i="21402"/>
  <c r="Q326" i="21408"/>
  <c r="Q275" i="21408"/>
  <c r="Q244" i="21408"/>
  <c r="Q222" i="21408"/>
  <c r="Q196" i="21408"/>
  <c r="Q175" i="21408"/>
  <c r="Q31" i="21408"/>
  <c r="Q71" i="21408"/>
  <c r="Q147" i="21408"/>
  <c r="Q26" i="21408"/>
  <c r="Q58" i="21408"/>
  <c r="Q11" i="21408"/>
  <c r="Q3" i="21408"/>
  <c r="Q19" i="21408"/>
  <c r="Q14" i="21408"/>
  <c r="Q46" i="21408"/>
  <c r="Q103" i="21408"/>
  <c r="O68" i="21402"/>
  <c r="O42" i="21402"/>
  <c r="O21" i="21402"/>
  <c r="Q379" i="21408"/>
  <c r="Q325" i="21408"/>
  <c r="Q303" i="21408"/>
  <c r="Q272" i="21408"/>
  <c r="Q247" i="21408"/>
  <c r="Q231" i="21408"/>
  <c r="Q213" i="21408"/>
  <c r="Q194" i="21408"/>
  <c r="Q178" i="21408"/>
  <c r="Q162" i="21408"/>
  <c r="Q145" i="21408"/>
  <c r="Q127" i="21408"/>
  <c r="O56" i="21402"/>
  <c r="O35" i="21402"/>
  <c r="O53" i="21402"/>
  <c r="O32" i="21402"/>
  <c r="O6" i="21402"/>
  <c r="Q327" i="21408"/>
  <c r="Q309" i="21408"/>
  <c r="Q268" i="21408"/>
  <c r="O58" i="21402"/>
  <c r="O37" i="21402"/>
  <c r="Q378" i="21408"/>
  <c r="Q300" i="21408"/>
  <c r="Q301" i="21408" s="1"/>
  <c r="Q302" i="21408" s="1"/>
  <c r="Q253" i="21408"/>
  <c r="Q232" i="21408"/>
  <c r="Q208" i="21408"/>
  <c r="Q184" i="21408"/>
  <c r="Q163" i="21408"/>
  <c r="Q140" i="21408"/>
  <c r="Q118" i="21408"/>
  <c r="Q102" i="21408"/>
  <c r="Q82" i="21408"/>
  <c r="Q62" i="21408"/>
  <c r="Q372" i="21408"/>
  <c r="Q279" i="21408"/>
  <c r="Q246" i="21408"/>
  <c r="Q225" i="21408"/>
  <c r="Q200" i="21408"/>
  <c r="Q177" i="21408"/>
  <c r="Q156" i="21408"/>
  <c r="Q132" i="21408"/>
  <c r="Q113" i="21408"/>
  <c r="Q159" i="21408"/>
  <c r="Q134" i="21408"/>
  <c r="Q115" i="21408"/>
  <c r="Q22" i="21408"/>
  <c r="Q54" i="21408"/>
  <c r="Q119" i="21408"/>
  <c r="O59" i="21402"/>
  <c r="O38" i="21402"/>
  <c r="O17" i="21402"/>
  <c r="Q371" i="21408"/>
  <c r="Q321" i="21408"/>
  <c r="Q284" i="21408"/>
  <c r="Q266" i="21408"/>
  <c r="Q243" i="21408"/>
  <c r="Q227" i="21408"/>
  <c r="Q209" i="21408"/>
  <c r="Q190" i="21408"/>
  <c r="Q174" i="21408"/>
  <c r="Q158" i="21408"/>
  <c r="Q141" i="21408"/>
  <c r="Q123" i="21408"/>
  <c r="O52" i="21402"/>
  <c r="O70" i="21402"/>
  <c r="O49" i="21402"/>
  <c r="O23" i="21402"/>
  <c r="Q373" i="21408"/>
  <c r="Q323" i="21408"/>
  <c r="Q282" i="21408"/>
  <c r="Q263" i="21408"/>
  <c r="O54" i="21402"/>
  <c r="O33" i="21402"/>
  <c r="Q366" i="21408"/>
  <c r="Q281" i="21408"/>
  <c r="Q248" i="21408"/>
  <c r="Q226" i="21408"/>
  <c r="Q201" i="21408"/>
  <c r="Q179" i="21408"/>
  <c r="Q157" i="21408"/>
  <c r="Q133" i="21408"/>
  <c r="Q114" i="21408"/>
  <c r="Q94" i="21408"/>
  <c r="Q78" i="21408"/>
  <c r="O22" i="21402"/>
  <c r="Q364" i="21408"/>
  <c r="Q269" i="21408"/>
  <c r="Q241" i="21408"/>
  <c r="Q220" i="21408"/>
  <c r="Q193" i="21408"/>
  <c r="Q172" i="21408"/>
  <c r="Q151" i="21408"/>
  <c r="Q126" i="21408"/>
  <c r="Q109" i="21408"/>
  <c r="Q89" i="21408"/>
  <c r="Q73" i="21408"/>
  <c r="Q53" i="21408"/>
  <c r="Q77" i="21408"/>
  <c r="Q25" i="21408"/>
  <c r="O5" i="21402"/>
  <c r="Q277" i="21408"/>
  <c r="Q229" i="21408"/>
  <c r="Q197" i="21408"/>
  <c r="Q171" i="21408"/>
  <c r="Q136" i="21408"/>
  <c r="Q112" i="21408"/>
  <c r="Q88" i="21408"/>
  <c r="Q60" i="21408"/>
  <c r="Q40" i="21408"/>
  <c r="Q20" i="21408"/>
  <c r="O8" i="21402"/>
  <c r="Q304" i="21408"/>
  <c r="Q249" i="21408"/>
  <c r="Q215" i="21408"/>
  <c r="Q216" i="21408" s="1"/>
  <c r="Q185" i="21408"/>
  <c r="Q23" i="21408"/>
  <c r="Q87" i="21408"/>
  <c r="Q10" i="21408"/>
  <c r="Q50" i="21408"/>
  <c r="Q129" i="21408"/>
  <c r="Q107" i="21408"/>
  <c r="Q18" i="21408"/>
  <c r="Q75" i="21408"/>
  <c r="Q233" i="21408"/>
  <c r="Q47" i="21408"/>
  <c r="Q34" i="21408"/>
  <c r="Q57" i="21408"/>
  <c r="Q21" i="21408"/>
  <c r="Q370" i="21408"/>
  <c r="Q250" i="21408"/>
  <c r="Q224" i="21408"/>
  <c r="Q192" i="21408"/>
  <c r="Q160" i="21408"/>
  <c r="Q130" i="21408"/>
  <c r="Q108" i="21408"/>
  <c r="Q80" i="21408"/>
  <c r="Q56" i="21408"/>
  <c r="Q36" i="21408"/>
  <c r="Q12" i="21408"/>
  <c r="Q380" i="21408"/>
  <c r="Q375" i="21408" s="1"/>
  <c r="Q283" i="21408"/>
  <c r="Q238" i="21408"/>
  <c r="Q210" i="21408"/>
  <c r="Q180" i="21408"/>
  <c r="Q39" i="21408"/>
  <c r="Q41" i="21408"/>
  <c r="Q9" i="21408"/>
  <c r="Q310" i="21408"/>
  <c r="Q245" i="21408"/>
  <c r="Q217" i="21408"/>
  <c r="Q218" i="21408" s="1"/>
  <c r="Q181" i="21408"/>
  <c r="Q155" i="21408"/>
  <c r="Q125" i="21408"/>
  <c r="Q96" i="21408"/>
  <c r="Q76" i="21408"/>
  <c r="Q52" i="21408"/>
  <c r="Q28" i="21408"/>
  <c r="Q8" i="21408"/>
  <c r="Q368" i="21408"/>
  <c r="Q264" i="21408"/>
  <c r="Q202" i="21408"/>
  <c r="Q7" i="21408"/>
  <c r="Q124" i="21408"/>
  <c r="Q91" i="21408"/>
  <c r="Q93" i="21408"/>
  <c r="Q37" i="21408"/>
  <c r="Q5" i="21408"/>
  <c r="Q285" i="21408"/>
  <c r="Q240" i="21408"/>
  <c r="Q206" i="21408"/>
  <c r="Q176" i="21408"/>
  <c r="Q148" i="21408"/>
  <c r="Q116" i="21408"/>
  <c r="Q92" i="21408"/>
  <c r="Q72" i="21408"/>
  <c r="Q44" i="21408"/>
  <c r="Q24" i="21408"/>
  <c r="Q4" i="21408"/>
  <c r="Q318" i="21408"/>
  <c r="Q254" i="21408"/>
  <c r="Q228" i="21408"/>
  <c r="Q191" i="21408"/>
  <c r="Q15" i="21408"/>
  <c r="Q55" i="21408"/>
  <c r="Q169" i="21408"/>
  <c r="Q42" i="21408"/>
  <c r="Q111" i="21408"/>
  <c r="Q153" i="21408"/>
  <c r="BC5" i="21415"/>
  <c r="AX657" i="2"/>
  <c r="F656" i="2"/>
  <c r="AW656" i="2"/>
  <c r="C658" i="2"/>
  <c r="AX658" i="2" s="1"/>
  <c r="BA654" i="2"/>
  <c r="M654" i="2"/>
  <c r="BC654" i="2" s="1"/>
  <c r="AW619" i="21398"/>
  <c r="AZ9" i="21413" s="1"/>
  <c r="BC615" i="21398"/>
  <c r="BA615" i="21398"/>
  <c r="AT656" i="2"/>
  <c r="AQ655" i="2"/>
  <c r="AY656" i="2" l="1"/>
  <c r="BA656" i="2" s="1"/>
  <c r="AC656" i="2"/>
  <c r="M652" i="2"/>
  <c r="BC652" i="2" s="1"/>
  <c r="AY652" i="2"/>
  <c r="BA652" i="2" s="1"/>
  <c r="AW770" i="21398"/>
  <c r="AX770" i="21398"/>
  <c r="C772" i="21398"/>
  <c r="M768" i="21398"/>
  <c r="BC768" i="21398" s="1"/>
  <c r="AY768" i="21398"/>
  <c r="BA768" i="21398" s="1"/>
  <c r="AZ765" i="21398"/>
  <c r="BB765" i="21398" s="1"/>
  <c r="Q299" i="21408"/>
  <c r="Q203" i="21408"/>
  <c r="Q204" i="21408" s="1"/>
  <c r="Q265" i="21408"/>
  <c r="M656" i="2"/>
  <c r="BC656" i="2" s="1"/>
  <c r="C660" i="2"/>
  <c r="AW658" i="2"/>
  <c r="AY658" i="2" s="1"/>
  <c r="F658" i="2"/>
  <c r="AW657" i="2"/>
  <c r="AZ657" i="2" s="1"/>
  <c r="BB657" i="2" s="1"/>
  <c r="AW661" i="21398"/>
  <c r="BC617" i="21398"/>
  <c r="AX7" i="21400"/>
  <c r="AW7" i="21400"/>
  <c r="BA617" i="21398"/>
  <c r="AT658" i="2"/>
  <c r="AQ657" i="2"/>
  <c r="AW772" i="21398" l="1"/>
  <c r="J773" i="21398"/>
  <c r="C774" i="21398"/>
  <c r="AX772" i="21398"/>
  <c r="M770" i="21398"/>
  <c r="BC770" i="21398" s="1"/>
  <c r="AY770" i="21398"/>
  <c r="BA770" i="21398" s="1"/>
  <c r="AC658" i="2"/>
  <c r="M658" i="2"/>
  <c r="BC658" i="2" s="1"/>
  <c r="BA658" i="2"/>
  <c r="AY660" i="2"/>
  <c r="F660" i="2"/>
  <c r="C662" i="2"/>
  <c r="AX662" i="2" s="1"/>
  <c r="AW8" i="21400"/>
  <c r="BA619" i="21398"/>
  <c r="AW663" i="21398"/>
  <c r="BC619" i="21398"/>
  <c r="AW9" i="21400"/>
  <c r="BC661" i="21398"/>
  <c r="AT660" i="2"/>
  <c r="AQ659" i="2"/>
  <c r="M772" i="21398" l="1"/>
  <c r="BC772" i="21398" s="1"/>
  <c r="AY772" i="21398"/>
  <c r="BA772" i="21398" s="1"/>
  <c r="AW774" i="21398"/>
  <c r="AX774" i="21398"/>
  <c r="C776" i="21398"/>
  <c r="AX773" i="21398"/>
  <c r="AW773" i="21398"/>
  <c r="AC660" i="2"/>
  <c r="BA661" i="21398"/>
  <c r="AX9" i="21400"/>
  <c r="BA660" i="2"/>
  <c r="BC660" i="2"/>
  <c r="J661" i="2"/>
  <c r="AX661" i="2" s="1"/>
  <c r="C664" i="2"/>
  <c r="AX664" i="2" s="1"/>
  <c r="F662" i="2"/>
  <c r="AW662" i="2"/>
  <c r="AY662" i="2" s="1"/>
  <c r="BC7" i="21400"/>
  <c r="M7" i="21400"/>
  <c r="BA7" i="21400"/>
  <c r="AY7" i="21400"/>
  <c r="AX8" i="21400"/>
  <c r="AW665" i="21398"/>
  <c r="AW11" i="21400"/>
  <c r="AW5" i="21399" s="1"/>
  <c r="BC663" i="21398"/>
  <c r="AQ661" i="2"/>
  <c r="AZ773" i="21398" l="1"/>
  <c r="BB773" i="21398" s="1"/>
  <c r="AY774" i="21398"/>
  <c r="BA774" i="21398" s="1"/>
  <c r="M774" i="21398"/>
  <c r="BC774" i="21398" s="1"/>
  <c r="AX776" i="21398"/>
  <c r="C778" i="21398"/>
  <c r="AW776" i="21398"/>
  <c r="AX785" i="21398"/>
  <c r="AW785" i="21398"/>
  <c r="BA663" i="21398"/>
  <c r="AZ9" i="21400"/>
  <c r="BB9" i="21400"/>
  <c r="AX11" i="21400"/>
  <c r="AX5" i="21399" s="1"/>
  <c r="AY8" i="21400"/>
  <c r="BA8" i="21400"/>
  <c r="BC8" i="21400"/>
  <c r="M8" i="21400"/>
  <c r="AW661" i="2"/>
  <c r="AZ661" i="2" s="1"/>
  <c r="BB661" i="2" s="1"/>
  <c r="J663" i="2"/>
  <c r="AX663" i="2" s="1"/>
  <c r="AW664" i="2"/>
  <c r="AY664" i="2" s="1"/>
  <c r="F664" i="2"/>
  <c r="C666" i="2"/>
  <c r="AX666" i="2" s="1"/>
  <c r="M662" i="2"/>
  <c r="BC662" i="2" s="1"/>
  <c r="BA662" i="2"/>
  <c r="BC9" i="21400"/>
  <c r="M9" i="21400"/>
  <c r="BA9" i="21400"/>
  <c r="AY9" i="21400"/>
  <c r="BB8" i="21400"/>
  <c r="AZ8" i="21400"/>
  <c r="AW667" i="21398"/>
  <c r="AZ667" i="21398" s="1"/>
  <c r="BC665" i="21398"/>
  <c r="AT662" i="2"/>
  <c r="AQ663" i="2"/>
  <c r="AT664" i="2"/>
  <c r="AC662" i="2" l="1"/>
  <c r="C780" i="21398"/>
  <c r="J777" i="21398"/>
  <c r="AW778" i="21398"/>
  <c r="AX778" i="21398"/>
  <c r="M776" i="21398"/>
  <c r="BC776" i="21398" s="1"/>
  <c r="AY776" i="21398"/>
  <c r="BA776" i="21398" s="1"/>
  <c r="AZ785" i="21398"/>
  <c r="BB785" i="21398" s="1"/>
  <c r="BB667" i="21398"/>
  <c r="BA665" i="21398"/>
  <c r="AZ11" i="21400"/>
  <c r="AZ5" i="21399" s="1"/>
  <c r="BB11" i="21400"/>
  <c r="BB5" i="21399" s="1"/>
  <c r="M664" i="2"/>
  <c r="BC664" i="2" s="1"/>
  <c r="BA664" i="2"/>
  <c r="C668" i="2"/>
  <c r="AX668" i="2" s="1"/>
  <c r="F666" i="2"/>
  <c r="AW666" i="2"/>
  <c r="AY666" i="2" s="1"/>
  <c r="AW663" i="2"/>
  <c r="AZ663" i="2" s="1"/>
  <c r="BB663" i="2" s="1"/>
  <c r="BC11" i="21400"/>
  <c r="BC5" i="21399" s="1"/>
  <c r="M11" i="21400"/>
  <c r="M5" i="21399" s="1"/>
  <c r="BA11" i="21400"/>
  <c r="BA5" i="21399" s="1"/>
  <c r="AY11" i="21400"/>
  <c r="AY5" i="21399" s="1"/>
  <c r="BC667" i="21398"/>
  <c r="AW668" i="21398"/>
  <c r="AY668" i="21398" s="1"/>
  <c r="AW669" i="21398"/>
  <c r="AT666" i="2"/>
  <c r="AQ665" i="2"/>
  <c r="M778" i="21398" l="1"/>
  <c r="BC778" i="21398" s="1"/>
  <c r="AY778" i="21398"/>
  <c r="BA778" i="21398" s="1"/>
  <c r="AW777" i="21398"/>
  <c r="AX777" i="21398"/>
  <c r="C782" i="21398"/>
  <c r="AX780" i="21398"/>
  <c r="BA780" i="21398" s="1"/>
  <c r="AW780" i="21398"/>
  <c r="AC666" i="2"/>
  <c r="BA667" i="21398"/>
  <c r="J669" i="2"/>
  <c r="AX669" i="2" s="1"/>
  <c r="F668" i="2"/>
  <c r="C670" i="2"/>
  <c r="AX670" i="2" s="1"/>
  <c r="AW668" i="2"/>
  <c r="AY668" i="2" s="1"/>
  <c r="BA666" i="2"/>
  <c r="M666" i="2"/>
  <c r="BC666" i="2" s="1"/>
  <c r="BB668" i="21398"/>
  <c r="BC668" i="21398"/>
  <c r="BA668" i="21398"/>
  <c r="BA669" i="21398"/>
  <c r="BC669" i="21398"/>
  <c r="AW671" i="21398"/>
  <c r="AT668" i="2"/>
  <c r="AQ667" i="2"/>
  <c r="AZ777" i="21398" l="1"/>
  <c r="BB777" i="21398" s="1"/>
  <c r="J783" i="21398"/>
  <c r="C784" i="21398"/>
  <c r="AX782" i="21398"/>
  <c r="BA782" i="21398" s="1"/>
  <c r="AW782" i="21398"/>
  <c r="AC668" i="2"/>
  <c r="AW670" i="2"/>
  <c r="AY670" i="2" s="1"/>
  <c r="F670" i="2"/>
  <c r="C672" i="2"/>
  <c r="AX672" i="2" s="1"/>
  <c r="M668" i="2"/>
  <c r="BC668" i="2" s="1"/>
  <c r="BA668" i="2"/>
  <c r="AW669" i="2"/>
  <c r="AZ669" i="2" s="1"/>
  <c r="BB669" i="2" s="1"/>
  <c r="AW672" i="21398"/>
  <c r="AY672" i="21398" s="1"/>
  <c r="BC21" i="21413"/>
  <c r="BA21" i="21413"/>
  <c r="AW673" i="21398"/>
  <c r="AZ673" i="21398" s="1"/>
  <c r="BB673" i="21398" s="1"/>
  <c r="BC671" i="21398"/>
  <c r="BA671" i="21398"/>
  <c r="AW670" i="21398"/>
  <c r="AY670" i="21398" s="1"/>
  <c r="AQ669" i="2"/>
  <c r="AT670" i="2"/>
  <c r="AX784" i="21398" l="1"/>
  <c r="C786" i="21398"/>
  <c r="AW784" i="21398"/>
  <c r="AX783" i="21398"/>
  <c r="AW783" i="21398"/>
  <c r="AC670" i="2"/>
  <c r="C674" i="2"/>
  <c r="AX674" i="2" s="1"/>
  <c r="F672" i="2"/>
  <c r="AW672" i="2"/>
  <c r="AY672" i="2" s="1"/>
  <c r="M670" i="2"/>
  <c r="BC670" i="2" s="1"/>
  <c r="BA670" i="2"/>
  <c r="BB670" i="21398"/>
  <c r="BC670" i="21398"/>
  <c r="BA670" i="21398"/>
  <c r="BB672" i="21398"/>
  <c r="BC672" i="21398"/>
  <c r="BA672" i="21398"/>
  <c r="AW675" i="21398"/>
  <c r="BB22" i="21413"/>
  <c r="BA23" i="21413"/>
  <c r="BC673" i="21398"/>
  <c r="BA673" i="21398"/>
  <c r="AT672" i="2"/>
  <c r="AQ671" i="2"/>
  <c r="AZ783" i="21398" l="1"/>
  <c r="BB783" i="21398" s="1"/>
  <c r="C788" i="21398"/>
  <c r="AX786" i="21398"/>
  <c r="AW786" i="21398"/>
  <c r="M784" i="21398"/>
  <c r="BC784" i="21398" s="1"/>
  <c r="AY784" i="21398"/>
  <c r="BA784" i="21398" s="1"/>
  <c r="AC672" i="2"/>
  <c r="BA672" i="2"/>
  <c r="M672" i="2"/>
  <c r="BC672" i="2" s="1"/>
  <c r="AW674" i="2"/>
  <c r="AY674" i="2" s="1"/>
  <c r="C676" i="2"/>
  <c r="AX676" i="2" s="1"/>
  <c r="F674" i="2"/>
  <c r="AW677" i="21398"/>
  <c r="AW674" i="21398"/>
  <c r="AY674" i="21398" s="1"/>
  <c r="BC23" i="21413"/>
  <c r="BA675" i="21398"/>
  <c r="BC675" i="21398"/>
  <c r="BA25" i="21413"/>
  <c r="AQ673" i="2"/>
  <c r="AT674" i="2"/>
  <c r="M786" i="21398" l="1"/>
  <c r="BC786" i="21398" s="1"/>
  <c r="AY786" i="21398"/>
  <c r="BA786" i="21398" s="1"/>
  <c r="C790" i="21398"/>
  <c r="AX788" i="21398"/>
  <c r="AW788" i="21398"/>
  <c r="AC674" i="2"/>
  <c r="M674" i="2"/>
  <c r="BC674" i="2" s="1"/>
  <c r="BA674" i="2"/>
  <c r="AX675" i="2"/>
  <c r="F676" i="2"/>
  <c r="AW676" i="2"/>
  <c r="AY676" i="2" s="1"/>
  <c r="C678" i="2"/>
  <c r="AX678" i="2" s="1"/>
  <c r="BB674" i="21398"/>
  <c r="BC674" i="21398"/>
  <c r="BA674" i="21398"/>
  <c r="AW679" i="21398"/>
  <c r="AZ679" i="21398" s="1"/>
  <c r="BB679" i="21398" s="1"/>
  <c r="BC25" i="21413"/>
  <c r="BA27" i="21413"/>
  <c r="AW676" i="21398"/>
  <c r="AY676" i="21398" s="1"/>
  <c r="BA677" i="21398"/>
  <c r="BC677" i="21398"/>
  <c r="AT676" i="2"/>
  <c r="AY788" i="21398" l="1"/>
  <c r="BA788" i="21398" s="1"/>
  <c r="M788" i="21398"/>
  <c r="BC788" i="21398" s="1"/>
  <c r="J789" i="21398"/>
  <c r="C792" i="21398"/>
  <c r="AW790" i="21398"/>
  <c r="AX790" i="21398"/>
  <c r="AC676" i="2"/>
  <c r="BA676" i="2"/>
  <c r="M676" i="2"/>
  <c r="BC676" i="2" s="1"/>
  <c r="AW678" i="2"/>
  <c r="AY678" i="2" s="1"/>
  <c r="F678" i="2"/>
  <c r="C680" i="2"/>
  <c r="AX680" i="2" s="1"/>
  <c r="AW675" i="2"/>
  <c r="AZ675" i="2" s="1"/>
  <c r="BB676" i="21398"/>
  <c r="BC676" i="21398"/>
  <c r="BA676" i="21398"/>
  <c r="BC27" i="21413"/>
  <c r="BA29" i="21413"/>
  <c r="AW681" i="21398"/>
  <c r="AZ681" i="21398" s="1"/>
  <c r="BB681" i="21398" s="1"/>
  <c r="BC679" i="21398"/>
  <c r="BA679" i="21398"/>
  <c r="AQ675" i="2"/>
  <c r="AQ677" i="2"/>
  <c r="AT678" i="2"/>
  <c r="C794" i="21398" l="1"/>
  <c r="AX792" i="21398"/>
  <c r="AW792" i="21398"/>
  <c r="AY790" i="21398"/>
  <c r="BA790" i="21398" s="1"/>
  <c r="M790" i="21398"/>
  <c r="BC790" i="21398" s="1"/>
  <c r="AX789" i="21398"/>
  <c r="AW789" i="21398"/>
  <c r="AC678" i="2"/>
  <c r="BA678" i="2"/>
  <c r="M678" i="2"/>
  <c r="BC678" i="2" s="1"/>
  <c r="C682" i="2"/>
  <c r="AW680" i="2"/>
  <c r="AY680" i="2" s="1"/>
  <c r="F680" i="2"/>
  <c r="BB32" i="21413"/>
  <c r="AW683" i="21398"/>
  <c r="BA681" i="21398"/>
  <c r="BC681" i="21398"/>
  <c r="BC29" i="21413"/>
  <c r="BA31" i="21413"/>
  <c r="AT680" i="2"/>
  <c r="AZ789" i="21398" l="1"/>
  <c r="BB789" i="21398" s="1"/>
  <c r="AY792" i="21398"/>
  <c r="BA792" i="21398" s="1"/>
  <c r="M792" i="21398"/>
  <c r="BC792" i="21398" s="1"/>
  <c r="AX794" i="21398"/>
  <c r="C796" i="21398"/>
  <c r="AW794" i="21398"/>
  <c r="AX682" i="2"/>
  <c r="J681" i="2"/>
  <c r="AX681" i="2" s="1"/>
  <c r="AC680" i="2"/>
  <c r="M680" i="2"/>
  <c r="BC680" i="2" s="1"/>
  <c r="BA680" i="2"/>
  <c r="F682" i="2"/>
  <c r="C684" i="2"/>
  <c r="AX684" i="2" s="1"/>
  <c r="AW682" i="2"/>
  <c r="BA33" i="21413"/>
  <c r="BC683" i="21398"/>
  <c r="BA683" i="21398"/>
  <c r="AW685" i="21398"/>
  <c r="AZ685" i="21398" s="1"/>
  <c r="BB685" i="21398" s="1"/>
  <c r="BC31" i="21413"/>
  <c r="BB34" i="21413"/>
  <c r="AW684" i="21398"/>
  <c r="AY684" i="21398" s="1"/>
  <c r="AQ679" i="2"/>
  <c r="AQ681" i="2"/>
  <c r="AT682" i="2"/>
  <c r="AW681" i="2" l="1"/>
  <c r="AZ681" i="2" s="1"/>
  <c r="BB681" i="2" s="1"/>
  <c r="AY682" i="2"/>
  <c r="BA682" i="2" s="1"/>
  <c r="J797" i="21398"/>
  <c r="AW796" i="21398"/>
  <c r="AX796" i="21398"/>
  <c r="C798" i="21398"/>
  <c r="AY794" i="21398"/>
  <c r="BA794" i="21398" s="1"/>
  <c r="M794" i="21398"/>
  <c r="BC794" i="21398" s="1"/>
  <c r="AX801" i="21398"/>
  <c r="AW801" i="21398"/>
  <c r="AC682" i="2"/>
  <c r="AX683" i="2"/>
  <c r="F684" i="2"/>
  <c r="AW684" i="2"/>
  <c r="AY684" i="2" s="1"/>
  <c r="C686" i="2"/>
  <c r="M682" i="2"/>
  <c r="BC682" i="2" s="1"/>
  <c r="BB684" i="21398"/>
  <c r="BC684" i="21398"/>
  <c r="BA684" i="21398"/>
  <c r="AW687" i="21398"/>
  <c r="BA35" i="21413"/>
  <c r="BC685" i="21398"/>
  <c r="BA685" i="21398"/>
  <c r="AW686" i="21398"/>
  <c r="AY686" i="21398" s="1"/>
  <c r="BC33" i="21413"/>
  <c r="AT684" i="2"/>
  <c r="AX798" i="21398" l="1"/>
  <c r="AW798" i="21398"/>
  <c r="C800" i="21398"/>
  <c r="AY796" i="21398"/>
  <c r="BA796" i="21398" s="1"/>
  <c r="M796" i="21398"/>
  <c r="BC796" i="21398" s="1"/>
  <c r="AX797" i="21398"/>
  <c r="AW797" i="21398"/>
  <c r="AX686" i="2"/>
  <c r="J687" i="2"/>
  <c r="AZ801" i="21398"/>
  <c r="BB801" i="21398" s="1"/>
  <c r="AC684" i="2"/>
  <c r="M684" i="2"/>
  <c r="BC684" i="2" s="1"/>
  <c r="BA684" i="2"/>
  <c r="F686" i="2"/>
  <c r="AW686" i="2"/>
  <c r="C688" i="2"/>
  <c r="AX688" i="2" s="1"/>
  <c r="AW683" i="2"/>
  <c r="AZ683" i="2" s="1"/>
  <c r="BB683" i="2" s="1"/>
  <c r="BB686" i="21398"/>
  <c r="BC686" i="21398"/>
  <c r="BA686" i="21398"/>
  <c r="BA687" i="21398"/>
  <c r="BC687" i="21398"/>
  <c r="BA37" i="21413"/>
  <c r="BC35" i="21413"/>
  <c r="AW689" i="21398"/>
  <c r="AQ685" i="2"/>
  <c r="AQ683" i="2"/>
  <c r="AT686" i="2"/>
  <c r="AZ797" i="21398" l="1"/>
  <c r="BB797" i="21398" s="1"/>
  <c r="AX800" i="21398"/>
  <c r="AW800" i="21398"/>
  <c r="C802" i="21398"/>
  <c r="M798" i="21398"/>
  <c r="BC798" i="21398" s="1"/>
  <c r="AY798" i="21398"/>
  <c r="BA798" i="21398" s="1"/>
  <c r="AY686" i="2"/>
  <c r="BA686" i="2" s="1"/>
  <c r="AX687" i="2"/>
  <c r="AW687" i="2"/>
  <c r="AC686" i="2"/>
  <c r="AX807" i="21398"/>
  <c r="AW807" i="21398"/>
  <c r="M686" i="2"/>
  <c r="BC686" i="2" s="1"/>
  <c r="F688" i="2"/>
  <c r="C690" i="2"/>
  <c r="AX690" i="2" s="1"/>
  <c r="AW688" i="2"/>
  <c r="AY688" i="2" s="1"/>
  <c r="AW37" i="21400"/>
  <c r="AW39" i="21399" s="1"/>
  <c r="BC689" i="21398"/>
  <c r="BA689" i="21398"/>
  <c r="BA39" i="21413"/>
  <c r="AW691" i="21398"/>
  <c r="AW688" i="21398"/>
  <c r="AY688" i="21398" s="1"/>
  <c r="BC37" i="21413"/>
  <c r="AT688" i="2"/>
  <c r="AQ687" i="2"/>
  <c r="AX802" i="21398" l="1"/>
  <c r="C804" i="21398"/>
  <c r="AW802" i="21398"/>
  <c r="M800" i="21398"/>
  <c r="BC800" i="21398" s="1"/>
  <c r="AY800" i="21398"/>
  <c r="BA800" i="21398" s="1"/>
  <c r="AZ687" i="2"/>
  <c r="BB687" i="2" s="1"/>
  <c r="AZ807" i="21398"/>
  <c r="BB807" i="21398" s="1"/>
  <c r="AC688" i="2"/>
  <c r="AX37" i="21400"/>
  <c r="AX39" i="21399" s="1"/>
  <c r="AW690" i="2"/>
  <c r="AY690" i="2" s="1"/>
  <c r="C692" i="2"/>
  <c r="AX692" i="2" s="1"/>
  <c r="F690" i="2"/>
  <c r="M688" i="2"/>
  <c r="BC688" i="2" s="1"/>
  <c r="BA688" i="2"/>
  <c r="BB688" i="21398"/>
  <c r="BC688" i="21398"/>
  <c r="BA688" i="21398"/>
  <c r="AW36" i="21400"/>
  <c r="AW38" i="21399" s="1"/>
  <c r="BA691" i="21398"/>
  <c r="BC691" i="21398"/>
  <c r="BC39" i="21413"/>
  <c r="AW39" i="21400"/>
  <c r="AX39" i="21400"/>
  <c r="AW693" i="21398"/>
  <c r="AZ693" i="21398" s="1"/>
  <c r="BB693" i="21398" s="1"/>
  <c r="M37" i="21400"/>
  <c r="AQ689" i="2"/>
  <c r="J803" i="21398" l="1"/>
  <c r="C806" i="21398"/>
  <c r="AX804" i="21398"/>
  <c r="AW804" i="21398"/>
  <c r="M802" i="21398"/>
  <c r="BC802" i="21398" s="1"/>
  <c r="AY802" i="21398"/>
  <c r="BA802" i="21398" s="1"/>
  <c r="AZ37" i="21400"/>
  <c r="AZ39" i="21399" s="1"/>
  <c r="BB41" i="21413"/>
  <c r="BB37" i="21400" s="1"/>
  <c r="BB39" i="21399" s="1"/>
  <c r="AW692" i="2"/>
  <c r="AY692" i="2" s="1"/>
  <c r="C694" i="2"/>
  <c r="AX694" i="2" s="1"/>
  <c r="F692" i="2"/>
  <c r="M690" i="2"/>
  <c r="BC690" i="2" s="1"/>
  <c r="BA690" i="2"/>
  <c r="M39" i="21399"/>
  <c r="BA41" i="21413"/>
  <c r="BA37" i="21400" s="1"/>
  <c r="BA39" i="21399" s="1"/>
  <c r="AY37" i="21400"/>
  <c r="AY39" i="21399" s="1"/>
  <c r="AX36" i="21400"/>
  <c r="AX38" i="21399" s="1"/>
  <c r="BC693" i="21398"/>
  <c r="BA693" i="21398"/>
  <c r="AW695" i="21398"/>
  <c r="AW41" i="21400"/>
  <c r="AX41" i="21400"/>
  <c r="BC41" i="21413"/>
  <c r="BC37" i="21400" s="1"/>
  <c r="BC39" i="21399" s="1"/>
  <c r="AT690" i="2"/>
  <c r="AQ691" i="2"/>
  <c r="AT692" i="2"/>
  <c r="AC690" i="2" l="1"/>
  <c r="AY804" i="21398"/>
  <c r="BA804" i="21398" s="1"/>
  <c r="M804" i="21398"/>
  <c r="BC804" i="21398" s="1"/>
  <c r="AX806" i="21398"/>
  <c r="C808" i="21398"/>
  <c r="AW806" i="21398"/>
  <c r="AX803" i="21398"/>
  <c r="AW803" i="21398"/>
  <c r="AC692" i="2"/>
  <c r="BC40" i="21413"/>
  <c r="BC36" i="21400" s="1"/>
  <c r="BC38" i="21399" s="1"/>
  <c r="M36" i="21400"/>
  <c r="M38" i="21399" s="1"/>
  <c r="BA40" i="21413"/>
  <c r="BA36" i="21400" s="1"/>
  <c r="BA38" i="21399" s="1"/>
  <c r="AY36" i="21400"/>
  <c r="AY38" i="21399" s="1"/>
  <c r="BA692" i="2"/>
  <c r="M692" i="2"/>
  <c r="BC692" i="2" s="1"/>
  <c r="AX695" i="2"/>
  <c r="AW694" i="2"/>
  <c r="AY694" i="2" s="1"/>
  <c r="C696" i="2"/>
  <c r="AX696" i="2" s="1"/>
  <c r="F694" i="2"/>
  <c r="BC43" i="21413"/>
  <c r="BC39" i="21400" s="1"/>
  <c r="M39" i="21400"/>
  <c r="BA43" i="21413"/>
  <c r="BA39" i="21400" s="1"/>
  <c r="AY39" i="21400"/>
  <c r="BB40" i="21413"/>
  <c r="BB36" i="21400" s="1"/>
  <c r="BB38" i="21399" s="1"/>
  <c r="AZ36" i="21400"/>
  <c r="AZ38" i="21399" s="1"/>
  <c r="BA695" i="21398"/>
  <c r="BC695" i="21398"/>
  <c r="AW697" i="21398"/>
  <c r="AZ697" i="21398" s="1"/>
  <c r="BB697" i="21398" s="1"/>
  <c r="AW43" i="21400"/>
  <c r="AX43" i="21400"/>
  <c r="AW696" i="21398"/>
  <c r="AY696" i="21398" s="1"/>
  <c r="AQ693" i="2"/>
  <c r="AT694" i="2"/>
  <c r="AZ803" i="21398" l="1"/>
  <c r="BB803" i="21398" s="1"/>
  <c r="AX808" i="21398"/>
  <c r="C810" i="21398"/>
  <c r="AW808" i="21398"/>
  <c r="M806" i="21398"/>
  <c r="BC806" i="21398" s="1"/>
  <c r="AY806" i="21398"/>
  <c r="BA806" i="21398" s="1"/>
  <c r="AC694" i="2"/>
  <c r="AW696" i="2"/>
  <c r="AY696" i="2" s="1"/>
  <c r="F696" i="2"/>
  <c r="C698" i="2"/>
  <c r="AX698" i="2" s="1"/>
  <c r="AW695" i="2"/>
  <c r="AZ695" i="2" s="1"/>
  <c r="BB695" i="2" s="1"/>
  <c r="BA694" i="2"/>
  <c r="M694" i="2"/>
  <c r="BC694" i="2" s="1"/>
  <c r="BC696" i="21398"/>
  <c r="BA696" i="21398"/>
  <c r="BC45" i="21413"/>
  <c r="BC41" i="21400" s="1"/>
  <c r="M41" i="21400"/>
  <c r="BA45" i="21413"/>
  <c r="BA41" i="21400" s="1"/>
  <c r="AY41" i="21400"/>
  <c r="AW45" i="21400"/>
  <c r="AX45" i="21400"/>
  <c r="AW699" i="21398"/>
  <c r="AZ699" i="21398" s="1"/>
  <c r="BB699" i="21398" s="1"/>
  <c r="BC697" i="21398"/>
  <c r="BA697" i="21398"/>
  <c r="AQ695" i="2"/>
  <c r="AT696" i="2"/>
  <c r="AX810" i="21398" l="1"/>
  <c r="C812" i="21398"/>
  <c r="AW810" i="21398"/>
  <c r="AY808" i="21398"/>
  <c r="BA808" i="21398" s="1"/>
  <c r="M808" i="21398"/>
  <c r="BC808" i="21398" s="1"/>
  <c r="AC696" i="2"/>
  <c r="BA696" i="2"/>
  <c r="M696" i="2"/>
  <c r="BC696" i="2" s="1"/>
  <c r="AW698" i="2"/>
  <c r="AY698" i="2" s="1"/>
  <c r="F698" i="2"/>
  <c r="C700" i="2"/>
  <c r="BC47" i="21413"/>
  <c r="BC43" i="21400" s="1"/>
  <c r="M43" i="21400"/>
  <c r="BA47" i="21413"/>
  <c r="BA43" i="21400" s="1"/>
  <c r="AY43" i="21400"/>
  <c r="BB51" i="21413"/>
  <c r="AW701" i="21398"/>
  <c r="BA699" i="21398"/>
  <c r="AQ697" i="2"/>
  <c r="AX812" i="21398" l="1"/>
  <c r="C814" i="21398"/>
  <c r="AW812" i="21398"/>
  <c r="AY810" i="21398"/>
  <c r="BA810" i="21398" s="1"/>
  <c r="M810" i="21398"/>
  <c r="BC810" i="21398" s="1"/>
  <c r="AX700" i="2"/>
  <c r="J699" i="2"/>
  <c r="BA698" i="2"/>
  <c r="BC698" i="2"/>
  <c r="C702" i="2"/>
  <c r="AX702" i="2" s="1"/>
  <c r="F700" i="2"/>
  <c r="AW700" i="2"/>
  <c r="BC49" i="21413"/>
  <c r="BC45" i="21400" s="1"/>
  <c r="M45" i="21400"/>
  <c r="M105" i="21408" s="1"/>
  <c r="BA49" i="21413"/>
  <c r="BA45" i="21400" s="1"/>
  <c r="AY45" i="21400"/>
  <c r="BC701" i="21398"/>
  <c r="BA701" i="21398"/>
  <c r="BC699" i="21398"/>
  <c r="AW703" i="21398"/>
  <c r="BA51" i="21413"/>
  <c r="AT700" i="2"/>
  <c r="AQ699" i="2"/>
  <c r="AT698" i="2"/>
  <c r="AC698" i="2" l="1"/>
  <c r="AY700" i="2"/>
  <c r="BA700" i="2" s="1"/>
  <c r="AW814" i="21398"/>
  <c r="AX814" i="21398"/>
  <c r="C816" i="21398"/>
  <c r="M812" i="21398"/>
  <c r="BC812" i="21398" s="1"/>
  <c r="AY812" i="21398"/>
  <c r="BA812" i="21398" s="1"/>
  <c r="AX699" i="2"/>
  <c r="AW699" i="2"/>
  <c r="AC700" i="2"/>
  <c r="BB52" i="21413"/>
  <c r="L132" i="21408"/>
  <c r="BA52" i="21413"/>
  <c r="AX701" i="2"/>
  <c r="AW702" i="2"/>
  <c r="AY702" i="2" s="1"/>
  <c r="F702" i="2"/>
  <c r="C704" i="2"/>
  <c r="AX704" i="2" s="1"/>
  <c r="M700" i="2"/>
  <c r="BC700" i="2" s="1"/>
  <c r="M18" i="21408"/>
  <c r="M324" i="21408"/>
  <c r="M185" i="21408"/>
  <c r="M223" i="21408"/>
  <c r="M326" i="21408"/>
  <c r="M63" i="21408"/>
  <c r="M273" i="21408"/>
  <c r="M142" i="21408"/>
  <c r="M205" i="21408"/>
  <c r="K15" i="21402"/>
  <c r="M156" i="21408"/>
  <c r="M56" i="21408"/>
  <c r="M192" i="21408"/>
  <c r="K24" i="21402"/>
  <c r="M250" i="21408"/>
  <c r="M61" i="21408"/>
  <c r="M179" i="21408"/>
  <c r="M134" i="21408"/>
  <c r="M69" i="21408"/>
  <c r="M164" i="21408"/>
  <c r="M25" i="21408"/>
  <c r="M190" i="21408"/>
  <c r="M112" i="21408"/>
  <c r="M166" i="21408"/>
  <c r="M41" i="21408"/>
  <c r="M59" i="21408"/>
  <c r="M310" i="21408"/>
  <c r="M197" i="21408"/>
  <c r="M157" i="21408"/>
  <c r="M16" i="21408"/>
  <c r="M259" i="21408"/>
  <c r="M17" i="21408"/>
  <c r="K51" i="21402"/>
  <c r="M193" i="21408"/>
  <c r="M73" i="21408"/>
  <c r="M280" i="21408"/>
  <c r="M316" i="21408"/>
  <c r="M314" i="21408" s="1"/>
  <c r="M5" i="21408"/>
  <c r="M23" i="21408"/>
  <c r="M34" i="21408"/>
  <c r="M83" i="21408"/>
  <c r="K3" i="21402"/>
  <c r="M11" i="21408"/>
  <c r="K67" i="21402"/>
  <c r="M24" i="21408"/>
  <c r="M195" i="21408"/>
  <c r="M68" i="21408"/>
  <c r="M277" i="21408"/>
  <c r="M44" i="21408"/>
  <c r="M225" i="21408"/>
  <c r="M209" i="21408"/>
  <c r="M14" i="21408"/>
  <c r="M234" i="21408"/>
  <c r="M20" i="21408"/>
  <c r="M371" i="21408"/>
  <c r="M151" i="21408"/>
  <c r="M236" i="21408"/>
  <c r="M153" i="21408"/>
  <c r="M15" i="21408"/>
  <c r="M267" i="21408"/>
  <c r="K38" i="21402"/>
  <c r="M366" i="21408"/>
  <c r="M35" i="21408"/>
  <c r="M93" i="21408"/>
  <c r="M27" i="21408"/>
  <c r="M145" i="21408"/>
  <c r="M7" i="21408"/>
  <c r="M252" i="21408"/>
  <c r="M188" i="21408"/>
  <c r="M78" i="21408"/>
  <c r="M319" i="21408"/>
  <c r="M230" i="21408"/>
  <c r="M53" i="21408"/>
  <c r="K60" i="21402"/>
  <c r="M278" i="21408"/>
  <c r="M274" i="21408"/>
  <c r="M189" i="21408"/>
  <c r="M54" i="21408"/>
  <c r="M31" i="21408"/>
  <c r="M196" i="21408"/>
  <c r="K61" i="21402"/>
  <c r="M38" i="21408"/>
  <c r="M88" i="21408"/>
  <c r="M161" i="21408"/>
  <c r="M303" i="21408"/>
  <c r="M284" i="21408"/>
  <c r="M144" i="21408"/>
  <c r="M21" i="21408"/>
  <c r="K52" i="21402"/>
  <c r="M304" i="21408"/>
  <c r="K6" i="21402"/>
  <c r="M240" i="21408"/>
  <c r="M152" i="21408"/>
  <c r="M248" i="21408"/>
  <c r="M33" i="21408"/>
  <c r="M187" i="21408"/>
  <c r="M117" i="21408"/>
  <c r="M251" i="21408"/>
  <c r="K40" i="21402"/>
  <c r="M191" i="21408"/>
  <c r="K71" i="21402"/>
  <c r="M48" i="21408"/>
  <c r="M115" i="21408"/>
  <c r="M244" i="21408"/>
  <c r="K49" i="21402"/>
  <c r="M282" i="21408"/>
  <c r="M184" i="21408"/>
  <c r="M148" i="21408"/>
  <c r="M97" i="21408"/>
  <c r="K20" i="21402"/>
  <c r="M55" i="21408"/>
  <c r="M85" i="21408"/>
  <c r="M202" i="21408"/>
  <c r="M95" i="21408"/>
  <c r="K56" i="21402"/>
  <c r="M102" i="21408"/>
  <c r="M219" i="21408"/>
  <c r="M96" i="21408"/>
  <c r="K9" i="21402"/>
  <c r="K18" i="21402"/>
  <c r="M82" i="21408"/>
  <c r="M207" i="21408"/>
  <c r="M36" i="21408"/>
  <c r="M30" i="21408"/>
  <c r="M149" i="21408"/>
  <c r="K53" i="21402"/>
  <c r="M261" i="21408"/>
  <c r="M327" i="21408"/>
  <c r="M254" i="21408"/>
  <c r="M124" i="21408"/>
  <c r="M74" i="21408"/>
  <c r="M160" i="21408"/>
  <c r="K26" i="21402"/>
  <c r="M143" i="21408"/>
  <c r="M133" i="21408"/>
  <c r="M126" i="21408"/>
  <c r="M373" i="21408"/>
  <c r="M279" i="21408"/>
  <c r="M322" i="21408"/>
  <c r="M246" i="21408"/>
  <c r="M32" i="21408"/>
  <c r="K58" i="21402"/>
  <c r="K36" i="21402"/>
  <c r="M91" i="21408"/>
  <c r="M146" i="21408"/>
  <c r="M247" i="21408"/>
  <c r="M62" i="21408"/>
  <c r="K19" i="21402"/>
  <c r="M162" i="21408"/>
  <c r="M329" i="21408"/>
  <c r="M177" i="21408"/>
  <c r="M108" i="21408"/>
  <c r="K10" i="21402"/>
  <c r="M58" i="21408"/>
  <c r="K50" i="21402"/>
  <c r="M323" i="21408"/>
  <c r="M222" i="21408"/>
  <c r="M47" i="21408"/>
  <c r="M110" i="21408"/>
  <c r="M231" i="21408"/>
  <c r="M380" i="21408"/>
  <c r="M375" i="21408" s="1"/>
  <c r="M76" i="21408"/>
  <c r="M28" i="21408"/>
  <c r="M227" i="21408"/>
  <c r="M111" i="21408"/>
  <c r="M137" i="21408"/>
  <c r="M229" i="21408"/>
  <c r="M232" i="21408"/>
  <c r="M369" i="21408"/>
  <c r="M300" i="21408"/>
  <c r="K33" i="21402"/>
  <c r="M109" i="21408"/>
  <c r="M175" i="21408"/>
  <c r="M4" i="21408"/>
  <c r="M186" i="21408"/>
  <c r="K57" i="21402"/>
  <c r="M239" i="21408"/>
  <c r="K34" i="21402"/>
  <c r="M285" i="21408"/>
  <c r="M181" i="21408"/>
  <c r="M318" i="21408"/>
  <c r="M118" i="21408"/>
  <c r="M6" i="21408"/>
  <c r="M51" i="21408"/>
  <c r="M92" i="21408"/>
  <c r="K69" i="21402"/>
  <c r="M9" i="21408"/>
  <c r="M253" i="21408"/>
  <c r="M52" i="21408"/>
  <c r="M263" i="21408"/>
  <c r="K54" i="21402"/>
  <c r="M212" i="21408"/>
  <c r="M13" i="21408"/>
  <c r="M208" i="21408"/>
  <c r="M135" i="21408"/>
  <c r="M89" i="21408"/>
  <c r="M71" i="21408"/>
  <c r="M81" i="21408"/>
  <c r="M213" i="21408"/>
  <c r="M57" i="21408"/>
  <c r="M233" i="21408"/>
  <c r="M60" i="21408"/>
  <c r="M220" i="21408"/>
  <c r="M370" i="21408"/>
  <c r="M243" i="21408"/>
  <c r="M80" i="21408"/>
  <c r="M226" i="21408"/>
  <c r="M40" i="21408"/>
  <c r="K17" i="21402"/>
  <c r="M165" i="21408"/>
  <c r="M365" i="21408"/>
  <c r="M176" i="21408"/>
  <c r="M320" i="21408"/>
  <c r="M119" i="21408"/>
  <c r="M130" i="21408"/>
  <c r="M43" i="21408"/>
  <c r="M201" i="21408"/>
  <c r="M171" i="21408"/>
  <c r="M317" i="21408"/>
  <c r="M214" i="21408"/>
  <c r="M215" i="21408"/>
  <c r="M216" i="21408" s="1"/>
  <c r="M217" i="21408"/>
  <c r="M218" i="21408" s="1"/>
  <c r="M276" i="21408"/>
  <c r="K42" i="21402"/>
  <c r="M127" i="21408"/>
  <c r="M29" i="21408"/>
  <c r="K8" i="21402"/>
  <c r="M19" i="21408"/>
  <c r="M194" i="21408"/>
  <c r="K55" i="21402"/>
  <c r="M168" i="21408"/>
  <c r="M113" i="21408"/>
  <c r="M158" i="21408"/>
  <c r="M182" i="21408"/>
  <c r="M12" i="21408"/>
  <c r="M275" i="21408"/>
  <c r="M172" i="21408"/>
  <c r="M116" i="21408"/>
  <c r="K25" i="21402"/>
  <c r="M72" i="21408"/>
  <c r="M378" i="21408"/>
  <c r="M368" i="21408"/>
  <c r="M125" i="21408"/>
  <c r="M107" i="21408"/>
  <c r="K37" i="21402"/>
  <c r="M241" i="21408"/>
  <c r="M50" i="21408"/>
  <c r="M211" i="21408"/>
  <c r="M228" i="21408"/>
  <c r="M141" i="21408"/>
  <c r="M45" i="21408"/>
  <c r="M321" i="21408"/>
  <c r="M8" i="21408"/>
  <c r="M94" i="21408"/>
  <c r="M46" i="21408"/>
  <c r="M129" i="21408"/>
  <c r="K43" i="21402"/>
  <c r="M42" i="21408"/>
  <c r="M131" i="21408"/>
  <c r="M26" i="21408"/>
  <c r="M224" i="21408"/>
  <c r="M170" i="21408"/>
  <c r="K35" i="21402"/>
  <c r="M140" i="21408"/>
  <c r="M167" i="21408"/>
  <c r="M128" i="21408"/>
  <c r="M364" i="21408"/>
  <c r="M183" i="21408"/>
  <c r="M312" i="21408"/>
  <c r="M39" i="21408"/>
  <c r="M266" i="21408"/>
  <c r="M272" i="21408"/>
  <c r="K23" i="21402"/>
  <c r="M90" i="21408"/>
  <c r="M198" i="21408"/>
  <c r="M281" i="21408"/>
  <c r="M3" i="21408"/>
  <c r="M315" i="21408"/>
  <c r="M313" i="21408" s="1"/>
  <c r="M86" i="21408"/>
  <c r="M268" i="21408"/>
  <c r="M122" i="21408"/>
  <c r="M114" i="21408"/>
  <c r="M200" i="21408"/>
  <c r="M235" i="21408"/>
  <c r="M178" i="21408"/>
  <c r="M159" i="21408"/>
  <c r="K39" i="21402"/>
  <c r="M206" i="21408"/>
  <c r="M238" i="21408"/>
  <c r="M10" i="21408"/>
  <c r="M242" i="21408"/>
  <c r="K70" i="21402"/>
  <c r="M328" i="21408"/>
  <c r="M136" i="21408"/>
  <c r="K72" i="21402"/>
  <c r="M22" i="21408"/>
  <c r="K32" i="21402"/>
  <c r="M372" i="21408"/>
  <c r="M132" i="21408"/>
  <c r="M173" i="21408"/>
  <c r="M77" i="21408"/>
  <c r="M169" i="21408"/>
  <c r="M79" i="21408"/>
  <c r="M180" i="21408"/>
  <c r="M309" i="21408"/>
  <c r="M84" i="21408"/>
  <c r="M70" i="21408"/>
  <c r="M154" i="21408"/>
  <c r="M49" i="21408"/>
  <c r="M367" i="21408"/>
  <c r="K68" i="21402"/>
  <c r="M155" i="21408"/>
  <c r="M103" i="21408"/>
  <c r="M249" i="21408"/>
  <c r="M379" i="21408"/>
  <c r="K5" i="21402"/>
  <c r="M104" i="21408"/>
  <c r="K16" i="21402"/>
  <c r="M283" i="21408"/>
  <c r="M237" i="21408"/>
  <c r="M75" i="21408"/>
  <c r="K22" i="21402"/>
  <c r="M106" i="21408"/>
  <c r="K59" i="21402"/>
  <c r="K41" i="21402"/>
  <c r="M210" i="21408"/>
  <c r="M269" i="21408"/>
  <c r="M123" i="21408"/>
  <c r="M311" i="21408"/>
  <c r="M245" i="21408"/>
  <c r="M87" i="21408"/>
  <c r="K4" i="21402"/>
  <c r="M264" i="21408"/>
  <c r="M120" i="21408"/>
  <c r="M37" i="21408"/>
  <c r="M147" i="21408"/>
  <c r="K21" i="21402"/>
  <c r="M260" i="21408"/>
  <c r="M325" i="21408"/>
  <c r="M163" i="21408"/>
  <c r="M174" i="21408"/>
  <c r="M121" i="21408"/>
  <c r="M221" i="21408"/>
  <c r="L186" i="21408"/>
  <c r="L57" i="21408"/>
  <c r="L53" i="21408"/>
  <c r="L210" i="21408"/>
  <c r="L259" i="21408"/>
  <c r="L8" i="21408"/>
  <c r="L16" i="21408"/>
  <c r="L167" i="21408"/>
  <c r="L282" i="21408"/>
  <c r="L366" i="21408"/>
  <c r="L93" i="21408"/>
  <c r="J61" i="21402"/>
  <c r="L142" i="21408"/>
  <c r="BA703" i="21398"/>
  <c r="L172" i="21408"/>
  <c r="L272" i="21408"/>
  <c r="L84" i="21408"/>
  <c r="L367" i="21408"/>
  <c r="BC51" i="21413"/>
  <c r="L117" i="21408"/>
  <c r="L26" i="21408"/>
  <c r="L108" i="21408"/>
  <c r="L189" i="21408"/>
  <c r="J50" i="21402"/>
  <c r="L89" i="21408"/>
  <c r="L178" i="21408"/>
  <c r="L46" i="21408"/>
  <c r="L206" i="21408"/>
  <c r="L196" i="21408"/>
  <c r="L58" i="21408"/>
  <c r="L311" i="21408"/>
  <c r="L19" i="21408"/>
  <c r="L55" i="21408"/>
  <c r="J24" i="21402"/>
  <c r="L43" i="21408"/>
  <c r="L126" i="21408"/>
  <c r="L208" i="21408"/>
  <c r="J68" i="21402"/>
  <c r="L177" i="21408"/>
  <c r="L242" i="21408"/>
  <c r="L163" i="21408"/>
  <c r="L131" i="21408"/>
  <c r="L317" i="21408"/>
  <c r="L373" i="21408"/>
  <c r="L230" i="21408"/>
  <c r="J53" i="21402"/>
  <c r="L78" i="21408"/>
  <c r="L364" i="21408"/>
  <c r="L7" i="21408"/>
  <c r="L73" i="21408"/>
  <c r="L326" i="21408"/>
  <c r="L324" i="21408"/>
  <c r="L179" i="21408"/>
  <c r="L102" i="21408"/>
  <c r="L239" i="21408"/>
  <c r="L193" i="21408"/>
  <c r="L120" i="21408"/>
  <c r="L87" i="21408"/>
  <c r="L212" i="21408"/>
  <c r="L250" i="21408"/>
  <c r="J49" i="21402"/>
  <c r="L201" i="21408"/>
  <c r="L140" i="21408"/>
  <c r="L232" i="21408"/>
  <c r="L304" i="21408"/>
  <c r="L11" i="21408"/>
  <c r="L370" i="21408"/>
  <c r="L168" i="21408"/>
  <c r="L176" i="21408"/>
  <c r="L180" i="21408"/>
  <c r="L45" i="21408"/>
  <c r="J21" i="21402"/>
  <c r="L267" i="21408"/>
  <c r="L34" i="21408"/>
  <c r="L83" i="21408"/>
  <c r="J39" i="21402"/>
  <c r="L61" i="21408"/>
  <c r="J43" i="21402"/>
  <c r="L29" i="21408"/>
  <c r="L277" i="21408"/>
  <c r="L158" i="21408"/>
  <c r="L77" i="21408"/>
  <c r="L41" i="21408"/>
  <c r="L236" i="21408"/>
  <c r="L159" i="21408"/>
  <c r="L97" i="21408"/>
  <c r="L223" i="21408"/>
  <c r="L24" i="21408"/>
  <c r="L137" i="21408"/>
  <c r="J51" i="21402"/>
  <c r="L264" i="21408"/>
  <c r="L20" i="21408"/>
  <c r="J20" i="21402"/>
  <c r="J34" i="21402"/>
  <c r="J5" i="21402"/>
  <c r="L195" i="21408"/>
  <c r="L25" i="21408"/>
  <c r="L145" i="21408"/>
  <c r="L15" i="21408"/>
  <c r="L72" i="21408"/>
  <c r="L310" i="21408"/>
  <c r="L219" i="21408"/>
  <c r="J8" i="21402"/>
  <c r="AW705" i="21398"/>
  <c r="AZ705" i="21398" s="1"/>
  <c r="BB705" i="21398" s="1"/>
  <c r="AW702" i="21398"/>
  <c r="AY702" i="21398" s="1"/>
  <c r="AQ701" i="2"/>
  <c r="AT702" i="2"/>
  <c r="C820" i="21398" l="1"/>
  <c r="J815" i="21398"/>
  <c r="AX816" i="21398"/>
  <c r="AW816" i="21398"/>
  <c r="M814" i="21398"/>
  <c r="BC814" i="21398" s="1"/>
  <c r="AY814" i="21398"/>
  <c r="BA814" i="21398" s="1"/>
  <c r="AZ699" i="2"/>
  <c r="BB699" i="2" s="1"/>
  <c r="L200" i="21408"/>
  <c r="L146" i="21408"/>
  <c r="L254" i="21408"/>
  <c r="L82" i="21408"/>
  <c r="L85" i="21408"/>
  <c r="L44" i="21408"/>
  <c r="L150" i="21408"/>
  <c r="L234" i="21408"/>
  <c r="L187" i="21408"/>
  <c r="L191" i="21408"/>
  <c r="L3" i="21408"/>
  <c r="L266" i="21408"/>
  <c r="L283" i="21408"/>
  <c r="J23" i="21402"/>
  <c r="L74" i="21408"/>
  <c r="J35" i="21402"/>
  <c r="L68" i="21408"/>
  <c r="L134" i="21408"/>
  <c r="L147" i="21408"/>
  <c r="L48" i="21408"/>
  <c r="L372" i="21408"/>
  <c r="L365" i="21408"/>
  <c r="L54" i="21408"/>
  <c r="L92" i="21408"/>
  <c r="J57" i="21402"/>
  <c r="L113" i="21408"/>
  <c r="L59" i="21408"/>
  <c r="L226" i="21408"/>
  <c r="L90" i="21408"/>
  <c r="L27" i="21408"/>
  <c r="L285" i="21408"/>
  <c r="L13" i="21408"/>
  <c r="L149" i="21408"/>
  <c r="L5" i="21408"/>
  <c r="L238" i="21408"/>
  <c r="J59" i="21402"/>
  <c r="L42" i="21408"/>
  <c r="L309" i="21408"/>
  <c r="L173" i="21408"/>
  <c r="L52" i="21408"/>
  <c r="L4" i="21408"/>
  <c r="L312" i="21408"/>
  <c r="L164" i="21408"/>
  <c r="L240" i="21408"/>
  <c r="L273" i="21408"/>
  <c r="L252" i="21408"/>
  <c r="L119" i="21408"/>
  <c r="L231" i="21408"/>
  <c r="L60" i="21408"/>
  <c r="L161" i="21408"/>
  <c r="J4" i="21402"/>
  <c r="L51" i="21408"/>
  <c r="L154" i="21408"/>
  <c r="J6" i="21402"/>
  <c r="L128" i="21408"/>
  <c r="L95" i="21408"/>
  <c r="J72" i="21402"/>
  <c r="L244" i="21408"/>
  <c r="L107" i="21408"/>
  <c r="L47" i="21408"/>
  <c r="L9" i="21408"/>
  <c r="L105" i="21408"/>
  <c r="L220" i="21408"/>
  <c r="L18" i="21408"/>
  <c r="L148" i="21408"/>
  <c r="L321" i="21408"/>
  <c r="L6" i="21408"/>
  <c r="L368" i="21408"/>
  <c r="J38" i="21402"/>
  <c r="L184" i="21408"/>
  <c r="L248" i="21408"/>
  <c r="L379" i="21408"/>
  <c r="L197" i="21408"/>
  <c r="L37" i="21408"/>
  <c r="J42" i="21402"/>
  <c r="L224" i="21408"/>
  <c r="L79" i="21408"/>
  <c r="L181" i="21408"/>
  <c r="L316" i="21408"/>
  <c r="L314" i="21408" s="1"/>
  <c r="L49" i="21408"/>
  <c r="L88" i="21408"/>
  <c r="J55" i="21402"/>
  <c r="L116" i="21408"/>
  <c r="L190" i="21408"/>
  <c r="J56" i="21402"/>
  <c r="L104" i="21408"/>
  <c r="J10" i="21402"/>
  <c r="J41" i="21402"/>
  <c r="L141" i="21408"/>
  <c r="L211" i="21408"/>
  <c r="J36" i="21402"/>
  <c r="L96" i="21408"/>
  <c r="L222" i="21408"/>
  <c r="L260" i="21408"/>
  <c r="J52" i="21402"/>
  <c r="L243" i="21408"/>
  <c r="L129" i="21408"/>
  <c r="L112" i="21408"/>
  <c r="L22" i="21408"/>
  <c r="L135" i="21408"/>
  <c r="J37" i="21402"/>
  <c r="L144" i="21408"/>
  <c r="L225" i="21408"/>
  <c r="L110" i="21408"/>
  <c r="L175" i="21408"/>
  <c r="L17" i="21408"/>
  <c r="L56" i="21408"/>
  <c r="L36" i="21408"/>
  <c r="J19" i="21402"/>
  <c r="J32" i="21402"/>
  <c r="L327" i="21408"/>
  <c r="L274" i="21408"/>
  <c r="L227" i="21408"/>
  <c r="L155" i="21408"/>
  <c r="L23" i="21408"/>
  <c r="L319" i="21408"/>
  <c r="L284" i="21408"/>
  <c r="L122" i="21408"/>
  <c r="L315" i="21408"/>
  <c r="L313" i="21408" s="1"/>
  <c r="L169" i="21408"/>
  <c r="L103" i="21408"/>
  <c r="L275" i="21408"/>
  <c r="L111" i="21408"/>
  <c r="J58" i="21402"/>
  <c r="L127" i="21408"/>
  <c r="L12" i="21408"/>
  <c r="L125" i="21408"/>
  <c r="L182" i="21408"/>
  <c r="L276" i="21408"/>
  <c r="L188" i="21408"/>
  <c r="L221" i="21408"/>
  <c r="J16" i="21402"/>
  <c r="L31" i="21408"/>
  <c r="L30" i="21408"/>
  <c r="L245" i="21408"/>
  <c r="L185" i="21408"/>
  <c r="L192" i="21408"/>
  <c r="L69" i="21408"/>
  <c r="J9" i="21402"/>
  <c r="L38" i="21408"/>
  <c r="L170" i="21408"/>
  <c r="L10" i="21408"/>
  <c r="L80" i="21408"/>
  <c r="L94" i="21408"/>
  <c r="J67" i="21402"/>
  <c r="J17" i="21402"/>
  <c r="L160" i="21408"/>
  <c r="J22" i="21402"/>
  <c r="L157" i="21408"/>
  <c r="L151" i="21408"/>
  <c r="L209" i="21408"/>
  <c r="L280" i="21408"/>
  <c r="L32" i="21408"/>
  <c r="L115" i="21408"/>
  <c r="L152" i="21408"/>
  <c r="L166" i="21408"/>
  <c r="L40" i="21408"/>
  <c r="L33" i="21408"/>
  <c r="L62" i="21408"/>
  <c r="L63" i="21408"/>
  <c r="L165" i="21408"/>
  <c r="L114" i="21408"/>
  <c r="J60" i="21402"/>
  <c r="J3" i="21402"/>
  <c r="L76" i="21408"/>
  <c r="L318" i="21408"/>
  <c r="L269" i="21408"/>
  <c r="L369" i="21408"/>
  <c r="L300" i="21408"/>
  <c r="L301" i="21408" s="1"/>
  <c r="L302" i="21408" s="1"/>
  <c r="L70" i="21408"/>
  <c r="L278" i="21408"/>
  <c r="L323" i="21408"/>
  <c r="L281" i="21408"/>
  <c r="L162" i="21408"/>
  <c r="L228" i="21408"/>
  <c r="L263" i="21408"/>
  <c r="L124" i="21408"/>
  <c r="L153" i="21408"/>
  <c r="L268" i="21408"/>
  <c r="L75" i="21408"/>
  <c r="L133" i="21408"/>
  <c r="L81" i="21408"/>
  <c r="J15" i="21402"/>
  <c r="L106" i="21408"/>
  <c r="L118" i="21408"/>
  <c r="L279" i="21408"/>
  <c r="J40" i="21402"/>
  <c r="L378" i="21408"/>
  <c r="L303" i="21408"/>
  <c r="L86" i="21408"/>
  <c r="L123" i="21408"/>
  <c r="L249" i="21408"/>
  <c r="L136" i="21408"/>
  <c r="J69" i="21402"/>
  <c r="L171" i="21408"/>
  <c r="L50" i="21408"/>
  <c r="L217" i="21408"/>
  <c r="L218" i="21408" s="1"/>
  <c r="L202" i="21408"/>
  <c r="J18" i="21402"/>
  <c r="J70" i="21402"/>
  <c r="J26" i="21402"/>
  <c r="L233" i="21408"/>
  <c r="L91" i="21408"/>
  <c r="L121" i="21408"/>
  <c r="L329" i="21408"/>
  <c r="L71" i="21408"/>
  <c r="L198" i="21408"/>
  <c r="L371" i="21408"/>
  <c r="J71" i="21402"/>
  <c r="L247" i="21408"/>
  <c r="L130" i="21408"/>
  <c r="L205" i="21408"/>
  <c r="L194" i="21408"/>
  <c r="L380" i="21408"/>
  <c r="L375" i="21408" s="1"/>
  <c r="L215" i="21408"/>
  <c r="L216" i="21408" s="1"/>
  <c r="L143" i="21408"/>
  <c r="L251" i="21408"/>
  <c r="J54" i="21402"/>
  <c r="L237" i="21408"/>
  <c r="L156" i="21408"/>
  <c r="L246" i="21408"/>
  <c r="L21" i="21408"/>
  <c r="L14" i="21408"/>
  <c r="L213" i="21408"/>
  <c r="J33" i="21402"/>
  <c r="L214" i="21408"/>
  <c r="L261" i="21408"/>
  <c r="L229" i="21408"/>
  <c r="L328" i="21408"/>
  <c r="L109" i="21408"/>
  <c r="L207" i="21408"/>
  <c r="L253" i="21408"/>
  <c r="L320" i="21408"/>
  <c r="L39" i="21408"/>
  <c r="L28" i="21408"/>
  <c r="L183" i="21408"/>
  <c r="L325" i="21408"/>
  <c r="L235" i="21408"/>
  <c r="J25" i="21402"/>
  <c r="L35" i="21408"/>
  <c r="L241" i="21408"/>
  <c r="L174" i="21408"/>
  <c r="L322" i="21408"/>
  <c r="BC52" i="21413"/>
  <c r="O375" i="21408"/>
  <c r="P313" i="21408"/>
  <c r="P216" i="21408"/>
  <c r="P314" i="21408"/>
  <c r="P218" i="21408"/>
  <c r="O216" i="21408"/>
  <c r="O313" i="21408"/>
  <c r="O218" i="21408"/>
  <c r="O314" i="21408"/>
  <c r="P375" i="21408"/>
  <c r="F704" i="2"/>
  <c r="AW704" i="2"/>
  <c r="AY704" i="2" s="1"/>
  <c r="C706" i="2"/>
  <c r="BA702" i="2"/>
  <c r="M702" i="2"/>
  <c r="BC702" i="2" s="1"/>
  <c r="AW701" i="2"/>
  <c r="AZ701" i="2" s="1"/>
  <c r="BB701" i="2" s="1"/>
  <c r="BB702" i="21398"/>
  <c r="BC702" i="21398"/>
  <c r="BA702" i="21398"/>
  <c r="M203" i="21408"/>
  <c r="M204" i="21408" s="1"/>
  <c r="M265" i="21408"/>
  <c r="M299" i="21408"/>
  <c r="M301" i="21408"/>
  <c r="M302" i="21408" s="1"/>
  <c r="BA705" i="21398"/>
  <c r="BC703" i="21398"/>
  <c r="AW707" i="21398"/>
  <c r="BA323" i="2"/>
  <c r="AT704" i="2"/>
  <c r="AQ703" i="2"/>
  <c r="M816" i="21398" l="1"/>
  <c r="BC816" i="21398" s="1"/>
  <c r="AY816" i="21398"/>
  <c r="BA816" i="21398" s="1"/>
  <c r="AX815" i="21398"/>
  <c r="AW815" i="21398"/>
  <c r="C818" i="21398"/>
  <c r="AX820" i="21398"/>
  <c r="AW820" i="21398"/>
  <c r="C822" i="21398"/>
  <c r="J821" i="21398"/>
  <c r="J819" i="21398"/>
  <c r="AX706" i="2"/>
  <c r="J707" i="2"/>
  <c r="AX707" i="2" s="1"/>
  <c r="L265" i="21408"/>
  <c r="L299" i="21408"/>
  <c r="L203" i="21408"/>
  <c r="L204" i="21408" s="1"/>
  <c r="AC704" i="2"/>
  <c r="O203" i="21408"/>
  <c r="O204" i="21408" s="1"/>
  <c r="P301" i="21408"/>
  <c r="P302" i="21408" s="1"/>
  <c r="P203" i="21408"/>
  <c r="P204" i="21408" s="1"/>
  <c r="P265" i="21408"/>
  <c r="O265" i="21408"/>
  <c r="O301" i="21408"/>
  <c r="O302" i="21408" s="1"/>
  <c r="AW706" i="2"/>
  <c r="C708" i="2"/>
  <c r="AX708" i="2" s="1"/>
  <c r="F706" i="2"/>
  <c r="M704" i="2"/>
  <c r="BC704" i="2" s="1"/>
  <c r="BA704" i="2"/>
  <c r="AW709" i="21398"/>
  <c r="AW708" i="21398"/>
  <c r="AY708" i="21398" s="1"/>
  <c r="BA707" i="21398"/>
  <c r="BC705" i="21398"/>
  <c r="BC323" i="2"/>
  <c r="BA325" i="2"/>
  <c r="BC325" i="2"/>
  <c r="AT706" i="2"/>
  <c r="AQ705" i="2"/>
  <c r="C824" i="21398" l="1"/>
  <c r="AX822" i="21398"/>
  <c r="AW822" i="21398"/>
  <c r="AZ815" i="21398"/>
  <c r="BB815" i="21398" s="1"/>
  <c r="AX819" i="21398"/>
  <c r="AW819" i="21398"/>
  <c r="AY820" i="21398"/>
  <c r="BA820" i="21398" s="1"/>
  <c r="M820" i="21398"/>
  <c r="BC820" i="21398" s="1"/>
  <c r="AW821" i="21398"/>
  <c r="AX821" i="21398"/>
  <c r="AX818" i="21398"/>
  <c r="AW818" i="21398"/>
  <c r="AY706" i="2"/>
  <c r="BA706" i="2" s="1"/>
  <c r="AC706" i="2"/>
  <c r="M706" i="2"/>
  <c r="BC706" i="2" s="1"/>
  <c r="AW708" i="2"/>
  <c r="AY708" i="2" s="1"/>
  <c r="C710" i="2"/>
  <c r="AX710" i="2" s="1"/>
  <c r="F708" i="2"/>
  <c r="AW707" i="2"/>
  <c r="AZ707" i="2" s="1"/>
  <c r="BB707" i="2" s="1"/>
  <c r="BB708" i="21398"/>
  <c r="BC708" i="21398"/>
  <c r="BA708" i="21398"/>
  <c r="AW711" i="21398"/>
  <c r="AZ711" i="21398" s="1"/>
  <c r="BB711" i="21398" s="1"/>
  <c r="BC707" i="21398"/>
  <c r="BA709" i="21398"/>
  <c r="BA327" i="2"/>
  <c r="AQ707" i="2"/>
  <c r="AZ821" i="21398" l="1"/>
  <c r="BB821" i="21398" s="1"/>
  <c r="AY818" i="21398"/>
  <c r="M818" i="21398"/>
  <c r="BC818" i="21398" s="1"/>
  <c r="AY822" i="21398"/>
  <c r="BA822" i="21398" s="1"/>
  <c r="M822" i="21398"/>
  <c r="BC822" i="21398" s="1"/>
  <c r="AZ819" i="21398"/>
  <c r="BB819" i="21398" s="1"/>
  <c r="AX824" i="21398"/>
  <c r="AW824" i="21398"/>
  <c r="C826" i="21398"/>
  <c r="AW710" i="2"/>
  <c r="AY710" i="2" s="1"/>
  <c r="C712" i="2"/>
  <c r="AX712" i="2" s="1"/>
  <c r="F710" i="2"/>
  <c r="BA708" i="2"/>
  <c r="M708" i="2"/>
  <c r="BC708" i="2" s="1"/>
  <c r="AW710" i="21398"/>
  <c r="AY710" i="21398" s="1"/>
  <c r="AW715" i="21398"/>
  <c r="BC709" i="21398"/>
  <c r="BA329" i="2"/>
  <c r="BC327" i="2"/>
  <c r="AQ709" i="2"/>
  <c r="AT708" i="2"/>
  <c r="AC708" i="2" l="1"/>
  <c r="AX826" i="21398"/>
  <c r="C828" i="21398"/>
  <c r="AW826" i="21398"/>
  <c r="M824" i="21398"/>
  <c r="BC824" i="21398" s="1"/>
  <c r="AY824" i="21398"/>
  <c r="BA824" i="21398" s="1"/>
  <c r="M710" i="2"/>
  <c r="BC710" i="2" s="1"/>
  <c r="BA710" i="2"/>
  <c r="AW712" i="2"/>
  <c r="AY712" i="2" s="1"/>
  <c r="BA712" i="2" s="1"/>
  <c r="M712" i="2"/>
  <c r="BC712" i="2" s="1"/>
  <c r="C714" i="2"/>
  <c r="AX714" i="2" s="1"/>
  <c r="F712" i="2"/>
  <c r="BB710" i="21398"/>
  <c r="BA710" i="21398"/>
  <c r="AW717" i="21398"/>
  <c r="AW713" i="21398"/>
  <c r="AZ713" i="21398" s="1"/>
  <c r="BB713" i="21398" s="1"/>
  <c r="BA331" i="2"/>
  <c r="BC329" i="2"/>
  <c r="AT710" i="2"/>
  <c r="AQ711" i="2"/>
  <c r="AC710" i="2" l="1"/>
  <c r="AW828" i="21398"/>
  <c r="C830" i="21398"/>
  <c r="AX828" i="21398"/>
  <c r="AY826" i="21398"/>
  <c r="BA826" i="21398" s="1"/>
  <c r="M826" i="21398"/>
  <c r="BC826" i="21398" s="1"/>
  <c r="AX713" i="2"/>
  <c r="M714" i="2"/>
  <c r="BC714" i="2" s="1"/>
  <c r="AW714" i="2"/>
  <c r="AY714" i="2" s="1"/>
  <c r="BA714" i="2" s="1"/>
  <c r="F714" i="2"/>
  <c r="C716" i="2"/>
  <c r="AW719" i="21398"/>
  <c r="AZ719" i="21398" s="1"/>
  <c r="BB719" i="21398" s="1"/>
  <c r="BA333" i="2"/>
  <c r="BC331" i="2"/>
  <c r="BB330" i="2"/>
  <c r="AQ713" i="2"/>
  <c r="AT714" i="2"/>
  <c r="AT712" i="2"/>
  <c r="AC712" i="2" l="1"/>
  <c r="AY828" i="21398"/>
  <c r="BA828" i="21398" s="1"/>
  <c r="M828" i="21398"/>
  <c r="BC828" i="21398" s="1"/>
  <c r="AW830" i="21398"/>
  <c r="AX830" i="21398"/>
  <c r="C834" i="21398"/>
  <c r="C832" i="21398"/>
  <c r="AX716" i="2"/>
  <c r="M716" i="2" s="1"/>
  <c r="BC716" i="2" s="1"/>
  <c r="J715" i="2"/>
  <c r="AC714" i="2"/>
  <c r="AW716" i="2"/>
  <c r="C718" i="2"/>
  <c r="AX718" i="2" s="1"/>
  <c r="F716" i="2"/>
  <c r="AW713" i="2"/>
  <c r="AZ713" i="2" s="1"/>
  <c r="BB713" i="2" s="1"/>
  <c r="AW721" i="21398"/>
  <c r="BA335" i="2"/>
  <c r="BC333" i="2"/>
  <c r="AT716" i="2"/>
  <c r="AQ715" i="2"/>
  <c r="AY830" i="21398" l="1"/>
  <c r="BA830" i="21398" s="1"/>
  <c r="M830" i="21398"/>
  <c r="BC830" i="21398" s="1"/>
  <c r="AX832" i="21398"/>
  <c r="AW832" i="21398"/>
  <c r="J835" i="21398"/>
  <c r="AX834" i="21398"/>
  <c r="C836" i="21398"/>
  <c r="AW834" i="21398"/>
  <c r="AY716" i="2"/>
  <c r="BA716" i="2" s="1"/>
  <c r="AX715" i="2"/>
  <c r="AW715" i="2"/>
  <c r="AC716" i="2"/>
  <c r="AW718" i="2"/>
  <c r="AY718" i="2" s="1"/>
  <c r="BA718" i="2" s="1"/>
  <c r="F718" i="2"/>
  <c r="M718" i="2"/>
  <c r="BC718" i="2" s="1"/>
  <c r="C720" i="2"/>
  <c r="AX720" i="2" s="1"/>
  <c r="AW723" i="21398"/>
  <c r="BB338" i="2"/>
  <c r="BC335" i="2"/>
  <c r="BA337" i="2"/>
  <c r="AQ717" i="2"/>
  <c r="AW836" i="21398" l="1"/>
  <c r="AX836" i="21398"/>
  <c r="C838" i="21398"/>
  <c r="M832" i="21398"/>
  <c r="BC832" i="21398" s="1"/>
  <c r="AY832" i="21398"/>
  <c r="AY834" i="21398"/>
  <c r="BA834" i="21398" s="1"/>
  <c r="M834" i="21398"/>
  <c r="BC834" i="21398" s="1"/>
  <c r="AW835" i="21398"/>
  <c r="AX835" i="21398"/>
  <c r="AZ715" i="2"/>
  <c r="BB715" i="2" s="1"/>
  <c r="AX721" i="2"/>
  <c r="F720" i="2"/>
  <c r="C722" i="2"/>
  <c r="AX722" i="2" s="1"/>
  <c r="M720" i="2"/>
  <c r="BC720" i="2" s="1"/>
  <c r="AW720" i="2"/>
  <c r="AY720" i="2" s="1"/>
  <c r="BA720" i="2" s="1"/>
  <c r="AW725" i="21398"/>
  <c r="AZ725" i="21398" s="1"/>
  <c r="BB725" i="21398" s="1"/>
  <c r="BC337" i="2"/>
  <c r="BC339" i="2"/>
  <c r="BA339" i="2"/>
  <c r="AT720" i="2"/>
  <c r="AT718" i="2"/>
  <c r="AZ835" i="21398" l="1"/>
  <c r="BB835" i="21398" s="1"/>
  <c r="AX838" i="21398"/>
  <c r="C840" i="21398"/>
  <c r="AW838" i="21398"/>
  <c r="M836" i="21398"/>
  <c r="BC836" i="21398" s="1"/>
  <c r="AY836" i="21398"/>
  <c r="BA836" i="21398" s="1"/>
  <c r="AC720" i="2"/>
  <c r="C724" i="2"/>
  <c r="AX724" i="2" s="1"/>
  <c r="F722" i="2"/>
  <c r="M722" i="2"/>
  <c r="BC722" i="2" s="1"/>
  <c r="AW722" i="2"/>
  <c r="AY722" i="2" s="1"/>
  <c r="BA722" i="2" s="1"/>
  <c r="AW721" i="2"/>
  <c r="AZ721" i="2" s="1"/>
  <c r="BB721" i="2" s="1"/>
  <c r="AW729" i="21398"/>
  <c r="BC341" i="2"/>
  <c r="BA341" i="2"/>
  <c r="AQ719" i="2"/>
  <c r="AQ721" i="2"/>
  <c r="AT722" i="2"/>
  <c r="C842" i="21398" l="1"/>
  <c r="AX840" i="21398"/>
  <c r="J839" i="21398"/>
  <c r="AW840" i="21398"/>
  <c r="M838" i="21398"/>
  <c r="BC838" i="21398" s="1"/>
  <c r="AY838" i="21398"/>
  <c r="BA838" i="21398" s="1"/>
  <c r="AC722" i="2"/>
  <c r="C726" i="2"/>
  <c r="F724" i="2"/>
  <c r="M724" i="2"/>
  <c r="BC724" i="2" s="1"/>
  <c r="AW724" i="2"/>
  <c r="AY724" i="2" s="1"/>
  <c r="BA724" i="2" s="1"/>
  <c r="BB730" i="21398"/>
  <c r="AW730" i="21398"/>
  <c r="AY730" i="21398" s="1"/>
  <c r="BA730" i="21398" s="1"/>
  <c r="AW731" i="21398"/>
  <c r="AZ731" i="21398" s="1"/>
  <c r="BB731" i="21398" s="1"/>
  <c r="AW733" i="21398"/>
  <c r="AW728" i="21398"/>
  <c r="AY728" i="21398" s="1"/>
  <c r="BA728" i="21398" s="1"/>
  <c r="BB728" i="21398"/>
  <c r="BC343" i="2"/>
  <c r="BA343" i="2"/>
  <c r="AQ723" i="2"/>
  <c r="AT724" i="2"/>
  <c r="AX839" i="21398" l="1"/>
  <c r="AW839" i="21398"/>
  <c r="M840" i="21398"/>
  <c r="BC840" i="21398" s="1"/>
  <c r="AY840" i="21398"/>
  <c r="BA840" i="21398" s="1"/>
  <c r="AX842" i="21398"/>
  <c r="C844" i="21398"/>
  <c r="AW842" i="21398"/>
  <c r="AX726" i="2"/>
  <c r="M726" i="2" s="1"/>
  <c r="BC726" i="2" s="1"/>
  <c r="J727" i="2"/>
  <c r="C728" i="2"/>
  <c r="AC724" i="2"/>
  <c r="F726" i="2"/>
  <c r="AW726" i="2"/>
  <c r="AW734" i="21398"/>
  <c r="AY734" i="21398" s="1"/>
  <c r="BA734" i="21398" s="1"/>
  <c r="BB734" i="21398"/>
  <c r="BB344" i="2"/>
  <c r="BA345" i="2"/>
  <c r="BC345" i="2"/>
  <c r="AQ725" i="2"/>
  <c r="AT726" i="2"/>
  <c r="C846" i="21398" l="1"/>
  <c r="AW844" i="21398"/>
  <c r="J845" i="21398"/>
  <c r="AX844" i="21398"/>
  <c r="M842" i="21398"/>
  <c r="BC842" i="21398" s="1"/>
  <c r="AY842" i="21398"/>
  <c r="BA842" i="21398" s="1"/>
  <c r="AZ839" i="21398"/>
  <c r="BB839" i="21398" s="1"/>
  <c r="AY726" i="2"/>
  <c r="BA726" i="2" s="1"/>
  <c r="AX728" i="2"/>
  <c r="AW728" i="2"/>
  <c r="C730" i="2"/>
  <c r="AX730" i="2" s="1"/>
  <c r="M730" i="2" s="1"/>
  <c r="BC730" i="2" s="1"/>
  <c r="AX727" i="2"/>
  <c r="AW727" i="2"/>
  <c r="AC726" i="2"/>
  <c r="BC347" i="2"/>
  <c r="BA347" i="2"/>
  <c r="M844" i="21398" l="1"/>
  <c r="BC844" i="21398" s="1"/>
  <c r="AY844" i="21398"/>
  <c r="BA844" i="21398" s="1"/>
  <c r="AW845" i="21398"/>
  <c r="AX845" i="21398"/>
  <c r="AZ845" i="21398" s="1"/>
  <c r="BB845" i="21398" s="1"/>
  <c r="C848" i="21398"/>
  <c r="AW846" i="21398"/>
  <c r="AX846" i="21398"/>
  <c r="AW730" i="2"/>
  <c r="AY730" i="2" s="1"/>
  <c r="BA730" i="2" s="1"/>
  <c r="C732" i="2"/>
  <c r="AX732" i="2" s="1"/>
  <c r="BC732" i="2" s="1"/>
  <c r="F730" i="2"/>
  <c r="AZ727" i="2"/>
  <c r="BB727" i="2" s="1"/>
  <c r="AY728" i="2"/>
  <c r="BA728" i="2" s="1"/>
  <c r="M728" i="2"/>
  <c r="BC728" i="2" s="1"/>
  <c r="BA349" i="2"/>
  <c r="BC349" i="2"/>
  <c r="BB350" i="2"/>
  <c r="AQ729" i="2"/>
  <c r="AQ727" i="2"/>
  <c r="AT730" i="2"/>
  <c r="M846" i="21398" l="1"/>
  <c r="BC846" i="21398" s="1"/>
  <c r="AY846" i="21398"/>
  <c r="BA846" i="21398" s="1"/>
  <c r="C850" i="21398"/>
  <c r="AW848" i="21398"/>
  <c r="AX848" i="21398"/>
  <c r="F732" i="2"/>
  <c r="C734" i="2"/>
  <c r="AX734" i="2" s="1"/>
  <c r="M734" i="2" s="1"/>
  <c r="BC734" i="2" s="1"/>
  <c r="AW732" i="2"/>
  <c r="AY732" i="2" s="1"/>
  <c r="BA732" i="2" s="1"/>
  <c r="AC730" i="2"/>
  <c r="AX733" i="2"/>
  <c r="BC351" i="2"/>
  <c r="BA351" i="2"/>
  <c r="AQ731" i="2"/>
  <c r="AT732" i="2"/>
  <c r="M848" i="21398" l="1"/>
  <c r="BC848" i="21398" s="1"/>
  <c r="AY848" i="21398"/>
  <c r="BA848" i="21398" s="1"/>
  <c r="AX850" i="21398"/>
  <c r="AW850" i="21398"/>
  <c r="C852" i="21398"/>
  <c r="F734" i="2"/>
  <c r="AW734" i="2"/>
  <c r="AY734" i="2" s="1"/>
  <c r="BA734" i="2" s="1"/>
  <c r="C736" i="2"/>
  <c r="J737" i="2" s="1"/>
  <c r="AC732" i="2"/>
  <c r="AW733" i="2"/>
  <c r="AZ733" i="2" s="1"/>
  <c r="BB733" i="2" s="1"/>
  <c r="BC353" i="2"/>
  <c r="BA353" i="2"/>
  <c r="AT734" i="2"/>
  <c r="AQ733" i="2"/>
  <c r="AX736" i="2" l="1"/>
  <c r="M736" i="2" s="1"/>
  <c r="BC736" i="2" s="1"/>
  <c r="M850" i="21398"/>
  <c r="BC850" i="21398" s="1"/>
  <c r="AY850" i="21398"/>
  <c r="BA850" i="21398" s="1"/>
  <c r="C854" i="21398"/>
  <c r="J851" i="21398"/>
  <c r="AX852" i="21398"/>
  <c r="AW852" i="21398"/>
  <c r="C738" i="2"/>
  <c r="AX738" i="2" s="1"/>
  <c r="M738" i="2" s="1"/>
  <c r="BC738" i="2" s="1"/>
  <c r="F736" i="2"/>
  <c r="AW736" i="2"/>
  <c r="AC734" i="2"/>
  <c r="AX737" i="2"/>
  <c r="AW737" i="2"/>
  <c r="AX739" i="2"/>
  <c r="BC355" i="2"/>
  <c r="BA355" i="2"/>
  <c r="AT736" i="2"/>
  <c r="AQ735" i="2"/>
  <c r="AY736" i="2" l="1"/>
  <c r="BA736" i="2" s="1"/>
  <c r="AW738" i="2"/>
  <c r="AY738" i="2" s="1"/>
  <c r="BA738" i="2" s="1"/>
  <c r="F738" i="2"/>
  <c r="AY852" i="21398"/>
  <c r="BA852" i="21398" s="1"/>
  <c r="M852" i="21398"/>
  <c r="BC852" i="21398" s="1"/>
  <c r="AW851" i="21398"/>
  <c r="AX851" i="21398"/>
  <c r="AX854" i="21398"/>
  <c r="C856" i="21398"/>
  <c r="AW854" i="21398"/>
  <c r="C740" i="2"/>
  <c r="AX740" i="2" s="1"/>
  <c r="M740" i="2" s="1"/>
  <c r="BC740" i="2" s="1"/>
  <c r="AC736" i="2"/>
  <c r="BC862" i="21398"/>
  <c r="AZ737" i="2"/>
  <c r="BB737" i="2" s="1"/>
  <c r="AW739" i="2"/>
  <c r="AZ739" i="2" s="1"/>
  <c r="BB739" i="2" s="1"/>
  <c r="BB356" i="2"/>
  <c r="BA357" i="2"/>
  <c r="BC357" i="2"/>
  <c r="AQ737" i="2"/>
  <c r="AT738" i="2"/>
  <c r="F740" i="2" l="1"/>
  <c r="AC738" i="2"/>
  <c r="AZ851" i="21398"/>
  <c r="BB851" i="21398" s="1"/>
  <c r="AW856" i="21398"/>
  <c r="C858" i="21398"/>
  <c r="AX856" i="21398"/>
  <c r="M854" i="21398"/>
  <c r="BC854" i="21398" s="1"/>
  <c r="AY854" i="21398"/>
  <c r="BA854" i="21398" s="1"/>
  <c r="C742" i="2"/>
  <c r="AX742" i="2" s="1"/>
  <c r="M742" i="2" s="1"/>
  <c r="BC742" i="2" s="1"/>
  <c r="AW740" i="2"/>
  <c r="AY740" i="2" s="1"/>
  <c r="BA740" i="2" s="1"/>
  <c r="BC359" i="2"/>
  <c r="BA359" i="2"/>
  <c r="AT740" i="2"/>
  <c r="AQ739" i="2"/>
  <c r="AC740" i="2" l="1"/>
  <c r="AW742" i="2"/>
  <c r="AY742" i="2" s="1"/>
  <c r="BA742" i="2" s="1"/>
  <c r="AY856" i="21398"/>
  <c r="BA856" i="21398" s="1"/>
  <c r="M856" i="21398"/>
  <c r="BC856" i="21398" s="1"/>
  <c r="AW858" i="21398"/>
  <c r="C860" i="21398"/>
  <c r="AX858" i="21398"/>
  <c r="J859" i="21398"/>
  <c r="C744" i="2"/>
  <c r="AX744" i="2" s="1"/>
  <c r="M744" i="2" s="1"/>
  <c r="BC744" i="2" s="1"/>
  <c r="F742" i="2"/>
  <c r="BC361" i="2"/>
  <c r="BA361" i="2"/>
  <c r="AT742" i="2"/>
  <c r="F744" i="2" l="1"/>
  <c r="AY858" i="21398"/>
  <c r="BA858" i="21398" s="1"/>
  <c r="M858" i="21398"/>
  <c r="BC858" i="21398" s="1"/>
  <c r="C862" i="21398"/>
  <c r="AW860" i="21398"/>
  <c r="AX860" i="21398"/>
  <c r="AX859" i="21398"/>
  <c r="AW859" i="21398"/>
  <c r="C746" i="2"/>
  <c r="AX746" i="2" s="1"/>
  <c r="M746" i="2" s="1"/>
  <c r="BC746" i="2" s="1"/>
  <c r="AW744" i="2"/>
  <c r="AY744" i="2" s="1"/>
  <c r="BA744" i="2" s="1"/>
  <c r="J745" i="2"/>
  <c r="AX745" i="2" s="1"/>
  <c r="AC742" i="2"/>
  <c r="F746" i="2"/>
  <c r="BB364" i="2"/>
  <c r="BA363" i="2"/>
  <c r="BC363" i="2"/>
  <c r="AQ741" i="2"/>
  <c r="AQ743" i="2"/>
  <c r="AT744" i="2"/>
  <c r="AQ745" i="2"/>
  <c r="J746" i="2" l="1"/>
  <c r="C748" i="2"/>
  <c r="AX748" i="2" s="1"/>
  <c r="M748" i="2" s="1"/>
  <c r="BC748" i="2" s="1"/>
  <c r="AW746" i="2"/>
  <c r="AZ746" i="2" s="1"/>
  <c r="BB746" i="2" s="1"/>
  <c r="AC744" i="2"/>
  <c r="AZ859" i="21398"/>
  <c r="BB859" i="21398" s="1"/>
  <c r="AX862" i="21398"/>
  <c r="C864" i="21398"/>
  <c r="AW862" i="21398"/>
  <c r="AY860" i="21398"/>
  <c r="BA860" i="21398" s="1"/>
  <c r="M860" i="21398"/>
  <c r="BC860" i="21398" s="1"/>
  <c r="AW745" i="2"/>
  <c r="AZ745" i="2" s="1"/>
  <c r="BB745" i="2" s="1"/>
  <c r="BA379" i="2"/>
  <c r="BC379" i="2"/>
  <c r="AT746" i="2"/>
  <c r="AC746" i="2" l="1"/>
  <c r="F748" i="2"/>
  <c r="AW748" i="2"/>
  <c r="AY748" i="2" s="1"/>
  <c r="BA748" i="2" s="1"/>
  <c r="C750" i="2"/>
  <c r="AX750" i="2" s="1"/>
  <c r="M750" i="2" s="1"/>
  <c r="BC750" i="2" s="1"/>
  <c r="AY746" i="2"/>
  <c r="BA746" i="2" s="1"/>
  <c r="C866" i="21398"/>
  <c r="AW864" i="21398"/>
  <c r="AX864" i="21398"/>
  <c r="AY862" i="21398"/>
  <c r="BA862" i="21398" s="1"/>
  <c r="BC381" i="2"/>
  <c r="BA381" i="2"/>
  <c r="BB378" i="2"/>
  <c r="BB380" i="2"/>
  <c r="AT748" i="2"/>
  <c r="AQ747" i="2"/>
  <c r="C752" i="2" l="1"/>
  <c r="AX752" i="2" s="1"/>
  <c r="M752" i="2" s="1"/>
  <c r="BC752" i="2" s="1"/>
  <c r="AW750" i="2"/>
  <c r="AY750" i="2" s="1"/>
  <c r="BA750" i="2" s="1"/>
  <c r="F750" i="2"/>
  <c r="M864" i="21398"/>
  <c r="BC864" i="21398" s="1"/>
  <c r="AY864" i="21398"/>
  <c r="BA864" i="21398" s="1"/>
  <c r="AW866" i="21398"/>
  <c r="AX866" i="21398"/>
  <c r="C868" i="21398"/>
  <c r="F329" i="21412"/>
  <c r="E329" i="21412" s="1"/>
  <c r="BB384" i="2"/>
  <c r="BC383" i="2"/>
  <c r="BA383" i="2"/>
  <c r="F331" i="21412"/>
  <c r="E331" i="21412" s="1"/>
  <c r="F326" i="21412"/>
  <c r="E326" i="21412" s="1"/>
  <c r="AQ749" i="2"/>
  <c r="AT750" i="2"/>
  <c r="AW752" i="2" l="1"/>
  <c r="AY752" i="2" s="1"/>
  <c r="BA752" i="2" s="1"/>
  <c r="J753" i="2"/>
  <c r="AX753" i="2" s="1"/>
  <c r="F752" i="2"/>
  <c r="C754" i="2"/>
  <c r="AX754" i="2" s="1"/>
  <c r="M754" i="2" s="1"/>
  <c r="BC754" i="2" s="1"/>
  <c r="AC750" i="2"/>
  <c r="M866" i="21398"/>
  <c r="BC866" i="21398" s="1"/>
  <c r="AY866" i="21398"/>
  <c r="BA866" i="21398" s="1"/>
  <c r="AW868" i="21398"/>
  <c r="C870" i="21398"/>
  <c r="AX868" i="21398"/>
  <c r="AW753" i="2"/>
  <c r="AZ753" i="2" s="1"/>
  <c r="BB753" i="2" s="1"/>
  <c r="BB382" i="2"/>
  <c r="F327" i="21412"/>
  <c r="E327" i="21412" s="1"/>
  <c r="F330" i="21412"/>
  <c r="E330" i="21412" s="1"/>
  <c r="F328" i="21412"/>
  <c r="E328" i="21412" s="1"/>
  <c r="BA385" i="2"/>
  <c r="BC385" i="2"/>
  <c r="AT752" i="2"/>
  <c r="AQ751" i="2"/>
  <c r="AC752" i="2" l="1"/>
  <c r="C756" i="2"/>
  <c r="AX756" i="2" s="1"/>
  <c r="M756" i="2" s="1"/>
  <c r="BC756" i="2" s="1"/>
  <c r="AW754" i="2"/>
  <c r="AY754" i="2" s="1"/>
  <c r="BA754" i="2" s="1"/>
  <c r="F754" i="2"/>
  <c r="AY868" i="21398"/>
  <c r="BA868" i="21398" s="1"/>
  <c r="M868" i="21398"/>
  <c r="BC868" i="21398" s="1"/>
  <c r="AX870" i="21398"/>
  <c r="C872" i="21398"/>
  <c r="J869" i="21398"/>
  <c r="AW870" i="21398"/>
  <c r="F756" i="2"/>
  <c r="BC387" i="2"/>
  <c r="BA387" i="2"/>
  <c r="AQ755" i="2"/>
  <c r="AT756" i="2"/>
  <c r="AQ753" i="2"/>
  <c r="AW756" i="2" l="1"/>
  <c r="AY756" i="2" s="1"/>
  <c r="BA756" i="2" s="1"/>
  <c r="C758" i="2"/>
  <c r="AX758" i="2" s="1"/>
  <c r="M758" i="2" s="1"/>
  <c r="BC758" i="2" s="1"/>
  <c r="C874" i="21398"/>
  <c r="AW872" i="21398"/>
  <c r="AX872" i="21398"/>
  <c r="M870" i="21398"/>
  <c r="BC870" i="21398" s="1"/>
  <c r="AY870" i="21398"/>
  <c r="BA870" i="21398" s="1"/>
  <c r="AX869" i="21398"/>
  <c r="AW869" i="21398"/>
  <c r="AC756" i="2"/>
  <c r="BA389" i="2"/>
  <c r="BC389" i="2"/>
  <c r="AT754" i="2"/>
  <c r="AC754" i="2" l="1"/>
  <c r="AW758" i="2"/>
  <c r="AY758" i="2" s="1"/>
  <c r="BA758" i="2" s="1"/>
  <c r="C760" i="2"/>
  <c r="AX760" i="2" s="1"/>
  <c r="M760" i="2" s="1"/>
  <c r="BC760" i="2" s="1"/>
  <c r="F758" i="2"/>
  <c r="AZ869" i="21398"/>
  <c r="BB869" i="21398" s="1"/>
  <c r="M872" i="21398"/>
  <c r="BC872" i="21398" s="1"/>
  <c r="AY872" i="21398"/>
  <c r="BA872" i="21398" s="1"/>
  <c r="AW874" i="21398"/>
  <c r="J875" i="21398"/>
  <c r="AX874" i="21398"/>
  <c r="C876" i="21398"/>
  <c r="BA391" i="2"/>
  <c r="BC391" i="2"/>
  <c r="AT758" i="2"/>
  <c r="AQ757" i="2"/>
  <c r="F760" i="2" l="1"/>
  <c r="C762" i="2"/>
  <c r="AX762" i="2" s="1"/>
  <c r="M762" i="2" s="1"/>
  <c r="BC762" i="2" s="1"/>
  <c r="AW760" i="2"/>
  <c r="AY760" i="2" s="1"/>
  <c r="BA760" i="2" s="1"/>
  <c r="J759" i="2"/>
  <c r="AX759" i="2" s="1"/>
  <c r="AC758" i="2"/>
  <c r="M874" i="21398"/>
  <c r="BC874" i="21398" s="1"/>
  <c r="AY874" i="21398"/>
  <c r="BA874" i="21398" s="1"/>
  <c r="AX875" i="21398"/>
  <c r="AW875" i="21398"/>
  <c r="AX876" i="21398"/>
  <c r="C878" i="21398"/>
  <c r="AW876" i="21398"/>
  <c r="BC884" i="21398"/>
  <c r="AW762" i="2"/>
  <c r="AY762" i="2" s="1"/>
  <c r="BA762" i="2" s="1"/>
  <c r="BA393" i="2"/>
  <c r="BC393" i="2"/>
  <c r="AQ759" i="2"/>
  <c r="AT760" i="2"/>
  <c r="AW759" i="2" l="1"/>
  <c r="AZ759" i="2" s="1"/>
  <c r="BB759" i="2" s="1"/>
  <c r="AC760" i="2"/>
  <c r="C764" i="2"/>
  <c r="AX764" i="2" s="1"/>
  <c r="M764" i="2" s="1"/>
  <c r="BC764" i="2" s="1"/>
  <c r="F762" i="2"/>
  <c r="AZ875" i="21398"/>
  <c r="BB875" i="21398" s="1"/>
  <c r="C880" i="21398"/>
  <c r="AX878" i="21398"/>
  <c r="AW878" i="21398"/>
  <c r="M876" i="21398"/>
  <c r="BC876" i="21398" s="1"/>
  <c r="AY876" i="21398"/>
  <c r="BA876" i="21398" s="1"/>
  <c r="BC886" i="21398"/>
  <c r="BC395" i="2"/>
  <c r="BA395" i="2"/>
  <c r="AT762" i="2"/>
  <c r="F764" i="2" l="1"/>
  <c r="C766" i="2"/>
  <c r="AX766" i="2" s="1"/>
  <c r="M766" i="2" s="1"/>
  <c r="BC766" i="2" s="1"/>
  <c r="AW764" i="2"/>
  <c r="AY764" i="2" s="1"/>
  <c r="BA764" i="2" s="1"/>
  <c r="AC762" i="2"/>
  <c r="AY878" i="21398"/>
  <c r="BA878" i="21398" s="1"/>
  <c r="M878" i="21398"/>
  <c r="BC878" i="21398" s="1"/>
  <c r="C882" i="21398"/>
  <c r="AX880" i="21398"/>
  <c r="AW880" i="21398"/>
  <c r="BC888" i="21398"/>
  <c r="BC397" i="2"/>
  <c r="BA397" i="2"/>
  <c r="AQ761" i="2"/>
  <c r="AT764" i="2"/>
  <c r="AQ763" i="2"/>
  <c r="AW766" i="2" l="1"/>
  <c r="AY766" i="2" s="1"/>
  <c r="BA766" i="2" s="1"/>
  <c r="AC764" i="2"/>
  <c r="F766" i="2"/>
  <c r="C768" i="2"/>
  <c r="AX768" i="2" s="1"/>
  <c r="M768" i="2" s="1"/>
  <c r="BC768" i="2" s="1"/>
  <c r="AY880" i="21398"/>
  <c r="BA880" i="21398" s="1"/>
  <c r="M880" i="21398"/>
  <c r="BC880" i="21398" s="1"/>
  <c r="AX882" i="21398"/>
  <c r="AW882" i="21398"/>
  <c r="C884" i="21398"/>
  <c r="BC890" i="21398"/>
  <c r="BB396" i="2"/>
  <c r="BA399" i="2"/>
  <c r="BC399" i="2"/>
  <c r="AT766" i="2"/>
  <c r="AQ765" i="2"/>
  <c r="AW768" i="2" l="1"/>
  <c r="AY768" i="2" s="1"/>
  <c r="BA768" i="2" s="1"/>
  <c r="C770" i="2"/>
  <c r="AX770" i="2" s="1"/>
  <c r="M770" i="2" s="1"/>
  <c r="BC770" i="2" s="1"/>
  <c r="J767" i="2"/>
  <c r="AX767" i="2" s="1"/>
  <c r="F768" i="2"/>
  <c r="AC766" i="2"/>
  <c r="M882" i="21398"/>
  <c r="BC882" i="21398" s="1"/>
  <c r="AY882" i="21398"/>
  <c r="BA882" i="21398" s="1"/>
  <c r="C886" i="21398"/>
  <c r="J883" i="21398"/>
  <c r="AW884" i="21398"/>
  <c r="AX884" i="21398"/>
  <c r="BA401" i="2"/>
  <c r="BC401" i="2"/>
  <c r="AQ767" i="2"/>
  <c r="AT768" i="2"/>
  <c r="AW767" i="2" l="1"/>
  <c r="AZ767" i="2" s="1"/>
  <c r="BB767" i="2" s="1"/>
  <c r="F770" i="2"/>
  <c r="C772" i="2"/>
  <c r="AX772" i="2" s="1"/>
  <c r="M772" i="2" s="1"/>
  <c r="BC772" i="2" s="1"/>
  <c r="AW770" i="2"/>
  <c r="AY770" i="2" s="1"/>
  <c r="BA770" i="2" s="1"/>
  <c r="AC768" i="2"/>
  <c r="AY884" i="21398"/>
  <c r="BA884" i="21398" s="1"/>
  <c r="AX883" i="21398"/>
  <c r="AW883" i="21398"/>
  <c r="AW886" i="21398"/>
  <c r="C888" i="21398"/>
  <c r="AX886" i="21398"/>
  <c r="BC403" i="2"/>
  <c r="BA403" i="2"/>
  <c r="BB404" i="2"/>
  <c r="AQ769" i="2"/>
  <c r="AT770" i="2"/>
  <c r="C774" i="2" l="1"/>
  <c r="AX774" i="2" s="1"/>
  <c r="M774" i="2" s="1"/>
  <c r="BC774" i="2" s="1"/>
  <c r="AW772" i="2"/>
  <c r="AY772" i="2" s="1"/>
  <c r="BA772" i="2" s="1"/>
  <c r="F772" i="2"/>
  <c r="AY886" i="21398"/>
  <c r="BA886" i="21398" s="1"/>
  <c r="C890" i="21398"/>
  <c r="AX888" i="21398"/>
  <c r="AW888" i="21398"/>
  <c r="AZ883" i="21398"/>
  <c r="BB883" i="21398" s="1"/>
  <c r="AX895" i="21398"/>
  <c r="AW895" i="21398"/>
  <c r="J775" i="2"/>
  <c r="AX775" i="2" s="1"/>
  <c r="BC405" i="2"/>
  <c r="BA405" i="2"/>
  <c r="AQ771" i="2"/>
  <c r="AT772" i="2"/>
  <c r="C776" i="2" l="1"/>
  <c r="AX776" i="2" s="1"/>
  <c r="M776" i="2" s="1"/>
  <c r="BC776" i="2" s="1"/>
  <c r="AW774" i="2"/>
  <c r="AY774" i="2" s="1"/>
  <c r="BA774" i="2" s="1"/>
  <c r="F774" i="2"/>
  <c r="AC772" i="2"/>
  <c r="AY888" i="21398"/>
  <c r="BA888" i="21398" s="1"/>
  <c r="C892" i="21398"/>
  <c r="AW890" i="21398"/>
  <c r="AX890" i="21398"/>
  <c r="AY890" i="21398" s="1"/>
  <c r="BA890" i="21398" s="1"/>
  <c r="J891" i="21398"/>
  <c r="AZ895" i="21398"/>
  <c r="BB895" i="21398" s="1"/>
  <c r="AX929" i="21398"/>
  <c r="AW929" i="21398"/>
  <c r="C778" i="2"/>
  <c r="AX778" i="2" s="1"/>
  <c r="AW775" i="2"/>
  <c r="AZ775" i="2" s="1"/>
  <c r="BB775" i="2" s="1"/>
  <c r="BA407" i="2"/>
  <c r="F339" i="21412"/>
  <c r="F343" i="21412"/>
  <c r="F342" i="21412"/>
  <c r="F340" i="21412"/>
  <c r="F338" i="21412"/>
  <c r="F341" i="21412"/>
  <c r="AT774" i="2"/>
  <c r="AQ773" i="2"/>
  <c r="AW776" i="2" l="1"/>
  <c r="AY776" i="2" s="1"/>
  <c r="BA776" i="2" s="1"/>
  <c r="F776" i="2"/>
  <c r="AC774" i="2"/>
  <c r="AW891" i="21398"/>
  <c r="AX891" i="21398"/>
  <c r="C894" i="21398"/>
  <c r="AW892" i="21398"/>
  <c r="AX892" i="21398"/>
  <c r="AZ929" i="21398"/>
  <c r="BB929" i="21398" s="1"/>
  <c r="AX933" i="21398"/>
  <c r="AW933" i="21398"/>
  <c r="M778" i="2"/>
  <c r="BC778" i="2" s="1"/>
  <c r="AW778" i="2"/>
  <c r="AY778" i="2" s="1"/>
  <c r="BA778" i="2" s="1"/>
  <c r="F778" i="2"/>
  <c r="C780" i="2"/>
  <c r="BA409" i="2"/>
  <c r="BC409" i="2"/>
  <c r="BC407" i="2"/>
  <c r="F205" i="21412"/>
  <c r="F212" i="21412"/>
  <c r="F160" i="21412"/>
  <c r="F198" i="21412"/>
  <c r="F9" i="21412"/>
  <c r="F92" i="21412"/>
  <c r="F166" i="21412"/>
  <c r="F233" i="21412"/>
  <c r="F183" i="21412"/>
  <c r="F152" i="21412"/>
  <c r="F139" i="21412"/>
  <c r="F274" i="21412"/>
  <c r="F178" i="21412"/>
  <c r="F302" i="21412"/>
  <c r="F66" i="21412"/>
  <c r="F29" i="21412"/>
  <c r="F294" i="21412"/>
  <c r="F312" i="21412"/>
  <c r="F206" i="21412"/>
  <c r="F287" i="21412"/>
  <c r="F148" i="21412"/>
  <c r="F197" i="21412"/>
  <c r="F261" i="21412"/>
  <c r="F116" i="21412"/>
  <c r="F103" i="21412"/>
  <c r="F18" i="21412"/>
  <c r="F115" i="21412"/>
  <c r="F106" i="21412"/>
  <c r="F250" i="21412"/>
  <c r="F97" i="21412"/>
  <c r="F187" i="21412"/>
  <c r="F242" i="21412"/>
  <c r="F267" i="21412"/>
  <c r="F105" i="21412"/>
  <c r="F111" i="21412"/>
  <c r="F28" i="21412"/>
  <c r="F283" i="21412"/>
  <c r="F255" i="21412"/>
  <c r="F315" i="21412"/>
  <c r="F317" i="21412"/>
  <c r="F62" i="21412"/>
  <c r="F117" i="21412"/>
  <c r="F31" i="21412"/>
  <c r="F109" i="21412"/>
  <c r="F307" i="21412"/>
  <c r="F8" i="21412"/>
  <c r="F301" i="21412"/>
  <c r="F72" i="21412"/>
  <c r="F243" i="21412"/>
  <c r="F289" i="21412"/>
  <c r="F179" i="21412"/>
  <c r="F154" i="21412"/>
  <c r="F90" i="21412"/>
  <c r="F203" i="21412"/>
  <c r="F145" i="21412"/>
  <c r="F257" i="21412"/>
  <c r="F96" i="21412"/>
  <c r="F53" i="21412"/>
  <c r="F286" i="21412"/>
  <c r="F33" i="21412"/>
  <c r="F121" i="21412"/>
  <c r="F34" i="21412"/>
  <c r="F258" i="21412"/>
  <c r="F134" i="21412"/>
  <c r="F27" i="21412"/>
  <c r="F63" i="21412"/>
  <c r="F119" i="21412"/>
  <c r="F4" i="21412"/>
  <c r="F16" i="21412"/>
  <c r="F299" i="21412"/>
  <c r="F185" i="21412"/>
  <c r="F244" i="21412"/>
  <c r="F112" i="21412"/>
  <c r="F221" i="21412"/>
  <c r="F158" i="21412"/>
  <c r="F305" i="21412"/>
  <c r="F85" i="21412"/>
  <c r="F157" i="21412"/>
  <c r="F254" i="21412"/>
  <c r="F297" i="21412"/>
  <c r="F278" i="21412"/>
  <c r="F74" i="21412"/>
  <c r="F83" i="21412"/>
  <c r="F54" i="21412"/>
  <c r="F322" i="21412"/>
  <c r="F123" i="21412"/>
  <c r="F188" i="21412"/>
  <c r="F199" i="21412"/>
  <c r="F310" i="21412"/>
  <c r="F226" i="21412"/>
  <c r="F64" i="21412"/>
  <c r="F279" i="21412"/>
  <c r="F51" i="21412"/>
  <c r="F60" i="21412"/>
  <c r="F130" i="21412"/>
  <c r="F49" i="21412"/>
  <c r="F220" i="21412"/>
  <c r="F213" i="21412"/>
  <c r="F273" i="21412"/>
  <c r="F23" i="21412"/>
  <c r="F17" i="21412"/>
  <c r="F207" i="21412"/>
  <c r="F21" i="21412"/>
  <c r="F276" i="21412"/>
  <c r="F306" i="21412"/>
  <c r="F176" i="21412"/>
  <c r="F19" i="21412"/>
  <c r="F136" i="21412"/>
  <c r="F7" i="21412"/>
  <c r="F269" i="21412"/>
  <c r="F40" i="21412"/>
  <c r="F214" i="21412"/>
  <c r="F149" i="21412"/>
  <c r="F5" i="21412"/>
  <c r="F237" i="21412"/>
  <c r="F91" i="21412"/>
  <c r="F181" i="21412"/>
  <c r="F277" i="21412"/>
  <c r="F263" i="21412"/>
  <c r="F65" i="21412"/>
  <c r="F173" i="21412"/>
  <c r="F174" i="21412"/>
  <c r="F246" i="21412"/>
  <c r="F35" i="21412"/>
  <c r="F208" i="21412"/>
  <c r="F218" i="21412"/>
  <c r="F321" i="21412"/>
  <c r="F78" i="21412"/>
  <c r="F316" i="21412"/>
  <c r="F73" i="21412"/>
  <c r="F325" i="21412"/>
  <c r="F223" i="21412"/>
  <c r="F308" i="21412"/>
  <c r="F282" i="21412"/>
  <c r="F169" i="21412"/>
  <c r="F284" i="21412"/>
  <c r="F122" i="21412"/>
  <c r="F319" i="21412"/>
  <c r="F159" i="21412"/>
  <c r="F129" i="21412"/>
  <c r="F113" i="21412"/>
  <c r="F290" i="21412"/>
  <c r="F30" i="21412"/>
  <c r="F107" i="21412"/>
  <c r="F45" i="21412"/>
  <c r="F201" i="21412"/>
  <c r="F147" i="21412"/>
  <c r="F39" i="21412"/>
  <c r="F10" i="21412"/>
  <c r="F200" i="21412"/>
  <c r="F324" i="21412"/>
  <c r="F239" i="21412"/>
  <c r="F104" i="21412"/>
  <c r="F77" i="21412"/>
  <c r="F89" i="21412"/>
  <c r="F128" i="21412"/>
  <c r="F88" i="21412"/>
  <c r="F135" i="21412"/>
  <c r="F216" i="21412"/>
  <c r="F309" i="21412"/>
  <c r="F260" i="21412"/>
  <c r="F12" i="21412"/>
  <c r="F43" i="21412"/>
  <c r="F265" i="21412"/>
  <c r="F280" i="21412"/>
  <c r="F95" i="21412"/>
  <c r="F323" i="21412"/>
  <c r="F268" i="21412"/>
  <c r="F20" i="21412"/>
  <c r="F247" i="21412"/>
  <c r="F293" i="21412"/>
  <c r="F76" i="21412"/>
  <c r="F24" i="21412"/>
  <c r="F32" i="21412"/>
  <c r="F146" i="21412"/>
  <c r="F47" i="21412"/>
  <c r="F137" i="21412"/>
  <c r="F6" i="21412"/>
  <c r="F234" i="21412"/>
  <c r="F153" i="21412"/>
  <c r="F172" i="21412"/>
  <c r="F262" i="21412"/>
  <c r="F182" i="21412"/>
  <c r="F61" i="21412"/>
  <c r="F191" i="21412"/>
  <c r="F230" i="21412"/>
  <c r="F195" i="21412"/>
  <c r="F2" i="21412"/>
  <c r="F133" i="21412"/>
  <c r="F94" i="21412"/>
  <c r="F313" i="21412"/>
  <c r="F224" i="21412"/>
  <c r="F101" i="21412"/>
  <c r="F50" i="21412"/>
  <c r="F118" i="21412"/>
  <c r="F114" i="21412"/>
  <c r="F55" i="21412"/>
  <c r="F69" i="21412"/>
  <c r="F84" i="21412"/>
  <c r="F186" i="21412"/>
  <c r="F225" i="21412"/>
  <c r="F184" i="21412"/>
  <c r="F171" i="21412"/>
  <c r="F249" i="21412"/>
  <c r="F238" i="21412"/>
  <c r="F144" i="21412"/>
  <c r="F202" i="21412"/>
  <c r="F256" i="21412"/>
  <c r="F295" i="21412"/>
  <c r="F264" i="21412"/>
  <c r="F162" i="21412"/>
  <c r="F300" i="21412"/>
  <c r="F138" i="21412"/>
  <c r="F240" i="21412"/>
  <c r="F79" i="21412"/>
  <c r="F11" i="21412"/>
  <c r="F151" i="21412"/>
  <c r="F204" i="21412"/>
  <c r="F86" i="21412"/>
  <c r="F217" i="21412"/>
  <c r="F271" i="21412"/>
  <c r="F252" i="21412"/>
  <c r="F70" i="21412"/>
  <c r="F210" i="21412"/>
  <c r="F196" i="21412"/>
  <c r="F120" i="21412"/>
  <c r="F98" i="21412"/>
  <c r="F42" i="21412"/>
  <c r="F100" i="21412"/>
  <c r="F281" i="21412"/>
  <c r="F228" i="21412"/>
  <c r="F81" i="21412"/>
  <c r="F211" i="21412"/>
  <c r="F26" i="21412"/>
  <c r="F155" i="21412"/>
  <c r="F177" i="21412"/>
  <c r="F46" i="21412"/>
  <c r="F75" i="21412"/>
  <c r="F235" i="21412"/>
  <c r="F163" i="21412"/>
  <c r="F227" i="21412"/>
  <c r="F288" i="21412"/>
  <c r="F272" i="21412"/>
  <c r="F164" i="21412"/>
  <c r="F15" i="21412"/>
  <c r="F13" i="21412"/>
  <c r="F3" i="21412"/>
  <c r="F99" i="21412"/>
  <c r="F41" i="21412"/>
  <c r="F320" i="21412"/>
  <c r="F298" i="21412"/>
  <c r="F143" i="21412"/>
  <c r="F87" i="21412"/>
  <c r="F232" i="21412"/>
  <c r="F156" i="21412"/>
  <c r="F167" i="21412"/>
  <c r="F141" i="21412"/>
  <c r="F126" i="21412"/>
  <c r="F275" i="21412"/>
  <c r="F127" i="21412"/>
  <c r="F270" i="21412"/>
  <c r="F285" i="21412"/>
  <c r="F110" i="21412"/>
  <c r="F314" i="21412"/>
  <c r="F71" i="21412"/>
  <c r="F175" i="21412"/>
  <c r="F296" i="21412"/>
  <c r="F80" i="21412"/>
  <c r="F190" i="21412"/>
  <c r="F93" i="21412"/>
  <c r="F108" i="21412"/>
  <c r="F304" i="21412"/>
  <c r="F236" i="21412"/>
  <c r="F68" i="21412"/>
  <c r="F37" i="21412"/>
  <c r="F229" i="21412"/>
  <c r="F48" i="21412"/>
  <c r="F209" i="21412"/>
  <c r="F36" i="21412"/>
  <c r="F57" i="21412"/>
  <c r="F311" i="21412"/>
  <c r="F248" i="21412"/>
  <c r="F58" i="21412"/>
  <c r="F180" i="21412"/>
  <c r="F52" i="21412"/>
  <c r="F59" i="21412"/>
  <c r="F14" i="21412"/>
  <c r="F125" i="21412"/>
  <c r="F165" i="21412"/>
  <c r="F222" i="21412"/>
  <c r="F161" i="21412"/>
  <c r="F44" i="21412"/>
  <c r="F259" i="21412"/>
  <c r="F303" i="21412"/>
  <c r="F292" i="21412"/>
  <c r="F189" i="21412"/>
  <c r="F251" i="21412"/>
  <c r="F67" i="21412"/>
  <c r="F56" i="21412"/>
  <c r="F219" i="21412"/>
  <c r="F22" i="21412"/>
  <c r="F142" i="21412"/>
  <c r="F124" i="21412"/>
  <c r="F266" i="21412"/>
  <c r="F194" i="21412"/>
  <c r="F253" i="21412"/>
  <c r="F215" i="21412"/>
  <c r="F245" i="21412"/>
  <c r="F193" i="21412"/>
  <c r="F140" i="21412"/>
  <c r="F241" i="21412"/>
  <c r="F102" i="21412"/>
  <c r="F170" i="21412"/>
  <c r="F131" i="21412"/>
  <c r="F25" i="21412"/>
  <c r="F132" i="21412"/>
  <c r="F318" i="21412"/>
  <c r="F192" i="21412"/>
  <c r="F231" i="21412"/>
  <c r="F82" i="21412"/>
  <c r="F291" i="21412"/>
  <c r="F150" i="21412"/>
  <c r="F38" i="21412"/>
  <c r="F168" i="21412"/>
  <c r="AT776" i="2"/>
  <c r="AQ775" i="2"/>
  <c r="AT778" i="2"/>
  <c r="AQ777" i="2"/>
  <c r="AC776" i="2" l="1"/>
  <c r="AZ891" i="21398"/>
  <c r="BB891" i="21398" s="1"/>
  <c r="AX894" i="21398"/>
  <c r="C896" i="21398"/>
  <c r="AW894" i="21398"/>
  <c r="M892" i="21398"/>
  <c r="BC892" i="21398" s="1"/>
  <c r="AY892" i="21398"/>
  <c r="BA892" i="21398" s="1"/>
  <c r="AZ933" i="21398"/>
  <c r="BB933" i="21398" s="1"/>
  <c r="J779" i="2"/>
  <c r="AX779" i="2" s="1"/>
  <c r="AX780" i="2"/>
  <c r="M780" i="2" s="1"/>
  <c r="BC780" i="2" s="1"/>
  <c r="AC778" i="2"/>
  <c r="F780" i="2"/>
  <c r="C782" i="2"/>
  <c r="AW780" i="2"/>
  <c r="BB408" i="2"/>
  <c r="BC411" i="2"/>
  <c r="BA411" i="2"/>
  <c r="AQ779" i="2"/>
  <c r="AT780" i="2"/>
  <c r="AX896" i="21398" l="1"/>
  <c r="AW896" i="21398"/>
  <c r="C898" i="21398"/>
  <c r="C900" i="21398" s="1"/>
  <c r="C902" i="21398" s="1"/>
  <c r="M894" i="21398"/>
  <c r="BC894" i="21398" s="1"/>
  <c r="AY894" i="21398"/>
  <c r="BA894" i="21398" s="1"/>
  <c r="AX782" i="2"/>
  <c r="BA782" i="2" s="1"/>
  <c r="AW782" i="2"/>
  <c r="AW779" i="2"/>
  <c r="AZ779" i="2" s="1"/>
  <c r="BB779" i="2" s="1"/>
  <c r="AY780" i="2"/>
  <c r="BA780" i="2" s="1"/>
  <c r="AC780" i="2"/>
  <c r="C784" i="2"/>
  <c r="F782" i="2"/>
  <c r="BB414" i="2"/>
  <c r="BC413" i="2"/>
  <c r="BA413" i="2"/>
  <c r="AT782" i="2"/>
  <c r="C904" i="21398" l="1"/>
  <c r="C906" i="21398" s="1"/>
  <c r="C908" i="21398" s="1"/>
  <c r="C910" i="21398" s="1"/>
  <c r="C912" i="21398" s="1"/>
  <c r="C914" i="21398" s="1"/>
  <c r="C916" i="21398" s="1"/>
  <c r="C918" i="21398" s="1"/>
  <c r="C920" i="21398" s="1"/>
  <c r="C922" i="21398" s="1"/>
  <c r="C924" i="21398" s="1"/>
  <c r="C926" i="21398" s="1"/>
  <c r="C928" i="21398" s="1"/>
  <c r="C930" i="21398" s="1"/>
  <c r="AX902" i="21398"/>
  <c r="AW902" i="21398"/>
  <c r="AY896" i="21398"/>
  <c r="BA896" i="21398" s="1"/>
  <c r="M896" i="21398"/>
  <c r="BC896" i="21398" s="1"/>
  <c r="J785" i="2"/>
  <c r="AX785" i="2" s="1"/>
  <c r="AX784" i="2"/>
  <c r="BA784" i="2" s="1"/>
  <c r="AW784" i="2"/>
  <c r="AC782" i="2"/>
  <c r="F784" i="2"/>
  <c r="C786" i="2"/>
  <c r="AX786" i="2" s="1"/>
  <c r="BA415" i="2"/>
  <c r="BC415" i="2"/>
  <c r="AT784" i="2"/>
  <c r="AQ781" i="2"/>
  <c r="AY902" i="21398" l="1"/>
  <c r="BA902" i="21398" s="1"/>
  <c r="M902" i="21398"/>
  <c r="BC902" i="21398" s="1"/>
  <c r="C932" i="21398"/>
  <c r="C934" i="21398" s="1"/>
  <c r="AX930" i="21398"/>
  <c r="AW930" i="21398"/>
  <c r="AW785" i="2"/>
  <c r="AZ785" i="2" s="1"/>
  <c r="BB785" i="2" s="1"/>
  <c r="AC784" i="2"/>
  <c r="C788" i="2"/>
  <c r="AW786" i="2"/>
  <c r="AY786" i="2" s="1"/>
  <c r="BA786" i="2" s="1"/>
  <c r="F786" i="2"/>
  <c r="M786" i="2"/>
  <c r="BC786" i="2" s="1"/>
  <c r="BC417" i="2"/>
  <c r="BA417" i="2"/>
  <c r="AQ785" i="2"/>
  <c r="AT786" i="2"/>
  <c r="AQ783" i="2"/>
  <c r="AY930" i="21398" l="1"/>
  <c r="BA930" i="21398" s="1"/>
  <c r="M930" i="21398"/>
  <c r="BC930" i="21398" s="1"/>
  <c r="AX934" i="21398"/>
  <c r="C936" i="21398"/>
  <c r="AW934" i="21398"/>
  <c r="J787" i="2"/>
  <c r="AX787" i="2" s="1"/>
  <c r="AX788" i="2"/>
  <c r="AC786" i="2"/>
  <c r="AW788" i="2"/>
  <c r="F788" i="2"/>
  <c r="C790" i="2"/>
  <c r="BB416" i="2"/>
  <c r="BA419" i="2"/>
  <c r="BC419" i="2"/>
  <c r="AT788" i="2"/>
  <c r="AW936" i="21398" l="1"/>
  <c r="AX936" i="21398"/>
  <c r="C938" i="21398"/>
  <c r="AY934" i="21398"/>
  <c r="BA934" i="21398" s="1"/>
  <c r="M934" i="21398"/>
  <c r="BC934" i="21398" s="1"/>
  <c r="AX790" i="2"/>
  <c r="M790" i="2" s="1"/>
  <c r="BC790" i="2" s="1"/>
  <c r="C792" i="2"/>
  <c r="J791" i="2" s="1"/>
  <c r="AY788" i="2"/>
  <c r="BA788" i="2" s="1"/>
  <c r="M788" i="2"/>
  <c r="BC788" i="2" s="1"/>
  <c r="AW787" i="2"/>
  <c r="AZ787" i="2" s="1"/>
  <c r="BB787" i="2" s="1"/>
  <c r="AC788" i="2"/>
  <c r="F790" i="2"/>
  <c r="AW790" i="2"/>
  <c r="BC421" i="2"/>
  <c r="BA421" i="2"/>
  <c r="AQ787" i="2"/>
  <c r="AT790" i="2"/>
  <c r="AQ789" i="2"/>
  <c r="C940" i="21398" l="1"/>
  <c r="AX938" i="21398"/>
  <c r="AW938" i="21398"/>
  <c r="J938" i="21398"/>
  <c r="AY936" i="21398"/>
  <c r="BA936" i="21398" s="1"/>
  <c r="M936" i="21398"/>
  <c r="BC936" i="21398" s="1"/>
  <c r="AC790" i="2"/>
  <c r="AX791" i="2"/>
  <c r="AW791" i="2"/>
  <c r="AY790" i="2"/>
  <c r="BA790" i="2" s="1"/>
  <c r="AX792" i="2"/>
  <c r="BA423" i="2"/>
  <c r="BC423" i="2"/>
  <c r="AY938" i="21398" l="1"/>
  <c r="BA938" i="21398" s="1"/>
  <c r="M938" i="21398"/>
  <c r="BC938" i="21398" s="1"/>
  <c r="AZ938" i="21398"/>
  <c r="BB938" i="21398" s="1"/>
  <c r="AX940" i="21398"/>
  <c r="J939" i="21398"/>
  <c r="C942" i="21398"/>
  <c r="AW940" i="21398"/>
  <c r="AZ791" i="2"/>
  <c r="BB791" i="2" s="1"/>
  <c r="C794" i="2"/>
  <c r="M792" i="2"/>
  <c r="BC792" i="2" s="1"/>
  <c r="AW792" i="2"/>
  <c r="AY792" i="2" s="1"/>
  <c r="BA792" i="2" s="1"/>
  <c r="F792" i="2"/>
  <c r="BC425" i="2"/>
  <c r="BA425" i="2"/>
  <c r="AT792" i="2"/>
  <c r="AY940" i="21398" l="1"/>
  <c r="BA940" i="21398" s="1"/>
  <c r="M940" i="21398"/>
  <c r="BC940" i="21398" s="1"/>
  <c r="AX942" i="21398"/>
  <c r="AW942" i="21398"/>
  <c r="C944" i="21398"/>
  <c r="AW939" i="21398"/>
  <c r="AX939" i="21398"/>
  <c r="AX794" i="2"/>
  <c r="M794" i="2" s="1"/>
  <c r="BC794" i="2" s="1"/>
  <c r="C796" i="2"/>
  <c r="AC792" i="2"/>
  <c r="F794" i="2"/>
  <c r="AW794" i="2"/>
  <c r="BA427" i="2"/>
  <c r="BC427" i="2"/>
  <c r="AQ791" i="2"/>
  <c r="AQ793" i="2"/>
  <c r="AT794" i="2"/>
  <c r="AZ939" i="21398" l="1"/>
  <c r="BB939" i="21398" s="1"/>
  <c r="M942" i="21398"/>
  <c r="BC942" i="21398" s="1"/>
  <c r="AY942" i="21398"/>
  <c r="BA942" i="21398" s="1"/>
  <c r="AW944" i="21398"/>
  <c r="C946" i="21398"/>
  <c r="C948" i="21398" s="1"/>
  <c r="C950" i="21398" s="1"/>
  <c r="AX944" i="21398"/>
  <c r="AY794" i="2"/>
  <c r="BA794" i="2" s="1"/>
  <c r="AX796" i="2"/>
  <c r="BC429" i="2"/>
  <c r="BA429" i="2"/>
  <c r="AY944" i="21398" l="1"/>
  <c r="BA944" i="21398" s="1"/>
  <c r="M944" i="21398"/>
  <c r="BC944" i="21398" s="1"/>
  <c r="J951" i="21398"/>
  <c r="C952" i="21398"/>
  <c r="AW950" i="21398"/>
  <c r="AX950" i="21398"/>
  <c r="F796" i="2"/>
  <c r="C798" i="2"/>
  <c r="AX798" i="2" s="1"/>
  <c r="M796" i="2"/>
  <c r="BC796" i="2" s="1"/>
  <c r="AW796" i="2"/>
  <c r="AY796" i="2" s="1"/>
  <c r="BA796" i="2" s="1"/>
  <c r="BA431" i="2"/>
  <c r="BC431" i="2"/>
  <c r="AT796" i="2"/>
  <c r="M950" i="21398" l="1"/>
  <c r="BC950" i="21398" s="1"/>
  <c r="AY950" i="21398"/>
  <c r="BA950" i="21398" s="1"/>
  <c r="C954" i="21398"/>
  <c r="AW952" i="21398"/>
  <c r="AX952" i="21398"/>
  <c r="AW951" i="21398"/>
  <c r="AX951" i="21398"/>
  <c r="AC796" i="2"/>
  <c r="J799" i="2"/>
  <c r="AX799" i="2" s="1"/>
  <c r="M798" i="2"/>
  <c r="BC798" i="2" s="1"/>
  <c r="F798" i="2"/>
  <c r="AW798" i="2"/>
  <c r="AY798" i="2" s="1"/>
  <c r="BA798" i="2" s="1"/>
  <c r="C800" i="2"/>
  <c r="AX800" i="2" s="1"/>
  <c r="BC433" i="2"/>
  <c r="BA433" i="2"/>
  <c r="AT798" i="2"/>
  <c r="AQ797" i="2"/>
  <c r="AZ951" i="21398" l="1"/>
  <c r="BB951" i="21398" s="1"/>
  <c r="AX954" i="21398"/>
  <c r="AW954" i="21398"/>
  <c r="C956" i="21398"/>
  <c r="J953" i="21398"/>
  <c r="AY952" i="21398"/>
  <c r="BA952" i="21398" s="1"/>
  <c r="M952" i="21398"/>
  <c r="BC952" i="21398" s="1"/>
  <c r="AC798" i="2"/>
  <c r="AW800" i="2"/>
  <c r="AY800" i="2" s="1"/>
  <c r="BA800" i="2" s="1"/>
  <c r="F800" i="2"/>
  <c r="C802" i="2"/>
  <c r="AX802" i="2" s="1"/>
  <c r="M800" i="2"/>
  <c r="BC800" i="2" s="1"/>
  <c r="AW799" i="2"/>
  <c r="AZ799" i="2" s="1"/>
  <c r="BB799" i="2" s="1"/>
  <c r="BB436" i="2"/>
  <c r="BA435" i="2"/>
  <c r="BC435" i="2"/>
  <c r="AT800" i="2"/>
  <c r="AQ795" i="2"/>
  <c r="AW953" i="21398" l="1"/>
  <c r="AX953" i="21398"/>
  <c r="C958" i="21398"/>
  <c r="AW956" i="21398"/>
  <c r="AX956" i="21398"/>
  <c r="AY954" i="21398"/>
  <c r="BA954" i="21398" s="1"/>
  <c r="M954" i="21398"/>
  <c r="BC954" i="21398" s="1"/>
  <c r="AC800" i="2"/>
  <c r="M802" i="2"/>
  <c r="BC802" i="2" s="1"/>
  <c r="AW802" i="2"/>
  <c r="AY802" i="2" s="1"/>
  <c r="BA802" i="2" s="1"/>
  <c r="F802" i="2"/>
  <c r="C804" i="2"/>
  <c r="BC437" i="2"/>
  <c r="BA437" i="2"/>
  <c r="AQ801" i="2"/>
  <c r="AQ799" i="2"/>
  <c r="AT802" i="2"/>
  <c r="AZ953" i="21398" l="1"/>
  <c r="BB953" i="21398" s="1"/>
  <c r="AW958" i="21398"/>
  <c r="J959" i="21398"/>
  <c r="AX958" i="21398"/>
  <c r="C960" i="21398"/>
  <c r="M956" i="21398"/>
  <c r="BC956" i="21398" s="1"/>
  <c r="AY956" i="21398"/>
  <c r="BA956" i="21398" s="1"/>
  <c r="AX803" i="2"/>
  <c r="AX804" i="2"/>
  <c r="AC802" i="2"/>
  <c r="AW804" i="2"/>
  <c r="F804" i="2"/>
  <c r="C806" i="2"/>
  <c r="BC439" i="2"/>
  <c r="BA439" i="2"/>
  <c r="AT804" i="2"/>
  <c r="AQ803" i="2"/>
  <c r="AX960" i="21398" l="1"/>
  <c r="C962" i="21398"/>
  <c r="AW960" i="21398"/>
  <c r="M958" i="21398"/>
  <c r="BC958" i="21398" s="1"/>
  <c r="AY958" i="21398"/>
  <c r="BA958" i="21398" s="1"/>
  <c r="AW959" i="21398"/>
  <c r="AX959" i="21398"/>
  <c r="AX806" i="2"/>
  <c r="M806" i="2" s="1"/>
  <c r="BC806" i="2" s="1"/>
  <c r="J805" i="2"/>
  <c r="AY804" i="2"/>
  <c r="BA804" i="2" s="1"/>
  <c r="AW803" i="2"/>
  <c r="AZ803" i="2" s="1"/>
  <c r="BB803" i="2" s="1"/>
  <c r="M804" i="2"/>
  <c r="BC804" i="2" s="1"/>
  <c r="AC804" i="2"/>
  <c r="AW806" i="2"/>
  <c r="C808" i="2"/>
  <c r="F806" i="2"/>
  <c r="AT806" i="2"/>
  <c r="AZ959" i="21398" l="1"/>
  <c r="BB959" i="21398" s="1"/>
  <c r="C964" i="21398"/>
  <c r="AW962" i="21398"/>
  <c r="AX962" i="21398"/>
  <c r="M960" i="21398"/>
  <c r="BC960" i="21398" s="1"/>
  <c r="AY960" i="21398"/>
  <c r="BA960" i="21398" s="1"/>
  <c r="AY806" i="2"/>
  <c r="BA806" i="2" s="1"/>
  <c r="AX805" i="2"/>
  <c r="AW805" i="2"/>
  <c r="AX809" i="2"/>
  <c r="AX808" i="2"/>
  <c r="AC806" i="2"/>
  <c r="AW808" i="2"/>
  <c r="C810" i="2"/>
  <c r="AX810" i="2" s="1"/>
  <c r="F808" i="2"/>
  <c r="AQ807" i="2"/>
  <c r="AQ805" i="2"/>
  <c r="M962" i="21398" l="1"/>
  <c r="BC962" i="21398" s="1"/>
  <c r="AY962" i="21398"/>
  <c r="BA962" i="21398" s="1"/>
  <c r="C966" i="21398"/>
  <c r="AX964" i="21398"/>
  <c r="AW964" i="21398"/>
  <c r="AZ805" i="2"/>
  <c r="BB805" i="2" s="1"/>
  <c r="AY808" i="2"/>
  <c r="BA808" i="2" s="1"/>
  <c r="AW809" i="2"/>
  <c r="AZ809" i="2" s="1"/>
  <c r="BB809" i="2" s="1"/>
  <c r="M808" i="2"/>
  <c r="BC808" i="2" s="1"/>
  <c r="AW810" i="2"/>
  <c r="AY810" i="2" s="1"/>
  <c r="BA810" i="2" s="1"/>
  <c r="F810" i="2"/>
  <c r="C812" i="2"/>
  <c r="AX812" i="2" s="1"/>
  <c r="M810" i="2"/>
  <c r="BC810" i="2" s="1"/>
  <c r="AT810" i="2"/>
  <c r="AQ809" i="2"/>
  <c r="AT808" i="2"/>
  <c r="AC808" i="2" l="1"/>
  <c r="AY964" i="21398"/>
  <c r="BA964" i="21398" s="1"/>
  <c r="M964" i="21398"/>
  <c r="BC964" i="21398" s="1"/>
  <c r="AW966" i="21398"/>
  <c r="AX966" i="21398"/>
  <c r="C968" i="21398"/>
  <c r="AC810" i="2"/>
  <c r="AW812" i="2"/>
  <c r="AY812" i="2" s="1"/>
  <c r="BA812" i="2" s="1"/>
  <c r="F812" i="2"/>
  <c r="M812" i="2"/>
  <c r="BC812" i="2" s="1"/>
  <c r="C814" i="2"/>
  <c r="AX814" i="2" s="1"/>
  <c r="AT812" i="2"/>
  <c r="AQ811" i="2"/>
  <c r="AY966" i="21398" l="1"/>
  <c r="BA966" i="21398" s="1"/>
  <c r="M966" i="21398"/>
  <c r="BC966" i="21398" s="1"/>
  <c r="J967" i="21398"/>
  <c r="AW968" i="21398"/>
  <c r="C970" i="21398"/>
  <c r="AX968" i="21398"/>
  <c r="AC812" i="2"/>
  <c r="F814" i="2"/>
  <c r="C816" i="2"/>
  <c r="AX816" i="2" s="1"/>
  <c r="M814" i="2"/>
  <c r="BC814" i="2" s="1"/>
  <c r="AW814" i="2"/>
  <c r="AY814" i="2" s="1"/>
  <c r="BA814" i="2" s="1"/>
  <c r="AT814" i="2"/>
  <c r="AY968" i="21398" l="1"/>
  <c r="BA968" i="21398" s="1"/>
  <c r="M968" i="21398"/>
  <c r="BC968" i="21398" s="1"/>
  <c r="AX967" i="21398"/>
  <c r="AW967" i="21398"/>
  <c r="AX970" i="21398"/>
  <c r="C972" i="21398"/>
  <c r="AW970" i="21398"/>
  <c r="AC814" i="2"/>
  <c r="C818" i="2"/>
  <c r="M816" i="2"/>
  <c r="BC816" i="2" s="1"/>
  <c r="AW816" i="2"/>
  <c r="AY816" i="2" s="1"/>
  <c r="BA816" i="2" s="1"/>
  <c r="F816" i="2"/>
  <c r="AQ813" i="2"/>
  <c r="AQ815" i="2"/>
  <c r="AZ967" i="21398" l="1"/>
  <c r="BB967" i="21398" s="1"/>
  <c r="AX972" i="21398"/>
  <c r="C974" i="21398"/>
  <c r="AW972" i="21398"/>
  <c r="AY970" i="21398"/>
  <c r="BA970" i="21398" s="1"/>
  <c r="M970" i="21398"/>
  <c r="BC970" i="21398" s="1"/>
  <c r="J817" i="2"/>
  <c r="AX817" i="2" s="1"/>
  <c r="AX818" i="2"/>
  <c r="C822" i="2"/>
  <c r="F818" i="2"/>
  <c r="AW818" i="2"/>
  <c r="AT816" i="2"/>
  <c r="AQ817" i="2"/>
  <c r="AC816" i="2" l="1"/>
  <c r="C976" i="21398"/>
  <c r="AX974" i="21398"/>
  <c r="J975" i="21398"/>
  <c r="AW974" i="21398"/>
  <c r="AY972" i="21398"/>
  <c r="BA972" i="21398" s="1"/>
  <c r="M972" i="21398"/>
  <c r="BC972" i="21398" s="1"/>
  <c r="AX822" i="2"/>
  <c r="AW822" i="2"/>
  <c r="C824" i="2"/>
  <c r="C820" i="2"/>
  <c r="AY818" i="2"/>
  <c r="BA818" i="2" s="1"/>
  <c r="M818" i="2"/>
  <c r="BC818" i="2" s="1"/>
  <c r="AW817" i="2"/>
  <c r="AZ817" i="2" s="1"/>
  <c r="BB817" i="2" s="1"/>
  <c r="J823" i="2"/>
  <c r="F822" i="2"/>
  <c r="AT818" i="2"/>
  <c r="AQ819" i="2"/>
  <c r="AC818" i="2" l="1"/>
  <c r="AX975" i="21398"/>
  <c r="AW975" i="21398"/>
  <c r="M974" i="21398"/>
  <c r="BC974" i="21398" s="1"/>
  <c r="AY974" i="21398"/>
  <c r="BA974" i="21398" s="1"/>
  <c r="C978" i="21398"/>
  <c r="AX976" i="21398"/>
  <c r="AW976" i="21398"/>
  <c r="AX824" i="2"/>
  <c r="AW824" i="2"/>
  <c r="C826" i="2"/>
  <c r="F826" i="2" s="1"/>
  <c r="J821" i="2"/>
  <c r="AX823" i="2"/>
  <c r="AW823" i="2"/>
  <c r="AX820" i="2"/>
  <c r="AW820" i="2"/>
  <c r="AY822" i="2"/>
  <c r="BA822" i="2" s="1"/>
  <c r="M822" i="2"/>
  <c r="BC822" i="2" s="1"/>
  <c r="AT826" i="2"/>
  <c r="AT822" i="2"/>
  <c r="AQ823" i="2"/>
  <c r="AY976" i="21398" l="1"/>
  <c r="BA976" i="21398" s="1"/>
  <c r="M976" i="21398"/>
  <c r="BC976" i="21398" s="1"/>
  <c r="C980" i="21398"/>
  <c r="AW978" i="21398"/>
  <c r="AX978" i="21398"/>
  <c r="AZ975" i="21398"/>
  <c r="BB975" i="21398" s="1"/>
  <c r="AZ823" i="2"/>
  <c r="BB823" i="2" s="1"/>
  <c r="AW826" i="2"/>
  <c r="C828" i="2"/>
  <c r="F828" i="2" s="1"/>
  <c r="AX826" i="2"/>
  <c r="AX821" i="2"/>
  <c r="AW821" i="2"/>
  <c r="AY820" i="2"/>
  <c r="M820" i="2"/>
  <c r="BC820" i="2" s="1"/>
  <c r="AY824" i="2"/>
  <c r="BA824" i="2" s="1"/>
  <c r="M824" i="2"/>
  <c r="BC824" i="2" s="1"/>
  <c r="AC826" i="2"/>
  <c r="AT828" i="2"/>
  <c r="AQ827" i="2"/>
  <c r="AW980" i="21398" l="1"/>
  <c r="C982" i="21398"/>
  <c r="AX980" i="21398"/>
  <c r="M978" i="21398"/>
  <c r="BC978" i="21398" s="1"/>
  <c r="AY978" i="21398"/>
  <c r="BA978" i="21398" s="1"/>
  <c r="AZ821" i="2"/>
  <c r="BB821" i="2" s="1"/>
  <c r="AX828" i="2"/>
  <c r="AW828" i="2"/>
  <c r="C830" i="2"/>
  <c r="AY826" i="2"/>
  <c r="BA826" i="2" s="1"/>
  <c r="M826" i="2"/>
  <c r="BC826" i="2" s="1"/>
  <c r="AY980" i="21398" l="1"/>
  <c r="BA980" i="21398" s="1"/>
  <c r="M980" i="21398"/>
  <c r="BC980" i="21398" s="1"/>
  <c r="AW982" i="21398"/>
  <c r="AX982" i="21398"/>
  <c r="C984" i="21398"/>
  <c r="AY828" i="2"/>
  <c r="BA828" i="2" s="1"/>
  <c r="M828" i="2"/>
  <c r="BC828" i="2" s="1"/>
  <c r="AX830" i="2"/>
  <c r="AW830" i="2"/>
  <c r="C832" i="2"/>
  <c r="AY982" i="21398" l="1"/>
  <c r="BA982" i="21398" s="1"/>
  <c r="M982" i="21398"/>
  <c r="BC982" i="21398" s="1"/>
  <c r="C986" i="21398"/>
  <c r="AX984" i="21398"/>
  <c r="AW984" i="21398"/>
  <c r="AW832" i="2"/>
  <c r="AX832" i="2"/>
  <c r="C834" i="2"/>
  <c r="C836" i="2"/>
  <c r="F832" i="2"/>
  <c r="AY830" i="2"/>
  <c r="BA830" i="2" s="1"/>
  <c r="M830" i="2"/>
  <c r="BC830" i="2" s="1"/>
  <c r="AT832" i="2"/>
  <c r="AY984" i="21398" l="1"/>
  <c r="BA984" i="21398" s="1"/>
  <c r="M984" i="21398"/>
  <c r="BC984" i="21398" s="1"/>
  <c r="C988" i="21398"/>
  <c r="AX986" i="21398"/>
  <c r="AW986" i="21398"/>
  <c r="AC832" i="2"/>
  <c r="M832" i="2"/>
  <c r="BC832" i="2" s="1"/>
  <c r="AY832" i="2"/>
  <c r="BA832" i="2" s="1"/>
  <c r="C838" i="2"/>
  <c r="AX836" i="2"/>
  <c r="AW836" i="2"/>
  <c r="J837" i="2"/>
  <c r="AX834" i="2"/>
  <c r="AW834" i="2"/>
  <c r="AQ831" i="2"/>
  <c r="AY986" i="21398" l="1"/>
  <c r="BA986" i="21398" s="1"/>
  <c r="M986" i="21398"/>
  <c r="BC986" i="21398" s="1"/>
  <c r="AW988" i="21398"/>
  <c r="C990" i="21398"/>
  <c r="J987" i="21398"/>
  <c r="AX988" i="21398"/>
  <c r="M836" i="2"/>
  <c r="BC836" i="2" s="1"/>
  <c r="AY836" i="2"/>
  <c r="BA836" i="2" s="1"/>
  <c r="AY834" i="2"/>
  <c r="M834" i="2"/>
  <c r="BC834" i="2" s="1"/>
  <c r="AX838" i="2"/>
  <c r="M838" i="2" s="1"/>
  <c r="BC838" i="2" s="1"/>
  <c r="AW838" i="2"/>
  <c r="F838" i="2"/>
  <c r="C840" i="2"/>
  <c r="AW837" i="2"/>
  <c r="AX837" i="2"/>
  <c r="AQ835" i="2"/>
  <c r="M988" i="21398" l="1"/>
  <c r="BC988" i="21398" s="1"/>
  <c r="AY988" i="21398"/>
  <c r="BA988" i="21398" s="1"/>
  <c r="AW990" i="21398"/>
  <c r="C992" i="21398"/>
  <c r="AX990" i="21398"/>
  <c r="AX987" i="21398"/>
  <c r="AW987" i="21398"/>
  <c r="AZ837" i="2"/>
  <c r="BB837" i="2" s="1"/>
  <c r="AX840" i="2"/>
  <c r="M840" i="2" s="1"/>
  <c r="BC840" i="2" s="1"/>
  <c r="C842" i="2"/>
  <c r="F840" i="2"/>
  <c r="AW840" i="2"/>
  <c r="AY838" i="2"/>
  <c r="BA838" i="2" s="1"/>
  <c r="AT840" i="2"/>
  <c r="AQ837" i="2"/>
  <c r="AT838" i="2"/>
  <c r="AQ839" i="2"/>
  <c r="AT836" i="2"/>
  <c r="AC838" i="2" l="1"/>
  <c r="AC836" i="2"/>
  <c r="AZ987" i="21398"/>
  <c r="BB987" i="21398" s="1"/>
  <c r="M990" i="21398"/>
  <c r="BC990" i="21398" s="1"/>
  <c r="AY990" i="21398"/>
  <c r="BA990" i="21398" s="1"/>
  <c r="AW992" i="21398"/>
  <c r="C994" i="21398"/>
  <c r="AX992" i="21398"/>
  <c r="J993" i="21398"/>
  <c r="AY840" i="2"/>
  <c r="BA840" i="2" s="1"/>
  <c r="AC840" i="2"/>
  <c r="AW842" i="2"/>
  <c r="AX842" i="2"/>
  <c r="C844" i="2"/>
  <c r="J841" i="2"/>
  <c r="F842" i="2"/>
  <c r="BB1193" i="21398"/>
  <c r="AW1193" i="21398"/>
  <c r="BC481" i="2"/>
  <c r="BA481" i="2"/>
  <c r="AQ841" i="2"/>
  <c r="AX994" i="21398" l="1"/>
  <c r="AW994" i="21398"/>
  <c r="C996" i="21398"/>
  <c r="AW993" i="21398"/>
  <c r="AX993" i="21398"/>
  <c r="M992" i="21398"/>
  <c r="BC992" i="21398" s="1"/>
  <c r="AY992" i="21398"/>
  <c r="BA992" i="21398" s="1"/>
  <c r="AX844" i="2"/>
  <c r="M844" i="2" s="1"/>
  <c r="BC844" i="2" s="1"/>
  <c r="F844" i="2"/>
  <c r="AW844" i="2"/>
  <c r="C846" i="2"/>
  <c r="M842" i="2"/>
  <c r="BC842" i="2" s="1"/>
  <c r="AY842" i="2"/>
  <c r="BA842" i="2" s="1"/>
  <c r="AX841" i="2"/>
  <c r="AW841" i="2"/>
  <c r="BA483" i="2"/>
  <c r="BC483" i="2"/>
  <c r="AT842" i="2"/>
  <c r="AQ843" i="2"/>
  <c r="AT844" i="2"/>
  <c r="AC842" i="2" l="1"/>
  <c r="AW996" i="21398"/>
  <c r="AX996" i="21398"/>
  <c r="C998" i="21398"/>
  <c r="AZ993" i="21398"/>
  <c r="BB993" i="21398" s="1"/>
  <c r="AY994" i="21398"/>
  <c r="BA994" i="21398" s="1"/>
  <c r="M994" i="21398"/>
  <c r="BC994" i="21398" s="1"/>
  <c r="AY844" i="2"/>
  <c r="BA844" i="2" s="1"/>
  <c r="AC844" i="2"/>
  <c r="AZ841" i="2"/>
  <c r="BB841" i="2" s="1"/>
  <c r="C848" i="2"/>
  <c r="J847" i="2"/>
  <c r="AX846" i="2"/>
  <c r="AW846" i="2"/>
  <c r="F846" i="2"/>
  <c r="BA485" i="2"/>
  <c r="BC485" i="2"/>
  <c r="BB484" i="2"/>
  <c r="AT846" i="2"/>
  <c r="C1000" i="21398" l="1"/>
  <c r="AW998" i="21398"/>
  <c r="AX998" i="21398"/>
  <c r="M996" i="21398"/>
  <c r="BC996" i="21398" s="1"/>
  <c r="AY996" i="21398"/>
  <c r="BA996" i="21398" s="1"/>
  <c r="AC846" i="2"/>
  <c r="AX847" i="2"/>
  <c r="AW847" i="2"/>
  <c r="AX848" i="2"/>
  <c r="M848" i="2" s="1"/>
  <c r="BC848" i="2" s="1"/>
  <c r="AW848" i="2"/>
  <c r="C850" i="2"/>
  <c r="F848" i="2"/>
  <c r="M846" i="2"/>
  <c r="BC846" i="2" s="1"/>
  <c r="AY846" i="2"/>
  <c r="BA846" i="2" s="1"/>
  <c r="BA487" i="2"/>
  <c r="BC487" i="2"/>
  <c r="AQ845" i="2"/>
  <c r="AQ847" i="2"/>
  <c r="AT848" i="2"/>
  <c r="M998" i="21398" l="1"/>
  <c r="BC998" i="21398" s="1"/>
  <c r="AY998" i="21398"/>
  <c r="BA998" i="21398" s="1"/>
  <c r="C1002" i="21398"/>
  <c r="AW1000" i="21398"/>
  <c r="AX1000" i="21398"/>
  <c r="AY848" i="2"/>
  <c r="BA848" i="2" s="1"/>
  <c r="AZ847" i="2"/>
  <c r="BB847" i="2" s="1"/>
  <c r="AC848" i="2"/>
  <c r="AX850" i="2"/>
  <c r="M850" i="2" s="1"/>
  <c r="BC850" i="2" s="1"/>
  <c r="F850" i="2"/>
  <c r="C852" i="2"/>
  <c r="AW850" i="2"/>
  <c r="BA489" i="2"/>
  <c r="BC489" i="2"/>
  <c r="BB490" i="2"/>
  <c r="AQ849" i="2"/>
  <c r="AT850" i="2"/>
  <c r="AY1000" i="21398" l="1"/>
  <c r="BA1000" i="21398" s="1"/>
  <c r="M1000" i="21398"/>
  <c r="BC1000" i="21398" s="1"/>
  <c r="AX1002" i="21398"/>
  <c r="AW1002" i="21398"/>
  <c r="C1004" i="21398"/>
  <c r="AC850" i="2"/>
  <c r="AX852" i="2"/>
  <c r="M852" i="2" s="1"/>
  <c r="BC852" i="2" s="1"/>
  <c r="C854" i="2"/>
  <c r="AW852" i="2"/>
  <c r="F852" i="2"/>
  <c r="AY850" i="2"/>
  <c r="BA850" i="2" s="1"/>
  <c r="BA491" i="2"/>
  <c r="BC491" i="2"/>
  <c r="AQ851" i="2"/>
  <c r="M1002" i="21398" l="1"/>
  <c r="BC1002" i="21398" s="1"/>
  <c r="AY1002" i="21398"/>
  <c r="BA1002" i="21398" s="1"/>
  <c r="AW1004" i="21398"/>
  <c r="AX1004" i="21398"/>
  <c r="C1006" i="21398"/>
  <c r="AY852" i="2"/>
  <c r="BA852" i="2" s="1"/>
  <c r="AX854" i="2"/>
  <c r="F854" i="2"/>
  <c r="J853" i="2"/>
  <c r="AW854" i="2"/>
  <c r="C856" i="2"/>
  <c r="BA493" i="2"/>
  <c r="BC493" i="2"/>
  <c r="AT854" i="2"/>
  <c r="AT852" i="2"/>
  <c r="AQ853" i="2"/>
  <c r="AC852" i="2" l="1"/>
  <c r="C1008" i="21398"/>
  <c r="AW1006" i="21398"/>
  <c r="J1005" i="21398"/>
  <c r="AX1006" i="21398"/>
  <c r="M1004" i="21398"/>
  <c r="BC1004" i="21398" s="1"/>
  <c r="AY1004" i="21398"/>
  <c r="BA1004" i="21398" s="1"/>
  <c r="AC854" i="2"/>
  <c r="AX856" i="2"/>
  <c r="M856" i="2" s="1"/>
  <c r="BC856" i="2" s="1"/>
  <c r="C858" i="2"/>
  <c r="F856" i="2"/>
  <c r="AW856" i="2"/>
  <c r="M854" i="2"/>
  <c r="BC854" i="2" s="1"/>
  <c r="AY854" i="2"/>
  <c r="BA854" i="2" s="1"/>
  <c r="AX853" i="2"/>
  <c r="AW853" i="2"/>
  <c r="BC495" i="2"/>
  <c r="BA495" i="2"/>
  <c r="AT856" i="2"/>
  <c r="AY1006" i="21398" l="1"/>
  <c r="BA1006" i="21398" s="1"/>
  <c r="M1006" i="21398"/>
  <c r="BC1006" i="21398" s="1"/>
  <c r="AW1005" i="21398"/>
  <c r="AX1005" i="21398"/>
  <c r="J1007" i="21398"/>
  <c r="AX1008" i="21398"/>
  <c r="C1010" i="21398"/>
  <c r="AW1008" i="21398"/>
  <c r="J1009" i="21398"/>
  <c r="AY856" i="2"/>
  <c r="BA856" i="2" s="1"/>
  <c r="AX858" i="2"/>
  <c r="M858" i="2" s="1"/>
  <c r="BC858" i="2" s="1"/>
  <c r="AW858" i="2"/>
  <c r="F858" i="2"/>
  <c r="C860" i="2"/>
  <c r="AZ853" i="2"/>
  <c r="BB853" i="2" s="1"/>
  <c r="BC497" i="2"/>
  <c r="BA497" i="2"/>
  <c r="AT858" i="2"/>
  <c r="AQ855" i="2"/>
  <c r="AQ857" i="2"/>
  <c r="AZ1005" i="21398" l="1"/>
  <c r="BB1005" i="21398" s="1"/>
  <c r="C1012" i="21398"/>
  <c r="AW1010" i="21398"/>
  <c r="AX1010" i="21398"/>
  <c r="M1008" i="21398"/>
  <c r="BC1008" i="21398" s="1"/>
  <c r="AY1008" i="21398"/>
  <c r="BA1008" i="21398" s="1"/>
  <c r="AW1009" i="21398"/>
  <c r="AX1009" i="21398"/>
  <c r="AZ1009" i="21398" s="1"/>
  <c r="BB1009" i="21398" s="1"/>
  <c r="AW1007" i="21398"/>
  <c r="AX1007" i="21398"/>
  <c r="AC858" i="2"/>
  <c r="AX860" i="2"/>
  <c r="C862" i="2"/>
  <c r="F860" i="2"/>
  <c r="J861" i="2"/>
  <c r="AW860" i="2"/>
  <c r="AY858" i="2"/>
  <c r="BA858" i="2" s="1"/>
  <c r="BA499" i="2"/>
  <c r="BC499" i="2"/>
  <c r="AT860" i="2"/>
  <c r="AQ859" i="2"/>
  <c r="AZ1007" i="21398" l="1"/>
  <c r="BB1007" i="21398" s="1"/>
  <c r="AY1010" i="21398"/>
  <c r="BA1010" i="21398" s="1"/>
  <c r="M1010" i="21398"/>
  <c r="BC1010" i="21398" s="1"/>
  <c r="AW1012" i="21398"/>
  <c r="AX1012" i="21398"/>
  <c r="J1013" i="21398"/>
  <c r="C1014" i="21398"/>
  <c r="AC860" i="2"/>
  <c r="AX861" i="2"/>
  <c r="AW861" i="2"/>
  <c r="AX862" i="2"/>
  <c r="M862" i="2" s="1"/>
  <c r="BC862" i="2" s="1"/>
  <c r="F862" i="2"/>
  <c r="AW862" i="2"/>
  <c r="C864" i="2"/>
  <c r="M860" i="2"/>
  <c r="BC860" i="2" s="1"/>
  <c r="AY860" i="2"/>
  <c r="BA860" i="2" s="1"/>
  <c r="BC501" i="2"/>
  <c r="BA501" i="2"/>
  <c r="BB500" i="2"/>
  <c r="AQ861" i="2"/>
  <c r="AT862" i="2"/>
  <c r="AX1014" i="21398" l="1"/>
  <c r="AW1014" i="21398"/>
  <c r="C1016" i="21398"/>
  <c r="AX1013" i="21398"/>
  <c r="AW1013" i="21398"/>
  <c r="AY1012" i="21398"/>
  <c r="BA1012" i="21398" s="1"/>
  <c r="M1012" i="21398"/>
  <c r="BC1012" i="21398" s="1"/>
  <c r="AZ861" i="2"/>
  <c r="BB861" i="2" s="1"/>
  <c r="AC862" i="2"/>
  <c r="AX864" i="2"/>
  <c r="M864" i="2" s="1"/>
  <c r="BC864" i="2" s="1"/>
  <c r="AW864" i="2"/>
  <c r="F864" i="2"/>
  <c r="C866" i="2"/>
  <c r="AY862" i="2"/>
  <c r="BA862" i="2" s="1"/>
  <c r="BA503" i="2"/>
  <c r="BC503" i="2"/>
  <c r="AQ863" i="2"/>
  <c r="AZ1013" i="21398" l="1"/>
  <c r="BB1013" i="21398" s="1"/>
  <c r="AW1016" i="21398"/>
  <c r="C1018" i="21398"/>
  <c r="AX1016" i="21398"/>
  <c r="AY1014" i="21398"/>
  <c r="BA1014" i="21398" s="1"/>
  <c r="M1014" i="21398"/>
  <c r="BC1014" i="21398" s="1"/>
  <c r="AY864" i="2"/>
  <c r="BA864" i="2" s="1"/>
  <c r="AX866" i="2"/>
  <c r="M866" i="2" s="1"/>
  <c r="BC866" i="2" s="1"/>
  <c r="C868" i="2"/>
  <c r="AW866" i="2"/>
  <c r="F866" i="2"/>
  <c r="BA505" i="2"/>
  <c r="BC505" i="2"/>
  <c r="AT864" i="2"/>
  <c r="AQ865" i="2"/>
  <c r="AT866" i="2"/>
  <c r="AC864" i="2" l="1"/>
  <c r="AY866" i="2"/>
  <c r="BA866" i="2" s="1"/>
  <c r="M1016" i="21398"/>
  <c r="BC1016" i="21398" s="1"/>
  <c r="AY1016" i="21398"/>
  <c r="BA1016" i="21398" s="1"/>
  <c r="AX1018" i="21398"/>
  <c r="C1020" i="21398"/>
  <c r="AW1018" i="21398"/>
  <c r="AC866" i="2"/>
  <c r="AX868" i="2"/>
  <c r="M868" i="2" s="1"/>
  <c r="BC868" i="2" s="1"/>
  <c r="AW868" i="2"/>
  <c r="C870" i="2"/>
  <c r="F868" i="2"/>
  <c r="BA507" i="2"/>
  <c r="BC507" i="2"/>
  <c r="BB508" i="2"/>
  <c r="AT868" i="2"/>
  <c r="C1022" i="21398" l="1"/>
  <c r="AX1020" i="21398"/>
  <c r="AW1020" i="21398"/>
  <c r="M1018" i="21398"/>
  <c r="BC1018" i="21398" s="1"/>
  <c r="AY1018" i="21398"/>
  <c r="BA1018" i="21398" s="1"/>
  <c r="AC868" i="2"/>
  <c r="AX870" i="2"/>
  <c r="M870" i="2" s="1"/>
  <c r="BC870" i="2" s="1"/>
  <c r="C872" i="2"/>
  <c r="AW870" i="2"/>
  <c r="F870" i="2"/>
  <c r="AY868" i="2"/>
  <c r="BA868" i="2" s="1"/>
  <c r="BA509" i="2"/>
  <c r="BC509" i="2"/>
  <c r="AQ869" i="2"/>
  <c r="AQ867" i="2"/>
  <c r="AT870" i="2"/>
  <c r="M1020" i="21398" l="1"/>
  <c r="BC1020" i="21398" s="1"/>
  <c r="AY1020" i="21398"/>
  <c r="BA1020" i="21398" s="1"/>
  <c r="AW1022" i="21398"/>
  <c r="AX1022" i="21398"/>
  <c r="C1024" i="21398"/>
  <c r="AY870" i="2"/>
  <c r="BA870" i="2" s="1"/>
  <c r="AC870" i="2"/>
  <c r="J871" i="2"/>
  <c r="AW872" i="2"/>
  <c r="AX872" i="2"/>
  <c r="C874" i="2"/>
  <c r="F872" i="2"/>
  <c r="BA511" i="2"/>
  <c r="BC511" i="2"/>
  <c r="AQ871" i="2"/>
  <c r="AT872" i="2"/>
  <c r="AY1022" i="21398" l="1"/>
  <c r="BA1022" i="21398" s="1"/>
  <c r="M1022" i="21398"/>
  <c r="BC1022" i="21398" s="1"/>
  <c r="AX1024" i="21398"/>
  <c r="C1026" i="21398"/>
  <c r="AW1024" i="21398"/>
  <c r="AC872" i="2"/>
  <c r="AX874" i="2"/>
  <c r="M874" i="2" s="1"/>
  <c r="BC874" i="2" s="1"/>
  <c r="C876" i="2"/>
  <c r="F874" i="2"/>
  <c r="AW874" i="2"/>
  <c r="M872" i="2"/>
  <c r="BC872" i="2" s="1"/>
  <c r="AY872" i="2"/>
  <c r="BA872" i="2" s="1"/>
  <c r="AX871" i="2"/>
  <c r="AW871" i="2"/>
  <c r="BA513" i="2"/>
  <c r="BC513" i="2"/>
  <c r="AQ873" i="2"/>
  <c r="AT874" i="2"/>
  <c r="AX1026" i="21398" l="1"/>
  <c r="C1028" i="21398"/>
  <c r="AW1026" i="21398"/>
  <c r="M1024" i="21398"/>
  <c r="BC1024" i="21398" s="1"/>
  <c r="AY1024" i="21398"/>
  <c r="BA1024" i="21398" s="1"/>
  <c r="AY874" i="2"/>
  <c r="BA874" i="2" s="1"/>
  <c r="AZ871" i="2"/>
  <c r="BB871" i="2" s="1"/>
  <c r="AC874" i="2"/>
  <c r="J877" i="2"/>
  <c r="AW876" i="2"/>
  <c r="AX876" i="2"/>
  <c r="F876" i="2"/>
  <c r="C878" i="2"/>
  <c r="BC515" i="2"/>
  <c r="BA515" i="2"/>
  <c r="AQ875" i="2"/>
  <c r="C1030" i="21398" l="1"/>
  <c r="AX1028" i="21398"/>
  <c r="J1027" i="21398"/>
  <c r="AW1028" i="21398"/>
  <c r="AY1026" i="21398"/>
  <c r="BA1026" i="21398" s="1"/>
  <c r="M1026" i="21398"/>
  <c r="BC1026" i="21398" s="1"/>
  <c r="AX878" i="2"/>
  <c r="M878" i="2" s="1"/>
  <c r="BC878" i="2" s="1"/>
  <c r="AW878" i="2"/>
  <c r="C880" i="2"/>
  <c r="F878" i="2"/>
  <c r="AX877" i="2"/>
  <c r="AW877" i="2"/>
  <c r="M876" i="2"/>
  <c r="BC876" i="2" s="1"/>
  <c r="AY876" i="2"/>
  <c r="BA876" i="2" s="1"/>
  <c r="BA517" i="2"/>
  <c r="BC517" i="2"/>
  <c r="AT876" i="2"/>
  <c r="AT878" i="2"/>
  <c r="AQ877" i="2"/>
  <c r="AC876" i="2" l="1"/>
  <c r="AX1027" i="21398"/>
  <c r="AW1027" i="21398"/>
  <c r="AY1028" i="21398"/>
  <c r="BA1028" i="21398" s="1"/>
  <c r="M1028" i="21398"/>
  <c r="BC1028" i="21398" s="1"/>
  <c r="AW1030" i="21398"/>
  <c r="C1032" i="21398"/>
  <c r="AX1030" i="21398"/>
  <c r="AZ877" i="2"/>
  <c r="BB877" i="2" s="1"/>
  <c r="AY878" i="2"/>
  <c r="BA878" i="2" s="1"/>
  <c r="AC878" i="2"/>
  <c r="AX880" i="2"/>
  <c r="M880" i="2" s="1"/>
  <c r="BC880" i="2" s="1"/>
  <c r="C882" i="2"/>
  <c r="F880" i="2"/>
  <c r="AW880" i="2"/>
  <c r="BA519" i="2"/>
  <c r="BC519" i="2"/>
  <c r="AT880" i="2"/>
  <c r="AQ879" i="2"/>
  <c r="AY1030" i="21398" l="1"/>
  <c r="BA1030" i="21398" s="1"/>
  <c r="M1030" i="21398"/>
  <c r="BC1030" i="21398" s="1"/>
  <c r="AW1032" i="21398"/>
  <c r="AX1032" i="21398"/>
  <c r="C1034" i="21398"/>
  <c r="J1033" i="21398"/>
  <c r="AZ1027" i="21398"/>
  <c r="BB1027" i="21398" s="1"/>
  <c r="AY880" i="2"/>
  <c r="BA880" i="2" s="1"/>
  <c r="AC880" i="2"/>
  <c r="AX882" i="2"/>
  <c r="M882" i="2" s="1"/>
  <c r="BC882" i="2" s="1"/>
  <c r="AW882" i="2"/>
  <c r="C884" i="2"/>
  <c r="F882" i="2"/>
  <c r="BA521" i="2"/>
  <c r="BC521" i="2"/>
  <c r="BB520" i="2"/>
  <c r="AT882" i="2"/>
  <c r="M1032" i="21398" l="1"/>
  <c r="BC1032" i="21398" s="1"/>
  <c r="AY1032" i="21398"/>
  <c r="BA1032" i="21398" s="1"/>
  <c r="AW1033" i="21398"/>
  <c r="AX1033" i="21398"/>
  <c r="AX1034" i="21398"/>
  <c r="C1036" i="21398"/>
  <c r="AW1034" i="21398"/>
  <c r="AY882" i="2"/>
  <c r="BA882" i="2" s="1"/>
  <c r="AC882" i="2"/>
  <c r="AX884" i="2"/>
  <c r="M884" i="2" s="1"/>
  <c r="BC884" i="2" s="1"/>
  <c r="AW884" i="2"/>
  <c r="F884" i="2"/>
  <c r="C886" i="2"/>
  <c r="BC523" i="2"/>
  <c r="BA523" i="2"/>
  <c r="AT884" i="2"/>
  <c r="AQ881" i="2"/>
  <c r="AZ1033" i="21398" l="1"/>
  <c r="BB1033" i="21398" s="1"/>
  <c r="C1038" i="21398"/>
  <c r="AW1036" i="21398"/>
  <c r="AX1036" i="21398"/>
  <c r="AY1034" i="21398"/>
  <c r="BA1034" i="21398" s="1"/>
  <c r="M1034" i="21398"/>
  <c r="BC1034" i="21398" s="1"/>
  <c r="AY884" i="2"/>
  <c r="BA884" i="2" s="1"/>
  <c r="AC884" i="2"/>
  <c r="AX886" i="2"/>
  <c r="C888" i="2"/>
  <c r="AW886" i="2"/>
  <c r="J885" i="2"/>
  <c r="F886" i="2"/>
  <c r="BC525" i="2"/>
  <c r="BA525" i="2"/>
  <c r="BB526" i="2"/>
  <c r="AQ885" i="2"/>
  <c r="AQ883" i="2"/>
  <c r="M1036" i="21398" l="1"/>
  <c r="BC1036" i="21398" s="1"/>
  <c r="AY1036" i="21398"/>
  <c r="BA1036" i="21398" s="1"/>
  <c r="C1040" i="21398"/>
  <c r="AX1038" i="21398"/>
  <c r="AW1038" i="21398"/>
  <c r="AX888" i="2"/>
  <c r="M888" i="2" s="1"/>
  <c r="BC888" i="2" s="1"/>
  <c r="F888" i="2"/>
  <c r="C890" i="2"/>
  <c r="AW888" i="2"/>
  <c r="M886" i="2"/>
  <c r="BC886" i="2" s="1"/>
  <c r="AY886" i="2"/>
  <c r="BA886" i="2" s="1"/>
  <c r="AX885" i="2"/>
  <c r="AW885" i="2"/>
  <c r="BC527" i="2"/>
  <c r="BA527" i="2"/>
  <c r="AT886" i="2"/>
  <c r="AQ887" i="2"/>
  <c r="AT888" i="2"/>
  <c r="AC886" i="2" l="1"/>
  <c r="M1038" i="21398"/>
  <c r="BC1038" i="21398" s="1"/>
  <c r="AY1038" i="21398"/>
  <c r="BA1038" i="21398" s="1"/>
  <c r="AX1040" i="21398"/>
  <c r="AW1040" i="21398"/>
  <c r="C1042" i="21398"/>
  <c r="AX890" i="2"/>
  <c r="M890" i="2" s="1"/>
  <c r="BC890" i="2" s="1"/>
  <c r="AW890" i="2"/>
  <c r="C892" i="2"/>
  <c r="F890" i="2"/>
  <c r="AZ885" i="2"/>
  <c r="BB885" i="2" s="1"/>
  <c r="AY888" i="2"/>
  <c r="BA888" i="2" s="1"/>
  <c r="BC529" i="2"/>
  <c r="BA529" i="2"/>
  <c r="AT890" i="2"/>
  <c r="AQ889" i="2"/>
  <c r="C1044" i="21398" l="1"/>
  <c r="AX1042" i="21398"/>
  <c r="AW1042" i="21398"/>
  <c r="AY1040" i="21398"/>
  <c r="BA1040" i="21398" s="1"/>
  <c r="M1040" i="21398"/>
  <c r="BC1040" i="21398" s="1"/>
  <c r="AY890" i="2"/>
  <c r="BA890" i="2" s="1"/>
  <c r="AC890" i="2"/>
  <c r="AX892" i="2"/>
  <c r="M892" i="2" s="1"/>
  <c r="BC892" i="2" s="1"/>
  <c r="AW892" i="2"/>
  <c r="F892" i="2"/>
  <c r="C894" i="2"/>
  <c r="BC531" i="2"/>
  <c r="BA531" i="2"/>
  <c r="AT892" i="2"/>
  <c r="AQ891" i="2"/>
  <c r="M1042" i="21398" l="1"/>
  <c r="BC1042" i="21398" s="1"/>
  <c r="AY1042" i="21398"/>
  <c r="BA1042" i="21398" s="1"/>
  <c r="AW1044" i="21398"/>
  <c r="AX1044" i="21398"/>
  <c r="C1046" i="21398"/>
  <c r="AY892" i="2"/>
  <c r="BA892" i="2" s="1"/>
  <c r="AC892" i="2"/>
  <c r="AX894" i="2"/>
  <c r="M894" i="2" s="1"/>
  <c r="BC894" i="2" s="1"/>
  <c r="AW894" i="2"/>
  <c r="F894" i="2"/>
  <c r="C896" i="2"/>
  <c r="BC533" i="2"/>
  <c r="BA533" i="2"/>
  <c r="AQ893" i="2"/>
  <c r="AT894" i="2"/>
  <c r="AY1044" i="21398" l="1"/>
  <c r="BA1044" i="21398" s="1"/>
  <c r="M1044" i="21398"/>
  <c r="BC1044" i="21398" s="1"/>
  <c r="J1045" i="21398"/>
  <c r="AX1046" i="21398"/>
  <c r="C1048" i="21398"/>
  <c r="AW1046" i="21398"/>
  <c r="AX896" i="2"/>
  <c r="M896" i="2" s="1"/>
  <c r="BC896" i="2" s="1"/>
  <c r="F896" i="2"/>
  <c r="C898" i="2"/>
  <c r="AW896" i="2"/>
  <c r="AY894" i="2"/>
  <c r="BA894" i="2" s="1"/>
  <c r="BA535" i="2"/>
  <c r="BC535" i="2"/>
  <c r="AQ895" i="2"/>
  <c r="AT896" i="2"/>
  <c r="M1046" i="21398" l="1"/>
  <c r="BC1046" i="21398" s="1"/>
  <c r="AY1046" i="21398"/>
  <c r="BA1046" i="21398" s="1"/>
  <c r="AW1048" i="21398"/>
  <c r="AX1048" i="21398"/>
  <c r="C1050" i="21398"/>
  <c r="AW1045" i="21398"/>
  <c r="AX1045" i="21398"/>
  <c r="AY896" i="2"/>
  <c r="BA896" i="2" s="1"/>
  <c r="AC896" i="2"/>
  <c r="AX898" i="2"/>
  <c r="M898" i="2" s="1"/>
  <c r="BC898" i="2" s="1"/>
  <c r="F898" i="2"/>
  <c r="AW898" i="2"/>
  <c r="C900" i="2"/>
  <c r="M904" i="2"/>
  <c r="BC904" i="2" s="1"/>
  <c r="BB538" i="2"/>
  <c r="BC539" i="2"/>
  <c r="BA539" i="2"/>
  <c r="AQ897" i="2"/>
  <c r="AT898" i="2"/>
  <c r="AY1048" i="21398" l="1"/>
  <c r="BA1048" i="21398" s="1"/>
  <c r="M1048" i="21398"/>
  <c r="BC1048" i="21398" s="1"/>
  <c r="AZ1045" i="21398"/>
  <c r="BB1045" i="21398" s="1"/>
  <c r="AW1050" i="21398"/>
  <c r="AX1050" i="21398"/>
  <c r="C1052" i="21398"/>
  <c r="AY898" i="2"/>
  <c r="BA898" i="2" s="1"/>
  <c r="AC898" i="2"/>
  <c r="AX900" i="2"/>
  <c r="M900" i="2" s="1"/>
  <c r="BC900" i="2" s="1"/>
  <c r="C902" i="2"/>
  <c r="F900" i="2"/>
  <c r="AW900" i="2"/>
  <c r="BC541" i="2"/>
  <c r="BA541" i="2"/>
  <c r="AQ899" i="2"/>
  <c r="AT900" i="2"/>
  <c r="AX1052" i="21398" l="1"/>
  <c r="C1054" i="21398"/>
  <c r="AW1052" i="21398"/>
  <c r="J1053" i="21398"/>
  <c r="AY1050" i="21398"/>
  <c r="BA1050" i="21398" s="1"/>
  <c r="M1050" i="21398"/>
  <c r="BC1050" i="21398" s="1"/>
  <c r="AY900" i="2"/>
  <c r="BA900" i="2" s="1"/>
  <c r="AC900" i="2"/>
  <c r="AX902" i="2"/>
  <c r="M902" i="2" s="1"/>
  <c r="BC902" i="2" s="1"/>
  <c r="C904" i="2"/>
  <c r="F902" i="2"/>
  <c r="AW902" i="2"/>
  <c r="BB542" i="2"/>
  <c r="BA543" i="2"/>
  <c r="BC543" i="2"/>
  <c r="BB544" i="2"/>
  <c r="AT902" i="2"/>
  <c r="AW1053" i="21398" l="1"/>
  <c r="AX1053" i="21398"/>
  <c r="C1056" i="21398"/>
  <c r="AW1054" i="21398"/>
  <c r="AX1054" i="21398"/>
  <c r="AY1052" i="21398"/>
  <c r="BA1052" i="21398" s="1"/>
  <c r="M1052" i="21398"/>
  <c r="BC1052" i="21398" s="1"/>
  <c r="AC902" i="2"/>
  <c r="F904" i="2"/>
  <c r="C906" i="2"/>
  <c r="AY902" i="2"/>
  <c r="BA902" i="2" s="1"/>
  <c r="AW909" i="2"/>
  <c r="BB546" i="2"/>
  <c r="BA545" i="2"/>
  <c r="BC545" i="2"/>
  <c r="AQ901" i="2"/>
  <c r="AQ903" i="2"/>
  <c r="AT904" i="2"/>
  <c r="AZ1053" i="21398" l="1"/>
  <c r="BB1053" i="21398" s="1"/>
  <c r="C1058" i="21398"/>
  <c r="AW1056" i="21398"/>
  <c r="AX1056" i="21398"/>
  <c r="M1054" i="21398"/>
  <c r="BC1054" i="21398" s="1"/>
  <c r="AY1054" i="21398"/>
  <c r="BA1054" i="21398" s="1"/>
  <c r="AC904" i="2"/>
  <c r="AX906" i="2"/>
  <c r="M906" i="2" s="1"/>
  <c r="BC906" i="2" s="1"/>
  <c r="C908" i="2"/>
  <c r="AW906" i="2"/>
  <c r="F906" i="2"/>
  <c r="BA547" i="2"/>
  <c r="BC547" i="2"/>
  <c r="AT906" i="2"/>
  <c r="AY1056" i="21398" l="1"/>
  <c r="BA1056" i="21398" s="1"/>
  <c r="M1056" i="21398"/>
  <c r="BC1056" i="21398" s="1"/>
  <c r="AX1058" i="21398"/>
  <c r="C1060" i="21398"/>
  <c r="AW1058" i="21398"/>
  <c r="AY906" i="2"/>
  <c r="BA906" i="2" s="1"/>
  <c r="AC906" i="2"/>
  <c r="J907" i="2"/>
  <c r="C910" i="2"/>
  <c r="AX908" i="2"/>
  <c r="F908" i="2"/>
  <c r="AW908" i="2"/>
  <c r="BA549" i="2"/>
  <c r="BC549" i="2"/>
  <c r="AQ907" i="2"/>
  <c r="AQ905" i="2"/>
  <c r="AT908" i="2"/>
  <c r="AX1060" i="21398" l="1"/>
  <c r="C1062" i="21398"/>
  <c r="AW1060" i="21398"/>
  <c r="M1058" i="21398"/>
  <c r="BC1058" i="21398" s="1"/>
  <c r="AY1058" i="21398"/>
  <c r="BA1058" i="21398" s="1"/>
  <c r="AC908" i="2"/>
  <c r="AX910" i="2"/>
  <c r="M910" i="2" s="1"/>
  <c r="BC910" i="2" s="1"/>
  <c r="C912" i="2"/>
  <c r="AW910" i="2"/>
  <c r="F910" i="2"/>
  <c r="AX907" i="2"/>
  <c r="AW907" i="2"/>
  <c r="M908" i="2"/>
  <c r="BC908" i="2" s="1"/>
  <c r="AY908" i="2"/>
  <c r="BA908" i="2" s="1"/>
  <c r="BA551" i="2"/>
  <c r="BC551" i="2"/>
  <c r="AT910" i="2"/>
  <c r="AX1062" i="21398" l="1"/>
  <c r="AW1062" i="21398"/>
  <c r="C1064" i="21398"/>
  <c r="M1060" i="21398"/>
  <c r="BC1060" i="21398" s="1"/>
  <c r="AY1060" i="21398"/>
  <c r="BA1060" i="21398" s="1"/>
  <c r="AY910" i="2"/>
  <c r="BA910" i="2" s="1"/>
  <c r="AZ907" i="2"/>
  <c r="BB907" i="2" s="1"/>
  <c r="AC910" i="2"/>
  <c r="J913" i="2"/>
  <c r="F912" i="2"/>
  <c r="AX912" i="2"/>
  <c r="AW912" i="2"/>
  <c r="C914" i="2"/>
  <c r="BA553" i="2"/>
  <c r="BC553" i="2"/>
  <c r="AQ911" i="2"/>
  <c r="AQ909" i="2"/>
  <c r="C1066" i="21398" l="1"/>
  <c r="AW1064" i="21398"/>
  <c r="AX1064" i="21398"/>
  <c r="M1062" i="21398"/>
  <c r="BC1062" i="21398" s="1"/>
  <c r="AY1062" i="21398"/>
  <c r="BA1062" i="21398" s="1"/>
  <c r="AY912" i="2"/>
  <c r="BA912" i="2" s="1"/>
  <c r="M912" i="2"/>
  <c r="BC912" i="2" s="1"/>
  <c r="C916" i="2"/>
  <c r="F914" i="2"/>
  <c r="AX914" i="2"/>
  <c r="AW914" i="2"/>
  <c r="AX913" i="2"/>
  <c r="AW913" i="2"/>
  <c r="BA555" i="2"/>
  <c r="BC555" i="2"/>
  <c r="AT912" i="2"/>
  <c r="AT914" i="2"/>
  <c r="AC912" i="2" l="1"/>
  <c r="M1064" i="21398"/>
  <c r="BC1064" i="21398" s="1"/>
  <c r="AY1064" i="21398"/>
  <c r="BA1064" i="21398" s="1"/>
  <c r="C1068" i="21398"/>
  <c r="AX1066" i="21398"/>
  <c r="J1065" i="21398"/>
  <c r="AW1066" i="21398"/>
  <c r="AZ913" i="2"/>
  <c r="BB913" i="2" s="1"/>
  <c r="AC914" i="2"/>
  <c r="M914" i="2"/>
  <c r="BC914" i="2" s="1"/>
  <c r="AY914" i="2"/>
  <c r="BA914" i="2" s="1"/>
  <c r="F916" i="2"/>
  <c r="C918" i="2"/>
  <c r="AX915" i="2"/>
  <c r="AW915" i="2"/>
  <c r="BC557" i="2"/>
  <c r="BA557" i="2"/>
  <c r="BB556" i="2"/>
  <c r="AQ913" i="2"/>
  <c r="AT916" i="2"/>
  <c r="M1066" i="21398" l="1"/>
  <c r="BC1066" i="21398" s="1"/>
  <c r="AY1066" i="21398"/>
  <c r="BA1066" i="21398" s="1"/>
  <c r="AX1065" i="21398"/>
  <c r="AW1065" i="21398"/>
  <c r="C1070" i="21398"/>
  <c r="AW1068" i="21398"/>
  <c r="AX1068" i="21398"/>
  <c r="AZ915" i="2"/>
  <c r="BB915" i="2" s="1"/>
  <c r="AC916" i="2"/>
  <c r="F918" i="2"/>
  <c r="C920" i="2"/>
  <c r="BA559" i="2"/>
  <c r="BC559" i="2"/>
  <c r="AQ915" i="2"/>
  <c r="AT918" i="2"/>
  <c r="M1068" i="21398" l="1"/>
  <c r="BC1068" i="21398" s="1"/>
  <c r="AY1068" i="21398"/>
  <c r="BA1068" i="21398" s="1"/>
  <c r="AZ1065" i="21398"/>
  <c r="BB1065" i="21398" s="1"/>
  <c r="AX1070" i="21398"/>
  <c r="C1072" i="21398"/>
  <c r="J1071" i="21398"/>
  <c r="AW1070" i="21398"/>
  <c r="AC918" i="2"/>
  <c r="F920" i="2"/>
  <c r="C922" i="2"/>
  <c r="BB562" i="2"/>
  <c r="BC561" i="2"/>
  <c r="BA561" i="2"/>
  <c r="AQ917" i="2"/>
  <c r="AQ919" i="2"/>
  <c r="AT920" i="2"/>
  <c r="M1070" i="21398" l="1"/>
  <c r="BC1070" i="21398" s="1"/>
  <c r="AY1070" i="21398"/>
  <c r="BA1070" i="21398" s="1"/>
  <c r="AX1071" i="21398"/>
  <c r="AW1071" i="21398"/>
  <c r="AX1072" i="21398"/>
  <c r="C1074" i="21398"/>
  <c r="AW1072" i="21398"/>
  <c r="AC920" i="2"/>
  <c r="C924" i="2"/>
  <c r="F922" i="2"/>
  <c r="BC563" i="2"/>
  <c r="BA563" i="2"/>
  <c r="AQ921" i="2"/>
  <c r="AZ1071" i="21398" l="1"/>
  <c r="BB1071" i="21398" s="1"/>
  <c r="AW1074" i="21398"/>
  <c r="AX1074" i="21398"/>
  <c r="C1076" i="21398"/>
  <c r="M1072" i="21398"/>
  <c r="BC1072" i="21398" s="1"/>
  <c r="AY1072" i="21398"/>
  <c r="BA1072" i="21398" s="1"/>
  <c r="F924" i="2"/>
  <c r="C926" i="2"/>
  <c r="BA565" i="2"/>
  <c r="BC565" i="2"/>
  <c r="AT922" i="2"/>
  <c r="AQ923" i="2"/>
  <c r="AC922" i="2" l="1"/>
  <c r="AX1076" i="21398"/>
  <c r="C1078" i="21398"/>
  <c r="AW1076" i="21398"/>
  <c r="M1074" i="21398"/>
  <c r="BC1074" i="21398" s="1"/>
  <c r="AY1074" i="21398"/>
  <c r="BA1074" i="21398" s="1"/>
  <c r="C928" i="2"/>
  <c r="F926" i="2"/>
  <c r="BA567" i="2"/>
  <c r="BC567" i="2"/>
  <c r="AT924" i="2"/>
  <c r="AQ925" i="2"/>
  <c r="AT926" i="2"/>
  <c r="AC924" i="2" l="1"/>
  <c r="AX1078" i="21398"/>
  <c r="C1080" i="21398"/>
  <c r="AW1078" i="21398"/>
  <c r="M1076" i="21398"/>
  <c r="BC1076" i="21398" s="1"/>
  <c r="AY1076" i="21398"/>
  <c r="BA1076" i="21398" s="1"/>
  <c r="AC926" i="2"/>
  <c r="F928" i="2"/>
  <c r="C930" i="2"/>
  <c r="J929" i="2" s="1"/>
  <c r="BC569" i="2"/>
  <c r="BA569" i="2"/>
  <c r="AQ927" i="2"/>
  <c r="AT928" i="2"/>
  <c r="C1082" i="21398" l="1"/>
  <c r="AW1080" i="21398"/>
  <c r="AX1080" i="21398"/>
  <c r="M1078" i="21398"/>
  <c r="BC1078" i="21398" s="1"/>
  <c r="AY1078" i="21398"/>
  <c r="BA1078" i="21398" s="1"/>
  <c r="AX929" i="2"/>
  <c r="AW929" i="2"/>
  <c r="AC928" i="2"/>
  <c r="AX930" i="2"/>
  <c r="AW930" i="2"/>
  <c r="C932" i="2"/>
  <c r="J931" i="2" s="1"/>
  <c r="F930" i="2"/>
  <c r="BA928" i="2"/>
  <c r="BC928" i="2"/>
  <c r="BC571" i="2"/>
  <c r="BA571" i="2"/>
  <c r="AQ929" i="2"/>
  <c r="AZ929" i="2" l="1"/>
  <c r="BB929" i="2" s="1"/>
  <c r="AY1080" i="21398"/>
  <c r="BA1080" i="21398" s="1"/>
  <c r="M1080" i="21398"/>
  <c r="BC1080" i="21398" s="1"/>
  <c r="C1084" i="21398"/>
  <c r="AX1082" i="21398"/>
  <c r="AW1082" i="21398"/>
  <c r="M930" i="2"/>
  <c r="BC930" i="2" s="1"/>
  <c r="AZ930" i="2"/>
  <c r="BB930" i="2" s="1"/>
  <c r="BB927" i="2"/>
  <c r="C934" i="2"/>
  <c r="AX932" i="2"/>
  <c r="F932" i="2"/>
  <c r="AW932" i="2"/>
  <c r="AY930" i="2"/>
  <c r="BA930" i="2" s="1"/>
  <c r="BC573" i="2"/>
  <c r="BA573" i="2"/>
  <c r="BB572" i="2"/>
  <c r="AT930" i="2"/>
  <c r="AQ931" i="2"/>
  <c r="AT932" i="2"/>
  <c r="AC930" i="2" l="1"/>
  <c r="M1082" i="21398"/>
  <c r="BC1082" i="21398" s="1"/>
  <c r="AY1082" i="21398"/>
  <c r="BA1082" i="21398" s="1"/>
  <c r="J1083" i="21398"/>
  <c r="AX1084" i="21398"/>
  <c r="C1086" i="21398"/>
  <c r="AW1084" i="21398"/>
  <c r="AC932" i="2"/>
  <c r="AX931" i="2"/>
  <c r="AW931" i="2"/>
  <c r="M932" i="2"/>
  <c r="BC932" i="2" s="1"/>
  <c r="AY932" i="2"/>
  <c r="BA932" i="2" s="1"/>
  <c r="AX934" i="2"/>
  <c r="M934" i="2" s="1"/>
  <c r="BC934" i="2" s="1"/>
  <c r="C936" i="2"/>
  <c r="AW934" i="2"/>
  <c r="F934" i="2"/>
  <c r="BC575" i="2"/>
  <c r="BA575" i="2"/>
  <c r="AQ933" i="2"/>
  <c r="AT934" i="2"/>
  <c r="M1084" i="21398" l="1"/>
  <c r="BC1084" i="21398" s="1"/>
  <c r="AY1084" i="21398"/>
  <c r="BA1084" i="21398" s="1"/>
  <c r="C1088" i="21398"/>
  <c r="AW1086" i="21398"/>
  <c r="AX1086" i="21398"/>
  <c r="AX1083" i="21398"/>
  <c r="AW1083" i="21398"/>
  <c r="AY934" i="2"/>
  <c r="BA934" i="2" s="1"/>
  <c r="AZ931" i="2"/>
  <c r="BB931" i="2" s="1"/>
  <c r="AX936" i="2"/>
  <c r="M936" i="2" s="1"/>
  <c r="BC936" i="2" s="1"/>
  <c r="C938" i="2"/>
  <c r="AW936" i="2"/>
  <c r="F936" i="2"/>
  <c r="BC577" i="2"/>
  <c r="BA577" i="2"/>
  <c r="AQ935" i="2"/>
  <c r="AT936" i="2"/>
  <c r="AZ1083" i="21398" l="1"/>
  <c r="BB1083" i="21398" s="1"/>
  <c r="C1090" i="21398"/>
  <c r="AX1088" i="21398"/>
  <c r="J1087" i="21398"/>
  <c r="AW1088" i="21398"/>
  <c r="J1089" i="21398"/>
  <c r="M1086" i="21398"/>
  <c r="BC1086" i="21398" s="1"/>
  <c r="AY1086" i="21398"/>
  <c r="BA1086" i="21398" s="1"/>
  <c r="AC936" i="2"/>
  <c r="AW938" i="2"/>
  <c r="AX938" i="2"/>
  <c r="C940" i="2"/>
  <c r="F938" i="2"/>
  <c r="J939" i="2"/>
  <c r="AY936" i="2"/>
  <c r="BA936" i="2" s="1"/>
  <c r="BC579" i="2"/>
  <c r="BA579" i="2"/>
  <c r="BB580" i="2"/>
  <c r="AQ937" i="2"/>
  <c r="AW1087" i="21398" l="1"/>
  <c r="AX1087" i="21398"/>
  <c r="M1088" i="21398"/>
  <c r="BC1088" i="21398" s="1"/>
  <c r="AY1088" i="21398"/>
  <c r="BA1088" i="21398" s="1"/>
  <c r="AW1089" i="21398"/>
  <c r="AX1089" i="21398"/>
  <c r="C1092" i="21398"/>
  <c r="J1091" i="21398"/>
  <c r="AW1090" i="21398"/>
  <c r="AX1090" i="21398"/>
  <c r="AX940" i="2"/>
  <c r="M940" i="2" s="1"/>
  <c r="BC940" i="2" s="1"/>
  <c r="AW940" i="2"/>
  <c r="C942" i="2"/>
  <c r="F940" i="2"/>
  <c r="AY938" i="2"/>
  <c r="BA938" i="2" s="1"/>
  <c r="M938" i="2"/>
  <c r="BC938" i="2" s="1"/>
  <c r="AX939" i="2"/>
  <c r="AW939" i="2"/>
  <c r="BA581" i="2"/>
  <c r="BC581" i="2"/>
  <c r="AT938" i="2"/>
  <c r="AT940" i="2"/>
  <c r="AQ939" i="2"/>
  <c r="AC938" i="2" l="1"/>
  <c r="AZ1089" i="21398"/>
  <c r="BB1089" i="21398" s="1"/>
  <c r="AZ1087" i="21398"/>
  <c r="BB1087" i="21398" s="1"/>
  <c r="M1090" i="21398"/>
  <c r="BC1090" i="21398" s="1"/>
  <c r="AY1090" i="21398"/>
  <c r="BA1090" i="21398" s="1"/>
  <c r="AW1091" i="21398"/>
  <c r="AX1091" i="21398"/>
  <c r="C1094" i="21398"/>
  <c r="AW1092" i="21398"/>
  <c r="AX1092" i="21398"/>
  <c r="AY940" i="2"/>
  <c r="BA940" i="2" s="1"/>
  <c r="AC940" i="2"/>
  <c r="AX942" i="2"/>
  <c r="C944" i="2"/>
  <c r="AW942" i="2"/>
  <c r="F942" i="2"/>
  <c r="AZ939" i="2"/>
  <c r="BB939" i="2" s="1"/>
  <c r="BC583" i="2"/>
  <c r="BA583" i="2"/>
  <c r="AT942" i="2"/>
  <c r="AQ941" i="2"/>
  <c r="AZ1091" i="21398" l="1"/>
  <c r="BB1091" i="21398" s="1"/>
  <c r="M1092" i="21398"/>
  <c r="BC1092" i="21398" s="1"/>
  <c r="AY1092" i="21398"/>
  <c r="BA1092" i="21398" s="1"/>
  <c r="AX1094" i="21398"/>
  <c r="AW1094" i="21398"/>
  <c r="C1096" i="21398"/>
  <c r="AC942" i="2"/>
  <c r="AY942" i="2"/>
  <c r="BA942" i="2" s="1"/>
  <c r="M942" i="2"/>
  <c r="BC942" i="2" s="1"/>
  <c r="AX941" i="2"/>
  <c r="AW941" i="2"/>
  <c r="F944" i="2"/>
  <c r="C946" i="2"/>
  <c r="AX944" i="2"/>
  <c r="AW944" i="2"/>
  <c r="AT944" i="2"/>
  <c r="AQ943" i="2"/>
  <c r="AY1094" i="21398" l="1"/>
  <c r="BA1094" i="21398" s="1"/>
  <c r="M1094" i="21398"/>
  <c r="BC1094" i="21398" s="1"/>
  <c r="C1098" i="21398"/>
  <c r="AW1096" i="21398"/>
  <c r="AX1096" i="21398"/>
  <c r="AC944" i="2"/>
  <c r="AX946" i="2"/>
  <c r="M946" i="2" s="1"/>
  <c r="BC946" i="2" s="1"/>
  <c r="AW946" i="2"/>
  <c r="F946" i="2"/>
  <c r="C948" i="2"/>
  <c r="AX945" i="2"/>
  <c r="AW945" i="2"/>
  <c r="M944" i="2"/>
  <c r="BC944" i="2" s="1"/>
  <c r="AY944" i="2"/>
  <c r="BA944" i="2" s="1"/>
  <c r="AZ941" i="2"/>
  <c r="BB941" i="2" s="1"/>
  <c r="AT946" i="2"/>
  <c r="AQ945" i="2"/>
  <c r="M1096" i="21398" l="1"/>
  <c r="BC1096" i="21398" s="1"/>
  <c r="AY1096" i="21398"/>
  <c r="BA1096" i="21398" s="1"/>
  <c r="AX1098" i="21398"/>
  <c r="AW1098" i="21398"/>
  <c r="C1100" i="21398"/>
  <c r="AZ945" i="2"/>
  <c r="BB945" i="2" s="1"/>
  <c r="AY946" i="2"/>
  <c r="BA946" i="2" s="1"/>
  <c r="AC946" i="2"/>
  <c r="J949" i="2"/>
  <c r="F948" i="2"/>
  <c r="AX948" i="2"/>
  <c r="C950" i="2"/>
  <c r="AW948" i="2"/>
  <c r="AQ947" i="2"/>
  <c r="AT948" i="2"/>
  <c r="M1098" i="21398" l="1"/>
  <c r="BC1098" i="21398" s="1"/>
  <c r="AY1098" i="21398"/>
  <c r="BA1098" i="21398" s="1"/>
  <c r="AX1100" i="21398"/>
  <c r="AW1100" i="21398"/>
  <c r="C1102" i="21398"/>
  <c r="AC948" i="2"/>
  <c r="AX949" i="2"/>
  <c r="AW949" i="2"/>
  <c r="AX950" i="2"/>
  <c r="M950" i="2" s="1"/>
  <c r="BC950" i="2" s="1"/>
  <c r="C952" i="2"/>
  <c r="F950" i="2"/>
  <c r="AW950" i="2"/>
  <c r="M948" i="2"/>
  <c r="BC948" i="2" s="1"/>
  <c r="AY948" i="2"/>
  <c r="BA948" i="2" s="1"/>
  <c r="AQ949" i="2"/>
  <c r="AT950" i="2"/>
  <c r="M1100" i="21398" l="1"/>
  <c r="BC1100" i="21398" s="1"/>
  <c r="AY1100" i="21398"/>
  <c r="BA1100" i="21398" s="1"/>
  <c r="AW1102" i="21398"/>
  <c r="AX1102" i="21398"/>
  <c r="C1104" i="21398"/>
  <c r="AZ949" i="2"/>
  <c r="BB949" i="2" s="1"/>
  <c r="AC950" i="2"/>
  <c r="AY950" i="2"/>
  <c r="BA950" i="2" s="1"/>
  <c r="AX952" i="2"/>
  <c r="M952" i="2" s="1"/>
  <c r="BC952" i="2" s="1"/>
  <c r="AW952" i="2"/>
  <c r="F952" i="2"/>
  <c r="C954" i="2"/>
  <c r="AT952" i="2"/>
  <c r="AQ951" i="2"/>
  <c r="M1102" i="21398" l="1"/>
  <c r="BC1102" i="21398" s="1"/>
  <c r="AY1102" i="21398"/>
  <c r="BA1102" i="21398" s="1"/>
  <c r="J1103" i="21398"/>
  <c r="C1106" i="21398"/>
  <c r="AX1104" i="21398"/>
  <c r="AW1104" i="21398"/>
  <c r="AY952" i="2"/>
  <c r="BA952" i="2" s="1"/>
  <c r="AC952" i="2"/>
  <c r="AX954" i="2"/>
  <c r="M954" i="2" s="1"/>
  <c r="BC954" i="2" s="1"/>
  <c r="F954" i="2"/>
  <c r="AW954" i="2"/>
  <c r="C956" i="2"/>
  <c r="BA595" i="2"/>
  <c r="BC595" i="2"/>
  <c r="BB594" i="2"/>
  <c r="AT954" i="2"/>
  <c r="AQ953" i="2"/>
  <c r="AY1104" i="21398" l="1"/>
  <c r="BA1104" i="21398" s="1"/>
  <c r="M1104" i="21398"/>
  <c r="BC1104" i="21398" s="1"/>
  <c r="AW1106" i="21398"/>
  <c r="AX1106" i="21398"/>
  <c r="C1108" i="21398"/>
  <c r="AW1103" i="21398"/>
  <c r="AX1103" i="21398"/>
  <c r="AY954" i="2"/>
  <c r="BA954" i="2" s="1"/>
  <c r="AC954" i="2"/>
  <c r="AW956" i="2"/>
  <c r="J955" i="2"/>
  <c r="C958" i="2"/>
  <c r="AX956" i="2"/>
  <c r="F956" i="2"/>
  <c r="BA597" i="2"/>
  <c r="BC597" i="2"/>
  <c r="AQ955" i="2"/>
  <c r="M1106" i="21398" l="1"/>
  <c r="BC1106" i="21398" s="1"/>
  <c r="AY1106" i="21398"/>
  <c r="BA1106" i="21398" s="1"/>
  <c r="AZ1103" i="21398"/>
  <c r="BB1103" i="21398" s="1"/>
  <c r="AX1108" i="21398"/>
  <c r="J1109" i="21398"/>
  <c r="C1110" i="21398"/>
  <c r="AW1108" i="21398"/>
  <c r="AX958" i="2"/>
  <c r="M958" i="2" s="1"/>
  <c r="BC958" i="2" s="1"/>
  <c r="F958" i="2"/>
  <c r="C960" i="2"/>
  <c r="AW958" i="2"/>
  <c r="AX955" i="2"/>
  <c r="AW955" i="2"/>
  <c r="AY956" i="2"/>
  <c r="BA956" i="2" s="1"/>
  <c r="M956" i="2"/>
  <c r="BC956" i="2" s="1"/>
  <c r="BA599" i="2"/>
  <c r="BC599" i="2"/>
  <c r="AT956" i="2"/>
  <c r="AT958" i="2"/>
  <c r="AQ957" i="2"/>
  <c r="AC956" i="2" l="1"/>
  <c r="AY1108" i="21398"/>
  <c r="BA1108" i="21398" s="1"/>
  <c r="M1108" i="21398"/>
  <c r="BC1108" i="21398" s="1"/>
  <c r="C1112" i="21398"/>
  <c r="AX1110" i="21398"/>
  <c r="AW1110" i="21398"/>
  <c r="AX1109" i="21398"/>
  <c r="AW1109" i="21398"/>
  <c r="AY958" i="2"/>
  <c r="BA958" i="2" s="1"/>
  <c r="AZ955" i="2"/>
  <c r="BB955" i="2" s="1"/>
  <c r="AC958" i="2"/>
  <c r="C962" i="2"/>
  <c r="J961" i="2"/>
  <c r="AW960" i="2"/>
  <c r="F960" i="2"/>
  <c r="AX960" i="2"/>
  <c r="BA601" i="2"/>
  <c r="BC601" i="2"/>
  <c r="AT960" i="2"/>
  <c r="AQ959" i="2"/>
  <c r="AZ1109" i="21398" l="1"/>
  <c r="BB1109" i="21398" s="1"/>
  <c r="AY1110" i="21398"/>
  <c r="BA1110" i="21398" s="1"/>
  <c r="M1110" i="21398"/>
  <c r="BC1110" i="21398" s="1"/>
  <c r="C1114" i="21398"/>
  <c r="AW1112" i="21398"/>
  <c r="AX1112" i="21398"/>
  <c r="AC960" i="2"/>
  <c r="AX961" i="2"/>
  <c r="AW961" i="2"/>
  <c r="M960" i="2"/>
  <c r="BC960" i="2" s="1"/>
  <c r="AY960" i="2"/>
  <c r="BA960" i="2" s="1"/>
  <c r="AX962" i="2"/>
  <c r="M962" i="2" s="1"/>
  <c r="BC962" i="2" s="1"/>
  <c r="AW962" i="2"/>
  <c r="C964" i="2"/>
  <c r="F962" i="2"/>
  <c r="BA603" i="2"/>
  <c r="BC603" i="2"/>
  <c r="AT962" i="2"/>
  <c r="M1112" i="21398" l="1"/>
  <c r="BC1112" i="21398" s="1"/>
  <c r="AY1112" i="21398"/>
  <c r="BA1112" i="21398" s="1"/>
  <c r="C1116" i="21398"/>
  <c r="AX1114" i="21398"/>
  <c r="AW1114" i="21398"/>
  <c r="AY962" i="2"/>
  <c r="BA962" i="2" s="1"/>
  <c r="AZ961" i="2"/>
  <c r="BB961" i="2" s="1"/>
  <c r="AC962" i="2"/>
  <c r="AX964" i="2"/>
  <c r="M964" i="2" s="1"/>
  <c r="BC964" i="2" s="1"/>
  <c r="AW964" i="2"/>
  <c r="C966" i="2"/>
  <c r="F964" i="2"/>
  <c r="BA605" i="2"/>
  <c r="BC605" i="2"/>
  <c r="AQ961" i="2"/>
  <c r="AT964" i="2"/>
  <c r="AQ963" i="2"/>
  <c r="M1114" i="21398" l="1"/>
  <c r="BC1114" i="21398" s="1"/>
  <c r="AY1114" i="21398"/>
  <c r="BA1114" i="21398" s="1"/>
  <c r="C1118" i="21398"/>
  <c r="AX1116" i="21398"/>
  <c r="AW1116" i="21398"/>
  <c r="AY964" i="2"/>
  <c r="BA964" i="2" s="1"/>
  <c r="AC964" i="2"/>
  <c r="AX966" i="2"/>
  <c r="M966" i="2" s="1"/>
  <c r="BC966" i="2" s="1"/>
  <c r="C968" i="2"/>
  <c r="AW966" i="2"/>
  <c r="F966" i="2"/>
  <c r="BA607" i="2"/>
  <c r="BC607" i="2"/>
  <c r="AT966" i="2"/>
  <c r="AQ965" i="2"/>
  <c r="M1116" i="21398" l="1"/>
  <c r="BC1116" i="21398" s="1"/>
  <c r="AY1116" i="21398"/>
  <c r="BA1116" i="21398" s="1"/>
  <c r="C1120" i="21398"/>
  <c r="AX1118" i="21398"/>
  <c r="AW1118" i="21398"/>
  <c r="AC966" i="2"/>
  <c r="AY966" i="2"/>
  <c r="BA966" i="2" s="1"/>
  <c r="AX968" i="2"/>
  <c r="M968" i="2" s="1"/>
  <c r="BC968" i="2" s="1"/>
  <c r="AW968" i="2"/>
  <c r="F968" i="2"/>
  <c r="C970" i="2"/>
  <c r="BB608" i="2"/>
  <c r="BC609" i="2"/>
  <c r="BA609" i="2"/>
  <c r="AT968" i="2"/>
  <c r="AQ967" i="2"/>
  <c r="M1118" i="21398" l="1"/>
  <c r="BC1118" i="21398" s="1"/>
  <c r="AY1118" i="21398"/>
  <c r="BA1118" i="21398" s="1"/>
  <c r="C1122" i="21398"/>
  <c r="AX1120" i="21398"/>
  <c r="AW1120" i="21398"/>
  <c r="AY968" i="2"/>
  <c r="BA968" i="2" s="1"/>
  <c r="AC968" i="2"/>
  <c r="AW970" i="2"/>
  <c r="J969" i="2"/>
  <c r="F970" i="2"/>
  <c r="AX970" i="2"/>
  <c r="C972" i="2"/>
  <c r="BA611" i="2"/>
  <c r="BC611" i="2"/>
  <c r="BB610" i="2"/>
  <c r="AT970" i="2"/>
  <c r="AQ969" i="2"/>
  <c r="M1120" i="21398" l="1"/>
  <c r="BC1120" i="21398" s="1"/>
  <c r="AY1120" i="21398"/>
  <c r="BA1120" i="21398" s="1"/>
  <c r="AW1122" i="21398"/>
  <c r="C1124" i="21398"/>
  <c r="J1121" i="21398"/>
  <c r="AX1122" i="21398"/>
  <c r="AC970" i="2"/>
  <c r="AX969" i="2"/>
  <c r="AW969" i="2"/>
  <c r="AX972" i="2"/>
  <c r="M972" i="2" s="1"/>
  <c r="BC972" i="2" s="1"/>
  <c r="AW972" i="2"/>
  <c r="C974" i="2"/>
  <c r="F972" i="2"/>
  <c r="AY970" i="2"/>
  <c r="BA970" i="2" s="1"/>
  <c r="M970" i="2"/>
  <c r="BC970" i="2" s="1"/>
  <c r="BC613" i="2"/>
  <c r="BA613" i="2"/>
  <c r="AQ971" i="2"/>
  <c r="AT972" i="2"/>
  <c r="AY1122" i="21398" l="1"/>
  <c r="BA1122" i="21398" s="1"/>
  <c r="M1122" i="21398"/>
  <c r="BC1122" i="21398" s="1"/>
  <c r="AX1121" i="21398"/>
  <c r="AW1121" i="21398"/>
  <c r="C1126" i="21398"/>
  <c r="AW1124" i="21398"/>
  <c r="AX1124" i="21398"/>
  <c r="AZ969" i="2"/>
  <c r="BB969" i="2" s="1"/>
  <c r="AX974" i="2"/>
  <c r="M974" i="2" s="1"/>
  <c r="BC974" i="2" s="1"/>
  <c r="F974" i="2"/>
  <c r="AW974" i="2"/>
  <c r="C976" i="2"/>
  <c r="AY972" i="2"/>
  <c r="BA972" i="2" s="1"/>
  <c r="BA615" i="2"/>
  <c r="BC615" i="2"/>
  <c r="AT974" i="2"/>
  <c r="AQ973" i="2"/>
  <c r="M1124" i="21398" l="1"/>
  <c r="BC1124" i="21398" s="1"/>
  <c r="AY1124" i="21398"/>
  <c r="BA1124" i="21398" s="1"/>
  <c r="AZ1121" i="21398"/>
  <c r="BB1121" i="21398" s="1"/>
  <c r="C1128" i="21398"/>
  <c r="AX1126" i="21398"/>
  <c r="AW1126" i="21398"/>
  <c r="AY974" i="2"/>
  <c r="BA974" i="2" s="1"/>
  <c r="AC974" i="2"/>
  <c r="J977" i="2"/>
  <c r="F976" i="2"/>
  <c r="AW976" i="2"/>
  <c r="C978" i="2"/>
  <c r="AX976" i="2"/>
  <c r="BC617" i="2"/>
  <c r="BA617" i="2"/>
  <c r="AQ975" i="2"/>
  <c r="AT976" i="2"/>
  <c r="AY1126" i="21398" l="1"/>
  <c r="BA1126" i="21398" s="1"/>
  <c r="M1126" i="21398"/>
  <c r="BC1126" i="21398" s="1"/>
  <c r="AX1128" i="21398"/>
  <c r="C1130" i="21398"/>
  <c r="AW1128" i="21398"/>
  <c r="J1129" i="21398"/>
  <c r="AC976" i="2"/>
  <c r="AY976" i="2"/>
  <c r="BA976" i="2" s="1"/>
  <c r="M976" i="2"/>
  <c r="BC976" i="2" s="1"/>
  <c r="AX977" i="2"/>
  <c r="AW977" i="2"/>
  <c r="AX978" i="2"/>
  <c r="M978" i="2" s="1"/>
  <c r="BC978" i="2" s="1"/>
  <c r="AW978" i="2"/>
  <c r="C980" i="2"/>
  <c r="F978" i="2"/>
  <c r="BA619" i="2"/>
  <c r="BC619" i="2"/>
  <c r="AT978" i="2"/>
  <c r="AW1129" i="21398" l="1"/>
  <c r="AX1129" i="21398"/>
  <c r="AW1130" i="21398"/>
  <c r="AX1130" i="21398"/>
  <c r="J1130" i="21398"/>
  <c r="C1132" i="21398"/>
  <c r="AY1128" i="21398"/>
  <c r="BA1128" i="21398" s="1"/>
  <c r="M1128" i="21398"/>
  <c r="BC1128" i="21398" s="1"/>
  <c r="AZ977" i="2"/>
  <c r="BB977" i="2" s="1"/>
  <c r="AC978" i="2"/>
  <c r="AX980" i="2"/>
  <c r="M980" i="2" s="1"/>
  <c r="BC980" i="2" s="1"/>
  <c r="AW980" i="2"/>
  <c r="C982" i="2"/>
  <c r="F980" i="2"/>
  <c r="AY978" i="2"/>
  <c r="BA978" i="2" s="1"/>
  <c r="BA621" i="2"/>
  <c r="BC621" i="2"/>
  <c r="BB622" i="2"/>
  <c r="AQ979" i="2"/>
  <c r="AT980" i="2"/>
  <c r="AQ977" i="2"/>
  <c r="AZ1129" i="21398" l="1"/>
  <c r="BB1129" i="21398" s="1"/>
  <c r="AX1132" i="21398"/>
  <c r="AW1132" i="21398"/>
  <c r="M1130" i="21398"/>
  <c r="BC1130" i="21398" s="1"/>
  <c r="AZ1130" i="21398"/>
  <c r="BB1130" i="21398" s="1"/>
  <c r="AY1130" i="21398"/>
  <c r="BA1130" i="21398" s="1"/>
  <c r="C1134" i="21398"/>
  <c r="C1136" i="21398"/>
  <c r="C1138" i="21398" s="1"/>
  <c r="C1140" i="21398" s="1"/>
  <c r="C1142" i="21398" s="1"/>
  <c r="C1144" i="21398" s="1"/>
  <c r="C1146" i="21398" s="1"/>
  <c r="C1148" i="21398" s="1"/>
  <c r="C1150" i="21398" s="1"/>
  <c r="C1152" i="21398" s="1"/>
  <c r="C1154" i="21398" s="1"/>
  <c r="C1156" i="21398" s="1"/>
  <c r="C1158" i="21398" s="1"/>
  <c r="C1160" i="21398" s="1"/>
  <c r="C1162" i="21398" s="1"/>
  <c r="C1164" i="21398" s="1"/>
  <c r="C1166" i="21398" s="1"/>
  <c r="C1168" i="21398" s="1"/>
  <c r="C1170" i="21398" s="1"/>
  <c r="C1172" i="21398" s="1"/>
  <c r="C1174" i="21398" s="1"/>
  <c r="AY980" i="2"/>
  <c r="BA980" i="2" s="1"/>
  <c r="AC980" i="2"/>
  <c r="AX982" i="2"/>
  <c r="M982" i="2" s="1"/>
  <c r="BC982" i="2" s="1"/>
  <c r="C984" i="2"/>
  <c r="AW982" i="2"/>
  <c r="F982" i="2"/>
  <c r="BC623" i="2"/>
  <c r="BA623" i="2"/>
  <c r="AT982" i="2"/>
  <c r="M1132" i="21398" l="1"/>
  <c r="BC1132" i="21398" s="1"/>
  <c r="AY1132" i="21398"/>
  <c r="BA1132" i="21398" s="1"/>
  <c r="C1176" i="21398"/>
  <c r="J1173" i="21398"/>
  <c r="AW1174" i="21398"/>
  <c r="AX1174" i="21398"/>
  <c r="M1174" i="21398" s="1"/>
  <c r="BC1174" i="21398" s="1"/>
  <c r="AX1134" i="21398"/>
  <c r="AW1134" i="21398"/>
  <c r="AY982" i="2"/>
  <c r="BA982" i="2" s="1"/>
  <c r="AC982" i="2"/>
  <c r="AX984" i="2"/>
  <c r="M984" i="2" s="1"/>
  <c r="BC984" i="2" s="1"/>
  <c r="F984" i="2"/>
  <c r="AW984" i="2"/>
  <c r="C986" i="2"/>
  <c r="BC625" i="2"/>
  <c r="BA625" i="2"/>
  <c r="AQ981" i="2"/>
  <c r="AT984" i="2"/>
  <c r="AY1174" i="21398" l="1"/>
  <c r="BA1174" i="21398" s="1"/>
  <c r="AW1173" i="21398"/>
  <c r="AX1173" i="21398"/>
  <c r="M1134" i="21398"/>
  <c r="BC1134" i="21398" s="1"/>
  <c r="AY1134" i="21398"/>
  <c r="BA1134" i="21398" s="1"/>
  <c r="AX1176" i="21398"/>
  <c r="C1178" i="21398"/>
  <c r="J1177" i="21398"/>
  <c r="AW1176" i="21398"/>
  <c r="AY984" i="2"/>
  <c r="BA984" i="2" s="1"/>
  <c r="AC984" i="2"/>
  <c r="AX986" i="2"/>
  <c r="M986" i="2" s="1"/>
  <c r="BC986" i="2" s="1"/>
  <c r="F986" i="2"/>
  <c r="AW986" i="2"/>
  <c r="C988" i="2"/>
  <c r="BA627" i="2"/>
  <c r="BC627" i="2"/>
  <c r="AQ983" i="2"/>
  <c r="AT986" i="2"/>
  <c r="AZ1173" i="21398" l="1"/>
  <c r="BB1173" i="21398" s="1"/>
  <c r="AW1177" i="21398"/>
  <c r="AX1177" i="21398"/>
  <c r="AX1178" i="21398"/>
  <c r="C1180" i="21398"/>
  <c r="AW1178" i="21398"/>
  <c r="M1176" i="21398"/>
  <c r="BC1176" i="21398" s="1"/>
  <c r="AY1176" i="21398"/>
  <c r="BA1176" i="21398" s="1"/>
  <c r="AY986" i="2"/>
  <c r="BA986" i="2" s="1"/>
  <c r="AC986" i="2"/>
  <c r="AX988" i="2"/>
  <c r="M988" i="2" s="1"/>
  <c r="BC988" i="2" s="1"/>
  <c r="C990" i="2"/>
  <c r="F988" i="2"/>
  <c r="AW988" i="2"/>
  <c r="BA629" i="2"/>
  <c r="BC629" i="2"/>
  <c r="AQ985" i="2"/>
  <c r="AT988" i="2"/>
  <c r="AZ1177" i="21398" l="1"/>
  <c r="BB1177" i="21398" s="1"/>
  <c r="AW1180" i="21398"/>
  <c r="J1181" i="21398"/>
  <c r="AX1180" i="21398"/>
  <c r="C1182" i="21398"/>
  <c r="AY1178" i="21398"/>
  <c r="BA1178" i="21398" s="1"/>
  <c r="M1178" i="21398"/>
  <c r="BC1178" i="21398" s="1"/>
  <c r="AY988" i="2"/>
  <c r="BA988" i="2" s="1"/>
  <c r="AC988" i="2"/>
  <c r="F990" i="2"/>
  <c r="AX990" i="2"/>
  <c r="C992" i="2"/>
  <c r="J989" i="2"/>
  <c r="AW990" i="2"/>
  <c r="BA631" i="2"/>
  <c r="BC631" i="2"/>
  <c r="AQ989" i="2"/>
  <c r="AQ987" i="2"/>
  <c r="AW1182" i="21398" l="1"/>
  <c r="AX1182" i="21398"/>
  <c r="C1184" i="21398"/>
  <c r="AY1180" i="21398"/>
  <c r="BA1180" i="21398" s="1"/>
  <c r="M1180" i="21398"/>
  <c r="BC1180" i="21398" s="1"/>
  <c r="AX1181" i="21398"/>
  <c r="AW1181" i="21398"/>
  <c r="AX992" i="2"/>
  <c r="M992" i="2" s="1"/>
  <c r="BC992" i="2" s="1"/>
  <c r="C994" i="2"/>
  <c r="F992" i="2"/>
  <c r="AW992" i="2"/>
  <c r="AY990" i="2"/>
  <c r="BA990" i="2" s="1"/>
  <c r="M990" i="2"/>
  <c r="BC990" i="2" s="1"/>
  <c r="AX989" i="2"/>
  <c r="AW989" i="2"/>
  <c r="BC633" i="2"/>
  <c r="BA633" i="2"/>
  <c r="AT990" i="2"/>
  <c r="AQ991" i="2"/>
  <c r="AT992" i="2"/>
  <c r="AC990" i="2" l="1"/>
  <c r="AZ1181" i="21398"/>
  <c r="BB1181" i="21398" s="1"/>
  <c r="C1186" i="21398"/>
  <c r="C1188" i="21398" s="1"/>
  <c r="C1190" i="21398" s="1"/>
  <c r="AW1184" i="21398"/>
  <c r="AX1184" i="21398"/>
  <c r="M1182" i="21398"/>
  <c r="BC1182" i="21398" s="1"/>
  <c r="AY1182" i="21398"/>
  <c r="BA1182" i="21398" s="1"/>
  <c r="AY992" i="2"/>
  <c r="BA992" i="2" s="1"/>
  <c r="AC992" i="2"/>
  <c r="AX994" i="2"/>
  <c r="C996" i="2"/>
  <c r="AW994" i="2"/>
  <c r="J995" i="2"/>
  <c r="F994" i="2"/>
  <c r="AZ989" i="2"/>
  <c r="BB989" i="2" s="1"/>
  <c r="BA635" i="2"/>
  <c r="BC635" i="2"/>
  <c r="AQ993" i="2"/>
  <c r="M1184" i="21398" l="1"/>
  <c r="BC1184" i="21398" s="1"/>
  <c r="AY1184" i="21398"/>
  <c r="BA1184" i="21398" s="1"/>
  <c r="C1192" i="21398"/>
  <c r="AW1190" i="21398"/>
  <c r="AX1190" i="21398"/>
  <c r="M994" i="2"/>
  <c r="BC994" i="2" s="1"/>
  <c r="AY994" i="2"/>
  <c r="BA994" i="2" s="1"/>
  <c r="AX995" i="2"/>
  <c r="AW995" i="2"/>
  <c r="AX996" i="2"/>
  <c r="M996" i="2" s="1"/>
  <c r="BC996" i="2" s="1"/>
  <c r="AW996" i="2"/>
  <c r="C998" i="2"/>
  <c r="F996" i="2"/>
  <c r="BC637" i="2"/>
  <c r="BA637" i="2"/>
  <c r="AT994" i="2"/>
  <c r="AQ995" i="2"/>
  <c r="AC994" i="2" l="1"/>
  <c r="M1190" i="21398"/>
  <c r="BC1190" i="21398" s="1"/>
  <c r="AY1190" i="21398"/>
  <c r="BA1190" i="21398" s="1"/>
  <c r="AX1192" i="21398"/>
  <c r="AW1192" i="21398"/>
  <c r="C1194" i="21398"/>
  <c r="AY996" i="2"/>
  <c r="BA996" i="2" s="1"/>
  <c r="AX998" i="2"/>
  <c r="M998" i="2" s="1"/>
  <c r="BC998" i="2" s="1"/>
  <c r="AW998" i="2"/>
  <c r="C1000" i="2"/>
  <c r="F998" i="2"/>
  <c r="AZ995" i="2"/>
  <c r="BB995" i="2" s="1"/>
  <c r="BC639" i="2"/>
  <c r="BA639" i="2"/>
  <c r="BB638" i="2"/>
  <c r="AT998" i="2"/>
  <c r="AQ997" i="2"/>
  <c r="AT996" i="2"/>
  <c r="AC996" i="2" l="1"/>
  <c r="AW1194" i="21398"/>
  <c r="C1196" i="21398"/>
  <c r="AX1194" i="21398"/>
  <c r="M1192" i="21398"/>
  <c r="BC1192" i="21398" s="1"/>
  <c r="AY1192" i="21398"/>
  <c r="BA1192" i="21398" s="1"/>
  <c r="AY998" i="2"/>
  <c r="BA998" i="2" s="1"/>
  <c r="AC998" i="2"/>
  <c r="AX1000" i="2"/>
  <c r="M1000" i="2" s="1"/>
  <c r="BC1000" i="2" s="1"/>
  <c r="C1002" i="2"/>
  <c r="F1000" i="2"/>
  <c r="AW1000" i="2"/>
  <c r="BA641" i="2"/>
  <c r="BC641" i="2"/>
  <c r="AT1000" i="2"/>
  <c r="AQ999" i="2"/>
  <c r="M1194" i="21398" l="1"/>
  <c r="BC1194" i="21398" s="1"/>
  <c r="AY1194" i="21398"/>
  <c r="BA1194" i="21398" s="1"/>
  <c r="AW1196" i="21398"/>
  <c r="AX1196" i="21398"/>
  <c r="C1198" i="21398"/>
  <c r="AY1000" i="2"/>
  <c r="BA1000" i="2" s="1"/>
  <c r="AC1000" i="2"/>
  <c r="AX1002" i="2"/>
  <c r="M1002" i="2" s="1"/>
  <c r="BC1002" i="2" s="1"/>
  <c r="C1004" i="2"/>
  <c r="AW1002" i="2"/>
  <c r="F1002" i="2"/>
  <c r="BC643" i="2"/>
  <c r="BA643" i="2"/>
  <c r="BB644" i="2"/>
  <c r="AT1002" i="2"/>
  <c r="AQ1001" i="2"/>
  <c r="AX1198" i="21398" l="1"/>
  <c r="AW1198" i="21398"/>
  <c r="C1200" i="21398"/>
  <c r="AY1196" i="21398"/>
  <c r="BA1196" i="21398" s="1"/>
  <c r="M1196" i="21398"/>
  <c r="BC1196" i="21398" s="1"/>
  <c r="AY1002" i="2"/>
  <c r="BA1002" i="2" s="1"/>
  <c r="AC1002" i="2"/>
  <c r="AX1004" i="2"/>
  <c r="M1004" i="2" s="1"/>
  <c r="BC1004" i="2" s="1"/>
  <c r="C1006" i="2"/>
  <c r="F1004" i="2"/>
  <c r="AW1004" i="2"/>
  <c r="BA645" i="2"/>
  <c r="BC645" i="2"/>
  <c r="AQ1003" i="2"/>
  <c r="AT1004" i="2"/>
  <c r="AX1200" i="21398" l="1"/>
  <c r="C1202" i="21398"/>
  <c r="J1201" i="21398"/>
  <c r="AW1200" i="21398"/>
  <c r="M1198" i="21398"/>
  <c r="BC1198" i="21398" s="1"/>
  <c r="AY1198" i="21398"/>
  <c r="BA1198" i="21398" s="1"/>
  <c r="AY1004" i="2"/>
  <c r="BA1004" i="2" s="1"/>
  <c r="AC1004" i="2"/>
  <c r="AX1006" i="2"/>
  <c r="M1006" i="2" s="1"/>
  <c r="BC1006" i="2" s="1"/>
  <c r="F1006" i="2"/>
  <c r="AW1006" i="2"/>
  <c r="C1008" i="2"/>
  <c r="BA647" i="2"/>
  <c r="BC647" i="2"/>
  <c r="AQ1005" i="2"/>
  <c r="AT1006" i="2"/>
  <c r="AW1201" i="21398" l="1"/>
  <c r="AX1201" i="21398"/>
  <c r="C1204" i="21398"/>
  <c r="AX1202" i="21398"/>
  <c r="AW1202" i="21398"/>
  <c r="AY1200" i="21398"/>
  <c r="BA1200" i="21398" s="1"/>
  <c r="M1200" i="21398"/>
  <c r="BC1200" i="21398" s="1"/>
  <c r="AY1006" i="2"/>
  <c r="BA1006" i="2" s="1"/>
  <c r="AC1006" i="2"/>
  <c r="AX1008" i="2"/>
  <c r="AW1008" i="2"/>
  <c r="J1007" i="2"/>
  <c r="C1010" i="2"/>
  <c r="F1008" i="2"/>
  <c r="BA649" i="2"/>
  <c r="BC649" i="2"/>
  <c r="AT1008" i="2"/>
  <c r="AQ1007" i="2"/>
  <c r="AZ1201" i="21398" l="1"/>
  <c r="BB1201" i="21398" s="1"/>
  <c r="AY1202" i="21398"/>
  <c r="BA1202" i="21398" s="1"/>
  <c r="M1202" i="21398"/>
  <c r="BC1202" i="21398" s="1"/>
  <c r="C1206" i="21398"/>
  <c r="AX1204" i="21398"/>
  <c r="AW1204" i="21398"/>
  <c r="AC1008" i="2"/>
  <c r="M1008" i="2"/>
  <c r="BC1008" i="2" s="1"/>
  <c r="AY1008" i="2"/>
  <c r="BA1008" i="2" s="1"/>
  <c r="AX1007" i="2"/>
  <c r="AW1007" i="2"/>
  <c r="AX1010" i="2"/>
  <c r="M1010" i="2" s="1"/>
  <c r="BC1010" i="2" s="1"/>
  <c r="J1009" i="2"/>
  <c r="F1010" i="2"/>
  <c r="J1011" i="2"/>
  <c r="AW1010" i="2"/>
  <c r="AY1010" i="2" s="1"/>
  <c r="BA1010" i="2" s="1"/>
  <c r="C1012" i="2"/>
  <c r="BA651" i="2"/>
  <c r="BC651" i="2"/>
  <c r="AT1010" i="2"/>
  <c r="AQ1009" i="2"/>
  <c r="AY1204" i="21398" l="1"/>
  <c r="BA1204" i="21398" s="1"/>
  <c r="M1204" i="21398"/>
  <c r="BC1204" i="21398" s="1"/>
  <c r="C1208" i="21398"/>
  <c r="AW1206" i="21398"/>
  <c r="AX1206" i="21398"/>
  <c r="AX1012" i="2"/>
  <c r="M1012" i="2" s="1"/>
  <c r="BC1012" i="2" s="1"/>
  <c r="F1012" i="2"/>
  <c r="AW1012" i="2"/>
  <c r="C1014" i="2"/>
  <c r="AX1009" i="2"/>
  <c r="AW1009" i="2"/>
  <c r="AX1011" i="2"/>
  <c r="AW1011" i="2"/>
  <c r="AZ1007" i="2"/>
  <c r="BB1007" i="2" s="1"/>
  <c r="BC655" i="2"/>
  <c r="BA655" i="2"/>
  <c r="AQ1011" i="2"/>
  <c r="AT1012" i="2"/>
  <c r="AY1206" i="21398" l="1"/>
  <c r="BA1206" i="21398" s="1"/>
  <c r="M1206" i="21398"/>
  <c r="BC1206" i="21398" s="1"/>
  <c r="AX1208" i="21398"/>
  <c r="C1210" i="21398"/>
  <c r="AW1208" i="21398"/>
  <c r="AY1012" i="2"/>
  <c r="BA1012" i="2" s="1"/>
  <c r="AZ1011" i="2"/>
  <c r="BB1011" i="2" s="1"/>
  <c r="AZ1009" i="2"/>
  <c r="BB1009" i="2" s="1"/>
  <c r="AC1012" i="2"/>
  <c r="J1015" i="2"/>
  <c r="C1016" i="2"/>
  <c r="AX1014" i="2"/>
  <c r="F1014" i="2"/>
  <c r="AW1014" i="2"/>
  <c r="BA657" i="2"/>
  <c r="BC657" i="2"/>
  <c r="AT1014" i="2"/>
  <c r="AW1210" i="21398" l="1"/>
  <c r="J1209" i="21398"/>
  <c r="C1212" i="21398"/>
  <c r="C1214" i="21398" s="1"/>
  <c r="C1216" i="21398" s="1"/>
  <c r="AX1210" i="21398"/>
  <c r="M1208" i="21398"/>
  <c r="BC1208" i="21398" s="1"/>
  <c r="AY1208" i="21398"/>
  <c r="BA1208" i="21398" s="1"/>
  <c r="AC1014" i="2"/>
  <c r="M1014" i="2"/>
  <c r="BC1014" i="2" s="1"/>
  <c r="AY1014" i="2"/>
  <c r="BA1014" i="2" s="1"/>
  <c r="AX1016" i="2"/>
  <c r="M1016" i="2" s="1"/>
  <c r="BC1016" i="2" s="1"/>
  <c r="F1016" i="2"/>
  <c r="C1018" i="2"/>
  <c r="AW1016" i="2"/>
  <c r="AX1015" i="2"/>
  <c r="AW1015" i="2"/>
  <c r="BA659" i="2"/>
  <c r="BC659" i="2"/>
  <c r="AQ1013" i="2"/>
  <c r="AT1016" i="2"/>
  <c r="AQ1015" i="2"/>
  <c r="C1218" i="21398" l="1"/>
  <c r="AW1216" i="21398"/>
  <c r="AX1216" i="21398"/>
  <c r="M1210" i="21398"/>
  <c r="BC1210" i="21398" s="1"/>
  <c r="AY1210" i="21398"/>
  <c r="BA1210" i="21398" s="1"/>
  <c r="AX1212" i="21398"/>
  <c r="AW1212" i="21398"/>
  <c r="AW1209" i="21398"/>
  <c r="AX1209" i="21398"/>
  <c r="AC1016" i="2"/>
  <c r="AY1016" i="2"/>
  <c r="BA1016" i="2" s="1"/>
  <c r="AX1018" i="2"/>
  <c r="M1018" i="2" s="1"/>
  <c r="BC1018" i="2" s="1"/>
  <c r="C1020" i="2"/>
  <c r="F1018" i="2"/>
  <c r="AW1018" i="2"/>
  <c r="AZ1015" i="2"/>
  <c r="BB1015" i="2" s="1"/>
  <c r="BA661" i="2"/>
  <c r="BC661" i="2"/>
  <c r="AT1018" i="2"/>
  <c r="AQ1017" i="2"/>
  <c r="AY1216" i="21398" l="1"/>
  <c r="BA1216" i="21398" s="1"/>
  <c r="M1216" i="21398"/>
  <c r="BC1216" i="21398" s="1"/>
  <c r="AX1218" i="21398"/>
  <c r="M1218" i="21398" s="1"/>
  <c r="BC1218" i="21398" s="1"/>
  <c r="C1220" i="21398"/>
  <c r="C1222" i="21398" s="1"/>
  <c r="AW1218" i="21398"/>
  <c r="AZ1209" i="21398"/>
  <c r="BB1209" i="21398" s="1"/>
  <c r="M1212" i="21398"/>
  <c r="BC1212" i="21398" s="1"/>
  <c r="AY1212" i="21398"/>
  <c r="BA1212" i="21398" s="1"/>
  <c r="AW1214" i="21398"/>
  <c r="AX1214" i="21398"/>
  <c r="AC1018" i="2"/>
  <c r="AX1020" i="2"/>
  <c r="M1020" i="2" s="1"/>
  <c r="BC1020" i="2" s="1"/>
  <c r="AW1020" i="2"/>
  <c r="C1022" i="2"/>
  <c r="F1020" i="2"/>
  <c r="AY1018" i="2"/>
  <c r="BA1018" i="2" s="1"/>
  <c r="BC663" i="2"/>
  <c r="BA663" i="2"/>
  <c r="BB662" i="2"/>
  <c r="AT1020" i="2"/>
  <c r="AQ1019" i="2"/>
  <c r="AY1218" i="21398" l="1"/>
  <c r="BA1218" i="21398" s="1"/>
  <c r="AY1214" i="21398"/>
  <c r="BA1214" i="21398" s="1"/>
  <c r="M1214" i="21398"/>
  <c r="BC1214" i="21398" s="1"/>
  <c r="J1221" i="21398"/>
  <c r="AX1220" i="21398"/>
  <c r="AW1220" i="21398"/>
  <c r="AY1020" i="2"/>
  <c r="BA1020" i="2" s="1"/>
  <c r="AC1020" i="2"/>
  <c r="AX1022" i="2"/>
  <c r="M1022" i="2" s="1"/>
  <c r="BC1022" i="2" s="1"/>
  <c r="AW1022" i="2"/>
  <c r="F1022" i="2"/>
  <c r="C1024" i="2"/>
  <c r="BC665" i="2"/>
  <c r="BA665" i="2"/>
  <c r="AT1022" i="2"/>
  <c r="AQ1021" i="2"/>
  <c r="M1220" i="21398" l="1"/>
  <c r="BC1220" i="21398" s="1"/>
  <c r="AY1220" i="21398"/>
  <c r="BA1220" i="21398" s="1"/>
  <c r="AX1221" i="21398"/>
  <c r="AW1221" i="21398"/>
  <c r="AC1022" i="2"/>
  <c r="AY1022" i="2"/>
  <c r="BA1022" i="2" s="1"/>
  <c r="AX1024" i="2"/>
  <c r="M1024" i="2" s="1"/>
  <c r="BC1024" i="2" s="1"/>
  <c r="AW1024" i="2"/>
  <c r="C1026" i="2"/>
  <c r="F1024" i="2"/>
  <c r="BA667" i="2"/>
  <c r="BC667" i="2"/>
  <c r="AT1024" i="2"/>
  <c r="AQ1023" i="2"/>
  <c r="AZ1221" i="21398" l="1"/>
  <c r="BB1221" i="21398" s="1"/>
  <c r="AY1024" i="2"/>
  <c r="BA1024" i="2" s="1"/>
  <c r="AC1024" i="2"/>
  <c r="AX1026" i="2"/>
  <c r="M1026" i="2" s="1"/>
  <c r="BC1026" i="2" s="1"/>
  <c r="F1026" i="2"/>
  <c r="C1028" i="2"/>
  <c r="AW1026" i="2"/>
  <c r="M1252" i="21398"/>
  <c r="BC1252" i="21398" s="1"/>
  <c r="BC669" i="2"/>
  <c r="BA669" i="2"/>
  <c r="AQ1025" i="2"/>
  <c r="AW1222" i="21398" l="1"/>
  <c r="AX1222" i="21398"/>
  <c r="C1224" i="21398"/>
  <c r="AY1026" i="2"/>
  <c r="BA1026" i="2" s="1"/>
  <c r="AX1028" i="2"/>
  <c r="M1028" i="2" s="1"/>
  <c r="BC1028" i="2" s="1"/>
  <c r="C1030" i="2"/>
  <c r="F1028" i="2"/>
  <c r="AW1028" i="2"/>
  <c r="BC671" i="2"/>
  <c r="BA671" i="2"/>
  <c r="AT1026" i="2"/>
  <c r="AT1028" i="2"/>
  <c r="AQ1027" i="2"/>
  <c r="AC1026" i="2" l="1"/>
  <c r="AW1224" i="21398"/>
  <c r="C1226" i="21398"/>
  <c r="AX1224" i="21398"/>
  <c r="M1222" i="21398"/>
  <c r="BC1222" i="21398" s="1"/>
  <c r="AY1222" i="21398"/>
  <c r="BA1222" i="21398" s="1"/>
  <c r="AY1028" i="2"/>
  <c r="BA1028" i="2" s="1"/>
  <c r="AC1028" i="2"/>
  <c r="J1029" i="2"/>
  <c r="F1030" i="2"/>
  <c r="AX1030" i="2"/>
  <c r="C1032" i="2"/>
  <c r="AW1030" i="2"/>
  <c r="M1256" i="21398"/>
  <c r="BC1256" i="21398" s="1"/>
  <c r="M1254" i="21398"/>
  <c r="BC1254" i="21398" s="1"/>
  <c r="BC673" i="2"/>
  <c r="BA673" i="2"/>
  <c r="BB672" i="2"/>
  <c r="AT1030" i="2"/>
  <c r="AQ1029" i="2"/>
  <c r="M1224" i="21398" l="1"/>
  <c r="BC1224" i="21398" s="1"/>
  <c r="AY1224" i="21398"/>
  <c r="BA1224" i="21398" s="1"/>
  <c r="AW1226" i="21398"/>
  <c r="AX1226" i="21398"/>
  <c r="C1228" i="21398"/>
  <c r="AC1030" i="2"/>
  <c r="M1030" i="2"/>
  <c r="BC1030" i="2" s="1"/>
  <c r="AY1030" i="2"/>
  <c r="BA1030" i="2" s="1"/>
  <c r="AX1029" i="2"/>
  <c r="AW1029" i="2"/>
  <c r="AX1032" i="2"/>
  <c r="M1032" i="2" s="1"/>
  <c r="BC1032" i="2" s="1"/>
  <c r="AW1032" i="2"/>
  <c r="C1034" i="2"/>
  <c r="F1032" i="2"/>
  <c r="BB674" i="2"/>
  <c r="BC675" i="2"/>
  <c r="BA675" i="2"/>
  <c r="BB675" i="2"/>
  <c r="AQ1031" i="2"/>
  <c r="AT1032" i="2"/>
  <c r="M1226" i="21398" l="1"/>
  <c r="BC1226" i="21398" s="1"/>
  <c r="AY1226" i="21398"/>
  <c r="BA1226" i="21398" s="1"/>
  <c r="AX1228" i="21398"/>
  <c r="C1230" i="21398"/>
  <c r="AW1228" i="21398"/>
  <c r="AZ1029" i="2"/>
  <c r="BB1029" i="2" s="1"/>
  <c r="AY1032" i="2"/>
  <c r="BA1032" i="2" s="1"/>
  <c r="AC1032" i="2"/>
  <c r="AX1034" i="2"/>
  <c r="F1034" i="2"/>
  <c r="J1035" i="2"/>
  <c r="C1036" i="2"/>
  <c r="AW1034" i="2"/>
  <c r="BA677" i="2"/>
  <c r="BC677" i="2"/>
  <c r="AT1034" i="2"/>
  <c r="AX1230" i="21398" l="1"/>
  <c r="AW1230" i="21398"/>
  <c r="C1232" i="21398"/>
  <c r="M1228" i="21398"/>
  <c r="BC1228" i="21398" s="1"/>
  <c r="AY1228" i="21398"/>
  <c r="BA1228" i="21398" s="1"/>
  <c r="AC1034" i="2"/>
  <c r="M1034" i="2"/>
  <c r="BC1034" i="2" s="1"/>
  <c r="AY1034" i="2"/>
  <c r="BA1034" i="2" s="1"/>
  <c r="AX1035" i="2"/>
  <c r="AW1035" i="2"/>
  <c r="AX1036" i="2"/>
  <c r="M1036" i="2" s="1"/>
  <c r="BC1036" i="2" s="1"/>
  <c r="F1036" i="2"/>
  <c r="AW1036" i="2"/>
  <c r="C1038" i="2"/>
  <c r="AQ1033" i="2"/>
  <c r="AQ1035" i="2"/>
  <c r="AT1036" i="2"/>
  <c r="AX1232" i="21398" l="1"/>
  <c r="AW1232" i="21398"/>
  <c r="C1234" i="21398"/>
  <c r="M1230" i="21398"/>
  <c r="BC1230" i="21398" s="1"/>
  <c r="AY1230" i="21398"/>
  <c r="BA1230" i="21398" s="1"/>
  <c r="AZ1035" i="2"/>
  <c r="BB1035" i="2" s="1"/>
  <c r="AC1036" i="2"/>
  <c r="AX1038" i="2"/>
  <c r="M1038" i="2" s="1"/>
  <c r="BC1038" i="2" s="1"/>
  <c r="C1040" i="2"/>
  <c r="F1038" i="2"/>
  <c r="AW1038" i="2"/>
  <c r="AY1036" i="2"/>
  <c r="BA1036" i="2" s="1"/>
  <c r="BC679" i="2"/>
  <c r="BA679" i="2"/>
  <c r="K340" i="21412"/>
  <c r="K342" i="21412"/>
  <c r="K343" i="21412"/>
  <c r="K341" i="21412"/>
  <c r="K338" i="21412"/>
  <c r="AQ1037" i="2"/>
  <c r="AW1234" i="21398" l="1"/>
  <c r="C1236" i="21398"/>
  <c r="AX1234" i="21398"/>
  <c r="AY1232" i="21398"/>
  <c r="BA1232" i="21398" s="1"/>
  <c r="M1232" i="21398"/>
  <c r="BC1232" i="21398" s="1"/>
  <c r="AY1038" i="2"/>
  <c r="BA1038" i="2" s="1"/>
  <c r="AX1040" i="2"/>
  <c r="M1040" i="2" s="1"/>
  <c r="BC1040" i="2" s="1"/>
  <c r="AW1040" i="2"/>
  <c r="C1042" i="2"/>
  <c r="F1040" i="2"/>
  <c r="BB678" i="2"/>
  <c r="K339" i="21412"/>
  <c r="K226" i="21412"/>
  <c r="K205" i="21412"/>
  <c r="K321" i="21412"/>
  <c r="K150" i="21412"/>
  <c r="K244" i="21412"/>
  <c r="K10" i="21412"/>
  <c r="K56" i="21412"/>
  <c r="K154" i="21412"/>
  <c r="K91" i="21412"/>
  <c r="K203" i="21412"/>
  <c r="K132" i="21412"/>
  <c r="K268" i="21412"/>
  <c r="K177" i="21412"/>
  <c r="K267" i="21412"/>
  <c r="K288" i="21412"/>
  <c r="K155" i="21412"/>
  <c r="K118" i="21412"/>
  <c r="K8" i="21412"/>
  <c r="K240" i="21412"/>
  <c r="K312" i="21412"/>
  <c r="K171" i="21412"/>
  <c r="K287" i="21412"/>
  <c r="K75" i="21412"/>
  <c r="K264" i="21412"/>
  <c r="K176" i="21412"/>
  <c r="K322" i="21412"/>
  <c r="K160" i="21412"/>
  <c r="K60" i="21412"/>
  <c r="K316" i="21412"/>
  <c r="K102" i="21412"/>
  <c r="K54" i="21412"/>
  <c r="K87" i="21412"/>
  <c r="K272" i="21412"/>
  <c r="K210" i="21412"/>
  <c r="K126" i="21412"/>
  <c r="K32" i="21412"/>
  <c r="K285" i="21412"/>
  <c r="K125" i="21412"/>
  <c r="K183" i="21412"/>
  <c r="K234" i="21412"/>
  <c r="K281" i="21412"/>
  <c r="K277" i="21412"/>
  <c r="K190" i="21412"/>
  <c r="K236" i="21412"/>
  <c r="K148" i="21412"/>
  <c r="K31" i="21412"/>
  <c r="K23" i="21412"/>
  <c r="K22" i="21412"/>
  <c r="K219" i="21412"/>
  <c r="K12" i="21412"/>
  <c r="K182" i="21412"/>
  <c r="K16" i="21412"/>
  <c r="K158" i="21412"/>
  <c r="K304" i="21412"/>
  <c r="K193" i="21412"/>
  <c r="K84" i="21412"/>
  <c r="K214" i="21412"/>
  <c r="K318" i="21412"/>
  <c r="K5" i="21412"/>
  <c r="K194" i="21412"/>
  <c r="K202" i="21412"/>
  <c r="K286" i="21412"/>
  <c r="K315" i="21412"/>
  <c r="K297" i="21412"/>
  <c r="K143" i="21412"/>
  <c r="K49" i="21412"/>
  <c r="K140" i="21412"/>
  <c r="K79" i="21412"/>
  <c r="K241" i="21412"/>
  <c r="K274" i="21412"/>
  <c r="K224" i="21412"/>
  <c r="K73" i="21412"/>
  <c r="K174" i="21412"/>
  <c r="K142" i="21412"/>
  <c r="K222" i="21412"/>
  <c r="K208" i="21412"/>
  <c r="K300" i="21412"/>
  <c r="K256" i="21412"/>
  <c r="K69" i="21412"/>
  <c r="K15" i="21412"/>
  <c r="K9" i="21412"/>
  <c r="K24" i="21412"/>
  <c r="K188" i="21412"/>
  <c r="K179" i="21412"/>
  <c r="K144" i="21412"/>
  <c r="K230" i="21412"/>
  <c r="K112" i="21412"/>
  <c r="K55" i="21412"/>
  <c r="K172" i="21412"/>
  <c r="K184" i="21412"/>
  <c r="K21" i="21412"/>
  <c r="K26" i="21412"/>
  <c r="K196" i="21412"/>
  <c r="K113" i="21412"/>
  <c r="K169" i="21412"/>
  <c r="K220" i="21412"/>
  <c r="K64" i="21412"/>
  <c r="K18" i="21412"/>
  <c r="K46" i="21412"/>
  <c r="K314" i="21412"/>
  <c r="K310" i="21412"/>
  <c r="K162" i="21412"/>
  <c r="K2" i="21412"/>
  <c r="K66" i="21412"/>
  <c r="K77" i="21412"/>
  <c r="K61" i="21412"/>
  <c r="K59" i="21412"/>
  <c r="K161" i="21412"/>
  <c r="K34" i="21412"/>
  <c r="K13" i="21412"/>
  <c r="K243" i="21412"/>
  <c r="K175" i="21412"/>
  <c r="K50" i="21412"/>
  <c r="K134" i="21412"/>
  <c r="K320" i="21412"/>
  <c r="K70" i="21412"/>
  <c r="K238" i="21412"/>
  <c r="K29" i="21412"/>
  <c r="K106" i="21412"/>
  <c r="K201" i="21412"/>
  <c r="K67" i="21412"/>
  <c r="K229" i="21412"/>
  <c r="K305" i="21412"/>
  <c r="K299" i="21412"/>
  <c r="K242" i="21412"/>
  <c r="K266" i="21412"/>
  <c r="K72" i="21412"/>
  <c r="K166" i="21412"/>
  <c r="K20" i="21412"/>
  <c r="K249" i="21412"/>
  <c r="K324" i="21412"/>
  <c r="K258" i="21412"/>
  <c r="K178" i="21412"/>
  <c r="K292" i="21412"/>
  <c r="K223" i="21412"/>
  <c r="K278" i="21412"/>
  <c r="K99" i="21412"/>
  <c r="K97" i="21412"/>
  <c r="K43" i="21412"/>
  <c r="K309" i="21412"/>
  <c r="K117" i="21412"/>
  <c r="K149" i="21412"/>
  <c r="K101" i="21412"/>
  <c r="K28" i="21412"/>
  <c r="K76" i="21412"/>
  <c r="K211" i="21412"/>
  <c r="K197" i="21412"/>
  <c r="K11" i="21412"/>
  <c r="K93" i="21412"/>
  <c r="K259" i="21412"/>
  <c r="K163" i="21412"/>
  <c r="K48" i="21412"/>
  <c r="K213" i="21412"/>
  <c r="K136" i="21412"/>
  <c r="K165" i="21412"/>
  <c r="K107" i="21412"/>
  <c r="K41" i="21412"/>
  <c r="K311" i="21412"/>
  <c r="K319" i="21412"/>
  <c r="K44" i="21412"/>
  <c r="K212" i="21412"/>
  <c r="K231" i="21412"/>
  <c r="K204" i="21412"/>
  <c r="K228" i="21412"/>
  <c r="K294" i="21412"/>
  <c r="K270" i="21412"/>
  <c r="K302" i="21412"/>
  <c r="K78" i="21412"/>
  <c r="K280" i="21412"/>
  <c r="K262" i="21412"/>
  <c r="K57" i="21412"/>
  <c r="K4" i="21412"/>
  <c r="K14" i="21412"/>
  <c r="K37" i="21412"/>
  <c r="K301" i="21412"/>
  <c r="K152" i="21412"/>
  <c r="K100" i="21412"/>
  <c r="K206" i="21412"/>
  <c r="K124" i="21412"/>
  <c r="K38" i="21412"/>
  <c r="K170" i="21412"/>
  <c r="K42" i="21412"/>
  <c r="K295" i="21412"/>
  <c r="K85" i="21412"/>
  <c r="K200" i="21412"/>
  <c r="K19" i="21412"/>
  <c r="K45" i="21412"/>
  <c r="K139" i="21412"/>
  <c r="K215" i="21412"/>
  <c r="K275" i="21412"/>
  <c r="K283" i="21412"/>
  <c r="K153" i="21412"/>
  <c r="K104" i="21412"/>
  <c r="K168" i="21412"/>
  <c r="K306" i="21412"/>
  <c r="K17" i="21412"/>
  <c r="K195" i="21412"/>
  <c r="K325" i="21412"/>
  <c r="K313" i="21412"/>
  <c r="K298" i="21412"/>
  <c r="K33" i="21412"/>
  <c r="K187" i="21412"/>
  <c r="K128" i="21412"/>
  <c r="K247" i="21412"/>
  <c r="K185" i="21412"/>
  <c r="K284" i="21412"/>
  <c r="K232" i="21412"/>
  <c r="K245" i="21412"/>
  <c r="K254" i="21412"/>
  <c r="K186" i="21412"/>
  <c r="K192" i="21412"/>
  <c r="K218" i="21412"/>
  <c r="K189" i="21412"/>
  <c r="K260" i="21412"/>
  <c r="K207" i="21412"/>
  <c r="K119" i="21412"/>
  <c r="K52" i="21412"/>
  <c r="K89" i="21412"/>
  <c r="K96" i="21412"/>
  <c r="K109" i="21412"/>
  <c r="K255" i="21412"/>
  <c r="K303" i="21412"/>
  <c r="K151" i="21412"/>
  <c r="K105" i="21412"/>
  <c r="K39" i="21412"/>
  <c r="K141" i="21412"/>
  <c r="K103" i="21412"/>
  <c r="K257" i="21412"/>
  <c r="K110" i="21412"/>
  <c r="K253" i="21412"/>
  <c r="K146" i="21412"/>
  <c r="K263" i="21412"/>
  <c r="K58" i="21412"/>
  <c r="K147" i="21412"/>
  <c r="K120" i="21412"/>
  <c r="K114" i="21412"/>
  <c r="K251" i="21412"/>
  <c r="K122" i="21412"/>
  <c r="K71" i="21412"/>
  <c r="K98" i="21412"/>
  <c r="K282" i="21412"/>
  <c r="K269" i="21412"/>
  <c r="K237" i="21412"/>
  <c r="K82" i="21412"/>
  <c r="K159" i="21412"/>
  <c r="K180" i="21412"/>
  <c r="K108" i="21412"/>
  <c r="K167" i="21412"/>
  <c r="K293" i="21412"/>
  <c r="K199" i="21412"/>
  <c r="K145" i="21412"/>
  <c r="K129" i="21412"/>
  <c r="K116" i="21412"/>
  <c r="K47" i="21412"/>
  <c r="K80" i="21412"/>
  <c r="K35" i="21412"/>
  <c r="K92" i="21412"/>
  <c r="K235" i="21412"/>
  <c r="K279" i="21412"/>
  <c r="K233" i="21412"/>
  <c r="K63" i="21412"/>
  <c r="K296" i="21412"/>
  <c r="K307" i="21412"/>
  <c r="K135" i="21412"/>
  <c r="K273" i="21412"/>
  <c r="K227" i="21412"/>
  <c r="K95" i="21412"/>
  <c r="K239" i="21412"/>
  <c r="K65" i="21412"/>
  <c r="K3" i="21412"/>
  <c r="K121" i="21412"/>
  <c r="K252" i="21412"/>
  <c r="K88" i="21412"/>
  <c r="K53" i="21412"/>
  <c r="K51" i="21412"/>
  <c r="K250" i="21412"/>
  <c r="K261" i="21412"/>
  <c r="K209" i="21412"/>
  <c r="K36" i="21412"/>
  <c r="K308" i="21412"/>
  <c r="K217" i="21412"/>
  <c r="K289" i="21412"/>
  <c r="K68" i="21412"/>
  <c r="K156" i="21412"/>
  <c r="K27" i="21412"/>
  <c r="K81" i="21412"/>
  <c r="K198" i="21412"/>
  <c r="K131" i="21412"/>
  <c r="K7" i="21412"/>
  <c r="K127" i="21412"/>
  <c r="K111" i="21412"/>
  <c r="K115" i="21412"/>
  <c r="K25" i="21412"/>
  <c r="K137" i="21412"/>
  <c r="K86" i="21412"/>
  <c r="K181" i="21412"/>
  <c r="K40" i="21412"/>
  <c r="K123" i="21412"/>
  <c r="K276" i="21412"/>
  <c r="K216" i="21412"/>
  <c r="K130" i="21412"/>
  <c r="K94" i="21412"/>
  <c r="K248" i="21412"/>
  <c r="K30" i="21412"/>
  <c r="K225" i="21412"/>
  <c r="K6" i="21412"/>
  <c r="K164" i="21412"/>
  <c r="K246" i="21412"/>
  <c r="K221" i="21412"/>
  <c r="K271" i="21412"/>
  <c r="K290" i="21412"/>
  <c r="K74" i="21412"/>
  <c r="K90" i="21412"/>
  <c r="K83" i="21412"/>
  <c r="K62" i="21412"/>
  <c r="K317" i="21412"/>
  <c r="K173" i="21412"/>
  <c r="K191" i="21412"/>
  <c r="K138" i="21412"/>
  <c r="K291" i="21412"/>
  <c r="K157" i="21412"/>
  <c r="K265" i="21412"/>
  <c r="K133" i="21412"/>
  <c r="K323" i="21412"/>
  <c r="N215" i="21408"/>
  <c r="N216" i="21408" s="1"/>
  <c r="L26" i="21402"/>
  <c r="L61" i="21402"/>
  <c r="N95" i="21408"/>
  <c r="N201" i="21408"/>
  <c r="N174" i="21408"/>
  <c r="N81" i="21408"/>
  <c r="N147" i="21408"/>
  <c r="N221" i="21408"/>
  <c r="L9" i="21402"/>
  <c r="N22" i="21408"/>
  <c r="N103" i="21408"/>
  <c r="N54" i="21408"/>
  <c r="N61" i="21408"/>
  <c r="N62" i="21408"/>
  <c r="L4" i="21402"/>
  <c r="N189" i="21408"/>
  <c r="N178" i="21408"/>
  <c r="N55" i="21408"/>
  <c r="N25" i="21408"/>
  <c r="N261" i="21408"/>
  <c r="N19" i="21408"/>
  <c r="N156" i="21408"/>
  <c r="N252" i="21408"/>
  <c r="N205" i="21408"/>
  <c r="L24" i="21402"/>
  <c r="N191" i="21408"/>
  <c r="N20" i="21408"/>
  <c r="L10" i="21402"/>
  <c r="N106" i="21408"/>
  <c r="N225" i="21408"/>
  <c r="L40" i="21402"/>
  <c r="N323" i="21408"/>
  <c r="N187" i="21408"/>
  <c r="N200" i="21408"/>
  <c r="N324" i="21408"/>
  <c r="N303" i="21408"/>
  <c r="N197" i="21408"/>
  <c r="N3" i="21408"/>
  <c r="N194" i="21408"/>
  <c r="N370" i="21408"/>
  <c r="N115" i="21408"/>
  <c r="N175" i="21408"/>
  <c r="N74" i="21408"/>
  <c r="N28" i="21408"/>
  <c r="N8" i="21408"/>
  <c r="N188" i="21408"/>
  <c r="N14" i="21408"/>
  <c r="N223" i="21408"/>
  <c r="N38" i="21408"/>
  <c r="N33" i="21408"/>
  <c r="N93" i="21408"/>
  <c r="L6" i="21402"/>
  <c r="N146" i="21408"/>
  <c r="N37" i="21408"/>
  <c r="L58" i="21402"/>
  <c r="N134" i="21408"/>
  <c r="N70" i="21408"/>
  <c r="N117" i="21408"/>
  <c r="N369" i="21408"/>
  <c r="N59" i="21408"/>
  <c r="N164" i="21408"/>
  <c r="N311" i="21408"/>
  <c r="L22" i="21402"/>
  <c r="N247" i="21408"/>
  <c r="N127" i="21408"/>
  <c r="N220" i="21408"/>
  <c r="N120" i="21408"/>
  <c r="N240" i="21408"/>
  <c r="N13" i="21408"/>
  <c r="N371" i="21408"/>
  <c r="N300" i="21408"/>
  <c r="N301" i="21408" s="1"/>
  <c r="N302" i="21408" s="1"/>
  <c r="L56" i="21402"/>
  <c r="N29" i="21408"/>
  <c r="L69" i="21402"/>
  <c r="L52" i="21402"/>
  <c r="N241" i="21408"/>
  <c r="N15" i="21408"/>
  <c r="N276" i="21408"/>
  <c r="N91" i="21408"/>
  <c r="N52" i="21408"/>
  <c r="N277" i="21408"/>
  <c r="N166" i="21408"/>
  <c r="N329" i="21408"/>
  <c r="N11" i="21408"/>
  <c r="N283" i="21408"/>
  <c r="L39" i="21402"/>
  <c r="N45" i="21408"/>
  <c r="N186" i="21408"/>
  <c r="N326" i="21408"/>
  <c r="N159" i="21408"/>
  <c r="N56" i="21408"/>
  <c r="N253" i="21408"/>
  <c r="N18" i="21408"/>
  <c r="N71" i="21408"/>
  <c r="L51" i="21402"/>
  <c r="N168" i="21408"/>
  <c r="N58" i="21408"/>
  <c r="N273" i="21408"/>
  <c r="N281" i="21408"/>
  <c r="N114" i="21408"/>
  <c r="N9" i="21408"/>
  <c r="N141" i="21408"/>
  <c r="N266" i="21408"/>
  <c r="N365" i="21408"/>
  <c r="N245" i="21408"/>
  <c r="N250" i="21408"/>
  <c r="N180" i="21408"/>
  <c r="N239" i="21408"/>
  <c r="N32" i="21408"/>
  <c r="N112" i="21408"/>
  <c r="N284" i="21408"/>
  <c r="N4" i="21408"/>
  <c r="L34" i="21402"/>
  <c r="L53" i="21402"/>
  <c r="N129" i="21408"/>
  <c r="N172" i="21408"/>
  <c r="N104" i="21408"/>
  <c r="N327" i="21408"/>
  <c r="N123" i="21408"/>
  <c r="N162" i="21408"/>
  <c r="N185" i="21408"/>
  <c r="N94" i="21408"/>
  <c r="N251" i="21408"/>
  <c r="N78" i="21408"/>
  <c r="N82" i="21408"/>
  <c r="L72" i="21402"/>
  <c r="N248" i="21408"/>
  <c r="N309" i="21408"/>
  <c r="L18" i="21402"/>
  <c r="N89" i="21408"/>
  <c r="N229" i="21408"/>
  <c r="N124" i="21408"/>
  <c r="N130" i="21408"/>
  <c r="N119" i="21408"/>
  <c r="N192" i="21408"/>
  <c r="N23" i="21408"/>
  <c r="L21" i="21402"/>
  <c r="N317" i="21408"/>
  <c r="N49" i="21408"/>
  <c r="N80" i="21408"/>
  <c r="N42" i="21408"/>
  <c r="N269" i="21408"/>
  <c r="N196" i="21408"/>
  <c r="N320" i="21408"/>
  <c r="N35" i="21408"/>
  <c r="L38" i="21402"/>
  <c r="N173" i="21408"/>
  <c r="L23" i="21402"/>
  <c r="N39" i="21408"/>
  <c r="N237" i="21408"/>
  <c r="N69" i="21408"/>
  <c r="N275" i="21408"/>
  <c r="N105" i="21408"/>
  <c r="L50" i="21402"/>
  <c r="N47" i="21408"/>
  <c r="L35" i="21402"/>
  <c r="N84" i="21408"/>
  <c r="N315" i="21408"/>
  <c r="N313" i="21408" s="1"/>
  <c r="L49" i="21402"/>
  <c r="N118" i="21408"/>
  <c r="N202" i="21408"/>
  <c r="N126" i="21408"/>
  <c r="N109" i="21408"/>
  <c r="N366" i="21408"/>
  <c r="N304" i="21408"/>
  <c r="N268" i="21408"/>
  <c r="N87" i="21408"/>
  <c r="L32" i="21402"/>
  <c r="N157" i="21408"/>
  <c r="N153" i="21408"/>
  <c r="N299" i="21408"/>
  <c r="N312" i="21408"/>
  <c r="N5" i="21408"/>
  <c r="N285" i="21408"/>
  <c r="N278" i="21408"/>
  <c r="L19" i="21402"/>
  <c r="N152" i="21408"/>
  <c r="N85" i="21408"/>
  <c r="L37" i="21402"/>
  <c r="N231" i="21408"/>
  <c r="N107" i="21408"/>
  <c r="N246" i="21408"/>
  <c r="N321" i="21408"/>
  <c r="N319" i="21408"/>
  <c r="N75" i="21408"/>
  <c r="N372" i="21408"/>
  <c r="N280" i="21408"/>
  <c r="N367" i="21408"/>
  <c r="N325" i="21408"/>
  <c r="N235" i="21408"/>
  <c r="N217" i="21408"/>
  <c r="N218" i="21408" s="1"/>
  <c r="N63" i="21408"/>
  <c r="N368" i="21408"/>
  <c r="L5" i="21402"/>
  <c r="N212" i="21408"/>
  <c r="N328" i="21408"/>
  <c r="N211" i="21408"/>
  <c r="N154" i="21408"/>
  <c r="N242" i="21408"/>
  <c r="N267" i="21408"/>
  <c r="N364" i="21408"/>
  <c r="N184" i="21408"/>
  <c r="N122" i="21408"/>
  <c r="N76" i="21408"/>
  <c r="N219" i="21408"/>
  <c r="N310" i="21408"/>
  <c r="N135" i="21408"/>
  <c r="N282" i="21408"/>
  <c r="N316" i="21408"/>
  <c r="N314" i="21408" s="1"/>
  <c r="N44" i="21408"/>
  <c r="N144" i="21408"/>
  <c r="N113" i="21408"/>
  <c r="L15" i="21402"/>
  <c r="N193" i="21408"/>
  <c r="N12" i="21408"/>
  <c r="N322" i="21408"/>
  <c r="N79" i="21408"/>
  <c r="N26" i="21408"/>
  <c r="N133" i="21408"/>
  <c r="N274" i="21408"/>
  <c r="N259" i="21408"/>
  <c r="N234" i="21408"/>
  <c r="L33" i="21402"/>
  <c r="N132" i="21408"/>
  <c r="N206" i="21408"/>
  <c r="N53" i="21408"/>
  <c r="N158" i="21408"/>
  <c r="N171" i="21408"/>
  <c r="N177" i="21408"/>
  <c r="N140" i="21408"/>
  <c r="N108" i="21408"/>
  <c r="L59" i="21402"/>
  <c r="N207" i="21408"/>
  <c r="N160" i="21408"/>
  <c r="N238" i="21408"/>
  <c r="N149" i="21408"/>
  <c r="N224" i="21408"/>
  <c r="N96" i="21408"/>
  <c r="N213" i="21408"/>
  <c r="N169" i="21408"/>
  <c r="N36" i="21408"/>
  <c r="N143" i="21408"/>
  <c r="N51" i="21408"/>
  <c r="N163" i="21408"/>
  <c r="N198" i="21408"/>
  <c r="L54" i="21402"/>
  <c r="N92" i="21408"/>
  <c r="L57" i="21402"/>
  <c r="N167" i="21408"/>
  <c r="N165" i="21408"/>
  <c r="N209" i="21408"/>
  <c r="N230" i="21408"/>
  <c r="N190" i="21408"/>
  <c r="N181" i="21408"/>
  <c r="N233" i="21408"/>
  <c r="N176" i="21408"/>
  <c r="N17" i="21408"/>
  <c r="N263" i="21408"/>
  <c r="N155" i="21408"/>
  <c r="N148" i="21408"/>
  <c r="N151" i="21408"/>
  <c r="L8" i="21402"/>
  <c r="N111" i="21408"/>
  <c r="N227" i="21408"/>
  <c r="N142" i="21408"/>
  <c r="L60" i="21402"/>
  <c r="N121" i="21408"/>
  <c r="N30" i="21408"/>
  <c r="L43" i="21402"/>
  <c r="N83" i="21408"/>
  <c r="N161" i="21408"/>
  <c r="N7" i="21408"/>
  <c r="N210" i="21408"/>
  <c r="N27" i="21408"/>
  <c r="N116" i="21408"/>
  <c r="N232" i="21408"/>
  <c r="N68" i="21408"/>
  <c r="N244" i="21408"/>
  <c r="N136" i="21408"/>
  <c r="N46" i="21408"/>
  <c r="N380" i="21408"/>
  <c r="N375" i="21408" s="1"/>
  <c r="N264" i="21408"/>
  <c r="L36" i="21402"/>
  <c r="N214" i="21408"/>
  <c r="N243" i="21408"/>
  <c r="N10" i="21408"/>
  <c r="N31" i="21408"/>
  <c r="L70" i="21402"/>
  <c r="N72" i="21408"/>
  <c r="N131" i="21408"/>
  <c r="N97" i="21408"/>
  <c r="L68" i="21402"/>
  <c r="N88" i="21408"/>
  <c r="N254" i="21408"/>
  <c r="N170" i="21408"/>
  <c r="N43" i="21408"/>
  <c r="N86" i="21408"/>
  <c r="N183" i="21408"/>
  <c r="N222" i="21408"/>
  <c r="N128" i="21408"/>
  <c r="N90" i="21408"/>
  <c r="N125" i="21408"/>
  <c r="N208" i="21408"/>
  <c r="N34" i="21408"/>
  <c r="L41" i="21402"/>
  <c r="N60" i="21408"/>
  <c r="N102" i="21408"/>
  <c r="L42" i="21402"/>
  <c r="N195" i="21408"/>
  <c r="N373" i="21408"/>
  <c r="L67" i="21402"/>
  <c r="L20" i="21402"/>
  <c r="N6" i="21408"/>
  <c r="N16" i="21408"/>
  <c r="N40" i="21408"/>
  <c r="N236" i="21408"/>
  <c r="L25" i="21402"/>
  <c r="N57" i="21408"/>
  <c r="N226" i="21408"/>
  <c r="L16" i="21402"/>
  <c r="N179" i="21408"/>
  <c r="N145" i="21408"/>
  <c r="L17" i="21402"/>
  <c r="N228" i="21408"/>
  <c r="N379" i="21408"/>
  <c r="N249" i="21408"/>
  <c r="N260" i="21408"/>
  <c r="N50" i="21408"/>
  <c r="L55" i="21402"/>
  <c r="N182" i="21408"/>
  <c r="N48" i="21408"/>
  <c r="N73" i="21408"/>
  <c r="L3" i="21402"/>
  <c r="N272" i="21408"/>
  <c r="N318" i="21408"/>
  <c r="N24" i="21408"/>
  <c r="N77" i="21408"/>
  <c r="L71" i="21402"/>
  <c r="N110" i="21408"/>
  <c r="N378" i="21408"/>
  <c r="N41" i="21408"/>
  <c r="N279" i="21408"/>
  <c r="N21" i="21408"/>
  <c r="N137" i="21408"/>
  <c r="G137" i="21408" s="1"/>
  <c r="AT1038" i="2"/>
  <c r="AQ1039" i="2"/>
  <c r="AT1040" i="2"/>
  <c r="AC1038" i="2" l="1"/>
  <c r="M1234" i="21398"/>
  <c r="BC1234" i="21398" s="1"/>
  <c r="AY1234" i="21398"/>
  <c r="BA1234" i="21398" s="1"/>
  <c r="AW1236" i="21398"/>
  <c r="AX1236" i="21398"/>
  <c r="J1235" i="21398"/>
  <c r="C1238" i="21398"/>
  <c r="AY1040" i="2"/>
  <c r="BA1040" i="2" s="1"/>
  <c r="AC1040" i="2"/>
  <c r="AX1042" i="2"/>
  <c r="M1042" i="2" s="1"/>
  <c r="BC1042" i="2" s="1"/>
  <c r="C1044" i="2"/>
  <c r="AW1042" i="2"/>
  <c r="F1042" i="2"/>
  <c r="N203" i="21408"/>
  <c r="N204" i="21408" s="1"/>
  <c r="N265" i="21408"/>
  <c r="AQ1041" i="2"/>
  <c r="M1236" i="21398" l="1"/>
  <c r="BC1236" i="21398" s="1"/>
  <c r="AY1236" i="21398"/>
  <c r="BA1236" i="21398" s="1"/>
  <c r="AW1238" i="21398"/>
  <c r="AX1238" i="21398"/>
  <c r="C1240" i="21398"/>
  <c r="AW1235" i="21398"/>
  <c r="AX1235" i="21398"/>
  <c r="AY1042" i="2"/>
  <c r="BA1042" i="2" s="1"/>
  <c r="AX1044" i="2"/>
  <c r="M1044" i="2" s="1"/>
  <c r="BC1044" i="2" s="1"/>
  <c r="C1046" i="2"/>
  <c r="F1044" i="2"/>
  <c r="AW1044" i="2"/>
  <c r="AT1042" i="2"/>
  <c r="AT1044" i="2"/>
  <c r="AC1042" i="2" l="1"/>
  <c r="AW1240" i="21398"/>
  <c r="AX1240" i="21398"/>
  <c r="J1241" i="21398"/>
  <c r="C1242" i="21398"/>
  <c r="AY1238" i="21398"/>
  <c r="BA1238" i="21398" s="1"/>
  <c r="M1238" i="21398"/>
  <c r="BC1238" i="21398" s="1"/>
  <c r="AZ1235" i="21398"/>
  <c r="BB1235" i="21398" s="1"/>
  <c r="AC1044" i="2"/>
  <c r="AX1046" i="2"/>
  <c r="M1046" i="2" s="1"/>
  <c r="BC1046" i="2" s="1"/>
  <c r="F1046" i="2"/>
  <c r="C1048" i="2"/>
  <c r="AW1046" i="2"/>
  <c r="AY1044" i="2"/>
  <c r="BA1044" i="2" s="1"/>
  <c r="BA687" i="2"/>
  <c r="BB690" i="2"/>
  <c r="J343" i="21412"/>
  <c r="E343" i="21412" s="1"/>
  <c r="J338" i="21412"/>
  <c r="E338" i="21412" s="1"/>
  <c r="J340" i="21412"/>
  <c r="E340" i="21412" s="1"/>
  <c r="J341" i="21412"/>
  <c r="E341" i="21412" s="1"/>
  <c r="J342" i="21412"/>
  <c r="E342" i="21412" s="1"/>
  <c r="BC687" i="2"/>
  <c r="BA691" i="2"/>
  <c r="BC691" i="2"/>
  <c r="AQ1043" i="2"/>
  <c r="AT1046" i="2"/>
  <c r="C1244" i="21398" l="1"/>
  <c r="AW1242" i="21398"/>
  <c r="AX1242" i="21398"/>
  <c r="AW1241" i="21398"/>
  <c r="AX1241" i="21398"/>
  <c r="M1240" i="21398"/>
  <c r="BC1240" i="21398" s="1"/>
  <c r="AY1240" i="21398"/>
  <c r="BA1240" i="21398" s="1"/>
  <c r="AC1046" i="2"/>
  <c r="AX1048" i="2"/>
  <c r="C1050" i="2"/>
  <c r="J1047" i="2"/>
  <c r="F1048" i="2"/>
  <c r="AW1048" i="2"/>
  <c r="AY1046" i="2"/>
  <c r="BA1046" i="2" s="1"/>
  <c r="BB686" i="2"/>
  <c r="J339" i="21412"/>
  <c r="E339" i="21412" s="1"/>
  <c r="BA693" i="2"/>
  <c r="BC693" i="2"/>
  <c r="J30" i="21412"/>
  <c r="E30" i="21412" s="1"/>
  <c r="J106" i="21412"/>
  <c r="E106" i="21412" s="1"/>
  <c r="J292" i="21412"/>
  <c r="E292" i="21412" s="1"/>
  <c r="J289" i="21412"/>
  <c r="E289" i="21412" s="1"/>
  <c r="J35" i="21412"/>
  <c r="E35" i="21412" s="1"/>
  <c r="J193" i="21412"/>
  <c r="E193" i="21412" s="1"/>
  <c r="J140" i="21412"/>
  <c r="E140" i="21412" s="1"/>
  <c r="J243" i="21412"/>
  <c r="E243" i="21412" s="1"/>
  <c r="J36" i="21412"/>
  <c r="E36" i="21412" s="1"/>
  <c r="J110" i="21412"/>
  <c r="E110" i="21412" s="1"/>
  <c r="J299" i="21412"/>
  <c r="E299" i="21412" s="1"/>
  <c r="J22" i="21412"/>
  <c r="E22" i="21412" s="1"/>
  <c r="J308" i="21412"/>
  <c r="E308" i="21412" s="1"/>
  <c r="J102" i="21412"/>
  <c r="E102" i="21412" s="1"/>
  <c r="J307" i="21412"/>
  <c r="E307" i="21412" s="1"/>
  <c r="J76" i="21412"/>
  <c r="E76" i="21412" s="1"/>
  <c r="J258" i="21412"/>
  <c r="E258" i="21412" s="1"/>
  <c r="J196" i="21412"/>
  <c r="E196" i="21412" s="1"/>
  <c r="J67" i="21412"/>
  <c r="E67" i="21412" s="1"/>
  <c r="J45" i="21412"/>
  <c r="E45" i="21412" s="1"/>
  <c r="J278" i="21412"/>
  <c r="E278" i="21412" s="1"/>
  <c r="J118" i="21412"/>
  <c r="E118" i="21412" s="1"/>
  <c r="J180" i="21412"/>
  <c r="E180" i="21412" s="1"/>
  <c r="J317" i="21412"/>
  <c r="E317" i="21412" s="1"/>
  <c r="J272" i="21412"/>
  <c r="E272" i="21412" s="1"/>
  <c r="J15" i="21412"/>
  <c r="E15" i="21412" s="1"/>
  <c r="J175" i="21412"/>
  <c r="E175" i="21412" s="1"/>
  <c r="J203" i="21412"/>
  <c r="E203" i="21412" s="1"/>
  <c r="J312" i="21412"/>
  <c r="E312" i="21412" s="1"/>
  <c r="J297" i="21412"/>
  <c r="E297" i="21412" s="1"/>
  <c r="J247" i="21412"/>
  <c r="E247" i="21412" s="1"/>
  <c r="J158" i="21412"/>
  <c r="E158" i="21412" s="1"/>
  <c r="J164" i="21412"/>
  <c r="E164" i="21412" s="1"/>
  <c r="J183" i="21412"/>
  <c r="E183" i="21412" s="1"/>
  <c r="J27" i="21412"/>
  <c r="E27" i="21412" s="1"/>
  <c r="J304" i="21412"/>
  <c r="E304" i="21412" s="1"/>
  <c r="J32" i="21412"/>
  <c r="E32" i="21412" s="1"/>
  <c r="J142" i="21412"/>
  <c r="E142" i="21412" s="1"/>
  <c r="J239" i="21412"/>
  <c r="E239" i="21412" s="1"/>
  <c r="J70" i="21412"/>
  <c r="E70" i="21412" s="1"/>
  <c r="J212" i="21412"/>
  <c r="E212" i="21412" s="1"/>
  <c r="J288" i="21412"/>
  <c r="E288" i="21412" s="1"/>
  <c r="J199" i="21412"/>
  <c r="E199" i="21412" s="1"/>
  <c r="J282" i="21412"/>
  <c r="E282" i="21412" s="1"/>
  <c r="J31" i="21412"/>
  <c r="E31" i="21412" s="1"/>
  <c r="J267" i="21412"/>
  <c r="E267" i="21412" s="1"/>
  <c r="J2" i="21412"/>
  <c r="E2" i="21412" s="1"/>
  <c r="J213" i="21412"/>
  <c r="E213" i="21412" s="1"/>
  <c r="J136" i="21412"/>
  <c r="E136" i="21412" s="1"/>
  <c r="J301" i="21412"/>
  <c r="E301" i="21412" s="1"/>
  <c r="J202" i="21412"/>
  <c r="E202" i="21412" s="1"/>
  <c r="J306" i="21412"/>
  <c r="E306" i="21412" s="1"/>
  <c r="J204" i="21412"/>
  <c r="E204" i="21412" s="1"/>
  <c r="J108" i="21412"/>
  <c r="E108" i="21412" s="1"/>
  <c r="J235" i="21412"/>
  <c r="E235" i="21412" s="1"/>
  <c r="J56" i="21412"/>
  <c r="E56" i="21412" s="1"/>
  <c r="J222" i="21412"/>
  <c r="E222" i="21412" s="1"/>
  <c r="J201" i="21412"/>
  <c r="E201" i="21412" s="1"/>
  <c r="J134" i="21412"/>
  <c r="E134" i="21412" s="1"/>
  <c r="J153" i="21412"/>
  <c r="E153" i="21412" s="1"/>
  <c r="J138" i="21412"/>
  <c r="E138" i="21412" s="1"/>
  <c r="J132" i="21412"/>
  <c r="E132" i="21412" s="1"/>
  <c r="J53" i="21412"/>
  <c r="E53" i="21412" s="1"/>
  <c r="J256" i="21412"/>
  <c r="E256" i="21412" s="1"/>
  <c r="J17" i="21412"/>
  <c r="E17" i="21412" s="1"/>
  <c r="J8" i="21412"/>
  <c r="E8" i="21412" s="1"/>
  <c r="J9" i="21412"/>
  <c r="E9" i="21412" s="1"/>
  <c r="J116" i="21412"/>
  <c r="E116" i="21412" s="1"/>
  <c r="J225" i="21412"/>
  <c r="E225" i="21412" s="1"/>
  <c r="J300" i="21412"/>
  <c r="E300" i="21412" s="1"/>
  <c r="J73" i="21412"/>
  <c r="E73" i="21412" s="1"/>
  <c r="J293" i="21412"/>
  <c r="E293" i="21412" s="1"/>
  <c r="J166" i="21412"/>
  <c r="E166" i="21412" s="1"/>
  <c r="J54" i="21412"/>
  <c r="E54" i="21412" s="1"/>
  <c r="J112" i="21412"/>
  <c r="E112" i="21412" s="1"/>
  <c r="J74" i="21412"/>
  <c r="E74" i="21412" s="1"/>
  <c r="J119" i="21412"/>
  <c r="E119" i="21412" s="1"/>
  <c r="J87" i="21412"/>
  <c r="E87" i="21412" s="1"/>
  <c r="J60" i="21412"/>
  <c r="E60" i="21412" s="1"/>
  <c r="J295" i="21412"/>
  <c r="E295" i="21412" s="1"/>
  <c r="J191" i="21412"/>
  <c r="E191" i="21412" s="1"/>
  <c r="J251" i="21412"/>
  <c r="E251" i="21412" s="1"/>
  <c r="J65" i="21412"/>
  <c r="E65" i="21412" s="1"/>
  <c r="J231" i="21412"/>
  <c r="E231" i="21412" s="1"/>
  <c r="J266" i="21412"/>
  <c r="E266" i="21412" s="1"/>
  <c r="J29" i="21412"/>
  <c r="E29" i="21412" s="1"/>
  <c r="J241" i="21412"/>
  <c r="E241" i="21412" s="1"/>
  <c r="J261" i="21412"/>
  <c r="E261" i="21412" s="1"/>
  <c r="J104" i="21412"/>
  <c r="E104" i="21412" s="1"/>
  <c r="J150" i="21412"/>
  <c r="E150" i="21412" s="1"/>
  <c r="J218" i="21412"/>
  <c r="E218" i="21412" s="1"/>
  <c r="J248" i="21412"/>
  <c r="E248" i="21412" s="1"/>
  <c r="J244" i="21412"/>
  <c r="E244" i="21412" s="1"/>
  <c r="J208" i="21412"/>
  <c r="E208" i="21412" s="1"/>
  <c r="J137" i="21412"/>
  <c r="E137" i="21412" s="1"/>
  <c r="J242" i="21412"/>
  <c r="E242" i="21412" s="1"/>
  <c r="J174" i="21412"/>
  <c r="E174" i="21412" s="1"/>
  <c r="J51" i="21412"/>
  <c r="E51" i="21412" s="1"/>
  <c r="J38" i="21412"/>
  <c r="E38" i="21412" s="1"/>
  <c r="J160" i="21412"/>
  <c r="E160" i="21412" s="1"/>
  <c r="J83" i="21412"/>
  <c r="E83" i="21412" s="1"/>
  <c r="J113" i="21412"/>
  <c r="E113" i="21412" s="1"/>
  <c r="J55" i="21412"/>
  <c r="E55" i="21412" s="1"/>
  <c r="J88" i="21412"/>
  <c r="E88" i="21412" s="1"/>
  <c r="J91" i="21412"/>
  <c r="E91" i="21412" s="1"/>
  <c r="J268" i="21412"/>
  <c r="E268" i="21412" s="1"/>
  <c r="J129" i="21412"/>
  <c r="E129" i="21412" s="1"/>
  <c r="J47" i="21412"/>
  <c r="E47" i="21412" s="1"/>
  <c r="J178" i="21412"/>
  <c r="E178" i="21412" s="1"/>
  <c r="J95" i="21412"/>
  <c r="E95" i="21412" s="1"/>
  <c r="J84" i="21412"/>
  <c r="E84" i="21412" s="1"/>
  <c r="J52" i="21412"/>
  <c r="E52" i="21412" s="1"/>
  <c r="J188" i="21412"/>
  <c r="E188" i="21412" s="1"/>
  <c r="J211" i="21412"/>
  <c r="E211" i="21412" s="1"/>
  <c r="J163" i="21412"/>
  <c r="E163" i="21412" s="1"/>
  <c r="J246" i="21412"/>
  <c r="E246" i="21412" s="1"/>
  <c r="J133" i="21412"/>
  <c r="E133" i="21412" s="1"/>
  <c r="J114" i="21412"/>
  <c r="E114" i="21412" s="1"/>
  <c r="J14" i="21412"/>
  <c r="E14" i="21412" s="1"/>
  <c r="J23" i="21412"/>
  <c r="E23" i="21412" s="1"/>
  <c r="J173" i="21412"/>
  <c r="E173" i="21412" s="1"/>
  <c r="J75" i="21412"/>
  <c r="E75" i="21412" s="1"/>
  <c r="J12" i="21412"/>
  <c r="E12" i="21412" s="1"/>
  <c r="J323" i="21412"/>
  <c r="E323" i="21412" s="1"/>
  <c r="J273" i="21412"/>
  <c r="E273" i="21412" s="1"/>
  <c r="J41" i="21412"/>
  <c r="E41" i="21412" s="1"/>
  <c r="J169" i="21412"/>
  <c r="E169" i="21412" s="1"/>
  <c r="J120" i="21412"/>
  <c r="E120" i="21412" s="1"/>
  <c r="J310" i="21412"/>
  <c r="E310" i="21412" s="1"/>
  <c r="J281" i="21412"/>
  <c r="E281" i="21412" s="1"/>
  <c r="J82" i="21412"/>
  <c r="E82" i="21412" s="1"/>
  <c r="J181" i="21412"/>
  <c r="E181" i="21412" s="1"/>
  <c r="J33" i="21412"/>
  <c r="E33" i="21412" s="1"/>
  <c r="J269" i="21412"/>
  <c r="E269" i="21412" s="1"/>
  <c r="J189" i="21412"/>
  <c r="E189" i="21412" s="1"/>
  <c r="J79" i="21412"/>
  <c r="E79" i="21412" s="1"/>
  <c r="J233" i="21412"/>
  <c r="E233" i="21412" s="1"/>
  <c r="J123" i="21412"/>
  <c r="E123" i="21412" s="1"/>
  <c r="J78" i="21412"/>
  <c r="E78" i="21412" s="1"/>
  <c r="J6" i="21412"/>
  <c r="E6" i="21412" s="1"/>
  <c r="J115" i="21412"/>
  <c r="E115" i="21412" s="1"/>
  <c r="J162" i="21412"/>
  <c r="E162" i="21412" s="1"/>
  <c r="J157" i="21412"/>
  <c r="E157" i="21412" s="1"/>
  <c r="J154" i="21412"/>
  <c r="E154" i="21412" s="1"/>
  <c r="J190" i="21412"/>
  <c r="E190" i="21412" s="1"/>
  <c r="J245" i="21412"/>
  <c r="E245" i="21412" s="1"/>
  <c r="J200" i="21412"/>
  <c r="E200" i="21412" s="1"/>
  <c r="J7" i="21412"/>
  <c r="E7" i="21412" s="1"/>
  <c r="J277" i="21412"/>
  <c r="E277" i="21412" s="1"/>
  <c r="J69" i="21412"/>
  <c r="E69" i="21412" s="1"/>
  <c r="J234" i="21412"/>
  <c r="E234" i="21412" s="1"/>
  <c r="J236" i="21412"/>
  <c r="E236" i="21412" s="1"/>
  <c r="J122" i="21412"/>
  <c r="E122" i="21412" s="1"/>
  <c r="J265" i="21412"/>
  <c r="E265" i="21412" s="1"/>
  <c r="J37" i="21412"/>
  <c r="E37" i="21412" s="1"/>
  <c r="J217" i="21412"/>
  <c r="E217" i="21412" s="1"/>
  <c r="J184" i="21412"/>
  <c r="E184" i="21412" s="1"/>
  <c r="J5" i="21412"/>
  <c r="E5" i="21412" s="1"/>
  <c r="J185" i="21412"/>
  <c r="E185" i="21412" s="1"/>
  <c r="J291" i="21412"/>
  <c r="E291" i="21412" s="1"/>
  <c r="J296" i="21412"/>
  <c r="E296" i="21412" s="1"/>
  <c r="J219" i="21412"/>
  <c r="E219" i="21412" s="1"/>
  <c r="J151" i="21412"/>
  <c r="E151" i="21412" s="1"/>
  <c r="J283" i="21412"/>
  <c r="E283" i="21412" s="1"/>
  <c r="J80" i="21412"/>
  <c r="E80" i="21412" s="1"/>
  <c r="J215" i="21412"/>
  <c r="E215" i="21412" s="1"/>
  <c r="J214" i="21412"/>
  <c r="E214" i="21412" s="1"/>
  <c r="J182" i="21412"/>
  <c r="E182" i="21412" s="1"/>
  <c r="J26" i="21412"/>
  <c r="E26" i="21412" s="1"/>
  <c r="J284" i="21412"/>
  <c r="E284" i="21412" s="1"/>
  <c r="J315" i="21412"/>
  <c r="E315" i="21412" s="1"/>
  <c r="J148" i="21412"/>
  <c r="E148" i="21412" s="1"/>
  <c r="J111" i="21412"/>
  <c r="E111" i="21412" s="1"/>
  <c r="J85" i="21412"/>
  <c r="E85" i="21412" s="1"/>
  <c r="J240" i="21412"/>
  <c r="E240" i="21412" s="1"/>
  <c r="J139" i="21412"/>
  <c r="E139" i="21412" s="1"/>
  <c r="J294" i="21412"/>
  <c r="E294" i="21412" s="1"/>
  <c r="J313" i="21412"/>
  <c r="E313" i="21412" s="1"/>
  <c r="J96" i="21412"/>
  <c r="E96" i="21412" s="1"/>
  <c r="J43" i="21412"/>
  <c r="E43" i="21412" s="1"/>
  <c r="J257" i="21412"/>
  <c r="E257" i="21412" s="1"/>
  <c r="J206" i="21412"/>
  <c r="E206" i="21412" s="1"/>
  <c r="J124" i="21412"/>
  <c r="E124" i="21412" s="1"/>
  <c r="J220" i="21412"/>
  <c r="E220" i="21412" s="1"/>
  <c r="J4" i="21412"/>
  <c r="E4" i="21412" s="1"/>
  <c r="J197" i="21412"/>
  <c r="E197" i="21412" s="1"/>
  <c r="J109" i="21412"/>
  <c r="E109" i="21412" s="1"/>
  <c r="J49" i="21412"/>
  <c r="E49" i="21412" s="1"/>
  <c r="J194" i="21412"/>
  <c r="E194" i="21412" s="1"/>
  <c r="J171" i="21412"/>
  <c r="E171" i="21412" s="1"/>
  <c r="J274" i="21412"/>
  <c r="E274" i="21412" s="1"/>
  <c r="J100" i="21412"/>
  <c r="E100" i="21412" s="1"/>
  <c r="J280" i="21412"/>
  <c r="E280" i="21412" s="1"/>
  <c r="J81" i="21412"/>
  <c r="E81" i="21412" s="1"/>
  <c r="J149" i="21412"/>
  <c r="E149" i="21412" s="1"/>
  <c r="J128" i="21412"/>
  <c r="E128" i="21412" s="1"/>
  <c r="J98" i="21412"/>
  <c r="E98" i="21412" s="1"/>
  <c r="J42" i="21412"/>
  <c r="E42" i="21412" s="1"/>
  <c r="J58" i="21412"/>
  <c r="E58" i="21412" s="1"/>
  <c r="J144" i="21412"/>
  <c r="E144" i="21412" s="1"/>
  <c r="J145" i="21412"/>
  <c r="E145" i="21412" s="1"/>
  <c r="J226" i="21412"/>
  <c r="E226" i="21412" s="1"/>
  <c r="J303" i="21412"/>
  <c r="E303" i="21412" s="1"/>
  <c r="J161" i="21412"/>
  <c r="E161" i="21412" s="1"/>
  <c r="J86" i="21412"/>
  <c r="E86" i="21412" s="1"/>
  <c r="J71" i="21412"/>
  <c r="E71" i="21412" s="1"/>
  <c r="J39" i="21412"/>
  <c r="E39" i="21412" s="1"/>
  <c r="J34" i="21412"/>
  <c r="E34" i="21412" s="1"/>
  <c r="J48" i="21412"/>
  <c r="E48" i="21412" s="1"/>
  <c r="J192" i="21412"/>
  <c r="E192" i="21412" s="1"/>
  <c r="J21" i="21412"/>
  <c r="E21" i="21412" s="1"/>
  <c r="J279" i="21412"/>
  <c r="E279" i="21412" s="1"/>
  <c r="J92" i="21412"/>
  <c r="E92" i="21412" s="1"/>
  <c r="J13" i="21412"/>
  <c r="E13" i="21412" s="1"/>
  <c r="J286" i="21412"/>
  <c r="E286" i="21412" s="1"/>
  <c r="J209" i="21412"/>
  <c r="E209" i="21412" s="1"/>
  <c r="J57" i="21412"/>
  <c r="E57" i="21412" s="1"/>
  <c r="J238" i="21412"/>
  <c r="E238" i="21412" s="1"/>
  <c r="J141" i="21412"/>
  <c r="E141" i="21412" s="1"/>
  <c r="J263" i="21412"/>
  <c r="E263" i="21412" s="1"/>
  <c r="J325" i="21412"/>
  <c r="E325" i="21412" s="1"/>
  <c r="J16" i="21412"/>
  <c r="E16" i="21412" s="1"/>
  <c r="J314" i="21412"/>
  <c r="E314" i="21412" s="1"/>
  <c r="J147" i="21412"/>
  <c r="E147" i="21412" s="1"/>
  <c r="J59" i="21412"/>
  <c r="E59" i="21412" s="1"/>
  <c r="J224" i="21412"/>
  <c r="E224" i="21412" s="1"/>
  <c r="J221" i="21412"/>
  <c r="E221" i="21412" s="1"/>
  <c r="J62" i="21412"/>
  <c r="E62" i="21412" s="1"/>
  <c r="J176" i="21412"/>
  <c r="E176" i="21412" s="1"/>
  <c r="J264" i="21412"/>
  <c r="E264" i="21412" s="1"/>
  <c r="J117" i="21412"/>
  <c r="E117" i="21412" s="1"/>
  <c r="J159" i="21412"/>
  <c r="E159" i="21412" s="1"/>
  <c r="J305" i="21412"/>
  <c r="E305" i="21412" s="1"/>
  <c r="J135" i="21412"/>
  <c r="E135" i="21412" s="1"/>
  <c r="J121" i="21412"/>
  <c r="E121" i="21412" s="1"/>
  <c r="J271" i="21412"/>
  <c r="E271" i="21412" s="1"/>
  <c r="J186" i="21412"/>
  <c r="E186" i="21412" s="1"/>
  <c r="J93" i="21412"/>
  <c r="E93" i="21412" s="1"/>
  <c r="J61" i="21412"/>
  <c r="E61" i="21412" s="1"/>
  <c r="J46" i="21412"/>
  <c r="E46" i="21412" s="1"/>
  <c r="J3" i="21412"/>
  <c r="E3" i="21412" s="1"/>
  <c r="J229" i="21412"/>
  <c r="E229" i="21412" s="1"/>
  <c r="J18" i="21412"/>
  <c r="E18" i="21412" s="1"/>
  <c r="J63" i="21412"/>
  <c r="E63" i="21412" s="1"/>
  <c r="J179" i="21412"/>
  <c r="E179" i="21412" s="1"/>
  <c r="J210" i="21412"/>
  <c r="E210" i="21412" s="1"/>
  <c r="J316" i="21412"/>
  <c r="E316" i="21412" s="1"/>
  <c r="J276" i="21412"/>
  <c r="E276" i="21412" s="1"/>
  <c r="J232" i="21412"/>
  <c r="E232" i="21412" s="1"/>
  <c r="J177" i="21412"/>
  <c r="E177" i="21412" s="1"/>
  <c r="J66" i="21412"/>
  <c r="E66" i="21412" s="1"/>
  <c r="J64" i="21412"/>
  <c r="E64" i="21412" s="1"/>
  <c r="J24" i="21412"/>
  <c r="E24" i="21412" s="1"/>
  <c r="J290" i="21412"/>
  <c r="E290" i="21412" s="1"/>
  <c r="J156" i="21412"/>
  <c r="E156" i="21412" s="1"/>
  <c r="J44" i="21412"/>
  <c r="E44" i="21412" s="1"/>
  <c r="J250" i="21412"/>
  <c r="E250" i="21412" s="1"/>
  <c r="J262" i="21412"/>
  <c r="E262" i="21412" s="1"/>
  <c r="J187" i="21412"/>
  <c r="E187" i="21412" s="1"/>
  <c r="J228" i="21412"/>
  <c r="E228" i="21412" s="1"/>
  <c r="J146" i="21412"/>
  <c r="E146" i="21412" s="1"/>
  <c r="J101" i="21412"/>
  <c r="E101" i="21412" s="1"/>
  <c r="J205" i="21412"/>
  <c r="E205" i="21412" s="1"/>
  <c r="J259" i="21412"/>
  <c r="E259" i="21412" s="1"/>
  <c r="J126" i="21412"/>
  <c r="E126" i="21412" s="1"/>
  <c r="J309" i="21412"/>
  <c r="E309" i="21412" s="1"/>
  <c r="J302" i="21412"/>
  <c r="E302" i="21412" s="1"/>
  <c r="J28" i="21412"/>
  <c r="E28" i="21412" s="1"/>
  <c r="J321" i="21412"/>
  <c r="E321" i="21412" s="1"/>
  <c r="J50" i="21412"/>
  <c r="E50" i="21412" s="1"/>
  <c r="J99" i="21412"/>
  <c r="E99" i="21412" s="1"/>
  <c r="J227" i="21412"/>
  <c r="E227" i="21412" s="1"/>
  <c r="J253" i="21412"/>
  <c r="E253" i="21412" s="1"/>
  <c r="J216" i="21412"/>
  <c r="E216" i="21412" s="1"/>
  <c r="J324" i="21412"/>
  <c r="E324" i="21412" s="1"/>
  <c r="J97" i="21412"/>
  <c r="E97" i="21412" s="1"/>
  <c r="J275" i="21412"/>
  <c r="E275" i="21412" s="1"/>
  <c r="J152" i="21412"/>
  <c r="E152" i="21412" s="1"/>
  <c r="J107" i="21412"/>
  <c r="E107" i="21412" s="1"/>
  <c r="J155" i="21412"/>
  <c r="E155" i="21412" s="1"/>
  <c r="J322" i="21412"/>
  <c r="E322" i="21412" s="1"/>
  <c r="J237" i="21412"/>
  <c r="E237" i="21412" s="1"/>
  <c r="J172" i="21412"/>
  <c r="E172" i="21412" s="1"/>
  <c r="J103" i="21412"/>
  <c r="E103" i="21412" s="1"/>
  <c r="J20" i="21412"/>
  <c r="E20" i="21412" s="1"/>
  <c r="J105" i="21412"/>
  <c r="E105" i="21412" s="1"/>
  <c r="J298" i="21412"/>
  <c r="E298" i="21412" s="1"/>
  <c r="J311" i="21412"/>
  <c r="E311" i="21412" s="1"/>
  <c r="J249" i="21412"/>
  <c r="E249" i="21412" s="1"/>
  <c r="J198" i="21412"/>
  <c r="E198" i="21412" s="1"/>
  <c r="J10" i="21412"/>
  <c r="E10" i="21412" s="1"/>
  <c r="J285" i="21412"/>
  <c r="E285" i="21412" s="1"/>
  <c r="J318" i="21412"/>
  <c r="E318" i="21412" s="1"/>
  <c r="J168" i="21412"/>
  <c r="E168" i="21412" s="1"/>
  <c r="J19" i="21412"/>
  <c r="E19" i="21412" s="1"/>
  <c r="J230" i="21412"/>
  <c r="E230" i="21412" s="1"/>
  <c r="J252" i="21412"/>
  <c r="E252" i="21412" s="1"/>
  <c r="J68" i="21412"/>
  <c r="E68" i="21412" s="1"/>
  <c r="J130" i="21412"/>
  <c r="E130" i="21412" s="1"/>
  <c r="J320" i="21412"/>
  <c r="E320" i="21412" s="1"/>
  <c r="J11" i="21412"/>
  <c r="E11" i="21412" s="1"/>
  <c r="J260" i="21412"/>
  <c r="E260" i="21412" s="1"/>
  <c r="J270" i="21412"/>
  <c r="E270" i="21412" s="1"/>
  <c r="J167" i="21412"/>
  <c r="E167" i="21412" s="1"/>
  <c r="J125" i="21412"/>
  <c r="E125" i="21412" s="1"/>
  <c r="J223" i="21412"/>
  <c r="E223" i="21412" s="1"/>
  <c r="J89" i="21412"/>
  <c r="E89" i="21412" s="1"/>
  <c r="J40" i="21412"/>
  <c r="E40" i="21412" s="1"/>
  <c r="J94" i="21412"/>
  <c r="E94" i="21412" s="1"/>
  <c r="J170" i="21412"/>
  <c r="E170" i="21412" s="1"/>
  <c r="J77" i="21412"/>
  <c r="E77" i="21412" s="1"/>
  <c r="J207" i="21412"/>
  <c r="E207" i="21412" s="1"/>
  <c r="J254" i="21412"/>
  <c r="E254" i="21412" s="1"/>
  <c r="J127" i="21412"/>
  <c r="E127" i="21412" s="1"/>
  <c r="J165" i="21412"/>
  <c r="E165" i="21412" s="1"/>
  <c r="J287" i="21412"/>
  <c r="E287" i="21412" s="1"/>
  <c r="J25" i="21412"/>
  <c r="E25" i="21412" s="1"/>
  <c r="J131" i="21412"/>
  <c r="E131" i="21412" s="1"/>
  <c r="J90" i="21412"/>
  <c r="E90" i="21412" s="1"/>
  <c r="J319" i="21412"/>
  <c r="E319" i="21412" s="1"/>
  <c r="J255" i="21412"/>
  <c r="E255" i="21412" s="1"/>
  <c r="J195" i="21412"/>
  <c r="E195" i="21412" s="1"/>
  <c r="J143" i="21412"/>
  <c r="E143" i="21412" s="1"/>
  <c r="J72" i="21412"/>
  <c r="E72" i="21412" s="1"/>
  <c r="BB692" i="2"/>
  <c r="AQ1045" i="2"/>
  <c r="AQ1047" i="2"/>
  <c r="AT1048" i="2"/>
  <c r="M1242" i="21398" l="1"/>
  <c r="BC1242" i="21398" s="1"/>
  <c r="AY1242" i="21398"/>
  <c r="BA1242" i="21398" s="1"/>
  <c r="AZ1241" i="21398"/>
  <c r="BB1241" i="21398" s="1"/>
  <c r="C1246" i="21398"/>
  <c r="AX1244" i="21398"/>
  <c r="AW1244" i="21398"/>
  <c r="AC1048" i="2"/>
  <c r="AY1048" i="2"/>
  <c r="BA1048" i="2" s="1"/>
  <c r="M1048" i="2"/>
  <c r="BC1048" i="2" s="1"/>
  <c r="AX1047" i="2"/>
  <c r="AW1047" i="2"/>
  <c r="AX1050" i="2"/>
  <c r="M1050" i="2" s="1"/>
  <c r="BC1050" i="2" s="1"/>
  <c r="C1052" i="2"/>
  <c r="F1050" i="2"/>
  <c r="AW1050" i="2"/>
  <c r="BC695" i="2"/>
  <c r="BA695" i="2"/>
  <c r="AQ1049" i="2"/>
  <c r="M1244" i="21398" l="1"/>
  <c r="BC1244" i="21398" s="1"/>
  <c r="AY1244" i="21398"/>
  <c r="BA1244" i="21398" s="1"/>
  <c r="AX1246" i="21398"/>
  <c r="C1248" i="21398"/>
  <c r="AW1246" i="21398"/>
  <c r="AY1050" i="2"/>
  <c r="BA1050" i="2" s="1"/>
  <c r="AX1052" i="2"/>
  <c r="M1052" i="2" s="1"/>
  <c r="BC1052" i="2" s="1"/>
  <c r="F1052" i="2"/>
  <c r="AW1052" i="2"/>
  <c r="C1054" i="2"/>
  <c r="AZ1047" i="2"/>
  <c r="BB1047" i="2" s="1"/>
  <c r="BB698" i="2"/>
  <c r="BC697" i="2"/>
  <c r="BA697" i="2"/>
  <c r="AT1050" i="2"/>
  <c r="AQ1051" i="2"/>
  <c r="AT1052" i="2"/>
  <c r="AX1248" i="21398" l="1"/>
  <c r="C1250" i="21398"/>
  <c r="AW1248" i="21398"/>
  <c r="M1246" i="21398"/>
  <c r="BC1246" i="21398" s="1"/>
  <c r="AY1246" i="21398"/>
  <c r="BA1246" i="21398" s="1"/>
  <c r="AY1052" i="2"/>
  <c r="BA1052" i="2" s="1"/>
  <c r="AC1052" i="2"/>
  <c r="AW1054" i="2"/>
  <c r="J1055" i="2"/>
  <c r="C1056" i="2"/>
  <c r="AX1054" i="2"/>
  <c r="F1054" i="2"/>
  <c r="BA699" i="2"/>
  <c r="BC699" i="2"/>
  <c r="AT1054" i="2"/>
  <c r="AW1250" i="21398" l="1"/>
  <c r="AX1250" i="21398"/>
  <c r="C1252" i="21398"/>
  <c r="M1248" i="21398"/>
  <c r="BC1248" i="21398" s="1"/>
  <c r="AY1248" i="21398"/>
  <c r="BA1248" i="21398" s="1"/>
  <c r="AC1054" i="2"/>
  <c r="M1054" i="2"/>
  <c r="BC1054" i="2" s="1"/>
  <c r="AY1054" i="2"/>
  <c r="BA1054" i="2" s="1"/>
  <c r="AX1056" i="2"/>
  <c r="M1056" i="2" s="1"/>
  <c r="BC1056" i="2" s="1"/>
  <c r="AW1056" i="2"/>
  <c r="C1058" i="2"/>
  <c r="F1056" i="2"/>
  <c r="AX1055" i="2"/>
  <c r="AW1055" i="2"/>
  <c r="BA701" i="2"/>
  <c r="BC701" i="2"/>
  <c r="AQ1053" i="2"/>
  <c r="AQ1055" i="2"/>
  <c r="AT1056" i="2"/>
  <c r="J1251" i="21398" l="1"/>
  <c r="AW1251" i="21398" s="1"/>
  <c r="AZ1251" i="21398" s="1"/>
  <c r="BB1251" i="21398" s="1"/>
  <c r="AW1252" i="21398"/>
  <c r="AY1252" i="21398" s="1"/>
  <c r="BA1252" i="21398" s="1"/>
  <c r="C1256" i="21398"/>
  <c r="M1250" i="21398"/>
  <c r="BC1250" i="21398" s="1"/>
  <c r="AY1250" i="21398"/>
  <c r="BA1250" i="21398" s="1"/>
  <c r="AC1056" i="2"/>
  <c r="AX1058" i="2"/>
  <c r="M1058" i="2" s="1"/>
  <c r="BC1058" i="2" s="1"/>
  <c r="AW1058" i="2"/>
  <c r="C1060" i="2"/>
  <c r="F1058" i="2"/>
  <c r="AZ1055" i="2"/>
  <c r="BB1055" i="2" s="1"/>
  <c r="AY1056" i="2"/>
  <c r="BA1056" i="2" s="1"/>
  <c r="BA703" i="2"/>
  <c r="BC703" i="2"/>
  <c r="AT1058" i="2"/>
  <c r="AW1256" i="21398" l="1"/>
  <c r="AY1256" i="21398" s="1"/>
  <c r="BA1256" i="21398" s="1"/>
  <c r="C1254" i="21398"/>
  <c r="AW1254" i="21398" s="1"/>
  <c r="AY1254" i="21398" s="1"/>
  <c r="BA1254" i="21398" s="1"/>
  <c r="AC1058" i="2"/>
  <c r="AX1060" i="2"/>
  <c r="M1060" i="2" s="1"/>
  <c r="BC1060" i="2" s="1"/>
  <c r="C1062" i="2"/>
  <c r="F1060" i="2"/>
  <c r="AW1060" i="2"/>
  <c r="AY1058" i="2"/>
  <c r="BA1058" i="2" s="1"/>
  <c r="BC705" i="2"/>
  <c r="BA705" i="2"/>
  <c r="BB704" i="2"/>
  <c r="AT1060" i="2"/>
  <c r="AQ1059" i="2"/>
  <c r="AQ1057" i="2"/>
  <c r="AY1060" i="2" l="1"/>
  <c r="BA1060" i="2" s="1"/>
  <c r="AC1060" i="2"/>
  <c r="AX1062" i="2"/>
  <c r="M1062" i="2" s="1"/>
  <c r="BC1062" i="2" s="1"/>
  <c r="F1062" i="2"/>
  <c r="C1064" i="2"/>
  <c r="AW1062" i="2"/>
  <c r="BC707" i="2"/>
  <c r="BA707" i="2"/>
  <c r="AT1062" i="2"/>
  <c r="AC1062" i="2" l="1"/>
  <c r="AX1064" i="2"/>
  <c r="M1064" i="2" s="1"/>
  <c r="BC1064" i="2" s="1"/>
  <c r="AW1064" i="2"/>
  <c r="C1066" i="2"/>
  <c r="F1064" i="2"/>
  <c r="AY1062" i="2"/>
  <c r="BA1062" i="2" s="1"/>
  <c r="BA709" i="2"/>
  <c r="BC709" i="2"/>
  <c r="BB710" i="2"/>
  <c r="AQ1063" i="2"/>
  <c r="AQ1061" i="2"/>
  <c r="AT1064" i="2"/>
  <c r="AY1064" i="2" l="1"/>
  <c r="BA1064" i="2" s="1"/>
  <c r="AC1064" i="2"/>
  <c r="AX1066" i="2"/>
  <c r="M1066" i="2" s="1"/>
  <c r="BC1066" i="2" s="1"/>
  <c r="AW1066" i="2"/>
  <c r="F1066" i="2"/>
  <c r="C1068" i="2"/>
  <c r="BC711" i="2"/>
  <c r="BA711" i="2"/>
  <c r="AT1066" i="2"/>
  <c r="AQ1065" i="2"/>
  <c r="AY1066" i="2" l="1"/>
  <c r="BA1066" i="2" s="1"/>
  <c r="AC1066" i="2"/>
  <c r="AW1068" i="2"/>
  <c r="AX1068" i="2"/>
  <c r="F1068" i="2"/>
  <c r="J1067" i="2"/>
  <c r="C1070" i="2"/>
  <c r="AT1068" i="2"/>
  <c r="AC1068" i="2" l="1"/>
  <c r="M1068" i="2"/>
  <c r="BC1068" i="2" s="1"/>
  <c r="AY1068" i="2"/>
  <c r="BA1068" i="2" s="1"/>
  <c r="AX1070" i="2"/>
  <c r="M1070" i="2" s="1"/>
  <c r="BC1070" i="2" s="1"/>
  <c r="F1070" i="2"/>
  <c r="C1072" i="2"/>
  <c r="AW1070" i="2"/>
  <c r="AX1067" i="2"/>
  <c r="AW1067" i="2"/>
  <c r="AQ1067" i="2"/>
  <c r="AT1070" i="2"/>
  <c r="AQ1069" i="2"/>
  <c r="AZ1067" i="2" l="1"/>
  <c r="BB1067" i="2" s="1"/>
  <c r="AC1070" i="2"/>
  <c r="AY1070" i="2"/>
  <c r="BA1070" i="2" s="1"/>
  <c r="AW1072" i="2"/>
  <c r="J1073" i="2"/>
  <c r="C1074" i="2"/>
  <c r="AX1072" i="2"/>
  <c r="F1072" i="2"/>
  <c r="AT1072" i="2"/>
  <c r="AQ1071" i="2"/>
  <c r="AC1072" i="2" l="1"/>
  <c r="AX1073" i="2"/>
  <c r="AW1073" i="2"/>
  <c r="M1072" i="2"/>
  <c r="BC1072" i="2" s="1"/>
  <c r="AY1072" i="2"/>
  <c r="BA1072" i="2" s="1"/>
  <c r="AX1074" i="2"/>
  <c r="M1074" i="2" s="1"/>
  <c r="BC1074" i="2" s="1"/>
  <c r="C1076" i="2"/>
  <c r="F1074" i="2"/>
  <c r="AW1074" i="2"/>
  <c r="AQ1073" i="2"/>
  <c r="AY1074" i="2" l="1"/>
  <c r="BA1074" i="2" s="1"/>
  <c r="AZ1073" i="2"/>
  <c r="BB1073" i="2" s="1"/>
  <c r="AX1076" i="2"/>
  <c r="M1076" i="2" s="1"/>
  <c r="BC1076" i="2" s="1"/>
  <c r="AW1076" i="2"/>
  <c r="F1076" i="2"/>
  <c r="C1078" i="2"/>
  <c r="AT1074" i="2"/>
  <c r="AQ1075" i="2"/>
  <c r="AC1074" i="2" l="1"/>
  <c r="AY1076" i="2"/>
  <c r="BA1076" i="2" s="1"/>
  <c r="AX1078" i="2"/>
  <c r="M1078" i="2" s="1"/>
  <c r="BC1078" i="2" s="1"/>
  <c r="C1080" i="2"/>
  <c r="AW1078" i="2"/>
  <c r="F1078" i="2"/>
  <c r="AT1076" i="2"/>
  <c r="AT1078" i="2"/>
  <c r="AQ1077" i="2"/>
  <c r="AC1076" i="2" l="1"/>
  <c r="AY1078" i="2"/>
  <c r="BA1078" i="2" s="1"/>
  <c r="AC1078" i="2"/>
  <c r="AX1080" i="2"/>
  <c r="M1080" i="2" s="1"/>
  <c r="BC1080" i="2" s="1"/>
  <c r="C1082" i="2"/>
  <c r="F1080" i="2"/>
  <c r="AW1080" i="2"/>
  <c r="AQ1079" i="2"/>
  <c r="AY1080" i="2" l="1"/>
  <c r="BA1080" i="2" s="1"/>
  <c r="AX1082" i="2"/>
  <c r="M1082" i="2" s="1"/>
  <c r="BC1082" i="2" s="1"/>
  <c r="C1084" i="2"/>
  <c r="AW1082" i="2"/>
  <c r="F1082" i="2"/>
  <c r="AQ1081" i="2"/>
  <c r="AT1082" i="2"/>
  <c r="AT1080" i="2"/>
  <c r="AC1080" i="2" l="1"/>
  <c r="AY1082" i="2"/>
  <c r="BA1082" i="2" s="1"/>
  <c r="AC1082" i="2"/>
  <c r="AX1084" i="2"/>
  <c r="M1084" i="2" s="1"/>
  <c r="BC1084" i="2" s="1"/>
  <c r="F1084" i="2"/>
  <c r="C1086" i="2"/>
  <c r="AW1084" i="2"/>
  <c r="AQ1083" i="2"/>
  <c r="AY1084" i="2" l="1"/>
  <c r="BA1084" i="2" s="1"/>
  <c r="AW1086" i="2"/>
  <c r="J1085" i="2"/>
  <c r="F1086" i="2"/>
  <c r="AX1086" i="2"/>
  <c r="C1088" i="2"/>
  <c r="AT1084" i="2"/>
  <c r="AT1086" i="2"/>
  <c r="AC1084" i="2" l="1"/>
  <c r="AC1086" i="2"/>
  <c r="AY1086" i="2"/>
  <c r="BA1086" i="2" s="1"/>
  <c r="M1086" i="2"/>
  <c r="BC1086" i="2" s="1"/>
  <c r="AX1085" i="2"/>
  <c r="AW1085" i="2"/>
  <c r="AX1088" i="2"/>
  <c r="M1088" i="2" s="1"/>
  <c r="BC1088" i="2" s="1"/>
  <c r="AW1088" i="2"/>
  <c r="C1090" i="2"/>
  <c r="F1088" i="2"/>
  <c r="AQ1085" i="2"/>
  <c r="AT1088" i="2"/>
  <c r="AY1088" i="2" l="1"/>
  <c r="BA1088" i="2" s="1"/>
  <c r="AX1090" i="2"/>
  <c r="M1090" i="2" s="1"/>
  <c r="BC1090" i="2" s="1"/>
  <c r="C1092" i="2"/>
  <c r="J1091" i="2"/>
  <c r="AW1090" i="2"/>
  <c r="J1089" i="2"/>
  <c r="F1090" i="2"/>
  <c r="AZ1085" i="2"/>
  <c r="BB1085" i="2" s="1"/>
  <c r="AQ1087" i="2"/>
  <c r="AQ1089" i="2"/>
  <c r="AT1090" i="2"/>
  <c r="AY1090" i="2" l="1"/>
  <c r="BA1090" i="2" s="1"/>
  <c r="AC1090" i="2"/>
  <c r="AX1089" i="2"/>
  <c r="AW1089" i="2"/>
  <c r="AX1091" i="2"/>
  <c r="AW1091" i="2"/>
  <c r="C1094" i="2"/>
  <c r="AX1092" i="2"/>
  <c r="F1092" i="2"/>
  <c r="J1093" i="2"/>
  <c r="AW1092" i="2"/>
  <c r="AT1092" i="2"/>
  <c r="AQ1091" i="2"/>
  <c r="AZ1089" i="2" l="1"/>
  <c r="BB1089" i="2" s="1"/>
  <c r="AC1092" i="2"/>
  <c r="AX1094" i="2"/>
  <c r="M1094" i="2" s="1"/>
  <c r="BC1094" i="2" s="1"/>
  <c r="AW1094" i="2"/>
  <c r="F1094" i="2"/>
  <c r="C1096" i="2"/>
  <c r="M1092" i="2"/>
  <c r="BC1092" i="2" s="1"/>
  <c r="AY1092" i="2"/>
  <c r="BA1092" i="2" s="1"/>
  <c r="AX1093" i="2"/>
  <c r="AW1093" i="2"/>
  <c r="AZ1091" i="2"/>
  <c r="BB1091" i="2" s="1"/>
  <c r="AT1094" i="2"/>
  <c r="AQ1093" i="2"/>
  <c r="AY1094" i="2" l="1"/>
  <c r="BA1094" i="2" s="1"/>
  <c r="AC1094" i="2"/>
  <c r="AZ1093" i="2"/>
  <c r="BB1093" i="2" s="1"/>
  <c r="AX1096" i="2"/>
  <c r="M1096" i="2" s="1"/>
  <c r="BC1096" i="2" s="1"/>
  <c r="F1096" i="2"/>
  <c r="AW1096" i="2"/>
  <c r="C1098" i="2"/>
  <c r="AQ1095" i="2"/>
  <c r="AT1096" i="2"/>
  <c r="AY1096" i="2" l="1"/>
  <c r="BA1096" i="2" s="1"/>
  <c r="AC1096" i="2"/>
  <c r="AX1098" i="2"/>
  <c r="M1098" i="2" s="1"/>
  <c r="BC1098" i="2" s="1"/>
  <c r="AW1098" i="2"/>
  <c r="C1100" i="2"/>
  <c r="F1098" i="2"/>
  <c r="AQ1097" i="2"/>
  <c r="AT1098" i="2"/>
  <c r="AY1098" i="2" l="1"/>
  <c r="BA1098" i="2" s="1"/>
  <c r="AC1098" i="2"/>
  <c r="C1102" i="2"/>
  <c r="AW1100" i="2"/>
  <c r="F1100" i="2"/>
  <c r="AX1100" i="2"/>
  <c r="AQ1099" i="2"/>
  <c r="AT1100" i="2"/>
  <c r="AC1100" i="2" l="1"/>
  <c r="AX1102" i="2"/>
  <c r="C1104" i="2"/>
  <c r="F1102" i="2"/>
  <c r="AW1102" i="2"/>
  <c r="M1100" i="2"/>
  <c r="BC1100" i="2" s="1"/>
  <c r="AY1100" i="2"/>
  <c r="BA1100" i="2" s="1"/>
  <c r="AQ1101" i="2"/>
  <c r="AX1104" i="2" l="1"/>
  <c r="M1104" i="2" s="1"/>
  <c r="BC1104" i="2" s="1"/>
  <c r="C1106" i="2"/>
  <c r="F1104" i="2"/>
  <c r="AW1104" i="2"/>
  <c r="M1102" i="2"/>
  <c r="BC1102" i="2" s="1"/>
  <c r="AY1102" i="2"/>
  <c r="BA1102" i="2" s="1"/>
  <c r="AT1102" i="2"/>
  <c r="AT1104" i="2"/>
  <c r="AC1102" i="2" l="1"/>
  <c r="AC1104" i="2"/>
  <c r="J1105" i="2"/>
  <c r="AX1106" i="2"/>
  <c r="C1108" i="2"/>
  <c r="F1106" i="2"/>
  <c r="AW1106" i="2"/>
  <c r="AY1104" i="2"/>
  <c r="BA1104" i="2" s="1"/>
  <c r="AT1106" i="2"/>
  <c r="AQ1105" i="2"/>
  <c r="AQ1103" i="2"/>
  <c r="AC1106" i="2" l="1"/>
  <c r="M1106" i="2"/>
  <c r="BC1106" i="2" s="1"/>
  <c r="AY1106" i="2"/>
  <c r="BA1106" i="2" s="1"/>
  <c r="AX1105" i="2"/>
  <c r="AW1105" i="2"/>
  <c r="AX1108" i="2"/>
  <c r="AW1108" i="2"/>
  <c r="F1108" i="2"/>
  <c r="C1110" i="2"/>
  <c r="AQ1107" i="2"/>
  <c r="AZ1105" i="2" l="1"/>
  <c r="BB1105" i="2" s="1"/>
  <c r="M1108" i="2"/>
  <c r="BC1108" i="2" s="1"/>
  <c r="AY1108" i="2"/>
  <c r="BA1108" i="2" s="1"/>
  <c r="AX1110" i="2"/>
  <c r="AW1110" i="2"/>
  <c r="F1110" i="2"/>
  <c r="C1112" i="2"/>
  <c r="J1111" i="2"/>
  <c r="AT1108" i="2"/>
  <c r="AQ1109" i="2"/>
  <c r="AT1110" i="2"/>
  <c r="AC1108" i="2" l="1"/>
  <c r="AC1110" i="2"/>
  <c r="M1110" i="2"/>
  <c r="BC1110" i="2" s="1"/>
  <c r="AY1110" i="2"/>
  <c r="BA1110" i="2" s="1"/>
  <c r="AX1112" i="2"/>
  <c r="M1112" i="2" s="1"/>
  <c r="BC1112" i="2" s="1"/>
  <c r="C1114" i="2"/>
  <c r="F1112" i="2"/>
  <c r="AW1112" i="2"/>
  <c r="AX1111" i="2"/>
  <c r="AW1111" i="2"/>
  <c r="AQ1111" i="2"/>
  <c r="AT1112" i="2"/>
  <c r="AC1112" i="2" l="1"/>
  <c r="AY1112" i="2"/>
  <c r="BA1112" i="2" s="1"/>
  <c r="AZ1111" i="2"/>
  <c r="BB1111" i="2" s="1"/>
  <c r="AX1114" i="2"/>
  <c r="M1114" i="2" s="1"/>
  <c r="BC1114" i="2" s="1"/>
  <c r="F1114" i="2"/>
  <c r="AW1114" i="2"/>
  <c r="C1116" i="2"/>
  <c r="AQ1113" i="2"/>
  <c r="AT1114" i="2"/>
  <c r="AY1114" i="2" l="1"/>
  <c r="BA1114" i="2" s="1"/>
  <c r="AC1114" i="2"/>
  <c r="AX1116" i="2"/>
  <c r="M1116" i="2" s="1"/>
  <c r="BC1116" i="2" s="1"/>
  <c r="AW1116" i="2"/>
  <c r="C1118" i="2"/>
  <c r="F1116" i="2"/>
  <c r="AQ1115" i="2"/>
  <c r="AT1116" i="2"/>
  <c r="AY1116" i="2" l="1"/>
  <c r="BA1116" i="2" s="1"/>
  <c r="AC1116" i="2"/>
  <c r="AX1118" i="2"/>
  <c r="M1118" i="2" s="1"/>
  <c r="BC1118" i="2" s="1"/>
  <c r="C1120" i="2"/>
  <c r="F1118" i="2"/>
  <c r="AW1118" i="2"/>
  <c r="AQ1117" i="2"/>
  <c r="AY1118" i="2" l="1"/>
  <c r="BA1118" i="2" s="1"/>
  <c r="AX1120" i="2"/>
  <c r="M1120" i="2" s="1"/>
  <c r="BC1120" i="2" s="1"/>
  <c r="F1120" i="2"/>
  <c r="C1122" i="2"/>
  <c r="AW1120" i="2"/>
  <c r="AQ1119" i="2"/>
  <c r="AT1118" i="2"/>
  <c r="AC1118" i="2" l="1"/>
  <c r="AY1120" i="2"/>
  <c r="BA1120" i="2" s="1"/>
  <c r="AX1122" i="2"/>
  <c r="M1122" i="2" s="1"/>
  <c r="BC1122" i="2" s="1"/>
  <c r="F1122" i="2"/>
  <c r="AW1122" i="2"/>
  <c r="C1124" i="2"/>
  <c r="AT1120" i="2"/>
  <c r="AQ1121" i="2"/>
  <c r="AT1122" i="2"/>
  <c r="AC1120" i="2" l="1"/>
  <c r="AC1122" i="2"/>
  <c r="AW1124" i="2"/>
  <c r="J1123" i="2"/>
  <c r="C1126" i="2"/>
  <c r="AX1124" i="2"/>
  <c r="F1124" i="2"/>
  <c r="AY1122" i="2"/>
  <c r="BA1122" i="2" s="1"/>
  <c r="AQ1123" i="2"/>
  <c r="AX1123" i="2" l="1"/>
  <c r="AW1123" i="2"/>
  <c r="AX1126" i="2"/>
  <c r="M1126" i="2" s="1"/>
  <c r="BC1126" i="2" s="1"/>
  <c r="F1126" i="2"/>
  <c r="C1128" i="2"/>
  <c r="AW1126" i="2"/>
  <c r="M1124" i="2"/>
  <c r="BC1124" i="2" s="1"/>
  <c r="AY1124" i="2"/>
  <c r="BA1124" i="2" s="1"/>
  <c r="AT1124" i="2"/>
  <c r="AT1126" i="2"/>
  <c r="AQ1125" i="2"/>
  <c r="AC1124" i="2" l="1"/>
  <c r="AZ1123" i="2"/>
  <c r="BB1123" i="2" s="1"/>
  <c r="AX1128" i="2"/>
  <c r="M1128" i="2" s="1"/>
  <c r="BC1128" i="2" s="1"/>
  <c r="AW1128" i="2"/>
  <c r="C1130" i="2"/>
  <c r="F1128" i="2"/>
  <c r="AY1126" i="2"/>
  <c r="BA1126" i="2" s="1"/>
  <c r="AQ1127" i="2"/>
  <c r="AY1128" i="2" l="1"/>
  <c r="BA1128" i="2" s="1"/>
  <c r="AX1130" i="2"/>
  <c r="AW1130" i="2"/>
  <c r="C1132" i="2"/>
  <c r="J1131" i="2"/>
  <c r="F1130" i="2"/>
  <c r="AT1130" i="2"/>
  <c r="AT1128" i="2"/>
  <c r="AC1128" i="2" l="1"/>
  <c r="AC1130" i="2"/>
  <c r="AX1132" i="2"/>
  <c r="M1132" i="2" s="1"/>
  <c r="BC1132" i="2" s="1"/>
  <c r="AW1132" i="2"/>
  <c r="F1132" i="2"/>
  <c r="C1134" i="2"/>
  <c r="M1130" i="2"/>
  <c r="BC1130" i="2" s="1"/>
  <c r="AY1130" i="2"/>
  <c r="BA1130" i="2" s="1"/>
  <c r="AX1131" i="2"/>
  <c r="AW1131" i="2"/>
  <c r="AQ1129" i="2"/>
  <c r="AQ1131" i="2"/>
  <c r="AT1132" i="2"/>
  <c r="AW1134" i="2" l="1"/>
  <c r="AX1134" i="2"/>
  <c r="AY1132" i="2"/>
  <c r="BA1132" i="2" s="1"/>
  <c r="AC1132" i="2"/>
  <c r="AZ1131" i="2"/>
  <c r="BB1131" i="2" s="1"/>
  <c r="C1136" i="2"/>
  <c r="F1134" i="2"/>
  <c r="AT1134" i="2"/>
  <c r="M1134" i="2" l="1"/>
  <c r="BC1134" i="2" s="1"/>
  <c r="AY1134" i="2"/>
  <c r="BA1134" i="2" s="1"/>
  <c r="AC1134" i="2"/>
  <c r="AX1136" i="2"/>
  <c r="M1136" i="2" s="1"/>
  <c r="BC1136" i="2" s="1"/>
  <c r="AW1136" i="2"/>
  <c r="C1138" i="2"/>
  <c r="AQ1133" i="2"/>
  <c r="AY1136" i="2" l="1"/>
  <c r="BA1136" i="2" s="1"/>
  <c r="C1140" i="2"/>
  <c r="F1138" i="2"/>
  <c r="AT1138" i="2"/>
  <c r="F1140" i="2" l="1"/>
  <c r="C1142" i="2"/>
  <c r="AT1140" i="2"/>
  <c r="AQ1139" i="2"/>
  <c r="F1142" i="2" l="1"/>
  <c r="C1144" i="2"/>
  <c r="AQ1141" i="2"/>
  <c r="AT1142" i="2"/>
  <c r="AC1142" i="2" l="1"/>
  <c r="C1146" i="2"/>
  <c r="F1144" i="2"/>
  <c r="AQ1143" i="2"/>
  <c r="J1147" i="2" l="1"/>
  <c r="J1145" i="2"/>
  <c r="AX1146" i="2"/>
  <c r="M1146" i="2" s="1"/>
  <c r="BC1146" i="2" s="1"/>
  <c r="F1146" i="2"/>
  <c r="C1148" i="2"/>
  <c r="AW1146" i="2"/>
  <c r="AQ1145" i="2"/>
  <c r="AT1144" i="2"/>
  <c r="AC1144" i="2" l="1"/>
  <c r="AX1145" i="2"/>
  <c r="AW1145" i="2"/>
  <c r="AX1147" i="2"/>
  <c r="AW1147" i="2"/>
  <c r="AY1146" i="2"/>
  <c r="BA1146" i="2" s="1"/>
  <c r="F1148" i="2"/>
  <c r="C1150" i="2"/>
  <c r="AT1146" i="2"/>
  <c r="AQ1147" i="2"/>
  <c r="AT1148" i="2"/>
  <c r="AC1146" i="2" l="1"/>
  <c r="AZ1145" i="2"/>
  <c r="BB1145" i="2" s="1"/>
  <c r="AZ1147" i="2"/>
  <c r="BB1147" i="2" s="1"/>
  <c r="AC1148" i="2"/>
  <c r="F1150" i="2"/>
  <c r="C1152" i="2"/>
  <c r="AQ1149" i="2"/>
  <c r="AT1150" i="2"/>
  <c r="AC1150" i="2" l="1"/>
  <c r="F1152" i="2"/>
  <c r="C1154" i="2"/>
  <c r="AQ1151" i="2"/>
  <c r="C1156" i="2" l="1"/>
  <c r="F1154" i="2"/>
  <c r="AT1154" i="2"/>
  <c r="AT1152" i="2"/>
  <c r="AC1152" i="2" l="1"/>
  <c r="AC1154" i="2"/>
  <c r="F1156" i="2"/>
  <c r="C1158" i="2"/>
  <c r="AQ1153" i="2"/>
  <c r="AQ1155" i="2"/>
  <c r="C1160" i="2" l="1"/>
  <c r="F1158" i="2"/>
  <c r="AT1156" i="2"/>
  <c r="AQ1157" i="2"/>
  <c r="AC1156" i="2" l="1"/>
  <c r="F1160" i="2"/>
  <c r="C1162" i="2"/>
  <c r="AT1158" i="2"/>
  <c r="AQ1159" i="2"/>
  <c r="AC1158" i="2" l="1"/>
  <c r="F1162" i="2"/>
  <c r="C1164" i="2"/>
  <c r="J1163" i="2" s="1"/>
  <c r="AT1160" i="2"/>
  <c r="AT1162" i="2"/>
  <c r="AC1160" i="2" l="1"/>
  <c r="AW1163" i="2"/>
  <c r="AX1163" i="2"/>
  <c r="AC1162" i="2"/>
  <c r="C1166" i="2"/>
  <c r="F1164" i="2"/>
  <c r="AQ1161" i="2"/>
  <c r="AQ1163" i="2"/>
  <c r="AT1164" i="2"/>
  <c r="AZ1163" i="2" l="1"/>
  <c r="BB1163" i="2" s="1"/>
  <c r="AC1164" i="2"/>
  <c r="C1168" i="2"/>
  <c r="F1166" i="2"/>
  <c r="AQ1165" i="2"/>
  <c r="F1168" i="2" l="1"/>
  <c r="C1170" i="2"/>
  <c r="J1171" i="2" s="1"/>
  <c r="AT1168" i="2"/>
  <c r="AT1166" i="2"/>
  <c r="AX1171" i="2" l="1"/>
  <c r="AW1171" i="2"/>
  <c r="AC1168" i="2"/>
  <c r="F1170" i="2"/>
  <c r="C1172" i="2"/>
  <c r="AQ1167" i="2"/>
  <c r="AT1170" i="2"/>
  <c r="AZ1171" i="2" l="1"/>
  <c r="BB1171" i="2" s="1"/>
  <c r="AC1170" i="2"/>
  <c r="F1172" i="2"/>
  <c r="C1174" i="2"/>
  <c r="AQ1169" i="2"/>
  <c r="AQ1171" i="2"/>
  <c r="F1174" i="2" l="1"/>
  <c r="C1176" i="2"/>
  <c r="AT1172" i="2"/>
  <c r="AQ1173" i="2"/>
  <c r="AC1172" i="2" l="1"/>
  <c r="C1178" i="2"/>
  <c r="F1176" i="2"/>
  <c r="AT1174" i="2"/>
  <c r="AT1176" i="2"/>
  <c r="AC1174" i="2" l="1"/>
  <c r="AC1176" i="2"/>
  <c r="F1178" i="2"/>
  <c r="C1180" i="2"/>
  <c r="AQ1175" i="2"/>
  <c r="AQ1177" i="2"/>
  <c r="C1182" i="2" l="1"/>
  <c r="F1180" i="2"/>
  <c r="AQ1179" i="2"/>
  <c r="AT1178" i="2"/>
  <c r="AC1178" i="2" l="1"/>
  <c r="C1184" i="2"/>
  <c r="F1182" i="2"/>
  <c r="AQ1181" i="2"/>
  <c r="AT1180" i="2"/>
  <c r="AC1180" i="2" l="1"/>
  <c r="C1186" i="2"/>
  <c r="F1184" i="2"/>
  <c r="AT1184" i="2"/>
  <c r="AQ1183" i="2"/>
  <c r="AT1182" i="2"/>
  <c r="AC1182" i="2" l="1"/>
  <c r="AC1184" i="2"/>
  <c r="AX1186" i="2"/>
  <c r="C1188" i="2"/>
  <c r="AW1186" i="2"/>
  <c r="J1187" i="2"/>
  <c r="F1186" i="2"/>
  <c r="AQ1185" i="2"/>
  <c r="AT1186" i="2"/>
  <c r="AC1186" i="2" l="1"/>
  <c r="AX1188" i="2"/>
  <c r="M1188" i="2" s="1"/>
  <c r="BC1188" i="2" s="1"/>
  <c r="AW1188" i="2"/>
  <c r="C1190" i="2"/>
  <c r="F1188" i="2"/>
  <c r="M1186" i="2"/>
  <c r="BC1186" i="2" s="1"/>
  <c r="AY1186" i="2"/>
  <c r="BA1186" i="2" s="1"/>
  <c r="AX1187" i="2"/>
  <c r="AW1187" i="2"/>
  <c r="AT1188" i="2"/>
  <c r="AQ1187" i="2"/>
  <c r="AY1188" i="2" l="1"/>
  <c r="BA1188" i="2" s="1"/>
  <c r="AC1188" i="2"/>
  <c r="AX1190" i="2"/>
  <c r="M1190" i="2" s="1"/>
  <c r="BC1190" i="2" s="1"/>
  <c r="C1192" i="2"/>
  <c r="F1190" i="2"/>
  <c r="AW1190" i="2"/>
  <c r="AZ1187" i="2"/>
  <c r="BB1187" i="2" s="1"/>
  <c r="AQ1189" i="2"/>
  <c r="AT1190" i="2"/>
  <c r="AY1190" i="2" l="1"/>
  <c r="BA1190" i="2" s="1"/>
  <c r="AC1190" i="2"/>
  <c r="AX1192" i="2"/>
  <c r="M1192" i="2" s="1"/>
  <c r="BC1192" i="2" s="1"/>
  <c r="AW1192" i="2"/>
  <c r="C1194" i="2"/>
  <c r="F1192" i="2"/>
  <c r="AT1192" i="2"/>
  <c r="AQ1191" i="2"/>
  <c r="AY1192" i="2" l="1"/>
  <c r="BA1192" i="2" s="1"/>
  <c r="AC1192" i="2"/>
  <c r="AX1194" i="2"/>
  <c r="M1194" i="2" s="1"/>
  <c r="BC1194" i="2" s="1"/>
  <c r="AW1194" i="2"/>
  <c r="C1196" i="2"/>
  <c r="F1194" i="2"/>
  <c r="AT1194" i="2"/>
  <c r="AY1194" i="2" l="1"/>
  <c r="BA1194" i="2" s="1"/>
  <c r="AC1194" i="2"/>
  <c r="J1195" i="2"/>
  <c r="C1198" i="2"/>
  <c r="AX1196" i="2"/>
  <c r="F1196" i="2"/>
  <c r="AW1196" i="2"/>
  <c r="AQ1195" i="2"/>
  <c r="AT1196" i="2"/>
  <c r="AQ1193" i="2"/>
  <c r="AC1196" i="2" l="1"/>
  <c r="M1196" i="2"/>
  <c r="BC1196" i="2" s="1"/>
  <c r="AY1196" i="2"/>
  <c r="BA1196" i="2" s="1"/>
  <c r="AX1198" i="2"/>
  <c r="M1198" i="2" s="1"/>
  <c r="BC1198" i="2" s="1"/>
  <c r="AW1198" i="2"/>
  <c r="C1200" i="2"/>
  <c r="F1198" i="2"/>
  <c r="AX1195" i="2"/>
  <c r="AW1195" i="2"/>
  <c r="AT1198" i="2"/>
  <c r="AQ1197" i="2"/>
  <c r="AX1200" i="2" l="1"/>
  <c r="M1200" i="2" s="1"/>
  <c r="BC1200" i="2" s="1"/>
  <c r="C1202" i="2"/>
  <c r="F1200" i="2"/>
  <c r="AW1200" i="2"/>
  <c r="AZ1195" i="2"/>
  <c r="BB1195" i="2" s="1"/>
  <c r="AY1198" i="2"/>
  <c r="BA1198" i="2" s="1"/>
  <c r="AQ1199" i="2"/>
  <c r="AT1200" i="2"/>
  <c r="AY1200" i="2" l="1"/>
  <c r="BA1200" i="2" s="1"/>
  <c r="AC1200" i="2"/>
  <c r="J1203" i="2"/>
  <c r="C1204" i="2"/>
  <c r="AX1202" i="2"/>
  <c r="AW1202" i="2"/>
  <c r="F1202" i="2"/>
  <c r="AT1202" i="2"/>
  <c r="AC1202" i="2" l="1"/>
  <c r="M1202" i="2"/>
  <c r="BC1202" i="2" s="1"/>
  <c r="AY1202" i="2"/>
  <c r="BA1202" i="2" s="1"/>
  <c r="AX1204" i="2"/>
  <c r="M1204" i="2" s="1"/>
  <c r="BC1204" i="2" s="1"/>
  <c r="F1204" i="2"/>
  <c r="AW1204" i="2"/>
  <c r="C1206" i="2"/>
  <c r="AX1203" i="2"/>
  <c r="AW1203" i="2"/>
  <c r="AQ1203" i="2"/>
  <c r="AT1204" i="2"/>
  <c r="AQ1201" i="2"/>
  <c r="AC1204" i="2" l="1"/>
  <c r="AX1206" i="2"/>
  <c r="M1206" i="2" s="1"/>
  <c r="BC1206" i="2" s="1"/>
  <c r="AW1206" i="2"/>
  <c r="F1206" i="2"/>
  <c r="C1208" i="2"/>
  <c r="AY1204" i="2"/>
  <c r="BA1204" i="2" s="1"/>
  <c r="AZ1203" i="2"/>
  <c r="BB1203" i="2" s="1"/>
  <c r="AT1206" i="2"/>
  <c r="AQ1205" i="2"/>
  <c r="AC1206" i="2" l="1"/>
  <c r="AX1208" i="2"/>
  <c r="M1208" i="2" s="1"/>
  <c r="BC1208" i="2" s="1"/>
  <c r="C1210" i="2"/>
  <c r="AW1208" i="2"/>
  <c r="F1208" i="2"/>
  <c r="AY1206" i="2"/>
  <c r="BA1206" i="2" s="1"/>
  <c r="AT1208" i="2"/>
  <c r="AQ1207" i="2"/>
  <c r="AY1208" i="2" l="1"/>
  <c r="BA1208" i="2" s="1"/>
  <c r="AC1208" i="2"/>
  <c r="AX1210" i="2"/>
  <c r="M1210" i="2" s="1"/>
  <c r="BC1210" i="2" s="1"/>
  <c r="C1212" i="2"/>
  <c r="AW1210" i="2"/>
  <c r="F1210" i="2"/>
  <c r="AT1210" i="2"/>
  <c r="AQ1209" i="2"/>
  <c r="AY1210" i="2" l="1"/>
  <c r="BA1210" i="2" s="1"/>
  <c r="AC1210" i="2"/>
  <c r="AW1212" i="2"/>
  <c r="J1211" i="2"/>
  <c r="F1212" i="2"/>
  <c r="AX1212" i="2"/>
  <c r="C1214" i="2"/>
  <c r="AT1212" i="2"/>
  <c r="AC1212" i="2" l="1"/>
  <c r="AX1211" i="2"/>
  <c r="AW1211" i="2"/>
  <c r="AX1214" i="2"/>
  <c r="M1214" i="2" s="1"/>
  <c r="BC1214" i="2" s="1"/>
  <c r="F1214" i="2"/>
  <c r="C1216" i="2"/>
  <c r="AW1214" i="2"/>
  <c r="M1212" i="2"/>
  <c r="BC1212" i="2" s="1"/>
  <c r="AY1212" i="2"/>
  <c r="BA1212" i="2" s="1"/>
  <c r="AQ1211" i="2"/>
  <c r="AT1214" i="2"/>
  <c r="AQ1213" i="2"/>
  <c r="C1218" i="2" l="1"/>
  <c r="AZ1211" i="2"/>
  <c r="BB1211" i="2" s="1"/>
  <c r="AY1214" i="2"/>
  <c r="BA1214" i="2" s="1"/>
  <c r="AX1216" i="2"/>
  <c r="M1216" i="2" s="1"/>
  <c r="BC1216" i="2" s="1"/>
  <c r="F1216" i="2"/>
  <c r="AW1216" i="2"/>
  <c r="AQ1215" i="2"/>
  <c r="AX1218" i="2" l="1"/>
  <c r="C1220" i="2"/>
  <c r="C1222" i="2" s="1"/>
  <c r="C1224" i="2" s="1"/>
  <c r="AW1218" i="2"/>
  <c r="AY1216" i="2"/>
  <c r="BA1216" i="2" s="1"/>
  <c r="AC1216" i="2"/>
  <c r="F1222" i="2" l="1"/>
  <c r="J1223" i="2"/>
  <c r="AW1222" i="2"/>
  <c r="AX1222" i="2"/>
  <c r="M1222" i="2" s="1"/>
  <c r="BC1222" i="2" s="1"/>
  <c r="AX1220" i="2"/>
  <c r="AW1220" i="2"/>
  <c r="AY1218" i="2"/>
  <c r="BA1218" i="2" s="1"/>
  <c r="M1218" i="2"/>
  <c r="BC1218" i="2" s="1"/>
  <c r="AX1223" i="2" l="1"/>
  <c r="AW1223" i="2"/>
  <c r="AY1222" i="2"/>
  <c r="BA1222" i="2" s="1"/>
  <c r="M1220" i="2"/>
  <c r="BC1220" i="2" s="1"/>
  <c r="AY1220" i="2"/>
  <c r="BA1220" i="2" s="1"/>
  <c r="AZ1223" i="2" l="1"/>
  <c r="BB1223" i="2" s="1"/>
  <c r="AX1224" i="2"/>
  <c r="M1224" i="2" s="1"/>
  <c r="BC1224" i="2" s="1"/>
  <c r="F1224" i="2"/>
  <c r="AW1224" i="2"/>
  <c r="C1226" i="2"/>
  <c r="AQ1223" i="2"/>
  <c r="AY1224" i="2" l="1"/>
  <c r="BA1224" i="2" s="1"/>
  <c r="AX1226" i="2"/>
  <c r="M1226" i="2" s="1"/>
  <c r="BC1226" i="2" s="1"/>
  <c r="C1228" i="2"/>
  <c r="AW1226" i="2"/>
  <c r="F1226" i="2"/>
  <c r="AQ1225" i="2"/>
  <c r="AY1226" i="2" l="1"/>
  <c r="BA1226" i="2" s="1"/>
  <c r="AX1228" i="2"/>
  <c r="M1228" i="2" s="1"/>
  <c r="BC1228" i="2" s="1"/>
  <c r="F1228" i="2"/>
  <c r="C1230" i="2"/>
  <c r="AW1228" i="2"/>
  <c r="AT1226" i="2"/>
  <c r="AQ1227" i="2"/>
  <c r="AT1222" i="2"/>
  <c r="AT1224" i="2"/>
  <c r="AT1228" i="2"/>
  <c r="AC1224" i="2" l="1"/>
  <c r="AC1222" i="2"/>
  <c r="AC1226" i="2"/>
  <c r="AY1228" i="2"/>
  <c r="BA1228" i="2" s="1"/>
  <c r="AC1228" i="2"/>
  <c r="AX1230" i="2"/>
  <c r="M1230" i="2" s="1"/>
  <c r="BC1230" i="2" s="1"/>
  <c r="AW1230" i="2"/>
  <c r="C1232" i="2"/>
  <c r="F1230" i="2"/>
  <c r="AT1230" i="2"/>
  <c r="AQ1229" i="2"/>
  <c r="AY1230" i="2" l="1"/>
  <c r="BA1230" i="2" s="1"/>
  <c r="AC1230" i="2"/>
  <c r="AX1232" i="2"/>
  <c r="M1232" i="2" s="1"/>
  <c r="BC1232" i="2" s="1"/>
  <c r="C1234" i="2"/>
  <c r="F1232" i="2"/>
  <c r="AW1232" i="2"/>
  <c r="AQ1231" i="2"/>
  <c r="AY1232" i="2" l="1"/>
  <c r="BA1232" i="2" s="1"/>
  <c r="AX1234" i="2"/>
  <c r="M1234" i="2" s="1"/>
  <c r="BC1234" i="2" s="1"/>
  <c r="AW1234" i="2"/>
  <c r="F1234" i="2"/>
  <c r="C1236" i="2"/>
  <c r="AT1232" i="2"/>
  <c r="AQ1233" i="2"/>
  <c r="AC1232" i="2" l="1"/>
  <c r="AY1234" i="2"/>
  <c r="BA1234" i="2" s="1"/>
  <c r="AX1236" i="2"/>
  <c r="M1236" i="2" s="1"/>
  <c r="BC1236" i="2" s="1"/>
  <c r="AW1236" i="2"/>
  <c r="C1238" i="2"/>
  <c r="F1236" i="2"/>
  <c r="AT1236" i="2"/>
  <c r="AT1234" i="2"/>
  <c r="AQ1235" i="2"/>
  <c r="AC1234" i="2" l="1"/>
  <c r="AY1236" i="2"/>
  <c r="BA1236" i="2" s="1"/>
  <c r="AC1236" i="2"/>
  <c r="AW1238" i="2"/>
  <c r="J1237" i="2"/>
  <c r="F1238" i="2"/>
  <c r="AX1238" i="2"/>
  <c r="C1240" i="2"/>
  <c r="AT1238" i="2"/>
  <c r="AQ1237" i="2"/>
  <c r="AC1238" i="2" l="1"/>
  <c r="AX1240" i="2"/>
  <c r="M1240" i="2" s="1"/>
  <c r="BC1240" i="2" s="1"/>
  <c r="AW1240" i="2"/>
  <c r="F1240" i="2"/>
  <c r="C1242" i="2"/>
  <c r="AX1237" i="2"/>
  <c r="AW1237" i="2"/>
  <c r="M1238" i="2"/>
  <c r="BC1238" i="2" s="1"/>
  <c r="AY1238" i="2"/>
  <c r="BA1238" i="2" s="1"/>
  <c r="AT1240" i="2"/>
  <c r="AZ1237" i="2" l="1"/>
  <c r="BB1237" i="2" s="1"/>
  <c r="AC1240" i="2"/>
  <c r="AY1240" i="2"/>
  <c r="BA1240" i="2" s="1"/>
  <c r="F1242" i="2"/>
  <c r="J1243" i="2"/>
  <c r="AW1242" i="2"/>
  <c r="AX1242" i="2"/>
  <c r="C1244" i="2"/>
  <c r="AQ1239" i="2"/>
  <c r="AQ1241" i="2"/>
  <c r="AT1242" i="2"/>
  <c r="AC1242" i="2" l="1"/>
  <c r="AX1243" i="2"/>
  <c r="AW1243" i="2"/>
  <c r="AX1244" i="2"/>
  <c r="M1244" i="2" s="1"/>
  <c r="BC1244" i="2" s="1"/>
  <c r="C1246" i="2"/>
  <c r="F1244" i="2"/>
  <c r="AW1244" i="2"/>
  <c r="AY1242" i="2"/>
  <c r="BA1242" i="2" s="1"/>
  <c r="M1242" i="2"/>
  <c r="BC1242" i="2" s="1"/>
  <c r="C1258" i="21398"/>
  <c r="M1258" i="21398" s="1"/>
  <c r="BC1258" i="21398" s="1"/>
  <c r="AT1244" i="2"/>
  <c r="AQ1243" i="2"/>
  <c r="AZ1243" i="2" l="1"/>
  <c r="BB1243" i="2" s="1"/>
  <c r="AC1244" i="2"/>
  <c r="AY1244" i="2"/>
  <c r="BA1244" i="2" s="1"/>
  <c r="AX1246" i="2"/>
  <c r="M1246" i="2" s="1"/>
  <c r="BC1246" i="2" s="1"/>
  <c r="C1248" i="2"/>
  <c r="AW1246" i="2"/>
  <c r="F1246" i="2"/>
  <c r="C1260" i="21398"/>
  <c r="M1260" i="21398" s="1"/>
  <c r="BC1260" i="21398" s="1"/>
  <c r="AW1258" i="21398"/>
  <c r="AT1246" i="2"/>
  <c r="AC1246" i="2" l="1"/>
  <c r="AX1248" i="2"/>
  <c r="M1248" i="2" s="1"/>
  <c r="BC1248" i="2" s="1"/>
  <c r="AW1248" i="2"/>
  <c r="F1248" i="2"/>
  <c r="C1250" i="2"/>
  <c r="AY1246" i="2"/>
  <c r="BA1246" i="2" s="1"/>
  <c r="AY1258" i="21398"/>
  <c r="BA1258" i="21398" s="1"/>
  <c r="C1262" i="21398"/>
  <c r="M1262" i="21398" s="1"/>
  <c r="BC1262" i="21398" s="1"/>
  <c r="AW1260" i="21398"/>
  <c r="AQ1247" i="2"/>
  <c r="AQ1245" i="2"/>
  <c r="AT1248" i="2"/>
  <c r="AY1248" i="2" l="1"/>
  <c r="BA1248" i="2" s="1"/>
  <c r="AC1248" i="2"/>
  <c r="AX1250" i="2"/>
  <c r="M1250" i="2" s="1"/>
  <c r="BC1250" i="2" s="1"/>
  <c r="F1250" i="2"/>
  <c r="AW1250" i="2"/>
  <c r="C1252" i="2"/>
  <c r="AY1260" i="21398"/>
  <c r="BA1260" i="21398" s="1"/>
  <c r="C1264" i="21398"/>
  <c r="M1264" i="21398" s="1"/>
  <c r="BC1264" i="21398" s="1"/>
  <c r="AW1262" i="21398"/>
  <c r="AT1250" i="2"/>
  <c r="AY1250" i="2" l="1"/>
  <c r="BA1250" i="2" s="1"/>
  <c r="AC1250" i="2"/>
  <c r="F1252" i="2"/>
  <c r="C1254" i="2"/>
  <c r="AW1252" i="2"/>
  <c r="AX1252" i="2"/>
  <c r="AY1262" i="21398"/>
  <c r="BA1262" i="21398" s="1"/>
  <c r="C1266" i="21398"/>
  <c r="BC1266" i="21398" s="1"/>
  <c r="AW1264" i="21398"/>
  <c r="AQ1249" i="2"/>
  <c r="AQ1251" i="2"/>
  <c r="AX1254" i="2" l="1"/>
  <c r="M1254" i="2" s="1"/>
  <c r="BC1254" i="2" s="1"/>
  <c r="AW1254" i="2"/>
  <c r="C1258" i="2"/>
  <c r="J1253" i="2"/>
  <c r="M1252" i="2"/>
  <c r="BC1252" i="2" s="1"/>
  <c r="AY1252" i="2"/>
  <c r="BA1252" i="2" s="1"/>
  <c r="AY1264" i="21398"/>
  <c r="BA1264" i="21398" s="1"/>
  <c r="C1268" i="21398"/>
  <c r="M1268" i="21398" s="1"/>
  <c r="BC1268" i="21398" s="1"/>
  <c r="AW1266" i="21398"/>
  <c r="J1267" i="21398"/>
  <c r="C1270" i="21398"/>
  <c r="M1270" i="21398" s="1"/>
  <c r="BC1270" i="21398" s="1"/>
  <c r="J1265" i="21398"/>
  <c r="AT1252" i="2"/>
  <c r="AC1252" i="2" l="1"/>
  <c r="AY1254" i="2"/>
  <c r="BA1254" i="2" s="1"/>
  <c r="AX1258" i="2"/>
  <c r="M1258" i="2" s="1"/>
  <c r="BC1258" i="2" s="1"/>
  <c r="AW1258" i="2"/>
  <c r="C1256" i="2"/>
  <c r="C1260" i="2"/>
  <c r="AX1253" i="2"/>
  <c r="AW1253" i="2"/>
  <c r="BA1266" i="21398"/>
  <c r="G9" i="21402"/>
  <c r="AW1267" i="21398"/>
  <c r="AZ1267" i="21398" s="1"/>
  <c r="BB1267" i="21398" s="1"/>
  <c r="AW1265" i="21398"/>
  <c r="AZ1265" i="21398" s="1"/>
  <c r="BB1265" i="21398" s="1"/>
  <c r="AW1270" i="21398"/>
  <c r="J1271" i="21398"/>
  <c r="I285" i="21408" s="1"/>
  <c r="AW1268" i="21398"/>
  <c r="AY1268" i="21398" s="1"/>
  <c r="BA1268" i="21398" s="1"/>
  <c r="I41" i="21408" l="1"/>
  <c r="AY1258" i="2"/>
  <c r="BA1258" i="2" s="1"/>
  <c r="AX1260" i="2"/>
  <c r="M1260" i="2" s="1"/>
  <c r="BC1260" i="2" s="1"/>
  <c r="C1262" i="2"/>
  <c r="AW1260" i="2"/>
  <c r="AX1256" i="2"/>
  <c r="M1256" i="2" s="1"/>
  <c r="BC1256" i="2" s="1"/>
  <c r="AW1256" i="2"/>
  <c r="AZ1253" i="2"/>
  <c r="BB1253" i="2" s="1"/>
  <c r="AY1270" i="21398"/>
  <c r="BA1270" i="21398" s="1"/>
  <c r="I250" i="21408"/>
  <c r="I150" i="21408"/>
  <c r="G55" i="21402"/>
  <c r="I201" i="21408"/>
  <c r="I92" i="21408"/>
  <c r="I186" i="21408"/>
  <c r="I97" i="21408"/>
  <c r="I40" i="21408"/>
  <c r="I89" i="21408"/>
  <c r="I4" i="21408"/>
  <c r="I157" i="21408"/>
  <c r="I118" i="21408"/>
  <c r="I42" i="21408"/>
  <c r="I77" i="21408"/>
  <c r="G59" i="21402"/>
  <c r="I202" i="21408"/>
  <c r="I252" i="21408"/>
  <c r="I163" i="21408"/>
  <c r="I329" i="21408"/>
  <c r="G70" i="21402"/>
  <c r="I71" i="21408"/>
  <c r="I44" i="21408"/>
  <c r="I159" i="21408"/>
  <c r="G21" i="21402"/>
  <c r="I327" i="21408"/>
  <c r="I19" i="21408"/>
  <c r="I27" i="21408"/>
  <c r="I217" i="21408"/>
  <c r="I275" i="21408"/>
  <c r="G51" i="21402"/>
  <c r="I57" i="21408"/>
  <c r="I87" i="21408"/>
  <c r="G25" i="21402"/>
  <c r="I152" i="21408"/>
  <c r="I76" i="21408"/>
  <c r="G5" i="21402"/>
  <c r="I23" i="21408"/>
  <c r="I173" i="21408"/>
  <c r="I145" i="21408"/>
  <c r="I179" i="21408"/>
  <c r="I189" i="21408"/>
  <c r="I172" i="21408"/>
  <c r="I267" i="21408"/>
  <c r="I196" i="21408"/>
  <c r="I194" i="21408"/>
  <c r="I20" i="21408"/>
  <c r="G71" i="21402"/>
  <c r="I369" i="21408"/>
  <c r="I31" i="21408"/>
  <c r="I24" i="21408"/>
  <c r="I147" i="21408"/>
  <c r="I25" i="21408"/>
  <c r="I143" i="21408"/>
  <c r="I190" i="21408"/>
  <c r="G3" i="21402"/>
  <c r="I61" i="21408"/>
  <c r="I232" i="21408"/>
  <c r="I146" i="21408"/>
  <c r="I50" i="21408"/>
  <c r="I3" i="21408"/>
  <c r="I278" i="21408"/>
  <c r="I207" i="21408"/>
  <c r="I18" i="21408"/>
  <c r="I167" i="21408"/>
  <c r="I300" i="21408"/>
  <c r="I84" i="21408"/>
  <c r="I113" i="21408"/>
  <c r="I70" i="21408"/>
  <c r="I264" i="21408"/>
  <c r="I176" i="21408"/>
  <c r="G16" i="21402"/>
  <c r="I74" i="21408"/>
  <c r="I192" i="21408"/>
  <c r="I107" i="21408"/>
  <c r="I78" i="21408"/>
  <c r="G56" i="21402"/>
  <c r="I9" i="21408"/>
  <c r="I60" i="21408"/>
  <c r="I325" i="21408"/>
  <c r="I273" i="21408"/>
  <c r="I28" i="21408"/>
  <c r="I91" i="21408"/>
  <c r="I315" i="21408"/>
  <c r="I272" i="21408"/>
  <c r="G20" i="21402"/>
  <c r="I248" i="21408"/>
  <c r="G19" i="21402"/>
  <c r="I166" i="21408"/>
  <c r="I38" i="21408"/>
  <c r="G39" i="21402"/>
  <c r="I149" i="21408"/>
  <c r="I115" i="21408"/>
  <c r="I168" i="21408"/>
  <c r="I34" i="21408"/>
  <c r="I117" i="21408"/>
  <c r="I198" i="21408"/>
  <c r="G24" i="21402"/>
  <c r="I32" i="21408"/>
  <c r="I30" i="21408"/>
  <c r="I241" i="21408"/>
  <c r="G60" i="21402"/>
  <c r="I211" i="21408"/>
  <c r="I208" i="21408"/>
  <c r="I231" i="21408"/>
  <c r="I110" i="21408"/>
  <c r="I144" i="21408"/>
  <c r="I13" i="21408"/>
  <c r="I249" i="21408"/>
  <c r="I94" i="21408"/>
  <c r="I365" i="21408"/>
  <c r="I183" i="21408"/>
  <c r="I10" i="21408"/>
  <c r="I148" i="21408"/>
  <c r="I276" i="21408"/>
  <c r="I247" i="21408"/>
  <c r="G68" i="21402"/>
  <c r="I238" i="21408"/>
  <c r="I321" i="21408"/>
  <c r="I171" i="21408"/>
  <c r="I121" i="21408"/>
  <c r="I187" i="21408"/>
  <c r="I95" i="21408"/>
  <c r="I79" i="21408"/>
  <c r="I268" i="21408"/>
  <c r="I282" i="21408"/>
  <c r="I140" i="21408"/>
  <c r="I29" i="21408"/>
  <c r="I309" i="21408"/>
  <c r="G61" i="21402"/>
  <c r="I254" i="21408"/>
  <c r="I373" i="21408"/>
  <c r="G17" i="21402"/>
  <c r="G18" i="21402"/>
  <c r="I15" i="21408"/>
  <c r="I244" i="21408"/>
  <c r="I124" i="21408"/>
  <c r="G72" i="21402"/>
  <c r="I245" i="21408"/>
  <c r="I191" i="21408"/>
  <c r="I53" i="21408"/>
  <c r="I364" i="21408"/>
  <c r="G6" i="21402"/>
  <c r="I212" i="21408"/>
  <c r="I62" i="21408"/>
  <c r="I112" i="21408"/>
  <c r="I169" i="21408"/>
  <c r="I56" i="21408"/>
  <c r="I230" i="21408"/>
  <c r="I311" i="21408"/>
  <c r="I153" i="21408"/>
  <c r="I312" i="21408"/>
  <c r="I320" i="21408"/>
  <c r="I372" i="21408"/>
  <c r="I243" i="21408"/>
  <c r="I127" i="21408"/>
  <c r="I177" i="21408"/>
  <c r="I277" i="21408"/>
  <c r="I226" i="21408"/>
  <c r="I81" i="21408"/>
  <c r="I155" i="21408"/>
  <c r="I22" i="21408"/>
  <c r="I164" i="21408"/>
  <c r="I378" i="21408"/>
  <c r="I193" i="21408"/>
  <c r="I165" i="21408"/>
  <c r="I229" i="21408"/>
  <c r="I102" i="21408"/>
  <c r="I156" i="21408"/>
  <c r="G10" i="21402"/>
  <c r="I73" i="21408"/>
  <c r="I261" i="21408"/>
  <c r="I240" i="21408"/>
  <c r="I131" i="21408"/>
  <c r="I26" i="21408"/>
  <c r="G57" i="21402"/>
  <c r="I63" i="21408"/>
  <c r="I6" i="21408"/>
  <c r="I304" i="21408"/>
  <c r="I317" i="21408"/>
  <c r="G23" i="21402"/>
  <c r="I141" i="21408"/>
  <c r="I36" i="21408"/>
  <c r="I158" i="21408"/>
  <c r="I119" i="21408"/>
  <c r="I105" i="21408"/>
  <c r="G26" i="21402"/>
  <c r="I316" i="21408"/>
  <c r="I213" i="21408"/>
  <c r="I93" i="21408"/>
  <c r="I182" i="21408"/>
  <c r="I58" i="21408"/>
  <c r="G35" i="21402"/>
  <c r="I178" i="21408"/>
  <c r="I239" i="21408"/>
  <c r="I90" i="21408"/>
  <c r="I205" i="21408"/>
  <c r="G49" i="21402"/>
  <c r="I5" i="21408"/>
  <c r="I284" i="21408"/>
  <c r="I154" i="21408"/>
  <c r="I195" i="21408"/>
  <c r="I246" i="21408"/>
  <c r="I259" i="21408"/>
  <c r="I279" i="21408"/>
  <c r="I228" i="21408"/>
  <c r="I323" i="21408"/>
  <c r="I85" i="21408"/>
  <c r="I234" i="21408"/>
  <c r="I133" i="21408"/>
  <c r="I214" i="21408"/>
  <c r="I130" i="21408"/>
  <c r="G43" i="21402"/>
  <c r="I49" i="21408"/>
  <c r="I220" i="21408"/>
  <c r="G8" i="21402"/>
  <c r="I224" i="21408"/>
  <c r="I242" i="21408"/>
  <c r="I54" i="21408"/>
  <c r="I109" i="21408"/>
  <c r="I104" i="21408"/>
  <c r="I266" i="21408"/>
  <c r="I86" i="21408"/>
  <c r="G52" i="21402"/>
  <c r="I221" i="21408"/>
  <c r="I318" i="21408"/>
  <c r="G54" i="21402"/>
  <c r="I236" i="21408"/>
  <c r="I33" i="21408"/>
  <c r="I123" i="21408"/>
  <c r="I235" i="21408"/>
  <c r="I132" i="21408"/>
  <c r="I80" i="21408"/>
  <c r="I324" i="21408"/>
  <c r="I303" i="21408"/>
  <c r="I142" i="21408"/>
  <c r="I162" i="21408"/>
  <c r="I35" i="21408"/>
  <c r="I326" i="21408"/>
  <c r="I367" i="21408"/>
  <c r="I188" i="21408"/>
  <c r="I134" i="21408"/>
  <c r="I82" i="21408"/>
  <c r="I114" i="21408"/>
  <c r="I52" i="21408"/>
  <c r="I225" i="21408"/>
  <c r="G33" i="21402"/>
  <c r="G15" i="21402"/>
  <c r="G53" i="21402"/>
  <c r="I136" i="21408"/>
  <c r="G32" i="21402"/>
  <c r="I69" i="21408"/>
  <c r="I233" i="21408"/>
  <c r="I135" i="21408"/>
  <c r="G58" i="21402"/>
  <c r="I269" i="21408"/>
  <c r="G67" i="21402"/>
  <c r="I59" i="21408"/>
  <c r="I8" i="21408"/>
  <c r="I16" i="21408"/>
  <c r="I111" i="21408"/>
  <c r="I46" i="21408"/>
  <c r="I215" i="21408"/>
  <c r="I219" i="21408"/>
  <c r="I11" i="21408"/>
  <c r="G34" i="21402"/>
  <c r="I380" i="21408"/>
  <c r="I12" i="21408"/>
  <c r="I310" i="21408"/>
  <c r="I151" i="21408"/>
  <c r="G36" i="21402"/>
  <c r="G4" i="21402"/>
  <c r="I39" i="21408"/>
  <c r="I175" i="21408"/>
  <c r="I55" i="21408"/>
  <c r="I170" i="21408"/>
  <c r="I299" i="21408"/>
  <c r="I75" i="21408"/>
  <c r="I200" i="21408"/>
  <c r="I161" i="21408"/>
  <c r="I328" i="21408"/>
  <c r="G38" i="21402"/>
  <c r="I48" i="21408"/>
  <c r="I280" i="21408"/>
  <c r="I103" i="21408"/>
  <c r="I210" i="21408"/>
  <c r="I96" i="21408"/>
  <c r="I108" i="21408"/>
  <c r="I206" i="21408"/>
  <c r="I263" i="21408"/>
  <c r="I379" i="21408"/>
  <c r="I209" i="21408"/>
  <c r="I106" i="21408"/>
  <c r="I120" i="21408"/>
  <c r="I126" i="21408"/>
  <c r="I14" i="21408"/>
  <c r="I227" i="21408"/>
  <c r="I260" i="21408"/>
  <c r="G41" i="21402"/>
  <c r="I319" i="21408"/>
  <c r="I45" i="21408"/>
  <c r="I125" i="21408"/>
  <c r="I370" i="21408"/>
  <c r="I253" i="21408"/>
  <c r="I366" i="21408"/>
  <c r="I21" i="21408"/>
  <c r="I222" i="21408"/>
  <c r="I197" i="21408"/>
  <c r="I129" i="21408"/>
  <c r="I184" i="21408"/>
  <c r="I185" i="21408"/>
  <c r="G40" i="21402"/>
  <c r="I237" i="21408"/>
  <c r="I274" i="21408"/>
  <c r="I251" i="21408"/>
  <c r="I17" i="21408"/>
  <c r="I128" i="21408"/>
  <c r="G42" i="21402"/>
  <c r="I88" i="21408"/>
  <c r="I122" i="21408"/>
  <c r="I283" i="21408"/>
  <c r="I47" i="21408"/>
  <c r="G50" i="21402"/>
  <c r="I37" i="21408"/>
  <c r="I72" i="21408"/>
  <c r="I371" i="21408"/>
  <c r="I368" i="21408"/>
  <c r="G69" i="21402"/>
  <c r="I174" i="21408"/>
  <c r="I43" i="21408"/>
  <c r="I68" i="21408"/>
  <c r="I160" i="21408"/>
  <c r="G22" i="21402"/>
  <c r="I223" i="21408"/>
  <c r="I116" i="21408"/>
  <c r="I180" i="21408"/>
  <c r="I281" i="21408"/>
  <c r="I51" i="21408"/>
  <c r="I181" i="21408"/>
  <c r="I83" i="21408"/>
  <c r="G37" i="21402"/>
  <c r="I322" i="21408"/>
  <c r="I7" i="21408"/>
  <c r="AW1271" i="21398"/>
  <c r="AZ1271" i="21398" s="1"/>
  <c r="BB1271" i="21398" s="1"/>
  <c r="AY1260" i="2" l="1"/>
  <c r="BA1260" i="2" s="1"/>
  <c r="AX1262" i="2"/>
  <c r="M1262" i="2" s="1"/>
  <c r="BC1262" i="2" s="1"/>
  <c r="AW1262" i="2"/>
  <c r="C1264" i="2"/>
  <c r="AY1256" i="2"/>
  <c r="BA1256" i="2" s="1"/>
  <c r="I314" i="21408"/>
  <c r="I313" i="21408"/>
  <c r="I375" i="21408"/>
  <c r="I216" i="21408"/>
  <c r="I301" i="21408"/>
  <c r="I203" i="21408"/>
  <c r="I265" i="21408"/>
  <c r="I218" i="21408"/>
  <c r="AY1262" i="2" l="1"/>
  <c r="BA1262" i="2" s="1"/>
  <c r="AX1264" i="2"/>
  <c r="M1264" i="2" s="1"/>
  <c r="BC1264" i="2" s="1"/>
  <c r="AW1264" i="2"/>
  <c r="C1266" i="2"/>
  <c r="I302" i="21408"/>
  <c r="I204" i="21408"/>
  <c r="AY1264" i="2" l="1"/>
  <c r="BA1264" i="2" s="1"/>
  <c r="AX1266" i="2"/>
  <c r="M1266" i="2" s="1"/>
  <c r="BC1266" i="2" s="1"/>
  <c r="C1268" i="2"/>
  <c r="AW1266" i="2"/>
  <c r="AY1266" i="2" l="1"/>
  <c r="BA1266" i="2" s="1"/>
  <c r="AX1268" i="2"/>
  <c r="J1267" i="2"/>
  <c r="C1270" i="2"/>
  <c r="AW1268" i="2"/>
  <c r="J1269" i="2"/>
  <c r="C1272" i="2"/>
  <c r="BA1268" i="2" l="1"/>
  <c r="H285" i="21408"/>
  <c r="G285" i="21408" s="1"/>
  <c r="AX1272" i="2"/>
  <c r="M1272" i="2" s="1"/>
  <c r="BC1272" i="2" s="1"/>
  <c r="AW1272" i="2"/>
  <c r="J1273" i="2"/>
  <c r="H269" i="21408" s="1"/>
  <c r="G269" i="21408" s="1"/>
  <c r="AX1269" i="2"/>
  <c r="AW1269" i="2"/>
  <c r="AX1270" i="2"/>
  <c r="M1270" i="2" s="1"/>
  <c r="BC1270" i="2" s="1"/>
  <c r="AW1270" i="2"/>
  <c r="AX1267" i="2"/>
  <c r="AW1267" i="2"/>
  <c r="F37" i="21402" l="1"/>
  <c r="D37" i="21402" s="1"/>
  <c r="AY1272" i="2"/>
  <c r="BA1272" i="2" s="1"/>
  <c r="H74" i="21408"/>
  <c r="G74" i="21408" s="1"/>
  <c r="H215" i="21408"/>
  <c r="H216" i="21408" s="1"/>
  <c r="G216" i="21408" s="1"/>
  <c r="H78" i="21408"/>
  <c r="G78" i="21408" s="1"/>
  <c r="AY1270" i="2"/>
  <c r="BA1270" i="2" s="1"/>
  <c r="H304" i="21408"/>
  <c r="G304" i="21408" s="1"/>
  <c r="H212" i="21408"/>
  <c r="G212" i="21408" s="1"/>
  <c r="H60" i="21408"/>
  <c r="G60" i="21408" s="1"/>
  <c r="F25" i="21402"/>
  <c r="H155" i="21408"/>
  <c r="H321" i="21408"/>
  <c r="G321" i="21408" s="1"/>
  <c r="H38" i="21408"/>
  <c r="G38" i="21408" s="1"/>
  <c r="H47" i="21408"/>
  <c r="G47" i="21408" s="1"/>
  <c r="H149" i="21408"/>
  <c r="G149" i="21408" s="1"/>
  <c r="AZ1267" i="2"/>
  <c r="BB1267" i="2" s="1"/>
  <c r="AZ1269" i="2"/>
  <c r="BB1269" i="2" s="1"/>
  <c r="H231" i="21408"/>
  <c r="G231" i="21408" s="1"/>
  <c r="H303" i="21408"/>
  <c r="G303" i="21408" s="1"/>
  <c r="H164" i="21408"/>
  <c r="G164" i="21408" s="1"/>
  <c r="H92" i="21408"/>
  <c r="G92" i="21408" s="1"/>
  <c r="H185" i="21408"/>
  <c r="G185" i="21408" s="1"/>
  <c r="H118" i="21408"/>
  <c r="G118" i="21408" s="1"/>
  <c r="F67" i="21402"/>
  <c r="H213" i="21408"/>
  <c r="G213" i="21408" s="1"/>
  <c r="H284" i="21408"/>
  <c r="G284" i="21408" s="1"/>
  <c r="H163" i="21408"/>
  <c r="G163" i="21408" s="1"/>
  <c r="AX1273" i="2"/>
  <c r="AW1273" i="2"/>
  <c r="H103" i="21408"/>
  <c r="G103" i="21408" s="1"/>
  <c r="H125" i="21408"/>
  <c r="G125" i="21408" s="1"/>
  <c r="H325" i="21408"/>
  <c r="G325" i="21408" s="1"/>
  <c r="F9" i="21402"/>
  <c r="H195" i="21408"/>
  <c r="G195" i="21408" s="1"/>
  <c r="H251" i="21408"/>
  <c r="G251" i="21408" s="1"/>
  <c r="H102" i="21408"/>
  <c r="G102" i="21408" s="1"/>
  <c r="F32" i="21402"/>
  <c r="H24" i="21408"/>
  <c r="G24" i="21408" s="1"/>
  <c r="H80" i="21408"/>
  <c r="G80" i="21408" s="1"/>
  <c r="H329" i="21408"/>
  <c r="G329" i="21408" s="1"/>
  <c r="F40" i="21402"/>
  <c r="H186" i="21408"/>
  <c r="G186" i="21408" s="1"/>
  <c r="H184" i="21408"/>
  <c r="G184" i="21408" s="1"/>
  <c r="H135" i="21408"/>
  <c r="G135" i="21408" s="1"/>
  <c r="H173" i="21408"/>
  <c r="G173" i="21408" s="1"/>
  <c r="H201" i="21408"/>
  <c r="G201" i="21408" s="1"/>
  <c r="H141" i="21408"/>
  <c r="G141" i="21408" s="1"/>
  <c r="F38" i="21402"/>
  <c r="H68" i="21408"/>
  <c r="G68" i="21408" s="1"/>
  <c r="H211" i="21408"/>
  <c r="G211" i="21408" s="1"/>
  <c r="H152" i="21408"/>
  <c r="G152" i="21408" s="1"/>
  <c r="F39" i="21402"/>
  <c r="H114" i="21408"/>
  <c r="G114" i="21408" s="1"/>
  <c r="H147" i="21408"/>
  <c r="G147" i="21408" s="1"/>
  <c r="H188" i="21408"/>
  <c r="G188" i="21408" s="1"/>
  <c r="H104" i="21408"/>
  <c r="G104" i="21408" s="1"/>
  <c r="H122" i="21408"/>
  <c r="G122" i="21408" s="1"/>
  <c r="H207" i="21408"/>
  <c r="G207" i="21408" s="1"/>
  <c r="H192" i="21408"/>
  <c r="G192" i="21408" s="1"/>
  <c r="H238" i="21408"/>
  <c r="G238" i="21408" s="1"/>
  <c r="H261" i="21408"/>
  <c r="G261" i="21408" s="1"/>
  <c r="H193" i="21408"/>
  <c r="G193" i="21408" s="1"/>
  <c r="F69" i="21402"/>
  <c r="H200" i="21408"/>
  <c r="G200" i="21408" s="1"/>
  <c r="H116" i="21408"/>
  <c r="G116" i="21408" s="1"/>
  <c r="F57" i="21402"/>
  <c r="H260" i="21408"/>
  <c r="G260" i="21408" s="1"/>
  <c r="H143" i="21408"/>
  <c r="G143" i="21408" s="1"/>
  <c r="H11" i="21408"/>
  <c r="G11" i="21408" s="1"/>
  <c r="H156" i="21408"/>
  <c r="G156" i="21408" s="1"/>
  <c r="H128" i="21408"/>
  <c r="G128" i="21408" s="1"/>
  <c r="H33" i="21408"/>
  <c r="G33" i="21408" s="1"/>
  <c r="H364" i="21408"/>
  <c r="G364" i="21408" s="1"/>
  <c r="H81" i="21408"/>
  <c r="G81" i="21408" s="1"/>
  <c r="H7" i="21408"/>
  <c r="G7" i="21408" s="1"/>
  <c r="H82" i="21408"/>
  <c r="G82" i="21408" s="1"/>
  <c r="H58" i="21408"/>
  <c r="G58" i="21408" s="1"/>
  <c r="H86" i="21408"/>
  <c r="G86" i="21408" s="1"/>
  <c r="H189" i="21408"/>
  <c r="G189" i="21408" s="1"/>
  <c r="H234" i="21408"/>
  <c r="G234" i="21408" s="1"/>
  <c r="F59" i="21402"/>
  <c r="H129" i="21408"/>
  <c r="G129" i="21408" s="1"/>
  <c r="H240" i="21408"/>
  <c r="G240" i="21408" s="1"/>
  <c r="H93" i="21408"/>
  <c r="G93" i="21408" s="1"/>
  <c r="H177" i="21408"/>
  <c r="G177" i="21408" s="1"/>
  <c r="F51" i="21402"/>
  <c r="H318" i="21408"/>
  <c r="G318" i="21408" s="1"/>
  <c r="H157" i="21408"/>
  <c r="G157" i="21408" s="1"/>
  <c r="H279" i="21408"/>
  <c r="G279" i="21408" s="1"/>
  <c r="H190" i="21408"/>
  <c r="G190" i="21408" s="1"/>
  <c r="H275" i="21408"/>
  <c r="G275" i="21408" s="1"/>
  <c r="H235" i="21408"/>
  <c r="G235" i="21408" s="1"/>
  <c r="H18" i="21408"/>
  <c r="G18" i="21408" s="1"/>
  <c r="H154" i="21408"/>
  <c r="G154" i="21408" s="1"/>
  <c r="H153" i="21408"/>
  <c r="G153" i="21408" s="1"/>
  <c r="H84" i="21408"/>
  <c r="G84" i="21408" s="1"/>
  <c r="H196" i="21408"/>
  <c r="G196" i="21408" s="1"/>
  <c r="H272" i="21408"/>
  <c r="G272" i="21408" s="1"/>
  <c r="H35" i="21408"/>
  <c r="G35" i="21408" s="1"/>
  <c r="H229" i="21408"/>
  <c r="G229" i="21408" s="1"/>
  <c r="H5" i="21408"/>
  <c r="G5" i="21408" s="1"/>
  <c r="H166" i="21408"/>
  <c r="G166" i="21408" s="1"/>
  <c r="F4" i="21402"/>
  <c r="E4" i="21402" s="1"/>
  <c r="F71" i="21402"/>
  <c r="H224" i="21408"/>
  <c r="G224" i="21408" s="1"/>
  <c r="H70" i="21408"/>
  <c r="G70" i="21408" s="1"/>
  <c r="H13" i="21408"/>
  <c r="G13" i="21408" s="1"/>
  <c r="H172" i="21408"/>
  <c r="G172" i="21408" s="1"/>
  <c r="H187" i="21408"/>
  <c r="G187" i="21408" s="1"/>
  <c r="H127" i="21408"/>
  <c r="G127" i="21408" s="1"/>
  <c r="H51" i="21408"/>
  <c r="G51" i="21408" s="1"/>
  <c r="H132" i="21408"/>
  <c r="G132" i="21408" s="1"/>
  <c r="H117" i="21408"/>
  <c r="G117" i="21408" s="1"/>
  <c r="H89" i="21408"/>
  <c r="G89" i="21408" s="1"/>
  <c r="H150" i="21408"/>
  <c r="G150" i="21408" s="1"/>
  <c r="H42" i="21408"/>
  <c r="G42" i="21408" s="1"/>
  <c r="H281" i="21408"/>
  <c r="G281" i="21408" s="1"/>
  <c r="H57" i="21408"/>
  <c r="G57" i="21408" s="1"/>
  <c r="H160" i="21408"/>
  <c r="G160" i="21408" s="1"/>
  <c r="H310" i="21408"/>
  <c r="G310" i="21408" s="1"/>
  <c r="F68" i="21402"/>
  <c r="H311" i="21408"/>
  <c r="G311" i="21408" s="1"/>
  <c r="H208" i="21408"/>
  <c r="G208" i="21408" s="1"/>
  <c r="H48" i="21408"/>
  <c r="G48" i="21408" s="1"/>
  <c r="H198" i="21408"/>
  <c r="G198" i="21408" s="1"/>
  <c r="H221" i="21408"/>
  <c r="G221" i="21408" s="1"/>
  <c r="H144" i="21408"/>
  <c r="G144" i="21408" s="1"/>
  <c r="H3" i="21408"/>
  <c r="G3" i="21408" s="1"/>
  <c r="H236" i="21408"/>
  <c r="H90" i="21408"/>
  <c r="G90" i="21408" s="1"/>
  <c r="H107" i="21408"/>
  <c r="G107" i="21408" s="1"/>
  <c r="H263" i="21408"/>
  <c r="G263" i="21408" s="1"/>
  <c r="F50" i="21402"/>
  <c r="H226" i="21408"/>
  <c r="G226" i="21408" s="1"/>
  <c r="H110" i="21408"/>
  <c r="G110" i="21408" s="1"/>
  <c r="H217" i="21408"/>
  <c r="H20" i="21408"/>
  <c r="G20" i="21408" s="1"/>
  <c r="H56" i="21408"/>
  <c r="G56" i="21408" s="1"/>
  <c r="H222" i="21408"/>
  <c r="G222" i="21408" s="1"/>
  <c r="H22" i="21408"/>
  <c r="G22" i="21408" s="1"/>
  <c r="H167" i="21408"/>
  <c r="G167" i="21408" s="1"/>
  <c r="H27" i="21408"/>
  <c r="G27" i="21408" s="1"/>
  <c r="H174" i="21408"/>
  <c r="G174" i="21408" s="1"/>
  <c r="H39" i="21408"/>
  <c r="G39" i="21408" s="1"/>
  <c r="H181" i="21408"/>
  <c r="G181" i="21408" s="1"/>
  <c r="H71" i="21408"/>
  <c r="G71" i="21408" s="1"/>
  <c r="H94" i="21408"/>
  <c r="G94" i="21408" s="1"/>
  <c r="F70" i="21402"/>
  <c r="F19" i="21402"/>
  <c r="F42" i="21402"/>
  <c r="H59" i="21408"/>
  <c r="G59" i="21408" s="1"/>
  <c r="H133" i="21408"/>
  <c r="G133" i="21408" s="1"/>
  <c r="F5" i="21402"/>
  <c r="E5" i="21402" s="1"/>
  <c r="H366" i="21408"/>
  <c r="G366" i="21408" s="1"/>
  <c r="H268" i="21408"/>
  <c r="G268" i="21408" s="1"/>
  <c r="H34" i="21408"/>
  <c r="G34" i="21408" s="1"/>
  <c r="H162" i="21408"/>
  <c r="G162" i="21408" s="1"/>
  <c r="H49" i="21408"/>
  <c r="G49" i="21408" s="1"/>
  <c r="H241" i="21408"/>
  <c r="G241" i="21408" s="1"/>
  <c r="H62" i="21408"/>
  <c r="G62" i="21408" s="1"/>
  <c r="H369" i="21408"/>
  <c r="G369" i="21408" s="1"/>
  <c r="H168" i="21408"/>
  <c r="G168" i="21408" s="1"/>
  <c r="H259" i="21408"/>
  <c r="G259" i="21408" s="1"/>
  <c r="F49" i="21402"/>
  <c r="H76" i="21408"/>
  <c r="G76" i="21408" s="1"/>
  <c r="H328" i="21408"/>
  <c r="G328" i="21408" s="1"/>
  <c r="H182" i="21408"/>
  <c r="G182" i="21408" s="1"/>
  <c r="H148" i="21408"/>
  <c r="G148" i="21408" s="1"/>
  <c r="F72" i="21402"/>
  <c r="H29" i="21408"/>
  <c r="G29" i="21408" s="1"/>
  <c r="F17" i="21402"/>
  <c r="H323" i="21408"/>
  <c r="G323" i="21408" s="1"/>
  <c r="H37" i="21408"/>
  <c r="G37" i="21408" s="1"/>
  <c r="H10" i="21408"/>
  <c r="G10" i="21408" s="1"/>
  <c r="F3" i="21402"/>
  <c r="E3" i="21402" s="1"/>
  <c r="F60" i="21402"/>
  <c r="H214" i="21408"/>
  <c r="G214" i="21408" s="1"/>
  <c r="H322" i="21408"/>
  <c r="G322" i="21408" s="1"/>
  <c r="H53" i="21408"/>
  <c r="G53" i="21408" s="1"/>
  <c r="H266" i="21408"/>
  <c r="H61" i="21408"/>
  <c r="G61" i="21408" s="1"/>
  <c r="H209" i="21408"/>
  <c r="G209" i="21408" s="1"/>
  <c r="H83" i="21408"/>
  <c r="G83" i="21408" s="1"/>
  <c r="H87" i="21408"/>
  <c r="G87" i="21408" s="1"/>
  <c r="H85" i="21408"/>
  <c r="G85" i="21408" s="1"/>
  <c r="H159" i="21408"/>
  <c r="G159" i="21408" s="1"/>
  <c r="H151" i="21408"/>
  <c r="G151" i="21408" s="1"/>
  <c r="F15" i="21402"/>
  <c r="H15" i="21408"/>
  <c r="G15" i="21408" s="1"/>
  <c r="F21" i="21402"/>
  <c r="H25" i="21408"/>
  <c r="G25" i="21408" s="1"/>
  <c r="H210" i="21408"/>
  <c r="G210" i="21408" s="1"/>
  <c r="F18" i="21402"/>
  <c r="H171" i="21408"/>
  <c r="G171" i="21408" s="1"/>
  <c r="H8" i="21408"/>
  <c r="G8" i="21408" s="1"/>
  <c r="H108" i="21408"/>
  <c r="G108" i="21408" s="1"/>
  <c r="H246" i="21408"/>
  <c r="G246" i="21408" s="1"/>
  <c r="H63" i="21408"/>
  <c r="G63" i="21408" s="1"/>
  <c r="H219" i="21408"/>
  <c r="G219" i="21408" s="1"/>
  <c r="F43" i="21402"/>
  <c r="F8" i="21402"/>
  <c r="H309" i="21408"/>
  <c r="G309" i="21408" s="1"/>
  <c r="H52" i="21408"/>
  <c r="G52" i="21408" s="1"/>
  <c r="H176" i="21408"/>
  <c r="G176" i="21408" s="1"/>
  <c r="H205" i="21408"/>
  <c r="G205" i="21408" s="1"/>
  <c r="H54" i="21408"/>
  <c r="G54" i="21408" s="1"/>
  <c r="F6" i="21402"/>
  <c r="E6" i="21402" s="1"/>
  <c r="H220" i="21408"/>
  <c r="G220" i="21408" s="1"/>
  <c r="H95" i="21408"/>
  <c r="G95" i="21408" s="1"/>
  <c r="H253" i="21408"/>
  <c r="G253" i="21408" s="1"/>
  <c r="H312" i="21408"/>
  <c r="G312" i="21408" s="1"/>
  <c r="H319" i="21408"/>
  <c r="G319" i="21408" s="1"/>
  <c r="H380" i="21408"/>
  <c r="H16" i="21408"/>
  <c r="G16" i="21408" s="1"/>
  <c r="H9" i="21408"/>
  <c r="G9" i="21408" s="1"/>
  <c r="H223" i="21408"/>
  <c r="G223" i="21408" s="1"/>
  <c r="H324" i="21408"/>
  <c r="G324" i="21408" s="1"/>
  <c r="H88" i="21408"/>
  <c r="G88" i="21408" s="1"/>
  <c r="H225" i="21408"/>
  <c r="G225" i="21408" s="1"/>
  <c r="F61" i="21402"/>
  <c r="H183" i="21408"/>
  <c r="G183" i="21408" s="1"/>
  <c r="H280" i="21408"/>
  <c r="G280" i="21408" s="1"/>
  <c r="F33" i="21402"/>
  <c r="H131" i="21408"/>
  <c r="G131" i="21408" s="1"/>
  <c r="F54" i="21402"/>
  <c r="H55" i="21408"/>
  <c r="G55" i="21408" s="1"/>
  <c r="H77" i="21408"/>
  <c r="G77" i="21408" s="1"/>
  <c r="H378" i="21408"/>
  <c r="G378" i="21408" s="1"/>
  <c r="H317" i="21408"/>
  <c r="G317" i="21408" s="1"/>
  <c r="F53" i="21402"/>
  <c r="H158" i="21408"/>
  <c r="G158" i="21408" s="1"/>
  <c r="H243" i="21408"/>
  <c r="G243" i="21408" s="1"/>
  <c r="H121" i="21408"/>
  <c r="G121" i="21408" s="1"/>
  <c r="H277" i="21408"/>
  <c r="G277" i="21408" s="1"/>
  <c r="H316" i="21408"/>
  <c r="H79" i="21408"/>
  <c r="G79" i="21408" s="1"/>
  <c r="H44" i="21408"/>
  <c r="G44" i="21408" s="1"/>
  <c r="H274" i="21408"/>
  <c r="G274" i="21408" s="1"/>
  <c r="H26" i="21408"/>
  <c r="G26" i="21408" s="1"/>
  <c r="H371" i="21408"/>
  <c r="G371" i="21408" s="1"/>
  <c r="H31" i="21408"/>
  <c r="G31" i="21408" s="1"/>
  <c r="H134" i="21408"/>
  <c r="G134" i="21408" s="1"/>
  <c r="H46" i="21408"/>
  <c r="G46" i="21408" s="1"/>
  <c r="H111" i="21408"/>
  <c r="G111" i="21408" s="1"/>
  <c r="H115" i="21408"/>
  <c r="G115" i="21408" s="1"/>
  <c r="F34" i="21402"/>
  <c r="H112" i="21408"/>
  <c r="G112" i="21408" s="1"/>
  <c r="H267" i="21408"/>
  <c r="G267" i="21408" s="1"/>
  <c r="H237" i="21408"/>
  <c r="G237" i="21408" s="1"/>
  <c r="F16" i="21402"/>
  <c r="H252" i="21408"/>
  <c r="G252" i="21408" s="1"/>
  <c r="H367" i="21408"/>
  <c r="G367" i="21408" s="1"/>
  <c r="F52" i="21402"/>
  <c r="H106" i="21408"/>
  <c r="G106" i="21408" s="1"/>
  <c r="H113" i="21408"/>
  <c r="G113" i="21408" s="1"/>
  <c r="H315" i="21408"/>
  <c r="H175" i="21408"/>
  <c r="G175" i="21408" s="1"/>
  <c r="H365" i="21408"/>
  <c r="G365" i="21408" s="1"/>
  <c r="H227" i="21408"/>
  <c r="G227" i="21408" s="1"/>
  <c r="H72" i="21408"/>
  <c r="G72" i="21408" s="1"/>
  <c r="H73" i="21408"/>
  <c r="G73" i="21408" s="1"/>
  <c r="H169" i="21408"/>
  <c r="G169" i="21408" s="1"/>
  <c r="H370" i="21408"/>
  <c r="G370" i="21408" s="1"/>
  <c r="F58" i="21402"/>
  <c r="H232" i="21408"/>
  <c r="G232" i="21408" s="1"/>
  <c r="H146" i="21408"/>
  <c r="G146" i="21408" s="1"/>
  <c r="H120" i="21408"/>
  <c r="G120" i="21408" s="1"/>
  <c r="H14" i="21408"/>
  <c r="G14" i="21408" s="1"/>
  <c r="H282" i="21408"/>
  <c r="G282" i="21408" s="1"/>
  <c r="H326" i="21408"/>
  <c r="G326" i="21408" s="1"/>
  <c r="F23" i="21402"/>
  <c r="H17" i="21408"/>
  <c r="G17" i="21408" s="1"/>
  <c r="H96" i="21408"/>
  <c r="G96" i="21408" s="1"/>
  <c r="H264" i="21408"/>
  <c r="G264" i="21408" s="1"/>
  <c r="H228" i="21408"/>
  <c r="G228" i="21408" s="1"/>
  <c r="F10" i="21402"/>
  <c r="H320" i="21408"/>
  <c r="G320" i="21408" s="1"/>
  <c r="H244" i="21408"/>
  <c r="G244" i="21408" s="1"/>
  <c r="H170" i="21408"/>
  <c r="G170" i="21408" s="1"/>
  <c r="H327" i="21408"/>
  <c r="G327" i="21408" s="1"/>
  <c r="H41" i="21408"/>
  <c r="G41" i="21408" s="1"/>
  <c r="F56" i="21402"/>
  <c r="F22" i="21402"/>
  <c r="H23" i="21408"/>
  <c r="G23" i="21408" s="1"/>
  <c r="H233" i="21408"/>
  <c r="G233" i="21408" s="1"/>
  <c r="H179" i="21408"/>
  <c r="G179" i="21408" s="1"/>
  <c r="H126" i="21408"/>
  <c r="G126" i="21408" s="1"/>
  <c r="H250" i="21408"/>
  <c r="G250" i="21408" s="1"/>
  <c r="H178" i="21408"/>
  <c r="G178" i="21408" s="1"/>
  <c r="H6" i="21408"/>
  <c r="G6" i="21408" s="1"/>
  <c r="H4" i="21408"/>
  <c r="G4" i="21408" s="1"/>
  <c r="H45" i="21408"/>
  <c r="G45" i="21408" s="1"/>
  <c r="H372" i="21408"/>
  <c r="G372" i="21408" s="1"/>
  <c r="H197" i="21408"/>
  <c r="G197" i="21408" s="1"/>
  <c r="H239" i="21408"/>
  <c r="G239" i="21408" s="1"/>
  <c r="H97" i="21408"/>
  <c r="G97" i="21408" s="1"/>
  <c r="H50" i="21408"/>
  <c r="G50" i="21408" s="1"/>
  <c r="H91" i="21408"/>
  <c r="G91" i="21408" s="1"/>
  <c r="H276" i="21408"/>
  <c r="G276" i="21408" s="1"/>
  <c r="H124" i="21408"/>
  <c r="G124" i="21408" s="1"/>
  <c r="H202" i="21408"/>
  <c r="G202" i="21408" s="1"/>
  <c r="H278" i="21408"/>
  <c r="G278" i="21408" s="1"/>
  <c r="H140" i="21408"/>
  <c r="G140" i="21408" s="1"/>
  <c r="H283" i="21408"/>
  <c r="G283" i="21408" s="1"/>
  <c r="H379" i="21408"/>
  <c r="G379" i="21408" s="1"/>
  <c r="H43" i="21408"/>
  <c r="G43" i="21408" s="1"/>
  <c r="H165" i="21408"/>
  <c r="G165" i="21408" s="1"/>
  <c r="H245" i="21408"/>
  <c r="G245" i="21408" s="1"/>
  <c r="F26" i="21402"/>
  <c r="F20" i="21402"/>
  <c r="F36" i="21402"/>
  <c r="H273" i="21408"/>
  <c r="G273" i="21408" s="1"/>
  <c r="H105" i="21408"/>
  <c r="G105" i="21408" s="1"/>
  <c r="H242" i="21408"/>
  <c r="G242" i="21408" s="1"/>
  <c r="H368" i="21408"/>
  <c r="G368" i="21408" s="1"/>
  <c r="F55" i="21402"/>
  <c r="H28" i="21408"/>
  <c r="G28" i="21408" s="1"/>
  <c r="H136" i="21408"/>
  <c r="G136" i="21408" s="1"/>
  <c r="H75" i="21408"/>
  <c r="G75" i="21408" s="1"/>
  <c r="H191" i="21408"/>
  <c r="G191" i="21408" s="1"/>
  <c r="H142" i="21408"/>
  <c r="G142" i="21408" s="1"/>
  <c r="H230" i="21408"/>
  <c r="G230" i="21408" s="1"/>
  <c r="H145" i="21408"/>
  <c r="G145" i="21408" s="1"/>
  <c r="H254" i="21408"/>
  <c r="G254" i="21408" s="1"/>
  <c r="H194" i="21408"/>
  <c r="G194" i="21408" s="1"/>
  <c r="H21" i="21408"/>
  <c r="G21" i="21408" s="1"/>
  <c r="H180" i="21408"/>
  <c r="G180" i="21408" s="1"/>
  <c r="H373" i="21408"/>
  <c r="G373" i="21408" s="1"/>
  <c r="H12" i="21408"/>
  <c r="G12" i="21408" s="1"/>
  <c r="H32" i="21408"/>
  <c r="G32" i="21408" s="1"/>
  <c r="H36" i="21408"/>
  <c r="G36" i="21408" s="1"/>
  <c r="H300" i="21408"/>
  <c r="H161" i="21408"/>
  <c r="G161" i="21408" s="1"/>
  <c r="H119" i="21408"/>
  <c r="G119" i="21408" s="1"/>
  <c r="H109" i="21408"/>
  <c r="G109" i="21408" s="1"/>
  <c r="H69" i="21408"/>
  <c r="G69" i="21408" s="1"/>
  <c r="H123" i="21408"/>
  <c r="G123" i="21408" s="1"/>
  <c r="H19" i="21408"/>
  <c r="G19" i="21408" s="1"/>
  <c r="H30" i="21408"/>
  <c r="G30" i="21408" s="1"/>
  <c r="H248" i="21408"/>
  <c r="G248" i="21408" s="1"/>
  <c r="H130" i="21408"/>
  <c r="G130" i="21408" s="1"/>
  <c r="H40" i="21408"/>
  <c r="G40" i="21408" s="1"/>
  <c r="F41" i="21402"/>
  <c r="F24" i="21402"/>
  <c r="H249" i="21408"/>
  <c r="G249" i="21408" s="1"/>
  <c r="H247" i="21408"/>
  <c r="G247" i="21408" s="1"/>
  <c r="H206" i="21408"/>
  <c r="G206" i="21408" s="1"/>
  <c r="F35" i="21402"/>
  <c r="H203" i="21408" l="1"/>
  <c r="G236" i="21408"/>
  <c r="E37" i="21402"/>
  <c r="G215" i="21408"/>
  <c r="AZ1273" i="2"/>
  <c r="BB1273" i="2" s="1"/>
  <c r="E35" i="21402"/>
  <c r="D35" i="21402"/>
  <c r="D24" i="21402"/>
  <c r="E24" i="21402"/>
  <c r="H301" i="21408"/>
  <c r="G300" i="21408"/>
  <c r="E55" i="21402"/>
  <c r="D55" i="21402"/>
  <c r="D10" i="21402"/>
  <c r="E10" i="21402"/>
  <c r="E58" i="21402"/>
  <c r="D58" i="21402"/>
  <c r="H313" i="21408"/>
  <c r="G313" i="21408" s="1"/>
  <c r="G315" i="21408"/>
  <c r="D61" i="21402"/>
  <c r="E61" i="21402"/>
  <c r="E43" i="21402"/>
  <c r="D43" i="21402"/>
  <c r="E15" i="21402"/>
  <c r="D15" i="21402"/>
  <c r="E72" i="21402"/>
  <c r="D72" i="21402"/>
  <c r="D19" i="21402"/>
  <c r="E19" i="21402"/>
  <c r="D50" i="21402"/>
  <c r="E50" i="21402"/>
  <c r="E68" i="21402"/>
  <c r="D68" i="21402"/>
  <c r="D59" i="21402"/>
  <c r="E59" i="21402"/>
  <c r="E40" i="21402"/>
  <c r="D40" i="21402"/>
  <c r="E32" i="21402"/>
  <c r="D32" i="21402"/>
  <c r="E9" i="21402"/>
  <c r="D9" i="21402"/>
  <c r="G155" i="21408"/>
  <c r="D36" i="21402"/>
  <c r="E36" i="21402"/>
  <c r="E22" i="21402"/>
  <c r="D22" i="21402"/>
  <c r="E23" i="21402"/>
  <c r="D23" i="21402"/>
  <c r="H314" i="21408"/>
  <c r="G314" i="21408" s="1"/>
  <c r="G316" i="21408"/>
  <c r="E33" i="21402"/>
  <c r="D33" i="21402"/>
  <c r="G266" i="21408"/>
  <c r="H265" i="21408"/>
  <c r="G265" i="21408" s="1"/>
  <c r="D60" i="21402"/>
  <c r="E60" i="21402"/>
  <c r="E49" i="21402"/>
  <c r="D49" i="21402"/>
  <c r="D70" i="21402"/>
  <c r="E70" i="21402"/>
  <c r="H218" i="21408"/>
  <c r="G218" i="21408" s="1"/>
  <c r="G217" i="21408"/>
  <c r="E71" i="21402"/>
  <c r="D71" i="21402"/>
  <c r="D39" i="21402"/>
  <c r="E39" i="21402"/>
  <c r="E38" i="21402"/>
  <c r="D38" i="21402"/>
  <c r="E67" i="21402"/>
  <c r="D67" i="21402"/>
  <c r="D25" i="21402"/>
  <c r="E25" i="21402"/>
  <c r="D20" i="21402"/>
  <c r="E20" i="21402"/>
  <c r="E56" i="21402"/>
  <c r="D56" i="21402"/>
  <c r="E16" i="21402"/>
  <c r="D16" i="21402"/>
  <c r="E34" i="21402"/>
  <c r="D34" i="21402"/>
  <c r="D53" i="21402"/>
  <c r="E53" i="21402"/>
  <c r="E21" i="21402"/>
  <c r="D21" i="21402"/>
  <c r="H299" i="21408"/>
  <c r="E17" i="21402"/>
  <c r="D17" i="21402"/>
  <c r="E69" i="21402"/>
  <c r="D69" i="21402"/>
  <c r="E41" i="21402"/>
  <c r="D41" i="21402"/>
  <c r="D26" i="21402"/>
  <c r="E26" i="21402"/>
  <c r="E52" i="21402"/>
  <c r="D52" i="21402"/>
  <c r="E54" i="21402"/>
  <c r="D54" i="21402"/>
  <c r="H375" i="21408"/>
  <c r="G375" i="21408" s="1"/>
  <c r="G380" i="21408"/>
  <c r="E8" i="21402"/>
  <c r="D8" i="21402"/>
  <c r="D18" i="21402"/>
  <c r="E18" i="21402"/>
  <c r="D42" i="21402"/>
  <c r="E42" i="21402"/>
  <c r="D51" i="21402"/>
  <c r="E51" i="21402"/>
  <c r="E57" i="21402"/>
  <c r="D57" i="21402"/>
  <c r="G299" i="21408" l="1"/>
  <c r="H204" i="21408"/>
  <c r="G204" i="21408" s="1"/>
  <c r="G203" i="21408"/>
  <c r="H302" i="21408"/>
  <c r="G302" i="21408" s="1"/>
  <c r="G301" i="21408"/>
  <c r="H305" i="2140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Allan Orlando Ordoñez Castillo</author>
  </authors>
  <commentList>
    <comment ref="AC4" authorId="0" shapeId="0" xr:uid="{00000000-0006-0000-0100-000001000000}">
      <text>
        <r>
          <rPr>
            <sz val="9"/>
            <color indexed="81"/>
            <rFont val="Tahoma"/>
            <family val="2"/>
          </rPr>
          <t xml:space="preserve">Fórmula para definir tipo de brazo partiendo del valor del wind deflection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Allan Orlando Ordoñez Castillo</author>
  </authors>
  <commentList>
    <comment ref="AC4" authorId="0" shapeId="0" xr:uid="{00000000-0006-0000-0200-000001000000}">
      <text>
        <r>
          <rPr>
            <sz val="9"/>
            <color indexed="81"/>
            <rFont val="Tahoma"/>
            <family val="2"/>
          </rPr>
          <t xml:space="preserve">Fórmula para definir tipo de brazo partiendo del valor del wind deflection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Allan Orlando Ordoñez Castillo</author>
  </authors>
  <commentList>
    <comment ref="AC4" authorId="0" shapeId="0" xr:uid="{00000000-0006-0000-0300-000001000000}">
      <text>
        <r>
          <rPr>
            <sz val="9"/>
            <color indexed="81"/>
            <rFont val="Tahoma"/>
            <family val="2"/>
          </rPr>
          <t xml:space="preserve">Fórmula para definir tipo de brazo partiendo del valor del wind deflection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Allan Orlando Ordoñez Castillo</author>
  </authors>
  <commentList>
    <comment ref="AC4" authorId="0" shapeId="0" xr:uid="{00000000-0006-0000-0400-000001000000}">
      <text>
        <r>
          <rPr>
            <sz val="9"/>
            <color indexed="81"/>
            <rFont val="Tahoma"/>
            <family val="2"/>
          </rPr>
          <t xml:space="preserve">Fórmula para definir tipo de brazo partiendo del valor del wind deflection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Allan Orlando Ordoñez Castillo</author>
  </authors>
  <commentList>
    <comment ref="AC4" authorId="0" shapeId="0" xr:uid="{43FA4B09-D302-4F8F-BE72-184710BE3652}">
      <text>
        <r>
          <rPr>
            <sz val="9"/>
            <color indexed="81"/>
            <rFont val="Tahoma"/>
            <family val="2"/>
          </rPr>
          <t xml:space="preserve">Fórmula para definir tipo de brazo partiendo del valor del wind deflection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Allan Orlando Ordoñez Castillo</author>
  </authors>
  <commentList>
    <comment ref="AC4" authorId="0" shapeId="0" xr:uid="{00000000-0006-0000-0500-000001000000}">
      <text>
        <r>
          <rPr>
            <sz val="9"/>
            <color indexed="81"/>
            <rFont val="Tahoma"/>
            <family val="2"/>
          </rPr>
          <t xml:space="preserve">Fórmula para definir tipo de brazo partiendo del valor del wind deflection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Allan Orlando Ordoñez Castillo</author>
  </authors>
  <commentList>
    <comment ref="AC4" authorId="0" shapeId="0" xr:uid="{00000000-0006-0000-0600-000001000000}">
      <text>
        <r>
          <rPr>
            <sz val="9"/>
            <color indexed="81"/>
            <rFont val="Tahoma"/>
            <family val="2"/>
          </rPr>
          <t xml:space="preserve">Fórmula para definir tipo de brazo partiendo del valor del wind deflection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Allan Orlando Ordoñez Castillo</author>
  </authors>
  <commentList>
    <comment ref="AC4" authorId="0" shapeId="0" xr:uid="{F85D04E4-7C08-49F7-A449-F3C06302AC64}">
      <text>
        <r>
          <rPr>
            <sz val="9"/>
            <color indexed="81"/>
            <rFont val="Tahoma"/>
            <family val="2"/>
          </rPr>
          <t xml:space="preserve">Fórmula para definir tipo de brazo partiendo del valor del wind deflection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Allan Orlando Ordoñez Castillo</author>
  </authors>
  <commentList>
    <comment ref="AC4" authorId="0" shapeId="0" xr:uid="{57A811A1-01A0-4888-872D-7978F495C011}">
      <text>
        <r>
          <rPr>
            <sz val="9"/>
            <color indexed="81"/>
            <rFont val="Tahoma"/>
            <family val="2"/>
          </rPr>
          <t xml:space="preserve">Fórmula para definir tipo de brazo partiendo del valor del wind deflection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Allan Orlando Ordoñez Castillo</author>
  </authors>
  <commentList>
    <comment ref="AC4" authorId="0" shapeId="0" xr:uid="{F304CDBA-8366-464E-9922-FA0125CD75BC}">
      <text>
        <r>
          <rPr>
            <sz val="9"/>
            <color indexed="81"/>
            <rFont val="Tahoma"/>
            <family val="2"/>
          </rPr>
          <t xml:space="preserve">Fórmula para definir tipo de brazo partiendo del valor del wind deflection
</t>
        </r>
      </text>
    </comment>
  </commentList>
</comments>
</file>

<file path=xl/sharedStrings.xml><?xml version="1.0" encoding="utf-8"?>
<sst xmlns="http://schemas.openxmlformats.org/spreadsheetml/2006/main" count="18671" uniqueCount="3560">
  <si>
    <t>Nº Revision</t>
  </si>
  <si>
    <t>Date</t>
  </si>
  <si>
    <t>Description changes</t>
  </si>
  <si>
    <t>Edited by</t>
  </si>
  <si>
    <r>
      <t xml:space="preserve">Initial Electrification Layout of Executive Package </t>
    </r>
    <r>
      <rPr>
        <b/>
        <sz val="10"/>
        <rFont val="Arial"/>
        <family val="2"/>
      </rPr>
      <t>04</t>
    </r>
  </si>
  <si>
    <t>A.O.</t>
  </si>
  <si>
    <t>COAST SIDE TRACK: Reference track axis to assign KP to the profiles</t>
  </si>
  <si>
    <t>Depths of poles and anchor foundations according to the document SEM-ER-E04-OCS_FOUND-DD-6900-00 Date: 06/07/21</t>
  </si>
  <si>
    <r>
      <t xml:space="preserve">Update workbook with KEDMOR PDF CHECK:  DEPTH POLE AND ANCHOR FOUNDATION  </t>
    </r>
    <r>
      <rPr>
        <b/>
        <sz val="10"/>
        <rFont val="Arial"/>
        <family val="2"/>
      </rPr>
      <t>13/07/2021</t>
    </r>
  </si>
  <si>
    <t>Update OCS Layout, Foundation and Pole type for comments of Reuven (29/07/2021)</t>
  </si>
  <si>
    <t>Update OCS Layout by re-location NS of REMEZ and NS of PARDES HANNA</t>
  </si>
  <si>
    <t>Update OCS Layout by Reuven's Comments from email 06/09/2021</t>
  </si>
  <si>
    <t>Update OCS Layout by Reuven's Comments from email 13/09/2021</t>
  </si>
  <si>
    <t>Change of solution of profile 51-2.16 because it cannot be placed under the overpass KP 51+730</t>
  </si>
  <si>
    <t xml:space="preserve">Update profiles 52-X.02 and 52-X.03, HADERA West Station </t>
  </si>
  <si>
    <t>Update OCS layout on PARDES HANNA and HADERA WEST Station by Platafomrs extention</t>
  </si>
  <si>
    <t>Update OCS layout for changes in the execution of foundation, and installation of L-type foundations</t>
  </si>
  <si>
    <t>TS HOFIT Feeder Gantry Relocation   K.P.: 59+639 Coordinates: X:189703,34, Y:697766,52</t>
  </si>
  <si>
    <t>OCS Design Updat due: Track 4 Kfar Vitkin Station, Remez Juction and changes in the execution of foundations.</t>
  </si>
  <si>
    <t>OCS Design Update due: Modifications of Reuven's email 14/11/2022</t>
  </si>
  <si>
    <t>Update profiles 42-x.16, 42-x.16BIS due to IECO underground cable</t>
  </si>
  <si>
    <t>R.M.</t>
  </si>
  <si>
    <t>Update profiles 31-x.12, and section 37-x.08&lt;&gt;37-x.12 due Fuel and Gas Pipes</t>
  </si>
  <si>
    <r>
      <t xml:space="preserve">                                                    </t>
    </r>
    <r>
      <rPr>
        <u/>
        <sz val="10"/>
        <rFont val="Arial"/>
        <family val="2"/>
      </rPr>
      <t>APPROVED BY KEDMOR CHECK COLUMN</t>
    </r>
  </si>
  <si>
    <t>P:</t>
  </si>
  <si>
    <t>POLE FOUNDATION</t>
  </si>
  <si>
    <t>A:</t>
  </si>
  <si>
    <t>ANCHOR FOUNDATION</t>
  </si>
  <si>
    <t>Possible Signalling Interface Detected</t>
  </si>
  <si>
    <t>Not for construction</t>
  </si>
  <si>
    <t>Underpass / Drainage Works</t>
  </si>
  <si>
    <t>Tunnel</t>
  </si>
  <si>
    <t>Overhead Cable</t>
  </si>
  <si>
    <t>U.S.:</t>
  </si>
  <si>
    <t>UNIQUE SOLUTION DESING BY KEDMOR WITH DWXXXX</t>
  </si>
  <si>
    <t>Sorted out by reducing gauge up to 2.50m</t>
  </si>
  <si>
    <t>Signal Interface/Reduce gauge up to 2.50m</t>
  </si>
  <si>
    <t>Bridge / Viaduct</t>
  </si>
  <si>
    <t>Neutral Section</t>
  </si>
  <si>
    <t xml:space="preserve">Station </t>
  </si>
  <si>
    <t>U.S. N.D.:</t>
  </si>
  <si>
    <t xml:space="preserve">UNIQUE SOLUTION NON DEFINED BY KEDMOR </t>
  </si>
  <si>
    <t>Special and particular solution to be applied</t>
  </si>
  <si>
    <t>Level crossing</t>
  </si>
  <si>
    <t>Overpass / Overcrossing</t>
  </si>
  <si>
    <t>Sorted out by reducing gauge up to 2.90m</t>
  </si>
  <si>
    <t>Signal Interface/Reduce gauge up to 2.90m</t>
  </si>
  <si>
    <t>20-1.05</t>
  </si>
  <si>
    <t>TRACK 1</t>
  </si>
  <si>
    <t>TRA</t>
  </si>
  <si>
    <t>Production dates</t>
  </si>
  <si>
    <t>Survey</t>
  </si>
  <si>
    <t>Profile</t>
  </si>
  <si>
    <t>KP</t>
  </si>
  <si>
    <t>Other KP</t>
  </si>
  <si>
    <t>Theorical Cant (mm)</t>
  </si>
  <si>
    <t>Track Layout (m)</t>
  </si>
  <si>
    <t>Span (m)</t>
  </si>
  <si>
    <t>Sectionning</t>
  </si>
  <si>
    <t>Anchorage</t>
  </si>
  <si>
    <t>Anchorage KP</t>
  </si>
  <si>
    <t>Anchorage Foundation</t>
  </si>
  <si>
    <t>Pole Type</t>
  </si>
  <si>
    <t>Foundation</t>
  </si>
  <si>
    <t>Cantilevers</t>
  </si>
  <si>
    <t>Current 
Cant (mm)</t>
  </si>
  <si>
    <t>Current Track Layout (m)</t>
  </si>
  <si>
    <t>Current 
Span (m)</t>
  </si>
  <si>
    <t>Stagger (cm)</t>
  </si>
  <si>
    <t>Catenary height (m)</t>
  </si>
  <si>
    <t>Elevation CW (m)</t>
  </si>
  <si>
    <t>Arm Type</t>
  </si>
  <si>
    <t>Height Cant. Support (mm)</t>
  </si>
  <si>
    <t>Track KP</t>
  </si>
  <si>
    <t>Pole Gauge Location (mm)</t>
  </si>
  <si>
    <t>Rail-Pole Distance (mm)</t>
  </si>
  <si>
    <t>Sectioning Feeding</t>
  </si>
  <si>
    <t>Supports</t>
  </si>
  <si>
    <t>Portals</t>
  </si>
  <si>
    <t>Return 
Support</t>
  </si>
  <si>
    <t>CW height (m)</t>
  </si>
  <si>
    <t>Wind Deflection</t>
  </si>
  <si>
    <t>Arm Angle</t>
  </si>
  <si>
    <t>Soil 
Found</t>
  </si>
  <si>
    <t>Terrain Geometry</t>
  </si>
  <si>
    <t>Depth 
Pole F. (m)</t>
  </si>
  <si>
    <t>Depth Anchor F. (m)</t>
  </si>
  <si>
    <t>Approved by KEDMOR</t>
  </si>
  <si>
    <t>Pole Calculation
Reference</t>
  </si>
  <si>
    <t>Yellow: New
Yellow: Revised
White: Approved</t>
  </si>
  <si>
    <t>Pole/Support</t>
  </si>
  <si>
    <t>Portal</t>
  </si>
  <si>
    <t>M1</t>
  </si>
  <si>
    <t>M2</t>
  </si>
  <si>
    <t>M3</t>
  </si>
  <si>
    <t>D1</t>
  </si>
  <si>
    <t>D2</t>
  </si>
  <si>
    <t>D3</t>
  </si>
  <si>
    <t>H1</t>
  </si>
  <si>
    <t>H2</t>
  </si>
  <si>
    <t>H3</t>
  </si>
  <si>
    <t>E1</t>
  </si>
  <si>
    <t>E2</t>
  </si>
  <si>
    <t>E3</t>
  </si>
  <si>
    <t>B1</t>
  </si>
  <si>
    <t>B2</t>
  </si>
  <si>
    <t>B3</t>
  </si>
  <si>
    <t>W1</t>
  </si>
  <si>
    <t>W2</t>
  </si>
  <si>
    <t>W3</t>
  </si>
  <si>
    <t>A1</t>
  </si>
  <si>
    <t>A2</t>
  </si>
  <si>
    <t>A3</t>
  </si>
  <si>
    <t>P</t>
  </si>
  <si>
    <t>A</t>
  </si>
  <si>
    <t>U.S.</t>
  </si>
  <si>
    <t>NS DOR</t>
  </si>
  <si>
    <t>AnMC-R</t>
  </si>
  <si>
    <t>R</t>
  </si>
  <si>
    <t>neutral section</t>
  </si>
  <si>
    <t>30-1.07</t>
  </si>
  <si>
    <t>A/S</t>
  </si>
  <si>
    <t>CP+AnMC</t>
  </si>
  <si>
    <t>HEB-300LL</t>
  </si>
  <si>
    <t>EMT-1</t>
  </si>
  <si>
    <t>2xFW-25</t>
  </si>
  <si>
    <t>RW2</t>
  </si>
  <si>
    <t>30-1.07BIS</t>
  </si>
  <si>
    <t>T-SIGN</t>
  </si>
  <si>
    <t>DOR-NS1</t>
  </si>
  <si>
    <t>30-1.08</t>
  </si>
  <si>
    <t>S/A</t>
  </si>
  <si>
    <t>IO</t>
  </si>
  <si>
    <t>EMT-T</t>
  </si>
  <si>
    <t>EMT-2</t>
  </si>
  <si>
    <t>LoadB/NS</t>
  </si>
  <si>
    <t>DOR-NS3</t>
  </si>
  <si>
    <t>30-1.09</t>
  </si>
  <si>
    <t>30-1.10</t>
  </si>
  <si>
    <t>AnFW</t>
  </si>
  <si>
    <t>DOR-FP4-1</t>
  </si>
  <si>
    <t>30-1.11</t>
  </si>
  <si>
    <t>HEB-320LL</t>
  </si>
  <si>
    <t>FS-1</t>
  </si>
  <si>
    <t>DOR-FP3-1</t>
  </si>
  <si>
    <t>30-1.12</t>
  </si>
  <si>
    <t>DOR-NS5</t>
  </si>
  <si>
    <t>30-1.13</t>
  </si>
  <si>
    <t>HEB-260L</t>
  </si>
  <si>
    <t>30-1.13BIS</t>
  </si>
  <si>
    <t>30-1.14</t>
  </si>
  <si>
    <t>HEB-260 (CP)</t>
  </si>
  <si>
    <t>30-1.15</t>
  </si>
  <si>
    <t>HEB-240</t>
  </si>
  <si>
    <t>30-1.16</t>
  </si>
  <si>
    <t>30-1.17</t>
  </si>
  <si>
    <t>30-1.18</t>
  </si>
  <si>
    <t>30-1.19</t>
  </si>
  <si>
    <t>HEB-260</t>
  </si>
  <si>
    <t>30-1.20</t>
  </si>
  <si>
    <t>Underground Cable IECO</t>
  </si>
  <si>
    <t>31-1.01</t>
  </si>
  <si>
    <t>FP+AnMC</t>
  </si>
  <si>
    <t>31-1.02</t>
  </si>
  <si>
    <t>31-1.03</t>
  </si>
  <si>
    <t>31-1.04</t>
  </si>
  <si>
    <t>AnM-R</t>
  </si>
  <si>
    <t>31-1.05</t>
  </si>
  <si>
    <t>AnMP</t>
  </si>
  <si>
    <t>Drainage Works</t>
  </si>
  <si>
    <t>31-1.06</t>
  </si>
  <si>
    <t>MP</t>
  </si>
  <si>
    <t>r</t>
  </si>
  <si>
    <t>31-1.07</t>
  </si>
  <si>
    <t>31-1.08</t>
  </si>
  <si>
    <t>31-1.09</t>
  </si>
  <si>
    <t>31-1.10</t>
  </si>
  <si>
    <t>31-1.11</t>
  </si>
  <si>
    <t>Gas Pipe</t>
  </si>
  <si>
    <t>31-1.12</t>
  </si>
  <si>
    <t>31-1.13</t>
  </si>
  <si>
    <t>HEB-280 (CP)</t>
  </si>
  <si>
    <t>31-1.14</t>
  </si>
  <si>
    <t>2HEB-240</t>
  </si>
  <si>
    <t>31-1.15</t>
  </si>
  <si>
    <t>31-1.16</t>
  </si>
  <si>
    <t>31-1.17</t>
  </si>
  <si>
    <t>31-1.18</t>
  </si>
  <si>
    <t>32-1.01</t>
  </si>
  <si>
    <t>32-1.02</t>
  </si>
  <si>
    <t>32-1.03</t>
  </si>
  <si>
    <t>32-1.04</t>
  </si>
  <si>
    <t>32-1.05</t>
  </si>
  <si>
    <t>OverHead Cable</t>
  </si>
  <si>
    <t>32-1.06</t>
  </si>
  <si>
    <t>AnRW2</t>
  </si>
  <si>
    <t>32-1.07</t>
  </si>
  <si>
    <t>32-1.08</t>
  </si>
  <si>
    <t>32-1.09</t>
  </si>
  <si>
    <t>Overcrossing</t>
  </si>
  <si>
    <t>32-1.10</t>
  </si>
  <si>
    <t>-</t>
  </si>
  <si>
    <t>S-1T-H</t>
  </si>
  <si>
    <t>RW2T-S</t>
  </si>
  <si>
    <t>32-1.11</t>
  </si>
  <si>
    <t>32-1.12</t>
  </si>
  <si>
    <t>2HEB-260</t>
  </si>
  <si>
    <t>32-1.13</t>
  </si>
  <si>
    <t>32-1.14</t>
  </si>
  <si>
    <t>32-1.15</t>
  </si>
  <si>
    <t>32-1.16</t>
  </si>
  <si>
    <t>32-1.17</t>
  </si>
  <si>
    <t>32-1.18</t>
  </si>
  <si>
    <t>32-1.19</t>
  </si>
  <si>
    <t>32-1.20</t>
  </si>
  <si>
    <t>33-1.01</t>
  </si>
  <si>
    <t>33-1.02</t>
  </si>
  <si>
    <t>33-1.03</t>
  </si>
  <si>
    <t>33-1.04</t>
  </si>
  <si>
    <t>33-1.05</t>
  </si>
  <si>
    <t>33-1.06</t>
  </si>
  <si>
    <t>33-1.07</t>
  </si>
  <si>
    <t>33-1.08</t>
  </si>
  <si>
    <t>33-1.09</t>
  </si>
  <si>
    <t>33-1.10</t>
  </si>
  <si>
    <t>33-1.12</t>
  </si>
  <si>
    <t>33-1.13</t>
  </si>
  <si>
    <t>33-1.14</t>
  </si>
  <si>
    <t>ZIC-01</t>
  </si>
  <si>
    <t>33-1.15</t>
  </si>
  <si>
    <t>S/A A/S-Diag</t>
  </si>
  <si>
    <t>CP+AnMC IO</t>
  </si>
  <si>
    <t>HEB-280L</t>
  </si>
  <si>
    <t>LoadB/IO</t>
  </si>
  <si>
    <t>SCADA RING END</t>
  </si>
  <si>
    <t>33-1.16</t>
  </si>
  <si>
    <t>A/S S/A</t>
  </si>
  <si>
    <t>33-1.17</t>
  </si>
  <si>
    <t>P50(CS)</t>
  </si>
  <si>
    <t>SECT-I</t>
  </si>
  <si>
    <t>33-1.18</t>
  </si>
  <si>
    <t>PR1B</t>
  </si>
  <si>
    <t>34-1.01</t>
  </si>
  <si>
    <t>34-1.02</t>
  </si>
  <si>
    <t>AnMP S/A</t>
  </si>
  <si>
    <t>34-1.03</t>
  </si>
  <si>
    <t>A/S-Diag AnMP</t>
  </si>
  <si>
    <t>HEB-450PL</t>
  </si>
  <si>
    <t>ZIC-B01</t>
  </si>
  <si>
    <t>34-1.04</t>
  </si>
  <si>
    <t>HEB-320PL</t>
  </si>
  <si>
    <t>Disc-pr</t>
  </si>
  <si>
    <t>PR1D</t>
  </si>
  <si>
    <t>34-1.05</t>
  </si>
  <si>
    <t>34-1.06</t>
  </si>
  <si>
    <t>34-1.07</t>
  </si>
  <si>
    <t>34-1.08</t>
  </si>
  <si>
    <t>34-1.09</t>
  </si>
  <si>
    <t>34-1.10</t>
  </si>
  <si>
    <t>34-1.11</t>
  </si>
  <si>
    <t>A/S A/S</t>
  </si>
  <si>
    <t>34-1.12</t>
  </si>
  <si>
    <t>34-1.13</t>
  </si>
  <si>
    <t>34-1.14</t>
  </si>
  <si>
    <t>34-1.15</t>
  </si>
  <si>
    <t>34-1.16</t>
  </si>
  <si>
    <t>A/S AnMP</t>
  </si>
  <si>
    <t>34-1.17</t>
  </si>
  <si>
    <t>HEB-320L</t>
  </si>
  <si>
    <t>PR1C</t>
  </si>
  <si>
    <t>34-1.18</t>
  </si>
  <si>
    <t>34-1.19</t>
  </si>
  <si>
    <t>34-1.20</t>
  </si>
  <si>
    <t>34-1.21</t>
  </si>
  <si>
    <t>34-1.22</t>
  </si>
  <si>
    <t>34-1.23</t>
  </si>
  <si>
    <t>34-1.24</t>
  </si>
  <si>
    <t>S/A A/S</t>
  </si>
  <si>
    <t>34-1.25</t>
  </si>
  <si>
    <t>34-1.26</t>
  </si>
  <si>
    <t>35-1.01</t>
  </si>
  <si>
    <t>35-1.02</t>
  </si>
  <si>
    <t>35-1.03</t>
  </si>
  <si>
    <t>35-1.04</t>
  </si>
  <si>
    <t>A/S-Diag</t>
  </si>
  <si>
    <t>35-1.05</t>
  </si>
  <si>
    <t>AnMP S/A A/S</t>
  </si>
  <si>
    <t>35-1.06</t>
  </si>
  <si>
    <t>ZIC-03</t>
  </si>
  <si>
    <t>35-1.07</t>
  </si>
  <si>
    <t>Disc/IO</t>
  </si>
  <si>
    <t>35-1.08</t>
  </si>
  <si>
    <t>A/S P50(CS)</t>
  </si>
  <si>
    <t>35-1.09</t>
  </si>
  <si>
    <t>35-1.10</t>
  </si>
  <si>
    <t>35-1.11</t>
  </si>
  <si>
    <t>ZIC-05</t>
  </si>
  <si>
    <t>35-1.12</t>
  </si>
  <si>
    <t>2HEB-240L</t>
  </si>
  <si>
    <t>35-1.13</t>
  </si>
  <si>
    <t>35-1.14</t>
  </si>
  <si>
    <t>35-1.15</t>
  </si>
  <si>
    <t>35-1.16</t>
  </si>
  <si>
    <t>35-1.17</t>
  </si>
  <si>
    <t>35-1.18</t>
  </si>
  <si>
    <t>Underground Cable</t>
  </si>
  <si>
    <t>35-1.19</t>
  </si>
  <si>
    <t>35-1.20</t>
  </si>
  <si>
    <t>35-1.21</t>
  </si>
  <si>
    <t>36-1.01</t>
  </si>
  <si>
    <t>36-1.02</t>
  </si>
  <si>
    <t>36-1.03</t>
  </si>
  <si>
    <t>36-1.04</t>
  </si>
  <si>
    <t>36-1.05</t>
  </si>
  <si>
    <t>36-1.06</t>
  </si>
  <si>
    <t>AnMC-RT</t>
  </si>
  <si>
    <t>36-1.07</t>
  </si>
  <si>
    <t>36-1.08</t>
  </si>
  <si>
    <t>36-1.09</t>
  </si>
  <si>
    <t>36-1.10</t>
  </si>
  <si>
    <t>36-1.11</t>
  </si>
  <si>
    <t>36-1.12</t>
  </si>
  <si>
    <t>36-1.13</t>
  </si>
  <si>
    <t>36-1.14</t>
  </si>
  <si>
    <t>AnM-RT</t>
  </si>
  <si>
    <t>36-1.15</t>
  </si>
  <si>
    <t>36-1.16</t>
  </si>
  <si>
    <t>36-1.17</t>
  </si>
  <si>
    <t>36-1.18</t>
  </si>
  <si>
    <t>36-1.19</t>
  </si>
  <si>
    <t>36-1.20</t>
  </si>
  <si>
    <t>37-1.01</t>
  </si>
  <si>
    <t>37-1.02</t>
  </si>
  <si>
    <t>37-1.03</t>
  </si>
  <si>
    <t>37-1.04</t>
  </si>
  <si>
    <t>37-1.05</t>
  </si>
  <si>
    <t>37-1.06</t>
  </si>
  <si>
    <t>37-1.07</t>
  </si>
  <si>
    <t>37-1.08</t>
  </si>
  <si>
    <t>Retzua Line</t>
  </si>
  <si>
    <t>37-1.09</t>
  </si>
  <si>
    <t>Tashan Pipeline</t>
  </si>
  <si>
    <t>37-1.10</t>
  </si>
  <si>
    <t>EMT-1P</t>
  </si>
  <si>
    <t>S1/B7</t>
  </si>
  <si>
    <t>RW2-P</t>
  </si>
  <si>
    <t>37-1.11</t>
  </si>
  <si>
    <t>37-1.12</t>
  </si>
  <si>
    <t>37-1.13</t>
  </si>
  <si>
    <t>761 Line</t>
  </si>
  <si>
    <t>37-1.14</t>
  </si>
  <si>
    <t>37-1.15</t>
  </si>
  <si>
    <t>37-1.16</t>
  </si>
  <si>
    <t>37-1.17</t>
  </si>
  <si>
    <t>37-1.18</t>
  </si>
  <si>
    <t>37-1.19</t>
  </si>
  <si>
    <t>37-1.20</t>
  </si>
  <si>
    <t>38-1.01</t>
  </si>
  <si>
    <t>38-1.02</t>
  </si>
  <si>
    <t>38-1.03</t>
  </si>
  <si>
    <t>38-1.04</t>
  </si>
  <si>
    <t>38-1.05</t>
  </si>
  <si>
    <t>38-1.06</t>
  </si>
  <si>
    <t>38-1.07</t>
  </si>
  <si>
    <t>38-1.08</t>
  </si>
  <si>
    <t>38-1.09</t>
  </si>
  <si>
    <t>NS Binyamina</t>
  </si>
  <si>
    <t>Future</t>
  </si>
  <si>
    <t>38-1.10</t>
  </si>
  <si>
    <t>38-1.11</t>
  </si>
  <si>
    <t>FUTURE</t>
  </si>
  <si>
    <t>38-1.12</t>
  </si>
  <si>
    <t>38-1.13</t>
  </si>
  <si>
    <t>38-1.14</t>
  </si>
  <si>
    <t>38-1.15</t>
  </si>
  <si>
    <t>38-1.16</t>
  </si>
  <si>
    <t>38-1.17</t>
  </si>
  <si>
    <t>38-1.18</t>
  </si>
  <si>
    <t>38-1.19</t>
  </si>
  <si>
    <t>38-1.20</t>
  </si>
  <si>
    <t>38-1.21</t>
  </si>
  <si>
    <t>38-1.22</t>
  </si>
  <si>
    <t>38-1.23</t>
  </si>
  <si>
    <t>39-1.01</t>
  </si>
  <si>
    <t>39-1.02</t>
  </si>
  <si>
    <t>39-1.03</t>
  </si>
  <si>
    <t>39-1.04</t>
  </si>
  <si>
    <t>39-1.05</t>
  </si>
  <si>
    <t>39-1.06</t>
  </si>
  <si>
    <t>39-1.07</t>
  </si>
  <si>
    <t>39-1.08</t>
  </si>
  <si>
    <t>39-1.09</t>
  </si>
  <si>
    <t>Beginnind side Wall</t>
  </si>
  <si>
    <t>with reduce gauge</t>
  </si>
  <si>
    <t>39-1.10</t>
  </si>
  <si>
    <t>39-1.11</t>
  </si>
  <si>
    <t>C4R_L</t>
  </si>
  <si>
    <t>39-1.12</t>
  </si>
  <si>
    <t>HEB-280</t>
  </si>
  <si>
    <t>C5R_L</t>
  </si>
  <si>
    <t>39-1.13</t>
  </si>
  <si>
    <t>39-1.14</t>
  </si>
  <si>
    <t>39-1.15</t>
  </si>
  <si>
    <t>39-1.16</t>
  </si>
  <si>
    <t>39-1.17</t>
  </si>
  <si>
    <t>39-1.18</t>
  </si>
  <si>
    <t>39-1.19</t>
  </si>
  <si>
    <t>BIN-01</t>
  </si>
  <si>
    <t>39-1.20</t>
  </si>
  <si>
    <t>2C3R_L</t>
  </si>
  <si>
    <t>39-1.21</t>
  </si>
  <si>
    <t>2C4R_L</t>
  </si>
  <si>
    <t>39-1.22</t>
  </si>
  <si>
    <t>UnderPass</t>
  </si>
  <si>
    <t>40-1.01</t>
  </si>
  <si>
    <t>P90(TgS)</t>
  </si>
  <si>
    <t>40-1.02</t>
  </si>
  <si>
    <t>C3R_L</t>
  </si>
  <si>
    <t>40-1.03</t>
  </si>
  <si>
    <t>40-1.04</t>
  </si>
  <si>
    <t>40-1.05</t>
  </si>
  <si>
    <t>40-1.06</t>
  </si>
  <si>
    <t>40-1.07</t>
  </si>
  <si>
    <t>40-1.08</t>
  </si>
  <si>
    <t>40-1.09</t>
  </si>
  <si>
    <t>40-1.10</t>
  </si>
  <si>
    <t>40-1.11</t>
  </si>
  <si>
    <t>40-1.12</t>
  </si>
  <si>
    <t>40-1.13</t>
  </si>
  <si>
    <t>40-1.14</t>
  </si>
  <si>
    <t>OverPass</t>
  </si>
  <si>
    <t>40-1.15</t>
  </si>
  <si>
    <t>40-1.16</t>
  </si>
  <si>
    <t>Finish Side Wall</t>
  </si>
  <si>
    <t>with Reduce Gauge</t>
  </si>
  <si>
    <t>40-1.17</t>
  </si>
  <si>
    <t>40-1.18</t>
  </si>
  <si>
    <t>40-1.19</t>
  </si>
  <si>
    <t>Station</t>
  </si>
  <si>
    <t>BIN-03</t>
  </si>
  <si>
    <t>40-1.20</t>
  </si>
  <si>
    <t>Disc/IO-pr</t>
  </si>
  <si>
    <t>station</t>
  </si>
  <si>
    <t>40-1.21</t>
  </si>
  <si>
    <t>40-1.22</t>
  </si>
  <si>
    <t>BIN-B01</t>
  </si>
  <si>
    <t>40-1.23</t>
  </si>
  <si>
    <t>40-1.24</t>
  </si>
  <si>
    <t>Binyamina</t>
  </si>
  <si>
    <t>40-1.25</t>
  </si>
  <si>
    <t>U.S. N.D.</t>
  </si>
  <si>
    <t>S1</t>
  </si>
  <si>
    <t>40-1.26</t>
  </si>
  <si>
    <t>EMT-2P</t>
  </si>
  <si>
    <t>41-1.01</t>
  </si>
  <si>
    <t>HEB-400PL</t>
  </si>
  <si>
    <t>PR1E</t>
  </si>
  <si>
    <t>41-1.02</t>
  </si>
  <si>
    <t>41-1.03</t>
  </si>
  <si>
    <t>41-1.04</t>
  </si>
  <si>
    <t>AnMP AnMP</t>
  </si>
  <si>
    <t>41-1.05</t>
  </si>
  <si>
    <t>41-1.06</t>
  </si>
  <si>
    <t>41-1.07</t>
  </si>
  <si>
    <t>41-1.08</t>
  </si>
  <si>
    <t>41-1.09</t>
  </si>
  <si>
    <t>41-1.10</t>
  </si>
  <si>
    <t>41-1.11</t>
  </si>
  <si>
    <t>41-1.12</t>
  </si>
  <si>
    <t>OverCrossing</t>
  </si>
  <si>
    <t>41-1.13</t>
  </si>
  <si>
    <t>P50(CS) A/S</t>
  </si>
  <si>
    <t>BIN-05</t>
  </si>
  <si>
    <t>41-1.14</t>
  </si>
  <si>
    <t>41-1.15</t>
  </si>
  <si>
    <t>41-1.16</t>
  </si>
  <si>
    <t>41-1.17</t>
  </si>
  <si>
    <t>BIN-07</t>
  </si>
  <si>
    <t>41-1.18</t>
  </si>
  <si>
    <t>IO CP+AnMC</t>
  </si>
  <si>
    <t>41-1.19</t>
  </si>
  <si>
    <t>41-1.20</t>
  </si>
  <si>
    <t>42-1.01</t>
  </si>
  <si>
    <t>42-1.02</t>
  </si>
  <si>
    <t>42-1.03</t>
  </si>
  <si>
    <t>42-1.04</t>
  </si>
  <si>
    <t>42-1.05</t>
  </si>
  <si>
    <t>42-1.06</t>
  </si>
  <si>
    <t>42-1.07</t>
  </si>
  <si>
    <t>42-1.08</t>
  </si>
  <si>
    <t>42-1.09</t>
  </si>
  <si>
    <t>42-1.10</t>
  </si>
  <si>
    <t>42-1.11</t>
  </si>
  <si>
    <t>42-1.12</t>
  </si>
  <si>
    <t>42-1.13</t>
  </si>
  <si>
    <t>42-1.14</t>
  </si>
  <si>
    <t>42-1.15</t>
  </si>
  <si>
    <t>42-1.16</t>
  </si>
  <si>
    <t>42-1.16BIS</t>
  </si>
  <si>
    <t>42-1.17</t>
  </si>
  <si>
    <t>42-1.18</t>
  </si>
  <si>
    <t>42-1.19</t>
  </si>
  <si>
    <t>43-1.01</t>
  </si>
  <si>
    <t>43-1.02</t>
  </si>
  <si>
    <t>43-1.03</t>
  </si>
  <si>
    <t>43-1.04</t>
  </si>
  <si>
    <t>43-1.05</t>
  </si>
  <si>
    <t>43-1.06</t>
  </si>
  <si>
    <t>43-1.07</t>
  </si>
  <si>
    <t>43-1.08</t>
  </si>
  <si>
    <t>43-1.09</t>
  </si>
  <si>
    <t>43-1.10</t>
  </si>
  <si>
    <t>43-1.11</t>
  </si>
  <si>
    <t>43-1.12</t>
  </si>
  <si>
    <t>43-1.13</t>
  </si>
  <si>
    <t>43-1.14</t>
  </si>
  <si>
    <t>43-1.15</t>
  </si>
  <si>
    <t>43-1.16</t>
  </si>
  <si>
    <t>43-1.17</t>
  </si>
  <si>
    <t>44-1.01</t>
  </si>
  <si>
    <t>44-1.02</t>
  </si>
  <si>
    <t>44-1.03</t>
  </si>
  <si>
    <t>44-1.04</t>
  </si>
  <si>
    <t>44-1.05</t>
  </si>
  <si>
    <t>Pardes Hanna</t>
  </si>
  <si>
    <t>44-1.06</t>
  </si>
  <si>
    <t>44-1.07</t>
  </si>
  <si>
    <t>44-1.08</t>
  </si>
  <si>
    <t>44-1.09</t>
  </si>
  <si>
    <t>44-1.10</t>
  </si>
  <si>
    <t>44-1.11</t>
  </si>
  <si>
    <t>44-1.12</t>
  </si>
  <si>
    <t>44-1.13</t>
  </si>
  <si>
    <t>44-1.14</t>
  </si>
  <si>
    <t>44-1.15</t>
  </si>
  <si>
    <t>44-1.16</t>
  </si>
  <si>
    <t>44-1.17</t>
  </si>
  <si>
    <t>44-1.18</t>
  </si>
  <si>
    <t>44-1.19</t>
  </si>
  <si>
    <t>UnderGround Cable</t>
  </si>
  <si>
    <t>45-1.01</t>
  </si>
  <si>
    <t>45-1.02</t>
  </si>
  <si>
    <t>45-1.03</t>
  </si>
  <si>
    <t>45-1.04</t>
  </si>
  <si>
    <t>45-1.05</t>
  </si>
  <si>
    <t>45-1.06</t>
  </si>
  <si>
    <t>REM-01</t>
  </si>
  <si>
    <t>45-1.07</t>
  </si>
  <si>
    <t>45-1.08</t>
  </si>
  <si>
    <t>AnRW</t>
  </si>
  <si>
    <t>45-1.09</t>
  </si>
  <si>
    <t>A/S A/S-Diag</t>
  </si>
  <si>
    <t>RW1</t>
  </si>
  <si>
    <t>45-1.10</t>
  </si>
  <si>
    <t>45-1.11</t>
  </si>
  <si>
    <t>45-1.12</t>
  </si>
  <si>
    <t>REM-03</t>
  </si>
  <si>
    <t>45-1.13</t>
  </si>
  <si>
    <t>45-1.14</t>
  </si>
  <si>
    <t>45-1.15</t>
  </si>
  <si>
    <t>REM-B01</t>
  </si>
  <si>
    <t>45-1.16</t>
  </si>
  <si>
    <t>HEB-300L</t>
  </si>
  <si>
    <t>PP-2</t>
  </si>
  <si>
    <t>45-1.17</t>
  </si>
  <si>
    <t>P30(CS)</t>
  </si>
  <si>
    <t>45-1.18</t>
  </si>
  <si>
    <t>45-1.19BIS</t>
  </si>
  <si>
    <t>HEB-360LL</t>
  </si>
  <si>
    <t>B7</t>
  </si>
  <si>
    <t>45-1.19</t>
  </si>
  <si>
    <t>45-1.20</t>
  </si>
  <si>
    <t>45-1.21</t>
  </si>
  <si>
    <t>45-1.22</t>
  </si>
  <si>
    <t>RW1-P</t>
  </si>
  <si>
    <t>45-1.23</t>
  </si>
  <si>
    <t>45-1.24</t>
  </si>
  <si>
    <t>REM-07</t>
  </si>
  <si>
    <t>46-1.01</t>
  </si>
  <si>
    <t>46-1.02</t>
  </si>
  <si>
    <t>46-1.03</t>
  </si>
  <si>
    <t>46-1.04</t>
  </si>
  <si>
    <t>46-1.05</t>
  </si>
  <si>
    <t>46-1.06</t>
  </si>
  <si>
    <t>46-1.07</t>
  </si>
  <si>
    <t>46-1.08</t>
  </si>
  <si>
    <t>46-1.09</t>
  </si>
  <si>
    <t>46-1.10</t>
  </si>
  <si>
    <t>46-1.11</t>
  </si>
  <si>
    <t>Future NS REMEZ</t>
  </si>
  <si>
    <t>46-1.12</t>
  </si>
  <si>
    <t>Location Changed</t>
  </si>
  <si>
    <t>46-1.13</t>
  </si>
  <si>
    <t>46-1.14</t>
  </si>
  <si>
    <t>46-1.15</t>
  </si>
  <si>
    <t>46-1.16</t>
  </si>
  <si>
    <t>46-1.17</t>
  </si>
  <si>
    <t>46-1.18</t>
  </si>
  <si>
    <t>46-1.19</t>
  </si>
  <si>
    <t>47-1.01</t>
  </si>
  <si>
    <t>47-1.02</t>
  </si>
  <si>
    <t>47-1.03</t>
  </si>
  <si>
    <t>47-1.04</t>
  </si>
  <si>
    <t>47-1.05</t>
  </si>
  <si>
    <t>47-1.06</t>
  </si>
  <si>
    <t>47-1.07</t>
  </si>
  <si>
    <t>47-1.08</t>
  </si>
  <si>
    <t>Future NS of REMEZ</t>
  </si>
  <si>
    <t>47-1.09</t>
  </si>
  <si>
    <t>Relocated</t>
  </si>
  <si>
    <t>47-1.10</t>
  </si>
  <si>
    <t>47-1.11</t>
  </si>
  <si>
    <t>47-1.12</t>
  </si>
  <si>
    <t>47-1.13</t>
  </si>
  <si>
    <t>47-1.14</t>
  </si>
  <si>
    <t>47-1.15</t>
  </si>
  <si>
    <t>47-1.16</t>
  </si>
  <si>
    <t>47-1.17</t>
  </si>
  <si>
    <t>47-1.18</t>
  </si>
  <si>
    <t>47-1.19</t>
  </si>
  <si>
    <t>47-1.20</t>
  </si>
  <si>
    <t>48-1.01</t>
  </si>
  <si>
    <t>48-1.02</t>
  </si>
  <si>
    <t>REM-09</t>
  </si>
  <si>
    <t>48-1.03</t>
  </si>
  <si>
    <t>48-1.04</t>
  </si>
  <si>
    <t>48-1.05</t>
  </si>
  <si>
    <t>48-1.06</t>
  </si>
  <si>
    <t>48-1.07</t>
  </si>
  <si>
    <t>48-1.08</t>
  </si>
  <si>
    <t>48-1.09</t>
  </si>
  <si>
    <t>48-1.10</t>
  </si>
  <si>
    <t>48-1.11</t>
  </si>
  <si>
    <t>48-1.12</t>
  </si>
  <si>
    <t>48-1.13</t>
  </si>
  <si>
    <t>REM-13</t>
  </si>
  <si>
    <t>48-1.14</t>
  </si>
  <si>
    <t>48-1.15</t>
  </si>
  <si>
    <t>48-1.16</t>
  </si>
  <si>
    <t>48-1.17</t>
  </si>
  <si>
    <t>48-1.18</t>
  </si>
  <si>
    <t>48-1.19</t>
  </si>
  <si>
    <t>48-1.20</t>
  </si>
  <si>
    <t>C3R</t>
  </si>
  <si>
    <t>Bridge</t>
  </si>
  <si>
    <t>48-1.21</t>
  </si>
  <si>
    <t>C4R</t>
  </si>
  <si>
    <t>48-1.22</t>
  </si>
  <si>
    <t>49-1.01</t>
  </si>
  <si>
    <t>49-1.02</t>
  </si>
  <si>
    <t>49-1.04</t>
  </si>
  <si>
    <t>49-1.05</t>
  </si>
  <si>
    <t>49-1.07</t>
  </si>
  <si>
    <t>49-1.09</t>
  </si>
  <si>
    <t>49-1.10</t>
  </si>
  <si>
    <t>49-1.11</t>
  </si>
  <si>
    <t>49-1.12</t>
  </si>
  <si>
    <t>49-1.13</t>
  </si>
  <si>
    <t>49-1.14</t>
  </si>
  <si>
    <t>49-1.15</t>
  </si>
  <si>
    <t>49-1.16</t>
  </si>
  <si>
    <t>49-1.17</t>
  </si>
  <si>
    <t>49-1.18</t>
  </si>
  <si>
    <t>NS Pardes Hanna</t>
  </si>
  <si>
    <t>49-1.19</t>
  </si>
  <si>
    <t>49-1.19BIS</t>
  </si>
  <si>
    <t>PAR-NS1</t>
  </si>
  <si>
    <t>49-1.20</t>
  </si>
  <si>
    <t>VoltageD</t>
  </si>
  <si>
    <t>49-1.20BIS</t>
  </si>
  <si>
    <t>PAR-NS3</t>
  </si>
  <si>
    <t>49-1.21</t>
  </si>
  <si>
    <t>49-1.22</t>
  </si>
  <si>
    <t>49-1.22BIS</t>
  </si>
  <si>
    <t>PAR-NS5</t>
  </si>
  <si>
    <t>49-1.23</t>
  </si>
  <si>
    <t>49-1.23BIS</t>
  </si>
  <si>
    <t>49-1.24</t>
  </si>
  <si>
    <t>50-1.01</t>
  </si>
  <si>
    <t>50-1.02</t>
  </si>
  <si>
    <t>50-1.03</t>
  </si>
  <si>
    <t>Undergroaund Cable</t>
  </si>
  <si>
    <t>50-1.04</t>
  </si>
  <si>
    <t>50-1.05</t>
  </si>
  <si>
    <t>50-1.06</t>
  </si>
  <si>
    <t>50-1.07</t>
  </si>
  <si>
    <t>50-1.08</t>
  </si>
  <si>
    <t>50-1.09</t>
  </si>
  <si>
    <t>50-1.10</t>
  </si>
  <si>
    <t>50-1.11</t>
  </si>
  <si>
    <t>50-1.12</t>
  </si>
  <si>
    <t>50-1.13</t>
  </si>
  <si>
    <t>50-1.14</t>
  </si>
  <si>
    <t>50-1.15</t>
  </si>
  <si>
    <t>50-1.16</t>
  </si>
  <si>
    <t>50-1.17</t>
  </si>
  <si>
    <t>50-1.18</t>
  </si>
  <si>
    <t>51-1.01</t>
  </si>
  <si>
    <t>51-1.02</t>
  </si>
  <si>
    <t>51-1.03</t>
  </si>
  <si>
    <t>51-1.04</t>
  </si>
  <si>
    <t>51-1.05</t>
  </si>
  <si>
    <t>51-1.06</t>
  </si>
  <si>
    <t>51-1.07</t>
  </si>
  <si>
    <t>51-1.08</t>
  </si>
  <si>
    <t>HAD-01</t>
  </si>
  <si>
    <t>51-1.09</t>
  </si>
  <si>
    <t>51-1.10</t>
  </si>
  <si>
    <t>51-1.11</t>
  </si>
  <si>
    <t>51-1.12</t>
  </si>
  <si>
    <t>51-1.13</t>
  </si>
  <si>
    <t>51-1.14</t>
  </si>
  <si>
    <t>HAD-B01</t>
  </si>
  <si>
    <t>51-1.15</t>
  </si>
  <si>
    <t>51-1.16</t>
  </si>
  <si>
    <t>S2-PS</t>
  </si>
  <si>
    <t>RW1T-S</t>
  </si>
  <si>
    <t>51-1.17</t>
  </si>
  <si>
    <t>51-1.18</t>
  </si>
  <si>
    <t>51-1.19</t>
  </si>
  <si>
    <t>51-1.20</t>
  </si>
  <si>
    <t>51-1.21</t>
  </si>
  <si>
    <t>51-1.22</t>
  </si>
  <si>
    <t>52-1.01</t>
  </si>
  <si>
    <t>Hadera West</t>
  </si>
  <si>
    <t>52-1.02</t>
  </si>
  <si>
    <t>52-1.03</t>
  </si>
  <si>
    <t>52-1.04</t>
  </si>
  <si>
    <t>52-1.05</t>
  </si>
  <si>
    <t>52-1.06</t>
  </si>
  <si>
    <t>52-1.07</t>
  </si>
  <si>
    <t>52-1.08</t>
  </si>
  <si>
    <t>HAD-03</t>
  </si>
  <si>
    <t>52-1.09</t>
  </si>
  <si>
    <t>52-1.10</t>
  </si>
  <si>
    <t>52-1.11</t>
  </si>
  <si>
    <t>52-1.12</t>
  </si>
  <si>
    <t>52-1.13</t>
  </si>
  <si>
    <t>52-1.14</t>
  </si>
  <si>
    <t>HAD-05</t>
  </si>
  <si>
    <t>52-1.15</t>
  </si>
  <si>
    <t>52-1.16</t>
  </si>
  <si>
    <t>52-1.17</t>
  </si>
  <si>
    <t>52-1.18</t>
  </si>
  <si>
    <t>52-1.19</t>
  </si>
  <si>
    <t>Patner Commun.</t>
  </si>
  <si>
    <t>52-1.20</t>
  </si>
  <si>
    <t>52-1.21</t>
  </si>
  <si>
    <t>52-1.22</t>
  </si>
  <si>
    <t>52-1.23</t>
  </si>
  <si>
    <t>53-1.01</t>
  </si>
  <si>
    <t>53-1.02</t>
  </si>
  <si>
    <t>53-1.03</t>
  </si>
  <si>
    <t>53-1.04</t>
  </si>
  <si>
    <t>53-1.05</t>
  </si>
  <si>
    <t>53-1.06</t>
  </si>
  <si>
    <t>53-1.07</t>
  </si>
  <si>
    <t>Tashan PipeLine</t>
  </si>
  <si>
    <t>53-1.08</t>
  </si>
  <si>
    <t>53-1.09</t>
  </si>
  <si>
    <t>53-1.10</t>
  </si>
  <si>
    <t>53-1.11</t>
  </si>
  <si>
    <t>53-1.12</t>
  </si>
  <si>
    <t>53-1.13</t>
  </si>
  <si>
    <t>53-1.14</t>
  </si>
  <si>
    <t>53-1.15</t>
  </si>
  <si>
    <t>53-1.16</t>
  </si>
  <si>
    <t>53-1.17</t>
  </si>
  <si>
    <t>53-1.18</t>
  </si>
  <si>
    <t>53-1.19</t>
  </si>
  <si>
    <t>54-1.01</t>
  </si>
  <si>
    <t>54-1.02</t>
  </si>
  <si>
    <t>54-1.03</t>
  </si>
  <si>
    <t>54-1.04</t>
  </si>
  <si>
    <t>54-1.05</t>
  </si>
  <si>
    <t>54-1.06</t>
  </si>
  <si>
    <t>54-1.07</t>
  </si>
  <si>
    <t>54-1.08</t>
  </si>
  <si>
    <t>54-1.09</t>
  </si>
  <si>
    <t>54-1.10</t>
  </si>
  <si>
    <t>54-1.11</t>
  </si>
  <si>
    <t>54-1.12</t>
  </si>
  <si>
    <t>54-1.13</t>
  </si>
  <si>
    <t>54-1.14</t>
  </si>
  <si>
    <t>54-1.15</t>
  </si>
  <si>
    <t>54-1.16</t>
  </si>
  <si>
    <t>54-1.17</t>
  </si>
  <si>
    <t>54-1.18</t>
  </si>
  <si>
    <t>55-1.01</t>
  </si>
  <si>
    <t>55-1.02</t>
  </si>
  <si>
    <t>55-1.03</t>
  </si>
  <si>
    <t>55-1.04</t>
  </si>
  <si>
    <t>55-1.05</t>
  </si>
  <si>
    <t>55-1.06</t>
  </si>
  <si>
    <t>55-1.07</t>
  </si>
  <si>
    <t>55-1.08</t>
  </si>
  <si>
    <t>55-1.09</t>
  </si>
  <si>
    <t>55-1.10</t>
  </si>
  <si>
    <t>55-1.11</t>
  </si>
  <si>
    <t>55-1.12</t>
  </si>
  <si>
    <t>55-1.13</t>
  </si>
  <si>
    <t>55-1.14</t>
  </si>
  <si>
    <t>55-1.15</t>
  </si>
  <si>
    <t>55-1.16</t>
  </si>
  <si>
    <t>56-1.01</t>
  </si>
  <si>
    <t>56-1.02</t>
  </si>
  <si>
    <t>56-1.03</t>
  </si>
  <si>
    <t>56-1.04</t>
  </si>
  <si>
    <t>56-1.05</t>
  </si>
  <si>
    <t>56-1.06</t>
  </si>
  <si>
    <t>56-1.07</t>
  </si>
  <si>
    <t>56-1.08</t>
  </si>
  <si>
    <t>56-1.09</t>
  </si>
  <si>
    <t>56-1.10</t>
  </si>
  <si>
    <t>56-1.11</t>
  </si>
  <si>
    <t>56-1.12</t>
  </si>
  <si>
    <t>56-1.13</t>
  </si>
  <si>
    <t>56-1.14</t>
  </si>
  <si>
    <t>56-1.15</t>
  </si>
  <si>
    <t>56-1.16</t>
  </si>
  <si>
    <t>56-1.17</t>
  </si>
  <si>
    <t>57-1.01</t>
  </si>
  <si>
    <t>57-1.02</t>
  </si>
  <si>
    <t>57-1.03</t>
  </si>
  <si>
    <t>57-1.04</t>
  </si>
  <si>
    <t>57-1.05</t>
  </si>
  <si>
    <t>57-1.06</t>
  </si>
  <si>
    <t>57-1.07</t>
  </si>
  <si>
    <t>57-1.08</t>
  </si>
  <si>
    <t>57-1.09</t>
  </si>
  <si>
    <t>57-1.10</t>
  </si>
  <si>
    <t>57-1.11</t>
  </si>
  <si>
    <t>57-1.12</t>
  </si>
  <si>
    <t>KFA-01</t>
  </si>
  <si>
    <t>57-1.13</t>
  </si>
  <si>
    <t>57-1.14</t>
  </si>
  <si>
    <t>57-1.15</t>
  </si>
  <si>
    <t>57-1.16</t>
  </si>
  <si>
    <t>57-1.16BIS</t>
  </si>
  <si>
    <t>57-1.17</t>
  </si>
  <si>
    <t>EMT-TP</t>
  </si>
  <si>
    <t>S2</t>
  </si>
  <si>
    <t>58-1.01</t>
  </si>
  <si>
    <t>S/A P55(CS)</t>
  </si>
  <si>
    <t>S3</t>
  </si>
  <si>
    <t>58-1.02</t>
  </si>
  <si>
    <t>P50(CS) S/A</t>
  </si>
  <si>
    <t>58-1.03</t>
  </si>
  <si>
    <t>58-1.04</t>
  </si>
  <si>
    <t>AnMP A/S-Diag</t>
  </si>
  <si>
    <t>58-1.05</t>
  </si>
  <si>
    <t>58-1.06</t>
  </si>
  <si>
    <t>POLE TRACK 03</t>
  </si>
  <si>
    <t>Communication Line</t>
  </si>
  <si>
    <t>58-1.07</t>
  </si>
  <si>
    <t>58-1.08</t>
  </si>
  <si>
    <t>58-1.09</t>
  </si>
  <si>
    <t>58-1.10</t>
  </si>
  <si>
    <t>58-1.11</t>
  </si>
  <si>
    <t>58-1.12</t>
  </si>
  <si>
    <t>58-1.13</t>
  </si>
  <si>
    <t>Kfar Vitkin</t>
  </si>
  <si>
    <t>58-1.14</t>
  </si>
  <si>
    <t>58-1.15</t>
  </si>
  <si>
    <t>58-1.16</t>
  </si>
  <si>
    <t>58-1.17</t>
  </si>
  <si>
    <t>KFA-B03</t>
  </si>
  <si>
    <t>58-1.18</t>
  </si>
  <si>
    <t>58-1.19</t>
  </si>
  <si>
    <t>58-1.20</t>
  </si>
  <si>
    <t>58-1.21</t>
  </si>
  <si>
    <t>58-1.22</t>
  </si>
  <si>
    <t>MW-Isusp</t>
  </si>
  <si>
    <t>58-1.23</t>
  </si>
  <si>
    <t>58-1.24</t>
  </si>
  <si>
    <t>59-1.01</t>
  </si>
  <si>
    <t>59-1.02</t>
  </si>
  <si>
    <t>59-1.03</t>
  </si>
  <si>
    <t>59-1.04</t>
  </si>
  <si>
    <t>59-1.05</t>
  </si>
  <si>
    <t>KFA-03</t>
  </si>
  <si>
    <t>59-1.06</t>
  </si>
  <si>
    <t>59-1.07</t>
  </si>
  <si>
    <t>59-1.08</t>
  </si>
  <si>
    <t>59-1.09</t>
  </si>
  <si>
    <t>59-1.10</t>
  </si>
  <si>
    <t>59-1.11</t>
  </si>
  <si>
    <t>59-1.12</t>
  </si>
  <si>
    <t>59-1.13</t>
  </si>
  <si>
    <t>59-1.14</t>
  </si>
  <si>
    <t>59-1.15</t>
  </si>
  <si>
    <t>TS HOFIT</t>
  </si>
  <si>
    <t>59-1.15A</t>
  </si>
  <si>
    <t>FS/PP2</t>
  </si>
  <si>
    <t>HFT-FP2.1/HFT-FP2.2</t>
  </si>
  <si>
    <t>FS1</t>
  </si>
  <si>
    <t>HFT-FP1.2/HFT-FP1.1</t>
  </si>
  <si>
    <t>59-1.15B</t>
  </si>
  <si>
    <t>GANTRY FEEDERS</t>
  </si>
  <si>
    <t>59-1.16</t>
  </si>
  <si>
    <t>FW-25</t>
  </si>
  <si>
    <t>59-1.19</t>
  </si>
  <si>
    <t>59-1.20</t>
  </si>
  <si>
    <t>59-1.21</t>
  </si>
  <si>
    <t>59-1.22</t>
  </si>
  <si>
    <t>59-1.23</t>
  </si>
  <si>
    <t>60-1.01</t>
  </si>
  <si>
    <t>60-1.02</t>
  </si>
  <si>
    <t>60-1.03</t>
  </si>
  <si>
    <t>60-1.04</t>
  </si>
  <si>
    <t>60-1.05</t>
  </si>
  <si>
    <t>60-1.06</t>
  </si>
  <si>
    <t>60-1.07</t>
  </si>
  <si>
    <t>60-1.08</t>
  </si>
  <si>
    <t>60-1.09</t>
  </si>
  <si>
    <t>60-1.10</t>
  </si>
  <si>
    <t>NS HOFIT</t>
  </si>
  <si>
    <t>60-1.11</t>
  </si>
  <si>
    <t>60-1.11BIS</t>
  </si>
  <si>
    <t>HFT-NS1</t>
  </si>
  <si>
    <t>60-1.12</t>
  </si>
  <si>
    <t>HFT-NS3</t>
  </si>
  <si>
    <t>60-1.13</t>
  </si>
  <si>
    <t>60-1.14</t>
  </si>
  <si>
    <t>HFT-FP1.1-1</t>
  </si>
  <si>
    <t>60-1.15</t>
  </si>
  <si>
    <t>60-1.16</t>
  </si>
  <si>
    <t>HFT-NS5</t>
  </si>
  <si>
    <t>60-1.17</t>
  </si>
  <si>
    <t>C9R</t>
  </si>
  <si>
    <t>60-1.17BIS</t>
  </si>
  <si>
    <t>60-1.18</t>
  </si>
  <si>
    <t>TRACK 2</t>
  </si>
  <si>
    <t>No printable column
For KEDMOR help</t>
  </si>
  <si>
    <t>30-2.07</t>
  </si>
  <si>
    <t>30-2.07BIS</t>
  </si>
  <si>
    <t>DOR-NS2</t>
  </si>
  <si>
    <t>30-2.08</t>
  </si>
  <si>
    <t>DOR-NS4</t>
  </si>
  <si>
    <t>30-2.09</t>
  </si>
  <si>
    <t>30-2.10</t>
  </si>
  <si>
    <t>30-2.11</t>
  </si>
  <si>
    <t>DOR-B02</t>
  </si>
  <si>
    <t>30-2.12</t>
  </si>
  <si>
    <t>DOR-NS6</t>
  </si>
  <si>
    <t>30-2.13</t>
  </si>
  <si>
    <t>30-2.13BIS</t>
  </si>
  <si>
    <t>30-2.14</t>
  </si>
  <si>
    <t>30-2.15</t>
  </si>
  <si>
    <t>30-2.16</t>
  </si>
  <si>
    <t>30-2.17</t>
  </si>
  <si>
    <t>30-2.18</t>
  </si>
  <si>
    <t>30-2.19</t>
  </si>
  <si>
    <t>30-2.20</t>
  </si>
  <si>
    <t>31-2.01</t>
  </si>
  <si>
    <t>31-2.02</t>
  </si>
  <si>
    <t>31-2.03</t>
  </si>
  <si>
    <t>31-2.04</t>
  </si>
  <si>
    <t>31-2.05</t>
  </si>
  <si>
    <t>31-2.06</t>
  </si>
  <si>
    <t>31-2.07</t>
  </si>
  <si>
    <t>31-2.08</t>
  </si>
  <si>
    <t>31-2.09</t>
  </si>
  <si>
    <t>31-2.10</t>
  </si>
  <si>
    <t>31-2.11</t>
  </si>
  <si>
    <t>31-2.12</t>
  </si>
  <si>
    <t>31-2.13</t>
  </si>
  <si>
    <t>31-2.14</t>
  </si>
  <si>
    <t>31-2.15</t>
  </si>
  <si>
    <t>31-2.16</t>
  </si>
  <si>
    <t>31-2.17</t>
  </si>
  <si>
    <t>31-2.18</t>
  </si>
  <si>
    <t>32-2.01</t>
  </si>
  <si>
    <t>32-2.02</t>
  </si>
  <si>
    <t>32-2.03</t>
  </si>
  <si>
    <t>32-2.04</t>
  </si>
  <si>
    <t>32-2.05</t>
  </si>
  <si>
    <t>32-2.06</t>
  </si>
  <si>
    <t>32-2.07</t>
  </si>
  <si>
    <t>32-2.08</t>
  </si>
  <si>
    <t>32-2.09</t>
  </si>
  <si>
    <t>32-2.10</t>
  </si>
  <si>
    <t>32-2.11</t>
  </si>
  <si>
    <t>32-2.12</t>
  </si>
  <si>
    <t>32-2.13</t>
  </si>
  <si>
    <t>32-2.14</t>
  </si>
  <si>
    <t>32-2.15</t>
  </si>
  <si>
    <t>32-2.16</t>
  </si>
  <si>
    <t>32-2.17</t>
  </si>
  <si>
    <t>32-2.18</t>
  </si>
  <si>
    <t>32-2.19</t>
  </si>
  <si>
    <t>32-2.20</t>
  </si>
  <si>
    <t>33-2.01</t>
  </si>
  <si>
    <t>33-2.02</t>
  </si>
  <si>
    <t>33-2.03</t>
  </si>
  <si>
    <t>33-2.04</t>
  </si>
  <si>
    <t>33-2.05</t>
  </si>
  <si>
    <t>33-2.06</t>
  </si>
  <si>
    <t>33-2.07</t>
  </si>
  <si>
    <t>33-2.08</t>
  </si>
  <si>
    <t>33-2.09</t>
  </si>
  <si>
    <t>33-2.10</t>
  </si>
  <si>
    <t>33-2.12</t>
  </si>
  <si>
    <t>33-2.13</t>
  </si>
  <si>
    <t>33-2.14</t>
  </si>
  <si>
    <t>ZIC-02</t>
  </si>
  <si>
    <t>33-2.15</t>
  </si>
  <si>
    <t>33-2.16</t>
  </si>
  <si>
    <t>33-2.17</t>
  </si>
  <si>
    <t>33-2.18</t>
  </si>
  <si>
    <t>34-2.01</t>
  </si>
  <si>
    <t>S/A P50(CS)</t>
  </si>
  <si>
    <t>34-2.02</t>
  </si>
  <si>
    <t>34-2.03</t>
  </si>
  <si>
    <t>34-2.04</t>
  </si>
  <si>
    <t>MW-ISusp</t>
  </si>
  <si>
    <t>34-2.05</t>
  </si>
  <si>
    <t>34-2.06</t>
  </si>
  <si>
    <t>34-2.07</t>
  </si>
  <si>
    <t>34-2.08</t>
  </si>
  <si>
    <t>34-2.09</t>
  </si>
  <si>
    <t>34-2.10</t>
  </si>
  <si>
    <t>34-2.11</t>
  </si>
  <si>
    <t>34-2.12</t>
  </si>
  <si>
    <t>34-2.13</t>
  </si>
  <si>
    <t>34-2.14</t>
  </si>
  <si>
    <t>34-2.15</t>
  </si>
  <si>
    <t>34-2.16</t>
  </si>
  <si>
    <t>34-2.17</t>
  </si>
  <si>
    <t>34-2.18</t>
  </si>
  <si>
    <t>34-2.19</t>
  </si>
  <si>
    <t>34-2.20</t>
  </si>
  <si>
    <t>34-2.21</t>
  </si>
  <si>
    <t>34-2.22</t>
  </si>
  <si>
    <t>34-2.23</t>
  </si>
  <si>
    <t>34-2.24</t>
  </si>
  <si>
    <t>34-2.25</t>
  </si>
  <si>
    <t>34-2.26</t>
  </si>
  <si>
    <t>35-2.01</t>
  </si>
  <si>
    <t>35-2.02</t>
  </si>
  <si>
    <t>35-2.03</t>
  </si>
  <si>
    <t>35-2.04</t>
  </si>
  <si>
    <t>35-2.05</t>
  </si>
  <si>
    <t>35-2.06</t>
  </si>
  <si>
    <t>35-2.07</t>
  </si>
  <si>
    <t>35-2.08</t>
  </si>
  <si>
    <t>35-2.09</t>
  </si>
  <si>
    <t>35-2.10</t>
  </si>
  <si>
    <t>35-2.11</t>
  </si>
  <si>
    <t>ZIC-04</t>
  </si>
  <si>
    <t>35-2.12</t>
  </si>
  <si>
    <t>35-2.13</t>
  </si>
  <si>
    <t>35-2.14</t>
  </si>
  <si>
    <t>35-2.15</t>
  </si>
  <si>
    <t>35-2.16</t>
  </si>
  <si>
    <t>35-2.17</t>
  </si>
  <si>
    <t>35-2.18</t>
  </si>
  <si>
    <t>35-2.19</t>
  </si>
  <si>
    <t>35-2.20</t>
  </si>
  <si>
    <t>35-2.21</t>
  </si>
  <si>
    <t>36-2.01</t>
  </si>
  <si>
    <t>36-2.02</t>
  </si>
  <si>
    <t>36-2.03</t>
  </si>
  <si>
    <t>36-2.04</t>
  </si>
  <si>
    <t>36-2.05</t>
  </si>
  <si>
    <t>36-2.06</t>
  </si>
  <si>
    <t>36-2.07</t>
  </si>
  <si>
    <t>36-2.08</t>
  </si>
  <si>
    <t>36-2.09</t>
  </si>
  <si>
    <t>36-2.10</t>
  </si>
  <si>
    <t>36-2.11</t>
  </si>
  <si>
    <t>36-2.12</t>
  </si>
  <si>
    <t>36-2.13</t>
  </si>
  <si>
    <t>36-2.14</t>
  </si>
  <si>
    <t>36-2.15</t>
  </si>
  <si>
    <t>36-2.16</t>
  </si>
  <si>
    <t>36-2.17</t>
  </si>
  <si>
    <t>36-2.18</t>
  </si>
  <si>
    <t>36-2.19</t>
  </si>
  <si>
    <t>36-2.20</t>
  </si>
  <si>
    <t>37-2.01</t>
  </si>
  <si>
    <t>37-2.02</t>
  </si>
  <si>
    <t>37-2.03</t>
  </si>
  <si>
    <t>37-2.04</t>
  </si>
  <si>
    <t>37-2.05</t>
  </si>
  <si>
    <t>37-2.06</t>
  </si>
  <si>
    <t>37-2.07</t>
  </si>
  <si>
    <t>37-2.08</t>
  </si>
  <si>
    <t>37-2.09</t>
  </si>
  <si>
    <t>37-2.10</t>
  </si>
  <si>
    <t>37-2.11</t>
  </si>
  <si>
    <t>37-2.12</t>
  </si>
  <si>
    <t>37-2.13</t>
  </si>
  <si>
    <t>37-2.14</t>
  </si>
  <si>
    <t>37-2.15</t>
  </si>
  <si>
    <t>37-2.16</t>
  </si>
  <si>
    <t>37-2.17</t>
  </si>
  <si>
    <t>37-2.18</t>
  </si>
  <si>
    <t>37-2.19</t>
  </si>
  <si>
    <t>37-2.20</t>
  </si>
  <si>
    <t>38-2.01</t>
  </si>
  <si>
    <t>38-2.02</t>
  </si>
  <si>
    <t>38-2.03</t>
  </si>
  <si>
    <t>38-2.04</t>
  </si>
  <si>
    <t>38-2.05</t>
  </si>
  <si>
    <t>38-2.06</t>
  </si>
  <si>
    <t>38-2.07</t>
  </si>
  <si>
    <t>38-2.08</t>
  </si>
  <si>
    <t>38-2.09</t>
  </si>
  <si>
    <t>38-2.10</t>
  </si>
  <si>
    <t>38-2.11</t>
  </si>
  <si>
    <t>38-2.12</t>
  </si>
  <si>
    <t>38-2.13</t>
  </si>
  <si>
    <t>38-2.14</t>
  </si>
  <si>
    <t>38-2.15</t>
  </si>
  <si>
    <t>38-2.16</t>
  </si>
  <si>
    <t>38-2.17</t>
  </si>
  <si>
    <t>38-2.18</t>
  </si>
  <si>
    <t>38-2.19</t>
  </si>
  <si>
    <t>38-2.20</t>
  </si>
  <si>
    <t>38-2.21</t>
  </si>
  <si>
    <t>38-2.22</t>
  </si>
  <si>
    <t>38-2.23</t>
  </si>
  <si>
    <t>39-2.01</t>
  </si>
  <si>
    <t>39-2.02</t>
  </si>
  <si>
    <t>39-2.03</t>
  </si>
  <si>
    <t>39-2.04</t>
  </si>
  <si>
    <t>39-2.05</t>
  </si>
  <si>
    <t>39-2.06</t>
  </si>
  <si>
    <t>39-2.07</t>
  </si>
  <si>
    <t>39-2.08</t>
  </si>
  <si>
    <t>39-2.09</t>
  </si>
  <si>
    <t>39-2.10</t>
  </si>
  <si>
    <t>39-2.11</t>
  </si>
  <si>
    <t>39-2.12</t>
  </si>
  <si>
    <t>39-2.13</t>
  </si>
  <si>
    <t>39-2.14</t>
  </si>
  <si>
    <t>39-2.15</t>
  </si>
  <si>
    <t>39-2.16</t>
  </si>
  <si>
    <t>39-2.17</t>
  </si>
  <si>
    <t>39-2.18</t>
  </si>
  <si>
    <t>39-2.19</t>
  </si>
  <si>
    <t>BIN-02</t>
  </si>
  <si>
    <t>39-2.20</t>
  </si>
  <si>
    <t>39-2.21</t>
  </si>
  <si>
    <t>39-2.22</t>
  </si>
  <si>
    <t>40-2.01</t>
  </si>
  <si>
    <t>40-2.02</t>
  </si>
  <si>
    <t>40-2.03</t>
  </si>
  <si>
    <t>40-2.04</t>
  </si>
  <si>
    <t>40-2.05</t>
  </si>
  <si>
    <t>40-2.06</t>
  </si>
  <si>
    <t>40-2.07</t>
  </si>
  <si>
    <t>40-2.08</t>
  </si>
  <si>
    <t>40-2.09</t>
  </si>
  <si>
    <t>40-2.10</t>
  </si>
  <si>
    <t>40-2.11</t>
  </si>
  <si>
    <t>40-2.12</t>
  </si>
  <si>
    <t>40-2.13</t>
  </si>
  <si>
    <t>40-2.14</t>
  </si>
  <si>
    <t>40-2.15</t>
  </si>
  <si>
    <t>40-2.16</t>
  </si>
  <si>
    <t>40-2.17</t>
  </si>
  <si>
    <t>40-2.18</t>
  </si>
  <si>
    <t>40-2.19</t>
  </si>
  <si>
    <t>A/S-Diag S/A</t>
  </si>
  <si>
    <t>BIN-04</t>
  </si>
  <si>
    <t>40-2.20</t>
  </si>
  <si>
    <t>S/A S/A</t>
  </si>
  <si>
    <t>40-2.21</t>
  </si>
  <si>
    <t>40-2.22</t>
  </si>
  <si>
    <t>40-2.23</t>
  </si>
  <si>
    <t>40-2.24</t>
  </si>
  <si>
    <t>40-2.25</t>
  </si>
  <si>
    <t>40-2.26</t>
  </si>
  <si>
    <t>41-2.01</t>
  </si>
  <si>
    <t>41-2.02</t>
  </si>
  <si>
    <t>41-2.03</t>
  </si>
  <si>
    <t>41-2.04</t>
  </si>
  <si>
    <t>41-2.05</t>
  </si>
  <si>
    <t>MWISusp</t>
  </si>
  <si>
    <t>41-2.06</t>
  </si>
  <si>
    <t>41-2.07</t>
  </si>
  <si>
    <t>41-2.08</t>
  </si>
  <si>
    <t>41-2.09</t>
  </si>
  <si>
    <t>41-2.10</t>
  </si>
  <si>
    <t>41-2.11</t>
  </si>
  <si>
    <t>41-2.12</t>
  </si>
  <si>
    <t>41-2.13</t>
  </si>
  <si>
    <t>41-2.14</t>
  </si>
  <si>
    <t xml:space="preserve"> </t>
  </si>
  <si>
    <t>41-2.15</t>
  </si>
  <si>
    <t>41-2.16</t>
  </si>
  <si>
    <t>41-2.17</t>
  </si>
  <si>
    <t>BIN-12</t>
  </si>
  <si>
    <t>41-2.18</t>
  </si>
  <si>
    <t>41-2.19</t>
  </si>
  <si>
    <t>41-2.20</t>
  </si>
  <si>
    <t>42-2.01</t>
  </si>
  <si>
    <t>42-2.02</t>
  </si>
  <si>
    <t>42-2.03</t>
  </si>
  <si>
    <t>42-2.04</t>
  </si>
  <si>
    <t>42-2.05</t>
  </si>
  <si>
    <t>42-2.06</t>
  </si>
  <si>
    <t>42-2.07</t>
  </si>
  <si>
    <t>42-2.08</t>
  </si>
  <si>
    <t>42-2.09</t>
  </si>
  <si>
    <t>42-2.10</t>
  </si>
  <si>
    <t>42-2.11</t>
  </si>
  <si>
    <t>42-2.12</t>
  </si>
  <si>
    <t>42-2.13</t>
  </si>
  <si>
    <t>42-2.14</t>
  </si>
  <si>
    <t>42-2.15</t>
  </si>
  <si>
    <t>42-2.16</t>
  </si>
  <si>
    <t>42-2.16BIS</t>
  </si>
  <si>
    <t>42-2.17</t>
  </si>
  <si>
    <t>42-2.18</t>
  </si>
  <si>
    <t>42-2.19</t>
  </si>
  <si>
    <t>43-2.01</t>
  </si>
  <si>
    <t>43-2.02</t>
  </si>
  <si>
    <t>43-2.03</t>
  </si>
  <si>
    <t>43-2.04</t>
  </si>
  <si>
    <t>43-2.05</t>
  </si>
  <si>
    <t>43-2.06</t>
  </si>
  <si>
    <t>43-2.07</t>
  </si>
  <si>
    <t>43-2.08</t>
  </si>
  <si>
    <t>43-2.09</t>
  </si>
  <si>
    <t>43-2.10</t>
  </si>
  <si>
    <t>43-2.11</t>
  </si>
  <si>
    <t>43-2.12</t>
  </si>
  <si>
    <t>43-2.13</t>
  </si>
  <si>
    <t>43-2.14</t>
  </si>
  <si>
    <t>43-2.15</t>
  </si>
  <si>
    <t>43-2.16</t>
  </si>
  <si>
    <t>43-2.17</t>
  </si>
  <si>
    <t>44-2.01</t>
  </si>
  <si>
    <t>44-2.02</t>
  </si>
  <si>
    <t>44-2.03</t>
  </si>
  <si>
    <t>44-2.04</t>
  </si>
  <si>
    <t>44-2.05</t>
  </si>
  <si>
    <t>44-2.06</t>
  </si>
  <si>
    <t>44-2.07</t>
  </si>
  <si>
    <t>44-2.08</t>
  </si>
  <si>
    <t>44-2.09</t>
  </si>
  <si>
    <t>44-2.10</t>
  </si>
  <si>
    <t>44-2.11</t>
  </si>
  <si>
    <t>44-2.12</t>
  </si>
  <si>
    <t>44-2.13</t>
  </si>
  <si>
    <t>44-2.14</t>
  </si>
  <si>
    <t>44-2.15</t>
  </si>
  <si>
    <t>44-2.16</t>
  </si>
  <si>
    <t>44-2.17</t>
  </si>
  <si>
    <t>44-2.18</t>
  </si>
  <si>
    <t>44-2.19</t>
  </si>
  <si>
    <t>45-2.01</t>
  </si>
  <si>
    <t>45-2.02</t>
  </si>
  <si>
    <t>45-2.03</t>
  </si>
  <si>
    <t>45-2.04</t>
  </si>
  <si>
    <t>45-2.05</t>
  </si>
  <si>
    <t>45-2.06</t>
  </si>
  <si>
    <t>REM-02</t>
  </si>
  <si>
    <t>45-2.07</t>
  </si>
  <si>
    <t>45-2.08</t>
  </si>
  <si>
    <t>45-2.09</t>
  </si>
  <si>
    <t>45-2.10</t>
  </si>
  <si>
    <t>45-2.11</t>
  </si>
  <si>
    <t>45-2.12</t>
  </si>
  <si>
    <t>45-2.13</t>
  </si>
  <si>
    <t>45-2.14</t>
  </si>
  <si>
    <t>45-2.15</t>
  </si>
  <si>
    <t>45-2.16</t>
  </si>
  <si>
    <t>45-2.17</t>
  </si>
  <si>
    <t>45-2.18</t>
  </si>
  <si>
    <t>45-2.19</t>
  </si>
  <si>
    <t>45-2.20</t>
  </si>
  <si>
    <t>45-2.21</t>
  </si>
  <si>
    <t>45-2.22</t>
  </si>
  <si>
    <t>45-2.23</t>
  </si>
  <si>
    <t>45-2.24</t>
  </si>
  <si>
    <t>REM-06</t>
  </si>
  <si>
    <t>46-2.01</t>
  </si>
  <si>
    <t>46-2.02</t>
  </si>
  <si>
    <t>46-2.03</t>
  </si>
  <si>
    <t>46-2.04</t>
  </si>
  <si>
    <t>46-2.05</t>
  </si>
  <si>
    <t>46-2.06</t>
  </si>
  <si>
    <t>46-2.07</t>
  </si>
  <si>
    <t>46-2.08</t>
  </si>
  <si>
    <t>46-2.09</t>
  </si>
  <si>
    <t>46-2.10</t>
  </si>
  <si>
    <t>46-2.11</t>
  </si>
  <si>
    <t>46-2.12</t>
  </si>
  <si>
    <t>46-2.13</t>
  </si>
  <si>
    <t>46-2.14</t>
  </si>
  <si>
    <t>46-2.15</t>
  </si>
  <si>
    <t>46-2.16</t>
  </si>
  <si>
    <t>46-2.17</t>
  </si>
  <si>
    <t>46-2.18</t>
  </si>
  <si>
    <t>46-2.19</t>
  </si>
  <si>
    <t>47-2.01</t>
  </si>
  <si>
    <t>47-2.02</t>
  </si>
  <si>
    <t>47-2.03</t>
  </si>
  <si>
    <t>47-2.04</t>
  </si>
  <si>
    <t>47-2.05</t>
  </si>
  <si>
    <t>47-2.06</t>
  </si>
  <si>
    <t>47-2.07</t>
  </si>
  <si>
    <t>47-2.08</t>
  </si>
  <si>
    <t>47-2.09</t>
  </si>
  <si>
    <t>47-2.10</t>
  </si>
  <si>
    <t>47-2.11</t>
  </si>
  <si>
    <t>47-2.12</t>
  </si>
  <si>
    <t>47-2.13</t>
  </si>
  <si>
    <t>47-2.14</t>
  </si>
  <si>
    <t>47-2.15</t>
  </si>
  <si>
    <t>47-2.16</t>
  </si>
  <si>
    <t>47-2.17</t>
  </si>
  <si>
    <t>47-2.18</t>
  </si>
  <si>
    <t>47-2.19</t>
  </si>
  <si>
    <t>47-2.20</t>
  </si>
  <si>
    <t>48-2.01</t>
  </si>
  <si>
    <t>48-2.02</t>
  </si>
  <si>
    <t>REM-08</t>
  </si>
  <si>
    <t>48-2.03</t>
  </si>
  <si>
    <t>48-2.04</t>
  </si>
  <si>
    <t>48-2.05</t>
  </si>
  <si>
    <t>48-2.06</t>
  </si>
  <si>
    <t>48-2.07</t>
  </si>
  <si>
    <t>48-2.08</t>
  </si>
  <si>
    <t>48-2.09</t>
  </si>
  <si>
    <t>48-2.10</t>
  </si>
  <si>
    <t>48-2.11</t>
  </si>
  <si>
    <t>48-2.12</t>
  </si>
  <si>
    <t>48-2.13</t>
  </si>
  <si>
    <t>48-2.14</t>
  </si>
  <si>
    <t>48-2.15</t>
  </si>
  <si>
    <t>48-2.16</t>
  </si>
  <si>
    <t>48-2.17</t>
  </si>
  <si>
    <t>48-2.18</t>
  </si>
  <si>
    <t>48-2.19</t>
  </si>
  <si>
    <t>48-2.20</t>
  </si>
  <si>
    <t>48-2.21</t>
  </si>
  <si>
    <t>48-2.22</t>
  </si>
  <si>
    <t>49-2.01</t>
  </si>
  <si>
    <t>49-2.02</t>
  </si>
  <si>
    <t>49-2.04</t>
  </si>
  <si>
    <t>49-2.05</t>
  </si>
  <si>
    <t>49-2.07</t>
  </si>
  <si>
    <t>49-2.09</t>
  </si>
  <si>
    <t>49-2.10</t>
  </si>
  <si>
    <t>49-2.11</t>
  </si>
  <si>
    <t>49-2.12</t>
  </si>
  <si>
    <t>49-2.13</t>
  </si>
  <si>
    <t>49-2.14</t>
  </si>
  <si>
    <t>49-2.15</t>
  </si>
  <si>
    <t>49-2.16</t>
  </si>
  <si>
    <t>49-2.17</t>
  </si>
  <si>
    <t>49-2.18</t>
  </si>
  <si>
    <t>49-2.19</t>
  </si>
  <si>
    <t>49-219BIS</t>
  </si>
  <si>
    <t>PAR-NS2</t>
  </si>
  <si>
    <t>49-2.20</t>
  </si>
  <si>
    <t>PAR-B01</t>
  </si>
  <si>
    <t>49-2.20BIS</t>
  </si>
  <si>
    <t>PAR-NS4</t>
  </si>
  <si>
    <t>49-2.21</t>
  </si>
  <si>
    <t>49-2.22</t>
  </si>
  <si>
    <t>PAR-B02</t>
  </si>
  <si>
    <t>49-2.22BIS</t>
  </si>
  <si>
    <t>PAR-NS6</t>
  </si>
  <si>
    <t>49-2.23</t>
  </si>
  <si>
    <t>49-2.23BIS</t>
  </si>
  <si>
    <t>49-2.24</t>
  </si>
  <si>
    <t>50-2.01</t>
  </si>
  <si>
    <t>50-2.02</t>
  </si>
  <si>
    <t>50-2.03</t>
  </si>
  <si>
    <t>50-2.04</t>
  </si>
  <si>
    <t>50-2.05</t>
  </si>
  <si>
    <t>50-2.06</t>
  </si>
  <si>
    <t>50-2.07</t>
  </si>
  <si>
    <t>50-2.08</t>
  </si>
  <si>
    <t>50-2.09</t>
  </si>
  <si>
    <t>50-2.10</t>
  </si>
  <si>
    <t>50-2.11</t>
  </si>
  <si>
    <t>50-2.12</t>
  </si>
  <si>
    <t>50-2.13</t>
  </si>
  <si>
    <t>50-2.14</t>
  </si>
  <si>
    <t>50-2.15</t>
  </si>
  <si>
    <t>50-2.16</t>
  </si>
  <si>
    <t>50-2.17</t>
  </si>
  <si>
    <t>50-2.18</t>
  </si>
  <si>
    <t>51-2.01</t>
  </si>
  <si>
    <t>51-2.02</t>
  </si>
  <si>
    <t>51-2.03</t>
  </si>
  <si>
    <t>51-2.04</t>
  </si>
  <si>
    <t>51-2.05</t>
  </si>
  <si>
    <t>51-2.06</t>
  </si>
  <si>
    <t>51-2.07</t>
  </si>
  <si>
    <t>51-2.08</t>
  </si>
  <si>
    <t>HAD-02</t>
  </si>
  <si>
    <t>51-2.09</t>
  </si>
  <si>
    <t>51-2.10</t>
  </si>
  <si>
    <t>51-2.11</t>
  </si>
  <si>
    <t>51-2.12</t>
  </si>
  <si>
    <t>51-2.13</t>
  </si>
  <si>
    <t>P50(CS) A/S-Diag</t>
  </si>
  <si>
    <t>51-2.14</t>
  </si>
  <si>
    <t>51-2.15</t>
  </si>
  <si>
    <t>51-2.16</t>
  </si>
  <si>
    <t>HEB-360PL</t>
  </si>
  <si>
    <t>51-2.17</t>
  </si>
  <si>
    <t>51-2.18</t>
  </si>
  <si>
    <t/>
  </si>
  <si>
    <t>51-2.19</t>
  </si>
  <si>
    <t>51-2.20</t>
  </si>
  <si>
    <t>51-2.21</t>
  </si>
  <si>
    <t>51-2.22</t>
  </si>
  <si>
    <t>52-2.01</t>
  </si>
  <si>
    <t>52-2.02</t>
  </si>
  <si>
    <t>52-2.03</t>
  </si>
  <si>
    <t>52-2.04</t>
  </si>
  <si>
    <t>52-2.05</t>
  </si>
  <si>
    <t>52-2.06</t>
  </si>
  <si>
    <t>52-2.07</t>
  </si>
  <si>
    <t>52-2.08</t>
  </si>
  <si>
    <t>52-2.09</t>
  </si>
  <si>
    <t>52-2.10</t>
  </si>
  <si>
    <t>52-2.11</t>
  </si>
  <si>
    <t>52-2.12</t>
  </si>
  <si>
    <t>52-2.13</t>
  </si>
  <si>
    <t>52-2.14</t>
  </si>
  <si>
    <t>HAD-04</t>
  </si>
  <si>
    <t>52-2.15</t>
  </si>
  <si>
    <t>52-2.16</t>
  </si>
  <si>
    <t>52-2.17</t>
  </si>
  <si>
    <t>52-2.18</t>
  </si>
  <si>
    <t>52-2.19</t>
  </si>
  <si>
    <t>52-2.20</t>
  </si>
  <si>
    <t>52-2.21</t>
  </si>
  <si>
    <t>52-2.22</t>
  </si>
  <si>
    <t>52-2.23</t>
  </si>
  <si>
    <t>53-2.01</t>
  </si>
  <si>
    <t>53-2.02</t>
  </si>
  <si>
    <t>53-2.03</t>
  </si>
  <si>
    <t>53-2.04</t>
  </si>
  <si>
    <t>53-2.05</t>
  </si>
  <si>
    <t>53-2.06</t>
  </si>
  <si>
    <t>53-2.07</t>
  </si>
  <si>
    <t>53-2.08</t>
  </si>
  <si>
    <t>53-2.09</t>
  </si>
  <si>
    <t>53-2.10</t>
  </si>
  <si>
    <t>53-2.11</t>
  </si>
  <si>
    <t>53-2.12</t>
  </si>
  <si>
    <t>53-2.13</t>
  </si>
  <si>
    <t>53-2.14</t>
  </si>
  <si>
    <t>53-2.15</t>
  </si>
  <si>
    <t>53-2.16</t>
  </si>
  <si>
    <t>53-2.17</t>
  </si>
  <si>
    <t>53-2.18</t>
  </si>
  <si>
    <t>53-2.19</t>
  </si>
  <si>
    <t>54-2.01</t>
  </si>
  <si>
    <t>54-2.02</t>
  </si>
  <si>
    <t>54-2.03</t>
  </si>
  <si>
    <t>54-2.04</t>
  </si>
  <si>
    <t>54-2.05</t>
  </si>
  <si>
    <t>54-2.06</t>
  </si>
  <si>
    <t>54-2.07</t>
  </si>
  <si>
    <t>54-2.08</t>
  </si>
  <si>
    <t>54-2.09</t>
  </si>
  <si>
    <t>54-2.10</t>
  </si>
  <si>
    <t>54-2.11</t>
  </si>
  <si>
    <t>54-2.12</t>
  </si>
  <si>
    <t>54-2.13</t>
  </si>
  <si>
    <t>54-2.14</t>
  </si>
  <si>
    <t>54-2.15</t>
  </si>
  <si>
    <t>54-2.16</t>
  </si>
  <si>
    <t>54-2.17</t>
  </si>
  <si>
    <t>54-2.18</t>
  </si>
  <si>
    <t>55-2.01</t>
  </si>
  <si>
    <t>55-2.02</t>
  </si>
  <si>
    <t>55-2.03</t>
  </si>
  <si>
    <t>55-2.04</t>
  </si>
  <si>
    <t>55-2.05</t>
  </si>
  <si>
    <t>55-2.06</t>
  </si>
  <si>
    <t>55-2.07</t>
  </si>
  <si>
    <t>55-2.08</t>
  </si>
  <si>
    <t>55-2.09</t>
  </si>
  <si>
    <t>55-2.10</t>
  </si>
  <si>
    <t>55-2.11</t>
  </si>
  <si>
    <t>55-2.12</t>
  </si>
  <si>
    <t>55-2.13</t>
  </si>
  <si>
    <t>55-2.14</t>
  </si>
  <si>
    <t>55-2.15</t>
  </si>
  <si>
    <t>55-2.16</t>
  </si>
  <si>
    <t>56-2.01</t>
  </si>
  <si>
    <t>56-2.02</t>
  </si>
  <si>
    <t>56-2.03</t>
  </si>
  <si>
    <t>56-2.04</t>
  </si>
  <si>
    <t>56-2.05</t>
  </si>
  <si>
    <t>56-2.06</t>
  </si>
  <si>
    <t>56-2.07</t>
  </si>
  <si>
    <t>56-2.08</t>
  </si>
  <si>
    <t>56-2.09</t>
  </si>
  <si>
    <t>56-2.10</t>
  </si>
  <si>
    <t>56-2.11</t>
  </si>
  <si>
    <t>56-2.12</t>
  </si>
  <si>
    <t>56-2.13</t>
  </si>
  <si>
    <t>56-2.14</t>
  </si>
  <si>
    <t>56-2.15</t>
  </si>
  <si>
    <t>56-2.16</t>
  </si>
  <si>
    <t>56-2.17</t>
  </si>
  <si>
    <t>57-2.01</t>
  </si>
  <si>
    <t>57-2.02</t>
  </si>
  <si>
    <t>57-2.03</t>
  </si>
  <si>
    <t>57-2.04</t>
  </si>
  <si>
    <t>57-2.05</t>
  </si>
  <si>
    <t>57-2.06</t>
  </si>
  <si>
    <t>57-2.07</t>
  </si>
  <si>
    <t>57-2.08</t>
  </si>
  <si>
    <t>57-2.09</t>
  </si>
  <si>
    <t>57-2.10</t>
  </si>
  <si>
    <t>57-2.11</t>
  </si>
  <si>
    <t>57-2.12</t>
  </si>
  <si>
    <t>KFA-02</t>
  </si>
  <si>
    <t>57-2.13</t>
  </si>
  <si>
    <t>57-2.14</t>
  </si>
  <si>
    <t>57-2.15</t>
  </si>
  <si>
    <t>57-2.16</t>
  </si>
  <si>
    <t>57-2.16BIS</t>
  </si>
  <si>
    <t>57-2.17</t>
  </si>
  <si>
    <t>S/A P30(CS)</t>
  </si>
  <si>
    <t>58-2.01</t>
  </si>
  <si>
    <t>P55(CS)</t>
  </si>
  <si>
    <t>58-2.02</t>
  </si>
  <si>
    <t>58-2.03</t>
  </si>
  <si>
    <t>58-2.04</t>
  </si>
  <si>
    <t>58-2.05</t>
  </si>
  <si>
    <t>58-2.06</t>
  </si>
  <si>
    <t>58-2.07</t>
  </si>
  <si>
    <t>58-2.08</t>
  </si>
  <si>
    <t>58-2.09</t>
  </si>
  <si>
    <t>58-2.10</t>
  </si>
  <si>
    <t>58-2.11</t>
  </si>
  <si>
    <t>58-2.12</t>
  </si>
  <si>
    <t>58-2.13</t>
  </si>
  <si>
    <t>58-2.14</t>
  </si>
  <si>
    <t>58-2.15</t>
  </si>
  <si>
    <t>58-2.16</t>
  </si>
  <si>
    <t>58-2.17</t>
  </si>
  <si>
    <t>KFA-04</t>
  </si>
  <si>
    <t>58-2.18</t>
  </si>
  <si>
    <t>58-2.19</t>
  </si>
  <si>
    <t>58-2.20</t>
  </si>
  <si>
    <t>58-2.21</t>
  </si>
  <si>
    <t>58-2.22</t>
  </si>
  <si>
    <t>58-2.23</t>
  </si>
  <si>
    <t>58-2.24</t>
  </si>
  <si>
    <t>59-2.01</t>
  </si>
  <si>
    <t>59-2.02</t>
  </si>
  <si>
    <t>59-2.03</t>
  </si>
  <si>
    <t>59-2.04</t>
  </si>
  <si>
    <t>59-2.05</t>
  </si>
  <si>
    <t>A/S-Diag A/S</t>
  </si>
  <si>
    <t>KFA-06</t>
  </si>
  <si>
    <t>59-2.06</t>
  </si>
  <si>
    <t>59-2.07</t>
  </si>
  <si>
    <t>59-2.08</t>
  </si>
  <si>
    <t>59-2.09</t>
  </si>
  <si>
    <t>59-2.10</t>
  </si>
  <si>
    <t>59-2.11</t>
  </si>
  <si>
    <t>59-2.12</t>
  </si>
  <si>
    <t>59-2.13</t>
  </si>
  <si>
    <t>59-2.14</t>
  </si>
  <si>
    <t>59-2.15</t>
  </si>
  <si>
    <t>59-2.15A</t>
  </si>
  <si>
    <t>HFT-B01</t>
  </si>
  <si>
    <t>59-2.15B</t>
  </si>
  <si>
    <t>59-2.16</t>
  </si>
  <si>
    <t>59-2.19</t>
  </si>
  <si>
    <t>59-2.20</t>
  </si>
  <si>
    <t>59-2.21</t>
  </si>
  <si>
    <t>59-2.22</t>
  </si>
  <si>
    <t>59-2.23</t>
  </si>
  <si>
    <t>60-2.01</t>
  </si>
  <si>
    <t>60-2.02</t>
  </si>
  <si>
    <t>60-2.03</t>
  </si>
  <si>
    <t>60-2.04</t>
  </si>
  <si>
    <t>60-2.05</t>
  </si>
  <si>
    <t>60-2.06</t>
  </si>
  <si>
    <t>60-2.07</t>
  </si>
  <si>
    <t>60-2.08</t>
  </si>
  <si>
    <t>60-2.09</t>
  </si>
  <si>
    <t>60-2.10</t>
  </si>
  <si>
    <t>PT</t>
  </si>
  <si>
    <t>60-2.11</t>
  </si>
  <si>
    <t>60-2.11BIS</t>
  </si>
  <si>
    <t>HFT-NS2</t>
  </si>
  <si>
    <t>60-2.12</t>
  </si>
  <si>
    <t>HFT-NS4</t>
  </si>
  <si>
    <t>60-2.13</t>
  </si>
  <si>
    <t>60-2.14</t>
  </si>
  <si>
    <t>HFT-FP1.2-2</t>
  </si>
  <si>
    <t>60-2.15</t>
  </si>
  <si>
    <t>HFT-B02</t>
  </si>
  <si>
    <t>60-2.16</t>
  </si>
  <si>
    <t>HFT-NS6</t>
  </si>
  <si>
    <t>60-2.17</t>
  </si>
  <si>
    <t>60-2.17BIS</t>
  </si>
  <si>
    <t>60-2.18</t>
  </si>
  <si>
    <t>TRACK 3 ZIC</t>
  </si>
  <si>
    <t>33-3.17</t>
  </si>
  <si>
    <t>2HEB-320(A)</t>
  </si>
  <si>
    <t>33-3.18</t>
  </si>
  <si>
    <t>34-3.01</t>
  </si>
  <si>
    <t>ZIC-06</t>
  </si>
  <si>
    <t>34-3.02</t>
  </si>
  <si>
    <t>S/A P60(CS)</t>
  </si>
  <si>
    <t>34-3.03</t>
  </si>
  <si>
    <t>34-3.04</t>
  </si>
  <si>
    <t>34-3.05</t>
  </si>
  <si>
    <t>34-3.06</t>
  </si>
  <si>
    <t>34-3.07</t>
  </si>
  <si>
    <t>34-3.08</t>
  </si>
  <si>
    <t>34-3.09</t>
  </si>
  <si>
    <t>34-3.10</t>
  </si>
  <si>
    <t>34-3.11</t>
  </si>
  <si>
    <t>34-3.12</t>
  </si>
  <si>
    <t>34-3.13</t>
  </si>
  <si>
    <t>34-3.14</t>
  </si>
  <si>
    <t>34-3.15</t>
  </si>
  <si>
    <t>34-3.16</t>
  </si>
  <si>
    <t>34-3.17</t>
  </si>
  <si>
    <t>34-3.18</t>
  </si>
  <si>
    <t>34-3.19</t>
  </si>
  <si>
    <t>34-3.20</t>
  </si>
  <si>
    <t>34-3.21</t>
  </si>
  <si>
    <t>34-3.22</t>
  </si>
  <si>
    <t>34-3.23</t>
  </si>
  <si>
    <t>34-3.24</t>
  </si>
  <si>
    <t>34-3.25</t>
  </si>
  <si>
    <t>34-3.26</t>
  </si>
  <si>
    <t>35-3.01</t>
  </si>
  <si>
    <t>35-3.02</t>
  </si>
  <si>
    <t>35-3.03</t>
  </si>
  <si>
    <t>35-3.04</t>
  </si>
  <si>
    <t>35-3.05</t>
  </si>
  <si>
    <t>35-3.06</t>
  </si>
  <si>
    <t>35-3.07</t>
  </si>
  <si>
    <t>TRACK 4 ZIC</t>
  </si>
  <si>
    <t>34-4.04</t>
  </si>
  <si>
    <t>ZIC-08</t>
  </si>
  <si>
    <t>34-4.05</t>
  </si>
  <si>
    <t>34-4.06</t>
  </si>
  <si>
    <t>34-4.07</t>
  </si>
  <si>
    <t>34-4.08</t>
  </si>
  <si>
    <t>34-4.09</t>
  </si>
  <si>
    <t>34-4.10</t>
  </si>
  <si>
    <t>34-4.11</t>
  </si>
  <si>
    <t>34-4.12</t>
  </si>
  <si>
    <t>34-4.13</t>
  </si>
  <si>
    <t>34-4.14</t>
  </si>
  <si>
    <t>34-4.15</t>
  </si>
  <si>
    <t>34-4.16</t>
  </si>
  <si>
    <t>34-4.17</t>
  </si>
  <si>
    <t>TRACK 3 BIN</t>
  </si>
  <si>
    <t>40-3.19</t>
  </si>
  <si>
    <t>40-3.20</t>
  </si>
  <si>
    <t>40-3.21</t>
  </si>
  <si>
    <t>40-3.22</t>
  </si>
  <si>
    <t>BIN-06</t>
  </si>
  <si>
    <t>40-3.23</t>
  </si>
  <si>
    <t>40-3.24</t>
  </si>
  <si>
    <t>P50(CS) S/A A/S-Diag</t>
  </si>
  <si>
    <t>40-3.25</t>
  </si>
  <si>
    <t>40-3.26</t>
  </si>
  <si>
    <t>41-3.01</t>
  </si>
  <si>
    <t>41-3.02</t>
  </si>
  <si>
    <t>41-3.03</t>
  </si>
  <si>
    <t>41-3.04</t>
  </si>
  <si>
    <t>41-3.05</t>
  </si>
  <si>
    <t>41-3.06</t>
  </si>
  <si>
    <t>41-3.07</t>
  </si>
  <si>
    <t>POLE TRACK 02</t>
  </si>
  <si>
    <t>41-3.08</t>
  </si>
  <si>
    <t>41-3.09</t>
  </si>
  <si>
    <t>41-3.10</t>
  </si>
  <si>
    <t>S/A P50(CS) A/S-Diag</t>
  </si>
  <si>
    <t>EMT1</t>
  </si>
  <si>
    <t>41-3.11</t>
  </si>
  <si>
    <t>41-3.12</t>
  </si>
  <si>
    <t>A/S-Diag A/S-Diag</t>
  </si>
  <si>
    <t>41-3.13</t>
  </si>
  <si>
    <t>41-3.14</t>
  </si>
  <si>
    <t>41-3.15</t>
  </si>
  <si>
    <t>41-3.16</t>
  </si>
  <si>
    <t>41-3.17</t>
  </si>
  <si>
    <t>POLE TRACK02</t>
  </si>
  <si>
    <t>TRACK 4 BIN</t>
  </si>
  <si>
    <t>BIN-08</t>
  </si>
  <si>
    <t>40-4.25</t>
  </si>
  <si>
    <t>A/S-Diag P50(CS)</t>
  </si>
  <si>
    <t>40-4.26</t>
  </si>
  <si>
    <t>41-4.01</t>
  </si>
  <si>
    <t>41-4.02</t>
  </si>
  <si>
    <t>41-4.03</t>
  </si>
  <si>
    <t>41-4.04</t>
  </si>
  <si>
    <t>41-4.05</t>
  </si>
  <si>
    <t>41-4.06</t>
  </si>
  <si>
    <t>41-4.07</t>
  </si>
  <si>
    <t>41-4.08</t>
  </si>
  <si>
    <t>41-4.09</t>
  </si>
  <si>
    <t>TRACK 5 BIN</t>
  </si>
  <si>
    <t>BIN-10</t>
  </si>
  <si>
    <t>40-5.26</t>
  </si>
  <si>
    <t>41-5.01</t>
  </si>
  <si>
    <t>HEB-300</t>
  </si>
  <si>
    <t>EMT2</t>
  </si>
  <si>
    <t>41-5.01BIS</t>
  </si>
  <si>
    <t>41-5.02</t>
  </si>
  <si>
    <t>41-5.02BIS</t>
  </si>
  <si>
    <t>41-5.03</t>
  </si>
  <si>
    <t>41-5.03BIS</t>
  </si>
  <si>
    <t>41-5.04</t>
  </si>
  <si>
    <t>41-5.05</t>
  </si>
  <si>
    <t>41-5.06</t>
  </si>
  <si>
    <t>41-5.06BIS</t>
  </si>
  <si>
    <t>41-5.07</t>
  </si>
  <si>
    <t>41-5.08</t>
  </si>
  <si>
    <t>TRACK 3 HAD</t>
  </si>
  <si>
    <t>51-3.14</t>
  </si>
  <si>
    <t>CP/TX-P/1100</t>
  </si>
  <si>
    <t>HAD-06</t>
  </si>
  <si>
    <t>51-3.15</t>
  </si>
  <si>
    <t>51-3.16</t>
  </si>
  <si>
    <t xml:space="preserve">P50(CS) </t>
  </si>
  <si>
    <t>51-3.17</t>
  </si>
  <si>
    <t>51-3.18</t>
  </si>
  <si>
    <t>51-3.19</t>
  </si>
  <si>
    <t>51-3.20</t>
  </si>
  <si>
    <t>51-3.21</t>
  </si>
  <si>
    <t>51-3.22</t>
  </si>
  <si>
    <t>HEB-450LL</t>
  </si>
  <si>
    <t>SP1R</t>
  </si>
  <si>
    <t>52-3.01</t>
  </si>
  <si>
    <t>52-3.02</t>
  </si>
  <si>
    <t>52-3.03</t>
  </si>
  <si>
    <t>52-3.04</t>
  </si>
  <si>
    <t>52-3.05</t>
  </si>
  <si>
    <t>52-3.06</t>
  </si>
  <si>
    <t>52-3.07</t>
  </si>
  <si>
    <t>AnMP
(Track 02)</t>
  </si>
  <si>
    <t>52-3.08</t>
  </si>
  <si>
    <t>52-3.09</t>
  </si>
  <si>
    <t>52-3.10</t>
  </si>
  <si>
    <t>52-3.10BIS</t>
  </si>
  <si>
    <t>52-3.11</t>
  </si>
  <si>
    <t>52-3.12</t>
  </si>
  <si>
    <t>52-3.13</t>
  </si>
  <si>
    <t>52-3.13BIS</t>
  </si>
  <si>
    <t>52-3.14</t>
  </si>
  <si>
    <t>52-3.15</t>
  </si>
  <si>
    <t>52-3.16</t>
  </si>
  <si>
    <t>52-3.17</t>
  </si>
  <si>
    <t>52-3.18</t>
  </si>
  <si>
    <t>TRACK 3 KFA</t>
  </si>
  <si>
    <t>57-3.16BIS</t>
  </si>
  <si>
    <t>57-3.17</t>
  </si>
  <si>
    <t>58-3.01</t>
  </si>
  <si>
    <t>58-3.02</t>
  </si>
  <si>
    <t>KFA-B01</t>
  </si>
  <si>
    <t>58-3.03</t>
  </si>
  <si>
    <t>58-3.04</t>
  </si>
  <si>
    <t>58-3.05</t>
  </si>
  <si>
    <t>58-3.06</t>
  </si>
  <si>
    <t>58-3.07</t>
  </si>
  <si>
    <t>58-3.08</t>
  </si>
  <si>
    <t>58-3.09</t>
  </si>
  <si>
    <t>58-3.10</t>
  </si>
  <si>
    <t>58-3.11</t>
  </si>
  <si>
    <t>58-3.12</t>
  </si>
  <si>
    <t>58-3.13</t>
  </si>
  <si>
    <t>58-3.14</t>
  </si>
  <si>
    <t>58-3.15</t>
  </si>
  <si>
    <t>58-3.16</t>
  </si>
  <si>
    <t>58-3.17</t>
  </si>
  <si>
    <t>58-3.18</t>
  </si>
  <si>
    <t>58-3.19</t>
  </si>
  <si>
    <t>58-3.20</t>
  </si>
  <si>
    <t>58-3.21</t>
  </si>
  <si>
    <t>58-3.22</t>
  </si>
  <si>
    <t>58-3.23</t>
  </si>
  <si>
    <t>58-3.23BIS</t>
  </si>
  <si>
    <t>TRACK 04 KFA</t>
  </si>
  <si>
    <t>57-4.16</t>
  </si>
  <si>
    <t>57-4.17</t>
  </si>
  <si>
    <t>58-4.01</t>
  </si>
  <si>
    <t>58-4.02</t>
  </si>
  <si>
    <t>58-4.02BIS</t>
  </si>
  <si>
    <t>P90</t>
  </si>
  <si>
    <t>KFA-B02</t>
  </si>
  <si>
    <t>58-4.03</t>
  </si>
  <si>
    <t>58-4.04</t>
  </si>
  <si>
    <t>58-4.05</t>
  </si>
  <si>
    <t>58-4.06</t>
  </si>
  <si>
    <t>58-4.07</t>
  </si>
  <si>
    <t>58-4.08</t>
  </si>
  <si>
    <t>58-4.09</t>
  </si>
  <si>
    <t>58-4.10</t>
  </si>
  <si>
    <t>58-4.11</t>
  </si>
  <si>
    <t>58-4.12</t>
  </si>
  <si>
    <t>58-4.13</t>
  </si>
  <si>
    <t>58-4.14</t>
  </si>
  <si>
    <t>58-4.15</t>
  </si>
  <si>
    <t>58-4.16</t>
  </si>
  <si>
    <t>58-4.17</t>
  </si>
  <si>
    <t>58-4.18</t>
  </si>
  <si>
    <t>58-4.19</t>
  </si>
  <si>
    <t>POLE TRACK 2</t>
  </si>
  <si>
    <t>58-4.20</t>
  </si>
  <si>
    <t>58-4.21</t>
  </si>
  <si>
    <t>A/S Diag</t>
  </si>
  <si>
    <t>58-4.22</t>
  </si>
  <si>
    <t>58-4.23</t>
  </si>
  <si>
    <t>58-4.24</t>
  </si>
  <si>
    <t>58-4.25</t>
  </si>
  <si>
    <t>58-4.24 BIS</t>
  </si>
  <si>
    <t>59-4.01</t>
  </si>
  <si>
    <t>SECT-1</t>
  </si>
  <si>
    <t>59-4.02</t>
  </si>
  <si>
    <t>VERSION</t>
  </si>
  <si>
    <t>App.7</t>
  </si>
  <si>
    <t>V11I</t>
  </si>
  <si>
    <t>Poles without SCADA</t>
  </si>
  <si>
    <t>App.8</t>
  </si>
  <si>
    <t>V08H</t>
  </si>
  <si>
    <t>Poles for OCS Portal</t>
  </si>
  <si>
    <t>Appendix 7 Poles</t>
  </si>
  <si>
    <t>FOR EP-01 TO EP-14 AND EP-16 (VB=33M/S). CANTILEVER DISTANCE TO TRACK UP TO 3.50M. HEIGHT≤10M</t>
  </si>
  <si>
    <t>Calculation reference</t>
  </si>
  <si>
    <t>Paragraph</t>
  </si>
  <si>
    <t>Straight</t>
  </si>
  <si>
    <t>R≥10,000m</t>
  </si>
  <si>
    <t>10,000m &gt; R ≥ 2,800m</t>
  </si>
  <si>
    <t>2,800m &gt; R ≥ 1,000m</t>
  </si>
  <si>
    <t>1,000m &gt; R ≥ 500m</t>
  </si>
  <si>
    <t>500m &gt; R ≥ 300m</t>
  </si>
  <si>
    <t>300m &gt; R ≥ 150m</t>
  </si>
  <si>
    <t>(span 67m)</t>
  </si>
  <si>
    <t>(span 60m)</t>
  </si>
  <si>
    <t>(span 50m)</t>
  </si>
  <si>
    <t>(span 36m)</t>
  </si>
  <si>
    <t>(span 27m)</t>
  </si>
  <si>
    <t>(span 23m)</t>
  </si>
  <si>
    <t>P9.5.1.1</t>
  </si>
  <si>
    <t>GT</t>
  </si>
  <si>
    <t>- THE RANGE IN THE RELATION RADIUS / MAX. SPAN IS CLASSIFY ON THE SIDE OF THE SAFETY.</t>
  </si>
  <si>
    <t>P9.5.1.2</t>
  </si>
  <si>
    <t>- 1 IN CASE SPAN BETWEEN S/AX AND AN/S &lt;55M, THEN THE POLE WILL BE 2HEB-240</t>
  </si>
  <si>
    <t>P9.5.1.3</t>
  </si>
  <si>
    <t>- 1 IN CASE SPAN BETWEEN S/AX AND AN/S&gt;55M AND CANTILEVER DISTANCE TO TRACK OVER 3.30M, THEN THE POLE WILL BE HEB-280</t>
  </si>
  <si>
    <t>P9.5.1.4</t>
  </si>
  <si>
    <t>P9.5.1.5</t>
  </si>
  <si>
    <t>P9.5.1.6</t>
  </si>
  <si>
    <t>2HEB-320</t>
  </si>
  <si>
    <t>P9.5.1.7</t>
  </si>
  <si>
    <t>A A/S</t>
  </si>
  <si>
    <t>P9.5.1.8</t>
  </si>
  <si>
    <t>P9.5.1.9</t>
  </si>
  <si>
    <t>3 C</t>
  </si>
  <si>
    <t>X</t>
  </si>
  <si>
    <r>
      <t xml:space="preserve">FOR EP-01 TO EP-14 AND EP-16 (VB=33M/S). CANTILEVER DISTANCE TO TRACK UP TO 3.50M. HEIGHT≤10M WITH </t>
    </r>
    <r>
      <rPr>
        <b/>
        <u/>
        <sz val="10"/>
        <rFont val="Arial"/>
        <family val="2"/>
      </rPr>
      <t>SCADA</t>
    </r>
  </si>
  <si>
    <t>P9.5.2.1</t>
  </si>
  <si>
    <t>P9.5.2.2</t>
  </si>
  <si>
    <t>P9.5.2.3</t>
  </si>
  <si>
    <t>P9.5.2.4</t>
  </si>
  <si>
    <t>P9.5.2.5</t>
  </si>
  <si>
    <t>P9.5.2.6</t>
  </si>
  <si>
    <t>P9.5.2.7</t>
  </si>
  <si>
    <t>P9.5.2.8</t>
  </si>
  <si>
    <t>P9.5.2.9</t>
  </si>
  <si>
    <t>FOR EP-01 TO EP-14 AND EP-16 (VB=33M/S). CANTILEVER DISTANCE TO TRACK UP TO 4.00M. HEIGHT≤10M</t>
  </si>
  <si>
    <t>P9.5.4.1</t>
  </si>
  <si>
    <t>P9.5.4.2</t>
  </si>
  <si>
    <r>
      <t xml:space="preserve">- </t>
    </r>
    <r>
      <rPr>
        <vertAlign val="superscript"/>
        <sz val="10"/>
        <color rgb="FF000000"/>
        <rFont val="Arial"/>
        <family val="2"/>
      </rPr>
      <t>1</t>
    </r>
    <r>
      <rPr>
        <sz val="10"/>
        <color rgb="FF000000"/>
        <rFont val="Arial"/>
        <family val="2"/>
      </rPr>
      <t xml:space="preserve"> IN CASE SPAN BETWEEN S/AX AND AN/S &lt;55M, THEN THE POLE WILL BE 2HEB-240. FOR OTHER CASE AN SPECIFIC STUDY HAS TO BE DONE.</t>
    </r>
  </si>
  <si>
    <t>P9.5.4.3</t>
  </si>
  <si>
    <t>P9.5.4.4</t>
  </si>
  <si>
    <t>P9.5.4.5</t>
  </si>
  <si>
    <t>P9.5.4.6</t>
  </si>
  <si>
    <t>P9.5.4.7</t>
  </si>
  <si>
    <t>P9.5.4.8</t>
  </si>
  <si>
    <t>P9.5.4.9</t>
  </si>
  <si>
    <r>
      <t xml:space="preserve">FOR EP-01 TO EP-14 AND EP-16 (VB=33M/S). CANTILEVER DISTANCE TO TRACK UP TO 4.00M. HEIGHT≤10M WITH </t>
    </r>
    <r>
      <rPr>
        <b/>
        <u/>
        <sz val="10"/>
        <rFont val="Arial"/>
        <family val="2"/>
      </rPr>
      <t>SCADA</t>
    </r>
  </si>
  <si>
    <t>P9.5.5.1</t>
  </si>
  <si>
    <t>P9.5.5.2</t>
  </si>
  <si>
    <t>P9.5.5.3</t>
  </si>
  <si>
    <t>P9.5.5.5</t>
  </si>
  <si>
    <t>P9.5.5.6</t>
  </si>
  <si>
    <t>P9.5.5.7</t>
  </si>
  <si>
    <t>P9.5.5.8</t>
  </si>
  <si>
    <t>P9.5.5.9</t>
  </si>
  <si>
    <t>FOR EP-01 TO EP-14 AND EP-16 (VB=33M/S). CANTILEVER DISTANCE TO TRACK UP TO 3.50M. HEIGHT≤20M</t>
  </si>
  <si>
    <t>P9.5.7.1</t>
  </si>
  <si>
    <t>P9.5.7.2</t>
  </si>
  <si>
    <t>P9.5.7.3</t>
  </si>
  <si>
    <t>P9.5.7.4</t>
  </si>
  <si>
    <t>P9.5.7.5</t>
  </si>
  <si>
    <r>
      <t>HEB-260</t>
    </r>
    <r>
      <rPr>
        <vertAlign val="superscript"/>
        <sz val="10"/>
        <color theme="1"/>
        <rFont val="Arial"/>
        <family val="2"/>
      </rPr>
      <t>1</t>
    </r>
  </si>
  <si>
    <r>
      <t>HEB-280</t>
    </r>
    <r>
      <rPr>
        <vertAlign val="superscript"/>
        <sz val="10"/>
        <color theme="1"/>
        <rFont val="Arial"/>
        <family val="2"/>
      </rPr>
      <t>1</t>
    </r>
  </si>
  <si>
    <t>P9.5.7.6</t>
  </si>
  <si>
    <t>P9.5.7.7</t>
  </si>
  <si>
    <t>P9.5.7.8</t>
  </si>
  <si>
    <t>P9.5.7.9</t>
  </si>
  <si>
    <r>
      <t xml:space="preserve">FOR EP-01 TO EP-14 AND EP-16 (VB=33M/S). CANTILEVER DISTANCE TO TRACK UP TO 3.50M. HEIGHT≤20M WITH </t>
    </r>
    <r>
      <rPr>
        <b/>
        <u/>
        <sz val="10"/>
        <rFont val="Arial"/>
        <family val="2"/>
      </rPr>
      <t>SCADA</t>
    </r>
  </si>
  <si>
    <t>P9.5.8.1</t>
  </si>
  <si>
    <t>P9.5.8.2</t>
  </si>
  <si>
    <t>P9.5.8.3</t>
  </si>
  <si>
    <t>P9.5.8.4</t>
  </si>
  <si>
    <t>P9.5.8.5</t>
  </si>
  <si>
    <r>
      <t>HEB-300</t>
    </r>
    <r>
      <rPr>
        <vertAlign val="superscript"/>
        <sz val="10"/>
        <color theme="1"/>
        <rFont val="Arial"/>
        <family val="2"/>
      </rPr>
      <t>1</t>
    </r>
  </si>
  <si>
    <t>P9.5.8.6</t>
  </si>
  <si>
    <t>P9.5.8.8</t>
  </si>
  <si>
    <t>P9.5.8.9</t>
  </si>
  <si>
    <t>FOR EP-01 TO EP-14 AND EP-16 (VB=33M/S). CANTILEVER DISTANCE TO TRACK UP TO 4.00M. HEIGHT≤20M</t>
  </si>
  <si>
    <t>P9.5.9.1</t>
  </si>
  <si>
    <t>P9.5.9.2</t>
  </si>
  <si>
    <t>P9.5.9.3</t>
  </si>
  <si>
    <t>P9.5.9.4</t>
  </si>
  <si>
    <t>P9.5.9.5</t>
  </si>
  <si>
    <t>P9.5.9.6</t>
  </si>
  <si>
    <t>P9.5.9.7</t>
  </si>
  <si>
    <t>P9.5.9.9</t>
  </si>
  <si>
    <r>
      <t xml:space="preserve">FOR EP-01 TO EP-14 AND EP-16 (VB=33M/S). CANTILEVER DISTANCE TO TRACK UP TO 4.00M. HEIGHT≤20M WITH </t>
    </r>
    <r>
      <rPr>
        <b/>
        <u/>
        <sz val="10"/>
        <rFont val="Arial"/>
        <family val="2"/>
      </rPr>
      <t>SCADA</t>
    </r>
  </si>
  <si>
    <t>P9.5.10.1</t>
  </si>
  <si>
    <t>P9.5.10.2</t>
  </si>
  <si>
    <t>P9.5.10.3</t>
  </si>
  <si>
    <t>P9.5.10.4</t>
  </si>
  <si>
    <t>P9.5.10.5</t>
  </si>
  <si>
    <t>P9.5.10.6</t>
  </si>
  <si>
    <t>P9.5.10.7</t>
  </si>
  <si>
    <t>P9.5.10.10</t>
  </si>
  <si>
    <t>P9.5.10.9</t>
  </si>
  <si>
    <t>FOR EP-01 TO EP-14 AND EP-16 (VB=33M/S). CANTILEVER DISTANCE TO TRACK UP TO 3.50M. HEIGHT≤30M</t>
  </si>
  <si>
    <t>P9.5.11.1</t>
  </si>
  <si>
    <t>P9.5.11.2</t>
  </si>
  <si>
    <r>
      <t xml:space="preserve">- </t>
    </r>
    <r>
      <rPr>
        <vertAlign val="superscript"/>
        <sz val="10"/>
        <color rgb="FF000000"/>
        <rFont val="Arial"/>
        <family val="2"/>
      </rPr>
      <t>1</t>
    </r>
    <r>
      <rPr>
        <sz val="10"/>
        <color rgb="FF000000"/>
        <rFont val="Arial"/>
        <family val="2"/>
      </rPr>
      <t xml:space="preserve"> IN CASE SPAN BETWEEN S/AX AND AN/S &lt;55M, THEN THE POLE WILL BE 2HEB-240</t>
    </r>
  </si>
  <si>
    <t>P9.5.11.3</t>
  </si>
  <si>
    <r>
      <t xml:space="preserve">- </t>
    </r>
    <r>
      <rPr>
        <vertAlign val="superscript"/>
        <sz val="10"/>
        <color rgb="FF000000"/>
        <rFont val="Arial"/>
        <family val="2"/>
      </rPr>
      <t>1</t>
    </r>
    <r>
      <rPr>
        <sz val="10"/>
        <color rgb="FF000000"/>
        <rFont val="Arial"/>
        <family val="2"/>
      </rPr>
      <t xml:space="preserve"> IN CASE SPAN BETWEEN S/AX AND AN/S&gt;55M AND CANTILEVER DISTANCE TO TRACK OVER 3.30M, THEN THE POLE WILL BE HEB-280</t>
    </r>
  </si>
  <si>
    <t>P9.5.11.4</t>
  </si>
  <si>
    <t>P9.5.11.5</t>
  </si>
  <si>
    <t>P9.5.11.6</t>
  </si>
  <si>
    <t>P9.5.11.7</t>
  </si>
  <si>
    <t>P9.5.11.8</t>
  </si>
  <si>
    <t>P9.5.11.11</t>
  </si>
  <si>
    <r>
      <t xml:space="preserve">FOR EP-01 TO EP-14 AND EP-16 (VB=33M/S). CANTILEVER DISTANCE TO TRACK UP TO 3.50M. HEIGHT≤30M WITH </t>
    </r>
    <r>
      <rPr>
        <b/>
        <u/>
        <sz val="10"/>
        <rFont val="Arial"/>
        <family val="2"/>
      </rPr>
      <t>SCADA</t>
    </r>
  </si>
  <si>
    <t>P9.5.12.1</t>
  </si>
  <si>
    <t>P9.5.12.2</t>
  </si>
  <si>
    <t>P9.5.12.3</t>
  </si>
  <si>
    <t>P9.5.12.4</t>
  </si>
  <si>
    <t>P9.5.12.5</t>
  </si>
  <si>
    <t>P9.5.12.6</t>
  </si>
  <si>
    <t>P9.5.12.7</t>
  </si>
  <si>
    <t>P9.5.12.8</t>
  </si>
  <si>
    <t>P9.5.12.12</t>
  </si>
  <si>
    <t>FOR EP-01 TO EP-14 AND EP-16 (VB=33M/S). CANTILEVER DISTANCE TO TRACK UP TO 4.00M. HEIGHT≤30M</t>
  </si>
  <si>
    <t>P9.5.13.1</t>
  </si>
  <si>
    <t>P9.5.13.2</t>
  </si>
  <si>
    <t>P9.5.13.3</t>
  </si>
  <si>
    <t>P9.5.13.4</t>
  </si>
  <si>
    <t>P9.5.13.5</t>
  </si>
  <si>
    <t>P9.5.13.6</t>
  </si>
  <si>
    <t>P9.5.13.7</t>
  </si>
  <si>
    <t>P9.5.13.8</t>
  </si>
  <si>
    <t>P9.5.13.9</t>
  </si>
  <si>
    <r>
      <t xml:space="preserve">FOR EP-01 TO EP-14 AND EP-16 (VB=33M/S). CANTILEVER DISTANCE TO TRACK UP TO 4.00M. HEIGHT≤30M WITH </t>
    </r>
    <r>
      <rPr>
        <b/>
        <u/>
        <sz val="10"/>
        <rFont val="Arial"/>
        <family val="2"/>
      </rPr>
      <t>SCADA</t>
    </r>
  </si>
  <si>
    <t>P9.5.14.1</t>
  </si>
  <si>
    <t>P9.5.14.2</t>
  </si>
  <si>
    <t>P9.5.14.3</t>
  </si>
  <si>
    <t>P9.5.14.4</t>
  </si>
  <si>
    <t>P9.5.14.5</t>
  </si>
  <si>
    <t>P9.5.14.6</t>
  </si>
  <si>
    <t>P9.5.14.7</t>
  </si>
  <si>
    <t>P9.5.14.8</t>
  </si>
  <si>
    <t>P9.5.14.9</t>
  </si>
  <si>
    <t>ANCHOR TO POLE WITHOUT ANCHOR TIE</t>
  </si>
  <si>
    <t>P9.5.15.1</t>
  </si>
  <si>
    <t>P9.5.15.2</t>
  </si>
  <si>
    <t>P9.5.15.3</t>
  </si>
  <si>
    <t>P9.5.15.4</t>
  </si>
  <si>
    <t>FOR EP-01 TO EP-14 AND EP-16 (VB=33M/S). CANTILEVER DISTANCE TO TRACK UP TO 3.50M. HEIGHT≤10M WITH SCADA</t>
  </si>
  <si>
    <t>P9.5.16.1</t>
  </si>
  <si>
    <t>P9.5.16.2</t>
  </si>
  <si>
    <t>P9.5.16.3</t>
  </si>
  <si>
    <t>P9.5.16.4</t>
  </si>
  <si>
    <t>P9.5.17.1</t>
  </si>
  <si>
    <t>P9.5.17.2</t>
  </si>
  <si>
    <t>P9.5.17.3</t>
  </si>
  <si>
    <t>P9.5.17.4</t>
  </si>
  <si>
    <t>P9.5.18.1</t>
  </si>
  <si>
    <t>P9.5.18.2</t>
  </si>
  <si>
    <t>P9.5.18.3</t>
  </si>
  <si>
    <t>P9.5.18.4</t>
  </si>
  <si>
    <t>POLES AT END OF TRACK</t>
  </si>
  <si>
    <t xml:space="preserve">FOR EP-01 TO EP-14 AND EP-16 (VB=33M/S). MAXIMUM SPAN LENGTH OF 60M </t>
  </si>
  <si>
    <t>POLE TYPE</t>
  </si>
  <si>
    <t>P11.1</t>
  </si>
  <si>
    <t>All</t>
  </si>
  <si>
    <t>2HEB-320A</t>
  </si>
  <si>
    <t>POLES IN FEEDERS LINE</t>
  </si>
  <si>
    <t>FOR EP-01 TO EP-14 (VB=33M/S). CANTILEVER DISTANCE TO TRACK UP TO 3.50M</t>
  </si>
  <si>
    <t>P12.3.1.1</t>
  </si>
  <si>
    <t>HEB-280LL</t>
  </si>
  <si>
    <t>- THE ADDITIONAL SCADA CABLES ARE ATTACHED TO THE POLE</t>
  </si>
  <si>
    <t>P12.3.1.2</t>
  </si>
  <si>
    <t>HEB-300 LL</t>
  </si>
  <si>
    <t>P12.3.1.3</t>
  </si>
  <si>
    <t>P12.3.1.4</t>
  </si>
  <si>
    <t>P12.3.1.5</t>
  </si>
  <si>
    <t>P12.3.1.6</t>
  </si>
  <si>
    <t>P12.3.1.7</t>
  </si>
  <si>
    <t>P12.3.1.8</t>
  </si>
  <si>
    <t>P12.3.1.9</t>
  </si>
  <si>
    <r>
      <t xml:space="preserve">FOR EP-01 TO EP-14 (VB=33M/S). CANTILEVER DISTANCE TO TRACK UP TO 3.50M WITH </t>
    </r>
    <r>
      <rPr>
        <b/>
        <u/>
        <sz val="10"/>
        <rFont val="Arial"/>
        <family val="2"/>
      </rPr>
      <t>SCADA</t>
    </r>
  </si>
  <si>
    <t>POLE TO SEMIPORTAL B7</t>
  </si>
  <si>
    <t xml:space="preserve">FOR EP-01 TO EP-14 AND EP-16 (VB=33M/S). CANTILEVER DISTANCE TO TRACK UP TO 3,50M. </t>
  </si>
  <si>
    <t>P13.3</t>
  </si>
  <si>
    <t>FOR EP-01 TO EP-14 AND EP-16 (VB=33M/S). CANTILEVER DISTANCE TO TRACK UP TO 3,50M. WITH SCADA.</t>
  </si>
  <si>
    <t>ANCHOR TIES</t>
  </si>
  <si>
    <t>Type</t>
  </si>
  <si>
    <t>P10.1</t>
  </si>
  <si>
    <t>AnMC</t>
  </si>
  <si>
    <t>Appendix 8 Portals</t>
  </si>
  <si>
    <t>Configuration</t>
  </si>
  <si>
    <t>(span 65m)</t>
  </si>
  <si>
    <t xml:space="preserve"> Portal PR1-A</t>
  </si>
  <si>
    <t>Conf. 0</t>
  </si>
  <si>
    <t>Conf. 1</t>
  </si>
  <si>
    <t>Conf. 2</t>
  </si>
  <si>
    <t>Conf. 3</t>
  </si>
  <si>
    <t xml:space="preserve"> Portal PR1-B</t>
  </si>
  <si>
    <t xml:space="preserve"> Portal PR1-C</t>
  </si>
  <si>
    <t>HEB-360L</t>
  </si>
  <si>
    <t xml:space="preserve"> Portal PR1-D</t>
  </si>
  <si>
    <t>Conf. 4</t>
  </si>
  <si>
    <t xml:space="preserve"> Portal PR1-E</t>
  </si>
  <si>
    <t xml:space="preserve"> Portal PR1-F</t>
  </si>
  <si>
    <t>Conf. 5</t>
  </si>
  <si>
    <t>Conf. 6</t>
  </si>
  <si>
    <t xml:space="preserve"> Portal 2PR1-D</t>
  </si>
  <si>
    <t xml:space="preserve"> Portal Calculation with anchors without Ties</t>
  </si>
  <si>
    <t>HEB-500PL</t>
  </si>
  <si>
    <t>Parallelling of Catenaries and Feders Portal</t>
  </si>
  <si>
    <t>10.7.4.1</t>
  </si>
  <si>
    <t>Parallelling of catenaries Portal</t>
  </si>
  <si>
    <t>10.7.4.2</t>
  </si>
  <si>
    <t>Feeders Portal</t>
  </si>
  <si>
    <t xml:space="preserve"> Appendix 8.2 Funicular Calculation</t>
  </si>
  <si>
    <t>P8.7</t>
  </si>
  <si>
    <t>2HEB-260F</t>
  </si>
  <si>
    <t>2HEB-300F</t>
  </si>
  <si>
    <t>LEGEND</t>
  </si>
  <si>
    <t>ZONA  LA 280</t>
  </si>
  <si>
    <t>PKI</t>
  </si>
  <si>
    <t>PKF</t>
  </si>
  <si>
    <t>Nº CABLES</t>
  </si>
  <si>
    <t>TOTAL</t>
  </si>
  <si>
    <t>COLORS</t>
  </si>
  <si>
    <t>Overlap between sections</t>
  </si>
  <si>
    <t>Pole foundation Type CX</t>
  </si>
  <si>
    <t>CX</t>
  </si>
  <si>
    <t>ZONA 1</t>
  </si>
  <si>
    <t>(see drawing for types)</t>
  </si>
  <si>
    <t>(CX, CXR, CXRT)</t>
  </si>
  <si>
    <t>ZONA 2</t>
  </si>
  <si>
    <t>Pole foundation Type CX in L</t>
  </si>
  <si>
    <t>CXR_L</t>
  </si>
  <si>
    <t>Base for pole in viaduct</t>
  </si>
  <si>
    <t>PLX</t>
  </si>
  <si>
    <t>Base for pole in Lateral wall</t>
  </si>
  <si>
    <t>WX</t>
  </si>
  <si>
    <t>Base for pole with drainage</t>
  </si>
  <si>
    <t>WDX</t>
  </si>
  <si>
    <t>TOTAL CABLE LA-280:</t>
  </si>
  <si>
    <t>Base for pole in Top wall</t>
  </si>
  <si>
    <t>WTX</t>
  </si>
  <si>
    <t>LONGITUD DEL TRAMO:</t>
  </si>
  <si>
    <t>PORTALS</t>
  </si>
  <si>
    <t xml:space="preserve">Portal type X </t>
  </si>
  <si>
    <t>PR1X</t>
  </si>
  <si>
    <t>CABLE COLECTOR AL-76</t>
  </si>
  <si>
    <t>Semi Portal</t>
  </si>
  <si>
    <t>Semi Portal type B7</t>
  </si>
  <si>
    <t>TUNELES VARIOS</t>
  </si>
  <si>
    <t>TUNEL 1</t>
  </si>
  <si>
    <t>CANTILEVERS</t>
  </si>
  <si>
    <t>Signal Interface/Reduce gauge up to 2,90m</t>
  </si>
  <si>
    <t>Cantilever (Pull on)</t>
  </si>
  <si>
    <t>Cantilever (Push off)</t>
  </si>
  <si>
    <t>SECTIONNING</t>
  </si>
  <si>
    <t>Cantilever (termination)</t>
  </si>
  <si>
    <t>Overlap Anchorage</t>
  </si>
  <si>
    <t>Tunnel Cantilever (Pull on)</t>
  </si>
  <si>
    <t>EMT-1T</t>
  </si>
  <si>
    <t>TOTAL COLECTOR TUNEL</t>
  </si>
  <si>
    <t>Diagonal Anchorage</t>
  </si>
  <si>
    <t>Tunnel Cantilever (Push over)</t>
  </si>
  <si>
    <t>EMT-2T</t>
  </si>
  <si>
    <t>Overlap Semi-Axis</t>
  </si>
  <si>
    <t>Tunnel Cantilever (termination)</t>
  </si>
  <si>
    <t>EMT-TT</t>
  </si>
  <si>
    <t>LONGITUD DE TUNEL</t>
  </si>
  <si>
    <t>Overlap Axis</t>
  </si>
  <si>
    <t>Portal Cantilever (Pull on)</t>
  </si>
  <si>
    <t>Mid Point</t>
  </si>
  <si>
    <t>Portal Cantilever (Push over)</t>
  </si>
  <si>
    <t>VIADUCTO pk XX</t>
  </si>
  <si>
    <t>Mid Point in tunnel</t>
  </si>
  <si>
    <t>MP/Tunnel</t>
  </si>
  <si>
    <t>Portal Cantilever (termination)</t>
  </si>
  <si>
    <t>Mid Point Anchorage</t>
  </si>
  <si>
    <t>Mid Point Anchorage in tunnel</t>
  </si>
  <si>
    <t>AnMP/Tunnel</t>
  </si>
  <si>
    <t>FEEDING</t>
  </si>
  <si>
    <t>Switch Point 50</t>
  </si>
  <si>
    <t>P50 (CS)</t>
  </si>
  <si>
    <t>Neutral Section disconnector</t>
  </si>
  <si>
    <t>Disc/NS</t>
  </si>
  <si>
    <t>Switch Point 90</t>
  </si>
  <si>
    <t>P90 (TgS)</t>
  </si>
  <si>
    <t>Insulated Overlap disconnector</t>
  </si>
  <si>
    <t>Section Insulator disconnector</t>
  </si>
  <si>
    <t>Disc/SI</t>
  </si>
  <si>
    <t>Tunnel disconector</t>
  </si>
  <si>
    <t>Disc/t</t>
  </si>
  <si>
    <t>ANCHORAGE</t>
  </si>
  <si>
    <t>Disconnector</t>
  </si>
  <si>
    <t>Disc</t>
  </si>
  <si>
    <t>OCS Compensated Anchorage</t>
  </si>
  <si>
    <t>Load Breaker</t>
  </si>
  <si>
    <t>LoadB</t>
  </si>
  <si>
    <t>TOTAL VIADUCTO</t>
  </si>
  <si>
    <t>OCS Fixed Anchorage</t>
  </si>
  <si>
    <t>Neutral Section Load Breaker</t>
  </si>
  <si>
    <t>OCS Compensated Anchorage in tunnel</t>
  </si>
  <si>
    <t>CP/Tunnel</t>
  </si>
  <si>
    <t>Insulated Overlap Load Breaker</t>
  </si>
  <si>
    <t>OCS Fixed Anchorage in tunnel</t>
  </si>
  <si>
    <t>FP/Tunnel</t>
  </si>
  <si>
    <t>Parallel Load Breaker</t>
  </si>
  <si>
    <t>LoadB/PP</t>
  </si>
  <si>
    <t>LONGITUD DE VIADUCTOS</t>
  </si>
  <si>
    <t>OCS Tensioning Anchorage in pole</t>
  </si>
  <si>
    <t>Earthing device in tunnel</t>
  </si>
  <si>
    <t>ED/T</t>
  </si>
  <si>
    <t>CP/TX-P/1350</t>
  </si>
  <si>
    <t>Earthing device outside</t>
  </si>
  <si>
    <t>ED</t>
  </si>
  <si>
    <t>OCS Tensioning Anchorage in tunnel</t>
  </si>
  <si>
    <t>CP/TX-T/1100</t>
  </si>
  <si>
    <t>Surge Arrester</t>
  </si>
  <si>
    <t>SurgeA</t>
  </si>
  <si>
    <t>CP/TX-T/1350</t>
  </si>
  <si>
    <t>Voltage Detector</t>
  </si>
  <si>
    <t>OCS Tensioning Anchorage in wall</t>
  </si>
  <si>
    <t>CP/TX-W/1100</t>
  </si>
  <si>
    <t>Section Insulator</t>
  </si>
  <si>
    <t>CP/TX-W/1350</t>
  </si>
  <si>
    <t>Current Transformer</t>
  </si>
  <si>
    <t>CurrentT</t>
  </si>
  <si>
    <t>Feeder Anchor</t>
  </si>
  <si>
    <t>Return Anchor</t>
  </si>
  <si>
    <t>Feeder supply (1 track)</t>
  </si>
  <si>
    <t>Feeder anchor in tunnel</t>
  </si>
  <si>
    <t>AnFW/Tunnel</t>
  </si>
  <si>
    <t>Feeder supply for depots</t>
  </si>
  <si>
    <t>FS-1D</t>
  </si>
  <si>
    <t>Return anchor in tunnel</t>
  </si>
  <si>
    <t>AnRW/Tunnel</t>
  </si>
  <si>
    <t>Feeder supply &amp; paralleling post 2 tracks</t>
  </si>
  <si>
    <t>FS/PP-2</t>
  </si>
  <si>
    <t>SEMI TENSION LENGTH</t>
  </si>
  <si>
    <t>xxx m.</t>
  </si>
  <si>
    <t>Feeder supply &amp; paralleling post 3 tracks</t>
  </si>
  <si>
    <t>FS/PP-3</t>
  </si>
  <si>
    <t>Insulated Overlap</t>
  </si>
  <si>
    <t>Paralleling post 2 tracks</t>
  </si>
  <si>
    <t>Paralleling post 3 tracks</t>
  </si>
  <si>
    <t>PP-3</t>
  </si>
  <si>
    <t>ANCHORAGE FOUNDATIONS</t>
  </si>
  <si>
    <t>Paralleling post 4 tracks</t>
  </si>
  <si>
    <t>PP-4</t>
  </si>
  <si>
    <t>Messenger and C.W, anchorage foundation</t>
  </si>
  <si>
    <t>AnMC, AnMC-R, AnMC-RT</t>
  </si>
  <si>
    <t>STEADY ARMS TYPE</t>
  </si>
  <si>
    <t>Return, Feeder and Midpoint anchorage foundation</t>
  </si>
  <si>
    <t>Straight arm</t>
  </si>
  <si>
    <t>PH-XXX</t>
  </si>
  <si>
    <t>AnM, AnM-R, AnM-RT</t>
  </si>
  <si>
    <t>Polygonal arm</t>
  </si>
  <si>
    <t>PHQ-XXX</t>
  </si>
  <si>
    <t>Messenger and C.W, anchorage base in viaduct</t>
  </si>
  <si>
    <t>AnMC/PL</t>
  </si>
  <si>
    <t>Curve arm</t>
  </si>
  <si>
    <t>PHC-XXX</t>
  </si>
  <si>
    <t>Return, Feeder and Midpoint base in viaduct</t>
  </si>
  <si>
    <t>AnM/PL</t>
  </si>
  <si>
    <t>Special curve arm (circular St.)</t>
  </si>
  <si>
    <t>BC-XXX</t>
  </si>
  <si>
    <t>Messenger and C.W, anchorage found in L</t>
  </si>
  <si>
    <t>AnMC-R_L</t>
  </si>
  <si>
    <t>Return, Feeder and Midpoint anchorage found in L</t>
  </si>
  <si>
    <t>AnM-R_L</t>
  </si>
  <si>
    <t>Return Support</t>
  </si>
  <si>
    <t>Messenger and C.W, anchorage in tunnel</t>
  </si>
  <si>
    <t>AnMC/Tunnel</t>
  </si>
  <si>
    <t>Return Wire Support in pole</t>
  </si>
  <si>
    <t>Return, Feeder and Midpoint anchorage in tunnel</t>
  </si>
  <si>
    <t>AnM/Tunnel</t>
  </si>
  <si>
    <t>2 Return Wire Support in pole</t>
  </si>
  <si>
    <t>Messenger and C.W, anchorage base in wall</t>
  </si>
  <si>
    <t>AnMC/W</t>
  </si>
  <si>
    <t>Return Wire Support in support / ceiling</t>
  </si>
  <si>
    <t>RW1T-S/C</t>
  </si>
  <si>
    <t>Return, Feeder and Midpoint base in wall</t>
  </si>
  <si>
    <t>AnM/W</t>
  </si>
  <si>
    <t>2 Return Wire Support in support / ceiling</t>
  </si>
  <si>
    <t>RW2T-S/C</t>
  </si>
  <si>
    <t>Messenger and C.W, Tensorex anchorage</t>
  </si>
  <si>
    <t>AnM/Tx</t>
  </si>
  <si>
    <t>Return Wire Support in portal</t>
  </si>
  <si>
    <t>2 Return Wire Support in portal</t>
  </si>
  <si>
    <t>POLE / SUPPORTS TYPE</t>
  </si>
  <si>
    <t>OCS Pole</t>
  </si>
  <si>
    <t>HEB-XXX</t>
  </si>
  <si>
    <t>Text Workbook</t>
  </si>
  <si>
    <t>Support for 1 cantilever in portal</t>
  </si>
  <si>
    <t>NON DEFINED</t>
  </si>
  <si>
    <t>N.D.</t>
  </si>
  <si>
    <t>Support for 2 cantilever in portal</t>
  </si>
  <si>
    <t>Unique Solution Defined with DWXXXX</t>
  </si>
  <si>
    <t>Support for 1 cantilever in B7</t>
  </si>
  <si>
    <t>Unique Solution Non Defined</t>
  </si>
  <si>
    <t>Support for 2 cantilever in B7</t>
  </si>
  <si>
    <t>S2/B7</t>
  </si>
  <si>
    <t xml:space="preserve">Defined Pending Approved by Kedmor </t>
  </si>
  <si>
    <t>ü</t>
  </si>
  <si>
    <t>Support for 1 cantilever in tunnel</t>
  </si>
  <si>
    <t>S1T</t>
  </si>
  <si>
    <t xml:space="preserve">Without Solution Non Defined </t>
  </si>
  <si>
    <t>Support for 2 cantilever in tunnel (2x)</t>
  </si>
  <si>
    <t>S2T</t>
  </si>
  <si>
    <t xml:space="preserve">Approved by Kedmor </t>
  </si>
  <si>
    <t>Support for 1 cantilever in wall</t>
  </si>
  <si>
    <t>S-1T-W</t>
  </si>
  <si>
    <t>Support for 2 cantilever in wall (2x)</t>
  </si>
  <si>
    <t>S-2T-W</t>
  </si>
  <si>
    <t>Support for 1 cantilever separated in wall</t>
  </si>
  <si>
    <t>S-1T-R</t>
  </si>
  <si>
    <t>Support for 2 cantilever separated in wall (2x)</t>
  </si>
  <si>
    <t>S-2T-R</t>
  </si>
  <si>
    <t>S-2T-H</t>
  </si>
  <si>
    <t>Extension for 1 console in platform</t>
  </si>
  <si>
    <t>SUPL-5</t>
  </si>
  <si>
    <t>Support for 1 cantilever in wall in ARMOR TERRAIN</t>
  </si>
  <si>
    <t>HEB-XXX AT</t>
  </si>
  <si>
    <t>Soil Classification</t>
  </si>
  <si>
    <t>Plain Terrain or Embankment 
(PT or K)</t>
  </si>
  <si>
    <t>Plain Terrain with SCADA Cable</t>
  </si>
  <si>
    <t>EP04</t>
  </si>
  <si>
    <t>Diam.</t>
  </si>
  <si>
    <t>Gewis</t>
  </si>
  <si>
    <t>Gewis Nº</t>
  </si>
  <si>
    <t>Distribution</t>
  </si>
  <si>
    <t>Long. Reinforc.</t>
  </si>
  <si>
    <t>Transv. Reinforc.</t>
  </si>
  <si>
    <t>Found.
Drawing</t>
  </si>
  <si>
    <t>Initial PK</t>
  </si>
  <si>
    <t>Final Pk</t>
  </si>
  <si>
    <t>Clasification</t>
  </si>
  <si>
    <t>Matrix</t>
  </si>
  <si>
    <t>Matrix Relation</t>
  </si>
  <si>
    <t>Multi Soil</t>
  </si>
  <si>
    <t>Soil D</t>
  </si>
  <si>
    <t>Soil E</t>
  </si>
  <si>
    <t>Soil F</t>
  </si>
  <si>
    <t>Revision:</t>
  </si>
  <si>
    <t>TRACK 01</t>
  </si>
  <si>
    <t>00</t>
  </si>
  <si>
    <t>C3SR</t>
  </si>
  <si>
    <t>500/200</t>
  </si>
  <si>
    <t>8Ø18</t>
  </si>
  <si>
    <t>Ø8@250</t>
  </si>
  <si>
    <t>DW6901</t>
  </si>
  <si>
    <t>Mutli Soil</t>
  </si>
  <si>
    <t>C4SR</t>
  </si>
  <si>
    <t>500/250</t>
  </si>
  <si>
    <t>K</t>
  </si>
  <si>
    <t>C5SR</t>
  </si>
  <si>
    <t>600/300</t>
  </si>
  <si>
    <t>10Ø20</t>
  </si>
  <si>
    <t>C7SR</t>
  </si>
  <si>
    <t>HEB-300 (CP)</t>
  </si>
  <si>
    <t>C9SR</t>
  </si>
  <si>
    <t>12Ø25</t>
  </si>
  <si>
    <t>Ø12@200</t>
  </si>
  <si>
    <t>DW6912</t>
  </si>
  <si>
    <t>2C4SR</t>
  </si>
  <si>
    <t>250*250/500</t>
  </si>
  <si>
    <t>DW6915</t>
  </si>
  <si>
    <t>C8SR</t>
  </si>
  <si>
    <t>200*200*200/520</t>
  </si>
  <si>
    <t>13Ø25</t>
  </si>
  <si>
    <t>DW6910</t>
  </si>
  <si>
    <t>2HEB-320L</t>
  </si>
  <si>
    <t>DW6909</t>
  </si>
  <si>
    <t>C5R</t>
  </si>
  <si>
    <t>Ø</t>
  </si>
  <si>
    <t>Ø@</t>
  </si>
  <si>
    <t>NEW</t>
  </si>
  <si>
    <t>C10SR</t>
  </si>
  <si>
    <t>DW6965</t>
  </si>
  <si>
    <t>C11SR</t>
  </si>
  <si>
    <t>260*260/220*220</t>
  </si>
  <si>
    <t>DW6929</t>
  </si>
  <si>
    <t>C12SR</t>
  </si>
  <si>
    <t>220*220*220/225*225</t>
  </si>
  <si>
    <t>DW6963</t>
  </si>
  <si>
    <t>C13SR</t>
  </si>
  <si>
    <t>210*210*210/200*200*200</t>
  </si>
  <si>
    <t>DW6964</t>
  </si>
  <si>
    <t>2C3SR</t>
  </si>
  <si>
    <t>200*200/500</t>
  </si>
  <si>
    <t>DW6902</t>
  </si>
  <si>
    <t>DW6913</t>
  </si>
  <si>
    <t>2HEB-260L</t>
  </si>
  <si>
    <t>2HEB-360LL</t>
  </si>
  <si>
    <t>2C7SR</t>
  </si>
  <si>
    <t>200*200*200/560</t>
  </si>
  <si>
    <t>2C4FSR</t>
  </si>
  <si>
    <t>Ø8@200</t>
  </si>
  <si>
    <t>DW6905</t>
  </si>
  <si>
    <t>TRACK 02</t>
  </si>
  <si>
    <t>C12FSR</t>
  </si>
  <si>
    <t>200*200*200/300*300</t>
  </si>
  <si>
    <t>DW6906</t>
  </si>
  <si>
    <t>200/300</t>
  </si>
  <si>
    <t>DW6903</t>
  </si>
  <si>
    <t>Embankment with SCADA Cable</t>
  </si>
  <si>
    <t>C4SRT</t>
  </si>
  <si>
    <t>C5SRT</t>
  </si>
  <si>
    <t>C7SRT</t>
  </si>
  <si>
    <t>C9SRT</t>
  </si>
  <si>
    <t>2C4SRT</t>
  </si>
  <si>
    <t>C8SRT</t>
  </si>
  <si>
    <t>C5RT</t>
  </si>
  <si>
    <t>C10SRT</t>
  </si>
  <si>
    <t>C11SRT</t>
  </si>
  <si>
    <t>C12SRT</t>
  </si>
  <si>
    <t>C13SRT</t>
  </si>
  <si>
    <t>2C3SRT</t>
  </si>
  <si>
    <t>2C7SRT</t>
  </si>
  <si>
    <t>2C4FSRT</t>
  </si>
  <si>
    <t>C12FSRT</t>
  </si>
  <si>
    <t>Plain Terrain without SCADA Cable</t>
  </si>
  <si>
    <t>C7R</t>
  </si>
  <si>
    <t>2C4R</t>
  </si>
  <si>
    <t>C8R</t>
  </si>
  <si>
    <t>C10R</t>
  </si>
  <si>
    <t>C11R</t>
  </si>
  <si>
    <t>C12R</t>
  </si>
  <si>
    <t>C13R</t>
  </si>
  <si>
    <t>2C3R</t>
  </si>
  <si>
    <t>2C7R</t>
  </si>
  <si>
    <t>2C4FR</t>
  </si>
  <si>
    <t>C12FR</t>
  </si>
  <si>
    <t>T-SING FOUND.</t>
  </si>
  <si>
    <t>Embankment without SCADA Cable</t>
  </si>
  <si>
    <t>C3RT</t>
  </si>
  <si>
    <t>C4RT</t>
  </si>
  <si>
    <t>C7RT</t>
  </si>
  <si>
    <t>C9RT</t>
  </si>
  <si>
    <t>2C4RT</t>
  </si>
  <si>
    <t>C8RT</t>
  </si>
  <si>
    <t>C10RT</t>
  </si>
  <si>
    <t>C11RT</t>
  </si>
  <si>
    <t>C12RT</t>
  </si>
  <si>
    <t>C13RT</t>
  </si>
  <si>
    <t>2C3RT</t>
  </si>
  <si>
    <t>2C7RT</t>
  </si>
  <si>
    <t>2C4FRT</t>
  </si>
  <si>
    <t>C12FRT</t>
  </si>
  <si>
    <r>
      <t xml:space="preserve">Foudation Pole </t>
    </r>
    <r>
      <rPr>
        <b/>
        <sz val="10"/>
        <color rgb="FFFF0000"/>
        <rFont val="Arial"/>
        <family val="2"/>
      </rPr>
      <t>WthOut</t>
    </r>
    <r>
      <rPr>
        <sz val="10"/>
        <rFont val="Arial"/>
        <family val="2"/>
      </rPr>
      <t xml:space="preserve"> SCADA</t>
    </r>
  </si>
  <si>
    <r>
      <t>=SI(L</t>
    </r>
    <r>
      <rPr>
        <sz val="10"/>
        <color rgb="FFFF0000"/>
        <rFont val="Arial"/>
        <family val="2"/>
      </rPr>
      <t>00</t>
    </r>
    <r>
      <rPr>
        <sz val="10"/>
        <rFont val="Arial"/>
        <family val="2"/>
      </rPr>
      <t>="";"";
SI(AX</t>
    </r>
    <r>
      <rPr>
        <sz val="10"/>
        <color rgb="FFFF0000"/>
        <rFont val="Arial"/>
        <family val="2"/>
      </rPr>
      <t>00</t>
    </r>
    <r>
      <rPr>
        <sz val="10"/>
        <rFont val="Arial"/>
        <family val="2"/>
      </rPr>
      <t>="PT";BUSCARV(L00;Foundation_Calc!$V$79:$X$113;BUSCARV(AX</t>
    </r>
    <r>
      <rPr>
        <sz val="10"/>
        <color rgb="FFFF0000"/>
        <rFont val="Arial"/>
        <family val="2"/>
      </rPr>
      <t>00</t>
    </r>
    <r>
      <rPr>
        <sz val="10"/>
        <rFont val="Arial"/>
        <family val="2"/>
      </rPr>
      <t>;Foundation_Calc!$I$10:$J$13;2;FALSO);0);
SI(AX</t>
    </r>
    <r>
      <rPr>
        <sz val="10"/>
        <color rgb="FFFF0000"/>
        <rFont val="Arial"/>
        <family val="2"/>
      </rPr>
      <t>00</t>
    </r>
    <r>
      <rPr>
        <sz val="10"/>
        <rFont val="Arial"/>
        <family val="2"/>
      </rPr>
      <t>="K";BUSCARV(L00;Foundation_Calc!$V$117:$X$151;BUSCARV(AX</t>
    </r>
    <r>
      <rPr>
        <sz val="10"/>
        <color rgb="FFFF0000"/>
        <rFont val="Arial"/>
        <family val="2"/>
      </rPr>
      <t>00</t>
    </r>
    <r>
      <rPr>
        <sz val="10"/>
        <rFont val="Arial"/>
        <family val="2"/>
      </rPr>
      <t>;Foundation_Calc!$I$10:$J$13;2;FALSO);0);"")))</t>
    </r>
  </si>
  <si>
    <r>
      <t xml:space="preserve">Foudation Pole </t>
    </r>
    <r>
      <rPr>
        <b/>
        <sz val="10"/>
        <color rgb="FFFF0000"/>
        <rFont val="Arial"/>
        <family val="2"/>
      </rPr>
      <t>With</t>
    </r>
    <r>
      <rPr>
        <sz val="10"/>
        <rFont val="Arial"/>
        <family val="2"/>
      </rPr>
      <t xml:space="preserve"> SCADA</t>
    </r>
  </si>
  <si>
    <r>
      <t>=SI(L</t>
    </r>
    <r>
      <rPr>
        <sz val="10"/>
        <color rgb="FFFF0000"/>
        <rFont val="Arial"/>
        <family val="2"/>
      </rPr>
      <t>00</t>
    </r>
    <r>
      <rPr>
        <sz val="10"/>
        <rFont val="Arial"/>
        <family val="2"/>
      </rPr>
      <t>="";"";
SI(AX</t>
    </r>
    <r>
      <rPr>
        <sz val="10"/>
        <color rgb="FFFF0000"/>
        <rFont val="Arial"/>
        <family val="2"/>
      </rPr>
      <t>00</t>
    </r>
    <r>
      <rPr>
        <sz val="10"/>
        <rFont val="Arial"/>
        <family val="2"/>
      </rPr>
      <t>="PT";BUSCARV(L00;Foundation_Calc!$V$4:$X$37;BUSCARV(AX</t>
    </r>
    <r>
      <rPr>
        <sz val="10"/>
        <color rgb="FFFF0000"/>
        <rFont val="Arial"/>
        <family val="2"/>
      </rPr>
      <t>00</t>
    </r>
    <r>
      <rPr>
        <sz val="10"/>
        <rFont val="Arial"/>
        <family val="2"/>
      </rPr>
      <t>;Foundation_Calc!$I$10:$J$13;2;FALSO);0);
SI(AX</t>
    </r>
    <r>
      <rPr>
        <sz val="10"/>
        <color rgb="FFFF0000"/>
        <rFont val="Arial"/>
        <family val="2"/>
      </rPr>
      <t>00</t>
    </r>
    <r>
      <rPr>
        <sz val="10"/>
        <rFont val="Arial"/>
        <family val="2"/>
      </rPr>
      <t>="K";BUSCARV(L00;Foundation_Calc!$V$41:$X$74;BUSCARV(AX</t>
    </r>
    <r>
      <rPr>
        <sz val="10"/>
        <color rgb="FFFF0000"/>
        <rFont val="Arial"/>
        <family val="2"/>
      </rPr>
      <t>00</t>
    </r>
    <r>
      <rPr>
        <sz val="10"/>
        <rFont val="Arial"/>
        <family val="2"/>
      </rPr>
      <t>;Foundation_Calc!$I$10:$J$13;2;FALSO);0);"")))</t>
    </r>
  </si>
  <si>
    <r>
      <t xml:space="preserve">Depht Foudation Pole </t>
    </r>
    <r>
      <rPr>
        <b/>
        <sz val="10"/>
        <color rgb="FFFF0000"/>
        <rFont val="Arial"/>
        <family val="2"/>
      </rPr>
      <t>WthOut</t>
    </r>
    <r>
      <rPr>
        <sz val="10"/>
        <rFont val="Arial"/>
        <family val="2"/>
      </rPr>
      <t xml:space="preserve"> SCADA</t>
    </r>
  </si>
  <si>
    <t>=SI(L00="";"";
SI(AX00="PT";BUSCARV(L00;Foundation_Calc!$K$79:$R$113;BUSCARV(AW00;Foundation_Calc!$I$2:$J$8;2;FALSO);0);
SI(AX00="K";BUSCARV(L00;Foundation_Calc!$K$117:$R$151;BUSCARV(AW00;Foundation_Calc!$I$2:$J$8;2;FALSO);0);"")))</t>
  </si>
  <si>
    <r>
      <t xml:space="preserve">Depht Foudation Anchor </t>
    </r>
    <r>
      <rPr>
        <b/>
        <sz val="10"/>
        <color rgb="FFFF0000"/>
        <rFont val="Arial"/>
        <family val="2"/>
      </rPr>
      <t>WthOut</t>
    </r>
    <r>
      <rPr>
        <sz val="10"/>
        <rFont val="Arial"/>
        <family val="2"/>
      </rPr>
      <t xml:space="preserve"> SCADA</t>
    </r>
  </si>
  <si>
    <t>=SI(K00="";"";
SI(AX00="PT";BUSCARV(K00;Foundation_Calc!$K$79:$R$113;BUSCARV(AW00;Foundation_Calc!$I$2:$J$8;2;FALSO);0);
SI(AX00="K";BUSCARV(K00;Foundation_Calc!$K$117:$R$151;BUSCARV(AW00;Foundation_Calc!$I$2:$J$8;2;FALSO);0);"")))</t>
  </si>
  <si>
    <r>
      <t xml:space="preserve">Depht Foudation Pole </t>
    </r>
    <r>
      <rPr>
        <b/>
        <sz val="10"/>
        <color rgb="FFFF0000"/>
        <rFont val="Arial"/>
        <family val="2"/>
      </rPr>
      <t>With</t>
    </r>
    <r>
      <rPr>
        <sz val="10"/>
        <rFont val="Arial"/>
        <family val="2"/>
      </rPr>
      <t xml:space="preserve"> SCADA</t>
    </r>
  </si>
  <si>
    <t>=SI(L00="";"";
SI(AX00="PT";BUSCARV(L00;Foundation_Calc!$K$4:$R$37;BUSCARV(AW00;Foundation_Calc!$I$2:$J$8;2;FALSO);0);
SI(AX00="K";BUSCARV(L00;Foundation_Calc!$K$41:$R$74;BUSCARV(AW00;Foundation_Calc!$I$2:$J$8;2;FALSO);0);"")))</t>
  </si>
  <si>
    <r>
      <t xml:space="preserve">Depht Foudation Anchor </t>
    </r>
    <r>
      <rPr>
        <b/>
        <sz val="10"/>
        <color rgb="FFFF0000"/>
        <rFont val="Arial"/>
        <family val="2"/>
      </rPr>
      <t>With</t>
    </r>
    <r>
      <rPr>
        <sz val="10"/>
        <rFont val="Arial"/>
        <family val="2"/>
      </rPr>
      <t xml:space="preserve"> SCADA</t>
    </r>
  </si>
  <si>
    <t>=SI(K00="";"";
SI(AX00="PT";BUSCARV(K00;Foundation_Calc!$K$4:$R$37;BUSCARV(AW00;Foundation_Calc!$I$2:$J$8;2;FALSO);0);
SI(AX00="K";BUSCARV(K00;Foundation_Calc!$K$41:$R$74;BUSCARV(AW00;Foundation_Calc!$I$2:$J$8;2;FALSO);0);"")))</t>
  </si>
  <si>
    <t>=SI(O(V160&gt;8;V160&lt;-8);"PH";
SI(O(V160&gt;5;V160&lt;-5);"PHQ";
SI(O(V160&gt;1;V160&lt;-1);
"PHC";"")))</t>
  </si>
  <si>
    <t>Poles</t>
  </si>
  <si>
    <t>Soil</t>
  </si>
  <si>
    <t>Depth</t>
  </si>
  <si>
    <t>TOTAL
FOUND.</t>
  </si>
  <si>
    <t>POLES SAME FOUNDATION</t>
  </si>
  <si>
    <t>Soil A</t>
  </si>
  <si>
    <t>Soil B</t>
  </si>
  <si>
    <t>Soil C</t>
  </si>
  <si>
    <t>BILL OF QUANTITIES</t>
  </si>
  <si>
    <t>Cat.</t>
  </si>
  <si>
    <t>Obs.</t>
  </si>
  <si>
    <t>Code</t>
  </si>
  <si>
    <t>Ref.</t>
  </si>
  <si>
    <t>Description</t>
  </si>
  <si>
    <t>DW Num.</t>
  </si>
  <si>
    <t>Total</t>
  </si>
  <si>
    <t>FOUNDATIONS</t>
  </si>
  <si>
    <t>FOUNDATION WITHOUT SCADA</t>
  </si>
  <si>
    <t xml:space="preserve">Cimentación para Poste HEB-240: C3R. Diámetro= 0,75 m. </t>
  </si>
  <si>
    <t xml:space="preserve">Foundation for POLE HEB-240: C3R. Diameter= 0,75 m. </t>
  </si>
  <si>
    <t xml:space="preserve">Cimentación para Poste HEB-240: C3RT. Diámetro= 0,75 m. </t>
  </si>
  <si>
    <t xml:space="preserve">Foundation for POLE HEB-240: C3RT. Diameter= 0,75 m. </t>
  </si>
  <si>
    <t>Cimentación para Poste HEB-260 y HEB-260L: C4R. Diámetro= 0,75 m</t>
  </si>
  <si>
    <t>Foundation for POLE HEB-260 and HEB-260L: C4R. Diameter= 0,75 m.</t>
  </si>
  <si>
    <t>Cimentación para Poste HEB-260 y HEB-260L: C4RT. Diámetro= 0,75 m</t>
  </si>
  <si>
    <t>Foundation for POLE HEB-260 and HEB-260L: C4RT. Diameter= 0,75 m.</t>
  </si>
  <si>
    <t xml:space="preserve">Cimentación para Poste HEB-280 y HEB-280L: C5R. Diámetro= 1 m. </t>
  </si>
  <si>
    <t xml:space="preserve">Foundation for POLE HEB-280 and HEB-280L: C5R. Diameter= 1 m. </t>
  </si>
  <si>
    <t xml:space="preserve">Cimentación para Poste HEB-280 y HEB-280L: C5RT. Diámetro= 1 m. </t>
  </si>
  <si>
    <t xml:space="preserve">Foundation for POLE HEB-280 and HEB-280L: C5RT. Diameter= 1 m. </t>
  </si>
  <si>
    <t xml:space="preserve">Cimentación para Poste HEB-300, HEB-300L, HEB-300LL, HEB-320L, y HEB-320PL: C7R. Diámetro= 1 m. </t>
  </si>
  <si>
    <t xml:space="preserve">Foundation for POLE HEB-300, HEB-300L, HEB-300LL, HEB-320L, y HEB-320PL: C7R. Diameter= 1 m. </t>
  </si>
  <si>
    <t xml:space="preserve">Cimentación para Poste HEB-300, HEB-300L, HEB-300LL, HEB-320L, y HEB-320PL: C7RT. Diámetro= 1 m. </t>
  </si>
  <si>
    <t xml:space="preserve">Foundation for POLE HEB-300, HEB-300L, HEB-300LL, HEB-320L, y HEB-320PL: C7RT. Diameter= 1 m. </t>
  </si>
  <si>
    <t xml:space="preserve">Cimentación para Poste 2HEB-320, 2HEB-320A, 2HEB-320L: C8R. Diámetro= 1,2 m. </t>
  </si>
  <si>
    <t xml:space="preserve">Foundation for POLE 2HEB-320, 2HEB-320A, 2HEB-320L: C8R . Diameter= 1,2 m. </t>
  </si>
  <si>
    <t xml:space="preserve">Cimentación para Poste 2HEB-320, 2HEB-320A, 2HEB-320L: C8RT. Diámetro= 1,2 m. </t>
  </si>
  <si>
    <t xml:space="preserve">Foundation for POLE 2HEB-320, 2HEB-320A, 2HEB-320L: C8RT . Diameter= 1,2 m. </t>
  </si>
  <si>
    <t xml:space="preserve">Cimentación para Poste HEB-360L; HEB-360PL, HEB-320LL, HEB-320LL(P), HEB-360LL: C9R. Diámetro= 1 m. </t>
  </si>
  <si>
    <t xml:space="preserve">Foundation for POLE HEB-360L; HEB-360PL, HEB-320LL, HEB-320LL(P), HEB-360LL: C9R. Diameter= 1 m. </t>
  </si>
  <si>
    <t xml:space="preserve">Cimentación para Poste HEB-360L; HEB-360PL, HEB-320LL, HEB-320LL(P), HEB-360LL: C9RT. Diámetro= 1 m. </t>
  </si>
  <si>
    <t xml:space="preserve">Foundation for POLE HEB-360L; HEB-360PL, HEB-320LL, HEB-320LL(P), HEB-360LL: C9RT. Diameter= 1 m. </t>
  </si>
  <si>
    <t xml:space="preserve">Cimentación para Poste HEB-450LL: C10R. Diámetro= 1,2 m. </t>
  </si>
  <si>
    <t xml:space="preserve">Foundation for POLE HEB-450LL: C10R. Diameter= 1,2 m. </t>
  </si>
  <si>
    <t xml:space="preserve">Cimentación para Poste HEB-450LL: C10RT. Diámetro= 1,2 m. </t>
  </si>
  <si>
    <t xml:space="preserve">Foundation for POLE HEB-450LL: C10RT. Diameter= 1,2 m. </t>
  </si>
  <si>
    <t xml:space="preserve">Cimentación para Poste HEB-400PL: C11R. Diámetro= 1 m. </t>
  </si>
  <si>
    <t xml:space="preserve">Foundation for POLE HEB-400PL: C11R. Diameter= 1 m. </t>
  </si>
  <si>
    <t xml:space="preserve">Cimentación para Poste HEB-400PL: C11RT. Diámetro= 1 m. </t>
  </si>
  <si>
    <t xml:space="preserve">Foundation for POLE HEB-400PL: C11RT. Diameter= 1 m. </t>
  </si>
  <si>
    <t xml:space="preserve">Cimentación para Poste HEB-450PL: C12RT. Diámetro= 1 m. </t>
  </si>
  <si>
    <t xml:space="preserve">Foundation for POLE HEB-450PL: C12RT. Diameter= 1 m. </t>
  </si>
  <si>
    <t xml:space="preserve">Cimentación para Poste HEB-500PL: C13RT. Diámetro= 1 m. </t>
  </si>
  <si>
    <t xml:space="preserve">Foundation for POLE HEB-500PL: C13RT. Diameter= 1 m. </t>
  </si>
  <si>
    <t xml:space="preserve">Cimentación para Poste 2HEB-240, 2HEB-240L: 2C3R. Diámetro= 1 m. </t>
  </si>
  <si>
    <t xml:space="preserve">Foundation for POLE 2HEB-240, 2HEB-240L: 2C3R. Diameter= 1 m. </t>
  </si>
  <si>
    <t xml:space="preserve">Cimentación para Poste 2HEB-240, 2HEB-240L: 2C3RT. Diámetro= 1 m. </t>
  </si>
  <si>
    <t xml:space="preserve">Foundation for POLE 2HEB-240, 2HEB-240L: 2C3RT. Diameter= 1 m. </t>
  </si>
  <si>
    <t xml:space="preserve">Cimentación para Poste 2HEB-260, 2HEB-260L: 2C4R. Diámetro= 1 m. </t>
  </si>
  <si>
    <t xml:space="preserve">Foundation for POLE 2HEB-260, 2HEB-260L: 2C4R. Diameter= 1 m. </t>
  </si>
  <si>
    <t xml:space="preserve">Cimentación para Poste 2HEB-260, 2HEB-260L: 2C4RT. Diámetro= 1 m. </t>
  </si>
  <si>
    <t xml:space="preserve">Foundation for POLE 2HEB-260, 2HEB-260L: 2C4RT. Diameter= 1 m. </t>
  </si>
  <si>
    <t xml:space="preserve">Cimentación para Poste 2HEB-360LL: 2C7R. Diámetro= 1 m. </t>
  </si>
  <si>
    <t xml:space="preserve">Cimentación para Poste 2HEB-360LL: 2C7RT. Diámetro= 1 m. </t>
  </si>
  <si>
    <t>Cimentación para Poste 2HEB-260F: 2C4FR</t>
  </si>
  <si>
    <t>Foundation for POLE 2HEB-260F: 2C4FR</t>
  </si>
  <si>
    <t>Cimentación para Poste 2HEB-260F: 2C4FRT</t>
  </si>
  <si>
    <t>Foundation for POLE 2HEB-260F: 2C4FRT</t>
  </si>
  <si>
    <t>Cimentación para Poste 2HEB-300F: C12FR</t>
  </si>
  <si>
    <t>Foundation for POLE 2HEB-300F: C12FR</t>
  </si>
  <si>
    <t>Cimentación para Poste 2HEB-300F: C12FRT</t>
  </si>
  <si>
    <t>Foundation for POLE 2HEB-300F: C12FRT</t>
  </si>
  <si>
    <t>FOUNDATION WITH SCADA</t>
  </si>
  <si>
    <t xml:space="preserve">Foundation for POLE HEB-240: C3SR. Diameter= 0,75 m. </t>
  </si>
  <si>
    <t>C3SRT</t>
  </si>
  <si>
    <t xml:space="preserve">Foundation for POLE HEB-240: C3SRT. Diameter= 0,75 m. </t>
  </si>
  <si>
    <t>Foundation for POLE HEB-260 and HEB-260L: C4SR. Diameter= 0,75 m.</t>
  </si>
  <si>
    <t>Foundation for POLE HEB-260 and HEB-260L: C4SRT. Diameter= 0,75 m.</t>
  </si>
  <si>
    <t xml:space="preserve">Foundation for POLE HEB-280 and HEB-280L: C5SR. Diameter= 1 m. </t>
  </si>
  <si>
    <t xml:space="preserve">Foundation for POLE HEB-280 and HEB-280L: C5SRT. Diameter= 1 m. </t>
  </si>
  <si>
    <t xml:space="preserve">Foundation for POLE HEB-300, HEB-300L, HEB-300LL, HEB-320L, y HEB-320PL: C7SR. Diameter= 1 m. </t>
  </si>
  <si>
    <t xml:space="preserve">Foundation for POLE HEB-300, HEB-300L, HEB-300LL, HEB-320L, y HEB-320PL: C7SRT. Diameter= 1 m. </t>
  </si>
  <si>
    <t xml:space="preserve">Foundation for POLE 2HEB-320, 2HEB-320A, 2HEB-320L: C8SR . Diameter= 1,2 m. </t>
  </si>
  <si>
    <t xml:space="preserve">Foundation for POLE 2HEB-320, 2HEB-320A, 2HEB-320L: C8SRT . Diameter= 1,2 m. </t>
  </si>
  <si>
    <t xml:space="preserve">Foundation for POLE HEB-360L; HEB-360PL, HEB-320LL, HEB-320LL(P), HEB-360LL: C9SR. Diameter= 1 m. </t>
  </si>
  <si>
    <t xml:space="preserve">Foundation for POLE HEB-360L; HEB-360PL, HEB-320LL, HEB-320LL(P), HEB-360LL: C9SRT. Diameter= 1 m. </t>
  </si>
  <si>
    <t xml:space="preserve">Foundation for POLE HEB-450LL: C10SR. Diameter= 1,2 m. </t>
  </si>
  <si>
    <t xml:space="preserve">Foundation for POLE HEB-450LL: C10SRT. Diameter= 1,2 m. </t>
  </si>
  <si>
    <t xml:space="preserve">Foundation for POLE HEB-400PL: C11SR. Diameter= 1 m. </t>
  </si>
  <si>
    <t xml:space="preserve">Foundation for POLE HEB-400PL: C11SRT. Diameter= 1 m. </t>
  </si>
  <si>
    <t xml:space="preserve">Foundation for POLE HEB-450PL: C12SRT. Diameter= 1 m. </t>
  </si>
  <si>
    <t xml:space="preserve">Foundation for POLE HEB-500PL: C13SRT. Diameter= 1 m. </t>
  </si>
  <si>
    <t xml:space="preserve">Foundation for POLE 2HEB-240, 2HEB-240L: 2C3SR. Diameter= 1 m. </t>
  </si>
  <si>
    <t xml:space="preserve">Foundation for POLE 2HEB-240, 2HEB-240L: 2C3SRT. Diameter= 1 m. </t>
  </si>
  <si>
    <t xml:space="preserve">Foundation for POLE 2HEB-260, 2HEB-260L: 2C4SR. Diameter= 1 m. </t>
  </si>
  <si>
    <t xml:space="preserve">Foundation for POLE 2HEB-260, 2HEB-260L: 2C4SRT. Diameter= 1 m. </t>
  </si>
  <si>
    <t xml:space="preserve">Cimentación para Poste 2HEB-360LL: 2C7SR. Diámetro= 1 m. </t>
  </si>
  <si>
    <t xml:space="preserve">Cimentación para Poste 2HEB-360LL: 2C7SRT. Diámetro= 1 m. </t>
  </si>
  <si>
    <t>Foundation for POLE 2HEB-260F: 2C4FSR</t>
  </si>
  <si>
    <t>Foundation for POLE 2HEB-260F: 2C4FSRT</t>
  </si>
  <si>
    <t>Foundation for POLE 2HEB-300F: C12FSR</t>
  </si>
  <si>
    <t>Foundation for POLE 2HEB-300F: C12FSRT</t>
  </si>
  <si>
    <t>T-SIGN FOUND.</t>
  </si>
  <si>
    <t>Cimentación para T-SIGN: Ø750*1700 . Diámetro= 0,750 m. Depth=1,7 m.</t>
  </si>
  <si>
    <t>Foundation for T-SIGN: Ø750*1700. Diameter= 0,750 m. Depth=1,7 m.</t>
  </si>
  <si>
    <t>ANCHOR FOUND.</t>
  </si>
  <si>
    <t>C-101</t>
  </si>
  <si>
    <t xml:space="preserve">Cimentación: AnMC-R . Diámetro= 0,75 m. </t>
  </si>
  <si>
    <t>Foundation: AnMCR. Diameter= 0,75 m. Depth=3,5 m. GEWI= Ø16-L=2m. Nº=4. Long. Armor=8 Ø18. Transv. Armor=16 Ø8. Steel Weight =65,1 kg. Concrete=1,546 m3.</t>
  </si>
  <si>
    <t xml:space="preserve">Cimentación: AnMC-RT . Diámetro= 0,75 m. </t>
  </si>
  <si>
    <t>Foundation: AnMCRT. Diameter= 0,75 m. Depth=3,5 m. GEWI= Ø16-L=2m. Nº=4. Long. Armor=8 Ø18. Transv. Armor=16 Ø8. Steel Weight =65,1 kg. Concrete=1,546 m3.</t>
  </si>
  <si>
    <t>C-102</t>
  </si>
  <si>
    <t>Cimentación: AnM-R . Diámetro= 0,75 m.</t>
  </si>
  <si>
    <t>Foundation: AnMR. Diameter= 0,75 m. Depth=3 m. GEWI= Ø16-L=2m. Nº=4. Long. Armor=8 Ø18. Transv. Armor=16 Ø8. Steel Weight =65,1 kg. Concrete=1,325 m3.</t>
  </si>
  <si>
    <t xml:space="preserve">Cimentación: AnM-RT . Diámetro= 0,75 m. </t>
  </si>
  <si>
    <t>Foundation: AnM-RT. Diameter= 0,75 m. Depth=3 m. GEWI= Ø16-L=2m. Nº=4. Long. Armor=8 Ø18. Transv. Armor=16 Ø8. Steel Weight =65,1 kg. Concrete=1,325 m3.</t>
  </si>
  <si>
    <t>L FOUNDATIONS</t>
  </si>
  <si>
    <t xml:space="preserve">Cimentación en L para Poste HEB-240: C3R. Diámetro= 0,75 m. </t>
  </si>
  <si>
    <t xml:space="preserve">L Foundation for POLE HEB-240: C3R. Diameter= 0,75 m. </t>
  </si>
  <si>
    <t>C3RT_L</t>
  </si>
  <si>
    <t xml:space="preserve">Cimentación en L para Poste HEB-240: C3RT. Diámetro= 0,75 m. </t>
  </si>
  <si>
    <t xml:space="preserve">L Foundation for POLE HEB-240: C3RT. Diameter= 0,75 m. </t>
  </si>
  <si>
    <t>Cimentación en L para Poste HEB-260 y HEB-260L: C4R. Diámetro= 0,75 m</t>
  </si>
  <si>
    <t>L Foundation for POLE HEB-260 and HEB-260L: C4R. Diameter= 0,75 m.</t>
  </si>
  <si>
    <t>C4RT_L</t>
  </si>
  <si>
    <t>Cimentación en L para Poste HEB-260 y HEB-260L: C4RT. Diámetro= 0,75 m</t>
  </si>
  <si>
    <t>L Foundation for POLE HEB-260 and HEB-260L: C4RT. Diameter= 0,75 m.</t>
  </si>
  <si>
    <t xml:space="preserve">Cimentación en L para Poste HEB-280 y HEB-280L: C5R. Diámetro= 1 m. </t>
  </si>
  <si>
    <t xml:space="preserve">L Foundation for POLE HEB-280 and HEB-280L: C5R. Diameter= 1 m. </t>
  </si>
  <si>
    <t>C5RT_L</t>
  </si>
  <si>
    <t xml:space="preserve">Cimentación en L para Poste HEB-280 y HEB-280L: C5RT. Diámetro= 1 m. </t>
  </si>
  <si>
    <t xml:space="preserve">L Foundation for POLE HEB-280 and HEB-280L: C5RT. Diameter= 1 m. </t>
  </si>
  <si>
    <t>C7R_L</t>
  </si>
  <si>
    <t xml:space="preserve">Cimentación en L para Poste HEB-300, HEB-300L, HEB-300LL, HEB-320L, y HEB-320PL: C7R. Diámetro= 1 m. </t>
  </si>
  <si>
    <t xml:space="preserve">L Foundation for POLE HEB-300, HEB-300L, HEB-300LL, HEB-320L, y HEB-320PL: C7R. Diameter= 1 m. </t>
  </si>
  <si>
    <t>C7RT_L</t>
  </si>
  <si>
    <t xml:space="preserve">Cimentación en L para Poste HEB-300, HEB-300L, HEB-300LL, HEB-320L, y HEB-320PL: C7RT. Diámetro= 1 m. </t>
  </si>
  <si>
    <t xml:space="preserve">L Foundation for POLE HEB-300, HEB-300L, HEB-300LL, HEB-320L, y HEB-320PL: C7RT. Diameter= 1 m. </t>
  </si>
  <si>
    <t>C8R_L</t>
  </si>
  <si>
    <t xml:space="preserve">Cimentación en L para Poste 2HEB-320, 2HEB-320A, 2HEB-320L: C8R. Diámetro= 1,2 m. </t>
  </si>
  <si>
    <t xml:space="preserve">L Foundation for POLE 2HEB-320, 2HEB-320A, 2HEB-320L: C8R . Diameter= 1,2 m. </t>
  </si>
  <si>
    <t>C8RT_L</t>
  </si>
  <si>
    <t xml:space="preserve">Cimentación en L para Poste 2HEB-320, 2HEB-320A, 2HEB-320L: C8RT. Diámetro= 1,2 m. </t>
  </si>
  <si>
    <t xml:space="preserve">L Foundation for POLE 2HEB-320, 2HEB-320A, 2HEB-320L: C8RT . Diameter= 1,2 m. </t>
  </si>
  <si>
    <t>C9R_L</t>
  </si>
  <si>
    <t xml:space="preserve">Cimentación en L para Poste HEB-360L; HEB-360PL, HEB-320LL, HEB-320LL(P), HEB-360LL: C9R. Diámetro= 1 m. </t>
  </si>
  <si>
    <t xml:space="preserve">L Foundation for POLE HEB-360L; HEB-360PL, HEB-320LL, HEB-320LL(P), HEB-360LL: C9R. Diameter= 1 m. </t>
  </si>
  <si>
    <t>C9RT_L</t>
  </si>
  <si>
    <t xml:space="preserve">Cimentación en L para Poste HEB-360L; HEB-360PL, HEB-320LL, HEB-320LL(P), HEB-360LL: C9RT. Diámetro= 1 m. </t>
  </si>
  <si>
    <t xml:space="preserve">L Foundation for POLE HEB-360L; HEB-360PL, HEB-320LL, HEB-320LL(P), HEB-360LL: C9RT. Diameter= 1 m. </t>
  </si>
  <si>
    <t>C10R_L</t>
  </si>
  <si>
    <t xml:space="preserve">Cimentación en L para Poste HEB-450LL: C10R. Diámetro= 1,2 m. </t>
  </si>
  <si>
    <t xml:space="preserve">L Foundation for POLE HEB-450LL: C10R. Diameter= 1,2 m. </t>
  </si>
  <si>
    <t>C10RT_L</t>
  </si>
  <si>
    <t xml:space="preserve">Cimentación en L para Poste HEB-450LL: C10RT. Diámetro= 1,2 m. </t>
  </si>
  <si>
    <t xml:space="preserve">L Foundation for POLE HEB-450LL: C10RT. Diameter= 1,2 m. </t>
  </si>
  <si>
    <t>C11R_L</t>
  </si>
  <si>
    <t xml:space="preserve">Cimentación en L para Poste HEB-400PL: C11R. Diámetro= 1 m. </t>
  </si>
  <si>
    <t xml:space="preserve">L Foundation for POLE HEB-400PL: C11R. Diameter= 1 m. </t>
  </si>
  <si>
    <t>C11RT_L</t>
  </si>
  <si>
    <t xml:space="preserve">Cimentación en L para Poste HEB-400PL: C11RT. Diámetro= 1 m. </t>
  </si>
  <si>
    <t xml:space="preserve">L Foundation for POLE HEB-400PL: C11RT. Diameter= 1 m. </t>
  </si>
  <si>
    <t>C12R_L</t>
  </si>
  <si>
    <t xml:space="preserve">Cimentación en L para Poste HEB-450PL: C12RT. Diámetro= 1 m. </t>
  </si>
  <si>
    <t xml:space="preserve">L Foundation for POLE HEB-450PL: C12RT. Diameter= 1 m. </t>
  </si>
  <si>
    <t>C12RT_L</t>
  </si>
  <si>
    <t>C13R_L</t>
  </si>
  <si>
    <t xml:space="preserve">Cimentación en L para Poste HEB-500PL: C13RT. Diámetro= 1 m. </t>
  </si>
  <si>
    <t xml:space="preserve">L Foundation for POLE HEB-500PL: C13RT. Diameter= 1 m. </t>
  </si>
  <si>
    <t>C13RT_L</t>
  </si>
  <si>
    <t xml:space="preserve">Cimentación en L para Poste 2HEB-240, 2HEB-240L: 2C3R. Diámetro= 1 m. </t>
  </si>
  <si>
    <t xml:space="preserve">L Foundation for POLE 2HEB-240, 2HEB-240L: 2C3R. Diameter= 1 m. </t>
  </si>
  <si>
    <t>2C3RT_L</t>
  </si>
  <si>
    <t xml:space="preserve">Cimentación en L para Poste 2HEB-240, 2HEB-240L: 2C3RT. Diámetro= 1 m. </t>
  </si>
  <si>
    <t xml:space="preserve">L Foundation for POLE 2HEB-240, 2HEB-240L: 2C3RT. Diameter= 1 m. </t>
  </si>
  <si>
    <t xml:space="preserve">Cimentación en L para Poste 2HEB-260, 2HEB-260L: 2C4R. Diámetro= 1 m. </t>
  </si>
  <si>
    <t xml:space="preserve">L Foundation for POLE 2HEB-260, 2HEB-260L: 2C4R. Diameter= 1 m. </t>
  </si>
  <si>
    <t>2C4RT_L</t>
  </si>
  <si>
    <t xml:space="preserve">Cimentación en L para Poste 2HEB-260, 2HEB-260L: 2C4RT. Diámetro= 1 m. </t>
  </si>
  <si>
    <t xml:space="preserve">L Foundation for POLE 2HEB-260, 2HEB-260L: 2C4RT. </t>
  </si>
  <si>
    <t>2C7R_L</t>
  </si>
  <si>
    <t xml:space="preserve">Cimentación en L para Poste 2HEB-360LL: 2C7R. Diámetro= 1 m. </t>
  </si>
  <si>
    <t xml:space="preserve">L Foundation for POLE 2HEB-360LL: 2C7R. Diameter= 1 m. </t>
  </si>
  <si>
    <t>2C7RT_L</t>
  </si>
  <si>
    <t xml:space="preserve">Cimentación en L para Poste 2HEB-360LL: 2C7RT. Diámetro= 1 m. </t>
  </si>
  <si>
    <t xml:space="preserve">L Foundation for POLE 2HEB-360LL: 2C7RT. Diameter= 1 m. </t>
  </si>
  <si>
    <t>2C4FR_L</t>
  </si>
  <si>
    <t>Cimentación en L para Poste 2HEB-260F: 2C4FR</t>
  </si>
  <si>
    <t>L Foundation for POLE 2HEB-260F: 2C4FR</t>
  </si>
  <si>
    <t>2C4FRT_L</t>
  </si>
  <si>
    <t>Cimentación en L para Poste 2HEB-260F: 2C4FRT</t>
  </si>
  <si>
    <t>L Foundation for POLE 2HEB-260F: 2C4FRT</t>
  </si>
  <si>
    <t>C12FR_L</t>
  </si>
  <si>
    <t>Cimentación en L para Poste 2HEB-300F: C12FR</t>
  </si>
  <si>
    <t>L Foundation for POLE 2HEB-300F: C12FR</t>
  </si>
  <si>
    <t>C12FRT_L</t>
  </si>
  <si>
    <t>Cimentación en L para Poste 2HEB-300F: C12FRT</t>
  </si>
  <si>
    <t>L Foundation for POLE 2HEB-300F: C12FRT</t>
  </si>
  <si>
    <t>L ANCHOR FOUND.</t>
  </si>
  <si>
    <t>AnM_L</t>
  </si>
  <si>
    <t>Cimentacion Tipo AnM &amp; Soporte en L</t>
  </si>
  <si>
    <t>AnM-RT_L</t>
  </si>
  <si>
    <t>AnMR_L</t>
  </si>
  <si>
    <t>Cimentacion Tipo AnM-R T&amp; Soporte en L</t>
  </si>
  <si>
    <t>AnMC_L</t>
  </si>
  <si>
    <t>Cimentacion Tipo AnMC &amp; Soporte en L</t>
  </si>
  <si>
    <t>AnMC-RT_L</t>
  </si>
  <si>
    <t>Cimentacion Tipo AnMC-R T&amp; Soporte en L</t>
  </si>
  <si>
    <t>POLES SUPPORTS IN LATERAL WALL</t>
  </si>
  <si>
    <t>Soporte lateral para poste HEB-240 en muro existente.</t>
  </si>
  <si>
    <t>2W3</t>
  </si>
  <si>
    <t>Soporte lateral para poste 2HEB-240 en muro existente.</t>
  </si>
  <si>
    <t>W4</t>
  </si>
  <si>
    <t>Soporte lateral para poste HEB-260 en muro existente.</t>
  </si>
  <si>
    <t>2W4</t>
  </si>
  <si>
    <t>Soporte lateral para poste 2HEB-260 en muro existente.</t>
  </si>
  <si>
    <t>W5</t>
  </si>
  <si>
    <t>Soporte lateral para poste HEB-280 en muro existente.</t>
  </si>
  <si>
    <t>W7</t>
  </si>
  <si>
    <t>Soporte lateral para poste HEB-300, HEB-300L, HEB-300LL, HEB-320L, y HEB-320PL en muro existente.</t>
  </si>
  <si>
    <t>2W7</t>
  </si>
  <si>
    <t>Soporte lateral para poste 2HEB-320L en muro existente.</t>
  </si>
  <si>
    <t>WS5</t>
  </si>
  <si>
    <t>Poste HEB-280 con soporte lateral en muro existente</t>
  </si>
  <si>
    <t>WA7</t>
  </si>
  <si>
    <t>Soporte lateral especial con tirantes para poste  HEB-300, HEB-300L, HEB-300LL, HEB-320L, y HEB-320PL en muro existente.</t>
  </si>
  <si>
    <t>WB7</t>
  </si>
  <si>
    <t>WH4</t>
  </si>
  <si>
    <t>Soporte lateral especial con 3 apoyos para poste HEB-260 en muro existente.</t>
  </si>
  <si>
    <t>WH5</t>
  </si>
  <si>
    <t>Soporte lateral especial con 3 apoyos para poste HEB-280 en muro existente.</t>
  </si>
  <si>
    <t>WH7</t>
  </si>
  <si>
    <t>Soporte lateral especial con 3 apoyos para poste HEB-300, HEB-300L, HEB-300LL, HEB-320L, y HEB-320PL en muro existente.</t>
  </si>
  <si>
    <t>2WH3</t>
  </si>
  <si>
    <t>Soporte lateral especial con 3 apoyos para poste 2HEB-240 en muro existente.</t>
  </si>
  <si>
    <t>2WH4</t>
  </si>
  <si>
    <t>Soporte lateral especial con 3 apoyos para poste 2HEB-260 en muro existente.</t>
  </si>
  <si>
    <t>ANC.SUP. L.WALL</t>
  </si>
  <si>
    <t>Placa de anclaje para tirante en muro existente.</t>
  </si>
  <si>
    <t>WT3</t>
  </si>
  <si>
    <t>Soporte en cabeza de muro para poste HEB-240 en muro existente.</t>
  </si>
  <si>
    <t>POLES SUPPORTS ON TOP WALL</t>
  </si>
  <si>
    <t>2WT3</t>
  </si>
  <si>
    <t>Soporte en cabeza de muro para poste 2HEB-240 en muro existente.</t>
  </si>
  <si>
    <t>WT4</t>
  </si>
  <si>
    <t>Soporte en cabeza de muro para poste HEB-260 en muro existente.</t>
  </si>
  <si>
    <t>2WT4</t>
  </si>
  <si>
    <t>Soporte en cabeza de muro para poste 2HEB-260 en muro existente.</t>
  </si>
  <si>
    <t>WT5</t>
  </si>
  <si>
    <t>Soporte en cabeza de muro para poste HEB-280 en muro existente.</t>
  </si>
  <si>
    <t>WT7</t>
  </si>
  <si>
    <t>Soporte en cabeza de muro para poste  HEB-300, HEB-300L, HEB-300LL, HEB-320L, y HEB-320PL en muro existente.</t>
  </si>
  <si>
    <t>2WT7</t>
  </si>
  <si>
    <t>Soporte en cabeza de muro para poste 2HEB-320L en muro existente.</t>
  </si>
  <si>
    <t>ANC.SUP. T.WALL</t>
  </si>
  <si>
    <t>AnM/WT</t>
  </si>
  <si>
    <t>Placa de anclaje en cabez de muro para tirante en muro existente.</t>
  </si>
  <si>
    <t>AnMC/WT</t>
  </si>
  <si>
    <t>POLES SUPPORTS IN DRAINAGE</t>
  </si>
  <si>
    <t>WD3</t>
  </si>
  <si>
    <t>Soporte para poste HEB-240 en canaleta de drenaje existente.</t>
  </si>
  <si>
    <t>2WD3</t>
  </si>
  <si>
    <t>Soporte para poste 2HEB-240 en canaleta de drenaje existente.</t>
  </si>
  <si>
    <t>WD4</t>
  </si>
  <si>
    <t>Soporte para poste HEB-260 en canaleta de drenaje existente.</t>
  </si>
  <si>
    <t>2WD4</t>
  </si>
  <si>
    <t>Soporte para poste 2HEB-260 en canaleta de drenaje existente.</t>
  </si>
  <si>
    <t>WD5</t>
  </si>
  <si>
    <t>Soporte para poste HEB-280 en canaleta de drenaje existente.</t>
  </si>
  <si>
    <t>WD7</t>
  </si>
  <si>
    <t>Soporte para poste HEB-300, HEB-300L, HEB-300LL, HEB-320L, y HEB-320PL en canaleta de drenaje existente.</t>
  </si>
  <si>
    <t>2WD7</t>
  </si>
  <si>
    <t>Soporte para poste 2HEB-320L en canaleta de drenaje existente.</t>
  </si>
  <si>
    <t>AnM/WD</t>
  </si>
  <si>
    <t>Placa de anclaje para tirante en canaleta de drenaje existente.</t>
  </si>
  <si>
    <t>AnMC/WD</t>
  </si>
  <si>
    <t>BRIDGE SUPPORTS</t>
  </si>
  <si>
    <t>MANUAL</t>
  </si>
  <si>
    <t>PL;M3;M5;M6</t>
  </si>
  <si>
    <t>C-130</t>
  </si>
  <si>
    <t>Conjunto de anclaje de poste en viaducto (HEB-220 a HEB-240) (taladrando el tablero)</t>
  </si>
  <si>
    <t>Pole Anchors in Underbridge (Viaduct) (HEB-220 to HEB-240)</t>
  </si>
  <si>
    <t>C-131</t>
  </si>
  <si>
    <t xml:space="preserve">Conjunto de anclaje de poste en viaducto (HEB-260 a HEB-300) (taladrando el tablero) </t>
  </si>
  <si>
    <t>Pole Anchors in Underbridge (Viaduct)  (HEB-260 a HEB-300)</t>
  </si>
  <si>
    <t>C-132</t>
  </si>
  <si>
    <t xml:space="preserve">Conjunto de anclaje de poste en viaducto (HEB-320) (taladrando el tablero)  </t>
  </si>
  <si>
    <t>Pole Anchors in Underbridge (Viaduct)  (HEB-320)</t>
  </si>
  <si>
    <t>PL3</t>
  </si>
  <si>
    <t>Soporte para poste HEB-240 en viaducto existente, de acuerdo al plano GAS0164.</t>
  </si>
  <si>
    <t>PL4</t>
  </si>
  <si>
    <t>Soporte para poste HEB-260 en viaducto existente, de acuerdo al plano GAS0164.</t>
  </si>
  <si>
    <t>PL5</t>
  </si>
  <si>
    <t>Soporte para poste HEB-280 en viaducto existente, de acuerdo al plano GAS0164.</t>
  </si>
  <si>
    <t>PL2H240</t>
  </si>
  <si>
    <t>Soporte para poste 2xHEB-240 en viaducto existente, de acuerdo al plano GAS0164.</t>
  </si>
  <si>
    <t>PL2H260</t>
  </si>
  <si>
    <t>PL2H280</t>
  </si>
  <si>
    <t>Soporte para poste 2xHEB-260 en viaducto existente, de acuerdo al plano GAS0164.</t>
  </si>
  <si>
    <t>Soporte para poste 2xHEB-280 en viaducto existente, de acuerdo al plano GAS0164.</t>
  </si>
  <si>
    <t>PL2H300</t>
  </si>
  <si>
    <t>Soporte para poste 2xHEB-300 en viaducto existente, de acuerdo al plano GAS0164.</t>
  </si>
  <si>
    <t>C-134</t>
  </si>
  <si>
    <t>Placa de anclaje para  tirante en viaducto  (i. PL-AN)</t>
  </si>
  <si>
    <t>SPECIAL</t>
  </si>
  <si>
    <t>Poste, Cimentacion o Solucion especial pendiente de Definir (para control de ejecución)</t>
  </si>
  <si>
    <t>Solucion especial unica  No Definida un perfil asociada a un plano DWXXXX</t>
  </si>
  <si>
    <t>Solucion especial unica de un perfil asociada a un plano DWXXXX</t>
  </si>
  <si>
    <t>TUNNEL ANCHOR</t>
  </si>
  <si>
    <t>Check</t>
  </si>
  <si>
    <t>Anclaje en tunel CR / FN / MP</t>
  </si>
  <si>
    <t>Anclaje en tunel OCS CP / FP</t>
  </si>
  <si>
    <t>AnM/TX</t>
  </si>
  <si>
    <t>Anclaje en tunel / muro Tensorex</t>
  </si>
  <si>
    <t>POLES</t>
  </si>
  <si>
    <t>C-202</t>
  </si>
  <si>
    <t>Poste HEB-240 (8,2m)</t>
  </si>
  <si>
    <t>Pole HEB-240 (8,2m)</t>
  </si>
  <si>
    <t>HEB-240 V</t>
  </si>
  <si>
    <t>C-202-V</t>
  </si>
  <si>
    <t>Poste HEB-240 V VIADUCTO (7,6m)</t>
  </si>
  <si>
    <t>Pole HEB-240 V BRIDGE (7,6m)</t>
  </si>
  <si>
    <t>C-203</t>
  </si>
  <si>
    <t>Poste HEB-260 (8,2m)</t>
  </si>
  <si>
    <t>Pole HEB-260 (8,2m)</t>
  </si>
  <si>
    <t>C-203-CP</t>
  </si>
  <si>
    <t>Poste HEB-260 (CP) PERFIL COMPENSACIÓN (8,2m)</t>
  </si>
  <si>
    <t>Pole HEB-260 (CP) COMPENSATED PROFILE (8,2m)</t>
  </si>
  <si>
    <t>HEB-260 V</t>
  </si>
  <si>
    <t>C-203-V</t>
  </si>
  <si>
    <t>Poste HEB-260 V VIADUCTO (7,6m)</t>
  </si>
  <si>
    <t>Pole HEB-260 V BRIDGE (7,6m)</t>
  </si>
  <si>
    <t>C-204</t>
  </si>
  <si>
    <t>Poste HEB-280 (8,2m)</t>
  </si>
  <si>
    <t>Pole HEB-280 (8,2m)</t>
  </si>
  <si>
    <t>C-204-CP</t>
  </si>
  <si>
    <t>Poste HEB-280 (CP) PERFIL COMPENSACIÓN (8,2m)</t>
  </si>
  <si>
    <t>Pole HEB-280 (CP) COMPENSATED PROFILE (8,2m)</t>
  </si>
  <si>
    <t>HEB-280 V</t>
  </si>
  <si>
    <t>C-204-V</t>
  </si>
  <si>
    <t>Poste HEB-280 V VIADUCTO (7,6m)</t>
  </si>
  <si>
    <t>Pole HEB-280 V BRIDGE (7,6m)</t>
  </si>
  <si>
    <t>C-205</t>
  </si>
  <si>
    <t>Poste HEB-300 (8,2m)</t>
  </si>
  <si>
    <t>Pole HEB-300 (8,2m)</t>
  </si>
  <si>
    <t>C-205-CP</t>
  </si>
  <si>
    <t>Poste HEB-300 (CP) PERFIL COMPENSACIÓN (8,2m)</t>
  </si>
  <si>
    <t>Pole HEB-300 (CP) COMPENSATED PROFILE (8,2m)</t>
  </si>
  <si>
    <t>HEB-300 V</t>
  </si>
  <si>
    <t>C-205-V</t>
  </si>
  <si>
    <t>Poste HEB-300 V  VIADUCTO (7,6m)</t>
  </si>
  <si>
    <t>Pole HEB-300 V BRIDGE (7,6m)</t>
  </si>
  <si>
    <t>HEB-240L</t>
  </si>
  <si>
    <t>C-202-L</t>
  </si>
  <si>
    <t>Poste HEB-240L LARGO (10,5m)</t>
  </si>
  <si>
    <t>Pole HEB-240L LARGE (10,5m)</t>
  </si>
  <si>
    <t>C-203-L</t>
  </si>
  <si>
    <t>Poste HEB-260L LARGO (10,5m)</t>
  </si>
  <si>
    <t>Pole HEB-260L LARGE (10,5m)</t>
  </si>
  <si>
    <t>C-204-L</t>
  </si>
  <si>
    <t>Poste HEB-280L LARGO (10,5m)</t>
  </si>
  <si>
    <t>Pole HEB-280L LARGE (10,5m)</t>
  </si>
  <si>
    <t>C-204-LL</t>
  </si>
  <si>
    <t>Poste HEB-280LL EXTRA LARGO (&gt;10,5m)</t>
  </si>
  <si>
    <t>C-205-L</t>
  </si>
  <si>
    <t>Poste HEB-300L LARGO (10,5m)</t>
  </si>
  <si>
    <t>Pole HEB-300L LARGE (10,5m)</t>
  </si>
  <si>
    <t>C-205-LL</t>
  </si>
  <si>
    <t>Poste HEB-300LL EXTRA LARGO (&gt;10,5m)</t>
  </si>
  <si>
    <t>Pole HEB-300LL EXTRA LARGE (&gt;10,5m)</t>
  </si>
  <si>
    <t>C-206-L</t>
  </si>
  <si>
    <t>Poste HEB-320L LARGO (10,5m)</t>
  </si>
  <si>
    <t>Pole HEB-320L LARGE (10,5m)</t>
  </si>
  <si>
    <t>C-206-PL</t>
  </si>
  <si>
    <t>Poste HEB-320PL LARGO (10,5m)</t>
  </si>
  <si>
    <t>Pole HEB-320PL LARGE (10,5m)</t>
  </si>
  <si>
    <t>C-206-LL</t>
  </si>
  <si>
    <t>Poste HEB-320LL EXTRA LARGO (&gt;10,5m)</t>
  </si>
  <si>
    <t>Pole HEB-320LL EXTRA LARGE (&gt;10,5m)</t>
  </si>
  <si>
    <t>C-207-L</t>
  </si>
  <si>
    <t>Poste HEB-360L  LARGO (10,5m)</t>
  </si>
  <si>
    <t>Pole HEB-360L LARGE (10,5m)</t>
  </si>
  <si>
    <t>C-207-PL</t>
  </si>
  <si>
    <t>Poste HEB-360PL  LARGO (10,5m)</t>
  </si>
  <si>
    <t>Pole HEB-360PL LARGE (10,5m)</t>
  </si>
  <si>
    <t>C-208-PL</t>
  </si>
  <si>
    <t>Poste HEB-400PL  LARGO (10,5m)</t>
  </si>
  <si>
    <t>Pole HEB-400PL LARGE (10,5m)</t>
  </si>
  <si>
    <t>C-209-PL</t>
  </si>
  <si>
    <t>Poste HEB-450PL  LARGO (10,5m)</t>
  </si>
  <si>
    <t>Pole HEB-450PL LARGE (10,5m)</t>
  </si>
  <si>
    <t>C-210-PL</t>
  </si>
  <si>
    <t>Poste HEB-500PL  LARGO (10,5m)</t>
  </si>
  <si>
    <t>Pole HEB-500PL LARGE (10,5m)</t>
  </si>
  <si>
    <t>C-207-LL</t>
  </si>
  <si>
    <t>Poste HEB-360LL EXTRA LARGO (&gt;10,5m) B7</t>
  </si>
  <si>
    <t>Pole HEB-360LL EXTRA LARGE (&gt;10,5m) B7</t>
  </si>
  <si>
    <t>C-209-LL</t>
  </si>
  <si>
    <t xml:space="preserve">Poste HEB-450LL EXTRA LARGO (&gt;10,5m) SEMIPÓRTICO 3 VÍAS </t>
  </si>
  <si>
    <t>Pole HEB-450LL EXTRA LARGE (&gt;10,5m) SEMIPORTAL 3 TRACKS</t>
  </si>
  <si>
    <t>C-211</t>
  </si>
  <si>
    <t>Poste 2HEB-240 DOBLE (8,2m)</t>
  </si>
  <si>
    <t>Pole 2HEB-240 DOUBLE (8,2m)</t>
  </si>
  <si>
    <t>2HEB-240 V</t>
  </si>
  <si>
    <t>C-213-V</t>
  </si>
  <si>
    <t xml:space="preserve">Poste 2HEB-240 V DOBLE - VIADUCTO </t>
  </si>
  <si>
    <t>Pole 2HEB-240 V DOUBLE - BRIDGE</t>
  </si>
  <si>
    <t>C-211-L</t>
  </si>
  <si>
    <t>Poste 2HEB-240L DOBLE Y LARGO (10,5m)</t>
  </si>
  <si>
    <t>Pole 2HEB-240L DOUBLE AND LARGE (10,5m)</t>
  </si>
  <si>
    <t>C-212</t>
  </si>
  <si>
    <t>Poste 2HEB-260 DOBLE (8,2m)</t>
  </si>
  <si>
    <t>Pole 2HEB-260 DOUBLE (8,2m)</t>
  </si>
  <si>
    <t>2HEB-260 V</t>
  </si>
  <si>
    <t>C-214-V</t>
  </si>
  <si>
    <t>Poste 2HEB-260 V DOBLE - VIADUCTO</t>
  </si>
  <si>
    <t>Pole 2HEB-260 V DOUBLE - BRIDGE</t>
  </si>
  <si>
    <t>C-212-L</t>
  </si>
  <si>
    <t>Poste 2HEB-260L DOBLE Y LARGO (10,5m)</t>
  </si>
  <si>
    <t>Pole 2HEB-260L DOUBLE AND LARGE (10,5m)</t>
  </si>
  <si>
    <t>2HEB-280</t>
  </si>
  <si>
    <t>C-213</t>
  </si>
  <si>
    <t>Poste 2HEB-280 DOBLE (8,2m)</t>
  </si>
  <si>
    <t>Pole 2HEB-280 DOUBLE (8,2m)</t>
  </si>
  <si>
    <t>2HEB-280 V</t>
  </si>
  <si>
    <t>C-218-V</t>
  </si>
  <si>
    <t>Poste 2HEB-280 V DOBLE - VIADUCTO</t>
  </si>
  <si>
    <t>Pole 2HEB-280 V DOUBLE - BRIDGE</t>
  </si>
  <si>
    <t>2HEB-300</t>
  </si>
  <si>
    <t>C-214</t>
  </si>
  <si>
    <t>Poste 2HEB-300 DOBLE (8,2m)</t>
  </si>
  <si>
    <t>Pole 2HEB-300 (CP) DOUBLE (8,2m)</t>
  </si>
  <si>
    <t>2HEB-300 V (CP)</t>
  </si>
  <si>
    <t xml:space="preserve">Poste 2HEB-300 V (CP) DOBLE - VIADUCTO PERFIL COMPENSACIÓN </t>
  </si>
  <si>
    <t>Pole 2HEB-300 V (CP) DOUBLE - BRIDGE COMPENSATED PROFILE</t>
  </si>
  <si>
    <t>C-215-A</t>
  </si>
  <si>
    <t xml:space="preserve">Poste 2HEB-320(A) DOBLE (8,2m) ANCLAJE EN TOPERA </t>
  </si>
  <si>
    <t>Pole 2HEB-320(A) DOUBLE (8,2m) END LINE TRACK ANCHOR</t>
  </si>
  <si>
    <t>C-215-L</t>
  </si>
  <si>
    <t>Poste 2HEB-320L DOBLE LARGO (&gt;10,5m)</t>
  </si>
  <si>
    <t>Pole 2HEB-320L DOUBLE LARGE (&gt;10,5m)</t>
  </si>
  <si>
    <t>C-216-LL</t>
  </si>
  <si>
    <t xml:space="preserve">Poste 2HEB-360LL DOBLE EXTRA LARGO (&gt;10,5m) SEMIPÓRTICO 3 VÍAS </t>
  </si>
  <si>
    <t>Pole 2HEB-360LL DOUBLE EXTRA LARGE (&gt;10,5m) SEMIPORTAL 3 TRACKS</t>
  </si>
  <si>
    <t>2HEB-550LL</t>
  </si>
  <si>
    <t>C-220-LL</t>
  </si>
  <si>
    <t>Poste 2HEB-550LL DOBLE EXTRA LARGO (14m) PÓRTICO CON TIRANTES &gt;34m</t>
  </si>
  <si>
    <t>Pole 2HEB-550LL DOUBLE EXTRA LARGE (14m) PORTAL WITH TIES &gt;34m</t>
  </si>
  <si>
    <t>C-212-F</t>
  </si>
  <si>
    <t>Poste 2HEB-260F DOBLE (12m) FUNICULAR</t>
  </si>
  <si>
    <t>Pole 2HEB-260F DOBLE (12m) FUNICULAR</t>
  </si>
  <si>
    <t>C-214-F</t>
  </si>
  <si>
    <t>Poste 2HEB-300F DOBLE (12m) FUNICULAR</t>
  </si>
  <si>
    <t>Pole 2HEB-300F DOBLE (12m) FUNICULAR</t>
  </si>
  <si>
    <t>HEB-240-HLG</t>
  </si>
  <si>
    <t>C-212-HLG</t>
  </si>
  <si>
    <t>Poste HEB-240-HLG PÓRTICO LIMITADOR DE ALTURA</t>
  </si>
  <si>
    <t>Pole HEB-240-HLG HEIGHT LIMITING GANTRY</t>
  </si>
  <si>
    <t>CP-HLG</t>
  </si>
  <si>
    <t>Poste CILINDRICO PÓRTICO LIMITADOR DE ALTURA</t>
  </si>
  <si>
    <t>Pole CP-HLG HEIGHT LIMITING GANTRY</t>
  </si>
  <si>
    <t>T-SIGN ROAD</t>
  </si>
  <si>
    <t>Tubo para isntalación de señal de carretera</t>
  </si>
  <si>
    <t>Tubo para isntalación de señal</t>
  </si>
  <si>
    <t>SIGN</t>
  </si>
  <si>
    <t>C-230</t>
  </si>
  <si>
    <t>Señalizacion de poste y placa de peligro de muerte</t>
  </si>
  <si>
    <t>Pole Signal and Dead Dangerous Signal</t>
  </si>
  <si>
    <t>Protección antiescalada para poste en estación.</t>
  </si>
  <si>
    <t>Anticlimbing Protection for pole in Station</t>
  </si>
  <si>
    <t>(/2)</t>
  </si>
  <si>
    <t>PR1A</t>
  </si>
  <si>
    <t>C-250</t>
  </si>
  <si>
    <t xml:space="preserve">Pórtico rígido &lt; 11,4 m </t>
  </si>
  <si>
    <t>6121</t>
  </si>
  <si>
    <t xml:space="preserve">Portal Structure &lt; 11,4 m </t>
  </si>
  <si>
    <t>C-252</t>
  </si>
  <si>
    <t>Portico rígido de 11,4 a 17,70 m</t>
  </si>
  <si>
    <t>Portal Structure between 11,4 to 17,7 m</t>
  </si>
  <si>
    <t>C-255</t>
  </si>
  <si>
    <t>Pórtico rígido de 17,70 a 20,7 m</t>
  </si>
  <si>
    <t>Portal Structure between 17,7 to 20,7 m</t>
  </si>
  <si>
    <t>C-257</t>
  </si>
  <si>
    <t>Pórtico rígido de 20,7 a 23,7 m</t>
  </si>
  <si>
    <t>Portal Structure between 20,7 to 23,7 m</t>
  </si>
  <si>
    <t>(/3)</t>
  </si>
  <si>
    <t>2PR1D</t>
  </si>
  <si>
    <t>C-261</t>
  </si>
  <si>
    <t>Pórtico rígido mayor de 34 m con 3 apoyos</t>
  </si>
  <si>
    <t>Portal Structure larger tahn 34 m with 3 profiles</t>
  </si>
  <si>
    <t>C-258</t>
  </si>
  <si>
    <t>Pórtico rígido de 23,7 a 34 m</t>
  </si>
  <si>
    <t>Portal Structure between 23,7 to 34 m</t>
  </si>
  <si>
    <t>PR1F</t>
  </si>
  <si>
    <t>C-260</t>
  </si>
  <si>
    <t>Pórtico rígido de 34 a 40 m</t>
  </si>
  <si>
    <t>Portal Structure between 34 to 40 m</t>
  </si>
  <si>
    <t>HEADSPAN
SPRC</t>
  </si>
  <si>
    <t>HEADSPAN</t>
  </si>
  <si>
    <t>C-259</t>
  </si>
  <si>
    <t>Pórtico Funicular</t>
  </si>
  <si>
    <t>Head Span for Depot Zones</t>
  </si>
  <si>
    <t>C-262a</t>
  </si>
  <si>
    <t>Semipórtico B7</t>
  </si>
  <si>
    <t>6127</t>
  </si>
  <si>
    <t>Semi-Portal B7</t>
  </si>
  <si>
    <t>C-262b</t>
  </si>
  <si>
    <t>Semipórtico atirantado de 8 a 20m</t>
  </si>
  <si>
    <t>Semi-Pórtal with anchor between 8m to 20m</t>
  </si>
  <si>
    <t>GANTRIES</t>
  </si>
  <si>
    <t>PRA-3</t>
  </si>
  <si>
    <t>C-263</t>
  </si>
  <si>
    <t>Pórtico de alimentación y PP  de 3 m para timoneria</t>
  </si>
  <si>
    <t>6125</t>
  </si>
  <si>
    <t>Feeding Portal and Paralelling Portal for 3 m used with Transmission Mechanism</t>
  </si>
  <si>
    <t>FORMULA</t>
  </si>
  <si>
    <t>C-264</t>
  </si>
  <si>
    <t>Pórtico de alimentación y PP  de 3 m sin timoneria</t>
  </si>
  <si>
    <t>Feeding Portal and Paralelling Portal for 3 m used without Transmission Mechanism</t>
  </si>
  <si>
    <t>PRA-5</t>
  </si>
  <si>
    <t>C-265</t>
  </si>
  <si>
    <t>Pórtico de alimentación y PP  de 5m, para timonería</t>
  </si>
  <si>
    <t>6126</t>
  </si>
  <si>
    <t>Feeding Portal and Paralelling Portal for 5m used with Transmission Mechanism</t>
  </si>
  <si>
    <t>C-266</t>
  </si>
  <si>
    <t>Pórtico de alimentación y PP de 5m, sin timonería prevista</t>
  </si>
  <si>
    <t>Feeding Portal and Paralelling Portal for 5m used without Transmission Mechanism</t>
  </si>
  <si>
    <t>CANTILEVER SUPPORTS</t>
  </si>
  <si>
    <t>C-270</t>
  </si>
  <si>
    <t>Soporte para una ménsula en Pórtico Rígido para pórtico Autosoportado</t>
  </si>
  <si>
    <t>6122</t>
  </si>
  <si>
    <t>Support for cantilever in Portal Structure (LPN Section 60-80)</t>
  </si>
  <si>
    <t>C-271</t>
  </si>
  <si>
    <t>Soporte para dos ménsulas en Pórtico Rígido para pórtico Autosoportado</t>
  </si>
  <si>
    <t>6123</t>
  </si>
  <si>
    <t>Support for two cantilevers in Portal Structure (LPN Section 60-80)</t>
  </si>
  <si>
    <t>Soporte para tres ménsulas en Pórtico Rígido para pórtico Autosoportado</t>
  </si>
  <si>
    <t>Support for tree cantilevers in Portal Structure (LPN Section 60-80)</t>
  </si>
  <si>
    <t>C-274</t>
  </si>
  <si>
    <t>Soporte para una ménsula en B7</t>
  </si>
  <si>
    <t>Support for cantilever in Semi-Portal B7</t>
  </si>
  <si>
    <t>C-275</t>
  </si>
  <si>
    <t>Soporte para dos ménsulas en B7</t>
  </si>
  <si>
    <t>Support for two cantilevers in Semi-Portal B7</t>
  </si>
  <si>
    <t>C-276</t>
  </si>
  <si>
    <t>Soporte en túnel para una ménsula</t>
  </si>
  <si>
    <t>6124</t>
  </si>
  <si>
    <t>Support for cantilever in Tunnel</t>
  </si>
  <si>
    <t>(2x)</t>
  </si>
  <si>
    <t>Soporte en túnel para dos ménsulas (2*)</t>
  </si>
  <si>
    <t>Support for two cantilevers in Tunnel</t>
  </si>
  <si>
    <t>C-276-W</t>
  </si>
  <si>
    <t>Soporte en muro para una ménsula Tipo W</t>
  </si>
  <si>
    <t>Soporte en muro para dos ménsulas Tipo W (2*)</t>
  </si>
  <si>
    <t>C-276-R</t>
  </si>
  <si>
    <t>Soporte en muro para una ménsula Tipo R</t>
  </si>
  <si>
    <t>Soporte en muro para dos ménsulas Tipo R (2*)</t>
  </si>
  <si>
    <t>C-276-H</t>
  </si>
  <si>
    <t>Soporte en muro para una ménsula Tipo H</t>
  </si>
  <si>
    <t>Soporte en muro para dos ménsulas Tipo H (2*)</t>
  </si>
  <si>
    <t>S-1T-B1</t>
  </si>
  <si>
    <t xml:space="preserve">Silleta de Ménsula sencilla en Viga tipo 1 de estación </t>
  </si>
  <si>
    <t>S-1T-B2</t>
  </si>
  <si>
    <t xml:space="preserve">Silleta de Ménsula sencilla en Viga tipo 2 de estación </t>
  </si>
  <si>
    <t>S-1T-B3</t>
  </si>
  <si>
    <t xml:space="preserve">Silleta de Ménsula sencilla en Viga tipo 3 de estación </t>
  </si>
  <si>
    <t>C-277</t>
  </si>
  <si>
    <t>Suplemento para ménsula en poste de hasta 5m de gálibo</t>
  </si>
  <si>
    <t>6129</t>
  </si>
  <si>
    <t>Extension Bracket  for Cantilever in Pole until 5m Axis Track Distance</t>
  </si>
  <si>
    <t>C-301</t>
  </si>
  <si>
    <t>Conjunto de ménsula dentro en poste</t>
  </si>
  <si>
    <t>6130</t>
  </si>
  <si>
    <t>Cantilever Pull-off in pole</t>
  </si>
  <si>
    <t>C-302</t>
  </si>
  <si>
    <t>Conjunto de ménsula fuera en poste</t>
  </si>
  <si>
    <t>6132</t>
  </si>
  <si>
    <t>Cantilever Push-off in pole</t>
  </si>
  <si>
    <t>EMT-E</t>
  </si>
  <si>
    <t>Conjunto de ménsula dentro en poste sin tubo de atirantado</t>
  </si>
  <si>
    <t>C-303</t>
  </si>
  <si>
    <t>Conjunto de ménsula de cola elevada en poste</t>
  </si>
  <si>
    <t>6134</t>
  </si>
  <si>
    <t>Termination Cantilever in pole</t>
  </si>
  <si>
    <t>EMT-2R</t>
  </si>
  <si>
    <t>Conjunto de ménsula fuera en poste con péndola rígida</t>
  </si>
  <si>
    <t>C-304</t>
  </si>
  <si>
    <t>Conjunto de ménsula dentro en túnel</t>
  </si>
  <si>
    <t>6131</t>
  </si>
  <si>
    <t>Cantilever Pull-off in tunnel</t>
  </si>
  <si>
    <t>C-305</t>
  </si>
  <si>
    <t>Conjunto de ménsula fuera en túnel</t>
  </si>
  <si>
    <t>6133</t>
  </si>
  <si>
    <t>Cantilever Push-off in tunnel</t>
  </si>
  <si>
    <t>C-306</t>
  </si>
  <si>
    <t>Conjunto de ménsula de c.e. en túnel</t>
  </si>
  <si>
    <t>6136</t>
  </si>
  <si>
    <t>Termination Cantilever in tunnel</t>
  </si>
  <si>
    <t>EMT-ET</t>
  </si>
  <si>
    <t>Conjunto de ménsula dentro en poste sin tubo de atirantado en túnel</t>
  </si>
  <si>
    <t>C-307</t>
  </si>
  <si>
    <t>Conjunto de ménsula dentro en pr</t>
  </si>
  <si>
    <t>Cantilever Pull-off in portal</t>
  </si>
  <si>
    <t>C-308</t>
  </si>
  <si>
    <t>Conjunto de ménsula fuera en pr</t>
  </si>
  <si>
    <t>Cantilever Push-off in portal</t>
  </si>
  <si>
    <t>EMT-EP</t>
  </si>
  <si>
    <t>Conjunto de ménsula dentro en poste sin tubo de atirantado en pr</t>
  </si>
  <si>
    <t>C-309</t>
  </si>
  <si>
    <t>Conjunto de ménsula de cola elevada en pr</t>
  </si>
  <si>
    <t>Termination Cantilever in portal</t>
  </si>
  <si>
    <t>EMT-1S</t>
  </si>
  <si>
    <t>Conjunto de ménsula dentro en soporte tipo S-1T-W/R/H</t>
  </si>
  <si>
    <t>EMT-2S</t>
  </si>
  <si>
    <t>Conjunto de ménsula fuera en soporte tipo S-1T-W/R/H</t>
  </si>
  <si>
    <t>EMT-ES</t>
  </si>
  <si>
    <t>Conjunto de ménsula fuera en soporte tipo S-1T-W/R/H sin tubo de atirantado</t>
  </si>
  <si>
    <t>EMT-TS</t>
  </si>
  <si>
    <t>Conjunto de ménsul de ciola elevada tipo S-1T-W/R/H</t>
  </si>
  <si>
    <t>EMT-1RH</t>
  </si>
  <si>
    <t>Conjunto de ménsula dentro en poste altura cw y mw reducida</t>
  </si>
  <si>
    <t>EMT-2RH</t>
  </si>
  <si>
    <t>Conjunto de ménsula fuera en poste altura cw y mw reducida</t>
  </si>
  <si>
    <t>SWIVEL BRACKET</t>
  </si>
  <si>
    <t xml:space="preserve">CHECK </t>
  </si>
  <si>
    <t>C-310</t>
  </si>
  <si>
    <t>Soporte de giro de dos o tres ménsulas en poste</t>
  </si>
  <si>
    <t>6135</t>
  </si>
  <si>
    <t>Swivel Support for two or three cantilevers in pole</t>
  </si>
  <si>
    <t>C-313</t>
  </si>
  <si>
    <t>Soporte de giro de dos ménsulas en silleta de  túnel</t>
  </si>
  <si>
    <t>Swivel Support for two or three cantilevers in tunnel</t>
  </si>
  <si>
    <t>Soporte de giro de dos ménsulas en silleta de pórtico</t>
  </si>
  <si>
    <t>Swivel Support for two or three cantilevers in portal</t>
  </si>
  <si>
    <t>STEADY ARMS</t>
  </si>
  <si>
    <t>PH</t>
  </si>
  <si>
    <t>C-319</t>
  </si>
  <si>
    <t>Brazo recto</t>
  </si>
  <si>
    <t>Straight steady arm</t>
  </si>
  <si>
    <t>PHQ</t>
  </si>
  <si>
    <t>C-320</t>
  </si>
  <si>
    <t>Variación por brazo en curva ligera</t>
  </si>
  <si>
    <t>Arm Variation for curves</t>
  </si>
  <si>
    <t>PHC</t>
  </si>
  <si>
    <t>C-321</t>
  </si>
  <si>
    <t>Variación por brazo en curva fuerte</t>
  </si>
  <si>
    <t>Arm Variation for small curves</t>
  </si>
  <si>
    <t>BC</t>
  </si>
  <si>
    <t>C-322</t>
  </si>
  <si>
    <t>Variación por brazo en eje l.a.</t>
  </si>
  <si>
    <t>Arm Variation for insulated overlap axis</t>
  </si>
  <si>
    <t>BCE</t>
  </si>
  <si>
    <t>C-325</t>
  </si>
  <si>
    <t>Variación brazo curvo</t>
  </si>
  <si>
    <t>Curve arm variation</t>
  </si>
  <si>
    <t>BTC</t>
  </si>
  <si>
    <t>C-323</t>
  </si>
  <si>
    <t>Variación por brazo de aguja</t>
  </si>
  <si>
    <t>Arm Variation for turnouts</t>
  </si>
  <si>
    <t>C-280</t>
  </si>
  <si>
    <t>Tirante de anclaje</t>
  </si>
  <si>
    <t>6128</t>
  </si>
  <si>
    <t>Tie Anchor</t>
  </si>
  <si>
    <t>FÓRMULA</t>
  </si>
  <si>
    <t>CP+AnMC / FP+AnMC / CP/TX-P*</t>
  </si>
  <si>
    <t>C-281</t>
  </si>
  <si>
    <t xml:space="preserve">Suplemento para Tirante de HC </t>
  </si>
  <si>
    <t>CW Tie Anchor</t>
  </si>
  <si>
    <t>Indicar cada cola</t>
  </si>
  <si>
    <t>AnRW / AnRW2</t>
  </si>
  <si>
    <t>C-282</t>
  </si>
  <si>
    <t>Suplemento para Tirante de CR</t>
  </si>
  <si>
    <t>Return Wire Tie Anchor</t>
  </si>
  <si>
    <t>CP+AnMC / FP+AnMC / AnMP / CP/TX-P*</t>
  </si>
  <si>
    <t>C-283</t>
  </si>
  <si>
    <t>Suplemento para Tirante de Sust Y PF</t>
  </si>
  <si>
    <t>MW and Mid Point Extension Tie Anchor</t>
  </si>
  <si>
    <t>C-284</t>
  </si>
  <si>
    <t>Suplemento para Tirante de  Feeder Positivo</t>
  </si>
  <si>
    <t xml:space="preserve">Feeder Wire Extension Tie Anchor </t>
  </si>
  <si>
    <t>C-285</t>
  </si>
  <si>
    <t>Suplemento para Tirante en viaducto y AnRW2</t>
  </si>
  <si>
    <t>Extension Tie Anchor in UnderBridge (Viaduct)</t>
  </si>
  <si>
    <t>BALANCE/TENSOREX EQUIPMENTS</t>
  </si>
  <si>
    <t>CP+AnMC*</t>
  </si>
  <si>
    <t>C-404</t>
  </si>
  <si>
    <t>Anclaje de catenaria con regulación de tensión</t>
  </si>
  <si>
    <t>6142</t>
  </si>
  <si>
    <t>Catenary Anchor with Automatic Tension Device</t>
  </si>
  <si>
    <t>FP+AnMC*</t>
  </si>
  <si>
    <t>C-407</t>
  </si>
  <si>
    <t>Anclaje de catenaria sin regulación de la tensión en poste abierto</t>
  </si>
  <si>
    <t>6143</t>
  </si>
  <si>
    <t>Catenary Anchor without Automatic Tension Device</t>
  </si>
  <si>
    <t>C-411</t>
  </si>
  <si>
    <t>Punto fijo</t>
  </si>
  <si>
    <t>6144</t>
  </si>
  <si>
    <t>C-414</t>
  </si>
  <si>
    <t>Anclaje de catenaria con regulación de tensión en túnel</t>
  </si>
  <si>
    <t>6145</t>
  </si>
  <si>
    <t>Tunnel Catenary Anchor with Automatic Tension Device</t>
  </si>
  <si>
    <t>C-415</t>
  </si>
  <si>
    <t>Anclaje de catenaria sin regulación de tensión en túnel</t>
  </si>
  <si>
    <t>6146</t>
  </si>
  <si>
    <t>Tunnel Catenary Anchor without Automatic Tension Device</t>
  </si>
  <si>
    <t>C-416</t>
  </si>
  <si>
    <t>Punto fijo en túnel</t>
  </si>
  <si>
    <t>6148</t>
  </si>
  <si>
    <t>Tunnel Mid Point</t>
  </si>
  <si>
    <t>C-418</t>
  </si>
  <si>
    <t>Soporte para un equipo de tensorex sencillo en túnel</t>
  </si>
  <si>
    <t>6147</t>
  </si>
  <si>
    <t>C-419</t>
  </si>
  <si>
    <t>Soporte para un equipo de tensorex sencillo en pared</t>
  </si>
  <si>
    <t>C-420</t>
  </si>
  <si>
    <t>Soporte para un equipo de tensorex sencillo en poste</t>
  </si>
  <si>
    <t>SECT.INSUL</t>
  </si>
  <si>
    <t>C-608</t>
  </si>
  <si>
    <t>Aislador de sección en catenaria de 25KV</t>
  </si>
  <si>
    <t>6164</t>
  </si>
  <si>
    <t>SECT-I-NS</t>
  </si>
  <si>
    <t>C-609</t>
  </si>
  <si>
    <t>Equipamiento para zona neutra con Aisladores de sección en catenaria de 25KV AC</t>
  </si>
  <si>
    <t xml:space="preserve">Section Insulator for Neutral Section fro OCS 25KV AC </t>
  </si>
  <si>
    <t>WIRES AND CONDUCTORS</t>
  </si>
  <si>
    <t>C-400</t>
  </si>
  <si>
    <t>Km de 1xBz-70+1x HC-120 Cu-Ag</t>
  </si>
  <si>
    <t>Km 1xBz-70+1x HC-120 Cu-Ag</t>
  </si>
  <si>
    <t>C-401</t>
  </si>
  <si>
    <t>Péndola equipotencial de bucle con cable Bz-10</t>
  </si>
  <si>
    <t>Equipotential Dropper Bz-10</t>
  </si>
  <si>
    <t>C-430d</t>
  </si>
  <si>
    <t>Km de 1xBz-70+1x HC-100 Cu-Ag(sidings)</t>
  </si>
  <si>
    <t>Km 1xBz-70+1x HC-100 Cu-Ag (depots)</t>
  </si>
  <si>
    <t>C-431d</t>
  </si>
  <si>
    <t>Péndola equipotencial de bucle con cable Bz-10-SIDINGS</t>
  </si>
  <si>
    <t>6140</t>
  </si>
  <si>
    <t>Equipotential Dropper Bz-10 (depots)</t>
  </si>
  <si>
    <t>C-432d</t>
  </si>
  <si>
    <t>Anclaje de catenaria con regulación de la tensión para catenaria ligera</t>
  </si>
  <si>
    <t>Catenary Anchor with Automatic Tension Device (depots)</t>
  </si>
  <si>
    <t>C-433d</t>
  </si>
  <si>
    <t>Anclaje de catenaria sin regulación de la tensión para catenaria ligera</t>
  </si>
  <si>
    <t>Catenary Anchor without Automatic Tension Device (depots)</t>
  </si>
  <si>
    <t>C-440d</t>
  </si>
  <si>
    <t>Km de catenaria rígida</t>
  </si>
  <si>
    <t xml:space="preserve">Km Overhead Catenary Rigid </t>
  </si>
  <si>
    <t>C-500</t>
  </si>
  <si>
    <t>Km de cable  LA-280</t>
  </si>
  <si>
    <t>Km LA-280 wire</t>
  </si>
  <si>
    <t>CHECK</t>
  </si>
  <si>
    <t>C-551</t>
  </si>
  <si>
    <t>Km de cable colector L-76</t>
  </si>
  <si>
    <t>Km Earth wire L-76</t>
  </si>
  <si>
    <t>C-501</t>
  </si>
  <si>
    <t>Km de Feeder de Alimentación Cu-300</t>
  </si>
  <si>
    <t>Km Cu-300 wire</t>
  </si>
  <si>
    <t>C-502.1</t>
  </si>
  <si>
    <t>km de cable de cobre aislado RHZ1FA3Z1-25/45 KV de 1x300 mm2 i. pp. de empalmes</t>
  </si>
  <si>
    <t>km Isolated cable RHZ1FA3Z1-25/45 KV Cu 1x300 mm2 with unions</t>
  </si>
  <si>
    <t>C-502.2</t>
  </si>
  <si>
    <t>Paso de FN LA-280 a cable aislado incluido cola de anclaje de fn</t>
  </si>
  <si>
    <t>Transition Feeder LA-280 to cable incluido cola de anclaje de fn</t>
  </si>
  <si>
    <t>C-552</t>
  </si>
  <si>
    <t>Km de cable colector de cobre 50</t>
  </si>
  <si>
    <t>Km Earth wire Cu-50</t>
  </si>
  <si>
    <t>CONECTIONS</t>
  </si>
  <si>
    <t>*S/A*</t>
  </si>
  <si>
    <t>C-600</t>
  </si>
  <si>
    <t>Conjunto de conexiones de seccionamiento</t>
  </si>
  <si>
    <t>6160</t>
  </si>
  <si>
    <t>Overlap Connections</t>
  </si>
  <si>
    <t>2x</t>
  </si>
  <si>
    <t>IO*</t>
  </si>
  <si>
    <t>C-601</t>
  </si>
  <si>
    <t>Conjunto de conexiones de colas en L.A.</t>
  </si>
  <si>
    <t>6161</t>
  </si>
  <si>
    <t>Insulated Overlap Connections</t>
  </si>
  <si>
    <t>C-605</t>
  </si>
  <si>
    <t>Conjunto de aislamiento intermedio en sustentador bz-70</t>
  </si>
  <si>
    <t>6163</t>
  </si>
  <si>
    <t>Intermediate Isolament in Messenger wire Bz-70</t>
  </si>
  <si>
    <t>C-606</t>
  </si>
  <si>
    <t>Conjunto de aislamiento intermedio en HC 120 mm2</t>
  </si>
  <si>
    <t>Intermediate Isolament in Contact wire CW-120</t>
  </si>
  <si>
    <t>C-615</t>
  </si>
  <si>
    <t>Conjunto aislado de suspensión en pórtico para cola de Punto Fijo</t>
  </si>
  <si>
    <t>MW/CW-Isusp</t>
  </si>
  <si>
    <t>C-616</t>
  </si>
  <si>
    <t xml:space="preserve">Conjunto aislado de suspensión en pórtico para cola de Catenaria </t>
  </si>
  <si>
    <t>C-602</t>
  </si>
  <si>
    <t>Conjunto de conexión entre sustentadores (P90,P50,…)</t>
  </si>
  <si>
    <t>6162</t>
  </si>
  <si>
    <t>Turnover Connections (P90,P50,…)</t>
  </si>
  <si>
    <t>C-570</t>
  </si>
  <si>
    <t>Conexión de feeder de refuerzo a catenaria</t>
  </si>
  <si>
    <t>Conection reinforcement feeder to catenary</t>
  </si>
  <si>
    <t>C-607</t>
  </si>
  <si>
    <t>Aislamiento intermedio feeder LA-280</t>
  </si>
  <si>
    <t>Intermediate Isolament in Feeder wire LA-280</t>
  </si>
  <si>
    <t>C-702</t>
  </si>
  <si>
    <t>Conexión en perfil de tunel para una silleta</t>
  </si>
  <si>
    <t>6182</t>
  </si>
  <si>
    <t>Connections Tunnel Cantilevers Support to Earthing Tunnel Net</t>
  </si>
  <si>
    <t>CP/Tunnel &amp; CP/TX-T*</t>
  </si>
  <si>
    <t>C-703</t>
  </si>
  <si>
    <t>Conexión de anclaje compensado de catenaria en túnel.</t>
  </si>
  <si>
    <t>Connections Catenary Anchor (w Autom Device) in tunnel to Earthing Tunnel Net</t>
  </si>
  <si>
    <t>C-704</t>
  </si>
  <si>
    <t>Conexión de anclaje de catenaria sin compensar en túnel.</t>
  </si>
  <si>
    <t>Connections Catenary Anchor (wout Autom Device) in tunnel to Earthing Tunnel Net</t>
  </si>
  <si>
    <t>C-705</t>
  </si>
  <si>
    <t>Conexión de punto fijo en túnel</t>
  </si>
  <si>
    <t>Connections Mid point to Earthing Tunnel Net</t>
  </si>
  <si>
    <t>FEEDERS ASSEMBLIES</t>
  </si>
  <si>
    <t>C-505</t>
  </si>
  <si>
    <t>Cadena de suspensión de un feeder LA-280/380 en silleta</t>
  </si>
  <si>
    <t>6155</t>
  </si>
  <si>
    <t>Isolament for suspension feeder LA-280 at support</t>
  </si>
  <si>
    <t>C-506</t>
  </si>
  <si>
    <t>Cadena de suspensión de un feeder LA-280/380 en silleta en V</t>
  </si>
  <si>
    <t>Isolament for suspension feeder LA-280 at support in V</t>
  </si>
  <si>
    <t>SSF_TP</t>
  </si>
  <si>
    <t>Silleta para feeder suspendido en cabeza de poste</t>
  </si>
  <si>
    <t>Support for suspension feeder at pole top</t>
  </si>
  <si>
    <t>SSFV_TP</t>
  </si>
  <si>
    <t>Silleta para feeder suspendido en cabeza de poste en V</t>
  </si>
  <si>
    <t>Isolament for "V" suspension feeder</t>
  </si>
  <si>
    <t>C-511</t>
  </si>
  <si>
    <t>Conjunto de cola de anclaje de feeder LA-280 en poste</t>
  </si>
  <si>
    <t>6151</t>
  </si>
  <si>
    <t>Reinforcement Feeder LA-280 Anchor</t>
  </si>
  <si>
    <t>SF_Wtunnel</t>
  </si>
  <si>
    <t>C-515</t>
  </si>
  <si>
    <t>Conjunto de apoyo de un Feeder en túnel</t>
  </si>
  <si>
    <t>6158</t>
  </si>
  <si>
    <t>Support for Reinforcement Feeder in tunnel</t>
  </si>
  <si>
    <t>SF_CTunnel</t>
  </si>
  <si>
    <t>C-516</t>
  </si>
  <si>
    <t>Apoyo en silleta de ménsula de un Feeder en túnel</t>
  </si>
  <si>
    <t>Isolament for support Feeder in Tunnel</t>
  </si>
  <si>
    <t>SSF_Portal</t>
  </si>
  <si>
    <t>C-517</t>
  </si>
  <si>
    <t>Silleta de suspensión de un feeder en PR para pórticos</t>
  </si>
  <si>
    <t>6159</t>
  </si>
  <si>
    <t xml:space="preserve">Support for suspension feeder in portal </t>
  </si>
  <si>
    <t>SS2F_Portal</t>
  </si>
  <si>
    <t>C-519</t>
  </si>
  <si>
    <t>Silleta de suspensión de 2 feederes en PR para pórticos</t>
  </si>
  <si>
    <t>Support for suspension of 2 feeders in portal</t>
  </si>
  <si>
    <t>C-521</t>
  </si>
  <si>
    <t>Anclaje de feeder LA-280 en túnel</t>
  </si>
  <si>
    <t>6153</t>
  </si>
  <si>
    <t>Reinforcement Feeder LA-280 Anchor in Tunnel</t>
  </si>
  <si>
    <t>RW ASSEMBLIES</t>
  </si>
  <si>
    <t>PL*</t>
  </si>
  <si>
    <t>C-553</t>
  </si>
  <si>
    <t>Conexión de cable colector L-76 a poste (en viaducto)</t>
  </si>
  <si>
    <t>Conection Earth wire L-76 to pole (underbridge)</t>
  </si>
  <si>
    <t>RW1 / RW2 (2x)</t>
  </si>
  <si>
    <t>C-554</t>
  </si>
  <si>
    <t>Conjunto de suspensión de cable de retorno LA-280 en poste</t>
  </si>
  <si>
    <t>6154</t>
  </si>
  <si>
    <t>Suspension return wire LA-280 at pole</t>
  </si>
  <si>
    <t>Se pone 1 por cada cola</t>
  </si>
  <si>
    <t>C-556</t>
  </si>
  <si>
    <t>Cola de anclaje de cable de retorno LA-280 en poste (SENCILLA)</t>
  </si>
  <si>
    <t>6150</t>
  </si>
  <si>
    <t>Return wire LA-280 Anchor (Single)</t>
  </si>
  <si>
    <t xml:space="preserve">RW1T-S o RW2T-SC / RW2T-S (2x) </t>
  </si>
  <si>
    <t>C-559</t>
  </si>
  <si>
    <t>Suspensión de cable de retorno LA-280 en silleta túnel</t>
  </si>
  <si>
    <t>Suspension return wire LA-280 in support in tunnel</t>
  </si>
  <si>
    <t>RW1T-C o RW2T-SC/ RW2T-c (2x)</t>
  </si>
  <si>
    <t>C-559b</t>
  </si>
  <si>
    <t>Suspensión de cable de retorno LA-280 en hastial de túnel</t>
  </si>
  <si>
    <t>Suspension return wire LA-280 in ceiling in tunnel</t>
  </si>
  <si>
    <t>RW1-P o RW2-P</t>
  </si>
  <si>
    <t>C-561</t>
  </si>
  <si>
    <t>Suspensión de cable de retorno LA-280 en dintel de pórtico</t>
  </si>
  <si>
    <t>Suspension return wire LA-280 in portal</t>
  </si>
  <si>
    <t>Se pone 1 por cada 2 colas -- 2x</t>
  </si>
  <si>
    <t>C-560</t>
  </si>
  <si>
    <t>Anclaje de cable de retorno LA-280 en túnel (SENCILLA)</t>
  </si>
  <si>
    <t>6152</t>
  </si>
  <si>
    <t>Return wire LA-280 Anchor in tunnel (Single)</t>
  </si>
  <si>
    <t>DISCONNECTORS ASSEMBLIES</t>
  </si>
  <si>
    <t>(láminas de aire)</t>
  </si>
  <si>
    <t>DISC/NS + DISC/IO* + DISC/PP* + DISC/SI*</t>
  </si>
  <si>
    <t>C-610</t>
  </si>
  <si>
    <t>Seccionador monopolar de AV</t>
  </si>
  <si>
    <t>Disconnector 25 KV 2500 A</t>
  </si>
  <si>
    <t>.-Las cuentas de pp solo se hacen en v1</t>
  </si>
  <si>
    <t>(puntas de feeder) FS-1 + 2xFS/PP-2 + 2xFS/PP-3</t>
  </si>
  <si>
    <t xml:space="preserve"> LoadB + LoadB/t* + LoadB/IO* + LoadB/NS*</t>
  </si>
  <si>
    <t>C-611</t>
  </si>
  <si>
    <t>Seccionador monopolar de AC</t>
  </si>
  <si>
    <t>Load Breaker 25 KV 2500 A with vacuun chamber</t>
  </si>
  <si>
    <t xml:space="preserve">(puestas en paralelo) LoadB/PP* + 1xPP-2 + 5xPP-4 + 1xFS/PP-2 + 3xFS/PP-3 </t>
  </si>
  <si>
    <t>FS/1D</t>
  </si>
  <si>
    <t>C-612</t>
  </si>
  <si>
    <t>Seccionador monopolar de AC con PAT</t>
  </si>
  <si>
    <t>Load Breaker 25 KV 2500 A with vacuun chamber with Earth Connection</t>
  </si>
  <si>
    <t>ED/T + ED</t>
  </si>
  <si>
    <t>C-613</t>
  </si>
  <si>
    <t>Equipo Puesta a tierra (Earthing device)</t>
  </si>
  <si>
    <t>Earthing Device</t>
  </si>
  <si>
    <t>C-646</t>
  </si>
  <si>
    <t>Conjunto de autoválvula</t>
  </si>
  <si>
    <t>C-647</t>
  </si>
  <si>
    <t>Detector de tensión de 25 kV</t>
  </si>
  <si>
    <t>C-648</t>
  </si>
  <si>
    <t>Transformador de Intensidad</t>
  </si>
  <si>
    <t>C-614</t>
  </si>
  <si>
    <t>Seccionador monopolar de AV en túnel</t>
  </si>
  <si>
    <t>Disconnector 3 colums 25 KV 2500 A</t>
  </si>
  <si>
    <t>DISC/NS + DISC/IO + DISC/PP + DISC/SI</t>
  </si>
  <si>
    <t>C-620</t>
  </si>
  <si>
    <t>Aparellaje de conjunto de seccionador monopolar  AV en poste (Sin feeder)</t>
  </si>
  <si>
    <t>6170</t>
  </si>
  <si>
    <t>Connections of Disconnector  (without feeder)</t>
  </si>
  <si>
    <t>DISC/IO-pr + DISC/PP-pr + DISC-pr</t>
  </si>
  <si>
    <t>C-636</t>
  </si>
  <si>
    <t>Aparellaje tipo de conjunto de seccionador monopolar  AV en portico Catenaria Estacion</t>
  </si>
  <si>
    <t>Connections of Disconnector  in OCS portal (without feeder)</t>
  </si>
  <si>
    <t>C-637-PP</t>
  </si>
  <si>
    <t>Aparellaje de conjunto de seccionador monopolar  AC en poste (Sin feeder)</t>
  </si>
  <si>
    <t>Connections of Load Breaker  (without feeder)</t>
  </si>
  <si>
    <t>C-637-IO</t>
  </si>
  <si>
    <t>Aparellaje de conjunto de seccionador monopolar  AC en poste (Sin feeder) para seccionamiento de Lámina de aire</t>
  </si>
  <si>
    <t>C-637-NS</t>
  </si>
  <si>
    <t>Aparellaje de conjunto de seccionador monopolar  AC en poste (Sin feeder) para seccionamiento de zona neutra</t>
  </si>
  <si>
    <t>LoadB/PP-pr</t>
  </si>
  <si>
    <t>C-638-PP</t>
  </si>
  <si>
    <t>Aparellaje tipo de conjunto de seccionador monopolar  AC en portico Catenaria Estacion</t>
  </si>
  <si>
    <t>Connections of Load Breaker in OCS portal (without feeder)</t>
  </si>
  <si>
    <t>LoadB/IO-pr</t>
  </si>
  <si>
    <t>C-638-IO</t>
  </si>
  <si>
    <t xml:space="preserve">Aparellaje tipo de conjunto de seccionador monopolar  AC en portico para Seccionamiento de lámina de aire </t>
  </si>
  <si>
    <t>C-621</t>
  </si>
  <si>
    <t>Aparellaje para seccionador monopolar en poste con Bypass feeder</t>
  </si>
  <si>
    <t>Connections of Disconnector  (with  Bypass feeder)</t>
  </si>
  <si>
    <t>C-622</t>
  </si>
  <si>
    <t>Aparellaje para acometida de feeder en poste para 1 vía (incluido paso aislado a desnudo)</t>
  </si>
  <si>
    <t>Connections of Disconnector for feeder TS connection 1 track with cable</t>
  </si>
  <si>
    <t>FS-1d</t>
  </si>
  <si>
    <t>C-623</t>
  </si>
  <si>
    <t>Aparellaje para acometida de feeder a depot (incluido paso aislado a desnudo con pat y bajada a tierra)</t>
  </si>
  <si>
    <t>Connections of Load Breaker with earth connection for feeder connection 1 track with cable ¿?</t>
  </si>
  <si>
    <t>Disc/t + LoadB/t</t>
  </si>
  <si>
    <t>C-624</t>
  </si>
  <si>
    <t>Aparellaje de seccionador monopolar en túnel</t>
  </si>
  <si>
    <t>Connections of Disconnector in tunnel</t>
  </si>
  <si>
    <t>C-625</t>
  </si>
  <si>
    <t>Aparellaje de dispositivo de puesta a tierra en túnel</t>
  </si>
  <si>
    <t>Connections of Earthing Device in tunnel</t>
  </si>
  <si>
    <t>C-625a</t>
  </si>
  <si>
    <t xml:space="preserve">Aparellaje de  Earthing Device en poste (Sin feeder) </t>
  </si>
  <si>
    <t>ED+Disc</t>
  </si>
  <si>
    <t>C-625b</t>
  </si>
  <si>
    <t xml:space="preserve">Aparellaje de conjunto de seccionador monopolar  y Earthing Device en mismo poste (Sin feeder) </t>
  </si>
  <si>
    <t>Connections of Disconnector &amp; Earthing Device in same plo</t>
  </si>
  <si>
    <t>FS/PP-1</t>
  </si>
  <si>
    <t>C-630</t>
  </si>
  <si>
    <t>Aparellaje de seccionador de alimentacion para 1 via con cable desnudo.</t>
  </si>
  <si>
    <t>Connections of Disconnector for feeder TS connection 1 track with wire</t>
  </si>
  <si>
    <t>C-631</t>
  </si>
  <si>
    <t>Aparellaje de pórtico de alimentación (ssee) y puesta en paralelo de 2 vías</t>
  </si>
  <si>
    <t>6176</t>
  </si>
  <si>
    <t>Connections of TS feeding portal for 2 tracks</t>
  </si>
  <si>
    <t>C-633</t>
  </si>
  <si>
    <t>Aparellaje de pórtico de alimentación (ssee) y puesta en paralelo de 3 vías</t>
  </si>
  <si>
    <t>6177</t>
  </si>
  <si>
    <t>Connections of TS feeding portal for 3 tracks</t>
  </si>
  <si>
    <t>C-632</t>
  </si>
  <si>
    <t>Aparellaje de puesta en paralelo de dos vías, i. transversales</t>
  </si>
  <si>
    <t>Connections of paralelling portal for 2 tracks</t>
  </si>
  <si>
    <t>C-634</t>
  </si>
  <si>
    <t>Aparellaje de pórtico de puesta en paralelo de 4 vías</t>
  </si>
  <si>
    <t>6178</t>
  </si>
  <si>
    <t>Connections of paralelling portal for 4 tracks</t>
  </si>
  <si>
    <t>C-640</t>
  </si>
  <si>
    <t>Accionamiento y transmisión para seccionador en poste (Tipo Eléctrico)</t>
  </si>
  <si>
    <t>Motor Drive and Transmission for Disconector/Load Breaker in pole</t>
  </si>
  <si>
    <t>C-640b</t>
  </si>
  <si>
    <t>Accionamiento y transmisión para seccionador en portico Cat Estacion</t>
  </si>
  <si>
    <t>Motor Drive and Transmission for Disconector/Load Breaker in OCS portal</t>
  </si>
  <si>
    <t>C-641</t>
  </si>
  <si>
    <t>Accionamiento y transmisión para seccionador en pórtico de FEEDERES</t>
  </si>
  <si>
    <t>Motor Drive and Transmission for Disconector/Load Breaker in portal</t>
  </si>
  <si>
    <t>C-642</t>
  </si>
  <si>
    <t>Accionamiento y transmisión para seccionador en TÚNEL</t>
  </si>
  <si>
    <t>Motor Drive and Transmission for Disconector/Load Breaker in tunnel</t>
  </si>
  <si>
    <t>PROTECTIONS</t>
  </si>
  <si>
    <t>SCRP1_PRB</t>
  </si>
  <si>
    <t>Pantalla de protección para silleta de pórtico para 1 ménsula en PRB</t>
  </si>
  <si>
    <t>Screen protection for support of 1 cantileven on portal PRB</t>
  </si>
  <si>
    <t>SCRP1_PRC</t>
  </si>
  <si>
    <t>Pantalla de protección para silleta de pórtico para 1 ménsula en PRC</t>
  </si>
  <si>
    <t>Screen protection for support of 1 cantileven on portal PRC</t>
  </si>
  <si>
    <t>SCRP1_PRD</t>
  </si>
  <si>
    <t>Pantalla de protección para silleta de pórtico para 1 ménsula en PRD</t>
  </si>
  <si>
    <t>Screen protection for support of 1 cantileven on portal PRD</t>
  </si>
  <si>
    <t>SCRP1_PRE</t>
  </si>
  <si>
    <t>Pantalla de protección para silleta de pórtico para 1 ménsula en PRE</t>
  </si>
  <si>
    <t>Screen protection for support of 1 cantileven on portal PRE</t>
  </si>
  <si>
    <t>SCRP1_PRF</t>
  </si>
  <si>
    <t>Pantalla de protección para silleta de pórtico para 1 ménsula en PRF</t>
  </si>
  <si>
    <t>Screen protection for support of 1 cantileven on portal PRF</t>
  </si>
  <si>
    <t>SCRP2_PRB</t>
  </si>
  <si>
    <t>Pantalla de protección para silleta de pórtico para 2 ménsula en PRB</t>
  </si>
  <si>
    <t>Screen protection for support of 2 cantileven on portal PRB</t>
  </si>
  <si>
    <t>SCRP2_PRC</t>
  </si>
  <si>
    <t>Pantalla de protección para silleta de pórtico para 2 ménsula en PRC</t>
  </si>
  <si>
    <t>Screen protection for support of 2 cantileven on portal PRC</t>
  </si>
  <si>
    <t>SCRP2_PRD</t>
  </si>
  <si>
    <t>Pantalla de protección para silleta de pórtico para 2 ménsula en PRD</t>
  </si>
  <si>
    <t>Screen protection for support of 2 cantileven on portal PRD</t>
  </si>
  <si>
    <t>SCRP2_PRE</t>
  </si>
  <si>
    <t>Pantalla de protección para silleta de pórtico para 2 ménsula en PRE</t>
  </si>
  <si>
    <t>Screen protection for support of 2 cantileven on portal PRE</t>
  </si>
  <si>
    <t>SCRP2_PRF</t>
  </si>
  <si>
    <t>Pantalla de protección para silleta de pórtico para 2 ménsula en PRF</t>
  </si>
  <si>
    <t>Screen protection for support of 2 cantileven on portal PRF</t>
  </si>
  <si>
    <t>OCR</t>
  </si>
  <si>
    <t>IP_15</t>
  </si>
  <si>
    <t>C-723d</t>
  </si>
  <si>
    <t>Manta aislante de 2x1m de 15 mm</t>
  </si>
  <si>
    <t>Isolated protection de 2x1m wide 15 mm</t>
  </si>
  <si>
    <t>PAC110</t>
  </si>
  <si>
    <t>Barra de 10 m de catenaria rígida</t>
  </si>
  <si>
    <t>Bar 10 m Overhead Catenary Rigid</t>
  </si>
  <si>
    <t>PAC110_S</t>
  </si>
  <si>
    <t>Barra de seccionamiento</t>
  </si>
  <si>
    <t>Bar of Overlap OCR</t>
  </si>
  <si>
    <t>PAC110_T</t>
  </si>
  <si>
    <t>Barra de transición</t>
  </si>
  <si>
    <t>Bar of Transition from Flexible OCS to OCR</t>
  </si>
  <si>
    <t>CB_PAC110</t>
  </si>
  <si>
    <t>Conjunto de conexiones entre dos barras de catenaria rígida (solapes)</t>
  </si>
  <si>
    <t>Connections between OCR Bars</t>
  </si>
  <si>
    <t>MP_CR</t>
  </si>
  <si>
    <t>Conjunto de punto fijo para catenaria rígida.</t>
  </si>
  <si>
    <t>Mid Point for OCR</t>
  </si>
  <si>
    <t>SUPR_CR</t>
  </si>
  <si>
    <t>Conjunto de suspensión para una vía de techo plano hasta 6,5 metros</t>
  </si>
  <si>
    <t>Support for OCR in Flat Roof</t>
  </si>
  <si>
    <t xml:space="preserve"> ARMS</t>
  </si>
  <si>
    <t>Straigh Arm</t>
  </si>
  <si>
    <t>Angled Arm</t>
  </si>
  <si>
    <t>Angled Curve Arm</t>
  </si>
  <si>
    <t>Curve Arm</t>
  </si>
  <si>
    <t>P50</t>
  </si>
  <si>
    <t>CS</t>
  </si>
  <si>
    <t>En el WorkBook para identificar el punto de Aguja se hará de la siguiente manera P50 (CS), de esta manera si es un punto de aguja diferete, por ejemplo P40 o P30, recontara el termino CS</t>
  </si>
  <si>
    <t>TgS</t>
  </si>
  <si>
    <t>En el WorkBook para identificar el punto de Aguja se hará de la siguiente manera P90 (TgS), de esta manera si es un punto de aguja diferete, por ejemplo P100 o P85, recontara el termino TgS</t>
  </si>
  <si>
    <t>STRAIGHT ARM PH</t>
  </si>
  <si>
    <t>TYPE</t>
  </si>
  <si>
    <t>NUMBER</t>
  </si>
  <si>
    <t>PH-950</t>
  </si>
  <si>
    <t>PH-1000</t>
  </si>
  <si>
    <t>PH-1050</t>
  </si>
  <si>
    <t>PH-1100</t>
  </si>
  <si>
    <t>PH-1150</t>
  </si>
  <si>
    <t>PH-1200</t>
  </si>
  <si>
    <t>PH-1250</t>
  </si>
  <si>
    <t>PH-1300</t>
  </si>
  <si>
    <t>PH-1350</t>
  </si>
  <si>
    <t>PH-1400</t>
  </si>
  <si>
    <t>PH-1450</t>
  </si>
  <si>
    <t>PH-1500</t>
  </si>
  <si>
    <t>POLIGONAL ARM PHQ</t>
  </si>
  <si>
    <t>PHQ-950</t>
  </si>
  <si>
    <t>PHQ-1000</t>
  </si>
  <si>
    <t>PHQ-1050</t>
  </si>
  <si>
    <t>PHQ-1100</t>
  </si>
  <si>
    <t>PHQ-1150</t>
  </si>
  <si>
    <t>PHQ-1200</t>
  </si>
  <si>
    <t>PHQ-1250</t>
  </si>
  <si>
    <t>PHQ-1300</t>
  </si>
  <si>
    <t>PHQ-1350</t>
  </si>
  <si>
    <t>PHQ-1400</t>
  </si>
  <si>
    <t>PHQ-1450</t>
  </si>
  <si>
    <t>PHQ-2000</t>
  </si>
  <si>
    <t>POLIGONAL ARM PHC</t>
  </si>
  <si>
    <t>PHC-950</t>
  </si>
  <si>
    <t>PHC-1000</t>
  </si>
  <si>
    <t>PHC-1050</t>
  </si>
  <si>
    <t>PHC-1100</t>
  </si>
  <si>
    <t>PHC-1150</t>
  </si>
  <si>
    <t>PHC-1200</t>
  </si>
  <si>
    <t>PHC-1250</t>
  </si>
  <si>
    <t>PHC-1300</t>
  </si>
  <si>
    <t>PHC-1350</t>
  </si>
  <si>
    <t>PHC-1400</t>
  </si>
  <si>
    <t>PHC-1450</t>
  </si>
  <si>
    <t>PHC-1500</t>
  </si>
  <si>
    <t>PHC-2000</t>
  </si>
  <si>
    <t>CURVE ARM BC</t>
  </si>
  <si>
    <t>BC-1101</t>
  </si>
  <si>
    <t>BC-1401</t>
  </si>
  <si>
    <t>BC-1501</t>
  </si>
  <si>
    <t>BCE-1500</t>
  </si>
  <si>
    <t>BC-2001</t>
  </si>
  <si>
    <t>BTC-2000</t>
  </si>
  <si>
    <t>You must use these formula in row6 and column as you can see, AC, AD, AE</t>
  </si>
  <si>
    <t>LONGITUDES</t>
  </si>
  <si>
    <t>PK INICIO</t>
  </si>
  <si>
    <t>PK FINAL</t>
  </si>
  <si>
    <t xml:space="preserve">DIRECCION </t>
  </si>
  <si>
    <t>RECTA</t>
  </si>
  <si>
    <t>CLOTOIDE 1</t>
  </si>
  <si>
    <t>CLOTOIDE 2</t>
  </si>
  <si>
    <t>CURVA</t>
  </si>
  <si>
    <t xml:space="preserve">RADIO </t>
  </si>
  <si>
    <t>PARAMETRO</t>
  </si>
  <si>
    <t>PERALTE</t>
  </si>
  <si>
    <t>IZQUIERDA</t>
  </si>
  <si>
    <t>=(505^2)/(CX-31369,11)</t>
  </si>
  <si>
    <t>=(505^2)/(CX-32033,25)</t>
  </si>
  <si>
    <t>=(424^2)/(CX-34459,08)</t>
  </si>
  <si>
    <t>DERECHA</t>
  </si>
  <si>
    <t>=(424^2)/(CX-35228,26)</t>
  </si>
  <si>
    <t>=(505^2)/(CX-35670)</t>
  </si>
  <si>
    <t>=(505^2)/(CX-36365,55)</t>
  </si>
  <si>
    <t>=(505^2)/(CX-36564,58)</t>
  </si>
  <si>
    <t>=(505^2)/(CX-36971,66)</t>
  </si>
  <si>
    <t>=(438^2)/(CX-37130,22)</t>
  </si>
  <si>
    <t>=(438^2)/(CX-37841,37)</t>
  </si>
  <si>
    <t>=(346^2)/(CX-38031,62)</t>
  </si>
  <si>
    <t>=(346^2)/(CX-38530,83)</t>
  </si>
  <si>
    <t>=(346^2)/(CX-38617,77)</t>
  </si>
  <si>
    <t>=(346^2)/(CX-39118,76)</t>
  </si>
  <si>
    <t>=(342^2)/(CX-39351,45)</t>
  </si>
  <si>
    <t>=(342^2)/(CX-39890,43)</t>
  </si>
  <si>
    <t>=(323^2)/(CX-40158,70)</t>
  </si>
  <si>
    <t>=(323^2)/(CX-40837,68)</t>
  </si>
  <si>
    <t>=(455^2)/(CX-42613,24)</t>
  </si>
  <si>
    <t>=(455^2)/(CX-42853,30)</t>
  </si>
  <si>
    <t>=(439^2)/(CX-44445,64)</t>
  </si>
  <si>
    <t>=(439^2)/(CX-45371,83)</t>
  </si>
  <si>
    <t>=(548^2)/(CX-46399,06)</t>
  </si>
  <si>
    <t>=(548^2)/(CX-46834,13)</t>
  </si>
  <si>
    <t>=(438^2)/(CX-47658,88)</t>
  </si>
  <si>
    <t>=(438^2)/(CX-48051,31)</t>
  </si>
  <si>
    <t>=(367^2)/(CX-49241,14)</t>
  </si>
  <si>
    <t>=(367^2)/(CX-49777,08)</t>
  </si>
  <si>
    <t>=(345^2)/(CX-51076,04)</t>
  </si>
  <si>
    <t>=(345^2)/(CX-51530,45)</t>
  </si>
  <si>
    <t>=(346^2)/(CX-52552,74)</t>
  </si>
  <si>
    <t>=(346^2)/(CX-53246,27)</t>
  </si>
  <si>
    <t>=(571^2)/(CX-54139,01)</t>
  </si>
  <si>
    <t>=(571^2)/(CX-54713,11)</t>
  </si>
  <si>
    <t>=(571^2)/(CX-56894,24)</t>
  </si>
  <si>
    <t>=(571^2)/(CX-57198,97)</t>
  </si>
  <si>
    <t>=(379^2)/(CX-58875,23)</t>
  </si>
  <si>
    <t>=(379^2)/(CX-59405,97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</si>
</sst>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 &quot;€&quot;_-;\-* #,##0.00\ &quot;€&quot;_-;_-* &quot;-&quot;??\ &quot;€&quot;_-;_-@_-"/>
    <numFmt numFmtId="165" formatCode="_(&quot;€&quot;* #,##0.00_);_(&quot;€&quot;* \(#,##0.00\);_(&quot;€&quot;* &quot;-&quot;??_);_(@_)"/>
    <numFmt numFmtId="166" formatCode="0.0"/>
    <numFmt numFmtId="167" formatCode="#\+##0"/>
    <numFmt numFmtId="168" formatCode="#\+##0.0"/>
    <numFmt numFmtId="169" formatCode="000\+000.00"/>
    <numFmt numFmtId="170" formatCode="##\+##0.0"/>
    <numFmt numFmtId="171" formatCode="00\+000.00"/>
    <numFmt numFmtId="172" formatCode="#,##0.00\ &quot;m&quot;"/>
    <numFmt numFmtId="173" formatCode="&quot;d&quot;#0&quot;mm&quot;"/>
  </numFmts>
  <fonts count="113">
    <font>
      <sz val="10"/>
      <name val="Arial"/>
    </font>
    <font>
      <sz val="11"/>
      <color theme="1"/>
      <name val="Calibri"/>
      <family val="2"/>
      <scheme val="minor"/>
    </font>
    <font>
      <sz val="10"/>
      <name val="Arial"/>
      <family val="2"/>
    </font>
    <font>
      <b/>
      <sz val="10"/>
      <name val="Arial"/>
      <family val="2"/>
    </font>
    <font>
      <b/>
      <sz val="20"/>
      <name val="Arial"/>
      <family val="2"/>
    </font>
    <font>
      <b/>
      <sz val="14"/>
      <name val="Arial"/>
      <family val="2"/>
    </font>
    <font>
      <sz val="10"/>
      <name val="Arial"/>
      <family val="2"/>
    </font>
    <font>
      <sz val="11"/>
      <color indexed="8"/>
      <name val="Calibri"/>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u/>
      <sz val="10"/>
      <color indexed="12"/>
      <name val="Arial"/>
      <family val="2"/>
    </font>
    <font>
      <sz val="10"/>
      <name val="Arial"/>
      <family val="2"/>
    </font>
    <font>
      <b/>
      <sz val="15"/>
      <color indexed="62"/>
      <name val="Calibri"/>
      <family val="2"/>
    </font>
    <font>
      <b/>
      <sz val="13"/>
      <color indexed="62"/>
      <name val="Calibri"/>
      <family val="2"/>
    </font>
    <font>
      <b/>
      <sz val="11"/>
      <color indexed="62"/>
      <name val="Calibri"/>
      <family val="2"/>
    </font>
    <font>
      <sz val="11"/>
      <name val="Cambria"/>
      <family val="1"/>
    </font>
    <font>
      <b/>
      <sz val="18"/>
      <color indexed="62"/>
      <name val="Cambria"/>
      <family val="2"/>
    </font>
    <font>
      <sz val="9"/>
      <name val="Arial"/>
      <family val="2"/>
    </font>
    <font>
      <b/>
      <sz val="9"/>
      <name val="Arial"/>
      <family val="2"/>
    </font>
    <font>
      <sz val="9"/>
      <color indexed="10"/>
      <name val="Arial"/>
      <family val="2"/>
    </font>
    <font>
      <sz val="9"/>
      <name val="Arial (WC)"/>
      <family val="2"/>
      <charset val="204"/>
    </font>
    <font>
      <b/>
      <u/>
      <sz val="10"/>
      <name val="Arial"/>
      <family val="2"/>
    </font>
    <font>
      <sz val="10"/>
      <color indexed="8"/>
      <name val="Arial"/>
      <family val="2"/>
    </font>
    <font>
      <sz val="10"/>
      <name val="ISOCPEUR"/>
      <family val="2"/>
    </font>
    <font>
      <b/>
      <sz val="10"/>
      <name val="ISOCPEUR"/>
      <family val="2"/>
    </font>
    <font>
      <sz val="11"/>
      <name val="ISOCPEUR"/>
      <family val="2"/>
    </font>
    <font>
      <i/>
      <sz val="10"/>
      <name val="ISOCPEUR"/>
      <family val="2"/>
    </font>
    <font>
      <b/>
      <sz val="14"/>
      <color indexed="48"/>
      <name val="ISOCPEUR"/>
      <family val="2"/>
    </font>
    <font>
      <b/>
      <sz val="11"/>
      <name val="Arial"/>
      <family val="2"/>
    </font>
    <font>
      <sz val="11"/>
      <name val="Arial"/>
      <family val="2"/>
    </font>
    <font>
      <sz val="9"/>
      <color indexed="81"/>
      <name val="Tahoma"/>
      <family val="2"/>
    </font>
    <font>
      <sz val="10"/>
      <color rgb="FF00CC00"/>
      <name val="Arial"/>
      <family val="2"/>
    </font>
    <font>
      <sz val="10"/>
      <color rgb="FFFF0000"/>
      <name val="Arial"/>
      <family val="2"/>
    </font>
    <font>
      <strike/>
      <sz val="10"/>
      <name val="Arial"/>
      <family val="2"/>
    </font>
    <font>
      <strike/>
      <sz val="10"/>
      <color rgb="FFFF0000"/>
      <name val="Arial"/>
      <family val="2"/>
    </font>
    <font>
      <i/>
      <sz val="10"/>
      <name val="Arial"/>
      <family val="2"/>
    </font>
    <font>
      <sz val="10"/>
      <color theme="0"/>
      <name val="Arial"/>
      <family val="2"/>
    </font>
    <font>
      <b/>
      <sz val="20"/>
      <color indexed="8"/>
      <name val="ISOCPEUR"/>
      <family val="2"/>
    </font>
    <font>
      <i/>
      <u/>
      <sz val="16"/>
      <name val="ISOCPEUR"/>
      <family val="2"/>
    </font>
    <font>
      <b/>
      <sz val="20"/>
      <name val="ISOCPEUR"/>
      <family val="2"/>
    </font>
    <font>
      <b/>
      <sz val="16"/>
      <name val="ISOCPEUR"/>
      <family val="2"/>
    </font>
    <font>
      <b/>
      <sz val="12"/>
      <name val="ISOCPEUR"/>
      <family val="2"/>
    </font>
    <font>
      <sz val="14"/>
      <name val="ISOCPEUR"/>
      <family val="2"/>
    </font>
    <font>
      <sz val="8"/>
      <name val="ISOCPEUR"/>
      <family val="2"/>
    </font>
    <font>
      <i/>
      <u/>
      <sz val="14"/>
      <name val="ISOCPEUR"/>
      <family val="2"/>
    </font>
    <font>
      <b/>
      <sz val="16"/>
      <color theme="3" tint="0.39997558519241921"/>
      <name val="ISOCPEUR"/>
      <family val="2"/>
    </font>
    <font>
      <b/>
      <sz val="11"/>
      <name val="ISOCPEUR"/>
      <family val="2"/>
    </font>
    <font>
      <i/>
      <u/>
      <sz val="14"/>
      <color theme="0"/>
      <name val="ISOCPEUR"/>
      <family val="2"/>
    </font>
    <font>
      <i/>
      <u/>
      <sz val="8"/>
      <name val="ISOCPEUR"/>
      <family val="2"/>
    </font>
    <font>
      <sz val="10"/>
      <color theme="0" tint="-0.34998626667073579"/>
      <name val="Arial"/>
      <family val="2"/>
    </font>
    <font>
      <u/>
      <sz val="14"/>
      <name val="ISOCPEUR"/>
      <family val="2"/>
    </font>
    <font>
      <sz val="10"/>
      <color theme="1"/>
      <name val="Arial"/>
      <family val="2"/>
    </font>
    <font>
      <b/>
      <sz val="10"/>
      <color theme="1"/>
      <name val="Arial"/>
      <family val="2"/>
    </font>
    <font>
      <b/>
      <sz val="10"/>
      <color rgb="FFFF0000"/>
      <name val="Arial"/>
      <family val="2"/>
    </font>
    <font>
      <sz val="10"/>
      <color rgb="FF0070C0"/>
      <name val="Arial"/>
      <family val="2"/>
    </font>
    <font>
      <sz val="10"/>
      <color rgb="FF000000"/>
      <name val="Arial"/>
      <family val="2"/>
    </font>
    <font>
      <vertAlign val="superscript"/>
      <sz val="10"/>
      <color rgb="FF000000"/>
      <name val="Arial"/>
      <family val="2"/>
    </font>
    <font>
      <vertAlign val="superscript"/>
      <sz val="10"/>
      <color theme="1"/>
      <name val="Arial"/>
      <family val="2"/>
    </font>
    <font>
      <b/>
      <strike/>
      <sz val="10"/>
      <color theme="1"/>
      <name val="Arial"/>
      <family val="2"/>
    </font>
    <font>
      <b/>
      <sz val="14"/>
      <color rgb="FFFF0000"/>
      <name val="Arial"/>
      <family val="2"/>
    </font>
    <font>
      <b/>
      <sz val="10"/>
      <name val="Wingdings"/>
      <charset val="2"/>
    </font>
    <font>
      <u/>
      <sz val="10"/>
      <name val="Arial"/>
      <family val="2"/>
    </font>
    <font>
      <sz val="8"/>
      <name val="Arial"/>
      <family val="2"/>
    </font>
    <font>
      <sz val="8"/>
      <name val="Arial"/>
      <family val="2"/>
    </font>
    <font>
      <sz val="10"/>
      <color theme="2" tint="-0.499984740745262"/>
      <name val="Arial"/>
      <family val="2"/>
    </font>
    <font>
      <sz val="10"/>
      <color rgb="FF92D050"/>
      <name val="Arial"/>
      <family val="2"/>
    </font>
    <font>
      <b/>
      <sz val="11"/>
      <name val="Wingdings"/>
      <charset val="2"/>
    </font>
    <font>
      <b/>
      <sz val="12"/>
      <color rgb="FF00B050"/>
      <name val="Wingdings"/>
      <charset val="2"/>
    </font>
    <font>
      <b/>
      <sz val="12"/>
      <color rgb="FFFF0000"/>
      <name val="Wingdings"/>
      <charset val="2"/>
    </font>
    <font>
      <sz val="10"/>
      <color rgb="FFDA9694"/>
      <name val="Arial"/>
      <family val="2"/>
    </font>
    <font>
      <b/>
      <sz val="12"/>
      <name val="Wingdings"/>
      <charset val="2"/>
    </font>
    <font>
      <b/>
      <i/>
      <sz val="10"/>
      <name val="Arial"/>
      <family val="2"/>
    </font>
    <font>
      <sz val="10"/>
      <color rgb="FF00B0F0"/>
      <name val="Arial"/>
      <family val="2"/>
    </font>
    <font>
      <sz val="10"/>
      <color rgb="FFFFFF00"/>
      <name val="Arial"/>
      <family val="2"/>
    </font>
    <font>
      <b/>
      <sz val="8"/>
      <color rgb="FFFF0000"/>
      <name val="Arial"/>
      <family val="2"/>
    </font>
    <font>
      <i/>
      <u/>
      <sz val="10"/>
      <name val="Arial"/>
      <family val="2"/>
    </font>
    <font>
      <sz val="10"/>
      <color rgb="FFCCFF66"/>
      <name val="Arial"/>
      <family val="2"/>
    </font>
    <font>
      <b/>
      <sz val="10"/>
      <color theme="0" tint="-0.249977111117893"/>
      <name val="Wingdings"/>
      <charset val="2"/>
    </font>
    <font>
      <sz val="18"/>
      <color theme="3"/>
      <name val="Cambria"/>
      <family val="2"/>
      <scheme val="major"/>
    </font>
    <font>
      <b/>
      <sz val="13"/>
      <color theme="3"/>
      <name val="Calibri"/>
      <family val="2"/>
      <scheme val="minor"/>
    </font>
    <font>
      <b/>
      <sz val="11"/>
      <color theme="3"/>
      <name val="Calibri"/>
      <family val="2"/>
      <scheme val="minor"/>
    </font>
    <font>
      <sz val="11"/>
      <color rgb="FF9C0006"/>
      <name val="Calibri"/>
      <family val="2"/>
      <scheme val="minor"/>
    </font>
    <font>
      <b/>
      <sz val="11"/>
      <color rgb="FF3F3F3F"/>
      <name val="Calibri"/>
      <family val="2"/>
      <scheme val="minor"/>
    </font>
    <font>
      <b/>
      <sz val="11"/>
      <color rgb="FFFA7D00"/>
      <name val="Calibri"/>
      <family val="2"/>
      <scheme val="minor"/>
    </font>
    <font>
      <i/>
      <sz val="11"/>
      <color rgb="FF7F7F7F"/>
      <name val="Calibri"/>
      <family val="2"/>
      <scheme val="minor"/>
    </font>
    <font>
      <sz val="11"/>
      <color theme="0"/>
      <name val="Calibri"/>
      <family val="2"/>
      <scheme val="minor"/>
    </font>
    <font>
      <b/>
      <sz val="11"/>
      <color theme="1"/>
      <name val="Calibri"/>
      <family val="2"/>
      <scheme val="minor"/>
    </font>
    <font>
      <b/>
      <sz val="11"/>
      <color theme="0"/>
      <name val="Calibri"/>
      <family val="2"/>
      <scheme val="minor"/>
    </font>
    <font>
      <sz val="11"/>
      <color rgb="FFFA7D00"/>
      <name val="Calibri"/>
      <family val="2"/>
      <scheme val="minor"/>
    </font>
    <font>
      <sz val="11"/>
      <color rgb="FF3F3F76"/>
      <name val="Calibri"/>
      <family val="2"/>
      <scheme val="minor"/>
    </font>
    <font>
      <sz val="11"/>
      <color rgb="FF9C5700"/>
      <name val="Calibri"/>
      <family val="2"/>
      <scheme val="minor"/>
    </font>
    <font>
      <sz val="11"/>
      <color rgb="FFFF0000"/>
      <name val="Calibri"/>
      <family val="2"/>
      <scheme val="minor"/>
    </font>
    <font>
      <b/>
      <sz val="8"/>
      <name val="Arial"/>
      <family val="2"/>
    </font>
    <font>
      <sz val="10"/>
      <color rgb="FFFFFF99"/>
      <name val="Arial"/>
      <family val="2"/>
    </font>
    <font>
      <b/>
      <sz val="10"/>
      <color theme="2" tint="-0.499984740745262"/>
      <name val="Arial"/>
      <family val="2"/>
    </font>
    <font>
      <sz val="8"/>
      <name val="Arial"/>
      <family val="2"/>
    </font>
    <font>
      <sz val="10"/>
      <color theme="0" tint="-0.14999847407452621"/>
      <name val="Arial"/>
      <family val="2"/>
    </font>
    <font>
      <sz val="10"/>
      <color theme="0" tint="-0.249977111117893"/>
      <name val="Arial"/>
      <family val="2"/>
    </font>
    <font>
      <b/>
      <sz val="11"/>
      <color rgb="FF00B050"/>
      <name val="Wingdings"/>
      <charset val="2"/>
    </font>
  </fonts>
  <fills count="113">
    <fill>
      <patternFill patternType="none"/>
    </fill>
    <fill>
      <patternFill patternType="gray125"/>
    </fill>
    <fill>
      <patternFill patternType="solid">
        <fgColor indexed="22"/>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9"/>
      </patternFill>
    </fill>
    <fill>
      <patternFill patternType="solid">
        <fgColor indexed="43"/>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5"/>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62"/>
      </patternFill>
    </fill>
    <fill>
      <patternFill patternType="solid">
        <fgColor indexed="47"/>
        <bgColor indexed="64"/>
      </patternFill>
    </fill>
    <fill>
      <patternFill patternType="solid">
        <fgColor indexed="52"/>
        <bgColor indexed="64"/>
      </patternFill>
    </fill>
    <fill>
      <patternFill patternType="solid">
        <fgColor indexed="44"/>
        <bgColor indexed="64"/>
      </patternFill>
    </fill>
    <fill>
      <patternFill patternType="solid">
        <fgColor indexed="43"/>
        <bgColor indexed="64"/>
      </patternFill>
    </fill>
    <fill>
      <patternFill patternType="solid">
        <fgColor indexed="57"/>
        <bgColor indexed="64"/>
      </patternFill>
    </fill>
    <fill>
      <patternFill patternType="solid">
        <fgColor rgb="FF00B0F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EAEAEA"/>
        <bgColor indexed="64"/>
      </patternFill>
    </fill>
    <fill>
      <patternFill patternType="solid">
        <fgColor rgb="FFC00000"/>
        <bgColor indexed="64"/>
      </patternFill>
    </fill>
    <fill>
      <patternFill patternType="solid">
        <fgColor rgb="FF66FF33"/>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7"/>
        <bgColor indexed="64"/>
      </patternFill>
    </fill>
    <fill>
      <patternFill patternType="solid">
        <fgColor theme="7" tint="0.39997558519241921"/>
        <bgColor indexed="64"/>
      </patternFill>
    </fill>
    <fill>
      <patternFill patternType="solid">
        <fgColor theme="4"/>
        <bgColor indexed="64"/>
      </patternFill>
    </fill>
    <fill>
      <patternFill patternType="solid">
        <fgColor rgb="FF92D050"/>
        <bgColor indexed="64"/>
      </patternFill>
    </fill>
    <fill>
      <patternFill patternType="solid">
        <fgColor rgb="FFFFC000"/>
        <bgColor indexed="64"/>
      </patternFill>
    </fill>
    <fill>
      <patternFill patternType="solid">
        <fgColor theme="0"/>
        <bgColor indexed="64"/>
      </patternFill>
    </fill>
    <fill>
      <patternFill patternType="solid">
        <fgColor theme="9" tint="-0.249977111117893"/>
        <bgColor indexed="64"/>
      </patternFill>
    </fill>
    <fill>
      <patternFill patternType="solid">
        <fgColor rgb="FF00B050"/>
        <bgColor indexed="64"/>
      </patternFill>
    </fill>
    <fill>
      <patternFill patternType="solid">
        <fgColor rgb="FFFFCC99"/>
        <bgColor indexed="64"/>
      </patternFill>
    </fill>
    <fill>
      <patternFill patternType="solid">
        <fgColor theme="7" tint="0.59999389629810485"/>
        <bgColor indexed="64"/>
      </patternFill>
    </fill>
    <fill>
      <patternFill patternType="solid">
        <fgColor theme="2" tint="-0.499984740745262"/>
        <bgColor indexed="64"/>
      </patternFill>
    </fill>
    <fill>
      <patternFill patternType="solid">
        <fgColor theme="0" tint="-0.34998626667073579"/>
        <bgColor indexed="64"/>
      </patternFill>
    </fill>
    <fill>
      <gradientFill degree="90">
        <stop position="0">
          <color rgb="FFFFC000"/>
        </stop>
        <stop position="1">
          <color rgb="FF00B050"/>
        </stop>
      </gradientFill>
    </fill>
    <fill>
      <patternFill patternType="solid">
        <fgColor theme="3" tint="0.59999389629810485"/>
        <bgColor indexed="64"/>
      </patternFill>
    </fill>
    <fill>
      <patternFill patternType="solid">
        <fgColor theme="9"/>
        <bgColor indexed="64"/>
      </patternFill>
    </fill>
    <fill>
      <patternFill patternType="solid">
        <fgColor rgb="FFFF7C80"/>
        <bgColor indexed="64"/>
      </patternFill>
    </fill>
    <fill>
      <patternFill patternType="solid">
        <fgColor theme="5" tint="0.59999389629810485"/>
        <bgColor indexed="64"/>
      </patternFill>
    </fill>
    <fill>
      <patternFill patternType="solid">
        <fgColor rgb="FF00CC00"/>
        <bgColor indexed="64"/>
      </patternFill>
    </fill>
    <fill>
      <patternFill patternType="solid">
        <fgColor theme="0" tint="-0.249977111117893"/>
        <bgColor indexed="64"/>
      </patternFill>
    </fill>
    <fill>
      <patternFill patternType="solid">
        <fgColor rgb="FFD6E3BC"/>
        <bgColor indexed="64"/>
      </patternFill>
    </fill>
    <fill>
      <patternFill patternType="solid">
        <fgColor rgb="FF8DB3E2"/>
        <bgColor indexed="64"/>
      </patternFill>
    </fill>
    <fill>
      <patternFill patternType="solid">
        <fgColor rgb="FFA6A6A6"/>
        <bgColor indexed="64"/>
      </patternFill>
    </fill>
    <fill>
      <patternFill patternType="solid">
        <fgColor rgb="FFFABF8F"/>
        <bgColor indexed="64"/>
      </patternFill>
    </fill>
    <fill>
      <patternFill patternType="solid">
        <fgColor rgb="FFDAEEF3"/>
        <bgColor indexed="64"/>
      </patternFill>
    </fill>
    <fill>
      <patternFill patternType="solid">
        <fgColor rgb="FFFFFFFF"/>
        <bgColor indexed="64"/>
      </patternFill>
    </fill>
    <fill>
      <patternFill patternType="darkGray">
        <fgColor theme="0"/>
        <bgColor theme="0" tint="-0.249977111117893"/>
      </patternFill>
    </fill>
    <fill>
      <patternFill patternType="solid">
        <fgColor rgb="FFCCFFCC"/>
        <bgColor indexed="64"/>
      </patternFill>
    </fill>
    <fill>
      <patternFill patternType="solid">
        <fgColor rgb="FFDA9694"/>
        <bgColor indexed="64"/>
      </patternFill>
    </fill>
    <fill>
      <patternFill patternType="solid">
        <fgColor rgb="FF0070C0"/>
        <bgColor indexed="64"/>
      </patternFill>
    </fill>
    <fill>
      <patternFill patternType="solid">
        <fgColor rgb="FFFECEFC"/>
        <bgColor indexed="64"/>
      </patternFill>
    </fill>
    <fill>
      <patternFill patternType="solid">
        <fgColor rgb="FFFBF3C5"/>
        <bgColor indexed="64"/>
      </patternFill>
    </fill>
    <fill>
      <patternFill patternType="solid">
        <fgColor rgb="FFCCECFF"/>
        <bgColor indexed="64"/>
      </patternFill>
    </fill>
    <fill>
      <patternFill patternType="solid">
        <fgColor theme="3" tint="0.39997558519241921"/>
        <bgColor indexed="64"/>
      </patternFill>
    </fill>
    <fill>
      <patternFill patternType="solid">
        <fgColor rgb="FF99FF33"/>
        <bgColor indexed="64"/>
      </patternFill>
    </fill>
    <fill>
      <patternFill patternType="solid">
        <fgColor rgb="FF7030A0"/>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rgb="FFFFC7CE"/>
      </patternFill>
    </fill>
    <fill>
      <patternFill patternType="solid">
        <fgColor rgb="FFF2F2F2"/>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A5A5A5"/>
      </patternFill>
    </fill>
    <fill>
      <patternFill patternType="solid">
        <fgColor rgb="FFFFCC99"/>
      </patternFill>
    </fill>
    <fill>
      <patternFill patternType="solid">
        <fgColor rgb="FFFFEB9C"/>
      </patternFill>
    </fill>
    <fill>
      <patternFill patternType="solid">
        <fgColor rgb="FFFFFFCC"/>
      </patternFill>
    </fill>
    <fill>
      <patternFill patternType="solid">
        <fgColor theme="2" tint="-0.249977111117893"/>
        <bgColor indexed="64"/>
      </patternFill>
    </fill>
    <fill>
      <patternFill patternType="solid">
        <fgColor theme="6" tint="0.59999389629810485"/>
        <bgColor indexed="64"/>
      </patternFill>
    </fill>
  </fills>
  <borders count="15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22"/>
      </bottom>
      <diagonal/>
    </border>
    <border>
      <left style="thin">
        <color indexed="64"/>
      </left>
      <right style="thin">
        <color indexed="64"/>
      </right>
      <top style="thin">
        <color indexed="22"/>
      </top>
      <bottom style="thin">
        <color indexed="64"/>
      </bottom>
      <diagonal/>
    </border>
    <border>
      <left style="thin">
        <color indexed="64"/>
      </left>
      <right style="thin">
        <color indexed="64"/>
      </right>
      <top style="thin">
        <color indexed="22"/>
      </top>
      <bottom style="thin">
        <color indexed="22"/>
      </bottom>
      <diagonal/>
    </border>
    <border>
      <left/>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diagonal/>
    </border>
    <border>
      <left/>
      <right style="thin">
        <color indexed="64"/>
      </right>
      <top style="dotted">
        <color indexed="64"/>
      </top>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indexed="64"/>
      </left>
      <right style="thin">
        <color indexed="64"/>
      </right>
      <top/>
      <bottom style="thin">
        <color indexed="22"/>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dotted">
        <color indexed="64"/>
      </right>
      <top style="thin">
        <color indexed="64"/>
      </top>
      <bottom style="dotted">
        <color indexed="64"/>
      </bottom>
      <diagonal/>
    </border>
    <border>
      <left style="dotted">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diagonal/>
    </border>
    <border>
      <left style="dotted">
        <color indexed="64"/>
      </left>
      <right style="dotted">
        <color indexed="64"/>
      </right>
      <top/>
      <bottom/>
      <diagonal/>
    </border>
    <border>
      <left style="dotted">
        <color indexed="64"/>
      </left>
      <right style="thin">
        <color indexed="64"/>
      </right>
      <top/>
      <bottom/>
      <diagonal/>
    </border>
    <border>
      <left style="thin">
        <color indexed="64"/>
      </left>
      <right style="dotted">
        <color indexed="64"/>
      </right>
      <top/>
      <bottom style="thin">
        <color indexed="64"/>
      </bottom>
      <diagonal/>
    </border>
    <border>
      <left style="dotted">
        <color indexed="64"/>
      </left>
      <right style="dotted">
        <color indexed="64"/>
      </right>
      <top/>
      <bottom style="thin">
        <color indexed="64"/>
      </bottom>
      <diagonal/>
    </border>
    <border>
      <left style="dotted">
        <color indexed="64"/>
      </left>
      <right style="thin">
        <color indexed="64"/>
      </right>
      <top/>
      <bottom style="thin">
        <color indexed="64"/>
      </bottom>
      <diagonal/>
    </border>
    <border>
      <left/>
      <right style="thin">
        <color indexed="64"/>
      </right>
      <top style="dotted">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bottom style="medium">
        <color indexed="64"/>
      </bottom>
      <diagonal/>
    </border>
    <border>
      <left style="dotted">
        <color indexed="64"/>
      </left>
      <right/>
      <top style="thin">
        <color indexed="64"/>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diagonal/>
    </border>
    <border>
      <left style="dotted">
        <color indexed="64"/>
      </left>
      <right/>
      <top style="dotted">
        <color indexed="64"/>
      </top>
      <bottom style="thin">
        <color indexed="64"/>
      </bottom>
      <diagonal/>
    </border>
    <border>
      <left style="dotted">
        <color indexed="64"/>
      </left>
      <right/>
      <top/>
      <bottom style="dotted">
        <color indexed="64"/>
      </bottom>
      <diagonal/>
    </border>
    <border>
      <left style="dotted">
        <color indexed="64"/>
      </left>
      <right/>
      <top/>
      <bottom style="thin">
        <color indexed="64"/>
      </bottom>
      <diagonal/>
    </border>
    <border>
      <left style="dotted">
        <color indexed="64"/>
      </left>
      <right/>
      <top/>
      <bottom/>
      <diagonal/>
    </border>
    <border>
      <left/>
      <right style="thin">
        <color indexed="64"/>
      </right>
      <top/>
      <bottom style="dotted">
        <color indexed="64"/>
      </bottom>
      <diagonal/>
    </border>
    <border>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s>
  <cellStyleXfs count="1804">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2" borderId="0" applyNumberFormat="0" applyBorder="0" applyAlignment="0" applyProtection="0"/>
    <xf numFmtId="0" fontId="7" fillId="5" borderId="0" applyNumberFormat="0" applyBorder="0" applyAlignment="0" applyProtection="0"/>
    <xf numFmtId="0" fontId="7" fillId="3"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5"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3" borderId="0" applyNumberFormat="0" applyBorder="0" applyAlignment="0" applyProtection="0"/>
    <xf numFmtId="0" fontId="7" fillId="2"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2" borderId="0" applyNumberFormat="0" applyBorder="0" applyAlignment="0" applyProtection="0"/>
    <xf numFmtId="0" fontId="7" fillId="12" borderId="0" applyNumberFormat="0" applyBorder="0" applyAlignment="0" applyProtection="0"/>
    <xf numFmtId="0" fontId="7" fillId="3"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8" fillId="15"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6" borderId="0" applyNumberFormat="0" applyBorder="0" applyAlignment="0" applyProtection="0"/>
    <xf numFmtId="0" fontId="8" fillId="15" borderId="0" applyNumberFormat="0" applyBorder="0" applyAlignment="0" applyProtection="0"/>
    <xf numFmtId="0" fontId="8" fillId="3"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9" borderId="0" applyNumberFormat="0" applyBorder="0" applyAlignment="0" applyProtection="0"/>
    <xf numFmtId="0" fontId="8" fillId="15"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15" borderId="0" applyNumberFormat="0" applyBorder="0" applyAlignment="0" applyProtection="0"/>
    <xf numFmtId="0" fontId="8" fillId="23" borderId="0" applyNumberFormat="0" applyBorder="0" applyAlignment="0" applyProtection="0"/>
    <xf numFmtId="0" fontId="15" fillId="7"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9" fillId="8" borderId="0" applyNumberFormat="0" applyBorder="0" applyAlignment="0" applyProtection="0"/>
    <xf numFmtId="0" fontId="10" fillId="24"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0" fillId="2" borderId="1" applyNumberFormat="0" applyAlignment="0" applyProtection="0"/>
    <xf numFmtId="0" fontId="11" fillId="16" borderId="2" applyNumberFormat="0" applyAlignment="0" applyProtection="0"/>
    <xf numFmtId="0" fontId="11" fillId="16" borderId="2" applyNumberFormat="0" applyAlignment="0" applyProtection="0"/>
    <xf numFmtId="0" fontId="11" fillId="16" borderId="2" applyNumberFormat="0" applyAlignment="0" applyProtection="0"/>
    <xf numFmtId="0" fontId="11" fillId="16" borderId="2" applyNumberFormat="0" applyAlignment="0" applyProtection="0"/>
    <xf numFmtId="0" fontId="11" fillId="16" borderId="2" applyNumberFormat="0" applyAlignment="0" applyProtection="0"/>
    <xf numFmtId="0" fontId="11" fillId="16" borderId="2" applyNumberFormat="0" applyAlignment="0" applyProtection="0"/>
    <xf numFmtId="0" fontId="11" fillId="16" borderId="2" applyNumberFormat="0" applyAlignment="0" applyProtection="0"/>
    <xf numFmtId="0" fontId="11" fillId="16" borderId="2" applyNumberFormat="0" applyAlignment="0" applyProtection="0"/>
    <xf numFmtId="0" fontId="11" fillId="16" borderId="2" applyNumberFormat="0" applyAlignment="0" applyProtection="0"/>
    <xf numFmtId="0" fontId="11" fillId="16" borderId="2" applyNumberFormat="0" applyAlignment="0" applyProtection="0"/>
    <xf numFmtId="0" fontId="11" fillId="16" borderId="2" applyNumberFormat="0" applyAlignment="0" applyProtection="0"/>
    <xf numFmtId="0" fontId="11" fillId="16" borderId="2" applyNumberFormat="0" applyAlignment="0" applyProtection="0"/>
    <xf numFmtId="0" fontId="11" fillId="16" borderId="2" applyNumberFormat="0" applyAlignment="0" applyProtection="0"/>
    <xf numFmtId="0" fontId="11" fillId="16" borderId="2" applyNumberFormat="0" applyAlignment="0" applyProtection="0"/>
    <xf numFmtId="0" fontId="11" fillId="16" borderId="2" applyNumberFormat="0" applyAlignment="0" applyProtection="0"/>
    <xf numFmtId="0" fontId="11" fillId="16" borderId="2" applyNumberFormat="0" applyAlignment="0" applyProtection="0"/>
    <xf numFmtId="0" fontId="11" fillId="16" borderId="2" applyNumberFormat="0" applyAlignment="0" applyProtection="0"/>
    <xf numFmtId="0" fontId="11" fillId="16" borderId="2" applyNumberFormat="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2" fillId="0" borderId="3" applyNumberFormat="0" applyFill="0" applyAlignment="0" applyProtection="0"/>
    <xf numFmtId="0" fontId="11" fillId="16" borderId="2" applyNumberFormat="0" applyAlignment="0" applyProtection="0"/>
    <xf numFmtId="0" fontId="11" fillId="16" borderId="2" applyNumberFormat="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5"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21"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8"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8" fillId="23" borderId="0" applyNumberFormat="0" applyBorder="0" applyAlignment="0" applyProtection="0"/>
    <xf numFmtId="0" fontId="14" fillId="3" borderId="1" applyNumberFormat="0" applyAlignment="0" applyProtection="0"/>
    <xf numFmtId="0" fontId="14" fillId="3" borderId="1" applyNumberFormat="0" applyAlignment="0" applyProtection="0"/>
    <xf numFmtId="0" fontId="14" fillId="3" borderId="1" applyNumberFormat="0" applyAlignment="0" applyProtection="0"/>
    <xf numFmtId="0" fontId="14" fillId="3" borderId="1" applyNumberFormat="0" applyAlignment="0" applyProtection="0"/>
    <xf numFmtId="0" fontId="14" fillId="3" borderId="1" applyNumberFormat="0" applyAlignment="0" applyProtection="0"/>
    <xf numFmtId="0" fontId="14" fillId="3" borderId="1" applyNumberFormat="0" applyAlignment="0" applyProtection="0"/>
    <xf numFmtId="0" fontId="14" fillId="3" borderId="1" applyNumberFormat="0" applyAlignment="0" applyProtection="0"/>
    <xf numFmtId="0" fontId="14" fillId="3" borderId="1" applyNumberFormat="0" applyAlignment="0" applyProtection="0"/>
    <xf numFmtId="0" fontId="14" fillId="3" borderId="1" applyNumberFormat="0" applyAlignment="0" applyProtection="0"/>
    <xf numFmtId="0" fontId="14" fillId="3" borderId="1" applyNumberFormat="0" applyAlignment="0" applyProtection="0"/>
    <xf numFmtId="0" fontId="14" fillId="3" borderId="1" applyNumberFormat="0" applyAlignment="0" applyProtection="0"/>
    <xf numFmtId="0" fontId="14" fillId="3" borderId="1" applyNumberFormat="0" applyAlignment="0" applyProtection="0"/>
    <xf numFmtId="0" fontId="14" fillId="3" borderId="1" applyNumberFormat="0" applyAlignment="0" applyProtection="0"/>
    <xf numFmtId="0" fontId="14" fillId="3" borderId="1" applyNumberFormat="0" applyAlignment="0" applyProtection="0"/>
    <xf numFmtId="0" fontId="14" fillId="3" borderId="1" applyNumberFormat="0" applyAlignment="0" applyProtection="0"/>
    <xf numFmtId="0" fontId="14" fillId="3" borderId="1" applyNumberFormat="0" applyAlignment="0" applyProtection="0"/>
    <xf numFmtId="0" fontId="14" fillId="3" borderId="1" applyNumberFormat="0" applyAlignment="0" applyProtection="0"/>
    <xf numFmtId="0" fontId="14" fillId="3" borderId="1" applyNumberFormat="0" applyAlignment="0" applyProtection="0"/>
    <xf numFmtId="165" fontId="2" fillId="0" borderId="0" applyFont="0" applyFill="0" applyBorder="0" applyAlignment="0" applyProtection="0"/>
    <xf numFmtId="165" fontId="25"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165" fontId="6" fillId="0" borderId="0" applyFont="0" applyFill="0" applyBorder="0" applyAlignment="0" applyProtection="0"/>
    <xf numFmtId="0" fontId="19" fillId="0" borderId="0" applyNumberFormat="0" applyFill="0" applyBorder="0" applyAlignment="0" applyProtection="0"/>
    <xf numFmtId="0" fontId="9" fillId="8" borderId="0" applyNumberFormat="0" applyBorder="0" applyAlignment="0" applyProtection="0"/>
    <xf numFmtId="0" fontId="9" fillId="8" borderId="0" applyNumberFormat="0" applyBorder="0" applyAlignment="0" applyProtection="0"/>
    <xf numFmtId="0" fontId="26" fillId="0" borderId="5" applyNumberFormat="0" applyFill="0" applyAlignment="0" applyProtection="0"/>
    <xf numFmtId="0" fontId="26" fillId="0" borderId="5" applyNumberFormat="0" applyFill="0" applyAlignment="0" applyProtection="0"/>
    <xf numFmtId="0" fontId="27" fillId="0" borderId="6" applyNumberFormat="0" applyFill="0" applyAlignment="0" applyProtection="0"/>
    <xf numFmtId="0" fontId="28" fillId="0" borderId="7" applyNumberFormat="0" applyFill="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4" fillId="0" borderId="0" applyNumberFormat="0" applyFill="0" applyBorder="0" applyAlignment="0" applyProtection="0">
      <alignment vertical="top"/>
      <protection locked="0"/>
    </xf>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5" fillId="7" borderId="0" applyNumberFormat="0" applyBorder="0" applyAlignment="0" applyProtection="0"/>
    <xf numFmtId="0" fontId="14" fillId="3" borderId="1" applyNumberFormat="0" applyAlignment="0" applyProtection="0"/>
    <xf numFmtId="0" fontId="14" fillId="3" borderId="1" applyNumberFormat="0" applyAlignment="0" applyProtection="0"/>
    <xf numFmtId="0" fontId="12" fillId="0" borderId="3" applyNumberFormat="0" applyFill="0" applyAlignment="0" applyProtection="0"/>
    <xf numFmtId="0" fontId="12" fillId="0" borderId="3" applyNumberFormat="0" applyFill="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29" fillId="0" borderId="0"/>
    <xf numFmtId="0" fontId="29" fillId="0" borderId="0"/>
    <xf numFmtId="0" fontId="29" fillId="0" borderId="0"/>
    <xf numFmtId="0" fontId="29" fillId="0" borderId="0"/>
    <xf numFmtId="0" fontId="29" fillId="0" borderId="0"/>
    <xf numFmtId="0" fontId="29" fillId="0" borderId="0"/>
    <xf numFmtId="0" fontId="6"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6" fillId="0" borderId="0"/>
    <xf numFmtId="0" fontId="29" fillId="0" borderId="0"/>
    <xf numFmtId="0" fontId="6" fillId="0" borderId="0"/>
    <xf numFmtId="0" fontId="6" fillId="0" borderId="0"/>
    <xf numFmtId="0" fontId="29" fillId="0" borderId="0"/>
    <xf numFmtId="0" fontId="29" fillId="0" borderId="0"/>
    <xf numFmtId="0" fontId="6" fillId="0" borderId="0"/>
    <xf numFmtId="0" fontId="6" fillId="0" borderId="0"/>
    <xf numFmtId="0" fontId="6" fillId="0" borderId="0"/>
    <xf numFmtId="0" fontId="6" fillId="0" borderId="0"/>
    <xf numFmtId="0" fontId="6" fillId="0" borderId="0"/>
    <xf numFmtId="0" fontId="36" fillId="0" borderId="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6" fillId="4" borderId="8" applyNumberFormat="0" applyFont="0" applyAlignment="0" applyProtection="0"/>
    <xf numFmtId="0" fontId="29" fillId="4" borderId="9" applyNumberFormat="0" applyFont="0" applyAlignment="0" applyProtection="0"/>
    <xf numFmtId="0" fontId="29" fillId="4" borderId="9" applyNumberFormat="0" applyFont="0" applyAlignment="0" applyProtection="0"/>
    <xf numFmtId="0" fontId="17" fillId="24" borderId="10" applyNumberFormat="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7" fillId="2" borderId="10" applyNumberFormat="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30" fillId="0" borderId="0" applyNumberFormat="0" applyFill="0" applyBorder="0" applyAlignment="0" applyProtection="0"/>
    <xf numFmtId="0" fontId="20" fillId="0" borderId="0" applyNumberFormat="0" applyFill="0" applyBorder="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1" fillId="0" borderId="4" applyNumberFormat="0" applyFill="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2" fillId="0" borderId="6" applyNumberFormat="0" applyFill="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13" fillId="0" borderId="11" applyNumberFormat="0" applyFill="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23" fillId="0" borderId="12" applyNumberFormat="0" applyFill="0" applyAlignment="0" applyProtection="0"/>
    <xf numFmtId="0" fontId="18" fillId="0" borderId="0" applyNumberFormat="0" applyFill="0" applyBorder="0" applyAlignment="0" applyProtection="0"/>
    <xf numFmtId="0" fontId="18" fillId="0" borderId="0" applyNumberFormat="0" applyFill="0" applyBorder="0" applyAlignment="0" applyProtection="0"/>
    <xf numFmtId="0" fontId="2" fillId="0" borderId="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0" fontId="2" fillId="4" borderId="8"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29" fillId="4" borderId="126" applyNumberFormat="0" applyFont="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92" fillId="0" borderId="0" applyNumberFormat="0" applyFill="0" applyBorder="0" applyAlignment="0" applyProtection="0"/>
    <xf numFmtId="0" fontId="93" fillId="0" borderId="116" applyNumberFormat="0" applyFill="0" applyAlignment="0" applyProtection="0"/>
    <xf numFmtId="0" fontId="94" fillId="0" borderId="117" applyNumberFormat="0" applyFill="0" applyAlignment="0" applyProtection="0"/>
    <xf numFmtId="0" fontId="95" fillId="81" borderId="0" applyNumberFormat="0" applyBorder="0" applyAlignment="0" applyProtection="0"/>
    <xf numFmtId="0" fontId="96" fillId="82" borderId="118" applyNumberFormat="0" applyAlignment="0" applyProtection="0"/>
    <xf numFmtId="0" fontId="97" fillId="82" borderId="119" applyNumberFormat="0" applyAlignment="0" applyProtection="0"/>
    <xf numFmtId="0" fontId="98" fillId="0" borderId="0" applyNumberFormat="0" applyFill="0" applyBorder="0" applyAlignment="0" applyProtection="0"/>
    <xf numFmtId="0" fontId="99" fillId="83" borderId="0" applyNumberFormat="0" applyBorder="0" applyAlignment="0" applyProtection="0"/>
    <xf numFmtId="0" fontId="1" fillId="84" borderId="0" applyNumberFormat="0" applyBorder="0" applyAlignment="0" applyProtection="0"/>
    <xf numFmtId="0" fontId="1" fillId="85" borderId="0" applyNumberFormat="0" applyBorder="0" applyAlignment="0" applyProtection="0"/>
    <xf numFmtId="0" fontId="99" fillId="87"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99" fillId="91" borderId="0" applyNumberFormat="0" applyBorder="0" applyAlignment="0" applyProtection="0"/>
    <xf numFmtId="0" fontId="1" fillId="92" borderId="0" applyNumberFormat="0" applyBorder="0" applyAlignment="0" applyProtection="0"/>
    <xf numFmtId="0" fontId="1" fillId="93" borderId="0" applyNumberFormat="0" applyBorder="0" applyAlignment="0" applyProtection="0"/>
    <xf numFmtId="0" fontId="99" fillId="95" borderId="0" applyNumberFormat="0" applyBorder="0" applyAlignment="0" applyProtection="0"/>
    <xf numFmtId="0" fontId="1" fillId="96" borderId="0" applyNumberFormat="0" applyBorder="0" applyAlignment="0" applyProtection="0"/>
    <xf numFmtId="0" fontId="1" fillId="97" borderId="0" applyNumberFormat="0" applyBorder="0" applyAlignment="0" applyProtection="0"/>
    <xf numFmtId="0" fontId="99" fillId="99" borderId="0" applyNumberFormat="0" applyBorder="0" applyAlignment="0" applyProtection="0"/>
    <xf numFmtId="0" fontId="1" fillId="100" borderId="0" applyNumberFormat="0" applyBorder="0" applyAlignment="0" applyProtection="0"/>
    <xf numFmtId="0" fontId="1" fillId="101" borderId="0" applyNumberFormat="0" applyBorder="0" applyAlignment="0" applyProtection="0"/>
    <xf numFmtId="0" fontId="99" fillId="103" borderId="0" applyNumberFormat="0" applyBorder="0" applyAlignment="0" applyProtection="0"/>
    <xf numFmtId="0" fontId="1" fillId="104" borderId="0" applyNumberFormat="0" applyBorder="0" applyAlignment="0" applyProtection="0"/>
    <xf numFmtId="0" fontId="1" fillId="105" borderId="0" applyNumberFormat="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1" fillId="0" borderId="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106" borderId="0" applyNumberFormat="0" applyBorder="0" applyAlignment="0" applyProtection="0"/>
    <xf numFmtId="0" fontId="101" fillId="107" borderId="120" applyNumberFormat="0" applyAlignment="0" applyProtection="0"/>
    <xf numFmtId="0" fontId="102" fillId="0" borderId="121" applyNumberFormat="0" applyFill="0" applyAlignment="0" applyProtection="0"/>
    <xf numFmtId="0" fontId="94" fillId="0" borderId="0" applyNumberFormat="0" applyFill="0" applyBorder="0" applyAlignment="0" applyProtection="0"/>
    <xf numFmtId="0" fontId="103" fillId="108" borderId="119" applyNumberFormat="0" applyAlignment="0" applyProtection="0"/>
    <xf numFmtId="0" fontId="104" fillId="109" borderId="0" applyNumberFormat="0" applyBorder="0" applyAlignment="0" applyProtection="0"/>
    <xf numFmtId="0" fontId="1" fillId="110" borderId="122" applyNumberFormat="0" applyFont="0" applyAlignment="0" applyProtection="0"/>
    <xf numFmtId="0" fontId="105" fillId="0" borderId="0" applyNumberFormat="0" applyFill="0" applyBorder="0" applyAlignment="0" applyProtection="0"/>
    <xf numFmtId="0" fontId="100" fillId="0" borderId="123" applyNumberFormat="0" applyFill="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1" fillId="84" borderId="0" applyNumberFormat="0" applyBorder="0" applyAlignment="0" applyProtection="0"/>
    <xf numFmtId="0" fontId="1" fillId="85"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1" fillId="92" borderId="0" applyNumberFormat="0" applyBorder="0" applyAlignment="0" applyProtection="0"/>
    <xf numFmtId="0" fontId="1" fillId="93" borderId="0" applyNumberFormat="0" applyBorder="0" applyAlignment="0" applyProtection="0"/>
    <xf numFmtId="0" fontId="1" fillId="96" borderId="0" applyNumberFormat="0" applyBorder="0" applyAlignment="0" applyProtection="0"/>
    <xf numFmtId="0" fontId="1" fillId="97" borderId="0" applyNumberFormat="0" applyBorder="0" applyAlignment="0" applyProtection="0"/>
    <xf numFmtId="0" fontId="1" fillId="100" borderId="0" applyNumberFormat="0" applyBorder="0" applyAlignment="0" applyProtection="0"/>
    <xf numFmtId="0" fontId="1" fillId="101" borderId="0" applyNumberFormat="0" applyBorder="0" applyAlignment="0" applyProtection="0"/>
    <xf numFmtId="0" fontId="1" fillId="104" borderId="0" applyNumberFormat="0" applyBorder="0" applyAlignment="0" applyProtection="0"/>
    <xf numFmtId="0" fontId="1" fillId="105" borderId="0" applyNumberFormat="0" applyBorder="0" applyAlignment="0" applyProtection="0"/>
    <xf numFmtId="0" fontId="1" fillId="0" borderId="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106" borderId="0" applyNumberFormat="0" applyBorder="0" applyAlignment="0" applyProtection="0"/>
    <xf numFmtId="0" fontId="1" fillId="110" borderId="122" applyNumberFormat="0" applyFont="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1" fillId="84" borderId="0" applyNumberFormat="0" applyBorder="0" applyAlignment="0" applyProtection="0"/>
    <xf numFmtId="0" fontId="1" fillId="85"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1" fillId="92" borderId="0" applyNumberFormat="0" applyBorder="0" applyAlignment="0" applyProtection="0"/>
    <xf numFmtId="0" fontId="1" fillId="93" borderId="0" applyNumberFormat="0" applyBorder="0" applyAlignment="0" applyProtection="0"/>
    <xf numFmtId="0" fontId="1" fillId="96" borderId="0" applyNumberFormat="0" applyBorder="0" applyAlignment="0" applyProtection="0"/>
    <xf numFmtId="0" fontId="1" fillId="97" borderId="0" applyNumberFormat="0" applyBorder="0" applyAlignment="0" applyProtection="0"/>
    <xf numFmtId="0" fontId="1" fillId="100" borderId="0" applyNumberFormat="0" applyBorder="0" applyAlignment="0" applyProtection="0"/>
    <xf numFmtId="0" fontId="1" fillId="101" borderId="0" applyNumberFormat="0" applyBorder="0" applyAlignment="0" applyProtection="0"/>
    <xf numFmtId="0" fontId="1" fillId="104" borderId="0" applyNumberFormat="0" applyBorder="0" applyAlignment="0" applyProtection="0"/>
    <xf numFmtId="0" fontId="1" fillId="105" borderId="0" applyNumberFormat="0" applyBorder="0" applyAlignment="0" applyProtection="0"/>
    <xf numFmtId="0" fontId="1" fillId="0" borderId="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106" borderId="0" applyNumberFormat="0" applyBorder="0" applyAlignment="0" applyProtection="0"/>
    <xf numFmtId="0" fontId="1" fillId="110" borderId="122" applyNumberFormat="0" applyFont="0" applyAlignment="0" applyProtection="0"/>
    <xf numFmtId="0" fontId="1" fillId="84" borderId="0" applyNumberFormat="0" applyBorder="0" applyAlignment="0" applyProtection="0"/>
    <xf numFmtId="0" fontId="1" fillId="85"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1" fillId="92" borderId="0" applyNumberFormat="0" applyBorder="0" applyAlignment="0" applyProtection="0"/>
    <xf numFmtId="0" fontId="1" fillId="93" borderId="0" applyNumberFormat="0" applyBorder="0" applyAlignment="0" applyProtection="0"/>
    <xf numFmtId="0" fontId="1" fillId="96" borderId="0" applyNumberFormat="0" applyBorder="0" applyAlignment="0" applyProtection="0"/>
    <xf numFmtId="0" fontId="1" fillId="97" borderId="0" applyNumberFormat="0" applyBorder="0" applyAlignment="0" applyProtection="0"/>
    <xf numFmtId="0" fontId="1" fillId="100" borderId="0" applyNumberFormat="0" applyBorder="0" applyAlignment="0" applyProtection="0"/>
    <xf numFmtId="0" fontId="1" fillId="101" borderId="0" applyNumberFormat="0" applyBorder="0" applyAlignment="0" applyProtection="0"/>
    <xf numFmtId="0" fontId="1" fillId="104" borderId="0" applyNumberFormat="0" applyBorder="0" applyAlignment="0" applyProtection="0"/>
    <xf numFmtId="0" fontId="1" fillId="105" borderId="0" applyNumberFormat="0" applyBorder="0" applyAlignment="0" applyProtection="0"/>
    <xf numFmtId="0" fontId="1" fillId="0" borderId="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106" borderId="0" applyNumberFormat="0" applyBorder="0" applyAlignment="0" applyProtection="0"/>
    <xf numFmtId="0" fontId="1" fillId="110" borderId="122" applyNumberFormat="0" applyFont="0" applyAlignment="0" applyProtection="0"/>
    <xf numFmtId="0" fontId="1" fillId="0" borderId="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5" borderId="0" applyNumberFormat="0" applyBorder="0" applyAlignment="0" applyProtection="0"/>
    <xf numFmtId="0" fontId="7" fillId="3" borderId="0" applyNumberFormat="0" applyBorder="0" applyAlignment="0" applyProtection="0"/>
    <xf numFmtId="0" fontId="1" fillId="84" borderId="0" applyNumberFormat="0" applyBorder="0" applyAlignment="0" applyProtection="0"/>
    <xf numFmtId="0" fontId="1" fillId="88" borderId="0" applyNumberFormat="0" applyBorder="0" applyAlignment="0" applyProtection="0"/>
    <xf numFmtId="0" fontId="1" fillId="92" borderId="0" applyNumberFormat="0" applyBorder="0" applyAlignment="0" applyProtection="0"/>
    <xf numFmtId="0" fontId="1" fillId="96" borderId="0" applyNumberFormat="0" applyBorder="0" applyAlignment="0" applyProtection="0"/>
    <xf numFmtId="0" fontId="1" fillId="100" borderId="0" applyNumberFormat="0" applyBorder="0" applyAlignment="0" applyProtection="0"/>
    <xf numFmtId="0" fontId="1" fillId="104" borderId="0" applyNumberFormat="0" applyBorder="0" applyAlignment="0" applyProtection="0"/>
    <xf numFmtId="0" fontId="7" fillId="12"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9" borderId="0" applyNumberFormat="0" applyBorder="0" applyAlignment="0" applyProtection="0"/>
    <xf numFmtId="0" fontId="7" fillId="12" borderId="0" applyNumberFormat="0" applyBorder="0" applyAlignment="0" applyProtection="0"/>
    <xf numFmtId="0" fontId="7" fillId="14" borderId="0" applyNumberFormat="0" applyBorder="0" applyAlignment="0" applyProtection="0"/>
    <xf numFmtId="0" fontId="1" fillId="85" borderId="0" applyNumberFormat="0" applyBorder="0" applyAlignment="0" applyProtection="0"/>
    <xf numFmtId="0" fontId="1" fillId="89" borderId="0" applyNumberFormat="0" applyBorder="0" applyAlignment="0" applyProtection="0"/>
    <xf numFmtId="0" fontId="1" fillId="93" borderId="0" applyNumberFormat="0" applyBorder="0" applyAlignment="0" applyProtection="0"/>
    <xf numFmtId="0" fontId="1" fillId="97" borderId="0" applyNumberFormat="0" applyBorder="0" applyAlignment="0" applyProtection="0"/>
    <xf numFmtId="0" fontId="1" fillId="101" borderId="0" applyNumberFormat="0" applyBorder="0" applyAlignment="0" applyProtection="0"/>
    <xf numFmtId="0" fontId="1" fillId="105" borderId="0" applyNumberFormat="0" applyBorder="0" applyAlignment="0" applyProtection="0"/>
    <xf numFmtId="0" fontId="8" fillId="17"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8" borderId="0" applyNumberFormat="0" applyBorder="0" applyAlignment="0" applyProtection="0"/>
    <xf numFmtId="0" fontId="8" fillId="15" borderId="0" applyNumberFormat="0" applyBorder="0" applyAlignment="0" applyProtection="0"/>
    <xf numFmtId="0" fontId="8" fillId="19" borderId="0" applyNumberFormat="0" applyBorder="0" applyAlignment="0" applyProtection="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106" borderId="0" applyNumberFormat="0" applyBorder="0" applyAlignment="0" applyProtection="0"/>
    <xf numFmtId="0" fontId="8" fillId="25"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18" borderId="0" applyNumberFormat="0" applyBorder="0" applyAlignment="0" applyProtection="0"/>
    <xf numFmtId="0" fontId="8" fillId="15" borderId="0" applyNumberFormat="0" applyBorder="0" applyAlignment="0" applyProtection="0"/>
    <xf numFmtId="0" fontId="8" fillId="23" borderId="0" applyNumberFormat="0" applyBorder="0" applyAlignment="0" applyProtection="0"/>
    <xf numFmtId="0" fontId="15" fillId="7" borderId="0" applyNumberFormat="0" applyBorder="0" applyAlignment="0" applyProtection="0"/>
    <xf numFmtId="0" fontId="10" fillId="2" borderId="1" applyNumberFormat="0" applyAlignment="0" applyProtection="0"/>
    <xf numFmtId="0" fontId="11" fillId="16" borderId="2" applyNumberFormat="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19" fillId="0" borderId="0" applyNumberFormat="0" applyFill="0" applyBorder="0" applyAlignment="0" applyProtection="0"/>
    <xf numFmtId="0" fontId="9" fillId="8" borderId="0" applyNumberFormat="0" applyBorder="0" applyAlignment="0" applyProtection="0"/>
    <xf numFmtId="0" fontId="26" fillId="0" borderId="5" applyNumberFormat="0" applyFill="0" applyAlignment="0" applyProtection="0"/>
    <xf numFmtId="0" fontId="22" fillId="0" borderId="6" applyNumberFormat="0" applyFill="0" applyAlignment="0" applyProtection="0"/>
    <xf numFmtId="0" fontId="13" fillId="0" borderId="11" applyNumberFormat="0" applyFill="0" applyAlignment="0" applyProtection="0"/>
    <xf numFmtId="0" fontId="28" fillId="0" borderId="0" applyNumberFormat="0" applyFill="0" applyBorder="0" applyAlignment="0" applyProtection="0"/>
    <xf numFmtId="0" fontId="14" fillId="3" borderId="1" applyNumberFormat="0" applyAlignment="0" applyProtection="0"/>
    <xf numFmtId="0" fontId="12" fillId="0" borderId="3" applyNumberFormat="0" applyFill="0" applyAlignment="0" applyProtection="0"/>
    <xf numFmtId="0" fontId="16" fillId="11" borderId="0" applyNumberFormat="0" applyBorder="0" applyAlignment="0" applyProtection="0"/>
    <xf numFmtId="0" fontId="2" fillId="0" borderId="0"/>
    <xf numFmtId="0" fontId="1" fillId="110" borderId="122" applyNumberFormat="0" applyFont="0" applyAlignment="0" applyProtection="0"/>
    <xf numFmtId="0" fontId="29" fillId="4" borderId="9" applyNumberFormat="0" applyFont="0" applyAlignment="0" applyProtection="0"/>
    <xf numFmtId="0" fontId="17" fillId="2" borderId="10" applyNumberFormat="0" applyAlignment="0" applyProtection="0"/>
    <xf numFmtId="0" fontId="20" fillId="0" borderId="0" applyNumberFormat="0" applyFill="0" applyBorder="0" applyAlignment="0" applyProtection="0"/>
    <xf numFmtId="0" fontId="23" fillId="0" borderId="12" applyNumberFormat="0" applyFill="0" applyAlignment="0" applyProtection="0"/>
    <xf numFmtId="0" fontId="18" fillId="0" borderId="0" applyNumberFormat="0" applyFill="0" applyBorder="0" applyAlignment="0" applyProtection="0"/>
    <xf numFmtId="0" fontId="1" fillId="84" borderId="0" applyNumberFormat="0" applyBorder="0" applyAlignment="0" applyProtection="0"/>
    <xf numFmtId="0" fontId="1" fillId="85"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1" fillId="92" borderId="0" applyNumberFormat="0" applyBorder="0" applyAlignment="0" applyProtection="0"/>
    <xf numFmtId="0" fontId="1" fillId="93" borderId="0" applyNumberFormat="0" applyBorder="0" applyAlignment="0" applyProtection="0"/>
    <xf numFmtId="0" fontId="1" fillId="96" borderId="0" applyNumberFormat="0" applyBorder="0" applyAlignment="0" applyProtection="0"/>
    <xf numFmtId="0" fontId="1" fillId="97" borderId="0" applyNumberFormat="0" applyBorder="0" applyAlignment="0" applyProtection="0"/>
    <xf numFmtId="0" fontId="1" fillId="100" borderId="0" applyNumberFormat="0" applyBorder="0" applyAlignment="0" applyProtection="0"/>
    <xf numFmtId="0" fontId="1" fillId="101" borderId="0" applyNumberFormat="0" applyBorder="0" applyAlignment="0" applyProtection="0"/>
    <xf numFmtId="0" fontId="1" fillId="104" borderId="0" applyNumberFormat="0" applyBorder="0" applyAlignment="0" applyProtection="0"/>
    <xf numFmtId="0" fontId="1" fillId="105" borderId="0" applyNumberFormat="0" applyBorder="0" applyAlignment="0" applyProtection="0"/>
    <xf numFmtId="0" fontId="1" fillId="0" borderId="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106" borderId="0" applyNumberFormat="0" applyBorder="0" applyAlignment="0" applyProtection="0"/>
    <xf numFmtId="0" fontId="1" fillId="110" borderId="122" applyNumberFormat="0" applyFont="0" applyAlignment="0" applyProtection="0"/>
    <xf numFmtId="0" fontId="1" fillId="84" borderId="0" applyNumberFormat="0" applyBorder="0" applyAlignment="0" applyProtection="0"/>
    <xf numFmtId="0" fontId="1" fillId="85"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1" fillId="92" borderId="0" applyNumberFormat="0" applyBorder="0" applyAlignment="0" applyProtection="0"/>
    <xf numFmtId="0" fontId="1" fillId="93" borderId="0" applyNumberFormat="0" applyBorder="0" applyAlignment="0" applyProtection="0"/>
    <xf numFmtId="0" fontId="1" fillId="96" borderId="0" applyNumberFormat="0" applyBorder="0" applyAlignment="0" applyProtection="0"/>
    <xf numFmtId="0" fontId="1" fillId="97" borderId="0" applyNumberFormat="0" applyBorder="0" applyAlignment="0" applyProtection="0"/>
    <xf numFmtId="0" fontId="1" fillId="100" borderId="0" applyNumberFormat="0" applyBorder="0" applyAlignment="0" applyProtection="0"/>
    <xf numFmtId="0" fontId="1" fillId="101" borderId="0" applyNumberFormat="0" applyBorder="0" applyAlignment="0" applyProtection="0"/>
    <xf numFmtId="0" fontId="1" fillId="104" borderId="0" applyNumberFormat="0" applyBorder="0" applyAlignment="0" applyProtection="0"/>
    <xf numFmtId="0" fontId="1" fillId="105" borderId="0" applyNumberFormat="0" applyBorder="0" applyAlignment="0" applyProtection="0"/>
    <xf numFmtId="0" fontId="1" fillId="0" borderId="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106" borderId="0" applyNumberFormat="0" applyBorder="0" applyAlignment="0" applyProtection="0"/>
    <xf numFmtId="0" fontId="1" fillId="110" borderId="122" applyNumberFormat="0" applyFont="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29" fillId="4" borderId="126" applyNumberFormat="0" applyFont="0" applyAlignment="0" applyProtection="0"/>
    <xf numFmtId="0" fontId="17" fillId="24" borderId="127"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0" fillId="24"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0" fillId="2"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0" fillId="2" borderId="124" applyNumberFormat="0" applyAlignment="0" applyProtection="0"/>
    <xf numFmtId="0" fontId="10" fillId="24" borderId="124" applyNumberFormat="0" applyAlignment="0" applyProtection="0"/>
    <xf numFmtId="0" fontId="14" fillId="3" borderId="124" applyNumberFormat="0" applyAlignment="0" applyProtection="0"/>
    <xf numFmtId="0" fontId="14" fillId="3" borderId="124" applyNumberForma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9" fillId="4" borderId="126" applyNumberFormat="0" applyFont="0" applyAlignment="0" applyProtection="0"/>
    <xf numFmtId="0" fontId="29" fillId="4" borderId="126" applyNumberFormat="0" applyFont="0" applyAlignment="0" applyProtection="0"/>
    <xf numFmtId="0" fontId="17" fillId="24"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17" fillId="2" borderId="127" applyNumberFormat="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3" fillId="0" borderId="128" applyNumberFormat="0" applyFill="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2" fillId="4" borderId="125" applyNumberFormat="0" applyFont="0" applyAlignment="0" applyProtection="0"/>
    <xf numFmtId="0" fontId="14" fillId="3" borderId="124" applyNumberFormat="0" applyAlignment="0" applyProtection="0"/>
    <xf numFmtId="0" fontId="1" fillId="84" borderId="0" applyNumberFormat="0" applyBorder="0" applyAlignment="0" applyProtection="0"/>
    <xf numFmtId="0" fontId="1" fillId="85"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1" fillId="92" borderId="0" applyNumberFormat="0" applyBorder="0" applyAlignment="0" applyProtection="0"/>
    <xf numFmtId="0" fontId="1" fillId="93" borderId="0" applyNumberFormat="0" applyBorder="0" applyAlignment="0" applyProtection="0"/>
    <xf numFmtId="0" fontId="14" fillId="3" borderId="124" applyNumberFormat="0" applyAlignment="0" applyProtection="0"/>
    <xf numFmtId="0" fontId="1" fillId="96" borderId="0" applyNumberFormat="0" applyBorder="0" applyAlignment="0" applyProtection="0"/>
    <xf numFmtId="0" fontId="1" fillId="97" borderId="0" applyNumberFormat="0" applyBorder="0" applyAlignment="0" applyProtection="0"/>
    <xf numFmtId="0" fontId="14" fillId="3" borderId="124" applyNumberFormat="0" applyAlignment="0" applyProtection="0"/>
    <xf numFmtId="0" fontId="1" fillId="100" borderId="0" applyNumberFormat="0" applyBorder="0" applyAlignment="0" applyProtection="0"/>
    <xf numFmtId="0" fontId="1" fillId="101" borderId="0" applyNumberFormat="0" applyBorder="0" applyAlignment="0" applyProtection="0"/>
    <xf numFmtId="0" fontId="14" fillId="3" borderId="124" applyNumberFormat="0" applyAlignment="0" applyProtection="0"/>
    <xf numFmtId="0" fontId="1" fillId="104" borderId="0" applyNumberFormat="0" applyBorder="0" applyAlignment="0" applyProtection="0"/>
    <xf numFmtId="0" fontId="1" fillId="105" borderId="0" applyNumberFormat="0" applyBorder="0" applyAlignment="0" applyProtection="0"/>
    <xf numFmtId="0" fontId="1" fillId="0" borderId="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106" borderId="0" applyNumberFormat="0" applyBorder="0" applyAlignment="0" applyProtection="0"/>
    <xf numFmtId="0" fontId="10" fillId="2" borderId="124" applyNumberFormat="0" applyAlignment="0" applyProtection="0"/>
    <xf numFmtId="0" fontId="1" fillId="110" borderId="122" applyNumberFormat="0" applyFont="0" applyAlignment="0" applyProtection="0"/>
    <xf numFmtId="0" fontId="1" fillId="84" borderId="0" applyNumberFormat="0" applyBorder="0" applyAlignment="0" applyProtection="0"/>
    <xf numFmtId="0" fontId="1" fillId="85"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1" fillId="92" borderId="0" applyNumberFormat="0" applyBorder="0" applyAlignment="0" applyProtection="0"/>
    <xf numFmtId="0" fontId="1" fillId="93" borderId="0" applyNumberFormat="0" applyBorder="0" applyAlignment="0" applyProtection="0"/>
    <xf numFmtId="0" fontId="1" fillId="96" borderId="0" applyNumberFormat="0" applyBorder="0" applyAlignment="0" applyProtection="0"/>
    <xf numFmtId="0" fontId="1" fillId="97" borderId="0" applyNumberFormat="0" applyBorder="0" applyAlignment="0" applyProtection="0"/>
    <xf numFmtId="0" fontId="1" fillId="100" borderId="0" applyNumberFormat="0" applyBorder="0" applyAlignment="0" applyProtection="0"/>
    <xf numFmtId="0" fontId="1" fillId="101" borderId="0" applyNumberFormat="0" applyBorder="0" applyAlignment="0" applyProtection="0"/>
    <xf numFmtId="0" fontId="1" fillId="104" borderId="0" applyNumberFormat="0" applyBorder="0" applyAlignment="0" applyProtection="0"/>
    <xf numFmtId="0" fontId="1" fillId="105" borderId="0" applyNumberFormat="0" applyBorder="0" applyAlignment="0" applyProtection="0"/>
    <xf numFmtId="0" fontId="1" fillId="0" borderId="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106" borderId="0" applyNumberFormat="0" applyBorder="0" applyAlignment="0" applyProtection="0"/>
    <xf numFmtId="0" fontId="1" fillId="110" borderId="122" applyNumberFormat="0" applyFont="0" applyAlignment="0" applyProtection="0"/>
    <xf numFmtId="0" fontId="1" fillId="84" borderId="0" applyNumberFormat="0" applyBorder="0" applyAlignment="0" applyProtection="0"/>
    <xf numFmtId="0" fontId="1" fillId="85"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1" fillId="92" borderId="0" applyNumberFormat="0" applyBorder="0" applyAlignment="0" applyProtection="0"/>
    <xf numFmtId="0" fontId="1" fillId="93" borderId="0" applyNumberFormat="0" applyBorder="0" applyAlignment="0" applyProtection="0"/>
    <xf numFmtId="0" fontId="1" fillId="96" borderId="0" applyNumberFormat="0" applyBorder="0" applyAlignment="0" applyProtection="0"/>
    <xf numFmtId="0" fontId="1" fillId="97" borderId="0" applyNumberFormat="0" applyBorder="0" applyAlignment="0" applyProtection="0"/>
    <xf numFmtId="0" fontId="1" fillId="100" borderId="0" applyNumberFormat="0" applyBorder="0" applyAlignment="0" applyProtection="0"/>
    <xf numFmtId="0" fontId="1" fillId="101" borderId="0" applyNumberFormat="0" applyBorder="0" applyAlignment="0" applyProtection="0"/>
    <xf numFmtId="0" fontId="1" fillId="104" borderId="0" applyNumberFormat="0" applyBorder="0" applyAlignment="0" applyProtection="0"/>
    <xf numFmtId="0" fontId="1" fillId="105" borderId="0" applyNumberFormat="0" applyBorder="0" applyAlignment="0" applyProtection="0"/>
    <xf numFmtId="0" fontId="1" fillId="0" borderId="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106" borderId="0" applyNumberFormat="0" applyBorder="0" applyAlignment="0" applyProtection="0"/>
    <xf numFmtId="0" fontId="1" fillId="110" borderId="122" applyNumberFormat="0" applyFont="0" applyAlignment="0" applyProtection="0"/>
    <xf numFmtId="0" fontId="1" fillId="84" borderId="0" applyNumberFormat="0" applyBorder="0" applyAlignment="0" applyProtection="0"/>
    <xf numFmtId="0" fontId="1" fillId="85"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1" fillId="92" borderId="0" applyNumberFormat="0" applyBorder="0" applyAlignment="0" applyProtection="0"/>
    <xf numFmtId="0" fontId="1" fillId="93" borderId="0" applyNumberFormat="0" applyBorder="0" applyAlignment="0" applyProtection="0"/>
    <xf numFmtId="0" fontId="1" fillId="96" borderId="0" applyNumberFormat="0" applyBorder="0" applyAlignment="0" applyProtection="0"/>
    <xf numFmtId="0" fontId="1" fillId="97" borderId="0" applyNumberFormat="0" applyBorder="0" applyAlignment="0" applyProtection="0"/>
    <xf numFmtId="0" fontId="1" fillId="100" borderId="0" applyNumberFormat="0" applyBorder="0" applyAlignment="0" applyProtection="0"/>
    <xf numFmtId="0" fontId="1" fillId="101" borderId="0" applyNumberFormat="0" applyBorder="0" applyAlignment="0" applyProtection="0"/>
    <xf numFmtId="0" fontId="1" fillId="104" borderId="0" applyNumberFormat="0" applyBorder="0" applyAlignment="0" applyProtection="0"/>
    <xf numFmtId="0" fontId="1" fillId="105" borderId="0" applyNumberFormat="0" applyBorder="0" applyAlignment="0" applyProtection="0"/>
    <xf numFmtId="0" fontId="1" fillId="0" borderId="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106" borderId="0" applyNumberFormat="0" applyBorder="0" applyAlignment="0" applyProtection="0"/>
    <xf numFmtId="0" fontId="1" fillId="110" borderId="122" applyNumberFormat="0" applyFont="0" applyAlignment="0" applyProtection="0"/>
    <xf numFmtId="0" fontId="1" fillId="0" borderId="0"/>
    <xf numFmtId="0" fontId="1" fillId="84" borderId="0" applyNumberFormat="0" applyBorder="0" applyAlignment="0" applyProtection="0"/>
    <xf numFmtId="0" fontId="1" fillId="88" borderId="0" applyNumberFormat="0" applyBorder="0" applyAlignment="0" applyProtection="0"/>
    <xf numFmtId="0" fontId="1" fillId="92" borderId="0" applyNumberFormat="0" applyBorder="0" applyAlignment="0" applyProtection="0"/>
    <xf numFmtId="0" fontId="1" fillId="96" borderId="0" applyNumberFormat="0" applyBorder="0" applyAlignment="0" applyProtection="0"/>
    <xf numFmtId="0" fontId="1" fillId="100" borderId="0" applyNumberFormat="0" applyBorder="0" applyAlignment="0" applyProtection="0"/>
    <xf numFmtId="0" fontId="1" fillId="104" borderId="0" applyNumberFormat="0" applyBorder="0" applyAlignment="0" applyProtection="0"/>
    <xf numFmtId="0" fontId="1" fillId="85" borderId="0" applyNumberFormat="0" applyBorder="0" applyAlignment="0" applyProtection="0"/>
    <xf numFmtId="0" fontId="1" fillId="89" borderId="0" applyNumberFormat="0" applyBorder="0" applyAlignment="0" applyProtection="0"/>
    <xf numFmtId="0" fontId="1" fillId="93" borderId="0" applyNumberFormat="0" applyBorder="0" applyAlignment="0" applyProtection="0"/>
    <xf numFmtId="0" fontId="1" fillId="97" borderId="0" applyNumberFormat="0" applyBorder="0" applyAlignment="0" applyProtection="0"/>
    <xf numFmtId="0" fontId="1" fillId="101" borderId="0" applyNumberFormat="0" applyBorder="0" applyAlignment="0" applyProtection="0"/>
    <xf numFmtId="0" fontId="1" fillId="105" borderId="0" applyNumberFormat="0" applyBorder="0" applyAlignment="0" applyProtection="0"/>
    <xf numFmtId="0" fontId="29" fillId="4" borderId="126" applyNumberFormat="0" applyFont="0" applyAlignment="0" applyProtection="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106" borderId="0" applyNumberFormat="0" applyBorder="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4" fillId="3" borderId="124" applyNumberFormat="0" applyAlignment="0" applyProtection="0"/>
    <xf numFmtId="0" fontId="10" fillId="2" borderId="124" applyNumberFormat="0" applyAlignment="0" applyProtection="0"/>
    <xf numFmtId="0" fontId="14" fillId="3" borderId="124" applyNumberFormat="0" applyAlignment="0" applyProtection="0"/>
    <xf numFmtId="0" fontId="1" fillId="110" borderId="122" applyNumberFormat="0" applyFont="0" applyAlignment="0" applyProtection="0"/>
    <xf numFmtId="0" fontId="29" fillId="4" borderId="126" applyNumberFormat="0" applyFont="0" applyAlignment="0" applyProtection="0"/>
    <xf numFmtId="0" fontId="17" fillId="2" borderId="127" applyNumberFormat="0" applyAlignment="0" applyProtection="0"/>
    <xf numFmtId="0" fontId="23" fillId="0" borderId="128" applyNumberFormat="0" applyFill="0" applyAlignment="0" applyProtection="0"/>
    <xf numFmtId="0" fontId="1" fillId="84" borderId="0" applyNumberFormat="0" applyBorder="0" applyAlignment="0" applyProtection="0"/>
    <xf numFmtId="0" fontId="1" fillId="85"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1" fillId="92" borderId="0" applyNumberFormat="0" applyBorder="0" applyAlignment="0" applyProtection="0"/>
    <xf numFmtId="0" fontId="1" fillId="93" borderId="0" applyNumberFormat="0" applyBorder="0" applyAlignment="0" applyProtection="0"/>
    <xf numFmtId="0" fontId="1" fillId="96" borderId="0" applyNumberFormat="0" applyBorder="0" applyAlignment="0" applyProtection="0"/>
    <xf numFmtId="0" fontId="1" fillId="97" borderId="0" applyNumberFormat="0" applyBorder="0" applyAlignment="0" applyProtection="0"/>
    <xf numFmtId="0" fontId="1" fillId="100" borderId="0" applyNumberFormat="0" applyBorder="0" applyAlignment="0" applyProtection="0"/>
    <xf numFmtId="0" fontId="1" fillId="101" borderId="0" applyNumberFormat="0" applyBorder="0" applyAlignment="0" applyProtection="0"/>
    <xf numFmtId="0" fontId="1" fillId="104" borderId="0" applyNumberFormat="0" applyBorder="0" applyAlignment="0" applyProtection="0"/>
    <xf numFmtId="0" fontId="1" fillId="105" borderId="0" applyNumberFormat="0" applyBorder="0" applyAlignment="0" applyProtection="0"/>
    <xf numFmtId="0" fontId="1" fillId="0" borderId="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106" borderId="0" applyNumberFormat="0" applyBorder="0" applyAlignment="0" applyProtection="0"/>
    <xf numFmtId="0" fontId="1" fillId="110" borderId="122" applyNumberFormat="0" applyFont="0" applyAlignment="0" applyProtection="0"/>
    <xf numFmtId="0" fontId="1" fillId="84" borderId="0" applyNumberFormat="0" applyBorder="0" applyAlignment="0" applyProtection="0"/>
    <xf numFmtId="0" fontId="1" fillId="85" borderId="0" applyNumberFormat="0" applyBorder="0" applyAlignment="0" applyProtection="0"/>
    <xf numFmtId="0" fontId="1" fillId="88" borderId="0" applyNumberFormat="0" applyBorder="0" applyAlignment="0" applyProtection="0"/>
    <xf numFmtId="0" fontId="1" fillId="89" borderId="0" applyNumberFormat="0" applyBorder="0" applyAlignment="0" applyProtection="0"/>
    <xf numFmtId="0" fontId="1" fillId="92" borderId="0" applyNumberFormat="0" applyBorder="0" applyAlignment="0" applyProtection="0"/>
    <xf numFmtId="0" fontId="1" fillId="93" borderId="0" applyNumberFormat="0" applyBorder="0" applyAlignment="0" applyProtection="0"/>
    <xf numFmtId="0" fontId="1" fillId="96" borderId="0" applyNumberFormat="0" applyBorder="0" applyAlignment="0" applyProtection="0"/>
    <xf numFmtId="0" fontId="1" fillId="97" borderId="0" applyNumberFormat="0" applyBorder="0" applyAlignment="0" applyProtection="0"/>
    <xf numFmtId="0" fontId="1" fillId="100" borderId="0" applyNumberFormat="0" applyBorder="0" applyAlignment="0" applyProtection="0"/>
    <xf numFmtId="0" fontId="1" fillId="101" borderId="0" applyNumberFormat="0" applyBorder="0" applyAlignment="0" applyProtection="0"/>
    <xf numFmtId="0" fontId="1" fillId="104" borderId="0" applyNumberFormat="0" applyBorder="0" applyAlignment="0" applyProtection="0"/>
    <xf numFmtId="0" fontId="1" fillId="105" borderId="0" applyNumberFormat="0" applyBorder="0" applyAlignment="0" applyProtection="0"/>
    <xf numFmtId="0" fontId="1" fillId="0" borderId="0"/>
    <xf numFmtId="0" fontId="1" fillId="86" borderId="0" applyNumberFormat="0" applyBorder="0" applyAlignment="0" applyProtection="0"/>
    <xf numFmtId="0" fontId="1" fillId="90" borderId="0" applyNumberFormat="0" applyBorder="0" applyAlignment="0" applyProtection="0"/>
    <xf numFmtId="0" fontId="1" fillId="94" borderId="0" applyNumberFormat="0" applyBorder="0" applyAlignment="0" applyProtection="0"/>
    <xf numFmtId="0" fontId="1" fillId="98" borderId="0" applyNumberFormat="0" applyBorder="0" applyAlignment="0" applyProtection="0"/>
    <xf numFmtId="0" fontId="1" fillId="102" borderId="0" applyNumberFormat="0" applyBorder="0" applyAlignment="0" applyProtection="0"/>
    <xf numFmtId="0" fontId="1" fillId="106" borderId="0" applyNumberFormat="0" applyBorder="0" applyAlignment="0" applyProtection="0"/>
    <xf numFmtId="0" fontId="1" fillId="110" borderId="122" applyNumberFormat="0" applyFont="0" applyAlignment="0" applyProtection="0"/>
    <xf numFmtId="0" fontId="10" fillId="2" borderId="124" applyNumberFormat="0" applyAlignment="0" applyProtection="0"/>
    <xf numFmtId="0" fontId="14" fillId="3" borderId="124" applyNumberFormat="0" applyAlignment="0" applyProtection="0"/>
    <xf numFmtId="0" fontId="29" fillId="4" borderId="126" applyNumberFormat="0" applyFont="0" applyAlignment="0" applyProtection="0"/>
    <xf numFmtId="0" fontId="17" fillId="2" borderId="127" applyNumberFormat="0" applyAlignment="0" applyProtection="0"/>
    <xf numFmtId="0" fontId="23" fillId="0" borderId="128"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29" fillId="4" borderId="131" applyNumberFormat="0" applyFont="0" applyAlignment="0" applyProtection="0"/>
    <xf numFmtId="0" fontId="17" fillId="24" borderId="132"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0" fillId="24"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0" fillId="2"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0" fillId="2" borderId="129" applyNumberFormat="0" applyAlignment="0" applyProtection="0"/>
    <xf numFmtId="0" fontId="10" fillId="24" borderId="129" applyNumberFormat="0" applyAlignment="0" applyProtection="0"/>
    <xf numFmtId="0" fontId="14" fillId="3" borderId="129" applyNumberFormat="0" applyAlignment="0" applyProtection="0"/>
    <xf numFmtId="0" fontId="14" fillId="3" borderId="129" applyNumberForma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9" fillId="4" borderId="131" applyNumberFormat="0" applyFont="0" applyAlignment="0" applyProtection="0"/>
    <xf numFmtId="0" fontId="29" fillId="4" borderId="131" applyNumberFormat="0" applyFont="0" applyAlignment="0" applyProtection="0"/>
    <xf numFmtId="0" fontId="17" fillId="24"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17" fillId="2" borderId="132" applyNumberFormat="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3" fillId="0" borderId="133" applyNumberFormat="0" applyFill="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2" fillId="4" borderId="130" applyNumberFormat="0" applyFon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0" fillId="2" borderId="129" applyNumberFormat="0" applyAlignment="0" applyProtection="0"/>
    <xf numFmtId="0" fontId="29" fillId="4" borderId="131" applyNumberFormat="0" applyFon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4" fillId="3" borderId="129" applyNumberFormat="0" applyAlignment="0" applyProtection="0"/>
    <xf numFmtId="0" fontId="10" fillId="2" borderId="129" applyNumberFormat="0" applyAlignment="0" applyProtection="0"/>
    <xf numFmtId="0" fontId="14" fillId="3" borderId="129" applyNumberFormat="0" applyAlignment="0" applyProtection="0"/>
    <xf numFmtId="0" fontId="29" fillId="4" borderId="131" applyNumberFormat="0" applyFont="0" applyAlignment="0" applyProtection="0"/>
    <xf numFmtId="0" fontId="17" fillId="2" borderId="132" applyNumberFormat="0" applyAlignment="0" applyProtection="0"/>
    <xf numFmtId="0" fontId="23" fillId="0" borderId="133" applyNumberFormat="0" applyFill="0" applyAlignment="0" applyProtection="0"/>
    <xf numFmtId="0" fontId="10" fillId="2" borderId="129" applyNumberFormat="0" applyAlignment="0" applyProtection="0"/>
    <xf numFmtId="0" fontId="14" fillId="3" borderId="129" applyNumberFormat="0" applyAlignment="0" applyProtection="0"/>
    <xf numFmtId="0" fontId="29" fillId="4" borderId="131" applyNumberFormat="0" applyFont="0" applyAlignment="0" applyProtection="0"/>
    <xf numFmtId="0" fontId="17" fillId="2" borderId="132" applyNumberFormat="0" applyAlignment="0" applyProtection="0"/>
    <xf numFmtId="0" fontId="23" fillId="0" borderId="133" applyNumberFormat="0" applyFill="0" applyAlignment="0" applyProtection="0"/>
  </cellStyleXfs>
  <cellXfs count="1202">
    <xf numFmtId="0" fontId="0" fillId="0" borderId="0" xfId="0"/>
    <xf numFmtId="0" fontId="0" fillId="0" borderId="0" xfId="0" applyAlignment="1">
      <alignment horizontal="left"/>
    </xf>
    <xf numFmtId="14" fontId="0" fillId="0" borderId="17" xfId="0" applyNumberFormat="1" applyBorder="1" applyAlignment="1">
      <alignment horizontal="center" vertical="center"/>
    </xf>
    <xf numFmtId="171" fontId="2" fillId="0" borderId="17"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0" fontId="2" fillId="0" borderId="17" xfId="0" applyFont="1" applyBorder="1" applyAlignment="1">
      <alignment horizontal="center" vertical="center"/>
    </xf>
    <xf numFmtId="166" fontId="2" fillId="0" borderId="17" xfId="0" applyNumberFormat="1" applyFont="1" applyBorder="1" applyAlignment="1" applyProtection="1">
      <alignment horizontal="center" vertical="center"/>
      <protection locked="0"/>
    </xf>
    <xf numFmtId="1" fontId="2" fillId="0" borderId="17" xfId="0" applyNumberFormat="1" applyFont="1" applyBorder="1" applyAlignment="1">
      <alignment horizontal="center" vertical="center"/>
    </xf>
    <xf numFmtId="0" fontId="2" fillId="0" borderId="0" xfId="0" applyFont="1" applyAlignment="1" applyProtection="1">
      <alignment horizontal="center" vertical="center"/>
      <protection locked="0"/>
    </xf>
    <xf numFmtId="2" fontId="2" fillId="0" borderId="17" xfId="0" applyNumberFormat="1" applyFont="1" applyBorder="1" applyAlignment="1" applyProtection="1">
      <alignment horizontal="center" vertical="center"/>
      <protection locked="0"/>
    </xf>
    <xf numFmtId="2" fontId="2" fillId="0" borderId="17" xfId="0" quotePrefix="1" applyNumberFormat="1" applyFont="1" applyBorder="1" applyAlignment="1" applyProtection="1">
      <alignment horizontal="center" vertical="center"/>
      <protection locked="0"/>
    </xf>
    <xf numFmtId="2" fontId="2" fillId="0" borderId="17" xfId="0" applyNumberFormat="1" applyFont="1" applyBorder="1" applyAlignment="1">
      <alignment horizontal="center" vertical="center"/>
    </xf>
    <xf numFmtId="167" fontId="2" fillId="0" borderId="0" xfId="0" applyNumberFormat="1" applyFont="1" applyAlignment="1" applyProtection="1">
      <alignment horizontal="center" vertical="center"/>
      <protection locked="0"/>
    </xf>
    <xf numFmtId="1" fontId="2" fillId="0" borderId="0" xfId="0" applyNumberFormat="1" applyFont="1" applyAlignment="1" applyProtection="1">
      <alignment horizontal="center" vertical="center"/>
      <protection locked="0"/>
    </xf>
    <xf numFmtId="0" fontId="2" fillId="0" borderId="0" xfId="0" applyFont="1" applyAlignment="1">
      <alignment horizontal="center" vertical="center"/>
    </xf>
    <xf numFmtId="170" fontId="2" fillId="0" borderId="0" xfId="0" applyNumberFormat="1" applyFont="1" applyAlignment="1">
      <alignment horizontal="center" vertical="center"/>
    </xf>
    <xf numFmtId="2" fontId="2" fillId="0" borderId="0" xfId="0" applyNumberFormat="1" applyFont="1" applyAlignment="1" applyProtection="1">
      <alignment horizontal="center" vertical="center"/>
      <protection locked="0"/>
    </xf>
    <xf numFmtId="170" fontId="2" fillId="0" borderId="0" xfId="0" applyNumberFormat="1" applyFont="1" applyAlignment="1" applyProtection="1">
      <alignment horizontal="center" vertical="center"/>
      <protection locked="0"/>
    </xf>
    <xf numFmtId="171" fontId="2" fillId="0" borderId="0" xfId="0" applyNumberFormat="1" applyFont="1" applyAlignment="1">
      <alignment horizontal="center" vertical="center"/>
    </xf>
    <xf numFmtId="0" fontId="38" fillId="32" borderId="17" xfId="900" applyFont="1" applyFill="1" applyBorder="1" applyAlignment="1">
      <alignment horizontal="center" vertical="center"/>
    </xf>
    <xf numFmtId="0" fontId="39" fillId="52" borderId="54" xfId="696" applyFont="1" applyFill="1" applyBorder="1" applyAlignment="1">
      <alignment horizontal="left" vertical="center" wrapText="1" indent="1"/>
    </xf>
    <xf numFmtId="0" fontId="39" fillId="52" borderId="56" xfId="696" applyFont="1" applyFill="1" applyBorder="1" applyAlignment="1">
      <alignment horizontal="left" vertical="center" wrapText="1" indent="1"/>
    </xf>
    <xf numFmtId="0" fontId="39" fillId="52" borderId="59" xfId="696" applyFont="1" applyFill="1" applyBorder="1" applyAlignment="1">
      <alignment horizontal="left" vertical="center" wrapText="1" indent="1"/>
    </xf>
    <xf numFmtId="0" fontId="39" fillId="52" borderId="54" xfId="696" applyFont="1" applyFill="1" applyBorder="1" applyAlignment="1">
      <alignment horizontal="center" vertical="center" wrapText="1"/>
    </xf>
    <xf numFmtId="0" fontId="39" fillId="52" borderId="56" xfId="696" applyFont="1" applyFill="1" applyBorder="1" applyAlignment="1">
      <alignment horizontal="center" vertical="center" wrapText="1"/>
    </xf>
    <xf numFmtId="0" fontId="39" fillId="52" borderId="59" xfId="696" applyFont="1" applyFill="1" applyBorder="1" applyAlignment="1">
      <alignment horizontal="center" vertical="center" wrapText="1"/>
    </xf>
    <xf numFmtId="0" fontId="39" fillId="37" borderId="54" xfId="696" applyFont="1" applyFill="1" applyBorder="1" applyAlignment="1">
      <alignment horizontal="left" vertical="center" wrapText="1" indent="1"/>
    </xf>
    <xf numFmtId="0" fontId="39" fillId="37" borderId="59" xfId="696" applyFont="1" applyFill="1" applyBorder="1" applyAlignment="1">
      <alignment horizontal="left" vertical="center" wrapText="1" indent="1"/>
    </xf>
    <xf numFmtId="0" fontId="39" fillId="37" borderId="60" xfId="696" applyFont="1" applyFill="1" applyBorder="1" applyAlignment="1">
      <alignment horizontal="left" vertical="center" wrapText="1" indent="1"/>
    </xf>
    <xf numFmtId="0" fontId="39" fillId="37" borderId="56" xfId="696" applyFont="1" applyFill="1" applyBorder="1" applyAlignment="1">
      <alignment horizontal="left" vertical="center" wrapText="1" indent="1"/>
    </xf>
    <xf numFmtId="0" fontId="39" fillId="52" borderId="60" xfId="696" applyFont="1" applyFill="1" applyBorder="1" applyAlignment="1">
      <alignment horizontal="left" vertical="center" wrapText="1" indent="1"/>
    </xf>
    <xf numFmtId="0" fontId="39" fillId="52" borderId="61" xfId="696" applyFont="1" applyFill="1" applyBorder="1" applyAlignment="1">
      <alignment horizontal="left" vertical="center" wrapText="1" indent="1"/>
    </xf>
    <xf numFmtId="0" fontId="39" fillId="52" borderId="61" xfId="696" applyFont="1" applyFill="1" applyBorder="1" applyAlignment="1">
      <alignment horizontal="center" vertical="center" wrapText="1"/>
    </xf>
    <xf numFmtId="0" fontId="39" fillId="52" borderId="60" xfId="696" applyFont="1" applyFill="1" applyBorder="1" applyAlignment="1">
      <alignment horizontal="center" vertical="center" wrapText="1"/>
    </xf>
    <xf numFmtId="0" fontId="0" fillId="0" borderId="17" xfId="0" applyBorder="1"/>
    <xf numFmtId="49" fontId="2" fillId="56" borderId="17" xfId="0" applyNumberFormat="1" applyFont="1" applyFill="1" applyBorder="1" applyAlignment="1" applyProtection="1">
      <alignment horizontal="center" vertical="center"/>
      <protection locked="0"/>
    </xf>
    <xf numFmtId="49" fontId="2" fillId="51" borderId="17" xfId="0" quotePrefix="1" applyNumberFormat="1" applyFont="1" applyFill="1" applyBorder="1" applyAlignment="1" applyProtection="1">
      <alignment horizontal="center" vertical="center"/>
      <protection locked="0"/>
    </xf>
    <xf numFmtId="0" fontId="39" fillId="37" borderId="61" xfId="696" applyFont="1" applyFill="1" applyBorder="1" applyAlignment="1">
      <alignment horizontal="left" vertical="center" wrapText="1" indent="1"/>
    </xf>
    <xf numFmtId="0" fontId="39" fillId="52" borderId="19" xfId="696" applyFont="1" applyFill="1" applyBorder="1" applyAlignment="1">
      <alignment horizontal="left" vertical="center" wrapText="1" indent="1"/>
    </xf>
    <xf numFmtId="0" fontId="0" fillId="51" borderId="0" xfId="0" applyFill="1"/>
    <xf numFmtId="171" fontId="2" fillId="0" borderId="0" xfId="0" applyNumberFormat="1" applyFont="1" applyAlignment="1" applyProtection="1">
      <alignment horizontal="left"/>
      <protection locked="0"/>
    </xf>
    <xf numFmtId="0" fontId="0" fillId="39" borderId="0" xfId="0" applyFill="1"/>
    <xf numFmtId="0" fontId="43" fillId="26" borderId="0" xfId="0" applyFont="1" applyFill="1" applyAlignment="1">
      <alignment horizontal="center" vertical="center"/>
    </xf>
    <xf numFmtId="0" fontId="43" fillId="43" borderId="0" xfId="0" applyFont="1" applyFill="1" applyAlignment="1">
      <alignment horizontal="center" vertical="center"/>
    </xf>
    <xf numFmtId="0" fontId="0" fillId="53" borderId="0" xfId="0" applyFill="1"/>
    <xf numFmtId="0" fontId="0" fillId="48" borderId="0" xfId="0" applyFill="1"/>
    <xf numFmtId="0" fontId="43" fillId="56" borderId="0" xfId="0" applyFont="1" applyFill="1"/>
    <xf numFmtId="0" fontId="43" fillId="47" borderId="0" xfId="0" applyFont="1" applyFill="1" applyAlignment="1">
      <alignment horizontal="center" vertical="center"/>
    </xf>
    <xf numFmtId="0" fontId="43" fillId="31" borderId="0" xfId="0" applyFont="1" applyFill="1" applyAlignment="1">
      <alignment horizontal="center" vertical="center"/>
    </xf>
    <xf numFmtId="0" fontId="0" fillId="54" borderId="0" xfId="0" applyFill="1"/>
    <xf numFmtId="0" fontId="0" fillId="50" borderId="0" xfId="0" applyFill="1"/>
    <xf numFmtId="0" fontId="0" fillId="42" borderId="0" xfId="0" applyFill="1"/>
    <xf numFmtId="0" fontId="43" fillId="29" borderId="0" xfId="0" applyFont="1" applyFill="1"/>
    <xf numFmtId="0" fontId="2" fillId="0" borderId="36" xfId="0" applyFont="1" applyBorder="1" applyAlignment="1">
      <alignment horizontal="center" vertical="center"/>
    </xf>
    <xf numFmtId="0" fontId="2" fillId="0" borderId="31" xfId="0" applyFont="1" applyBorder="1" applyAlignment="1">
      <alignment horizontal="center" vertical="center"/>
    </xf>
    <xf numFmtId="0" fontId="2" fillId="0" borderId="0" xfId="0" applyFont="1" applyAlignment="1">
      <alignment vertical="center"/>
    </xf>
    <xf numFmtId="0" fontId="2" fillId="0" borderId="0" xfId="0" applyFont="1" applyAlignment="1">
      <alignment horizontal="right" vertical="center"/>
    </xf>
    <xf numFmtId="0" fontId="38" fillId="51" borderId="17" xfId="900" applyFont="1" applyFill="1" applyBorder="1" applyAlignment="1">
      <alignment horizontal="center" vertical="center"/>
    </xf>
    <xf numFmtId="0" fontId="38" fillId="31" borderId="17" xfId="900" applyFont="1" applyFill="1" applyBorder="1" applyAlignment="1">
      <alignment horizontal="center" vertical="center"/>
    </xf>
    <xf numFmtId="0" fontId="38" fillId="58" borderId="17" xfId="900" applyFont="1" applyFill="1" applyBorder="1" applyAlignment="1">
      <alignment horizontal="center" vertical="center"/>
    </xf>
    <xf numFmtId="0" fontId="38" fillId="71" borderId="17" xfId="900" applyFont="1" applyFill="1" applyBorder="1" applyAlignment="1">
      <alignment horizontal="center" vertical="center"/>
    </xf>
    <xf numFmtId="0" fontId="38" fillId="44" borderId="17" xfId="900" applyFont="1" applyFill="1" applyBorder="1" applyAlignment="1">
      <alignment horizontal="center" vertical="center"/>
    </xf>
    <xf numFmtId="0" fontId="38" fillId="72" borderId="17" xfId="900" applyFont="1" applyFill="1" applyBorder="1" applyAlignment="1">
      <alignment horizontal="center" vertical="center"/>
    </xf>
    <xf numFmtId="0" fontId="2" fillId="0" borderId="0" xfId="0" applyFont="1" applyAlignment="1">
      <alignment vertical="center" wrapText="1"/>
    </xf>
    <xf numFmtId="0" fontId="39" fillId="52" borderId="58" xfId="696" applyFont="1" applyFill="1" applyBorder="1" applyAlignment="1">
      <alignment horizontal="left" vertical="center" wrapText="1" indent="1"/>
    </xf>
    <xf numFmtId="2" fontId="45" fillId="0" borderId="17" xfId="0" applyNumberFormat="1" applyFont="1" applyBorder="1" applyAlignment="1">
      <alignment horizontal="center" vertical="center"/>
    </xf>
    <xf numFmtId="0" fontId="2" fillId="70" borderId="17" xfId="0" applyFont="1" applyFill="1" applyBorder="1" applyAlignment="1">
      <alignment horizontal="center" vertical="center" wrapText="1"/>
    </xf>
    <xf numFmtId="0" fontId="47" fillId="0" borderId="17" xfId="0" applyFont="1" applyBorder="1" applyAlignment="1">
      <alignment horizontal="center" vertical="center" wrapText="1"/>
    </xf>
    <xf numFmtId="0" fontId="2" fillId="0" borderId="20" xfId="0" applyFont="1" applyBorder="1" applyAlignment="1">
      <alignment vertical="center" wrapText="1"/>
    </xf>
    <xf numFmtId="0" fontId="39" fillId="40" borderId="56" xfId="696" applyFont="1" applyFill="1" applyBorder="1" applyAlignment="1">
      <alignment horizontal="left" vertical="center" wrapText="1" indent="1"/>
    </xf>
    <xf numFmtId="0" fontId="39" fillId="40" borderId="19" xfId="696" applyFont="1" applyFill="1" applyBorder="1" applyAlignment="1">
      <alignment horizontal="center" vertical="center" wrapText="1"/>
    </xf>
    <xf numFmtId="0" fontId="2" fillId="32" borderId="17" xfId="0" applyFont="1" applyFill="1" applyBorder="1" applyAlignment="1">
      <alignment horizontal="center" vertical="center"/>
    </xf>
    <xf numFmtId="2" fontId="2" fillId="32" borderId="17" xfId="0" applyNumberFormat="1" applyFont="1" applyFill="1" applyBorder="1" applyAlignment="1">
      <alignment horizontal="center" vertical="center"/>
    </xf>
    <xf numFmtId="0" fontId="45" fillId="32" borderId="17" xfId="0" applyFont="1" applyFill="1" applyBorder="1" applyAlignment="1">
      <alignment horizontal="center" vertical="center"/>
    </xf>
    <xf numFmtId="2" fontId="45" fillId="32" borderId="17" xfId="0" applyNumberFormat="1" applyFont="1" applyFill="1" applyBorder="1" applyAlignment="1">
      <alignment horizontal="center" vertical="center"/>
    </xf>
    <xf numFmtId="0" fontId="45" fillId="0" borderId="17" xfId="0" applyFont="1" applyBorder="1" applyAlignment="1">
      <alignment horizontal="center" vertical="center"/>
    </xf>
    <xf numFmtId="0" fontId="2" fillId="38" borderId="38" xfId="797" applyFont="1" applyFill="1" applyBorder="1" applyAlignment="1">
      <alignment horizontal="center" vertical="center"/>
    </xf>
    <xf numFmtId="0" fontId="2" fillId="38" borderId="39" xfId="0" applyFont="1" applyFill="1" applyBorder="1" applyAlignment="1">
      <alignment horizontal="center" vertical="center"/>
    </xf>
    <xf numFmtId="0" fontId="2" fillId="38" borderId="26" xfId="797" applyFont="1" applyFill="1" applyBorder="1" applyAlignment="1">
      <alignment horizontal="center" vertical="center"/>
    </xf>
    <xf numFmtId="0" fontId="2" fillId="38" borderId="30" xfId="0" applyFont="1" applyFill="1" applyBorder="1" applyAlignment="1">
      <alignment horizontal="center" vertical="center"/>
    </xf>
    <xf numFmtId="0" fontId="49" fillId="35" borderId="52" xfId="0" applyFont="1" applyFill="1" applyBorder="1" applyAlignment="1" applyProtection="1">
      <alignment horizontal="center" vertical="center"/>
      <protection locked="0"/>
    </xf>
    <xf numFmtId="0" fontId="49" fillId="35" borderId="44" xfId="0" applyFont="1" applyFill="1" applyBorder="1" applyAlignment="1" applyProtection="1">
      <alignment horizontal="center" vertical="center"/>
      <protection locked="0"/>
    </xf>
    <xf numFmtId="0" fontId="49" fillId="35" borderId="45" xfId="0" applyFont="1" applyFill="1" applyBorder="1" applyAlignment="1" applyProtection="1">
      <alignment horizontal="center" vertical="center"/>
      <protection locked="0"/>
    </xf>
    <xf numFmtId="169" fontId="2" fillId="0" borderId="17" xfId="0" applyNumberFormat="1" applyFont="1" applyBorder="1" applyAlignment="1" applyProtection="1">
      <alignment horizontal="center" vertical="center"/>
      <protection locked="0"/>
    </xf>
    <xf numFmtId="171" fontId="2" fillId="0" borderId="0" xfId="0" applyNumberFormat="1" applyFont="1" applyAlignment="1" applyProtection="1">
      <alignment horizontal="center" vertical="center"/>
      <protection locked="0"/>
    </xf>
    <xf numFmtId="168" fontId="2" fillId="0" borderId="0" xfId="0" applyNumberFormat="1" applyFont="1" applyAlignment="1" applyProtection="1">
      <alignment horizontal="center" vertical="center"/>
      <protection locked="0"/>
    </xf>
    <xf numFmtId="3" fontId="2" fillId="0" borderId="0" xfId="0" applyNumberFormat="1" applyFont="1" applyAlignment="1" applyProtection="1">
      <alignment horizontal="center" vertical="center"/>
      <protection locked="0"/>
    </xf>
    <xf numFmtId="0" fontId="2" fillId="0" borderId="15" xfId="0" applyFont="1" applyBorder="1" applyAlignment="1" applyProtection="1">
      <alignment horizontal="center" vertical="center"/>
      <protection locked="0"/>
    </xf>
    <xf numFmtId="0" fontId="2" fillId="0" borderId="38" xfId="0" applyFont="1" applyBorder="1" applyAlignment="1">
      <alignment horizontal="center" vertical="center"/>
    </xf>
    <xf numFmtId="0" fontId="2" fillId="0" borderId="39" xfId="0" applyFont="1" applyBorder="1" applyAlignment="1">
      <alignment horizontal="center" vertical="center"/>
    </xf>
    <xf numFmtId="0" fontId="2" fillId="0" borderId="36" xfId="0" applyFont="1" applyBorder="1" applyAlignment="1" applyProtection="1">
      <alignment horizontal="center" vertical="center"/>
      <protection locked="0"/>
    </xf>
    <xf numFmtId="0" fontId="2" fillId="0" borderId="31" xfId="0" applyFont="1" applyBorder="1" applyAlignment="1" applyProtection="1">
      <alignment horizontal="center" vertical="center"/>
      <protection locked="0"/>
    </xf>
    <xf numFmtId="0" fontId="49" fillId="38" borderId="36" xfId="797" applyFont="1" applyFill="1" applyBorder="1" applyAlignment="1">
      <alignment horizontal="center" vertical="center"/>
    </xf>
    <xf numFmtId="0" fontId="2" fillId="38" borderId="31" xfId="0" applyFont="1" applyFill="1" applyBorder="1" applyAlignment="1">
      <alignment horizontal="center" vertical="center"/>
    </xf>
    <xf numFmtId="0" fontId="2" fillId="55" borderId="40" xfId="0" applyFont="1" applyFill="1" applyBorder="1" applyAlignment="1">
      <alignment horizontal="center" vertical="center"/>
    </xf>
    <xf numFmtId="0" fontId="2" fillId="54" borderId="40" xfId="0" applyFont="1" applyFill="1" applyBorder="1" applyAlignment="1">
      <alignment horizontal="center" vertical="center"/>
    </xf>
    <xf numFmtId="0" fontId="2" fillId="29" borderId="40" xfId="0" applyFont="1" applyFill="1" applyBorder="1" applyAlignment="1">
      <alignment horizontal="center" vertical="center"/>
    </xf>
    <xf numFmtId="0" fontId="2" fillId="26" borderId="40" xfId="0" applyFont="1" applyFill="1" applyBorder="1" applyAlignment="1">
      <alignment horizontal="center" vertical="center"/>
    </xf>
    <xf numFmtId="0" fontId="2" fillId="47" borderId="40" xfId="0" applyFont="1" applyFill="1" applyBorder="1" applyAlignment="1">
      <alignment horizontal="center" vertical="center"/>
    </xf>
    <xf numFmtId="0" fontId="2" fillId="35" borderId="37" xfId="0" applyFont="1" applyFill="1" applyBorder="1" applyAlignment="1" applyProtection="1">
      <alignment horizontal="center" vertical="center"/>
      <protection locked="0"/>
    </xf>
    <xf numFmtId="0" fontId="2" fillId="35" borderId="46" xfId="0" applyFont="1" applyFill="1" applyBorder="1" applyAlignment="1" applyProtection="1">
      <alignment horizontal="center" vertical="center"/>
      <protection locked="0"/>
    </xf>
    <xf numFmtId="0" fontId="35" fillId="35" borderId="50" xfId="0" applyFont="1" applyFill="1" applyBorder="1" applyAlignment="1" applyProtection="1">
      <alignment horizontal="center" vertical="center"/>
      <protection locked="0"/>
    </xf>
    <xf numFmtId="0" fontId="2" fillId="43" borderId="40" xfId="0" applyFont="1" applyFill="1" applyBorder="1" applyAlignment="1">
      <alignment horizontal="center" vertical="center"/>
    </xf>
    <xf numFmtId="0" fontId="2" fillId="31" borderId="40" xfId="0" applyFont="1" applyFill="1" applyBorder="1" applyAlignment="1">
      <alignment horizontal="center" vertical="center"/>
    </xf>
    <xf numFmtId="0" fontId="2" fillId="35" borderId="0" xfId="0" applyFont="1" applyFill="1" applyAlignment="1" applyProtection="1">
      <alignment horizontal="center" vertical="center"/>
      <protection locked="0"/>
    </xf>
    <xf numFmtId="0" fontId="35" fillId="35" borderId="0" xfId="0" applyFont="1" applyFill="1" applyAlignment="1" applyProtection="1">
      <alignment horizontal="center" vertical="center"/>
      <protection locked="0"/>
    </xf>
    <xf numFmtId="0" fontId="2" fillId="42" borderId="40" xfId="0" applyFont="1" applyFill="1" applyBorder="1" applyAlignment="1">
      <alignment horizontal="center" vertical="center"/>
    </xf>
    <xf numFmtId="0" fontId="2" fillId="53" borderId="40" xfId="0" applyFont="1" applyFill="1" applyBorder="1" applyAlignment="1">
      <alignment horizontal="center" vertical="center"/>
    </xf>
    <xf numFmtId="0" fontId="49" fillId="35" borderId="15" xfId="0" applyFont="1" applyFill="1" applyBorder="1" applyAlignment="1" applyProtection="1">
      <alignment horizontal="center" vertical="center"/>
      <protection locked="0"/>
    </xf>
    <xf numFmtId="0" fontId="2" fillId="0" borderId="38" xfId="0" applyFont="1" applyBorder="1" applyAlignment="1" applyProtection="1">
      <alignment horizontal="center" vertical="center"/>
      <protection locked="0"/>
    </xf>
    <xf numFmtId="167" fontId="2" fillId="0" borderId="51" xfId="0" applyNumberFormat="1" applyFont="1" applyBorder="1" applyAlignment="1" applyProtection="1">
      <alignment horizontal="center" vertical="center"/>
      <protection locked="0"/>
    </xf>
    <xf numFmtId="0" fontId="2" fillId="0" borderId="51" xfId="0" applyFont="1" applyBorder="1" applyAlignment="1" applyProtection="1">
      <alignment horizontal="center" vertical="center"/>
      <protection locked="0"/>
    </xf>
    <xf numFmtId="0" fontId="2" fillId="0" borderId="39" xfId="0" applyFont="1" applyBorder="1" applyAlignment="1" applyProtection="1">
      <alignment horizontal="center" vertical="center"/>
      <protection locked="0"/>
    </xf>
    <xf numFmtId="0" fontId="2" fillId="48" borderId="40" xfId="0" applyFont="1" applyFill="1" applyBorder="1" applyAlignment="1">
      <alignment horizontal="center" vertical="center"/>
    </xf>
    <xf numFmtId="0" fontId="2" fillId="50" borderId="40" xfId="0" applyFont="1" applyFill="1" applyBorder="1" applyAlignment="1">
      <alignment horizontal="center" vertical="center"/>
    </xf>
    <xf numFmtId="0" fontId="2" fillId="39" borderId="40" xfId="0" applyFont="1" applyFill="1" applyBorder="1" applyAlignment="1">
      <alignment horizontal="center" vertical="center"/>
    </xf>
    <xf numFmtId="167" fontId="2" fillId="0" borderId="15" xfId="0" applyNumberFormat="1" applyFont="1" applyBorder="1" applyAlignment="1" applyProtection="1">
      <alignment horizontal="center" vertical="center"/>
      <protection locked="0"/>
    </xf>
    <xf numFmtId="0" fontId="2" fillId="0" borderId="53" xfId="0" applyFont="1" applyBorder="1" applyAlignment="1" applyProtection="1">
      <alignment horizontal="center" vertical="center"/>
      <protection locked="0"/>
    </xf>
    <xf numFmtId="0" fontId="2" fillId="35" borderId="36" xfId="0" applyFont="1" applyFill="1" applyBorder="1" applyAlignment="1" applyProtection="1">
      <alignment horizontal="center" vertical="center"/>
      <protection locked="0"/>
    </xf>
    <xf numFmtId="0" fontId="3" fillId="35" borderId="31" xfId="0" applyFont="1" applyFill="1" applyBorder="1" applyAlignment="1" applyProtection="1">
      <alignment horizontal="center" vertical="center"/>
      <protection locked="0"/>
    </xf>
    <xf numFmtId="2" fontId="35" fillId="35" borderId="50" xfId="0" applyNumberFormat="1" applyFont="1" applyFill="1" applyBorder="1" applyAlignment="1" applyProtection="1">
      <alignment horizontal="center" vertical="center"/>
      <protection locked="0"/>
    </xf>
    <xf numFmtId="0" fontId="2" fillId="0" borderId="37" xfId="0" applyFont="1" applyBorder="1" applyAlignment="1" applyProtection="1">
      <alignment horizontal="center" vertical="center"/>
      <protection locked="0"/>
    </xf>
    <xf numFmtId="0" fontId="49" fillId="0" borderId="50" xfId="0" applyFont="1" applyBorder="1" applyAlignment="1" applyProtection="1">
      <alignment horizontal="center" vertical="center"/>
      <protection locked="0"/>
    </xf>
    <xf numFmtId="1" fontId="2" fillId="0" borderId="15" xfId="0" applyNumberFormat="1" applyFont="1" applyBorder="1" applyAlignment="1" applyProtection="1">
      <alignment horizontal="center" vertical="center"/>
      <protection locked="0"/>
    </xf>
    <xf numFmtId="170" fontId="2" fillId="0" borderId="15" xfId="0" applyNumberFormat="1" applyFont="1" applyBorder="1" applyAlignment="1">
      <alignment horizontal="center" vertical="center"/>
    </xf>
    <xf numFmtId="0" fontId="2" fillId="49" borderId="0" xfId="0" applyFont="1" applyFill="1" applyAlignment="1" applyProtection="1">
      <alignment horizontal="center" vertical="center"/>
      <protection locked="0"/>
    </xf>
    <xf numFmtId="0" fontId="2" fillId="0" borderId="17" xfId="0" applyFont="1" applyBorder="1" applyAlignment="1">
      <alignment horizontal="left" vertical="center" wrapText="1"/>
    </xf>
    <xf numFmtId="0" fontId="0" fillId="49" borderId="0" xfId="0" applyFill="1" applyAlignment="1">
      <alignment horizontal="center" vertical="center"/>
    </xf>
    <xf numFmtId="0" fontId="50" fillId="49" borderId="0" xfId="0" applyFont="1" applyFill="1" applyAlignment="1">
      <alignment horizontal="center" vertical="center"/>
    </xf>
    <xf numFmtId="0" fontId="2" fillId="49" borderId="0" xfId="0" applyFont="1" applyFill="1" applyAlignment="1">
      <alignment horizontal="center" vertical="center"/>
    </xf>
    <xf numFmtId="0" fontId="37" fillId="49" borderId="0" xfId="900" applyFont="1" applyFill="1" applyAlignment="1">
      <alignment vertical="center"/>
    </xf>
    <xf numFmtId="0" fontId="40" fillId="49" borderId="0" xfId="900" applyFont="1" applyFill="1" applyAlignment="1">
      <alignment vertical="center"/>
    </xf>
    <xf numFmtId="0" fontId="39" fillId="52" borderId="55" xfId="696" applyFont="1" applyFill="1" applyBorder="1" applyAlignment="1">
      <alignment horizontal="left" vertical="center" wrapText="1" indent="1"/>
    </xf>
    <xf numFmtId="0" fontId="37" fillId="49" borderId="0" xfId="900" applyFont="1" applyFill="1" applyAlignment="1">
      <alignment horizontal="center" vertical="center"/>
    </xf>
    <xf numFmtId="0" fontId="39" fillId="52" borderId="62" xfId="696" applyFont="1" applyFill="1" applyBorder="1" applyAlignment="1">
      <alignment horizontal="left" vertical="center" wrapText="1" indent="1"/>
    </xf>
    <xf numFmtId="0" fontId="39" fillId="49" borderId="54" xfId="696" applyFont="1" applyFill="1" applyBorder="1" applyAlignment="1">
      <alignment horizontal="left" vertical="center" wrapText="1" indent="1"/>
    </xf>
    <xf numFmtId="0" fontId="39" fillId="49" borderId="56" xfId="696" applyFont="1" applyFill="1" applyBorder="1" applyAlignment="1">
      <alignment horizontal="left" vertical="center" wrapText="1" indent="1"/>
    </xf>
    <xf numFmtId="0" fontId="39" fillId="48" borderId="56" xfId="696" applyFont="1" applyFill="1" applyBorder="1" applyAlignment="1">
      <alignment horizontal="left" vertical="center" wrapText="1" indent="1"/>
    </xf>
    <xf numFmtId="0" fontId="39" fillId="0" borderId="56" xfId="696" applyFont="1" applyBorder="1" applyAlignment="1">
      <alignment horizontal="left" vertical="center" wrapText="1" indent="1"/>
    </xf>
    <xf numFmtId="0" fontId="39" fillId="47" borderId="56" xfId="696" applyFont="1" applyFill="1" applyBorder="1" applyAlignment="1">
      <alignment horizontal="left" vertical="center" wrapText="1" indent="1"/>
    </xf>
    <xf numFmtId="0" fontId="39" fillId="0" borderId="59" xfId="696" applyFont="1" applyBorder="1" applyAlignment="1">
      <alignment horizontal="left" vertical="center" wrapText="1" indent="1"/>
    </xf>
    <xf numFmtId="0" fontId="39" fillId="0" borderId="54" xfId="696" applyFont="1" applyBorder="1" applyAlignment="1">
      <alignment horizontal="left" vertical="center" wrapText="1" indent="1"/>
    </xf>
    <xf numFmtId="0" fontId="39" fillId="0" borderId="56" xfId="900" applyFont="1" applyBorder="1" applyAlignment="1">
      <alignment horizontal="left" vertical="center" indent="1"/>
    </xf>
    <xf numFmtId="0" fontId="38" fillId="49" borderId="0" xfId="900" applyFont="1" applyFill="1" applyAlignment="1">
      <alignment horizontal="center" vertical="center"/>
    </xf>
    <xf numFmtId="0" fontId="37" fillId="49" borderId="0" xfId="900" applyFont="1" applyFill="1" applyAlignment="1">
      <alignment horizontal="left" vertical="center" indent="1"/>
    </xf>
    <xf numFmtId="0" fontId="37" fillId="49" borderId="0" xfId="900" quotePrefix="1" applyFont="1" applyFill="1" applyAlignment="1">
      <alignment horizontal="center" vertical="center" wrapText="1"/>
    </xf>
    <xf numFmtId="0" fontId="37" fillId="49" borderId="0" xfId="900" applyFont="1" applyFill="1" applyAlignment="1">
      <alignment horizontal="left" vertical="center" indent="2"/>
    </xf>
    <xf numFmtId="0" fontId="37" fillId="49" borderId="0" xfId="900" applyFont="1" applyFill="1" applyAlignment="1">
      <alignment horizontal="left" vertical="center" indent="3"/>
    </xf>
    <xf numFmtId="0" fontId="39" fillId="40" borderId="60" xfId="696" applyFont="1" applyFill="1" applyBorder="1" applyAlignment="1">
      <alignment horizontal="left" vertical="center" wrapText="1" indent="1"/>
    </xf>
    <xf numFmtId="0" fontId="39" fillId="40" borderId="60" xfId="696" applyFont="1" applyFill="1" applyBorder="1" applyAlignment="1">
      <alignment horizontal="center" vertical="center" wrapText="1"/>
    </xf>
    <xf numFmtId="0" fontId="39" fillId="0" borderId="60" xfId="696" applyFont="1" applyBorder="1" applyAlignment="1">
      <alignment horizontal="left" vertical="center" wrapText="1" indent="1"/>
    </xf>
    <xf numFmtId="0" fontId="2" fillId="49" borderId="0" xfId="0" applyFont="1" applyFill="1" applyAlignment="1" applyProtection="1">
      <alignment horizontal="center" vertical="center" wrapText="1"/>
      <protection locked="0"/>
    </xf>
    <xf numFmtId="0" fontId="0" fillId="49" borderId="0" xfId="0" applyFill="1"/>
    <xf numFmtId="0" fontId="2" fillId="70" borderId="17" xfId="0" applyFont="1" applyFill="1" applyBorder="1" applyAlignment="1">
      <alignment horizontal="center" vertical="center"/>
    </xf>
    <xf numFmtId="0" fontId="39" fillId="37" borderId="60" xfId="696" applyFont="1" applyFill="1" applyBorder="1" applyAlignment="1">
      <alignment horizontal="center" vertical="center" wrapText="1"/>
    </xf>
    <xf numFmtId="0" fontId="39" fillId="37" borderId="59" xfId="696" applyFont="1" applyFill="1" applyBorder="1" applyAlignment="1">
      <alignment horizontal="center" vertical="center" wrapText="1"/>
    </xf>
    <xf numFmtId="0" fontId="41" fillId="49" borderId="0" xfId="900" applyFont="1" applyFill="1" applyAlignment="1">
      <alignment horizontal="left" vertical="center"/>
    </xf>
    <xf numFmtId="0" fontId="39" fillId="52" borderId="91" xfId="696" applyFont="1" applyFill="1" applyBorder="1" applyAlignment="1">
      <alignment horizontal="left" vertical="center" wrapText="1" indent="1"/>
    </xf>
    <xf numFmtId="0" fontId="41" fillId="49" borderId="0" xfId="900" applyFont="1" applyFill="1" applyAlignment="1">
      <alignment horizontal="center" vertical="center"/>
    </xf>
    <xf numFmtId="0" fontId="56" fillId="33" borderId="18" xfId="696" applyFont="1" applyFill="1" applyBorder="1" applyAlignment="1">
      <alignment horizontal="center" vertical="center" wrapText="1"/>
    </xf>
    <xf numFmtId="0" fontId="56" fillId="33" borderId="19" xfId="696" applyFont="1" applyFill="1" applyBorder="1" applyAlignment="1">
      <alignment horizontal="center" vertical="center" wrapText="1"/>
    </xf>
    <xf numFmtId="0" fontId="56" fillId="49" borderId="0" xfId="900" applyFont="1" applyFill="1" applyAlignment="1">
      <alignment horizontal="center" vertical="center"/>
    </xf>
    <xf numFmtId="0" fontId="59" fillId="49" borderId="0" xfId="900" applyFont="1" applyFill="1" applyAlignment="1">
      <alignment horizontal="left" vertical="center"/>
    </xf>
    <xf numFmtId="0" fontId="57" fillId="34" borderId="34" xfId="696" applyFont="1" applyFill="1" applyBorder="1" applyAlignment="1">
      <alignment horizontal="center" vertical="center" wrapText="1"/>
    </xf>
    <xf numFmtId="0" fontId="57" fillId="34" borderId="33" xfId="696" applyFont="1" applyFill="1" applyBorder="1" applyAlignment="1">
      <alignment horizontal="center" vertical="center" wrapText="1"/>
    </xf>
    <xf numFmtId="0" fontId="56" fillId="33" borderId="34" xfId="696" applyFont="1" applyFill="1" applyBorder="1" applyAlignment="1">
      <alignment horizontal="center" vertical="center" wrapText="1"/>
    </xf>
    <xf numFmtId="0" fontId="39" fillId="52" borderId="70" xfId="900" applyFont="1" applyFill="1" applyBorder="1" applyAlignment="1">
      <alignment horizontal="center" vertical="center"/>
    </xf>
    <xf numFmtId="0" fontId="39" fillId="52" borderId="71" xfId="900" applyFont="1" applyFill="1" applyBorder="1" applyAlignment="1">
      <alignment horizontal="center" vertical="center"/>
    </xf>
    <xf numFmtId="0" fontId="39" fillId="52" borderId="72" xfId="900" applyFont="1" applyFill="1" applyBorder="1" applyAlignment="1">
      <alignment horizontal="center" vertical="center"/>
    </xf>
    <xf numFmtId="0" fontId="39" fillId="52" borderId="73" xfId="900" applyFont="1" applyFill="1" applyBorder="1" applyAlignment="1">
      <alignment horizontal="center" vertical="center"/>
    </xf>
    <xf numFmtId="0" fontId="39" fillId="52" borderId="74" xfId="900" applyFont="1" applyFill="1" applyBorder="1" applyAlignment="1">
      <alignment horizontal="center" vertical="center"/>
    </xf>
    <xf numFmtId="0" fontId="39" fillId="52" borderId="75" xfId="900" applyFont="1" applyFill="1" applyBorder="1" applyAlignment="1">
      <alignment horizontal="center" vertical="center"/>
    </xf>
    <xf numFmtId="0" fontId="39" fillId="52" borderId="79" xfId="900" applyFont="1" applyFill="1" applyBorder="1" applyAlignment="1">
      <alignment horizontal="center" vertical="center"/>
    </xf>
    <xf numFmtId="0" fontId="39" fillId="52" borderId="80" xfId="900" applyFont="1" applyFill="1" applyBorder="1" applyAlignment="1">
      <alignment horizontal="center" vertical="center"/>
    </xf>
    <xf numFmtId="0" fontId="39" fillId="52" borderId="81" xfId="900" applyFont="1" applyFill="1" applyBorder="1" applyAlignment="1">
      <alignment horizontal="center" vertical="center"/>
    </xf>
    <xf numFmtId="0" fontId="39" fillId="52" borderId="76" xfId="900" applyFont="1" applyFill="1" applyBorder="1" applyAlignment="1">
      <alignment horizontal="center" vertical="center"/>
    </xf>
    <xf numFmtId="0" fontId="39" fillId="52" borderId="77" xfId="900" applyFont="1" applyFill="1" applyBorder="1" applyAlignment="1">
      <alignment horizontal="center" vertical="center"/>
    </xf>
    <xf numFmtId="0" fontId="39" fillId="52" borderId="78" xfId="900" applyFont="1" applyFill="1" applyBorder="1" applyAlignment="1">
      <alignment horizontal="center" vertical="center"/>
    </xf>
    <xf numFmtId="0" fontId="60" fillId="52" borderId="54" xfId="900" applyFont="1" applyFill="1" applyBorder="1" applyAlignment="1">
      <alignment horizontal="center" vertical="center"/>
    </xf>
    <xf numFmtId="0" fontId="60" fillId="52" borderId="56" xfId="900" applyFont="1" applyFill="1" applyBorder="1" applyAlignment="1">
      <alignment horizontal="center" vertical="center"/>
    </xf>
    <xf numFmtId="0" fontId="60" fillId="52" borderId="59" xfId="900" applyFont="1" applyFill="1" applyBorder="1" applyAlignment="1">
      <alignment horizontal="center" vertical="center"/>
    </xf>
    <xf numFmtId="0" fontId="39" fillId="52" borderId="82" xfId="900" applyFont="1" applyFill="1" applyBorder="1" applyAlignment="1">
      <alignment horizontal="center" vertical="center"/>
    </xf>
    <xf numFmtId="0" fontId="39" fillId="52" borderId="83" xfId="900" applyFont="1" applyFill="1" applyBorder="1" applyAlignment="1">
      <alignment horizontal="center" vertical="center"/>
    </xf>
    <xf numFmtId="0" fontId="39" fillId="52" borderId="84" xfId="900" applyFont="1" applyFill="1" applyBorder="1" applyAlignment="1">
      <alignment horizontal="center" vertical="center"/>
    </xf>
    <xf numFmtId="0" fontId="39" fillId="52" borderId="88" xfId="900" applyFont="1" applyFill="1" applyBorder="1" applyAlignment="1">
      <alignment horizontal="center" vertical="center"/>
    </xf>
    <xf numFmtId="0" fontId="39" fillId="52" borderId="89" xfId="900" applyFont="1" applyFill="1" applyBorder="1" applyAlignment="1">
      <alignment horizontal="center" vertical="center"/>
    </xf>
    <xf numFmtId="0" fontId="39" fillId="52" borderId="90" xfId="900" applyFont="1" applyFill="1" applyBorder="1" applyAlignment="1">
      <alignment horizontal="center" vertical="center"/>
    </xf>
    <xf numFmtId="0" fontId="60" fillId="37" borderId="54" xfId="900" applyFont="1" applyFill="1" applyBorder="1" applyAlignment="1">
      <alignment horizontal="center" vertical="center"/>
    </xf>
    <xf numFmtId="0" fontId="39" fillId="37" borderId="70" xfId="900" applyFont="1" applyFill="1" applyBorder="1" applyAlignment="1">
      <alignment horizontal="center" vertical="center"/>
    </xf>
    <xf numFmtId="0" fontId="39" fillId="37" borderId="71" xfId="900" applyFont="1" applyFill="1" applyBorder="1" applyAlignment="1">
      <alignment horizontal="center" vertical="center"/>
    </xf>
    <xf numFmtId="0" fontId="39" fillId="37" borderId="72" xfId="900" applyFont="1" applyFill="1" applyBorder="1" applyAlignment="1">
      <alignment horizontal="center" vertical="center"/>
    </xf>
    <xf numFmtId="0" fontId="60" fillId="37" borderId="56" xfId="900" applyFont="1" applyFill="1" applyBorder="1" applyAlignment="1">
      <alignment horizontal="center" vertical="center"/>
    </xf>
    <xf numFmtId="0" fontId="39" fillId="37" borderId="73" xfId="900" applyFont="1" applyFill="1" applyBorder="1" applyAlignment="1">
      <alignment horizontal="center" vertical="center"/>
    </xf>
    <xf numFmtId="0" fontId="39" fillId="37" borderId="74" xfId="900" applyFont="1" applyFill="1" applyBorder="1" applyAlignment="1">
      <alignment horizontal="center" vertical="center"/>
    </xf>
    <xf numFmtId="0" fontId="39" fillId="37" borderId="75" xfId="900" applyFont="1" applyFill="1" applyBorder="1" applyAlignment="1">
      <alignment horizontal="center" vertical="center"/>
    </xf>
    <xf numFmtId="0" fontId="60" fillId="37" borderId="61" xfId="900" applyFont="1" applyFill="1" applyBorder="1" applyAlignment="1">
      <alignment horizontal="center" vertical="center"/>
    </xf>
    <xf numFmtId="0" fontId="39" fillId="37" borderId="79" xfId="900" applyFont="1" applyFill="1" applyBorder="1" applyAlignment="1">
      <alignment horizontal="center" vertical="center"/>
    </xf>
    <xf numFmtId="0" fontId="39" fillId="37" borderId="80" xfId="900" applyFont="1" applyFill="1" applyBorder="1" applyAlignment="1">
      <alignment horizontal="center" vertical="center"/>
    </xf>
    <xf numFmtId="0" fontId="39" fillId="37" borderId="81" xfId="900" applyFont="1" applyFill="1" applyBorder="1" applyAlignment="1">
      <alignment horizontal="center" vertical="center"/>
    </xf>
    <xf numFmtId="0" fontId="60" fillId="37" borderId="59" xfId="900" applyFont="1" applyFill="1" applyBorder="1" applyAlignment="1">
      <alignment horizontal="center" vertical="center"/>
    </xf>
    <xf numFmtId="0" fontId="39" fillId="37" borderId="76" xfId="900" applyFont="1" applyFill="1" applyBorder="1" applyAlignment="1">
      <alignment horizontal="center" vertical="center"/>
    </xf>
    <xf numFmtId="0" fontId="39" fillId="37" borderId="77" xfId="900" applyFont="1" applyFill="1" applyBorder="1" applyAlignment="1">
      <alignment horizontal="center" vertical="center"/>
    </xf>
    <xf numFmtId="0" fontId="39" fillId="37" borderId="78" xfId="900" applyFont="1" applyFill="1" applyBorder="1" applyAlignment="1">
      <alignment horizontal="center" vertical="center"/>
    </xf>
    <xf numFmtId="0" fontId="39" fillId="40" borderId="85" xfId="900" applyFont="1" applyFill="1" applyBorder="1" applyAlignment="1">
      <alignment horizontal="center" vertical="center"/>
    </xf>
    <xf numFmtId="0" fontId="39" fillId="40" borderId="86" xfId="900" applyFont="1" applyFill="1" applyBorder="1" applyAlignment="1">
      <alignment horizontal="center" vertical="center"/>
    </xf>
    <xf numFmtId="0" fontId="39" fillId="40" borderId="87" xfId="900" applyFont="1" applyFill="1" applyBorder="1" applyAlignment="1">
      <alignment horizontal="center" vertical="center"/>
    </xf>
    <xf numFmtId="0" fontId="39" fillId="40" borderId="88" xfId="900" applyFont="1" applyFill="1" applyBorder="1" applyAlignment="1">
      <alignment horizontal="center" vertical="center"/>
    </xf>
    <xf numFmtId="0" fontId="39" fillId="40" borderId="89" xfId="900" applyFont="1" applyFill="1" applyBorder="1" applyAlignment="1">
      <alignment horizontal="center" vertical="center"/>
    </xf>
    <xf numFmtId="0" fontId="39" fillId="40" borderId="90" xfId="900" applyFont="1" applyFill="1" applyBorder="1" applyAlignment="1">
      <alignment horizontal="center" vertical="center"/>
    </xf>
    <xf numFmtId="0" fontId="60" fillId="49" borderId="54" xfId="900" applyFont="1" applyFill="1" applyBorder="1" applyAlignment="1">
      <alignment horizontal="center" vertical="center"/>
    </xf>
    <xf numFmtId="0" fontId="39" fillId="49" borderId="70" xfId="900" applyFont="1" applyFill="1" applyBorder="1" applyAlignment="1">
      <alignment horizontal="center" vertical="center"/>
    </xf>
    <xf numFmtId="0" fontId="39" fillId="49" borderId="71" xfId="900" applyFont="1" applyFill="1" applyBorder="1" applyAlignment="1">
      <alignment horizontal="center" vertical="center"/>
    </xf>
    <xf numFmtId="0" fontId="39" fillId="49" borderId="72" xfId="900" applyFont="1" applyFill="1" applyBorder="1" applyAlignment="1">
      <alignment horizontal="center" vertical="center"/>
    </xf>
    <xf numFmtId="0" fontId="60" fillId="40" borderId="56" xfId="900" applyFont="1" applyFill="1" applyBorder="1" applyAlignment="1">
      <alignment horizontal="center" vertical="center"/>
    </xf>
    <xf numFmtId="0" fontId="39" fillId="40" borderId="73" xfId="900" applyFont="1" applyFill="1" applyBorder="1" applyAlignment="1">
      <alignment horizontal="center" vertical="center"/>
    </xf>
    <xf numFmtId="0" fontId="39" fillId="40" borderId="74" xfId="900" applyFont="1" applyFill="1" applyBorder="1" applyAlignment="1">
      <alignment horizontal="center" vertical="center"/>
    </xf>
    <xf numFmtId="0" fontId="39" fillId="40" borderId="75" xfId="900" applyFont="1" applyFill="1" applyBorder="1" applyAlignment="1">
      <alignment horizontal="center" vertical="center"/>
    </xf>
    <xf numFmtId="0" fontId="60" fillId="49" borderId="56" xfId="900" applyFont="1" applyFill="1" applyBorder="1" applyAlignment="1">
      <alignment horizontal="center" vertical="center"/>
    </xf>
    <xf numFmtId="0" fontId="39" fillId="49" borderId="73" xfId="900" applyFont="1" applyFill="1" applyBorder="1" applyAlignment="1">
      <alignment horizontal="center" vertical="center"/>
    </xf>
    <xf numFmtId="0" fontId="39" fillId="49" borderId="74" xfId="900" applyFont="1" applyFill="1" applyBorder="1" applyAlignment="1">
      <alignment horizontal="center" vertical="center"/>
    </xf>
    <xf numFmtId="0" fontId="39" fillId="49" borderId="75" xfId="900" applyFont="1" applyFill="1" applyBorder="1" applyAlignment="1">
      <alignment horizontal="center" vertical="center"/>
    </xf>
    <xf numFmtId="0" fontId="60" fillId="48" borderId="56" xfId="900" applyFont="1" applyFill="1" applyBorder="1" applyAlignment="1">
      <alignment horizontal="center" vertical="center"/>
    </xf>
    <xf numFmtId="0" fontId="39" fillId="48" borderId="73" xfId="900" applyFont="1" applyFill="1" applyBorder="1" applyAlignment="1">
      <alignment horizontal="center" vertical="center"/>
    </xf>
    <xf numFmtId="0" fontId="39" fillId="48" borderId="74" xfId="900" applyFont="1" applyFill="1" applyBorder="1" applyAlignment="1">
      <alignment horizontal="center" vertical="center"/>
    </xf>
    <xf numFmtId="0" fontId="39" fillId="48" borderId="75" xfId="900" applyFont="1" applyFill="1" applyBorder="1" applyAlignment="1">
      <alignment horizontal="center" vertical="center"/>
    </xf>
    <xf numFmtId="0" fontId="60" fillId="0" borderId="56" xfId="900" applyFont="1" applyBorder="1" applyAlignment="1">
      <alignment horizontal="center" vertical="center"/>
    </xf>
    <xf numFmtId="0" fontId="60" fillId="47" borderId="56" xfId="900" applyFont="1" applyFill="1" applyBorder="1" applyAlignment="1">
      <alignment horizontal="center" vertical="center"/>
    </xf>
    <xf numFmtId="0" fontId="39" fillId="47" borderId="73" xfId="900" applyFont="1" applyFill="1" applyBorder="1" applyAlignment="1">
      <alignment horizontal="center" vertical="center"/>
    </xf>
    <xf numFmtId="0" fontId="39" fillId="47" borderId="74" xfId="900" applyFont="1" applyFill="1" applyBorder="1" applyAlignment="1">
      <alignment horizontal="center" vertical="center"/>
    </xf>
    <xf numFmtId="0" fontId="39" fillId="47" borderId="75" xfId="900" applyFont="1" applyFill="1" applyBorder="1" applyAlignment="1">
      <alignment horizontal="center" vertical="center"/>
    </xf>
    <xf numFmtId="0" fontId="60" fillId="0" borderId="59" xfId="900" applyFont="1" applyBorder="1" applyAlignment="1">
      <alignment horizontal="center" vertical="center"/>
    </xf>
    <xf numFmtId="0" fontId="60" fillId="0" borderId="54" xfId="900" applyFont="1" applyBorder="1" applyAlignment="1">
      <alignment horizontal="center" vertical="center"/>
    </xf>
    <xf numFmtId="0" fontId="39" fillId="0" borderId="70" xfId="900" applyFont="1" applyBorder="1" applyAlignment="1">
      <alignment horizontal="center" vertical="center"/>
    </xf>
    <xf numFmtId="0" fontId="39" fillId="0" borderId="71" xfId="900" applyFont="1" applyBorder="1" applyAlignment="1">
      <alignment horizontal="center" vertical="center"/>
    </xf>
    <xf numFmtId="0" fontId="39" fillId="0" borderId="72" xfId="900" applyFont="1" applyBorder="1" applyAlignment="1">
      <alignment horizontal="center" vertical="center"/>
    </xf>
    <xf numFmtId="0" fontId="39" fillId="0" borderId="76" xfId="900" applyFont="1" applyBorder="1" applyAlignment="1">
      <alignment horizontal="center" vertical="center"/>
    </xf>
    <xf numFmtId="0" fontId="39" fillId="0" borderId="77" xfId="900" applyFont="1" applyBorder="1" applyAlignment="1">
      <alignment horizontal="center" vertical="center"/>
    </xf>
    <xf numFmtId="0" fontId="39" fillId="0" borderId="78" xfId="900" applyFont="1" applyBorder="1" applyAlignment="1">
      <alignment horizontal="center" vertical="center"/>
    </xf>
    <xf numFmtId="0" fontId="60" fillId="0" borderId="60" xfId="900" applyFont="1" applyBorder="1" applyAlignment="1">
      <alignment horizontal="center" vertical="center"/>
    </xf>
    <xf numFmtId="0" fontId="39" fillId="0" borderId="82" xfId="900" applyFont="1" applyBorder="1" applyAlignment="1">
      <alignment horizontal="center" vertical="center"/>
    </xf>
    <xf numFmtId="0" fontId="39" fillId="0" borderId="83" xfId="900" applyFont="1" applyBorder="1" applyAlignment="1">
      <alignment horizontal="center" vertical="center"/>
    </xf>
    <xf numFmtId="0" fontId="39" fillId="0" borderId="84" xfId="900" applyFont="1" applyBorder="1" applyAlignment="1">
      <alignment horizontal="center" vertical="center"/>
    </xf>
    <xf numFmtId="0" fontId="39" fillId="0" borderId="73" xfId="900" applyFont="1" applyBorder="1" applyAlignment="1">
      <alignment horizontal="center" vertical="center"/>
    </xf>
    <xf numFmtId="0" fontId="39" fillId="0" borderId="74" xfId="900" applyFont="1" applyBorder="1" applyAlignment="1">
      <alignment horizontal="center" vertical="center"/>
    </xf>
    <xf numFmtId="0" fontId="39" fillId="0" borderId="75" xfId="900" applyFont="1" applyBorder="1" applyAlignment="1">
      <alignment horizontal="center" vertical="center"/>
    </xf>
    <xf numFmtId="0" fontId="60" fillId="0" borderId="57" xfId="900" applyFont="1" applyBorder="1" applyAlignment="1">
      <alignment horizontal="center" vertical="center"/>
    </xf>
    <xf numFmtId="0" fontId="60" fillId="37" borderId="60" xfId="900" applyFont="1" applyFill="1" applyBorder="1" applyAlignment="1">
      <alignment horizontal="center" vertical="center"/>
    </xf>
    <xf numFmtId="0" fontId="39" fillId="37" borderId="82" xfId="900" applyFont="1" applyFill="1" applyBorder="1" applyAlignment="1">
      <alignment horizontal="center" vertical="center"/>
    </xf>
    <xf numFmtId="0" fontId="39" fillId="37" borderId="83" xfId="900" applyFont="1" applyFill="1" applyBorder="1" applyAlignment="1">
      <alignment horizontal="center" vertical="center"/>
    </xf>
    <xf numFmtId="0" fontId="39" fillId="37" borderId="84" xfId="900" applyFont="1" applyFill="1" applyBorder="1" applyAlignment="1">
      <alignment horizontal="center" vertical="center"/>
    </xf>
    <xf numFmtId="0" fontId="39" fillId="37" borderId="54" xfId="696" applyFont="1" applyFill="1" applyBorder="1" applyAlignment="1">
      <alignment horizontal="center" vertical="center" wrapText="1"/>
    </xf>
    <xf numFmtId="0" fontId="39" fillId="37" borderId="56" xfId="696" applyFont="1" applyFill="1" applyBorder="1" applyAlignment="1">
      <alignment horizontal="center" vertical="center" wrapText="1"/>
    </xf>
    <xf numFmtId="0" fontId="39" fillId="37" borderId="61" xfId="696" applyFont="1" applyFill="1" applyBorder="1" applyAlignment="1">
      <alignment horizontal="center" vertical="center" wrapText="1"/>
    </xf>
    <xf numFmtId="0" fontId="39" fillId="49" borderId="54" xfId="696" applyFont="1" applyFill="1" applyBorder="1" applyAlignment="1">
      <alignment horizontal="center" vertical="center" wrapText="1"/>
    </xf>
    <xf numFmtId="0" fontId="39" fillId="40" borderId="56" xfId="696" applyFont="1" applyFill="1" applyBorder="1" applyAlignment="1">
      <alignment horizontal="center" vertical="center" wrapText="1"/>
    </xf>
    <xf numFmtId="0" fontId="39" fillId="49" borderId="56" xfId="696" applyFont="1" applyFill="1" applyBorder="1" applyAlignment="1">
      <alignment horizontal="center" vertical="center" wrapText="1"/>
    </xf>
    <xf numFmtId="0" fontId="39" fillId="48" borderId="56" xfId="696" applyFont="1" applyFill="1" applyBorder="1" applyAlignment="1">
      <alignment horizontal="center" vertical="center" wrapText="1"/>
    </xf>
    <xf numFmtId="0" fontId="39" fillId="0" borderId="56" xfId="696" applyFont="1" applyBorder="1" applyAlignment="1">
      <alignment horizontal="center" vertical="center" wrapText="1"/>
    </xf>
    <xf numFmtId="0" fontId="39" fillId="47" borderId="56" xfId="696" applyFont="1" applyFill="1" applyBorder="1" applyAlignment="1">
      <alignment horizontal="center" vertical="center" wrapText="1"/>
    </xf>
    <xf numFmtId="0" fontId="39" fillId="0" borderId="59" xfId="696" applyFont="1" applyBorder="1" applyAlignment="1">
      <alignment horizontal="center" vertical="center" wrapText="1"/>
    </xf>
    <xf numFmtId="0" fontId="39" fillId="0" borderId="54" xfId="696" applyFont="1" applyBorder="1" applyAlignment="1">
      <alignment horizontal="center" vertical="center" wrapText="1"/>
    </xf>
    <xf numFmtId="0" fontId="39" fillId="0" borderId="60" xfId="696" applyFont="1" applyBorder="1" applyAlignment="1">
      <alignment horizontal="center" vertical="center" wrapText="1"/>
    </xf>
    <xf numFmtId="0" fontId="61" fillId="36" borderId="18" xfId="696" quotePrefix="1" applyFont="1" applyFill="1" applyBorder="1" applyAlignment="1">
      <alignment horizontal="center" vertical="center" wrapText="1"/>
    </xf>
    <xf numFmtId="0" fontId="61" fillId="36" borderId="19" xfId="696" quotePrefix="1" applyFont="1" applyFill="1" applyBorder="1" applyAlignment="1">
      <alignment horizontal="center" vertical="center" wrapText="1"/>
    </xf>
    <xf numFmtId="0" fontId="56" fillId="33" borderId="65" xfId="696" applyFont="1" applyFill="1" applyBorder="1" applyAlignment="1">
      <alignment horizontal="center" vertical="center" wrapText="1"/>
    </xf>
    <xf numFmtId="0" fontId="62" fillId="37" borderId="66" xfId="696" applyFont="1" applyFill="1" applyBorder="1" applyAlignment="1">
      <alignment horizontal="center" vertical="center" wrapText="1"/>
    </xf>
    <xf numFmtId="2" fontId="60" fillId="0" borderId="54" xfId="900" applyNumberFormat="1" applyFont="1" applyBorder="1" applyAlignment="1">
      <alignment horizontal="center" vertical="center"/>
    </xf>
    <xf numFmtId="166" fontId="39" fillId="0" borderId="70" xfId="900" applyNumberFormat="1" applyFont="1" applyBorder="1" applyAlignment="1">
      <alignment horizontal="center" vertical="center"/>
    </xf>
    <xf numFmtId="166" fontId="39" fillId="0" borderId="71" xfId="900" applyNumberFormat="1" applyFont="1" applyBorder="1" applyAlignment="1">
      <alignment horizontal="center" vertical="center"/>
    </xf>
    <xf numFmtId="166" fontId="39" fillId="0" borderId="72" xfId="900" applyNumberFormat="1" applyFont="1" applyBorder="1" applyAlignment="1">
      <alignment horizontal="center" vertical="center"/>
    </xf>
    <xf numFmtId="0" fontId="39" fillId="0" borderId="61" xfId="696" applyFont="1" applyBorder="1" applyAlignment="1">
      <alignment horizontal="left" vertical="center" wrapText="1" indent="1"/>
    </xf>
    <xf numFmtId="0" fontId="39" fillId="0" borderId="61" xfId="696" applyFont="1" applyBorder="1" applyAlignment="1">
      <alignment horizontal="center" vertical="center" wrapText="1"/>
    </xf>
    <xf numFmtId="0" fontId="60" fillId="0" borderId="61" xfId="900" applyFont="1" applyBorder="1" applyAlignment="1">
      <alignment horizontal="center" vertical="center"/>
    </xf>
    <xf numFmtId="0" fontId="39" fillId="0" borderId="79" xfId="900" applyFont="1" applyBorder="1" applyAlignment="1">
      <alignment horizontal="center" vertical="center"/>
    </xf>
    <xf numFmtId="0" fontId="39" fillId="0" borderId="80" xfId="900" applyFont="1" applyBorder="1" applyAlignment="1">
      <alignment horizontal="center" vertical="center"/>
    </xf>
    <xf numFmtId="0" fontId="39" fillId="0" borderId="81" xfId="900" applyFont="1" applyBorder="1" applyAlignment="1">
      <alignment horizontal="center" vertical="center"/>
    </xf>
    <xf numFmtId="0" fontId="39" fillId="0" borderId="60" xfId="900" applyFont="1" applyBorder="1" applyAlignment="1">
      <alignment horizontal="left" vertical="center" indent="1"/>
    </xf>
    <xf numFmtId="0" fontId="57" fillId="34" borderId="32" xfId="696" applyFont="1" applyFill="1" applyBorder="1" applyAlignment="1">
      <alignment horizontal="center" vertical="center" wrapText="1"/>
    </xf>
    <xf numFmtId="0" fontId="60" fillId="52" borderId="61" xfId="900" applyFont="1" applyFill="1" applyBorder="1" applyAlignment="1">
      <alignment horizontal="center" vertical="center"/>
    </xf>
    <xf numFmtId="0" fontId="60" fillId="52" borderId="60" xfId="900" applyFont="1" applyFill="1" applyBorder="1" applyAlignment="1">
      <alignment horizontal="center" vertical="center"/>
    </xf>
    <xf numFmtId="0" fontId="60" fillId="40" borderId="19" xfId="900" applyFont="1" applyFill="1" applyBorder="1" applyAlignment="1">
      <alignment horizontal="center" vertical="center"/>
    </xf>
    <xf numFmtId="0" fontId="39" fillId="37" borderId="56" xfId="696" quotePrefix="1" applyFont="1" applyFill="1" applyBorder="1" applyAlignment="1">
      <alignment horizontal="left" vertical="center" wrapText="1"/>
    </xf>
    <xf numFmtId="0" fontId="60" fillId="0" borderId="56" xfId="696" quotePrefix="1" applyFont="1" applyBorder="1" applyAlignment="1">
      <alignment horizontal="left" vertical="center" wrapText="1" indent="1"/>
    </xf>
    <xf numFmtId="0" fontId="39" fillId="60" borderId="54" xfId="696" applyFont="1" applyFill="1" applyBorder="1" applyAlignment="1">
      <alignment horizontal="left" vertical="center" wrapText="1" indent="1"/>
    </xf>
    <xf numFmtId="0" fontId="39" fillId="60" borderId="59" xfId="696" applyFont="1" applyFill="1" applyBorder="1" applyAlignment="1">
      <alignment horizontal="left" vertical="center" wrapText="1" indent="1"/>
    </xf>
    <xf numFmtId="0" fontId="2" fillId="77" borderId="17" xfId="0" applyFont="1" applyFill="1" applyBorder="1" applyAlignment="1">
      <alignment horizontal="center" vertical="center"/>
    </xf>
    <xf numFmtId="0" fontId="46" fillId="32" borderId="17" xfId="0" applyFont="1" applyFill="1" applyBorder="1" applyAlignment="1">
      <alignment horizontal="center" vertical="center"/>
    </xf>
    <xf numFmtId="0" fontId="2" fillId="0" borderId="17" xfId="0" applyFont="1" applyBorder="1" applyAlignment="1">
      <alignment horizontal="center"/>
    </xf>
    <xf numFmtId="0" fontId="46" fillId="0" borderId="17" xfId="0" applyFont="1" applyBorder="1" applyAlignment="1">
      <alignment horizontal="center"/>
    </xf>
    <xf numFmtId="14" fontId="2" fillId="47" borderId="17" xfId="0" applyNumberFormat="1" applyFont="1" applyFill="1" applyBorder="1" applyAlignment="1">
      <alignment horizontal="center" vertical="center"/>
    </xf>
    <xf numFmtId="14" fontId="2" fillId="41" borderId="17" xfId="0" applyNumberFormat="1" applyFont="1" applyFill="1" applyBorder="1" applyAlignment="1">
      <alignment horizontal="center" vertical="center"/>
    </xf>
    <xf numFmtId="2" fontId="2" fillId="41" borderId="17" xfId="0" applyNumberFormat="1" applyFont="1" applyFill="1" applyBorder="1" applyAlignment="1">
      <alignment horizontal="center" vertical="center"/>
    </xf>
    <xf numFmtId="0" fontId="2" fillId="0" borderId="0" xfId="0" applyFont="1" applyAlignment="1">
      <alignment horizontal="left" vertical="center"/>
    </xf>
    <xf numFmtId="0" fontId="58" fillId="37" borderId="19" xfId="696" quotePrefix="1" applyFont="1" applyFill="1" applyBorder="1" applyAlignment="1">
      <alignment vertical="center" textRotation="90" wrapText="1"/>
    </xf>
    <xf numFmtId="0" fontId="56" fillId="77" borderId="19" xfId="696" applyFont="1" applyFill="1" applyBorder="1" applyAlignment="1">
      <alignment horizontal="center" vertical="center" wrapText="1"/>
    </xf>
    <xf numFmtId="0" fontId="39" fillId="77" borderId="56" xfId="696" applyFont="1" applyFill="1" applyBorder="1" applyAlignment="1">
      <alignment horizontal="left" vertical="center" wrapText="1" indent="1"/>
    </xf>
    <xf numFmtId="0" fontId="39" fillId="77" borderId="56" xfId="696" applyFont="1" applyFill="1" applyBorder="1" applyAlignment="1">
      <alignment horizontal="center" vertical="center" wrapText="1"/>
    </xf>
    <xf numFmtId="0" fontId="60" fillId="77" borderId="56" xfId="900" applyFont="1" applyFill="1" applyBorder="1" applyAlignment="1">
      <alignment horizontal="center" vertical="center"/>
    </xf>
    <xf numFmtId="0" fontId="39" fillId="77" borderId="73" xfId="900" applyFont="1" applyFill="1" applyBorder="1" applyAlignment="1">
      <alignment horizontal="center" vertical="center"/>
    </xf>
    <xf numFmtId="0" fontId="39" fillId="77" borderId="74" xfId="900" applyFont="1" applyFill="1" applyBorder="1" applyAlignment="1">
      <alignment horizontal="center" vertical="center"/>
    </xf>
    <xf numFmtId="0" fontId="39" fillId="77" borderId="75" xfId="900" applyFont="1" applyFill="1" applyBorder="1" applyAlignment="1">
      <alignment horizontal="center" vertical="center"/>
    </xf>
    <xf numFmtId="0" fontId="39" fillId="77" borderId="54" xfId="696" applyFont="1" applyFill="1" applyBorder="1" applyAlignment="1">
      <alignment horizontal="left" vertical="center" wrapText="1" indent="1"/>
    </xf>
    <xf numFmtId="0" fontId="39" fillId="77" borderId="54" xfId="696" applyFont="1" applyFill="1" applyBorder="1" applyAlignment="1">
      <alignment horizontal="center" vertical="center" wrapText="1"/>
    </xf>
    <xf numFmtId="0" fontId="60" fillId="77" borderId="54" xfId="900" applyFont="1" applyFill="1" applyBorder="1" applyAlignment="1">
      <alignment horizontal="center" vertical="center"/>
    </xf>
    <xf numFmtId="0" fontId="39" fillId="77" borderId="70" xfId="900" applyFont="1" applyFill="1" applyBorder="1" applyAlignment="1">
      <alignment horizontal="center" vertical="center"/>
    </xf>
    <xf numFmtId="0" fontId="39" fillId="77" borderId="71" xfId="900" applyFont="1" applyFill="1" applyBorder="1" applyAlignment="1">
      <alignment horizontal="center" vertical="center"/>
    </xf>
    <xf numFmtId="0" fontId="39" fillId="77" borderId="72" xfId="900" applyFont="1" applyFill="1" applyBorder="1" applyAlignment="1">
      <alignment horizontal="center" vertical="center"/>
    </xf>
    <xf numFmtId="0" fontId="2" fillId="0" borderId="20" xfId="0" applyFont="1" applyBorder="1" applyAlignment="1">
      <alignment horizontal="center" vertical="center" wrapText="1"/>
    </xf>
    <xf numFmtId="0" fontId="2" fillId="0" borderId="0" xfId="0" applyFont="1" applyAlignment="1">
      <alignment horizontal="center" vertical="center" wrapText="1"/>
    </xf>
    <xf numFmtId="0" fontId="3" fillId="76" borderId="18" xfId="0" applyFont="1" applyFill="1" applyBorder="1" applyAlignment="1">
      <alignment horizontal="center" vertical="center" wrapText="1"/>
    </xf>
    <xf numFmtId="0" fontId="3" fillId="76" borderId="18" xfId="0" applyFont="1" applyFill="1" applyBorder="1" applyAlignment="1">
      <alignment horizontal="center" vertical="center"/>
    </xf>
    <xf numFmtId="0" fontId="0" fillId="70" borderId="41" xfId="0" applyFill="1" applyBorder="1" applyAlignment="1">
      <alignment horizontal="center" vertical="center"/>
    </xf>
    <xf numFmtId="2" fontId="2" fillId="0" borderId="41" xfId="0" applyNumberFormat="1" applyFont="1" applyBorder="1" applyAlignment="1">
      <alignment horizontal="center" vertical="center"/>
    </xf>
    <xf numFmtId="1" fontId="2" fillId="0" borderId="41" xfId="0" applyNumberFormat="1" applyFont="1" applyBorder="1" applyAlignment="1">
      <alignment horizontal="center" vertical="center"/>
    </xf>
    <xf numFmtId="1" fontId="2" fillId="0" borderId="42" xfId="0" applyNumberFormat="1" applyFont="1" applyBorder="1" applyAlignment="1">
      <alignment horizontal="center" vertical="center"/>
    </xf>
    <xf numFmtId="1" fontId="2" fillId="0" borderId="40" xfId="0" applyNumberFormat="1" applyFont="1" applyBorder="1" applyAlignment="1">
      <alignment horizontal="center" vertical="center"/>
    </xf>
    <xf numFmtId="0" fontId="2" fillId="70" borderId="25" xfId="0" applyFont="1" applyFill="1" applyBorder="1" applyAlignment="1">
      <alignment horizontal="center" vertical="center"/>
    </xf>
    <xf numFmtId="2" fontId="2" fillId="0" borderId="25" xfId="0" applyNumberFormat="1" applyFont="1" applyBorder="1" applyAlignment="1">
      <alignment horizontal="center" vertical="center"/>
    </xf>
    <xf numFmtId="1" fontId="2" fillId="0" borderId="25" xfId="0" applyNumberFormat="1" applyFont="1" applyBorder="1" applyAlignment="1">
      <alignment horizontal="center" vertical="center"/>
    </xf>
    <xf numFmtId="1" fontId="2" fillId="0" borderId="43" xfId="0" applyNumberFormat="1" applyFont="1" applyBorder="1" applyAlignment="1">
      <alignment horizontal="center" vertical="center"/>
    </xf>
    <xf numFmtId="2" fontId="2" fillId="41" borderId="41" xfId="0" applyNumberFormat="1" applyFont="1" applyFill="1" applyBorder="1" applyAlignment="1">
      <alignment horizontal="center" vertical="center"/>
    </xf>
    <xf numFmtId="2" fontId="2" fillId="41" borderId="25" xfId="0" applyNumberFormat="1" applyFont="1" applyFill="1" applyBorder="1" applyAlignment="1">
      <alignment horizontal="center" vertical="center"/>
    </xf>
    <xf numFmtId="0" fontId="2" fillId="0" borderId="0" xfId="0" quotePrefix="1" applyFont="1" applyAlignment="1">
      <alignment vertical="center"/>
    </xf>
    <xf numFmtId="0" fontId="2" fillId="0" borderId="25" xfId="0" applyFont="1" applyBorder="1" applyAlignment="1">
      <alignment horizontal="center" vertical="center" wrapText="1"/>
    </xf>
    <xf numFmtId="0" fontId="2" fillId="0" borderId="103" xfId="0" applyFont="1" applyBorder="1" applyAlignment="1">
      <alignment horizontal="center" vertical="center" wrapText="1"/>
    </xf>
    <xf numFmtId="0" fontId="2" fillId="0" borderId="39" xfId="0" applyFont="1" applyBorder="1" applyAlignment="1">
      <alignment horizontal="center" vertical="center" wrapText="1"/>
    </xf>
    <xf numFmtId="0" fontId="2" fillId="0" borderId="31" xfId="0" applyFont="1" applyBorder="1" applyAlignment="1">
      <alignment horizontal="center" vertical="center" wrapText="1"/>
    </xf>
    <xf numFmtId="0" fontId="2" fillId="0" borderId="46" xfId="0" applyFont="1" applyBorder="1" applyAlignment="1">
      <alignment horizontal="center" vertical="center" wrapText="1"/>
    </xf>
    <xf numFmtId="0" fontId="2" fillId="0" borderId="50" xfId="0" applyFont="1" applyBorder="1" applyAlignment="1">
      <alignment horizontal="center" vertical="center" wrapText="1"/>
    </xf>
    <xf numFmtId="0" fontId="2" fillId="0" borderId="103" xfId="0" applyFont="1" applyBorder="1" applyAlignment="1">
      <alignment vertical="center" wrapText="1"/>
    </xf>
    <xf numFmtId="0" fontId="3" fillId="76" borderId="17" xfId="0" applyFont="1" applyFill="1" applyBorder="1" applyAlignment="1">
      <alignment horizontal="center" vertical="center" wrapText="1"/>
    </xf>
    <xf numFmtId="0" fontId="31" fillId="49" borderId="0" xfId="910" applyFont="1" applyFill="1"/>
    <xf numFmtId="0" fontId="31" fillId="49" borderId="0" xfId="910" applyFont="1" applyFill="1" applyAlignment="1">
      <alignment horizontal="center" vertical="center"/>
    </xf>
    <xf numFmtId="0" fontId="2" fillId="49" borderId="0" xfId="910" applyFill="1" applyAlignment="1">
      <alignment horizontal="center" vertical="center"/>
    </xf>
    <xf numFmtId="0" fontId="2" fillId="49" borderId="0" xfId="910" applyFill="1"/>
    <xf numFmtId="0" fontId="31" fillId="49" borderId="24" xfId="910" applyFont="1" applyFill="1" applyBorder="1" applyAlignment="1">
      <alignment horizontal="center" vertical="center"/>
    </xf>
    <xf numFmtId="0" fontId="31" fillId="49" borderId="17" xfId="910" applyFont="1" applyFill="1" applyBorder="1" applyAlignment="1">
      <alignment horizontal="center" vertical="center"/>
    </xf>
    <xf numFmtId="0" fontId="31" fillId="49" borderId="17" xfId="910" applyFont="1" applyFill="1" applyBorder="1" applyAlignment="1">
      <alignment vertical="center"/>
    </xf>
    <xf numFmtId="0" fontId="31" fillId="49" borderId="17" xfId="910" applyFont="1" applyFill="1" applyBorder="1" applyAlignment="1">
      <alignment horizontal="center"/>
    </xf>
    <xf numFmtId="0" fontId="5" fillId="49" borderId="0" xfId="910" applyFont="1" applyFill="1" applyAlignment="1">
      <alignment vertical="center"/>
    </xf>
    <xf numFmtId="0" fontId="42" fillId="49" borderId="0" xfId="910" applyFont="1" applyFill="1" applyAlignment="1">
      <alignment vertical="center"/>
    </xf>
    <xf numFmtId="0" fontId="32" fillId="49" borderId="0" xfId="910" applyFont="1" applyFill="1" applyAlignment="1">
      <alignment horizontal="center"/>
    </xf>
    <xf numFmtId="0" fontId="32" fillId="49" borderId="0" xfId="910" applyFont="1" applyFill="1"/>
    <xf numFmtId="0" fontId="31" fillId="49" borderId="0" xfId="0" applyFont="1" applyFill="1" applyAlignment="1">
      <alignment horizontal="center" vertical="center"/>
    </xf>
    <xf numFmtId="0" fontId="31" fillId="49" borderId="0" xfId="910" applyFont="1" applyFill="1" applyAlignment="1">
      <alignment horizontal="center"/>
    </xf>
    <xf numFmtId="0" fontId="31" fillId="49" borderId="64" xfId="910" applyFont="1" applyFill="1" applyBorder="1" applyAlignment="1">
      <alignment horizontal="center"/>
    </xf>
    <xf numFmtId="0" fontId="33" fillId="49" borderId="0" xfId="910" applyFont="1" applyFill="1" applyAlignment="1">
      <alignment horizontal="left"/>
    </xf>
    <xf numFmtId="0" fontId="33" fillId="49" borderId="0" xfId="910" applyFont="1" applyFill="1" applyAlignment="1">
      <alignment horizontal="center"/>
    </xf>
    <xf numFmtId="0" fontId="31" fillId="49" borderId="0" xfId="0" applyFont="1" applyFill="1"/>
    <xf numFmtId="0" fontId="34" fillId="49" borderId="0" xfId="0" applyFont="1" applyFill="1"/>
    <xf numFmtId="0" fontId="31" fillId="49" borderId="0" xfId="0" quotePrefix="1" applyFont="1" applyFill="1"/>
    <xf numFmtId="0" fontId="42" fillId="49" borderId="13" xfId="0" applyFont="1" applyFill="1" applyBorder="1" applyAlignment="1" applyProtection="1">
      <alignment horizontal="center"/>
      <protection locked="0"/>
    </xf>
    <xf numFmtId="0" fontId="34" fillId="49" borderId="0" xfId="0" applyFont="1" applyFill="1" applyAlignment="1">
      <alignment horizontal="center" vertical="center"/>
    </xf>
    <xf numFmtId="1" fontId="31" fillId="49" borderId="17" xfId="910" applyNumberFormat="1" applyFont="1" applyFill="1" applyBorder="1" applyAlignment="1">
      <alignment horizontal="center" vertical="center"/>
    </xf>
    <xf numFmtId="0" fontId="42" fillId="49" borderId="13" xfId="910" applyFont="1" applyFill="1" applyBorder="1" applyAlignment="1">
      <alignment horizontal="center"/>
    </xf>
    <xf numFmtId="0" fontId="2" fillId="0" borderId="101" xfId="0" applyFont="1" applyBorder="1" applyAlignment="1">
      <alignment vertical="center"/>
    </xf>
    <xf numFmtId="0" fontId="2" fillId="0" borderId="29" xfId="0" applyFont="1" applyBorder="1" applyAlignment="1">
      <alignment vertical="center"/>
    </xf>
    <xf numFmtId="0" fontId="2" fillId="0" borderId="25" xfId="0" applyFont="1" applyBorder="1" applyAlignment="1">
      <alignment horizontal="center" vertical="center"/>
    </xf>
    <xf numFmtId="0" fontId="2" fillId="0" borderId="17" xfId="0" applyFont="1" applyBorder="1" applyAlignment="1">
      <alignment horizontal="center" vertical="center" wrapText="1"/>
    </xf>
    <xf numFmtId="0" fontId="2" fillId="0" borderId="40" xfId="0" applyFont="1" applyBorder="1" applyAlignment="1">
      <alignment horizontal="center" vertical="center" wrapText="1"/>
    </xf>
    <xf numFmtId="0" fontId="2" fillId="47" borderId="17" xfId="0" applyFont="1" applyFill="1" applyBorder="1" applyAlignment="1">
      <alignment horizontal="center" vertical="center" wrapText="1"/>
    </xf>
    <xf numFmtId="0" fontId="2" fillId="64" borderId="17" xfId="0" applyFont="1" applyFill="1" applyBorder="1" applyAlignment="1">
      <alignment horizontal="center" vertical="center" wrapText="1"/>
    </xf>
    <xf numFmtId="0" fontId="2" fillId="0" borderId="43" xfId="0" applyFont="1" applyBorder="1" applyAlignment="1">
      <alignment horizontal="center" vertical="center" wrapText="1"/>
    </xf>
    <xf numFmtId="0" fontId="2" fillId="68" borderId="0" xfId="0" applyFont="1" applyFill="1" applyAlignment="1">
      <alignment horizontal="center" vertical="center"/>
    </xf>
    <xf numFmtId="0" fontId="2" fillId="0" borderId="31" xfId="0" applyFont="1" applyBorder="1" applyAlignment="1">
      <alignment vertical="center"/>
    </xf>
    <xf numFmtId="0" fontId="2" fillId="65" borderId="17" xfId="0" applyFont="1" applyFill="1" applyBorder="1" applyAlignment="1">
      <alignment horizontal="center" vertical="center" wrapText="1"/>
    </xf>
    <xf numFmtId="0" fontId="2" fillId="65" borderId="25" xfId="0" applyFont="1" applyFill="1" applyBorder="1" applyAlignment="1">
      <alignment horizontal="center" vertical="center" wrapText="1"/>
    </xf>
    <xf numFmtId="0" fontId="2" fillId="0" borderId="50" xfId="0" applyFont="1" applyBorder="1" applyAlignment="1">
      <alignment vertical="center"/>
    </xf>
    <xf numFmtId="0" fontId="2" fillId="0" borderId="46" xfId="0" applyFont="1" applyBorder="1" applyAlignment="1">
      <alignment horizontal="center" vertical="center"/>
    </xf>
    <xf numFmtId="0" fontId="2" fillId="0" borderId="28" xfId="0" applyFont="1" applyBorder="1" applyAlignment="1">
      <alignment vertical="center"/>
    </xf>
    <xf numFmtId="0" fontId="2" fillId="67" borderId="17" xfId="0" applyFont="1" applyFill="1" applyBorder="1" applyAlignment="1">
      <alignment horizontal="center" vertical="center"/>
    </xf>
    <xf numFmtId="0" fontId="2" fillId="63" borderId="17" xfId="0" applyFont="1" applyFill="1" applyBorder="1" applyAlignment="1">
      <alignment horizontal="center" vertical="center"/>
    </xf>
    <xf numFmtId="0" fontId="2" fillId="47" borderId="17" xfId="0" applyFont="1" applyFill="1" applyBorder="1" applyAlignment="1">
      <alignment horizontal="center" vertical="center"/>
    </xf>
    <xf numFmtId="0" fontId="2" fillId="66" borderId="17" xfId="0" applyFont="1" applyFill="1" applyBorder="1" applyAlignment="1">
      <alignment horizontal="center" vertical="center"/>
    </xf>
    <xf numFmtId="0" fontId="2" fillId="47" borderId="25" xfId="0" applyFont="1" applyFill="1" applyBorder="1" applyAlignment="1">
      <alignment horizontal="center" vertical="center"/>
    </xf>
    <xf numFmtId="0" fontId="2" fillId="66" borderId="25" xfId="0" applyFont="1" applyFill="1" applyBorder="1" applyAlignment="1">
      <alignment horizontal="center" vertical="center"/>
    </xf>
    <xf numFmtId="0" fontId="2" fillId="0" borderId="51" xfId="0" applyFont="1" applyBorder="1" applyAlignment="1">
      <alignment horizontal="center" vertical="center"/>
    </xf>
    <xf numFmtId="0" fontId="2" fillId="0" borderId="51" xfId="0" applyFont="1" applyBorder="1" applyAlignment="1">
      <alignment vertical="center"/>
    </xf>
    <xf numFmtId="0" fontId="2" fillId="0" borderId="39" xfId="0" applyFont="1" applyBorder="1" applyAlignment="1">
      <alignment vertical="center"/>
    </xf>
    <xf numFmtId="0" fontId="2" fillId="0" borderId="46" xfId="0" applyFont="1" applyBorder="1" applyAlignment="1">
      <alignment vertical="center"/>
    </xf>
    <xf numFmtId="0" fontId="2" fillId="43" borderId="17" xfId="0" applyFont="1" applyFill="1" applyBorder="1" applyAlignment="1">
      <alignment horizontal="center" vertical="center" wrapText="1"/>
    </xf>
    <xf numFmtId="0" fontId="2" fillId="34" borderId="17" xfId="0" applyFont="1" applyFill="1" applyBorder="1" applyAlignment="1">
      <alignment horizontal="center" vertical="center" wrapText="1"/>
    </xf>
    <xf numFmtId="0" fontId="2" fillId="45" borderId="17" xfId="0" applyFont="1" applyFill="1" applyBorder="1" applyAlignment="1">
      <alignment horizontal="center" vertical="center" wrapText="1"/>
    </xf>
    <xf numFmtId="0" fontId="2" fillId="34" borderId="18" xfId="0" applyFont="1" applyFill="1" applyBorder="1" applyAlignment="1">
      <alignment horizontal="center" vertical="center" wrapText="1"/>
    </xf>
    <xf numFmtId="0" fontId="2" fillId="73" borderId="17" xfId="0" applyFont="1" applyFill="1" applyBorder="1" applyAlignment="1">
      <alignment horizontal="center" vertical="center" wrapText="1"/>
    </xf>
    <xf numFmtId="0" fontId="2" fillId="74" borderId="17" xfId="0" applyFont="1" applyFill="1" applyBorder="1" applyAlignment="1">
      <alignment horizontal="center" vertical="center" wrapText="1"/>
    </xf>
    <xf numFmtId="0" fontId="2" fillId="70" borderId="25" xfId="0" applyFont="1" applyFill="1" applyBorder="1" applyAlignment="1">
      <alignment horizontal="center" vertical="center" wrapText="1"/>
    </xf>
    <xf numFmtId="0" fontId="2" fillId="75" borderId="17" xfId="0" applyFont="1" applyFill="1" applyBorder="1" applyAlignment="1">
      <alignment horizontal="center" vertical="center" wrapText="1"/>
    </xf>
    <xf numFmtId="0" fontId="2" fillId="75" borderId="25" xfId="0" applyFont="1" applyFill="1" applyBorder="1" applyAlignment="1">
      <alignment horizontal="center" vertical="center" wrapText="1"/>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49" borderId="0" xfId="0" applyFont="1" applyFill="1"/>
    <xf numFmtId="0" fontId="66" fillId="0" borderId="0" xfId="0" applyFont="1" applyAlignment="1">
      <alignment horizontal="center" vertical="center"/>
    </xf>
    <xf numFmtId="49" fontId="68" fillId="0" borderId="0" xfId="0" applyNumberFormat="1" applyFont="1" applyAlignment="1">
      <alignment horizontal="center" vertical="center"/>
    </xf>
    <xf numFmtId="0" fontId="66" fillId="62" borderId="41" xfId="0" applyFont="1" applyFill="1" applyBorder="1" applyAlignment="1">
      <alignment horizontal="center" vertical="center" wrapText="1"/>
    </xf>
    <xf numFmtId="0" fontId="66" fillId="62" borderId="42" xfId="0" applyFont="1" applyFill="1" applyBorder="1" applyAlignment="1">
      <alignment horizontal="center" vertical="center" wrapText="1"/>
    </xf>
    <xf numFmtId="0" fontId="66" fillId="62" borderId="17" xfId="0" applyFont="1" applyFill="1" applyBorder="1" applyAlignment="1">
      <alignment horizontal="center" vertical="center" wrapText="1"/>
    </xf>
    <xf numFmtId="0" fontId="66" fillId="62" borderId="40" xfId="0" applyFont="1" applyFill="1" applyBorder="1" applyAlignment="1">
      <alignment horizontal="center" vertical="center" wrapText="1"/>
    </xf>
    <xf numFmtId="0" fontId="66" fillId="0" borderId="17" xfId="0" applyFont="1" applyBorder="1" applyAlignment="1">
      <alignment horizontal="justify" vertical="center" wrapText="1"/>
    </xf>
    <xf numFmtId="0" fontId="65" fillId="0" borderId="18" xfId="0" applyFont="1" applyBorder="1" applyAlignment="1">
      <alignment horizontal="center" vertical="center"/>
    </xf>
    <xf numFmtId="0" fontId="65" fillId="0" borderId="17" xfId="0" applyFont="1" applyBorder="1" applyAlignment="1">
      <alignment horizontal="center" vertical="center"/>
    </xf>
    <xf numFmtId="0" fontId="65" fillId="0" borderId="40" xfId="0" applyFont="1" applyBorder="1" applyAlignment="1">
      <alignment horizontal="center" vertical="center"/>
    </xf>
    <xf numFmtId="0" fontId="66" fillId="0" borderId="25" xfId="0" applyFont="1" applyBorder="1" applyAlignment="1">
      <alignment horizontal="justify" vertical="center" wrapText="1"/>
    </xf>
    <xf numFmtId="0" fontId="65" fillId="0" borderId="25" xfId="0" applyFont="1" applyBorder="1" applyAlignment="1">
      <alignment horizontal="center" vertical="center"/>
    </xf>
    <xf numFmtId="0" fontId="65" fillId="0" borderId="43" xfId="0" applyFont="1" applyBorder="1" applyAlignment="1">
      <alignment horizontal="center" vertical="center"/>
    </xf>
    <xf numFmtId="0" fontId="69" fillId="0" borderId="0" xfId="0" applyFont="1"/>
    <xf numFmtId="0" fontId="69" fillId="0" borderId="0" xfId="0" quotePrefix="1" applyFont="1"/>
    <xf numFmtId="0" fontId="66" fillId="0" borderId="0" xfId="0" applyFont="1" applyAlignment="1">
      <alignment horizontal="justify" vertical="center" wrapText="1"/>
    </xf>
    <xf numFmtId="0" fontId="66" fillId="62" borderId="17" xfId="0" applyFont="1" applyFill="1" applyBorder="1" applyAlignment="1">
      <alignment horizontal="justify" vertical="center" wrapText="1"/>
    </xf>
    <xf numFmtId="0" fontId="66" fillId="0" borderId="25" xfId="0" applyFont="1" applyBorder="1" applyAlignment="1">
      <alignment horizontal="center" vertical="center"/>
    </xf>
    <xf numFmtId="0" fontId="66" fillId="0" borderId="17" xfId="0" applyFont="1" applyBorder="1" applyAlignment="1">
      <alignment horizontal="center" vertical="center" wrapText="1"/>
    </xf>
    <xf numFmtId="0" fontId="66" fillId="0" borderId="25" xfId="0" applyFont="1" applyBorder="1" applyAlignment="1">
      <alignment horizontal="center" vertical="center" wrapText="1"/>
    </xf>
    <xf numFmtId="0" fontId="66" fillId="62" borderId="18" xfId="0" applyFont="1" applyFill="1" applyBorder="1" applyAlignment="1">
      <alignment horizontal="center" vertical="center" wrapText="1"/>
    </xf>
    <xf numFmtId="0" fontId="66" fillId="0" borderId="0" xfId="0" applyFont="1" applyAlignment="1">
      <alignment horizontal="center" vertical="center" wrapText="1"/>
    </xf>
    <xf numFmtId="0" fontId="66" fillId="0" borderId="17" xfId="0" applyFont="1" applyBorder="1" applyAlignment="1">
      <alignment horizontal="center" vertical="center"/>
    </xf>
    <xf numFmtId="0" fontId="72" fillId="62" borderId="64" xfId="0" applyFont="1" applyFill="1" applyBorder="1" applyAlignment="1">
      <alignment horizontal="center" vertical="center" wrapText="1"/>
    </xf>
    <xf numFmtId="0" fontId="72" fillId="62" borderId="17" xfId="0" applyFont="1" applyFill="1" applyBorder="1" applyAlignment="1">
      <alignment horizontal="center" vertical="center" wrapText="1"/>
    </xf>
    <xf numFmtId="0" fontId="72" fillId="0" borderId="17" xfId="0" applyFont="1" applyBorder="1" applyAlignment="1">
      <alignment horizontal="center" vertical="center" wrapText="1"/>
    </xf>
    <xf numFmtId="0" fontId="2" fillId="49" borderId="0" xfId="0" applyFont="1" applyFill="1" applyAlignment="1">
      <alignment horizontal="center" vertical="center" wrapText="1"/>
    </xf>
    <xf numFmtId="172" fontId="2" fillId="32" borderId="17" xfId="0" applyNumberFormat="1" applyFont="1" applyFill="1" applyBorder="1" applyAlignment="1">
      <alignment horizontal="center" vertical="center"/>
    </xf>
    <xf numFmtId="173" fontId="2" fillId="32" borderId="17" xfId="0" applyNumberFormat="1" applyFont="1" applyFill="1" applyBorder="1" applyAlignment="1">
      <alignment horizontal="center" vertical="center"/>
    </xf>
    <xf numFmtId="0" fontId="2" fillId="0" borderId="17" xfId="0" applyFont="1" applyBorder="1"/>
    <xf numFmtId="2" fontId="2" fillId="70" borderId="17" xfId="0" applyNumberFormat="1" applyFont="1" applyFill="1" applyBorder="1" applyAlignment="1">
      <alignment horizontal="center" vertical="center" wrapText="1"/>
    </xf>
    <xf numFmtId="2" fontId="2" fillId="70" borderId="17" xfId="0" applyNumberFormat="1" applyFont="1" applyFill="1" applyBorder="1" applyAlignment="1">
      <alignment horizontal="center" vertical="center"/>
    </xf>
    <xf numFmtId="0" fontId="67" fillId="0" borderId="17" xfId="0" quotePrefix="1" applyFont="1" applyBorder="1" applyAlignment="1">
      <alignment horizontal="center" vertical="center"/>
    </xf>
    <xf numFmtId="0" fontId="73" fillId="0" borderId="0" xfId="0" applyFont="1" applyAlignment="1">
      <alignment horizontal="center" vertical="center" wrapText="1"/>
    </xf>
    <xf numFmtId="0" fontId="2" fillId="0" borderId="0" xfId="0" applyFont="1" applyAlignment="1" applyProtection="1">
      <alignment horizontal="left" vertical="center"/>
      <protection locked="0"/>
    </xf>
    <xf numFmtId="0" fontId="2" fillId="0" borderId="0" xfId="0" quotePrefix="1" applyFont="1" applyAlignment="1" applyProtection="1">
      <alignment horizontal="center" vertical="center"/>
      <protection locked="0"/>
    </xf>
    <xf numFmtId="49" fontId="2" fillId="0" borderId="17" xfId="0" applyNumberFormat="1" applyFont="1" applyBorder="1" applyAlignment="1" applyProtection="1">
      <alignment horizontal="center" vertical="center"/>
      <protection locked="0"/>
    </xf>
    <xf numFmtId="49" fontId="2" fillId="0" borderId="0" xfId="0" applyNumberFormat="1" applyFont="1" applyAlignment="1" applyProtection="1">
      <alignment horizontal="center" vertical="center"/>
      <protection locked="0"/>
    </xf>
    <xf numFmtId="49" fontId="2" fillId="0" borderId="0" xfId="0" applyNumberFormat="1" applyFont="1" applyAlignment="1" applyProtection="1">
      <alignment horizontal="center" vertical="center" wrapText="1"/>
      <protection locked="0"/>
    </xf>
    <xf numFmtId="49" fontId="3" fillId="57" borderId="17" xfId="0" applyNumberFormat="1" applyFont="1" applyFill="1" applyBorder="1" applyAlignment="1">
      <alignment horizontal="center" vertical="center" wrapText="1"/>
    </xf>
    <xf numFmtId="49" fontId="2" fillId="51" borderId="92" xfId="0" applyNumberFormat="1" applyFont="1" applyFill="1" applyBorder="1" applyAlignment="1" applyProtection="1">
      <alignment horizontal="center" vertical="center"/>
      <protection locked="0"/>
    </xf>
    <xf numFmtId="49" fontId="2" fillId="0" borderId="94" xfId="0" applyNumberFormat="1" applyFont="1" applyBorder="1" applyAlignment="1" applyProtection="1">
      <alignment horizontal="center" vertical="center"/>
      <protection locked="0"/>
    </xf>
    <xf numFmtId="49" fontId="2" fillId="41" borderId="92" xfId="0" applyNumberFormat="1" applyFont="1" applyFill="1" applyBorder="1" applyAlignment="1">
      <alignment horizontal="center" vertical="center"/>
    </xf>
    <xf numFmtId="49" fontId="2" fillId="0" borderId="0" xfId="0" applyNumberFormat="1" applyFont="1" applyAlignment="1">
      <alignment horizontal="center" vertical="center"/>
    </xf>
    <xf numFmtId="49" fontId="2" fillId="0" borderId="97" xfId="0" applyNumberFormat="1" applyFont="1" applyBorder="1" applyAlignment="1">
      <alignment horizontal="center" vertical="center"/>
    </xf>
    <xf numFmtId="49" fontId="2" fillId="0" borderId="98" xfId="0" applyNumberFormat="1" applyFont="1" applyBorder="1" applyAlignment="1">
      <alignment horizontal="center" vertical="center"/>
    </xf>
    <xf numFmtId="49" fontId="2" fillId="46" borderId="96" xfId="0" applyNumberFormat="1" applyFont="1" applyFill="1" applyBorder="1" applyAlignment="1">
      <alignment horizontal="center" vertical="center"/>
    </xf>
    <xf numFmtId="49" fontId="2" fillId="46" borderId="98" xfId="0" applyNumberFormat="1" applyFont="1" applyFill="1" applyBorder="1" applyAlignment="1">
      <alignment horizontal="center" vertical="center"/>
    </xf>
    <xf numFmtId="49" fontId="2" fillId="44" borderId="96" xfId="0" applyNumberFormat="1" applyFont="1" applyFill="1" applyBorder="1" applyAlignment="1">
      <alignment horizontal="center" vertical="center"/>
    </xf>
    <xf numFmtId="49" fontId="2" fillId="44" borderId="98" xfId="0" applyNumberFormat="1" applyFont="1" applyFill="1" applyBorder="1" applyAlignment="1">
      <alignment horizontal="center" vertical="center"/>
    </xf>
    <xf numFmtId="49" fontId="2" fillId="59" borderId="96" xfId="0" applyNumberFormat="1" applyFont="1" applyFill="1" applyBorder="1" applyAlignment="1">
      <alignment horizontal="center" vertical="center"/>
    </xf>
    <xf numFmtId="49" fontId="2" fillId="59" borderId="98" xfId="0" applyNumberFormat="1" applyFont="1" applyFill="1" applyBorder="1" applyAlignment="1">
      <alignment horizontal="center" vertical="center"/>
    </xf>
    <xf numFmtId="49" fontId="2" fillId="0" borderId="98" xfId="0" applyNumberFormat="1" applyFont="1" applyBorder="1" applyAlignment="1" applyProtection="1">
      <alignment horizontal="center" vertical="center"/>
      <protection locked="0"/>
    </xf>
    <xf numFmtId="49" fontId="2" fillId="58" borderId="96" xfId="0" applyNumberFormat="1" applyFont="1" applyFill="1" applyBorder="1" applyAlignment="1">
      <alignment horizontal="center" vertical="center"/>
    </xf>
    <xf numFmtId="49" fontId="2" fillId="0" borderId="97" xfId="0" applyNumberFormat="1" applyFont="1" applyBorder="1" applyAlignment="1" applyProtection="1">
      <alignment horizontal="center" vertical="center"/>
      <protection locked="0"/>
    </xf>
    <xf numFmtId="49" fontId="2" fillId="31" borderId="96" xfId="0" applyNumberFormat="1" applyFont="1" applyFill="1" applyBorder="1" applyAlignment="1" applyProtection="1">
      <alignment horizontal="center" vertical="center"/>
      <protection locked="0"/>
    </xf>
    <xf numFmtId="0" fontId="2" fillId="0" borderId="17" xfId="0" applyFont="1" applyBorder="1" applyAlignment="1" applyProtection="1">
      <alignment horizontal="center" vertical="center" wrapText="1"/>
      <protection locked="0"/>
    </xf>
    <xf numFmtId="0" fontId="2" fillId="0" borderId="17" xfId="0" applyFont="1" applyBorder="1" applyAlignment="1" applyProtection="1">
      <alignment horizontal="center" vertical="center"/>
      <protection locked="0"/>
    </xf>
    <xf numFmtId="0" fontId="2" fillId="0" borderId="17" xfId="0" quotePrefix="1" applyFont="1" applyBorder="1" applyAlignment="1" applyProtection="1">
      <alignment horizontal="center" vertical="center"/>
      <protection locked="0"/>
    </xf>
    <xf numFmtId="0" fontId="2" fillId="51" borderId="92" xfId="0" applyFont="1" applyFill="1" applyBorder="1" applyAlignment="1" applyProtection="1">
      <alignment horizontal="center" vertical="center"/>
      <protection locked="0"/>
    </xf>
    <xf numFmtId="0" fontId="3" fillId="70" borderId="17" xfId="0" applyFont="1" applyFill="1" applyBorder="1" applyAlignment="1" applyProtection="1">
      <alignment horizontal="center" vertical="center" wrapText="1" shrinkToFit="1"/>
      <protection locked="0"/>
    </xf>
    <xf numFmtId="0" fontId="2" fillId="0" borderId="93" xfId="0" applyFont="1" applyBorder="1" applyAlignment="1" applyProtection="1">
      <alignment horizontal="center" vertical="center"/>
      <protection locked="0"/>
    </xf>
    <xf numFmtId="0" fontId="2" fillId="0" borderId="94" xfId="0" applyFont="1" applyBorder="1" applyAlignment="1" applyProtection="1">
      <alignment horizontal="center" vertical="center"/>
      <protection locked="0"/>
    </xf>
    <xf numFmtId="0" fontId="3" fillId="42" borderId="13" xfId="0" applyFont="1" applyFill="1" applyBorder="1" applyAlignment="1">
      <alignment horizontal="center" vertical="center" wrapText="1"/>
    </xf>
    <xf numFmtId="0" fontId="2" fillId="0" borderId="98" xfId="0" applyFont="1" applyBorder="1" applyAlignment="1">
      <alignment horizontal="center" vertical="center"/>
    </xf>
    <xf numFmtId="0" fontId="2" fillId="46" borderId="96" xfId="0" applyFont="1" applyFill="1" applyBorder="1" applyAlignment="1">
      <alignment horizontal="center" vertical="center"/>
    </xf>
    <xf numFmtId="0" fontId="2" fillId="46" borderId="98" xfId="0" applyFont="1" applyFill="1" applyBorder="1" applyAlignment="1">
      <alignment horizontal="center" vertical="center"/>
    </xf>
    <xf numFmtId="0" fontId="2" fillId="0" borderId="99" xfId="0" applyFont="1" applyBorder="1" applyAlignment="1">
      <alignment horizontal="center" vertical="center"/>
    </xf>
    <xf numFmtId="0" fontId="3" fillId="45" borderId="13" xfId="0" applyFont="1" applyFill="1" applyBorder="1" applyAlignment="1">
      <alignment horizontal="center" vertical="center" wrapText="1"/>
    </xf>
    <xf numFmtId="0" fontId="2" fillId="44" borderId="96" xfId="0" applyFont="1" applyFill="1" applyBorder="1" applyAlignment="1">
      <alignment horizontal="center" vertical="center"/>
    </xf>
    <xf numFmtId="0" fontId="2" fillId="44" borderId="98" xfId="0" applyFont="1" applyFill="1" applyBorder="1" applyAlignment="1">
      <alignment horizontal="center" vertical="center"/>
    </xf>
    <xf numFmtId="0" fontId="3" fillId="60" borderId="13" xfId="0" applyFont="1" applyFill="1" applyBorder="1" applyAlignment="1">
      <alignment horizontal="center" vertical="center" wrapText="1"/>
    </xf>
    <xf numFmtId="0" fontId="2" fillId="59" borderId="96" xfId="0" applyFont="1" applyFill="1" applyBorder="1" applyAlignment="1">
      <alignment horizontal="center" vertical="center"/>
    </xf>
    <xf numFmtId="0" fontId="2" fillId="59" borderId="98" xfId="0" applyFont="1" applyFill="1" applyBorder="1" applyAlignment="1">
      <alignment horizontal="center" vertical="center"/>
    </xf>
    <xf numFmtId="0" fontId="3" fillId="26" borderId="13" xfId="0" applyFont="1" applyFill="1" applyBorder="1" applyAlignment="1">
      <alignment horizontal="center" vertical="center" wrapText="1"/>
    </xf>
    <xf numFmtId="0" fontId="2" fillId="0" borderId="98" xfId="0" applyFont="1" applyBorder="1" applyAlignment="1" applyProtection="1">
      <alignment horizontal="center" vertical="center"/>
      <protection locked="0"/>
    </xf>
    <xf numFmtId="0" fontId="2" fillId="58" borderId="96" xfId="0" applyFont="1" applyFill="1" applyBorder="1" applyAlignment="1">
      <alignment horizontal="center" vertical="center"/>
    </xf>
    <xf numFmtId="0" fontId="3" fillId="28" borderId="13" xfId="0" applyFont="1" applyFill="1" applyBorder="1" applyAlignment="1" applyProtection="1">
      <alignment horizontal="center" vertical="center"/>
      <protection locked="0"/>
    </xf>
    <xf numFmtId="0" fontId="3" fillId="28" borderId="13" xfId="0" applyFont="1" applyFill="1" applyBorder="1" applyAlignment="1" applyProtection="1">
      <alignment horizontal="center" vertical="center" wrapText="1"/>
      <protection locked="0"/>
    </xf>
    <xf numFmtId="0" fontId="2" fillId="31" borderId="96" xfId="0" applyFont="1" applyFill="1" applyBorder="1" applyAlignment="1" applyProtection="1">
      <alignment horizontal="center" vertical="center"/>
      <protection locked="0"/>
    </xf>
    <xf numFmtId="0" fontId="3" fillId="28" borderId="13" xfId="0" applyFont="1" applyFill="1" applyBorder="1" applyAlignment="1" applyProtection="1">
      <alignment horizontal="center" vertical="center" wrapText="1" shrinkToFit="1"/>
      <protection locked="0"/>
    </xf>
    <xf numFmtId="0" fontId="2" fillId="0" borderId="99" xfId="0" applyFont="1" applyBorder="1" applyAlignment="1" applyProtection="1">
      <alignment horizontal="center" vertical="center"/>
      <protection locked="0"/>
    </xf>
    <xf numFmtId="0" fontId="74" fillId="0" borderId="17" xfId="0" applyFont="1" applyBorder="1" applyAlignment="1" applyProtection="1">
      <alignment horizontal="center" vertical="center"/>
      <protection locked="0"/>
    </xf>
    <xf numFmtId="0" fontId="3" fillId="76" borderId="0" xfId="0" applyFont="1" applyFill="1" applyAlignment="1">
      <alignment horizontal="center" vertical="center"/>
    </xf>
    <xf numFmtId="1" fontId="46" fillId="0" borderId="17" xfId="0" applyNumberFormat="1" applyFont="1" applyBorder="1" applyAlignment="1" applyProtection="1">
      <alignment horizontal="center" vertical="center"/>
      <protection locked="0"/>
    </xf>
    <xf numFmtId="0" fontId="2" fillId="70" borderId="22" xfId="0" applyFont="1" applyFill="1" applyBorder="1" applyAlignment="1">
      <alignment horizontal="center" vertical="center"/>
    </xf>
    <xf numFmtId="0" fontId="65" fillId="0" borderId="105" xfId="0" applyFont="1" applyBorder="1" applyAlignment="1">
      <alignment horizontal="center" vertical="center"/>
    </xf>
    <xf numFmtId="0" fontId="2" fillId="0" borderId="112" xfId="0" applyFont="1" applyBorder="1" applyAlignment="1">
      <alignment vertical="center"/>
    </xf>
    <xf numFmtId="0" fontId="2" fillId="0" borderId="112" xfId="0" applyFont="1" applyBorder="1" applyAlignment="1">
      <alignment horizontal="center" vertical="center"/>
    </xf>
    <xf numFmtId="0" fontId="66" fillId="0" borderId="112" xfId="0" applyFont="1" applyBorder="1" applyAlignment="1">
      <alignment horizontal="justify" vertical="center" wrapText="1"/>
    </xf>
    <xf numFmtId="0" fontId="66" fillId="0" borderId="112" xfId="0" applyFont="1" applyBorder="1" applyAlignment="1">
      <alignment horizontal="center" vertical="center"/>
    </xf>
    <xf numFmtId="0" fontId="2" fillId="0" borderId="112" xfId="0" applyFont="1" applyBorder="1" applyAlignment="1">
      <alignment horizontal="center" vertical="center" wrapText="1"/>
    </xf>
    <xf numFmtId="0" fontId="2" fillId="0" borderId="22" xfId="0" applyFont="1" applyBorder="1" applyAlignment="1">
      <alignment vertical="center"/>
    </xf>
    <xf numFmtId="0" fontId="2" fillId="0" borderId="35" xfId="0" applyFont="1" applyBorder="1" applyAlignment="1">
      <alignment vertical="center"/>
    </xf>
    <xf numFmtId="2" fontId="2" fillId="0" borderId="22" xfId="0" applyNumberFormat="1" applyFont="1" applyBorder="1" applyAlignment="1">
      <alignment horizontal="center" vertical="center"/>
    </xf>
    <xf numFmtId="2" fontId="2" fillId="32" borderId="22" xfId="0" applyNumberFormat="1" applyFont="1" applyFill="1" applyBorder="1" applyAlignment="1">
      <alignment horizontal="center" vertical="center"/>
    </xf>
    <xf numFmtId="2" fontId="45" fillId="32" borderId="22" xfId="0" applyNumberFormat="1" applyFont="1" applyFill="1" applyBorder="1" applyAlignment="1">
      <alignment horizontal="center" vertical="center"/>
    </xf>
    <xf numFmtId="2" fontId="45" fillId="0" borderId="22" xfId="0" applyNumberFormat="1" applyFont="1" applyBorder="1" applyAlignment="1">
      <alignment horizontal="center" vertical="center"/>
    </xf>
    <xf numFmtId="2" fontId="2" fillId="70" borderId="22" xfId="0" applyNumberFormat="1" applyFont="1" applyFill="1" applyBorder="1" applyAlignment="1">
      <alignment horizontal="center" vertical="center"/>
    </xf>
    <xf numFmtId="0" fontId="74" fillId="0" borderId="64" xfId="0" applyFont="1" applyBorder="1" applyAlignment="1" applyProtection="1">
      <alignment horizontal="center" vertical="center"/>
      <protection locked="0"/>
    </xf>
    <xf numFmtId="0" fontId="3" fillId="26" borderId="26" xfId="0" applyFont="1" applyFill="1" applyBorder="1" applyAlignment="1">
      <alignment horizontal="center" vertical="center" wrapText="1"/>
    </xf>
    <xf numFmtId="0" fontId="3" fillId="60" borderId="26" xfId="0" applyFont="1" applyFill="1" applyBorder="1" applyAlignment="1">
      <alignment horizontal="center" vertical="center" wrapText="1"/>
    </xf>
    <xf numFmtId="171" fontId="2" fillId="0" borderId="17" xfId="0" quotePrefix="1" applyNumberFormat="1" applyFont="1" applyBorder="1" applyAlignment="1" applyProtection="1">
      <alignment horizontal="center" vertical="center"/>
      <protection locked="0"/>
    </xf>
    <xf numFmtId="0" fontId="80" fillId="0" borderId="17" xfId="0" applyFont="1" applyBorder="1" applyAlignment="1" applyProtection="1">
      <alignment horizontal="center" vertical="center"/>
      <protection locked="0"/>
    </xf>
    <xf numFmtId="0" fontId="80" fillId="54" borderId="17" xfId="0" applyFont="1" applyFill="1" applyBorder="1" applyAlignment="1" applyProtection="1">
      <alignment horizontal="center" vertical="center"/>
      <protection locked="0"/>
    </xf>
    <xf numFmtId="0" fontId="80" fillId="43" borderId="17" xfId="0" applyFont="1" applyFill="1" applyBorder="1" applyAlignment="1" applyProtection="1">
      <alignment horizontal="center" vertical="center"/>
      <protection locked="0"/>
    </xf>
    <xf numFmtId="49" fontId="63" fillId="0" borderId="16" xfId="0" applyNumberFormat="1" applyFont="1" applyBorder="1" applyAlignment="1" applyProtection="1">
      <alignment horizontal="center" vertical="center"/>
      <protection locked="0"/>
    </xf>
    <xf numFmtId="0" fontId="3" fillId="70" borderId="28" xfId="0" applyFont="1" applyFill="1" applyBorder="1" applyAlignment="1" applyProtection="1">
      <alignment horizontal="center" vertical="center" wrapText="1"/>
      <protection locked="0"/>
    </xf>
    <xf numFmtId="0" fontId="3" fillId="70" borderId="40" xfId="0" applyFont="1" applyFill="1" applyBorder="1" applyAlignment="1" applyProtection="1">
      <alignment horizontal="center" vertical="center" wrapText="1"/>
      <protection locked="0"/>
    </xf>
    <xf numFmtId="0" fontId="2" fillId="0" borderId="114" xfId="0" applyFont="1" applyBorder="1" applyAlignment="1" applyProtection="1">
      <alignment horizontal="center" vertical="center"/>
      <protection locked="0"/>
    </xf>
    <xf numFmtId="0" fontId="63" fillId="0" borderId="102" xfId="0" applyFont="1" applyBorder="1" applyAlignment="1">
      <alignment horizontal="center" vertical="center"/>
    </xf>
    <xf numFmtId="0" fontId="63" fillId="0" borderId="64" xfId="0" quotePrefix="1" applyFont="1" applyBorder="1" applyAlignment="1">
      <alignment horizontal="center" vertical="center"/>
    </xf>
    <xf numFmtId="171" fontId="63" fillId="0" borderId="64" xfId="0" applyNumberFormat="1" applyFont="1" applyBorder="1" applyAlignment="1" applyProtection="1">
      <alignment horizontal="center" vertical="center"/>
      <protection locked="0"/>
    </xf>
    <xf numFmtId="169" fontId="63" fillId="0" borderId="64" xfId="0" applyNumberFormat="1" applyFont="1" applyBorder="1" applyAlignment="1" applyProtection="1">
      <alignment horizontal="center" vertical="center"/>
      <protection locked="0"/>
    </xf>
    <xf numFmtId="1" fontId="63" fillId="0" borderId="64" xfId="0" applyNumberFormat="1" applyFont="1" applyBorder="1" applyAlignment="1" applyProtection="1">
      <alignment horizontal="center" vertical="center"/>
      <protection locked="0"/>
    </xf>
    <xf numFmtId="166" fontId="63" fillId="0" borderId="64" xfId="0" applyNumberFormat="1" applyFont="1" applyBorder="1" applyAlignment="1" applyProtection="1">
      <alignment horizontal="center" vertical="center"/>
      <protection locked="0"/>
    </xf>
    <xf numFmtId="0" fontId="63" fillId="0" borderId="64" xfId="0" applyFont="1" applyBorder="1" applyAlignment="1" applyProtection="1">
      <alignment horizontal="center" vertical="center"/>
      <protection locked="0"/>
    </xf>
    <xf numFmtId="171" fontId="63" fillId="0" borderId="64" xfId="0" applyNumberFormat="1" applyFont="1" applyBorder="1" applyAlignment="1">
      <alignment horizontal="center" vertical="center"/>
    </xf>
    <xf numFmtId="2" fontId="63" fillId="0" borderId="64" xfId="0" applyNumberFormat="1" applyFont="1" applyBorder="1" applyAlignment="1" applyProtection="1">
      <alignment horizontal="center" vertical="center"/>
      <protection locked="0"/>
    </xf>
    <xf numFmtId="49" fontId="63" fillId="0" borderId="64" xfId="0" applyNumberFormat="1" applyFont="1" applyBorder="1" applyAlignment="1" applyProtection="1">
      <alignment horizontal="center" vertical="center"/>
      <protection locked="0"/>
    </xf>
    <xf numFmtId="0" fontId="63" fillId="0" borderId="115" xfId="0" applyFont="1" applyBorder="1" applyAlignment="1" applyProtection="1">
      <alignment horizontal="center" vertical="center"/>
      <protection locked="0"/>
    </xf>
    <xf numFmtId="0" fontId="2" fillId="0" borderId="40" xfId="0" applyFont="1" applyBorder="1" applyAlignment="1" applyProtection="1">
      <alignment horizontal="center" vertical="center" wrapText="1"/>
      <protection locked="0"/>
    </xf>
    <xf numFmtId="167" fontId="2" fillId="0" borderId="28" xfId="0" applyNumberFormat="1" applyFont="1" applyBorder="1" applyAlignment="1" applyProtection="1">
      <alignment horizontal="center" vertical="center"/>
      <protection locked="0"/>
    </xf>
    <xf numFmtId="167" fontId="79" fillId="0" borderId="28" xfId="0" applyNumberFormat="1" applyFont="1" applyBorder="1" applyAlignment="1" applyProtection="1">
      <alignment horizontal="center" vertical="center"/>
      <protection locked="0"/>
    </xf>
    <xf numFmtId="0" fontId="2" fillId="0" borderId="115" xfId="0" applyFont="1" applyBorder="1" applyAlignment="1" applyProtection="1">
      <alignment horizontal="center" vertical="center" wrapText="1"/>
      <protection locked="0"/>
    </xf>
    <xf numFmtId="167" fontId="78" fillId="0" borderId="28" xfId="0" applyNumberFormat="1" applyFont="1" applyBorder="1" applyAlignment="1" applyProtection="1">
      <alignment horizontal="center" vertical="center"/>
      <protection locked="0"/>
    </xf>
    <xf numFmtId="167" fontId="3" fillId="0" borderId="28" xfId="0" applyNumberFormat="1" applyFont="1" applyBorder="1" applyAlignment="1" applyProtection="1">
      <alignment horizontal="center" vertical="center"/>
      <protection locked="0"/>
    </xf>
    <xf numFmtId="167" fontId="2" fillId="0" borderId="29" xfId="0" applyNumberFormat="1" applyFont="1" applyBorder="1" applyAlignment="1" applyProtection="1">
      <alignment horizontal="center" vertical="center"/>
      <protection locked="0"/>
    </xf>
    <xf numFmtId="0" fontId="2" fillId="0" borderId="25" xfId="0" quotePrefix="1" applyFont="1" applyBorder="1" applyAlignment="1" applyProtection="1">
      <alignment horizontal="center" vertical="center"/>
      <protection locked="0"/>
    </xf>
    <xf numFmtId="171" fontId="2" fillId="0" borderId="25" xfId="0" applyNumberFormat="1" applyFont="1" applyBorder="1" applyAlignment="1" applyProtection="1">
      <alignment horizontal="center" vertical="center"/>
      <protection locked="0"/>
    </xf>
    <xf numFmtId="169" fontId="2" fillId="0" borderId="25" xfId="0" applyNumberFormat="1" applyFont="1" applyBorder="1" applyAlignment="1" applyProtection="1">
      <alignment horizontal="center" vertical="center"/>
      <protection locked="0"/>
    </xf>
    <xf numFmtId="1" fontId="2" fillId="0" borderId="25" xfId="0" applyNumberFormat="1" applyFont="1" applyBorder="1" applyAlignment="1" applyProtection="1">
      <alignment horizontal="center" vertical="center"/>
      <protection locked="0"/>
    </xf>
    <xf numFmtId="166" fontId="2" fillId="0" borderId="25" xfId="0" applyNumberFormat="1" applyFont="1" applyBorder="1" applyAlignment="1" applyProtection="1">
      <alignment horizontal="center" vertical="center"/>
      <protection locked="0"/>
    </xf>
    <xf numFmtId="0" fontId="2" fillId="0" borderId="25" xfId="0" applyFont="1" applyBorder="1" applyAlignment="1" applyProtection="1">
      <alignment horizontal="center" vertical="center"/>
      <protection locked="0"/>
    </xf>
    <xf numFmtId="2" fontId="2" fillId="0" borderId="25" xfId="0" applyNumberFormat="1" applyFont="1" applyBorder="1" applyAlignment="1" applyProtection="1">
      <alignment horizontal="center" vertical="center"/>
      <protection locked="0"/>
    </xf>
    <xf numFmtId="2" fontId="2" fillId="0" borderId="25" xfId="0" quotePrefix="1" applyNumberFormat="1" applyFont="1" applyBorder="1" applyAlignment="1" applyProtection="1">
      <alignment horizontal="center" vertical="center"/>
      <protection locked="0"/>
    </xf>
    <xf numFmtId="49" fontId="2" fillId="0" borderId="25" xfId="0" applyNumberFormat="1" applyFont="1" applyBorder="1" applyAlignment="1" applyProtection="1">
      <alignment horizontal="center" vertical="center"/>
      <protection locked="0"/>
    </xf>
    <xf numFmtId="0" fontId="80" fillId="0" borderId="25" xfId="0" applyFont="1" applyBorder="1" applyAlignment="1" applyProtection="1">
      <alignment horizontal="center" vertical="center"/>
      <protection locked="0"/>
    </xf>
    <xf numFmtId="0" fontId="2" fillId="0" borderId="43" xfId="0" applyFont="1" applyBorder="1" applyAlignment="1" applyProtection="1">
      <alignment horizontal="center" vertical="center" wrapText="1"/>
      <protection locked="0"/>
    </xf>
    <xf numFmtId="0" fontId="2" fillId="49" borderId="37" xfId="0" applyFont="1" applyFill="1" applyBorder="1" applyAlignment="1">
      <alignment horizontal="center" vertical="center"/>
    </xf>
    <xf numFmtId="0" fontId="81" fillId="0" borderId="31" xfId="0" applyFont="1" applyBorder="1" applyAlignment="1">
      <alignment horizontal="center" vertical="center"/>
    </xf>
    <xf numFmtId="0" fontId="82" fillId="0" borderId="31" xfId="0" applyFont="1" applyBorder="1" applyAlignment="1">
      <alignment horizontal="center" vertical="center"/>
    </xf>
    <xf numFmtId="0" fontId="3" fillId="45" borderId="26" xfId="0" applyFont="1" applyFill="1" applyBorder="1" applyAlignment="1">
      <alignment horizontal="center" vertical="center" wrapText="1"/>
    </xf>
    <xf numFmtId="0" fontId="3" fillId="42" borderId="26" xfId="0" applyFont="1" applyFill="1" applyBorder="1" applyAlignment="1">
      <alignment horizontal="center" vertical="center" wrapText="1"/>
    </xf>
    <xf numFmtId="0" fontId="2" fillId="0" borderId="64" xfId="0" quotePrefix="1" applyFont="1" applyBorder="1" applyAlignment="1" applyProtection="1">
      <alignment horizontal="center" vertical="center"/>
      <protection locked="0"/>
    </xf>
    <xf numFmtId="171" fontId="2" fillId="0" borderId="64" xfId="0" applyNumberFormat="1" applyFont="1" applyBorder="1" applyAlignment="1" applyProtection="1">
      <alignment horizontal="center" vertical="center"/>
      <protection locked="0"/>
    </xf>
    <xf numFmtId="169" fontId="2" fillId="0" borderId="64" xfId="0" applyNumberFormat="1" applyFont="1" applyBorder="1" applyAlignment="1" applyProtection="1">
      <alignment horizontal="center" vertical="center"/>
      <protection locked="0"/>
    </xf>
    <xf numFmtId="1" fontId="2" fillId="0" borderId="64" xfId="0" applyNumberFormat="1" applyFont="1" applyBorder="1" applyAlignment="1" applyProtection="1">
      <alignment horizontal="center" vertical="center"/>
      <protection locked="0"/>
    </xf>
    <xf numFmtId="166" fontId="2" fillId="0" borderId="64" xfId="0" applyNumberFormat="1" applyFont="1" applyBorder="1" applyAlignment="1" applyProtection="1">
      <alignment horizontal="center" vertical="center"/>
      <protection locked="0"/>
    </xf>
    <xf numFmtId="0" fontId="2" fillId="0" borderId="64" xfId="0" applyFont="1" applyBorder="1" applyAlignment="1" applyProtection="1">
      <alignment horizontal="center" vertical="center"/>
      <protection locked="0"/>
    </xf>
    <xf numFmtId="2" fontId="2" fillId="0" borderId="64" xfId="0" applyNumberFormat="1" applyFont="1" applyBorder="1" applyAlignment="1" applyProtection="1">
      <alignment horizontal="center" vertical="center"/>
      <protection locked="0"/>
    </xf>
    <xf numFmtId="2" fontId="2" fillId="0" borderId="64" xfId="0" quotePrefix="1" applyNumberFormat="1" applyFont="1" applyBorder="1" applyAlignment="1" applyProtection="1">
      <alignment horizontal="center" vertical="center"/>
      <protection locked="0"/>
    </xf>
    <xf numFmtId="49" fontId="2" fillId="0" borderId="64" xfId="0" applyNumberFormat="1" applyFont="1" applyBorder="1" applyAlignment="1" applyProtection="1">
      <alignment horizontal="center" vertical="center"/>
      <protection locked="0"/>
    </xf>
    <xf numFmtId="167" fontId="83" fillId="0" borderId="28" xfId="0" applyNumberFormat="1" applyFont="1" applyBorder="1" applyAlignment="1" applyProtection="1">
      <alignment horizontal="center" vertical="center"/>
      <protection locked="0"/>
    </xf>
    <xf numFmtId="167" fontId="83" fillId="0" borderId="102" xfId="0" applyNumberFormat="1" applyFont="1" applyBorder="1" applyAlignment="1" applyProtection="1">
      <alignment horizontal="center" vertical="center"/>
      <protection locked="0"/>
    </xf>
    <xf numFmtId="0" fontId="2" fillId="0" borderId="64" xfId="0" applyFont="1" applyBorder="1" applyAlignment="1" applyProtection="1">
      <alignment horizontal="center" vertical="center" wrapText="1"/>
      <protection locked="0"/>
    </xf>
    <xf numFmtId="14" fontId="2" fillId="47" borderId="18" xfId="0" applyNumberFormat="1" applyFont="1" applyFill="1" applyBorder="1" applyAlignment="1">
      <alignment horizontal="center" vertical="center"/>
    </xf>
    <xf numFmtId="14" fontId="2" fillId="41" borderId="18" xfId="0" applyNumberFormat="1" applyFont="1" applyFill="1" applyBorder="1" applyAlignment="1">
      <alignment horizontal="center" vertical="center"/>
    </xf>
    <xf numFmtId="0" fontId="80" fillId="0" borderId="64" xfId="0" applyFont="1" applyBorder="1" applyAlignment="1" applyProtection="1">
      <alignment horizontal="center" vertical="center"/>
      <protection locked="0"/>
    </xf>
    <xf numFmtId="0" fontId="84" fillId="49" borderId="50" xfId="0" applyFont="1" applyFill="1" applyBorder="1" applyAlignment="1">
      <alignment horizontal="center" vertical="center"/>
    </xf>
    <xf numFmtId="0" fontId="74" fillId="0" borderId="25" xfId="0" applyFont="1" applyBorder="1" applyAlignment="1" applyProtection="1">
      <alignment horizontal="center" vertical="center"/>
      <protection locked="0"/>
    </xf>
    <xf numFmtId="0" fontId="49" fillId="0" borderId="17" xfId="0" applyFont="1" applyBorder="1" applyAlignment="1" applyProtection="1">
      <alignment horizontal="center" vertical="center"/>
      <protection locked="0"/>
    </xf>
    <xf numFmtId="0" fontId="75" fillId="0" borderId="17" xfId="0" applyFont="1" applyBorder="1" applyAlignment="1" applyProtection="1">
      <alignment horizontal="center" vertical="center"/>
      <protection locked="0"/>
    </xf>
    <xf numFmtId="2" fontId="2" fillId="51" borderId="92" xfId="0" applyNumberFormat="1" applyFont="1" applyFill="1" applyBorder="1" applyAlignment="1" applyProtection="1">
      <alignment horizontal="center" vertical="center"/>
      <protection locked="0"/>
    </xf>
    <xf numFmtId="2" fontId="2" fillId="31" borderId="96" xfId="0" applyNumberFormat="1" applyFont="1" applyFill="1" applyBorder="1" applyAlignment="1" applyProtection="1">
      <alignment horizontal="center" vertical="center"/>
      <protection locked="0"/>
    </xf>
    <xf numFmtId="2" fontId="2" fillId="58" borderId="96" xfId="0" applyNumberFormat="1" applyFont="1" applyFill="1" applyBorder="1" applyAlignment="1">
      <alignment horizontal="center" vertical="center"/>
    </xf>
    <xf numFmtId="2" fontId="2" fillId="59" borderId="96" xfId="0" applyNumberFormat="1" applyFont="1" applyFill="1" applyBorder="1" applyAlignment="1">
      <alignment horizontal="center" vertical="center"/>
    </xf>
    <xf numFmtId="2" fontId="2" fillId="44" borderId="96" xfId="0" applyNumberFormat="1" applyFont="1" applyFill="1" applyBorder="1" applyAlignment="1">
      <alignment horizontal="center" vertical="center"/>
    </xf>
    <xf numFmtId="2" fontId="2" fillId="46" borderId="96" xfId="0" applyNumberFormat="1" applyFont="1" applyFill="1" applyBorder="1" applyAlignment="1">
      <alignment horizontal="center" vertical="center"/>
    </xf>
    <xf numFmtId="0" fontId="85" fillId="0" borderId="17" xfId="0" applyFont="1" applyBorder="1" applyAlignment="1" applyProtection="1">
      <alignment horizontal="center" vertical="center"/>
      <protection locked="0"/>
    </xf>
    <xf numFmtId="0" fontId="85" fillId="0" borderId="64" xfId="0" applyFont="1" applyBorder="1" applyAlignment="1" applyProtection="1">
      <alignment horizontal="center" vertical="center"/>
      <protection locked="0"/>
    </xf>
    <xf numFmtId="2" fontId="2" fillId="0" borderId="17" xfId="0" quotePrefix="1" applyNumberFormat="1" applyFont="1" applyBorder="1" applyAlignment="1" applyProtection="1">
      <alignment horizontal="center" vertical="center" wrapText="1"/>
      <protection locked="0"/>
    </xf>
    <xf numFmtId="0" fontId="2" fillId="49" borderId="0" xfId="0" quotePrefix="1" applyFont="1" applyFill="1" applyAlignment="1">
      <alignment horizontal="left" vertical="center" wrapText="1"/>
    </xf>
    <xf numFmtId="1" fontId="3" fillId="70" borderId="17" xfId="0" applyNumberFormat="1" applyFont="1" applyFill="1" applyBorder="1" applyAlignment="1" applyProtection="1">
      <alignment horizontal="center" vertical="center"/>
      <protection locked="0"/>
    </xf>
    <xf numFmtId="1" fontId="2" fillId="0" borderId="17" xfId="0" applyNumberFormat="1" applyFont="1" applyBorder="1" applyAlignment="1" applyProtection="1">
      <alignment horizontal="center" vertical="center" wrapText="1"/>
      <protection locked="0"/>
    </xf>
    <xf numFmtId="1" fontId="2" fillId="0" borderId="0" xfId="0" applyNumberFormat="1" applyFont="1" applyAlignment="1">
      <alignment horizontal="center" vertical="center"/>
    </xf>
    <xf numFmtId="1" fontId="3" fillId="28" borderId="13" xfId="0" applyNumberFormat="1" applyFont="1" applyFill="1" applyBorder="1" applyAlignment="1" applyProtection="1">
      <alignment horizontal="center" vertical="center"/>
      <protection locked="0"/>
    </xf>
    <xf numFmtId="1" fontId="2" fillId="0" borderId="98" xfId="0" applyNumberFormat="1" applyFont="1" applyBorder="1" applyAlignment="1" applyProtection="1">
      <alignment horizontal="center" vertical="center"/>
      <protection locked="0"/>
    </xf>
    <xf numFmtId="167" fontId="86" fillId="0" borderId="102" xfId="0" applyNumberFormat="1" applyFont="1" applyBorder="1" applyAlignment="1" applyProtection="1">
      <alignment horizontal="center" vertical="center"/>
      <protection locked="0"/>
    </xf>
    <xf numFmtId="167" fontId="86" fillId="0" borderId="28" xfId="0" applyNumberFormat="1" applyFont="1" applyBorder="1" applyAlignment="1" applyProtection="1">
      <alignment horizontal="center" vertical="center"/>
      <protection locked="0"/>
    </xf>
    <xf numFmtId="2" fontId="3" fillId="0" borderId="17" xfId="0" applyNumberFormat="1" applyFont="1" applyBorder="1" applyAlignment="1" applyProtection="1">
      <alignment horizontal="center" vertical="center"/>
      <protection locked="0"/>
    </xf>
    <xf numFmtId="167" fontId="88" fillId="0" borderId="28" xfId="0" applyNumberFormat="1" applyFont="1" applyBorder="1" applyAlignment="1" applyProtection="1">
      <alignment horizontal="center" vertical="center" wrapText="1"/>
      <protection locked="0"/>
    </xf>
    <xf numFmtId="167" fontId="87" fillId="0" borderId="28" xfId="0" applyNumberFormat="1" applyFont="1" applyBorder="1" applyAlignment="1" applyProtection="1">
      <alignment horizontal="center" vertical="center"/>
      <protection locked="0"/>
    </xf>
    <xf numFmtId="0" fontId="89" fillId="0" borderId="17" xfId="0" applyFont="1" applyBorder="1" applyAlignment="1" applyProtection="1">
      <alignment horizontal="center" vertical="center"/>
      <protection locked="0"/>
    </xf>
    <xf numFmtId="167" fontId="90" fillId="0" borderId="28" xfId="0" applyNumberFormat="1" applyFont="1" applyBorder="1" applyAlignment="1" applyProtection="1">
      <alignment horizontal="center" vertical="center"/>
      <protection locked="0"/>
    </xf>
    <xf numFmtId="0" fontId="63" fillId="0" borderId="64" xfId="0" quotePrefix="1" applyFont="1" applyBorder="1" applyAlignment="1">
      <alignment horizontal="left" vertical="center"/>
    </xf>
    <xf numFmtId="0" fontId="91" fillId="0" borderId="64" xfId="0" applyFont="1" applyBorder="1" applyAlignment="1" applyProtection="1">
      <alignment horizontal="center" vertical="center"/>
      <protection locked="0"/>
    </xf>
    <xf numFmtId="2" fontId="3" fillId="0" borderId="64" xfId="0" applyNumberFormat="1" applyFont="1" applyBorder="1" applyAlignment="1" applyProtection="1">
      <alignment horizontal="center" vertical="center"/>
      <protection locked="0"/>
    </xf>
    <xf numFmtId="0" fontId="3" fillId="0" borderId="17" xfId="0" applyFont="1" applyBorder="1" applyAlignment="1" applyProtection="1">
      <alignment horizontal="center" vertical="center"/>
      <protection locked="0"/>
    </xf>
    <xf numFmtId="0" fontId="3" fillId="80" borderId="13" xfId="0" applyFont="1" applyFill="1" applyBorder="1" applyAlignment="1">
      <alignment horizontal="center" vertical="center" wrapText="1"/>
    </xf>
    <xf numFmtId="0" fontId="3" fillId="80" borderId="26" xfId="0" applyFont="1" applyFill="1" applyBorder="1" applyAlignment="1">
      <alignment horizontal="center" vertical="center" wrapText="1"/>
    </xf>
    <xf numFmtId="0" fontId="2" fillId="54" borderId="96" xfId="0" applyFont="1" applyFill="1" applyBorder="1" applyAlignment="1">
      <alignment horizontal="center" vertical="center"/>
    </xf>
    <xf numFmtId="49" fontId="2" fillId="54" borderId="96" xfId="0" applyNumberFormat="1" applyFont="1" applyFill="1" applyBorder="1" applyAlignment="1">
      <alignment horizontal="center" vertical="center"/>
    </xf>
    <xf numFmtId="49" fontId="2" fillId="54" borderId="98" xfId="0" applyNumberFormat="1" applyFont="1" applyFill="1" applyBorder="1" applyAlignment="1">
      <alignment horizontal="center" vertical="center"/>
    </xf>
    <xf numFmtId="0" fontId="2" fillId="54" borderId="98" xfId="0" applyFont="1" applyFill="1" applyBorder="1" applyAlignment="1">
      <alignment horizontal="center" vertical="center"/>
    </xf>
    <xf numFmtId="2" fontId="2" fillId="54" borderId="96" xfId="0" applyNumberFormat="1" applyFont="1" applyFill="1" applyBorder="1" applyAlignment="1">
      <alignment horizontal="center" vertical="center"/>
    </xf>
    <xf numFmtId="0" fontId="3" fillId="70" borderId="17" xfId="0" applyFont="1" applyFill="1" applyBorder="1" applyAlignment="1" applyProtection="1">
      <alignment horizontal="center" vertical="center" wrapText="1"/>
      <protection locked="0"/>
    </xf>
    <xf numFmtId="0" fontId="3" fillId="70" borderId="17" xfId="0" applyFont="1" applyFill="1" applyBorder="1" applyAlignment="1" applyProtection="1">
      <alignment horizontal="center" vertical="center"/>
      <protection locked="0"/>
    </xf>
    <xf numFmtId="0" fontId="3" fillId="28" borderId="26" xfId="0" applyFont="1" applyFill="1" applyBorder="1" applyAlignment="1" applyProtection="1">
      <alignment horizontal="center" vertical="center" wrapText="1"/>
      <protection locked="0"/>
    </xf>
    <xf numFmtId="0" fontId="3" fillId="28" borderId="30" xfId="0" applyFont="1" applyFill="1" applyBorder="1" applyAlignment="1" applyProtection="1">
      <alignment horizontal="center" vertical="center" wrapText="1"/>
      <protection locked="0"/>
    </xf>
    <xf numFmtId="171" fontId="63" fillId="0" borderId="17" xfId="0" applyNumberFormat="1" applyFont="1" applyBorder="1" applyAlignment="1" applyProtection="1">
      <alignment horizontal="center" vertical="center"/>
      <protection locked="0"/>
    </xf>
    <xf numFmtId="169" fontId="63" fillId="0" borderId="17" xfId="0" applyNumberFormat="1" applyFont="1" applyBorder="1" applyAlignment="1" applyProtection="1">
      <alignment horizontal="center" vertical="center"/>
      <protection locked="0"/>
    </xf>
    <xf numFmtId="1" fontId="63" fillId="0" borderId="17" xfId="0" applyNumberFormat="1" applyFont="1" applyBorder="1" applyAlignment="1" applyProtection="1">
      <alignment horizontal="center" vertical="center"/>
      <protection locked="0"/>
    </xf>
    <xf numFmtId="166" fontId="63" fillId="0" borderId="17" xfId="0" applyNumberFormat="1" applyFont="1" applyBorder="1" applyAlignment="1" applyProtection="1">
      <alignment horizontal="center" vertical="center"/>
      <protection locked="0"/>
    </xf>
    <xf numFmtId="0" fontId="63" fillId="0" borderId="17" xfId="0" applyFont="1" applyBorder="1" applyAlignment="1" applyProtection="1">
      <alignment horizontal="center" vertical="center"/>
      <protection locked="0"/>
    </xf>
    <xf numFmtId="2" fontId="63" fillId="0" borderId="17" xfId="0" applyNumberFormat="1" applyFont="1" applyBorder="1" applyAlignment="1" applyProtection="1">
      <alignment horizontal="center" vertical="center"/>
      <protection locked="0"/>
    </xf>
    <xf numFmtId="49" fontId="63" fillId="0" borderId="17" xfId="0" applyNumberFormat="1" applyFont="1" applyBorder="1" applyAlignment="1" applyProtection="1">
      <alignment horizontal="center" vertical="center"/>
      <protection locked="0"/>
    </xf>
    <xf numFmtId="0" fontId="63" fillId="0" borderId="28" xfId="0" applyFont="1" applyBorder="1" applyAlignment="1">
      <alignment horizontal="center" vertical="center"/>
    </xf>
    <xf numFmtId="0" fontId="63" fillId="0" borderId="17" xfId="0" quotePrefix="1" applyFont="1" applyBorder="1" applyAlignment="1">
      <alignment horizontal="center" vertical="center"/>
    </xf>
    <xf numFmtId="171" fontId="63" fillId="0" borderId="17" xfId="0" applyNumberFormat="1" applyFont="1" applyBorder="1" applyAlignment="1">
      <alignment horizontal="center" vertical="center"/>
    </xf>
    <xf numFmtId="0" fontId="63" fillId="0" borderId="40" xfId="0" applyFont="1" applyBorder="1" applyAlignment="1" applyProtection="1">
      <alignment horizontal="center" vertical="center"/>
      <protection locked="0"/>
    </xf>
    <xf numFmtId="171" fontId="85" fillId="0" borderId="17" xfId="0" applyNumberFormat="1" applyFont="1" applyBorder="1" applyAlignment="1" applyProtection="1">
      <alignment horizontal="center" vertical="center"/>
      <protection locked="0"/>
    </xf>
    <xf numFmtId="1" fontId="85" fillId="0" borderId="17" xfId="0" applyNumberFormat="1" applyFont="1" applyBorder="1" applyAlignment="1" applyProtection="1">
      <alignment horizontal="center" vertical="center"/>
      <protection locked="0"/>
    </xf>
    <xf numFmtId="2" fontId="85" fillId="0" borderId="17" xfId="0" applyNumberFormat="1" applyFont="1" applyBorder="1" applyAlignment="1" applyProtection="1">
      <alignment horizontal="center" vertical="center"/>
      <protection locked="0"/>
    </xf>
    <xf numFmtId="2" fontId="85" fillId="0" borderId="17" xfId="0" quotePrefix="1" applyNumberFormat="1" applyFont="1" applyBorder="1" applyAlignment="1" applyProtection="1">
      <alignment horizontal="center" vertical="center"/>
      <protection locked="0"/>
    </xf>
    <xf numFmtId="167" fontId="2" fillId="0" borderId="102" xfId="0" applyNumberFormat="1" applyFont="1" applyBorder="1" applyAlignment="1" applyProtection="1">
      <alignment horizontal="center" vertical="center"/>
      <protection locked="0"/>
    </xf>
    <xf numFmtId="0" fontId="38" fillId="111" borderId="17" xfId="900" applyFont="1" applyFill="1" applyBorder="1" applyAlignment="1">
      <alignment horizontal="center" vertical="center"/>
    </xf>
    <xf numFmtId="49" fontId="2" fillId="0" borderId="113" xfId="0" applyNumberFormat="1" applyFont="1" applyBorder="1" applyAlignment="1" applyProtection="1">
      <alignment horizontal="center" vertical="center"/>
      <protection locked="0"/>
    </xf>
    <xf numFmtId="49" fontId="2" fillId="0" borderId="95" xfId="0" applyNumberFormat="1" applyFont="1" applyBorder="1" applyAlignment="1" applyProtection="1">
      <alignment horizontal="center" vertical="center"/>
      <protection locked="0"/>
    </xf>
    <xf numFmtId="49" fontId="2" fillId="0" borderId="98" xfId="0" applyNumberFormat="1" applyFont="1" applyBorder="1" applyAlignment="1">
      <alignment vertical="center"/>
    </xf>
    <xf numFmtId="169" fontId="63" fillId="0" borderId="64" xfId="0" applyNumberFormat="1" applyFont="1" applyBorder="1" applyAlignment="1" applyProtection="1">
      <alignment vertical="center"/>
      <protection locked="0"/>
    </xf>
    <xf numFmtId="169" fontId="2" fillId="0" borderId="17" xfId="0" applyNumberFormat="1" applyFont="1" applyBorder="1" applyAlignment="1" applyProtection="1">
      <alignment vertical="center"/>
      <protection locked="0"/>
    </xf>
    <xf numFmtId="49" fontId="2" fillId="0" borderId="98" xfId="0" applyNumberFormat="1" applyFont="1" applyBorder="1" applyAlignment="1" applyProtection="1">
      <alignment vertical="center"/>
      <protection locked="0"/>
    </xf>
    <xf numFmtId="49" fontId="2" fillId="0" borderId="94" xfId="0" applyNumberFormat="1" applyFont="1" applyBorder="1" applyAlignment="1" applyProtection="1">
      <alignment vertical="center"/>
      <protection locked="0"/>
    </xf>
    <xf numFmtId="0" fontId="0" fillId="0" borderId="28" xfId="0" applyBorder="1" applyAlignment="1">
      <alignment horizontal="center" vertical="center"/>
    </xf>
    <xf numFmtId="14" fontId="0" fillId="0" borderId="40" xfId="0" applyNumberFormat="1" applyBorder="1" applyAlignment="1">
      <alignment horizontal="center" vertical="center"/>
    </xf>
    <xf numFmtId="0" fontId="0" fillId="0" borderId="36" xfId="0" applyBorder="1"/>
    <xf numFmtId="0" fontId="3" fillId="0" borderId="0" xfId="0" applyFont="1" applyAlignment="1">
      <alignment horizontal="right"/>
    </xf>
    <xf numFmtId="0" fontId="2" fillId="0" borderId="0" xfId="0" applyFont="1" applyAlignment="1">
      <alignment horizontal="left" vertical="center" wrapText="1"/>
    </xf>
    <xf numFmtId="0" fontId="0" fillId="0" borderId="37" xfId="0" applyBorder="1"/>
    <xf numFmtId="0" fontId="3" fillId="0" borderId="46" xfId="0" applyFont="1" applyBorder="1" applyAlignment="1">
      <alignment horizontal="right"/>
    </xf>
    <xf numFmtId="0" fontId="2" fillId="0" borderId="46" xfId="0" applyFont="1" applyBorder="1"/>
    <xf numFmtId="0" fontId="0" fillId="0" borderId="135" xfId="0" applyBorder="1" applyAlignment="1">
      <alignment horizontal="center"/>
    </xf>
    <xf numFmtId="0" fontId="0" fillId="0" borderId="31" xfId="0" applyBorder="1" applyAlignment="1">
      <alignment horizontal="center"/>
    </xf>
    <xf numFmtId="0" fontId="0" fillId="0" borderId="50" xfId="0" applyBorder="1" applyAlignment="1">
      <alignment horizontal="center"/>
    </xf>
    <xf numFmtId="0" fontId="0" fillId="0" borderId="0" xfId="0" applyAlignment="1">
      <alignment horizontal="center"/>
    </xf>
    <xf numFmtId="167" fontId="3" fillId="0" borderId="102" xfId="0" applyNumberFormat="1" applyFont="1" applyBorder="1" applyAlignment="1" applyProtection="1">
      <alignment horizontal="center" vertical="center"/>
      <protection locked="0"/>
    </xf>
    <xf numFmtId="167" fontId="2" fillId="0" borderId="28" xfId="0" applyNumberFormat="1" applyFont="1" applyBorder="1" applyAlignment="1" applyProtection="1">
      <alignment horizontal="center" vertical="center" wrapText="1"/>
      <protection locked="0"/>
    </xf>
    <xf numFmtId="0" fontId="3" fillId="0" borderId="17" xfId="0" applyFont="1" applyBorder="1" applyAlignment="1">
      <alignment horizontal="left" vertical="center" wrapText="1"/>
    </xf>
    <xf numFmtId="167" fontId="83" fillId="0" borderId="29" xfId="0" applyNumberFormat="1" applyFont="1" applyBorder="1" applyAlignment="1" applyProtection="1">
      <alignment horizontal="center" vertical="center"/>
      <protection locked="0"/>
    </xf>
    <xf numFmtId="0" fontId="2" fillId="0" borderId="35" xfId="0" applyFont="1" applyBorder="1" applyAlignment="1">
      <alignment horizontal="center" vertical="center"/>
    </xf>
    <xf numFmtId="0" fontId="76" fillId="0" borderId="17" xfId="0" applyFont="1" applyBorder="1" applyAlignment="1">
      <alignment horizontal="center" vertical="center"/>
    </xf>
    <xf numFmtId="0" fontId="2" fillId="0" borderId="102" xfId="0" applyFont="1" applyBorder="1" applyAlignment="1">
      <alignment horizontal="center" vertical="center"/>
    </xf>
    <xf numFmtId="167" fontId="106" fillId="0" borderId="28" xfId="0" applyNumberFormat="1" applyFont="1" applyBorder="1" applyAlignment="1" applyProtection="1">
      <alignment horizontal="center" vertical="center" wrapText="1"/>
      <protection locked="0"/>
    </xf>
    <xf numFmtId="167" fontId="2" fillId="31" borderId="28" xfId="0" applyNumberFormat="1" applyFont="1" applyFill="1" applyBorder="1" applyAlignment="1" applyProtection="1">
      <alignment horizontal="center" vertical="center"/>
      <protection locked="0"/>
    </xf>
    <xf numFmtId="0" fontId="2" fillId="31" borderId="17" xfId="0" quotePrefix="1" applyFont="1" applyFill="1" applyBorder="1" applyAlignment="1" applyProtection="1">
      <alignment horizontal="center" vertical="center"/>
      <protection locked="0"/>
    </xf>
    <xf numFmtId="171" fontId="2" fillId="31" borderId="17" xfId="0" applyNumberFormat="1" applyFont="1" applyFill="1" applyBorder="1" applyAlignment="1" applyProtection="1">
      <alignment horizontal="center" vertical="center"/>
      <protection locked="0"/>
    </xf>
    <xf numFmtId="169" fontId="2" fillId="31" borderId="17" xfId="0" applyNumberFormat="1" applyFont="1" applyFill="1" applyBorder="1" applyAlignment="1" applyProtection="1">
      <alignment horizontal="center" vertical="center"/>
      <protection locked="0"/>
    </xf>
    <xf numFmtId="1" fontId="2" fillId="31" borderId="17" xfId="0" applyNumberFormat="1" applyFont="1" applyFill="1" applyBorder="1" applyAlignment="1" applyProtection="1">
      <alignment horizontal="center" vertical="center"/>
      <protection locked="0"/>
    </xf>
    <xf numFmtId="166" fontId="2" fillId="31" borderId="17" xfId="0" applyNumberFormat="1" applyFont="1" applyFill="1" applyBorder="1" applyAlignment="1" applyProtection="1">
      <alignment horizontal="center" vertical="center"/>
      <protection locked="0"/>
    </xf>
    <xf numFmtId="0" fontId="2" fillId="31" borderId="17" xfId="0" applyFont="1" applyFill="1" applyBorder="1" applyAlignment="1" applyProtection="1">
      <alignment horizontal="center" vertical="center"/>
      <protection locked="0"/>
    </xf>
    <xf numFmtId="2" fontId="2" fillId="31" borderId="17" xfId="0" applyNumberFormat="1" applyFont="1" applyFill="1" applyBorder="1" applyAlignment="1" applyProtection="1">
      <alignment horizontal="center" vertical="center"/>
      <protection locked="0"/>
    </xf>
    <xf numFmtId="2" fontId="2" fillId="31" borderId="17" xfId="0" quotePrefix="1" applyNumberFormat="1" applyFont="1" applyFill="1" applyBorder="1" applyAlignment="1" applyProtection="1">
      <alignment horizontal="center" vertical="center"/>
      <protection locked="0"/>
    </xf>
    <xf numFmtId="49" fontId="2" fillId="31" borderId="17" xfId="0" applyNumberFormat="1" applyFont="1" applyFill="1" applyBorder="1" applyAlignment="1" applyProtection="1">
      <alignment horizontal="center" vertical="center"/>
      <protection locked="0"/>
    </xf>
    <xf numFmtId="167" fontId="3" fillId="31" borderId="28" xfId="0" applyNumberFormat="1" applyFont="1" applyFill="1" applyBorder="1" applyAlignment="1" applyProtection="1">
      <alignment horizontal="center" vertical="center"/>
      <protection locked="0"/>
    </xf>
    <xf numFmtId="169" fontId="2" fillId="31" borderId="17" xfId="0" applyNumberFormat="1" applyFont="1" applyFill="1" applyBorder="1" applyAlignment="1" applyProtection="1">
      <alignment vertical="center"/>
      <protection locked="0"/>
    </xf>
    <xf numFmtId="167" fontId="3" fillId="31" borderId="102" xfId="0" applyNumberFormat="1" applyFont="1" applyFill="1" applyBorder="1" applyAlignment="1" applyProtection="1">
      <alignment horizontal="center" vertical="center"/>
      <protection locked="0"/>
    </xf>
    <xf numFmtId="0" fontId="2" fillId="31" borderId="64" xfId="0" quotePrefix="1" applyFont="1" applyFill="1" applyBorder="1" applyAlignment="1" applyProtection="1">
      <alignment horizontal="center" vertical="center"/>
      <protection locked="0"/>
    </xf>
    <xf numFmtId="171" fontId="2" fillId="31" borderId="64" xfId="0" applyNumberFormat="1" applyFont="1" applyFill="1" applyBorder="1" applyAlignment="1" applyProtection="1">
      <alignment horizontal="center" vertical="center"/>
      <protection locked="0"/>
    </xf>
    <xf numFmtId="169" fontId="2" fillId="31" borderId="64" xfId="0" applyNumberFormat="1" applyFont="1" applyFill="1" applyBorder="1" applyAlignment="1" applyProtection="1">
      <alignment horizontal="center" vertical="center"/>
      <protection locked="0"/>
    </xf>
    <xf numFmtId="1" fontId="2" fillId="31" borderId="64" xfId="0" applyNumberFormat="1" applyFont="1" applyFill="1" applyBorder="1" applyAlignment="1" applyProtection="1">
      <alignment horizontal="center" vertical="center"/>
      <protection locked="0"/>
    </xf>
    <xf numFmtId="166" fontId="2" fillId="31" borderId="64" xfId="0" applyNumberFormat="1" applyFont="1" applyFill="1" applyBorder="1" applyAlignment="1" applyProtection="1">
      <alignment horizontal="center" vertical="center"/>
      <protection locked="0"/>
    </xf>
    <xf numFmtId="0" fontId="2" fillId="31" borderId="64" xfId="0" applyFont="1" applyFill="1" applyBorder="1" applyAlignment="1" applyProtection="1">
      <alignment horizontal="center" vertical="center"/>
      <protection locked="0"/>
    </xf>
    <xf numFmtId="2" fontId="2" fillId="31" borderId="64" xfId="0" applyNumberFormat="1" applyFont="1" applyFill="1" applyBorder="1" applyAlignment="1" applyProtection="1">
      <alignment horizontal="center" vertical="center"/>
      <protection locked="0"/>
    </xf>
    <xf numFmtId="2" fontId="2" fillId="31" borderId="64" xfId="0" quotePrefix="1" applyNumberFormat="1" applyFont="1" applyFill="1" applyBorder="1" applyAlignment="1" applyProtection="1">
      <alignment horizontal="center" vertical="center"/>
      <protection locked="0"/>
    </xf>
    <xf numFmtId="49" fontId="2" fillId="31" borderId="64" xfId="0" applyNumberFormat="1" applyFont="1" applyFill="1" applyBorder="1" applyAlignment="1" applyProtection="1">
      <alignment horizontal="center" vertical="center"/>
      <protection locked="0"/>
    </xf>
    <xf numFmtId="2" fontId="2" fillId="31" borderId="64" xfId="0" quotePrefix="1" applyNumberFormat="1" applyFont="1" applyFill="1" applyBorder="1" applyAlignment="1" applyProtection="1">
      <alignment horizontal="center" vertical="center" wrapText="1"/>
      <protection locked="0"/>
    </xf>
    <xf numFmtId="167" fontId="2" fillId="112" borderId="28" xfId="0" applyNumberFormat="1" applyFont="1" applyFill="1" applyBorder="1" applyAlignment="1" applyProtection="1">
      <alignment horizontal="center" vertical="center"/>
      <protection locked="0"/>
    </xf>
    <xf numFmtId="0" fontId="2" fillId="112" borderId="17" xfId="0" quotePrefix="1" applyFont="1" applyFill="1" applyBorder="1" applyAlignment="1" applyProtection="1">
      <alignment horizontal="center" vertical="center"/>
      <protection locked="0"/>
    </xf>
    <xf numFmtId="171" fontId="2" fillId="112" borderId="17" xfId="0" applyNumberFormat="1" applyFont="1" applyFill="1" applyBorder="1" applyAlignment="1" applyProtection="1">
      <alignment horizontal="center" vertical="center"/>
      <protection locked="0"/>
    </xf>
    <xf numFmtId="169" fontId="2" fillId="112" borderId="17" xfId="0" applyNumberFormat="1" applyFont="1" applyFill="1" applyBorder="1" applyAlignment="1" applyProtection="1">
      <alignment horizontal="center" vertical="center"/>
      <protection locked="0"/>
    </xf>
    <xf numFmtId="1" fontId="2" fillId="112" borderId="17" xfId="0" applyNumberFormat="1" applyFont="1" applyFill="1" applyBorder="1" applyAlignment="1" applyProtection="1">
      <alignment horizontal="center" vertical="center"/>
      <protection locked="0"/>
    </xf>
    <xf numFmtId="166" fontId="2" fillId="112" borderId="17" xfId="0" applyNumberFormat="1" applyFont="1" applyFill="1" applyBorder="1" applyAlignment="1" applyProtection="1">
      <alignment horizontal="center" vertical="center"/>
      <protection locked="0"/>
    </xf>
    <xf numFmtId="0" fontId="2" fillId="112" borderId="17" xfId="0" applyFont="1" applyFill="1" applyBorder="1" applyAlignment="1" applyProtection="1">
      <alignment horizontal="center" vertical="center"/>
      <protection locked="0"/>
    </xf>
    <xf numFmtId="2" fontId="2" fillId="112" borderId="17" xfId="0" applyNumberFormat="1" applyFont="1" applyFill="1" applyBorder="1" applyAlignment="1" applyProtection="1">
      <alignment horizontal="center" vertical="center"/>
      <protection locked="0"/>
    </xf>
    <xf numFmtId="2" fontId="2" fillId="112" borderId="17" xfId="0" quotePrefix="1" applyNumberFormat="1" applyFont="1" applyFill="1" applyBorder="1" applyAlignment="1" applyProtection="1">
      <alignment horizontal="center" vertical="center"/>
      <protection locked="0"/>
    </xf>
    <xf numFmtId="49" fontId="2" fillId="112" borderId="17" xfId="0" applyNumberFormat="1" applyFont="1" applyFill="1" applyBorder="1" applyAlignment="1" applyProtection="1">
      <alignment horizontal="center" vertical="center"/>
      <protection locked="0"/>
    </xf>
    <xf numFmtId="0" fontId="0" fillId="0" borderId="0" xfId="0" applyAlignment="1">
      <alignment horizontal="center" vertical="center"/>
    </xf>
    <xf numFmtId="171" fontId="0" fillId="0" borderId="0" xfId="0" applyNumberFormat="1" applyAlignment="1">
      <alignment horizontal="center" vertical="center"/>
    </xf>
    <xf numFmtId="171" fontId="2" fillId="0" borderId="17" xfId="0" applyNumberFormat="1" applyFont="1" applyBorder="1" applyAlignment="1">
      <alignment horizontal="center" vertical="center"/>
    </xf>
    <xf numFmtId="2" fontId="0" fillId="0" borderId="0" xfId="0" applyNumberFormat="1" applyAlignment="1">
      <alignment horizontal="center" vertical="center"/>
    </xf>
    <xf numFmtId="0" fontId="46" fillId="0" borderId="0" xfId="0" applyFont="1" applyAlignment="1">
      <alignment horizontal="center" vertical="center"/>
    </xf>
    <xf numFmtId="2" fontId="46" fillId="0" borderId="0" xfId="0" applyNumberFormat="1" applyFont="1" applyAlignment="1">
      <alignment horizontal="center" vertical="center"/>
    </xf>
    <xf numFmtId="0" fontId="3" fillId="0" borderId="0" xfId="0" applyFont="1" applyAlignment="1">
      <alignment horizontal="center" vertical="center"/>
    </xf>
    <xf numFmtId="171" fontId="0" fillId="0" borderId="35" xfId="0" applyNumberFormat="1" applyBorder="1" applyAlignment="1">
      <alignment horizontal="center" vertical="center"/>
    </xf>
    <xf numFmtId="0" fontId="0" fillId="0" borderId="35" xfId="0" applyBorder="1" applyAlignment="1">
      <alignment horizontal="center" vertical="center"/>
    </xf>
    <xf numFmtId="2" fontId="46" fillId="0" borderId="35" xfId="0" applyNumberFormat="1" applyFont="1" applyBorder="1" applyAlignment="1">
      <alignment horizontal="center" vertical="center"/>
    </xf>
    <xf numFmtId="0" fontId="3" fillId="0" borderId="35" xfId="0" applyFont="1" applyBorder="1" applyAlignment="1">
      <alignment horizontal="center" vertical="center"/>
    </xf>
    <xf numFmtId="1" fontId="0" fillId="0" borderId="0" xfId="0" applyNumberFormat="1" applyAlignment="1">
      <alignment horizontal="center" vertical="center"/>
    </xf>
    <xf numFmtId="1" fontId="0" fillId="0" borderId="35" xfId="0" applyNumberFormat="1" applyBorder="1" applyAlignment="1">
      <alignment horizontal="center" vertical="center"/>
    </xf>
    <xf numFmtId="0" fontId="2" fillId="0" borderId="0" xfId="0" quotePrefix="1" applyFont="1" applyAlignment="1">
      <alignment horizontal="center" vertical="center"/>
    </xf>
    <xf numFmtId="171" fontId="3" fillId="0" borderId="0" xfId="0" applyNumberFormat="1" applyFont="1" applyAlignment="1">
      <alignment horizontal="center" vertical="center"/>
    </xf>
    <xf numFmtId="0" fontId="46" fillId="0" borderId="35" xfId="0" applyFont="1" applyBorder="1" applyAlignment="1">
      <alignment horizontal="center" vertical="center"/>
    </xf>
    <xf numFmtId="167" fontId="2" fillId="53" borderId="28" xfId="0" applyNumberFormat="1" applyFont="1" applyFill="1" applyBorder="1" applyAlignment="1" applyProtection="1">
      <alignment horizontal="center" vertical="center"/>
      <protection locked="0"/>
    </xf>
    <xf numFmtId="0" fontId="2" fillId="53" borderId="17" xfId="0" quotePrefix="1" applyFont="1" applyFill="1" applyBorder="1" applyAlignment="1" applyProtection="1">
      <alignment horizontal="center" vertical="center"/>
      <protection locked="0"/>
    </xf>
    <xf numFmtId="171" fontId="2" fillId="53" borderId="17" xfId="0" applyNumberFormat="1" applyFont="1" applyFill="1" applyBorder="1" applyAlignment="1" applyProtection="1">
      <alignment horizontal="center" vertical="center"/>
      <protection locked="0"/>
    </xf>
    <xf numFmtId="169" fontId="2" fillId="53" borderId="17" xfId="0" applyNumberFormat="1" applyFont="1" applyFill="1" applyBorder="1" applyAlignment="1" applyProtection="1">
      <alignment horizontal="center" vertical="center"/>
      <protection locked="0"/>
    </xf>
    <xf numFmtId="1" fontId="2" fillId="53" borderId="17" xfId="0" applyNumberFormat="1" applyFont="1" applyFill="1" applyBorder="1" applyAlignment="1" applyProtection="1">
      <alignment horizontal="center" vertical="center"/>
      <protection locked="0"/>
    </xf>
    <xf numFmtId="166" fontId="2" fillId="53" borderId="17" xfId="0" applyNumberFormat="1" applyFont="1" applyFill="1" applyBorder="1" applyAlignment="1" applyProtection="1">
      <alignment horizontal="center" vertical="center"/>
      <protection locked="0"/>
    </xf>
    <xf numFmtId="0" fontId="2" fillId="53" borderId="17" xfId="0" applyFont="1" applyFill="1" applyBorder="1" applyAlignment="1" applyProtection="1">
      <alignment horizontal="center" vertical="center"/>
      <protection locked="0"/>
    </xf>
    <xf numFmtId="2" fontId="2" fillId="53" borderId="17" xfId="0" applyNumberFormat="1" applyFont="1" applyFill="1" applyBorder="1" applyAlignment="1" applyProtection="1">
      <alignment horizontal="center" vertical="center"/>
      <protection locked="0"/>
    </xf>
    <xf numFmtId="2" fontId="2" fillId="53" borderId="17" xfId="0" quotePrefix="1" applyNumberFormat="1" applyFont="1" applyFill="1" applyBorder="1" applyAlignment="1" applyProtection="1">
      <alignment horizontal="center" vertical="center"/>
      <protection locked="0"/>
    </xf>
    <xf numFmtId="49" fontId="2" fillId="53" borderId="17" xfId="0" applyNumberFormat="1" applyFont="1" applyFill="1" applyBorder="1" applyAlignment="1" applyProtection="1">
      <alignment horizontal="center" vertical="center"/>
      <protection locked="0"/>
    </xf>
    <xf numFmtId="2" fontId="3" fillId="53" borderId="17" xfId="0" applyNumberFormat="1" applyFont="1" applyFill="1" applyBorder="1" applyAlignment="1" applyProtection="1">
      <alignment horizontal="center" vertical="center"/>
      <protection locked="0"/>
    </xf>
    <xf numFmtId="167" fontId="2" fillId="41" borderId="28" xfId="0" applyNumberFormat="1" applyFont="1" applyFill="1" applyBorder="1" applyAlignment="1" applyProtection="1">
      <alignment horizontal="center" vertical="center"/>
      <protection locked="0"/>
    </xf>
    <xf numFmtId="0" fontId="2" fillId="41" borderId="17" xfId="0" quotePrefix="1" applyFont="1" applyFill="1" applyBorder="1" applyAlignment="1" applyProtection="1">
      <alignment horizontal="center" vertical="center"/>
      <protection locked="0"/>
    </xf>
    <xf numFmtId="171" fontId="2" fillId="41" borderId="17" xfId="0" applyNumberFormat="1" applyFont="1" applyFill="1" applyBorder="1" applyAlignment="1" applyProtection="1">
      <alignment horizontal="center" vertical="center"/>
      <protection locked="0"/>
    </xf>
    <xf numFmtId="169" fontId="2" fillId="41" borderId="17" xfId="0" applyNumberFormat="1" applyFont="1" applyFill="1" applyBorder="1" applyAlignment="1" applyProtection="1">
      <alignment horizontal="center" vertical="center"/>
      <protection locked="0"/>
    </xf>
    <xf numFmtId="1" fontId="2" fillId="41" borderId="17" xfId="0" applyNumberFormat="1" applyFont="1" applyFill="1" applyBorder="1" applyAlignment="1" applyProtection="1">
      <alignment horizontal="center" vertical="center"/>
      <protection locked="0"/>
    </xf>
    <xf numFmtId="166" fontId="2" fillId="41" borderId="17" xfId="0" applyNumberFormat="1" applyFont="1" applyFill="1" applyBorder="1" applyAlignment="1" applyProtection="1">
      <alignment horizontal="center" vertical="center"/>
      <protection locked="0"/>
    </xf>
    <xf numFmtId="0" fontId="2" fillId="41" borderId="17" xfId="0" applyFont="1" applyFill="1" applyBorder="1" applyAlignment="1" applyProtection="1">
      <alignment horizontal="center" vertical="center"/>
      <protection locked="0"/>
    </xf>
    <xf numFmtId="2" fontId="2" fillId="41" borderId="17" xfId="0" applyNumberFormat="1" applyFont="1" applyFill="1" applyBorder="1" applyAlignment="1" applyProtection="1">
      <alignment horizontal="center" vertical="center"/>
      <protection locked="0"/>
    </xf>
    <xf numFmtId="2" fontId="2" fillId="41" borderId="17" xfId="0" quotePrefix="1" applyNumberFormat="1" applyFont="1" applyFill="1" applyBorder="1" applyAlignment="1" applyProtection="1">
      <alignment horizontal="center" vertical="center"/>
      <protection locked="0"/>
    </xf>
    <xf numFmtId="49" fontId="2" fillId="41" borderId="17" xfId="0" applyNumberFormat="1" applyFont="1" applyFill="1" applyBorder="1" applyAlignment="1" applyProtection="1">
      <alignment horizontal="center" vertical="center"/>
      <protection locked="0"/>
    </xf>
    <xf numFmtId="167" fontId="107" fillId="0" borderId="102" xfId="0" applyNumberFormat="1" applyFont="1" applyBorder="1" applyAlignment="1" applyProtection="1">
      <alignment horizontal="center" vertical="center"/>
      <protection locked="0"/>
    </xf>
    <xf numFmtId="2" fontId="3" fillId="41" borderId="17" xfId="0" applyNumberFormat="1" applyFont="1" applyFill="1" applyBorder="1" applyAlignment="1" applyProtection="1">
      <alignment horizontal="center" vertical="center"/>
      <protection locked="0"/>
    </xf>
    <xf numFmtId="167" fontId="3" fillId="41" borderId="28" xfId="0" applyNumberFormat="1" applyFont="1" applyFill="1" applyBorder="1" applyAlignment="1" applyProtection="1">
      <alignment horizontal="center" vertical="center"/>
      <protection locked="0"/>
    </xf>
    <xf numFmtId="167" fontId="2" fillId="41" borderId="102" xfId="0" applyNumberFormat="1" applyFont="1" applyFill="1" applyBorder="1" applyAlignment="1" applyProtection="1">
      <alignment horizontal="center" vertical="center"/>
      <protection locked="0"/>
    </xf>
    <xf numFmtId="0" fontId="2" fillId="41" borderId="64" xfId="0" quotePrefix="1" applyFont="1" applyFill="1" applyBorder="1" applyAlignment="1" applyProtection="1">
      <alignment horizontal="center" vertical="center"/>
      <protection locked="0"/>
    </xf>
    <xf numFmtId="171" fontId="2" fillId="41" borderId="64" xfId="0" applyNumberFormat="1" applyFont="1" applyFill="1" applyBorder="1" applyAlignment="1" applyProtection="1">
      <alignment horizontal="center" vertical="center"/>
      <protection locked="0"/>
    </xf>
    <xf numFmtId="169" fontId="2" fillId="41" borderId="64" xfId="0" applyNumberFormat="1" applyFont="1" applyFill="1" applyBorder="1" applyAlignment="1" applyProtection="1">
      <alignment horizontal="center" vertical="center"/>
      <protection locked="0"/>
    </xf>
    <xf numFmtId="1" fontId="2" fillId="41" borderId="64" xfId="0" applyNumberFormat="1" applyFont="1" applyFill="1" applyBorder="1" applyAlignment="1" applyProtection="1">
      <alignment horizontal="center" vertical="center"/>
      <protection locked="0"/>
    </xf>
    <xf numFmtId="166" fontId="2" fillId="41" borderId="64" xfId="0" applyNumberFormat="1" applyFont="1" applyFill="1" applyBorder="1" applyAlignment="1" applyProtection="1">
      <alignment horizontal="center" vertical="center"/>
      <protection locked="0"/>
    </xf>
    <xf numFmtId="0" fontId="2" fillId="41" borderId="64" xfId="0" applyFont="1" applyFill="1" applyBorder="1" applyAlignment="1" applyProtection="1">
      <alignment horizontal="center" vertical="center"/>
      <protection locked="0"/>
    </xf>
    <xf numFmtId="2" fontId="2" fillId="41" borderId="64" xfId="0" applyNumberFormat="1" applyFont="1" applyFill="1" applyBorder="1" applyAlignment="1" applyProtection="1">
      <alignment horizontal="center" vertical="center"/>
      <protection locked="0"/>
    </xf>
    <xf numFmtId="2" fontId="2" fillId="41" borderId="64" xfId="0" quotePrefix="1" applyNumberFormat="1" applyFont="1" applyFill="1" applyBorder="1" applyAlignment="1" applyProtection="1">
      <alignment horizontal="center" vertical="center"/>
      <protection locked="0"/>
    </xf>
    <xf numFmtId="49" fontId="2" fillId="41" borderId="64" xfId="0" applyNumberFormat="1" applyFont="1" applyFill="1" applyBorder="1" applyAlignment="1" applyProtection="1">
      <alignment horizontal="center" vertical="center"/>
      <protection locked="0"/>
    </xf>
    <xf numFmtId="0" fontId="89" fillId="41" borderId="17" xfId="0" applyFont="1" applyFill="1" applyBorder="1" applyAlignment="1" applyProtection="1">
      <alignment horizontal="center" vertical="center"/>
      <protection locked="0"/>
    </xf>
    <xf numFmtId="0" fontId="2" fillId="48" borderId="17" xfId="0" quotePrefix="1" applyFont="1" applyFill="1" applyBorder="1" applyAlignment="1" applyProtection="1">
      <alignment horizontal="center" vertical="center"/>
      <protection locked="0"/>
    </xf>
    <xf numFmtId="167" fontId="2" fillId="54" borderId="28" xfId="0" applyNumberFormat="1" applyFont="1" applyFill="1" applyBorder="1" applyAlignment="1" applyProtection="1">
      <alignment horizontal="center" vertical="center"/>
      <protection locked="0"/>
    </xf>
    <xf numFmtId="0" fontId="2" fillId="54" borderId="17" xfId="0" quotePrefix="1" applyFont="1" applyFill="1" applyBorder="1" applyAlignment="1" applyProtection="1">
      <alignment horizontal="center" vertical="center"/>
      <protection locked="0"/>
    </xf>
    <xf numFmtId="171" fontId="2" fillId="54" borderId="17" xfId="0" applyNumberFormat="1" applyFont="1" applyFill="1" applyBorder="1" applyAlignment="1" applyProtection="1">
      <alignment horizontal="center" vertical="center"/>
      <protection locked="0"/>
    </xf>
    <xf numFmtId="169" fontId="2" fillId="54" borderId="17" xfId="0" applyNumberFormat="1" applyFont="1" applyFill="1" applyBorder="1" applyAlignment="1" applyProtection="1">
      <alignment horizontal="center" vertical="center"/>
      <protection locked="0"/>
    </xf>
    <xf numFmtId="1" fontId="2" fillId="54" borderId="17" xfId="0" applyNumberFormat="1" applyFont="1" applyFill="1" applyBorder="1" applyAlignment="1" applyProtection="1">
      <alignment horizontal="center" vertical="center"/>
      <protection locked="0"/>
    </xf>
    <xf numFmtId="166" fontId="2" fillId="54" borderId="17" xfId="0" applyNumberFormat="1" applyFont="1" applyFill="1" applyBorder="1" applyAlignment="1" applyProtection="1">
      <alignment horizontal="center" vertical="center"/>
      <protection locked="0"/>
    </xf>
    <xf numFmtId="0" fontId="2" fillId="54" borderId="17" xfId="0" applyFont="1" applyFill="1" applyBorder="1" applyAlignment="1" applyProtection="1">
      <alignment horizontal="center" vertical="center"/>
      <protection locked="0"/>
    </xf>
    <xf numFmtId="2" fontId="2" fillId="54" borderId="17" xfId="0" applyNumberFormat="1" applyFont="1" applyFill="1" applyBorder="1" applyAlignment="1" applyProtection="1">
      <alignment horizontal="center" vertical="center"/>
      <protection locked="0"/>
    </xf>
    <xf numFmtId="2" fontId="2" fillId="54" borderId="17" xfId="0" quotePrefix="1" applyNumberFormat="1" applyFont="1" applyFill="1" applyBorder="1" applyAlignment="1" applyProtection="1">
      <alignment horizontal="center" vertical="center"/>
      <protection locked="0"/>
    </xf>
    <xf numFmtId="49" fontId="2" fillId="54" borderId="17" xfId="0" applyNumberFormat="1" applyFont="1" applyFill="1" applyBorder="1" applyAlignment="1" applyProtection="1">
      <alignment horizontal="center" vertical="center"/>
      <protection locked="0"/>
    </xf>
    <xf numFmtId="167" fontId="78" fillId="0" borderId="102" xfId="0" applyNumberFormat="1" applyFont="1" applyBorder="1" applyAlignment="1" applyProtection="1">
      <alignment horizontal="center" vertical="center"/>
      <protection locked="0"/>
    </xf>
    <xf numFmtId="167" fontId="3" fillId="54" borderId="28" xfId="0" applyNumberFormat="1" applyFont="1" applyFill="1" applyBorder="1" applyAlignment="1" applyProtection="1">
      <alignment horizontal="center" vertical="center"/>
      <protection locked="0"/>
    </xf>
    <xf numFmtId="167" fontId="107" fillId="0" borderId="28" xfId="0" applyNumberFormat="1" applyFont="1" applyBorder="1" applyAlignment="1" applyProtection="1">
      <alignment horizontal="center" vertical="center"/>
      <protection locked="0"/>
    </xf>
    <xf numFmtId="167" fontId="108" fillId="0" borderId="28" xfId="0" applyNumberFormat="1" applyFont="1" applyBorder="1" applyAlignment="1" applyProtection="1">
      <alignment horizontal="center" vertical="center"/>
      <protection locked="0"/>
    </xf>
    <xf numFmtId="167" fontId="83" fillId="41" borderId="28" xfId="0" applyNumberFormat="1" applyFont="1" applyFill="1" applyBorder="1" applyAlignment="1" applyProtection="1">
      <alignment horizontal="center" vertical="center"/>
      <protection locked="0"/>
    </xf>
    <xf numFmtId="167" fontId="78" fillId="41" borderId="28" xfId="0" applyNumberFormat="1" applyFont="1" applyFill="1" applyBorder="1" applyAlignment="1" applyProtection="1">
      <alignment horizontal="center" vertical="center"/>
      <protection locked="0"/>
    </xf>
    <xf numFmtId="0" fontId="75" fillId="41" borderId="17" xfId="0" applyFont="1" applyFill="1" applyBorder="1" applyAlignment="1" applyProtection="1">
      <alignment horizontal="center" vertical="center"/>
      <protection locked="0"/>
    </xf>
    <xf numFmtId="0" fontId="85" fillId="41" borderId="17" xfId="0" applyFont="1" applyFill="1" applyBorder="1" applyAlignment="1" applyProtection="1">
      <alignment horizontal="center" vertical="center"/>
      <protection locked="0"/>
    </xf>
    <xf numFmtId="0" fontId="35" fillId="41" borderId="17" xfId="0" applyFont="1" applyFill="1" applyBorder="1" applyAlignment="1" applyProtection="1">
      <alignment horizontal="center" vertical="center"/>
      <protection locked="0"/>
    </xf>
    <xf numFmtId="1" fontId="35" fillId="41" borderId="17" xfId="0" applyNumberFormat="1" applyFont="1" applyFill="1" applyBorder="1" applyAlignment="1" applyProtection="1">
      <alignment horizontal="center" vertical="center"/>
      <protection locked="0"/>
    </xf>
    <xf numFmtId="2" fontId="35" fillId="41" borderId="17" xfId="0" applyNumberFormat="1" applyFont="1" applyFill="1" applyBorder="1" applyAlignment="1" applyProtection="1">
      <alignment horizontal="center" vertical="center"/>
      <protection locked="0"/>
    </xf>
    <xf numFmtId="167" fontId="108" fillId="0" borderId="102" xfId="0" applyNumberFormat="1" applyFont="1" applyBorder="1" applyAlignment="1" applyProtection="1">
      <alignment horizontal="center" vertical="center"/>
      <protection locked="0"/>
    </xf>
    <xf numFmtId="0" fontId="35" fillId="54" borderId="17" xfId="0" applyFont="1" applyFill="1" applyBorder="1" applyAlignment="1" applyProtection="1">
      <alignment horizontal="center" vertical="center"/>
      <protection locked="0"/>
    </xf>
    <xf numFmtId="0" fontId="85" fillId="53" borderId="17" xfId="0" applyFont="1" applyFill="1" applyBorder="1" applyAlignment="1" applyProtection="1">
      <alignment horizontal="center" vertical="center"/>
      <protection locked="0"/>
    </xf>
    <xf numFmtId="0" fontId="89" fillId="53" borderId="17" xfId="0" applyFont="1" applyFill="1" applyBorder="1" applyAlignment="1" applyProtection="1">
      <alignment horizontal="center" vertical="center"/>
      <protection locked="0"/>
    </xf>
    <xf numFmtId="0" fontId="85" fillId="54" borderId="17" xfId="0" applyFont="1" applyFill="1" applyBorder="1" applyAlignment="1" applyProtection="1">
      <alignment horizontal="center" vertical="center"/>
      <protection locked="0"/>
    </xf>
    <xf numFmtId="0" fontId="3" fillId="41" borderId="17" xfId="0" quotePrefix="1" applyFont="1" applyFill="1" applyBorder="1" applyAlignment="1" applyProtection="1">
      <alignment horizontal="center" vertical="center"/>
      <protection locked="0"/>
    </xf>
    <xf numFmtId="171" fontId="3" fillId="41" borderId="17" xfId="0" applyNumberFormat="1" applyFont="1" applyFill="1" applyBorder="1" applyAlignment="1" applyProtection="1">
      <alignment horizontal="center" vertical="center"/>
      <protection locked="0"/>
    </xf>
    <xf numFmtId="169" fontId="3" fillId="41" borderId="17" xfId="0" applyNumberFormat="1" applyFont="1" applyFill="1" applyBorder="1" applyAlignment="1" applyProtection="1">
      <alignment horizontal="center" vertical="center"/>
      <protection locked="0"/>
    </xf>
    <xf numFmtId="1" fontId="3" fillId="41" borderId="17" xfId="0" applyNumberFormat="1" applyFont="1" applyFill="1" applyBorder="1" applyAlignment="1" applyProtection="1">
      <alignment horizontal="center" vertical="center"/>
      <protection locked="0"/>
    </xf>
    <xf numFmtId="166" fontId="3" fillId="41" borderId="17" xfId="0" applyNumberFormat="1" applyFont="1" applyFill="1" applyBorder="1" applyAlignment="1" applyProtection="1">
      <alignment horizontal="center" vertical="center"/>
      <protection locked="0"/>
    </xf>
    <xf numFmtId="0" fontId="3" fillId="41" borderId="17" xfId="0" applyFont="1" applyFill="1" applyBorder="1" applyAlignment="1" applyProtection="1">
      <alignment horizontal="center" vertical="center"/>
      <protection locked="0"/>
    </xf>
    <xf numFmtId="2" fontId="3" fillId="41" borderId="17" xfId="0" quotePrefix="1" applyNumberFormat="1" applyFont="1" applyFill="1" applyBorder="1" applyAlignment="1" applyProtection="1">
      <alignment horizontal="center" vertical="center"/>
      <protection locked="0"/>
    </xf>
    <xf numFmtId="49" fontId="3" fillId="41" borderId="17" xfId="0" applyNumberFormat="1" applyFont="1" applyFill="1" applyBorder="1" applyAlignment="1" applyProtection="1">
      <alignment horizontal="center" vertical="center"/>
      <protection locked="0"/>
    </xf>
    <xf numFmtId="0" fontId="85" fillId="112" borderId="17" xfId="0" applyFont="1" applyFill="1" applyBorder="1" applyAlignment="1" applyProtection="1">
      <alignment horizontal="center" vertical="center"/>
      <protection locked="0"/>
    </xf>
    <xf numFmtId="0" fontId="91" fillId="0" borderId="17" xfId="0" applyFont="1" applyBorder="1" applyAlignment="1" applyProtection="1">
      <alignment horizontal="center" vertical="center"/>
      <protection locked="0"/>
    </xf>
    <xf numFmtId="0" fontId="63" fillId="0" borderId="69" xfId="0" applyFont="1" applyBorder="1" applyAlignment="1">
      <alignment horizontal="center" vertical="center"/>
    </xf>
    <xf numFmtId="0" fontId="63" fillId="0" borderId="49" xfId="0" quotePrefix="1" applyFont="1" applyBorder="1" applyAlignment="1">
      <alignment horizontal="center" vertical="center"/>
    </xf>
    <xf numFmtId="171" fontId="63" fillId="0" borderId="49" xfId="0" applyNumberFormat="1" applyFont="1" applyBorder="1" applyAlignment="1" applyProtection="1">
      <alignment horizontal="center" vertical="center"/>
      <protection locked="0"/>
    </xf>
    <xf numFmtId="169" fontId="63" fillId="0" borderId="49" xfId="0" applyNumberFormat="1" applyFont="1" applyBorder="1" applyAlignment="1" applyProtection="1">
      <alignment horizontal="center" vertical="center"/>
      <protection locked="0"/>
    </xf>
    <xf numFmtId="1" fontId="63" fillId="0" borderId="49" xfId="0" applyNumberFormat="1" applyFont="1" applyBorder="1" applyAlignment="1" applyProtection="1">
      <alignment horizontal="center" vertical="center"/>
      <protection locked="0"/>
    </xf>
    <xf numFmtId="166" fontId="63" fillId="0" borderId="49" xfId="0" applyNumberFormat="1" applyFont="1" applyBorder="1" applyAlignment="1" applyProtection="1">
      <alignment horizontal="center" vertical="center"/>
      <protection locked="0"/>
    </xf>
    <xf numFmtId="0" fontId="63" fillId="0" borderId="49" xfId="0" applyFont="1" applyBorder="1" applyAlignment="1" applyProtection="1">
      <alignment horizontal="center" vertical="center"/>
      <protection locked="0"/>
    </xf>
    <xf numFmtId="171" fontId="63" fillId="0" borderId="49" xfId="0" applyNumberFormat="1" applyFont="1" applyBorder="1" applyAlignment="1">
      <alignment horizontal="center" vertical="center"/>
    </xf>
    <xf numFmtId="2" fontId="63" fillId="0" borderId="49" xfId="0" applyNumberFormat="1" applyFont="1" applyBorder="1" applyAlignment="1" applyProtection="1">
      <alignment horizontal="center" vertical="center"/>
      <protection locked="0"/>
    </xf>
    <xf numFmtId="49" fontId="63" fillId="0" borderId="49" xfId="0" applyNumberFormat="1" applyFont="1" applyBorder="1" applyAlignment="1" applyProtection="1">
      <alignment horizontal="center" vertical="center"/>
      <protection locked="0"/>
    </xf>
    <xf numFmtId="0" fontId="91" fillId="0" borderId="49" xfId="0" applyFont="1" applyBorder="1" applyAlignment="1" applyProtection="1">
      <alignment horizontal="center" vertical="center"/>
      <protection locked="0"/>
    </xf>
    <xf numFmtId="0" fontId="74" fillId="0" borderId="49" xfId="0" applyFont="1" applyBorder="1" applyAlignment="1" applyProtection="1">
      <alignment horizontal="center" vertical="center"/>
      <protection locked="0"/>
    </xf>
    <xf numFmtId="0" fontId="63" fillId="0" borderId="136" xfId="0" applyFont="1" applyBorder="1" applyAlignment="1" applyProtection="1">
      <alignment horizontal="center" vertical="center"/>
      <protection locked="0"/>
    </xf>
    <xf numFmtId="167" fontId="2" fillId="54" borderId="102" xfId="0" applyNumberFormat="1" applyFont="1" applyFill="1" applyBorder="1" applyAlignment="1" applyProtection="1">
      <alignment horizontal="center" vertical="center"/>
      <protection locked="0"/>
    </xf>
    <xf numFmtId="0" fontId="2" fillId="54" borderId="64" xfId="0" quotePrefix="1" applyFont="1" applyFill="1" applyBorder="1" applyAlignment="1" applyProtection="1">
      <alignment horizontal="center" vertical="center"/>
      <protection locked="0"/>
    </xf>
    <xf numFmtId="171" fontId="2" fillId="54" borderId="64" xfId="0" applyNumberFormat="1" applyFont="1" applyFill="1" applyBorder="1" applyAlignment="1" applyProtection="1">
      <alignment horizontal="center" vertical="center"/>
      <protection locked="0"/>
    </xf>
    <xf numFmtId="169" fontId="2" fillId="54" borderId="64" xfId="0" applyNumberFormat="1" applyFont="1" applyFill="1" applyBorder="1" applyAlignment="1" applyProtection="1">
      <alignment horizontal="center" vertical="center"/>
      <protection locked="0"/>
    </xf>
    <xf numFmtId="1" fontId="2" fillId="54" borderId="64" xfId="0" applyNumberFormat="1" applyFont="1" applyFill="1" applyBorder="1" applyAlignment="1" applyProtection="1">
      <alignment horizontal="center" vertical="center"/>
      <protection locked="0"/>
    </xf>
    <xf numFmtId="166" fontId="2" fillId="54" borderId="64" xfId="0" applyNumberFormat="1" applyFont="1" applyFill="1" applyBorder="1" applyAlignment="1" applyProtection="1">
      <alignment horizontal="center" vertical="center"/>
      <protection locked="0"/>
    </xf>
    <xf numFmtId="0" fontId="2" fillId="54" borderId="64" xfId="0" applyFont="1" applyFill="1" applyBorder="1" applyAlignment="1" applyProtection="1">
      <alignment horizontal="center" vertical="center"/>
      <protection locked="0"/>
    </xf>
    <xf numFmtId="2" fontId="2" fillId="54" borderId="64" xfId="0" applyNumberFormat="1" applyFont="1" applyFill="1" applyBorder="1" applyAlignment="1" applyProtection="1">
      <alignment horizontal="center" vertical="center"/>
      <protection locked="0"/>
    </xf>
    <xf numFmtId="2" fontId="2" fillId="54" borderId="64" xfId="0" quotePrefix="1" applyNumberFormat="1" applyFont="1" applyFill="1" applyBorder="1" applyAlignment="1" applyProtection="1">
      <alignment horizontal="center" vertical="center"/>
      <protection locked="0"/>
    </xf>
    <xf numFmtId="49" fontId="2" fillId="54" borderId="64" xfId="0" applyNumberFormat="1" applyFont="1" applyFill="1" applyBorder="1" applyAlignment="1" applyProtection="1">
      <alignment horizontal="center" vertical="center"/>
      <protection locked="0"/>
    </xf>
    <xf numFmtId="167" fontId="78" fillId="54" borderId="102" xfId="0" applyNumberFormat="1" applyFont="1" applyFill="1" applyBorder="1" applyAlignment="1" applyProtection="1">
      <alignment horizontal="center" vertical="center"/>
      <protection locked="0"/>
    </xf>
    <xf numFmtId="167" fontId="78" fillId="54" borderId="28" xfId="0" applyNumberFormat="1" applyFont="1" applyFill="1" applyBorder="1" applyAlignment="1" applyProtection="1">
      <alignment horizontal="center" vertical="center"/>
      <protection locked="0"/>
    </xf>
    <xf numFmtId="2" fontId="85" fillId="54" borderId="17" xfId="0" applyNumberFormat="1" applyFont="1" applyFill="1" applyBorder="1" applyAlignment="1" applyProtection="1">
      <alignment horizontal="center" vertical="center"/>
      <protection locked="0"/>
    </xf>
    <xf numFmtId="169" fontId="63" fillId="0" borderId="49" xfId="0" applyNumberFormat="1" applyFont="1" applyBorder="1" applyAlignment="1" applyProtection="1">
      <alignment vertical="center"/>
      <protection locked="0"/>
    </xf>
    <xf numFmtId="0" fontId="63" fillId="0" borderId="29" xfId="0" applyFont="1" applyBorder="1" applyAlignment="1">
      <alignment horizontal="center" vertical="center"/>
    </xf>
    <xf numFmtId="0" fontId="63" fillId="0" borderId="25" xfId="0" quotePrefix="1" applyFont="1" applyBorder="1" applyAlignment="1">
      <alignment horizontal="center" vertical="center"/>
    </xf>
    <xf numFmtId="171" fontId="63" fillId="0" borderId="25" xfId="0" applyNumberFormat="1" applyFont="1" applyBorder="1" applyAlignment="1" applyProtection="1">
      <alignment horizontal="center" vertical="center"/>
      <protection locked="0"/>
    </xf>
    <xf numFmtId="169" fontId="63" fillId="0" borderId="25" xfId="0" applyNumberFormat="1" applyFont="1" applyBorder="1" applyAlignment="1" applyProtection="1">
      <alignment vertical="center"/>
      <protection locked="0"/>
    </xf>
    <xf numFmtId="1" fontId="63" fillId="0" borderId="25" xfId="0" applyNumberFormat="1" applyFont="1" applyBorder="1" applyAlignment="1" applyProtection="1">
      <alignment horizontal="center" vertical="center"/>
      <protection locked="0"/>
    </xf>
    <xf numFmtId="166" fontId="63" fillId="0" borderId="25" xfId="0" applyNumberFormat="1" applyFont="1" applyBorder="1" applyAlignment="1" applyProtection="1">
      <alignment horizontal="center" vertical="center"/>
      <protection locked="0"/>
    </xf>
    <xf numFmtId="0" fontId="63" fillId="0" borderId="25" xfId="0" applyFont="1" applyBorder="1" applyAlignment="1" applyProtection="1">
      <alignment horizontal="center" vertical="center"/>
      <protection locked="0"/>
    </xf>
    <xf numFmtId="171" fontId="63" fillId="0" borderId="25" xfId="0" applyNumberFormat="1" applyFont="1" applyBorder="1" applyAlignment="1">
      <alignment horizontal="center" vertical="center"/>
    </xf>
    <xf numFmtId="2" fontId="63" fillId="0" borderId="25" xfId="0" applyNumberFormat="1" applyFont="1" applyBorder="1" applyAlignment="1" applyProtection="1">
      <alignment horizontal="center" vertical="center"/>
      <protection locked="0"/>
    </xf>
    <xf numFmtId="169" fontId="63" fillId="0" borderId="25" xfId="0" applyNumberFormat="1" applyFont="1" applyBorder="1" applyAlignment="1" applyProtection="1">
      <alignment horizontal="center" vertical="center"/>
      <protection locked="0"/>
    </xf>
    <xf numFmtId="49" fontId="63" fillId="0" borderId="25" xfId="0" applyNumberFormat="1" applyFont="1" applyBorder="1" applyAlignment="1" applyProtection="1">
      <alignment horizontal="center" vertical="center"/>
      <protection locked="0"/>
    </xf>
    <xf numFmtId="0" fontId="63" fillId="0" borderId="43" xfId="0" applyFont="1" applyBorder="1" applyAlignment="1" applyProtection="1">
      <alignment horizontal="center" vertical="center"/>
      <protection locked="0"/>
    </xf>
    <xf numFmtId="0" fontId="78" fillId="54" borderId="17" xfId="0" quotePrefix="1" applyFont="1" applyFill="1" applyBorder="1" applyAlignment="1" applyProtection="1">
      <alignment horizontal="center" vertical="center"/>
      <protection locked="0"/>
    </xf>
    <xf numFmtId="171" fontId="78" fillId="54" borderId="17" xfId="0" applyNumberFormat="1" applyFont="1" applyFill="1" applyBorder="1" applyAlignment="1" applyProtection="1">
      <alignment horizontal="center" vertical="center"/>
      <protection locked="0"/>
    </xf>
    <xf numFmtId="169" fontId="78" fillId="54" borderId="17" xfId="0" applyNumberFormat="1" applyFont="1" applyFill="1" applyBorder="1" applyAlignment="1" applyProtection="1">
      <alignment horizontal="center" vertical="center"/>
      <protection locked="0"/>
    </xf>
    <xf numFmtId="1" fontId="78" fillId="54" borderId="17" xfId="0" applyNumberFormat="1" applyFont="1" applyFill="1" applyBorder="1" applyAlignment="1" applyProtection="1">
      <alignment horizontal="center" vertical="center"/>
      <protection locked="0"/>
    </xf>
    <xf numFmtId="166" fontId="78" fillId="54" borderId="17" xfId="0" applyNumberFormat="1" applyFont="1" applyFill="1" applyBorder="1" applyAlignment="1" applyProtection="1">
      <alignment horizontal="center" vertical="center"/>
      <protection locked="0"/>
    </xf>
    <xf numFmtId="0" fontId="78" fillId="54" borderId="17" xfId="0" applyFont="1" applyFill="1" applyBorder="1" applyAlignment="1" applyProtection="1">
      <alignment horizontal="center" vertical="center"/>
      <protection locked="0"/>
    </xf>
    <xf numFmtId="2" fontId="78" fillId="54" borderId="17" xfId="0" applyNumberFormat="1" applyFont="1" applyFill="1" applyBorder="1" applyAlignment="1" applyProtection="1">
      <alignment horizontal="center" vertical="center"/>
      <protection locked="0"/>
    </xf>
    <xf numFmtId="2" fontId="78" fillId="54" borderId="17" xfId="0" quotePrefix="1" applyNumberFormat="1" applyFont="1" applyFill="1" applyBorder="1" applyAlignment="1" applyProtection="1">
      <alignment horizontal="center" vertical="center"/>
      <protection locked="0"/>
    </xf>
    <xf numFmtId="49" fontId="78" fillId="54" borderId="17" xfId="0" applyNumberFormat="1" applyFont="1" applyFill="1" applyBorder="1" applyAlignment="1" applyProtection="1">
      <alignment horizontal="center" vertical="center"/>
      <protection locked="0"/>
    </xf>
    <xf numFmtId="0" fontId="39" fillId="52" borderId="137" xfId="900" applyFont="1" applyFill="1" applyBorder="1" applyAlignment="1">
      <alignment horizontal="center" vertical="center"/>
    </xf>
    <xf numFmtId="0" fontId="39" fillId="52" borderId="138" xfId="900" applyFont="1" applyFill="1" applyBorder="1" applyAlignment="1">
      <alignment horizontal="center" vertical="center"/>
    </xf>
    <xf numFmtId="0" fontId="39" fillId="52" borderId="139" xfId="900" applyFont="1" applyFill="1" applyBorder="1" applyAlignment="1">
      <alignment horizontal="center" vertical="center"/>
    </xf>
    <xf numFmtId="0" fontId="39" fillId="52" borderId="140" xfId="900" applyFont="1" applyFill="1" applyBorder="1" applyAlignment="1">
      <alignment horizontal="center" vertical="center"/>
    </xf>
    <xf numFmtId="0" fontId="39" fillId="52" borderId="141" xfId="900" applyFont="1" applyFill="1" applyBorder="1" applyAlignment="1">
      <alignment horizontal="center" vertical="center"/>
    </xf>
    <xf numFmtId="0" fontId="39" fillId="52" borderId="142" xfId="900" applyFont="1" applyFill="1" applyBorder="1" applyAlignment="1">
      <alignment horizontal="center" vertical="center"/>
    </xf>
    <xf numFmtId="0" fontId="39" fillId="37" borderId="137" xfId="900" applyFont="1" applyFill="1" applyBorder="1" applyAlignment="1">
      <alignment horizontal="center" vertical="center"/>
    </xf>
    <xf numFmtId="0" fontId="39" fillId="37" borderId="138" xfId="900" applyFont="1" applyFill="1" applyBorder="1" applyAlignment="1">
      <alignment horizontal="center" vertical="center"/>
    </xf>
    <xf numFmtId="0" fontId="39" fillId="37" borderId="139" xfId="900" applyFont="1" applyFill="1" applyBorder="1" applyAlignment="1">
      <alignment horizontal="center" vertical="center"/>
    </xf>
    <xf numFmtId="0" fontId="39" fillId="37" borderId="140" xfId="900" applyFont="1" applyFill="1" applyBorder="1" applyAlignment="1">
      <alignment horizontal="center" vertical="center"/>
    </xf>
    <xf numFmtId="0" fontId="39" fillId="40" borderId="143" xfId="900" applyFont="1" applyFill="1" applyBorder="1" applyAlignment="1">
      <alignment horizontal="center" vertical="center"/>
    </xf>
    <xf numFmtId="0" fontId="39" fillId="40" borderId="142" xfId="900" applyFont="1" applyFill="1" applyBorder="1" applyAlignment="1">
      <alignment horizontal="center" vertical="center"/>
    </xf>
    <xf numFmtId="0" fontId="39" fillId="49" borderId="137" xfId="900" applyFont="1" applyFill="1" applyBorder="1" applyAlignment="1">
      <alignment horizontal="center" vertical="center"/>
    </xf>
    <xf numFmtId="0" fontId="39" fillId="40" borderId="138" xfId="900" applyFont="1" applyFill="1" applyBorder="1" applyAlignment="1">
      <alignment horizontal="center" vertical="center"/>
    </xf>
    <xf numFmtId="0" fontId="39" fillId="49" borderId="138" xfId="900" applyFont="1" applyFill="1" applyBorder="1" applyAlignment="1">
      <alignment horizontal="center" vertical="center"/>
    </xf>
    <xf numFmtId="0" fontId="39" fillId="48" borderId="138" xfId="900" applyFont="1" applyFill="1" applyBorder="1" applyAlignment="1">
      <alignment horizontal="center" vertical="center"/>
    </xf>
    <xf numFmtId="0" fontId="39" fillId="47" borderId="138" xfId="900" applyFont="1" applyFill="1" applyBorder="1" applyAlignment="1">
      <alignment horizontal="center" vertical="center"/>
    </xf>
    <xf numFmtId="0" fontId="39" fillId="0" borderId="137" xfId="900" applyFont="1" applyBorder="1" applyAlignment="1">
      <alignment horizontal="center" vertical="center"/>
    </xf>
    <xf numFmtId="0" fontId="39" fillId="0" borderId="140" xfId="900" applyFont="1" applyBorder="1" applyAlignment="1">
      <alignment horizontal="center" vertical="center"/>
    </xf>
    <xf numFmtId="0" fontId="39" fillId="0" borderId="141" xfId="900" applyFont="1" applyBorder="1" applyAlignment="1">
      <alignment horizontal="center" vertical="center"/>
    </xf>
    <xf numFmtId="0" fontId="39" fillId="0" borderId="138" xfId="900" applyFont="1" applyBorder="1" applyAlignment="1">
      <alignment horizontal="center" vertical="center"/>
    </xf>
    <xf numFmtId="0" fontId="39" fillId="0" borderId="139" xfId="900" applyFont="1" applyBorder="1" applyAlignment="1">
      <alignment horizontal="center" vertical="center"/>
    </xf>
    <xf numFmtId="166" fontId="39" fillId="0" borderId="137" xfId="900" applyNumberFormat="1" applyFont="1" applyBorder="1" applyAlignment="1">
      <alignment horizontal="center" vertical="center"/>
    </xf>
    <xf numFmtId="0" fontId="39" fillId="37" borderId="141" xfId="900" applyFont="1" applyFill="1" applyBorder="1" applyAlignment="1">
      <alignment horizontal="center" vertical="center"/>
    </xf>
    <xf numFmtId="0" fontId="39" fillId="77" borderId="137" xfId="900" applyFont="1" applyFill="1" applyBorder="1" applyAlignment="1">
      <alignment horizontal="center" vertical="center"/>
    </xf>
    <xf numFmtId="0" fontId="39" fillId="77" borderId="138" xfId="900" applyFont="1" applyFill="1" applyBorder="1" applyAlignment="1">
      <alignment horizontal="center" vertical="center"/>
    </xf>
    <xf numFmtId="0" fontId="38" fillId="32" borderId="24" xfId="900" applyFont="1" applyFill="1" applyBorder="1" applyAlignment="1">
      <alignment horizontal="center" vertical="center"/>
    </xf>
    <xf numFmtId="0" fontId="39" fillId="52" borderId="144" xfId="696" applyFont="1" applyFill="1" applyBorder="1" applyAlignment="1">
      <alignment horizontal="left" vertical="center" wrapText="1" indent="1"/>
    </xf>
    <xf numFmtId="0" fontId="39" fillId="52" borderId="145" xfId="696" applyFont="1" applyFill="1" applyBorder="1" applyAlignment="1">
      <alignment horizontal="left" vertical="center" wrapText="1" indent="1"/>
    </xf>
    <xf numFmtId="0" fontId="39" fillId="37" borderId="55" xfId="696" applyFont="1" applyFill="1" applyBorder="1" applyAlignment="1">
      <alignment horizontal="left" vertical="center" wrapText="1" indent="1"/>
    </xf>
    <xf numFmtId="0" fontId="39" fillId="37" borderId="58" xfId="696" quotePrefix="1" applyFont="1" applyFill="1" applyBorder="1" applyAlignment="1">
      <alignment horizontal="left" vertical="center" wrapText="1" indent="1"/>
    </xf>
    <xf numFmtId="0" fontId="39" fillId="37" borderId="58" xfId="696" applyFont="1" applyFill="1" applyBorder="1" applyAlignment="1">
      <alignment horizontal="left" vertical="center" wrapText="1" indent="1"/>
    </xf>
    <xf numFmtId="0" fontId="39" fillId="37" borderId="62" xfId="696" applyFont="1" applyFill="1" applyBorder="1" applyAlignment="1">
      <alignment horizontal="left" vertical="center" wrapText="1" indent="1"/>
    </xf>
    <xf numFmtId="0" fontId="39" fillId="37" borderId="91" xfId="696" applyFont="1" applyFill="1" applyBorder="1" applyAlignment="1">
      <alignment horizontal="left" vertical="center" wrapText="1" indent="1"/>
    </xf>
    <xf numFmtId="0" fontId="39" fillId="40" borderId="144" xfId="696" applyFont="1" applyFill="1" applyBorder="1" applyAlignment="1">
      <alignment horizontal="left" vertical="center" wrapText="1" indent="1"/>
    </xf>
    <xf numFmtId="0" fontId="39" fillId="40" borderId="145" xfId="696" applyFont="1" applyFill="1" applyBorder="1" applyAlignment="1">
      <alignment horizontal="left" vertical="center" wrapText="1" indent="1"/>
    </xf>
    <xf numFmtId="0" fontId="39" fillId="49" borderId="55" xfId="696" applyFont="1" applyFill="1" applyBorder="1" applyAlignment="1">
      <alignment horizontal="left" vertical="center" wrapText="1" indent="1"/>
    </xf>
    <xf numFmtId="0" fontId="39" fillId="40" borderId="58" xfId="696" applyFont="1" applyFill="1" applyBorder="1" applyAlignment="1">
      <alignment horizontal="left" vertical="center" wrapText="1" indent="1"/>
    </xf>
    <xf numFmtId="0" fontId="39" fillId="49" borderId="58" xfId="696" applyFont="1" applyFill="1" applyBorder="1" applyAlignment="1">
      <alignment horizontal="left" vertical="center" wrapText="1" indent="1"/>
    </xf>
    <xf numFmtId="0" fontId="39" fillId="48" borderId="58" xfId="696" applyFont="1" applyFill="1" applyBorder="1" applyAlignment="1">
      <alignment horizontal="left" vertical="center" wrapText="1" indent="1"/>
    </xf>
    <xf numFmtId="0" fontId="39" fillId="0" borderId="58" xfId="696" applyFont="1" applyBorder="1" applyAlignment="1">
      <alignment horizontal="left" vertical="center" wrapText="1" indent="1"/>
    </xf>
    <xf numFmtId="0" fontId="39" fillId="47" borderId="58" xfId="696" applyFont="1" applyFill="1" applyBorder="1" applyAlignment="1">
      <alignment horizontal="left" vertical="center" wrapText="1" indent="1"/>
    </xf>
    <xf numFmtId="0" fontId="39" fillId="0" borderId="91" xfId="696" applyFont="1" applyBorder="1" applyAlignment="1">
      <alignment horizontal="left" vertical="center" wrapText="1" indent="1"/>
    </xf>
    <xf numFmtId="0" fontId="39" fillId="0" borderId="55" xfId="696" applyFont="1" applyBorder="1" applyAlignment="1">
      <alignment horizontal="left" vertical="center" wrapText="1" indent="1"/>
    </xf>
    <xf numFmtId="0" fontId="39" fillId="0" borderId="144" xfId="696" applyFont="1" applyBorder="1" applyAlignment="1">
      <alignment horizontal="left" vertical="center" wrapText="1" indent="1"/>
    </xf>
    <xf numFmtId="0" fontId="39" fillId="0" borderId="58" xfId="696" quotePrefix="1" applyFont="1" applyBorder="1" applyAlignment="1">
      <alignment horizontal="left" vertical="center" wrapText="1" indent="1"/>
    </xf>
    <xf numFmtId="0" fontId="39" fillId="0" borderId="62" xfId="696" applyFont="1" applyBorder="1" applyAlignment="1">
      <alignment horizontal="left" vertical="center" wrapText="1" indent="1"/>
    </xf>
    <xf numFmtId="0" fontId="39" fillId="37" borderId="144" xfId="696" applyFont="1" applyFill="1" applyBorder="1" applyAlignment="1">
      <alignment horizontal="left" vertical="center" wrapText="1" indent="1"/>
    </xf>
    <xf numFmtId="0" fontId="39" fillId="0" borderId="58" xfId="900" applyFont="1" applyBorder="1" applyAlignment="1">
      <alignment horizontal="left" vertical="center" indent="1"/>
    </xf>
    <xf numFmtId="0" fontId="39" fillId="0" borderId="144" xfId="900" applyFont="1" applyBorder="1" applyAlignment="1">
      <alignment horizontal="left" vertical="center" indent="1"/>
    </xf>
    <xf numFmtId="0" fontId="39" fillId="52" borderId="144" xfId="900" applyFont="1" applyFill="1" applyBorder="1" applyAlignment="1">
      <alignment horizontal="center" vertical="center"/>
    </xf>
    <xf numFmtId="0" fontId="39" fillId="52" borderId="58" xfId="900" applyFont="1" applyFill="1" applyBorder="1" applyAlignment="1">
      <alignment horizontal="center" vertical="center"/>
    </xf>
    <xf numFmtId="0" fontId="39" fillId="52" borderId="62" xfId="900" applyFont="1" applyFill="1" applyBorder="1" applyAlignment="1">
      <alignment horizontal="center" vertical="center"/>
    </xf>
    <xf numFmtId="0" fontId="39" fillId="52" borderId="91" xfId="900" applyFont="1" applyFill="1" applyBorder="1" applyAlignment="1">
      <alignment horizontal="center" vertical="center"/>
    </xf>
    <xf numFmtId="0" fontId="39" fillId="52" borderId="55" xfId="900" applyFont="1" applyFill="1" applyBorder="1" applyAlignment="1">
      <alignment horizontal="center" vertical="center"/>
    </xf>
    <xf numFmtId="0" fontId="39" fillId="52" borderId="145" xfId="900" applyFont="1" applyFill="1" applyBorder="1" applyAlignment="1">
      <alignment horizontal="center" vertical="center"/>
    </xf>
    <xf numFmtId="0" fontId="39" fillId="37" borderId="55" xfId="900" applyFont="1" applyFill="1" applyBorder="1" applyAlignment="1">
      <alignment horizontal="center" vertical="center"/>
    </xf>
    <xf numFmtId="0" fontId="39" fillId="37" borderId="58" xfId="900" applyFont="1" applyFill="1" applyBorder="1" applyAlignment="1">
      <alignment horizontal="center" vertical="center"/>
    </xf>
    <xf numFmtId="0" fontId="39" fillId="37" borderId="62" xfId="900" applyFont="1" applyFill="1" applyBorder="1" applyAlignment="1">
      <alignment horizontal="center" vertical="center"/>
    </xf>
    <xf numFmtId="0" fontId="39" fillId="37" borderId="91" xfId="900" applyFont="1" applyFill="1" applyBorder="1" applyAlignment="1">
      <alignment horizontal="center" vertical="center"/>
    </xf>
    <xf numFmtId="0" fontId="39" fillId="40" borderId="16" xfId="900" applyFont="1" applyFill="1" applyBorder="1" applyAlignment="1">
      <alignment horizontal="center" vertical="center"/>
    </xf>
    <xf numFmtId="0" fontId="39" fillId="40" borderId="145" xfId="900" applyFont="1" applyFill="1" applyBorder="1" applyAlignment="1">
      <alignment horizontal="center" vertical="center"/>
    </xf>
    <xf numFmtId="0" fontId="39" fillId="49" borderId="55" xfId="900" applyFont="1" applyFill="1" applyBorder="1" applyAlignment="1">
      <alignment horizontal="center" vertical="center"/>
    </xf>
    <xf numFmtId="0" fontId="39" fillId="40" borderId="58" xfId="900" applyFont="1" applyFill="1" applyBorder="1" applyAlignment="1">
      <alignment horizontal="center" vertical="center"/>
    </xf>
    <xf numFmtId="0" fontId="39" fillId="49" borderId="58" xfId="900" applyFont="1" applyFill="1" applyBorder="1" applyAlignment="1">
      <alignment horizontal="center" vertical="center"/>
    </xf>
    <xf numFmtId="0" fontId="39" fillId="48" borderId="58" xfId="900" applyFont="1" applyFill="1" applyBorder="1" applyAlignment="1">
      <alignment horizontal="center" vertical="center"/>
    </xf>
    <xf numFmtId="0" fontId="39" fillId="47" borderId="58" xfId="900" applyFont="1" applyFill="1" applyBorder="1" applyAlignment="1">
      <alignment horizontal="center" vertical="center"/>
    </xf>
    <xf numFmtId="0" fontId="39" fillId="49" borderId="62" xfId="900" applyFont="1" applyFill="1" applyBorder="1" applyAlignment="1">
      <alignment horizontal="center" vertical="center"/>
    </xf>
    <xf numFmtId="0" fontId="39" fillId="0" borderId="55" xfId="900" applyFont="1" applyBorder="1" applyAlignment="1">
      <alignment horizontal="center" vertical="center"/>
    </xf>
    <xf numFmtId="0" fontId="39" fillId="0" borderId="91" xfId="900" applyFont="1" applyBorder="1" applyAlignment="1">
      <alignment horizontal="center" vertical="center"/>
    </xf>
    <xf numFmtId="0" fontId="39" fillId="0" borderId="144" xfId="900" applyFont="1" applyBorder="1" applyAlignment="1">
      <alignment horizontal="center" vertical="center"/>
    </xf>
    <xf numFmtId="0" fontId="39" fillId="0" borderId="58" xfId="900" applyFont="1" applyBorder="1" applyAlignment="1">
      <alignment horizontal="center" vertical="center"/>
    </xf>
    <xf numFmtId="0" fontId="39" fillId="0" borderId="62" xfId="900" applyFont="1" applyBorder="1" applyAlignment="1">
      <alignment horizontal="center" vertical="center"/>
    </xf>
    <xf numFmtId="166" fontId="39" fillId="0" borderId="55" xfId="900" applyNumberFormat="1" applyFont="1" applyBorder="1" applyAlignment="1">
      <alignment horizontal="center" vertical="center"/>
    </xf>
    <xf numFmtId="0" fontId="39" fillId="37" borderId="144" xfId="900" applyFont="1" applyFill="1" applyBorder="1" applyAlignment="1">
      <alignment horizontal="center" vertical="center"/>
    </xf>
    <xf numFmtId="0" fontId="39" fillId="77" borderId="55" xfId="900" applyFont="1" applyFill="1" applyBorder="1" applyAlignment="1">
      <alignment horizontal="center" vertical="center"/>
    </xf>
    <xf numFmtId="0" fontId="39" fillId="77" borderId="58" xfId="900" applyFont="1" applyFill="1" applyBorder="1" applyAlignment="1">
      <alignment horizontal="center" vertical="center"/>
    </xf>
    <xf numFmtId="0" fontId="89" fillId="54" borderId="17" xfId="0" applyFont="1" applyFill="1" applyBorder="1" applyAlignment="1" applyProtection="1">
      <alignment horizontal="center" vertical="center"/>
      <protection locked="0"/>
    </xf>
    <xf numFmtId="0" fontId="49" fillId="54" borderId="17" xfId="0" applyFont="1" applyFill="1" applyBorder="1" applyAlignment="1" applyProtection="1">
      <alignment horizontal="center" vertical="center"/>
      <protection locked="0"/>
    </xf>
    <xf numFmtId="0" fontId="75" fillId="54" borderId="17" xfId="0" applyFont="1" applyFill="1" applyBorder="1" applyAlignment="1" applyProtection="1">
      <alignment horizontal="center" vertical="center"/>
      <protection locked="0"/>
    </xf>
    <xf numFmtId="0" fontId="49" fillId="41" borderId="17" xfId="0" applyFont="1" applyFill="1" applyBorder="1" applyAlignment="1" applyProtection="1">
      <alignment horizontal="center" vertical="center"/>
      <protection locked="0"/>
    </xf>
    <xf numFmtId="0" fontId="39" fillId="40" borderId="19" xfId="696" applyFont="1" applyFill="1" applyBorder="1" applyAlignment="1">
      <alignment horizontal="left" vertical="center" wrapText="1" indent="1"/>
    </xf>
    <xf numFmtId="0" fontId="39" fillId="40" borderId="16" xfId="696" applyFont="1" applyFill="1" applyBorder="1" applyAlignment="1">
      <alignment horizontal="left" vertical="center" wrapText="1" indent="1"/>
    </xf>
    <xf numFmtId="0" fontId="2" fillId="0" borderId="40" xfId="0" applyFont="1" applyBorder="1" applyAlignment="1">
      <alignment horizontal="center" vertical="center"/>
    </xf>
    <xf numFmtId="171" fontId="2" fillId="0" borderId="25" xfId="0" applyNumberFormat="1" applyFont="1" applyBorder="1" applyAlignment="1">
      <alignment horizontal="center" vertical="center"/>
    </xf>
    <xf numFmtId="0" fontId="2" fillId="0" borderId="43" xfId="0" applyFont="1" applyBorder="1" applyAlignment="1">
      <alignment horizontal="center" vertical="center"/>
    </xf>
    <xf numFmtId="0" fontId="2" fillId="51" borderId="17" xfId="0" quotePrefix="1" applyFont="1" applyFill="1" applyBorder="1" applyAlignment="1" applyProtection="1">
      <alignment horizontal="center" vertical="center"/>
      <protection locked="0"/>
    </xf>
    <xf numFmtId="0" fontId="2" fillId="56" borderId="17" xfId="0" quotePrefix="1" applyFont="1" applyFill="1" applyBorder="1" applyAlignment="1" applyProtection="1">
      <alignment horizontal="center" vertical="center"/>
      <protection locked="0"/>
    </xf>
    <xf numFmtId="0" fontId="0" fillId="0" borderId="17" xfId="0" applyBorder="1" applyAlignment="1">
      <alignment horizontal="left" vertical="center" wrapText="1"/>
    </xf>
    <xf numFmtId="167" fontId="110" fillId="0" borderId="28" xfId="0" applyNumberFormat="1" applyFont="1" applyBorder="1" applyAlignment="1" applyProtection="1">
      <alignment horizontal="center" vertical="center"/>
      <protection locked="0"/>
    </xf>
    <xf numFmtId="1" fontId="110" fillId="0" borderId="17" xfId="0" applyNumberFormat="1" applyFont="1" applyBorder="1" applyAlignment="1" applyProtection="1">
      <alignment horizontal="center" vertical="center"/>
      <protection locked="0"/>
    </xf>
    <xf numFmtId="0" fontId="110" fillId="0" borderId="17" xfId="0" applyFont="1" applyBorder="1" applyAlignment="1" applyProtection="1">
      <alignment horizontal="center" vertical="center"/>
      <protection locked="0"/>
    </xf>
    <xf numFmtId="167" fontId="63" fillId="0" borderId="28" xfId="0" applyNumberFormat="1" applyFont="1" applyBorder="1" applyAlignment="1" applyProtection="1">
      <alignment horizontal="center" vertical="center"/>
      <protection locked="0"/>
    </xf>
    <xf numFmtId="0" fontId="85" fillId="31" borderId="17" xfId="0" applyFont="1" applyFill="1" applyBorder="1" applyAlignment="1" applyProtection="1">
      <alignment horizontal="center" vertical="center"/>
      <protection locked="0"/>
    </xf>
    <xf numFmtId="167" fontId="111" fillId="0" borderId="28" xfId="0" applyNumberFormat="1" applyFont="1" applyBorder="1" applyAlignment="1" applyProtection="1">
      <alignment horizontal="center" vertical="center"/>
      <protection locked="0"/>
    </xf>
    <xf numFmtId="14" fontId="2" fillId="0" borderId="31" xfId="0" applyNumberFormat="1" applyFont="1" applyBorder="1" applyAlignment="1">
      <alignment horizontal="center" vertical="center"/>
    </xf>
    <xf numFmtId="0" fontId="2" fillId="0" borderId="112" xfId="0" applyFont="1" applyBorder="1" applyAlignment="1">
      <alignment horizontal="left" vertical="center" wrapText="1"/>
    </xf>
    <xf numFmtId="0" fontId="112" fillId="0" borderId="17" xfId="0" applyFont="1" applyBorder="1" applyAlignment="1" applyProtection="1">
      <alignment horizontal="center" vertical="center"/>
      <protection locked="0"/>
    </xf>
    <xf numFmtId="169" fontId="2" fillId="0" borderId="0" xfId="0" applyNumberFormat="1" applyFont="1" applyAlignment="1" applyProtection="1">
      <alignment horizontal="center" vertical="center"/>
      <protection locked="0"/>
    </xf>
    <xf numFmtId="166" fontId="2" fillId="0" borderId="0" xfId="0" applyNumberFormat="1" applyFont="1" applyAlignment="1" applyProtection="1">
      <alignment horizontal="center" vertical="center"/>
      <protection locked="0"/>
    </xf>
    <xf numFmtId="2" fontId="2" fillId="0" borderId="0" xfId="0" quotePrefix="1" applyNumberFormat="1" applyFont="1" applyAlignment="1" applyProtection="1">
      <alignment horizontal="center" vertical="center"/>
      <protection locked="0"/>
    </xf>
    <xf numFmtId="0" fontId="80" fillId="0" borderId="0" xfId="0" applyFont="1" applyAlignment="1" applyProtection="1">
      <alignment horizontal="center" vertical="center"/>
      <protection locked="0"/>
    </xf>
    <xf numFmtId="0" fontId="2" fillId="0" borderId="0" xfId="0" applyFont="1" applyAlignment="1" applyProtection="1">
      <alignment horizontal="center" vertical="center" wrapText="1"/>
      <protection locked="0"/>
    </xf>
    <xf numFmtId="167" fontId="86" fillId="0" borderId="0" xfId="0" applyNumberFormat="1" applyFont="1" applyAlignment="1" applyProtection="1">
      <alignment horizontal="center" vertical="center"/>
      <protection locked="0"/>
    </xf>
    <xf numFmtId="14" fontId="2" fillId="0" borderId="0" xfId="0" applyNumberFormat="1" applyFont="1" applyAlignment="1">
      <alignment horizontal="center" vertical="center"/>
    </xf>
    <xf numFmtId="171" fontId="75" fillId="0" borderId="17" xfId="0" applyNumberFormat="1" applyFont="1" applyBorder="1" applyAlignment="1" applyProtection="1">
      <alignment horizontal="center" vertical="center"/>
      <protection locked="0"/>
    </xf>
    <xf numFmtId="0" fontId="80" fillId="53" borderId="17" xfId="0" applyFont="1" applyFill="1" applyBorder="1" applyAlignment="1" applyProtection="1">
      <alignment horizontal="center" vertical="center"/>
      <protection locked="0"/>
    </xf>
    <xf numFmtId="0" fontId="0" fillId="0" borderId="134" xfId="0" applyBorder="1" applyAlignment="1">
      <alignment horizontal="center" vertical="center"/>
    </xf>
    <xf numFmtId="14" fontId="2" fillId="0" borderId="40" xfId="0" applyNumberFormat="1" applyFont="1" applyBorder="1" applyAlignment="1">
      <alignment horizontal="center" vertical="center"/>
    </xf>
    <xf numFmtId="0" fontId="53" fillId="33" borderId="19" xfId="696" applyFont="1" applyFill="1" applyBorder="1" applyAlignment="1">
      <alignment horizontal="center" vertical="center" textRotation="90" wrapText="1"/>
    </xf>
    <xf numFmtId="0" fontId="39" fillId="0" borderId="19" xfId="696" applyFont="1" applyBorder="1" applyAlignment="1">
      <alignment horizontal="center" vertical="center" wrapText="1"/>
    </xf>
    <xf numFmtId="0" fontId="39" fillId="0" borderId="19" xfId="696" applyFont="1" applyBorder="1" applyAlignment="1">
      <alignment horizontal="left" vertical="center" wrapText="1" indent="1"/>
    </xf>
    <xf numFmtId="0" fontId="60" fillId="0" borderId="19" xfId="900" applyFont="1" applyBorder="1" applyAlignment="1">
      <alignment horizontal="center" vertical="center"/>
    </xf>
    <xf numFmtId="0" fontId="39" fillId="0" borderId="85" xfId="900" applyFont="1" applyBorder="1" applyAlignment="1">
      <alignment horizontal="center" vertical="center"/>
    </xf>
    <xf numFmtId="0" fontId="39" fillId="0" borderId="16" xfId="696" applyFont="1" applyBorder="1" applyAlignment="1">
      <alignment horizontal="left" vertical="center" wrapText="1" indent="1"/>
    </xf>
    <xf numFmtId="0" fontId="62" fillId="37" borderId="19" xfId="696" applyFont="1" applyFill="1" applyBorder="1" applyAlignment="1">
      <alignment horizontal="center" vertical="center" wrapText="1"/>
    </xf>
    <xf numFmtId="0" fontId="39" fillId="37" borderId="19" xfId="696" applyFont="1" applyFill="1" applyBorder="1" applyAlignment="1">
      <alignment horizontal="left" vertical="center" wrapText="1" indent="1"/>
    </xf>
    <xf numFmtId="0" fontId="39" fillId="37" borderId="19" xfId="696" applyFont="1" applyFill="1" applyBorder="1" applyAlignment="1">
      <alignment horizontal="center" vertical="center" wrapText="1"/>
    </xf>
    <xf numFmtId="0" fontId="60" fillId="37" borderId="19" xfId="900" applyFont="1" applyFill="1" applyBorder="1" applyAlignment="1">
      <alignment horizontal="center" vertical="center"/>
    </xf>
    <xf numFmtId="0" fontId="39" fillId="37" borderId="85" xfId="900" applyFont="1" applyFill="1" applyBorder="1" applyAlignment="1">
      <alignment horizontal="center" vertical="center"/>
    </xf>
    <xf numFmtId="0" fontId="39" fillId="37" borderId="16" xfId="696" applyFont="1" applyFill="1" applyBorder="1" applyAlignment="1">
      <alignment horizontal="left" vertical="center" wrapText="1" indent="1"/>
    </xf>
    <xf numFmtId="0" fontId="57" fillId="34" borderId="19" xfId="696" applyFont="1" applyFill="1" applyBorder="1" applyAlignment="1">
      <alignment horizontal="center" vertical="center" wrapText="1"/>
    </xf>
    <xf numFmtId="0" fontId="35" fillId="57" borderId="27" xfId="0" applyFont="1" applyFill="1" applyBorder="1" applyAlignment="1">
      <alignment horizontal="center" vertical="center"/>
    </xf>
    <xf numFmtId="0" fontId="35" fillId="57" borderId="28" xfId="0" applyFont="1" applyFill="1" applyBorder="1" applyAlignment="1">
      <alignment horizontal="center" vertical="center"/>
    </xf>
    <xf numFmtId="0" fontId="35" fillId="57" borderId="41" xfId="0" applyFont="1" applyFill="1" applyBorder="1" applyAlignment="1">
      <alignment horizontal="center" vertical="center"/>
    </xf>
    <xf numFmtId="0" fontId="35" fillId="57" borderId="17" xfId="0" applyFont="1" applyFill="1" applyBorder="1" applyAlignment="1">
      <alignment horizontal="center" vertical="center"/>
    </xf>
    <xf numFmtId="0" fontId="35" fillId="57" borderId="42" xfId="0" applyFont="1" applyFill="1" applyBorder="1" applyAlignment="1">
      <alignment horizontal="center" vertical="center"/>
    </xf>
    <xf numFmtId="0" fontId="35" fillId="57" borderId="40" xfId="0" applyFont="1" applyFill="1" applyBorder="1" applyAlignment="1">
      <alignment horizontal="center" vertical="center"/>
    </xf>
    <xf numFmtId="0" fontId="2" fillId="0" borderId="134" xfId="0" applyFont="1" applyBorder="1" applyAlignment="1">
      <alignment horizontal="left"/>
    </xf>
    <xf numFmtId="0" fontId="2" fillId="0" borderId="112" xfId="0" applyFont="1" applyBorder="1" applyAlignment="1">
      <alignment horizontal="left"/>
    </xf>
    <xf numFmtId="14" fontId="0" fillId="0" borderId="18" xfId="0" quotePrefix="1" applyNumberFormat="1" applyBorder="1" applyAlignment="1">
      <alignment horizontal="center" vertical="center"/>
    </xf>
    <xf numFmtId="14" fontId="0" fillId="0" borderId="64" xfId="0" quotePrefix="1" applyNumberFormat="1" applyBorder="1" applyAlignment="1">
      <alignment horizontal="center" vertical="center"/>
    </xf>
    <xf numFmtId="0" fontId="0" fillId="0" borderId="101" xfId="0" applyBorder="1" applyAlignment="1">
      <alignment horizontal="center" vertical="center"/>
    </xf>
    <xf numFmtId="0" fontId="0" fillId="0" borderId="68" xfId="0" applyBorder="1" applyAlignment="1">
      <alignment horizontal="center" vertical="center"/>
    </xf>
    <xf numFmtId="0" fontId="0" fillId="0" borderId="102" xfId="0" applyBorder="1" applyAlignment="1">
      <alignment horizontal="center" vertical="center"/>
    </xf>
    <xf numFmtId="14" fontId="0" fillId="0" borderId="146" xfId="0" quotePrefix="1" applyNumberFormat="1" applyBorder="1" applyAlignment="1">
      <alignment horizontal="center" vertical="center"/>
    </xf>
    <xf numFmtId="14" fontId="0" fillId="0" borderId="147" xfId="0" quotePrefix="1" applyNumberFormat="1" applyBorder="1" applyAlignment="1">
      <alignment horizontal="center" vertical="center"/>
    </xf>
    <xf numFmtId="14" fontId="0" fillId="0" borderId="115" xfId="0" quotePrefix="1" applyNumberFormat="1" applyBorder="1" applyAlignment="1">
      <alignment horizontal="center" vertical="center"/>
    </xf>
    <xf numFmtId="14" fontId="0" fillId="0" borderId="146" xfId="0" applyNumberFormat="1" applyBorder="1" applyAlignment="1">
      <alignment horizontal="center" vertical="center"/>
    </xf>
    <xf numFmtId="14" fontId="0" fillId="0" borderId="147" xfId="0" applyNumberFormat="1" applyBorder="1" applyAlignment="1">
      <alignment horizontal="center" vertical="center"/>
    </xf>
    <xf numFmtId="14" fontId="0" fillId="0" borderId="115" xfId="0" applyNumberFormat="1" applyBorder="1" applyAlignment="1">
      <alignment horizontal="center" vertical="center"/>
    </xf>
    <xf numFmtId="0" fontId="0" fillId="0" borderId="146" xfId="0" applyBorder="1" applyAlignment="1">
      <alignment horizontal="center" vertical="center"/>
    </xf>
    <xf numFmtId="0" fontId="0" fillId="0" borderId="115" xfId="0" applyBorder="1" applyAlignment="1">
      <alignment horizontal="center" vertical="center"/>
    </xf>
    <xf numFmtId="0" fontId="2" fillId="0" borderId="18" xfId="0" applyFont="1" applyBorder="1" applyAlignment="1">
      <alignment horizontal="left" vertical="center" wrapText="1"/>
    </xf>
    <xf numFmtId="0" fontId="2" fillId="0" borderId="19" xfId="0" applyFont="1" applyBorder="1" applyAlignment="1">
      <alignment horizontal="left" vertical="center" wrapText="1"/>
    </xf>
    <xf numFmtId="0" fontId="2" fillId="0" borderId="64" xfId="0" applyFont="1" applyBorder="1" applyAlignment="1">
      <alignment horizontal="left" vertical="center" wrapText="1"/>
    </xf>
    <xf numFmtId="0" fontId="0" fillId="0" borderId="134" xfId="0" applyBorder="1" applyAlignment="1">
      <alignment horizontal="center" vertical="center"/>
    </xf>
    <xf numFmtId="0" fontId="0" fillId="0" borderId="149" xfId="0" applyBorder="1" applyAlignment="1">
      <alignment horizontal="center" vertical="center"/>
    </xf>
    <xf numFmtId="14" fontId="2" fillId="0" borderId="146" xfId="0" applyNumberFormat="1" applyFont="1" applyBorder="1" applyAlignment="1">
      <alignment horizontal="center" vertical="center"/>
    </xf>
    <xf numFmtId="14" fontId="2" fillId="0" borderId="115" xfId="0" applyNumberFormat="1" applyFont="1" applyBorder="1" applyAlignment="1">
      <alignment horizontal="center" vertical="center"/>
    </xf>
    <xf numFmtId="0" fontId="2" fillId="0" borderId="148" xfId="0" applyFont="1" applyBorder="1" applyAlignment="1" applyProtection="1">
      <alignment horizontal="center" vertical="center"/>
      <protection locked="0"/>
    </xf>
    <xf numFmtId="0" fontId="2" fillId="0" borderId="107" xfId="0" applyFont="1" applyBorder="1" applyAlignment="1" applyProtection="1">
      <alignment horizontal="center" vertical="center"/>
      <protection locked="0"/>
    </xf>
    <xf numFmtId="0" fontId="2" fillId="0" borderId="108" xfId="0" applyFont="1" applyBorder="1" applyAlignment="1" applyProtection="1">
      <alignment horizontal="center" vertical="center"/>
      <protection locked="0"/>
    </xf>
    <xf numFmtId="49" fontId="3" fillId="57" borderId="15" xfId="0" applyNumberFormat="1" applyFont="1" applyFill="1" applyBorder="1" applyAlignment="1">
      <alignment horizontal="center" vertical="center"/>
    </xf>
    <xf numFmtId="49" fontId="2" fillId="0" borderId="93" xfId="0" applyNumberFormat="1" applyFont="1" applyBorder="1" applyAlignment="1" applyProtection="1">
      <alignment horizontal="center" vertical="center"/>
      <protection locked="0"/>
    </xf>
    <xf numFmtId="49" fontId="2" fillId="0" borderId="94" xfId="0" applyNumberFormat="1" applyFont="1" applyBorder="1" applyAlignment="1" applyProtection="1">
      <alignment horizontal="center" vertical="center"/>
      <protection locked="0"/>
    </xf>
    <xf numFmtId="49" fontId="2" fillId="0" borderId="95" xfId="0" applyNumberFormat="1" applyFont="1" applyBorder="1" applyAlignment="1" applyProtection="1">
      <alignment horizontal="center" vertical="center"/>
      <protection locked="0"/>
    </xf>
    <xf numFmtId="0" fontId="4" fillId="30" borderId="27" xfId="0" applyFont="1" applyFill="1" applyBorder="1" applyAlignment="1" applyProtection="1">
      <alignment horizontal="center" vertical="center"/>
      <protection locked="0"/>
    </xf>
    <xf numFmtId="0" fontId="4" fillId="30" borderId="41" xfId="0" applyFont="1" applyFill="1" applyBorder="1" applyAlignment="1" applyProtection="1">
      <alignment horizontal="center" vertical="center"/>
      <protection locked="0"/>
    </xf>
    <xf numFmtId="0" fontId="4" fillId="30" borderId="42" xfId="0" applyFont="1" applyFill="1" applyBorder="1" applyAlignment="1" applyProtection="1">
      <alignment horizontal="center" vertical="center"/>
      <protection locked="0"/>
    </xf>
    <xf numFmtId="0" fontId="3" fillId="70" borderId="17" xfId="0" applyFont="1" applyFill="1" applyBorder="1" applyAlignment="1" applyProtection="1">
      <alignment horizontal="center" vertical="center" wrapText="1"/>
      <protection locked="0"/>
    </xf>
    <xf numFmtId="0" fontId="3" fillId="70" borderId="17" xfId="0" applyFont="1" applyFill="1" applyBorder="1" applyAlignment="1" applyProtection="1">
      <alignment horizontal="center" vertical="center"/>
      <protection locked="0"/>
    </xf>
    <xf numFmtId="0" fontId="3" fillId="70" borderId="22" xfId="0" applyFont="1" applyFill="1" applyBorder="1" applyAlignment="1" applyProtection="1">
      <alignment horizontal="center" vertical="center" wrapText="1"/>
      <protection locked="0"/>
    </xf>
    <xf numFmtId="0" fontId="3" fillId="70" borderId="35" xfId="0" applyFont="1" applyFill="1" applyBorder="1" applyAlignment="1" applyProtection="1">
      <alignment horizontal="center" vertical="center" wrapText="1"/>
      <protection locked="0"/>
    </xf>
    <xf numFmtId="0" fontId="3" fillId="70" borderId="24" xfId="0" applyFont="1" applyFill="1" applyBorder="1" applyAlignment="1" applyProtection="1">
      <alignment horizontal="center" vertical="center" wrapText="1"/>
      <protection locked="0"/>
    </xf>
    <xf numFmtId="0" fontId="4" fillId="31" borderId="26" xfId="0" applyFont="1" applyFill="1" applyBorder="1" applyAlignment="1" applyProtection="1">
      <alignment horizontal="center" vertical="center"/>
      <protection locked="0"/>
    </xf>
    <xf numFmtId="0" fontId="4" fillId="31" borderId="14" xfId="0" applyFont="1" applyFill="1" applyBorder="1" applyAlignment="1" applyProtection="1">
      <alignment horizontal="center" vertical="center"/>
      <protection locked="0"/>
    </xf>
    <xf numFmtId="0" fontId="4" fillId="31" borderId="30" xfId="0" applyFont="1" applyFill="1" applyBorder="1" applyAlignment="1" applyProtection="1">
      <alignment horizontal="center" vertical="center"/>
      <protection locked="0"/>
    </xf>
    <xf numFmtId="0" fontId="3" fillId="28" borderId="26" xfId="0" applyFont="1" applyFill="1" applyBorder="1" applyAlignment="1" applyProtection="1">
      <alignment horizontal="center" vertical="center" wrapText="1"/>
      <protection locked="0"/>
    </xf>
    <xf numFmtId="0" fontId="3" fillId="28" borderId="14" xfId="0" applyFont="1" applyFill="1" applyBorder="1" applyAlignment="1" applyProtection="1">
      <alignment horizontal="center" vertical="center" wrapText="1"/>
      <protection locked="0"/>
    </xf>
    <xf numFmtId="0" fontId="3" fillId="28" borderId="30" xfId="0" applyFont="1" applyFill="1" applyBorder="1" applyAlignment="1" applyProtection="1">
      <alignment horizontal="center" vertical="center" wrapText="1"/>
      <protection locked="0"/>
    </xf>
    <xf numFmtId="0" fontId="3" fillId="28" borderId="26" xfId="0" applyFont="1" applyFill="1" applyBorder="1" applyAlignment="1" applyProtection="1">
      <alignment horizontal="center" vertical="center"/>
      <protection locked="0"/>
    </xf>
    <xf numFmtId="0" fontId="3" fillId="28" borderId="14" xfId="0" applyFont="1" applyFill="1" applyBorder="1" applyAlignment="1" applyProtection="1">
      <alignment horizontal="center" vertical="center"/>
      <protection locked="0"/>
    </xf>
    <xf numFmtId="0" fontId="3" fillId="28" borderId="30" xfId="0" applyFont="1" applyFill="1" applyBorder="1" applyAlignment="1" applyProtection="1">
      <alignment horizontal="center" vertical="center"/>
      <protection locked="0"/>
    </xf>
    <xf numFmtId="0" fontId="4" fillId="27" borderId="26" xfId="0" applyFont="1" applyFill="1" applyBorder="1" applyAlignment="1">
      <alignment horizontal="center" vertical="center"/>
    </xf>
    <xf numFmtId="0" fontId="4" fillId="27" borderId="14" xfId="0" applyFont="1" applyFill="1" applyBorder="1" applyAlignment="1">
      <alignment horizontal="center" vertical="center"/>
    </xf>
    <xf numFmtId="0" fontId="4" fillId="27" borderId="30" xfId="0" applyFont="1" applyFill="1" applyBorder="1" applyAlignment="1">
      <alignment horizontal="center" vertical="center"/>
    </xf>
    <xf numFmtId="0" fontId="3" fillId="26" borderId="26" xfId="0" applyFont="1" applyFill="1" applyBorder="1" applyAlignment="1">
      <alignment horizontal="center" vertical="center" wrapText="1"/>
    </xf>
    <xf numFmtId="0" fontId="3" fillId="26" borderId="14" xfId="0" applyFont="1" applyFill="1" applyBorder="1" applyAlignment="1">
      <alignment horizontal="center" vertical="center" wrapText="1"/>
    </xf>
    <xf numFmtId="0" fontId="3" fillId="26" borderId="30" xfId="0" applyFont="1" applyFill="1" applyBorder="1" applyAlignment="1">
      <alignment horizontal="center" vertical="center" wrapText="1"/>
    </xf>
    <xf numFmtId="0" fontId="4" fillId="59" borderId="26" xfId="0" applyFont="1" applyFill="1" applyBorder="1" applyAlignment="1">
      <alignment horizontal="center" vertical="center"/>
    </xf>
    <xf numFmtId="0" fontId="4" fillId="59" borderId="14" xfId="0" applyFont="1" applyFill="1" applyBorder="1" applyAlignment="1">
      <alignment horizontal="center" vertical="center"/>
    </xf>
    <xf numFmtId="0" fontId="4" fillId="59" borderId="30" xfId="0" applyFont="1" applyFill="1" applyBorder="1" applyAlignment="1">
      <alignment horizontal="center" vertical="center"/>
    </xf>
    <xf numFmtId="0" fontId="3" fillId="60" borderId="26" xfId="0" applyFont="1" applyFill="1" applyBorder="1" applyAlignment="1">
      <alignment horizontal="center" vertical="center" wrapText="1"/>
    </xf>
    <xf numFmtId="0" fontId="3" fillId="60" borderId="14" xfId="0" applyFont="1" applyFill="1" applyBorder="1" applyAlignment="1">
      <alignment horizontal="center" vertical="center" wrapText="1"/>
    </xf>
    <xf numFmtId="0" fontId="3" fillId="60" borderId="30" xfId="0" applyFont="1" applyFill="1" applyBorder="1" applyAlignment="1">
      <alignment horizontal="center" vertical="center" wrapText="1"/>
    </xf>
    <xf numFmtId="0" fontId="3" fillId="80" borderId="26" xfId="0" applyFont="1" applyFill="1" applyBorder="1" applyAlignment="1">
      <alignment horizontal="center" vertical="center" wrapText="1"/>
    </xf>
    <xf numFmtId="0" fontId="3" fillId="80" borderId="14" xfId="0" applyFont="1" applyFill="1" applyBorder="1" applyAlignment="1">
      <alignment horizontal="center" vertical="center" wrapText="1"/>
    </xf>
    <xf numFmtId="0" fontId="3" fillId="80" borderId="30" xfId="0" applyFont="1" applyFill="1" applyBorder="1" applyAlignment="1">
      <alignment horizontal="center" vertical="center" wrapText="1"/>
    </xf>
    <xf numFmtId="0" fontId="4" fillId="54" borderId="26" xfId="0" applyFont="1" applyFill="1" applyBorder="1" applyAlignment="1">
      <alignment horizontal="center" vertical="center"/>
    </xf>
    <xf numFmtId="0" fontId="4" fillId="54" borderId="14" xfId="0" applyFont="1" applyFill="1" applyBorder="1" applyAlignment="1">
      <alignment horizontal="center" vertical="center"/>
    </xf>
    <xf numFmtId="0" fontId="4" fillId="54" borderId="30" xfId="0" applyFont="1" applyFill="1" applyBorder="1" applyAlignment="1">
      <alignment horizontal="center" vertical="center"/>
    </xf>
    <xf numFmtId="0" fontId="4" fillId="44" borderId="26" xfId="0" applyFont="1" applyFill="1" applyBorder="1" applyAlignment="1">
      <alignment horizontal="center" vertical="center"/>
    </xf>
    <xf numFmtId="0" fontId="4" fillId="44" borderId="14" xfId="0" applyFont="1" applyFill="1" applyBorder="1" applyAlignment="1">
      <alignment horizontal="center" vertical="center"/>
    </xf>
    <xf numFmtId="0" fontId="4" fillId="44" borderId="30" xfId="0" applyFont="1" applyFill="1" applyBorder="1" applyAlignment="1">
      <alignment horizontal="center" vertical="center"/>
    </xf>
    <xf numFmtId="0" fontId="3" fillId="45" borderId="26" xfId="0" applyFont="1" applyFill="1" applyBorder="1" applyAlignment="1">
      <alignment horizontal="center" vertical="center" wrapText="1"/>
    </xf>
    <xf numFmtId="0" fontId="3" fillId="45" borderId="14" xfId="0" applyFont="1" applyFill="1" applyBorder="1" applyAlignment="1">
      <alignment horizontal="center" vertical="center" wrapText="1"/>
    </xf>
    <xf numFmtId="0" fontId="3" fillId="45" borderId="30" xfId="0" applyFont="1" applyFill="1" applyBorder="1" applyAlignment="1">
      <alignment horizontal="center" vertical="center" wrapText="1"/>
    </xf>
    <xf numFmtId="0" fontId="4" fillId="46" borderId="26" xfId="0" applyFont="1" applyFill="1" applyBorder="1" applyAlignment="1">
      <alignment horizontal="center" vertical="center"/>
    </xf>
    <xf numFmtId="0" fontId="4" fillId="46" borderId="14" xfId="0" applyFont="1" applyFill="1" applyBorder="1" applyAlignment="1">
      <alignment horizontal="center" vertical="center"/>
    </xf>
    <xf numFmtId="0" fontId="4" fillId="46" borderId="30" xfId="0" applyFont="1" applyFill="1" applyBorder="1" applyAlignment="1">
      <alignment horizontal="center" vertical="center"/>
    </xf>
    <xf numFmtId="0" fontId="3" fillId="42" borderId="26" xfId="0" applyFont="1" applyFill="1" applyBorder="1" applyAlignment="1">
      <alignment horizontal="center" vertical="center" wrapText="1"/>
    </xf>
    <xf numFmtId="0" fontId="3" fillId="42" borderId="14" xfId="0" applyFont="1" applyFill="1" applyBorder="1" applyAlignment="1">
      <alignment horizontal="center" vertical="center" wrapText="1"/>
    </xf>
    <xf numFmtId="0" fontId="3" fillId="42" borderId="30" xfId="0" applyFont="1" applyFill="1" applyBorder="1" applyAlignment="1">
      <alignment horizontal="center" vertical="center" wrapText="1"/>
    </xf>
    <xf numFmtId="0" fontId="5" fillId="31" borderId="22" xfId="0" applyFont="1" applyFill="1" applyBorder="1" applyAlignment="1">
      <alignment horizontal="center" vertical="center"/>
    </xf>
    <xf numFmtId="0" fontId="5" fillId="31" borderId="35" xfId="0" applyFont="1" applyFill="1" applyBorder="1" applyAlignment="1">
      <alignment horizontal="center" vertical="center"/>
    </xf>
    <xf numFmtId="0" fontId="5" fillId="31" borderId="24" xfId="0" applyFont="1" applyFill="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49" xfId="0" applyFont="1" applyBorder="1" applyAlignment="1">
      <alignment horizontal="center" vertical="center"/>
    </xf>
    <xf numFmtId="0" fontId="66" fillId="0" borderId="17" xfId="0" applyFont="1" applyBorder="1" applyAlignment="1">
      <alignment horizontal="center" vertical="center"/>
    </xf>
    <xf numFmtId="0" fontId="66" fillId="0" borderId="25" xfId="0" applyFont="1" applyBorder="1" applyAlignment="1">
      <alignment horizontal="center" vertical="center"/>
    </xf>
    <xf numFmtId="0" fontId="47" fillId="0" borderId="20" xfId="0" applyFont="1" applyBorder="1" applyAlignment="1">
      <alignment horizontal="center" vertical="center" wrapText="1"/>
    </xf>
    <xf numFmtId="0" fontId="47" fillId="0" borderId="0" xfId="0" applyFont="1" applyAlignment="1">
      <alignment horizontal="center" vertical="center" wrapText="1"/>
    </xf>
    <xf numFmtId="0" fontId="48" fillId="0" borderId="18" xfId="0" applyFont="1" applyBorder="1" applyAlignment="1">
      <alignment horizontal="center" vertical="center"/>
    </xf>
    <xf numFmtId="0" fontId="48" fillId="0" borderId="19" xfId="0" applyFont="1" applyBorder="1" applyAlignment="1">
      <alignment horizontal="center" vertical="center"/>
    </xf>
    <xf numFmtId="0" fontId="48" fillId="0" borderId="64" xfId="0" applyFont="1" applyBorder="1" applyAlignment="1">
      <alignment horizontal="center" vertical="center"/>
    </xf>
    <xf numFmtId="0" fontId="72" fillId="0" borderId="17" xfId="0" applyFont="1" applyBorder="1" applyAlignment="1">
      <alignment horizontal="center" vertical="center"/>
    </xf>
    <xf numFmtId="0" fontId="2" fillId="0" borderId="101" xfId="0" applyFont="1" applyBorder="1" applyAlignment="1">
      <alignment horizontal="center" vertical="center"/>
    </xf>
    <xf numFmtId="0" fontId="2" fillId="0" borderId="68" xfId="0" applyFont="1" applyBorder="1" applyAlignment="1">
      <alignment horizontal="center" vertical="center"/>
    </xf>
    <xf numFmtId="0" fontId="2" fillId="0" borderId="69" xfId="0" applyFont="1" applyBorder="1" applyAlignment="1">
      <alignment horizontal="center" vertical="center"/>
    </xf>
    <xf numFmtId="0" fontId="66" fillId="0" borderId="18" xfId="0" applyFont="1" applyBorder="1" applyAlignment="1">
      <alignment horizontal="center" vertical="center"/>
    </xf>
    <xf numFmtId="0" fontId="66" fillId="0" borderId="19" xfId="0" applyFont="1" applyBorder="1" applyAlignment="1">
      <alignment horizontal="center" vertical="center"/>
    </xf>
    <xf numFmtId="0" fontId="66" fillId="62" borderId="100" xfId="0" applyFont="1" applyFill="1" applyBorder="1" applyAlignment="1">
      <alignment horizontal="center" vertical="center" wrapText="1"/>
    </xf>
    <xf numFmtId="0" fontId="66" fillId="62" borderId="19" xfId="0" applyFont="1" applyFill="1" applyBorder="1" applyAlignment="1">
      <alignment horizontal="center" vertical="center" wrapText="1"/>
    </xf>
    <xf numFmtId="0" fontId="2" fillId="69" borderId="100" xfId="0" applyFont="1" applyFill="1" applyBorder="1" applyAlignment="1">
      <alignment horizontal="center" vertical="center"/>
    </xf>
    <xf numFmtId="0" fontId="2" fillId="69" borderId="19" xfId="0" applyFont="1" applyFill="1" applyBorder="1" applyAlignment="1">
      <alignment horizontal="center" vertical="center"/>
    </xf>
    <xf numFmtId="0" fontId="66" fillId="62" borderId="41" xfId="0" applyFont="1" applyFill="1" applyBorder="1" applyAlignment="1">
      <alignment horizontal="center" vertical="center"/>
    </xf>
    <xf numFmtId="0" fontId="66" fillId="62" borderId="18" xfId="0" applyFont="1" applyFill="1" applyBorder="1" applyAlignment="1">
      <alignment horizontal="center" vertical="center"/>
    </xf>
    <xf numFmtId="0" fontId="72" fillId="62" borderId="63" xfId="0" applyFont="1" applyFill="1" applyBorder="1" applyAlignment="1">
      <alignment horizontal="center" vertical="center" wrapText="1"/>
    </xf>
    <xf numFmtId="0" fontId="72" fillId="62" borderId="22" xfId="0" applyFont="1" applyFill="1" applyBorder="1" applyAlignment="1">
      <alignment horizontal="center" vertical="center" wrapText="1"/>
    </xf>
    <xf numFmtId="0" fontId="47" fillId="69" borderId="19" xfId="0" applyFont="1" applyFill="1" applyBorder="1" applyAlignment="1">
      <alignment horizontal="center" vertical="center"/>
    </xf>
    <xf numFmtId="0" fontId="47" fillId="69" borderId="64" xfId="0" applyFont="1" applyFill="1" applyBorder="1" applyAlignment="1">
      <alignment horizontal="center" vertical="center"/>
    </xf>
    <xf numFmtId="0" fontId="72" fillId="62" borderId="19" xfId="0" applyFont="1" applyFill="1" applyBorder="1" applyAlignment="1">
      <alignment horizontal="center" vertical="center" wrapText="1"/>
    </xf>
    <xf numFmtId="0" fontId="72" fillId="62" borderId="64" xfId="0" applyFont="1" applyFill="1" applyBorder="1" applyAlignment="1">
      <alignment horizontal="center" vertical="center" wrapText="1"/>
    </xf>
    <xf numFmtId="0" fontId="66" fillId="62" borderId="27" xfId="0" applyFont="1" applyFill="1" applyBorder="1" applyAlignment="1">
      <alignment horizontal="center" vertical="center" wrapText="1"/>
    </xf>
    <xf numFmtId="0" fontId="66" fillId="62" borderId="28" xfId="0" applyFont="1" applyFill="1" applyBorder="1" applyAlignment="1">
      <alignment horizontal="center" vertical="center" wrapText="1"/>
    </xf>
    <xf numFmtId="0" fontId="5" fillId="79" borderId="22" xfId="0" applyFont="1" applyFill="1" applyBorder="1" applyAlignment="1">
      <alignment horizontal="center" vertical="center"/>
    </xf>
    <xf numFmtId="0" fontId="5" fillId="79" borderId="35" xfId="0" applyFont="1" applyFill="1" applyBorder="1" applyAlignment="1">
      <alignment horizontal="center" vertical="center"/>
    </xf>
    <xf numFmtId="0" fontId="5" fillId="79" borderId="24" xfId="0" applyFont="1" applyFill="1" applyBorder="1" applyAlignment="1">
      <alignment horizontal="center" vertical="center"/>
    </xf>
    <xf numFmtId="0" fontId="66" fillId="62" borderId="17" xfId="0" applyFont="1" applyFill="1" applyBorder="1" applyAlignment="1">
      <alignment horizontal="center" vertical="center"/>
    </xf>
    <xf numFmtId="0" fontId="3" fillId="61" borderId="26" xfId="0" applyFont="1" applyFill="1" applyBorder="1" applyAlignment="1">
      <alignment horizontal="center" vertical="center"/>
    </xf>
    <xf numFmtId="0" fontId="3" fillId="61" borderId="14" xfId="0" applyFont="1" applyFill="1" applyBorder="1" applyAlignment="1">
      <alignment horizontal="center" vertical="center"/>
    </xf>
    <xf numFmtId="0" fontId="3" fillId="61" borderId="30" xfId="0" applyFont="1" applyFill="1" applyBorder="1" applyAlignment="1">
      <alignment horizontal="center" vertical="center"/>
    </xf>
    <xf numFmtId="0" fontId="66" fillId="62" borderId="102" xfId="0" applyFont="1" applyFill="1" applyBorder="1" applyAlignment="1">
      <alignment horizontal="center" vertical="center" wrapText="1"/>
    </xf>
    <xf numFmtId="0" fontId="66" fillId="62" borderId="17" xfId="0" applyFont="1" applyFill="1" applyBorder="1" applyAlignment="1">
      <alignment horizontal="justify" vertical="center" wrapText="1"/>
    </xf>
    <xf numFmtId="0" fontId="66" fillId="62" borderId="41" xfId="0" applyFont="1" applyFill="1" applyBorder="1" applyAlignment="1">
      <alignment horizontal="center" vertical="center" wrapText="1"/>
    </xf>
    <xf numFmtId="0" fontId="66" fillId="62" borderId="17" xfId="0" applyFont="1" applyFill="1" applyBorder="1" applyAlignment="1">
      <alignment horizontal="center" vertical="center" wrapText="1"/>
    </xf>
    <xf numFmtId="0" fontId="66" fillId="62" borderId="41" xfId="0" applyFont="1" applyFill="1" applyBorder="1" applyAlignment="1">
      <alignment horizontal="justify" vertical="center" wrapText="1"/>
    </xf>
    <xf numFmtId="0" fontId="3" fillId="61" borderId="38" xfId="0" applyFont="1" applyFill="1" applyBorder="1" applyAlignment="1">
      <alignment horizontal="center" vertical="center"/>
    </xf>
    <xf numFmtId="0" fontId="3" fillId="61" borderId="51" xfId="0" applyFont="1" applyFill="1" applyBorder="1" applyAlignment="1">
      <alignment horizontal="center" vertical="center"/>
    </xf>
    <xf numFmtId="0" fontId="3" fillId="61" borderId="39" xfId="0" applyFont="1" applyFill="1" applyBorder="1" applyAlignment="1">
      <alignment horizontal="center" vertical="center"/>
    </xf>
    <xf numFmtId="0" fontId="66" fillId="62" borderId="52" xfId="0" applyFont="1" applyFill="1" applyBorder="1" applyAlignment="1">
      <alignment horizontal="center" vertical="center" wrapText="1"/>
    </xf>
    <xf numFmtId="0" fontId="66" fillId="62" borderId="104" xfId="0" applyFont="1" applyFill="1" applyBorder="1" applyAlignment="1">
      <alignment horizontal="center" vertical="center" wrapText="1"/>
    </xf>
    <xf numFmtId="0" fontId="2" fillId="0" borderId="38" xfId="0" applyFont="1" applyBorder="1" applyAlignment="1">
      <alignment horizontal="center" vertical="center"/>
    </xf>
    <xf numFmtId="0" fontId="2" fillId="0" borderId="36" xfId="0" applyFont="1" applyBorder="1" applyAlignment="1">
      <alignment horizontal="center" vertical="center"/>
    </xf>
    <xf numFmtId="0" fontId="2" fillId="0" borderId="37" xfId="0" applyFont="1" applyBorder="1" applyAlignment="1">
      <alignment horizontal="center" vertical="center"/>
    </xf>
    <xf numFmtId="0" fontId="3" fillId="0" borderId="106" xfId="0" applyFont="1" applyBorder="1" applyAlignment="1">
      <alignment horizontal="left" vertical="center" wrapText="1"/>
    </xf>
    <xf numFmtId="0" fontId="3" fillId="0" borderId="107" xfId="0" applyFont="1" applyBorder="1" applyAlignment="1">
      <alignment horizontal="left" vertical="center" wrapText="1"/>
    </xf>
    <xf numFmtId="0" fontId="3" fillId="0" borderId="108" xfId="0" applyFont="1" applyBorder="1" applyAlignment="1">
      <alignment horizontal="left" vertical="center" wrapText="1"/>
    </xf>
    <xf numFmtId="0" fontId="66" fillId="62" borderId="101" xfId="0" applyFont="1" applyFill="1" applyBorder="1" applyAlignment="1">
      <alignment horizontal="center" vertical="center" wrapText="1"/>
    </xf>
    <xf numFmtId="0" fontId="3" fillId="0" borderId="22" xfId="0" quotePrefix="1" applyFont="1" applyBorder="1" applyAlignment="1">
      <alignment horizontal="left" vertical="center" wrapText="1"/>
    </xf>
    <xf numFmtId="0" fontId="3" fillId="0" borderId="35" xfId="0" applyFont="1" applyBorder="1" applyAlignment="1">
      <alignment horizontal="left" vertical="center" wrapText="1"/>
    </xf>
    <xf numFmtId="0" fontId="3" fillId="0" borderId="105" xfId="0" applyFont="1" applyBorder="1" applyAlignment="1">
      <alignment horizontal="left" vertical="center" wrapText="1"/>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0" xfId="0" applyFont="1" applyAlignment="1">
      <alignment horizontal="center" vertical="center" wrapText="1"/>
    </xf>
    <xf numFmtId="0" fontId="2" fillId="72" borderId="46" xfId="0" applyFont="1" applyFill="1" applyBorder="1" applyAlignment="1">
      <alignment horizontal="center"/>
    </xf>
    <xf numFmtId="0" fontId="2" fillId="51" borderId="46" xfId="0" applyFont="1" applyFill="1" applyBorder="1" applyAlignment="1">
      <alignment horizontal="center"/>
    </xf>
    <xf numFmtId="0" fontId="2" fillId="31" borderId="46" xfId="0" applyFont="1" applyFill="1" applyBorder="1" applyAlignment="1">
      <alignment horizontal="center"/>
    </xf>
    <xf numFmtId="0" fontId="2" fillId="48" borderId="46" xfId="0" applyFont="1" applyFill="1" applyBorder="1" applyAlignment="1">
      <alignment horizontal="center"/>
    </xf>
    <xf numFmtId="0" fontId="2" fillId="59" borderId="46" xfId="0" applyFont="1" applyFill="1" applyBorder="1" applyAlignment="1">
      <alignment horizontal="center"/>
    </xf>
    <xf numFmtId="0" fontId="2" fillId="78" borderId="46" xfId="0" applyFont="1" applyFill="1" applyBorder="1" applyAlignment="1">
      <alignment horizontal="center"/>
    </xf>
    <xf numFmtId="0" fontId="3" fillId="45" borderId="63" xfId="0" applyFont="1" applyFill="1" applyBorder="1" applyAlignment="1">
      <alignment horizontal="center" vertical="center" wrapText="1"/>
    </xf>
    <xf numFmtId="0" fontId="3" fillId="45" borderId="15" xfId="0" applyFont="1" applyFill="1" applyBorder="1" applyAlignment="1">
      <alignment horizontal="center" vertical="center" wrapText="1"/>
    </xf>
    <xf numFmtId="0" fontId="2" fillId="0" borderId="22" xfId="0" applyFont="1" applyBorder="1" applyAlignment="1">
      <alignment horizontal="center" vertical="center"/>
    </xf>
    <xf numFmtId="0" fontId="2" fillId="0" borderId="35" xfId="0" applyFont="1" applyBorder="1" applyAlignment="1">
      <alignment horizontal="center" vertical="center"/>
    </xf>
    <xf numFmtId="2" fontId="3" fillId="45" borderId="22" xfId="0" applyNumberFormat="1" applyFont="1" applyFill="1" applyBorder="1" applyAlignment="1">
      <alignment horizontal="center" vertical="center" wrapText="1"/>
    </xf>
    <xf numFmtId="2" fontId="3" fillId="45" borderId="35" xfId="0" applyNumberFormat="1" applyFont="1" applyFill="1" applyBorder="1" applyAlignment="1">
      <alignment horizontal="center" vertical="center"/>
    </xf>
    <xf numFmtId="0" fontId="3" fillId="45" borderId="17" xfId="0" applyFont="1" applyFill="1" applyBorder="1" applyAlignment="1">
      <alignment horizontal="center" vertical="center" wrapText="1"/>
    </xf>
    <xf numFmtId="0" fontId="2" fillId="0" borderId="24" xfId="0" applyFont="1" applyBorder="1" applyAlignment="1">
      <alignment horizontal="center" vertical="center"/>
    </xf>
    <xf numFmtId="0" fontId="4" fillId="0" borderId="17" xfId="0" applyFont="1" applyBorder="1" applyAlignment="1">
      <alignment horizontal="center" vertical="center" textRotation="180"/>
    </xf>
    <xf numFmtId="0" fontId="3" fillId="76" borderId="22" xfId="0" applyFont="1" applyFill="1" applyBorder="1" applyAlignment="1">
      <alignment horizontal="center" vertical="center" wrapText="1"/>
    </xf>
    <xf numFmtId="0" fontId="3" fillId="76" borderId="35" xfId="0" applyFont="1" applyFill="1" applyBorder="1" applyAlignment="1">
      <alignment horizontal="center" vertical="center" wrapText="1"/>
    </xf>
    <xf numFmtId="0" fontId="3" fillId="76" borderId="24" xfId="0" applyFont="1" applyFill="1" applyBorder="1" applyAlignment="1">
      <alignment horizontal="center" vertical="center" wrapText="1"/>
    </xf>
    <xf numFmtId="0" fontId="3" fillId="76" borderId="63" xfId="0" applyFont="1" applyFill="1" applyBorder="1" applyAlignment="1">
      <alignment horizontal="center" vertical="center" wrapText="1"/>
    </xf>
    <xf numFmtId="0" fontId="3" fillId="76" borderId="15" xfId="0" applyFont="1" applyFill="1" applyBorder="1" applyAlignment="1">
      <alignment horizontal="center" vertical="center" wrapText="1"/>
    </xf>
    <xf numFmtId="0" fontId="3" fillId="76" borderId="17" xfId="0" applyFont="1" applyFill="1" applyBorder="1" applyAlignment="1">
      <alignment horizontal="center" vertical="center" wrapText="1"/>
    </xf>
    <xf numFmtId="2" fontId="3" fillId="76" borderId="22" xfId="0" applyNumberFormat="1" applyFont="1" applyFill="1" applyBorder="1" applyAlignment="1">
      <alignment horizontal="center" vertical="center" wrapText="1"/>
    </xf>
    <xf numFmtId="2" fontId="3" fillId="76" borderId="35" xfId="0" applyNumberFormat="1" applyFont="1" applyFill="1" applyBorder="1" applyAlignment="1">
      <alignment horizontal="center" vertical="center"/>
    </xf>
    <xf numFmtId="0" fontId="2" fillId="70" borderId="22" xfId="0" applyFont="1" applyFill="1" applyBorder="1" applyAlignment="1">
      <alignment horizontal="center" vertical="center"/>
    </xf>
    <xf numFmtId="0" fontId="2" fillId="70" borderId="24" xfId="0" applyFont="1" applyFill="1" applyBorder="1" applyAlignment="1">
      <alignment horizontal="center" vertical="center"/>
    </xf>
    <xf numFmtId="0" fontId="2" fillId="49" borderId="18" xfId="0" applyFont="1" applyFill="1" applyBorder="1" applyAlignment="1">
      <alignment horizontal="center" vertical="center" textRotation="90"/>
    </xf>
    <xf numFmtId="0" fontId="2" fillId="49" borderId="19" xfId="0" applyFont="1" applyFill="1" applyBorder="1" applyAlignment="1">
      <alignment horizontal="center" vertical="center" textRotation="90"/>
    </xf>
    <xf numFmtId="0" fontId="2" fillId="49" borderId="64" xfId="0" applyFont="1" applyFill="1" applyBorder="1" applyAlignment="1">
      <alignment horizontal="center" vertical="center" textRotation="90"/>
    </xf>
    <xf numFmtId="0" fontId="2" fillId="49" borderId="17" xfId="0" quotePrefix="1" applyFont="1" applyFill="1" applyBorder="1" applyAlignment="1">
      <alignment horizontal="left" vertical="center" wrapText="1"/>
    </xf>
    <xf numFmtId="0" fontId="2" fillId="49" borderId="17" xfId="0" applyFont="1" applyFill="1" applyBorder="1" applyAlignment="1">
      <alignment horizontal="center" vertical="center"/>
    </xf>
    <xf numFmtId="0" fontId="2" fillId="0" borderId="109" xfId="0" applyFont="1" applyBorder="1" applyAlignment="1">
      <alignment horizontal="center" vertical="center" wrapText="1"/>
    </xf>
    <xf numFmtId="0" fontId="2" fillId="0" borderId="110" xfId="0" applyFont="1" applyBorder="1" applyAlignment="1">
      <alignment horizontal="center" vertical="center"/>
    </xf>
    <xf numFmtId="0" fontId="2" fillId="0" borderId="111" xfId="0" applyFont="1" applyBorder="1" applyAlignment="1">
      <alignment horizontal="center" vertical="center"/>
    </xf>
    <xf numFmtId="0" fontId="2" fillId="41" borderId="109" xfId="0" applyFont="1" applyFill="1" applyBorder="1" applyAlignment="1">
      <alignment horizontal="center" vertical="center" wrapText="1"/>
    </xf>
    <xf numFmtId="0" fontId="2" fillId="41" borderId="110" xfId="0" applyFont="1" applyFill="1" applyBorder="1" applyAlignment="1">
      <alignment horizontal="center" vertical="center"/>
    </xf>
    <xf numFmtId="0" fontId="2" fillId="41" borderId="111" xfId="0" applyFont="1" applyFill="1" applyBorder="1" applyAlignment="1">
      <alignment horizontal="center" vertical="center"/>
    </xf>
    <xf numFmtId="0" fontId="2" fillId="41" borderId="67" xfId="0" applyFont="1" applyFill="1" applyBorder="1" applyAlignment="1">
      <alignment horizontal="center" vertical="center"/>
    </xf>
    <xf numFmtId="0" fontId="2" fillId="41" borderId="68" xfId="0" applyFont="1" applyFill="1" applyBorder="1" applyAlignment="1">
      <alignment horizontal="center" vertical="center"/>
    </xf>
    <xf numFmtId="0" fontId="2" fillId="41" borderId="69" xfId="0" applyFont="1" applyFill="1" applyBorder="1" applyAlignment="1">
      <alignment horizontal="center" vertical="center"/>
    </xf>
    <xf numFmtId="0" fontId="2" fillId="41" borderId="100" xfId="0" applyFont="1" applyFill="1" applyBorder="1" applyAlignment="1">
      <alignment horizontal="center" vertical="center" wrapText="1"/>
    </xf>
    <xf numFmtId="0" fontId="2" fillId="41" borderId="19" xfId="0" applyFont="1" applyFill="1" applyBorder="1" applyAlignment="1">
      <alignment horizontal="center" vertical="center"/>
    </xf>
    <xf numFmtId="0" fontId="2" fillId="41" borderId="49" xfId="0" applyFont="1" applyFill="1" applyBorder="1" applyAlignment="1">
      <alignment horizontal="center" vertical="center"/>
    </xf>
    <xf numFmtId="0" fontId="2" fillId="0" borderId="67" xfId="0" applyFont="1" applyBorder="1" applyAlignment="1">
      <alignment horizontal="center" vertical="center"/>
    </xf>
    <xf numFmtId="0" fontId="2" fillId="0" borderId="100" xfId="0" applyFont="1" applyBorder="1" applyAlignment="1">
      <alignment horizontal="center" vertical="center" wrapText="1"/>
    </xf>
    <xf numFmtId="0" fontId="2" fillId="0" borderId="100" xfId="0" applyFont="1" applyBorder="1" applyAlignment="1">
      <alignment horizontal="center" vertical="center"/>
    </xf>
    <xf numFmtId="0" fontId="2" fillId="41" borderId="100" xfId="0" applyFont="1" applyFill="1" applyBorder="1" applyAlignment="1">
      <alignment horizontal="center" vertical="center"/>
    </xf>
    <xf numFmtId="0" fontId="56" fillId="33" borderId="18" xfId="696" applyFont="1" applyFill="1" applyBorder="1" applyAlignment="1">
      <alignment horizontal="center" vertical="center" textRotation="90" wrapText="1"/>
    </xf>
    <xf numFmtId="0" fontId="56" fillId="33" borderId="19" xfId="696" applyFont="1" applyFill="1" applyBorder="1" applyAlignment="1">
      <alignment horizontal="center" vertical="center" textRotation="90" wrapText="1"/>
    </xf>
    <xf numFmtId="0" fontId="56" fillId="33" borderId="64" xfId="696" applyFont="1" applyFill="1" applyBorder="1" applyAlignment="1">
      <alignment horizontal="center" vertical="center" textRotation="90" wrapText="1"/>
    </xf>
    <xf numFmtId="0" fontId="51" fillId="33" borderId="18" xfId="696" applyFont="1" applyFill="1" applyBorder="1" applyAlignment="1">
      <alignment horizontal="center" vertical="center" textRotation="90" wrapText="1"/>
    </xf>
    <xf numFmtId="0" fontId="51" fillId="33" borderId="19" xfId="696" applyFont="1" applyFill="1" applyBorder="1" applyAlignment="1">
      <alignment horizontal="center" vertical="center" textRotation="90" wrapText="1"/>
    </xf>
    <xf numFmtId="0" fontId="51" fillId="33" borderId="64" xfId="696" applyFont="1" applyFill="1" applyBorder="1" applyAlignment="1">
      <alignment horizontal="center" vertical="center" textRotation="90" wrapText="1"/>
    </xf>
    <xf numFmtId="0" fontId="64" fillId="77" borderId="19" xfId="696" applyFont="1" applyFill="1" applyBorder="1" applyAlignment="1">
      <alignment horizontal="center" vertical="center" textRotation="90" wrapText="1"/>
    </xf>
    <xf numFmtId="0" fontId="53" fillId="33" borderId="18" xfId="696" applyFont="1" applyFill="1" applyBorder="1" applyAlignment="1">
      <alignment horizontal="center" vertical="center" textRotation="90" wrapText="1"/>
    </xf>
    <xf numFmtId="0" fontId="53" fillId="33" borderId="19" xfId="696" applyFont="1" applyFill="1" applyBorder="1" applyAlignment="1">
      <alignment horizontal="center" vertical="center" textRotation="90" wrapText="1"/>
    </xf>
    <xf numFmtId="0" fontId="53" fillId="37" borderId="18" xfId="696" quotePrefix="1" applyFont="1" applyFill="1" applyBorder="1" applyAlignment="1">
      <alignment horizontal="center" vertical="center" textRotation="90" wrapText="1"/>
    </xf>
    <xf numFmtId="0" fontId="53" fillId="37" borderId="19" xfId="696" quotePrefix="1" applyFont="1" applyFill="1" applyBorder="1" applyAlignment="1">
      <alignment horizontal="center" vertical="center" textRotation="90" wrapText="1"/>
    </xf>
    <xf numFmtId="0" fontId="55" fillId="33" borderId="18" xfId="696" applyFont="1" applyFill="1" applyBorder="1" applyAlignment="1">
      <alignment horizontal="center" vertical="center" textRotation="90" wrapText="1"/>
    </xf>
    <xf numFmtId="0" fontId="58" fillId="37" borderId="18" xfId="696" quotePrefix="1" applyFont="1" applyFill="1" applyBorder="1" applyAlignment="1">
      <alignment horizontal="center" vertical="center" textRotation="90" wrapText="1"/>
    </xf>
    <xf numFmtId="0" fontId="58" fillId="37" borderId="19" xfId="696" quotePrefix="1" applyFont="1" applyFill="1" applyBorder="1" applyAlignment="1">
      <alignment horizontal="center" vertical="center" textRotation="90" wrapText="1"/>
    </xf>
    <xf numFmtId="0" fontId="53" fillId="33" borderId="21" xfId="696" applyFont="1" applyFill="1" applyBorder="1" applyAlignment="1">
      <alignment horizontal="center" vertical="center" wrapText="1"/>
    </xf>
    <xf numFmtId="0" fontId="53" fillId="33" borderId="23" xfId="696" applyFont="1" applyFill="1" applyBorder="1" applyAlignment="1">
      <alignment horizontal="center" vertical="center" wrapText="1"/>
    </xf>
    <xf numFmtId="0" fontId="53" fillId="33" borderId="20" xfId="696" applyFont="1" applyFill="1" applyBorder="1" applyAlignment="1">
      <alignment horizontal="center" vertical="center" wrapText="1"/>
    </xf>
    <xf numFmtId="0" fontId="53" fillId="33" borderId="16" xfId="696" applyFont="1" applyFill="1" applyBorder="1" applyAlignment="1">
      <alignment horizontal="center" vertical="center" wrapText="1"/>
    </xf>
    <xf numFmtId="0" fontId="53" fillId="33" borderId="21" xfId="696" applyFont="1" applyFill="1" applyBorder="1" applyAlignment="1">
      <alignment horizontal="center" vertical="center" textRotation="90" wrapText="1"/>
    </xf>
    <xf numFmtId="0" fontId="53" fillId="33" borderId="20" xfId="696" applyFont="1" applyFill="1" applyBorder="1" applyAlignment="1">
      <alignment horizontal="center" vertical="center" textRotation="90" wrapText="1"/>
    </xf>
    <xf numFmtId="0" fontId="56" fillId="33" borderId="18" xfId="696" applyFont="1" applyFill="1" applyBorder="1" applyAlignment="1">
      <alignment horizontal="center" vertical="center" wrapText="1"/>
    </xf>
    <xf numFmtId="0" fontId="54" fillId="33" borderId="18" xfId="696" applyFont="1" applyFill="1" applyBorder="1" applyAlignment="1">
      <alignment horizontal="center" vertical="center" textRotation="90" wrapText="1"/>
    </xf>
    <xf numFmtId="0" fontId="54" fillId="33" borderId="19" xfId="696" applyFont="1" applyFill="1" applyBorder="1" applyAlignment="1">
      <alignment horizontal="center" vertical="center" textRotation="90" wrapText="1"/>
    </xf>
    <xf numFmtId="0" fontId="56" fillId="33" borderId="19" xfId="696" applyFont="1" applyFill="1" applyBorder="1" applyAlignment="1">
      <alignment horizontal="center" vertical="center" wrapText="1"/>
    </xf>
    <xf numFmtId="0" fontId="53" fillId="33" borderId="18" xfId="696" quotePrefix="1" applyFont="1" applyFill="1" applyBorder="1" applyAlignment="1">
      <alignment horizontal="center" vertical="center" textRotation="90" wrapText="1"/>
    </xf>
    <xf numFmtId="0" fontId="53" fillId="33" borderId="19" xfId="696" quotePrefix="1" applyFont="1" applyFill="1" applyBorder="1" applyAlignment="1">
      <alignment horizontal="center" vertical="center" textRotation="90" wrapText="1"/>
    </xf>
    <xf numFmtId="0" fontId="52" fillId="37" borderId="19" xfId="696" applyFont="1" applyFill="1" applyBorder="1" applyAlignment="1">
      <alignment horizontal="center" vertical="center" textRotation="90" wrapText="1"/>
    </xf>
    <xf numFmtId="0" fontId="53" fillId="33" borderId="18" xfId="900" applyFont="1" applyFill="1" applyBorder="1" applyAlignment="1">
      <alignment horizontal="center" vertical="center" textRotation="90"/>
    </xf>
    <xf numFmtId="0" fontId="53" fillId="33" borderId="19" xfId="900" applyFont="1" applyFill="1" applyBorder="1" applyAlignment="1">
      <alignment horizontal="center" vertical="center" textRotation="90"/>
    </xf>
    <xf numFmtId="0" fontId="58" fillId="37" borderId="19" xfId="696" applyFont="1" applyFill="1" applyBorder="1" applyAlignment="1">
      <alignment horizontal="center" vertical="center" textRotation="90" wrapText="1"/>
    </xf>
    <xf numFmtId="0" fontId="31" fillId="49" borderId="17" xfId="910" applyFont="1" applyFill="1" applyBorder="1" applyAlignment="1">
      <alignment horizontal="center"/>
    </xf>
    <xf numFmtId="0" fontId="2" fillId="49" borderId="0" xfId="0" applyFont="1" applyFill="1" applyAlignment="1">
      <alignment horizontal="left"/>
    </xf>
    <xf numFmtId="0" fontId="42" fillId="49" borderId="26" xfId="0" applyFont="1" applyFill="1" applyBorder="1" applyAlignment="1" applyProtection="1">
      <alignment horizontal="center" vertical="center" wrapText="1"/>
      <protection locked="0"/>
    </xf>
    <xf numFmtId="0" fontId="42" fillId="49" borderId="14" xfId="0" applyFont="1" applyFill="1" applyBorder="1" applyAlignment="1" applyProtection="1">
      <alignment horizontal="center" vertical="center" wrapText="1"/>
      <protection locked="0"/>
    </xf>
    <xf numFmtId="0" fontId="42" fillId="49" borderId="30" xfId="0" applyFont="1" applyFill="1" applyBorder="1" applyAlignment="1" applyProtection="1">
      <alignment horizontal="center" vertical="center" wrapText="1"/>
      <protection locked="0"/>
    </xf>
    <xf numFmtId="0" fontId="31" fillId="49" borderId="64" xfId="910" applyFont="1" applyFill="1" applyBorder="1" applyAlignment="1">
      <alignment horizontal="center"/>
    </xf>
    <xf numFmtId="0" fontId="42" fillId="49" borderId="27" xfId="910" applyFont="1" applyFill="1" applyBorder="1" applyAlignment="1">
      <alignment horizontal="center" vertical="center"/>
    </xf>
    <xf numFmtId="0" fontId="42" fillId="49" borderId="41" xfId="910" applyFont="1" applyFill="1" applyBorder="1" applyAlignment="1">
      <alignment horizontal="center" vertical="center"/>
    </xf>
    <xf numFmtId="0" fontId="42" fillId="49" borderId="42" xfId="910" applyFont="1" applyFill="1" applyBorder="1" applyAlignment="1">
      <alignment horizontal="center" vertical="center"/>
    </xf>
    <xf numFmtId="0" fontId="42" fillId="49" borderId="29" xfId="910" applyFont="1" applyFill="1" applyBorder="1" applyAlignment="1">
      <alignment horizontal="center" vertical="center"/>
    </xf>
    <xf numFmtId="0" fontId="42" fillId="49" borderId="25" xfId="910" applyFont="1" applyFill="1" applyBorder="1" applyAlignment="1">
      <alignment horizontal="center" vertical="center"/>
    </xf>
    <xf numFmtId="0" fontId="42" fillId="49" borderId="43" xfId="910" applyFont="1" applyFill="1" applyBorder="1" applyAlignment="1">
      <alignment horizontal="center" vertical="center"/>
    </xf>
    <xf numFmtId="0" fontId="42" fillId="49" borderId="47" xfId="910" applyFont="1" applyFill="1" applyBorder="1" applyAlignment="1">
      <alignment horizontal="center"/>
    </xf>
    <xf numFmtId="0" fontId="42" fillId="49" borderId="48" xfId="910" applyFont="1" applyFill="1" applyBorder="1" applyAlignment="1">
      <alignment horizontal="center"/>
    </xf>
    <xf numFmtId="0" fontId="42" fillId="49" borderId="38" xfId="910" applyFont="1" applyFill="1" applyBorder="1" applyAlignment="1">
      <alignment horizontal="center" vertical="center"/>
    </xf>
    <xf numFmtId="0" fontId="42" fillId="49" borderId="51" xfId="910" applyFont="1" applyFill="1" applyBorder="1" applyAlignment="1">
      <alignment horizontal="center" vertical="center"/>
    </xf>
    <xf numFmtId="0" fontId="42" fillId="49" borderId="39" xfId="910" applyFont="1" applyFill="1" applyBorder="1" applyAlignment="1">
      <alignment horizontal="center" vertical="center"/>
    </xf>
    <xf numFmtId="0" fontId="42" fillId="49" borderId="37" xfId="910" applyFont="1" applyFill="1" applyBorder="1" applyAlignment="1">
      <alignment horizontal="center" vertical="center"/>
    </xf>
    <xf numFmtId="0" fontId="42" fillId="49" borderId="46" xfId="910" applyFont="1" applyFill="1" applyBorder="1" applyAlignment="1">
      <alignment horizontal="center" vertical="center"/>
    </xf>
    <xf numFmtId="0" fontId="42" fillId="49" borderId="50" xfId="910" applyFont="1" applyFill="1" applyBorder="1" applyAlignment="1">
      <alignment horizontal="center" vertical="center"/>
    </xf>
    <xf numFmtId="0" fontId="42" fillId="49" borderId="22" xfId="910" applyFont="1" applyFill="1" applyBorder="1" applyAlignment="1">
      <alignment horizontal="center" vertical="center"/>
    </xf>
    <xf numFmtId="0" fontId="42" fillId="49" borderId="35" xfId="910" applyFont="1" applyFill="1" applyBorder="1" applyAlignment="1">
      <alignment horizontal="center" vertical="center"/>
    </xf>
    <xf numFmtId="0" fontId="42" fillId="49" borderId="24" xfId="910" applyFont="1" applyFill="1" applyBorder="1" applyAlignment="1">
      <alignment horizontal="center" vertical="center"/>
    </xf>
    <xf numFmtId="0" fontId="31" fillId="49" borderId="17" xfId="910" applyFont="1" applyFill="1" applyBorder="1" applyAlignment="1">
      <alignment horizontal="center" vertical="center"/>
    </xf>
    <xf numFmtId="0" fontId="31" fillId="49" borderId="17" xfId="910" applyFont="1" applyFill="1" applyBorder="1" applyAlignment="1">
      <alignment horizontal="left"/>
    </xf>
    <xf numFmtId="0" fontId="2" fillId="0" borderId="17" xfId="0" applyFont="1" applyBorder="1" applyAlignment="1">
      <alignment horizontal="center" vertical="center"/>
    </xf>
    <xf numFmtId="0" fontId="0" fillId="0" borderId="17" xfId="0" applyBorder="1" applyAlignment="1">
      <alignment horizontal="center" vertical="center"/>
    </xf>
    <xf numFmtId="14" fontId="2" fillId="41" borderId="64" xfId="0" applyNumberFormat="1" applyFont="1" applyFill="1" applyBorder="1" applyAlignment="1">
      <alignment horizontal="center" vertical="center"/>
    </xf>
    <xf numFmtId="0" fontId="66" fillId="62" borderId="64" xfId="0" applyFont="1" applyFill="1" applyBorder="1" applyAlignment="1">
      <alignment horizontal="center" vertical="center" wrapText="1"/>
    </xf>
    <xf numFmtId="0" fontId="66" fillId="62" borderId="64" xfId="0" applyFont="1" applyFill="1" applyBorder="1" applyAlignment="1">
      <alignment horizontal="justify" vertical="center" wrapText="1"/>
    </xf>
    <xf numFmtId="0" fontId="66" fillId="62" borderId="64" xfId="0" applyFont="1" applyFill="1" applyBorder="1" applyAlignment="1">
      <alignment horizontal="justify" vertical="center" wrapText="1"/>
    </xf>
    <xf numFmtId="0" fontId="66" fillId="62" borderId="64" xfId="0" applyFont="1" applyFill="1" applyBorder="1" applyAlignment="1">
      <alignment horizontal="center" vertical="center"/>
    </xf>
    <xf numFmtId="0" fontId="2" fillId="69" borderId="64" xfId="0" applyFont="1" applyFill="1" applyBorder="1" applyAlignment="1">
      <alignment horizontal="center" vertical="center"/>
    </xf>
    <xf numFmtId="0" fontId="66" fillId="0" borderId="64" xfId="0" applyFont="1" applyBorder="1" applyAlignment="1">
      <alignment horizontal="center" vertical="center"/>
    </xf>
    <xf numFmtId="0" fontId="56" fillId="33" borderId="64" xfId="696" applyFont="1" applyFill="1" applyBorder="1" applyAlignment="1">
      <alignment vertical="center" textRotation="90" wrapText="1"/>
    </xf>
    <xf numFmtId="0" fontId="56" fillId="33" borderId="64" xfId="696" applyFont="1" applyFill="1" applyBorder="1" applyAlignment="1">
      <alignment horizontal="center" vertical="center" wrapText="1"/>
    </xf>
    <xf numFmtId="0" fontId="53" fillId="33" borderId="64" xfId="696" applyFont="1" applyFill="1" applyBorder="1" applyAlignment="1">
      <alignment horizontal="center" vertical="center" textRotation="90" wrapText="1"/>
    </xf>
    <xf numFmtId="0" fontId="56" fillId="33" borderId="64" xfId="696" applyFont="1" applyFill="1" applyBorder="1" applyAlignment="1">
      <alignment horizontal="center" vertical="center" wrapText="1"/>
    </xf>
    <xf numFmtId="0" fontId="39" fillId="52" borderId="64" xfId="696" applyFont="1" applyFill="1" applyBorder="1" applyAlignment="1">
      <alignment horizontal="left" vertical="center" wrapText="1" indent="1"/>
    </xf>
    <xf numFmtId="0" fontId="39" fillId="52" borderId="64" xfId="696" applyFont="1" applyFill="1" applyBorder="1" applyAlignment="1">
      <alignment horizontal="center" vertical="center" wrapText="1"/>
    </xf>
    <xf numFmtId="0" fontId="60" fillId="52" borderId="64" xfId="900" applyFont="1" applyFill="1" applyBorder="1" applyAlignment="1">
      <alignment horizontal="center" vertical="center"/>
    </xf>
    <xf numFmtId="0" fontId="55" fillId="33" borderId="64" xfId="696" applyFont="1" applyFill="1" applyBorder="1" applyAlignment="1">
      <alignment horizontal="center" vertical="center" textRotation="90" wrapText="1"/>
    </xf>
    <xf numFmtId="0" fontId="58" fillId="37" borderId="64" xfId="696" quotePrefix="1" applyFont="1" applyFill="1" applyBorder="1" applyAlignment="1">
      <alignment horizontal="center" vertical="center" textRotation="90" wrapText="1"/>
    </xf>
    <xf numFmtId="0" fontId="53" fillId="37" borderId="64" xfId="696" quotePrefix="1" applyFont="1" applyFill="1" applyBorder="1" applyAlignment="1">
      <alignment horizontal="center" vertical="center" textRotation="90" wrapText="1"/>
    </xf>
    <xf numFmtId="0" fontId="58" fillId="37" borderId="64" xfId="696" quotePrefix="1" applyFont="1" applyFill="1" applyBorder="1" applyAlignment="1">
      <alignment vertical="center" textRotation="90" wrapText="1"/>
    </xf>
    <xf numFmtId="0" fontId="39" fillId="40" borderId="64" xfId="696" applyFont="1" applyFill="1" applyBorder="1" applyAlignment="1">
      <alignment horizontal="left" vertical="center" wrapText="1" indent="1"/>
    </xf>
    <xf numFmtId="0" fontId="53" fillId="33" borderId="63" xfId="696" applyFont="1" applyFill="1" applyBorder="1" applyAlignment="1">
      <alignment horizontal="center" vertical="center" wrapText="1"/>
    </xf>
    <xf numFmtId="0" fontId="39" fillId="40" borderId="64" xfId="696" applyFont="1" applyFill="1" applyBorder="1" applyAlignment="1">
      <alignment horizontal="center" vertical="center" wrapText="1"/>
    </xf>
    <xf numFmtId="0" fontId="60" fillId="40" borderId="64" xfId="900" applyFont="1" applyFill="1" applyBorder="1" applyAlignment="1">
      <alignment horizontal="center" vertical="center"/>
    </xf>
    <xf numFmtId="0" fontId="53" fillId="33" borderId="63" xfId="696" applyFont="1" applyFill="1" applyBorder="1" applyAlignment="1">
      <alignment horizontal="center" vertical="center" textRotation="90" wrapText="1"/>
    </xf>
    <xf numFmtId="0" fontId="61" fillId="36" borderId="64" xfId="696" quotePrefix="1" applyFont="1" applyFill="1" applyBorder="1" applyAlignment="1">
      <alignment horizontal="center" vertical="center" wrapText="1"/>
    </xf>
    <xf numFmtId="0" fontId="54" fillId="33" borderId="64" xfId="696" applyFont="1" applyFill="1" applyBorder="1" applyAlignment="1">
      <alignment horizontal="center" vertical="center" textRotation="90" wrapText="1"/>
    </xf>
    <xf numFmtId="0" fontId="53" fillId="33" borderId="64" xfId="696" quotePrefix="1" applyFont="1" applyFill="1" applyBorder="1" applyAlignment="1">
      <alignment horizontal="center" vertical="center" textRotation="90" wrapText="1"/>
    </xf>
    <xf numFmtId="0" fontId="58" fillId="37" borderId="64" xfId="696" applyFont="1" applyFill="1" applyBorder="1" applyAlignment="1">
      <alignment horizontal="center" vertical="center" textRotation="90" wrapText="1"/>
    </xf>
  </cellXfs>
  <cellStyles count="1804">
    <cellStyle name="20% - Accent1" xfId="7" xr:uid="{00000000-0005-0000-0000-000000000000}"/>
    <cellStyle name="20% - Accent1 2" xfId="1" xr:uid="{00000000-0005-0000-0000-000001000000}"/>
    <cellStyle name="20% - Accent1 3" xfId="1125" xr:uid="{1E49A971-F8B0-40D6-8B84-09248BDE9DFA}"/>
    <cellStyle name="20% - Accent1 4" xfId="1439" xr:uid="{BC3FD901-ED5D-4BA7-8EDE-3007C8523A8A}"/>
    <cellStyle name="20% - Accent1 5" xfId="980" xr:uid="{052208A4-CB32-42F5-A3C5-B88B33161335}"/>
    <cellStyle name="20% - Accent2" xfId="26" xr:uid="{00000000-0005-0000-0000-000002000000}"/>
    <cellStyle name="20% - Accent2 2" xfId="2" xr:uid="{00000000-0005-0000-0000-000003000000}"/>
    <cellStyle name="20% - Accent2 3" xfId="1126" xr:uid="{D6E9B1EB-D711-4D9A-BFC4-4413EF058D93}"/>
    <cellStyle name="20% - Accent2 4" xfId="1441" xr:uid="{58AAD05A-0CA0-4D2C-8D39-8C74C0DEA94A}"/>
    <cellStyle name="20% - Accent2 5" xfId="983" xr:uid="{36EEC884-A799-4A47-AECD-2F1EA6454A2E}"/>
    <cellStyle name="20% - Accent3" xfId="45" xr:uid="{00000000-0005-0000-0000-000004000000}"/>
    <cellStyle name="20% - Accent3 2" xfId="3" xr:uid="{00000000-0005-0000-0000-000005000000}"/>
    <cellStyle name="20% - Accent3 3" xfId="1127" xr:uid="{16CE990E-2270-49D1-AF06-70CF8DD2FF7F}"/>
    <cellStyle name="20% - Accent3 4" xfId="1443" xr:uid="{B233D3B2-F210-4AB6-B5F4-E7A8B9DEF16A}"/>
    <cellStyle name="20% - Accent3 5" xfId="986" xr:uid="{5EABEEF3-971E-42EC-8CD4-C3F7D209C35E}"/>
    <cellStyle name="20% - Accent4" xfId="64" xr:uid="{00000000-0005-0000-0000-000006000000}"/>
    <cellStyle name="20% - Accent4 2" xfId="4" xr:uid="{00000000-0005-0000-0000-000007000000}"/>
    <cellStyle name="20% - Accent4 3" xfId="1128" xr:uid="{9DB3A8D0-8744-4A95-8043-F9424F5C90E4}"/>
    <cellStyle name="20% - Accent4 4" xfId="1446" xr:uid="{BBBBE50C-2445-42F3-A1D9-CAA23E048E61}"/>
    <cellStyle name="20% - Accent4 5" xfId="989" xr:uid="{A344BCAB-DC30-4570-B8BF-37FEDB45966E}"/>
    <cellStyle name="20% - Accent5" xfId="83" xr:uid="{00000000-0005-0000-0000-000008000000}"/>
    <cellStyle name="20% - Accent5 2" xfId="5" xr:uid="{00000000-0005-0000-0000-000009000000}"/>
    <cellStyle name="20% - Accent5 3" xfId="1129" xr:uid="{FB60D453-6556-4FB0-9072-92AD84239BF1}"/>
    <cellStyle name="20% - Accent5 4" xfId="1449" xr:uid="{85BCEABE-F489-4B18-BE79-41416E065053}"/>
    <cellStyle name="20% - Accent5 5" xfId="992" xr:uid="{263E97E9-89F7-4579-9763-ECDD523D990A}"/>
    <cellStyle name="20% - Accent6" xfId="102" xr:uid="{00000000-0005-0000-0000-00000A000000}"/>
    <cellStyle name="20% - Accent6 2" xfId="6" xr:uid="{00000000-0005-0000-0000-00000B000000}"/>
    <cellStyle name="20% - Accent6 3" xfId="1130" xr:uid="{EF811524-00C8-48A2-9B24-E0B971908481}"/>
    <cellStyle name="20% - Accent6 4" xfId="1452" xr:uid="{78E442FA-0DCE-4A84-9A6F-910C5727D8E3}"/>
    <cellStyle name="20% - Accent6 5" xfId="995" xr:uid="{52FC58E1-02AB-4A5F-86A8-14FD4766B937}"/>
    <cellStyle name="20% - Énfasis1 10" xfId="8" xr:uid="{00000000-0005-0000-0000-00000C000000}"/>
    <cellStyle name="20% - Énfasis1 11" xfId="9" xr:uid="{00000000-0005-0000-0000-00000D000000}"/>
    <cellStyle name="20% - Énfasis1 12" xfId="10" xr:uid="{00000000-0005-0000-0000-00000E000000}"/>
    <cellStyle name="20% - Énfasis1 13" xfId="11" xr:uid="{00000000-0005-0000-0000-00000F000000}"/>
    <cellStyle name="20% - Énfasis1 14" xfId="12" xr:uid="{00000000-0005-0000-0000-000010000000}"/>
    <cellStyle name="20% - Énfasis1 15" xfId="13" xr:uid="{00000000-0005-0000-0000-000011000000}"/>
    <cellStyle name="20% - Énfasis1 16" xfId="14" xr:uid="{00000000-0005-0000-0000-000012000000}"/>
    <cellStyle name="20% - Énfasis1 17" xfId="15" xr:uid="{00000000-0005-0000-0000-000013000000}"/>
    <cellStyle name="20% - Énfasis1 18" xfId="16" xr:uid="{00000000-0005-0000-0000-000014000000}"/>
    <cellStyle name="20% - Énfasis1 19" xfId="17" xr:uid="{00000000-0005-0000-0000-000015000000}"/>
    <cellStyle name="20% - Énfasis1 2" xfId="18" xr:uid="{00000000-0005-0000-0000-000016000000}"/>
    <cellStyle name="20% - Énfasis1 20" xfId="1038" xr:uid="{E4888D73-8EE2-4F09-96E1-76AB4B5AA3CC}"/>
    <cellStyle name="20% - Énfasis1 20 2" xfId="1219" xr:uid="{88390068-5023-44C9-B007-2F6836BCBD15}"/>
    <cellStyle name="20% - Énfasis1 20 2 2" xfId="1573" xr:uid="{002D8483-8FCC-48E2-B2DA-AF4755CDA03B}"/>
    <cellStyle name="20% - Énfasis1 20 3" xfId="1104" xr:uid="{CE776EEF-E24F-4903-9A51-6D845DB563BD}"/>
    <cellStyle name="20% - Énfasis1 20 3 2" xfId="1503" xr:uid="{62D3F7B0-3413-48D3-B84A-F1DE83981CAC}"/>
    <cellStyle name="20% - Énfasis1 20 4" xfId="1463" xr:uid="{B324F3C6-F0B6-4296-8C94-359BE97DC3CB}"/>
    <cellStyle name="20% - Énfasis1 21" xfId="1131" xr:uid="{223EEC50-6637-4059-BF65-559089C87768}"/>
    <cellStyle name="20% - Énfasis1 21 2" xfId="1524" xr:uid="{7390FADC-C250-40CA-8112-2D87184FFB95}"/>
    <cellStyle name="20% - Énfasis1 22" xfId="1199" xr:uid="{2CCF2835-38AF-4D78-92B0-C963AD6A5349}"/>
    <cellStyle name="20% - Énfasis1 22 2" xfId="1553" xr:uid="{C70B0DA0-D77B-4F9D-B1C4-497AD357A847}"/>
    <cellStyle name="20% - Énfasis1 23" xfId="1084" xr:uid="{B51A29DD-DF0D-4868-B9FD-7313B078E567}"/>
    <cellStyle name="20% - Énfasis1 23 2" xfId="1483" xr:uid="{17EE7483-A403-4256-9F97-04D12F790A7D}"/>
    <cellStyle name="20% - Énfasis1 3" xfId="19" xr:uid="{00000000-0005-0000-0000-000017000000}"/>
    <cellStyle name="20% - Énfasis1 4" xfId="20" xr:uid="{00000000-0005-0000-0000-000018000000}"/>
    <cellStyle name="20% - Énfasis1 5" xfId="21" xr:uid="{00000000-0005-0000-0000-000019000000}"/>
    <cellStyle name="20% - Énfasis1 6" xfId="22" xr:uid="{00000000-0005-0000-0000-00001A000000}"/>
    <cellStyle name="20% - Énfasis1 7" xfId="23" xr:uid="{00000000-0005-0000-0000-00001B000000}"/>
    <cellStyle name="20% - Énfasis1 8" xfId="24" xr:uid="{00000000-0005-0000-0000-00001C000000}"/>
    <cellStyle name="20% - Énfasis1 9" xfId="25" xr:uid="{00000000-0005-0000-0000-00001D000000}"/>
    <cellStyle name="20% - Énfasis2 10" xfId="27" xr:uid="{00000000-0005-0000-0000-00001E000000}"/>
    <cellStyle name="20% - Énfasis2 11" xfId="28" xr:uid="{00000000-0005-0000-0000-00001F000000}"/>
    <cellStyle name="20% - Énfasis2 12" xfId="29" xr:uid="{00000000-0005-0000-0000-000020000000}"/>
    <cellStyle name="20% - Énfasis2 13" xfId="30" xr:uid="{00000000-0005-0000-0000-000021000000}"/>
    <cellStyle name="20% - Énfasis2 14" xfId="31" xr:uid="{00000000-0005-0000-0000-000022000000}"/>
    <cellStyle name="20% - Énfasis2 15" xfId="32" xr:uid="{00000000-0005-0000-0000-000023000000}"/>
    <cellStyle name="20% - Énfasis2 16" xfId="33" xr:uid="{00000000-0005-0000-0000-000024000000}"/>
    <cellStyle name="20% - Énfasis2 17" xfId="34" xr:uid="{00000000-0005-0000-0000-000025000000}"/>
    <cellStyle name="20% - Énfasis2 18" xfId="35" xr:uid="{00000000-0005-0000-0000-000026000000}"/>
    <cellStyle name="20% - Énfasis2 19" xfId="36" xr:uid="{00000000-0005-0000-0000-000027000000}"/>
    <cellStyle name="20% - Énfasis2 2" xfId="37" xr:uid="{00000000-0005-0000-0000-000028000000}"/>
    <cellStyle name="20% - Énfasis2 20" xfId="1040" xr:uid="{12E2BFE2-A83B-426E-95EA-78945664DFAA}"/>
    <cellStyle name="20% - Énfasis2 20 2" xfId="1221" xr:uid="{1DA124FC-5AA4-4507-A15E-FC98BDAECB3B}"/>
    <cellStyle name="20% - Énfasis2 20 2 2" xfId="1575" xr:uid="{F2C24ED0-D8D2-4EB7-BADA-48D47046AE21}"/>
    <cellStyle name="20% - Énfasis2 20 3" xfId="1106" xr:uid="{EB5073E7-C0EB-40D7-84E1-0DDE5FE99B94}"/>
    <cellStyle name="20% - Énfasis2 20 3 2" xfId="1505" xr:uid="{07A846E7-F647-475C-AAF6-631BFC1D1664}"/>
    <cellStyle name="20% - Énfasis2 20 4" xfId="1465" xr:uid="{1B26F115-504F-4CB6-8C87-AE45DFCAC3CC}"/>
    <cellStyle name="20% - Énfasis2 21" xfId="1132" xr:uid="{E024937C-29CA-4AA3-B9A7-6E3505045835}"/>
    <cellStyle name="20% - Énfasis2 21 2" xfId="1525" xr:uid="{B03609B8-4FD2-4F9F-BAF6-DDBAFC121FEB}"/>
    <cellStyle name="20% - Énfasis2 22" xfId="1201" xr:uid="{7E41D704-2843-4AD9-92CA-D605DC35215A}"/>
    <cellStyle name="20% - Énfasis2 22 2" xfId="1555" xr:uid="{93276643-5363-475A-A79F-FCF5CEF87CB7}"/>
    <cellStyle name="20% - Énfasis2 23" xfId="1086" xr:uid="{5207C54A-6249-4799-AFFF-84265F924468}"/>
    <cellStyle name="20% - Énfasis2 23 2" xfId="1485" xr:uid="{28AA2E16-78D1-434B-A3AF-0CF0F71B3339}"/>
    <cellStyle name="20% - Énfasis2 3" xfId="38" xr:uid="{00000000-0005-0000-0000-000029000000}"/>
    <cellStyle name="20% - Énfasis2 4" xfId="39" xr:uid="{00000000-0005-0000-0000-00002A000000}"/>
    <cellStyle name="20% - Énfasis2 5" xfId="40" xr:uid="{00000000-0005-0000-0000-00002B000000}"/>
    <cellStyle name="20% - Énfasis2 6" xfId="41" xr:uid="{00000000-0005-0000-0000-00002C000000}"/>
    <cellStyle name="20% - Énfasis2 7" xfId="42" xr:uid="{00000000-0005-0000-0000-00002D000000}"/>
    <cellStyle name="20% - Énfasis2 8" xfId="43" xr:uid="{00000000-0005-0000-0000-00002E000000}"/>
    <cellStyle name="20% - Énfasis2 9" xfId="44" xr:uid="{00000000-0005-0000-0000-00002F000000}"/>
    <cellStyle name="20% - Énfasis3 10" xfId="46" xr:uid="{00000000-0005-0000-0000-000030000000}"/>
    <cellStyle name="20% - Énfasis3 11" xfId="47" xr:uid="{00000000-0005-0000-0000-000031000000}"/>
    <cellStyle name="20% - Énfasis3 12" xfId="48" xr:uid="{00000000-0005-0000-0000-000032000000}"/>
    <cellStyle name="20% - Énfasis3 13" xfId="49" xr:uid="{00000000-0005-0000-0000-000033000000}"/>
    <cellStyle name="20% - Énfasis3 14" xfId="50" xr:uid="{00000000-0005-0000-0000-000034000000}"/>
    <cellStyle name="20% - Énfasis3 15" xfId="51" xr:uid="{00000000-0005-0000-0000-000035000000}"/>
    <cellStyle name="20% - Énfasis3 16" xfId="52" xr:uid="{00000000-0005-0000-0000-000036000000}"/>
    <cellStyle name="20% - Énfasis3 17" xfId="53" xr:uid="{00000000-0005-0000-0000-000037000000}"/>
    <cellStyle name="20% - Énfasis3 18" xfId="54" xr:uid="{00000000-0005-0000-0000-000038000000}"/>
    <cellStyle name="20% - Énfasis3 19" xfId="55" xr:uid="{00000000-0005-0000-0000-000039000000}"/>
    <cellStyle name="20% - Énfasis3 2" xfId="56" xr:uid="{00000000-0005-0000-0000-00003A000000}"/>
    <cellStyle name="20% - Énfasis3 20" xfId="1042" xr:uid="{303FF72A-B75B-4183-B563-DDC4DF0FFC9F}"/>
    <cellStyle name="20% - Énfasis3 20 2" xfId="1223" xr:uid="{3F00CA0F-1D1B-482D-9556-650568DF80F2}"/>
    <cellStyle name="20% - Énfasis3 20 2 2" xfId="1577" xr:uid="{87C2DE39-A3A9-47EF-92A2-AC80BA581F88}"/>
    <cellStyle name="20% - Énfasis3 20 3" xfId="1108" xr:uid="{D98C7504-E39B-4365-A347-BF5CF913F45A}"/>
    <cellStyle name="20% - Énfasis3 20 3 2" xfId="1507" xr:uid="{3BFD6FFD-AF03-49AD-8979-FBE71D9286E8}"/>
    <cellStyle name="20% - Énfasis3 20 4" xfId="1467" xr:uid="{070B42A0-DC13-4D76-891F-4451A5AA420D}"/>
    <cellStyle name="20% - Énfasis3 21" xfId="1133" xr:uid="{2649A602-8730-45BA-91C2-9124C4EA2AE6}"/>
    <cellStyle name="20% - Énfasis3 21 2" xfId="1526" xr:uid="{CCC830FE-4A2B-48E7-8AA4-758B767B2B3A}"/>
    <cellStyle name="20% - Énfasis3 22" xfId="1203" xr:uid="{AD6923DE-6855-4F14-86AA-328D6DAB9B9F}"/>
    <cellStyle name="20% - Énfasis3 22 2" xfId="1557" xr:uid="{23DE37E1-6D01-41AD-87D8-C0DF697B0966}"/>
    <cellStyle name="20% - Énfasis3 23" xfId="1088" xr:uid="{F5FEEC47-97F8-4B6B-857A-477989162540}"/>
    <cellStyle name="20% - Énfasis3 23 2" xfId="1487" xr:uid="{11219804-F25B-4A82-A1BF-0D62F4FF042C}"/>
    <cellStyle name="20% - Énfasis3 3" xfId="57" xr:uid="{00000000-0005-0000-0000-00003B000000}"/>
    <cellStyle name="20% - Énfasis3 4" xfId="58" xr:uid="{00000000-0005-0000-0000-00003C000000}"/>
    <cellStyle name="20% - Énfasis3 5" xfId="59" xr:uid="{00000000-0005-0000-0000-00003D000000}"/>
    <cellStyle name="20% - Énfasis3 6" xfId="60" xr:uid="{00000000-0005-0000-0000-00003E000000}"/>
    <cellStyle name="20% - Énfasis3 7" xfId="61" xr:uid="{00000000-0005-0000-0000-00003F000000}"/>
    <cellStyle name="20% - Énfasis3 8" xfId="62" xr:uid="{00000000-0005-0000-0000-000040000000}"/>
    <cellStyle name="20% - Énfasis3 9" xfId="63" xr:uid="{00000000-0005-0000-0000-000041000000}"/>
    <cellStyle name="20% - Énfasis4 10" xfId="65" xr:uid="{00000000-0005-0000-0000-000042000000}"/>
    <cellStyle name="20% - Énfasis4 11" xfId="66" xr:uid="{00000000-0005-0000-0000-000043000000}"/>
    <cellStyle name="20% - Énfasis4 12" xfId="67" xr:uid="{00000000-0005-0000-0000-000044000000}"/>
    <cellStyle name="20% - Énfasis4 13" xfId="68" xr:uid="{00000000-0005-0000-0000-000045000000}"/>
    <cellStyle name="20% - Énfasis4 14" xfId="69" xr:uid="{00000000-0005-0000-0000-000046000000}"/>
    <cellStyle name="20% - Énfasis4 15" xfId="70" xr:uid="{00000000-0005-0000-0000-000047000000}"/>
    <cellStyle name="20% - Énfasis4 16" xfId="71" xr:uid="{00000000-0005-0000-0000-000048000000}"/>
    <cellStyle name="20% - Énfasis4 17" xfId="72" xr:uid="{00000000-0005-0000-0000-000049000000}"/>
    <cellStyle name="20% - Énfasis4 18" xfId="73" xr:uid="{00000000-0005-0000-0000-00004A000000}"/>
    <cellStyle name="20% - Énfasis4 19" xfId="74" xr:uid="{00000000-0005-0000-0000-00004B000000}"/>
    <cellStyle name="20% - Énfasis4 2" xfId="75" xr:uid="{00000000-0005-0000-0000-00004C000000}"/>
    <cellStyle name="20% - Énfasis4 20" xfId="1044" xr:uid="{5F6BBCB9-B1C9-4C8B-88A5-1B7BD2A88B3B}"/>
    <cellStyle name="20% - Énfasis4 20 2" xfId="1225" xr:uid="{45FDAF1E-34C9-4B4F-A8C6-30E4519958AB}"/>
    <cellStyle name="20% - Énfasis4 20 2 2" xfId="1579" xr:uid="{E8185140-ED8E-4C89-9232-D45FB32DD89D}"/>
    <cellStyle name="20% - Énfasis4 20 3" xfId="1110" xr:uid="{F3ECF87E-C3AB-4FF2-8107-1FF2FA0534BF}"/>
    <cellStyle name="20% - Énfasis4 20 3 2" xfId="1509" xr:uid="{E44F907B-DB0D-4414-81B7-3BC65424E9E7}"/>
    <cellStyle name="20% - Énfasis4 20 4" xfId="1469" xr:uid="{1607FA75-A725-4845-BEBB-7BDFE41AD723}"/>
    <cellStyle name="20% - Énfasis4 21" xfId="1134" xr:uid="{587E71B1-4F6E-48EF-85A8-479FEEA629DD}"/>
    <cellStyle name="20% - Énfasis4 21 2" xfId="1527" xr:uid="{D8381A0D-5F28-49BD-AD73-C17CF3FB249B}"/>
    <cellStyle name="20% - Énfasis4 22" xfId="1205" xr:uid="{60E91A63-6DAA-46A1-BC0F-49794B94F6F7}"/>
    <cellStyle name="20% - Énfasis4 22 2" xfId="1559" xr:uid="{4B407C91-1632-462D-B01A-78E6D7A30513}"/>
    <cellStyle name="20% - Énfasis4 23" xfId="1090" xr:uid="{E5B8ECE2-D702-4F26-9DED-074D9A318661}"/>
    <cellStyle name="20% - Énfasis4 23 2" xfId="1489" xr:uid="{9AD66958-E394-4E51-9880-CE63D7DDD0FD}"/>
    <cellStyle name="20% - Énfasis4 3" xfId="76" xr:uid="{00000000-0005-0000-0000-00004D000000}"/>
    <cellStyle name="20% - Énfasis4 4" xfId="77" xr:uid="{00000000-0005-0000-0000-00004E000000}"/>
    <cellStyle name="20% - Énfasis4 5" xfId="78" xr:uid="{00000000-0005-0000-0000-00004F000000}"/>
    <cellStyle name="20% - Énfasis4 6" xfId="79" xr:uid="{00000000-0005-0000-0000-000050000000}"/>
    <cellStyle name="20% - Énfasis4 7" xfId="80" xr:uid="{00000000-0005-0000-0000-000051000000}"/>
    <cellStyle name="20% - Énfasis4 8" xfId="81" xr:uid="{00000000-0005-0000-0000-000052000000}"/>
    <cellStyle name="20% - Énfasis4 9" xfId="82" xr:uid="{00000000-0005-0000-0000-000053000000}"/>
    <cellStyle name="20% - Énfasis5 10" xfId="84" xr:uid="{00000000-0005-0000-0000-000054000000}"/>
    <cellStyle name="20% - Énfasis5 11" xfId="85" xr:uid="{00000000-0005-0000-0000-000055000000}"/>
    <cellStyle name="20% - Énfasis5 12" xfId="86" xr:uid="{00000000-0005-0000-0000-000056000000}"/>
    <cellStyle name="20% - Énfasis5 13" xfId="87" xr:uid="{00000000-0005-0000-0000-000057000000}"/>
    <cellStyle name="20% - Énfasis5 14" xfId="88" xr:uid="{00000000-0005-0000-0000-000058000000}"/>
    <cellStyle name="20% - Énfasis5 15" xfId="89" xr:uid="{00000000-0005-0000-0000-000059000000}"/>
    <cellStyle name="20% - Énfasis5 16" xfId="90" xr:uid="{00000000-0005-0000-0000-00005A000000}"/>
    <cellStyle name="20% - Énfasis5 17" xfId="91" xr:uid="{00000000-0005-0000-0000-00005B000000}"/>
    <cellStyle name="20% - Énfasis5 18" xfId="92" xr:uid="{00000000-0005-0000-0000-00005C000000}"/>
    <cellStyle name="20% - Énfasis5 19" xfId="93" xr:uid="{00000000-0005-0000-0000-00005D000000}"/>
    <cellStyle name="20% - Énfasis5 2" xfId="94" xr:uid="{00000000-0005-0000-0000-00005E000000}"/>
    <cellStyle name="20% - Énfasis5 20" xfId="1046" xr:uid="{E807B092-306E-4EE3-BB19-A47F306ED026}"/>
    <cellStyle name="20% - Énfasis5 20 2" xfId="1227" xr:uid="{F9267BBD-83AA-4451-92F7-4D9557B8860A}"/>
    <cellStyle name="20% - Énfasis5 20 2 2" xfId="1581" xr:uid="{6998B60A-F2AC-40F5-9847-8CA0962F7406}"/>
    <cellStyle name="20% - Énfasis5 20 3" xfId="1112" xr:uid="{010C46CC-5FE0-4932-B1C5-F77093EEFEC1}"/>
    <cellStyle name="20% - Énfasis5 20 3 2" xfId="1511" xr:uid="{113F6480-7731-483B-A20D-3BEDEED7B35B}"/>
    <cellStyle name="20% - Énfasis5 20 4" xfId="1471" xr:uid="{88BE6EEC-2F90-401A-8120-72EDB72DFE7B}"/>
    <cellStyle name="20% - Énfasis5 21" xfId="1135" xr:uid="{F64BC965-A3A9-4021-83D6-7C4B02609AA3}"/>
    <cellStyle name="20% - Énfasis5 21 2" xfId="1528" xr:uid="{363E113F-622D-4EDA-9332-A2DF97C203DE}"/>
    <cellStyle name="20% - Énfasis5 22" xfId="1207" xr:uid="{701DA43B-EE88-4100-ABA5-3D94AEBF7147}"/>
    <cellStyle name="20% - Énfasis5 22 2" xfId="1561" xr:uid="{9BC21A58-AC38-40A5-8B08-665EB371A4F4}"/>
    <cellStyle name="20% - Énfasis5 23" xfId="1092" xr:uid="{2712B3D2-3088-4753-970A-8F7DAFE649BB}"/>
    <cellStyle name="20% - Énfasis5 23 2" xfId="1491" xr:uid="{DBB531D5-50CC-4853-8CFD-98518AA9A245}"/>
    <cellStyle name="20% - Énfasis5 3" xfId="95" xr:uid="{00000000-0005-0000-0000-00005F000000}"/>
    <cellStyle name="20% - Énfasis5 4" xfId="96" xr:uid="{00000000-0005-0000-0000-000060000000}"/>
    <cellStyle name="20% - Énfasis5 5" xfId="97" xr:uid="{00000000-0005-0000-0000-000061000000}"/>
    <cellStyle name="20% - Énfasis5 6" xfId="98" xr:uid="{00000000-0005-0000-0000-000062000000}"/>
    <cellStyle name="20% - Énfasis5 7" xfId="99" xr:uid="{00000000-0005-0000-0000-000063000000}"/>
    <cellStyle name="20% - Énfasis5 8" xfId="100" xr:uid="{00000000-0005-0000-0000-000064000000}"/>
    <cellStyle name="20% - Énfasis5 9" xfId="101" xr:uid="{00000000-0005-0000-0000-000065000000}"/>
    <cellStyle name="20% - Énfasis6 10" xfId="103" xr:uid="{00000000-0005-0000-0000-000066000000}"/>
    <cellStyle name="20% - Énfasis6 11" xfId="104" xr:uid="{00000000-0005-0000-0000-000067000000}"/>
    <cellStyle name="20% - Énfasis6 12" xfId="105" xr:uid="{00000000-0005-0000-0000-000068000000}"/>
    <cellStyle name="20% - Énfasis6 13" xfId="106" xr:uid="{00000000-0005-0000-0000-000069000000}"/>
    <cellStyle name="20% - Énfasis6 14" xfId="107" xr:uid="{00000000-0005-0000-0000-00006A000000}"/>
    <cellStyle name="20% - Énfasis6 15" xfId="108" xr:uid="{00000000-0005-0000-0000-00006B000000}"/>
    <cellStyle name="20% - Énfasis6 16" xfId="109" xr:uid="{00000000-0005-0000-0000-00006C000000}"/>
    <cellStyle name="20% - Énfasis6 17" xfId="110" xr:uid="{00000000-0005-0000-0000-00006D000000}"/>
    <cellStyle name="20% - Énfasis6 18" xfId="111" xr:uid="{00000000-0005-0000-0000-00006E000000}"/>
    <cellStyle name="20% - Énfasis6 19" xfId="112" xr:uid="{00000000-0005-0000-0000-00006F000000}"/>
    <cellStyle name="20% - Énfasis6 2" xfId="113" xr:uid="{00000000-0005-0000-0000-000070000000}"/>
    <cellStyle name="20% - Énfasis6 20" xfId="1048" xr:uid="{F3B362D9-6B30-4305-9299-4D94D38F175B}"/>
    <cellStyle name="20% - Énfasis6 20 2" xfId="1229" xr:uid="{A340039A-28A9-44BA-9C5C-FD30C962E11A}"/>
    <cellStyle name="20% - Énfasis6 20 2 2" xfId="1583" xr:uid="{56C4813E-CE75-48A4-AA82-08458A49DFB3}"/>
    <cellStyle name="20% - Énfasis6 20 3" xfId="1114" xr:uid="{74DC171A-12A7-4A10-9738-A8F8BACAE9CA}"/>
    <cellStyle name="20% - Énfasis6 20 3 2" xfId="1513" xr:uid="{4A496DDB-1909-4E89-834F-7677CDF3E1A4}"/>
    <cellStyle name="20% - Énfasis6 20 4" xfId="1473" xr:uid="{C628B7D2-D1C9-42D3-BE3D-6D5E163CDD3B}"/>
    <cellStyle name="20% - Énfasis6 21" xfId="1136" xr:uid="{D8168518-2E12-4277-B811-1C622C6536E4}"/>
    <cellStyle name="20% - Énfasis6 21 2" xfId="1529" xr:uid="{73311420-19F3-4C3A-B55E-AE702D01BE57}"/>
    <cellStyle name="20% - Énfasis6 22" xfId="1209" xr:uid="{C37FEFC9-FC73-44B6-B81A-B4DA60592C26}"/>
    <cellStyle name="20% - Énfasis6 22 2" xfId="1563" xr:uid="{B88E30C5-8DDE-4572-8604-4805757E6DB7}"/>
    <cellStyle name="20% - Énfasis6 23" xfId="1094" xr:uid="{647F6598-0EE2-40EE-9114-B93C9BE0D057}"/>
    <cellStyle name="20% - Énfasis6 23 2" xfId="1493" xr:uid="{BC6E6804-9C1A-437F-807E-5990147E54B9}"/>
    <cellStyle name="20% - Énfasis6 3" xfId="114" xr:uid="{00000000-0005-0000-0000-000071000000}"/>
    <cellStyle name="20% - Énfasis6 4" xfId="115" xr:uid="{00000000-0005-0000-0000-000072000000}"/>
    <cellStyle name="20% - Énfasis6 5" xfId="116" xr:uid="{00000000-0005-0000-0000-000073000000}"/>
    <cellStyle name="20% - Énfasis6 6" xfId="117" xr:uid="{00000000-0005-0000-0000-000074000000}"/>
    <cellStyle name="20% - Énfasis6 7" xfId="118" xr:uid="{00000000-0005-0000-0000-000075000000}"/>
    <cellStyle name="20% - Énfasis6 8" xfId="119" xr:uid="{00000000-0005-0000-0000-000076000000}"/>
    <cellStyle name="20% - Énfasis6 9" xfId="120" xr:uid="{00000000-0005-0000-0000-000077000000}"/>
    <cellStyle name="40% - Accent1" xfId="127" xr:uid="{00000000-0005-0000-0000-000078000000}"/>
    <cellStyle name="40% - Accent1 2" xfId="121" xr:uid="{00000000-0005-0000-0000-000079000000}"/>
    <cellStyle name="40% - Accent1 3" xfId="1137" xr:uid="{6A9CE03C-30CE-4A50-B572-57C2D42451D3}"/>
    <cellStyle name="40% - Accent1 4" xfId="1440" xr:uid="{3F6BBD90-892F-4B0C-AFA4-1D1C3AC5BF60}"/>
    <cellStyle name="40% - Accent1 5" xfId="981" xr:uid="{B741E5C5-14F0-4FAD-87C5-E381BA6F5B0C}"/>
    <cellStyle name="40% - Accent2" xfId="146" xr:uid="{00000000-0005-0000-0000-00007A000000}"/>
    <cellStyle name="40% - Accent2 2" xfId="122" xr:uid="{00000000-0005-0000-0000-00007B000000}"/>
    <cellStyle name="40% - Accent2 3" xfId="1138" xr:uid="{3948DFCA-0971-4288-ABCA-1BDC07F9A0BE}"/>
    <cellStyle name="40% - Accent2 4" xfId="1442" xr:uid="{FB2F40BA-782D-4C62-AC7E-10C5087AACF6}"/>
    <cellStyle name="40% - Accent2 5" xfId="984" xr:uid="{BF1AA7DD-8102-454D-B065-BF6DD67733A2}"/>
    <cellStyle name="40% - Accent3" xfId="165" xr:uid="{00000000-0005-0000-0000-00007C000000}"/>
    <cellStyle name="40% - Accent3 2" xfId="123" xr:uid="{00000000-0005-0000-0000-00007D000000}"/>
    <cellStyle name="40% - Accent3 3" xfId="1139" xr:uid="{69631FE2-30C3-444C-B78C-5E3E6250B292}"/>
    <cellStyle name="40% - Accent3 4" xfId="1444" xr:uid="{722BE6B6-032A-4017-8E7E-E737020997D5}"/>
    <cellStyle name="40% - Accent3 5" xfId="987" xr:uid="{47731A41-3D1C-463D-9CCC-FE534C9B792B}"/>
    <cellStyle name="40% - Accent4" xfId="184" xr:uid="{00000000-0005-0000-0000-00007E000000}"/>
    <cellStyle name="40% - Accent4 2" xfId="124" xr:uid="{00000000-0005-0000-0000-00007F000000}"/>
    <cellStyle name="40% - Accent4 3" xfId="1140" xr:uid="{D2ACEB7E-1133-4604-B5C8-24AEC4A97F55}"/>
    <cellStyle name="40% - Accent4 4" xfId="1447" xr:uid="{D80C9DE6-4E45-4931-A183-2CBE561CAC78}"/>
    <cellStyle name="40% - Accent4 5" xfId="990" xr:uid="{BF628A51-1590-4FA9-B975-4096CB21C951}"/>
    <cellStyle name="40% - Accent5" xfId="203" xr:uid="{00000000-0005-0000-0000-000080000000}"/>
    <cellStyle name="40% - Accent5 2" xfId="125" xr:uid="{00000000-0005-0000-0000-000081000000}"/>
    <cellStyle name="40% - Accent5 3" xfId="1141" xr:uid="{CE3AE595-8954-477F-8C72-9CFCE3454923}"/>
    <cellStyle name="40% - Accent5 4" xfId="1450" xr:uid="{478DF80C-58D1-44BA-95FD-B6100ADAFFD6}"/>
    <cellStyle name="40% - Accent5 5" xfId="993" xr:uid="{43979D7F-9E51-4AB6-B174-CC4B0300261D}"/>
    <cellStyle name="40% - Accent6" xfId="222" xr:uid="{00000000-0005-0000-0000-000082000000}"/>
    <cellStyle name="40% - Accent6 2" xfId="126" xr:uid="{00000000-0005-0000-0000-000083000000}"/>
    <cellStyle name="40% - Accent6 3" xfId="1142" xr:uid="{43346E80-A6FB-45C8-984B-1B733D4A3ABE}"/>
    <cellStyle name="40% - Accent6 4" xfId="1453" xr:uid="{430169E2-B5F1-4FDC-8A6F-82FFE55F3BDE}"/>
    <cellStyle name="40% - Accent6 5" xfId="996" xr:uid="{9C23B411-E7F3-43DD-8509-DFFA1BCD5946}"/>
    <cellStyle name="40% - Énfasis1 10" xfId="128" xr:uid="{00000000-0005-0000-0000-000084000000}"/>
    <cellStyle name="40% - Énfasis1 11" xfId="129" xr:uid="{00000000-0005-0000-0000-000085000000}"/>
    <cellStyle name="40% - Énfasis1 12" xfId="130" xr:uid="{00000000-0005-0000-0000-000086000000}"/>
    <cellStyle name="40% - Énfasis1 13" xfId="131" xr:uid="{00000000-0005-0000-0000-000087000000}"/>
    <cellStyle name="40% - Énfasis1 14" xfId="132" xr:uid="{00000000-0005-0000-0000-000088000000}"/>
    <cellStyle name="40% - Énfasis1 15" xfId="133" xr:uid="{00000000-0005-0000-0000-000089000000}"/>
    <cellStyle name="40% - Énfasis1 16" xfId="134" xr:uid="{00000000-0005-0000-0000-00008A000000}"/>
    <cellStyle name="40% - Énfasis1 17" xfId="135" xr:uid="{00000000-0005-0000-0000-00008B000000}"/>
    <cellStyle name="40% - Énfasis1 18" xfId="136" xr:uid="{00000000-0005-0000-0000-00008C000000}"/>
    <cellStyle name="40% - Énfasis1 19" xfId="137" xr:uid="{00000000-0005-0000-0000-00008D000000}"/>
    <cellStyle name="40% - Énfasis1 2" xfId="138" xr:uid="{00000000-0005-0000-0000-00008E000000}"/>
    <cellStyle name="40% - Énfasis1 20" xfId="1039" xr:uid="{3CE6D39A-BE60-458C-9E8B-D6BD0EAA8239}"/>
    <cellStyle name="40% - Énfasis1 20 2" xfId="1220" xr:uid="{EE6D1E1E-7C1F-47F4-88CF-69E3AB9897DE}"/>
    <cellStyle name="40% - Énfasis1 20 2 2" xfId="1574" xr:uid="{7DE4F89F-40E2-4AEB-B795-29CBA25FBC16}"/>
    <cellStyle name="40% - Énfasis1 20 3" xfId="1105" xr:uid="{E6A05852-3AF1-43CD-8D23-5D05F6E1CA98}"/>
    <cellStyle name="40% - Énfasis1 20 3 2" xfId="1504" xr:uid="{7930ED0D-5900-447C-8F4D-E5963A691D6D}"/>
    <cellStyle name="40% - Énfasis1 20 4" xfId="1464" xr:uid="{164D9B3C-2805-4719-BCD2-B51E794F9F7D}"/>
    <cellStyle name="40% - Énfasis1 21" xfId="1143" xr:uid="{E73920FD-449B-4975-B1EC-375166A0B4A0}"/>
    <cellStyle name="40% - Énfasis1 21 2" xfId="1530" xr:uid="{CF6A5D3E-DE82-4183-A585-3E1766F41E0E}"/>
    <cellStyle name="40% - Énfasis1 22" xfId="1200" xr:uid="{027FF788-8734-43A1-B3B8-75ED24A3A93C}"/>
    <cellStyle name="40% - Énfasis1 22 2" xfId="1554" xr:uid="{78FF97F7-46C3-476A-AE90-C6428930DB8B}"/>
    <cellStyle name="40% - Énfasis1 23" xfId="1085" xr:uid="{F1759D72-FDF0-480B-A57C-72F9B4A6DF3C}"/>
    <cellStyle name="40% - Énfasis1 23 2" xfId="1484" xr:uid="{6071B275-423F-4EB6-9007-DD241BB9AFA2}"/>
    <cellStyle name="40% - Énfasis1 3" xfId="139" xr:uid="{00000000-0005-0000-0000-00008F000000}"/>
    <cellStyle name="40% - Énfasis1 4" xfId="140" xr:uid="{00000000-0005-0000-0000-000090000000}"/>
    <cellStyle name="40% - Énfasis1 5" xfId="141" xr:uid="{00000000-0005-0000-0000-000091000000}"/>
    <cellStyle name="40% - Énfasis1 6" xfId="142" xr:uid="{00000000-0005-0000-0000-000092000000}"/>
    <cellStyle name="40% - Énfasis1 7" xfId="143" xr:uid="{00000000-0005-0000-0000-000093000000}"/>
    <cellStyle name="40% - Énfasis1 8" xfId="144" xr:uid="{00000000-0005-0000-0000-000094000000}"/>
    <cellStyle name="40% - Énfasis1 9" xfId="145" xr:uid="{00000000-0005-0000-0000-000095000000}"/>
    <cellStyle name="40% - Énfasis2 10" xfId="147" xr:uid="{00000000-0005-0000-0000-000096000000}"/>
    <cellStyle name="40% - Énfasis2 11" xfId="148" xr:uid="{00000000-0005-0000-0000-000097000000}"/>
    <cellStyle name="40% - Énfasis2 12" xfId="149" xr:uid="{00000000-0005-0000-0000-000098000000}"/>
    <cellStyle name="40% - Énfasis2 13" xfId="150" xr:uid="{00000000-0005-0000-0000-000099000000}"/>
    <cellStyle name="40% - Énfasis2 14" xfId="151" xr:uid="{00000000-0005-0000-0000-00009A000000}"/>
    <cellStyle name="40% - Énfasis2 15" xfId="152" xr:uid="{00000000-0005-0000-0000-00009B000000}"/>
    <cellStyle name="40% - Énfasis2 16" xfId="153" xr:uid="{00000000-0005-0000-0000-00009C000000}"/>
    <cellStyle name="40% - Énfasis2 17" xfId="154" xr:uid="{00000000-0005-0000-0000-00009D000000}"/>
    <cellStyle name="40% - Énfasis2 18" xfId="155" xr:uid="{00000000-0005-0000-0000-00009E000000}"/>
    <cellStyle name="40% - Énfasis2 19" xfId="156" xr:uid="{00000000-0005-0000-0000-00009F000000}"/>
    <cellStyle name="40% - Énfasis2 2" xfId="157" xr:uid="{00000000-0005-0000-0000-0000A0000000}"/>
    <cellStyle name="40% - Énfasis2 20" xfId="1041" xr:uid="{2EDF72FC-9027-48CA-A9B8-CBCCB3CB5E0B}"/>
    <cellStyle name="40% - Énfasis2 20 2" xfId="1222" xr:uid="{1169F608-2689-4296-83BA-EE219D7F4F80}"/>
    <cellStyle name="40% - Énfasis2 20 2 2" xfId="1576" xr:uid="{8133611E-03E7-467D-9184-2A06F6DE2E5B}"/>
    <cellStyle name="40% - Énfasis2 20 3" xfId="1107" xr:uid="{0F53524D-5112-4890-8999-983D73EA25DD}"/>
    <cellStyle name="40% - Énfasis2 20 3 2" xfId="1506" xr:uid="{96BAE398-AED1-4DE1-8198-41BFA5220F74}"/>
    <cellStyle name="40% - Énfasis2 20 4" xfId="1466" xr:uid="{DBB07A04-737B-4C1E-9D8F-E3C62C6E173F}"/>
    <cellStyle name="40% - Énfasis2 21" xfId="1144" xr:uid="{C677CE25-9EC3-4EEF-8356-F3755D3B7980}"/>
    <cellStyle name="40% - Énfasis2 21 2" xfId="1531" xr:uid="{9E65B447-EC96-4476-B878-CA466B66C066}"/>
    <cellStyle name="40% - Énfasis2 22" xfId="1202" xr:uid="{D07323BB-ED7E-4337-9101-CADD4728D65D}"/>
    <cellStyle name="40% - Énfasis2 22 2" xfId="1556" xr:uid="{119D6402-8C8F-4429-8534-F256B04B0D0B}"/>
    <cellStyle name="40% - Énfasis2 23" xfId="1087" xr:uid="{1D9D2260-8FDB-431C-BBEE-C4CEAF20A29F}"/>
    <cellStyle name="40% - Énfasis2 23 2" xfId="1486" xr:uid="{710C5663-816D-4B99-8EBD-0D75A62611CC}"/>
    <cellStyle name="40% - Énfasis2 3" xfId="158" xr:uid="{00000000-0005-0000-0000-0000A1000000}"/>
    <cellStyle name="40% - Énfasis2 4" xfId="159" xr:uid="{00000000-0005-0000-0000-0000A2000000}"/>
    <cellStyle name="40% - Énfasis2 5" xfId="160" xr:uid="{00000000-0005-0000-0000-0000A3000000}"/>
    <cellStyle name="40% - Énfasis2 6" xfId="161" xr:uid="{00000000-0005-0000-0000-0000A4000000}"/>
    <cellStyle name="40% - Énfasis2 7" xfId="162" xr:uid="{00000000-0005-0000-0000-0000A5000000}"/>
    <cellStyle name="40% - Énfasis2 8" xfId="163" xr:uid="{00000000-0005-0000-0000-0000A6000000}"/>
    <cellStyle name="40% - Énfasis2 9" xfId="164" xr:uid="{00000000-0005-0000-0000-0000A7000000}"/>
    <cellStyle name="40% - Énfasis3 10" xfId="166" xr:uid="{00000000-0005-0000-0000-0000A8000000}"/>
    <cellStyle name="40% - Énfasis3 11" xfId="167" xr:uid="{00000000-0005-0000-0000-0000A9000000}"/>
    <cellStyle name="40% - Énfasis3 12" xfId="168" xr:uid="{00000000-0005-0000-0000-0000AA000000}"/>
    <cellStyle name="40% - Énfasis3 13" xfId="169" xr:uid="{00000000-0005-0000-0000-0000AB000000}"/>
    <cellStyle name="40% - Énfasis3 14" xfId="170" xr:uid="{00000000-0005-0000-0000-0000AC000000}"/>
    <cellStyle name="40% - Énfasis3 15" xfId="171" xr:uid="{00000000-0005-0000-0000-0000AD000000}"/>
    <cellStyle name="40% - Énfasis3 16" xfId="172" xr:uid="{00000000-0005-0000-0000-0000AE000000}"/>
    <cellStyle name="40% - Énfasis3 17" xfId="173" xr:uid="{00000000-0005-0000-0000-0000AF000000}"/>
    <cellStyle name="40% - Énfasis3 18" xfId="174" xr:uid="{00000000-0005-0000-0000-0000B0000000}"/>
    <cellStyle name="40% - Énfasis3 19" xfId="175" xr:uid="{00000000-0005-0000-0000-0000B1000000}"/>
    <cellStyle name="40% - Énfasis3 2" xfId="176" xr:uid="{00000000-0005-0000-0000-0000B2000000}"/>
    <cellStyle name="40% - Énfasis3 20" xfId="1043" xr:uid="{469ECDAA-91E4-481D-9F90-1192E6BD34DF}"/>
    <cellStyle name="40% - Énfasis3 20 2" xfId="1224" xr:uid="{A0D4DBAD-764E-4DE2-9995-7F08C6B7B278}"/>
    <cellStyle name="40% - Énfasis3 20 2 2" xfId="1578" xr:uid="{0E0E1E2E-ADCF-40C2-8698-945656E0E718}"/>
    <cellStyle name="40% - Énfasis3 20 3" xfId="1109" xr:uid="{51E8B0A6-F941-4DD9-8998-86A246181837}"/>
    <cellStyle name="40% - Énfasis3 20 3 2" xfId="1508" xr:uid="{73191821-79D5-4799-AFDA-E5A61FBEBEDD}"/>
    <cellStyle name="40% - Énfasis3 20 4" xfId="1468" xr:uid="{C4748C29-3102-459B-8002-EF1F88024501}"/>
    <cellStyle name="40% - Énfasis3 21" xfId="1145" xr:uid="{FB7A06E9-CF44-4D49-AC4D-4F1CF284CFE0}"/>
    <cellStyle name="40% - Énfasis3 21 2" xfId="1532" xr:uid="{5E52CCE9-33A1-4F3E-8558-4FDDBB83EAA9}"/>
    <cellStyle name="40% - Énfasis3 22" xfId="1204" xr:uid="{8511DE2E-3302-4755-8E38-3854FAEFEB57}"/>
    <cellStyle name="40% - Énfasis3 22 2" xfId="1558" xr:uid="{702316AE-B98C-405D-9ACA-E6913FCCFE43}"/>
    <cellStyle name="40% - Énfasis3 23" xfId="1089" xr:uid="{7A2FF518-6802-48D4-9781-0CD00B6F9E0F}"/>
    <cellStyle name="40% - Énfasis3 23 2" xfId="1488" xr:uid="{17B4C0E9-8463-4A1D-BCBF-E1BC127A3924}"/>
    <cellStyle name="40% - Énfasis3 3" xfId="177" xr:uid="{00000000-0005-0000-0000-0000B3000000}"/>
    <cellStyle name="40% - Énfasis3 4" xfId="178" xr:uid="{00000000-0005-0000-0000-0000B4000000}"/>
    <cellStyle name="40% - Énfasis3 5" xfId="179" xr:uid="{00000000-0005-0000-0000-0000B5000000}"/>
    <cellStyle name="40% - Énfasis3 6" xfId="180" xr:uid="{00000000-0005-0000-0000-0000B6000000}"/>
    <cellStyle name="40% - Énfasis3 7" xfId="181" xr:uid="{00000000-0005-0000-0000-0000B7000000}"/>
    <cellStyle name="40% - Énfasis3 8" xfId="182" xr:uid="{00000000-0005-0000-0000-0000B8000000}"/>
    <cellStyle name="40% - Énfasis3 9" xfId="183" xr:uid="{00000000-0005-0000-0000-0000B9000000}"/>
    <cellStyle name="40% - Énfasis4 10" xfId="185" xr:uid="{00000000-0005-0000-0000-0000BA000000}"/>
    <cellStyle name="40% - Énfasis4 11" xfId="186" xr:uid="{00000000-0005-0000-0000-0000BB000000}"/>
    <cellStyle name="40% - Énfasis4 12" xfId="187" xr:uid="{00000000-0005-0000-0000-0000BC000000}"/>
    <cellStyle name="40% - Énfasis4 13" xfId="188" xr:uid="{00000000-0005-0000-0000-0000BD000000}"/>
    <cellStyle name="40% - Énfasis4 14" xfId="189" xr:uid="{00000000-0005-0000-0000-0000BE000000}"/>
    <cellStyle name="40% - Énfasis4 15" xfId="190" xr:uid="{00000000-0005-0000-0000-0000BF000000}"/>
    <cellStyle name="40% - Énfasis4 16" xfId="191" xr:uid="{00000000-0005-0000-0000-0000C0000000}"/>
    <cellStyle name="40% - Énfasis4 17" xfId="192" xr:uid="{00000000-0005-0000-0000-0000C1000000}"/>
    <cellStyle name="40% - Énfasis4 18" xfId="193" xr:uid="{00000000-0005-0000-0000-0000C2000000}"/>
    <cellStyle name="40% - Énfasis4 19" xfId="194" xr:uid="{00000000-0005-0000-0000-0000C3000000}"/>
    <cellStyle name="40% - Énfasis4 2" xfId="195" xr:uid="{00000000-0005-0000-0000-0000C4000000}"/>
    <cellStyle name="40% - Énfasis4 20" xfId="1045" xr:uid="{AE953DFC-890C-4FC7-99EA-A9F63E67C5CB}"/>
    <cellStyle name="40% - Énfasis4 20 2" xfId="1226" xr:uid="{5179E03E-4CDD-4926-9DE9-C8F0808C8E94}"/>
    <cellStyle name="40% - Énfasis4 20 2 2" xfId="1580" xr:uid="{3DA2C43E-526F-4C41-ACA1-CD8FDF69B728}"/>
    <cellStyle name="40% - Énfasis4 20 3" xfId="1111" xr:uid="{EC57EC65-C186-4F8D-90C0-F4EABE730FC4}"/>
    <cellStyle name="40% - Énfasis4 20 3 2" xfId="1510" xr:uid="{267914C2-0F8C-4FF5-9301-99D5A83A8A7E}"/>
    <cellStyle name="40% - Énfasis4 20 4" xfId="1470" xr:uid="{30A733F9-DB14-4098-BFAD-C720119AB889}"/>
    <cellStyle name="40% - Énfasis4 21" xfId="1146" xr:uid="{944F58E1-C69A-4C28-9743-CDEC92F5A67E}"/>
    <cellStyle name="40% - Énfasis4 21 2" xfId="1533" xr:uid="{06697394-58FC-4E0D-A4BD-BD61F95E12D8}"/>
    <cellStyle name="40% - Énfasis4 22" xfId="1206" xr:uid="{076865EA-C72C-4AEA-A463-3C8F87B2A472}"/>
    <cellStyle name="40% - Énfasis4 22 2" xfId="1560" xr:uid="{693119D9-BE68-4719-AA93-EB3032901970}"/>
    <cellStyle name="40% - Énfasis4 23" xfId="1091" xr:uid="{4BD0EA0E-4990-4B95-93E1-6E5F3B46EDAA}"/>
    <cellStyle name="40% - Énfasis4 23 2" xfId="1490" xr:uid="{716F2D21-14AB-4FB6-80F6-5E93BB1AB4F4}"/>
    <cellStyle name="40% - Énfasis4 3" xfId="196" xr:uid="{00000000-0005-0000-0000-0000C5000000}"/>
    <cellStyle name="40% - Énfasis4 4" xfId="197" xr:uid="{00000000-0005-0000-0000-0000C6000000}"/>
    <cellStyle name="40% - Énfasis4 5" xfId="198" xr:uid="{00000000-0005-0000-0000-0000C7000000}"/>
    <cellStyle name="40% - Énfasis4 6" xfId="199" xr:uid="{00000000-0005-0000-0000-0000C8000000}"/>
    <cellStyle name="40% - Énfasis4 7" xfId="200" xr:uid="{00000000-0005-0000-0000-0000C9000000}"/>
    <cellStyle name="40% - Énfasis4 8" xfId="201" xr:uid="{00000000-0005-0000-0000-0000CA000000}"/>
    <cellStyle name="40% - Énfasis4 9" xfId="202" xr:uid="{00000000-0005-0000-0000-0000CB000000}"/>
    <cellStyle name="40% - Énfasis5 10" xfId="204" xr:uid="{00000000-0005-0000-0000-0000CC000000}"/>
    <cellStyle name="40% - Énfasis5 11" xfId="205" xr:uid="{00000000-0005-0000-0000-0000CD000000}"/>
    <cellStyle name="40% - Énfasis5 12" xfId="206" xr:uid="{00000000-0005-0000-0000-0000CE000000}"/>
    <cellStyle name="40% - Énfasis5 13" xfId="207" xr:uid="{00000000-0005-0000-0000-0000CF000000}"/>
    <cellStyle name="40% - Énfasis5 14" xfId="208" xr:uid="{00000000-0005-0000-0000-0000D0000000}"/>
    <cellStyle name="40% - Énfasis5 15" xfId="209" xr:uid="{00000000-0005-0000-0000-0000D1000000}"/>
    <cellStyle name="40% - Énfasis5 16" xfId="210" xr:uid="{00000000-0005-0000-0000-0000D2000000}"/>
    <cellStyle name="40% - Énfasis5 17" xfId="211" xr:uid="{00000000-0005-0000-0000-0000D3000000}"/>
    <cellStyle name="40% - Énfasis5 18" xfId="212" xr:uid="{00000000-0005-0000-0000-0000D4000000}"/>
    <cellStyle name="40% - Énfasis5 19" xfId="213" xr:uid="{00000000-0005-0000-0000-0000D5000000}"/>
    <cellStyle name="40% - Énfasis5 2" xfId="214" xr:uid="{00000000-0005-0000-0000-0000D6000000}"/>
    <cellStyle name="40% - Énfasis5 20" xfId="1047" xr:uid="{7E4728A2-2828-4CD6-BF05-354C0FC77A37}"/>
    <cellStyle name="40% - Énfasis5 20 2" xfId="1228" xr:uid="{DAFC8E26-31D7-464E-8920-26BE8C67709B}"/>
    <cellStyle name="40% - Énfasis5 20 2 2" xfId="1582" xr:uid="{6C95AD3B-5E17-4D66-80D0-BC37F354A64D}"/>
    <cellStyle name="40% - Énfasis5 20 3" xfId="1113" xr:uid="{4679498C-D477-47F7-ACFD-218A2FDA5DF3}"/>
    <cellStyle name="40% - Énfasis5 20 3 2" xfId="1512" xr:uid="{4906A17A-57D8-4441-9D96-33A64AC70BBE}"/>
    <cellStyle name="40% - Énfasis5 20 4" xfId="1472" xr:uid="{77571BBC-7617-475E-AFBC-5D201A599D2E}"/>
    <cellStyle name="40% - Énfasis5 21" xfId="1147" xr:uid="{4AF57AE6-65CB-4924-BE54-449F776D85ED}"/>
    <cellStyle name="40% - Énfasis5 21 2" xfId="1534" xr:uid="{18BE6C34-3FCA-4A3F-9901-3B818644577B}"/>
    <cellStyle name="40% - Énfasis5 22" xfId="1208" xr:uid="{BB7E190F-7A78-4F28-AE37-44D903F99D56}"/>
    <cellStyle name="40% - Énfasis5 22 2" xfId="1562" xr:uid="{0E63602C-BDD7-4DEF-8AA4-95A36438184B}"/>
    <cellStyle name="40% - Énfasis5 23" xfId="1093" xr:uid="{45851EE5-A79A-449F-BA36-D7EE3C8FB806}"/>
    <cellStyle name="40% - Énfasis5 23 2" xfId="1492" xr:uid="{D470E099-CFA5-4CE9-9245-2B68C6182843}"/>
    <cellStyle name="40% - Énfasis5 3" xfId="215" xr:uid="{00000000-0005-0000-0000-0000D7000000}"/>
    <cellStyle name="40% - Énfasis5 4" xfId="216" xr:uid="{00000000-0005-0000-0000-0000D8000000}"/>
    <cellStyle name="40% - Énfasis5 5" xfId="217" xr:uid="{00000000-0005-0000-0000-0000D9000000}"/>
    <cellStyle name="40% - Énfasis5 6" xfId="218" xr:uid="{00000000-0005-0000-0000-0000DA000000}"/>
    <cellStyle name="40% - Énfasis5 7" xfId="219" xr:uid="{00000000-0005-0000-0000-0000DB000000}"/>
    <cellStyle name="40% - Énfasis5 8" xfId="220" xr:uid="{00000000-0005-0000-0000-0000DC000000}"/>
    <cellStyle name="40% - Énfasis5 9" xfId="221" xr:uid="{00000000-0005-0000-0000-0000DD000000}"/>
    <cellStyle name="40% - Énfasis6 10" xfId="223" xr:uid="{00000000-0005-0000-0000-0000DE000000}"/>
    <cellStyle name="40% - Énfasis6 11" xfId="224" xr:uid="{00000000-0005-0000-0000-0000DF000000}"/>
    <cellStyle name="40% - Énfasis6 12" xfId="225" xr:uid="{00000000-0005-0000-0000-0000E0000000}"/>
    <cellStyle name="40% - Énfasis6 13" xfId="226" xr:uid="{00000000-0005-0000-0000-0000E1000000}"/>
    <cellStyle name="40% - Énfasis6 14" xfId="227" xr:uid="{00000000-0005-0000-0000-0000E2000000}"/>
    <cellStyle name="40% - Énfasis6 15" xfId="228" xr:uid="{00000000-0005-0000-0000-0000E3000000}"/>
    <cellStyle name="40% - Énfasis6 16" xfId="229" xr:uid="{00000000-0005-0000-0000-0000E4000000}"/>
    <cellStyle name="40% - Énfasis6 17" xfId="230" xr:uid="{00000000-0005-0000-0000-0000E5000000}"/>
    <cellStyle name="40% - Énfasis6 18" xfId="231" xr:uid="{00000000-0005-0000-0000-0000E6000000}"/>
    <cellStyle name="40% - Énfasis6 19" xfId="232" xr:uid="{00000000-0005-0000-0000-0000E7000000}"/>
    <cellStyle name="40% - Énfasis6 2" xfId="233" xr:uid="{00000000-0005-0000-0000-0000E8000000}"/>
    <cellStyle name="40% - Énfasis6 20" xfId="1049" xr:uid="{5423F31F-8AD4-42D9-B202-49416F8261E9}"/>
    <cellStyle name="40% - Énfasis6 20 2" xfId="1230" xr:uid="{C4771F3F-3B9E-496C-A8A3-9845D76605F9}"/>
    <cellStyle name="40% - Énfasis6 20 2 2" xfId="1584" xr:uid="{3212589F-71B9-4D8B-924D-8CD9D482CC81}"/>
    <cellStyle name="40% - Énfasis6 20 3" xfId="1115" xr:uid="{D85C0FE8-8B35-4D5F-B9F8-BF48EABF6D42}"/>
    <cellStyle name="40% - Énfasis6 20 3 2" xfId="1514" xr:uid="{9DD20BCC-0009-4861-8C63-EBA8D606B3F2}"/>
    <cellStyle name="40% - Énfasis6 20 4" xfId="1474" xr:uid="{42A0C3D1-BAB8-4CF0-8F4C-EF9735256826}"/>
    <cellStyle name="40% - Énfasis6 21" xfId="1148" xr:uid="{710564C0-DD5E-4D9C-80B2-66AA6647DEA5}"/>
    <cellStyle name="40% - Énfasis6 21 2" xfId="1535" xr:uid="{3288A5C3-78DE-4D36-962D-705A72617B11}"/>
    <cellStyle name="40% - Énfasis6 22" xfId="1210" xr:uid="{D17EFE0C-C337-42D2-89E5-14271D7D0BDA}"/>
    <cellStyle name="40% - Énfasis6 22 2" xfId="1564" xr:uid="{5A2F77BE-7185-4611-B507-AF3DDAFBCCD5}"/>
    <cellStyle name="40% - Énfasis6 23" xfId="1095" xr:uid="{72C1BF04-A1EE-499A-9792-F2C36212C348}"/>
    <cellStyle name="40% - Énfasis6 23 2" xfId="1494" xr:uid="{A7BA0167-1EF3-43E3-A446-DA7D79721634}"/>
    <cellStyle name="40% - Énfasis6 3" xfId="234" xr:uid="{00000000-0005-0000-0000-0000E9000000}"/>
    <cellStyle name="40% - Énfasis6 4" xfId="235" xr:uid="{00000000-0005-0000-0000-0000EA000000}"/>
    <cellStyle name="40% - Énfasis6 5" xfId="236" xr:uid="{00000000-0005-0000-0000-0000EB000000}"/>
    <cellStyle name="40% - Énfasis6 6" xfId="237" xr:uid="{00000000-0005-0000-0000-0000EC000000}"/>
    <cellStyle name="40% - Énfasis6 7" xfId="238" xr:uid="{00000000-0005-0000-0000-0000ED000000}"/>
    <cellStyle name="40% - Énfasis6 8" xfId="239" xr:uid="{00000000-0005-0000-0000-0000EE000000}"/>
    <cellStyle name="40% - Énfasis6 9" xfId="240" xr:uid="{00000000-0005-0000-0000-0000EF000000}"/>
    <cellStyle name="60% - Accent1" xfId="247" xr:uid="{00000000-0005-0000-0000-0000F0000000}"/>
    <cellStyle name="60% - Accent1 2" xfId="241" xr:uid="{00000000-0005-0000-0000-0000F1000000}"/>
    <cellStyle name="60% - Accent1 3" xfId="1149" xr:uid="{8789193D-E3DB-40D9-A23D-B7BE1E6A8844}"/>
    <cellStyle name="60% - Accent2" xfId="266" xr:uid="{00000000-0005-0000-0000-0000F2000000}"/>
    <cellStyle name="60% - Accent2 2" xfId="242" xr:uid="{00000000-0005-0000-0000-0000F3000000}"/>
    <cellStyle name="60% - Accent2 3" xfId="1150" xr:uid="{7F01DC53-981B-4A2B-965C-EFB1869F30AB}"/>
    <cellStyle name="60% - Accent3" xfId="285" xr:uid="{00000000-0005-0000-0000-0000F4000000}"/>
    <cellStyle name="60% - Accent3 2" xfId="243" xr:uid="{00000000-0005-0000-0000-0000F5000000}"/>
    <cellStyle name="60% - Accent3 3" xfId="1151" xr:uid="{D28BF5B2-EAC8-4A28-8A09-0D1A6C110C58}"/>
    <cellStyle name="60% - Accent4" xfId="304" xr:uid="{00000000-0005-0000-0000-0000F6000000}"/>
    <cellStyle name="60% - Accent4 2" xfId="244" xr:uid="{00000000-0005-0000-0000-0000F7000000}"/>
    <cellStyle name="60% - Accent4 3" xfId="1152" xr:uid="{5EED3BEA-02C4-44EE-82BB-A78062E0159B}"/>
    <cellStyle name="60% - Accent5" xfId="323" xr:uid="{00000000-0005-0000-0000-0000F8000000}"/>
    <cellStyle name="60% - Accent5 2" xfId="245" xr:uid="{00000000-0005-0000-0000-0000F9000000}"/>
    <cellStyle name="60% - Accent5 3" xfId="1153" xr:uid="{2D1FA480-E657-4E33-B548-D085FA5516D7}"/>
    <cellStyle name="60% - Accent6" xfId="342" xr:uid="{00000000-0005-0000-0000-0000FA000000}"/>
    <cellStyle name="60% - Accent6 2" xfId="246" xr:uid="{00000000-0005-0000-0000-0000FB000000}"/>
    <cellStyle name="60% - Accent6 3" xfId="1154" xr:uid="{3F61E976-DFF4-43FE-A62D-C18AB45FF908}"/>
    <cellStyle name="60% - Énfasis1 10" xfId="248" xr:uid="{00000000-0005-0000-0000-0000FC000000}"/>
    <cellStyle name="60% - Énfasis1 11" xfId="249" xr:uid="{00000000-0005-0000-0000-0000FD000000}"/>
    <cellStyle name="60% - Énfasis1 12" xfId="250" xr:uid="{00000000-0005-0000-0000-0000FE000000}"/>
    <cellStyle name="60% - Énfasis1 13" xfId="251" xr:uid="{00000000-0005-0000-0000-0000FF000000}"/>
    <cellStyle name="60% - Énfasis1 14" xfId="252" xr:uid="{00000000-0005-0000-0000-000000010000}"/>
    <cellStyle name="60% - Énfasis1 15" xfId="253" xr:uid="{00000000-0005-0000-0000-000001010000}"/>
    <cellStyle name="60% - Énfasis1 16" xfId="254" xr:uid="{00000000-0005-0000-0000-000002010000}"/>
    <cellStyle name="60% - Énfasis1 17" xfId="255" xr:uid="{00000000-0005-0000-0000-000003010000}"/>
    <cellStyle name="60% - Énfasis1 18" xfId="256" xr:uid="{00000000-0005-0000-0000-000004010000}"/>
    <cellStyle name="60% - Énfasis1 19" xfId="257" xr:uid="{00000000-0005-0000-0000-000005010000}"/>
    <cellStyle name="60% - Énfasis1 2" xfId="258" xr:uid="{00000000-0005-0000-0000-000006010000}"/>
    <cellStyle name="60% - Énfasis1 20" xfId="1011" xr:uid="{59733071-B633-436A-9FF6-3C642BA9D16D}"/>
    <cellStyle name="60% - Énfasis1 20 2" xfId="1051" xr:uid="{DAEDB47B-F2B9-4169-B8EE-8256D4B31EF7}"/>
    <cellStyle name="60% - Énfasis1 20 2 2" xfId="1232" xr:uid="{2BEE2842-A95F-4242-AD79-3C7E0462B34E}"/>
    <cellStyle name="60% - Énfasis1 20 2 2 2" xfId="1586" xr:uid="{015469A8-419B-4C79-BEFF-E6FDA5243FDF}"/>
    <cellStyle name="60% - Énfasis1 20 2 3" xfId="1117" xr:uid="{24FD744F-77BF-45D7-BEE6-74933B96098E}"/>
    <cellStyle name="60% - Énfasis1 20 2 3 2" xfId="1516" xr:uid="{D2001B07-C5C1-41A7-8C74-5E608D47FA41}"/>
    <cellStyle name="60% - Énfasis1 20 2 4" xfId="1476" xr:uid="{8818C853-C3B0-424C-9242-2DB436B5E043}"/>
    <cellStyle name="60% - Énfasis1 20 3" xfId="1212" xr:uid="{C45DBA7D-97A7-469F-8B2E-6FF009061E28}"/>
    <cellStyle name="60% - Énfasis1 20 3 2" xfId="1566" xr:uid="{788BCBF8-F5CC-4989-BB7B-AC6B960F4196}"/>
    <cellStyle name="60% - Énfasis1 20 4" xfId="1097" xr:uid="{59A39490-F1D6-4B9B-B168-80B3E14E6841}"/>
    <cellStyle name="60% - Énfasis1 20 4 2" xfId="1496" xr:uid="{FDADD14A-FA6B-4FE8-A351-6B345E088351}"/>
    <cellStyle name="60% - Énfasis1 20 5" xfId="1455" xr:uid="{C942421D-200F-4E33-8D90-6C8F7F9C816F}"/>
    <cellStyle name="60% - Énfasis1 21" xfId="1155" xr:uid="{3B78F68B-1EFF-4D0E-8B1B-9DEF0BF4DD80}"/>
    <cellStyle name="60% - Énfasis1 21 2" xfId="1537" xr:uid="{C4EFF027-43FD-498C-AD68-A30B9A22DD0A}"/>
    <cellStyle name="60% - Énfasis1 3" xfId="259" xr:uid="{00000000-0005-0000-0000-000007010000}"/>
    <cellStyle name="60% - Énfasis1 4" xfId="260" xr:uid="{00000000-0005-0000-0000-000008010000}"/>
    <cellStyle name="60% - Énfasis1 5" xfId="261" xr:uid="{00000000-0005-0000-0000-000009010000}"/>
    <cellStyle name="60% - Énfasis1 6" xfId="262" xr:uid="{00000000-0005-0000-0000-00000A010000}"/>
    <cellStyle name="60% - Énfasis1 7" xfId="263" xr:uid="{00000000-0005-0000-0000-00000B010000}"/>
    <cellStyle name="60% - Énfasis1 8" xfId="264" xr:uid="{00000000-0005-0000-0000-00000C010000}"/>
    <cellStyle name="60% - Énfasis1 9" xfId="265" xr:uid="{00000000-0005-0000-0000-00000D010000}"/>
    <cellStyle name="60% - Énfasis2 10" xfId="267" xr:uid="{00000000-0005-0000-0000-00000E010000}"/>
    <cellStyle name="60% - Énfasis2 11" xfId="268" xr:uid="{00000000-0005-0000-0000-00000F010000}"/>
    <cellStyle name="60% - Énfasis2 12" xfId="269" xr:uid="{00000000-0005-0000-0000-000010010000}"/>
    <cellStyle name="60% - Énfasis2 13" xfId="270" xr:uid="{00000000-0005-0000-0000-000011010000}"/>
    <cellStyle name="60% - Énfasis2 14" xfId="271" xr:uid="{00000000-0005-0000-0000-000012010000}"/>
    <cellStyle name="60% - Énfasis2 15" xfId="272" xr:uid="{00000000-0005-0000-0000-000013010000}"/>
    <cellStyle name="60% - Énfasis2 16" xfId="273" xr:uid="{00000000-0005-0000-0000-000014010000}"/>
    <cellStyle name="60% - Énfasis2 17" xfId="274" xr:uid="{00000000-0005-0000-0000-000015010000}"/>
    <cellStyle name="60% - Énfasis2 18" xfId="275" xr:uid="{00000000-0005-0000-0000-000016010000}"/>
    <cellStyle name="60% - Énfasis2 19" xfId="276" xr:uid="{00000000-0005-0000-0000-000017010000}"/>
    <cellStyle name="60% - Énfasis2 2" xfId="277" xr:uid="{00000000-0005-0000-0000-000018010000}"/>
    <cellStyle name="60% - Énfasis2 20" xfId="1012" xr:uid="{5CCC89F5-2B0F-430E-B30B-397720191518}"/>
    <cellStyle name="60% - Énfasis2 20 2" xfId="1052" xr:uid="{5384FC27-77AC-4A27-A233-E7713AEC9015}"/>
    <cellStyle name="60% - Énfasis2 20 2 2" xfId="1233" xr:uid="{E16A2323-DD52-4FD1-A0FB-CA86C9D7FB1B}"/>
    <cellStyle name="60% - Énfasis2 20 2 2 2" xfId="1587" xr:uid="{9E1422F5-E9E5-47C8-A764-9F9AD29893C9}"/>
    <cellStyle name="60% - Énfasis2 20 2 3" xfId="1118" xr:uid="{E172062F-4F4E-4E38-A907-957FE54B2A34}"/>
    <cellStyle name="60% - Énfasis2 20 2 3 2" xfId="1517" xr:uid="{A203B0A4-3FA1-4FD6-A1C8-8DEB3376DCE1}"/>
    <cellStyle name="60% - Énfasis2 20 2 4" xfId="1477" xr:uid="{AB65F32F-9202-4D6F-8A1F-6C31F1EB8D8B}"/>
    <cellStyle name="60% - Énfasis2 20 3" xfId="1213" xr:uid="{744DD603-7B84-4A3A-8D25-432AC1527996}"/>
    <cellStyle name="60% - Énfasis2 20 3 2" xfId="1567" xr:uid="{97669BB6-5675-43D6-BEA0-C3533E2CB125}"/>
    <cellStyle name="60% - Énfasis2 20 4" xfId="1098" xr:uid="{88B6B969-5CF9-43CF-A667-F25BEAA6357C}"/>
    <cellStyle name="60% - Énfasis2 20 4 2" xfId="1497" xr:uid="{DA468918-15F1-4AF4-9657-30613B10466D}"/>
    <cellStyle name="60% - Énfasis2 20 5" xfId="1456" xr:uid="{617B0757-4C15-47A0-86E6-B206FD093CAE}"/>
    <cellStyle name="60% - Énfasis2 21" xfId="1156" xr:uid="{7E181CB3-C03A-43D0-ABC9-4D1C89AF2743}"/>
    <cellStyle name="60% - Énfasis2 21 2" xfId="1538" xr:uid="{EA8075CC-11F9-4F1A-A637-4759400EF1F2}"/>
    <cellStyle name="60% - Énfasis2 3" xfId="278" xr:uid="{00000000-0005-0000-0000-000019010000}"/>
    <cellStyle name="60% - Énfasis2 4" xfId="279" xr:uid="{00000000-0005-0000-0000-00001A010000}"/>
    <cellStyle name="60% - Énfasis2 5" xfId="280" xr:uid="{00000000-0005-0000-0000-00001B010000}"/>
    <cellStyle name="60% - Énfasis2 6" xfId="281" xr:uid="{00000000-0005-0000-0000-00001C010000}"/>
    <cellStyle name="60% - Énfasis2 7" xfId="282" xr:uid="{00000000-0005-0000-0000-00001D010000}"/>
    <cellStyle name="60% - Énfasis2 8" xfId="283" xr:uid="{00000000-0005-0000-0000-00001E010000}"/>
    <cellStyle name="60% - Énfasis2 9" xfId="284" xr:uid="{00000000-0005-0000-0000-00001F010000}"/>
    <cellStyle name="60% - Énfasis3 10" xfId="286" xr:uid="{00000000-0005-0000-0000-000020010000}"/>
    <cellStyle name="60% - Énfasis3 11" xfId="287" xr:uid="{00000000-0005-0000-0000-000021010000}"/>
    <cellStyle name="60% - Énfasis3 12" xfId="288" xr:uid="{00000000-0005-0000-0000-000022010000}"/>
    <cellStyle name="60% - Énfasis3 13" xfId="289" xr:uid="{00000000-0005-0000-0000-000023010000}"/>
    <cellStyle name="60% - Énfasis3 14" xfId="290" xr:uid="{00000000-0005-0000-0000-000024010000}"/>
    <cellStyle name="60% - Énfasis3 15" xfId="291" xr:uid="{00000000-0005-0000-0000-000025010000}"/>
    <cellStyle name="60% - Énfasis3 16" xfId="292" xr:uid="{00000000-0005-0000-0000-000026010000}"/>
    <cellStyle name="60% - Énfasis3 17" xfId="293" xr:uid="{00000000-0005-0000-0000-000027010000}"/>
    <cellStyle name="60% - Énfasis3 18" xfId="294" xr:uid="{00000000-0005-0000-0000-000028010000}"/>
    <cellStyle name="60% - Énfasis3 19" xfId="295" xr:uid="{00000000-0005-0000-0000-000029010000}"/>
    <cellStyle name="60% - Énfasis3 2" xfId="296" xr:uid="{00000000-0005-0000-0000-00002A010000}"/>
    <cellStyle name="60% - Énfasis3 20" xfId="1013" xr:uid="{AE64CB43-7CD6-4D9E-8579-FE2B3CDE110C}"/>
    <cellStyle name="60% - Énfasis3 20 2" xfId="1053" xr:uid="{981E0DF2-D94F-4FAF-BBF0-7B284472F298}"/>
    <cellStyle name="60% - Énfasis3 20 2 2" xfId="1234" xr:uid="{C0C7E2EA-65EA-4D6C-944D-0AEFF4FB8E24}"/>
    <cellStyle name="60% - Énfasis3 20 2 2 2" xfId="1588" xr:uid="{FAAE78D7-9149-45AA-8938-DE5DFCD93202}"/>
    <cellStyle name="60% - Énfasis3 20 2 3" xfId="1119" xr:uid="{4062921A-C561-428B-9D3F-26ABB1BF03E9}"/>
    <cellStyle name="60% - Énfasis3 20 2 3 2" xfId="1518" xr:uid="{1C8F04E7-E72D-49E2-9BB4-52687757E1B8}"/>
    <cellStyle name="60% - Énfasis3 20 2 4" xfId="1478" xr:uid="{63442494-B2AE-4CBA-B326-C219ED491D75}"/>
    <cellStyle name="60% - Énfasis3 20 3" xfId="1214" xr:uid="{A0E0CFC0-0B68-4BC2-A0F8-734099FC80E9}"/>
    <cellStyle name="60% - Énfasis3 20 3 2" xfId="1568" xr:uid="{96DAE7B3-EECB-499D-B7B1-171B88BE5E47}"/>
    <cellStyle name="60% - Énfasis3 20 4" xfId="1099" xr:uid="{C7E0149D-3031-40AF-BF10-E61C41A8B0B0}"/>
    <cellStyle name="60% - Énfasis3 20 4 2" xfId="1498" xr:uid="{221C7681-0DEA-4972-98C1-C3221407F8C5}"/>
    <cellStyle name="60% - Énfasis3 20 5" xfId="1457" xr:uid="{E797A367-A624-4117-854F-8FD59D2CBC06}"/>
    <cellStyle name="60% - Énfasis3 21" xfId="1157" xr:uid="{0CDA10CD-DFA7-477F-939D-349C9530EE5B}"/>
    <cellStyle name="60% - Énfasis3 21 2" xfId="1539" xr:uid="{13C0E5B5-6BA6-4984-8A91-7EC3775B81E1}"/>
    <cellStyle name="60% - Énfasis3 3" xfId="297" xr:uid="{00000000-0005-0000-0000-00002B010000}"/>
    <cellStyle name="60% - Énfasis3 4" xfId="298" xr:uid="{00000000-0005-0000-0000-00002C010000}"/>
    <cellStyle name="60% - Énfasis3 5" xfId="299" xr:uid="{00000000-0005-0000-0000-00002D010000}"/>
    <cellStyle name="60% - Énfasis3 6" xfId="300" xr:uid="{00000000-0005-0000-0000-00002E010000}"/>
    <cellStyle name="60% - Énfasis3 7" xfId="301" xr:uid="{00000000-0005-0000-0000-00002F010000}"/>
    <cellStyle name="60% - Énfasis3 8" xfId="302" xr:uid="{00000000-0005-0000-0000-000030010000}"/>
    <cellStyle name="60% - Énfasis3 9" xfId="303" xr:uid="{00000000-0005-0000-0000-000031010000}"/>
    <cellStyle name="60% - Énfasis4 10" xfId="305" xr:uid="{00000000-0005-0000-0000-000032010000}"/>
    <cellStyle name="60% - Énfasis4 11" xfId="306" xr:uid="{00000000-0005-0000-0000-000033010000}"/>
    <cellStyle name="60% - Énfasis4 12" xfId="307" xr:uid="{00000000-0005-0000-0000-000034010000}"/>
    <cellStyle name="60% - Énfasis4 13" xfId="308" xr:uid="{00000000-0005-0000-0000-000035010000}"/>
    <cellStyle name="60% - Énfasis4 14" xfId="309" xr:uid="{00000000-0005-0000-0000-000036010000}"/>
    <cellStyle name="60% - Énfasis4 15" xfId="310" xr:uid="{00000000-0005-0000-0000-000037010000}"/>
    <cellStyle name="60% - Énfasis4 16" xfId="311" xr:uid="{00000000-0005-0000-0000-000038010000}"/>
    <cellStyle name="60% - Énfasis4 17" xfId="312" xr:uid="{00000000-0005-0000-0000-000039010000}"/>
    <cellStyle name="60% - Énfasis4 18" xfId="313" xr:uid="{00000000-0005-0000-0000-00003A010000}"/>
    <cellStyle name="60% - Énfasis4 19" xfId="314" xr:uid="{00000000-0005-0000-0000-00003B010000}"/>
    <cellStyle name="60% - Énfasis4 2" xfId="315" xr:uid="{00000000-0005-0000-0000-00003C010000}"/>
    <cellStyle name="60% - Énfasis4 20" xfId="1014" xr:uid="{09F7FF79-B395-47AB-8D80-F71F379C60DA}"/>
    <cellStyle name="60% - Énfasis4 20 2" xfId="1054" xr:uid="{4D9320A8-7F16-4188-A56E-96D3DC414DD5}"/>
    <cellStyle name="60% - Énfasis4 20 2 2" xfId="1235" xr:uid="{55CEDCB1-8AD4-45FB-8E53-564FBC3F47E2}"/>
    <cellStyle name="60% - Énfasis4 20 2 2 2" xfId="1589" xr:uid="{FAC23293-2702-4D78-950A-A5FAD2A8F889}"/>
    <cellStyle name="60% - Énfasis4 20 2 3" xfId="1120" xr:uid="{9D64FC25-7129-4EF2-8E87-AE4EE30830DD}"/>
    <cellStyle name="60% - Énfasis4 20 2 3 2" xfId="1519" xr:uid="{782FB55F-241E-43DB-AF15-CA7E14E42A3E}"/>
    <cellStyle name="60% - Énfasis4 20 2 4" xfId="1479" xr:uid="{0D14676D-CED3-41F8-B7E9-6BE8F7B1BFA8}"/>
    <cellStyle name="60% - Énfasis4 20 3" xfId="1215" xr:uid="{0E24BD88-D246-458B-8A52-D09791EB7283}"/>
    <cellStyle name="60% - Énfasis4 20 3 2" xfId="1569" xr:uid="{D4A89BAC-7613-4866-A7E2-C6545EBA2B88}"/>
    <cellStyle name="60% - Énfasis4 20 4" xfId="1100" xr:uid="{0B520E20-6CE2-41AB-BFDD-91597729A646}"/>
    <cellStyle name="60% - Énfasis4 20 4 2" xfId="1499" xr:uid="{F346EF67-DE58-4997-A6C7-23123D97F849}"/>
    <cellStyle name="60% - Énfasis4 20 5" xfId="1458" xr:uid="{2A006015-457C-4D0C-82D1-FF209DB52CBA}"/>
    <cellStyle name="60% - Énfasis4 21" xfId="1158" xr:uid="{EB65E5A6-FE9D-4DC3-9373-6FAF60357C9E}"/>
    <cellStyle name="60% - Énfasis4 21 2" xfId="1540" xr:uid="{A910E17C-F4A5-4941-A9E3-2F0493A81B7E}"/>
    <cellStyle name="60% - Énfasis4 3" xfId="316" xr:uid="{00000000-0005-0000-0000-00003D010000}"/>
    <cellStyle name="60% - Énfasis4 4" xfId="317" xr:uid="{00000000-0005-0000-0000-00003E010000}"/>
    <cellStyle name="60% - Énfasis4 5" xfId="318" xr:uid="{00000000-0005-0000-0000-00003F010000}"/>
    <cellStyle name="60% - Énfasis4 6" xfId="319" xr:uid="{00000000-0005-0000-0000-000040010000}"/>
    <cellStyle name="60% - Énfasis4 7" xfId="320" xr:uid="{00000000-0005-0000-0000-000041010000}"/>
    <cellStyle name="60% - Énfasis4 8" xfId="321" xr:uid="{00000000-0005-0000-0000-000042010000}"/>
    <cellStyle name="60% - Énfasis4 9" xfId="322" xr:uid="{00000000-0005-0000-0000-000043010000}"/>
    <cellStyle name="60% - Énfasis5 10" xfId="324" xr:uid="{00000000-0005-0000-0000-000044010000}"/>
    <cellStyle name="60% - Énfasis5 11" xfId="325" xr:uid="{00000000-0005-0000-0000-000045010000}"/>
    <cellStyle name="60% - Énfasis5 12" xfId="326" xr:uid="{00000000-0005-0000-0000-000046010000}"/>
    <cellStyle name="60% - Énfasis5 13" xfId="327" xr:uid="{00000000-0005-0000-0000-000047010000}"/>
    <cellStyle name="60% - Énfasis5 14" xfId="328" xr:uid="{00000000-0005-0000-0000-000048010000}"/>
    <cellStyle name="60% - Énfasis5 15" xfId="329" xr:uid="{00000000-0005-0000-0000-000049010000}"/>
    <cellStyle name="60% - Énfasis5 16" xfId="330" xr:uid="{00000000-0005-0000-0000-00004A010000}"/>
    <cellStyle name="60% - Énfasis5 17" xfId="331" xr:uid="{00000000-0005-0000-0000-00004B010000}"/>
    <cellStyle name="60% - Énfasis5 18" xfId="332" xr:uid="{00000000-0005-0000-0000-00004C010000}"/>
    <cellStyle name="60% - Énfasis5 19" xfId="333" xr:uid="{00000000-0005-0000-0000-00004D010000}"/>
    <cellStyle name="60% - Énfasis5 2" xfId="334" xr:uid="{00000000-0005-0000-0000-00004E010000}"/>
    <cellStyle name="60% - Énfasis5 20" xfId="1015" xr:uid="{76EDFBD3-C0A5-4842-BB25-FD1F22E4948D}"/>
    <cellStyle name="60% - Énfasis5 20 2" xfId="1055" xr:uid="{491E89C5-F5E6-49AD-A95D-358271FCC55A}"/>
    <cellStyle name="60% - Énfasis5 20 2 2" xfId="1236" xr:uid="{EB8ADEA8-27FF-4B73-A966-EBDCA55BB534}"/>
    <cellStyle name="60% - Énfasis5 20 2 2 2" xfId="1590" xr:uid="{7DCEFBA5-09A5-4E78-9992-6A2B183E1921}"/>
    <cellStyle name="60% - Énfasis5 20 2 3" xfId="1121" xr:uid="{879D2CA0-4030-45D3-93E4-FEB55FED5448}"/>
    <cellStyle name="60% - Énfasis5 20 2 3 2" xfId="1520" xr:uid="{8EF947E7-3BB6-4B74-AF7C-C00224FE47E3}"/>
    <cellStyle name="60% - Énfasis5 20 2 4" xfId="1480" xr:uid="{DD6C5F8F-E62F-4D9B-8E69-AE9B786B11F9}"/>
    <cellStyle name="60% - Énfasis5 20 3" xfId="1216" xr:uid="{3C8F5274-19EF-49BB-888C-C7C881820D78}"/>
    <cellStyle name="60% - Énfasis5 20 3 2" xfId="1570" xr:uid="{6824EA05-0565-4DD9-B50D-1D498D7CD2E6}"/>
    <cellStyle name="60% - Énfasis5 20 4" xfId="1101" xr:uid="{6313DBC2-2DD4-4403-BB27-C9F0DD9B68D8}"/>
    <cellStyle name="60% - Énfasis5 20 4 2" xfId="1500" xr:uid="{7F053EDD-B561-483E-811F-C1CBCEC83469}"/>
    <cellStyle name="60% - Énfasis5 20 5" xfId="1459" xr:uid="{2D292819-8781-4AD9-A005-D44960B0455B}"/>
    <cellStyle name="60% - Énfasis5 21" xfId="1159" xr:uid="{DE380FAE-3AF4-4625-88A0-0A590A586E61}"/>
    <cellStyle name="60% - Énfasis5 21 2" xfId="1541" xr:uid="{BB93BD9A-667C-4E80-963C-C7F067A08070}"/>
    <cellStyle name="60% - Énfasis5 3" xfId="335" xr:uid="{00000000-0005-0000-0000-00004F010000}"/>
    <cellStyle name="60% - Énfasis5 4" xfId="336" xr:uid="{00000000-0005-0000-0000-000050010000}"/>
    <cellStyle name="60% - Énfasis5 5" xfId="337" xr:uid="{00000000-0005-0000-0000-000051010000}"/>
    <cellStyle name="60% - Énfasis5 6" xfId="338" xr:uid="{00000000-0005-0000-0000-000052010000}"/>
    <cellStyle name="60% - Énfasis5 7" xfId="339" xr:uid="{00000000-0005-0000-0000-000053010000}"/>
    <cellStyle name="60% - Énfasis5 8" xfId="340" xr:uid="{00000000-0005-0000-0000-000054010000}"/>
    <cellStyle name="60% - Énfasis5 9" xfId="341" xr:uid="{00000000-0005-0000-0000-000055010000}"/>
    <cellStyle name="60% - Énfasis6 10" xfId="343" xr:uid="{00000000-0005-0000-0000-000056010000}"/>
    <cellStyle name="60% - Énfasis6 11" xfId="344" xr:uid="{00000000-0005-0000-0000-000057010000}"/>
    <cellStyle name="60% - Énfasis6 12" xfId="345" xr:uid="{00000000-0005-0000-0000-000058010000}"/>
    <cellStyle name="60% - Énfasis6 13" xfId="346" xr:uid="{00000000-0005-0000-0000-000059010000}"/>
    <cellStyle name="60% - Énfasis6 14" xfId="347" xr:uid="{00000000-0005-0000-0000-00005A010000}"/>
    <cellStyle name="60% - Énfasis6 15" xfId="348" xr:uid="{00000000-0005-0000-0000-00005B010000}"/>
    <cellStyle name="60% - Énfasis6 16" xfId="349" xr:uid="{00000000-0005-0000-0000-00005C010000}"/>
    <cellStyle name="60% - Énfasis6 17" xfId="350" xr:uid="{00000000-0005-0000-0000-00005D010000}"/>
    <cellStyle name="60% - Énfasis6 18" xfId="351" xr:uid="{00000000-0005-0000-0000-00005E010000}"/>
    <cellStyle name="60% - Énfasis6 19" xfId="352" xr:uid="{00000000-0005-0000-0000-00005F010000}"/>
    <cellStyle name="60% - Énfasis6 2" xfId="353" xr:uid="{00000000-0005-0000-0000-000060010000}"/>
    <cellStyle name="60% - Énfasis6 20" xfId="1016" xr:uid="{51382431-6DAB-441C-A13A-0E5BE82695FC}"/>
    <cellStyle name="60% - Énfasis6 20 2" xfId="1056" xr:uid="{B2DCC4DB-DE8A-4872-8851-93331B0C75E9}"/>
    <cellStyle name="60% - Énfasis6 20 2 2" xfId="1237" xr:uid="{037DD81B-2487-425D-90FB-4FBE79BC2F29}"/>
    <cellStyle name="60% - Énfasis6 20 2 2 2" xfId="1591" xr:uid="{A72754D6-9D34-4C99-8505-9FAD4D4B7364}"/>
    <cellStyle name="60% - Énfasis6 20 2 3" xfId="1122" xr:uid="{BF19E4B3-F21D-4723-A74D-37CE7478C193}"/>
    <cellStyle name="60% - Énfasis6 20 2 3 2" xfId="1521" xr:uid="{F4F609FD-458E-41F3-A3D0-72E122AFE18A}"/>
    <cellStyle name="60% - Énfasis6 20 2 4" xfId="1481" xr:uid="{EC8771AF-D082-4355-B354-0A4B3C7B306E}"/>
    <cellStyle name="60% - Énfasis6 20 3" xfId="1217" xr:uid="{43575EF8-042B-4C70-96C4-DA9F7F8FC98D}"/>
    <cellStyle name="60% - Énfasis6 20 3 2" xfId="1571" xr:uid="{D92BDAEC-0FA8-4F85-A6F8-DA2C5E2C3C74}"/>
    <cellStyle name="60% - Énfasis6 20 4" xfId="1102" xr:uid="{01463731-2D43-4EDB-914A-9D2008BE704B}"/>
    <cellStyle name="60% - Énfasis6 20 4 2" xfId="1501" xr:uid="{8AEF9695-FEED-4314-B75C-8E96A16D591F}"/>
    <cellStyle name="60% - Énfasis6 20 5" xfId="1460" xr:uid="{CFD5A8F4-57F1-449E-9083-422F9244CFD2}"/>
    <cellStyle name="60% - Énfasis6 21" xfId="1160" xr:uid="{3B61E6D4-06D8-4F0F-A292-15B83E2ADF85}"/>
    <cellStyle name="60% - Énfasis6 21 2" xfId="1542" xr:uid="{03F2BD7C-E940-436A-BCD3-6112BA61D4C1}"/>
    <cellStyle name="60% - Énfasis6 3" xfId="354" xr:uid="{00000000-0005-0000-0000-000061010000}"/>
    <cellStyle name="60% - Énfasis6 4" xfId="355" xr:uid="{00000000-0005-0000-0000-000062010000}"/>
    <cellStyle name="60% - Énfasis6 5" xfId="356" xr:uid="{00000000-0005-0000-0000-000063010000}"/>
    <cellStyle name="60% - Énfasis6 6" xfId="357" xr:uid="{00000000-0005-0000-0000-000064010000}"/>
    <cellStyle name="60% - Énfasis6 7" xfId="358" xr:uid="{00000000-0005-0000-0000-000065010000}"/>
    <cellStyle name="60% - Énfasis6 8" xfId="359" xr:uid="{00000000-0005-0000-0000-000066010000}"/>
    <cellStyle name="60% - Énfasis6 9" xfId="360" xr:uid="{00000000-0005-0000-0000-000067010000}"/>
    <cellStyle name="Accent1" xfId="462" xr:uid="{00000000-0005-0000-0000-000068010000}"/>
    <cellStyle name="Accent1 2" xfId="361" xr:uid="{00000000-0005-0000-0000-000069010000}"/>
    <cellStyle name="Accent1 3" xfId="1161" xr:uid="{725718A1-D40F-4C92-8CA7-6FCD38DEEA8D}"/>
    <cellStyle name="Accent1 4" xfId="979" xr:uid="{DEA2658C-85EA-47E1-AB22-0365FA52C9F6}"/>
    <cellStyle name="Accent2" xfId="481" xr:uid="{00000000-0005-0000-0000-00006A010000}"/>
    <cellStyle name="Accent2 2" xfId="362" xr:uid="{00000000-0005-0000-0000-00006B010000}"/>
    <cellStyle name="Accent2 3" xfId="1162" xr:uid="{A871C18B-46B8-4770-B505-796398A94C77}"/>
    <cellStyle name="Accent2 4" xfId="982" xr:uid="{EEB6F5FD-32BE-4360-9BF4-99B4AA2E38A9}"/>
    <cellStyle name="Accent3" xfId="500" xr:uid="{00000000-0005-0000-0000-00006C010000}"/>
    <cellStyle name="Accent3 2" xfId="363" xr:uid="{00000000-0005-0000-0000-00006D010000}"/>
    <cellStyle name="Accent3 3" xfId="1163" xr:uid="{B92B446C-CD0F-4F4C-9493-4FDD538E4388}"/>
    <cellStyle name="Accent3 4" xfId="985" xr:uid="{8988E637-08F7-4E49-8224-29675707BC0B}"/>
    <cellStyle name="Accent4" xfId="519" xr:uid="{00000000-0005-0000-0000-00006E010000}"/>
    <cellStyle name="Accent4 2" xfId="364" xr:uid="{00000000-0005-0000-0000-00006F010000}"/>
    <cellStyle name="Accent4 3" xfId="1164" xr:uid="{9029C926-86DD-45E6-A9F8-B1F6035D0848}"/>
    <cellStyle name="Accent4 4" xfId="988" xr:uid="{88A00E25-FD1A-428D-8D8A-1D25D0B52EA8}"/>
    <cellStyle name="Accent5" xfId="538" xr:uid="{00000000-0005-0000-0000-000070010000}"/>
    <cellStyle name="Accent5 2" xfId="365" xr:uid="{00000000-0005-0000-0000-000071010000}"/>
    <cellStyle name="Accent5 3" xfId="1165" xr:uid="{64045AF9-5F3F-4417-B58D-CB2A5AD61124}"/>
    <cellStyle name="Accent5 4" xfId="991" xr:uid="{1332E998-474F-4147-A83F-253B71F69B26}"/>
    <cellStyle name="Accent6" xfId="557" xr:uid="{00000000-0005-0000-0000-000072010000}"/>
    <cellStyle name="Accent6 2" xfId="366" xr:uid="{00000000-0005-0000-0000-000073010000}"/>
    <cellStyle name="Accent6 3" xfId="1166" xr:uid="{00ECF38D-5AF5-47F4-9062-DA3FF8E1D5A5}"/>
    <cellStyle name="Accent6 4" xfId="994" xr:uid="{FB5808A0-AD51-46C8-B141-0DAE3EA5D88A}"/>
    <cellStyle name="Bad" xfId="611" xr:uid="{00000000-0005-0000-0000-000074010000}"/>
    <cellStyle name="Bad 2" xfId="367" xr:uid="{00000000-0005-0000-0000-000075010000}"/>
    <cellStyle name="Bad 3" xfId="1167" xr:uid="{8A332E77-45AB-48A9-9E85-084DCE1B641D}"/>
    <cellStyle name="Bad 4" xfId="975" xr:uid="{6BF36B92-253A-4A21-A10C-9D6E2FCE067C}"/>
    <cellStyle name="Buena 10" xfId="368" xr:uid="{00000000-0005-0000-0000-000076010000}"/>
    <cellStyle name="Buena 11" xfId="369" xr:uid="{00000000-0005-0000-0000-000077010000}"/>
    <cellStyle name="Buena 12" xfId="370" xr:uid="{00000000-0005-0000-0000-000078010000}"/>
    <cellStyle name="Buena 13" xfId="371" xr:uid="{00000000-0005-0000-0000-000079010000}"/>
    <cellStyle name="Buena 14" xfId="372" xr:uid="{00000000-0005-0000-0000-00007A010000}"/>
    <cellStyle name="Buena 15" xfId="373" xr:uid="{00000000-0005-0000-0000-00007B010000}"/>
    <cellStyle name="Buena 16" xfId="374" xr:uid="{00000000-0005-0000-0000-00007C010000}"/>
    <cellStyle name="Buena 17" xfId="375" xr:uid="{00000000-0005-0000-0000-00007D010000}"/>
    <cellStyle name="Buena 18" xfId="376" xr:uid="{00000000-0005-0000-0000-00007E010000}"/>
    <cellStyle name="Buena 19" xfId="377" xr:uid="{00000000-0005-0000-0000-00007F010000}"/>
    <cellStyle name="Buena 2" xfId="378" xr:uid="{00000000-0005-0000-0000-000080010000}"/>
    <cellStyle name="Buena 3" xfId="379" xr:uid="{00000000-0005-0000-0000-000081010000}"/>
    <cellStyle name="Buena 4" xfId="380" xr:uid="{00000000-0005-0000-0000-000082010000}"/>
    <cellStyle name="Buena 5" xfId="381" xr:uid="{00000000-0005-0000-0000-000083010000}"/>
    <cellStyle name="Buena 6" xfId="382" xr:uid="{00000000-0005-0000-0000-000084010000}"/>
    <cellStyle name="Buena 7" xfId="383" xr:uid="{00000000-0005-0000-0000-000085010000}"/>
    <cellStyle name="Buena 8" xfId="384" xr:uid="{00000000-0005-0000-0000-000086010000}"/>
    <cellStyle name="Buena 9" xfId="385" xr:uid="{00000000-0005-0000-0000-000087010000}"/>
    <cellStyle name="Calculation" xfId="387" xr:uid="{00000000-0005-0000-0000-000088010000}"/>
    <cellStyle name="Calculation 2" xfId="386" xr:uid="{00000000-0005-0000-0000-000089010000}"/>
    <cellStyle name="Calculation 2 2" xfId="1303" xr:uid="{2CA94D00-BFBE-432E-8331-D35B3CB8F50D}"/>
    <cellStyle name="Calculation 2 2 2" xfId="1649" xr:uid="{A7C14BC6-806D-41A7-8629-F8F710D72612}"/>
    <cellStyle name="Calculation 2 3" xfId="1357" xr:uid="{F010EADB-6EA1-43B4-9C5F-E4A3058E7A6F}"/>
    <cellStyle name="Calculation 2 3 2" xfId="1703" xr:uid="{96EA24E5-E779-4ADF-AECC-5BECEAB3E0C5}"/>
    <cellStyle name="Calculation 3" xfId="1168" xr:uid="{DE1DC8D4-6F56-404E-964C-F4702AB55E90}"/>
    <cellStyle name="Calculation 3 2" xfId="1547" xr:uid="{554E3600-A459-490F-8583-2B71A49D44AA}"/>
    <cellStyle name="Calculation 3 2 2" xfId="1794" xr:uid="{79910B57-3119-41DA-AD4F-04BC3DE1BF6A}"/>
    <cellStyle name="Calculation 3 3" xfId="1593" xr:uid="{E6073DDE-DD35-4FD0-A6D2-863A7DC7B379}"/>
    <cellStyle name="Calculation 3 3 2" xfId="1799" xr:uid="{2B83D3D6-FF0D-4E69-9C42-AF61DC03F5A6}"/>
    <cellStyle name="Calculation 4" xfId="977" xr:uid="{AA03D823-673B-4DD2-B03C-FAEE08EF3BB4}"/>
    <cellStyle name="Cálculo 10" xfId="388" xr:uid="{00000000-0005-0000-0000-00008A010000}"/>
    <cellStyle name="Cálculo 10 2" xfId="1304" xr:uid="{D5973636-2482-412A-B6F1-5F4B60B2521D}"/>
    <cellStyle name="Cálculo 10 2 2" xfId="1650" xr:uid="{92E61F38-A75C-4CEA-BC41-60CFF24DF4A7}"/>
    <cellStyle name="Cálculo 10 3" xfId="1356" xr:uid="{94AB2908-DA64-4066-8C49-CAB4DF83DA08}"/>
    <cellStyle name="Cálculo 10 3 2" xfId="1702" xr:uid="{CDEE3319-C417-437D-A919-1057B7B7C24A}"/>
    <cellStyle name="Cálculo 11" xfId="389" xr:uid="{00000000-0005-0000-0000-00008B010000}"/>
    <cellStyle name="Cálculo 11 2" xfId="1305" xr:uid="{696034F1-C747-49BF-8051-B35A4112410A}"/>
    <cellStyle name="Cálculo 11 2 2" xfId="1651" xr:uid="{A5E773A8-FBA3-43A7-B232-8B24ED11390C}"/>
    <cellStyle name="Cálculo 11 3" xfId="1461" xr:uid="{AB6AAFCA-7071-42A4-B437-1843AB581DA0}"/>
    <cellStyle name="Cálculo 11 3 2" xfId="1788" xr:uid="{AD5188CB-21E5-4F9B-B885-055696DCDBA6}"/>
    <cellStyle name="Cálculo 12" xfId="390" xr:uid="{00000000-0005-0000-0000-00008C010000}"/>
    <cellStyle name="Cálculo 12 2" xfId="1306" xr:uid="{42DA9E0F-7EC5-4273-95A2-7E6235D5AEF3}"/>
    <cellStyle name="Cálculo 12 2 2" xfId="1652" xr:uid="{3ABF4E9E-298C-4ADD-A406-F9A65478B4BC}"/>
    <cellStyle name="Cálculo 12 3" xfId="1337" xr:uid="{F3C5222F-3CEA-4C51-872B-BF88A56C0C20}"/>
    <cellStyle name="Cálculo 12 3 2" xfId="1683" xr:uid="{581C4C73-CF51-4EB2-AE61-0342A62B91D5}"/>
    <cellStyle name="Cálculo 13" xfId="391" xr:uid="{00000000-0005-0000-0000-00008D010000}"/>
    <cellStyle name="Cálculo 13 2" xfId="1307" xr:uid="{9F1D450D-F5ED-4FBB-BD2F-51D8DC644401}"/>
    <cellStyle name="Cálculo 13 2 2" xfId="1653" xr:uid="{78DB968B-CB5A-4B54-9A29-ED74DF40DAD9}"/>
    <cellStyle name="Cálculo 13 3" xfId="1336" xr:uid="{DE65CA38-4681-4595-BAD6-785E0272775A}"/>
    <cellStyle name="Cálculo 13 3 2" xfId="1682" xr:uid="{6A55DC11-1BB4-4CFD-A5A0-42C2A8C71463}"/>
    <cellStyle name="Cálculo 14" xfId="392" xr:uid="{00000000-0005-0000-0000-00008E010000}"/>
    <cellStyle name="Cálculo 14 2" xfId="1308" xr:uid="{16B06900-73C9-495E-9E90-B3914F8D0B5B}"/>
    <cellStyle name="Cálculo 14 2 2" xfId="1654" xr:uid="{8D7D5AF4-F42E-4501-A68E-E4B462211297}"/>
    <cellStyle name="Cálculo 14 3" xfId="1335" xr:uid="{02294D0B-DE11-40DA-89D7-D67573746073}"/>
    <cellStyle name="Cálculo 14 3 2" xfId="1681" xr:uid="{CB817854-BAA5-49D1-BE7E-651E108FEC90}"/>
    <cellStyle name="Cálculo 15" xfId="393" xr:uid="{00000000-0005-0000-0000-00008F010000}"/>
    <cellStyle name="Cálculo 15 2" xfId="1309" xr:uid="{D9EA7FBC-886F-45D4-B807-6CE70A01E330}"/>
    <cellStyle name="Cálculo 15 2 2" xfId="1655" xr:uid="{64E31694-BD13-4F5B-9CF4-32C7B14E32E2}"/>
    <cellStyle name="Cálculo 15 3" xfId="1334" xr:uid="{DBD13FF4-B4B6-4C0F-8C7F-A79A1172BA17}"/>
    <cellStyle name="Cálculo 15 3 2" xfId="1680" xr:uid="{A532C031-5C20-4586-80B7-69212D99936C}"/>
    <cellStyle name="Cálculo 16" xfId="394" xr:uid="{00000000-0005-0000-0000-000090010000}"/>
    <cellStyle name="Cálculo 16 2" xfId="1310" xr:uid="{CFA93632-E5CC-4F66-B10F-FAC469494F31}"/>
    <cellStyle name="Cálculo 16 2 2" xfId="1656" xr:uid="{3BA870F7-92A7-4777-A234-B086D267E77A}"/>
    <cellStyle name="Cálculo 16 3" xfId="1333" xr:uid="{D869413E-9D7B-4BA3-8386-8E4A8CE9760C}"/>
    <cellStyle name="Cálculo 16 3 2" xfId="1679" xr:uid="{06FE1764-0FDE-4EEE-8084-A5A15E18E527}"/>
    <cellStyle name="Cálculo 17" xfId="395" xr:uid="{00000000-0005-0000-0000-000091010000}"/>
    <cellStyle name="Cálculo 17 2" xfId="1311" xr:uid="{9B7AE04E-E8DE-40AF-BD29-A130C15C5275}"/>
    <cellStyle name="Cálculo 17 2 2" xfId="1657" xr:uid="{8C1674E8-4419-4594-973E-A704FB85142C}"/>
    <cellStyle name="Cálculo 17 3" xfId="1332" xr:uid="{6887E7F0-3E3D-45F0-AF44-CA845DB03AF9}"/>
    <cellStyle name="Cálculo 17 3 2" xfId="1678" xr:uid="{47971ACF-7785-4D1D-8597-B648F289F437}"/>
    <cellStyle name="Cálculo 18" xfId="396" xr:uid="{00000000-0005-0000-0000-000092010000}"/>
    <cellStyle name="Cálculo 18 2" xfId="1312" xr:uid="{7F33A08A-E104-4767-A278-B0C543B39869}"/>
    <cellStyle name="Cálculo 18 2 2" xfId="1658" xr:uid="{F0B37AFD-75F9-4583-80AB-8732717D1373}"/>
    <cellStyle name="Cálculo 18 3" xfId="1331" xr:uid="{E5A15FD5-88B5-43D3-9BE6-F4C7A171203C}"/>
    <cellStyle name="Cálculo 18 3 2" xfId="1677" xr:uid="{D5D0A0DE-B5BD-4F7D-A1B5-8169E3E8ECDA}"/>
    <cellStyle name="Cálculo 19" xfId="397" xr:uid="{00000000-0005-0000-0000-000093010000}"/>
    <cellStyle name="Cálculo 19 2" xfId="1313" xr:uid="{71B7FDDC-8B2B-4830-8AF2-1E3E998A8FED}"/>
    <cellStyle name="Cálculo 19 2 2" xfId="1659" xr:uid="{D293F23C-D166-419B-97D5-D40073C24649}"/>
    <cellStyle name="Cálculo 19 3" xfId="1330" xr:uid="{B1A14101-3FC1-45A7-903D-225C388CA8A2}"/>
    <cellStyle name="Cálculo 19 3 2" xfId="1676" xr:uid="{646DE12B-D70A-42EB-937A-89642067FF7A}"/>
    <cellStyle name="Cálculo 2" xfId="398" xr:uid="{00000000-0005-0000-0000-000094010000}"/>
    <cellStyle name="Cálculo 2 2" xfId="1314" xr:uid="{812ADC1B-16AB-493D-A33C-2AD3306B1DF3}"/>
    <cellStyle name="Cálculo 2 2 2" xfId="1660" xr:uid="{1857F0B2-9C66-4457-904E-F1A03F51D160}"/>
    <cellStyle name="Cálculo 2 3" xfId="1329" xr:uid="{7F634D1F-3151-4FC2-8702-8DF330776563}"/>
    <cellStyle name="Cálculo 2 3 2" xfId="1675" xr:uid="{2AD308EC-FE4B-4E28-8829-E78F81454F4C}"/>
    <cellStyle name="Cálculo 3" xfId="399" xr:uid="{00000000-0005-0000-0000-000095010000}"/>
    <cellStyle name="Cálculo 3 2" xfId="1315" xr:uid="{1465AB8D-00C7-4C7D-A2A3-786BE7890EDE}"/>
    <cellStyle name="Cálculo 3 2 2" xfId="1661" xr:uid="{1E75BA2D-E846-47EB-A8B2-EFC22480EAFB}"/>
    <cellStyle name="Cálculo 3 3" xfId="1328" xr:uid="{B554F702-7EB6-48C9-BD96-B46D78F6A8E7}"/>
    <cellStyle name="Cálculo 3 3 2" xfId="1674" xr:uid="{472DF322-14F5-4709-BF21-53C22C35976D}"/>
    <cellStyle name="Cálculo 4" xfId="400" xr:uid="{00000000-0005-0000-0000-000096010000}"/>
    <cellStyle name="Cálculo 4 2" xfId="1316" xr:uid="{7B3C6B7F-4A2E-412A-A28D-72E534EBEBEF}"/>
    <cellStyle name="Cálculo 4 2 2" xfId="1662" xr:uid="{72C81948-8520-4971-8096-9FB073E668E3}"/>
    <cellStyle name="Cálculo 4 3" xfId="1327" xr:uid="{DA096994-568B-45AF-AF83-3D8F5D3E980D}"/>
    <cellStyle name="Cálculo 4 3 2" xfId="1673" xr:uid="{5A0562E6-03D9-4D3D-9ECE-0556C3E53646}"/>
    <cellStyle name="Cálculo 5" xfId="401" xr:uid="{00000000-0005-0000-0000-000097010000}"/>
    <cellStyle name="Cálculo 5 2" xfId="1317" xr:uid="{A3551BBD-D349-461A-8103-4B88D01028AD}"/>
    <cellStyle name="Cálculo 5 2 2" xfId="1663" xr:uid="{7F092C95-6806-4626-A0D3-37ECDACCBD0E}"/>
    <cellStyle name="Cálculo 5 3" xfId="1326" xr:uid="{1AC5C29B-DC5A-4F8C-9E96-1AD2DCAD2883}"/>
    <cellStyle name="Cálculo 5 3 2" xfId="1672" xr:uid="{B945952E-0AB5-4E80-892C-B51128B8D865}"/>
    <cellStyle name="Cálculo 6" xfId="402" xr:uid="{00000000-0005-0000-0000-000098010000}"/>
    <cellStyle name="Cálculo 6 2" xfId="1318" xr:uid="{4DAFC7D6-6548-418E-850F-17AFF8E387FB}"/>
    <cellStyle name="Cálculo 6 2 2" xfId="1664" xr:uid="{4E245276-7303-4799-B925-A83A707798F9}"/>
    <cellStyle name="Cálculo 6 3" xfId="1325" xr:uid="{3B187747-ABCA-4E46-924F-8163175C310A}"/>
    <cellStyle name="Cálculo 6 3 2" xfId="1671" xr:uid="{0961FF99-FD98-4976-8FDC-78EDC02CB243}"/>
    <cellStyle name="Cálculo 7" xfId="403" xr:uid="{00000000-0005-0000-0000-000099010000}"/>
    <cellStyle name="Cálculo 7 2" xfId="1319" xr:uid="{495DF92C-5C21-48EE-AF6D-AA49743D6277}"/>
    <cellStyle name="Cálculo 7 2 2" xfId="1665" xr:uid="{4ECEAEF2-C16B-43C3-9895-B779A4D3EAB9}"/>
    <cellStyle name="Cálculo 7 3" xfId="1324" xr:uid="{2ED755DF-D1A8-4B3E-AE7C-8DC45D8A6A56}"/>
    <cellStyle name="Cálculo 7 3 2" xfId="1670" xr:uid="{E22D57F8-505C-4FA0-8735-27859D78C952}"/>
    <cellStyle name="Cálculo 8" xfId="404" xr:uid="{00000000-0005-0000-0000-00009A010000}"/>
    <cellStyle name="Cálculo 8 2" xfId="1320" xr:uid="{567020B5-BC2B-42AA-A4FF-752F061DE747}"/>
    <cellStyle name="Cálculo 8 2 2" xfId="1666" xr:uid="{473D81F9-7E61-4505-AD53-2201C4A7A62E}"/>
    <cellStyle name="Cálculo 8 3" xfId="1323" xr:uid="{2EEEF1DE-E4A1-4A1D-8637-3F0EEB68F5C4}"/>
    <cellStyle name="Cálculo 8 3 2" xfId="1669" xr:uid="{B4013C50-6541-4851-B6F3-8AA3D578A088}"/>
    <cellStyle name="Cálculo 9" xfId="405" xr:uid="{00000000-0005-0000-0000-00009B010000}"/>
    <cellStyle name="Cálculo 9 2" xfId="1321" xr:uid="{198B7C3F-FF9C-48DC-AD53-37EECF9E6F31}"/>
    <cellStyle name="Cálculo 9 2 2" xfId="1667" xr:uid="{273CEFC6-9ACF-4E2D-A696-DBCC8C4BE4A9}"/>
    <cellStyle name="Cálculo 9 3" xfId="1322" xr:uid="{6C10BA1C-9DBF-4C2F-B2B5-1C1F5B9B2354}"/>
    <cellStyle name="Cálculo 9 3 2" xfId="1668" xr:uid="{672DF8E7-93EE-4048-A15D-2C2DB2D5C294}"/>
    <cellStyle name="Celda de comprobación 10" xfId="406" xr:uid="{00000000-0005-0000-0000-00009D010000}"/>
    <cellStyle name="Celda de comprobación 11" xfId="407" xr:uid="{00000000-0005-0000-0000-00009E010000}"/>
    <cellStyle name="Celda de comprobación 12" xfId="408" xr:uid="{00000000-0005-0000-0000-00009F010000}"/>
    <cellStyle name="Celda de comprobación 13" xfId="409" xr:uid="{00000000-0005-0000-0000-0000A0010000}"/>
    <cellStyle name="Celda de comprobación 14" xfId="410" xr:uid="{00000000-0005-0000-0000-0000A1010000}"/>
    <cellStyle name="Celda de comprobación 15" xfId="411" xr:uid="{00000000-0005-0000-0000-0000A2010000}"/>
    <cellStyle name="Celda de comprobación 16" xfId="412" xr:uid="{00000000-0005-0000-0000-0000A3010000}"/>
    <cellStyle name="Celda de comprobación 17" xfId="413" xr:uid="{00000000-0005-0000-0000-0000A4010000}"/>
    <cellStyle name="Celda de comprobación 18" xfId="414" xr:uid="{00000000-0005-0000-0000-0000A5010000}"/>
    <cellStyle name="Celda de comprobación 19" xfId="415" xr:uid="{00000000-0005-0000-0000-0000A6010000}"/>
    <cellStyle name="Celda de comprobación 2" xfId="416" xr:uid="{00000000-0005-0000-0000-0000A7010000}"/>
    <cellStyle name="Celda de comprobación 20" xfId="1017" xr:uid="{202ED84A-3BFD-45FE-9470-BA54941057C8}"/>
    <cellStyle name="Celda de comprobación 3" xfId="417" xr:uid="{00000000-0005-0000-0000-0000A8010000}"/>
    <cellStyle name="Celda de comprobación 4" xfId="418" xr:uid="{00000000-0005-0000-0000-0000A9010000}"/>
    <cellStyle name="Celda de comprobación 5" xfId="419" xr:uid="{00000000-0005-0000-0000-0000AA010000}"/>
    <cellStyle name="Celda de comprobación 6" xfId="420" xr:uid="{00000000-0005-0000-0000-0000AB010000}"/>
    <cellStyle name="Celda de comprobación 7" xfId="421" xr:uid="{00000000-0005-0000-0000-0000AC010000}"/>
    <cellStyle name="Celda de comprobación 8" xfId="422" xr:uid="{00000000-0005-0000-0000-0000AD010000}"/>
    <cellStyle name="Celda de comprobación 9" xfId="423" xr:uid="{00000000-0005-0000-0000-0000AE010000}"/>
    <cellStyle name="Celda vinculada 10" xfId="424" xr:uid="{00000000-0005-0000-0000-0000B0010000}"/>
    <cellStyle name="Celda vinculada 11" xfId="425" xr:uid="{00000000-0005-0000-0000-0000B1010000}"/>
    <cellStyle name="Celda vinculada 12" xfId="426" xr:uid="{00000000-0005-0000-0000-0000B2010000}"/>
    <cellStyle name="Celda vinculada 13" xfId="427" xr:uid="{00000000-0005-0000-0000-0000B3010000}"/>
    <cellStyle name="Celda vinculada 14" xfId="428" xr:uid="{00000000-0005-0000-0000-0000B4010000}"/>
    <cellStyle name="Celda vinculada 15" xfId="429" xr:uid="{00000000-0005-0000-0000-0000B5010000}"/>
    <cellStyle name="Celda vinculada 16" xfId="430" xr:uid="{00000000-0005-0000-0000-0000B6010000}"/>
    <cellStyle name="Celda vinculada 17" xfId="431" xr:uid="{00000000-0005-0000-0000-0000B7010000}"/>
    <cellStyle name="Celda vinculada 18" xfId="432" xr:uid="{00000000-0005-0000-0000-0000B8010000}"/>
    <cellStyle name="Celda vinculada 19" xfId="433" xr:uid="{00000000-0005-0000-0000-0000B9010000}"/>
    <cellStyle name="Celda vinculada 2" xfId="434" xr:uid="{00000000-0005-0000-0000-0000BA010000}"/>
    <cellStyle name="Celda vinculada 20" xfId="1018" xr:uid="{CE5D2C67-11CB-4591-B914-8BDBFF51FBB6}"/>
    <cellStyle name="Celda vinculada 3" xfId="435" xr:uid="{00000000-0005-0000-0000-0000BB010000}"/>
    <cellStyle name="Celda vinculada 4" xfId="436" xr:uid="{00000000-0005-0000-0000-0000BC010000}"/>
    <cellStyle name="Celda vinculada 5" xfId="437" xr:uid="{00000000-0005-0000-0000-0000BD010000}"/>
    <cellStyle name="Celda vinculada 6" xfId="438" xr:uid="{00000000-0005-0000-0000-0000BE010000}"/>
    <cellStyle name="Celda vinculada 7" xfId="439" xr:uid="{00000000-0005-0000-0000-0000BF010000}"/>
    <cellStyle name="Celda vinculada 8" xfId="440" xr:uid="{00000000-0005-0000-0000-0000C0010000}"/>
    <cellStyle name="Celda vinculada 9" xfId="441" xr:uid="{00000000-0005-0000-0000-0000C1010000}"/>
    <cellStyle name="Check Cell" xfId="442" builtinId="23" customBuiltin="1"/>
    <cellStyle name="Check Cell 2" xfId="443" xr:uid="{00000000-0005-0000-0000-0000C2010000}"/>
    <cellStyle name="Check Cell 3" xfId="1169" xr:uid="{BADFC9AE-4FCE-4D42-B830-7657FDA6B912}"/>
    <cellStyle name="Encabezado 4 10" xfId="444" xr:uid="{00000000-0005-0000-0000-0000C4010000}"/>
    <cellStyle name="Encabezado 4 11" xfId="445" xr:uid="{00000000-0005-0000-0000-0000C5010000}"/>
    <cellStyle name="Encabezado 4 12" xfId="446" xr:uid="{00000000-0005-0000-0000-0000C6010000}"/>
    <cellStyle name="Encabezado 4 13" xfId="447" xr:uid="{00000000-0005-0000-0000-0000C7010000}"/>
    <cellStyle name="Encabezado 4 14" xfId="448" xr:uid="{00000000-0005-0000-0000-0000C8010000}"/>
    <cellStyle name="Encabezado 4 15" xfId="449" xr:uid="{00000000-0005-0000-0000-0000C9010000}"/>
    <cellStyle name="Encabezado 4 16" xfId="450" xr:uid="{00000000-0005-0000-0000-0000CA010000}"/>
    <cellStyle name="Encabezado 4 17" xfId="451" xr:uid="{00000000-0005-0000-0000-0000CB010000}"/>
    <cellStyle name="Encabezado 4 18" xfId="452" xr:uid="{00000000-0005-0000-0000-0000CC010000}"/>
    <cellStyle name="Encabezado 4 19" xfId="453" xr:uid="{00000000-0005-0000-0000-0000CD010000}"/>
    <cellStyle name="Encabezado 4 2" xfId="454" xr:uid="{00000000-0005-0000-0000-0000CE010000}"/>
    <cellStyle name="Encabezado 4 20" xfId="1019" xr:uid="{90E724A7-B380-4D57-B7EF-93642F0F5E0A}"/>
    <cellStyle name="Encabezado 4 3" xfId="455" xr:uid="{00000000-0005-0000-0000-0000CF010000}"/>
    <cellStyle name="Encabezado 4 4" xfId="456" xr:uid="{00000000-0005-0000-0000-0000D0010000}"/>
    <cellStyle name="Encabezado 4 5" xfId="457" xr:uid="{00000000-0005-0000-0000-0000D1010000}"/>
    <cellStyle name="Encabezado 4 6" xfId="458" xr:uid="{00000000-0005-0000-0000-0000D2010000}"/>
    <cellStyle name="Encabezado 4 7" xfId="459" xr:uid="{00000000-0005-0000-0000-0000D3010000}"/>
    <cellStyle name="Encabezado 4 8" xfId="460" xr:uid="{00000000-0005-0000-0000-0000D4010000}"/>
    <cellStyle name="Encabezado 4 9" xfId="461" xr:uid="{00000000-0005-0000-0000-0000D5010000}"/>
    <cellStyle name="Énfasis1 10" xfId="463" xr:uid="{00000000-0005-0000-0000-0000D6010000}"/>
    <cellStyle name="Énfasis1 11" xfId="464" xr:uid="{00000000-0005-0000-0000-0000D7010000}"/>
    <cellStyle name="Énfasis1 12" xfId="465" xr:uid="{00000000-0005-0000-0000-0000D8010000}"/>
    <cellStyle name="Énfasis1 13" xfId="466" xr:uid="{00000000-0005-0000-0000-0000D9010000}"/>
    <cellStyle name="Énfasis1 14" xfId="467" xr:uid="{00000000-0005-0000-0000-0000DA010000}"/>
    <cellStyle name="Énfasis1 15" xfId="468" xr:uid="{00000000-0005-0000-0000-0000DB010000}"/>
    <cellStyle name="Énfasis1 16" xfId="469" xr:uid="{00000000-0005-0000-0000-0000DC010000}"/>
    <cellStyle name="Énfasis1 17" xfId="470" xr:uid="{00000000-0005-0000-0000-0000DD010000}"/>
    <cellStyle name="Énfasis1 18" xfId="471" xr:uid="{00000000-0005-0000-0000-0000DE010000}"/>
    <cellStyle name="Énfasis1 19" xfId="472" xr:uid="{00000000-0005-0000-0000-0000DF010000}"/>
    <cellStyle name="Énfasis1 2" xfId="473" xr:uid="{00000000-0005-0000-0000-0000E0010000}"/>
    <cellStyle name="Énfasis1 3" xfId="474" xr:uid="{00000000-0005-0000-0000-0000E1010000}"/>
    <cellStyle name="Énfasis1 4" xfId="475" xr:uid="{00000000-0005-0000-0000-0000E2010000}"/>
    <cellStyle name="Énfasis1 5" xfId="476" xr:uid="{00000000-0005-0000-0000-0000E3010000}"/>
    <cellStyle name="Énfasis1 6" xfId="477" xr:uid="{00000000-0005-0000-0000-0000E4010000}"/>
    <cellStyle name="Énfasis1 7" xfId="478" xr:uid="{00000000-0005-0000-0000-0000E5010000}"/>
    <cellStyle name="Énfasis1 8" xfId="479" xr:uid="{00000000-0005-0000-0000-0000E6010000}"/>
    <cellStyle name="Énfasis1 9" xfId="480" xr:uid="{00000000-0005-0000-0000-0000E7010000}"/>
    <cellStyle name="Énfasis2 10" xfId="482" xr:uid="{00000000-0005-0000-0000-0000E8010000}"/>
    <cellStyle name="Énfasis2 11" xfId="483" xr:uid="{00000000-0005-0000-0000-0000E9010000}"/>
    <cellStyle name="Énfasis2 12" xfId="484" xr:uid="{00000000-0005-0000-0000-0000EA010000}"/>
    <cellStyle name="Énfasis2 13" xfId="485" xr:uid="{00000000-0005-0000-0000-0000EB010000}"/>
    <cellStyle name="Énfasis2 14" xfId="486" xr:uid="{00000000-0005-0000-0000-0000EC010000}"/>
    <cellStyle name="Énfasis2 15" xfId="487" xr:uid="{00000000-0005-0000-0000-0000ED010000}"/>
    <cellStyle name="Énfasis2 16" xfId="488" xr:uid="{00000000-0005-0000-0000-0000EE010000}"/>
    <cellStyle name="Énfasis2 17" xfId="489" xr:uid="{00000000-0005-0000-0000-0000EF010000}"/>
    <cellStyle name="Énfasis2 18" xfId="490" xr:uid="{00000000-0005-0000-0000-0000F0010000}"/>
    <cellStyle name="Énfasis2 19" xfId="491" xr:uid="{00000000-0005-0000-0000-0000F1010000}"/>
    <cellStyle name="Énfasis2 2" xfId="492" xr:uid="{00000000-0005-0000-0000-0000F2010000}"/>
    <cellStyle name="Énfasis2 3" xfId="493" xr:uid="{00000000-0005-0000-0000-0000F3010000}"/>
    <cellStyle name="Énfasis2 4" xfId="494" xr:uid="{00000000-0005-0000-0000-0000F4010000}"/>
    <cellStyle name="Énfasis2 5" xfId="495" xr:uid="{00000000-0005-0000-0000-0000F5010000}"/>
    <cellStyle name="Énfasis2 6" xfId="496" xr:uid="{00000000-0005-0000-0000-0000F6010000}"/>
    <cellStyle name="Énfasis2 7" xfId="497" xr:uid="{00000000-0005-0000-0000-0000F7010000}"/>
    <cellStyle name="Énfasis2 8" xfId="498" xr:uid="{00000000-0005-0000-0000-0000F8010000}"/>
    <cellStyle name="Énfasis2 9" xfId="499" xr:uid="{00000000-0005-0000-0000-0000F9010000}"/>
    <cellStyle name="Énfasis3 10" xfId="501" xr:uid="{00000000-0005-0000-0000-0000FA010000}"/>
    <cellStyle name="Énfasis3 11" xfId="502" xr:uid="{00000000-0005-0000-0000-0000FB010000}"/>
    <cellStyle name="Énfasis3 12" xfId="503" xr:uid="{00000000-0005-0000-0000-0000FC010000}"/>
    <cellStyle name="Énfasis3 13" xfId="504" xr:uid="{00000000-0005-0000-0000-0000FD010000}"/>
    <cellStyle name="Énfasis3 14" xfId="505" xr:uid="{00000000-0005-0000-0000-0000FE010000}"/>
    <cellStyle name="Énfasis3 15" xfId="506" xr:uid="{00000000-0005-0000-0000-0000FF010000}"/>
    <cellStyle name="Énfasis3 16" xfId="507" xr:uid="{00000000-0005-0000-0000-000000020000}"/>
    <cellStyle name="Énfasis3 17" xfId="508" xr:uid="{00000000-0005-0000-0000-000001020000}"/>
    <cellStyle name="Énfasis3 18" xfId="509" xr:uid="{00000000-0005-0000-0000-000002020000}"/>
    <cellStyle name="Énfasis3 19" xfId="510" xr:uid="{00000000-0005-0000-0000-000003020000}"/>
    <cellStyle name="Énfasis3 2" xfId="511" xr:uid="{00000000-0005-0000-0000-000004020000}"/>
    <cellStyle name="Énfasis3 3" xfId="512" xr:uid="{00000000-0005-0000-0000-000005020000}"/>
    <cellStyle name="Énfasis3 4" xfId="513" xr:uid="{00000000-0005-0000-0000-000006020000}"/>
    <cellStyle name="Énfasis3 5" xfId="514" xr:uid="{00000000-0005-0000-0000-000007020000}"/>
    <cellStyle name="Énfasis3 6" xfId="515" xr:uid="{00000000-0005-0000-0000-000008020000}"/>
    <cellStyle name="Énfasis3 7" xfId="516" xr:uid="{00000000-0005-0000-0000-000009020000}"/>
    <cellStyle name="Énfasis3 8" xfId="517" xr:uid="{00000000-0005-0000-0000-00000A020000}"/>
    <cellStyle name="Énfasis3 9" xfId="518" xr:uid="{00000000-0005-0000-0000-00000B020000}"/>
    <cellStyle name="Énfasis4 10" xfId="520" xr:uid="{00000000-0005-0000-0000-00000C020000}"/>
    <cellStyle name="Énfasis4 11" xfId="521" xr:uid="{00000000-0005-0000-0000-00000D020000}"/>
    <cellStyle name="Énfasis4 12" xfId="522" xr:uid="{00000000-0005-0000-0000-00000E020000}"/>
    <cellStyle name="Énfasis4 13" xfId="523" xr:uid="{00000000-0005-0000-0000-00000F020000}"/>
    <cellStyle name="Énfasis4 14" xfId="524" xr:uid="{00000000-0005-0000-0000-000010020000}"/>
    <cellStyle name="Énfasis4 15" xfId="525" xr:uid="{00000000-0005-0000-0000-000011020000}"/>
    <cellStyle name="Énfasis4 16" xfId="526" xr:uid="{00000000-0005-0000-0000-000012020000}"/>
    <cellStyle name="Énfasis4 17" xfId="527" xr:uid="{00000000-0005-0000-0000-000013020000}"/>
    <cellStyle name="Énfasis4 18" xfId="528" xr:uid="{00000000-0005-0000-0000-000014020000}"/>
    <cellStyle name="Énfasis4 19" xfId="529" xr:uid="{00000000-0005-0000-0000-000015020000}"/>
    <cellStyle name="Énfasis4 2" xfId="530" xr:uid="{00000000-0005-0000-0000-000016020000}"/>
    <cellStyle name="Énfasis4 3" xfId="531" xr:uid="{00000000-0005-0000-0000-000017020000}"/>
    <cellStyle name="Énfasis4 4" xfId="532" xr:uid="{00000000-0005-0000-0000-000018020000}"/>
    <cellStyle name="Énfasis4 5" xfId="533" xr:uid="{00000000-0005-0000-0000-000019020000}"/>
    <cellStyle name="Énfasis4 6" xfId="534" xr:uid="{00000000-0005-0000-0000-00001A020000}"/>
    <cellStyle name="Énfasis4 7" xfId="535" xr:uid="{00000000-0005-0000-0000-00001B020000}"/>
    <cellStyle name="Énfasis4 8" xfId="536" xr:uid="{00000000-0005-0000-0000-00001C020000}"/>
    <cellStyle name="Énfasis4 9" xfId="537" xr:uid="{00000000-0005-0000-0000-00001D020000}"/>
    <cellStyle name="Énfasis5 10" xfId="539" xr:uid="{00000000-0005-0000-0000-00001E020000}"/>
    <cellStyle name="Énfasis5 11" xfId="540" xr:uid="{00000000-0005-0000-0000-00001F020000}"/>
    <cellStyle name="Énfasis5 12" xfId="541" xr:uid="{00000000-0005-0000-0000-000020020000}"/>
    <cellStyle name="Énfasis5 13" xfId="542" xr:uid="{00000000-0005-0000-0000-000021020000}"/>
    <cellStyle name="Énfasis5 14" xfId="543" xr:uid="{00000000-0005-0000-0000-000022020000}"/>
    <cellStyle name="Énfasis5 15" xfId="544" xr:uid="{00000000-0005-0000-0000-000023020000}"/>
    <cellStyle name="Énfasis5 16" xfId="545" xr:uid="{00000000-0005-0000-0000-000024020000}"/>
    <cellStyle name="Énfasis5 17" xfId="546" xr:uid="{00000000-0005-0000-0000-000025020000}"/>
    <cellStyle name="Énfasis5 18" xfId="547" xr:uid="{00000000-0005-0000-0000-000026020000}"/>
    <cellStyle name="Énfasis5 19" xfId="548" xr:uid="{00000000-0005-0000-0000-000027020000}"/>
    <cellStyle name="Énfasis5 2" xfId="549" xr:uid="{00000000-0005-0000-0000-000028020000}"/>
    <cellStyle name="Énfasis5 3" xfId="550" xr:uid="{00000000-0005-0000-0000-000029020000}"/>
    <cellStyle name="Énfasis5 4" xfId="551" xr:uid="{00000000-0005-0000-0000-00002A020000}"/>
    <cellStyle name="Énfasis5 5" xfId="552" xr:uid="{00000000-0005-0000-0000-00002B020000}"/>
    <cellStyle name="Énfasis5 6" xfId="553" xr:uid="{00000000-0005-0000-0000-00002C020000}"/>
    <cellStyle name="Énfasis5 7" xfId="554" xr:uid="{00000000-0005-0000-0000-00002D020000}"/>
    <cellStyle name="Énfasis5 8" xfId="555" xr:uid="{00000000-0005-0000-0000-00002E020000}"/>
    <cellStyle name="Énfasis5 9" xfId="556" xr:uid="{00000000-0005-0000-0000-00002F020000}"/>
    <cellStyle name="Énfasis6 10" xfId="558" xr:uid="{00000000-0005-0000-0000-000030020000}"/>
    <cellStyle name="Énfasis6 11" xfId="559" xr:uid="{00000000-0005-0000-0000-000031020000}"/>
    <cellStyle name="Énfasis6 12" xfId="560" xr:uid="{00000000-0005-0000-0000-000032020000}"/>
    <cellStyle name="Énfasis6 13" xfId="561" xr:uid="{00000000-0005-0000-0000-000033020000}"/>
    <cellStyle name="Énfasis6 14" xfId="562" xr:uid="{00000000-0005-0000-0000-000034020000}"/>
    <cellStyle name="Énfasis6 15" xfId="563" xr:uid="{00000000-0005-0000-0000-000035020000}"/>
    <cellStyle name="Énfasis6 16" xfId="564" xr:uid="{00000000-0005-0000-0000-000036020000}"/>
    <cellStyle name="Énfasis6 17" xfId="565" xr:uid="{00000000-0005-0000-0000-000037020000}"/>
    <cellStyle name="Énfasis6 18" xfId="566" xr:uid="{00000000-0005-0000-0000-000038020000}"/>
    <cellStyle name="Énfasis6 19" xfId="567" xr:uid="{00000000-0005-0000-0000-000039020000}"/>
    <cellStyle name="Énfasis6 2" xfId="568" xr:uid="{00000000-0005-0000-0000-00003A020000}"/>
    <cellStyle name="Énfasis6 3" xfId="569" xr:uid="{00000000-0005-0000-0000-00003B020000}"/>
    <cellStyle name="Énfasis6 4" xfId="570" xr:uid="{00000000-0005-0000-0000-00003C020000}"/>
    <cellStyle name="Énfasis6 5" xfId="571" xr:uid="{00000000-0005-0000-0000-00003D020000}"/>
    <cellStyle name="Énfasis6 6" xfId="572" xr:uid="{00000000-0005-0000-0000-00003E020000}"/>
    <cellStyle name="Énfasis6 7" xfId="573" xr:uid="{00000000-0005-0000-0000-00003F020000}"/>
    <cellStyle name="Énfasis6 8" xfId="574" xr:uid="{00000000-0005-0000-0000-000040020000}"/>
    <cellStyle name="Énfasis6 9" xfId="575" xr:uid="{00000000-0005-0000-0000-000041020000}"/>
    <cellStyle name="Entrada 10" xfId="576" xr:uid="{00000000-0005-0000-0000-000043020000}"/>
    <cellStyle name="Entrada 10 2" xfId="1338" xr:uid="{855E4916-AF4F-4C72-AE10-366B10845B5E}"/>
    <cellStyle name="Entrada 10 2 2" xfId="1684" xr:uid="{4EBCB6DC-65CD-4110-8507-4449BB6547FF}"/>
    <cellStyle name="Entrada 10 3" xfId="1302" xr:uid="{BBABA463-3B07-4763-90A4-4A6FEA4791C0}"/>
    <cellStyle name="Entrada 10 3 2" xfId="1648" xr:uid="{846E79CC-973A-4AEF-A48D-9C8152C171C7}"/>
    <cellStyle name="Entrada 11" xfId="577" xr:uid="{00000000-0005-0000-0000-000044020000}"/>
    <cellStyle name="Entrada 11 2" xfId="1339" xr:uid="{C5A0D137-CB53-4BBA-B8CF-061628738CE8}"/>
    <cellStyle name="Entrada 11 2 2" xfId="1685" xr:uid="{7EA6D882-30C2-4E06-B320-1B5D8E37A888}"/>
    <cellStyle name="Entrada 11 3" xfId="1301" xr:uid="{A9834A60-4A02-4E31-8E8F-FB9499205D46}"/>
    <cellStyle name="Entrada 11 3 2" xfId="1647" xr:uid="{29B3070A-038E-40FD-9412-25587DBDC410}"/>
    <cellStyle name="Entrada 12" xfId="578" xr:uid="{00000000-0005-0000-0000-000045020000}"/>
    <cellStyle name="Entrada 12 2" xfId="1340" xr:uid="{849F677F-4675-48C7-980A-7413085CEEB7}"/>
    <cellStyle name="Entrada 12 2 2" xfId="1686" xr:uid="{22D7044F-1ACF-4728-A60A-76ED3F4B5C0D}"/>
    <cellStyle name="Entrada 12 3" xfId="1300" xr:uid="{BC2221CB-A4F4-4FB5-9BA2-8B31062B5AEC}"/>
    <cellStyle name="Entrada 12 3 2" xfId="1646" xr:uid="{1E608F00-ACF7-46DE-AA21-589D14CD2B33}"/>
    <cellStyle name="Entrada 13" xfId="579" xr:uid="{00000000-0005-0000-0000-000046020000}"/>
    <cellStyle name="Entrada 13 2" xfId="1341" xr:uid="{2412590D-37DF-4D2F-B25F-B4D7602D7E2C}"/>
    <cellStyle name="Entrada 13 2 2" xfId="1687" xr:uid="{21D86404-350B-42BA-93AF-A9978ECF4E09}"/>
    <cellStyle name="Entrada 13 3" xfId="1299" xr:uid="{DD46FC25-A5E0-485A-A7B6-E631BBD86ED3}"/>
    <cellStyle name="Entrada 13 3 2" xfId="1645" xr:uid="{B9548EC9-0688-4B8B-8E67-0729B0DC4BD0}"/>
    <cellStyle name="Entrada 14" xfId="580" xr:uid="{00000000-0005-0000-0000-000047020000}"/>
    <cellStyle name="Entrada 14 2" xfId="1342" xr:uid="{11DAB919-5889-49F7-861E-E7AF233C5CEA}"/>
    <cellStyle name="Entrada 14 2 2" xfId="1688" xr:uid="{436298EE-E536-434B-AF45-3FB550691720}"/>
    <cellStyle name="Entrada 14 3" xfId="1298" xr:uid="{D7AEEBA6-E3CD-423C-ABCB-0379F8D06595}"/>
    <cellStyle name="Entrada 14 3 2" xfId="1644" xr:uid="{A1A72155-7079-4527-ADA3-409D5188B4E3}"/>
    <cellStyle name="Entrada 15" xfId="581" xr:uid="{00000000-0005-0000-0000-000048020000}"/>
    <cellStyle name="Entrada 15 2" xfId="1343" xr:uid="{E5748076-4971-4A5D-B8D6-234968444469}"/>
    <cellStyle name="Entrada 15 2 2" xfId="1689" xr:uid="{412670E5-E155-4BCE-854F-43A5D6A5818F}"/>
    <cellStyle name="Entrada 15 3" xfId="1297" xr:uid="{4B08598F-6FDB-47F0-AE1A-0D0ABBF2D987}"/>
    <cellStyle name="Entrada 15 3 2" xfId="1643" xr:uid="{84405195-9F1B-4E22-AF9D-51B4E240BB68}"/>
    <cellStyle name="Entrada 16" xfId="582" xr:uid="{00000000-0005-0000-0000-000049020000}"/>
    <cellStyle name="Entrada 16 2" xfId="1344" xr:uid="{EA26512D-3FF1-453A-8234-5CA70478A5E6}"/>
    <cellStyle name="Entrada 16 2 2" xfId="1690" xr:uid="{3BA08B5A-640A-4C97-A489-A94A47961B4F}"/>
    <cellStyle name="Entrada 16 3" xfId="1546" xr:uid="{E05AB1A6-F185-4E58-8B6C-55AE7FF880FC}"/>
    <cellStyle name="Entrada 16 3 2" xfId="1793" xr:uid="{3B2F46F8-E099-40CD-8661-B8455ABBE657}"/>
    <cellStyle name="Entrada 17" xfId="583" xr:uid="{00000000-0005-0000-0000-00004A020000}"/>
    <cellStyle name="Entrada 17 2" xfId="1345" xr:uid="{37F16F29-8A73-499B-97C6-05B66C5A0011}"/>
    <cellStyle name="Entrada 17 2 2" xfId="1691" xr:uid="{3DD02175-78A4-4780-9595-D5CEB2015514}"/>
    <cellStyle name="Entrada 17 3" xfId="1296" xr:uid="{B7F523DE-C554-4647-8540-27992A2765C2}"/>
    <cellStyle name="Entrada 17 3 2" xfId="1642" xr:uid="{46866900-EF7C-4F85-A508-40EEEF2C8F95}"/>
    <cellStyle name="Entrada 18" xfId="584" xr:uid="{00000000-0005-0000-0000-00004B020000}"/>
    <cellStyle name="Entrada 18 2" xfId="1346" xr:uid="{3B2800D2-E291-461A-83BD-49403A0E53B1}"/>
    <cellStyle name="Entrada 18 2 2" xfId="1692" xr:uid="{F0221631-5C9A-49D4-B682-2036DC447881}"/>
    <cellStyle name="Entrada 18 3" xfId="1438" xr:uid="{69D4EBE7-58C6-406E-8742-F4AD2FFABC00}"/>
    <cellStyle name="Entrada 18 3 2" xfId="1784" xr:uid="{233A5700-A9F6-4E7A-BB15-B20DBB98B24D}"/>
    <cellStyle name="Entrada 19" xfId="585" xr:uid="{00000000-0005-0000-0000-00004C020000}"/>
    <cellStyle name="Entrada 19 2" xfId="1347" xr:uid="{2F787124-F4C9-424F-BED2-0302F04A2555}"/>
    <cellStyle name="Entrada 19 2 2" xfId="1693" xr:uid="{08E6A2FE-D0F9-4D60-86B7-62FA1893C21F}"/>
    <cellStyle name="Entrada 19 3" xfId="1545" xr:uid="{1EDB3EFD-6A47-4E22-B847-EAEEC9ABEA56}"/>
    <cellStyle name="Entrada 19 3 2" xfId="1792" xr:uid="{AFF49D2A-E5D3-4C17-BB2E-BBD7A05DD8BF}"/>
    <cellStyle name="Entrada 2" xfId="586" xr:uid="{00000000-0005-0000-0000-00004D020000}"/>
    <cellStyle name="Entrada 2 2" xfId="1348" xr:uid="{458C62E7-2F7E-4045-BDCD-285FC0B7D1F7}"/>
    <cellStyle name="Entrada 2 2 2" xfId="1694" xr:uid="{91AC0BA0-1D69-489E-A124-7CACE64640EB}"/>
    <cellStyle name="Entrada 2 3" xfId="1295" xr:uid="{73711166-5526-46AC-8AE0-95B33AE74E1A}"/>
    <cellStyle name="Entrada 2 3 2" xfId="1641" xr:uid="{6FC22B32-81CF-46F7-8875-9167EB3A2A8D}"/>
    <cellStyle name="Entrada 20" xfId="1020" xr:uid="{76D8C579-AF6B-4450-A879-D1D43BFBE477}"/>
    <cellStyle name="Entrada 3" xfId="587" xr:uid="{00000000-0005-0000-0000-00004E020000}"/>
    <cellStyle name="Entrada 3 2" xfId="1349" xr:uid="{7878049B-0A81-4979-9A79-DD5716A759BD}"/>
    <cellStyle name="Entrada 3 2 2" xfId="1695" xr:uid="{554BFC61-9B08-4644-96FE-478324C684E3}"/>
    <cellStyle name="Entrada 3 3" xfId="1451" xr:uid="{C9752B1C-5AF8-4CDF-8134-723EBDC8DA8E}"/>
    <cellStyle name="Entrada 3 3 2" xfId="1787" xr:uid="{5F749216-BF95-4851-B370-DEF5733F5C4C}"/>
    <cellStyle name="Entrada 4" xfId="588" xr:uid="{00000000-0005-0000-0000-00004F020000}"/>
    <cellStyle name="Entrada 4 2" xfId="1350" xr:uid="{35F9BEA6-5183-4DCE-A26E-15FD39AF2663}"/>
    <cellStyle name="Entrada 4 2 2" xfId="1696" xr:uid="{911B8971-A8B1-4A7D-B445-59913D6A55C6}"/>
    <cellStyle name="Entrada 4 3" xfId="1544" xr:uid="{DA9F81D9-115E-4FA9-AAC6-DFBC2295C022}"/>
    <cellStyle name="Entrada 4 3 2" xfId="1791" xr:uid="{2F238726-456E-4DCB-871A-CA6B05EEDDD8}"/>
    <cellStyle name="Entrada 5" xfId="589" xr:uid="{00000000-0005-0000-0000-000050020000}"/>
    <cellStyle name="Entrada 5 2" xfId="1351" xr:uid="{5CEED76F-9C91-4EE2-8951-F70DAE933AC5}"/>
    <cellStyle name="Entrada 5 2 2" xfId="1697" xr:uid="{A0678930-6331-4582-91C3-8F6B8E068E22}"/>
    <cellStyle name="Entrada 5 3" xfId="1294" xr:uid="{92BAE2D6-CA43-40F2-A1FC-0E44D906205D}"/>
    <cellStyle name="Entrada 5 3 2" xfId="1640" xr:uid="{390D5774-67B8-4012-A7AB-DDE1882F3AA5}"/>
    <cellStyle name="Entrada 6" xfId="590" xr:uid="{00000000-0005-0000-0000-000051020000}"/>
    <cellStyle name="Entrada 6 2" xfId="1352" xr:uid="{2170957E-0CAA-4A72-885B-65D68C7C4CC0}"/>
    <cellStyle name="Entrada 6 2 2" xfId="1698" xr:uid="{271931E1-CABE-43A8-B518-3363B1905118}"/>
    <cellStyle name="Entrada 6 3" xfId="1448" xr:uid="{DEDD5EA5-0310-4055-B606-AB9BC9292180}"/>
    <cellStyle name="Entrada 6 3 2" xfId="1786" xr:uid="{4BBDF213-AFAD-4683-80F2-60CA032A8BA3}"/>
    <cellStyle name="Entrada 7" xfId="591" xr:uid="{00000000-0005-0000-0000-000052020000}"/>
    <cellStyle name="Entrada 7 2" xfId="1353" xr:uid="{D36F1890-6490-4F37-B2B8-28E2219B8572}"/>
    <cellStyle name="Entrada 7 2 2" xfId="1699" xr:uid="{70EE5AA1-7758-417C-9946-6B42C0902BE1}"/>
    <cellStyle name="Entrada 7 3" xfId="1543" xr:uid="{04B04039-E145-42C3-A1CD-3ED7D923C14A}"/>
    <cellStyle name="Entrada 7 3 2" xfId="1790" xr:uid="{B9A9CAE4-9878-4DF2-AC2E-3A75028445A9}"/>
    <cellStyle name="Entrada 8" xfId="592" xr:uid="{00000000-0005-0000-0000-000053020000}"/>
    <cellStyle name="Entrada 8 2" xfId="1354" xr:uid="{093A39F2-4F95-4DAE-9972-78C4E3AD5023}"/>
    <cellStyle name="Entrada 8 2 2" xfId="1700" xr:uid="{E5BC4B5A-9B35-4DD4-9F3D-DB1A590B8B59}"/>
    <cellStyle name="Entrada 8 3" xfId="1293" xr:uid="{EAE9334B-86BE-4BC6-990B-5714A8996531}"/>
    <cellStyle name="Entrada 8 3 2" xfId="1639" xr:uid="{E76EA5B0-BAC7-434F-B366-5E41463C1995}"/>
    <cellStyle name="Entrada 9" xfId="593" xr:uid="{00000000-0005-0000-0000-000054020000}"/>
    <cellStyle name="Entrada 9 2" xfId="1355" xr:uid="{8210CBD7-D354-4CCA-9B2D-D9DCC84BC050}"/>
    <cellStyle name="Entrada 9 2 2" xfId="1701" xr:uid="{B62A47EF-F386-424C-A844-41BA43A01F76}"/>
    <cellStyle name="Entrada 9 3" xfId="1445" xr:uid="{16BEACD1-2692-412A-B00D-E1A2D86F844F}"/>
    <cellStyle name="Entrada 9 3 2" xfId="1785" xr:uid="{4297061E-BF25-4DCF-89DA-580DD8D8C61E}"/>
    <cellStyle name="Euro" xfId="594" xr:uid="{00000000-0005-0000-0000-000055020000}"/>
    <cellStyle name="Euro 2" xfId="595" xr:uid="{00000000-0005-0000-0000-000056020000}"/>
    <cellStyle name="Euro 2 2" xfId="596" xr:uid="{00000000-0005-0000-0000-000057020000}"/>
    <cellStyle name="Euro 2 2 2" xfId="895" xr:uid="{00000000-0005-0000-0000-000058020000}"/>
    <cellStyle name="Euro 2 2 2 2" xfId="953" xr:uid="{00000000-0005-0000-0000-000059020000}"/>
    <cellStyle name="Euro 2 2 2 2 2" xfId="1033" xr:uid="{EF6C9679-2448-47F4-890F-9103EFE8CF9A}"/>
    <cellStyle name="Euro 2 2 2 2 2 2" xfId="1079" xr:uid="{86C07501-482B-45D5-875F-442C0D05C256}"/>
    <cellStyle name="Euro 2 2 2 2 3" xfId="1005" xr:uid="{FF25DD4E-FA7A-4284-812F-A1EC9E8AAE08}"/>
    <cellStyle name="Euro 2 2 2 2 3 2" xfId="1170" xr:uid="{CD6DE601-D382-4558-BE17-8A6875F6BBE2}"/>
    <cellStyle name="Euro 2 2 2 2 4" xfId="1066" xr:uid="{F938BA03-DB86-4F42-8AB6-BDC625210D5B}"/>
    <cellStyle name="Euro 2 2 2 2 5" xfId="1247" xr:uid="{2796AE76-5FFF-4D03-ADB9-88F0C8FCE905}"/>
    <cellStyle name="Euro 2 2 2 2 6" xfId="967" xr:uid="{268296DC-22DB-46CF-B021-C7D028ADCC89}"/>
    <cellStyle name="Euro 2 2 3" xfId="947" xr:uid="{00000000-0005-0000-0000-00005A020000}"/>
    <cellStyle name="Euro 2 2 3 2" xfId="1027" xr:uid="{9FE01757-775D-460B-B1BC-E80CC959EC37}"/>
    <cellStyle name="Euro 2 2 3 2 2" xfId="1073" xr:uid="{9D1DD28D-FC06-45D4-BA99-38F805638076}"/>
    <cellStyle name="Euro 2 2 3 3" xfId="999" xr:uid="{240E1660-D856-4557-9A8D-836E4B0B7549}"/>
    <cellStyle name="Euro 2 2 3 3 2" xfId="1171" xr:uid="{873D0355-3677-4FBD-80CB-326C140640CC}"/>
    <cellStyle name="Euro 2 2 3 4" xfId="1060" xr:uid="{7EF9D8A4-E6FA-424B-9782-3B334C925124}"/>
    <cellStyle name="Euro 2 2 3 5" xfId="1241" xr:uid="{5D710BD6-AEC7-4869-ABBC-6BB775D839A5}"/>
    <cellStyle name="Euro 2 2 3 6" xfId="961" xr:uid="{889D327E-0F5B-4AFD-9299-82DEEC9BA091}"/>
    <cellStyle name="Euro 2 3" xfId="894" xr:uid="{00000000-0005-0000-0000-00005B020000}"/>
    <cellStyle name="Euro 2 3 2" xfId="952" xr:uid="{00000000-0005-0000-0000-00005C020000}"/>
    <cellStyle name="Euro 2 3 2 2" xfId="1032" xr:uid="{133DAF8F-4F6F-4AB9-801F-0EECE5155F5B}"/>
    <cellStyle name="Euro 2 3 2 2 2" xfId="1078" xr:uid="{B3BE9897-8486-411E-9327-BCC72608A25A}"/>
    <cellStyle name="Euro 2 3 2 3" xfId="1004" xr:uid="{F0DE5BAC-625C-43B5-85AE-67E95CD2A9DE}"/>
    <cellStyle name="Euro 2 3 2 3 2" xfId="1172" xr:uid="{8D6313A4-BC91-4FB9-B873-8FB31F9F08C0}"/>
    <cellStyle name="Euro 2 3 2 4" xfId="1065" xr:uid="{3FEAF1C2-3F41-498D-A719-9A6305B2AFB5}"/>
    <cellStyle name="Euro 2 3 2 5" xfId="1246" xr:uid="{6D3A2599-8486-4EFE-91D1-8726815F11EE}"/>
    <cellStyle name="Euro 2 3 2 6" xfId="966" xr:uid="{536F612F-C2A0-43CB-867C-CEFD6B0F681F}"/>
    <cellStyle name="Euro 2 4" xfId="946" xr:uid="{00000000-0005-0000-0000-00005D020000}"/>
    <cellStyle name="Euro 2 4 2" xfId="1026" xr:uid="{0A8B4F74-CFAF-4FDF-829E-34D0EF8DDED1}"/>
    <cellStyle name="Euro 2 4 2 2" xfId="1072" xr:uid="{CEC9A75E-603C-4ED5-B4AF-A78FBFD6ED00}"/>
    <cellStyle name="Euro 2 4 3" xfId="998" xr:uid="{5044492B-495B-4BE3-8956-32797E5D0FC5}"/>
    <cellStyle name="Euro 2 4 3 2" xfId="1173" xr:uid="{BEFB95F5-8DCD-47A7-8F64-88332FF52835}"/>
    <cellStyle name="Euro 2 4 4" xfId="1059" xr:uid="{DAE9997E-0340-43D0-88D4-99281F4F07BD}"/>
    <cellStyle name="Euro 2 4 5" xfId="1240" xr:uid="{A3FF4F41-32B8-48C8-9EE5-5164CD0B839E}"/>
    <cellStyle name="Euro 2 4 6" xfId="960" xr:uid="{C527BC9D-1B53-4C89-9C70-1356620490B2}"/>
    <cellStyle name="Euro 3" xfId="597" xr:uid="{00000000-0005-0000-0000-00005E020000}"/>
    <cellStyle name="Euro 3 2" xfId="598" xr:uid="{00000000-0005-0000-0000-00005F020000}"/>
    <cellStyle name="Euro 3 2 2" xfId="897" xr:uid="{00000000-0005-0000-0000-000060020000}"/>
    <cellStyle name="Euro 3 2 2 2" xfId="955" xr:uid="{00000000-0005-0000-0000-000061020000}"/>
    <cellStyle name="Euro 3 2 2 2 2" xfId="1035" xr:uid="{EF9ACD48-1139-45B2-8604-41110CE5F470}"/>
    <cellStyle name="Euro 3 2 2 2 2 2" xfId="1081" xr:uid="{E31F934D-EDB6-460D-9CDD-46EBC60587CF}"/>
    <cellStyle name="Euro 3 2 2 2 3" xfId="1007" xr:uid="{EC8AC695-06FC-46A7-AAC3-160FE9BBF75A}"/>
    <cellStyle name="Euro 3 2 2 2 3 2" xfId="1174" xr:uid="{65EE3FE9-EDF3-46B2-AAA5-48D81B7F70F6}"/>
    <cellStyle name="Euro 3 2 2 2 4" xfId="1068" xr:uid="{535B37D4-A42A-4D1D-89CF-82705E2AC192}"/>
    <cellStyle name="Euro 3 2 2 2 5" xfId="1249" xr:uid="{EBACB48A-C5FA-424B-986C-4FB8E9C583F4}"/>
    <cellStyle name="Euro 3 2 2 2 6" xfId="969" xr:uid="{432613BF-B32A-48A5-BEFD-760055EFFE83}"/>
    <cellStyle name="Euro 3 2 3" xfId="949" xr:uid="{00000000-0005-0000-0000-000062020000}"/>
    <cellStyle name="Euro 3 2 3 2" xfId="1029" xr:uid="{E0196DCF-3ED8-4C60-98E5-61D539B2CFE6}"/>
    <cellStyle name="Euro 3 2 3 2 2" xfId="1075" xr:uid="{47D92D8A-E8B8-4382-96AC-8F56EED7A5B7}"/>
    <cellStyle name="Euro 3 2 3 3" xfId="1001" xr:uid="{098C0A63-39DC-48F2-9E48-A683168F3B02}"/>
    <cellStyle name="Euro 3 2 3 3 2" xfId="1175" xr:uid="{AF5423D7-6565-4282-A72A-5D1C9017B589}"/>
    <cellStyle name="Euro 3 2 3 4" xfId="1062" xr:uid="{8FA2A12B-A8CE-44CD-992C-A7DCA5714B03}"/>
    <cellStyle name="Euro 3 2 3 5" xfId="1243" xr:uid="{EC45A5F1-9853-4E36-8046-67AC8C538F02}"/>
    <cellStyle name="Euro 3 2 3 6" xfId="963" xr:uid="{6B7C1AD3-0324-409F-B166-1EF27821098E}"/>
    <cellStyle name="Euro 3 3" xfId="896" xr:uid="{00000000-0005-0000-0000-000063020000}"/>
    <cellStyle name="Euro 3 3 2" xfId="954" xr:uid="{00000000-0005-0000-0000-000064020000}"/>
    <cellStyle name="Euro 3 3 2 2" xfId="1034" xr:uid="{D8B15957-FB9E-43BB-8AB9-658C4C938AF9}"/>
    <cellStyle name="Euro 3 3 2 2 2" xfId="1080" xr:uid="{9237A609-4DA9-485E-8031-DBE94F886D43}"/>
    <cellStyle name="Euro 3 3 2 3" xfId="1006" xr:uid="{2BD6A56E-4423-4A9F-891D-FDB37DA4221A}"/>
    <cellStyle name="Euro 3 3 2 3 2" xfId="1176" xr:uid="{1FE45762-2BED-4B59-A7D3-41F41C6EEE6D}"/>
    <cellStyle name="Euro 3 3 2 4" xfId="1067" xr:uid="{7EC47D20-CE40-412D-B2F0-C01F6EEB1B66}"/>
    <cellStyle name="Euro 3 3 2 5" xfId="1248" xr:uid="{30DA7338-97DA-48B6-94C3-27C3F490CD18}"/>
    <cellStyle name="Euro 3 3 2 6" xfId="968" xr:uid="{2B8B2EA0-5C5B-4FE0-8A48-0FE729703B6D}"/>
    <cellStyle name="Euro 3 4" xfId="948" xr:uid="{00000000-0005-0000-0000-000065020000}"/>
    <cellStyle name="Euro 3 4 2" xfId="1028" xr:uid="{AB091340-0CED-4D8A-889A-49927F140BF3}"/>
    <cellStyle name="Euro 3 4 2 2" xfId="1074" xr:uid="{1F525260-ACB1-4AD9-A695-948F9121D674}"/>
    <cellStyle name="Euro 3 4 3" xfId="1000" xr:uid="{DD896B6E-9970-4C01-ACA4-0848535A936D}"/>
    <cellStyle name="Euro 3 4 3 2" xfId="1177" xr:uid="{CD263FF9-F613-47DA-8839-2A5521E6C47E}"/>
    <cellStyle name="Euro 3 4 4" xfId="1061" xr:uid="{3B2BE29E-38A5-45A4-8DAE-AE72472B44DF}"/>
    <cellStyle name="Euro 3 4 5" xfId="1242" xr:uid="{D77D5314-C0E4-4E0E-95C1-71F5382BB9AE}"/>
    <cellStyle name="Euro 3 4 6" xfId="962" xr:uid="{07C72A40-4DD7-48D5-B694-E10A31E93D87}"/>
    <cellStyle name="Euro 4" xfId="599" xr:uid="{00000000-0005-0000-0000-000066020000}"/>
    <cellStyle name="Euro 4 2" xfId="898" xr:uid="{00000000-0005-0000-0000-000067020000}"/>
    <cellStyle name="Euro 4 2 2" xfId="956" xr:uid="{00000000-0005-0000-0000-000068020000}"/>
    <cellStyle name="Euro 4 2 2 2" xfId="1036" xr:uid="{B3F0CE53-9F8A-4507-B7D9-5C12179BE477}"/>
    <cellStyle name="Euro 4 2 2 2 2" xfId="1082" xr:uid="{9D3DA1F9-D0A8-48CC-92F5-03419D370803}"/>
    <cellStyle name="Euro 4 2 2 3" xfId="1008" xr:uid="{2AFE5D34-CAB6-4365-A025-CC908E8F92AB}"/>
    <cellStyle name="Euro 4 2 2 3 2" xfId="1178" xr:uid="{CD73A90C-42A4-40F1-B8B9-C6993A6BC2BE}"/>
    <cellStyle name="Euro 4 2 2 4" xfId="1069" xr:uid="{E102418E-309B-4F88-BF94-E5AE202B80A3}"/>
    <cellStyle name="Euro 4 2 2 5" xfId="1250" xr:uid="{277012D4-9DE9-48AD-9404-DF4076C2CEC2}"/>
    <cellStyle name="Euro 4 2 2 6" xfId="970" xr:uid="{200442A9-EA0B-4BAB-8CB2-24D8B94BC049}"/>
    <cellStyle name="Euro 4 3" xfId="950" xr:uid="{00000000-0005-0000-0000-000069020000}"/>
    <cellStyle name="Euro 4 3 2" xfId="1030" xr:uid="{08E9D92B-7D71-44CD-BD53-8A14CFE7FA60}"/>
    <cellStyle name="Euro 4 3 2 2" xfId="1076" xr:uid="{9C824E86-9889-457F-B427-84B591D0A270}"/>
    <cellStyle name="Euro 4 3 3" xfId="1002" xr:uid="{BC5BB3B5-C6C7-419D-80FA-16A187C1C888}"/>
    <cellStyle name="Euro 4 3 3 2" xfId="1179" xr:uid="{18B2B5FC-65D8-4F56-BBD7-3A57B8A50B92}"/>
    <cellStyle name="Euro 4 3 4" xfId="1063" xr:uid="{A63B0349-2AD7-4BA6-9089-8368759428C9}"/>
    <cellStyle name="Euro 4 3 5" xfId="1244" xr:uid="{68F2EAAD-9F00-4901-9CAB-5BD0BC91544B}"/>
    <cellStyle name="Euro 4 3 6" xfId="964" xr:uid="{B4E16805-DD38-4DC2-A593-B7911AD5EFE2}"/>
    <cellStyle name="Euro 5" xfId="600" xr:uid="{00000000-0005-0000-0000-00006A020000}"/>
    <cellStyle name="Euro 5 2" xfId="899" xr:uid="{00000000-0005-0000-0000-00006B020000}"/>
    <cellStyle name="Euro 5 2 2" xfId="957" xr:uid="{00000000-0005-0000-0000-00006C020000}"/>
    <cellStyle name="Euro 5 2 2 2" xfId="1037" xr:uid="{071482AC-07B1-4432-B9AB-8B6BAEBFE193}"/>
    <cellStyle name="Euro 5 2 2 2 2" xfId="1083" xr:uid="{7F5EC7DA-AED8-4348-9236-36D7E068A72D}"/>
    <cellStyle name="Euro 5 2 2 3" xfId="1009" xr:uid="{B54A5660-7184-49B8-8412-4F5FC6BF6D4A}"/>
    <cellStyle name="Euro 5 2 2 3 2" xfId="1180" xr:uid="{F82A63F6-032E-46F4-9EFD-BD980681BF38}"/>
    <cellStyle name="Euro 5 2 2 4" xfId="1070" xr:uid="{4EB18E12-D0D2-4AEA-9F85-E59D9CE16080}"/>
    <cellStyle name="Euro 5 2 2 5" xfId="1251" xr:uid="{707904FC-094F-496D-A03D-6B1C050CA1A3}"/>
    <cellStyle name="Euro 5 2 2 6" xfId="971" xr:uid="{6A46BA01-BE4D-457F-8CFD-624B6511DF63}"/>
    <cellStyle name="Euro 5 3" xfId="951" xr:uid="{00000000-0005-0000-0000-00006D020000}"/>
    <cellStyle name="Euro 5 3 2" xfId="1031" xr:uid="{F5EDEFED-420F-4971-ACE7-B35F7C204226}"/>
    <cellStyle name="Euro 5 3 2 2" xfId="1077" xr:uid="{F7F94E00-677A-4537-9743-5C714E26BBE0}"/>
    <cellStyle name="Euro 5 3 3" xfId="1003" xr:uid="{755E07DB-3BFC-49FC-BBE7-EA94BB7F432C}"/>
    <cellStyle name="Euro 5 3 3 2" xfId="1181" xr:uid="{DB9642BC-EE07-40B5-80B6-67C8344B7EE0}"/>
    <cellStyle name="Euro 5 3 4" xfId="1064" xr:uid="{6193F7F0-6A9C-45EC-A828-8A1EC9B2D056}"/>
    <cellStyle name="Euro 5 3 5" xfId="1245" xr:uid="{0442E6A0-513D-49CF-BEA3-035B16E53778}"/>
    <cellStyle name="Euro 5 3 6" xfId="965" xr:uid="{CF5F4D18-3313-45A1-9B29-19C7A9D1C373}"/>
    <cellStyle name="Euro 6" xfId="945" xr:uid="{00000000-0005-0000-0000-00006E020000}"/>
    <cellStyle name="Euro 6 2" xfId="1025" xr:uid="{993D5E58-ABEC-48FB-9716-B41B7A202792}"/>
    <cellStyle name="Euro 6 2 2" xfId="1071" xr:uid="{0C92C7F3-7B87-4AAA-9BC3-CAA391A3B702}"/>
    <cellStyle name="Euro 6 3" xfId="997" xr:uid="{CC4C372E-6891-42B8-8D41-2036A17C02B6}"/>
    <cellStyle name="Euro 6 3 2" xfId="1182" xr:uid="{843D0971-CCE6-4AB1-88F2-A5296AF02C8D}"/>
    <cellStyle name="Euro 6 4" xfId="1058" xr:uid="{71D0CA67-4B3F-482A-9EDC-F6E16D3B3CE6}"/>
    <cellStyle name="Euro 6 5" xfId="1239" xr:uid="{8B5E5BD2-474E-4A7A-A1D5-9EC5459AFC5D}"/>
    <cellStyle name="Euro 6 6" xfId="959" xr:uid="{8E6E53F5-60FE-42C2-A048-6A5CD1C23D4C}"/>
    <cellStyle name="Explanatory Text" xfId="777" xr:uid="{00000000-0005-0000-0000-00006F020000}"/>
    <cellStyle name="Explanatory Text 2" xfId="601" xr:uid="{00000000-0005-0000-0000-000070020000}"/>
    <cellStyle name="Explanatory Text 3" xfId="1183" xr:uid="{0B572309-B893-41C4-9E77-64BAE118E7A8}"/>
    <cellStyle name="Explanatory Text 4" xfId="978" xr:uid="{4EE07A3F-029C-4358-BAB4-B427D53B0629}"/>
    <cellStyle name="Good" xfId="602" xr:uid="{00000000-0005-0000-0000-000071020000}"/>
    <cellStyle name="Good 2" xfId="603" xr:uid="{00000000-0005-0000-0000-000072020000}"/>
    <cellStyle name="Good 3" xfId="1184" xr:uid="{0C4887B0-263F-4019-9D2D-2E5B441A101A}"/>
    <cellStyle name="Heading 1" xfId="604" xr:uid="{00000000-0005-0000-0000-000073020000}"/>
    <cellStyle name="Heading 1 2" xfId="605" xr:uid="{00000000-0005-0000-0000-000074020000}"/>
    <cellStyle name="Heading 1 3" xfId="1185" xr:uid="{6D0C9646-2E29-44A5-ABDE-E5DBEFEFAF67}"/>
    <cellStyle name="Heading 2" xfId="826" xr:uid="{00000000-0005-0000-0000-000075020000}"/>
    <cellStyle name="Heading 2 2" xfId="606" xr:uid="{00000000-0005-0000-0000-000076020000}"/>
    <cellStyle name="Heading 2 3" xfId="1186" xr:uid="{F8EC8232-0288-4E08-A91B-822835B033F0}"/>
    <cellStyle name="Heading 2 4" xfId="973" xr:uid="{061CF4FF-A283-486E-96C1-D39F56995A8E}"/>
    <cellStyle name="Heading 3" xfId="847" xr:uid="{00000000-0005-0000-0000-000077020000}"/>
    <cellStyle name="Heading 3 2" xfId="607" xr:uid="{00000000-0005-0000-0000-000078020000}"/>
    <cellStyle name="Heading 3 3" xfId="1187" xr:uid="{12A65196-77E6-4C68-8CD4-A382C224BEC9}"/>
    <cellStyle name="Heading 3 4" xfId="974" xr:uid="{1CDCF3A6-A923-4CBF-83C9-4459B767C946}"/>
    <cellStyle name="Heading 4" xfId="608" builtinId="19" customBuiltin="1"/>
    <cellStyle name="Heading 4 2" xfId="609" xr:uid="{00000000-0005-0000-0000-000079020000}"/>
    <cellStyle name="Heading 4 3" xfId="1188" xr:uid="{0550F249-5AD8-469C-A79D-27C09F55F95B}"/>
    <cellStyle name="Hipervínculo 2" xfId="610" xr:uid="{00000000-0005-0000-0000-00007A020000}"/>
    <cellStyle name="Incorrecto 10" xfId="612" xr:uid="{00000000-0005-0000-0000-00007B020000}"/>
    <cellStyle name="Incorrecto 11" xfId="613" xr:uid="{00000000-0005-0000-0000-00007C020000}"/>
    <cellStyle name="Incorrecto 12" xfId="614" xr:uid="{00000000-0005-0000-0000-00007D020000}"/>
    <cellStyle name="Incorrecto 13" xfId="615" xr:uid="{00000000-0005-0000-0000-00007E020000}"/>
    <cellStyle name="Incorrecto 14" xfId="616" xr:uid="{00000000-0005-0000-0000-00007F020000}"/>
    <cellStyle name="Incorrecto 15" xfId="617" xr:uid="{00000000-0005-0000-0000-000080020000}"/>
    <cellStyle name="Incorrecto 16" xfId="618" xr:uid="{00000000-0005-0000-0000-000081020000}"/>
    <cellStyle name="Incorrecto 17" xfId="619" xr:uid="{00000000-0005-0000-0000-000082020000}"/>
    <cellStyle name="Incorrecto 18" xfId="620" xr:uid="{00000000-0005-0000-0000-000083020000}"/>
    <cellStyle name="Incorrecto 19" xfId="621" xr:uid="{00000000-0005-0000-0000-000084020000}"/>
    <cellStyle name="Incorrecto 2" xfId="622" xr:uid="{00000000-0005-0000-0000-000085020000}"/>
    <cellStyle name="Incorrecto 3" xfId="623" xr:uid="{00000000-0005-0000-0000-000086020000}"/>
    <cellStyle name="Incorrecto 4" xfId="624" xr:uid="{00000000-0005-0000-0000-000087020000}"/>
    <cellStyle name="Incorrecto 5" xfId="625" xr:uid="{00000000-0005-0000-0000-000088020000}"/>
    <cellStyle name="Incorrecto 6" xfId="626" xr:uid="{00000000-0005-0000-0000-000089020000}"/>
    <cellStyle name="Incorrecto 7" xfId="627" xr:uid="{00000000-0005-0000-0000-00008A020000}"/>
    <cellStyle name="Incorrecto 8" xfId="628" xr:uid="{00000000-0005-0000-0000-00008B020000}"/>
    <cellStyle name="Incorrecto 9" xfId="629" xr:uid="{00000000-0005-0000-0000-00008C020000}"/>
    <cellStyle name="Input" xfId="630" builtinId="20" customBuiltin="1"/>
    <cellStyle name="Input 2" xfId="631" xr:uid="{00000000-0005-0000-0000-00008D020000}"/>
    <cellStyle name="Input 2 2" xfId="1359" xr:uid="{0F83D31D-956A-4193-BC0E-CAC3AA20B966}"/>
    <cellStyle name="Input 2 2 2" xfId="1705" xr:uid="{EF950BCD-0093-42CD-966C-5EC785D4DA86}"/>
    <cellStyle name="Input 2 3" xfId="1291" xr:uid="{D1D7DDC5-4A5B-4C83-AB97-83058B54B553}"/>
    <cellStyle name="Input 2 3 2" xfId="1637" xr:uid="{4C5EFF22-9954-4894-9DFB-942D0B5907E3}"/>
    <cellStyle name="Input 3" xfId="1189" xr:uid="{EA4B0781-31EB-4D1E-A280-E0A39466EF6E}"/>
    <cellStyle name="Input 3 2" xfId="1548" xr:uid="{8671320E-A737-43D2-A04E-A34D224EEF3C}"/>
    <cellStyle name="Input 3 2 2" xfId="1795" xr:uid="{E960F3EC-42A9-43F7-BD3E-C833E3D860C1}"/>
    <cellStyle name="Input 3 3" xfId="1594" xr:uid="{147B49FB-1734-479F-97F3-BCF40C46E8B5}"/>
    <cellStyle name="Input 3 3 2" xfId="1800" xr:uid="{7873C15F-5F18-4641-B336-656E8C838550}"/>
    <cellStyle name="Linked Cell" xfId="632" builtinId="24" customBuiltin="1"/>
    <cellStyle name="Linked Cell 2" xfId="633" xr:uid="{00000000-0005-0000-0000-00008E020000}"/>
    <cellStyle name="Linked Cell 3" xfId="1190" xr:uid="{31ED98D1-3F69-4D3E-98F5-1CDCC64D2BE9}"/>
    <cellStyle name="Neutral" xfId="634" builtinId="28" customBuiltin="1"/>
    <cellStyle name="Neutral 10" xfId="635" xr:uid="{00000000-0005-0000-0000-000090020000}"/>
    <cellStyle name="Neutral 11" xfId="636" xr:uid="{00000000-0005-0000-0000-000091020000}"/>
    <cellStyle name="Neutral 12" xfId="637" xr:uid="{00000000-0005-0000-0000-000092020000}"/>
    <cellStyle name="Neutral 13" xfId="638" xr:uid="{00000000-0005-0000-0000-000093020000}"/>
    <cellStyle name="Neutral 14" xfId="639" xr:uid="{00000000-0005-0000-0000-000094020000}"/>
    <cellStyle name="Neutral 15" xfId="640" xr:uid="{00000000-0005-0000-0000-000095020000}"/>
    <cellStyle name="Neutral 16" xfId="641" xr:uid="{00000000-0005-0000-0000-000096020000}"/>
    <cellStyle name="Neutral 17" xfId="642" xr:uid="{00000000-0005-0000-0000-000097020000}"/>
    <cellStyle name="Neutral 18" xfId="643" xr:uid="{00000000-0005-0000-0000-000098020000}"/>
    <cellStyle name="Neutral 19" xfId="644" xr:uid="{00000000-0005-0000-0000-000099020000}"/>
    <cellStyle name="Neutral 2" xfId="645" xr:uid="{00000000-0005-0000-0000-00009A020000}"/>
    <cellStyle name="Neutral 20" xfId="1021" xr:uid="{1FB56C11-C449-4E9D-9A4D-72C6531AE867}"/>
    <cellStyle name="Neutral 20 2" xfId="1191" xr:uid="{2C100BED-A093-4244-8878-0F254997B303}"/>
    <cellStyle name="Neutral 3" xfId="646" xr:uid="{00000000-0005-0000-0000-00009B020000}"/>
    <cellStyle name="Neutral 4" xfId="647" xr:uid="{00000000-0005-0000-0000-00009C020000}"/>
    <cellStyle name="Neutral 5" xfId="648" xr:uid="{00000000-0005-0000-0000-00009D020000}"/>
    <cellStyle name="Neutral 6" xfId="649" xr:uid="{00000000-0005-0000-0000-00009E020000}"/>
    <cellStyle name="Neutral 7" xfId="650" xr:uid="{00000000-0005-0000-0000-00009F020000}"/>
    <cellStyle name="Neutral 8" xfId="651" xr:uid="{00000000-0005-0000-0000-0000A0020000}"/>
    <cellStyle name="Neutral 9" xfId="652" xr:uid="{00000000-0005-0000-0000-0000A1020000}"/>
    <cellStyle name="Normal" xfId="0" builtinId="0"/>
    <cellStyle name="Normal 10" xfId="653" xr:uid="{00000000-0005-0000-0000-0000A3020000}"/>
    <cellStyle name="Normal 10 2" xfId="900" xr:uid="{00000000-0005-0000-0000-0000A4020000}"/>
    <cellStyle name="Normal 11" xfId="654" xr:uid="{00000000-0005-0000-0000-0000A5020000}"/>
    <cellStyle name="Normal 11 2" xfId="901" xr:uid="{00000000-0005-0000-0000-0000A6020000}"/>
    <cellStyle name="Normal 12" xfId="655" xr:uid="{00000000-0005-0000-0000-0000A7020000}"/>
    <cellStyle name="Normal 12 2" xfId="902" xr:uid="{00000000-0005-0000-0000-0000A8020000}"/>
    <cellStyle name="Normal 13" xfId="656" xr:uid="{00000000-0005-0000-0000-0000A9020000}"/>
    <cellStyle name="Normal 13 2" xfId="903" xr:uid="{00000000-0005-0000-0000-0000AA020000}"/>
    <cellStyle name="Normal 14" xfId="657" xr:uid="{00000000-0005-0000-0000-0000AB020000}"/>
    <cellStyle name="Normal 14 2" xfId="904" xr:uid="{00000000-0005-0000-0000-0000AC020000}"/>
    <cellStyle name="Normal 15" xfId="658" xr:uid="{00000000-0005-0000-0000-0000AD020000}"/>
    <cellStyle name="Normal 15 2" xfId="905" xr:uid="{00000000-0005-0000-0000-0000AE020000}"/>
    <cellStyle name="Normal 16" xfId="659" xr:uid="{00000000-0005-0000-0000-0000AF020000}"/>
    <cellStyle name="Normal 16 2" xfId="906" xr:uid="{00000000-0005-0000-0000-0000B0020000}"/>
    <cellStyle name="Normal 17" xfId="660" xr:uid="{00000000-0005-0000-0000-0000B1020000}"/>
    <cellStyle name="Normal 17 2" xfId="907" xr:uid="{00000000-0005-0000-0000-0000B2020000}"/>
    <cellStyle name="Normal 18" xfId="661" xr:uid="{00000000-0005-0000-0000-0000B3020000}"/>
    <cellStyle name="Normal 18 2" xfId="908" xr:uid="{00000000-0005-0000-0000-0000B4020000}"/>
    <cellStyle name="Normal 19" xfId="662" xr:uid="{00000000-0005-0000-0000-0000B5020000}"/>
    <cellStyle name="Normal 19 2" xfId="909" xr:uid="{00000000-0005-0000-0000-0000B6020000}"/>
    <cellStyle name="Normal 2" xfId="663" xr:uid="{00000000-0005-0000-0000-0000B7020000}"/>
    <cellStyle name="Normal 2 2" xfId="910" xr:uid="{00000000-0005-0000-0000-0000B8020000}"/>
    <cellStyle name="Normal 20" xfId="664" xr:uid="{00000000-0005-0000-0000-0000B9020000}"/>
    <cellStyle name="Normal 20 2" xfId="911" xr:uid="{00000000-0005-0000-0000-0000BA020000}"/>
    <cellStyle name="Normal 21" xfId="665" xr:uid="{00000000-0005-0000-0000-0000BB020000}"/>
    <cellStyle name="Normal 21 2" xfId="912" xr:uid="{00000000-0005-0000-0000-0000BC020000}"/>
    <cellStyle name="Normal 22" xfId="666" xr:uid="{00000000-0005-0000-0000-0000BD020000}"/>
    <cellStyle name="Normal 22 2" xfId="913" xr:uid="{00000000-0005-0000-0000-0000BE020000}"/>
    <cellStyle name="Normal 23" xfId="667" xr:uid="{00000000-0005-0000-0000-0000BF020000}"/>
    <cellStyle name="Normal 23 2" xfId="914" xr:uid="{00000000-0005-0000-0000-0000C0020000}"/>
    <cellStyle name="Normal 24" xfId="668" xr:uid="{00000000-0005-0000-0000-0000C1020000}"/>
    <cellStyle name="Normal 25" xfId="669" xr:uid="{00000000-0005-0000-0000-0000C2020000}"/>
    <cellStyle name="Normal 26" xfId="670" xr:uid="{00000000-0005-0000-0000-0000C3020000}"/>
    <cellStyle name="Normal 27" xfId="671" xr:uid="{00000000-0005-0000-0000-0000C4020000}"/>
    <cellStyle name="Normal 28" xfId="672" xr:uid="{00000000-0005-0000-0000-0000C5020000}"/>
    <cellStyle name="Normal 29" xfId="673" xr:uid="{00000000-0005-0000-0000-0000C6020000}"/>
    <cellStyle name="Normal 3" xfId="674" xr:uid="{00000000-0005-0000-0000-0000C7020000}"/>
    <cellStyle name="Normal 3 2" xfId="915" xr:uid="{00000000-0005-0000-0000-0000C8020000}"/>
    <cellStyle name="Normal 30" xfId="675" xr:uid="{00000000-0005-0000-0000-0000C9020000}"/>
    <cellStyle name="Normal 31" xfId="676" xr:uid="{00000000-0005-0000-0000-0000CA020000}"/>
    <cellStyle name="Normal 32" xfId="677" xr:uid="{00000000-0005-0000-0000-0000CB020000}"/>
    <cellStyle name="Normal 33" xfId="678" xr:uid="{00000000-0005-0000-0000-0000CC020000}"/>
    <cellStyle name="Normal 34" xfId="679" xr:uid="{00000000-0005-0000-0000-0000CD020000}"/>
    <cellStyle name="Normal 35" xfId="680" xr:uid="{00000000-0005-0000-0000-0000CE020000}"/>
    <cellStyle name="Normal 36" xfId="681" xr:uid="{00000000-0005-0000-0000-0000CF020000}"/>
    <cellStyle name="Normal 37" xfId="682" xr:uid="{00000000-0005-0000-0000-0000D0020000}"/>
    <cellStyle name="Normal 38" xfId="683" xr:uid="{00000000-0005-0000-0000-0000D1020000}"/>
    <cellStyle name="Normal 39" xfId="684" xr:uid="{00000000-0005-0000-0000-0000D2020000}"/>
    <cellStyle name="Normal 4" xfId="685" xr:uid="{00000000-0005-0000-0000-0000D3020000}"/>
    <cellStyle name="Normal 4 2" xfId="916" xr:uid="{00000000-0005-0000-0000-0000D4020000}"/>
    <cellStyle name="Normal 40" xfId="686" xr:uid="{00000000-0005-0000-0000-0000D5020000}"/>
    <cellStyle name="Normal 41" xfId="687" xr:uid="{00000000-0005-0000-0000-0000D6020000}"/>
    <cellStyle name="Normal 41 2" xfId="688" xr:uid="{00000000-0005-0000-0000-0000D7020000}"/>
    <cellStyle name="Normal 41 2 2" xfId="918" xr:uid="{00000000-0005-0000-0000-0000D8020000}"/>
    <cellStyle name="Normal 41 3" xfId="917" xr:uid="{00000000-0005-0000-0000-0000D9020000}"/>
    <cellStyle name="Normal 42" xfId="689" xr:uid="{00000000-0005-0000-0000-0000DA020000}"/>
    <cellStyle name="Normal 42 2" xfId="690" xr:uid="{00000000-0005-0000-0000-0000DB020000}"/>
    <cellStyle name="Normal 43" xfId="893" xr:uid="{00000000-0005-0000-0000-0000DC020000}"/>
    <cellStyle name="Normal 44" xfId="1010" xr:uid="{23C02F76-5EC1-4788-A3C7-85FB818F0891}"/>
    <cellStyle name="Normal 44 2" xfId="1050" xr:uid="{3E3F4E35-94BC-43F3-8BE7-20227C0AD2F8}"/>
    <cellStyle name="Normal 44 2 2" xfId="1231" xr:uid="{8D249E72-CBBB-4285-92DA-7923C8923CF2}"/>
    <cellStyle name="Normal 44 2 2 2" xfId="1585" xr:uid="{7EBE40CE-0A6E-42C0-8985-54F7FF85E861}"/>
    <cellStyle name="Normal 44 2 3" xfId="1116" xr:uid="{35DD9638-2B4D-4195-A9AE-2DF5BEC8A655}"/>
    <cellStyle name="Normal 44 2 3 2" xfId="1515" xr:uid="{3B737EBE-ECBF-4EA4-A686-2F7233799DFC}"/>
    <cellStyle name="Normal 44 2 4" xfId="1475" xr:uid="{D617BBCD-4161-4E94-88D4-249B6D764B4C}"/>
    <cellStyle name="Normal 44 3" xfId="1192" xr:uid="{4C0477D2-B288-4DF7-8561-38EAEF2A5CDA}"/>
    <cellStyle name="Normal 44 4" xfId="1211" xr:uid="{BA912969-C144-41D3-A0B5-AE1BC0C74F41}"/>
    <cellStyle name="Normal 44 4 2" xfId="1565" xr:uid="{49513C25-AA90-4017-9982-5D7DE3CF7416}"/>
    <cellStyle name="Normal 44 5" xfId="1096" xr:uid="{C3223AF2-5051-4D89-A849-D2770CDF6DE0}"/>
    <cellStyle name="Normal 44 5 2" xfId="1495" xr:uid="{4644264A-8DD6-4A2D-80FA-B407A216763E}"/>
    <cellStyle name="Normal 44 6" xfId="1454" xr:uid="{073F49BB-5E09-4A33-B942-8A2383F96883}"/>
    <cellStyle name="Normal 45" xfId="1124" xr:uid="{4F71970C-32E6-4BAD-B6AF-FE1F6120051E}"/>
    <cellStyle name="Normal 45 2" xfId="1523" xr:uid="{3A757F47-65C3-4ADB-87B3-2146730EEDF2}"/>
    <cellStyle name="Normal 5" xfId="691" xr:uid="{00000000-0005-0000-0000-0000DD020000}"/>
    <cellStyle name="Normal 5 2" xfId="919" xr:uid="{00000000-0005-0000-0000-0000DE020000}"/>
    <cellStyle name="Normal 6" xfId="692" xr:uid="{00000000-0005-0000-0000-0000DF020000}"/>
    <cellStyle name="Normal 6 2" xfId="920" xr:uid="{00000000-0005-0000-0000-0000E0020000}"/>
    <cellStyle name="Normal 7" xfId="693" xr:uid="{00000000-0005-0000-0000-0000E1020000}"/>
    <cellStyle name="Normal 7 2" xfId="921" xr:uid="{00000000-0005-0000-0000-0000E2020000}"/>
    <cellStyle name="Normal 8" xfId="694" xr:uid="{00000000-0005-0000-0000-0000E3020000}"/>
    <cellStyle name="Normal 8 2" xfId="922" xr:uid="{00000000-0005-0000-0000-0000E4020000}"/>
    <cellStyle name="Normal 9" xfId="695" xr:uid="{00000000-0005-0000-0000-0000E5020000}"/>
    <cellStyle name="Normal 9 2" xfId="923" xr:uid="{00000000-0005-0000-0000-0000E6020000}"/>
    <cellStyle name="Normal_Recuento Conjuntos" xfId="696" xr:uid="{00000000-0005-0000-0000-0000E7020000}"/>
    <cellStyle name="Notas 10" xfId="697" xr:uid="{00000000-0005-0000-0000-0000E9020000}"/>
    <cellStyle name="Notas 10 2" xfId="924" xr:uid="{00000000-0005-0000-0000-0000EA020000}"/>
    <cellStyle name="Notas 10 2 2" xfId="1419" xr:uid="{064657E2-52CA-46A7-B126-44D2F32D740E}"/>
    <cellStyle name="Notas 10 2 2 2" xfId="1765" xr:uid="{362132E2-3707-4566-872B-3332A9BCE2BD}"/>
    <cellStyle name="Notas 10 3" xfId="1360" xr:uid="{DD0D7B0C-A02F-4318-BEBA-FBAA306BEE82}"/>
    <cellStyle name="Notas 10 3 2" xfId="1706" xr:uid="{D869C942-547B-47CF-A918-7179DB8E1D92}"/>
    <cellStyle name="Notas 11" xfId="698" xr:uid="{00000000-0005-0000-0000-0000EB020000}"/>
    <cellStyle name="Notas 11 2" xfId="925" xr:uid="{00000000-0005-0000-0000-0000EC020000}"/>
    <cellStyle name="Notas 11 2 2" xfId="1420" xr:uid="{F05472AE-C33F-400A-9D2E-643B98CECBC7}"/>
    <cellStyle name="Notas 11 2 2 2" xfId="1766" xr:uid="{82E918D1-7657-45E0-BE8F-5B406B41EF0D}"/>
    <cellStyle name="Notas 11 3" xfId="1361" xr:uid="{1AF032CF-3B47-48E9-A6CB-5FE4EB1EC60F}"/>
    <cellStyle name="Notas 11 3 2" xfId="1707" xr:uid="{A5C2BD9A-70E4-493C-A6FD-F5477396C87A}"/>
    <cellStyle name="Notas 12" xfId="699" xr:uid="{00000000-0005-0000-0000-0000ED020000}"/>
    <cellStyle name="Notas 12 2" xfId="926" xr:uid="{00000000-0005-0000-0000-0000EE020000}"/>
    <cellStyle name="Notas 12 2 2" xfId="1421" xr:uid="{1C52B465-697C-4C11-AC5E-34F6CDC681AD}"/>
    <cellStyle name="Notas 12 2 2 2" xfId="1767" xr:uid="{18EEB22F-313E-4DF7-BF8D-16C410FEC74A}"/>
    <cellStyle name="Notas 12 3" xfId="1362" xr:uid="{06D6CB6A-9C97-44CC-A52D-093A36C0F6A3}"/>
    <cellStyle name="Notas 12 3 2" xfId="1708" xr:uid="{1CB5EB89-BAD7-4B70-915F-FA97B0A8B42D}"/>
    <cellStyle name="Notas 13" xfId="700" xr:uid="{00000000-0005-0000-0000-0000EF020000}"/>
    <cellStyle name="Notas 13 2" xfId="927" xr:uid="{00000000-0005-0000-0000-0000F0020000}"/>
    <cellStyle name="Notas 13 2 2" xfId="1422" xr:uid="{6C413F04-E2F8-438C-8997-17353E77439E}"/>
    <cellStyle name="Notas 13 2 2 2" xfId="1768" xr:uid="{CF2E5058-6359-4EA7-A744-F4D6D8883F0C}"/>
    <cellStyle name="Notas 13 3" xfId="1363" xr:uid="{F4CC622F-4F3D-4EE7-B102-D256AF61F7AC}"/>
    <cellStyle name="Notas 13 3 2" xfId="1709" xr:uid="{B368BB35-A5EE-4164-A1CB-CB0CAE43404B}"/>
    <cellStyle name="Notas 14" xfId="701" xr:uid="{00000000-0005-0000-0000-0000F1020000}"/>
    <cellStyle name="Notas 14 2" xfId="928" xr:uid="{00000000-0005-0000-0000-0000F2020000}"/>
    <cellStyle name="Notas 14 2 2" xfId="1423" xr:uid="{BD764492-6C89-4B83-829F-0D791D605E58}"/>
    <cellStyle name="Notas 14 2 2 2" xfId="1769" xr:uid="{393ABA1E-BF5F-4A4A-91FA-02E6C14C7C82}"/>
    <cellStyle name="Notas 14 3" xfId="1364" xr:uid="{273981E2-A875-4570-973D-5F7B216FA462}"/>
    <cellStyle name="Notas 14 3 2" xfId="1710" xr:uid="{EC28D9A1-D7D6-43E3-B67A-A75ABC9B3B01}"/>
    <cellStyle name="Notas 15" xfId="702" xr:uid="{00000000-0005-0000-0000-0000F3020000}"/>
    <cellStyle name="Notas 15 2" xfId="929" xr:uid="{00000000-0005-0000-0000-0000F4020000}"/>
    <cellStyle name="Notas 15 2 2" xfId="1424" xr:uid="{DC9FE1E7-FBCF-4907-B415-FD54381FA9DF}"/>
    <cellStyle name="Notas 15 2 2 2" xfId="1770" xr:uid="{57CD354E-9E01-4417-A3D4-F6828DEEB890}"/>
    <cellStyle name="Notas 15 3" xfId="1365" xr:uid="{FF4DB201-B199-4EAE-B48B-070926DF6344}"/>
    <cellStyle name="Notas 15 3 2" xfId="1711" xr:uid="{7C34C835-9B97-47F6-B2FE-EAA8367BBF75}"/>
    <cellStyle name="Notas 16" xfId="703" xr:uid="{00000000-0005-0000-0000-0000F5020000}"/>
    <cellStyle name="Notas 16 2" xfId="930" xr:uid="{00000000-0005-0000-0000-0000F6020000}"/>
    <cellStyle name="Notas 16 2 2" xfId="1425" xr:uid="{A91A18C0-DDFE-4BD6-BAD7-6EBAFA639ACB}"/>
    <cellStyle name="Notas 16 2 2 2" xfId="1771" xr:uid="{4E82100F-1C03-446E-A8A7-F54C0D7A0D14}"/>
    <cellStyle name="Notas 16 3" xfId="1366" xr:uid="{9C862504-9A9B-4904-A56B-6B6CD9A48738}"/>
    <cellStyle name="Notas 16 3 2" xfId="1712" xr:uid="{BE91684A-6700-463A-A0CB-9DBC69E1A33E}"/>
    <cellStyle name="Notas 17" xfId="704" xr:uid="{00000000-0005-0000-0000-0000F7020000}"/>
    <cellStyle name="Notas 17 2" xfId="931" xr:uid="{00000000-0005-0000-0000-0000F8020000}"/>
    <cellStyle name="Notas 17 2 2" xfId="1426" xr:uid="{EC2BAEDE-F852-47EC-AF0D-25B7348BEE03}"/>
    <cellStyle name="Notas 17 2 2 2" xfId="1772" xr:uid="{E3BA32E3-CA70-4467-B11A-C5B3B63706B4}"/>
    <cellStyle name="Notas 17 3" xfId="1367" xr:uid="{326FE80B-2951-4C8F-94F5-A07394197B9F}"/>
    <cellStyle name="Notas 17 3 2" xfId="1713" xr:uid="{0656E9B8-9EE6-42A5-95B1-9A9819DEF7B9}"/>
    <cellStyle name="Notas 18" xfId="705" xr:uid="{00000000-0005-0000-0000-0000F9020000}"/>
    <cellStyle name="Notas 18 2" xfId="932" xr:uid="{00000000-0005-0000-0000-0000FA020000}"/>
    <cellStyle name="Notas 18 2 2" xfId="1427" xr:uid="{186D2CC7-230C-4279-84C7-DA7F3EA57388}"/>
    <cellStyle name="Notas 18 2 2 2" xfId="1773" xr:uid="{8992653C-D776-4442-B1AB-7FD849384D61}"/>
    <cellStyle name="Notas 18 3" xfId="1368" xr:uid="{2EC625F8-6611-4DCD-9202-B45299729E32}"/>
    <cellStyle name="Notas 18 3 2" xfId="1714" xr:uid="{18C42144-AED6-4EE9-8036-3616506C6B16}"/>
    <cellStyle name="Notas 19" xfId="706" xr:uid="{00000000-0005-0000-0000-0000FB020000}"/>
    <cellStyle name="Notas 19 2" xfId="933" xr:uid="{00000000-0005-0000-0000-0000FC020000}"/>
    <cellStyle name="Notas 19 2 2" xfId="1428" xr:uid="{B4939BE4-248C-4FA0-B6D5-0C0364147CE3}"/>
    <cellStyle name="Notas 19 2 2 2" xfId="1774" xr:uid="{D326993C-EBB2-4A8F-8370-860B57B416B7}"/>
    <cellStyle name="Notas 19 3" xfId="1369" xr:uid="{4DF217EF-17FD-4C58-B30A-1B3C44541BF7}"/>
    <cellStyle name="Notas 19 3 2" xfId="1715" xr:uid="{B7F5B8E5-A886-4B3C-9618-660A8F45BAEE}"/>
    <cellStyle name="Notas 2" xfId="707" xr:uid="{00000000-0005-0000-0000-0000FD020000}"/>
    <cellStyle name="Notas 2 2" xfId="934" xr:uid="{00000000-0005-0000-0000-0000FE020000}"/>
    <cellStyle name="Notas 2 2 2" xfId="1429" xr:uid="{E5A6E82D-8D63-488B-BE70-461D2FC64CEE}"/>
    <cellStyle name="Notas 2 2 2 2" xfId="1775" xr:uid="{56BB8CDC-1518-416D-95C3-91A3C187C39B}"/>
    <cellStyle name="Notas 2 3" xfId="1370" xr:uid="{D5541D0B-48C4-428A-824C-38559825816A}"/>
    <cellStyle name="Notas 2 3 2" xfId="1716" xr:uid="{0D2A2AD3-C4EF-4258-B3A6-58896E675A0E}"/>
    <cellStyle name="Notas 20" xfId="708" xr:uid="{00000000-0005-0000-0000-0000FF020000}"/>
    <cellStyle name="Notas 20 2" xfId="935" xr:uid="{00000000-0005-0000-0000-000000030000}"/>
    <cellStyle name="Notas 20 2 2" xfId="1430" xr:uid="{2F7A0FFF-7268-4907-BCDE-1B98D664545E}"/>
    <cellStyle name="Notas 20 2 2 2" xfId="1776" xr:uid="{8062A2FB-0185-4079-A5F3-BA14D5CD8432}"/>
    <cellStyle name="Notas 20 3" xfId="1371" xr:uid="{10FF3EAE-67CC-424D-BCCF-FAA55EC1C58F}"/>
    <cellStyle name="Notas 20 3 2" xfId="1717" xr:uid="{3A02C311-8471-4884-BED5-CB602BAA1F79}"/>
    <cellStyle name="Notas 21" xfId="1022" xr:uid="{4D65CC3E-A1D8-48F5-BE74-B3B930A08A47}"/>
    <cellStyle name="Notas 21 2" xfId="1057" xr:uid="{E8CBA832-E506-4BEE-B1CC-BEFC90E76431}"/>
    <cellStyle name="Notas 21 2 2" xfId="1238" xr:uid="{D05ADCEA-DAE9-45E2-9202-6D4723D6575C}"/>
    <cellStyle name="Notas 21 2 2 2" xfId="1592" xr:uid="{F428FAB2-A479-4932-987D-6B5BDB2ED5B3}"/>
    <cellStyle name="Notas 21 2 3" xfId="1123" xr:uid="{B8FCCD5C-4D1B-4F9F-B150-4F3425BEAAC1}"/>
    <cellStyle name="Notas 21 2 3 2" xfId="1522" xr:uid="{3BC4258D-C371-4397-B968-77F9D0D523B6}"/>
    <cellStyle name="Notas 21 2 4" xfId="1482" xr:uid="{31224BC3-35C8-4F5A-9020-146D0647BABB}"/>
    <cellStyle name="Notas 21 3" xfId="1218" xr:uid="{365E332E-1129-41D7-A99D-D25FBF41A6FD}"/>
    <cellStyle name="Notas 21 3 2" xfId="1572" xr:uid="{9CFEB879-C100-4767-94CD-23A15EEC50FC}"/>
    <cellStyle name="Notas 21 4" xfId="1103" xr:uid="{2F97F265-916D-4F19-9E44-9A83E04946F4}"/>
    <cellStyle name="Notas 21 4 2" xfId="1502" xr:uid="{52B70297-D964-46FF-8578-BF501E99B7CA}"/>
    <cellStyle name="Notas 21 5" xfId="1462" xr:uid="{1BD178A8-0A63-400C-A57A-28A9FD2FF6BE}"/>
    <cellStyle name="Notas 22" xfId="1193" xr:uid="{3BE9DC87-DCA4-449D-9966-3FB56F24B664}"/>
    <cellStyle name="Notas 22 2" xfId="1549" xr:uid="{451CEEAB-6310-4FDF-B604-C882E7BC766A}"/>
    <cellStyle name="Notas 23" xfId="958" xr:uid="{77072545-8BD0-4ED9-A618-F219A3DDFC3C}"/>
    <cellStyle name="Notas 3" xfId="709" xr:uid="{00000000-0005-0000-0000-000001030000}"/>
    <cellStyle name="Notas 3 2" xfId="936" xr:uid="{00000000-0005-0000-0000-000002030000}"/>
    <cellStyle name="Notas 3 2 2" xfId="1431" xr:uid="{951E195B-247E-4C51-9208-427C9F464504}"/>
    <cellStyle name="Notas 3 2 2 2" xfId="1777" xr:uid="{6D5EF3B0-16F3-4492-8A13-381F65E65D66}"/>
    <cellStyle name="Notas 3 3" xfId="1372" xr:uid="{F0171AE8-89DC-4A88-B5B3-6F83D32231A8}"/>
    <cellStyle name="Notas 3 3 2" xfId="1718" xr:uid="{B574A5BD-08A7-4D33-A14F-CDAA2DCBED24}"/>
    <cellStyle name="Notas 4" xfId="710" xr:uid="{00000000-0005-0000-0000-000003030000}"/>
    <cellStyle name="Notas 4 2" xfId="937" xr:uid="{00000000-0005-0000-0000-000004030000}"/>
    <cellStyle name="Notas 4 2 2" xfId="1432" xr:uid="{68D590CA-2CEC-4E5D-B8B3-B8410BAF9FB0}"/>
    <cellStyle name="Notas 4 2 2 2" xfId="1778" xr:uid="{BCFD99D4-6D5D-46C0-8DEA-0DC65EE08414}"/>
    <cellStyle name="Notas 4 3" xfId="1373" xr:uid="{3E948921-5B85-4740-815A-F9D0FDF4CFC9}"/>
    <cellStyle name="Notas 4 3 2" xfId="1719" xr:uid="{054CD426-37C6-4AA7-AB45-C05B0AF7C9CB}"/>
    <cellStyle name="Notas 5" xfId="711" xr:uid="{00000000-0005-0000-0000-000005030000}"/>
    <cellStyle name="Notas 5 2" xfId="938" xr:uid="{00000000-0005-0000-0000-000006030000}"/>
    <cellStyle name="Notas 5 2 2" xfId="1433" xr:uid="{6F616888-340E-4A85-9D0F-F3FDF6440912}"/>
    <cellStyle name="Notas 5 2 2 2" xfId="1779" xr:uid="{3781485C-273A-40D2-A20D-20F1C463961C}"/>
    <cellStyle name="Notas 5 3" xfId="1374" xr:uid="{7A6F992C-44D7-4221-A98C-A90FE58E35DB}"/>
    <cellStyle name="Notas 5 3 2" xfId="1720" xr:uid="{37F68CB1-31C5-4386-AE7C-A10233B32A73}"/>
    <cellStyle name="Notas 6" xfId="712" xr:uid="{00000000-0005-0000-0000-000007030000}"/>
    <cellStyle name="Notas 6 2" xfId="939" xr:uid="{00000000-0005-0000-0000-000008030000}"/>
    <cellStyle name="Notas 6 2 2" xfId="1434" xr:uid="{C7178784-EA55-4CDD-9CE5-B8476F83F97A}"/>
    <cellStyle name="Notas 6 2 2 2" xfId="1780" xr:uid="{EE3A1C28-1C1B-42B4-A95F-972F0A9F1312}"/>
    <cellStyle name="Notas 6 3" xfId="1375" xr:uid="{172B681D-752A-4003-A573-068D4B0480A7}"/>
    <cellStyle name="Notas 6 3 2" xfId="1721" xr:uid="{F250B1CC-4B0C-41B0-B374-CF1525613D23}"/>
    <cellStyle name="Notas 7" xfId="713" xr:uid="{00000000-0005-0000-0000-000009030000}"/>
    <cellStyle name="Notas 7 2" xfId="940" xr:uid="{00000000-0005-0000-0000-00000A030000}"/>
    <cellStyle name="Notas 7 2 2" xfId="1435" xr:uid="{3A036816-F708-42ED-9077-76BF25BAA768}"/>
    <cellStyle name="Notas 7 2 2 2" xfId="1781" xr:uid="{442E4390-9C1E-4F8B-BBE4-E9FC08BC612C}"/>
    <cellStyle name="Notas 7 3" xfId="1376" xr:uid="{8C3A4EB9-F0EE-4DA0-8F65-40DD1EBFE2D5}"/>
    <cellStyle name="Notas 7 3 2" xfId="1722" xr:uid="{69F646BA-D900-49AD-87EF-5F06EEDD0CD0}"/>
    <cellStyle name="Notas 8" xfId="714" xr:uid="{00000000-0005-0000-0000-00000B030000}"/>
    <cellStyle name="Notas 8 2" xfId="941" xr:uid="{00000000-0005-0000-0000-00000C030000}"/>
    <cellStyle name="Notas 8 2 2" xfId="1436" xr:uid="{314B8610-0D12-4AE2-B119-78C71D7765BB}"/>
    <cellStyle name="Notas 8 2 2 2" xfId="1782" xr:uid="{12ECEE85-0B8D-44B1-966C-132BDCECB30E}"/>
    <cellStyle name="Notas 8 3" xfId="1377" xr:uid="{FC727C0D-CE5C-41A4-AB18-0D2FAD817ED1}"/>
    <cellStyle name="Notas 8 3 2" xfId="1723" xr:uid="{40136DF5-DD20-4082-AAAB-5A522BE662F8}"/>
    <cellStyle name="Notas 9" xfId="715" xr:uid="{00000000-0005-0000-0000-00000D030000}"/>
    <cellStyle name="Notas 9 2" xfId="942" xr:uid="{00000000-0005-0000-0000-00000E030000}"/>
    <cellStyle name="Notas 9 2 2" xfId="1437" xr:uid="{8F2B14DD-F71D-42E5-A82F-6FBB55D1AC2D}"/>
    <cellStyle name="Notas 9 2 2 2" xfId="1783" xr:uid="{44D5B80A-53F2-429F-9FB1-CD0D161522C5}"/>
    <cellStyle name="Notas 9 3" xfId="1378" xr:uid="{59667723-4889-4054-A6A5-4E24EAEBBDA9}"/>
    <cellStyle name="Notas 9 3 2" xfId="1724" xr:uid="{E0C5A175-20E2-4CB8-BA1A-2D8FFF1A5168}"/>
    <cellStyle name="Note" xfId="716" builtinId="10" customBuiltin="1"/>
    <cellStyle name="Note 2" xfId="717" xr:uid="{00000000-0005-0000-0000-00000F030000}"/>
    <cellStyle name="Note 2 2" xfId="1380" xr:uid="{AB632B09-C5CD-4B14-B66E-90306E1269F0}"/>
    <cellStyle name="Note 2 2 2" xfId="1726" xr:uid="{55B3AA9E-C032-4A13-8CB5-E8294A99236A}"/>
    <cellStyle name="Note 2 3" xfId="1289" xr:uid="{2A6CA26C-3F47-411B-A985-8DF480E67C6A}"/>
    <cellStyle name="Note 2 3 2" xfId="1635" xr:uid="{E2859284-827F-45B2-AB56-1244D1A94AC8}"/>
    <cellStyle name="Note 3" xfId="1194" xr:uid="{51382087-1003-4BEC-931F-886AEBD0022F}"/>
    <cellStyle name="Note 3 2" xfId="1550" xr:uid="{5DAD2FCE-1604-4CBA-B9B3-7E004A3D9080}"/>
    <cellStyle name="Note 3 2 2" xfId="1796" xr:uid="{E475790B-EA93-4F84-8943-2C360B55B729}"/>
    <cellStyle name="Note 3 3" xfId="1595" xr:uid="{C2C9F0D7-0799-44BB-9E37-DA18969D9002}"/>
    <cellStyle name="Note 3 3 2" xfId="1801" xr:uid="{B36E4A8E-C110-48CD-9838-4CEDFDC4700F}"/>
    <cellStyle name="Output" xfId="740" xr:uid="{00000000-0005-0000-0000-000010030000}"/>
    <cellStyle name="Output 2" xfId="718" xr:uid="{00000000-0005-0000-0000-000011030000}"/>
    <cellStyle name="Output 2 2" xfId="1381" xr:uid="{1CBDE544-FEF8-49B4-A758-F0B30BF90C01}"/>
    <cellStyle name="Output 2 2 2" xfId="1727" xr:uid="{0072C190-2B02-4D85-9E8A-66CA23A6B997}"/>
    <cellStyle name="Output 2 3" xfId="1290" xr:uid="{E619FE68-6C2B-47C3-96F5-6DED4E48946C}"/>
    <cellStyle name="Output 2 3 2" xfId="1636" xr:uid="{8C951EF0-A5D3-4105-8479-C88AE46982CB}"/>
    <cellStyle name="Output 3" xfId="1195" xr:uid="{957DE276-EF3E-4530-A1F7-588580A9D269}"/>
    <cellStyle name="Output 3 2" xfId="1551" xr:uid="{8B6DC938-783F-484B-80CE-F85CF92ACD25}"/>
    <cellStyle name="Output 3 2 2" xfId="1797" xr:uid="{91D4231C-37D6-4937-92B6-DBAA26222E7A}"/>
    <cellStyle name="Output 3 3" xfId="1596" xr:uid="{15894E0F-01F3-4023-B3FD-8B6C2BD6483A}"/>
    <cellStyle name="Output 3 3 2" xfId="1802" xr:uid="{CA47B9FA-B4F1-4439-B452-4EC1A346139C}"/>
    <cellStyle name="Output 4" xfId="976" xr:uid="{FB67A513-6182-4407-BED9-9C1317A967FF}"/>
    <cellStyle name="Porcentual 10" xfId="719" xr:uid="{00000000-0005-0000-0000-000012030000}"/>
    <cellStyle name="Porcentual 11" xfId="720" xr:uid="{00000000-0005-0000-0000-000013030000}"/>
    <cellStyle name="Porcentual 12" xfId="721" xr:uid="{00000000-0005-0000-0000-000014030000}"/>
    <cellStyle name="Porcentual 13" xfId="722" xr:uid="{00000000-0005-0000-0000-000015030000}"/>
    <cellStyle name="Porcentual 14" xfId="723" xr:uid="{00000000-0005-0000-0000-000016030000}"/>
    <cellStyle name="Porcentual 15" xfId="724" xr:uid="{00000000-0005-0000-0000-000017030000}"/>
    <cellStyle name="Porcentual 16" xfId="725" xr:uid="{00000000-0005-0000-0000-000018030000}"/>
    <cellStyle name="Porcentual 17" xfId="726" xr:uid="{00000000-0005-0000-0000-000019030000}"/>
    <cellStyle name="Porcentual 18" xfId="727" xr:uid="{00000000-0005-0000-0000-00001A030000}"/>
    <cellStyle name="Porcentual 19" xfId="728" xr:uid="{00000000-0005-0000-0000-00001B030000}"/>
    <cellStyle name="Porcentual 19 2" xfId="729" xr:uid="{00000000-0005-0000-0000-00001C030000}"/>
    <cellStyle name="Porcentual 19 2 2" xfId="944" xr:uid="{00000000-0005-0000-0000-00001D030000}"/>
    <cellStyle name="Porcentual 19 3" xfId="943" xr:uid="{00000000-0005-0000-0000-00001E030000}"/>
    <cellStyle name="Porcentual 2" xfId="730" xr:uid="{00000000-0005-0000-0000-00001F030000}"/>
    <cellStyle name="Porcentual 20" xfId="731" xr:uid="{00000000-0005-0000-0000-000020030000}"/>
    <cellStyle name="Porcentual 20 2" xfId="732" xr:uid="{00000000-0005-0000-0000-000021030000}"/>
    <cellStyle name="Porcentual 3" xfId="733" xr:uid="{00000000-0005-0000-0000-000022030000}"/>
    <cellStyle name="Porcentual 4" xfId="734" xr:uid="{00000000-0005-0000-0000-000023030000}"/>
    <cellStyle name="Porcentual 5" xfId="735" xr:uid="{00000000-0005-0000-0000-000024030000}"/>
    <cellStyle name="Porcentual 6" xfId="736" xr:uid="{00000000-0005-0000-0000-000025030000}"/>
    <cellStyle name="Porcentual 7" xfId="737" xr:uid="{00000000-0005-0000-0000-000026030000}"/>
    <cellStyle name="Porcentual 8" xfId="738" xr:uid="{00000000-0005-0000-0000-000027030000}"/>
    <cellStyle name="Porcentual 9" xfId="739" xr:uid="{00000000-0005-0000-0000-000028030000}"/>
    <cellStyle name="Salida 10" xfId="741" xr:uid="{00000000-0005-0000-0000-000029030000}"/>
    <cellStyle name="Salida 10 2" xfId="1382" xr:uid="{D01039E4-24CF-46C8-B117-76BE64D31C10}"/>
    <cellStyle name="Salida 10 2 2" xfId="1728" xr:uid="{1DEB7390-7A31-4376-9015-53E0C48B6325}"/>
    <cellStyle name="Salida 10 3" xfId="1288" xr:uid="{81329138-C3CE-46FF-B673-016723EC7F9D}"/>
    <cellStyle name="Salida 10 3 2" xfId="1634" xr:uid="{876E02AF-D4DF-4A39-949B-2900FEDCBFEC}"/>
    <cellStyle name="Salida 11" xfId="742" xr:uid="{00000000-0005-0000-0000-00002A030000}"/>
    <cellStyle name="Salida 11 2" xfId="1383" xr:uid="{CE452493-BB0A-4133-9979-04C16044FD4C}"/>
    <cellStyle name="Salida 11 2 2" xfId="1729" xr:uid="{1C83F7FE-3104-478A-AE38-0B691C3437DA}"/>
    <cellStyle name="Salida 11 3" xfId="1287" xr:uid="{3DEC502B-DAAF-4EC6-9F07-CB27A8B06D13}"/>
    <cellStyle name="Salida 11 3 2" xfId="1633" xr:uid="{A153C9FF-A2CF-4D4D-ACBA-F60B6BE2A2E8}"/>
    <cellStyle name="Salida 12" xfId="743" xr:uid="{00000000-0005-0000-0000-00002B030000}"/>
    <cellStyle name="Salida 12 2" xfId="1384" xr:uid="{F5F66430-CECF-4612-BD62-FA6C5EFDE233}"/>
    <cellStyle name="Salida 12 2 2" xfId="1730" xr:uid="{D05E476B-2E23-4D2A-BA2B-DC2AA1EDCECE}"/>
    <cellStyle name="Salida 12 3" xfId="1286" xr:uid="{F3E14D52-6399-4396-8892-134E5FBCB617}"/>
    <cellStyle name="Salida 12 3 2" xfId="1632" xr:uid="{9DD389B4-8711-40A1-A5DD-5402E1FC61A4}"/>
    <cellStyle name="Salida 13" xfId="744" xr:uid="{00000000-0005-0000-0000-00002C030000}"/>
    <cellStyle name="Salida 13 2" xfId="1385" xr:uid="{50E0A3FE-E3BA-4E10-87F0-AF5774855C6A}"/>
    <cellStyle name="Salida 13 2 2" xfId="1731" xr:uid="{66DD6E91-704D-4859-BE53-7A4280ED3E40}"/>
    <cellStyle name="Salida 13 3" xfId="1285" xr:uid="{E11BB244-AF18-4726-A071-AB11A61702A6}"/>
    <cellStyle name="Salida 13 3 2" xfId="1631" xr:uid="{FDBE8DB1-1429-4059-8E13-0545EF13AE39}"/>
    <cellStyle name="Salida 14" xfId="745" xr:uid="{00000000-0005-0000-0000-00002D030000}"/>
    <cellStyle name="Salida 14 2" xfId="1386" xr:uid="{775E07ED-439B-473E-95AD-D692A20AF967}"/>
    <cellStyle name="Salida 14 2 2" xfId="1732" xr:uid="{AED1D51C-AB94-4240-87DE-D1EF3C033183}"/>
    <cellStyle name="Salida 14 3" xfId="1284" xr:uid="{ACE1612A-30CF-4757-BBAC-1AA25B5AEFF4}"/>
    <cellStyle name="Salida 14 3 2" xfId="1630" xr:uid="{EBABF4C7-43C7-4262-BB6A-3EF99E160617}"/>
    <cellStyle name="Salida 15" xfId="746" xr:uid="{00000000-0005-0000-0000-00002E030000}"/>
    <cellStyle name="Salida 15 2" xfId="1387" xr:uid="{CBE7F450-42D3-42EF-A542-061729AA9DDC}"/>
    <cellStyle name="Salida 15 2 2" xfId="1733" xr:uid="{8928F277-1CDB-47DA-B1AB-CB715F172459}"/>
    <cellStyle name="Salida 15 3" xfId="1283" xr:uid="{7D210F18-69A2-4A7A-B36B-A3AD47A6CD9E}"/>
    <cellStyle name="Salida 15 3 2" xfId="1629" xr:uid="{097C10CE-4E0F-4F3C-A2D2-8D7BB4424D76}"/>
    <cellStyle name="Salida 16" xfId="747" xr:uid="{00000000-0005-0000-0000-00002F030000}"/>
    <cellStyle name="Salida 16 2" xfId="1388" xr:uid="{D9DD9AA7-C1F9-4BF1-93DF-93D7706C7D53}"/>
    <cellStyle name="Salida 16 2 2" xfId="1734" xr:uid="{AF1FB2A0-A0CA-4C63-99D7-AACAEC5D9F16}"/>
    <cellStyle name="Salida 16 3" xfId="1282" xr:uid="{E793EA7E-CE97-4317-B4F8-F36799404960}"/>
    <cellStyle name="Salida 16 3 2" xfId="1628" xr:uid="{6E773325-F653-4F94-82DE-A1F4F3FD9D0A}"/>
    <cellStyle name="Salida 17" xfId="748" xr:uid="{00000000-0005-0000-0000-000030030000}"/>
    <cellStyle name="Salida 17 2" xfId="1389" xr:uid="{7D998C04-5DBF-4FB0-9256-CD629E6A72FA}"/>
    <cellStyle name="Salida 17 2 2" xfId="1735" xr:uid="{71B3A61B-A4C4-4760-9E84-FF43E719769D}"/>
    <cellStyle name="Salida 17 3" xfId="1281" xr:uid="{BADE9350-A5A3-49DC-8D95-D24862D29687}"/>
    <cellStyle name="Salida 17 3 2" xfId="1627" xr:uid="{D54A56DF-138C-427C-98C4-929F15092A45}"/>
    <cellStyle name="Salida 18" xfId="749" xr:uid="{00000000-0005-0000-0000-000031030000}"/>
    <cellStyle name="Salida 18 2" xfId="1390" xr:uid="{66E9DD5B-C16B-4326-BFF4-7B56F60E491A}"/>
    <cellStyle name="Salida 18 2 2" xfId="1736" xr:uid="{9CA1BE7B-2395-41C5-8111-56055C48B6AD}"/>
    <cellStyle name="Salida 18 3" xfId="1280" xr:uid="{61539899-FBD9-44BA-AB57-09685B20C309}"/>
    <cellStyle name="Salida 18 3 2" xfId="1626" xr:uid="{C12FFC22-8721-488A-8D63-269142829710}"/>
    <cellStyle name="Salida 19" xfId="750" xr:uid="{00000000-0005-0000-0000-000032030000}"/>
    <cellStyle name="Salida 19 2" xfId="1391" xr:uid="{E12BE989-0555-4048-A54C-837A1B8CF0D7}"/>
    <cellStyle name="Salida 19 2 2" xfId="1737" xr:uid="{74D80509-38F9-46B2-A98A-040AD38FB7CC}"/>
    <cellStyle name="Salida 19 3" xfId="1279" xr:uid="{739B929B-6330-4DDA-9BF1-3C0E70E5A6C9}"/>
    <cellStyle name="Salida 19 3 2" xfId="1625" xr:uid="{6E85BC0C-506D-47A6-8150-EE2F3D701EA7}"/>
    <cellStyle name="Salida 2" xfId="751" xr:uid="{00000000-0005-0000-0000-000033030000}"/>
    <cellStyle name="Salida 2 2" xfId="1392" xr:uid="{BF76D2DD-F351-4E83-98FE-AFC1D4148B3D}"/>
    <cellStyle name="Salida 2 2 2" xfId="1738" xr:uid="{E9AE983C-7426-4068-83DF-D5396F363E7E}"/>
    <cellStyle name="Salida 2 3" xfId="1278" xr:uid="{468890AF-710B-45AC-823A-68CA096BC93F}"/>
    <cellStyle name="Salida 2 3 2" xfId="1624" xr:uid="{71679BE2-521C-4696-8F1B-F82A1294A6EE}"/>
    <cellStyle name="Salida 3" xfId="752" xr:uid="{00000000-0005-0000-0000-000034030000}"/>
    <cellStyle name="Salida 3 2" xfId="1393" xr:uid="{ABC36D0A-4EEA-40E4-A438-32DFC4AD7840}"/>
    <cellStyle name="Salida 3 2 2" xfId="1739" xr:uid="{83289AE4-0637-4CA6-B90C-4096FC906688}"/>
    <cellStyle name="Salida 3 3" xfId="1277" xr:uid="{FB0F955C-CBFF-4D03-AC3E-0C5D8BE7B4D1}"/>
    <cellStyle name="Salida 3 3 2" xfId="1623" xr:uid="{83E2CDF0-482D-4DFF-BB4F-7937A66BDFCD}"/>
    <cellStyle name="Salida 4" xfId="753" xr:uid="{00000000-0005-0000-0000-000035030000}"/>
    <cellStyle name="Salida 4 2" xfId="1394" xr:uid="{741DFDD1-E02E-413A-B366-075BF6576DED}"/>
    <cellStyle name="Salida 4 2 2" xfId="1740" xr:uid="{09DCB3C2-288F-452D-AAFE-73E8E0F17D47}"/>
    <cellStyle name="Salida 4 3" xfId="1276" xr:uid="{BB4B9A96-9AF0-4AC1-AAE4-43259A57A4C2}"/>
    <cellStyle name="Salida 4 3 2" xfId="1622" xr:uid="{63EDC600-0B99-494B-8640-8C0614B6AF68}"/>
    <cellStyle name="Salida 5" xfId="754" xr:uid="{00000000-0005-0000-0000-000036030000}"/>
    <cellStyle name="Salida 5 2" xfId="1395" xr:uid="{E4816D26-F945-4868-8836-13FF787566C7}"/>
    <cellStyle name="Salida 5 2 2" xfId="1741" xr:uid="{957C640E-D94B-4317-A958-D903E00A8CB3}"/>
    <cellStyle name="Salida 5 3" xfId="1275" xr:uid="{EEE1B5B2-4A3D-42DF-B5C4-C37D4192725F}"/>
    <cellStyle name="Salida 5 3 2" xfId="1621" xr:uid="{F747DF63-F21C-467E-9F67-6946CA0B1A6A}"/>
    <cellStyle name="Salida 6" xfId="755" xr:uid="{00000000-0005-0000-0000-000037030000}"/>
    <cellStyle name="Salida 6 2" xfId="1396" xr:uid="{24F1713A-38B7-4FDA-A37C-E46EDB348C6C}"/>
    <cellStyle name="Salida 6 2 2" xfId="1742" xr:uid="{CED7B620-EAA4-42C8-BD7D-FB6DFE6C0A1A}"/>
    <cellStyle name="Salida 6 3" xfId="1274" xr:uid="{C35F33BE-3AF7-4238-B337-EE978A4B1D1E}"/>
    <cellStyle name="Salida 6 3 2" xfId="1620" xr:uid="{B6369029-47C6-4863-8F6F-4B5BDF099660}"/>
    <cellStyle name="Salida 7" xfId="756" xr:uid="{00000000-0005-0000-0000-000038030000}"/>
    <cellStyle name="Salida 7 2" xfId="1397" xr:uid="{D63FF4BD-6794-4E6B-9ECC-366CFBB63CF0}"/>
    <cellStyle name="Salida 7 2 2" xfId="1743" xr:uid="{AEA3B04D-699D-4D1A-8AA3-E23E065AAADD}"/>
    <cellStyle name="Salida 7 3" xfId="1273" xr:uid="{4C828102-7868-459D-8E47-7DAAB5D6251F}"/>
    <cellStyle name="Salida 7 3 2" xfId="1619" xr:uid="{7A8C3221-8ADE-4EC5-9BBD-94087A037599}"/>
    <cellStyle name="Salida 8" xfId="757" xr:uid="{00000000-0005-0000-0000-000039030000}"/>
    <cellStyle name="Salida 8 2" xfId="1398" xr:uid="{4B87152B-2C07-488E-8C91-9D0FBB398C1B}"/>
    <cellStyle name="Salida 8 2 2" xfId="1744" xr:uid="{B9B5DDE6-7808-4786-AF6B-0E6A5144E01A}"/>
    <cellStyle name="Salida 8 3" xfId="1272" xr:uid="{9951AC38-5659-4965-9262-19AF0797A71A}"/>
    <cellStyle name="Salida 8 3 2" xfId="1618" xr:uid="{675FDB9B-EABC-4FB1-8857-B99FCA649D90}"/>
    <cellStyle name="Salida 9" xfId="758" xr:uid="{00000000-0005-0000-0000-00003A030000}"/>
    <cellStyle name="Salida 9 2" xfId="1399" xr:uid="{2CB21908-6A80-417F-A6EC-88EF3EC426DE}"/>
    <cellStyle name="Salida 9 2 2" xfId="1745" xr:uid="{1EEDBB13-06B3-47E2-BFF5-9084CE7995DE}"/>
    <cellStyle name="Salida 9 3" xfId="1271" xr:uid="{29E0C49D-3B02-4808-A19C-C21F46D2A268}"/>
    <cellStyle name="Salida 9 3 2" xfId="1617" xr:uid="{7CE05A64-5522-4960-AD8E-E0951D6F1A5A}"/>
    <cellStyle name="Texto de advertencia 10" xfId="759" xr:uid="{00000000-0005-0000-0000-00003C030000}"/>
    <cellStyle name="Texto de advertencia 11" xfId="760" xr:uid="{00000000-0005-0000-0000-00003D030000}"/>
    <cellStyle name="Texto de advertencia 12" xfId="761" xr:uid="{00000000-0005-0000-0000-00003E030000}"/>
    <cellStyle name="Texto de advertencia 13" xfId="762" xr:uid="{00000000-0005-0000-0000-00003F030000}"/>
    <cellStyle name="Texto de advertencia 14" xfId="763" xr:uid="{00000000-0005-0000-0000-000040030000}"/>
    <cellStyle name="Texto de advertencia 15" xfId="764" xr:uid="{00000000-0005-0000-0000-000041030000}"/>
    <cellStyle name="Texto de advertencia 16" xfId="765" xr:uid="{00000000-0005-0000-0000-000042030000}"/>
    <cellStyle name="Texto de advertencia 17" xfId="766" xr:uid="{00000000-0005-0000-0000-000043030000}"/>
    <cellStyle name="Texto de advertencia 18" xfId="767" xr:uid="{00000000-0005-0000-0000-000044030000}"/>
    <cellStyle name="Texto de advertencia 19" xfId="768" xr:uid="{00000000-0005-0000-0000-000045030000}"/>
    <cellStyle name="Texto de advertencia 2" xfId="769" xr:uid="{00000000-0005-0000-0000-000046030000}"/>
    <cellStyle name="Texto de advertencia 20" xfId="1023" xr:uid="{2A7B8064-B97C-4B7E-88AC-A04EE370481A}"/>
    <cellStyle name="Texto de advertencia 3" xfId="770" xr:uid="{00000000-0005-0000-0000-000047030000}"/>
    <cellStyle name="Texto de advertencia 4" xfId="771" xr:uid="{00000000-0005-0000-0000-000048030000}"/>
    <cellStyle name="Texto de advertencia 5" xfId="772" xr:uid="{00000000-0005-0000-0000-000049030000}"/>
    <cellStyle name="Texto de advertencia 6" xfId="773" xr:uid="{00000000-0005-0000-0000-00004A030000}"/>
    <cellStyle name="Texto de advertencia 7" xfId="774" xr:uid="{00000000-0005-0000-0000-00004B030000}"/>
    <cellStyle name="Texto de advertencia 8" xfId="775" xr:uid="{00000000-0005-0000-0000-00004C030000}"/>
    <cellStyle name="Texto de advertencia 9" xfId="776" xr:uid="{00000000-0005-0000-0000-00004D030000}"/>
    <cellStyle name="Texto explicativo 10" xfId="778" xr:uid="{00000000-0005-0000-0000-00004E030000}"/>
    <cellStyle name="Texto explicativo 11" xfId="779" xr:uid="{00000000-0005-0000-0000-00004F030000}"/>
    <cellStyle name="Texto explicativo 12" xfId="780" xr:uid="{00000000-0005-0000-0000-000050030000}"/>
    <cellStyle name="Texto explicativo 13" xfId="781" xr:uid="{00000000-0005-0000-0000-000051030000}"/>
    <cellStyle name="Texto explicativo 14" xfId="782" xr:uid="{00000000-0005-0000-0000-000052030000}"/>
    <cellStyle name="Texto explicativo 15" xfId="783" xr:uid="{00000000-0005-0000-0000-000053030000}"/>
    <cellStyle name="Texto explicativo 16" xfId="784" xr:uid="{00000000-0005-0000-0000-000054030000}"/>
    <cellStyle name="Texto explicativo 17" xfId="785" xr:uid="{00000000-0005-0000-0000-000055030000}"/>
    <cellStyle name="Texto explicativo 18" xfId="786" xr:uid="{00000000-0005-0000-0000-000056030000}"/>
    <cellStyle name="Texto explicativo 19" xfId="787" xr:uid="{00000000-0005-0000-0000-000057030000}"/>
    <cellStyle name="Texto explicativo 2" xfId="788" xr:uid="{00000000-0005-0000-0000-000058030000}"/>
    <cellStyle name="Texto explicativo 3" xfId="789" xr:uid="{00000000-0005-0000-0000-000059030000}"/>
    <cellStyle name="Texto explicativo 4" xfId="790" xr:uid="{00000000-0005-0000-0000-00005A030000}"/>
    <cellStyle name="Texto explicativo 5" xfId="791" xr:uid="{00000000-0005-0000-0000-00005B030000}"/>
    <cellStyle name="Texto explicativo 6" xfId="792" xr:uid="{00000000-0005-0000-0000-00005C030000}"/>
    <cellStyle name="Texto explicativo 7" xfId="793" xr:uid="{00000000-0005-0000-0000-00005D030000}"/>
    <cellStyle name="Texto explicativo 8" xfId="794" xr:uid="{00000000-0005-0000-0000-00005E030000}"/>
    <cellStyle name="Texto explicativo 9" xfId="795" xr:uid="{00000000-0005-0000-0000-00005F030000}"/>
    <cellStyle name="Title" xfId="797" xr:uid="{00000000-0005-0000-0000-000060030000}"/>
    <cellStyle name="Title 2" xfId="796" xr:uid="{00000000-0005-0000-0000-000061030000}"/>
    <cellStyle name="Title 3" xfId="1196" xr:uid="{7C50D282-3F73-4175-820B-6E94B4B0122D}"/>
    <cellStyle name="Title 4" xfId="972" xr:uid="{BCCFC123-B151-4E4E-9AF0-1B65AF5F8793}"/>
    <cellStyle name="Título 1 10" xfId="798" xr:uid="{00000000-0005-0000-0000-000062030000}"/>
    <cellStyle name="Título 1 11" xfId="799" xr:uid="{00000000-0005-0000-0000-000063030000}"/>
    <cellStyle name="Título 1 12" xfId="800" xr:uid="{00000000-0005-0000-0000-000064030000}"/>
    <cellStyle name="Título 1 13" xfId="801" xr:uid="{00000000-0005-0000-0000-000065030000}"/>
    <cellStyle name="Título 1 14" xfId="802" xr:uid="{00000000-0005-0000-0000-000066030000}"/>
    <cellStyle name="Título 1 15" xfId="803" xr:uid="{00000000-0005-0000-0000-000067030000}"/>
    <cellStyle name="Título 1 16" xfId="804" xr:uid="{00000000-0005-0000-0000-000068030000}"/>
    <cellStyle name="Título 1 17" xfId="805" xr:uid="{00000000-0005-0000-0000-000069030000}"/>
    <cellStyle name="Título 1 18" xfId="806" xr:uid="{00000000-0005-0000-0000-00006A030000}"/>
    <cellStyle name="Título 1 19" xfId="807" xr:uid="{00000000-0005-0000-0000-00006B030000}"/>
    <cellStyle name="Título 1 2" xfId="808" xr:uid="{00000000-0005-0000-0000-00006C030000}"/>
    <cellStyle name="Título 1 3" xfId="809" xr:uid="{00000000-0005-0000-0000-00006D030000}"/>
    <cellStyle name="Título 1 4" xfId="810" xr:uid="{00000000-0005-0000-0000-00006E030000}"/>
    <cellStyle name="Título 1 5" xfId="811" xr:uid="{00000000-0005-0000-0000-00006F030000}"/>
    <cellStyle name="Título 1 6" xfId="812" xr:uid="{00000000-0005-0000-0000-000070030000}"/>
    <cellStyle name="Título 1 7" xfId="813" xr:uid="{00000000-0005-0000-0000-000071030000}"/>
    <cellStyle name="Título 1 8" xfId="814" xr:uid="{00000000-0005-0000-0000-000072030000}"/>
    <cellStyle name="Título 1 9" xfId="815" xr:uid="{00000000-0005-0000-0000-000073030000}"/>
    <cellStyle name="Título 10" xfId="816" xr:uid="{00000000-0005-0000-0000-000074030000}"/>
    <cellStyle name="Título 11" xfId="817" xr:uid="{00000000-0005-0000-0000-000075030000}"/>
    <cellStyle name="Título 12" xfId="818" xr:uid="{00000000-0005-0000-0000-000076030000}"/>
    <cellStyle name="Título 13" xfId="819" xr:uid="{00000000-0005-0000-0000-000077030000}"/>
    <cellStyle name="Título 14" xfId="820" xr:uid="{00000000-0005-0000-0000-000078030000}"/>
    <cellStyle name="Título 15" xfId="821" xr:uid="{00000000-0005-0000-0000-000079030000}"/>
    <cellStyle name="Título 16" xfId="822" xr:uid="{00000000-0005-0000-0000-00007A030000}"/>
    <cellStyle name="Título 17" xfId="823" xr:uid="{00000000-0005-0000-0000-00007B030000}"/>
    <cellStyle name="Título 18" xfId="824" xr:uid="{00000000-0005-0000-0000-00007C030000}"/>
    <cellStyle name="Título 19" xfId="825" xr:uid="{00000000-0005-0000-0000-00007D030000}"/>
    <cellStyle name="Título 2 10" xfId="827" xr:uid="{00000000-0005-0000-0000-00007E030000}"/>
    <cellStyle name="Título 2 11" xfId="828" xr:uid="{00000000-0005-0000-0000-00007F030000}"/>
    <cellStyle name="Título 2 12" xfId="829" xr:uid="{00000000-0005-0000-0000-000080030000}"/>
    <cellStyle name="Título 2 13" xfId="830" xr:uid="{00000000-0005-0000-0000-000081030000}"/>
    <cellStyle name="Título 2 14" xfId="831" xr:uid="{00000000-0005-0000-0000-000082030000}"/>
    <cellStyle name="Título 2 15" xfId="832" xr:uid="{00000000-0005-0000-0000-000083030000}"/>
    <cellStyle name="Título 2 16" xfId="833" xr:uid="{00000000-0005-0000-0000-000084030000}"/>
    <cellStyle name="Título 2 17" xfId="834" xr:uid="{00000000-0005-0000-0000-000085030000}"/>
    <cellStyle name="Título 2 18" xfId="835" xr:uid="{00000000-0005-0000-0000-000086030000}"/>
    <cellStyle name="Título 2 19" xfId="836" xr:uid="{00000000-0005-0000-0000-000087030000}"/>
    <cellStyle name="Título 2 2" xfId="837" xr:uid="{00000000-0005-0000-0000-000088030000}"/>
    <cellStyle name="Título 2 3" xfId="838" xr:uid="{00000000-0005-0000-0000-000089030000}"/>
    <cellStyle name="Título 2 4" xfId="839" xr:uid="{00000000-0005-0000-0000-00008A030000}"/>
    <cellStyle name="Título 2 5" xfId="840" xr:uid="{00000000-0005-0000-0000-00008B030000}"/>
    <cellStyle name="Título 2 6" xfId="841" xr:uid="{00000000-0005-0000-0000-00008C030000}"/>
    <cellStyle name="Título 2 7" xfId="842" xr:uid="{00000000-0005-0000-0000-00008D030000}"/>
    <cellStyle name="Título 2 8" xfId="843" xr:uid="{00000000-0005-0000-0000-00008E030000}"/>
    <cellStyle name="Título 2 9" xfId="844" xr:uid="{00000000-0005-0000-0000-00008F030000}"/>
    <cellStyle name="Título 20" xfId="845" xr:uid="{00000000-0005-0000-0000-000090030000}"/>
    <cellStyle name="Título 21" xfId="846" xr:uid="{00000000-0005-0000-0000-000091030000}"/>
    <cellStyle name="Título 3 10" xfId="848" xr:uid="{00000000-0005-0000-0000-000092030000}"/>
    <cellStyle name="Título 3 11" xfId="849" xr:uid="{00000000-0005-0000-0000-000093030000}"/>
    <cellStyle name="Título 3 12" xfId="850" xr:uid="{00000000-0005-0000-0000-000094030000}"/>
    <cellStyle name="Título 3 13" xfId="851" xr:uid="{00000000-0005-0000-0000-000095030000}"/>
    <cellStyle name="Título 3 14" xfId="852" xr:uid="{00000000-0005-0000-0000-000096030000}"/>
    <cellStyle name="Título 3 15" xfId="853" xr:uid="{00000000-0005-0000-0000-000097030000}"/>
    <cellStyle name="Título 3 16" xfId="854" xr:uid="{00000000-0005-0000-0000-000098030000}"/>
    <cellStyle name="Título 3 17" xfId="855" xr:uid="{00000000-0005-0000-0000-000099030000}"/>
    <cellStyle name="Título 3 18" xfId="856" xr:uid="{00000000-0005-0000-0000-00009A030000}"/>
    <cellStyle name="Título 3 19" xfId="857" xr:uid="{00000000-0005-0000-0000-00009B030000}"/>
    <cellStyle name="Título 3 2" xfId="858" xr:uid="{00000000-0005-0000-0000-00009C030000}"/>
    <cellStyle name="Título 3 3" xfId="859" xr:uid="{00000000-0005-0000-0000-00009D030000}"/>
    <cellStyle name="Título 3 4" xfId="860" xr:uid="{00000000-0005-0000-0000-00009E030000}"/>
    <cellStyle name="Título 3 5" xfId="861" xr:uid="{00000000-0005-0000-0000-00009F030000}"/>
    <cellStyle name="Título 3 6" xfId="862" xr:uid="{00000000-0005-0000-0000-0000A0030000}"/>
    <cellStyle name="Título 3 7" xfId="863" xr:uid="{00000000-0005-0000-0000-0000A1030000}"/>
    <cellStyle name="Título 3 8" xfId="864" xr:uid="{00000000-0005-0000-0000-0000A2030000}"/>
    <cellStyle name="Título 3 9" xfId="865" xr:uid="{00000000-0005-0000-0000-0000A3030000}"/>
    <cellStyle name="Título 4" xfId="866" xr:uid="{00000000-0005-0000-0000-0000A4030000}"/>
    <cellStyle name="Título 5" xfId="867" xr:uid="{00000000-0005-0000-0000-0000A5030000}"/>
    <cellStyle name="Título 6" xfId="868" xr:uid="{00000000-0005-0000-0000-0000A6030000}"/>
    <cellStyle name="Título 7" xfId="869" xr:uid="{00000000-0005-0000-0000-0000A7030000}"/>
    <cellStyle name="Título 8" xfId="870" xr:uid="{00000000-0005-0000-0000-0000A8030000}"/>
    <cellStyle name="Título 9" xfId="871" xr:uid="{00000000-0005-0000-0000-0000A9030000}"/>
    <cellStyle name="Total" xfId="872" builtinId="25" customBuiltin="1"/>
    <cellStyle name="Total 10" xfId="873" xr:uid="{00000000-0005-0000-0000-0000AB030000}"/>
    <cellStyle name="Total 10 2" xfId="1401" xr:uid="{458B23C7-CBAE-44AA-9F06-41BDD6662FFC}"/>
    <cellStyle name="Total 10 2 2" xfId="1747" xr:uid="{6F0080D5-4FB2-4455-8F72-50971016CE0E}"/>
    <cellStyle name="Total 10 3" xfId="1269" xr:uid="{ABAD2CAA-4A2C-47A9-B0EF-22B4A3ADA1FC}"/>
    <cellStyle name="Total 10 3 2" xfId="1615" xr:uid="{2ECC25A4-E992-4C82-82D9-E5C035ACC000}"/>
    <cellStyle name="Total 11" xfId="874" xr:uid="{00000000-0005-0000-0000-0000AC030000}"/>
    <cellStyle name="Total 11 2" xfId="1402" xr:uid="{B36FC165-3BEE-4AAD-A3E2-D3B1191F7D01}"/>
    <cellStyle name="Total 11 2 2" xfId="1748" xr:uid="{D3A42707-0C79-4194-90D4-AF3F0265A371}"/>
    <cellStyle name="Total 11 3" xfId="1268" xr:uid="{C033BD02-0DF8-4A07-AA0E-6297AFB5A2C5}"/>
    <cellStyle name="Total 11 3 2" xfId="1614" xr:uid="{4D0DA550-1DFE-4F4E-A730-FA8EA91D666C}"/>
    <cellStyle name="Total 12" xfId="875" xr:uid="{00000000-0005-0000-0000-0000AD030000}"/>
    <cellStyle name="Total 12 2" xfId="1403" xr:uid="{3844E49D-9A4D-42B2-B362-9D2D6682B3FF}"/>
    <cellStyle name="Total 12 2 2" xfId="1749" xr:uid="{ADD17343-C102-44B8-9FCF-34F16C8C336B}"/>
    <cellStyle name="Total 12 3" xfId="1267" xr:uid="{0D0AACCE-A249-4AE7-83D7-E6DE3C11E608}"/>
    <cellStyle name="Total 12 3 2" xfId="1613" xr:uid="{5CE58A95-4146-49C4-889D-719CAD791AAC}"/>
    <cellStyle name="Total 13" xfId="876" xr:uid="{00000000-0005-0000-0000-0000AE030000}"/>
    <cellStyle name="Total 13 2" xfId="1404" xr:uid="{A785572C-31E3-4F19-AFCD-6A3E3B598818}"/>
    <cellStyle name="Total 13 2 2" xfId="1750" xr:uid="{6B6133CA-19BB-497C-8C05-B1F6F5A3F839}"/>
    <cellStyle name="Total 13 3" xfId="1266" xr:uid="{1FDDF12A-CE72-4076-BF64-CBDC2A163785}"/>
    <cellStyle name="Total 13 3 2" xfId="1612" xr:uid="{2BA313DF-10A3-446A-9C4A-50B6E28C1562}"/>
    <cellStyle name="Total 14" xfId="877" xr:uid="{00000000-0005-0000-0000-0000AF030000}"/>
    <cellStyle name="Total 14 2" xfId="1405" xr:uid="{CFAC7DB1-27F5-479A-AC44-5969E4842D1D}"/>
    <cellStyle name="Total 14 2 2" xfId="1751" xr:uid="{3655DDF5-9E25-41CF-8EB3-3DE136A63C76}"/>
    <cellStyle name="Total 14 3" xfId="1265" xr:uid="{668AA694-51AE-4668-B4F8-6961CBACAD16}"/>
    <cellStyle name="Total 14 3 2" xfId="1611" xr:uid="{7EC0A360-B301-4F59-B110-10D352EEA596}"/>
    <cellStyle name="Total 15" xfId="878" xr:uid="{00000000-0005-0000-0000-0000B0030000}"/>
    <cellStyle name="Total 15 2" xfId="1406" xr:uid="{7DB3116A-B394-417F-BE5B-4DB5EAB01810}"/>
    <cellStyle name="Total 15 2 2" xfId="1752" xr:uid="{7F573A73-6646-4CB4-913A-E49E9CA73E5E}"/>
    <cellStyle name="Total 15 3" xfId="1264" xr:uid="{20B07718-0EA4-4CDB-9438-16D043A44D97}"/>
    <cellStyle name="Total 15 3 2" xfId="1610" xr:uid="{0EFE89AD-ADC5-4E19-A7B2-514535246CE1}"/>
    <cellStyle name="Total 16" xfId="879" xr:uid="{00000000-0005-0000-0000-0000B1030000}"/>
    <cellStyle name="Total 16 2" xfId="1407" xr:uid="{22700E30-6E04-488F-A76D-E58FF969C71A}"/>
    <cellStyle name="Total 16 2 2" xfId="1753" xr:uid="{F6C17396-C5B5-4C17-85C5-40FB21EAB7E5}"/>
    <cellStyle name="Total 16 3" xfId="1263" xr:uid="{2CF2EE37-1940-41F9-A69A-D915364190A2}"/>
    <cellStyle name="Total 16 3 2" xfId="1609" xr:uid="{ABF9ED52-A75B-43A4-9A4C-101ABFB265AD}"/>
    <cellStyle name="Total 17" xfId="880" xr:uid="{00000000-0005-0000-0000-0000B2030000}"/>
    <cellStyle name="Total 17 2" xfId="1408" xr:uid="{5E0278E4-6A4E-4AD7-B882-F2555281826E}"/>
    <cellStyle name="Total 17 2 2" xfId="1754" xr:uid="{EF2A3B23-AF75-4719-839B-C4F443FE3180}"/>
    <cellStyle name="Total 17 3" xfId="1262" xr:uid="{BD8067E7-4E8D-4D3E-AFE4-D4A1B0AEC3EB}"/>
    <cellStyle name="Total 17 3 2" xfId="1608" xr:uid="{88EDC877-ED7B-42C1-8153-D8584718554B}"/>
    <cellStyle name="Total 18" xfId="881" xr:uid="{00000000-0005-0000-0000-0000B3030000}"/>
    <cellStyle name="Total 18 2" xfId="1409" xr:uid="{7827832D-9BA8-43BB-B7E1-FDB164C986AE}"/>
    <cellStyle name="Total 18 2 2" xfId="1755" xr:uid="{6E8F8BF3-1106-4C18-83F4-0529C6A591E7}"/>
    <cellStyle name="Total 18 3" xfId="1261" xr:uid="{3AD5CCD2-716D-482A-BB5B-79F8FD175AEC}"/>
    <cellStyle name="Total 18 3 2" xfId="1607" xr:uid="{CACDFCEA-86FB-4044-8FD2-3C7777763F0D}"/>
    <cellStyle name="Total 19" xfId="882" xr:uid="{00000000-0005-0000-0000-0000B4030000}"/>
    <cellStyle name="Total 19 2" xfId="1410" xr:uid="{4F4FE662-5466-4F7C-9E62-40A433FBF647}"/>
    <cellStyle name="Total 19 2 2" xfId="1756" xr:uid="{CC6D36E4-3D25-4C48-A6F5-4C487B7702C0}"/>
    <cellStyle name="Total 19 3" xfId="1260" xr:uid="{864AF389-C41A-4520-B5B2-03DC2F6EAD8D}"/>
    <cellStyle name="Total 19 3 2" xfId="1606" xr:uid="{046FB952-1011-4D89-930F-6746C0799A4F}"/>
    <cellStyle name="Total 2" xfId="883" xr:uid="{00000000-0005-0000-0000-0000B5030000}"/>
    <cellStyle name="Total 2 2" xfId="1411" xr:uid="{2CA8EE17-5B2E-41C8-AA44-3D86F1149557}"/>
    <cellStyle name="Total 2 2 2" xfId="1757" xr:uid="{FA4C9069-7C12-4548-8CA9-4C0BE2B8D8CD}"/>
    <cellStyle name="Total 2 3" xfId="1259" xr:uid="{0CD67286-7BD6-4FE5-953A-3A0AF1A80AE0}"/>
    <cellStyle name="Total 2 3 2" xfId="1605" xr:uid="{D4AE6E80-8812-4E23-A7E7-0CA7A3D8FC90}"/>
    <cellStyle name="Total 20" xfId="1024" xr:uid="{CF28C7DD-1702-42D6-8742-2A4CA00D61B9}"/>
    <cellStyle name="Total 20 2" xfId="1197" xr:uid="{5D9025ED-6720-4133-A108-059D0ECC439B}"/>
    <cellStyle name="Total 20 2 2" xfId="1552" xr:uid="{0EEFA226-116D-4CCA-B509-9980D587190D}"/>
    <cellStyle name="Total 20 2 2 2" xfId="1798" xr:uid="{F6008EC3-12CD-49D8-AAD2-B8F8955579D9}"/>
    <cellStyle name="Total 20 2 3" xfId="1597" xr:uid="{90706918-2CD6-4FB6-8199-5EE3A31A2223}"/>
    <cellStyle name="Total 20 2 3 2" xfId="1803" xr:uid="{5FC2693A-3F79-480E-9848-55E2EEBC8889}"/>
    <cellStyle name="Total 3" xfId="884" xr:uid="{00000000-0005-0000-0000-0000B6030000}"/>
    <cellStyle name="Total 3 2" xfId="1412" xr:uid="{2AC67388-66F9-4770-BB59-145BBA155CBA}"/>
    <cellStyle name="Total 3 2 2" xfId="1758" xr:uid="{DD779779-CFA5-4858-9456-063782D46537}"/>
    <cellStyle name="Total 3 3" xfId="1258" xr:uid="{559FF61A-B9FA-49A1-8EDF-3542AF54A8DA}"/>
    <cellStyle name="Total 3 3 2" xfId="1604" xr:uid="{A9AB2DCE-5167-4ADD-8977-C7E5BB2FA032}"/>
    <cellStyle name="Total 4" xfId="885" xr:uid="{00000000-0005-0000-0000-0000B7030000}"/>
    <cellStyle name="Total 4 2" xfId="1413" xr:uid="{808190AA-8E07-4EE2-9FFF-640CD01C6AB0}"/>
    <cellStyle name="Total 4 2 2" xfId="1759" xr:uid="{5A883B86-E68B-42CD-BF75-FCA00C34C0FE}"/>
    <cellStyle name="Total 4 3" xfId="1257" xr:uid="{F65742B2-606E-4820-B2BF-42E5C53C6060}"/>
    <cellStyle name="Total 4 3 2" xfId="1603" xr:uid="{5B3F23A8-3B52-4B1C-8095-FB59BEC34EB1}"/>
    <cellStyle name="Total 5" xfId="886" xr:uid="{00000000-0005-0000-0000-0000B8030000}"/>
    <cellStyle name="Total 5 2" xfId="1414" xr:uid="{B419F4EC-0CFC-4564-89A4-AE3CEC63C748}"/>
    <cellStyle name="Total 5 2 2" xfId="1760" xr:uid="{35C0E04F-6AA2-459B-97DA-BA16EE5AA6D4}"/>
    <cellStyle name="Total 5 3" xfId="1256" xr:uid="{FDC9AFB4-B2F9-46D6-B3DE-9A7E5295A7BD}"/>
    <cellStyle name="Total 5 3 2" xfId="1602" xr:uid="{E613678F-E495-4431-8040-34189B29D5D6}"/>
    <cellStyle name="Total 6" xfId="887" xr:uid="{00000000-0005-0000-0000-0000B9030000}"/>
    <cellStyle name="Total 6 2" xfId="1415" xr:uid="{6F4C2F07-E5DE-4EF0-9F30-4FEDB92B96A0}"/>
    <cellStyle name="Total 6 2 2" xfId="1761" xr:uid="{2174E7F8-3FF1-48A4-857E-F6FAC292F924}"/>
    <cellStyle name="Total 6 3" xfId="1255" xr:uid="{DEA42D3D-F91E-4C31-8FC1-008FF451CBB5}"/>
    <cellStyle name="Total 6 3 2" xfId="1601" xr:uid="{ECE7CA4D-C887-4AF8-94B4-F807F301A2FF}"/>
    <cellStyle name="Total 7" xfId="888" xr:uid="{00000000-0005-0000-0000-0000BA030000}"/>
    <cellStyle name="Total 7 2" xfId="1416" xr:uid="{930976E9-1183-4F77-8049-95F9EDE3D91C}"/>
    <cellStyle name="Total 7 2 2" xfId="1762" xr:uid="{C925C77B-C8E4-42C1-9979-3CD4892A52B8}"/>
    <cellStyle name="Total 7 3" xfId="1254" xr:uid="{4F954AA5-8896-4A41-9C1E-3E2AF6827A08}"/>
    <cellStyle name="Total 7 3 2" xfId="1600" xr:uid="{CC50B6A6-605E-4D68-8AFC-B0570D1F7F45}"/>
    <cellStyle name="Total 8" xfId="889" xr:uid="{00000000-0005-0000-0000-0000BB030000}"/>
    <cellStyle name="Total 8 2" xfId="1417" xr:uid="{EF5A0303-8341-48E7-B7B9-80D1C2AA9ADB}"/>
    <cellStyle name="Total 8 2 2" xfId="1763" xr:uid="{CC9CC1A0-C9A0-47A0-89DF-A2BA86876702}"/>
    <cellStyle name="Total 8 3" xfId="1253" xr:uid="{4A3AFC0D-B81C-45EE-B30F-DC5866D298EA}"/>
    <cellStyle name="Total 8 3 2" xfId="1599" xr:uid="{5C042D50-DC2E-421C-B2C1-1BBBB5D1E38F}"/>
    <cellStyle name="Total 9" xfId="890" xr:uid="{00000000-0005-0000-0000-0000BC030000}"/>
    <cellStyle name="Total 9 2" xfId="1418" xr:uid="{2BA61D73-6CBF-48B2-BE4D-0A1C91627EBE}"/>
    <cellStyle name="Total 9 2 2" xfId="1764" xr:uid="{6C3F0D05-E949-4CF8-BD47-B3E214DBEF6B}"/>
    <cellStyle name="Total 9 3" xfId="1252" xr:uid="{2EB7A768-7FE4-45A5-953C-B9323923B7E0}"/>
    <cellStyle name="Total 9 3 2" xfId="1598" xr:uid="{90451C55-BE84-4998-B957-15A533E3428C}"/>
    <cellStyle name="Warning Text" xfId="891" builtinId="11" customBuiltin="1"/>
    <cellStyle name="Warning Text 2" xfId="892" xr:uid="{00000000-0005-0000-0000-0000BD030000}"/>
    <cellStyle name="Warning Text 3" xfId="1198" xr:uid="{186C4560-3B9E-4F0E-A934-F358E70C033E}"/>
    <cellStyle name="Ввод  2" xfId="1358" xr:uid="{BC261BE0-4932-4503-8FBC-F66EAC69A0AF}"/>
    <cellStyle name="Ввод  2 2" xfId="1704" xr:uid="{12B87E18-10DE-4488-9792-F4F765953BE3}"/>
    <cellStyle name="Ввод  3" xfId="1292" xr:uid="{8F046C27-2E98-49CE-B10F-FF8AA03E0236}"/>
    <cellStyle name="Ввод  3 2" xfId="1638" xr:uid="{D13ED3F8-4102-49C0-892A-FB83A36FBAA6}"/>
    <cellStyle name="Итог 2" xfId="1400" xr:uid="{F83A21E9-391C-42C7-89B3-AF53E7BB72F3}"/>
    <cellStyle name="Итог 2 2" xfId="1746" xr:uid="{103ED2CF-15D0-401D-8883-9B13AE8F522D}"/>
    <cellStyle name="Итог 3" xfId="1270" xr:uid="{A9D3BF7E-73D8-47EE-9D78-E74969E4A9B6}"/>
    <cellStyle name="Итог 3 2" xfId="1616" xr:uid="{CFA7826B-ADF2-4AE6-A9C7-356BAB9CD2A7}"/>
    <cellStyle name="Примечание 2" xfId="1379" xr:uid="{D624A487-2E77-4C3C-BB8F-1D40CBBC7A09}"/>
    <cellStyle name="Примечание 2 2" xfId="1725" xr:uid="{1481689F-6DB9-4104-A023-2FACBAECB2E4}"/>
    <cellStyle name="Примечание 3" xfId="1536" xr:uid="{684DA704-FC86-4DCA-9AC2-5F1B65368F5F}"/>
    <cellStyle name="Примечание 3 2" xfId="1789" xr:uid="{E03E1414-F16F-42DA-BF37-54A879510D9B}"/>
  </cellStyles>
  <dxfs count="29306">
    <dxf>
      <font>
        <color theme="0"/>
      </font>
    </dxf>
    <dxf>
      <font>
        <b/>
        <i val="0"/>
        <color rgb="FFFF0000"/>
      </font>
    </dxf>
    <dxf>
      <font>
        <color theme="0"/>
      </font>
    </dxf>
    <dxf>
      <font>
        <color theme="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ont>
        <color rgb="FF7030A0"/>
      </font>
    </dxf>
    <dxf>
      <font>
        <color rgb="FF00B050"/>
      </font>
    </dxf>
    <dxf>
      <font>
        <b/>
        <i val="0"/>
        <color rgb="FFFFC00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7030A0"/>
      </font>
    </dxf>
    <dxf>
      <font>
        <b/>
        <i val="0"/>
        <color rgb="FF00B0F0"/>
      </font>
    </dxf>
    <dxf>
      <font>
        <b/>
        <i val="0"/>
        <color rgb="FFFFC000"/>
      </font>
    </dxf>
    <dxf>
      <font>
        <color theme="3"/>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50"/>
      </font>
    </dxf>
    <dxf>
      <font>
        <b/>
        <i val="0"/>
        <color rgb="FFFFC000"/>
      </font>
    </dxf>
    <dxf>
      <font>
        <b/>
        <i val="0"/>
        <color rgb="FFFF0000"/>
      </font>
    </dxf>
    <dxf>
      <font>
        <b/>
        <i val="0"/>
        <color rgb="FFFF0000"/>
      </font>
    </dxf>
    <dxf>
      <font>
        <b/>
        <i val="0"/>
        <color rgb="FFFF0000"/>
      </font>
    </dxf>
    <dxf>
      <font>
        <b/>
        <i val="0"/>
        <color rgb="FFFF0000"/>
      </font>
    </dxf>
    <dxf>
      <font>
        <b/>
        <i val="0"/>
        <color rgb="FFFF0000"/>
      </font>
    </dxf>
    <dxf>
      <font>
        <b/>
        <i val="0"/>
        <color rgb="FF00FF00"/>
      </font>
    </dxf>
    <dxf>
      <font>
        <b/>
        <i val="0"/>
        <color rgb="FF00B0F0"/>
      </font>
    </dxf>
    <dxf>
      <font>
        <b/>
        <i val="0"/>
        <color rgb="FF7030A0"/>
      </font>
    </dxf>
    <dxf>
      <font>
        <b/>
        <i val="0"/>
        <color rgb="FF00FF00"/>
      </font>
    </dxf>
    <dxf>
      <font>
        <b/>
        <i val="0"/>
        <color rgb="FF00B0F0"/>
      </font>
    </dxf>
    <dxf>
      <font>
        <b/>
        <i val="0"/>
        <color rgb="FF7030A0"/>
      </font>
    </dxf>
    <dxf>
      <font>
        <b/>
        <i val="0"/>
        <color rgb="FF00FF00"/>
      </font>
    </dxf>
    <dxf>
      <font>
        <b/>
        <i val="0"/>
        <color rgb="FF00B0F0"/>
      </font>
    </dxf>
    <dxf>
      <font>
        <b/>
        <i val="0"/>
        <color rgb="FF7030A0"/>
      </font>
    </dxf>
    <dxf>
      <font>
        <color rgb="FF7030A0"/>
      </font>
    </dxf>
    <dxf>
      <font>
        <b/>
        <i val="0"/>
        <color rgb="FF00B0F0"/>
      </font>
    </dxf>
    <dxf>
      <font>
        <b/>
        <i val="0"/>
        <color rgb="FFFFC000"/>
      </font>
    </dxf>
    <dxf>
      <font>
        <color theme="3"/>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50"/>
      </font>
    </dxf>
    <dxf>
      <font>
        <b/>
        <i val="0"/>
        <color rgb="FFFFC000"/>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ont>
        <b/>
        <i val="0"/>
        <color rgb="FFFF000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ont>
        <color rgb="FF7030A0"/>
      </font>
    </dxf>
    <dxf>
      <font>
        <color rgb="FF00B050"/>
      </font>
    </dxf>
    <dxf>
      <font>
        <b/>
        <i val="0"/>
        <color rgb="FFFFC00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ont>
        <color rgb="FF7030A0"/>
      </font>
    </dxf>
    <dxf>
      <font>
        <b/>
        <i val="0"/>
        <color rgb="FF00B0F0"/>
      </font>
    </dxf>
    <dxf>
      <font>
        <b/>
        <i val="0"/>
        <color rgb="FFFFC000"/>
      </font>
    </dxf>
    <dxf>
      <font>
        <color theme="3"/>
      </font>
    </dxf>
    <dxf>
      <font>
        <color rgb="FF7030A0"/>
      </font>
    </dxf>
    <dxf>
      <font>
        <color rgb="FF00B0F0"/>
      </font>
    </dxf>
    <dxf>
      <font>
        <color rgb="FF00CC00"/>
      </font>
    </dxf>
    <dxf>
      <font>
        <color rgb="FFFFC000"/>
      </font>
    </dxf>
    <dxf>
      <font>
        <b/>
        <i val="0"/>
        <color rgb="FFFFFF00"/>
      </font>
    </dxf>
    <dxf>
      <font>
        <color theme="3" tint="0.39994506668294322"/>
      </font>
    </dxf>
    <dxf>
      <font>
        <color rgb="FFFF33CC"/>
      </font>
    </dxf>
    <dxf>
      <font>
        <color theme="2" tint="-0.499984740745262"/>
      </font>
    </dxf>
    <dxf>
      <font>
        <color theme="5" tint="-0.24994659260841701"/>
      </font>
    </dxf>
    <dxf>
      <font>
        <color theme="2" tint="-0.499984740745262"/>
      </font>
    </dxf>
    <dxf>
      <font>
        <color rgb="FF7030A0"/>
      </font>
    </dxf>
    <dxf>
      <font>
        <color rgb="FF00B0F0"/>
      </font>
    </dxf>
    <dxf>
      <font>
        <color rgb="FF00B050"/>
      </font>
    </dxf>
    <dxf>
      <font>
        <b/>
        <i val="0"/>
        <color rgb="FF00FF00"/>
      </font>
    </dxf>
    <dxf>
      <font>
        <b/>
        <i val="0"/>
        <color rgb="FF00B0F0"/>
      </font>
    </dxf>
    <dxf>
      <font>
        <b/>
        <i val="0"/>
        <color rgb="FF7030A0"/>
      </font>
    </dxf>
    <dxf>
      <font>
        <color rgb="FF7030A0"/>
      </font>
    </dxf>
    <dxf>
      <font>
        <color rgb="FF00B050"/>
      </font>
    </dxf>
    <dxf>
      <font>
        <b/>
        <i val="0"/>
        <color rgb="FFFFC000"/>
      </font>
    </dxf>
    <dxf>
      <font>
        <b/>
        <i val="0"/>
        <color rgb="FFFF0000"/>
      </font>
    </dxf>
    <dxf>
      <font>
        <b/>
        <i val="0"/>
        <color rgb="FFFF0000"/>
      </font>
    </dxf>
    <dxf>
      <font>
        <b/>
        <i val="0"/>
        <color rgb="FFFF0000"/>
      </font>
    </dxf>
    <dxf>
      <font>
        <b/>
        <i val="0"/>
        <color rgb="FFFF0000"/>
      </font>
    </dxf>
    <dxf>
      <fill>
        <patternFill>
          <bgColor rgb="FFFF0000"/>
        </patternFill>
      </fill>
    </dxf>
    <dxf>
      <fill>
        <patternFill>
          <bgColor rgb="FFFF0000"/>
        </patternFill>
      </fill>
    </dxf>
    <dxf>
      <fill>
        <patternFill>
          <bgColor rgb="FFFF0000"/>
        </patternFill>
      </fill>
    </dxf>
    <dxf>
      <font>
        <b/>
        <i val="0"/>
        <color rgb="FFFF0000"/>
      </font>
    </dxf>
    <dxf>
      <font>
        <b/>
        <i val="0"/>
        <color rgb="FFFF0000"/>
      </font>
    </dxf>
    <dxf>
      <font>
        <b/>
        <i val="0"/>
        <color rgb="FFFF0000"/>
      </font>
    </dxf>
    <dxf>
      <font>
        <b/>
        <i val="0"/>
        <color rgb="FFFF0000"/>
      </font>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rgb="FFFF9999"/>
        </patternFill>
      </fill>
    </dxf>
    <dxf>
      <fill>
        <patternFill>
          <bgColor theme="9" tint="0.79998168889431442"/>
        </patternFill>
      </fill>
    </dxf>
    <dxf>
      <fill>
        <patternFill>
          <bgColor rgb="FF92D050"/>
        </patternFill>
      </fill>
    </dxf>
    <dxf>
      <fill>
        <patternFill>
          <bgColor theme="4" tint="0.39994506668294322"/>
        </patternFill>
      </fill>
    </dxf>
    <dxf>
      <fill>
        <patternFill>
          <bgColor rgb="FFFF9999"/>
        </patternFill>
      </fill>
    </dxf>
    <dxf>
      <fill>
        <patternFill>
          <bgColor rgb="FFFFCC99"/>
        </patternFill>
      </fill>
    </dxf>
    <dxf>
      <fill>
        <patternFill>
          <bgColor theme="0" tint="-0.34998626667073579"/>
        </patternFill>
      </fill>
    </dxf>
    <dxf>
      <fill>
        <patternFill>
          <bgColor theme="8" tint="0.79998168889431442"/>
        </patternFill>
      </fill>
    </dxf>
    <dxf>
      <fill>
        <patternFill>
          <bgColor rgb="FF92D050"/>
        </patternFill>
      </fill>
    </dxf>
    <dxf>
      <fill>
        <patternFill>
          <bgColor theme="4" tint="0.3999450666829432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6" tint="0.59996337778862885"/>
        </patternFill>
      </fill>
    </dxf>
    <dxf>
      <fill>
        <patternFill>
          <bgColor rgb="FF92D050"/>
        </patternFill>
      </fill>
    </dxf>
    <dxf>
      <fill>
        <patternFill>
          <bgColor theme="3" tint="0.39994506668294322"/>
        </patternFill>
      </fill>
    </dxf>
    <dxf>
      <fill>
        <patternFill>
          <bgColor theme="5" tint="0.39994506668294322"/>
        </patternFill>
      </fill>
    </dxf>
    <dxf>
      <fill>
        <patternFill>
          <bgColor theme="9" tint="0.39994506668294322"/>
        </patternFill>
      </fill>
    </dxf>
    <dxf>
      <fill>
        <patternFill>
          <bgColor theme="0" tint="-0.34998626667073579"/>
        </patternFill>
      </fill>
    </dxf>
    <dxf>
      <font>
        <color auto="1"/>
      </font>
      <fill>
        <patternFill>
          <bgColor theme="8" tint="0.79998168889431442"/>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ont>
        <b/>
        <i val="0"/>
        <color rgb="FFFF0000"/>
      </font>
      <fill>
        <patternFill>
          <bgColor rgb="FFFFFF00"/>
        </patternFill>
      </fill>
    </dxf>
    <dxf>
      <fill>
        <patternFill patternType="solid">
          <bgColor theme="0"/>
        </patternFill>
      </fill>
    </dxf>
    <dxf>
      <font>
        <color rgb="FFFF0000"/>
      </font>
    </dxf>
    <dxf>
      <font>
        <color rgb="FFFF0000"/>
      </font>
    </dxf>
    <dxf>
      <font>
        <color rgb="FFFF0000"/>
      </font>
    </dxf>
    <dxf>
      <font>
        <color rgb="FF00B050"/>
      </font>
      <fill>
        <patternFill patternType="none">
          <bgColor auto="1"/>
        </patternFill>
      </fill>
    </dxf>
    <dxf>
      <font>
        <color theme="1"/>
      </font>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ont>
        <b/>
        <i val="0"/>
        <color rgb="FFFF0000"/>
      </font>
      <fill>
        <patternFill>
          <bgColor rgb="FFFFFF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patternType="solid">
          <bgColor theme="0"/>
        </patternFill>
      </fill>
    </dxf>
    <dxf>
      <fill>
        <patternFill patternType="solid">
          <bgColor theme="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ont>
        <color rgb="FFFF0000"/>
      </font>
    </dxf>
    <dxf>
      <font>
        <color rgb="FFFF0000"/>
      </font>
    </dxf>
    <dxf>
      <font>
        <color rgb="FFFF0000"/>
      </font>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ont>
        <color rgb="FFFFFF00"/>
      </font>
      <fill>
        <patternFill>
          <bgColor rgb="FFFFFF00"/>
        </patternFill>
      </fill>
    </dxf>
    <dxf>
      <font>
        <color theme="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color rgb="FF00B050"/>
      </font>
      <fill>
        <patternFill patternType="none">
          <bgColor auto="1"/>
        </patternFill>
      </fill>
    </dxf>
    <dxf>
      <font>
        <color theme="1"/>
      </font>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FFFF00"/>
      </font>
      <fill>
        <patternFill>
          <bgColor rgb="FFFFFF00"/>
        </patternFill>
      </fill>
    </dxf>
    <dxf>
      <font>
        <color theme="0"/>
      </font>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patternType="solid">
          <bgColor theme="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ont>
        <color rgb="FFFF0000"/>
      </font>
    </dxf>
    <dxf>
      <font>
        <color rgb="FFFF0000"/>
      </font>
    </dxf>
    <dxf>
      <font>
        <color rgb="FFFF0000"/>
      </font>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ont>
        <color rgb="FFFFFF00"/>
      </font>
      <fill>
        <patternFill>
          <bgColor rgb="FFFFFF00"/>
        </patternFill>
      </fill>
    </dxf>
    <dxf>
      <font>
        <color theme="0"/>
      </font>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color rgb="FF00B050"/>
      </font>
      <fill>
        <patternFill patternType="none">
          <bgColor auto="1"/>
        </patternFill>
      </fill>
    </dxf>
    <dxf>
      <font>
        <color theme="1"/>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patternType="solid">
          <bgColor theme="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ill>
        <patternFill patternType="solid">
          <bgColor theme="0"/>
        </patternFill>
      </fill>
    </dxf>
    <dxf>
      <font>
        <b/>
        <i val="0"/>
        <color rgb="FFFF0000"/>
      </font>
      <fill>
        <patternFill>
          <bgColor rgb="FFFFFF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2" tint="-0.499984740745262"/>
        </patternFill>
      </fill>
    </dxf>
    <dxf>
      <fill>
        <patternFill>
          <bgColor rgb="FFFFFF99"/>
        </patternFill>
      </fill>
    </dxf>
    <dxf>
      <fill>
        <patternFill>
          <bgColor theme="0" tint="-0.3499862666707357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color rgb="FFFF0000"/>
      </font>
    </dxf>
    <dxf>
      <font>
        <color rgb="FFFF0000"/>
      </font>
    </dxf>
    <dxf>
      <font>
        <color rgb="FFFF0000"/>
      </font>
    </dxf>
    <dxf>
      <font>
        <b/>
        <i val="0"/>
        <color rgb="FFFF0000"/>
      </font>
      <fill>
        <patternFill>
          <bgColor rgb="FFFFFF00"/>
        </patternFill>
      </fill>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ont>
        <color rgb="FFFFFF00"/>
      </font>
      <fill>
        <patternFill>
          <bgColor rgb="FFFFFF00"/>
        </patternFill>
      </fill>
    </dxf>
    <dxf>
      <font>
        <color theme="0"/>
      </font>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color rgb="FF00B050"/>
      </font>
      <fill>
        <patternFill patternType="none">
          <bgColor auto="1"/>
        </patternFill>
      </fill>
    </dxf>
    <dxf>
      <font>
        <color theme="1"/>
      </font>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ont>
        <color theme="0"/>
      </font>
    </dxf>
    <dxf>
      <font>
        <b/>
        <i val="0"/>
      </font>
    </dxf>
    <dxf>
      <font>
        <b/>
        <i val="0"/>
        <color rgb="FFFF0000"/>
      </font>
      <fill>
        <patternFill>
          <bgColor rgb="FFFFFF00"/>
        </patternFill>
      </fill>
    </dxf>
    <dxf>
      <font>
        <b/>
        <i val="0"/>
      </font>
    </dxf>
    <dxf>
      <fill>
        <patternFill>
          <bgColor rgb="FFFFC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b/>
        <i val="0"/>
        <color rgb="FFFF0000"/>
      </font>
      <fill>
        <patternFill>
          <bgColor rgb="FFFFFF00"/>
        </patternFill>
      </fill>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theme="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b/>
        <i val="0"/>
        <color rgb="FFFF0000"/>
      </font>
      <fill>
        <patternFill>
          <bgColor rgb="FFFFFF00"/>
        </patternFill>
      </fill>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b/>
        <i val="0"/>
        <color rgb="FFFF0000"/>
      </font>
      <fill>
        <patternFill>
          <bgColor rgb="FFFFFF00"/>
        </patternFill>
      </fill>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FF00"/>
      </font>
      <fill>
        <patternFill>
          <bgColor rgb="FFFFFF00"/>
        </patternFill>
      </fill>
    </dxf>
    <dxf>
      <font>
        <color theme="0"/>
      </font>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ont>
        <color theme="0"/>
      </font>
    </dxf>
    <dxf>
      <fill>
        <patternFill>
          <bgColor rgb="FFFF0000"/>
        </patternFill>
      </fill>
    </dxf>
    <dxf>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patternType="solid">
          <bgColor theme="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ont>
        <color rgb="FFFFFF00"/>
      </font>
      <fill>
        <patternFill>
          <bgColor rgb="FFFFFF00"/>
        </patternFill>
      </fill>
    </dxf>
    <dxf>
      <font>
        <color theme="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ont>
        <color rgb="FFFF0000"/>
      </font>
    </dxf>
    <dxf>
      <font>
        <color rgb="FFFF0000"/>
      </font>
    </dxf>
    <dxf>
      <font>
        <color rgb="FFFF0000"/>
      </font>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patternType="solid">
          <bgColor theme="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ont>
        <color rgb="FFFF0000"/>
      </font>
    </dxf>
    <dxf>
      <font>
        <color rgb="FFFF0000"/>
      </font>
    </dxf>
    <dxf>
      <font>
        <color rgb="FFFF0000"/>
      </font>
    </dxf>
    <dxf>
      <font>
        <b/>
        <i val="0"/>
        <color rgb="FFFF0000"/>
      </font>
      <fill>
        <patternFill>
          <bgColor rgb="FFFFFF00"/>
        </patternFill>
      </fill>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ont>
        <color rgb="FFFFFF00"/>
      </font>
      <fill>
        <patternFill>
          <bgColor rgb="FFFFFF00"/>
        </patternFill>
      </fill>
    </dxf>
    <dxf>
      <font>
        <color theme="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color rgb="FF00B050"/>
      </font>
      <fill>
        <patternFill patternType="none">
          <bgColor auto="1"/>
        </patternFill>
      </fill>
    </dxf>
    <dxf>
      <font>
        <color theme="1"/>
      </font>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patternType="solid">
          <bgColor theme="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ont>
        <color theme="0"/>
      </font>
    </dxf>
    <dxf>
      <fill>
        <patternFill>
          <bgColor rgb="FFFF0000"/>
        </patternFill>
      </fill>
    </dxf>
    <dxf>
      <fill>
        <patternFill>
          <bgColor rgb="FFFF0000"/>
        </patternFill>
      </fill>
    </dxf>
    <dxf>
      <font>
        <color rgb="FF00CC0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ont>
        <color theme="0"/>
      </font>
    </dxf>
    <dxf>
      <fill>
        <patternFill>
          <bgColor rgb="FFFF0000"/>
        </patternFill>
      </fill>
    </dxf>
    <dxf>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ont>
        <color theme="0"/>
      </font>
    </dxf>
    <dxf>
      <fill>
        <patternFill>
          <bgColor rgb="FFFF0000"/>
        </patternFill>
      </fill>
    </dxf>
    <dxf>
      <fill>
        <patternFill>
          <bgColor rgb="FFFF0000"/>
        </patternFill>
      </fill>
    </dxf>
    <dxf>
      <font>
        <color rgb="FF00CC0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b/>
        <i val="0"/>
        <color rgb="FFFF0000"/>
      </font>
      <fill>
        <patternFill>
          <bgColor rgb="FFFFFF00"/>
        </patternFill>
      </fill>
    </dxf>
    <dxf>
      <font>
        <color rgb="FF00B050"/>
      </font>
      <fill>
        <patternFill patternType="none">
          <bgColor auto="1"/>
        </patternFill>
      </fill>
    </dxf>
    <dxf>
      <font>
        <color theme="1"/>
      </font>
    </dxf>
    <dxf>
      <font>
        <color rgb="FFFFFF00"/>
      </font>
      <fill>
        <patternFill>
          <bgColor rgb="FFFFFF00"/>
        </patternFill>
      </fill>
    </dxf>
    <dxf>
      <font>
        <color theme="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ont>
        <color theme="0"/>
      </font>
    </dxf>
    <dxf>
      <fill>
        <patternFill>
          <bgColor rgb="FFFF0000"/>
        </patternFill>
      </fill>
    </dxf>
    <dxf>
      <fill>
        <patternFill>
          <bgColor rgb="FFFF0000"/>
        </patternFill>
      </fill>
    </dxf>
    <dxf>
      <font>
        <color rgb="FF00CC00"/>
      </font>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FF00"/>
      </font>
      <fill>
        <patternFill>
          <bgColor rgb="FFFFFF00"/>
        </patternFill>
      </fill>
    </dxf>
    <dxf>
      <font>
        <color theme="0"/>
      </font>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color rgb="FF00B050"/>
      </font>
      <fill>
        <patternFill patternType="none">
          <bgColor auto="1"/>
        </patternFill>
      </fill>
    </dxf>
    <dxf>
      <font>
        <color theme="1"/>
      </font>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rgb="FFFFC000"/>
        </patternFill>
      </fill>
    </dxf>
    <dxf>
      <font>
        <b/>
        <i val="0"/>
      </font>
    </dxf>
    <dxf>
      <font>
        <color theme="0"/>
      </font>
    </dxf>
    <dxf>
      <fill>
        <patternFill>
          <bgColor rgb="FFFF0000"/>
        </patternFill>
      </fill>
    </dxf>
    <dxf>
      <fill>
        <patternFill>
          <bgColor rgb="FFFF0000"/>
        </patternFill>
      </fill>
    </dxf>
    <dxf>
      <font>
        <color rgb="FF00CC0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patternType="solid">
          <bgColor theme="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patternType="solid">
          <bgColor theme="0"/>
        </patternFill>
      </fill>
    </dxf>
    <dxf>
      <font>
        <color rgb="FFFF0000"/>
      </font>
    </dxf>
    <dxf>
      <font>
        <color rgb="FFFF0000"/>
      </font>
    </dxf>
    <dxf>
      <font>
        <color rgb="FFFF0000"/>
      </font>
    </dxf>
    <dxf>
      <font>
        <b/>
        <i val="0"/>
        <color rgb="FFFF0000"/>
      </font>
      <fill>
        <patternFill>
          <bgColor rgb="FFFFFF00"/>
        </patternFill>
      </fill>
    </dxf>
    <dxf>
      <font>
        <color rgb="FF00B050"/>
      </font>
      <fill>
        <patternFill patternType="none">
          <bgColor auto="1"/>
        </patternFill>
      </fill>
    </dxf>
    <dxf>
      <font>
        <color theme="1"/>
      </font>
    </dxf>
    <dxf>
      <font>
        <color rgb="FFFFFF00"/>
      </font>
      <fill>
        <patternFill>
          <bgColor rgb="FFFFFF00"/>
        </patternFill>
      </fill>
    </dxf>
    <dxf>
      <font>
        <color theme="0"/>
      </font>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color rgb="FFFF0000"/>
      </font>
    </dxf>
    <dxf>
      <font>
        <color rgb="FFFF0000"/>
      </font>
    </dxf>
    <dxf>
      <font>
        <color rgb="FFFF0000"/>
      </font>
    </dxf>
    <dxf>
      <font>
        <b/>
        <i val="0"/>
        <color rgb="FFFF0000"/>
      </font>
      <fill>
        <patternFill>
          <bgColor rgb="FFFFFF00"/>
        </patternFill>
      </fill>
    </dxf>
    <dxf>
      <font>
        <color rgb="FF00B050"/>
      </font>
      <fill>
        <patternFill patternType="none">
          <bgColor auto="1"/>
        </patternFill>
      </fill>
    </dxf>
    <dxf>
      <font>
        <color theme="1"/>
      </font>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color rgb="FFFF0000"/>
      </font>
    </dxf>
    <dxf>
      <font>
        <color rgb="FFFF0000"/>
      </font>
    </dxf>
    <dxf>
      <font>
        <color rgb="FFFF0000"/>
      </font>
    </dxf>
    <dxf>
      <font>
        <color rgb="FF00B050"/>
      </font>
      <fill>
        <patternFill patternType="none">
          <bgColor auto="1"/>
        </patternFill>
      </fill>
    </dxf>
    <dxf>
      <font>
        <color theme="1"/>
      </font>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b/>
        <i val="0"/>
        <color rgb="FFFF0000"/>
      </font>
      <fill>
        <patternFill>
          <bgColor rgb="FFFFFF00"/>
        </patternFill>
      </fill>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ont>
        <b/>
        <i val="0"/>
        <color rgb="FFFF0000"/>
      </font>
      <fill>
        <patternFill>
          <bgColor rgb="FFFFFF00"/>
        </patternFill>
      </fill>
    </dxf>
    <dxf>
      <fill>
        <patternFill patternType="solid">
          <bgColor theme="0"/>
        </patternFill>
      </fill>
    </dxf>
    <dxf>
      <font>
        <color rgb="FFFF0000"/>
      </font>
    </dxf>
    <dxf>
      <font>
        <color rgb="FFFF0000"/>
      </font>
    </dxf>
    <dxf>
      <font>
        <color rgb="FFFF0000"/>
      </font>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ill>
        <patternFill patternType="solid">
          <bgColor theme="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ont>
        <b/>
        <i val="0"/>
        <color rgb="FFFF0000"/>
      </font>
      <fill>
        <patternFill>
          <bgColor rgb="FFFFFF00"/>
        </patternFill>
      </fill>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color rgb="FFFF0000"/>
      </font>
    </dxf>
    <dxf>
      <font>
        <color rgb="FFFF0000"/>
      </font>
    </dxf>
    <dxf>
      <font>
        <color rgb="FFFF0000"/>
      </font>
    </dxf>
    <dxf>
      <font>
        <b/>
        <i val="0"/>
        <color rgb="FFFF0000"/>
      </font>
      <fill>
        <patternFill>
          <bgColor rgb="FFFFFF00"/>
        </patternFill>
      </fill>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FF00"/>
      </font>
      <fill>
        <patternFill>
          <bgColor rgb="FFFFFF00"/>
        </patternFill>
      </fill>
    </dxf>
    <dxf>
      <font>
        <color theme="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rgb="FF00CC00"/>
      </font>
    </dxf>
    <dxf>
      <font>
        <color theme="0"/>
      </font>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patternType="solid">
          <bgColor theme="0"/>
        </patternFill>
      </fill>
    </dxf>
    <dxf>
      <font>
        <color rgb="FFFF0000"/>
      </font>
    </dxf>
    <dxf>
      <font>
        <color rgb="FFFF0000"/>
      </font>
    </dxf>
    <dxf>
      <font>
        <color rgb="FFFF0000"/>
      </font>
    </dxf>
    <dxf>
      <font>
        <b/>
        <i val="0"/>
        <color rgb="FFFF0000"/>
      </font>
      <fill>
        <patternFill>
          <bgColor rgb="FFFFFF00"/>
        </patternFill>
      </fill>
    </dxf>
    <dxf>
      <font>
        <color auto="1"/>
      </font>
      <fill>
        <patternFill>
          <bgColor rgb="FFFFC000"/>
        </patternFill>
      </fill>
    </dxf>
    <dxf>
      <font>
        <b/>
        <i val="0"/>
      </font>
    </dxf>
    <dxf>
      <fill>
        <patternFill>
          <bgColor rgb="FFFF0000"/>
        </patternFill>
      </fill>
    </dxf>
    <dxf>
      <fill>
        <patternFill>
          <bgColor rgb="FFFF0000"/>
        </patternFill>
      </fill>
    </dxf>
    <dxf>
      <fill>
        <patternFill>
          <bgColor rgb="FFFF0000"/>
        </patternFill>
      </fill>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color rgb="FFFFFF00"/>
      </font>
      <fill>
        <patternFill>
          <bgColor rgb="FFFFFF00"/>
        </patternFill>
      </fill>
    </dxf>
    <dxf>
      <font>
        <color theme="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patternType="solid">
          <bgColor theme="0"/>
        </patternFill>
      </fill>
    </dxf>
    <dxf>
      <font>
        <color rgb="FFFFFF00"/>
      </font>
      <fill>
        <patternFill>
          <bgColor rgb="FFFFFF00"/>
        </patternFill>
      </fill>
    </dxf>
    <dxf>
      <font>
        <color theme="0"/>
      </font>
    </dxf>
    <dxf>
      <font>
        <color rgb="FFFF0000"/>
      </font>
    </dxf>
    <dxf>
      <font>
        <color rgb="FFFF0000"/>
      </font>
    </dxf>
    <dxf>
      <font>
        <color rgb="FFFF0000"/>
      </font>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ill>
        <patternFill>
          <bgColor rgb="FFFF0000"/>
        </patternFill>
      </fill>
    </dxf>
    <dxf>
      <fill>
        <patternFill>
          <bgColor rgb="FFFF0000"/>
        </patternFill>
      </fill>
    </dxf>
    <dxf>
      <fill>
        <patternFill>
          <bgColor rgb="FFFF0000"/>
        </patternFill>
      </fill>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patternType="solid">
          <bgColor theme="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ill>
        <patternFill>
          <bgColor rgb="FFFF0000"/>
        </patternFill>
      </fill>
    </dxf>
    <dxf>
      <fill>
        <patternFill>
          <bgColor rgb="FFFF0000"/>
        </patternFill>
      </fill>
    </dxf>
    <dxf>
      <fill>
        <patternFill>
          <bgColor rgb="FFFF0000"/>
        </patternFill>
      </fill>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patternType="solid">
          <bgColor theme="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color rgb="FFFF0000"/>
      </font>
    </dxf>
    <dxf>
      <font>
        <color rgb="FFFF0000"/>
      </font>
    </dxf>
    <dxf>
      <font>
        <color rgb="FFFF0000"/>
      </font>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auto="1"/>
      </font>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fill>
        <patternFill patternType="none">
          <bgColor auto="1"/>
        </patternFill>
      </fill>
    </dxf>
    <dxf>
      <font>
        <color theme="1"/>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ont>
        <color rgb="FFFF0000"/>
      </font>
    </dxf>
    <dxf>
      <font>
        <color rgb="FFFF000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b/>
        <i val="0"/>
        <color rgb="FFFF0000"/>
      </font>
      <fill>
        <patternFill>
          <bgColor rgb="FFFFFF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ont>
        <color auto="1"/>
      </font>
      <fill>
        <patternFill>
          <bgColor rgb="FFFFC000"/>
        </patternFill>
      </fill>
    </dxf>
    <dxf>
      <font>
        <b/>
        <i val="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ont>
        <color theme="0"/>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fill>
        <patternFill patternType="none">
          <bgColor auto="1"/>
        </patternFill>
      </fill>
    </dxf>
    <dxf>
      <font>
        <color theme="1"/>
      </font>
    </dxf>
    <dxf>
      <font>
        <color theme="0"/>
      </font>
    </dxf>
    <dxf>
      <fill>
        <patternFill>
          <bgColor rgb="FFFF0000"/>
        </patternFill>
      </fill>
    </dxf>
    <dxf>
      <fill>
        <patternFill>
          <bgColor rgb="FFFF0000"/>
        </patternFill>
      </fill>
    </dxf>
    <dxf>
      <font>
        <color rgb="FF00CC00"/>
      </font>
    </dxf>
    <dxf>
      <fill>
        <patternFill>
          <bgColor theme="0" tint="-0.34998626667073579"/>
        </patternFill>
      </fill>
    </dxf>
    <dxf>
      <fill>
        <patternFill>
          <bgColor theme="2" tint="-0.499984740745262"/>
        </patternFill>
      </fill>
    </dxf>
    <dxf>
      <fill>
        <patternFill>
          <bgColor rgb="FFFFFF99"/>
        </patternFill>
      </fill>
    </dxf>
    <dxf>
      <fill>
        <patternFill>
          <bgColor rgb="FFFFFF99"/>
        </patternFill>
      </fill>
    </dxf>
    <dxf>
      <fill>
        <patternFill>
          <bgColor rgb="FFFFCC99"/>
        </patternFill>
      </fill>
    </dxf>
    <dxf>
      <fill>
        <patternFill>
          <bgColor rgb="FFFFCC99"/>
        </patternFill>
      </fill>
    </dxf>
    <dxf>
      <fill>
        <patternFill>
          <bgColor rgb="FF92D050"/>
        </patternFill>
      </fill>
    </dxf>
    <dxf>
      <fill>
        <patternFill>
          <bgColor theme="5" tint="0.39994506668294322"/>
        </patternFill>
      </fill>
    </dxf>
    <dxf>
      <fill>
        <patternFill>
          <bgColor rgb="FF00B0F0"/>
        </patternFill>
      </fill>
    </dxf>
    <dxf>
      <fill>
        <patternFill>
          <bgColor theme="4" tint="0.39994506668294322"/>
        </patternFill>
      </fill>
    </dxf>
    <dxf>
      <fill>
        <patternFill>
          <bgColor theme="7" tint="0.59996337778862885"/>
        </patternFill>
      </fill>
    </dxf>
    <dxf>
      <font>
        <color rgb="FFFFFF00"/>
      </font>
      <fill>
        <patternFill>
          <bgColor rgb="FFFFFF00"/>
        </patternFill>
      </fill>
    </dxf>
    <dxf>
      <font>
        <color theme="0"/>
      </font>
    </dxf>
  </dxfs>
  <tableStyles count="0" defaultTableStyle="TableStyleMedium9" defaultPivotStyle="PivotStyleLight16"/>
  <colors>
    <mruColors>
      <color rgb="FFFFFF99"/>
      <color rgb="FFFFCC99"/>
      <color rgb="FFCCFF66"/>
      <color rgb="FFDA9694"/>
      <color rgb="FFFF7C80"/>
      <color rgb="FF99FF33"/>
      <color rgb="FFCCFFCC"/>
      <color rgb="FF00CC00"/>
      <color rgb="FFFF9999"/>
      <color rgb="FF9BBB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png"/><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png"/><Relationship Id="rId1" Type="http://schemas.openxmlformats.org/officeDocument/2006/relationships/image" Target="../media/image3.png"/></Relationships>
</file>

<file path=xl/drawings/_rels/vmlDrawing19.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png"/><Relationship Id="rId1" Type="http://schemas.openxmlformats.org/officeDocument/2006/relationships/image" Target="../media/image3.png"/></Relationships>
</file>

<file path=xl/drawings/_rels/vmlDrawing2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vmlDrawing" Target="../drawings/vmlDrawing8.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vmlDrawing" Target="../drawings/vmlDrawing10.v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vmlDrawing" Target="../drawings/vmlDrawing12.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vmlDrawing" Target="../drawings/vmlDrawing14.v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vmlDrawing" Target="../drawings/vmlDrawing16.v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vmlDrawing" Target="../drawings/vmlDrawing18.v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vmlDrawing" Target="../drawings/vmlDrawing20.v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2">
    <tabColor rgb="FF92D050"/>
    <pageSetUpPr fitToPage="1"/>
  </sheetPr>
  <dimension ref="A1:O375"/>
  <sheetViews>
    <sheetView showGridLines="0" view="pageBreakPreview" zoomScale="80" zoomScaleNormal="80" zoomScaleSheetLayoutView="80" workbookViewId="0">
      <pane xSplit="2" ySplit="2" topLeftCell="C3" activePane="bottomRight" state="frozen"/>
      <selection pane="bottomRight" activeCell="K31" sqref="K31"/>
      <selection pane="bottomLeft" activeCell="S4" sqref="S4:S151"/>
      <selection pane="topRight" activeCell="S4" sqref="S4:S151"/>
    </sheetView>
  </sheetViews>
  <sheetFormatPr defaultColWidth="11.42578125" defaultRowHeight="13.15"/>
  <cols>
    <col min="1" max="1" width="15" customWidth="1"/>
    <col min="2" max="2" width="13.5703125" customWidth="1"/>
    <col min="3" max="3" width="120.7109375" customWidth="1"/>
    <col min="4" max="4" width="14.28515625" style="627" customWidth="1"/>
    <col min="5" max="5" width="14.85546875" bestFit="1" customWidth="1"/>
    <col min="6" max="6" width="11.5703125" customWidth="1"/>
    <col min="7" max="7" width="37.7109375" customWidth="1"/>
    <col min="8" max="8" width="11.5703125" customWidth="1"/>
    <col min="9" max="9" width="37.7109375" customWidth="1"/>
    <col min="10" max="10" width="11.5703125" customWidth="1"/>
    <col min="11" max="11" width="37.7109375" customWidth="1"/>
    <col min="12" max="12" width="11.5703125" customWidth="1"/>
    <col min="13" max="13" width="37.7109375" customWidth="1"/>
    <col min="14" max="14" width="11.5703125" customWidth="1"/>
    <col min="15" max="15" width="37.7109375" customWidth="1"/>
  </cols>
  <sheetData>
    <row r="1" spans="1:7" ht="24.6" customHeight="1">
      <c r="A1" s="927" t="s">
        <v>0</v>
      </c>
      <c r="B1" s="929" t="s">
        <v>1</v>
      </c>
      <c r="C1" s="929" t="s">
        <v>2</v>
      </c>
      <c r="D1" s="931" t="s">
        <v>3</v>
      </c>
    </row>
    <row r="2" spans="1:7" ht="24" customHeight="1">
      <c r="A2" s="928"/>
      <c r="B2" s="930"/>
      <c r="C2" s="930"/>
      <c r="D2" s="932"/>
    </row>
    <row r="3" spans="1:7" ht="24.95" customHeight="1">
      <c r="A3" s="937">
        <v>0</v>
      </c>
      <c r="B3" s="935">
        <v>44266</v>
      </c>
      <c r="C3" s="126" t="s">
        <v>4</v>
      </c>
      <c r="D3" s="940" t="s">
        <v>5</v>
      </c>
    </row>
    <row r="4" spans="1:7" ht="24.95" customHeight="1">
      <c r="A4" s="938"/>
      <c r="B4" s="936"/>
      <c r="C4" s="630" t="s">
        <v>6</v>
      </c>
      <c r="D4" s="941"/>
      <c r="G4" s="1"/>
    </row>
    <row r="5" spans="1:7" ht="24.95" customHeight="1">
      <c r="A5" s="939"/>
      <c r="B5" s="2">
        <v>44385</v>
      </c>
      <c r="C5" s="126" t="s">
        <v>7</v>
      </c>
      <c r="D5" s="942"/>
    </row>
    <row r="6" spans="1:7" ht="24.95" customHeight="1">
      <c r="A6" s="937">
        <v>1</v>
      </c>
      <c r="B6" s="2">
        <v>44390</v>
      </c>
      <c r="C6" s="126" t="s">
        <v>8</v>
      </c>
      <c r="D6" s="940" t="s">
        <v>5</v>
      </c>
    </row>
    <row r="7" spans="1:7" ht="24.95" customHeight="1">
      <c r="A7" s="939"/>
      <c r="B7" s="2">
        <v>44411</v>
      </c>
      <c r="C7" s="126" t="s">
        <v>9</v>
      </c>
      <c r="D7" s="942"/>
    </row>
    <row r="8" spans="1:7" ht="24.95" customHeight="1">
      <c r="A8" s="616">
        <v>2</v>
      </c>
      <c r="B8" s="2">
        <v>44433</v>
      </c>
      <c r="C8" s="893" t="s">
        <v>10</v>
      </c>
      <c r="D8" s="617" t="s">
        <v>5</v>
      </c>
    </row>
    <row r="9" spans="1:7" ht="24.95" customHeight="1">
      <c r="A9" s="937">
        <v>3</v>
      </c>
      <c r="B9" s="2">
        <v>44446</v>
      </c>
      <c r="C9" s="126" t="s">
        <v>11</v>
      </c>
      <c r="D9" s="943" t="s">
        <v>5</v>
      </c>
    </row>
    <row r="10" spans="1:7" ht="24.95" customHeight="1">
      <c r="A10" s="938"/>
      <c r="B10" s="2">
        <v>44473</v>
      </c>
      <c r="C10" s="126" t="s">
        <v>12</v>
      </c>
      <c r="D10" s="944"/>
    </row>
    <row r="11" spans="1:7" ht="24.95" customHeight="1">
      <c r="A11" s="939"/>
      <c r="B11" s="2">
        <v>44518</v>
      </c>
      <c r="C11" s="126" t="s">
        <v>13</v>
      </c>
      <c r="D11" s="945"/>
    </row>
    <row r="12" spans="1:7" ht="24.95" customHeight="1">
      <c r="A12" s="937">
        <v>4</v>
      </c>
      <c r="B12" s="2">
        <v>44600</v>
      </c>
      <c r="C12" s="126" t="s">
        <v>14</v>
      </c>
      <c r="D12" s="946" t="s">
        <v>5</v>
      </c>
    </row>
    <row r="13" spans="1:7" ht="24.95" customHeight="1">
      <c r="A13" s="939"/>
      <c r="B13" s="2">
        <v>44628</v>
      </c>
      <c r="C13" s="126" t="s">
        <v>15</v>
      </c>
      <c r="D13" s="947"/>
    </row>
    <row r="14" spans="1:7" ht="24.6" customHeight="1">
      <c r="A14" s="937">
        <v>5</v>
      </c>
      <c r="B14" s="2">
        <v>44658</v>
      </c>
      <c r="C14" s="948" t="s">
        <v>16</v>
      </c>
      <c r="D14" s="943" t="s">
        <v>5</v>
      </c>
    </row>
    <row r="15" spans="1:7" ht="24.6" hidden="1" customHeight="1">
      <c r="A15" s="938"/>
      <c r="B15" s="34"/>
      <c r="C15" s="949"/>
      <c r="D15" s="944"/>
    </row>
    <row r="16" spans="1:7" ht="24.6" hidden="1" customHeight="1">
      <c r="A16" s="938"/>
      <c r="B16" s="34"/>
      <c r="C16" s="949"/>
      <c r="D16" s="944"/>
    </row>
    <row r="17" spans="1:4" ht="24.6" hidden="1" customHeight="1">
      <c r="A17" s="938"/>
      <c r="B17" s="34"/>
      <c r="C17" s="949"/>
      <c r="D17" s="944"/>
    </row>
    <row r="18" spans="1:4" ht="24.6" hidden="1" customHeight="1">
      <c r="A18" s="938"/>
      <c r="B18" s="34"/>
      <c r="C18" s="949"/>
      <c r="D18" s="944"/>
    </row>
    <row r="19" spans="1:4" ht="24.6" hidden="1" customHeight="1">
      <c r="A19" s="938"/>
      <c r="B19" s="34"/>
      <c r="C19" s="949"/>
      <c r="D19" s="944"/>
    </row>
    <row r="20" spans="1:4" ht="24.6" hidden="1" customHeight="1">
      <c r="A20" s="938"/>
      <c r="B20" s="34"/>
      <c r="C20" s="949"/>
      <c r="D20" s="944"/>
    </row>
    <row r="21" spans="1:4" ht="24.6" hidden="1" customHeight="1">
      <c r="A21" s="938"/>
      <c r="B21" s="34"/>
      <c r="C21" s="949"/>
      <c r="D21" s="944"/>
    </row>
    <row r="22" spans="1:4" ht="24.6" hidden="1" customHeight="1">
      <c r="A22" s="938"/>
      <c r="B22" s="34"/>
      <c r="C22" s="949"/>
      <c r="D22" s="944"/>
    </row>
    <row r="23" spans="1:4" ht="24.6" hidden="1" customHeight="1">
      <c r="A23" s="938"/>
      <c r="B23" s="34"/>
      <c r="C23" s="949"/>
      <c r="D23" s="944"/>
    </row>
    <row r="24" spans="1:4" ht="24.6" hidden="1" customHeight="1">
      <c r="A24" s="938"/>
      <c r="B24" s="34"/>
      <c r="C24" s="949"/>
      <c r="D24" s="944"/>
    </row>
    <row r="25" spans="1:4" ht="24.6" customHeight="1">
      <c r="A25" s="939"/>
      <c r="B25" s="2">
        <v>44714</v>
      </c>
      <c r="C25" s="950"/>
      <c r="D25" s="945"/>
    </row>
    <row r="26" spans="1:4" ht="24.6" customHeight="1">
      <c r="A26" s="616">
        <v>6</v>
      </c>
      <c r="B26" s="2">
        <v>44781</v>
      </c>
      <c r="C26" s="126" t="s">
        <v>17</v>
      </c>
      <c r="D26" s="900" t="s">
        <v>5</v>
      </c>
    </row>
    <row r="27" spans="1:4" ht="24" customHeight="1">
      <c r="A27" s="951">
        <v>7</v>
      </c>
      <c r="B27" s="2">
        <v>44840</v>
      </c>
      <c r="C27" s="901" t="s">
        <v>18</v>
      </c>
      <c r="D27" s="953" t="s">
        <v>5</v>
      </c>
    </row>
    <row r="28" spans="1:4" ht="24.6" customHeight="1">
      <c r="A28" s="952"/>
      <c r="B28" s="2">
        <v>44880</v>
      </c>
      <c r="C28" s="901" t="s">
        <v>19</v>
      </c>
      <c r="D28" s="954"/>
    </row>
    <row r="29" spans="1:4" ht="24.6" customHeight="1">
      <c r="A29" s="616">
        <v>8</v>
      </c>
      <c r="B29" s="2">
        <v>44882</v>
      </c>
      <c r="C29" s="126" t="s">
        <v>20</v>
      </c>
      <c r="D29" s="913" t="s">
        <v>21</v>
      </c>
    </row>
    <row r="30" spans="1:4" ht="24.6" customHeight="1">
      <c r="A30" s="912">
        <v>9</v>
      </c>
      <c r="B30" s="2">
        <v>45068</v>
      </c>
      <c r="C30" s="126" t="s">
        <v>22</v>
      </c>
      <c r="D30" s="913" t="s">
        <v>21</v>
      </c>
    </row>
    <row r="31" spans="1:4" ht="24.6" customHeight="1">
      <c r="A31" s="912"/>
      <c r="B31" s="2"/>
      <c r="C31" s="126"/>
      <c r="D31" s="900"/>
    </row>
    <row r="32" spans="1:4" ht="24.6" customHeight="1">
      <c r="A32" s="933" t="s">
        <v>23</v>
      </c>
      <c r="B32" s="934"/>
      <c r="C32" s="934"/>
      <c r="D32" s="624"/>
    </row>
    <row r="33" spans="1:15">
      <c r="A33" s="618"/>
      <c r="B33" s="619" t="s">
        <v>24</v>
      </c>
      <c r="C33" s="620" t="s">
        <v>25</v>
      </c>
      <c r="D33" s="625"/>
    </row>
    <row r="34" spans="1:15" ht="14.45" customHeight="1">
      <c r="A34" s="618"/>
      <c r="B34" s="619" t="s">
        <v>26</v>
      </c>
      <c r="C34" s="620" t="s">
        <v>27</v>
      </c>
      <c r="D34" s="625"/>
      <c r="F34" s="39"/>
      <c r="G34" s="40" t="s">
        <v>28</v>
      </c>
      <c r="H34" s="41"/>
      <c r="I34" t="s">
        <v>29</v>
      </c>
      <c r="J34" s="42"/>
      <c r="K34" s="40" t="s">
        <v>30</v>
      </c>
      <c r="L34" s="43"/>
      <c r="M34" s="40" t="s">
        <v>31</v>
      </c>
      <c r="N34" s="44"/>
      <c r="O34" s="40" t="s">
        <v>32</v>
      </c>
    </row>
    <row r="35" spans="1:15" ht="14.45" customHeight="1">
      <c r="A35" s="618"/>
      <c r="B35" s="619" t="s">
        <v>33</v>
      </c>
      <c r="C35" s="620" t="s">
        <v>34</v>
      </c>
      <c r="D35" s="625"/>
      <c r="F35" s="45"/>
      <c r="G35" s="40" t="s">
        <v>35</v>
      </c>
      <c r="H35" s="46"/>
      <c r="I35" s="40" t="s">
        <v>36</v>
      </c>
      <c r="J35" s="47"/>
      <c r="K35" s="40" t="s">
        <v>37</v>
      </c>
      <c r="L35" s="48"/>
      <c r="M35" s="40" t="s">
        <v>38</v>
      </c>
      <c r="N35" s="49"/>
      <c r="O35" s="40" t="s">
        <v>39</v>
      </c>
    </row>
    <row r="36" spans="1:15" ht="14.45" customHeight="1" thickBot="1">
      <c r="A36" s="621"/>
      <c r="B36" s="622" t="s">
        <v>40</v>
      </c>
      <c r="C36" s="623" t="s">
        <v>41</v>
      </c>
      <c r="D36" s="626"/>
      <c r="F36" s="50"/>
      <c r="G36" s="40" t="s">
        <v>42</v>
      </c>
      <c r="H36" s="51"/>
      <c r="I36" t="s">
        <v>43</v>
      </c>
      <c r="J36" s="52"/>
      <c r="K36" s="40" t="s">
        <v>44</v>
      </c>
    </row>
    <row r="37" spans="1:15" ht="14.45" customHeight="1"/>
    <row r="38" spans="1:15" ht="14.45" customHeight="1">
      <c r="F38" s="39"/>
      <c r="G38" s="40" t="s">
        <v>28</v>
      </c>
      <c r="H38" s="41"/>
      <c r="I38" t="s">
        <v>29</v>
      </c>
      <c r="J38" s="42"/>
      <c r="K38" s="40" t="s">
        <v>30</v>
      </c>
      <c r="L38" s="43"/>
      <c r="M38" s="40" t="s">
        <v>31</v>
      </c>
      <c r="N38" s="44"/>
      <c r="O38" s="40" t="s">
        <v>32</v>
      </c>
    </row>
    <row r="39" spans="1:15" ht="14.45" customHeight="1">
      <c r="F39" s="45"/>
      <c r="G39" s="40" t="s">
        <v>45</v>
      </c>
      <c r="H39" s="46"/>
      <c r="I39" s="40" t="s">
        <v>46</v>
      </c>
      <c r="J39" s="47"/>
      <c r="K39" s="40" t="s">
        <v>37</v>
      </c>
      <c r="L39" s="48"/>
      <c r="M39" s="40" t="s">
        <v>38</v>
      </c>
      <c r="N39" s="49"/>
      <c r="O39" s="40" t="s">
        <v>39</v>
      </c>
    </row>
    <row r="40" spans="1:15" ht="14.45" customHeight="1">
      <c r="F40" s="50"/>
      <c r="G40" s="40" t="s">
        <v>42</v>
      </c>
      <c r="H40" s="51"/>
      <c r="I40" t="s">
        <v>43</v>
      </c>
      <c r="J40" s="52"/>
      <c r="K40" s="40" t="s">
        <v>44</v>
      </c>
    </row>
    <row r="41" spans="1:15" ht="14.45" customHeight="1"/>
    <row r="42" spans="1:15" ht="14.45" customHeight="1"/>
    <row r="43" spans="1:15" ht="14.45" customHeight="1"/>
    <row r="44" spans="1:15" ht="14.45" customHeight="1"/>
    <row r="375" spans="2:2">
      <c r="B375" t="s">
        <v>47</v>
      </c>
    </row>
  </sheetData>
  <mergeCells count="19">
    <mergeCell ref="D14:D25"/>
    <mergeCell ref="A27:A28"/>
    <mergeCell ref="D27:D28"/>
    <mergeCell ref="A1:A2"/>
    <mergeCell ref="B1:B2"/>
    <mergeCell ref="C1:C2"/>
    <mergeCell ref="D1:D2"/>
    <mergeCell ref="A32:C32"/>
    <mergeCell ref="B3:B4"/>
    <mergeCell ref="A3:A5"/>
    <mergeCell ref="D3:D5"/>
    <mergeCell ref="A6:A7"/>
    <mergeCell ref="D6:D7"/>
    <mergeCell ref="A9:A11"/>
    <mergeCell ref="D9:D11"/>
    <mergeCell ref="A12:A13"/>
    <mergeCell ref="D12:D13"/>
    <mergeCell ref="A14:A25"/>
    <mergeCell ref="C14:C25"/>
  </mergeCells>
  <printOptions horizontalCentered="1"/>
  <pageMargins left="0.39370078740157483" right="0.39370078740157483" top="0.94488188976377963" bottom="0.74803149606299213" header="0.31496062992125984" footer="0.31496062992125984"/>
  <pageSetup paperSize="9" scale="84" orientation="landscape" r:id="rId1"/>
  <headerFooter alignWithMargins="0">
    <oddHeader>&amp;L&amp;G&amp;CLAYOUT EP04 
CONTROL SHEET&amp;R&amp;G</oddHeader>
    <oddFooter>&amp;L&amp;F&amp;C&amp;D&amp;RPage &amp;P of &amp;N</oddFooter>
  </headerFooter>
  <colBreaks count="1" manualBreakCount="1">
    <brk id="3" max="1048575" man="1"/>
  </colBreaks>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tabColor theme="3" tint="0.59999389629810485"/>
    <pageSetUpPr fitToPage="1"/>
  </sheetPr>
  <dimension ref="A1:BM6603"/>
  <sheetViews>
    <sheetView showGridLines="0" view="pageBreakPreview" zoomScale="80" zoomScaleNormal="80" zoomScaleSheetLayoutView="80" workbookViewId="0">
      <pane xSplit="3" ySplit="3" topLeftCell="F4" activePane="bottomRight" state="frozen"/>
      <selection pane="bottomRight" activeCell="H12" sqref="H12"/>
      <selection pane="bottomLeft" activeCell="K31" sqref="K31"/>
      <selection pane="topRight" activeCell="K31" sqref="K31"/>
    </sheetView>
  </sheetViews>
  <sheetFormatPr defaultColWidth="11.42578125" defaultRowHeight="15.75" customHeight="1" zeroHeight="1"/>
  <cols>
    <col min="1" max="1" width="20.7109375" style="12" customWidth="1"/>
    <col min="2" max="2" width="12.7109375" style="8" customWidth="1"/>
    <col min="3" max="3" width="12.7109375" style="12" customWidth="1"/>
    <col min="4" max="5" width="12.7109375" style="8" hidden="1" customWidth="1"/>
    <col min="6" max="7" width="12.7109375" style="13" customWidth="1"/>
    <col min="8" max="8" width="18.7109375" style="8" customWidth="1"/>
    <col min="9" max="9" width="12.7109375" style="13" customWidth="1"/>
    <col min="10" max="10" width="12.7109375" style="17" customWidth="1"/>
    <col min="11" max="11" width="12.7109375" style="8" customWidth="1"/>
    <col min="12" max="13" width="14.7109375" style="8" customWidth="1"/>
    <col min="14" max="16" width="8.7109375" style="8" hidden="1" customWidth="1"/>
    <col min="17" max="19" width="12.7109375" style="8" hidden="1" customWidth="1"/>
    <col min="20" max="28" width="8.7109375" style="8" hidden="1" customWidth="1"/>
    <col min="29" max="31" width="10.7109375" style="8" hidden="1" customWidth="1"/>
    <col min="32" max="36" width="12.7109375" style="8" hidden="1" customWidth="1"/>
    <col min="37" max="38" width="12.7109375" style="8" customWidth="1"/>
    <col min="39" max="39" width="12.7109375" style="8" hidden="1" customWidth="1"/>
    <col min="40" max="45" width="8.7109375" style="8" hidden="1" customWidth="1"/>
    <col min="46" max="46" width="8.7109375" style="16" hidden="1" customWidth="1"/>
    <col min="47" max="48" width="8.7109375" style="8" hidden="1" customWidth="1"/>
    <col min="49" max="52" width="12.7109375" style="8" customWidth="1"/>
    <col min="53" max="55" width="4.7109375" style="8" customWidth="1"/>
    <col min="56" max="56" width="21.7109375" style="8" customWidth="1"/>
    <col min="57" max="57" width="16.28515625" style="8" customWidth="1"/>
    <col min="58" max="61" width="14" style="8" customWidth="1"/>
    <col min="62" max="65" width="11.42578125" style="8" customWidth="1"/>
    <col min="66" max="16384" width="11.42578125" style="8"/>
  </cols>
  <sheetData>
    <row r="1" spans="1:65" s="429" customFormat="1" ht="35.25" customHeight="1">
      <c r="A1" s="962" t="s">
        <v>48</v>
      </c>
      <c r="B1" s="963"/>
      <c r="C1" s="963"/>
      <c r="D1" s="963"/>
      <c r="E1" s="963"/>
      <c r="F1" s="963"/>
      <c r="G1" s="963"/>
      <c r="H1" s="963"/>
      <c r="I1" s="963"/>
      <c r="J1" s="963"/>
      <c r="K1" s="963"/>
      <c r="L1" s="963"/>
      <c r="M1" s="963"/>
      <c r="N1" s="963"/>
      <c r="O1" s="963"/>
      <c r="P1" s="963"/>
      <c r="Q1" s="963"/>
      <c r="R1" s="963"/>
      <c r="S1" s="963"/>
      <c r="T1" s="963"/>
      <c r="U1" s="963"/>
      <c r="V1" s="963"/>
      <c r="W1" s="963"/>
      <c r="X1" s="963"/>
      <c r="Y1" s="963"/>
      <c r="Z1" s="963"/>
      <c r="AA1" s="963"/>
      <c r="AB1" s="963"/>
      <c r="AC1" s="963"/>
      <c r="AD1" s="963"/>
      <c r="AE1" s="963"/>
      <c r="AF1" s="963"/>
      <c r="AG1" s="963"/>
      <c r="AH1" s="963"/>
      <c r="AI1" s="963"/>
      <c r="AJ1" s="963"/>
      <c r="AK1" s="963"/>
      <c r="AL1" s="963"/>
      <c r="AM1" s="963"/>
      <c r="AN1" s="963"/>
      <c r="AO1" s="963"/>
      <c r="AP1" s="963"/>
      <c r="AQ1" s="963"/>
      <c r="AR1" s="963"/>
      <c r="AS1" s="963"/>
      <c r="AT1" s="963"/>
      <c r="AU1" s="963"/>
      <c r="AV1" s="963"/>
      <c r="AW1" s="963"/>
      <c r="AX1" s="963"/>
      <c r="AY1" s="963"/>
      <c r="AZ1" s="963"/>
      <c r="BA1" s="963"/>
      <c r="BB1" s="963"/>
      <c r="BC1" s="963"/>
      <c r="BD1" s="964"/>
      <c r="BE1" s="430" t="s">
        <v>49</v>
      </c>
      <c r="BF1" s="958" t="s">
        <v>50</v>
      </c>
      <c r="BG1" s="958"/>
      <c r="BH1" s="958"/>
      <c r="BI1" s="958"/>
    </row>
    <row r="2" spans="1:65" s="429" customFormat="1" ht="42" customHeight="1">
      <c r="A2" s="499" t="s">
        <v>51</v>
      </c>
      <c r="B2" s="589" t="s">
        <v>52</v>
      </c>
      <c r="C2" s="588" t="s">
        <v>53</v>
      </c>
      <c r="D2" s="588" t="s">
        <v>54</v>
      </c>
      <c r="E2" s="588" t="s">
        <v>55</v>
      </c>
      <c r="F2" s="588" t="s">
        <v>56</v>
      </c>
      <c r="G2" s="588" t="s">
        <v>57</v>
      </c>
      <c r="H2" s="589" t="s">
        <v>58</v>
      </c>
      <c r="I2" s="565" t="s">
        <v>59</v>
      </c>
      <c r="J2" s="588" t="s">
        <v>60</v>
      </c>
      <c r="K2" s="588" t="s">
        <v>61</v>
      </c>
      <c r="L2" s="588" t="s">
        <v>62</v>
      </c>
      <c r="M2" s="588" t="s">
        <v>63</v>
      </c>
      <c r="N2" s="965" t="s">
        <v>64</v>
      </c>
      <c r="O2" s="965"/>
      <c r="P2" s="965"/>
      <c r="Q2" s="588" t="s">
        <v>65</v>
      </c>
      <c r="R2" s="588" t="s">
        <v>66</v>
      </c>
      <c r="S2" s="588" t="s">
        <v>67</v>
      </c>
      <c r="T2" s="966" t="s">
        <v>68</v>
      </c>
      <c r="U2" s="966"/>
      <c r="V2" s="966"/>
      <c r="W2" s="965" t="s">
        <v>69</v>
      </c>
      <c r="X2" s="965"/>
      <c r="Y2" s="965"/>
      <c r="Z2" s="966" t="s">
        <v>70</v>
      </c>
      <c r="AA2" s="966"/>
      <c r="AB2" s="966"/>
      <c r="AC2" s="965" t="s">
        <v>71</v>
      </c>
      <c r="AD2" s="965"/>
      <c r="AE2" s="965"/>
      <c r="AF2" s="588" t="s">
        <v>72</v>
      </c>
      <c r="AG2" s="589" t="s">
        <v>73</v>
      </c>
      <c r="AH2" s="588" t="s">
        <v>74</v>
      </c>
      <c r="AI2" s="588" t="s">
        <v>75</v>
      </c>
      <c r="AJ2" s="452" t="s">
        <v>76</v>
      </c>
      <c r="AK2" s="588" t="s">
        <v>77</v>
      </c>
      <c r="AL2" s="588" t="s">
        <v>78</v>
      </c>
      <c r="AM2" s="588" t="s">
        <v>79</v>
      </c>
      <c r="AN2" s="965" t="s">
        <v>80</v>
      </c>
      <c r="AO2" s="965"/>
      <c r="AP2" s="965"/>
      <c r="AQ2" s="965" t="s">
        <v>81</v>
      </c>
      <c r="AR2" s="965"/>
      <c r="AS2" s="965"/>
      <c r="AT2" s="965" t="s">
        <v>82</v>
      </c>
      <c r="AU2" s="965"/>
      <c r="AV2" s="965"/>
      <c r="AW2" s="588" t="s">
        <v>83</v>
      </c>
      <c r="AX2" s="588" t="s">
        <v>84</v>
      </c>
      <c r="AY2" s="588" t="s">
        <v>85</v>
      </c>
      <c r="AZ2" s="588" t="s">
        <v>86</v>
      </c>
      <c r="BA2" s="967" t="s">
        <v>87</v>
      </c>
      <c r="BB2" s="968"/>
      <c r="BC2" s="969"/>
      <c r="BD2" s="500" t="s">
        <v>88</v>
      </c>
      <c r="BE2" s="430" t="s">
        <v>89</v>
      </c>
      <c r="BF2" s="431" t="s">
        <v>63</v>
      </c>
      <c r="BG2" s="431" t="s">
        <v>90</v>
      </c>
      <c r="BH2" s="431" t="s">
        <v>91</v>
      </c>
      <c r="BI2" s="431" t="s">
        <v>64</v>
      </c>
    </row>
    <row r="3" spans="1:65" s="429" customFormat="1" ht="15.75" customHeight="1" thickBot="1">
      <c r="A3" s="609"/>
      <c r="B3" s="433"/>
      <c r="C3" s="433"/>
      <c r="D3" s="615"/>
      <c r="E3" s="433"/>
      <c r="F3" s="433"/>
      <c r="G3" s="433"/>
      <c r="H3" s="433"/>
      <c r="I3" s="433"/>
      <c r="J3" s="433"/>
      <c r="K3" s="433"/>
      <c r="L3" s="433"/>
      <c r="M3" s="610"/>
      <c r="N3" s="451" t="s">
        <v>92</v>
      </c>
      <c r="O3" s="451" t="s">
        <v>93</v>
      </c>
      <c r="P3" s="451" t="s">
        <v>94</v>
      </c>
      <c r="Q3" s="959"/>
      <c r="R3" s="960"/>
      <c r="S3" s="961"/>
      <c r="T3" s="432" t="s">
        <v>95</v>
      </c>
      <c r="U3" s="432" t="s">
        <v>96</v>
      </c>
      <c r="V3" s="432" t="s">
        <v>97</v>
      </c>
      <c r="W3" s="432" t="s">
        <v>98</v>
      </c>
      <c r="X3" s="432" t="s">
        <v>99</v>
      </c>
      <c r="Y3" s="432" t="s">
        <v>100</v>
      </c>
      <c r="Z3" s="432" t="s">
        <v>101</v>
      </c>
      <c r="AA3" s="432" t="s">
        <v>102</v>
      </c>
      <c r="AB3" s="432" t="s">
        <v>103</v>
      </c>
      <c r="AC3" s="451" t="s">
        <v>104</v>
      </c>
      <c r="AD3" s="451" t="s">
        <v>105</v>
      </c>
      <c r="AE3" s="451" t="s">
        <v>106</v>
      </c>
      <c r="AF3" s="959"/>
      <c r="AG3" s="960"/>
      <c r="AH3" s="960"/>
      <c r="AI3" s="960"/>
      <c r="AJ3" s="960"/>
      <c r="AK3" s="960"/>
      <c r="AL3" s="960"/>
      <c r="AM3" s="961"/>
      <c r="AN3" s="432" t="s">
        <v>98</v>
      </c>
      <c r="AO3" s="432" t="s">
        <v>99</v>
      </c>
      <c r="AP3" s="432" t="s">
        <v>100</v>
      </c>
      <c r="AQ3" s="432" t="s">
        <v>107</v>
      </c>
      <c r="AR3" s="432" t="s">
        <v>108</v>
      </c>
      <c r="AS3" s="432" t="s">
        <v>109</v>
      </c>
      <c r="AT3" s="555" t="s">
        <v>110</v>
      </c>
      <c r="AU3" s="432" t="s">
        <v>111</v>
      </c>
      <c r="AV3" s="432" t="s">
        <v>112</v>
      </c>
      <c r="AW3" s="453"/>
      <c r="AX3" s="454"/>
      <c r="AY3" s="433"/>
      <c r="AZ3" s="433"/>
      <c r="BA3" s="451" t="s">
        <v>113</v>
      </c>
      <c r="BB3" s="451" t="s">
        <v>114</v>
      </c>
      <c r="BC3" s="451" t="s">
        <v>115</v>
      </c>
      <c r="BD3" s="501"/>
      <c r="BF3" s="434"/>
      <c r="BG3" s="434"/>
      <c r="BH3" s="434"/>
      <c r="BI3" s="434"/>
    </row>
    <row r="4" spans="1:65" s="14" customFormat="1" ht="15.75" customHeight="1" thickTop="1">
      <c r="A4" s="634"/>
      <c r="B4" s="503"/>
      <c r="C4" s="504"/>
      <c r="D4" s="612"/>
      <c r="E4" s="506"/>
      <c r="F4" s="506"/>
      <c r="G4" s="507"/>
      <c r="H4" s="508"/>
      <c r="I4" s="506"/>
      <c r="J4" s="509"/>
      <c r="K4" s="508"/>
      <c r="L4" s="508"/>
      <c r="M4" s="508"/>
      <c r="N4" s="508"/>
      <c r="O4" s="508"/>
      <c r="P4" s="508"/>
      <c r="Q4" s="506"/>
      <c r="R4" s="507"/>
      <c r="S4" s="507"/>
      <c r="T4" s="506"/>
      <c r="U4" s="506"/>
      <c r="V4" s="506"/>
      <c r="W4" s="510"/>
      <c r="X4" s="510"/>
      <c r="Y4" s="510"/>
      <c r="Z4" s="510"/>
      <c r="AA4" s="510"/>
      <c r="AB4" s="510"/>
      <c r="AC4" s="508"/>
      <c r="AD4" s="508"/>
      <c r="AE4" s="508"/>
      <c r="AF4" s="506"/>
      <c r="AG4" s="505"/>
      <c r="AH4" s="506"/>
      <c r="AI4" s="506"/>
      <c r="AJ4" s="508"/>
      <c r="AK4" s="508"/>
      <c r="AL4" s="508"/>
      <c r="AM4" s="508"/>
      <c r="AN4" s="510"/>
      <c r="AO4" s="508"/>
      <c r="AP4" s="508"/>
      <c r="AQ4" s="510"/>
      <c r="AR4" s="510"/>
      <c r="AS4" s="510"/>
      <c r="AT4" s="510"/>
      <c r="AU4" s="511"/>
      <c r="AV4" s="511"/>
      <c r="AW4" s="508"/>
      <c r="AX4" s="508"/>
      <c r="AY4" s="510"/>
      <c r="AZ4" s="510"/>
      <c r="BA4" s="491"/>
      <c r="BB4" s="491"/>
      <c r="BC4" s="491"/>
      <c r="BD4" s="512"/>
      <c r="BE4" s="498"/>
      <c r="BF4" s="1175"/>
      <c r="BG4" s="1175"/>
      <c r="BH4" s="1175"/>
      <c r="BI4" s="1175"/>
      <c r="BK4" s="292"/>
    </row>
    <row r="5" spans="1:65" ht="16.149999999999999" customHeight="1">
      <c r="A5" s="646" t="s">
        <v>116</v>
      </c>
      <c r="B5" s="637"/>
      <c r="C5" s="638"/>
      <c r="D5" s="647"/>
      <c r="E5" s="640"/>
      <c r="F5" s="640"/>
      <c r="G5" s="641"/>
      <c r="H5" s="642"/>
      <c r="I5" s="640"/>
      <c r="J5" s="638">
        <f>C6-7.5</f>
        <v>30348.15</v>
      </c>
      <c r="K5" s="642" t="s">
        <v>117</v>
      </c>
      <c r="L5" s="642"/>
      <c r="M5" s="642" t="str">
        <f>IF(L5="","",
IF(AX5="PT",VLOOKUP(L5,Foundation_Calc!$V$79:$X$113,VLOOKUP(AX5,Foundation_Calc!$I$10:$J$13,2,FALSE),0),
IF(AX5="K",VLOOKUP(L5,Foundation_Calc!$V$117:$X$151,VLOOKUP(AX5,Foundation_Calc!$I$10:$J$13,2,FALSE),0),"")))</f>
        <v/>
      </c>
      <c r="N5" s="642"/>
      <c r="O5" s="642"/>
      <c r="P5" s="642"/>
      <c r="Q5" s="640"/>
      <c r="R5" s="641"/>
      <c r="S5" s="641"/>
      <c r="T5" s="640"/>
      <c r="U5" s="640"/>
      <c r="V5" s="640"/>
      <c r="W5" s="643"/>
      <c r="X5" s="643"/>
      <c r="Y5" s="643"/>
      <c r="Z5" s="643"/>
      <c r="AA5" s="643"/>
      <c r="AB5" s="643"/>
      <c r="AC5" s="642" t="str">
        <f t="shared" ref="AC5:AC68" si="0">IF(OR(AT5&gt;8,AT5&lt;-8),"PH",
IF(OR(AT5&gt;5,AT5&lt;-5),"PHQ",
IF(OR(AT5&gt;1,AT5&lt;-1),
"PHC","")))</f>
        <v/>
      </c>
      <c r="AD5" s="642"/>
      <c r="AE5" s="642"/>
      <c r="AF5" s="640"/>
      <c r="AG5" s="639"/>
      <c r="AH5" s="640"/>
      <c r="AI5" s="640"/>
      <c r="AJ5" s="642"/>
      <c r="AK5" s="642"/>
      <c r="AL5" s="642"/>
      <c r="AM5" s="642"/>
      <c r="AN5" s="644"/>
      <c r="AO5" s="643"/>
      <c r="AP5" s="643"/>
      <c r="AQ5" s="643"/>
      <c r="AR5" s="643"/>
      <c r="AS5" s="643"/>
      <c r="AT5" s="643"/>
      <c r="AU5" s="645"/>
      <c r="AV5" s="645"/>
      <c r="AW5" s="642" t="str">
        <f>IF(C5&gt;0,VLOOKUP(C5,Foundation_Calc!$A$2:$C$993,3,1),
IF(J5&gt;0,VLOOKUP(J5,Foundation_Calc!$A$2:$C$993,3,1),""))</f>
        <v>Multi Soil</v>
      </c>
      <c r="AX5" s="642" t="str">
        <f>IF(C5&gt;0,VLOOKUP(C5,Foundation_Calc!$E$2:$G$33,3,1),
IF(J5&gt;0,VLOOKUP(J5,Foundation_Calc!$E$2:$G$33,3,1),""))</f>
        <v>PT</v>
      </c>
      <c r="AY5" s="644" t="str">
        <f>IF(L5="","",
IF(AX5="PT",VLOOKUP(L5,Foundation_Calc!$K$79:$R$113,VLOOKUP(AW5,Foundation_Calc!$I$2:$J$8,2,FALSE),0),
IF(AX5="K",VLOOKUP(L5,Foundation_Calc!$K$117:$R$151,VLOOKUP(AW5,Foundation_Calc!$I$2:$J$8,2,FALSE),0),"")))</f>
        <v/>
      </c>
      <c r="AZ5" s="644">
        <f>IF(K5="","",
IF(AX5="PT",VLOOKUP(K5,Foundation_Calc!$K$79:$R$113,VLOOKUP(AW5,Foundation_Calc!$I$2:$J$8,2,FALSE),0),
IF(AX5="K",VLOOKUP(K5,Foundation_Calc!$K$117:$R$151,VLOOKUP(AW5,Foundation_Calc!$I$2:$J$8,2,FALSE),0),"")))</f>
        <v>3.9</v>
      </c>
      <c r="BA5" s="495" t="str">
        <f t="shared" ref="BA5:BA32" si="1">IF(AY5="","",IF(AY5&gt;0,"ü",""))</f>
        <v/>
      </c>
      <c r="BB5" s="495" t="str">
        <f t="shared" ref="BB5:BB32" si="2">IF(AZ5="","",IF(AZ5&gt;0,"ü",""))</f>
        <v>ü</v>
      </c>
      <c r="BC5" s="495" t="str">
        <f t="shared" ref="BC5:BC32" si="3">IF(M5="","",IF(M5="U.S.","ü",IF(M5="U.S. N.D.","ü","")))</f>
        <v/>
      </c>
      <c r="BD5" s="513" t="str">
        <f>IF(AND(L5="",H5=""),"",
IF(H5="",Pole_Calc!A$9,
IF(H5="MP",Pole_Calc!A$10,
IF(H5="AnMP",Pole_Calc!A$11,
IF(H5="A",Pole_Calc!A$12,
IF(H5="S/A",Pole_Calc!A$13,
IF(H5="A/S",Pole_Calc!A$14,"Poner a mano")))))))</f>
        <v/>
      </c>
      <c r="BE5" s="429" t="s">
        <v>118</v>
      </c>
      <c r="BF5" s="290"/>
      <c r="BG5" s="290"/>
      <c r="BH5" s="290"/>
      <c r="BI5" s="290"/>
      <c r="BK5" s="427"/>
    </row>
    <row r="6" spans="1:65" ht="16.149999999999999" customHeight="1">
      <c r="A6" s="571" t="s">
        <v>119</v>
      </c>
      <c r="B6" s="450" t="s">
        <v>120</v>
      </c>
      <c r="C6" s="3">
        <v>30355.65</v>
      </c>
      <c r="D6" s="613"/>
      <c r="E6" s="4"/>
      <c r="F6" s="4">
        <f>IF(C6&gt;0,VLOOKUP(C6,'ALIGNMENT TRACK'!$A$1:$K$81,9,1))</f>
        <v>0</v>
      </c>
      <c r="G6" s="6"/>
      <c r="H6" s="449" t="s">
        <v>121</v>
      </c>
      <c r="I6" s="4" t="s">
        <v>122</v>
      </c>
      <c r="J6" s="3"/>
      <c r="K6" s="449"/>
      <c r="L6" s="449" t="s">
        <v>123</v>
      </c>
      <c r="M6" s="449" t="str">
        <f>IF(L6="","",
IF(AX6="PT",VLOOKUP(L6,Foundation_Calc!$V$79:$X$113,VLOOKUP(AX6,Foundation_Calc!$I$10:$J$13,2,FALSE),0),
IF(AX6="K",VLOOKUP(L6,Foundation_Calc!$V$117:$X$151,VLOOKUP(AX6,Foundation_Calc!$I$10:$J$13,2,FALSE),0),"")))</f>
        <v>C9R</v>
      </c>
      <c r="N6" s="449" t="s">
        <v>124</v>
      </c>
      <c r="O6" s="449"/>
      <c r="P6" s="449"/>
      <c r="Q6" s="4"/>
      <c r="R6" s="6"/>
      <c r="S6" s="6"/>
      <c r="T6" s="4">
        <v>-25</v>
      </c>
      <c r="U6" s="4"/>
      <c r="V6" s="4"/>
      <c r="W6" s="9">
        <v>1.4</v>
      </c>
      <c r="X6" s="9"/>
      <c r="Y6" s="9"/>
      <c r="Z6" s="9"/>
      <c r="AA6" s="9"/>
      <c r="AB6" s="9"/>
      <c r="AC6" s="449" t="str">
        <f t="shared" si="0"/>
        <v>PH</v>
      </c>
      <c r="AD6" s="449"/>
      <c r="AE6" s="449"/>
      <c r="AF6" s="4"/>
      <c r="AG6" s="83"/>
      <c r="AH6" s="4"/>
      <c r="AI6" s="4"/>
      <c r="AJ6" s="449" t="s">
        <v>125</v>
      </c>
      <c r="AK6" s="449"/>
      <c r="AL6" s="449"/>
      <c r="AM6" s="449" t="s">
        <v>126</v>
      </c>
      <c r="AN6" s="10">
        <v>5.5</v>
      </c>
      <c r="AO6" s="9"/>
      <c r="AP6" s="9"/>
      <c r="AQ6" s="9"/>
      <c r="AR6" s="9"/>
      <c r="AS6" s="9"/>
      <c r="AT6" s="643">
        <f>+ab($U$10,$T$6,$U$12,$G$7,$G$11,-1*$F$10,1200)</f>
        <v>9.5203583976431378</v>
      </c>
      <c r="AU6" s="428"/>
      <c r="AV6" s="428"/>
      <c r="AW6" s="449" t="str">
        <f>IF(C6&gt;0,VLOOKUP(C6,Foundation_Calc!$A$2:$C$13,3,1),
IF(J6&gt;0,VLOOKUP(J6,Foundation_Calc!$A$2:$C$13,3,1),""))</f>
        <v>Multi Soil</v>
      </c>
      <c r="AX6" s="449" t="str">
        <f>IF(C6&gt;0,VLOOKUP(C6,Foundation_Calc!$E$2:$G$33,3,1),
IF(J6&gt;0,VLOOKUP(J6,Foundation_Calc!$E$2:$G$33,3,1),""))</f>
        <v>PT</v>
      </c>
      <c r="AY6" s="10">
        <f>IF(L6="","",
IF(AX6="PT",VLOOKUP(L6,Foundation_Calc!$K$79:$R$113,VLOOKUP(AW6,Foundation_Calc!$I$2:$J$8,2,FALSE),0),
IF(AX6="K",VLOOKUP(L6,Foundation_Calc!$K$117:$R$151,VLOOKUP(AW6,Foundation_Calc!$I$2:$J$8,2,FALSE),0),"")))</f>
        <v>4.4000000000000004</v>
      </c>
      <c r="AZ6" s="10" t="str">
        <f>IF(K6="","",
IF(AX6="PT",VLOOKUP(K6,Foundation_Calc!$K$79:$R$113,VLOOKUP(AW6,Foundation_Calc!$I$2:$J$8,2,FALSE),0),
IF(AX6="K",VLOOKUP(K6,Foundation_Calc!$K$117:$R$151,VLOOKUP(AW6,Foundation_Calc!$I$2:$J$8,2,FALSE),0),"")))</f>
        <v/>
      </c>
      <c r="BA6" s="495" t="str">
        <f t="shared" si="1"/>
        <v>ü</v>
      </c>
      <c r="BB6" s="495" t="str">
        <f t="shared" si="2"/>
        <v/>
      </c>
      <c r="BC6" s="495" t="str">
        <f t="shared" si="3"/>
        <v/>
      </c>
      <c r="BD6" s="513" t="str">
        <f>IF(AND(L6="",H6=""),"",
IF(H6="",Pole_Calc!A$9,
IF(H6="MP",Pole_Calc!A$10,
IF(H6="AnMP",Pole_Calc!A$11,
IF(H6="A",Pole_Calc!A$12,
IF(H6="S/A",Pole_Calc!A$13,
IF(H6="A/S",Pole_Calc!A$14,"Poner a mano")))))))</f>
        <v>App.7-V11I-P9.5.1.6</v>
      </c>
      <c r="BE6" s="429" t="s">
        <v>118</v>
      </c>
      <c r="BF6" s="289"/>
      <c r="BG6" s="289"/>
      <c r="BH6" s="290"/>
      <c r="BI6" s="289"/>
    </row>
    <row r="7" spans="1:65" ht="16.149999999999999" customHeight="1">
      <c r="A7" s="571" t="s">
        <v>119</v>
      </c>
      <c r="B7" s="450"/>
      <c r="C7" s="3"/>
      <c r="D7" s="83"/>
      <c r="E7" s="4"/>
      <c r="F7" s="4"/>
      <c r="G7" s="6">
        <v>57</v>
      </c>
      <c r="H7" s="449"/>
      <c r="I7" s="4">
        <f>SUM(G7:G37)-50</f>
        <v>685</v>
      </c>
      <c r="J7" s="3"/>
      <c r="K7" s="449"/>
      <c r="L7" s="449"/>
      <c r="M7" s="449" t="str">
        <f>IF(L7="","",
IF(AX7="PT",VLOOKUP(L7,Foundation_Calc!$V$79:$X$113,VLOOKUP(AX7,Foundation_Calc!$I$10:$J$13,2,FALSE),0),
IF(AX7="K",VLOOKUP(L7,Foundation_Calc!$V$117:$X$151,VLOOKUP(AX7,Foundation_Calc!$I$10:$J$13,2,FALSE),0),"")))</f>
        <v/>
      </c>
      <c r="N7" s="449"/>
      <c r="O7" s="449"/>
      <c r="P7" s="449"/>
      <c r="Q7" s="4"/>
      <c r="R7" s="6"/>
      <c r="S7" s="6"/>
      <c r="T7" s="4"/>
      <c r="U7" s="4"/>
      <c r="V7" s="4"/>
      <c r="W7" s="9"/>
      <c r="X7" s="9"/>
      <c r="Y7" s="9"/>
      <c r="Z7" s="9"/>
      <c r="AA7" s="9"/>
      <c r="AB7" s="9"/>
      <c r="AC7" s="449" t="str">
        <f t="shared" si="0"/>
        <v/>
      </c>
      <c r="AD7" s="449"/>
      <c r="AE7" s="449"/>
      <c r="AF7" s="4"/>
      <c r="AG7" s="83"/>
      <c r="AH7" s="4"/>
      <c r="AI7" s="4"/>
      <c r="AJ7" s="449"/>
      <c r="AK7" s="449"/>
      <c r="AL7" s="449"/>
      <c r="AM7" s="449"/>
      <c r="AN7" s="10"/>
      <c r="AO7" s="9"/>
      <c r="AP7" s="9"/>
      <c r="AQ7" s="9"/>
      <c r="AR7" s="9"/>
      <c r="AS7" s="9"/>
      <c r="AT7" s="9"/>
      <c r="AU7" s="428"/>
      <c r="AV7" s="428"/>
      <c r="AW7" s="449" t="str">
        <f>IF(C7&gt;0,VLOOKUP(C7,Foundation_Calc!$A$2:$C$13,3,1),
IF(J7&gt;0,VLOOKUP(J7,Foundation_Calc!$A$2:$C$13,3,1),""))</f>
        <v/>
      </c>
      <c r="AX7" s="449" t="str">
        <f>IF(C7&gt;0,VLOOKUP(C7,Foundation_Calc!$E$2:$G$33,3,1),
IF(J7&gt;0,VLOOKUP(J7,Foundation_Calc!$E$2:$G$33,3,1),""))</f>
        <v/>
      </c>
      <c r="AY7" s="10" t="str">
        <f>IF(L7="","",
IF(AX7="PT",VLOOKUP(L7,Foundation_Calc!$K$79:$R$113,VLOOKUP(AW7,Foundation_Calc!$I$2:$J$8,2,FALSE),0),
IF(AX7="K",VLOOKUP(L7,Foundation_Calc!$K$117:$R$151,VLOOKUP(AW7,Foundation_Calc!$I$2:$J$8,2,FALSE),0),"")))</f>
        <v/>
      </c>
      <c r="AZ7" s="10" t="str">
        <f>IF(K7="","",
IF(AX7="PT",VLOOKUP(K7,Foundation_Calc!$K$79:$R$113,VLOOKUP(AW7,Foundation_Calc!$I$2:$J$8,2,FALSE),0),
IF(AX7="K",VLOOKUP(K7,Foundation_Calc!$K$117:$R$151,VLOOKUP(AW7,Foundation_Calc!$I$2:$J$8,2,FALSE),0),"")))</f>
        <v/>
      </c>
      <c r="BA7" s="495"/>
      <c r="BB7" s="495"/>
      <c r="BC7" s="495"/>
      <c r="BD7" s="513" t="str">
        <f>IF(AND(L7="",H7=""),"",
IF(H7="",Pole_Calc!A$9,
IF(H7="MP",Pole_Calc!A$10,
IF(H7="AnMP",Pole_Calc!A$11,
IF(H7="A",Pole_Calc!A$12,
IF(H7="S/A",Pole_Calc!A$13,
IF(H7="A/S",Pole_Calc!A$14,"Poner a mano")))))))</f>
        <v/>
      </c>
      <c r="BE7" s="429" t="s">
        <v>118</v>
      </c>
      <c r="BF7" s="290"/>
      <c r="BG7" s="290"/>
      <c r="BH7" s="290"/>
      <c r="BI7" s="290"/>
      <c r="BL7" s="427"/>
    </row>
    <row r="8" spans="1:65" ht="16.149999999999999" customHeight="1">
      <c r="A8" s="571" t="s">
        <v>119</v>
      </c>
      <c r="B8" s="450" t="s">
        <v>127</v>
      </c>
      <c r="C8" s="3">
        <f>C10-G9</f>
        <v>30387.65</v>
      </c>
      <c r="D8" s="83"/>
      <c r="E8" s="4"/>
      <c r="F8" s="4">
        <f>IF(C8&gt;0,VLOOKUP(C8,'ALIGNMENT TRACK'!$A$1:$K$81,9,1))</f>
        <v>0</v>
      </c>
      <c r="G8" s="6"/>
      <c r="H8" s="449"/>
      <c r="I8" s="4"/>
      <c r="J8" s="3"/>
      <c r="K8" s="449"/>
      <c r="L8" s="449" t="s">
        <v>128</v>
      </c>
      <c r="M8" s="449" t="str">
        <f>IF(L8="","",
IF(AX8="PT",VLOOKUP(L8,Foundation_Calc!$V$79:$X$113,VLOOKUP(AX8,Foundation_Calc!$I$10:$J$13,2,FALSE),0),
IF(AX8="K",VLOOKUP(L8,Foundation_Calc!$V$117:$X$151,VLOOKUP(AX8,Foundation_Calc!$I$10:$J$13,2,FALSE),0),"")))</f>
        <v>T-SING FOUND.</v>
      </c>
      <c r="N8" s="449"/>
      <c r="O8" s="449"/>
      <c r="P8" s="449"/>
      <c r="Q8" s="4"/>
      <c r="R8" s="6"/>
      <c r="S8" s="6"/>
      <c r="T8" s="4"/>
      <c r="U8" s="4"/>
      <c r="V8" s="4"/>
      <c r="W8" s="9"/>
      <c r="X8" s="9"/>
      <c r="Y8" s="9"/>
      <c r="Z8" s="9"/>
      <c r="AA8" s="9"/>
      <c r="AB8" s="9"/>
      <c r="AC8" s="449" t="str">
        <f t="shared" si="0"/>
        <v/>
      </c>
      <c r="AD8" s="449"/>
      <c r="AE8" s="449"/>
      <c r="AF8" s="4"/>
      <c r="AG8" s="83"/>
      <c r="AH8" s="4"/>
      <c r="AI8" s="4"/>
      <c r="AJ8" s="449"/>
      <c r="AK8" s="449"/>
      <c r="AL8" s="449"/>
      <c r="AM8" s="449" t="s">
        <v>126</v>
      </c>
      <c r="AN8" s="10"/>
      <c r="AO8" s="9"/>
      <c r="AP8" s="9"/>
      <c r="AQ8" s="9"/>
      <c r="AR8" s="9"/>
      <c r="AS8" s="9"/>
      <c r="AT8" s="9"/>
      <c r="AU8" s="428"/>
      <c r="AV8" s="428"/>
      <c r="AW8" s="449" t="str">
        <f>IF(C8&gt;0,VLOOKUP(C8,Foundation_Calc!$A$2:$C$13,3,1),
IF(J8&gt;0,VLOOKUP(J8,Foundation_Calc!$A$2:$C$13,3,1),""))</f>
        <v>Multi Soil</v>
      </c>
      <c r="AX8" s="449" t="str">
        <f>IF(C8&gt;0,VLOOKUP(C8,Foundation_Calc!$E$2:$G$33,3,1),
IF(J8&gt;0,VLOOKUP(J8,Foundation_Calc!$E$2:$G$33,3,1),""))</f>
        <v>PT</v>
      </c>
      <c r="AY8" s="10">
        <f>IF(L8="","",
IF(AX8="PT",VLOOKUP(L8,Foundation_Calc!$K$79:$R$113,VLOOKUP(AW8,Foundation_Calc!$I$2:$J$8,2,FALSE),0),
IF(AX8="K",VLOOKUP(L8,Foundation_Calc!$K$117:$R$151,VLOOKUP(AW8,Foundation_Calc!$I$2:$J$8,2,FALSE),0),"")))</f>
        <v>1.2</v>
      </c>
      <c r="AZ8" s="10" t="str">
        <f>IF(K8="","",
IF(AX8="PT",VLOOKUP(K8,Foundation_Calc!$K$79:$R$113,VLOOKUP(AW8,Foundation_Calc!$I$2:$J$8,2,FALSE),0),
IF(AX8="K",VLOOKUP(K8,Foundation_Calc!$K$117:$R$151,VLOOKUP(AW8,Foundation_Calc!$I$2:$J$8,2,FALSE),0),"")))</f>
        <v/>
      </c>
      <c r="BA8" s="495" t="str">
        <f t="shared" ref="BA8" si="4">IF(AY8="","",IF(AY8&gt;0,"ü",""))</f>
        <v>ü</v>
      </c>
      <c r="BB8" s="495" t="str">
        <f t="shared" ref="BB8" si="5">IF(AZ8="","",IF(AZ8&gt;0,"ü",""))</f>
        <v/>
      </c>
      <c r="BC8" s="495" t="str">
        <f t="shared" ref="BC8" si="6">IF(M8="","",IF(M8="U.S.","ü",IF(M8="U.S. N.D.","ü","")))</f>
        <v/>
      </c>
      <c r="BD8" s="513"/>
      <c r="BE8" s="429" t="s">
        <v>118</v>
      </c>
      <c r="BF8" s="289"/>
      <c r="BG8" s="289"/>
      <c r="BH8" s="290"/>
      <c r="BI8" s="289"/>
      <c r="BL8" s="427"/>
    </row>
    <row r="9" spans="1:65" ht="16.149999999999999" customHeight="1">
      <c r="A9" s="571" t="s">
        <v>119</v>
      </c>
      <c r="B9" s="450"/>
      <c r="C9" s="3"/>
      <c r="D9" s="83"/>
      <c r="E9" s="4"/>
      <c r="F9" s="4"/>
      <c r="G9" s="6">
        <v>25</v>
      </c>
      <c r="H9" s="449"/>
      <c r="I9" s="4"/>
      <c r="J9" s="3"/>
      <c r="K9" s="449"/>
      <c r="L9" s="449"/>
      <c r="M9" s="449" t="str">
        <f>IF(L9="","",
IF(AX9="PT",VLOOKUP(L9,Foundation_Calc!$V$79:$X$113,VLOOKUP(AX9,Foundation_Calc!$I$10:$J$13,2,FALSE),0),
IF(AX9="K",VLOOKUP(L9,Foundation_Calc!$V$117:$X$151,VLOOKUP(AX9,Foundation_Calc!$I$10:$J$13,2,FALSE),0),"")))</f>
        <v/>
      </c>
      <c r="N9" s="449"/>
      <c r="O9" s="449"/>
      <c r="P9" s="449"/>
      <c r="Q9" s="4"/>
      <c r="R9" s="6"/>
      <c r="S9" s="6"/>
      <c r="T9" s="4"/>
      <c r="U9" s="4"/>
      <c r="V9" s="4"/>
      <c r="W9" s="9"/>
      <c r="X9" s="9"/>
      <c r="Y9" s="9"/>
      <c r="Z9" s="9"/>
      <c r="AA9" s="9"/>
      <c r="AB9" s="9"/>
      <c r="AC9" s="449" t="str">
        <f t="shared" si="0"/>
        <v/>
      </c>
      <c r="AD9" s="449"/>
      <c r="AE9" s="449"/>
      <c r="AF9" s="4"/>
      <c r="AG9" s="83"/>
      <c r="AH9" s="4"/>
      <c r="AI9" s="4"/>
      <c r="AJ9" s="449" t="s">
        <v>125</v>
      </c>
      <c r="AK9" s="449"/>
      <c r="AL9" s="449"/>
      <c r="AM9" s="449"/>
      <c r="AN9" s="10"/>
      <c r="AO9" s="9"/>
      <c r="AP9" s="9"/>
      <c r="AQ9" s="9">
        <f>+FL_1($U$10,$T$6,$G$7,1200,9.28,-1*$F$10)</f>
        <v>0.26344752729824567</v>
      </c>
      <c r="AR9" s="9"/>
      <c r="AS9" s="9"/>
      <c r="AT9" s="9"/>
      <c r="AU9" s="428"/>
      <c r="AV9" s="428"/>
      <c r="AW9" s="449" t="str">
        <f>IF(C9&gt;0,VLOOKUP(C9,Foundation_Calc!$A$2:$C$13,3,1),
IF(J9&gt;0,VLOOKUP(J9,Foundation_Calc!$A$2:$C$13,3,1),""))</f>
        <v/>
      </c>
      <c r="AX9" s="449" t="str">
        <f>IF(C9&gt;0,VLOOKUP(C9,Foundation_Calc!$E$2:$G$33,3,1),
IF(J9&gt;0,VLOOKUP(J9,Foundation_Calc!$E$2:$G$33,3,1),""))</f>
        <v/>
      </c>
      <c r="AY9" s="10" t="str">
        <f>IF(L9="","",
IF(AX9="PT",VLOOKUP(L9,Foundation_Calc!$K$79:$R$113,VLOOKUP(AW9,Foundation_Calc!$I$2:$J$8,2,FALSE),0),
IF(AX9="K",VLOOKUP(L9,Foundation_Calc!$K$117:$R$151,VLOOKUP(AW9,Foundation_Calc!$I$2:$J$8,2,FALSE),0),"")))</f>
        <v/>
      </c>
      <c r="AZ9" s="10" t="str">
        <f>IF(K9="","",
IF(AX9="PT",VLOOKUP(K9,Foundation_Calc!$K$79:$R$113,VLOOKUP(AW9,Foundation_Calc!$I$2:$J$8,2,FALSE),0),
IF(AX9="K",VLOOKUP(K9,Foundation_Calc!$K$117:$R$151,VLOOKUP(AW9,Foundation_Calc!$I$2:$J$8,2,FALSE),0),"")))</f>
        <v/>
      </c>
      <c r="BA9" s="495"/>
      <c r="BB9" s="495"/>
      <c r="BC9" s="495"/>
      <c r="BD9" s="513" t="str">
        <f>IF(AND(L9="",H9=""),"",
IF(H9="",Pole_Calc!A$9,
IF(H9="MP",Pole_Calc!A$10,
IF(H9="AnMP",Pole_Calc!A$11,
IF(H9="A",Pole_Calc!A$12,
IF(H9="S/A",Pole_Calc!A$13,
IF(H9="A/S",Pole_Calc!A$14,"Poner a mano")))))))</f>
        <v/>
      </c>
      <c r="BE9" s="429" t="s">
        <v>118</v>
      </c>
      <c r="BF9" s="290"/>
      <c r="BG9" s="290"/>
      <c r="BH9" s="290"/>
      <c r="BI9" s="290"/>
      <c r="BL9" s="427"/>
    </row>
    <row r="10" spans="1:65" ht="16.149999999999999" customHeight="1">
      <c r="A10" s="636" t="s">
        <v>129</v>
      </c>
      <c r="B10" s="637" t="s">
        <v>130</v>
      </c>
      <c r="C10" s="638">
        <f>+$C$6+$G$7</f>
        <v>30412.65</v>
      </c>
      <c r="D10" s="639"/>
      <c r="E10" s="640"/>
      <c r="F10" s="640">
        <f>IF(C10&gt;0,VLOOKUP(C10,'ALIGNMENT TRACK'!$A$1:$K$81,9,1))</f>
        <v>0</v>
      </c>
      <c r="G10" s="641"/>
      <c r="H10" s="642" t="s">
        <v>131</v>
      </c>
      <c r="I10" s="640" t="s">
        <v>132</v>
      </c>
      <c r="J10" s="638"/>
      <c r="K10" s="642"/>
      <c r="L10" s="642" t="s">
        <v>123</v>
      </c>
      <c r="M10" s="642" t="str">
        <f>IF(L10="","",
IF(AX10="PT",VLOOKUP(L10,Foundation_Calc!$V$79:$X$113,VLOOKUP(AX10,Foundation_Calc!$I$10:$J$13,2,FALSE),0),
IF(AX10="K",VLOOKUP(L10,Foundation_Calc!$V$117:$X$151,VLOOKUP(AX10,Foundation_Calc!$I$10:$J$13,2,FALSE),0),"")))</f>
        <v>C9R</v>
      </c>
      <c r="N10" s="642" t="s">
        <v>133</v>
      </c>
      <c r="O10" s="642" t="s">
        <v>134</v>
      </c>
      <c r="P10" s="642"/>
      <c r="Q10" s="640"/>
      <c r="R10" s="641"/>
      <c r="S10" s="641"/>
      <c r="T10" s="640">
        <v>55</v>
      </c>
      <c r="U10" s="640">
        <v>10</v>
      </c>
      <c r="V10" s="640"/>
      <c r="W10" s="643">
        <v>1.4</v>
      </c>
      <c r="X10" s="643">
        <v>2.2999999999999998</v>
      </c>
      <c r="Y10" s="643"/>
      <c r="Z10" s="643">
        <v>0.45</v>
      </c>
      <c r="AA10" s="643"/>
      <c r="AB10" s="643"/>
      <c r="AC10" s="642"/>
      <c r="AD10" s="642"/>
      <c r="AE10" s="642"/>
      <c r="AF10" s="640"/>
      <c r="AG10" s="639"/>
      <c r="AH10" s="640"/>
      <c r="AI10" s="640"/>
      <c r="AJ10" s="642" t="s">
        <v>135</v>
      </c>
      <c r="AK10" s="642"/>
      <c r="AL10" s="642"/>
      <c r="AM10" s="642" t="s">
        <v>126</v>
      </c>
      <c r="AN10" s="644">
        <v>5.5</v>
      </c>
      <c r="AO10" s="643"/>
      <c r="AP10" s="643"/>
      <c r="AQ10" s="643"/>
      <c r="AR10" s="643"/>
      <c r="AS10" s="643"/>
      <c r="AT10" s="643">
        <f>+ab($U$10,$T$6,$U$12,$G$7,$G$11,-1*$F$10,1200)</f>
        <v>9.5203583976431378</v>
      </c>
      <c r="AU10" s="645"/>
      <c r="AV10" s="645"/>
      <c r="AW10" s="642" t="str">
        <f>IF(C10&gt;0,VLOOKUP(C10,Foundation_Calc!$A$2:$C$13,3,1),
IF(J10&gt;0,VLOOKUP(J10,Foundation_Calc!$A$2:$C$13,3,1),""))</f>
        <v>Multi Soil</v>
      </c>
      <c r="AX10" s="642" t="str">
        <f>IF(C10&gt;0,VLOOKUP(C10,Foundation_Calc!$E$2:$G$33,3,1),
IF(J10&gt;0,VLOOKUP(J10,Foundation_Calc!$E$2:$G$33,3,1),""))</f>
        <v>PT</v>
      </c>
      <c r="AY10" s="644">
        <f>IF(L10="","",
IF(AX10="PT",VLOOKUP(L10,Foundation_Calc!$K$79:$R$113,VLOOKUP(AW10,Foundation_Calc!$I$2:$J$8,2,FALSE),0),
IF(AX10="K",VLOOKUP(L10,Foundation_Calc!$K$117:$R$151,VLOOKUP(AW10,Foundation_Calc!$I$2:$J$8,2,FALSE),0),"")))</f>
        <v>4.4000000000000004</v>
      </c>
      <c r="AZ10" s="644" t="str">
        <f>IF(K10="","",
IF(AX10="PT",VLOOKUP(K10,Foundation_Calc!$K$79:$R$113,VLOOKUP(AW10,Foundation_Calc!$I$2:$J$8,2,FALSE),0),
IF(AX10="K",VLOOKUP(K10,Foundation_Calc!$K$117:$R$151,VLOOKUP(AW10,Foundation_Calc!$I$2:$J$8,2,FALSE),0),"")))</f>
        <v/>
      </c>
      <c r="BA10" s="495" t="str">
        <f t="shared" si="1"/>
        <v>ü</v>
      </c>
      <c r="BB10" s="495" t="str">
        <f t="shared" si="2"/>
        <v/>
      </c>
      <c r="BC10" s="495" t="str">
        <f t="shared" si="3"/>
        <v/>
      </c>
      <c r="BD10" s="513" t="str">
        <f>IF(AND(L10="",H10=""),"",
IF(H10="",Pole_Calc!A$9,
IF(H10="MP",Pole_Calc!A$10,
IF(H10="AnMP",Pole_Calc!A$11,
IF(H10="A",Pole_Calc!A$12,
IF(H10="S/A",Pole_Calc!A$13,
IF(H10="A/S",Pole_Calc!A$14,"Poner a mano")))))))</f>
        <v>App.7-V11I-P9.5.1.5</v>
      </c>
      <c r="BE10" s="429" t="s">
        <v>118</v>
      </c>
      <c r="BF10" s="289"/>
      <c r="BG10" s="289"/>
      <c r="BH10" s="290"/>
      <c r="BI10" s="289"/>
    </row>
    <row r="11" spans="1:65" ht="16.149999999999999" customHeight="1">
      <c r="A11" s="571" t="s">
        <v>119</v>
      </c>
      <c r="B11" s="450"/>
      <c r="C11" s="3"/>
      <c r="D11" s="83"/>
      <c r="E11" s="4"/>
      <c r="F11" s="4"/>
      <c r="G11" s="6">
        <v>47</v>
      </c>
      <c r="H11" s="449"/>
      <c r="I11" s="4"/>
      <c r="J11" s="3"/>
      <c r="K11" s="449"/>
      <c r="L11" s="449"/>
      <c r="M11" s="449" t="str">
        <f>IF(L11="","",
IF(AX11="PT",VLOOKUP(L11,Foundation_Calc!$V$79:$X$113,VLOOKUP(AX11,Foundation_Calc!$I$10:$J$13,2,FALSE),0),
IF(AX11="K",VLOOKUP(L11,Foundation_Calc!$V$117:$X$151,VLOOKUP(AX11,Foundation_Calc!$I$10:$J$13,2,FALSE),0),"")))</f>
        <v/>
      </c>
      <c r="N11" s="449"/>
      <c r="O11" s="449"/>
      <c r="P11" s="449"/>
      <c r="Q11" s="4"/>
      <c r="R11" s="6"/>
      <c r="S11" s="6"/>
      <c r="T11" s="4"/>
      <c r="U11" s="4"/>
      <c r="V11" s="4"/>
      <c r="W11" s="9"/>
      <c r="X11" s="9"/>
      <c r="Y11" s="9"/>
      <c r="Z11" s="9"/>
      <c r="AA11" s="9"/>
      <c r="AB11" s="9"/>
      <c r="AC11" s="449" t="str">
        <f t="shared" si="0"/>
        <v/>
      </c>
      <c r="AD11" s="449"/>
      <c r="AE11" s="449"/>
      <c r="AF11" s="4"/>
      <c r="AG11" s="83"/>
      <c r="AH11" s="4"/>
      <c r="AI11" s="4"/>
      <c r="AJ11" s="449" t="s">
        <v>125</v>
      </c>
      <c r="AK11" s="449"/>
      <c r="AL11" s="449"/>
      <c r="AM11" s="449"/>
      <c r="AN11" s="10"/>
      <c r="AO11" s="9"/>
      <c r="AP11" s="9"/>
      <c r="AQ11" s="9">
        <f>+FL_1($U$12,$U$10,$G$11,1200,9.28,-1*$F$12)</f>
        <v>0.11219809441134755</v>
      </c>
      <c r="AR11" s="9"/>
      <c r="AS11" s="9"/>
      <c r="AT11" s="9"/>
      <c r="AU11" s="428"/>
      <c r="AV11" s="428"/>
      <c r="AW11" s="449" t="str">
        <f>IF(C11&gt;0,VLOOKUP(C11,Foundation_Calc!$A$2:$C$13,3,1),
IF(J11&gt;0,VLOOKUP(J11,Foundation_Calc!$A$2:$C$13,3,1),""))</f>
        <v/>
      </c>
      <c r="AX11" s="449" t="str">
        <f>IF(C11&gt;0,VLOOKUP(C11,Foundation_Calc!$E$2:$G$33,3,1),
IF(J11&gt;0,VLOOKUP(J11,Foundation_Calc!$E$2:$G$33,3,1),""))</f>
        <v/>
      </c>
      <c r="AY11" s="10" t="str">
        <f>IF(L11="","",
IF(AX11="PT",VLOOKUP(L11,Foundation_Calc!$K$79:$R$113,VLOOKUP(AW11,Foundation_Calc!$I$2:$J$8,2,FALSE),0),
IF(AX11="K",VLOOKUP(L11,Foundation_Calc!$K$117:$R$151,VLOOKUP(AW11,Foundation_Calc!$I$2:$J$8,2,FALSE),0),"")))</f>
        <v/>
      </c>
      <c r="AZ11" s="10" t="str">
        <f>IF(K11="","",
IF(AX11="PT",VLOOKUP(K11,Foundation_Calc!$K$79:$R$113,VLOOKUP(AW11,Foundation_Calc!$I$2:$J$8,2,FALSE),0),
IF(AX11="K",VLOOKUP(K11,Foundation_Calc!$K$117:$R$151,VLOOKUP(AW11,Foundation_Calc!$I$2:$J$8,2,FALSE),0),"")))</f>
        <v/>
      </c>
      <c r="BA11" s="495" t="str">
        <f t="shared" si="1"/>
        <v/>
      </c>
      <c r="BB11" s="495" t="str">
        <f t="shared" si="2"/>
        <v/>
      </c>
      <c r="BC11" s="495" t="str">
        <f t="shared" si="3"/>
        <v/>
      </c>
      <c r="BD11" s="513" t="str">
        <f>IF(AND(L11="",H11=""),"",
IF(H11="",Pole_Calc!A$9,
IF(H11="MP",Pole_Calc!A$10,
IF(H11="AnMP",Pole_Calc!A$11,
IF(H11="A",Pole_Calc!A$12,
IF(H11="S/A",Pole_Calc!A$13,
IF(H11="A/S",Pole_Calc!A$14,"Poner a mano")))))))</f>
        <v/>
      </c>
      <c r="BE11" s="429" t="s">
        <v>118</v>
      </c>
      <c r="BF11" s="290"/>
      <c r="BG11" s="290"/>
      <c r="BH11" s="290"/>
      <c r="BI11" s="290"/>
      <c r="BM11" s="427"/>
    </row>
    <row r="12" spans="1:65" ht="16.149999999999999" customHeight="1">
      <c r="A12" s="636" t="s">
        <v>136</v>
      </c>
      <c r="B12" s="637" t="s">
        <v>137</v>
      </c>
      <c r="C12" s="638">
        <f>+$C$10+$G$11</f>
        <v>30459.65</v>
      </c>
      <c r="D12" s="639"/>
      <c r="E12" s="640"/>
      <c r="F12" s="640">
        <f>IF(C12&gt;0,VLOOKUP(C12,'ALIGNMENT TRACK'!$A$1:$K$81,9,1))</f>
        <v>0</v>
      </c>
      <c r="G12" s="641"/>
      <c r="H12" s="642" t="s">
        <v>131</v>
      </c>
      <c r="I12" s="640" t="s">
        <v>132</v>
      </c>
      <c r="J12" s="638"/>
      <c r="K12" s="642"/>
      <c r="L12" s="642" t="s">
        <v>123</v>
      </c>
      <c r="M12" s="642" t="str">
        <f>IF(L12="","",
IF(AX12="PT",VLOOKUP(L12,Foundation_Calc!$V$79:$X$113,VLOOKUP(AX12,Foundation_Calc!$I$10:$J$13,2,FALSE),0),
IF(AX12="K",VLOOKUP(L12,Foundation_Calc!$V$117:$X$151,VLOOKUP(AX12,Foundation_Calc!$I$10:$J$13,2,FALSE),0),"")))</f>
        <v>C9R</v>
      </c>
      <c r="N12" s="642" t="s">
        <v>124</v>
      </c>
      <c r="O12" s="642" t="s">
        <v>133</v>
      </c>
      <c r="P12" s="642"/>
      <c r="Q12" s="640"/>
      <c r="R12" s="641"/>
      <c r="S12" s="641"/>
      <c r="T12" s="640">
        <v>-10</v>
      </c>
      <c r="U12" s="640">
        <v>-55</v>
      </c>
      <c r="V12" s="640"/>
      <c r="W12" s="643">
        <v>1.4</v>
      </c>
      <c r="X12" s="643">
        <v>2.2999999999999998</v>
      </c>
      <c r="Y12" s="643"/>
      <c r="Z12" s="643"/>
      <c r="AA12" s="643">
        <v>0.45</v>
      </c>
      <c r="AB12" s="643"/>
      <c r="AC12" s="642" t="str">
        <f t="shared" si="0"/>
        <v>PHQ</v>
      </c>
      <c r="AD12" s="642"/>
      <c r="AE12" s="642"/>
      <c r="AF12" s="640"/>
      <c r="AG12" s="639"/>
      <c r="AH12" s="640"/>
      <c r="AI12" s="640"/>
      <c r="AJ12" s="642" t="s">
        <v>135</v>
      </c>
      <c r="AK12" s="642"/>
      <c r="AL12" s="642"/>
      <c r="AM12" s="642" t="s">
        <v>126</v>
      </c>
      <c r="AN12" s="644">
        <v>5.5</v>
      </c>
      <c r="AO12" s="643"/>
      <c r="AP12" s="643"/>
      <c r="AQ12" s="643"/>
      <c r="AR12" s="643"/>
      <c r="AS12" s="643"/>
      <c r="AT12" s="643">
        <f>+ab($T$12,$T$10,$T$14,$G$11,$G$13,-1*$F$12,1200)</f>
        <v>-6.904058916322513</v>
      </c>
      <c r="AU12" s="645"/>
      <c r="AV12" s="645"/>
      <c r="AW12" s="642" t="str">
        <f>IF(C12&gt;0,VLOOKUP(C12,Foundation_Calc!$A$2:$C$13,3,1),
IF(J12&gt;0,VLOOKUP(J12,Foundation_Calc!$A$2:$C$13,3,1),""))</f>
        <v>Multi Soil</v>
      </c>
      <c r="AX12" s="642" t="str">
        <f>IF(C12&gt;0,VLOOKUP(C12,Foundation_Calc!$E$2:$G$33,3,1),
IF(J12&gt;0,VLOOKUP(J12,Foundation_Calc!$E$2:$G$33,3,1),""))</f>
        <v>PT</v>
      </c>
      <c r="AY12" s="644">
        <f>IF(L12="","",
IF(AX12="PT",VLOOKUP(L12,Foundation_Calc!$K$79:$R$113,VLOOKUP(AW12,Foundation_Calc!$I$2:$J$8,2,FALSE),0),
IF(AX12="K",VLOOKUP(L12,Foundation_Calc!$K$117:$R$151,VLOOKUP(AW12,Foundation_Calc!$I$2:$J$8,2,FALSE),0),"")))</f>
        <v>4.4000000000000004</v>
      </c>
      <c r="AZ12" s="644" t="str">
        <f>IF(K12="","",
IF(AX12="PT",VLOOKUP(K12,Foundation_Calc!$K$79:$R$113,VLOOKUP(AW12,Foundation_Calc!$I$2:$J$8,2,FALSE),0),
IF(AX12="K",VLOOKUP(K12,Foundation_Calc!$K$117:$R$151,VLOOKUP(AW12,Foundation_Calc!$I$2:$J$8,2,FALSE),0),"")))</f>
        <v/>
      </c>
      <c r="BA12" s="495" t="str">
        <f t="shared" si="1"/>
        <v>ü</v>
      </c>
      <c r="BB12" s="495" t="str">
        <f t="shared" si="2"/>
        <v/>
      </c>
      <c r="BC12" s="495" t="str">
        <f t="shared" si="3"/>
        <v/>
      </c>
      <c r="BD12" s="513" t="str">
        <f>IF(AND(L12="",H12=""),"",
IF(H12="",Pole_Calc!A$9,
IF(H12="MP",Pole_Calc!A$10,
IF(H12="AnMP",Pole_Calc!A$11,
IF(H12="A",Pole_Calc!A$12,
IF(H12="S/A",Pole_Calc!A$13,
IF(H12="A/S",Pole_Calc!A$14,"Poner a mano")))))))</f>
        <v>App.7-V11I-P9.5.1.5</v>
      </c>
      <c r="BE12" s="429" t="s">
        <v>118</v>
      </c>
      <c r="BF12" s="289"/>
      <c r="BG12" s="289"/>
      <c r="BH12" s="290"/>
      <c r="BI12" s="289"/>
    </row>
    <row r="13" spans="1:65" ht="16.149999999999999" customHeight="1">
      <c r="A13" s="571" t="s">
        <v>119</v>
      </c>
      <c r="B13" s="450"/>
      <c r="C13" s="3"/>
      <c r="D13" s="83"/>
      <c r="E13" s="4"/>
      <c r="F13" s="4"/>
      <c r="G13" s="6">
        <v>47</v>
      </c>
      <c r="H13" s="449"/>
      <c r="I13" s="4"/>
      <c r="J13" s="3"/>
      <c r="K13" s="449"/>
      <c r="L13" s="449"/>
      <c r="M13" s="449" t="str">
        <f>IF(L13="","",
IF(AX13="PT",VLOOKUP(L13,Foundation_Calc!$V$79:$X$113,VLOOKUP(AX13,Foundation_Calc!$I$10:$J$13,2,FALSE),0),
IF(AX13="K",VLOOKUP(L13,Foundation_Calc!$V$117:$X$151,VLOOKUP(AX13,Foundation_Calc!$I$10:$J$13,2,FALSE),0),"")))</f>
        <v/>
      </c>
      <c r="N13" s="449"/>
      <c r="O13" s="449"/>
      <c r="P13" s="449"/>
      <c r="Q13" s="4"/>
      <c r="R13" s="6"/>
      <c r="S13" s="6"/>
      <c r="T13" s="4"/>
      <c r="U13" s="4"/>
      <c r="V13" s="4"/>
      <c r="W13" s="9"/>
      <c r="X13" s="9"/>
      <c r="Y13" s="9"/>
      <c r="Z13" s="9"/>
      <c r="AA13" s="9"/>
      <c r="AB13" s="9"/>
      <c r="AC13" s="449" t="str">
        <f t="shared" si="0"/>
        <v/>
      </c>
      <c r="AD13" s="449"/>
      <c r="AE13" s="449"/>
      <c r="AF13" s="4"/>
      <c r="AG13" s="83"/>
      <c r="AH13" s="4"/>
      <c r="AI13" s="4"/>
      <c r="AJ13" s="449"/>
      <c r="AK13" s="449"/>
      <c r="AL13" s="449"/>
      <c r="AM13" s="449"/>
      <c r="AN13" s="10"/>
      <c r="AO13" s="9"/>
      <c r="AP13" s="9"/>
      <c r="AQ13" s="9">
        <f>+FL_2($T$14,$T$12,$G$13,1200,9.28,-1*$F$14)</f>
        <v>-0.11219809441134755</v>
      </c>
      <c r="AR13" s="9"/>
      <c r="AS13" s="9"/>
      <c r="AT13" s="9"/>
      <c r="AU13" s="428"/>
      <c r="AV13" s="428"/>
      <c r="AW13" s="449" t="str">
        <f>IF(C13&gt;0,VLOOKUP(C13,Foundation_Calc!$A$2:$C$13,3,1),
IF(J13&gt;0,VLOOKUP(J13,Foundation_Calc!$A$2:$C$13,3,1),""))</f>
        <v/>
      </c>
      <c r="AX13" s="449" t="str">
        <f>IF(C13&gt;0,VLOOKUP(C13,Foundation_Calc!$E$2:$G$33,3,1),
IF(J13&gt;0,VLOOKUP(J13,Foundation_Calc!$E$2:$G$33,3,1),""))</f>
        <v/>
      </c>
      <c r="AY13" s="10" t="str">
        <f>IF(L13="","",
IF(AX13="PT",VLOOKUP(L13,Foundation_Calc!$K$79:$R$113,VLOOKUP(AW13,Foundation_Calc!$I$2:$J$8,2,FALSE),0),
IF(AX13="K",VLOOKUP(L13,Foundation_Calc!$K$117:$R$151,VLOOKUP(AW13,Foundation_Calc!$I$2:$J$8,2,FALSE),0),"")))</f>
        <v/>
      </c>
      <c r="AZ13" s="10" t="str">
        <f>IF(K13="","",
IF(AX13="PT",VLOOKUP(K13,Foundation_Calc!$K$79:$R$113,VLOOKUP(AW13,Foundation_Calc!$I$2:$J$8,2,FALSE),0),
IF(AX13="K",VLOOKUP(K13,Foundation_Calc!$K$117:$R$151,VLOOKUP(AW13,Foundation_Calc!$I$2:$J$8,2,FALSE),0),"")))</f>
        <v/>
      </c>
      <c r="BA13" s="495" t="str">
        <f t="shared" si="1"/>
        <v/>
      </c>
      <c r="BB13" s="495" t="str">
        <f t="shared" si="2"/>
        <v/>
      </c>
      <c r="BC13" s="495" t="str">
        <f t="shared" si="3"/>
        <v/>
      </c>
      <c r="BD13" s="513" t="str">
        <f>IF(AND(L13="",H13=""),"",
IF(H13="",Pole_Calc!A$9,
IF(H13="MP",Pole_Calc!A$10,
IF(H13="AnMP",Pole_Calc!A$11,
IF(H13="A",Pole_Calc!A$12,
IF(H13="S/A",Pole_Calc!A$13,
IF(H13="A/S",Pole_Calc!A$14,"Poner a mano")))))))</f>
        <v/>
      </c>
      <c r="BE13" s="429" t="s">
        <v>118</v>
      </c>
      <c r="BF13" s="290"/>
      <c r="BG13" s="290"/>
      <c r="BH13" s="290"/>
      <c r="BI13" s="290"/>
    </row>
    <row r="14" spans="1:65" ht="16.149999999999999" customHeight="1">
      <c r="A14" s="571" t="s">
        <v>119</v>
      </c>
      <c r="B14" s="450" t="s">
        <v>138</v>
      </c>
      <c r="C14" s="3">
        <f>+$C$12+$G$13</f>
        <v>30506.65</v>
      </c>
      <c r="D14" s="83"/>
      <c r="E14" s="4"/>
      <c r="F14" s="4">
        <f>IF(C14&gt;0,VLOOKUP(C14,'ALIGNMENT TRACK'!$A$1:$K$81,9,1))</f>
        <v>0</v>
      </c>
      <c r="G14" s="6"/>
      <c r="H14" s="449" t="s">
        <v>131</v>
      </c>
      <c r="I14" s="4"/>
      <c r="J14" s="3"/>
      <c r="K14" s="449"/>
      <c r="L14" s="449" t="s">
        <v>123</v>
      </c>
      <c r="M14" s="449" t="str">
        <f>IF(L14="","",
IF(AX14="PT",VLOOKUP(L14,Foundation_Calc!$V$79:$X$113,VLOOKUP(AX14,Foundation_Calc!$I$10:$J$13,2,FALSE),0),
IF(AX14="K",VLOOKUP(L14,Foundation_Calc!$V$117:$X$151,VLOOKUP(AX14,Foundation_Calc!$I$10:$J$13,2,FALSE),0),"")))</f>
        <v>C9R</v>
      </c>
      <c r="N14" s="449" t="s">
        <v>133</v>
      </c>
      <c r="O14" s="449" t="s">
        <v>134</v>
      </c>
      <c r="P14" s="449"/>
      <c r="Q14" s="4"/>
      <c r="R14" s="6"/>
      <c r="S14" s="6"/>
      <c r="T14" s="4">
        <v>55</v>
      </c>
      <c r="U14" s="4">
        <v>10</v>
      </c>
      <c r="V14" s="4"/>
      <c r="W14" s="9">
        <v>1.4</v>
      </c>
      <c r="X14" s="9">
        <v>2.2999999999999998</v>
      </c>
      <c r="Y14" s="9"/>
      <c r="Z14" s="9">
        <v>0.45</v>
      </c>
      <c r="AA14" s="9"/>
      <c r="AB14" s="9"/>
      <c r="AC14" s="449"/>
      <c r="AD14" s="449"/>
      <c r="AE14" s="449"/>
      <c r="AF14" s="4"/>
      <c r="AG14" s="83"/>
      <c r="AH14" s="4"/>
      <c r="AI14" s="4"/>
      <c r="AJ14" s="449" t="s">
        <v>125</v>
      </c>
      <c r="AK14" s="449"/>
      <c r="AL14" s="449"/>
      <c r="AM14" s="449" t="s">
        <v>126</v>
      </c>
      <c r="AN14" s="10">
        <v>5.5</v>
      </c>
      <c r="AO14" s="9"/>
      <c r="AP14" s="9"/>
      <c r="AQ14" s="9"/>
      <c r="AR14" s="9"/>
      <c r="AS14" s="9"/>
      <c r="AT14" s="9">
        <f>+ab($T$14,$T$12,$T$20,$G$13,$G$19,-1*$F$14,1200)</f>
        <v>6.2671705043337234</v>
      </c>
      <c r="AU14" s="428"/>
      <c r="AV14" s="428"/>
      <c r="AW14" s="449" t="str">
        <f>IF(C14&gt;0,VLOOKUP(C14,Foundation_Calc!$A$2:$C$13,3,1),
IF(J14&gt;0,VLOOKUP(J14,Foundation_Calc!$A$2:$C$13,3,1),""))</f>
        <v>Multi Soil</v>
      </c>
      <c r="AX14" s="449" t="str">
        <f>IF(C14&gt;0,VLOOKUP(C14,Foundation_Calc!$E$2:$G$33,3,1),
IF(J14&gt;0,VLOOKUP(J14,Foundation_Calc!$E$2:$G$33,3,1),""))</f>
        <v>PT</v>
      </c>
      <c r="AY14" s="10">
        <f>IF(L14="","",
IF(AX14="PT",VLOOKUP(L14,Foundation_Calc!$K$79:$R$113,VLOOKUP(AW14,Foundation_Calc!$I$2:$J$8,2,FALSE),0),
IF(AX14="K",VLOOKUP(L14,Foundation_Calc!$K$117:$R$151,VLOOKUP(AW14,Foundation_Calc!$I$2:$J$8,2,FALSE),0),"")))</f>
        <v>4.4000000000000004</v>
      </c>
      <c r="AZ14" s="10" t="str">
        <f>IF(K14="","",
IF(AX14="PT",VLOOKUP(K14,Foundation_Calc!$K$79:$R$113,VLOOKUP(AW14,Foundation_Calc!$I$2:$J$8,2,FALSE),0),
IF(AX14="K",VLOOKUP(K14,Foundation_Calc!$K$117:$R$151,VLOOKUP(AW14,Foundation_Calc!$I$2:$J$8,2,FALSE),0),"")))</f>
        <v/>
      </c>
      <c r="BA14" s="495" t="str">
        <f t="shared" si="1"/>
        <v>ü</v>
      </c>
      <c r="BB14" s="495" t="str">
        <f t="shared" si="2"/>
        <v/>
      </c>
      <c r="BC14" s="495" t="str">
        <f t="shared" si="3"/>
        <v/>
      </c>
      <c r="BD14" s="513" t="str">
        <f>IF(AND(L14="",H14=""),"",
IF(H14="",Pole_Calc!A$9,
IF(H14="MP",Pole_Calc!A$10,
IF(H14="AnMP",Pole_Calc!A$11,
IF(H14="A",Pole_Calc!A$12,
IF(H14="S/A",Pole_Calc!A$13,
IF(H14="A/S",Pole_Calc!A$14,"Poner a mano")))))))</f>
        <v>App.7-V11I-P9.5.1.5</v>
      </c>
      <c r="BE14" s="429" t="s">
        <v>118</v>
      </c>
      <c r="BF14" s="289"/>
      <c r="BG14" s="289"/>
      <c r="BH14" s="290"/>
      <c r="BI14" s="289"/>
    </row>
    <row r="15" spans="1:65" ht="16.149999999999999" customHeight="1">
      <c r="A15" s="571" t="s">
        <v>119</v>
      </c>
      <c r="B15" s="450"/>
      <c r="C15" s="3"/>
      <c r="D15" s="83"/>
      <c r="E15" s="4"/>
      <c r="F15" s="4"/>
      <c r="G15" s="6">
        <v>5</v>
      </c>
      <c r="H15" s="449"/>
      <c r="I15" s="4" t="s">
        <v>139</v>
      </c>
      <c r="J15" s="3"/>
      <c r="K15" s="449"/>
      <c r="L15" s="449"/>
      <c r="M15" s="449" t="str">
        <f>IF(L15="","",
IF(AX15="PT",VLOOKUP(L15,Foundation_Calc!$V$79:$X$113,VLOOKUP(AX15,Foundation_Calc!$I$10:$J$13,2,FALSE),0),
IF(AX15="K",VLOOKUP(L15,Foundation_Calc!$V$117:$X$151,VLOOKUP(AX15,Foundation_Calc!$I$10:$J$13,2,FALSE),0),"")))</f>
        <v/>
      </c>
      <c r="N15" s="449"/>
      <c r="O15" s="449"/>
      <c r="P15" s="449"/>
      <c r="Q15" s="4"/>
      <c r="R15" s="6"/>
      <c r="S15" s="6"/>
      <c r="T15" s="4"/>
      <c r="U15" s="4"/>
      <c r="V15" s="4"/>
      <c r="W15" s="9"/>
      <c r="X15" s="9"/>
      <c r="Y15" s="9"/>
      <c r="Z15" s="9"/>
      <c r="AA15" s="9"/>
      <c r="AB15" s="9"/>
      <c r="AC15" s="449" t="str">
        <f t="shared" si="0"/>
        <v/>
      </c>
      <c r="AD15" s="449"/>
      <c r="AE15" s="449"/>
      <c r="AF15" s="4"/>
      <c r="AG15" s="83"/>
      <c r="AH15" s="4"/>
      <c r="AI15" s="4"/>
      <c r="AJ15" s="449"/>
      <c r="AK15" s="449"/>
      <c r="AL15" s="449"/>
      <c r="AM15" s="449"/>
      <c r="AN15" s="10"/>
      <c r="AO15" s="9"/>
      <c r="AP15" s="9"/>
      <c r="AQ15" s="9"/>
      <c r="AR15" s="9"/>
      <c r="AS15" s="9"/>
      <c r="AT15" s="9"/>
      <c r="AU15" s="428"/>
      <c r="AV15" s="428"/>
      <c r="AW15" s="449" t="str">
        <f>IF(C15&gt;0,VLOOKUP(C15,Foundation_Calc!$A$2:$C$13,3,1),
IF(J15&gt;0,VLOOKUP(J15,Foundation_Calc!$A$2:$C$13,3,1),""))</f>
        <v/>
      </c>
      <c r="AX15" s="449" t="str">
        <f>IF(C15&gt;0,VLOOKUP(C15,Foundation_Calc!$E$2:$G$33,3,1),
IF(J15&gt;0,VLOOKUP(J15,Foundation_Calc!$E$2:$G$33,3,1),""))</f>
        <v/>
      </c>
      <c r="AY15" s="10" t="str">
        <f>IF(L15="","",
IF(AX15="PT",VLOOKUP(L15,Foundation_Calc!$K$79:$R$113,VLOOKUP(AW15,Foundation_Calc!$I$2:$J$8,2,FALSE),0),
IF(AX15="K",VLOOKUP(L15,Foundation_Calc!$K$117:$R$151,VLOOKUP(AW15,Foundation_Calc!$I$2:$J$8,2,FALSE),0),"")))</f>
        <v/>
      </c>
      <c r="AZ15" s="10" t="str">
        <f>IF(K15="","",
IF(AX15="PT",VLOOKUP(K15,Foundation_Calc!$K$79:$R$113,VLOOKUP(AW15,Foundation_Calc!$I$2:$J$8,2,FALSE),0),
IF(AX15="K",VLOOKUP(K15,Foundation_Calc!$K$117:$R$151,VLOOKUP(AW15,Foundation_Calc!$I$2:$J$8,2,FALSE),0),"")))</f>
        <v/>
      </c>
      <c r="BA15" s="495" t="str">
        <f t="shared" si="1"/>
        <v/>
      </c>
      <c r="BB15" s="495" t="str">
        <f t="shared" si="2"/>
        <v/>
      </c>
      <c r="BC15" s="495" t="str">
        <f t="shared" si="3"/>
        <v/>
      </c>
      <c r="BD15" s="513" t="str">
        <f>IF(AND(L15="",H15=""),"",
IF(H15="",Pole_Calc!A$9,
IF(H15="MP",Pole_Calc!A$10,
IF(H15="AnMP",Pole_Calc!A$11,
IF(H15="A",Pole_Calc!A$12,
IF(H15="S/A",Pole_Calc!A$13,
IF(H15="A/S",Pole_Calc!A$14,"Poner a mano")))))))</f>
        <v/>
      </c>
      <c r="BE15" s="429" t="s">
        <v>118</v>
      </c>
      <c r="BF15" s="290"/>
      <c r="BG15" s="290"/>
      <c r="BH15" s="290"/>
      <c r="BI15" s="290"/>
    </row>
    <row r="16" spans="1:65" ht="16.149999999999999" customHeight="1">
      <c r="A16" s="636" t="s">
        <v>140</v>
      </c>
      <c r="B16" s="637" t="s">
        <v>141</v>
      </c>
      <c r="C16" s="638">
        <f>+$C$14+$G$15</f>
        <v>30511.65</v>
      </c>
      <c r="D16" s="639"/>
      <c r="E16" s="640"/>
      <c r="F16" s="640">
        <f>IF(C16&gt;0,VLOOKUP(C16,'ALIGNMENT TRACK'!$A$1:$K$81,9,1))</f>
        <v>0</v>
      </c>
      <c r="G16" s="641"/>
      <c r="H16" s="642"/>
      <c r="I16" s="640" t="s">
        <v>139</v>
      </c>
      <c r="J16" s="638"/>
      <c r="K16" s="642"/>
      <c r="L16" s="642" t="s">
        <v>142</v>
      </c>
      <c r="M16" s="642" t="str">
        <f>IF(L16="","",
IF(AX16="PT",VLOOKUP(L16,Foundation_Calc!$V$79:$X$113,VLOOKUP(AX16,Foundation_Calc!$I$10:$J$13,2,FALSE),0),
IF(AX16="K",VLOOKUP(L16,Foundation_Calc!$V$117:$X$151,VLOOKUP(AX16,Foundation_Calc!$I$10:$J$13,2,FALSE),0),"")))</f>
        <v>C9R</v>
      </c>
      <c r="N16" s="642"/>
      <c r="O16" s="642"/>
      <c r="P16" s="642"/>
      <c r="Q16" s="640"/>
      <c r="R16" s="641"/>
      <c r="S16" s="641"/>
      <c r="T16" s="640"/>
      <c r="U16" s="640"/>
      <c r="V16" s="640"/>
      <c r="W16" s="643"/>
      <c r="X16" s="643"/>
      <c r="Y16" s="643"/>
      <c r="Z16" s="643"/>
      <c r="AA16" s="643"/>
      <c r="AB16" s="643"/>
      <c r="AC16" s="642" t="str">
        <f t="shared" si="0"/>
        <v/>
      </c>
      <c r="AD16" s="642"/>
      <c r="AE16" s="642"/>
      <c r="AF16" s="640"/>
      <c r="AG16" s="639"/>
      <c r="AH16" s="640"/>
      <c r="AI16" s="640"/>
      <c r="AJ16" s="642" t="s">
        <v>143</v>
      </c>
      <c r="AK16" s="642"/>
      <c r="AL16" s="642"/>
      <c r="AM16" s="642" t="s">
        <v>126</v>
      </c>
      <c r="AN16" s="644"/>
      <c r="AO16" s="643"/>
      <c r="AP16" s="643"/>
      <c r="AQ16" s="643"/>
      <c r="AR16" s="643"/>
      <c r="AS16" s="643"/>
      <c r="AT16" s="643"/>
      <c r="AU16" s="645"/>
      <c r="AV16" s="645"/>
      <c r="AW16" s="642" t="str">
        <f>IF(C16&gt;0,VLOOKUP(C16,Foundation_Calc!$A$2:$C$13,3,1),
IF(J16&gt;0,VLOOKUP(J16,Foundation_Calc!$A$2:$C$13,3,1),""))</f>
        <v>Multi Soil</v>
      </c>
      <c r="AX16" s="642" t="str">
        <f>IF(C16&gt;0,VLOOKUP(C16,Foundation_Calc!$E$2:$G$33,3,1),
IF(J16&gt;0,VLOOKUP(J16,Foundation_Calc!$E$2:$G$33,3,1),""))</f>
        <v>PT</v>
      </c>
      <c r="AY16" s="644">
        <f>IF(L16="","",
IF(AX16="PT",VLOOKUP(L16,Foundation_Calc!$K$79:$R$113,VLOOKUP(AW16,Foundation_Calc!$I$2:$J$8,2,FALSE),0),
IF(AX16="K",VLOOKUP(L16,Foundation_Calc!$K$117:$R$151,VLOOKUP(AW16,Foundation_Calc!$I$2:$J$8,2,FALSE),0),"")))</f>
        <v>4.4000000000000004</v>
      </c>
      <c r="AZ16" s="644" t="str">
        <f>IF(K16="","",
IF(AX16="PT",VLOOKUP(K16,Foundation_Calc!$K$79:$R$113,VLOOKUP(AW16,Foundation_Calc!$I$2:$J$8,2,FALSE),0),
IF(AX16="K",VLOOKUP(K16,Foundation_Calc!$K$117:$R$151,VLOOKUP(AW16,Foundation_Calc!$I$2:$J$8,2,FALSE),0),"")))</f>
        <v/>
      </c>
      <c r="BA16" s="495" t="str">
        <f t="shared" si="1"/>
        <v>ü</v>
      </c>
      <c r="BB16" s="495" t="str">
        <f t="shared" si="2"/>
        <v/>
      </c>
      <c r="BC16" s="495" t="str">
        <f t="shared" si="3"/>
        <v/>
      </c>
      <c r="BD16" s="513" t="str">
        <f>Pole_Calc!A$323</f>
        <v>App.8-V08H-10.7.4.2</v>
      </c>
      <c r="BE16" s="429" t="s">
        <v>118</v>
      </c>
      <c r="BF16" s="289"/>
      <c r="BG16" s="289"/>
      <c r="BH16" s="290"/>
      <c r="BI16" s="289"/>
    </row>
    <row r="17" spans="1:61" ht="16.149999999999999" customHeight="1">
      <c r="A17" s="636"/>
      <c r="B17" s="637"/>
      <c r="C17" s="638"/>
      <c r="D17" s="639"/>
      <c r="E17" s="640"/>
      <c r="F17" s="640"/>
      <c r="G17" s="641">
        <v>3</v>
      </c>
      <c r="H17" s="642"/>
      <c r="I17" s="640"/>
      <c r="J17" s="638"/>
      <c r="K17" s="642"/>
      <c r="L17" s="642"/>
      <c r="M17" s="642" t="str">
        <f>IF(L17="","",
IF(AX17="PT",VLOOKUP(L17,Foundation_Calc!$V$79:$X$113,VLOOKUP(AX17,Foundation_Calc!$I$10:$J$13,2,FALSE),0),
IF(AX17="K",VLOOKUP(L17,Foundation_Calc!$V$117:$X$151,VLOOKUP(AX17,Foundation_Calc!$I$10:$J$13,2,FALSE),0),"")))</f>
        <v/>
      </c>
      <c r="N17" s="642"/>
      <c r="O17" s="642"/>
      <c r="P17" s="642"/>
      <c r="Q17" s="640"/>
      <c r="R17" s="641"/>
      <c r="S17" s="641"/>
      <c r="T17" s="640"/>
      <c r="U17" s="640"/>
      <c r="V17" s="640"/>
      <c r="W17" s="643"/>
      <c r="X17" s="643"/>
      <c r="Y17" s="643"/>
      <c r="Z17" s="643"/>
      <c r="AA17" s="643"/>
      <c r="AB17" s="643"/>
      <c r="AC17" s="642" t="str">
        <f t="shared" si="0"/>
        <v/>
      </c>
      <c r="AD17" s="642"/>
      <c r="AE17" s="642"/>
      <c r="AF17" s="640"/>
      <c r="AG17" s="639"/>
      <c r="AH17" s="640"/>
      <c r="AI17" s="640"/>
      <c r="AJ17" s="642" t="s">
        <v>143</v>
      </c>
      <c r="AK17" s="642"/>
      <c r="AL17" s="642"/>
      <c r="AM17" s="642"/>
      <c r="AN17" s="644"/>
      <c r="AO17" s="643"/>
      <c r="AP17" s="643"/>
      <c r="AQ17" s="643"/>
      <c r="AR17" s="643"/>
      <c r="AS17" s="643"/>
      <c r="AT17" s="643"/>
      <c r="AU17" s="645"/>
      <c r="AV17" s="645"/>
      <c r="AW17" s="642" t="str">
        <f>IF(C17&gt;0,VLOOKUP(C17,Foundation_Calc!$A$2:$C$13,3,1),
IF(J17&gt;0,VLOOKUP(J17,Foundation_Calc!$A$2:$C$13,3,1),""))</f>
        <v/>
      </c>
      <c r="AX17" s="642" t="str">
        <f>IF(C17&gt;0,VLOOKUP(C17,Foundation_Calc!$E$2:$G$33,3,1),
IF(J17&gt;0,VLOOKUP(J17,Foundation_Calc!$E$2:$G$33,3,1),""))</f>
        <v/>
      </c>
      <c r="AY17" s="644" t="str">
        <f>IF(L17="","",
IF(AX17="PT",VLOOKUP(L17,Foundation_Calc!$K$79:$R$113,VLOOKUP(AW17,Foundation_Calc!$I$2:$J$8,2,FALSE),0),
IF(AX17="K",VLOOKUP(L17,Foundation_Calc!$K$117:$R$151,VLOOKUP(AW17,Foundation_Calc!$I$2:$J$8,2,FALSE),0),"")))</f>
        <v/>
      </c>
      <c r="AZ17" s="644" t="str">
        <f>IF(K17="","",
IF(AX17="PT",VLOOKUP(K17,Foundation_Calc!$K$79:$R$113,VLOOKUP(AW17,Foundation_Calc!$I$2:$J$8,2,FALSE),0),
IF(AX17="K",VLOOKUP(K17,Foundation_Calc!$K$117:$R$151,VLOOKUP(AW17,Foundation_Calc!$I$2:$J$8,2,FALSE),0),"")))</f>
        <v/>
      </c>
      <c r="BA17" s="495" t="str">
        <f t="shared" si="1"/>
        <v/>
      </c>
      <c r="BB17" s="495" t="str">
        <f t="shared" si="2"/>
        <v/>
      </c>
      <c r="BC17" s="495" t="str">
        <f t="shared" si="3"/>
        <v/>
      </c>
      <c r="BD17" s="513" t="str">
        <f>IF(AND(L17="",H17=""),"",
IF(H17="",Pole_Calc!A$9,
IF(H17="MP",Pole_Calc!A$10,
IF(H17="AnMP",Pole_Calc!A$11,
IF(H17="A",Pole_Calc!A$12,
IF(H17="S/A",Pole_Calc!A$13,
IF(H17="A/S",Pole_Calc!A$14,"Poner a mano")))))))</f>
        <v/>
      </c>
      <c r="BE17" s="429" t="s">
        <v>118</v>
      </c>
      <c r="BF17" s="290"/>
      <c r="BG17" s="290"/>
      <c r="BH17" s="290"/>
      <c r="BI17" s="290"/>
    </row>
    <row r="18" spans="1:61" ht="16.149999999999999" customHeight="1">
      <c r="A18" s="636" t="s">
        <v>144</v>
      </c>
      <c r="B18" s="637" t="s">
        <v>145</v>
      </c>
      <c r="C18" s="638">
        <f>+$C$16+$G$17</f>
        <v>30514.65</v>
      </c>
      <c r="D18" s="639"/>
      <c r="E18" s="640"/>
      <c r="F18" s="640">
        <f>IF(C18&gt;0,VLOOKUP(C18,'ALIGNMENT TRACK'!$A$1:$K$81,9,1))</f>
        <v>0</v>
      </c>
      <c r="G18" s="641"/>
      <c r="H18" s="642"/>
      <c r="I18" s="640"/>
      <c r="J18" s="638"/>
      <c r="K18" s="642"/>
      <c r="L18" s="642" t="s">
        <v>142</v>
      </c>
      <c r="M18" s="642" t="str">
        <f>IF(L18="","",
IF(AX18="PT",VLOOKUP(L18,Foundation_Calc!$V$79:$X$113,VLOOKUP(AX18,Foundation_Calc!$I$10:$J$13,2,FALSE),0),
IF(AX18="K",VLOOKUP(L18,Foundation_Calc!$V$117:$X$151,VLOOKUP(AX18,Foundation_Calc!$I$10:$J$13,2,FALSE),0),"")))</f>
        <v>C9R</v>
      </c>
      <c r="N18" s="642"/>
      <c r="O18" s="642"/>
      <c r="P18" s="642"/>
      <c r="Q18" s="640"/>
      <c r="R18" s="641"/>
      <c r="S18" s="641"/>
      <c r="T18" s="640"/>
      <c r="U18" s="640"/>
      <c r="V18" s="640"/>
      <c r="W18" s="643"/>
      <c r="X18" s="643"/>
      <c r="Y18" s="643"/>
      <c r="Z18" s="643"/>
      <c r="AA18" s="643"/>
      <c r="AB18" s="643"/>
      <c r="AC18" s="642" t="str">
        <f t="shared" si="0"/>
        <v/>
      </c>
      <c r="AD18" s="642"/>
      <c r="AE18" s="642"/>
      <c r="AF18" s="640"/>
      <c r="AG18" s="639"/>
      <c r="AH18" s="640"/>
      <c r="AI18" s="640"/>
      <c r="AJ18" s="642"/>
      <c r="AK18" s="642"/>
      <c r="AL18" s="642"/>
      <c r="AM18" s="642" t="s">
        <v>126</v>
      </c>
      <c r="AN18" s="644"/>
      <c r="AO18" s="643"/>
      <c r="AP18" s="643"/>
      <c r="AQ18" s="643"/>
      <c r="AR18" s="643"/>
      <c r="AS18" s="643"/>
      <c r="AT18" s="643"/>
      <c r="AU18" s="645"/>
      <c r="AV18" s="645"/>
      <c r="AW18" s="642" t="str">
        <f>IF(C18&gt;0,VLOOKUP(C18,Foundation_Calc!$A$2:$C$13,3,1),
IF(J18&gt;0,VLOOKUP(J18,Foundation_Calc!$A$2:$C$13,3,1),""))</f>
        <v>Multi Soil</v>
      </c>
      <c r="AX18" s="642" t="str">
        <f>IF(C18&gt;0,VLOOKUP(C18,Foundation_Calc!$E$2:$G$33,3,1),
IF(J18&gt;0,VLOOKUP(J18,Foundation_Calc!$E$2:$G$33,3,1),""))</f>
        <v>PT</v>
      </c>
      <c r="AY18" s="644">
        <f>IF(L18="","",
IF(AX18="PT",VLOOKUP(L18,Foundation_Calc!$K$79:$R$113,VLOOKUP(AW18,Foundation_Calc!$I$2:$J$8,2,FALSE),0),
IF(AX18="K",VLOOKUP(L18,Foundation_Calc!$K$117:$R$151,VLOOKUP(AW18,Foundation_Calc!$I$2:$J$8,2,FALSE),0),"")))</f>
        <v>4.4000000000000004</v>
      </c>
      <c r="AZ18" s="644" t="str">
        <f>IF(K18="","",
IF(AX18="PT",VLOOKUP(K18,Foundation_Calc!$K$79:$R$113,VLOOKUP(AW18,Foundation_Calc!$I$2:$J$8,2,FALSE),0),
IF(AX18="K",VLOOKUP(K18,Foundation_Calc!$K$117:$R$151,VLOOKUP(AW18,Foundation_Calc!$I$2:$J$8,2,FALSE),0),"")))</f>
        <v/>
      </c>
      <c r="BA18" s="495" t="str">
        <f t="shared" si="1"/>
        <v>ü</v>
      </c>
      <c r="BB18" s="495" t="str">
        <f t="shared" si="2"/>
        <v/>
      </c>
      <c r="BC18" s="495" t="str">
        <f t="shared" si="3"/>
        <v/>
      </c>
      <c r="BD18" s="513" t="str">
        <f>Pole_Calc!A$323</f>
        <v>App.8-V08H-10.7.4.2</v>
      </c>
      <c r="BE18" s="429" t="s">
        <v>118</v>
      </c>
      <c r="BF18" s="289"/>
      <c r="BG18" s="289"/>
      <c r="BH18" s="290"/>
      <c r="BI18" s="289"/>
    </row>
    <row r="19" spans="1:61" ht="16.149999999999999" customHeight="1">
      <c r="A19" s="571" t="s">
        <v>119</v>
      </c>
      <c r="B19" s="450"/>
      <c r="C19" s="3"/>
      <c r="D19" s="83"/>
      <c r="E19" s="4"/>
      <c r="F19" s="4"/>
      <c r="G19" s="6">
        <v>39</v>
      </c>
      <c r="H19" s="449"/>
      <c r="I19" s="4"/>
      <c r="J19" s="3"/>
      <c r="K19" s="449"/>
      <c r="L19" s="449"/>
      <c r="M19" s="449" t="str">
        <f>IF(L19="","",
IF(AX19="PT",VLOOKUP(L19,Foundation_Calc!$V$79:$X$113,VLOOKUP(AX19,Foundation_Calc!$I$10:$J$13,2,FALSE),0),
IF(AX19="K",VLOOKUP(L19,Foundation_Calc!$V$117:$X$151,VLOOKUP(AX19,Foundation_Calc!$I$10:$J$13,2,FALSE),0),"")))</f>
        <v/>
      </c>
      <c r="N19" s="449"/>
      <c r="O19" s="449"/>
      <c r="P19" s="449"/>
      <c r="Q19" s="4"/>
      <c r="R19" s="6"/>
      <c r="S19" s="6"/>
      <c r="T19" s="4"/>
      <c r="U19" s="4"/>
      <c r="V19" s="4"/>
      <c r="W19" s="9"/>
      <c r="X19" s="9"/>
      <c r="Y19" s="9"/>
      <c r="Z19" s="9"/>
      <c r="AA19" s="9"/>
      <c r="AB19" s="9"/>
      <c r="AC19" s="449" t="str">
        <f t="shared" si="0"/>
        <v/>
      </c>
      <c r="AD19" s="449"/>
      <c r="AE19" s="449"/>
      <c r="AF19" s="4"/>
      <c r="AG19" s="83"/>
      <c r="AH19" s="4"/>
      <c r="AI19" s="4"/>
      <c r="AJ19" s="449"/>
      <c r="AK19" s="449"/>
      <c r="AL19" s="449"/>
      <c r="AM19" s="449"/>
      <c r="AN19" s="10"/>
      <c r="AO19" s="9"/>
      <c r="AP19" s="9"/>
      <c r="AQ19" s="9">
        <f>+FL_2($T$20,$T$14,$G$19,1200,9.28,-1*$F$20)</f>
        <v>-0.1</v>
      </c>
      <c r="AR19" s="9"/>
      <c r="AS19" s="9"/>
      <c r="AT19" s="9"/>
      <c r="AU19" s="428"/>
      <c r="AV19" s="428"/>
      <c r="AW19" s="449" t="str">
        <f>IF(C19&gt;0,VLOOKUP(C19,Foundation_Calc!$A$2:$C$13,3,1),
IF(J19&gt;0,VLOOKUP(J19,Foundation_Calc!$A$2:$C$13,3,1),""))</f>
        <v/>
      </c>
      <c r="AX19" s="449" t="str">
        <f>IF(C19&gt;0,VLOOKUP(C19,Foundation_Calc!$E$2:$G$33,3,1),
IF(J19&gt;0,VLOOKUP(J19,Foundation_Calc!$E$2:$G$33,3,1),""))</f>
        <v/>
      </c>
      <c r="AY19" s="10" t="str">
        <f>IF(L19="","",
IF(AX19="PT",VLOOKUP(L19,Foundation_Calc!$K$79:$R$113,VLOOKUP(AW19,Foundation_Calc!$I$2:$J$8,2,FALSE),0),
IF(AX19="K",VLOOKUP(L19,Foundation_Calc!$K$117:$R$151,VLOOKUP(AW19,Foundation_Calc!$I$2:$J$8,2,FALSE),0),"")))</f>
        <v/>
      </c>
      <c r="AZ19" s="10" t="str">
        <f>IF(K19="","",
IF(AX19="PT",VLOOKUP(K19,Foundation_Calc!$K$79:$R$113,VLOOKUP(AW19,Foundation_Calc!$I$2:$J$8,2,FALSE),0),
IF(AX19="K",VLOOKUP(K19,Foundation_Calc!$K$117:$R$151,VLOOKUP(AW19,Foundation_Calc!$I$2:$J$8,2,FALSE),0),"")))</f>
        <v/>
      </c>
      <c r="BA19" s="495" t="str">
        <f t="shared" si="1"/>
        <v/>
      </c>
      <c r="BB19" s="495" t="str">
        <f t="shared" si="2"/>
        <v/>
      </c>
      <c r="BC19" s="495" t="str">
        <f t="shared" si="3"/>
        <v/>
      </c>
      <c r="BD19" s="513" t="str">
        <f>IF(AND(L19="",H19=""),"",
IF(H19="",Pole_Calc!A$9,
IF(H19="MP",Pole_Calc!A$10,
IF(H19="AnMP",Pole_Calc!A$11,
IF(H19="A",Pole_Calc!A$12,
IF(H19="S/A",Pole_Calc!A$13,
IF(H19="A/S",Pole_Calc!A$14,"Poner a mano")))))))</f>
        <v/>
      </c>
      <c r="BE19" s="429" t="s">
        <v>118</v>
      </c>
      <c r="BF19" s="290"/>
      <c r="BG19" s="290"/>
      <c r="BH19" s="290"/>
      <c r="BI19" s="290"/>
    </row>
    <row r="20" spans="1:61" ht="16.149999999999999" customHeight="1">
      <c r="A20" s="636" t="s">
        <v>146</v>
      </c>
      <c r="B20" s="637" t="s">
        <v>147</v>
      </c>
      <c r="C20" s="638">
        <f>+$C$18+$G$19</f>
        <v>30553.65</v>
      </c>
      <c r="D20" s="639"/>
      <c r="E20" s="640"/>
      <c r="F20" s="640">
        <f>IF(C20&gt;0,VLOOKUP(C20,'ALIGNMENT TRACK'!$A$1:$K$81,9,1))</f>
        <v>0</v>
      </c>
      <c r="G20" s="641"/>
      <c r="H20" s="642" t="s">
        <v>131</v>
      </c>
      <c r="I20" s="640" t="s">
        <v>132</v>
      </c>
      <c r="J20" s="638"/>
      <c r="K20" s="642"/>
      <c r="L20" s="642" t="s">
        <v>148</v>
      </c>
      <c r="M20" s="642" t="str">
        <f>IF(L20="","",
IF(AX20="PT",VLOOKUP(L20,Foundation_Calc!$V$79:$X$113,VLOOKUP(AX20,Foundation_Calc!$I$10:$J$13,2,FALSE),0),
IF(AX20="K",VLOOKUP(L20,Foundation_Calc!$V$117:$X$151,VLOOKUP(AX20,Foundation_Calc!$I$10:$J$13,2,FALSE),0),"")))</f>
        <v>C4R</v>
      </c>
      <c r="N20" s="642" t="s">
        <v>124</v>
      </c>
      <c r="O20" s="642" t="s">
        <v>133</v>
      </c>
      <c r="P20" s="642"/>
      <c r="Q20" s="640"/>
      <c r="R20" s="641"/>
      <c r="S20" s="641"/>
      <c r="T20" s="640">
        <v>-10</v>
      </c>
      <c r="U20" s="640">
        <v>-55</v>
      </c>
      <c r="V20" s="640"/>
      <c r="W20" s="643">
        <v>1.4</v>
      </c>
      <c r="X20" s="643">
        <v>2.2999999999999998</v>
      </c>
      <c r="Y20" s="643"/>
      <c r="Z20" s="643"/>
      <c r="AA20" s="643">
        <v>0.45</v>
      </c>
      <c r="AB20" s="643"/>
      <c r="AC20" s="642" t="str">
        <f t="shared" si="0"/>
        <v>PH</v>
      </c>
      <c r="AD20" s="642"/>
      <c r="AE20" s="642"/>
      <c r="AF20" s="640"/>
      <c r="AG20" s="639"/>
      <c r="AH20" s="640"/>
      <c r="AI20" s="640"/>
      <c r="AJ20" s="642" t="s">
        <v>135</v>
      </c>
      <c r="AK20" s="642"/>
      <c r="AL20" s="642"/>
      <c r="AM20" s="642" t="s">
        <v>126</v>
      </c>
      <c r="AN20" s="644">
        <v>5.5</v>
      </c>
      <c r="AO20" s="643"/>
      <c r="AP20" s="643"/>
      <c r="AQ20" s="643"/>
      <c r="AR20" s="643"/>
      <c r="AS20" s="643"/>
      <c r="AT20" s="643">
        <f>+ab($T$20,$T$14,$T$24,$G$19,$G$23,-1*$F$20,1200)</f>
        <v>-8.3540642804601983</v>
      </c>
      <c r="AU20" s="645"/>
      <c r="AV20" s="645"/>
      <c r="AW20" s="642" t="str">
        <f>IF(C20&gt;0,VLOOKUP(C20,Foundation_Calc!$A$2:$C$13,3,1),
IF(J20&gt;0,VLOOKUP(J20,Foundation_Calc!$A$2:$C$13,3,1),""))</f>
        <v>Multi Soil</v>
      </c>
      <c r="AX20" s="642" t="str">
        <f>IF(C20&gt;0,VLOOKUP(C20,Foundation_Calc!$E$2:$G$33,3,1),
IF(J20&gt;0,VLOOKUP(J20,Foundation_Calc!$E$2:$G$33,3,1),""))</f>
        <v>PT</v>
      </c>
      <c r="AY20" s="644">
        <f>IF(L20="","",
IF(AX20="PT",VLOOKUP(L20,Foundation_Calc!$K$79:$R$113,VLOOKUP(AW20,Foundation_Calc!$I$2:$J$8,2,FALSE),0),
IF(AX20="K",VLOOKUP(L20,Foundation_Calc!$K$117:$R$151,VLOOKUP(AW20,Foundation_Calc!$I$2:$J$8,2,FALSE),0),"")))</f>
        <v>3.7</v>
      </c>
      <c r="AZ20" s="644" t="str">
        <f>IF(K20="","",
IF(AX20="PT",VLOOKUP(K20,Foundation_Calc!$K$79:$R$113,VLOOKUP(AW20,Foundation_Calc!$I$2:$J$8,2,FALSE),0),
IF(AX20="K",VLOOKUP(K20,Foundation_Calc!$K$117:$R$151,VLOOKUP(AW20,Foundation_Calc!$I$2:$J$8,2,FALSE),0),"")))</f>
        <v/>
      </c>
      <c r="BA20" s="495" t="str">
        <f t="shared" si="1"/>
        <v>ü</v>
      </c>
      <c r="BB20" s="495" t="str">
        <f t="shared" si="2"/>
        <v/>
      </c>
      <c r="BC20" s="495" t="str">
        <f t="shared" si="3"/>
        <v/>
      </c>
      <c r="BD20" s="513" t="str">
        <f>IF(AND(L20="",H20=""),"",
IF(H20="",Pole_Calc!A$9,
IF(H20="MP",Pole_Calc!A$10,
IF(H20="AnMP",Pole_Calc!A$11,
IF(H20="A",Pole_Calc!A$12,
IF(H20="S/A",Pole_Calc!A$13,
IF(H20="A/S",Pole_Calc!A$14,"Poner a mano")))))))</f>
        <v>App.7-V11I-P9.5.1.5</v>
      </c>
      <c r="BE20" s="429" t="s">
        <v>118</v>
      </c>
      <c r="BF20" s="289"/>
      <c r="BG20" s="289"/>
      <c r="BH20" s="290"/>
      <c r="BI20" s="289"/>
    </row>
    <row r="21" spans="1:61" ht="16.149999999999999" customHeight="1">
      <c r="A21" s="571" t="s">
        <v>119</v>
      </c>
      <c r="B21" s="450"/>
      <c r="C21" s="3"/>
      <c r="D21" s="83"/>
      <c r="E21" s="4"/>
      <c r="F21" s="4"/>
      <c r="G21" s="6">
        <v>25</v>
      </c>
      <c r="H21" s="449"/>
      <c r="I21" s="4"/>
      <c r="J21" s="3"/>
      <c r="K21" s="449"/>
      <c r="L21" s="449"/>
      <c r="M21" s="449" t="str">
        <f>IF(L21="","",
IF(AX21="PT",VLOOKUP(L21,Foundation_Calc!$V$79:$X$113,VLOOKUP(AX21,Foundation_Calc!$I$10:$J$13,2,FALSE),0),
IF(AX21="K",VLOOKUP(L21,Foundation_Calc!$V$117:$X$151,VLOOKUP(AX21,Foundation_Calc!$I$10:$J$13,2,FALSE),0),"")))</f>
        <v/>
      </c>
      <c r="N21" s="449"/>
      <c r="O21" s="449"/>
      <c r="P21" s="449"/>
      <c r="Q21" s="4"/>
      <c r="R21" s="6"/>
      <c r="S21" s="6"/>
      <c r="T21" s="4"/>
      <c r="U21" s="4"/>
      <c r="V21" s="4"/>
      <c r="W21" s="9"/>
      <c r="X21" s="9"/>
      <c r="Y21" s="9"/>
      <c r="Z21" s="9"/>
      <c r="AA21" s="9"/>
      <c r="AB21" s="9"/>
      <c r="AC21" s="449" t="str">
        <f t="shared" si="0"/>
        <v/>
      </c>
      <c r="AD21" s="449"/>
      <c r="AE21" s="449"/>
      <c r="AF21" s="4"/>
      <c r="AG21" s="83"/>
      <c r="AH21" s="4"/>
      <c r="AI21" s="4"/>
      <c r="AJ21" s="449"/>
      <c r="AK21" s="449"/>
      <c r="AL21" s="449"/>
      <c r="AM21" s="449"/>
      <c r="AN21" s="10"/>
      <c r="AO21" s="9"/>
      <c r="AP21" s="9"/>
      <c r="AQ21" s="9"/>
      <c r="AR21" s="9"/>
      <c r="AS21" s="9"/>
      <c r="AT21" s="9"/>
      <c r="AU21" s="428"/>
      <c r="AV21" s="428"/>
      <c r="AW21" s="449" t="str">
        <f>IF(C21&gt;0,VLOOKUP(C21,Foundation_Calc!$A$2:$C$13,3,1),
IF(J21&gt;0,VLOOKUP(J21,Foundation_Calc!$A$2:$C$13,3,1),""))</f>
        <v/>
      </c>
      <c r="AX21" s="449" t="str">
        <f>IF(C21&gt;0,VLOOKUP(C21,Foundation_Calc!$E$2:$G$33,3,1),
IF(J21&gt;0,VLOOKUP(J21,Foundation_Calc!$E$2:$G$33,3,1),""))</f>
        <v/>
      </c>
      <c r="AY21" s="10" t="str">
        <f>IF(L21="","",
IF(AX21="PT",VLOOKUP(L21,Foundation_Calc!$K$79:$R$113,VLOOKUP(AW21,Foundation_Calc!$I$2:$J$8,2,FALSE),0),
IF(AX21="K",VLOOKUP(L21,Foundation_Calc!$K$117:$R$151,VLOOKUP(AW21,Foundation_Calc!$I$2:$J$8,2,FALSE),0),"")))</f>
        <v/>
      </c>
      <c r="AZ21" s="10" t="str">
        <f>IF(K21="","",
IF(AX21="PT",VLOOKUP(K21,Foundation_Calc!$K$79:$R$113,VLOOKUP(AW21,Foundation_Calc!$I$2:$J$8,2,FALSE),0),
IF(AX21="K",VLOOKUP(K21,Foundation_Calc!$K$117:$R$151,VLOOKUP(AW21,Foundation_Calc!$I$2:$J$8,2,FALSE),0),"")))</f>
        <v/>
      </c>
      <c r="BA21" s="495" t="str">
        <f t="shared" ref="BA21:BA23" si="7">IF(AY21="","",IF(AY21&gt;0,"ü",""))</f>
        <v/>
      </c>
      <c r="BB21" s="495" t="str">
        <f t="shared" ref="BB21:BB23" si="8">IF(AZ21="","",IF(AZ21&gt;0,"ü",""))</f>
        <v/>
      </c>
      <c r="BC21" s="495" t="str">
        <f t="shared" ref="BC21:BC23" si="9">IF(M21="","",IF(M21="U.S.","ü",IF(M21="U.S. N.D.","ü","")))</f>
        <v/>
      </c>
      <c r="BD21" s="513" t="str">
        <f>IF(AND(L21="",H21=""),"",
IF(H21="",Pole_Calc!A$9,
IF(H21="MP",Pole_Calc!A$10,
IF(H21="AnMP",Pole_Calc!A$11,
IF(H21="A",Pole_Calc!A$12,
IF(H21="S/A",Pole_Calc!A$13,
IF(H21="A/S",Pole_Calc!A$14,"Poner a mano")))))))</f>
        <v/>
      </c>
      <c r="BE21" s="429" t="s">
        <v>118</v>
      </c>
      <c r="BF21" s="290"/>
      <c r="BG21" s="290"/>
      <c r="BH21" s="290"/>
      <c r="BI21" s="290"/>
    </row>
    <row r="22" spans="1:61" ht="16.149999999999999" customHeight="1">
      <c r="A22" s="571" t="s">
        <v>119</v>
      </c>
      <c r="B22" s="450" t="s">
        <v>149</v>
      </c>
      <c r="C22" s="3">
        <f>C20+G21</f>
        <v>30578.65</v>
      </c>
      <c r="D22" s="83"/>
      <c r="E22" s="4"/>
      <c r="F22" s="4">
        <f>IF(C22&gt;0,VLOOKUP(C22,'ALIGNMENT TRACK'!$A$1:$K$81,9,1))</f>
        <v>0</v>
      </c>
      <c r="G22" s="6"/>
      <c r="H22" s="449"/>
      <c r="I22" s="4"/>
      <c r="J22" s="3"/>
      <c r="K22" s="449"/>
      <c r="L22" s="449" t="s">
        <v>128</v>
      </c>
      <c r="M22" s="449" t="str">
        <f>IF(L22="","",
IF(AX22="PT",VLOOKUP(L22,Foundation_Calc!$V$79:$X$113,VLOOKUP(AX22,Foundation_Calc!$I$10:$J$13,2,FALSE),0),
IF(AX22="K",VLOOKUP(L22,Foundation_Calc!$V$117:$X$151,VLOOKUP(AX22,Foundation_Calc!$I$10:$J$13,2,FALSE),0),"")))</f>
        <v>T-SING FOUND.</v>
      </c>
      <c r="N22" s="449"/>
      <c r="O22" s="449"/>
      <c r="P22" s="449"/>
      <c r="Q22" s="4"/>
      <c r="R22" s="6"/>
      <c r="S22" s="6"/>
      <c r="T22" s="4"/>
      <c r="U22" s="4"/>
      <c r="V22" s="4"/>
      <c r="W22" s="9"/>
      <c r="X22" s="9"/>
      <c r="Y22" s="9"/>
      <c r="Z22" s="9"/>
      <c r="AA22" s="9"/>
      <c r="AB22" s="9"/>
      <c r="AC22" s="449"/>
      <c r="AD22" s="449"/>
      <c r="AE22" s="449"/>
      <c r="AF22" s="4"/>
      <c r="AG22" s="83"/>
      <c r="AH22" s="4"/>
      <c r="AI22" s="4"/>
      <c r="AJ22" s="449"/>
      <c r="AK22" s="449"/>
      <c r="AL22" s="449"/>
      <c r="AM22" s="449" t="s">
        <v>126</v>
      </c>
      <c r="AN22" s="10"/>
      <c r="AO22" s="9"/>
      <c r="AP22" s="9"/>
      <c r="AQ22" s="9"/>
      <c r="AR22" s="9"/>
      <c r="AS22" s="9"/>
      <c r="AT22" s="9"/>
      <c r="AU22" s="428"/>
      <c r="AV22" s="428"/>
      <c r="AW22" s="449" t="str">
        <f>IF(C22&gt;0,VLOOKUP(C22,Foundation_Calc!$A$2:$C$13,3,1),
IF(J22&gt;0,VLOOKUP(J22,Foundation_Calc!$A$2:$C$13,3,1),""))</f>
        <v>Multi Soil</v>
      </c>
      <c r="AX22" s="449" t="str">
        <f>IF(C22&gt;0,VLOOKUP(C22,Foundation_Calc!$E$2:$G$33,3,1),
IF(J22&gt;0,VLOOKUP(J22,Foundation_Calc!$E$2:$G$33,3,1),""))</f>
        <v>PT</v>
      </c>
      <c r="AY22" s="10">
        <f>IF(L22="","",
IF(AX22="PT",VLOOKUP(L22,Foundation_Calc!$K$79:$R$113,VLOOKUP(AW22,Foundation_Calc!$I$2:$J$8,2,FALSE),0),
IF(AX22="K",VLOOKUP(L22,Foundation_Calc!$K$117:$R$151,VLOOKUP(AW22,Foundation_Calc!$I$2:$J$8,2,FALSE),0),"")))</f>
        <v>1.2</v>
      </c>
      <c r="AZ22" s="10" t="str">
        <f>IF(K22="","",
IF(AX22="PT",VLOOKUP(K22,Foundation_Calc!$K$79:$R$113,VLOOKUP(AW22,Foundation_Calc!$I$2:$J$8,2,FALSE),0),
IF(AX22="K",VLOOKUP(K22,Foundation_Calc!$K$117:$R$151,VLOOKUP(AW22,Foundation_Calc!$I$2:$J$8,2,FALSE),0),"")))</f>
        <v/>
      </c>
      <c r="BA22" s="495" t="str">
        <f t="shared" si="7"/>
        <v>ü</v>
      </c>
      <c r="BB22" s="495" t="str">
        <f t="shared" si="8"/>
        <v/>
      </c>
      <c r="BC22" s="495" t="str">
        <f t="shared" si="9"/>
        <v/>
      </c>
      <c r="BD22" s="513"/>
      <c r="BE22" s="429" t="s">
        <v>118</v>
      </c>
      <c r="BF22" s="289"/>
      <c r="BG22" s="289"/>
      <c r="BH22" s="290"/>
      <c r="BI22" s="289"/>
    </row>
    <row r="23" spans="1:61" ht="16.149999999999999" customHeight="1">
      <c r="A23" s="571" t="s">
        <v>119</v>
      </c>
      <c r="B23" s="450"/>
      <c r="C23" s="3"/>
      <c r="D23" s="83"/>
      <c r="E23" s="4"/>
      <c r="F23" s="4"/>
      <c r="G23" s="6">
        <v>57</v>
      </c>
      <c r="H23" s="449"/>
      <c r="I23" s="4"/>
      <c r="J23" s="3"/>
      <c r="K23" s="449"/>
      <c r="L23" s="449"/>
      <c r="M23" s="449" t="str">
        <f>IF(L23="","",
IF(AX23="PT",VLOOKUP(L23,Foundation_Calc!$V$79:$X$113,VLOOKUP(AX23,Foundation_Calc!$I$10:$J$13,2,FALSE),0),
IF(AX23="K",VLOOKUP(L23,Foundation_Calc!$V$117:$X$151,VLOOKUP(AX23,Foundation_Calc!$I$10:$J$13,2,FALSE),0),"")))</f>
        <v/>
      </c>
      <c r="N23" s="449"/>
      <c r="O23" s="449"/>
      <c r="P23" s="449"/>
      <c r="Q23" s="4"/>
      <c r="R23" s="6"/>
      <c r="S23" s="6"/>
      <c r="T23" s="4"/>
      <c r="U23" s="4"/>
      <c r="V23" s="4"/>
      <c r="W23" s="9"/>
      <c r="X23" s="9"/>
      <c r="Y23" s="9"/>
      <c r="Z23" s="9"/>
      <c r="AA23" s="9"/>
      <c r="AB23" s="9"/>
      <c r="AC23" s="449" t="str">
        <f t="shared" si="0"/>
        <v/>
      </c>
      <c r="AD23" s="449"/>
      <c r="AE23" s="449"/>
      <c r="AF23" s="4"/>
      <c r="AG23" s="83"/>
      <c r="AH23" s="4"/>
      <c r="AI23" s="4"/>
      <c r="AJ23" s="449"/>
      <c r="AK23" s="449"/>
      <c r="AL23" s="449"/>
      <c r="AM23" s="449"/>
      <c r="AN23" s="10"/>
      <c r="AO23" s="9"/>
      <c r="AP23" s="9"/>
      <c r="AQ23" s="9">
        <f>+FL_1($T$24,$T$20,$G$23,1200,9.28,-1*$F$24)</f>
        <v>0.41344752729824563</v>
      </c>
      <c r="AR23" s="9"/>
      <c r="AS23" s="9"/>
      <c r="AT23" s="9"/>
      <c r="AU23" s="428"/>
      <c r="AV23" s="428"/>
      <c r="AW23" s="449" t="str">
        <f>IF(C23&gt;0,VLOOKUP(C23,Foundation_Calc!$A$2:$C$13,3,1),
IF(J23&gt;0,VLOOKUP(J23,Foundation_Calc!$A$2:$C$13,3,1),""))</f>
        <v/>
      </c>
      <c r="AX23" s="449" t="str">
        <f>IF(C23&gt;0,VLOOKUP(C23,Foundation_Calc!$E$2:$G$33,3,1),
IF(J23&gt;0,VLOOKUP(J23,Foundation_Calc!$E$2:$G$33,3,1),""))</f>
        <v/>
      </c>
      <c r="AY23" s="10" t="str">
        <f>IF(L23="","",
IF(AX23="PT",VLOOKUP(L23,Foundation_Calc!$K$79:$R$113,VLOOKUP(AW23,Foundation_Calc!$I$2:$J$8,2,FALSE),0),
IF(AX23="K",VLOOKUP(L23,Foundation_Calc!$K$117:$R$151,VLOOKUP(AW23,Foundation_Calc!$I$2:$J$8,2,FALSE),0),"")))</f>
        <v/>
      </c>
      <c r="AZ23" s="10" t="str">
        <f>IF(K23="","",
IF(AX23="PT",VLOOKUP(K23,Foundation_Calc!$K$79:$R$113,VLOOKUP(AW23,Foundation_Calc!$I$2:$J$8,2,FALSE),0),
IF(AX23="K",VLOOKUP(K23,Foundation_Calc!$K$117:$R$151,VLOOKUP(AW23,Foundation_Calc!$I$2:$J$8,2,FALSE),0),"")))</f>
        <v/>
      </c>
      <c r="BA23" s="495" t="str">
        <f t="shared" si="7"/>
        <v/>
      </c>
      <c r="BB23" s="495" t="str">
        <f t="shared" si="8"/>
        <v/>
      </c>
      <c r="BC23" s="495" t="str">
        <f t="shared" si="9"/>
        <v/>
      </c>
      <c r="BD23" s="513" t="str">
        <f>IF(AND(L23="",H23=""),"",
IF(H23="",Pole_Calc!A$9,
IF(H23="MP",Pole_Calc!A$10,
IF(H23="AnMP",Pole_Calc!A$11,
IF(H23="A",Pole_Calc!A$12,
IF(H23="S/A",Pole_Calc!A$13,
IF(H23="A/S",Pole_Calc!A$14,"Poner a mano")))))))</f>
        <v/>
      </c>
      <c r="BE23" s="429" t="s">
        <v>118</v>
      </c>
      <c r="BF23" s="290"/>
      <c r="BG23" s="290"/>
      <c r="BH23" s="290"/>
      <c r="BI23" s="290"/>
    </row>
    <row r="24" spans="1:61" ht="16.149999999999999" customHeight="1">
      <c r="A24" s="571" t="s">
        <v>119</v>
      </c>
      <c r="B24" s="450" t="s">
        <v>150</v>
      </c>
      <c r="C24" s="3">
        <f>+$C$20+$G$23</f>
        <v>30610.65</v>
      </c>
      <c r="D24" s="83"/>
      <c r="E24" s="4"/>
      <c r="F24" s="4">
        <f>IF(C24&gt;0,VLOOKUP(C24,'ALIGNMENT TRACK'!$A$1:$K$81,9,1))</f>
        <v>0</v>
      </c>
      <c r="G24" s="6"/>
      <c r="H24" s="449" t="s">
        <v>121</v>
      </c>
      <c r="I24" s="4" t="s">
        <v>122</v>
      </c>
      <c r="J24" s="3"/>
      <c r="K24" s="449"/>
      <c r="L24" s="449" t="s">
        <v>151</v>
      </c>
      <c r="M24" s="449" t="str">
        <f>IF(L24="","",
IF(AX24="PT",VLOOKUP(L24,Foundation_Calc!$V$79:$X$113,VLOOKUP(AX24,Foundation_Calc!$I$10:$J$13,2,FALSE),0),
IF(AX24="K",VLOOKUP(L24,Foundation_Calc!$V$117:$X$151,VLOOKUP(AX24,Foundation_Calc!$I$10:$J$13,2,FALSE),0),"")))</f>
        <v>C4R</v>
      </c>
      <c r="N24" s="449" t="s">
        <v>134</v>
      </c>
      <c r="O24" s="449"/>
      <c r="P24" s="449"/>
      <c r="Q24" s="4"/>
      <c r="R24" s="6"/>
      <c r="S24" s="6"/>
      <c r="T24" s="4">
        <v>25</v>
      </c>
      <c r="U24" s="4"/>
      <c r="V24" s="4"/>
      <c r="W24" s="9">
        <v>1.4</v>
      </c>
      <c r="X24" s="9"/>
      <c r="Y24" s="9"/>
      <c r="Z24" s="9"/>
      <c r="AA24" s="9"/>
      <c r="AB24" s="9"/>
      <c r="AC24" s="449" t="str">
        <f t="shared" si="0"/>
        <v>PH</v>
      </c>
      <c r="AD24" s="449"/>
      <c r="AE24" s="449"/>
      <c r="AF24" s="4"/>
      <c r="AG24" s="83"/>
      <c r="AH24" s="4"/>
      <c r="AI24" s="4"/>
      <c r="AJ24" s="449"/>
      <c r="AK24" s="449"/>
      <c r="AL24" s="449"/>
      <c r="AM24" s="449" t="s">
        <v>126</v>
      </c>
      <c r="AN24" s="10">
        <v>5.5</v>
      </c>
      <c r="AO24" s="9"/>
      <c r="AP24" s="9"/>
      <c r="AQ24" s="9"/>
      <c r="AR24" s="9"/>
      <c r="AS24" s="9"/>
      <c r="AT24" s="9">
        <f>+ab($T$24,$T$20,$T$26,$G$23,$G$25,-1*$F$24,1200)</f>
        <v>11.722601513285035</v>
      </c>
      <c r="AU24" s="428"/>
      <c r="AV24" s="428"/>
      <c r="AW24" s="449" t="str">
        <f>IF(C24&gt;0,VLOOKUP(C24,Foundation_Calc!$A$2:$C$13,3,1),
IF(J24&gt;0,VLOOKUP(J24,Foundation_Calc!$A$2:$C$13,3,1),""))</f>
        <v>Multi Soil</v>
      </c>
      <c r="AX24" s="449" t="str">
        <f>IF(C24&gt;0,VLOOKUP(C24,Foundation_Calc!$E$2:$G$33,3,1),
IF(J24&gt;0,VLOOKUP(J24,Foundation_Calc!$E$2:$G$33,3,1),""))</f>
        <v>PT</v>
      </c>
      <c r="AY24" s="10">
        <f>IF(L24="","",
IF(AX24="PT",VLOOKUP(L24,Foundation_Calc!$K$79:$R$113,VLOOKUP(AW24,Foundation_Calc!$I$2:$J$8,2,FALSE),0),
IF(AX24="K",VLOOKUP(L24,Foundation_Calc!$K$117:$R$151,VLOOKUP(AW24,Foundation_Calc!$I$2:$J$8,2,FALSE),0),"")))</f>
        <v>3.5</v>
      </c>
      <c r="AZ24" s="10" t="str">
        <f>IF(K24="","",
IF(AX24="PT",VLOOKUP(K24,Foundation_Calc!$K$79:$R$113,VLOOKUP(AW24,Foundation_Calc!$I$2:$J$8,2,FALSE),0),
IF(AX24="K",VLOOKUP(K24,Foundation_Calc!$K$117:$R$151,VLOOKUP(AW24,Foundation_Calc!$I$2:$J$8,2,FALSE),0),"")))</f>
        <v/>
      </c>
      <c r="BA24" s="495" t="str">
        <f t="shared" si="1"/>
        <v>ü</v>
      </c>
      <c r="BB24" s="495" t="str">
        <f t="shared" si="2"/>
        <v/>
      </c>
      <c r="BC24" s="495" t="str">
        <f t="shared" si="3"/>
        <v/>
      </c>
      <c r="BD24" s="513" t="str">
        <f>IF(AND(L24="",H24=""),"",
IF(H24="",Pole_Calc!A$9,
IF(H24="MP",Pole_Calc!A$10,
IF(H24="AnMP",Pole_Calc!A$11,
IF(H24="A",Pole_Calc!A$12,
IF(H24="S/A",Pole_Calc!A$13,
IF(H24="A/S",Pole_Calc!A$14,"Poner a mano")))))))</f>
        <v>App.7-V11I-P9.5.1.6</v>
      </c>
      <c r="BE24" s="429" t="s">
        <v>118</v>
      </c>
      <c r="BF24" s="289"/>
      <c r="BG24" s="289"/>
      <c r="BH24" s="290"/>
      <c r="BI24" s="289"/>
    </row>
    <row r="25" spans="1:61" ht="16.149999999999999" customHeight="1">
      <c r="A25" s="648" t="s">
        <v>116</v>
      </c>
      <c r="B25" s="649"/>
      <c r="C25" s="650"/>
      <c r="D25" s="651"/>
      <c r="E25" s="652"/>
      <c r="F25" s="652"/>
      <c r="G25" s="653">
        <v>60</v>
      </c>
      <c r="H25" s="654"/>
      <c r="I25" s="652"/>
      <c r="J25" s="650">
        <f>C24+7.5</f>
        <v>30618.15</v>
      </c>
      <c r="K25" s="654" t="s">
        <v>117</v>
      </c>
      <c r="L25" s="654"/>
      <c r="M25" s="654" t="str">
        <f>IF(L25="","",
IF(AX25="PT",VLOOKUP(L25,Foundation_Calc!$V$79:$X$113,VLOOKUP(AX25,Foundation_Calc!$I$10:$J$13,2,FALSE),0),
IF(AX25="K",VLOOKUP(L25,Foundation_Calc!$V$117:$X$151,VLOOKUP(AX25,Foundation_Calc!$I$10:$J$13,2,FALSE),0),"")))</f>
        <v/>
      </c>
      <c r="N25" s="654"/>
      <c r="O25" s="654"/>
      <c r="P25" s="654"/>
      <c r="Q25" s="652"/>
      <c r="R25" s="653"/>
      <c r="S25" s="653"/>
      <c r="T25" s="652"/>
      <c r="U25" s="652"/>
      <c r="V25" s="652"/>
      <c r="W25" s="655"/>
      <c r="X25" s="655"/>
      <c r="Y25" s="655"/>
      <c r="Z25" s="655"/>
      <c r="AA25" s="655"/>
      <c r="AB25" s="655"/>
      <c r="AC25" s="654" t="str">
        <f t="shared" si="0"/>
        <v/>
      </c>
      <c r="AD25" s="654"/>
      <c r="AE25" s="654"/>
      <c r="AF25" s="652"/>
      <c r="AG25" s="651"/>
      <c r="AH25" s="652"/>
      <c r="AI25" s="652"/>
      <c r="AJ25" s="654"/>
      <c r="AK25" s="654"/>
      <c r="AL25" s="654"/>
      <c r="AM25" s="654"/>
      <c r="AN25" s="656"/>
      <c r="AO25" s="655"/>
      <c r="AP25" s="655"/>
      <c r="AQ25" s="655">
        <f>+FL_2($T$26,$T$24,$G$25,1200,9.28,-1*$F$26)</f>
        <v>-0.46265517199999995</v>
      </c>
      <c r="AR25" s="655"/>
      <c r="AS25" s="655"/>
      <c r="AT25" s="655"/>
      <c r="AU25" s="657"/>
      <c r="AV25" s="657"/>
      <c r="AW25" s="654" t="str">
        <f>IF(C25&gt;0,VLOOKUP(C25,Foundation_Calc!$A$2:$C$13,3,1),
IF(J25&gt;0,VLOOKUP(J25,Foundation_Calc!$A$2:$C$13,3,1),""))</f>
        <v>Multi Soil</v>
      </c>
      <c r="AX25" s="654" t="str">
        <f>IF(C25&gt;0,VLOOKUP(C25,Foundation_Calc!$E$2:$G$33,3,1),
IF(J25&gt;0,VLOOKUP(J25,Foundation_Calc!$E$2:$G$33,3,1),""))</f>
        <v>PT</v>
      </c>
      <c r="AY25" s="658" t="str">
        <f>IF(L25="","",
IF(AX25="PT",VLOOKUP(L25,Foundation_Calc!$K$79:$R$113,VLOOKUP(AW25,Foundation_Calc!$I$2:$J$8,2,FALSE),0),
IF(AX25="K",VLOOKUP(L25,Foundation_Calc!$K$117:$R$151,VLOOKUP(AW25,Foundation_Calc!$I$2:$J$8,2,FALSE),0),"")))</f>
        <v/>
      </c>
      <c r="AZ25" s="658">
        <f>IF(K25="","",
IF(AX25="PT",VLOOKUP(K25,Foundation_Calc!$K$79:$R$113,VLOOKUP(AW25,Foundation_Calc!$I$2:$J$8,2,FALSE),0),
IF(AX25="K",VLOOKUP(K25,Foundation_Calc!$K$117:$R$151,VLOOKUP(AW25,Foundation_Calc!$I$2:$J$8,2,FALSE),0),"")))</f>
        <v>3.9</v>
      </c>
      <c r="BA25" s="550" t="str">
        <f t="shared" ref="BA25" si="10">IF(AY25="","",IF(AY25&gt;0,"ü",""))</f>
        <v/>
      </c>
      <c r="BB25" s="550" t="str">
        <f t="shared" ref="BB25" si="11">IF(AZ25="","",IF(AZ25&gt;0,"ü",""))</f>
        <v>ü</v>
      </c>
      <c r="BC25" s="550" t="str">
        <f t="shared" ref="BC25" si="12">IF(M25="","",IF(M25="U.S.","ü",IF(M25="U.S. N.D.","ü","")))</f>
        <v/>
      </c>
      <c r="BD25" s="516" t="str">
        <f>IF(AND(L25="",H25=""),"",
IF(H25="",Pole_Calc!A$9,
IF(H25="MP",Pole_Calc!A$10,
IF(H25="AnMP",Pole_Calc!A$11,
IF(H25="A",Pole_Calc!A$12,
IF(H25="S/A",Pole_Calc!A$13,
IF(H25="A/S",Pole_Calc!A$14,"Poner a mano")))))))</f>
        <v/>
      </c>
      <c r="BE25" s="429" t="s">
        <v>118</v>
      </c>
      <c r="BF25" s="290"/>
      <c r="BG25" s="290"/>
      <c r="BH25" s="290"/>
      <c r="BI25" s="290"/>
    </row>
    <row r="26" spans="1:61" ht="16.149999999999999" customHeight="1">
      <c r="A26" s="514"/>
      <c r="B26" s="450" t="s">
        <v>152</v>
      </c>
      <c r="C26" s="3">
        <f>+$C$24+$G$25</f>
        <v>30670.65</v>
      </c>
      <c r="D26" s="83"/>
      <c r="E26" s="4"/>
      <c r="F26" s="4">
        <f>IF(C26&gt;0,VLOOKUP(C26,'ALIGNMENT TRACK'!$A$1:$K$81,9,1))</f>
        <v>0</v>
      </c>
      <c r="G26" s="6"/>
      <c r="H26" s="449"/>
      <c r="I26" s="4"/>
      <c r="J26" s="3"/>
      <c r="K26" s="449"/>
      <c r="L26" s="449" t="s">
        <v>153</v>
      </c>
      <c r="M26" s="449" t="str">
        <f>IF(L26="","",
IF(AX26="PT",VLOOKUP(L26,Foundation_Calc!$V$79:$X$113,VLOOKUP(AX26,Foundation_Calc!$I$10:$J$13,2,FALSE),0),
IF(AX26="K",VLOOKUP(L26,Foundation_Calc!$V$117:$X$151,VLOOKUP(AX26,Foundation_Calc!$I$10:$J$13,2,FALSE),0),"")))</f>
        <v>C3R</v>
      </c>
      <c r="N26" s="449" t="s">
        <v>124</v>
      </c>
      <c r="O26" s="449"/>
      <c r="P26" s="449"/>
      <c r="Q26" s="4"/>
      <c r="R26" s="6"/>
      <c r="S26" s="6"/>
      <c r="T26" s="4">
        <v>-35</v>
      </c>
      <c r="U26" s="4"/>
      <c r="V26" s="4"/>
      <c r="W26" s="9">
        <v>1.4</v>
      </c>
      <c r="X26" s="9"/>
      <c r="Y26" s="9"/>
      <c r="Z26" s="9"/>
      <c r="AA26" s="9"/>
      <c r="AB26" s="9"/>
      <c r="AC26" s="449" t="str">
        <f t="shared" si="0"/>
        <v>PH</v>
      </c>
      <c r="AD26" s="449"/>
      <c r="AE26" s="449"/>
      <c r="AF26" s="4"/>
      <c r="AG26" s="83"/>
      <c r="AH26" s="4"/>
      <c r="AI26" s="4"/>
      <c r="AJ26" s="449"/>
      <c r="AK26" s="449"/>
      <c r="AL26" s="449"/>
      <c r="AM26" s="449" t="s">
        <v>126</v>
      </c>
      <c r="AN26" s="10">
        <v>5.5</v>
      </c>
      <c r="AO26" s="9"/>
      <c r="AP26" s="9"/>
      <c r="AQ26" s="9"/>
      <c r="AR26" s="9"/>
      <c r="AS26" s="9"/>
      <c r="AT26" s="9">
        <f>+ab($T$26,$T$24,$T$28,$G$25,$G$27,-1*$F$26,1200)</f>
        <v>-8.9399032422688283</v>
      </c>
      <c r="AU26" s="428"/>
      <c r="AV26" s="428"/>
      <c r="AW26" s="449" t="str">
        <f>IF(C26&gt;0,VLOOKUP(C26,Foundation_Calc!$A$2:$C$13,3,1),
IF(J26&gt;0,VLOOKUP(J26,Foundation_Calc!$A$2:$C$13,3,1),""))</f>
        <v>Multi Soil</v>
      </c>
      <c r="AX26" s="449" t="str">
        <f>IF(C26&gt;0,VLOOKUP(C26,Foundation_Calc!$E$2:$G$33,3,1),
IF(J26&gt;0,VLOOKUP(J26,Foundation_Calc!$E$2:$G$33,3,1),""))</f>
        <v>PT</v>
      </c>
      <c r="AY26" s="10">
        <f>IF(L26="","",
IF(AX26="PT",VLOOKUP(L26,Foundation_Calc!$K$79:$R$113,VLOOKUP(AW26,Foundation_Calc!$I$2:$J$8,2,FALSE),0),
IF(AX26="K",VLOOKUP(L26,Foundation_Calc!$K$117:$R$151,VLOOKUP(AW26,Foundation_Calc!$I$2:$J$8,2,FALSE),0),"")))</f>
        <v>3.5</v>
      </c>
      <c r="AZ26" s="10" t="str">
        <f>IF(K26="","",
IF(AX26="PT",VLOOKUP(K26,Foundation_Calc!$K$79:$R$113,VLOOKUP(AW26,Foundation_Calc!$I$2:$J$8,2,FALSE),0),
IF(AX26="K",VLOOKUP(K26,Foundation_Calc!$K$117:$R$151,VLOOKUP(AW26,Foundation_Calc!$I$2:$J$8,2,FALSE),0),"")))</f>
        <v/>
      </c>
      <c r="BA26" s="495" t="str">
        <f t="shared" si="1"/>
        <v>ü</v>
      </c>
      <c r="BB26" s="495" t="str">
        <f t="shared" si="2"/>
        <v/>
      </c>
      <c r="BC26" s="495" t="str">
        <f t="shared" si="3"/>
        <v/>
      </c>
      <c r="BD26" s="513" t="str">
        <f>IF(AND(L26="",H26=""),"",
IF(H26="",Pole_Calc!A$9,
IF(H26="MP",Pole_Calc!A$10,
IF(H26="AnMP",Pole_Calc!A$11,
IF(H26="A",Pole_Calc!A$12,
IF(H26="S/A",Pole_Calc!A$13,
IF(H26="A/S",Pole_Calc!A$14,"Poner a mano")))))))</f>
        <v>App.7-V11I-P9.5.1.1</v>
      </c>
      <c r="BE26" s="429" t="s">
        <v>118</v>
      </c>
      <c r="BF26" s="289"/>
      <c r="BG26" s="289"/>
      <c r="BH26" s="290"/>
      <c r="BI26" s="289"/>
    </row>
    <row r="27" spans="1:61" ht="16.149999999999999" customHeight="1">
      <c r="A27" s="514"/>
      <c r="B27" s="450"/>
      <c r="C27" s="910"/>
      <c r="D27" s="83"/>
      <c r="E27" s="4"/>
      <c r="F27" s="4"/>
      <c r="G27" s="6">
        <v>62</v>
      </c>
      <c r="H27" s="449"/>
      <c r="I27" s="4"/>
      <c r="J27" s="3"/>
      <c r="K27" s="449"/>
      <c r="L27" s="449"/>
      <c r="M27" s="449" t="str">
        <f>IF(L27="","",
IF(AX27="PT",VLOOKUP(L27,Foundation_Calc!$V$79:$X$113,VLOOKUP(AX27,Foundation_Calc!$I$10:$J$13,2,FALSE),0),
IF(AX27="K",VLOOKUP(L27,Foundation_Calc!$V$117:$X$151,VLOOKUP(AX27,Foundation_Calc!$I$10:$J$13,2,FALSE),0),"")))</f>
        <v/>
      </c>
      <c r="N27" s="449"/>
      <c r="O27" s="449"/>
      <c r="P27" s="449"/>
      <c r="Q27" s="4"/>
      <c r="R27" s="6"/>
      <c r="S27" s="6"/>
      <c r="T27" s="4"/>
      <c r="U27" s="4"/>
      <c r="V27" s="4"/>
      <c r="W27" s="9"/>
      <c r="X27" s="9"/>
      <c r="Y27" s="9"/>
      <c r="Z27" s="9"/>
      <c r="AA27" s="9"/>
      <c r="AB27" s="9"/>
      <c r="AC27" s="449" t="str">
        <f t="shared" si="0"/>
        <v/>
      </c>
      <c r="AD27" s="449"/>
      <c r="AE27" s="449"/>
      <c r="AF27" s="4"/>
      <c r="AG27" s="83"/>
      <c r="AH27" s="4"/>
      <c r="AI27" s="4"/>
      <c r="AJ27" s="449"/>
      <c r="AK27" s="449"/>
      <c r="AL27" s="449"/>
      <c r="AM27" s="449"/>
      <c r="AN27" s="10"/>
      <c r="AO27" s="9"/>
      <c r="AP27" s="9"/>
      <c r="AQ27" s="9">
        <f>+FL_1($T$28,$T$26,$G$27,1200,9.28,-1*$F$28)</f>
        <v>0.45400350967741931</v>
      </c>
      <c r="AR27" s="9"/>
      <c r="AS27" s="9"/>
      <c r="AT27" s="9"/>
      <c r="AU27" s="428"/>
      <c r="AV27" s="428"/>
      <c r="AW27" s="449" t="str">
        <f>IF(C27&gt;0,VLOOKUP(C27,Foundation_Calc!$A$2:$C$13,3,1),
IF(J27&gt;0,VLOOKUP(J27,Foundation_Calc!$A$2:$C$13,3,1),""))</f>
        <v/>
      </c>
      <c r="AX27" s="449" t="str">
        <f>IF(C27&gt;0,VLOOKUP(C27,Foundation_Calc!$E$2:$G$33,3,1),
IF(J27&gt;0,VLOOKUP(J27,Foundation_Calc!$E$2:$G$33,3,1),""))</f>
        <v/>
      </c>
      <c r="AY27" s="10" t="str">
        <f>IF(L27="","",
IF(AX27="PT",VLOOKUP(L27,Foundation_Calc!$K$79:$R$113,VLOOKUP(AW27,Foundation_Calc!$I$2:$J$8,2,FALSE),0),
IF(AX27="K",VLOOKUP(L27,Foundation_Calc!$K$117:$R$151,VLOOKUP(AW27,Foundation_Calc!$I$2:$J$8,2,FALSE),0),"")))</f>
        <v/>
      </c>
      <c r="AZ27" s="10" t="str">
        <f>IF(K27="","",
IF(AX27="PT",VLOOKUP(K27,Foundation_Calc!$K$79:$R$113,VLOOKUP(AW27,Foundation_Calc!$I$2:$J$8,2,FALSE),0),
IF(AX27="K",VLOOKUP(K27,Foundation_Calc!$K$117:$R$151,VLOOKUP(AW27,Foundation_Calc!$I$2:$J$8,2,FALSE),0),"")))</f>
        <v/>
      </c>
      <c r="BA27" s="495" t="str">
        <f t="shared" si="1"/>
        <v/>
      </c>
      <c r="BB27" s="495" t="str">
        <f t="shared" si="2"/>
        <v/>
      </c>
      <c r="BC27" s="495" t="str">
        <f t="shared" si="3"/>
        <v/>
      </c>
      <c r="BD27" s="513" t="str">
        <f>IF(AND(L27="",H27=""),"",
IF(H27="",Pole_Calc!A$9,
IF(H27="MP",Pole_Calc!A$10,
IF(H27="AnMP",Pole_Calc!A$11,
IF(H27="A",Pole_Calc!A$12,
IF(H27="S/A",Pole_Calc!A$13,
IF(H27="A/S",Pole_Calc!A$14,"Poner a mano")))))))</f>
        <v/>
      </c>
      <c r="BE27" s="429" t="s">
        <v>118</v>
      </c>
      <c r="BF27" s="290"/>
      <c r="BG27" s="290"/>
      <c r="BH27" s="290"/>
      <c r="BI27" s="290"/>
    </row>
    <row r="28" spans="1:61" ht="16.149999999999999" customHeight="1">
      <c r="A28" s="514"/>
      <c r="B28" s="450" t="s">
        <v>154</v>
      </c>
      <c r="C28" s="3">
        <f>+$C$26+$G$27</f>
        <v>30732.65</v>
      </c>
      <c r="D28" s="83"/>
      <c r="E28" s="4"/>
      <c r="F28" s="4">
        <f>IF(C28&gt;0,VLOOKUP(C28,'ALIGNMENT TRACK'!$A$1:$K$81,9,1))</f>
        <v>0</v>
      </c>
      <c r="G28" s="6"/>
      <c r="H28" s="449"/>
      <c r="I28" s="4"/>
      <c r="J28" s="3"/>
      <c r="K28" s="449"/>
      <c r="L28" s="449" t="s">
        <v>153</v>
      </c>
      <c r="M28" s="449" t="str">
        <f>IF(L28="","",
IF(AX28="PT",VLOOKUP(L28,Foundation_Calc!$V$79:$X$113,VLOOKUP(AX28,Foundation_Calc!$I$10:$J$13,2,FALSE),0),
IF(AX28="K",VLOOKUP(L28,Foundation_Calc!$V$117:$X$151,VLOOKUP(AX28,Foundation_Calc!$I$10:$J$13,2,FALSE),0),"")))</f>
        <v>C3R</v>
      </c>
      <c r="N28" s="449" t="s">
        <v>134</v>
      </c>
      <c r="O28" s="449"/>
      <c r="P28" s="449"/>
      <c r="Q28" s="4"/>
      <c r="R28" s="6"/>
      <c r="S28" s="6"/>
      <c r="T28" s="4">
        <v>35</v>
      </c>
      <c r="U28" s="4"/>
      <c r="V28" s="4"/>
      <c r="W28" s="9">
        <v>1.4</v>
      </c>
      <c r="X28" s="9"/>
      <c r="Y28" s="9"/>
      <c r="Z28" s="9"/>
      <c r="AA28" s="9"/>
      <c r="AB28" s="9"/>
      <c r="AC28" s="449" t="str">
        <f t="shared" si="0"/>
        <v>PH</v>
      </c>
      <c r="AD28" s="449"/>
      <c r="AE28" s="449"/>
      <c r="AF28" s="4"/>
      <c r="AG28" s="83"/>
      <c r="AH28" s="4"/>
      <c r="AI28" s="4"/>
      <c r="AJ28" s="449"/>
      <c r="AK28" s="449"/>
      <c r="AL28" s="449"/>
      <c r="AM28" s="449" t="s">
        <v>126</v>
      </c>
      <c r="AN28" s="10">
        <v>5.5</v>
      </c>
      <c r="AO28" s="9"/>
      <c r="AP28" s="9"/>
      <c r="AQ28" s="9"/>
      <c r="AR28" s="9"/>
      <c r="AS28" s="9"/>
      <c r="AT28" s="9">
        <f>+ab($T$28,$T$26,$T$30,$G$27,$G$29,-1*$F$28,1200)</f>
        <v>8.4365744899000195</v>
      </c>
      <c r="AU28" s="428"/>
      <c r="AV28" s="428"/>
      <c r="AW28" s="449" t="str">
        <f>IF(C28&gt;0,VLOOKUP(C28,Foundation_Calc!$A$2:$C$13,3,1),
IF(J28&gt;0,VLOOKUP(J28,Foundation_Calc!$A$2:$C$13,3,1),""))</f>
        <v>Multi Soil</v>
      </c>
      <c r="AX28" s="449" t="str">
        <f>IF(C28&gt;0,VLOOKUP(C28,Foundation_Calc!$E$2:$G$33,3,1),
IF(J28&gt;0,VLOOKUP(J28,Foundation_Calc!$E$2:$G$33,3,1),""))</f>
        <v>PT</v>
      </c>
      <c r="AY28" s="10">
        <f>IF(L28="","",
IF(AX28="PT",VLOOKUP(L28,Foundation_Calc!$K$79:$R$113,VLOOKUP(AW28,Foundation_Calc!$I$2:$J$8,2,FALSE),0),
IF(AX28="K",VLOOKUP(L28,Foundation_Calc!$K$117:$R$151,VLOOKUP(AW28,Foundation_Calc!$I$2:$J$8,2,FALSE),0),"")))</f>
        <v>3.5</v>
      </c>
      <c r="AZ28" s="10" t="str">
        <f>IF(K28="","",
IF(AX28="PT",VLOOKUP(K28,Foundation_Calc!$K$79:$R$113,VLOOKUP(AW28,Foundation_Calc!$I$2:$J$8,2,FALSE),0),
IF(AX28="K",VLOOKUP(K28,Foundation_Calc!$K$117:$R$151,VLOOKUP(AW28,Foundation_Calc!$I$2:$J$8,2,FALSE),0),"")))</f>
        <v/>
      </c>
      <c r="BA28" s="495" t="str">
        <f t="shared" si="1"/>
        <v>ü</v>
      </c>
      <c r="BB28" s="495" t="str">
        <f t="shared" si="2"/>
        <v/>
      </c>
      <c r="BC28" s="495" t="str">
        <f t="shared" si="3"/>
        <v/>
      </c>
      <c r="BD28" s="513" t="str">
        <f>IF(AND(L28="",H28=""),"",
IF(H28="",Pole_Calc!A$9,
IF(H28="MP",Pole_Calc!A$10,
IF(H28="AnMP",Pole_Calc!A$11,
IF(H28="A",Pole_Calc!A$12,
IF(H28="S/A",Pole_Calc!A$13,
IF(H28="A/S",Pole_Calc!A$14,"Poner a mano")))))))</f>
        <v>App.7-V11I-P9.5.1.1</v>
      </c>
      <c r="BE28" s="429" t="s">
        <v>118</v>
      </c>
      <c r="BF28" s="289"/>
      <c r="BG28" s="289"/>
      <c r="BH28" s="290"/>
      <c r="BI28" s="289"/>
    </row>
    <row r="29" spans="1:61" ht="16.149999999999999" customHeight="1">
      <c r="A29" s="628"/>
      <c r="B29" s="536"/>
      <c r="C29" s="537"/>
      <c r="D29" s="538"/>
      <c r="E29" s="539"/>
      <c r="F29" s="539"/>
      <c r="G29" s="540">
        <v>62</v>
      </c>
      <c r="H29" s="541"/>
      <c r="I29" s="539"/>
      <c r="J29" s="537"/>
      <c r="K29" s="541"/>
      <c r="L29" s="541"/>
      <c r="M29" s="541" t="str">
        <f>IF(L29="","",
IF(AX29="PT",VLOOKUP(L29,Foundation_Calc!$V$79:$X$113,VLOOKUP(AX29,Foundation_Calc!$I$10:$J$13,2,FALSE),0),
IF(AX29="K",VLOOKUP(L29,Foundation_Calc!$V$117:$X$151,VLOOKUP(AX29,Foundation_Calc!$I$10:$J$13,2,FALSE),0),"")))</f>
        <v/>
      </c>
      <c r="N29" s="541"/>
      <c r="O29" s="541"/>
      <c r="P29" s="541"/>
      <c r="Q29" s="539"/>
      <c r="R29" s="540"/>
      <c r="S29" s="540"/>
      <c r="T29" s="539"/>
      <c r="U29" s="539"/>
      <c r="V29" s="539"/>
      <c r="W29" s="542"/>
      <c r="X29" s="542"/>
      <c r="Y29" s="542"/>
      <c r="Z29" s="542"/>
      <c r="AA29" s="542"/>
      <c r="AB29" s="542"/>
      <c r="AC29" s="541" t="str">
        <f t="shared" si="0"/>
        <v/>
      </c>
      <c r="AD29" s="541"/>
      <c r="AE29" s="541"/>
      <c r="AF29" s="539"/>
      <c r="AG29" s="538"/>
      <c r="AH29" s="539"/>
      <c r="AI29" s="539"/>
      <c r="AJ29" s="541"/>
      <c r="AK29" s="541"/>
      <c r="AL29" s="541"/>
      <c r="AM29" s="541"/>
      <c r="AN29" s="543"/>
      <c r="AO29" s="542"/>
      <c r="AP29" s="542"/>
      <c r="AQ29" s="542">
        <f>+FL_2($T$30,$T$28,$G$29,1200,9.28,-1*$F$30)</f>
        <v>-0.45400350967741931</v>
      </c>
      <c r="AR29" s="542"/>
      <c r="AS29" s="542"/>
      <c r="AT29" s="542"/>
      <c r="AU29" s="544"/>
      <c r="AV29" s="544"/>
      <c r="AW29" s="541" t="str">
        <f>IF(C29&gt;0,VLOOKUP(C29,Foundation_Calc!$A$2:$C$13,3,1),
IF(J29&gt;0,VLOOKUP(J29,Foundation_Calc!$A$2:$C$13,3,1),""))</f>
        <v/>
      </c>
      <c r="AX29" s="541" t="str">
        <f>IF(C29&gt;0,VLOOKUP(C29,Foundation_Calc!$E$2:$G$33,3,1),
IF(J29&gt;0,VLOOKUP(J29,Foundation_Calc!$E$2:$G$33,3,1),""))</f>
        <v/>
      </c>
      <c r="AY29" s="543" t="str">
        <f>IF(L29="","",
IF(AX29="PT",VLOOKUP(L29,Foundation_Calc!$K$79:$R$113,VLOOKUP(AW29,Foundation_Calc!$I$2:$J$8,2,FALSE),0),
IF(AX29="K",VLOOKUP(L29,Foundation_Calc!$K$117:$R$151,VLOOKUP(AW29,Foundation_Calc!$I$2:$J$8,2,FALSE),0),"")))</f>
        <v/>
      </c>
      <c r="AZ29" s="543" t="str">
        <f>IF(K29="","",
IF(AX29="PT",VLOOKUP(K29,Foundation_Calc!$K$79:$R$113,VLOOKUP(AW29,Foundation_Calc!$I$2:$J$8,2,FALSE),0),
IF(AX29="K",VLOOKUP(K29,Foundation_Calc!$K$117:$R$151,VLOOKUP(AW29,Foundation_Calc!$I$2:$J$8,2,FALSE),0),"")))</f>
        <v/>
      </c>
      <c r="BA29" s="495" t="str">
        <f t="shared" si="1"/>
        <v/>
      </c>
      <c r="BB29" s="495" t="str">
        <f t="shared" si="2"/>
        <v/>
      </c>
      <c r="BC29" s="495" t="str">
        <f t="shared" si="3"/>
        <v/>
      </c>
      <c r="BD29" s="513" t="str">
        <f>IF(AND(L29="",H29=""),"",
IF(H29="",Pole_Calc!A$9,
IF(H29="MP",Pole_Calc!A$10,
IF(H29="AnMP",Pole_Calc!A$11,
IF(H29="A",Pole_Calc!A$12,
IF(H29="S/A",Pole_Calc!A$13,
IF(H29="A/S",Pole_Calc!A$14,"Poner a mano")))))))</f>
        <v/>
      </c>
      <c r="BE29" s="429" t="s">
        <v>118</v>
      </c>
      <c r="BF29" s="290"/>
      <c r="BG29" s="290"/>
      <c r="BH29" s="290"/>
      <c r="BI29" s="290"/>
    </row>
    <row r="30" spans="1:61" ht="16.149999999999999" customHeight="1">
      <c r="A30" s="514"/>
      <c r="B30" s="450" t="s">
        <v>155</v>
      </c>
      <c r="C30" s="3">
        <f>+$C$28+$G$29</f>
        <v>30794.65</v>
      </c>
      <c r="D30" s="83"/>
      <c r="E30" s="4"/>
      <c r="F30" s="4">
        <f>IF(C30&gt;0,VLOOKUP(C30,'ALIGNMENT TRACK'!$A$1:$K$81,9,1))</f>
        <v>0</v>
      </c>
      <c r="G30" s="6"/>
      <c r="H30" s="449"/>
      <c r="I30" s="4"/>
      <c r="J30" s="3"/>
      <c r="K30" s="449"/>
      <c r="L30" s="449" t="s">
        <v>153</v>
      </c>
      <c r="M30" s="449" t="str">
        <f>IF(L30="","",
IF(AX30="PT",VLOOKUP(L30,Foundation_Calc!$V$79:$X$113,VLOOKUP(AX30,Foundation_Calc!$I$10:$J$13,2,FALSE),0),
IF(AX30="K",VLOOKUP(L30,Foundation_Calc!$V$117:$X$151,VLOOKUP(AX30,Foundation_Calc!$I$10:$J$13,2,FALSE),0),"")))</f>
        <v>C3R</v>
      </c>
      <c r="N30" s="449" t="s">
        <v>124</v>
      </c>
      <c r="O30" s="449"/>
      <c r="P30" s="449"/>
      <c r="Q30" s="4"/>
      <c r="R30" s="6"/>
      <c r="S30" s="6"/>
      <c r="T30" s="4">
        <v>-35</v>
      </c>
      <c r="U30" s="4"/>
      <c r="V30" s="4"/>
      <c r="W30" s="9">
        <v>1.4</v>
      </c>
      <c r="X30" s="9"/>
      <c r="Y30" s="9"/>
      <c r="Z30" s="9"/>
      <c r="AA30" s="9"/>
      <c r="AB30" s="9"/>
      <c r="AC30" s="449" t="str">
        <f t="shared" si="0"/>
        <v>PH</v>
      </c>
      <c r="AD30" s="449"/>
      <c r="AE30" s="449"/>
      <c r="AF30" s="4"/>
      <c r="AG30" s="83"/>
      <c r="AH30" s="4"/>
      <c r="AI30" s="4"/>
      <c r="AJ30" s="449"/>
      <c r="AK30" s="449"/>
      <c r="AL30" s="449"/>
      <c r="AM30" s="449" t="s">
        <v>126</v>
      </c>
      <c r="AN30" s="10">
        <v>5.5</v>
      </c>
      <c r="AO30" s="9"/>
      <c r="AP30" s="9"/>
      <c r="AQ30" s="9"/>
      <c r="AR30" s="9"/>
      <c r="AS30" s="9"/>
      <c r="AT30" s="9">
        <f>+ab($T$30,$T$28,$T$32,$G$29,$G$31,-1*$F$30,1200)</f>
        <v>-8.4366201521118445</v>
      </c>
      <c r="AU30" s="428"/>
      <c r="AV30" s="428"/>
      <c r="AW30" s="449" t="str">
        <f>IF(C30&gt;0,VLOOKUP(C30,Foundation_Calc!$A$2:$C$13,3,1),
IF(J30&gt;0,VLOOKUP(J30,Foundation_Calc!$A$2:$C$13,3,1),""))</f>
        <v>Multi Soil</v>
      </c>
      <c r="AX30" s="449" t="str">
        <f>IF(C30&gt;0,VLOOKUP(C30,Foundation_Calc!$E$2:$G$33,3,1),
IF(J30&gt;0,VLOOKUP(J30,Foundation_Calc!$E$2:$G$33,3,1),""))</f>
        <v>PT</v>
      </c>
      <c r="AY30" s="10">
        <f>IF(L30="","",
IF(AX30="PT",VLOOKUP(L30,Foundation_Calc!$K$79:$R$113,VLOOKUP(AW30,Foundation_Calc!$I$2:$J$8,2,FALSE),0),
IF(AX30="K",VLOOKUP(L30,Foundation_Calc!$K$117:$R$151,VLOOKUP(AW30,Foundation_Calc!$I$2:$J$8,2,FALSE),0),"")))</f>
        <v>3.5</v>
      </c>
      <c r="AZ30" s="10" t="str">
        <f>IF(K30="","",
IF(AX30="PT",VLOOKUP(K30,Foundation_Calc!$K$79:$R$113,VLOOKUP(AW30,Foundation_Calc!$I$2:$J$8,2,FALSE),0),
IF(AX30="K",VLOOKUP(K30,Foundation_Calc!$K$117:$R$151,VLOOKUP(AW30,Foundation_Calc!$I$2:$J$8,2,FALSE),0),"")))</f>
        <v/>
      </c>
      <c r="BA30" s="495" t="str">
        <f t="shared" si="1"/>
        <v>ü</v>
      </c>
      <c r="BB30" s="495" t="str">
        <f t="shared" si="2"/>
        <v/>
      </c>
      <c r="BC30" s="495" t="str">
        <f t="shared" si="3"/>
        <v/>
      </c>
      <c r="BD30" s="513" t="str">
        <f>IF(AND(L30="",H30=""),"",
IF(H30="",Pole_Calc!A$9,
IF(H30="MP",Pole_Calc!A$10,
IF(H30="AnMP",Pole_Calc!A$11,
IF(H30="A",Pole_Calc!A$12,
IF(H30="S/A",Pole_Calc!A$13,
IF(H30="A/S",Pole_Calc!A$14,"Poner a mano")))))))</f>
        <v>App.7-V11I-P9.5.1.1</v>
      </c>
      <c r="BE30" s="429" t="s">
        <v>118</v>
      </c>
      <c r="BF30" s="289"/>
      <c r="BG30" s="289"/>
      <c r="BH30" s="290"/>
      <c r="BI30" s="289"/>
    </row>
    <row r="31" spans="1:61" ht="16.149999999999999" customHeight="1">
      <c r="A31" s="514"/>
      <c r="B31" s="450"/>
      <c r="C31" s="3"/>
      <c r="D31" s="83"/>
      <c r="E31" s="4"/>
      <c r="F31" s="4"/>
      <c r="G31" s="6">
        <v>62</v>
      </c>
      <c r="H31" s="449"/>
      <c r="I31" s="4"/>
      <c r="J31" s="3">
        <f>C32-7.5</f>
        <v>30849.15</v>
      </c>
      <c r="K31" s="449" t="s">
        <v>117</v>
      </c>
      <c r="L31" s="449"/>
      <c r="M31" s="449" t="str">
        <f>IF(L31="","",
IF(AX31="PT",VLOOKUP(L31,Foundation_Calc!$V$79:$X$113,VLOOKUP(AX31,Foundation_Calc!$I$10:$J$13,2,FALSE),0),
IF(AX31="K",VLOOKUP(L31,Foundation_Calc!$V$117:$X$151,VLOOKUP(AX31,Foundation_Calc!$I$10:$J$13,2,FALSE),0),"")))</f>
        <v/>
      </c>
      <c r="N31" s="449"/>
      <c r="O31" s="449"/>
      <c r="P31" s="449"/>
      <c r="Q31" s="4"/>
      <c r="R31" s="6"/>
      <c r="S31" s="6"/>
      <c r="T31" s="4"/>
      <c r="U31" s="4"/>
      <c r="V31" s="4"/>
      <c r="W31" s="9"/>
      <c r="X31" s="9"/>
      <c r="Y31" s="9"/>
      <c r="Z31" s="9"/>
      <c r="AA31" s="9"/>
      <c r="AB31" s="9"/>
      <c r="AC31" s="449" t="str">
        <f t="shared" si="0"/>
        <v/>
      </c>
      <c r="AD31" s="449"/>
      <c r="AE31" s="449"/>
      <c r="AF31" s="4"/>
      <c r="AG31" s="83"/>
      <c r="AH31" s="4"/>
      <c r="AI31" s="4"/>
      <c r="AJ31" s="449"/>
      <c r="AK31" s="449"/>
      <c r="AL31" s="449"/>
      <c r="AM31" s="449"/>
      <c r="AN31" s="10"/>
      <c r="AO31" s="9"/>
      <c r="AP31" s="9"/>
      <c r="AQ31" s="9">
        <f>+FL_1($T$32,$T$30,$G$31,1200,9.28,-1*$F$32)</f>
        <v>0.45400350967741931</v>
      </c>
      <c r="AR31" s="9"/>
      <c r="AS31" s="9"/>
      <c r="AT31" s="9"/>
      <c r="AU31" s="428"/>
      <c r="AV31" s="428"/>
      <c r="AW31" s="449" t="str">
        <f>IF(C31&gt;0,VLOOKUP(C31,Foundation_Calc!$A$2:$C$13,3,1),
IF(J31&gt;0,VLOOKUP(J31,Foundation_Calc!$A$2:$C$13,3,1),""))</f>
        <v>Multi Soil</v>
      </c>
      <c r="AX31" s="449" t="str">
        <f>IF(C31&gt;0,VLOOKUP(C31,Foundation_Calc!$E$2:$G$33,3,1),
IF(J31&gt;0,VLOOKUP(J31,Foundation_Calc!$E$2:$G$33,3,1),""))</f>
        <v>PT</v>
      </c>
      <c r="AY31" s="10" t="str">
        <f>IF(L31="","",
IF(AX31="PT",VLOOKUP(L31,Foundation_Calc!$K$79:$R$113,VLOOKUP(AW31,Foundation_Calc!$I$2:$J$8,2,FALSE),0),
IF(AX31="K",VLOOKUP(L31,Foundation_Calc!$K$117:$R$151,VLOOKUP(AW31,Foundation_Calc!$I$2:$J$8,2,FALSE),0),"")))</f>
        <v/>
      </c>
      <c r="AZ31" s="10">
        <f>IF(K31="","",
IF(AX31="PT",VLOOKUP(K31,Foundation_Calc!$K$79:$R$113,VLOOKUP(AW31,Foundation_Calc!$I$2:$J$8,2,FALSE),0),
IF(AX31="K",VLOOKUP(K31,Foundation_Calc!$K$117:$R$151,VLOOKUP(AW31,Foundation_Calc!$I$2:$J$8,2,FALSE),0),"")))</f>
        <v>3.9</v>
      </c>
      <c r="BA31" s="495" t="str">
        <f t="shared" si="1"/>
        <v/>
      </c>
      <c r="BB31" s="495" t="str">
        <f t="shared" si="2"/>
        <v>ü</v>
      </c>
      <c r="BC31" s="495" t="str">
        <f t="shared" si="3"/>
        <v/>
      </c>
      <c r="BD31" s="513" t="str">
        <f>IF(AND(L31="",H31=""),"",
IF(H31="",Pole_Calc!A$9,
IF(H31="MP",Pole_Calc!A$10,
IF(H31="AnMP",Pole_Calc!A$11,
IF(H31="A",Pole_Calc!A$12,
IF(H31="S/A",Pole_Calc!A$13,
IF(H31="A/S",Pole_Calc!A$14,"Poner a mano")))))))</f>
        <v/>
      </c>
      <c r="BE31" s="429" t="s">
        <v>118</v>
      </c>
      <c r="BF31" s="290"/>
      <c r="BG31" s="290"/>
      <c r="BH31" s="290"/>
      <c r="BI31" s="290"/>
    </row>
    <row r="32" spans="1:61" ht="16.149999999999999" customHeight="1">
      <c r="A32" s="514"/>
      <c r="B32" s="450" t="s">
        <v>156</v>
      </c>
      <c r="C32" s="3">
        <f>+$C$30+$G$31</f>
        <v>30856.65</v>
      </c>
      <c r="D32" s="83"/>
      <c r="E32" s="4"/>
      <c r="F32" s="4">
        <f>IF(C32&gt;0,VLOOKUP(C32,'ALIGNMENT TRACK'!$A$1:$K$81,9,1))</f>
        <v>0</v>
      </c>
      <c r="G32" s="6"/>
      <c r="H32" s="449" t="s">
        <v>121</v>
      </c>
      <c r="I32" s="4" t="s">
        <v>122</v>
      </c>
      <c r="J32" s="3"/>
      <c r="K32" s="449"/>
      <c r="L32" s="449" t="s">
        <v>151</v>
      </c>
      <c r="M32" s="449" t="str">
        <f>IF(L32="","",
IF(AX32="PT",VLOOKUP(L32,Foundation_Calc!$V$79:$X$113,VLOOKUP(AX32,Foundation_Calc!$I$10:$J$13,2,FALSE),0),
IF(AX32="K",VLOOKUP(L32,Foundation_Calc!$V$117:$X$151,VLOOKUP(AX32,Foundation_Calc!$I$10:$J$13,2,FALSE),0),"")))</f>
        <v>C4R</v>
      </c>
      <c r="N32" s="449" t="s">
        <v>134</v>
      </c>
      <c r="O32" s="449"/>
      <c r="P32" s="449"/>
      <c r="Q32" s="4"/>
      <c r="R32" s="6"/>
      <c r="S32" s="6"/>
      <c r="T32" s="4">
        <v>35</v>
      </c>
      <c r="U32" s="4"/>
      <c r="V32" s="4"/>
      <c r="W32" s="9">
        <v>1.4</v>
      </c>
      <c r="X32" s="9"/>
      <c r="Y32" s="9"/>
      <c r="Z32" s="9"/>
      <c r="AA32" s="9"/>
      <c r="AB32" s="9"/>
      <c r="AC32" s="449" t="str">
        <f t="shared" si="0"/>
        <v>PH</v>
      </c>
      <c r="AD32" s="449"/>
      <c r="AE32" s="449"/>
      <c r="AF32" s="4"/>
      <c r="AG32" s="83"/>
      <c r="AH32" s="4"/>
      <c r="AI32" s="4"/>
      <c r="AJ32" s="449"/>
      <c r="AK32" s="449"/>
      <c r="AL32" s="449"/>
      <c r="AM32" s="449" t="s">
        <v>126</v>
      </c>
      <c r="AN32" s="10">
        <v>5.5</v>
      </c>
      <c r="AO32" s="9"/>
      <c r="AP32" s="9"/>
      <c r="AQ32" s="9"/>
      <c r="AR32" s="9"/>
      <c r="AS32" s="9"/>
      <c r="AT32" s="9">
        <f>+ab($T$32,$T$30,$U$34,$G$31,$G$33,-1*$F$32,1200)</f>
        <v>8.4365744899000195</v>
      </c>
      <c r="AU32" s="428"/>
      <c r="AV32" s="428"/>
      <c r="AW32" s="449" t="str">
        <f>IF(C32&gt;0,VLOOKUP(C32,Foundation_Calc!$A$2:$C$13,3,1),
IF(J32&gt;0,VLOOKUP(J32,Foundation_Calc!$A$2:$C$13,3,1),""))</f>
        <v>Multi Soil</v>
      </c>
      <c r="AX32" s="449" t="str">
        <f>IF(C32&gt;0,VLOOKUP(C32,Foundation_Calc!$E$2:$G$33,3,1),
IF(J32&gt;0,VLOOKUP(J32,Foundation_Calc!$E$2:$G$33,3,1),""))</f>
        <v>PT</v>
      </c>
      <c r="AY32" s="10">
        <f>IF(L32="","",
IF(AX32="PT",VLOOKUP(L32,Foundation_Calc!$K$79:$R$113,VLOOKUP(AW32,Foundation_Calc!$I$2:$J$8,2,FALSE),0),
IF(AX32="K",VLOOKUP(L32,Foundation_Calc!$K$117:$R$151,VLOOKUP(AW32,Foundation_Calc!$I$2:$J$8,2,FALSE),0),"")))</f>
        <v>3.5</v>
      </c>
      <c r="AZ32" s="10" t="str">
        <f>IF(K32="","",
IF(AX32="PT",VLOOKUP(K32,Foundation_Calc!$K$79:$R$113,VLOOKUP(AW32,Foundation_Calc!$I$2:$J$8,2,FALSE),0),
IF(AX32="K",VLOOKUP(K32,Foundation_Calc!$K$117:$R$151,VLOOKUP(AW32,Foundation_Calc!$I$2:$J$8,2,FALSE),0),"")))</f>
        <v/>
      </c>
      <c r="BA32" s="495" t="str">
        <f t="shared" si="1"/>
        <v>ü</v>
      </c>
      <c r="BB32" s="495" t="str">
        <f t="shared" si="2"/>
        <v/>
      </c>
      <c r="BC32" s="495" t="str">
        <f t="shared" si="3"/>
        <v/>
      </c>
      <c r="BD32" s="513" t="str">
        <f>IF(AND(L32="",H32=""),"",
IF(H32="",Pole_Calc!A$9,
IF(H32="MP",Pole_Calc!A$10,
IF(H32="AnMP",Pole_Calc!A$11,
IF(H32="A",Pole_Calc!A$12,
IF(H32="S/A",Pole_Calc!A$13,
IF(H32="A/S",Pole_Calc!A$14,"Poner a mano")))))))</f>
        <v>App.7-V11I-P9.5.1.6</v>
      </c>
      <c r="BE32" s="429" t="s">
        <v>118</v>
      </c>
      <c r="BF32" s="289"/>
      <c r="BG32" s="289"/>
      <c r="BH32" s="290"/>
      <c r="BI32" s="289"/>
    </row>
    <row r="33" spans="1:61" ht="16.149999999999999" customHeight="1">
      <c r="A33" s="514"/>
      <c r="B33" s="450"/>
      <c r="C33" s="3"/>
      <c r="D33" s="83"/>
      <c r="E33" s="4"/>
      <c r="F33" s="4"/>
      <c r="G33" s="6">
        <v>62</v>
      </c>
      <c r="H33" s="449"/>
      <c r="I33" s="4"/>
      <c r="J33" s="3"/>
      <c r="K33" s="449"/>
      <c r="L33" s="449"/>
      <c r="M33" s="449" t="str">
        <f>IF(L33="","",
IF(AX33="PT",VLOOKUP(L33,Foundation_Calc!$V$79:$X$113,VLOOKUP(AX33,Foundation_Calc!$I$10:$J$13,2,FALSE),0),
IF(AX33="K",VLOOKUP(L33,Foundation_Calc!$V$117:$X$151,VLOOKUP(AX33,Foundation_Calc!$I$10:$J$13,2,FALSE),0),"")))</f>
        <v/>
      </c>
      <c r="N33" s="449"/>
      <c r="O33" s="449"/>
      <c r="P33" s="449"/>
      <c r="Q33" s="4"/>
      <c r="R33" s="6"/>
      <c r="S33" s="6"/>
      <c r="T33" s="4"/>
      <c r="U33" s="4"/>
      <c r="V33" s="4"/>
      <c r="W33" s="9"/>
      <c r="X33" s="9"/>
      <c r="Y33" s="9"/>
      <c r="Z33" s="9"/>
      <c r="AA33" s="9"/>
      <c r="AB33" s="9"/>
      <c r="AC33" s="449" t="str">
        <f t="shared" si="0"/>
        <v/>
      </c>
      <c r="AD33" s="449"/>
      <c r="AE33" s="449"/>
      <c r="AF33" s="4"/>
      <c r="AG33" s="83"/>
      <c r="AH33" s="4"/>
      <c r="AI33" s="4"/>
      <c r="AJ33" s="449"/>
      <c r="AK33" s="449"/>
      <c r="AL33" s="449"/>
      <c r="AM33" s="449"/>
      <c r="AN33" s="10"/>
      <c r="AO33" s="9"/>
      <c r="AP33" s="9"/>
      <c r="AQ33" s="9">
        <f>+FL_2($U$34,$T$32,$G$33,1200,9.28,-1*$F$34)</f>
        <v>-0.45400350967741931</v>
      </c>
      <c r="AR33" s="9"/>
      <c r="AS33" s="9"/>
      <c r="AT33" s="9"/>
      <c r="AU33" s="428"/>
      <c r="AV33" s="428"/>
      <c r="AW33" s="449" t="str">
        <f>IF(C33&gt;0,VLOOKUP(C33,Foundation_Calc!$A$2:$C$13,3,1),
IF(J33&gt;0,VLOOKUP(J33,Foundation_Calc!$A$2:$C$13,3,1),""))</f>
        <v/>
      </c>
      <c r="AX33" s="449" t="str">
        <f>IF(C33&gt;0,VLOOKUP(C33,Foundation_Calc!$E$2:$G$33,3,1),
IF(J33&gt;0,VLOOKUP(J33,Foundation_Calc!$E$2:$G$33,3,1),""))</f>
        <v/>
      </c>
      <c r="AY33" s="10" t="str">
        <f>IF(L33="","",
IF(AX33="PT",VLOOKUP(L33,Foundation_Calc!$K$79:$R$113,VLOOKUP(AW33,Foundation_Calc!$I$2:$J$8,2,FALSE),0),
IF(AX33="K",VLOOKUP(L33,Foundation_Calc!$K$117:$R$151,VLOOKUP(AW33,Foundation_Calc!$I$2:$J$8,2,FALSE),0),"")))</f>
        <v/>
      </c>
      <c r="AZ33" s="10" t="str">
        <f>IF(K33="","",
IF(AX33="PT",VLOOKUP(K33,Foundation_Calc!$K$79:$R$113,VLOOKUP(AW33,Foundation_Calc!$I$2:$J$8,2,FALSE),0),
IF(AX33="K",VLOOKUP(K33,Foundation_Calc!$K$117:$R$151,VLOOKUP(AW33,Foundation_Calc!$I$2:$J$8,2,FALSE),0),"")))</f>
        <v/>
      </c>
      <c r="BA33" s="495" t="str">
        <f t="shared" ref="BA33" si="13">IF(AY33="","",IF(AY33&gt;0,"ü",""))</f>
        <v/>
      </c>
      <c r="BB33" s="495" t="str">
        <f t="shared" ref="BB33" si="14">IF(AZ33="","",IF(AZ33&gt;0,"ü",""))</f>
        <v/>
      </c>
      <c r="BC33" s="495" t="str">
        <f t="shared" ref="BC33" si="15">IF(M33="","",IF(M33="U.S.","ü",IF(M33="U.S. N.D.","ü","")))</f>
        <v/>
      </c>
      <c r="BD33" s="513" t="str">
        <f>IF(AND(L33="",H33=""),"",
IF(H33="",Pole_Calc!A$9,
IF(H33="MP",Pole_Calc!A$10,
IF(H33="AnMP",Pole_Calc!A$11,
IF(H33="A",Pole_Calc!A$12,
IF(H33="S/A",Pole_Calc!A$13,
IF(H33="A/S",Pole_Calc!A$14,"Poner a mano")))))))</f>
        <v/>
      </c>
      <c r="BE33" s="429" t="s">
        <v>118</v>
      </c>
      <c r="BF33" s="290"/>
      <c r="BG33" s="290"/>
      <c r="BH33" s="290"/>
      <c r="BI33" s="290"/>
    </row>
    <row r="34" spans="1:61" ht="16.149999999999999" customHeight="1">
      <c r="A34" s="514"/>
      <c r="B34" s="450" t="s">
        <v>157</v>
      </c>
      <c r="C34" s="3">
        <f>+$C$32+$G$33</f>
        <v>30918.65</v>
      </c>
      <c r="D34" s="83"/>
      <c r="E34" s="4"/>
      <c r="F34" s="4">
        <f>IF(C34&gt;0,VLOOKUP(C34,'ALIGNMENT TRACK'!$A$1:$K$81,9,1))</f>
        <v>0</v>
      </c>
      <c r="G34" s="6"/>
      <c r="H34" s="449" t="s">
        <v>131</v>
      </c>
      <c r="I34" s="4"/>
      <c r="J34" s="3"/>
      <c r="K34" s="449"/>
      <c r="L34" s="449" t="s">
        <v>158</v>
      </c>
      <c r="M34" s="449" t="str">
        <f>IF(L34="","",
IF(AX34="PT",VLOOKUP(L34,Foundation_Calc!$V$79:$X$113,VLOOKUP(AX34,Foundation_Calc!$I$10:$J$13,2,FALSE),0),
IF(AX34="K",VLOOKUP(L34,Foundation_Calc!$V$117:$X$151,VLOOKUP(AX34,Foundation_Calc!$I$10:$J$13,2,FALSE),0),"")))</f>
        <v>C4R</v>
      </c>
      <c r="N34" s="449" t="s">
        <v>133</v>
      </c>
      <c r="O34" s="449" t="s">
        <v>124</v>
      </c>
      <c r="P34" s="449"/>
      <c r="Q34" s="4"/>
      <c r="R34" s="6"/>
      <c r="S34" s="6"/>
      <c r="T34" s="4">
        <v>-15</v>
      </c>
      <c r="U34" s="4">
        <v>-35</v>
      </c>
      <c r="V34" s="4"/>
      <c r="W34" s="9">
        <v>1.4</v>
      </c>
      <c r="X34" s="9">
        <v>2.2999999999999998</v>
      </c>
      <c r="Y34" s="9"/>
      <c r="Z34" s="9">
        <v>0.6</v>
      </c>
      <c r="AA34" s="9"/>
      <c r="AB34" s="9"/>
      <c r="AC34" s="449"/>
      <c r="AD34" s="449"/>
      <c r="AE34" s="449"/>
      <c r="AF34" s="4"/>
      <c r="AG34" s="83"/>
      <c r="AH34" s="4"/>
      <c r="AI34" s="4"/>
      <c r="AJ34" s="449"/>
      <c r="AK34" s="449"/>
      <c r="AL34" s="449"/>
      <c r="AM34" s="449" t="s">
        <v>126</v>
      </c>
      <c r="AN34" s="10">
        <v>5.5</v>
      </c>
      <c r="AO34" s="9"/>
      <c r="AP34" s="9"/>
      <c r="AQ34" s="9"/>
      <c r="AR34" s="9"/>
      <c r="AS34" s="9"/>
      <c r="AT34" s="9">
        <f>+ab($U$34,$T$32,$U$36,$G$33,$G$35,-1*$F$34,1200)</f>
        <v>-9.5481620511690473</v>
      </c>
      <c r="AU34" s="428"/>
      <c r="AV34" s="428"/>
      <c r="AW34" s="449" t="str">
        <f>IF(C34&gt;0,VLOOKUP(C34,Foundation_Calc!$A$2:$C$13,3,1),
IF(J34&gt;0,VLOOKUP(J34,Foundation_Calc!$A$2:$C$13,3,1),""))</f>
        <v>Multi Soil</v>
      </c>
      <c r="AX34" s="449" t="str">
        <f>IF(C34&gt;0,VLOOKUP(C34,Foundation_Calc!$E$2:$G$33,3,1),
IF(J34&gt;0,VLOOKUP(J34,Foundation_Calc!$E$2:$G$33,3,1),""))</f>
        <v>PT</v>
      </c>
      <c r="AY34" s="10">
        <f>IF(L34="","",
IF(AX34="PT",VLOOKUP(L34,Foundation_Calc!$K$79:$R$113,VLOOKUP(AW34,Foundation_Calc!$I$2:$J$8,2,FALSE),0),
IF(AX34="K",VLOOKUP(L34,Foundation_Calc!$K$117:$R$151,VLOOKUP(AW34,Foundation_Calc!$I$2:$J$8,2,FALSE),0),"")))</f>
        <v>3.5</v>
      </c>
      <c r="AZ34" s="10" t="str">
        <f>IF(K34="","",
IF(AX34="PT",VLOOKUP(K34,Foundation_Calc!$K$79:$R$113,VLOOKUP(AW34,Foundation_Calc!$I$2:$J$8,2,FALSE),0),
IF(AX34="K",VLOOKUP(K34,Foundation_Calc!$K$117:$R$151,VLOOKUP(AW34,Foundation_Calc!$I$2:$J$8,2,FALSE),0),"")))</f>
        <v/>
      </c>
      <c r="BA34" s="495" t="str">
        <f t="shared" ref="BA34:BA100" si="16">IF(AY34="","",IF(AY34&gt;0,"ü",""))</f>
        <v>ü</v>
      </c>
      <c r="BB34" s="495" t="str">
        <f t="shared" ref="BB34:BB100" si="17">IF(AZ34="","",IF(AZ34&gt;0,"ü",""))</f>
        <v/>
      </c>
      <c r="BC34" s="495" t="str">
        <f t="shared" ref="BC34:BC100" si="18">IF(M34="","",IF(M34="U.S.","ü",IF(M34="U.S. N.D.","ü","")))</f>
        <v/>
      </c>
      <c r="BD34" s="513" t="str">
        <f>IF(AND(L34="",H34=""),"",
IF(H34="",Pole_Calc!A$9,
IF(H34="MP",Pole_Calc!A$10,
IF(H34="AnMP",Pole_Calc!A$11,
IF(H34="A",Pole_Calc!A$12,
IF(H34="S/A",Pole_Calc!A$13,
IF(H34="A/S",Pole_Calc!A$14,"Poner a mano")))))))</f>
        <v>App.7-V11I-P9.5.1.5</v>
      </c>
      <c r="BE34" s="429" t="s">
        <v>118</v>
      </c>
      <c r="BF34" s="289"/>
      <c r="BG34" s="289"/>
      <c r="BH34" s="290"/>
      <c r="BI34" s="289"/>
    </row>
    <row r="35" spans="1:61" ht="16.149999999999999" customHeight="1">
      <c r="A35" s="514"/>
      <c r="B35" s="450"/>
      <c r="C35" s="3"/>
      <c r="D35" s="83"/>
      <c r="E35" s="4"/>
      <c r="F35" s="4"/>
      <c r="G35" s="6">
        <v>58</v>
      </c>
      <c r="H35" s="449"/>
      <c r="I35" s="4"/>
      <c r="J35" s="3"/>
      <c r="K35" s="449"/>
      <c r="L35" s="449"/>
      <c r="M35" s="449" t="str">
        <f>IF(L35="","",
IF(AX35="PT",VLOOKUP(L35,Foundation_Calc!$V$79:$X$113,VLOOKUP(AX35,Foundation_Calc!$I$10:$J$13,2,FALSE),0),
IF(AX35="K",VLOOKUP(L35,Foundation_Calc!$V$117:$X$151,VLOOKUP(AX35,Foundation_Calc!$I$10:$J$13,2,FALSE),0),"")))</f>
        <v/>
      </c>
      <c r="N35" s="449"/>
      <c r="O35" s="449"/>
      <c r="P35" s="449"/>
      <c r="Q35" s="4"/>
      <c r="R35" s="6"/>
      <c r="S35" s="6"/>
      <c r="T35" s="4"/>
      <c r="U35" s="4"/>
      <c r="V35" s="4"/>
      <c r="W35" s="9"/>
      <c r="X35" s="9"/>
      <c r="Y35" s="9"/>
      <c r="Z35" s="9"/>
      <c r="AA35" s="9"/>
      <c r="AB35" s="9"/>
      <c r="AC35" s="449" t="str">
        <f t="shared" si="0"/>
        <v/>
      </c>
      <c r="AD35" s="449"/>
      <c r="AE35" s="449"/>
      <c r="AF35" s="4"/>
      <c r="AG35" s="83"/>
      <c r="AH35" s="4"/>
      <c r="AI35" s="4"/>
      <c r="AJ35" s="449"/>
      <c r="AK35" s="449"/>
      <c r="AL35" s="449"/>
      <c r="AM35" s="449"/>
      <c r="AN35" s="10"/>
      <c r="AO35" s="9"/>
      <c r="AP35" s="9"/>
      <c r="AQ35" s="9">
        <f>+FL_1($U$36,$U$34,$G$35,1200,9.28,-1*$F$36)</f>
        <v>0.27323598965517243</v>
      </c>
      <c r="AR35" s="9"/>
      <c r="AS35" s="9"/>
      <c r="AT35" s="9"/>
      <c r="AU35" s="428"/>
      <c r="AV35" s="428"/>
      <c r="AW35" s="449" t="str">
        <f>IF(C35&gt;0,VLOOKUP(C35,Foundation_Calc!$A$2:$C$13,3,1),
IF(J35&gt;0,VLOOKUP(J35,Foundation_Calc!$A$2:$C$13,3,1),""))</f>
        <v/>
      </c>
      <c r="AX35" s="449" t="str">
        <f>IF(C35&gt;0,VLOOKUP(C35,Foundation_Calc!$E$2:$G$33,3,1),
IF(J35&gt;0,VLOOKUP(J35,Foundation_Calc!$E$2:$G$33,3,1),""))</f>
        <v/>
      </c>
      <c r="AY35" s="10" t="str">
        <f>IF(L35="","",
IF(AX35="PT",VLOOKUP(L35,Foundation_Calc!$K$79:$R$113,VLOOKUP(AW35,Foundation_Calc!$I$2:$J$8,2,FALSE),0),
IF(AX35="K",VLOOKUP(L35,Foundation_Calc!$K$117:$R$151,VLOOKUP(AW35,Foundation_Calc!$I$2:$J$8,2,FALSE),0),"")))</f>
        <v/>
      </c>
      <c r="AZ35" s="10" t="str">
        <f>IF(K35="","",
IF(AX35="PT",VLOOKUP(K35,Foundation_Calc!$K$79:$R$113,VLOOKUP(AW35,Foundation_Calc!$I$2:$J$8,2,FALSE),0),
IF(AX35="K",VLOOKUP(K35,Foundation_Calc!$K$117:$R$151,VLOOKUP(AW35,Foundation_Calc!$I$2:$J$8,2,FALSE),0),"")))</f>
        <v/>
      </c>
      <c r="BA35" s="495" t="str">
        <f t="shared" si="16"/>
        <v/>
      </c>
      <c r="BB35" s="495" t="str">
        <f t="shared" si="17"/>
        <v/>
      </c>
      <c r="BC35" s="495" t="str">
        <f t="shared" si="18"/>
        <v/>
      </c>
      <c r="BD35" s="513" t="str">
        <f>IF(AND(L35="",H35=""),"",
IF(H35="",Pole_Calc!A$9,
IF(H35="MP",Pole_Calc!A$10,
IF(H35="AnMP",Pole_Calc!A$11,
IF(H35="A",Pole_Calc!A$12,
IF(H35="S/A",Pole_Calc!A$13,
IF(H35="A/S",Pole_Calc!A$14,"Poner a mano")))))))</f>
        <v/>
      </c>
      <c r="BE35" s="429" t="s">
        <v>118</v>
      </c>
      <c r="BF35" s="290"/>
      <c r="BG35" s="290"/>
      <c r="BH35" s="290"/>
      <c r="BI35" s="290"/>
    </row>
    <row r="36" spans="1:61" ht="16.149999999999999" customHeight="1">
      <c r="A36" s="514"/>
      <c r="B36" s="450" t="s">
        <v>159</v>
      </c>
      <c r="C36" s="3">
        <f>+$C$34+$G$35</f>
        <v>30976.65</v>
      </c>
      <c r="D36" s="83"/>
      <c r="E36" s="4"/>
      <c r="F36" s="4">
        <f>IF(C36&gt;0,VLOOKUP(C36,'ALIGNMENT TRACK'!$A$1:$K$81,9,1))</f>
        <v>0</v>
      </c>
      <c r="G36" s="6"/>
      <c r="H36" s="449" t="s">
        <v>131</v>
      </c>
      <c r="I36" s="4"/>
      <c r="J36" s="3"/>
      <c r="K36" s="449"/>
      <c r="L36" s="449" t="s">
        <v>158</v>
      </c>
      <c r="M36" s="449" t="str">
        <f>IF(L36="","",
IF(AX36="PT",VLOOKUP(L36,Foundation_Calc!$V$79:$X$113,VLOOKUP(AX36,Foundation_Calc!$I$10:$J$13,2,FALSE),0),
IF(AX36="K",VLOOKUP(L36,Foundation_Calc!$V$117:$X$151,VLOOKUP(AX36,Foundation_Calc!$I$10:$J$13,2,FALSE),0),"")))</f>
        <v>C4R</v>
      </c>
      <c r="N36" s="449" t="s">
        <v>134</v>
      </c>
      <c r="O36" s="449" t="s">
        <v>133</v>
      </c>
      <c r="P36" s="449"/>
      <c r="Q36" s="4"/>
      <c r="R36" s="6"/>
      <c r="S36" s="6"/>
      <c r="T36" s="4">
        <v>35</v>
      </c>
      <c r="U36" s="4">
        <v>15</v>
      </c>
      <c r="V36" s="4"/>
      <c r="W36" s="9">
        <v>1.4</v>
      </c>
      <c r="X36" s="9">
        <v>2.2999999999999998</v>
      </c>
      <c r="Y36" s="9"/>
      <c r="Z36" s="9"/>
      <c r="AA36" s="9">
        <v>0.6</v>
      </c>
      <c r="AB36" s="9"/>
      <c r="AC36" s="449" t="str">
        <f t="shared" si="0"/>
        <v>PH</v>
      </c>
      <c r="AD36" s="449"/>
      <c r="AE36" s="449"/>
      <c r="AF36" s="4"/>
      <c r="AG36" s="83"/>
      <c r="AH36" s="4"/>
      <c r="AI36" s="4"/>
      <c r="AJ36" s="449"/>
      <c r="AK36" s="449"/>
      <c r="AL36" s="449"/>
      <c r="AM36" s="449" t="s">
        <v>126</v>
      </c>
      <c r="AN36" s="10">
        <v>5.5</v>
      </c>
      <c r="AO36" s="9"/>
      <c r="AP36" s="9"/>
      <c r="AQ36" s="9"/>
      <c r="AR36" s="9"/>
      <c r="AS36" s="9"/>
      <c r="AT36" s="9">
        <f>+ab($T$36,$T$34,$T$38,$G$35,$G$37,-1*$F$36,1200)</f>
        <v>9.7170932558573142</v>
      </c>
      <c r="AU36" s="428"/>
      <c r="AV36" s="428"/>
      <c r="AW36" s="449" t="str">
        <f>IF(C36&gt;0,VLOOKUP(C36,Foundation_Calc!$A$2:$C$13,3,1),
IF(J36&gt;0,VLOOKUP(J36,Foundation_Calc!$A$2:$C$13,3,1),""))</f>
        <v>Multi Soil</v>
      </c>
      <c r="AX36" s="449" t="str">
        <f>IF(C36&gt;0,VLOOKUP(C36,Foundation_Calc!$E$2:$G$33,3,1),
IF(J36&gt;0,VLOOKUP(J36,Foundation_Calc!$E$2:$G$33,3,1),""))</f>
        <v>PT</v>
      </c>
      <c r="AY36" s="10">
        <f>IF(L36="","",
IF(AX36="PT",VLOOKUP(L36,Foundation_Calc!$K$79:$R$113,VLOOKUP(AW36,Foundation_Calc!$I$2:$J$8,2,FALSE),0),
IF(AX36="K",VLOOKUP(L36,Foundation_Calc!$K$117:$R$151,VLOOKUP(AW36,Foundation_Calc!$I$2:$J$8,2,FALSE),0),"")))</f>
        <v>3.5</v>
      </c>
      <c r="AZ36" s="10" t="str">
        <f>IF(K36="","",
IF(AX36="PT",VLOOKUP(K36,Foundation_Calc!$K$79:$R$113,VLOOKUP(AW36,Foundation_Calc!$I$2:$J$8,2,FALSE),0),
IF(AX36="K",VLOOKUP(K36,Foundation_Calc!$K$117:$R$151,VLOOKUP(AW36,Foundation_Calc!$I$2:$J$8,2,FALSE),0),"")))</f>
        <v/>
      </c>
      <c r="BA36" s="495" t="str">
        <f t="shared" si="16"/>
        <v>ü</v>
      </c>
      <c r="BB36" s="495" t="str">
        <f t="shared" si="17"/>
        <v/>
      </c>
      <c r="BC36" s="495" t="str">
        <f t="shared" si="18"/>
        <v/>
      </c>
      <c r="BD36" s="513" t="str">
        <f>IF(AND(L36="",H36=""),"",
IF(H36="",Pole_Calc!A$9,
IF(H36="MP",Pole_Calc!A$10,
IF(H36="AnMP",Pole_Calc!A$11,
IF(H36="A",Pole_Calc!A$12,
IF(H36="S/A",Pole_Calc!A$13,
IF(H36="A/S",Pole_Calc!A$14,"Poner a mano")))))))</f>
        <v>App.7-V11I-P9.5.1.5</v>
      </c>
      <c r="BE36" s="429" t="s">
        <v>118</v>
      </c>
      <c r="BF36" s="289"/>
      <c r="BG36" s="289"/>
      <c r="BH36" s="290"/>
      <c r="BI36" s="289"/>
    </row>
    <row r="37" spans="1:61" ht="16.149999999999999" customHeight="1">
      <c r="A37" s="685" t="s">
        <v>160</v>
      </c>
      <c r="B37" s="686"/>
      <c r="C37" s="687"/>
      <c r="D37" s="688"/>
      <c r="E37" s="689"/>
      <c r="F37" s="689"/>
      <c r="G37" s="690">
        <v>64</v>
      </c>
      <c r="H37" s="691"/>
      <c r="I37" s="689"/>
      <c r="J37" s="687"/>
      <c r="K37" s="691"/>
      <c r="L37" s="691"/>
      <c r="M37" s="691" t="str">
        <f>IF(L37="","",
IF(AX37="PT",VLOOKUP(L37,Foundation_Calc!$V$79:$X$113,VLOOKUP(AX37,Foundation_Calc!$I$10:$J$13,2,FALSE),0),
IF(AX37="K",VLOOKUP(L37,Foundation_Calc!$V$117:$X$151,VLOOKUP(AX37,Foundation_Calc!$I$10:$J$13,2,FALSE),0),"")))</f>
        <v/>
      </c>
      <c r="N37" s="691"/>
      <c r="O37" s="691"/>
      <c r="P37" s="691"/>
      <c r="Q37" s="689"/>
      <c r="R37" s="690"/>
      <c r="S37" s="690"/>
      <c r="T37" s="689"/>
      <c r="U37" s="689"/>
      <c r="V37" s="689"/>
      <c r="W37" s="692"/>
      <c r="X37" s="692"/>
      <c r="Y37" s="692"/>
      <c r="Z37" s="692"/>
      <c r="AA37" s="692"/>
      <c r="AB37" s="692"/>
      <c r="AC37" s="691" t="str">
        <f t="shared" si="0"/>
        <v/>
      </c>
      <c r="AD37" s="691"/>
      <c r="AE37" s="691"/>
      <c r="AF37" s="689"/>
      <c r="AG37" s="688"/>
      <c r="AH37" s="689"/>
      <c r="AI37" s="689"/>
      <c r="AJ37" s="691"/>
      <c r="AK37" s="691"/>
      <c r="AL37" s="691"/>
      <c r="AM37" s="691"/>
      <c r="AN37" s="693"/>
      <c r="AO37" s="692"/>
      <c r="AP37" s="692"/>
      <c r="AQ37" s="692">
        <f>+FL_1($T$38,$T$36,$G$37,1200,9.28,-1*$F$38)</f>
        <v>0.47329293799999983</v>
      </c>
      <c r="AR37" s="692"/>
      <c r="AS37" s="692"/>
      <c r="AT37" s="692"/>
      <c r="AU37" s="694"/>
      <c r="AV37" s="694"/>
      <c r="AW37" s="691" t="str">
        <f>IF(C37&gt;0,VLOOKUP(C37,Foundation_Calc!$A$2:$C$13,3,1),
IF(J37&gt;0,VLOOKUP(J37,Foundation_Calc!$A$2:$C$13,3,1),""))</f>
        <v/>
      </c>
      <c r="AX37" s="691" t="str">
        <f>IF(C37&gt;0,VLOOKUP(C37,Foundation_Calc!$E$2:$G$33,3,1),
IF(J37&gt;0,VLOOKUP(J37,Foundation_Calc!$E$2:$G$33,3,1),""))</f>
        <v/>
      </c>
      <c r="AY37" s="693" t="str">
        <f>IF(L37="","",
IF(AX37="PT",VLOOKUP(L37,Foundation_Calc!$K$79:$R$113,VLOOKUP(AW37,Foundation_Calc!$I$2:$J$8,2,FALSE),0),
IF(AX37="K",VLOOKUP(L37,Foundation_Calc!$K$117:$R$151,VLOOKUP(AW37,Foundation_Calc!$I$2:$J$8,2,FALSE),0),"")))</f>
        <v/>
      </c>
      <c r="AZ37" s="693" t="str">
        <f>IF(K37="","",
IF(AX37="PT",VLOOKUP(K37,Foundation_Calc!$K$79:$R$113,VLOOKUP(AW37,Foundation_Calc!$I$2:$J$8,2,FALSE),0),
IF(AX37="K",VLOOKUP(K37,Foundation_Calc!$K$117:$R$151,VLOOKUP(AW37,Foundation_Calc!$I$2:$J$8,2,FALSE),0),"")))</f>
        <v/>
      </c>
      <c r="BA37" s="495" t="str">
        <f t="shared" si="16"/>
        <v/>
      </c>
      <c r="BB37" s="495" t="str">
        <f t="shared" si="17"/>
        <v/>
      </c>
      <c r="BC37" s="495" t="str">
        <f t="shared" si="18"/>
        <v/>
      </c>
      <c r="BD37" s="513" t="str">
        <f>IF(AND(L37="",H37=""),"",
IF(H37="",Pole_Calc!A$9,
IF(H37="MP",Pole_Calc!A$10,
IF(H37="AnMP",Pole_Calc!A$11,
IF(H37="A",Pole_Calc!A$12,
IF(H37="S/A",Pole_Calc!A$13,
IF(H37="A/S",Pole_Calc!A$14,"Poner a mano")))))))</f>
        <v/>
      </c>
      <c r="BE37" s="429" t="s">
        <v>118</v>
      </c>
      <c r="BF37" s="290"/>
      <c r="BG37" s="290"/>
      <c r="BH37" s="290"/>
      <c r="BI37" s="290"/>
    </row>
    <row r="38" spans="1:61" ht="16.149999999999999" customHeight="1">
      <c r="A38" s="514"/>
      <c r="B38" s="450" t="s">
        <v>161</v>
      </c>
      <c r="C38" s="3">
        <f>+$C$36+$G$37</f>
        <v>31040.65</v>
      </c>
      <c r="D38" s="83"/>
      <c r="E38" s="4"/>
      <c r="F38" s="4">
        <f>IF(C38&gt;0,VLOOKUP(C38,'ALIGNMENT TRACK'!$A$1:$K$81,9,1))</f>
        <v>0</v>
      </c>
      <c r="G38" s="6"/>
      <c r="H38" s="449" t="s">
        <v>121</v>
      </c>
      <c r="I38" s="4" t="s">
        <v>162</v>
      </c>
      <c r="J38" s="3"/>
      <c r="K38" s="449"/>
      <c r="L38" s="449" t="s">
        <v>151</v>
      </c>
      <c r="M38" s="449" t="str">
        <f>IF(L38="","",
IF(AX38="PT",VLOOKUP(L38,Foundation_Calc!$V$79:$X$113,VLOOKUP(AX38,Foundation_Calc!$I$10:$J$13,2,FALSE),0),
IF(AX38="K",VLOOKUP(L38,Foundation_Calc!$V$117:$X$151,VLOOKUP(AX38,Foundation_Calc!$I$10:$J$13,2,FALSE),0),"")))</f>
        <v>C4R</v>
      </c>
      <c r="N38" s="449" t="s">
        <v>124</v>
      </c>
      <c r="O38" s="449"/>
      <c r="P38" s="449"/>
      <c r="Q38" s="4"/>
      <c r="R38" s="6"/>
      <c r="S38" s="6"/>
      <c r="T38" s="4">
        <v>-35</v>
      </c>
      <c r="U38" s="4"/>
      <c r="V38" s="4"/>
      <c r="W38" s="9">
        <v>1.4</v>
      </c>
      <c r="X38" s="9"/>
      <c r="Y38" s="9"/>
      <c r="Z38" s="9"/>
      <c r="AA38" s="9"/>
      <c r="AB38" s="9"/>
      <c r="AC38" s="449" t="str">
        <f t="shared" si="0"/>
        <v>PH</v>
      </c>
      <c r="AD38" s="449"/>
      <c r="AE38" s="449"/>
      <c r="AF38" s="4"/>
      <c r="AG38" s="83"/>
      <c r="AH38" s="4"/>
      <c r="AI38" s="4"/>
      <c r="AJ38" s="449"/>
      <c r="AK38" s="449"/>
      <c r="AL38" s="449"/>
      <c r="AM38" s="449" t="s">
        <v>126</v>
      </c>
      <c r="AN38" s="10">
        <v>5.5</v>
      </c>
      <c r="AO38" s="9"/>
      <c r="AP38" s="9"/>
      <c r="AQ38" s="9"/>
      <c r="AR38" s="9"/>
      <c r="AS38" s="9"/>
      <c r="AT38" s="9">
        <f>+ab($T$38,$T$36,$T$40,$G$37,$G$39,-1*$F$38,1200)</f>
        <v>-8.7046659033197624</v>
      </c>
      <c r="AU38" s="428"/>
      <c r="AV38" s="428"/>
      <c r="AW38" s="449" t="str">
        <f>IF(C38&gt;0,VLOOKUP(C38,Foundation_Calc!$A$2:$C$13,3,1),
IF(J38&gt;0,VLOOKUP(J38,Foundation_Calc!$A$2:$C$13,3,1),""))</f>
        <v>Multi Soil</v>
      </c>
      <c r="AX38" s="449" t="str">
        <f>IF(C38&gt;0,VLOOKUP(C38,Foundation_Calc!$E$2:$G$33,3,1),
IF(J38&gt;0,VLOOKUP(J38,Foundation_Calc!$E$2:$G$33,3,1),""))</f>
        <v>PT</v>
      </c>
      <c r="AY38" s="10">
        <f>IF(L38="","",
IF(AX38="PT",VLOOKUP(L38,Foundation_Calc!$K$79:$R$113,VLOOKUP(AW38,Foundation_Calc!$I$2:$J$8,2,FALSE),0),
IF(AX38="K",VLOOKUP(L38,Foundation_Calc!$K$117:$R$151,VLOOKUP(AW38,Foundation_Calc!$I$2:$J$8,2,FALSE),0),"")))</f>
        <v>3.5</v>
      </c>
      <c r="AZ38" s="10" t="str">
        <f>IF(K38="","",
IF(AX38="PT",VLOOKUP(K38,Foundation_Calc!$K$79:$R$113,VLOOKUP(AW38,Foundation_Calc!$I$2:$J$8,2,FALSE),0),
IF(AX38="K",VLOOKUP(K38,Foundation_Calc!$K$117:$R$151,VLOOKUP(AW38,Foundation_Calc!$I$2:$J$8,2,FALSE),0),"")))</f>
        <v/>
      </c>
      <c r="BA38" s="495" t="str">
        <f t="shared" si="16"/>
        <v>ü</v>
      </c>
      <c r="BB38" s="495" t="str">
        <f t="shared" si="17"/>
        <v/>
      </c>
      <c r="BC38" s="495" t="str">
        <f t="shared" si="18"/>
        <v/>
      </c>
      <c r="BD38" s="513" t="str">
        <f>IF(AND(L38="",H38=""),"",
IF(H38="",Pole_Calc!A$9,
IF(H38="MP",Pole_Calc!A$10,
IF(H38="AnMP",Pole_Calc!A$11,
IF(H38="A",Pole_Calc!A$12,
IF(H38="S/A",Pole_Calc!A$13,
IF(H38="A/S",Pole_Calc!A$14,"Poner a mano")))))))</f>
        <v>App.7-V11I-P9.5.1.6</v>
      </c>
      <c r="BE38" s="429" t="s">
        <v>118</v>
      </c>
      <c r="BF38" s="289"/>
      <c r="BG38" s="289"/>
      <c r="BH38" s="290"/>
      <c r="BI38" s="289"/>
    </row>
    <row r="39" spans="1:61" ht="16.149999999999999" customHeight="1">
      <c r="A39" s="514"/>
      <c r="B39" s="450"/>
      <c r="C39" s="3"/>
      <c r="D39" s="83"/>
      <c r="E39" s="4"/>
      <c r="F39" s="4"/>
      <c r="G39" s="6">
        <v>64</v>
      </c>
      <c r="H39" s="449"/>
      <c r="I39" s="4"/>
      <c r="J39" s="3">
        <f>C38+7.5</f>
        <v>31048.15</v>
      </c>
      <c r="K39" s="449" t="s">
        <v>117</v>
      </c>
      <c r="L39" s="449"/>
      <c r="M39" s="449" t="str">
        <f>IF(L39="","",
IF(AX39="PT",VLOOKUP(L39,Foundation_Calc!$V$79:$X$113,VLOOKUP(AX39,Foundation_Calc!$I$10:$J$13,2,FALSE),0),
IF(AX39="K",VLOOKUP(L39,Foundation_Calc!$V$117:$X$151,VLOOKUP(AX39,Foundation_Calc!$I$10:$J$13,2,FALSE),0),"")))</f>
        <v/>
      </c>
      <c r="N39" s="449"/>
      <c r="O39" s="449"/>
      <c r="P39" s="449"/>
      <c r="Q39" s="4"/>
      <c r="R39" s="6"/>
      <c r="S39" s="6"/>
      <c r="T39" s="4"/>
      <c r="U39" s="4"/>
      <c r="V39" s="4"/>
      <c r="W39" s="9"/>
      <c r="X39" s="9"/>
      <c r="Y39" s="9"/>
      <c r="Z39" s="9"/>
      <c r="AA39" s="9"/>
      <c r="AB39" s="9"/>
      <c r="AC39" s="449" t="str">
        <f t="shared" si="0"/>
        <v/>
      </c>
      <c r="AD39" s="449"/>
      <c r="AE39" s="449"/>
      <c r="AF39" s="4"/>
      <c r="AG39" s="83"/>
      <c r="AH39" s="4"/>
      <c r="AI39" s="4"/>
      <c r="AJ39" s="449"/>
      <c r="AK39" s="449"/>
      <c r="AL39" s="449"/>
      <c r="AM39" s="449"/>
      <c r="AN39" s="10"/>
      <c r="AO39" s="9"/>
      <c r="AP39" s="9"/>
      <c r="AQ39" s="9">
        <f>+FL_1($T$40,$T$38,$G$39,1200,9.28,-1*$F$40)</f>
        <v>0.47329293799999994</v>
      </c>
      <c r="AR39" s="9"/>
      <c r="AS39" s="9"/>
      <c r="AT39" s="9"/>
      <c r="AU39" s="428"/>
      <c r="AV39" s="428"/>
      <c r="AW39" s="449" t="str">
        <f>IF(C39&gt;0,VLOOKUP(C39,Foundation_Calc!$A$2:$C$13,3,1),
IF(J39&gt;0,VLOOKUP(J39,Foundation_Calc!$A$2:$C$13,3,1),""))</f>
        <v>Multi Soil</v>
      </c>
      <c r="AX39" s="449" t="str">
        <f>IF(C39&gt;0,VLOOKUP(C39,Foundation_Calc!$E$2:$G$33,3,1),
IF(J39&gt;0,VLOOKUP(J39,Foundation_Calc!$E$2:$G$33,3,1),""))</f>
        <v>PT</v>
      </c>
      <c r="AY39" s="10" t="str">
        <f>IF(L39="","",
IF(AX39="PT",VLOOKUP(L39,Foundation_Calc!$K$79:$R$113,VLOOKUP(AW39,Foundation_Calc!$I$2:$J$8,2,FALSE),0),
IF(AX39="K",VLOOKUP(L39,Foundation_Calc!$K$117:$R$151,VLOOKUP(AW39,Foundation_Calc!$I$2:$J$8,2,FALSE),0),"")))</f>
        <v/>
      </c>
      <c r="AZ39" s="10">
        <f>IF(K39="","",
IF(AX39="PT",VLOOKUP(K39,Foundation_Calc!$K$79:$R$113,VLOOKUP(AW39,Foundation_Calc!$I$2:$J$8,2,FALSE),0),
IF(AX39="K",VLOOKUP(K39,Foundation_Calc!$K$117:$R$151,VLOOKUP(AW39,Foundation_Calc!$I$2:$J$8,2,FALSE),0),"")))</f>
        <v>3.9</v>
      </c>
      <c r="BA39" s="495" t="str">
        <f t="shared" si="16"/>
        <v/>
      </c>
      <c r="BB39" s="495" t="str">
        <f t="shared" si="17"/>
        <v>ü</v>
      </c>
      <c r="BC39" s="495" t="str">
        <f t="shared" si="18"/>
        <v/>
      </c>
      <c r="BD39" s="513" t="str">
        <f>IF(AND(L39="",H39=""),"",
IF(H39="",Pole_Calc!A$9,
IF(H39="MP",Pole_Calc!A$10,
IF(H39="AnMP",Pole_Calc!A$11,
IF(H39="A",Pole_Calc!A$12,
IF(H39="S/A",Pole_Calc!A$13,
IF(H39="A/S",Pole_Calc!A$14,"Poner a mano")))))))</f>
        <v/>
      </c>
      <c r="BE39" s="429" t="s">
        <v>118</v>
      </c>
      <c r="BF39" s="290"/>
      <c r="BG39" s="290"/>
      <c r="BH39" s="290"/>
      <c r="BI39" s="290"/>
    </row>
    <row r="40" spans="1:61" ht="16.149999999999999" customHeight="1">
      <c r="A40" s="514"/>
      <c r="B40" s="450" t="s">
        <v>163</v>
      </c>
      <c r="C40" s="3">
        <f>+$C$38+$G$39</f>
        <v>31104.65</v>
      </c>
      <c r="D40" s="83"/>
      <c r="E40" s="4"/>
      <c r="F40" s="4">
        <f>IF(C40&gt;0,VLOOKUP(C40,'ALIGNMENT TRACK'!$A$1:$K$81,9,1))</f>
        <v>0</v>
      </c>
      <c r="G40" s="6"/>
      <c r="H40" s="449"/>
      <c r="I40" s="4"/>
      <c r="J40" s="3"/>
      <c r="K40" s="449"/>
      <c r="L40" s="449" t="s">
        <v>153</v>
      </c>
      <c r="M40" s="449" t="str">
        <f>IF(L40="","",
IF(AX40="PT",VLOOKUP(L40,Foundation_Calc!$V$79:$X$113,VLOOKUP(AX40,Foundation_Calc!$I$10:$J$13,2,FALSE),0),
IF(AX40="K",VLOOKUP(L40,Foundation_Calc!$V$117:$X$151,VLOOKUP(AX40,Foundation_Calc!$I$10:$J$13,2,FALSE),0),"")))</f>
        <v>C3R</v>
      </c>
      <c r="N40" s="449" t="s">
        <v>134</v>
      </c>
      <c r="O40" s="449"/>
      <c r="P40" s="449"/>
      <c r="Q40" s="4"/>
      <c r="R40" s="6"/>
      <c r="S40" s="6"/>
      <c r="T40" s="4">
        <v>35</v>
      </c>
      <c r="U40" s="4"/>
      <c r="V40" s="4"/>
      <c r="W40" s="9">
        <v>1.4</v>
      </c>
      <c r="X40" s="9"/>
      <c r="Y40" s="9"/>
      <c r="Z40" s="9"/>
      <c r="AA40" s="9"/>
      <c r="AB40" s="9"/>
      <c r="AC40" s="449" t="str">
        <f t="shared" si="0"/>
        <v>PH</v>
      </c>
      <c r="AD40" s="449"/>
      <c r="AE40" s="449"/>
      <c r="AF40" s="4"/>
      <c r="AG40" s="83"/>
      <c r="AH40" s="4"/>
      <c r="AI40" s="4"/>
      <c r="AJ40" s="449"/>
      <c r="AK40" s="449"/>
      <c r="AL40" s="449"/>
      <c r="AM40" s="449" t="s">
        <v>126</v>
      </c>
      <c r="AN40" s="10">
        <v>5.5</v>
      </c>
      <c r="AO40" s="9"/>
      <c r="AP40" s="9"/>
      <c r="AQ40" s="9"/>
      <c r="AR40" s="9"/>
      <c r="AS40" s="9"/>
      <c r="AT40" s="9">
        <f>+ab($T$40,$T$38,$T$42,$G$39,$G$41,-1*$F$40,1200)</f>
        <v>8.5685150507690935</v>
      </c>
      <c r="AU40" s="428"/>
      <c r="AV40" s="428"/>
      <c r="AW40" s="449" t="str">
        <f>IF(C40&gt;0,VLOOKUP(C40,Foundation_Calc!$A$2:$C$13,3,1),
IF(J40&gt;0,VLOOKUP(J40,Foundation_Calc!$A$2:$C$13,3,1),""))</f>
        <v>Multi Soil</v>
      </c>
      <c r="AX40" s="449" t="str">
        <f>IF(C40&gt;0,VLOOKUP(C40,Foundation_Calc!$E$2:$G$33,3,1),
IF(J40&gt;0,VLOOKUP(J40,Foundation_Calc!$E$2:$G$33,3,1),""))</f>
        <v>PT</v>
      </c>
      <c r="AY40" s="10">
        <f>IF(L40="","",
IF(AX40="PT",VLOOKUP(L40,Foundation_Calc!$K$79:$R$113,VLOOKUP(AW40,Foundation_Calc!$I$2:$J$8,2,FALSE),0),
IF(AX40="K",VLOOKUP(L40,Foundation_Calc!$K$117:$R$151,VLOOKUP(AW40,Foundation_Calc!$I$2:$J$8,2,FALSE),0),"")))</f>
        <v>3.5</v>
      </c>
      <c r="AZ40" s="10" t="str">
        <f>IF(K40="","",
IF(AX40="PT",VLOOKUP(K40,Foundation_Calc!$K$79:$R$113,VLOOKUP(AW40,Foundation_Calc!$I$2:$J$8,2,FALSE),0),
IF(AX40="K",VLOOKUP(K40,Foundation_Calc!$K$117:$R$151,VLOOKUP(AW40,Foundation_Calc!$I$2:$J$8,2,FALSE),0),"")))</f>
        <v/>
      </c>
      <c r="BA40" s="495" t="str">
        <f t="shared" si="16"/>
        <v>ü</v>
      </c>
      <c r="BB40" s="495" t="str">
        <f t="shared" si="17"/>
        <v/>
      </c>
      <c r="BC40" s="495" t="str">
        <f t="shared" si="18"/>
        <v/>
      </c>
      <c r="BD40" s="513" t="str">
        <f>IF(AND(L40="",H40=""),"",
IF(H40="",Pole_Calc!A$9,
IF(H40="MP",Pole_Calc!A$10,
IF(H40="AnMP",Pole_Calc!A$11,
IF(H40="A",Pole_Calc!A$12,
IF(H40="S/A",Pole_Calc!A$13,
IF(H40="A/S",Pole_Calc!A$14,"Poner a mano")))))))</f>
        <v>App.7-V11I-P9.5.1.1</v>
      </c>
      <c r="BE40" s="429" t="s">
        <v>118</v>
      </c>
      <c r="BF40" s="289"/>
      <c r="BG40" s="289"/>
      <c r="BH40" s="290"/>
      <c r="BI40" s="289"/>
    </row>
    <row r="41" spans="1:61" ht="16.149999999999999" customHeight="1">
      <c r="A41" s="514"/>
      <c r="B41" s="450"/>
      <c r="C41" s="3"/>
      <c r="D41" s="83"/>
      <c r="E41" s="4"/>
      <c r="F41" s="4"/>
      <c r="G41" s="6">
        <v>62</v>
      </c>
      <c r="H41" s="449"/>
      <c r="I41" s="4"/>
      <c r="J41" s="3"/>
      <c r="K41" s="449"/>
      <c r="L41" s="449"/>
      <c r="M41" s="449" t="str">
        <f>IF(L41="","",
IF(AX41="PT",VLOOKUP(L41,Foundation_Calc!$V$79:$X$113,VLOOKUP(AX41,Foundation_Calc!$I$10:$J$13,2,FALSE),0),
IF(AX41="K",VLOOKUP(L41,Foundation_Calc!$V$117:$X$151,VLOOKUP(AX41,Foundation_Calc!$I$10:$J$13,2,FALSE),0),"")))</f>
        <v/>
      </c>
      <c r="N41" s="449"/>
      <c r="O41" s="449"/>
      <c r="P41" s="449"/>
      <c r="Q41" s="4"/>
      <c r="R41" s="6"/>
      <c r="S41" s="6"/>
      <c r="T41" s="4"/>
      <c r="U41" s="4"/>
      <c r="V41" s="4"/>
      <c r="W41" s="9"/>
      <c r="X41" s="9"/>
      <c r="Y41" s="9"/>
      <c r="Z41" s="9"/>
      <c r="AA41" s="9"/>
      <c r="AB41" s="9"/>
      <c r="AC41" s="449" t="str">
        <f t="shared" si="0"/>
        <v/>
      </c>
      <c r="AD41" s="449"/>
      <c r="AE41" s="449"/>
      <c r="AF41" s="4"/>
      <c r="AG41" s="83"/>
      <c r="AH41" s="4"/>
      <c r="AI41" s="4"/>
      <c r="AJ41" s="449"/>
      <c r="AK41" s="449"/>
      <c r="AL41" s="449"/>
      <c r="AM41" s="449"/>
      <c r="AN41" s="10"/>
      <c r="AO41" s="9"/>
      <c r="AP41" s="9"/>
      <c r="AQ41" s="9">
        <f>+FL_2($T$42,$T$40,$G$41,1200,9.28,-1*$F$42)</f>
        <v>-0.45400350967741931</v>
      </c>
      <c r="AR41" s="9"/>
      <c r="AS41" s="9"/>
      <c r="AT41" s="9"/>
      <c r="AU41" s="428"/>
      <c r="AV41" s="428"/>
      <c r="AW41" s="449" t="str">
        <f>IF(C41&gt;0,VLOOKUP(C41,Foundation_Calc!$A$2:$C$13,3,1),
IF(J41&gt;0,VLOOKUP(J41,Foundation_Calc!$A$2:$C$13,3,1),""))</f>
        <v/>
      </c>
      <c r="AX41" s="449" t="str">
        <f>IF(C41&gt;0,VLOOKUP(C41,Foundation_Calc!$E$2:$G$33,3,1),
IF(J41&gt;0,VLOOKUP(J41,Foundation_Calc!$E$2:$G$33,3,1),""))</f>
        <v/>
      </c>
      <c r="AY41" s="10" t="str">
        <f>IF(L41="","",
IF(AX41="PT",VLOOKUP(L41,Foundation_Calc!$K$79:$R$113,VLOOKUP(AW41,Foundation_Calc!$I$2:$J$8,2,FALSE),0),
IF(AX41="K",VLOOKUP(L41,Foundation_Calc!$K$117:$R$151,VLOOKUP(AW41,Foundation_Calc!$I$2:$J$8,2,FALSE),0),"")))</f>
        <v/>
      </c>
      <c r="AZ41" s="10" t="str">
        <f>IF(K41="","",
IF(AX41="PT",VLOOKUP(K41,Foundation_Calc!$K$79:$R$113,VLOOKUP(AW41,Foundation_Calc!$I$2:$J$8,2,FALSE),0),
IF(AX41="K",VLOOKUP(K41,Foundation_Calc!$K$117:$R$151,VLOOKUP(AW41,Foundation_Calc!$I$2:$J$8,2,FALSE),0),"")))</f>
        <v/>
      </c>
      <c r="BA41" s="495" t="str">
        <f t="shared" si="16"/>
        <v/>
      </c>
      <c r="BB41" s="495" t="str">
        <f t="shared" si="17"/>
        <v/>
      </c>
      <c r="BC41" s="495" t="str">
        <f t="shared" si="18"/>
        <v/>
      </c>
      <c r="BD41" s="513" t="str">
        <f>IF(AND(L41="",H41=""),"",
IF(H41="",Pole_Calc!A$9,
IF(H41="MP",Pole_Calc!A$10,
IF(H41="AnMP",Pole_Calc!A$11,
IF(H41="A",Pole_Calc!A$12,
IF(H41="S/A",Pole_Calc!A$13,
IF(H41="A/S",Pole_Calc!A$14,"Poner a mano")))))))</f>
        <v/>
      </c>
      <c r="BE41" s="429" t="s">
        <v>118</v>
      </c>
      <c r="BF41" s="290"/>
      <c r="BG41" s="290"/>
      <c r="BH41" s="290"/>
      <c r="BI41" s="290"/>
    </row>
    <row r="42" spans="1:61" ht="16.149999999999999" customHeight="1">
      <c r="A42" s="514"/>
      <c r="B42" s="450" t="s">
        <v>164</v>
      </c>
      <c r="C42" s="3">
        <f>+$C$40+$G$41</f>
        <v>31166.65</v>
      </c>
      <c r="D42" s="83"/>
      <c r="E42" s="4"/>
      <c r="F42" s="4">
        <f>IF(C42&gt;0,VLOOKUP(C42,'ALIGNMENT TRACK'!$A$1:$K$81,9,1))</f>
        <v>0</v>
      </c>
      <c r="G42" s="6"/>
      <c r="H42" s="449"/>
      <c r="I42" s="4"/>
      <c r="J42" s="3"/>
      <c r="K42" s="449"/>
      <c r="L42" s="449" t="s">
        <v>153</v>
      </c>
      <c r="M42" s="449" t="str">
        <f>IF(L42="","",
IF(AX42="PT",VLOOKUP(L42,Foundation_Calc!$V$79:$X$113,VLOOKUP(AX42,Foundation_Calc!$I$10:$J$13,2,FALSE),0),
IF(AX42="K",VLOOKUP(L42,Foundation_Calc!$V$117:$X$151,VLOOKUP(AX42,Foundation_Calc!$I$10:$J$13,2,FALSE),0),"")))</f>
        <v>C3R</v>
      </c>
      <c r="N42" s="449" t="s">
        <v>124</v>
      </c>
      <c r="O42" s="449"/>
      <c r="P42" s="449"/>
      <c r="Q42" s="4"/>
      <c r="R42" s="6"/>
      <c r="S42" s="6"/>
      <c r="T42" s="4">
        <v>-35</v>
      </c>
      <c r="U42" s="4"/>
      <c r="V42" s="4"/>
      <c r="W42" s="9">
        <v>1.4</v>
      </c>
      <c r="X42" s="9"/>
      <c r="Y42" s="9"/>
      <c r="Z42" s="9"/>
      <c r="AA42" s="9"/>
      <c r="AB42" s="9"/>
      <c r="AC42" s="449" t="str">
        <f t="shared" si="0"/>
        <v>PH</v>
      </c>
      <c r="AD42" s="449"/>
      <c r="AE42" s="449"/>
      <c r="AF42" s="4"/>
      <c r="AG42" s="83"/>
      <c r="AH42" s="4"/>
      <c r="AI42" s="4"/>
      <c r="AJ42" s="449"/>
      <c r="AK42" s="449"/>
      <c r="AL42" s="449"/>
      <c r="AM42" s="449" t="s">
        <v>126</v>
      </c>
      <c r="AN42" s="10">
        <v>5.5</v>
      </c>
      <c r="AO42" s="9"/>
      <c r="AP42" s="9"/>
      <c r="AQ42" s="9"/>
      <c r="AR42" s="9"/>
      <c r="AS42" s="9"/>
      <c r="AT42" s="9">
        <f>+ab($T$42,$T$40,$T$44,$G$41,$G$43,-1*$F$42,1200)</f>
        <v>-8.4366201521118445</v>
      </c>
      <c r="AU42" s="428"/>
      <c r="AV42" s="428"/>
      <c r="AW42" s="449" t="str">
        <f>IF(C42&gt;0,VLOOKUP(C42,Foundation_Calc!$A$2:$C$13,3,1),
IF(J42&gt;0,VLOOKUP(J42,Foundation_Calc!$A$2:$C$13,3,1),""))</f>
        <v>Multi Soil</v>
      </c>
      <c r="AX42" s="449" t="str">
        <f>IF(C42&gt;0,VLOOKUP(C42,Foundation_Calc!$E$2:$G$33,3,1),
IF(J42&gt;0,VLOOKUP(J42,Foundation_Calc!$E$2:$G$33,3,1),""))</f>
        <v>PT</v>
      </c>
      <c r="AY42" s="10">
        <f>IF(L42="","",
IF(AX42="PT",VLOOKUP(L42,Foundation_Calc!$K$79:$R$113,VLOOKUP(AW42,Foundation_Calc!$I$2:$J$8,2,FALSE),0),
IF(AX42="K",VLOOKUP(L42,Foundation_Calc!$K$117:$R$151,VLOOKUP(AW42,Foundation_Calc!$I$2:$J$8,2,FALSE),0),"")))</f>
        <v>3.5</v>
      </c>
      <c r="AZ42" s="10" t="str">
        <f>IF(K42="","",
IF(AX42="PT",VLOOKUP(K42,Foundation_Calc!$K$79:$R$113,VLOOKUP(AW42,Foundation_Calc!$I$2:$J$8,2,FALSE),0),
IF(AX42="K",VLOOKUP(K42,Foundation_Calc!$K$117:$R$151,VLOOKUP(AW42,Foundation_Calc!$I$2:$J$8,2,FALSE),0),"")))</f>
        <v/>
      </c>
      <c r="BA42" s="495" t="str">
        <f t="shared" si="16"/>
        <v>ü</v>
      </c>
      <c r="BB42" s="495" t="str">
        <f t="shared" si="17"/>
        <v/>
      </c>
      <c r="BC42" s="495" t="str">
        <f t="shared" si="18"/>
        <v/>
      </c>
      <c r="BD42" s="513" t="str">
        <f>IF(AND(L42="",H42=""),"",
IF(H42="",Pole_Calc!A$9,
IF(H42="MP",Pole_Calc!A$10,
IF(H42="AnMP",Pole_Calc!A$11,
IF(H42="A",Pole_Calc!A$12,
IF(H42="S/A",Pole_Calc!A$13,
IF(H42="A/S",Pole_Calc!A$14,"Poner a mano")))))))</f>
        <v>App.7-V11I-P9.5.1.1</v>
      </c>
      <c r="BE42" s="429" t="s">
        <v>118</v>
      </c>
      <c r="BF42" s="289"/>
      <c r="BG42" s="289"/>
      <c r="BH42" s="290"/>
      <c r="BI42" s="289"/>
    </row>
    <row r="43" spans="1:61" ht="16.149999999999999" customHeight="1">
      <c r="A43" s="514"/>
      <c r="B43" s="450"/>
      <c r="C43" s="3"/>
      <c r="D43" s="83"/>
      <c r="E43" s="4"/>
      <c r="F43" s="4"/>
      <c r="G43" s="6">
        <v>62</v>
      </c>
      <c r="H43" s="449"/>
      <c r="I43" s="4"/>
      <c r="J43" s="3"/>
      <c r="K43" s="449"/>
      <c r="L43" s="449"/>
      <c r="M43" s="449" t="str">
        <f>IF(L43="","",
IF(AX43="PT",VLOOKUP(L43,Foundation_Calc!$V$79:$X$113,VLOOKUP(AX43,Foundation_Calc!$I$10:$J$13,2,FALSE),0),
IF(AX43="K",VLOOKUP(L43,Foundation_Calc!$V$117:$X$151,VLOOKUP(AX43,Foundation_Calc!$I$10:$J$13,2,FALSE),0),"")))</f>
        <v/>
      </c>
      <c r="N43" s="449"/>
      <c r="O43" s="449"/>
      <c r="P43" s="449"/>
      <c r="Q43" s="4"/>
      <c r="R43" s="6"/>
      <c r="S43" s="6"/>
      <c r="T43" s="4"/>
      <c r="U43" s="4"/>
      <c r="V43" s="4"/>
      <c r="W43" s="9"/>
      <c r="X43" s="9"/>
      <c r="Y43" s="9"/>
      <c r="Z43" s="9"/>
      <c r="AA43" s="9"/>
      <c r="AB43" s="9"/>
      <c r="AC43" s="449" t="str">
        <f t="shared" si="0"/>
        <v/>
      </c>
      <c r="AD43" s="449"/>
      <c r="AE43" s="449"/>
      <c r="AF43" s="4"/>
      <c r="AG43" s="83"/>
      <c r="AH43" s="4"/>
      <c r="AI43" s="4"/>
      <c r="AJ43" s="449"/>
      <c r="AK43" s="449"/>
      <c r="AL43" s="449"/>
      <c r="AM43" s="449"/>
      <c r="AN43" s="10"/>
      <c r="AO43" s="9"/>
      <c r="AP43" s="9"/>
      <c r="AQ43" s="9">
        <f>+FL_1($T$44,$T$42,$G$43,1200,9.28,-1*$F$44)</f>
        <v>0.45400350967741931</v>
      </c>
      <c r="AR43" s="9"/>
      <c r="AS43" s="9"/>
      <c r="AT43" s="9"/>
      <c r="AU43" s="428"/>
      <c r="AV43" s="428"/>
      <c r="AW43" s="449" t="str">
        <f>IF(C43&gt;0,VLOOKUP(C43,Foundation_Calc!$A$2:$C$13,3,1),
IF(J43&gt;0,VLOOKUP(J43,Foundation_Calc!$A$2:$C$13,3,1),""))</f>
        <v/>
      </c>
      <c r="AX43" s="449" t="str">
        <f>IF(C43&gt;0,VLOOKUP(C43,Foundation_Calc!$E$2:$G$33,3,1),
IF(J43&gt;0,VLOOKUP(J43,Foundation_Calc!$E$2:$G$33,3,1),""))</f>
        <v/>
      </c>
      <c r="AY43" s="10" t="str">
        <f>IF(L43="","",
IF(AX43="PT",VLOOKUP(L43,Foundation_Calc!$K$79:$R$113,VLOOKUP(AW43,Foundation_Calc!$I$2:$J$8,2,FALSE),0),
IF(AX43="K",VLOOKUP(L43,Foundation_Calc!$K$117:$R$151,VLOOKUP(AW43,Foundation_Calc!$I$2:$J$8,2,FALSE),0),"")))</f>
        <v/>
      </c>
      <c r="AZ43" s="10" t="str">
        <f>IF(K43="","",
IF(AX43="PT",VLOOKUP(K43,Foundation_Calc!$K$79:$R$113,VLOOKUP(AW43,Foundation_Calc!$I$2:$J$8,2,FALSE),0),
IF(AX43="K",VLOOKUP(K43,Foundation_Calc!$K$117:$R$151,VLOOKUP(AW43,Foundation_Calc!$I$2:$J$8,2,FALSE),0),"")))</f>
        <v/>
      </c>
      <c r="BA43" s="495" t="str">
        <f t="shared" si="16"/>
        <v/>
      </c>
      <c r="BB43" s="495" t="str">
        <f t="shared" si="17"/>
        <v/>
      </c>
      <c r="BC43" s="495" t="str">
        <f t="shared" si="18"/>
        <v/>
      </c>
      <c r="BD43" s="513" t="str">
        <f>IF(AND(L43="",H43=""),"",
IF(H43="",Pole_Calc!A$9,
IF(H43="MP",Pole_Calc!A$10,
IF(H43="AnMP",Pole_Calc!A$11,
IF(H43="A",Pole_Calc!A$12,
IF(H43="S/A",Pole_Calc!A$13,
IF(H43="A/S",Pole_Calc!A$14,"Poner a mano")))))))</f>
        <v/>
      </c>
      <c r="BE43" s="429" t="s">
        <v>118</v>
      </c>
      <c r="BF43" s="290"/>
      <c r="BG43" s="290"/>
      <c r="BH43" s="290"/>
      <c r="BI43" s="290"/>
    </row>
    <row r="44" spans="1:61" ht="16.149999999999999" customHeight="1">
      <c r="A44" s="514"/>
      <c r="B44" s="450" t="s">
        <v>165</v>
      </c>
      <c r="C44" s="3">
        <f>+$C$42+$G$43</f>
        <v>31228.65</v>
      </c>
      <c r="D44" s="83"/>
      <c r="E44" s="4"/>
      <c r="F44" s="4">
        <f>IF(C44&gt;0,VLOOKUP(C44,'ALIGNMENT TRACK'!$A$1:$K$81,9,1))</f>
        <v>0</v>
      </c>
      <c r="G44" s="6"/>
      <c r="H44" s="449"/>
      <c r="I44" s="4"/>
      <c r="J44" s="3"/>
      <c r="K44" s="449"/>
      <c r="L44" s="449" t="s">
        <v>153</v>
      </c>
      <c r="M44" s="449" t="str">
        <f>IF(L44="","",
IF(AX44="PT",VLOOKUP(L44,Foundation_Calc!$V$79:$X$113,VLOOKUP(AX44,Foundation_Calc!$I$10:$J$13,2,FALSE),0),
IF(AX44="K",VLOOKUP(L44,Foundation_Calc!$V$117:$X$151,VLOOKUP(AX44,Foundation_Calc!$I$10:$J$13,2,FALSE),0),"")))</f>
        <v>C3R</v>
      </c>
      <c r="N44" s="449" t="s">
        <v>134</v>
      </c>
      <c r="O44" s="449"/>
      <c r="P44" s="449"/>
      <c r="Q44" s="4"/>
      <c r="R44" s="6"/>
      <c r="S44" s="6"/>
      <c r="T44" s="4">
        <v>35</v>
      </c>
      <c r="U44" s="4"/>
      <c r="V44" s="4"/>
      <c r="W44" s="9">
        <v>1.4</v>
      </c>
      <c r="X44" s="9"/>
      <c r="Y44" s="9"/>
      <c r="Z44" s="9"/>
      <c r="AA44" s="9"/>
      <c r="AB44" s="9"/>
      <c r="AC44" s="449" t="str">
        <f t="shared" si="0"/>
        <v>PH</v>
      </c>
      <c r="AD44" s="449"/>
      <c r="AE44" s="449"/>
      <c r="AF44" s="4"/>
      <c r="AG44" s="83"/>
      <c r="AH44" s="4"/>
      <c r="AI44" s="4"/>
      <c r="AJ44" s="449"/>
      <c r="AK44" s="449"/>
      <c r="AL44" s="449"/>
      <c r="AM44" s="449" t="s">
        <v>126</v>
      </c>
      <c r="AN44" s="10">
        <v>5.5</v>
      </c>
      <c r="AO44" s="9"/>
      <c r="AP44" s="9"/>
      <c r="AQ44" s="9"/>
      <c r="AR44" s="9"/>
      <c r="AS44" s="9"/>
      <c r="AT44" s="9">
        <f>+ab($T$44,$T$42,$T$46,$G$43,$G$45,-1*$F$44,1200)</f>
        <v>8.4365744899000195</v>
      </c>
      <c r="AU44" s="428"/>
      <c r="AV44" s="428"/>
      <c r="AW44" s="449" t="str">
        <f>IF(C44&gt;0,VLOOKUP(C44,Foundation_Calc!$A$2:$C$13,3,1),
IF(J44&gt;0,VLOOKUP(J44,Foundation_Calc!$A$2:$C$13,3,1),""))</f>
        <v>Multi Soil</v>
      </c>
      <c r="AX44" s="449" t="str">
        <f>IF(C44&gt;0,VLOOKUP(C44,Foundation_Calc!$E$2:$G$33,3,1),
IF(J44&gt;0,VLOOKUP(J44,Foundation_Calc!$E$2:$G$33,3,1),""))</f>
        <v>PT</v>
      </c>
      <c r="AY44" s="10">
        <f>IF(L44="","",
IF(AX44="PT",VLOOKUP(L44,Foundation_Calc!$K$79:$R$113,VLOOKUP(AW44,Foundation_Calc!$I$2:$J$8,2,FALSE),0),
IF(AX44="K",VLOOKUP(L44,Foundation_Calc!$K$117:$R$151,VLOOKUP(AW44,Foundation_Calc!$I$2:$J$8,2,FALSE),0),"")))</f>
        <v>3.5</v>
      </c>
      <c r="AZ44" s="10" t="str">
        <f>IF(K44="","",
IF(AX44="PT",VLOOKUP(K44,Foundation_Calc!$K$79:$R$113,VLOOKUP(AW44,Foundation_Calc!$I$2:$J$8,2,FALSE),0),
IF(AX44="K",VLOOKUP(K44,Foundation_Calc!$K$117:$R$151,VLOOKUP(AW44,Foundation_Calc!$I$2:$J$8,2,FALSE),0),"")))</f>
        <v/>
      </c>
      <c r="BA44" s="495" t="str">
        <f t="shared" si="16"/>
        <v>ü</v>
      </c>
      <c r="BB44" s="495" t="str">
        <f t="shared" si="17"/>
        <v/>
      </c>
      <c r="BC44" s="495" t="str">
        <f t="shared" si="18"/>
        <v/>
      </c>
      <c r="BD44" s="513" t="str">
        <f>IF(AND(L44="",H44=""),"",
IF(H44="",Pole_Calc!A$9,
IF(H44="MP",Pole_Calc!A$10,
IF(H44="AnMP",Pole_Calc!A$11,
IF(H44="A",Pole_Calc!A$12,
IF(H44="S/A",Pole_Calc!A$13,
IF(H44="A/S",Pole_Calc!A$14,"Poner a mano")))))))</f>
        <v>App.7-V11I-P9.5.1.1</v>
      </c>
      <c r="BE44" s="429" t="s">
        <v>118</v>
      </c>
      <c r="BF44" s="289"/>
      <c r="BG44" s="289"/>
      <c r="BH44" s="290"/>
      <c r="BI44" s="289"/>
    </row>
    <row r="45" spans="1:61" ht="16.149999999999999" customHeight="1">
      <c r="A45" s="514"/>
      <c r="B45" s="450"/>
      <c r="C45" s="3"/>
      <c r="D45" s="83"/>
      <c r="E45" s="4"/>
      <c r="F45" s="4"/>
      <c r="G45" s="6">
        <v>62</v>
      </c>
      <c r="H45" s="449"/>
      <c r="I45" s="4"/>
      <c r="J45" s="3">
        <f>C46-7.5</f>
        <v>31283.15</v>
      </c>
      <c r="K45" s="449" t="s">
        <v>166</v>
      </c>
      <c r="L45" s="449"/>
      <c r="M45" s="449" t="str">
        <f>IF(L45="","",
IF(AX45="PT",VLOOKUP(L45,Foundation_Calc!$V$79:$X$113,VLOOKUP(AX45,Foundation_Calc!$I$10:$J$13,2,FALSE),0),
IF(AX45="K",VLOOKUP(L45,Foundation_Calc!$V$117:$X$151,VLOOKUP(AX45,Foundation_Calc!$I$10:$J$13,2,FALSE),0),"")))</f>
        <v/>
      </c>
      <c r="N45" s="449"/>
      <c r="O45" s="449"/>
      <c r="P45" s="449"/>
      <c r="Q45" s="4"/>
      <c r="R45" s="6"/>
      <c r="S45" s="6"/>
      <c r="T45" s="4"/>
      <c r="U45" s="4"/>
      <c r="V45" s="4"/>
      <c r="W45" s="9"/>
      <c r="X45" s="9"/>
      <c r="Y45" s="9"/>
      <c r="Z45" s="9"/>
      <c r="AA45" s="9"/>
      <c r="AB45" s="9"/>
      <c r="AC45" s="449" t="str">
        <f t="shared" si="0"/>
        <v/>
      </c>
      <c r="AD45" s="449"/>
      <c r="AE45" s="449"/>
      <c r="AF45" s="4"/>
      <c r="AG45" s="83"/>
      <c r="AH45" s="4"/>
      <c r="AI45" s="4"/>
      <c r="AJ45" s="449"/>
      <c r="AK45" s="449"/>
      <c r="AL45" s="449"/>
      <c r="AM45" s="449"/>
      <c r="AN45" s="10"/>
      <c r="AO45" s="9"/>
      <c r="AP45" s="9"/>
      <c r="AQ45" s="9">
        <f>+FL_2($T$46,$T$44,$G$45,1200,9.28,-1*$F$46)</f>
        <v>-0.45400350967741931</v>
      </c>
      <c r="AR45" s="9"/>
      <c r="AS45" s="9"/>
      <c r="AT45" s="9"/>
      <c r="AU45" s="428"/>
      <c r="AV45" s="428"/>
      <c r="AW45" s="449" t="str">
        <f>IF(C45&gt;0,VLOOKUP(C45,Foundation_Calc!$A$2:$C$13,3,1),
IF(J45&gt;0,VLOOKUP(J45,Foundation_Calc!$A$2:$C$13,3,1),""))</f>
        <v>Multi Soil</v>
      </c>
      <c r="AX45" s="449" t="str">
        <f>IF(C45&gt;0,VLOOKUP(C45,Foundation_Calc!$E$2:$G$33,3,1),
IF(J45&gt;0,VLOOKUP(J45,Foundation_Calc!$E$2:$G$33,3,1),""))</f>
        <v>PT</v>
      </c>
      <c r="AY45" s="10" t="str">
        <f>IF(L45="","",
IF(AX45="PT",VLOOKUP(L45,Foundation_Calc!$K$79:$R$113,VLOOKUP(AW45,Foundation_Calc!$I$2:$J$8,2,FALSE),0),
IF(AX45="K",VLOOKUP(L45,Foundation_Calc!$K$117:$R$151,VLOOKUP(AW45,Foundation_Calc!$I$2:$J$8,2,FALSE),0),"")))</f>
        <v/>
      </c>
      <c r="AZ45" s="10">
        <f>IF(K45="","",
IF(AX45="PT",VLOOKUP(K45,Foundation_Calc!$K$79:$R$113,VLOOKUP(AW45,Foundation_Calc!$I$2:$J$8,2,FALSE),0),
IF(AX45="K",VLOOKUP(K45,Foundation_Calc!$K$117:$R$151,VLOOKUP(AW45,Foundation_Calc!$I$2:$J$8,2,FALSE),0),"")))</f>
        <v>2.8</v>
      </c>
      <c r="BA45" s="495" t="str">
        <f t="shared" si="16"/>
        <v/>
      </c>
      <c r="BB45" s="495" t="str">
        <f t="shared" si="17"/>
        <v>ü</v>
      </c>
      <c r="BC45" s="495" t="str">
        <f t="shared" si="18"/>
        <v/>
      </c>
      <c r="BD45" s="513" t="str">
        <f>IF(AND(L45="",H45=""),"",
IF(H45="",Pole_Calc!A$9,
IF(H45="MP",Pole_Calc!A$10,
IF(H45="AnMP",Pole_Calc!A$11,
IF(H45="A",Pole_Calc!A$12,
IF(H45="S/A",Pole_Calc!A$13,
IF(H45="A/S",Pole_Calc!A$14,"Poner a mano")))))))</f>
        <v/>
      </c>
      <c r="BE45" s="429" t="s">
        <v>118</v>
      </c>
      <c r="BF45" s="290"/>
      <c r="BG45" s="290"/>
      <c r="BH45" s="290"/>
      <c r="BI45" s="290"/>
    </row>
    <row r="46" spans="1:61" ht="16.149999999999999" customHeight="1">
      <c r="A46" s="514"/>
      <c r="B46" s="450" t="s">
        <v>167</v>
      </c>
      <c r="C46" s="3">
        <f>+$C$44+$G$45</f>
        <v>31290.65</v>
      </c>
      <c r="D46" s="83"/>
      <c r="E46" s="4"/>
      <c r="F46" s="4">
        <f>IF(C46&gt;0,VLOOKUP(C46,'ALIGNMENT TRACK'!$A$1:$K$81,9,1))</f>
        <v>0</v>
      </c>
      <c r="G46" s="6"/>
      <c r="H46" s="449" t="s">
        <v>168</v>
      </c>
      <c r="I46" s="4"/>
      <c r="J46" s="3"/>
      <c r="K46" s="449"/>
      <c r="L46" s="449" t="s">
        <v>158</v>
      </c>
      <c r="M46" s="449" t="str">
        <f>IF(L46="","",
IF(AX46="PT",VLOOKUP(L46,Foundation_Calc!$V$79:$X$113,VLOOKUP(AX46,Foundation_Calc!$I$10:$J$13,2,FALSE),0),
IF(AX46="K",VLOOKUP(L46,Foundation_Calc!$V$117:$X$151,VLOOKUP(AX46,Foundation_Calc!$I$10:$J$13,2,FALSE),0),"")))</f>
        <v>C4R</v>
      </c>
      <c r="N46" s="449" t="s">
        <v>124</v>
      </c>
      <c r="O46" s="449"/>
      <c r="P46" s="449"/>
      <c r="Q46" s="4"/>
      <c r="R46" s="6"/>
      <c r="S46" s="6"/>
      <c r="T46" s="4">
        <v>-35</v>
      </c>
      <c r="U46" s="4"/>
      <c r="V46" s="4"/>
      <c r="W46" s="9">
        <v>1.4</v>
      </c>
      <c r="X46" s="9"/>
      <c r="Y46" s="9"/>
      <c r="Z46" s="9"/>
      <c r="AA46" s="9"/>
      <c r="AB46" s="9"/>
      <c r="AC46" s="449" t="str">
        <f t="shared" si="0"/>
        <v>PH</v>
      </c>
      <c r="AD46" s="449"/>
      <c r="AE46" s="449"/>
      <c r="AF46" s="4"/>
      <c r="AG46" s="83"/>
      <c r="AH46" s="4"/>
      <c r="AI46" s="4"/>
      <c r="AJ46" s="449"/>
      <c r="AK46" s="449"/>
      <c r="AL46" s="449"/>
      <c r="AM46" s="449" t="s">
        <v>126</v>
      </c>
      <c r="AN46" s="10">
        <v>5.5</v>
      </c>
      <c r="AO46" s="9"/>
      <c r="AP46" s="9"/>
      <c r="AQ46" s="9"/>
      <c r="AR46" s="9"/>
      <c r="AS46" s="9"/>
      <c r="AT46" s="9">
        <f>+ab($T$46,$T$44,$T$48,$G$45,$G$47,-1*$F$46,1200)</f>
        <v>-8.300256796512933</v>
      </c>
      <c r="AU46" s="428"/>
      <c r="AV46" s="428"/>
      <c r="AW46" s="449" t="str">
        <f>IF(C46&gt;0,VLOOKUP(C46,Foundation_Calc!$A$2:$C$13,3,1),
IF(J46&gt;0,VLOOKUP(J46,Foundation_Calc!$A$2:$C$13,3,1),""))</f>
        <v>Multi Soil</v>
      </c>
      <c r="AX46" s="449" t="str">
        <f>IF(C46&gt;0,VLOOKUP(C46,Foundation_Calc!$E$2:$G$33,3,1),
IF(J46&gt;0,VLOOKUP(J46,Foundation_Calc!$E$2:$G$33,3,1),""))</f>
        <v>PT</v>
      </c>
      <c r="AY46" s="10">
        <f>IF(L46="","",
IF(AX46="PT",VLOOKUP(L46,Foundation_Calc!$K$79:$R$113,VLOOKUP(AW46,Foundation_Calc!$I$2:$J$8,2,FALSE),0),
IF(AX46="K",VLOOKUP(L46,Foundation_Calc!$K$117:$R$151,VLOOKUP(AW46,Foundation_Calc!$I$2:$J$8,2,FALSE),0),"")))</f>
        <v>3.5</v>
      </c>
      <c r="AZ46" s="10" t="str">
        <f>IF(K46="","",
IF(AX46="PT",VLOOKUP(K46,Foundation_Calc!$K$79:$R$113,VLOOKUP(AW46,Foundation_Calc!$I$2:$J$8,2,FALSE),0),
IF(AX46="K",VLOOKUP(K46,Foundation_Calc!$K$117:$R$151,VLOOKUP(AW46,Foundation_Calc!$I$2:$J$8,2,FALSE),0),"")))</f>
        <v/>
      </c>
      <c r="BA46" s="495" t="str">
        <f t="shared" si="16"/>
        <v>ü</v>
      </c>
      <c r="BB46" s="495" t="str">
        <f t="shared" si="17"/>
        <v/>
      </c>
      <c r="BC46" s="495" t="str">
        <f t="shared" si="18"/>
        <v/>
      </c>
      <c r="BD46" s="513" t="str">
        <f>IF(AND(L46="",H46=""),"",
IF(H46="",Pole_Calc!A$9,
IF(H46="MP",Pole_Calc!A$10,
IF(H46="AnMP",Pole_Calc!A$11,
IF(H46="A",Pole_Calc!A$12,
IF(H46="S/A",Pole_Calc!A$13,
IF(H46="A/S",Pole_Calc!A$14,"Poner a mano")))))))</f>
        <v>App.7-V11I-P9.5.1.3</v>
      </c>
      <c r="BE46" s="429" t="s">
        <v>118</v>
      </c>
      <c r="BF46" s="289"/>
      <c r="BG46" s="289"/>
      <c r="BH46" s="290"/>
      <c r="BI46" s="289"/>
    </row>
    <row r="47" spans="1:61" ht="16.149999999999999" customHeight="1">
      <c r="A47" s="514" t="s">
        <v>169</v>
      </c>
      <c r="B47" s="450"/>
      <c r="C47" s="3"/>
      <c r="D47" s="83"/>
      <c r="E47" s="4"/>
      <c r="F47" s="4"/>
      <c r="G47" s="6">
        <v>60</v>
      </c>
      <c r="H47" s="449"/>
      <c r="I47" s="4">
        <f>SUM(G33:G47)</f>
        <v>494</v>
      </c>
      <c r="J47" s="3"/>
      <c r="K47" s="449"/>
      <c r="L47" s="449"/>
      <c r="M47" s="449" t="str">
        <f>IF(L47="","",
IF(AX47="PT",VLOOKUP(L47,Foundation_Calc!$V$79:$X$113,VLOOKUP(AX47,Foundation_Calc!$I$10:$J$13,2,FALSE),0),
IF(AX47="K",VLOOKUP(L47,Foundation_Calc!$V$117:$X$151,VLOOKUP(AX47,Foundation_Calc!$I$10:$J$13,2,FALSE),0),"")))</f>
        <v/>
      </c>
      <c r="N47" s="449"/>
      <c r="O47" s="449"/>
      <c r="P47" s="449"/>
      <c r="Q47" s="4"/>
      <c r="R47" s="6"/>
      <c r="S47" s="6"/>
      <c r="T47" s="4"/>
      <c r="U47" s="4"/>
      <c r="V47" s="4"/>
      <c r="W47" s="9"/>
      <c r="X47" s="9"/>
      <c r="Y47" s="9"/>
      <c r="Z47" s="9"/>
      <c r="AA47" s="9"/>
      <c r="AB47" s="9"/>
      <c r="AC47" s="449" t="str">
        <f t="shared" si="0"/>
        <v/>
      </c>
      <c r="AD47" s="449"/>
      <c r="AE47" s="449"/>
      <c r="AF47" s="4"/>
      <c r="AG47" s="83"/>
      <c r="AH47" s="4"/>
      <c r="AI47" s="4"/>
      <c r="AJ47" s="449"/>
      <c r="AK47" s="449"/>
      <c r="AL47" s="449"/>
      <c r="AM47" s="449"/>
      <c r="AN47" s="10"/>
      <c r="AO47" s="9"/>
      <c r="AP47" s="9"/>
      <c r="AQ47" s="9">
        <f>+FL_1($T$48,$T$46,$G$47,1200,9.28,-1*$F$48)</f>
        <v>0.43600286799999999</v>
      </c>
      <c r="AR47" s="9"/>
      <c r="AS47" s="9"/>
      <c r="AT47" s="9"/>
      <c r="AU47" s="428"/>
      <c r="AV47" s="428"/>
      <c r="AW47" s="449" t="str">
        <f>IF(C47&gt;0,VLOOKUP(C47,Foundation_Calc!$A$2:$C$13,3,1),
IF(J47&gt;0,VLOOKUP(J47,Foundation_Calc!$A$2:$C$13,3,1),""))</f>
        <v/>
      </c>
      <c r="AX47" s="449" t="str">
        <f>IF(C47&gt;0,VLOOKUP(C47,Foundation_Calc!$E$2:$G$33,3,1),
IF(J47&gt;0,VLOOKUP(J47,Foundation_Calc!$E$2:$G$33,3,1),""))</f>
        <v/>
      </c>
      <c r="AY47" s="10" t="str">
        <f>IF(L47="","",
IF(AX47="PT",VLOOKUP(L47,Foundation_Calc!$K$79:$R$113,VLOOKUP(AW47,Foundation_Calc!$I$2:$J$8,2,FALSE),0),
IF(AX47="K",VLOOKUP(L47,Foundation_Calc!$K$117:$R$151,VLOOKUP(AW47,Foundation_Calc!$I$2:$J$8,2,FALSE),0),"")))</f>
        <v/>
      </c>
      <c r="AZ47" s="10" t="str">
        <f>IF(K47="","",
IF(AX47="PT",VLOOKUP(K47,Foundation_Calc!$K$79:$R$113,VLOOKUP(AW47,Foundation_Calc!$I$2:$J$8,2,FALSE),0),
IF(AX47="K",VLOOKUP(K47,Foundation_Calc!$K$117:$R$151,VLOOKUP(AW47,Foundation_Calc!$I$2:$J$8,2,FALSE),0),"")))</f>
        <v/>
      </c>
      <c r="BA47" s="495" t="str">
        <f t="shared" si="16"/>
        <v/>
      </c>
      <c r="BB47" s="495" t="str">
        <f t="shared" si="17"/>
        <v/>
      </c>
      <c r="BC47" s="495" t="str">
        <f t="shared" si="18"/>
        <v/>
      </c>
      <c r="BD47" s="513" t="str">
        <f>IF(AND(L47="",H47=""),"",
IF(H47="",Pole_Calc!A$9,
IF(H47="MP",Pole_Calc!A$10,
IF(H47="AnMP",Pole_Calc!A$11,
IF(H47="A",Pole_Calc!A$12,
IF(H47="S/A",Pole_Calc!A$13,
IF(H47="A/S",Pole_Calc!A$14,"Poner a mano")))))))</f>
        <v/>
      </c>
      <c r="BE47" s="429" t="s">
        <v>118</v>
      </c>
      <c r="BF47" s="290"/>
      <c r="BG47" s="290"/>
      <c r="BH47" s="290"/>
      <c r="BI47" s="290"/>
    </row>
    <row r="48" spans="1:61" ht="16.149999999999999" customHeight="1">
      <c r="A48" s="514"/>
      <c r="B48" s="450" t="s">
        <v>170</v>
      </c>
      <c r="C48" s="3">
        <f>+$C$46+$G$47</f>
        <v>31350.65</v>
      </c>
      <c r="D48" s="83"/>
      <c r="E48" s="4"/>
      <c r="F48" s="4">
        <f>IF(C48&gt;0,VLOOKUP(C48,'ALIGNMENT TRACK'!$A$1:$K$81,9,1))</f>
        <v>0</v>
      </c>
      <c r="G48" s="6"/>
      <c r="H48" s="449" t="s">
        <v>171</v>
      </c>
      <c r="I48" s="4"/>
      <c r="J48" s="3"/>
      <c r="K48" s="449"/>
      <c r="L48" s="449" t="s">
        <v>153</v>
      </c>
      <c r="M48" s="449" t="str">
        <f>IF(L48="","",
IF(AX48="PT",VLOOKUP(L48,Foundation_Calc!$V$79:$X$113,VLOOKUP(AX48,Foundation_Calc!$I$10:$J$13,2,FALSE),0),
IF(AX48="K",VLOOKUP(L48,Foundation_Calc!$V$117:$X$151,VLOOKUP(AX48,Foundation_Calc!$I$10:$J$13,2,FALSE),0),"")))</f>
        <v>C3R</v>
      </c>
      <c r="N48" s="449" t="s">
        <v>134</v>
      </c>
      <c r="O48" s="449"/>
      <c r="P48" s="449"/>
      <c r="Q48" s="4"/>
      <c r="R48" s="6"/>
      <c r="S48" s="6"/>
      <c r="T48" s="4">
        <v>35</v>
      </c>
      <c r="U48" s="4"/>
      <c r="V48" s="4"/>
      <c r="W48" s="9">
        <v>1.4</v>
      </c>
      <c r="X48" s="9"/>
      <c r="Y48" s="9"/>
      <c r="Z48" s="9"/>
      <c r="AA48" s="9"/>
      <c r="AB48" s="9"/>
      <c r="AC48" s="449" t="str">
        <f t="shared" si="0"/>
        <v>PH</v>
      </c>
      <c r="AD48" s="449"/>
      <c r="AE48" s="449"/>
      <c r="AF48" s="4"/>
      <c r="AG48" s="83"/>
      <c r="AH48" s="4"/>
      <c r="AI48" s="4"/>
      <c r="AJ48" s="449"/>
      <c r="AK48" s="449"/>
      <c r="AL48" s="449"/>
      <c r="AM48" s="449" t="s">
        <v>126</v>
      </c>
      <c r="AN48" s="10">
        <v>5.5</v>
      </c>
      <c r="AO48" s="9"/>
      <c r="AP48" s="9"/>
      <c r="AQ48" s="9"/>
      <c r="AR48" s="9"/>
      <c r="AS48" s="9"/>
      <c r="AT48" s="9">
        <f>+ab($T$48,$T$46,$T$50,$G$47,$G$49,-1*$F$48,1200)</f>
        <v>8.4383763415882473</v>
      </c>
      <c r="AU48" s="428"/>
      <c r="AV48" s="428"/>
      <c r="AW48" s="449" t="str">
        <f>IF(C48&gt;0,VLOOKUP(C48,Foundation_Calc!$A$2:$C$13,3,1),
IF(J48&gt;0,VLOOKUP(J48,Foundation_Calc!$A$2:$C$13,3,1),""))</f>
        <v>Multi Soil</v>
      </c>
      <c r="AX48" s="449" t="str">
        <f>IF(C48&gt;0,VLOOKUP(C48,Foundation_Calc!$E$2:$G$33,3,1),
IF(J48&gt;0,VLOOKUP(J48,Foundation_Calc!$E$2:$G$33,3,1),""))</f>
        <v>PT</v>
      </c>
      <c r="AY48" s="10">
        <f>IF(L48="","",
IF(AX48="PT",VLOOKUP(L48,Foundation_Calc!$K$79:$R$113,VLOOKUP(AW48,Foundation_Calc!$I$2:$J$8,2,FALSE),0),
IF(AX48="K",VLOOKUP(L48,Foundation_Calc!$K$117:$R$151,VLOOKUP(AW48,Foundation_Calc!$I$2:$J$8,2,FALSE),0),"")))</f>
        <v>3.5</v>
      </c>
      <c r="AZ48" s="10" t="str">
        <f>IF(K48="","",
IF(AX48="PT",VLOOKUP(K48,Foundation_Calc!$K$79:$R$113,VLOOKUP(AW48,Foundation_Calc!$I$2:$J$8,2,FALSE),0),
IF(AX48="K",VLOOKUP(K48,Foundation_Calc!$K$117:$R$151,VLOOKUP(AW48,Foundation_Calc!$I$2:$J$8,2,FALSE),0),"")))</f>
        <v/>
      </c>
      <c r="BA48" s="495" t="str">
        <f t="shared" si="16"/>
        <v>ü</v>
      </c>
      <c r="BB48" s="495" t="str">
        <f t="shared" si="17"/>
        <v/>
      </c>
      <c r="BC48" s="495" t="str">
        <f t="shared" si="18"/>
        <v/>
      </c>
      <c r="BD48" s="513" t="str">
        <f>IF(AND(L48="",H48=""),"",
IF(H48="",Pole_Calc!A$9,
IF(H48="MP",Pole_Calc!A$10,
IF(H48="AnMP",Pole_Calc!A$11,
IF(H48="A",Pole_Calc!A$12,
IF(H48="S/A",Pole_Calc!A$13,
IF(H48="A/S",Pole_Calc!A$14,"Poner a mano")))))))</f>
        <v>App.7-V11I-P9.5.1.2</v>
      </c>
      <c r="BE48" s="429" t="s">
        <v>172</v>
      </c>
      <c r="BF48" s="289"/>
      <c r="BG48" s="289"/>
      <c r="BH48" s="290"/>
      <c r="BI48" s="289"/>
    </row>
    <row r="49" spans="1:61" ht="16.149999999999999" customHeight="1">
      <c r="A49" s="514"/>
      <c r="B49" s="450"/>
      <c r="C49" s="3"/>
      <c r="D49" s="83"/>
      <c r="E49" s="4"/>
      <c r="F49" s="4"/>
      <c r="G49" s="6">
        <v>55</v>
      </c>
      <c r="H49" s="449"/>
      <c r="I49" s="4">
        <f>SUM(G49:G67)</f>
        <v>499.7</v>
      </c>
      <c r="J49" s="3"/>
      <c r="K49" s="449"/>
      <c r="L49" s="449"/>
      <c r="M49" s="449" t="str">
        <f>IF(L49="","",
IF(AX49="PT",VLOOKUP(L49,Foundation_Calc!$V$79:$X$113,VLOOKUP(AX49,Foundation_Calc!$I$10:$J$13,2,FALSE),0),
IF(AX49="K",VLOOKUP(L49,Foundation_Calc!$V$117:$X$151,VLOOKUP(AX49,Foundation_Calc!$I$10:$J$13,2,FALSE),0),"")))</f>
        <v/>
      </c>
      <c r="N49" s="449"/>
      <c r="O49" s="449"/>
      <c r="P49" s="449"/>
      <c r="Q49" s="4"/>
      <c r="R49" s="6"/>
      <c r="S49" s="6"/>
      <c r="T49" s="4"/>
      <c r="U49" s="4"/>
      <c r="V49" s="4"/>
      <c r="W49" s="9"/>
      <c r="X49" s="9"/>
      <c r="Y49" s="9"/>
      <c r="Z49" s="9"/>
      <c r="AA49" s="9"/>
      <c r="AB49" s="9"/>
      <c r="AC49" s="449" t="str">
        <f t="shared" si="0"/>
        <v/>
      </c>
      <c r="AD49" s="449"/>
      <c r="AE49" s="449"/>
      <c r="AF49" s="4"/>
      <c r="AG49" s="83"/>
      <c r="AH49" s="4"/>
      <c r="AI49" s="4"/>
      <c r="AJ49" s="449"/>
      <c r="AK49" s="449"/>
      <c r="AL49" s="449"/>
      <c r="AM49" s="449"/>
      <c r="AN49" s="10"/>
      <c r="AO49" s="9"/>
      <c r="AP49" s="9"/>
      <c r="AQ49" s="9">
        <f>+FL_1($T$50,$T$48,$G$49,1200,9.28,-1*$F$50)</f>
        <v>0.38268182573258269</v>
      </c>
      <c r="AR49" s="9"/>
      <c r="AS49" s="9"/>
      <c r="AT49" s="9"/>
      <c r="AU49" s="428"/>
      <c r="AV49" s="428"/>
      <c r="AW49" s="449" t="str">
        <f>IF(C49&gt;0,VLOOKUP(C49,Foundation_Calc!$A$2:$C$13,3,1),
IF(J49&gt;0,VLOOKUP(J49,Foundation_Calc!$A$2:$C$13,3,1),""))</f>
        <v/>
      </c>
      <c r="AX49" s="449" t="str">
        <f>IF(C49&gt;0,VLOOKUP(C49,Foundation_Calc!$E$2:$G$33,3,1),
IF(J49&gt;0,VLOOKUP(J49,Foundation_Calc!$E$2:$G$33,3,1),""))</f>
        <v/>
      </c>
      <c r="AY49" s="10" t="str">
        <f>IF(L49="","",
IF(AX49="PT",VLOOKUP(L49,Foundation_Calc!$K$79:$R$113,VLOOKUP(AW49,Foundation_Calc!$I$2:$J$8,2,FALSE),0),
IF(AX49="K",VLOOKUP(L49,Foundation_Calc!$K$117:$R$151,VLOOKUP(AW49,Foundation_Calc!$I$2:$J$8,2,FALSE),0),"")))</f>
        <v/>
      </c>
      <c r="AZ49" s="10" t="str">
        <f>IF(K49="","",
IF(AX49="PT",VLOOKUP(K49,Foundation_Calc!$K$79:$R$113,VLOOKUP(AW49,Foundation_Calc!$I$2:$J$8,2,FALSE),0),
IF(AX49="K",VLOOKUP(K49,Foundation_Calc!$K$117:$R$151,VLOOKUP(AW49,Foundation_Calc!$I$2:$J$8,2,FALSE),0),"")))</f>
        <v/>
      </c>
      <c r="BA49" s="495" t="str">
        <f t="shared" si="16"/>
        <v/>
      </c>
      <c r="BB49" s="495" t="str">
        <f t="shared" si="17"/>
        <v/>
      </c>
      <c r="BC49" s="495" t="str">
        <f t="shared" si="18"/>
        <v/>
      </c>
      <c r="BD49" s="513" t="str">
        <f>IF(AND(L49="",H49=""),"",
IF(H49="",Pole_Calc!A$9,
IF(H49="MP",Pole_Calc!A$10,
IF(H49="AnMP",Pole_Calc!A$11,
IF(H49="A",Pole_Calc!A$12,
IF(H49="S/A",Pole_Calc!A$13,
IF(H49="A/S",Pole_Calc!A$14,"Poner a mano")))))))</f>
        <v/>
      </c>
      <c r="BE49" s="429" t="s">
        <v>118</v>
      </c>
      <c r="BF49" s="290"/>
      <c r="BG49" s="290"/>
      <c r="BH49" s="290"/>
      <c r="BI49" s="290"/>
    </row>
    <row r="50" spans="1:61" ht="16.149999999999999" customHeight="1">
      <c r="A50" s="514"/>
      <c r="B50" s="450" t="s">
        <v>173</v>
      </c>
      <c r="C50" s="3">
        <f>+$C$48+$G$49</f>
        <v>31405.65</v>
      </c>
      <c r="D50" s="83"/>
      <c r="E50" s="4"/>
      <c r="F50" s="4">
        <f>-(505^2)/(C50-31369.11)</f>
        <v>-6979.3377120961659</v>
      </c>
      <c r="G50" s="6"/>
      <c r="H50" s="449" t="s">
        <v>168</v>
      </c>
      <c r="I50" s="4"/>
      <c r="J50" s="3"/>
      <c r="K50" s="449"/>
      <c r="L50" s="449" t="s">
        <v>158</v>
      </c>
      <c r="M50" s="449" t="str">
        <f>IF(L50="","",
IF(AX50="PT",VLOOKUP(L50,Foundation_Calc!$V$79:$X$113,VLOOKUP(AX50,Foundation_Calc!$I$10:$J$13,2,FALSE),0),
IF(AX50="K",VLOOKUP(L50,Foundation_Calc!$V$117:$X$151,VLOOKUP(AX50,Foundation_Calc!$I$10:$J$13,2,FALSE),0),"")))</f>
        <v>C4R</v>
      </c>
      <c r="N50" s="449" t="s">
        <v>124</v>
      </c>
      <c r="O50" s="449"/>
      <c r="P50" s="449"/>
      <c r="Q50" s="4"/>
      <c r="R50" s="6"/>
      <c r="S50" s="6"/>
      <c r="T50" s="4">
        <v>-25</v>
      </c>
      <c r="U50" s="4"/>
      <c r="V50" s="4"/>
      <c r="W50" s="9">
        <v>1.4</v>
      </c>
      <c r="X50" s="9"/>
      <c r="Y50" s="9"/>
      <c r="Z50" s="9"/>
      <c r="AA50" s="9"/>
      <c r="AB50" s="9"/>
      <c r="AC50" s="449" t="str">
        <f t="shared" si="0"/>
        <v>PH</v>
      </c>
      <c r="AD50" s="449"/>
      <c r="AE50" s="449"/>
      <c r="AF50" s="4"/>
      <c r="AG50" s="83"/>
      <c r="AH50" s="4"/>
      <c r="AI50" s="4"/>
      <c r="AJ50" s="449"/>
      <c r="AK50" s="449"/>
      <c r="AL50" s="449"/>
      <c r="AM50" s="449" t="s">
        <v>126</v>
      </c>
      <c r="AN50" s="10">
        <v>5.5</v>
      </c>
      <c r="AO50" s="9"/>
      <c r="AP50" s="9"/>
      <c r="AQ50" s="9"/>
      <c r="AR50" s="9"/>
      <c r="AS50" s="9"/>
      <c r="AT50" s="9">
        <f>+ab($T$50,$T$48,$T$52,$G$49,$G$51,-1*$F$50,1200)</f>
        <v>-14.046058676645403</v>
      </c>
      <c r="AU50" s="428"/>
      <c r="AV50" s="428"/>
      <c r="AW50" s="449" t="str">
        <f>IF(C50&gt;0,VLOOKUP(C50,Foundation_Calc!$A$2:$C$13,3,1),
IF(J50&gt;0,VLOOKUP(J50,Foundation_Calc!$A$2:$C$13,3,1),""))</f>
        <v>Multi Soil</v>
      </c>
      <c r="AX50" s="449" t="str">
        <f>IF(C50&gt;0,VLOOKUP(C50,Foundation_Calc!$E$2:$G$33,3,1),
IF(J50&gt;0,VLOOKUP(J50,Foundation_Calc!$E$2:$G$33,3,1),""))</f>
        <v>PT</v>
      </c>
      <c r="AY50" s="10">
        <f>IF(L50="","",
IF(AX50="PT",VLOOKUP(L50,Foundation_Calc!$K$79:$R$113,VLOOKUP(AW50,Foundation_Calc!$I$2:$J$8,2,FALSE),0),
IF(AX50="K",VLOOKUP(L50,Foundation_Calc!$K$117:$R$151,VLOOKUP(AW50,Foundation_Calc!$I$2:$J$8,2,FALSE),0),"")))</f>
        <v>3.5</v>
      </c>
      <c r="AZ50" s="10" t="str">
        <f>IF(K50="","",
IF(AX50="PT",VLOOKUP(K50,Foundation_Calc!$K$79:$R$113,VLOOKUP(AW50,Foundation_Calc!$I$2:$J$8,2,FALSE),0),
IF(AX50="K",VLOOKUP(K50,Foundation_Calc!$K$117:$R$151,VLOOKUP(AW50,Foundation_Calc!$I$2:$J$8,2,FALSE),0),"")))</f>
        <v/>
      </c>
      <c r="BA50" s="495" t="str">
        <f t="shared" si="16"/>
        <v>ü</v>
      </c>
      <c r="BB50" s="495" t="str">
        <f t="shared" si="17"/>
        <v/>
      </c>
      <c r="BC50" s="495" t="str">
        <f t="shared" si="18"/>
        <v/>
      </c>
      <c r="BD50" s="513" t="str">
        <f>IF(AND(L50="",H50=""),"",
IF(H50="",Pole_Calc!A$9,
IF(H50="MP",Pole_Calc!A$10,
IF(H50="AnMP",Pole_Calc!A$11,
IF(H50="A",Pole_Calc!A$12,
IF(H50="S/A",Pole_Calc!A$13,
IF(H50="A/S",Pole_Calc!A$14,"Poner a mano")))))))</f>
        <v>App.7-V11I-P9.5.1.3</v>
      </c>
      <c r="BE50" s="429" t="s">
        <v>118</v>
      </c>
      <c r="BF50" s="289"/>
      <c r="BG50" s="289"/>
      <c r="BH50" s="290"/>
      <c r="BI50" s="289"/>
    </row>
    <row r="51" spans="1:61" ht="16.149999999999999" customHeight="1">
      <c r="A51" s="514"/>
      <c r="B51" s="450"/>
      <c r="C51" s="3"/>
      <c r="D51" s="83"/>
      <c r="E51" s="4"/>
      <c r="F51" s="4"/>
      <c r="G51" s="6">
        <v>50</v>
      </c>
      <c r="H51" s="449"/>
      <c r="I51" s="4"/>
      <c r="J51" s="3">
        <f>C50+7.5</f>
        <v>31413.15</v>
      </c>
      <c r="K51" s="449" t="s">
        <v>166</v>
      </c>
      <c r="L51" s="449"/>
      <c r="M51" s="449" t="str">
        <f>IF(L51="","",
IF(AX51="PT",VLOOKUP(L51,Foundation_Calc!$V$79:$X$113,VLOOKUP(AX51,Foundation_Calc!$I$10:$J$13,2,FALSE),0),
IF(AX51="K",VLOOKUP(L51,Foundation_Calc!$V$117:$X$151,VLOOKUP(AX51,Foundation_Calc!$I$10:$J$13,2,FALSE),0),"")))</f>
        <v/>
      </c>
      <c r="N51" s="449"/>
      <c r="O51" s="449"/>
      <c r="P51" s="449"/>
      <c r="Q51" s="4"/>
      <c r="R51" s="6"/>
      <c r="S51" s="6"/>
      <c r="T51" s="4"/>
      <c r="U51" s="4"/>
      <c r="V51" s="4"/>
      <c r="W51" s="9"/>
      <c r="X51" s="9"/>
      <c r="Y51" s="9"/>
      <c r="Z51" s="9"/>
      <c r="AA51" s="9"/>
      <c r="AB51" s="9"/>
      <c r="AC51" s="449" t="str">
        <f t="shared" si="0"/>
        <v/>
      </c>
      <c r="AD51" s="449"/>
      <c r="AE51" s="449"/>
      <c r="AF51" s="4"/>
      <c r="AG51" s="83"/>
      <c r="AH51" s="4"/>
      <c r="AI51" s="4"/>
      <c r="AJ51" s="449"/>
      <c r="AK51" s="449"/>
      <c r="AL51" s="449"/>
      <c r="AM51" s="449"/>
      <c r="AN51" s="10"/>
      <c r="AO51" s="9"/>
      <c r="AP51" s="9"/>
      <c r="AQ51" s="9">
        <f>+FL_2($T$52,$T$50,$G$51,1200,9.28,-1*$F$52)</f>
        <v>-0.39264848232945432</v>
      </c>
      <c r="AR51" s="9"/>
      <c r="AS51" s="9"/>
      <c r="AT51" s="9"/>
      <c r="AU51" s="428"/>
      <c r="AV51" s="428"/>
      <c r="AW51" s="449" t="str">
        <f>IF(C51&gt;0,VLOOKUP(C51,Foundation_Calc!$A$2:$C$13,3,1),
IF(J51&gt;0,VLOOKUP(J51,Foundation_Calc!$A$2:$C$13,3,1),""))</f>
        <v>Multi Soil</v>
      </c>
      <c r="AX51" s="449" t="str">
        <f>IF(C51&gt;0,VLOOKUP(C51,Foundation_Calc!$E$2:$G$33,3,1),
IF(J51&gt;0,VLOOKUP(J51,Foundation_Calc!$E$2:$G$33,3,1),""))</f>
        <v>PT</v>
      </c>
      <c r="AY51" s="10" t="str">
        <f>IF(L51="","",
IF(AX51="PT",VLOOKUP(L51,Foundation_Calc!$K$79:$R$113,VLOOKUP(AW51,Foundation_Calc!$I$2:$J$8,2,FALSE),0),
IF(AX51="K",VLOOKUP(L51,Foundation_Calc!$K$117:$R$151,VLOOKUP(AW51,Foundation_Calc!$I$2:$J$8,2,FALSE),0),"")))</f>
        <v/>
      </c>
      <c r="AZ51" s="10">
        <f>IF(K51="","",
IF(AX51="PT",VLOOKUP(K51,Foundation_Calc!$K$79:$R$113,VLOOKUP(AW51,Foundation_Calc!$I$2:$J$8,2,FALSE),0),
IF(AX51="K",VLOOKUP(K51,Foundation_Calc!$K$117:$R$151,VLOOKUP(AW51,Foundation_Calc!$I$2:$J$8,2,FALSE),0),"")))</f>
        <v>2.8</v>
      </c>
      <c r="BA51" s="495" t="str">
        <f t="shared" si="16"/>
        <v/>
      </c>
      <c r="BB51" s="495" t="str">
        <f t="shared" si="17"/>
        <v>ü</v>
      </c>
      <c r="BC51" s="495" t="str">
        <f t="shared" si="18"/>
        <v/>
      </c>
      <c r="BD51" s="513" t="str">
        <f>IF(AND(L51="",H51=""),"",
IF(H51="",Pole_Calc!A$9,
IF(H51="MP",Pole_Calc!A$10,
IF(H51="AnMP",Pole_Calc!A$11,
IF(H51="A",Pole_Calc!A$12,
IF(H51="S/A",Pole_Calc!A$13,
IF(H51="A/S",Pole_Calc!A$14,"Poner a mano")))))))</f>
        <v/>
      </c>
      <c r="BE51" s="429" t="s">
        <v>118</v>
      </c>
      <c r="BF51" s="290"/>
      <c r="BG51" s="290"/>
      <c r="BH51" s="290"/>
      <c r="BI51" s="290"/>
    </row>
    <row r="52" spans="1:61" ht="16.149999999999999" customHeight="1">
      <c r="A52" s="514"/>
      <c r="B52" s="450" t="s">
        <v>174</v>
      </c>
      <c r="C52" s="3">
        <f>+$C$50+$G$51</f>
        <v>31455.65</v>
      </c>
      <c r="D52" s="83"/>
      <c r="E52" s="4"/>
      <c r="F52" s="4">
        <f>-(505^2)/(C52-31369.11)</f>
        <v>-2946.9031661659051</v>
      </c>
      <c r="G52" s="6"/>
      <c r="H52" s="449"/>
      <c r="I52" s="4"/>
      <c r="J52" s="3"/>
      <c r="K52" s="449"/>
      <c r="L52" s="449" t="s">
        <v>153</v>
      </c>
      <c r="M52" s="449" t="str">
        <f>IF(L52="","",
IF(AX52="PT",VLOOKUP(L52,Foundation_Calc!$V$79:$X$113,VLOOKUP(AX52,Foundation_Calc!$I$10:$J$13,2,FALSE),0),
IF(AX52="K",VLOOKUP(L52,Foundation_Calc!$V$117:$X$151,VLOOKUP(AX52,Foundation_Calc!$I$10:$J$13,2,FALSE),0),"")))</f>
        <v>C3R</v>
      </c>
      <c r="N52" s="449" t="s">
        <v>134</v>
      </c>
      <c r="O52" s="449"/>
      <c r="P52" s="449"/>
      <c r="Q52" s="4"/>
      <c r="R52" s="6"/>
      <c r="S52" s="6"/>
      <c r="T52" s="4">
        <v>25</v>
      </c>
      <c r="U52" s="4"/>
      <c r="V52" s="4"/>
      <c r="W52" s="9">
        <v>1.4</v>
      </c>
      <c r="X52" s="9"/>
      <c r="Y52" s="9"/>
      <c r="Z52" s="9"/>
      <c r="AA52" s="9"/>
      <c r="AB52" s="9"/>
      <c r="AC52" s="449" t="str">
        <f t="shared" si="0"/>
        <v>PHQ</v>
      </c>
      <c r="AD52" s="449"/>
      <c r="AE52" s="449"/>
      <c r="AF52" s="4"/>
      <c r="AG52" s="83"/>
      <c r="AH52" s="4"/>
      <c r="AI52" s="4"/>
      <c r="AJ52" s="449"/>
      <c r="AK52" s="449"/>
      <c r="AL52" s="449"/>
      <c r="AM52" s="449" t="s">
        <v>126</v>
      </c>
      <c r="AN52" s="10">
        <v>5.5</v>
      </c>
      <c r="AO52" s="9"/>
      <c r="AP52" s="9"/>
      <c r="AQ52" s="9"/>
      <c r="AR52" s="9"/>
      <c r="AS52" s="9"/>
      <c r="AT52" s="9">
        <f>+ab($T$52,$T$50,$T$54,$G$51,$G$53,-1*$F$52,1200)</f>
        <v>7.3493033963252126</v>
      </c>
      <c r="AU52" s="428"/>
      <c r="AV52" s="428"/>
      <c r="AW52" s="449" t="str">
        <f>IF(C52&gt;0,VLOOKUP(C52,Foundation_Calc!$A$2:$C$13,3,1),
IF(J52&gt;0,VLOOKUP(J52,Foundation_Calc!$A$2:$C$13,3,1),""))</f>
        <v>Multi Soil</v>
      </c>
      <c r="AX52" s="449" t="str">
        <f>IF(C52&gt;0,VLOOKUP(C52,Foundation_Calc!$E$2:$G$33,3,1),
IF(J52&gt;0,VLOOKUP(J52,Foundation_Calc!$E$2:$G$33,3,1),""))</f>
        <v>PT</v>
      </c>
      <c r="AY52" s="10">
        <f>IF(L52="","",
IF(AX52="PT",VLOOKUP(L52,Foundation_Calc!$K$79:$R$113,VLOOKUP(AW52,Foundation_Calc!$I$2:$J$8,2,FALSE),0),
IF(AX52="K",VLOOKUP(L52,Foundation_Calc!$K$117:$R$151,VLOOKUP(AW52,Foundation_Calc!$I$2:$J$8,2,FALSE),0),"")))</f>
        <v>3.5</v>
      </c>
      <c r="AZ52" s="10" t="str">
        <f>IF(K52="","",
IF(AX52="PT",VLOOKUP(K52,Foundation_Calc!$K$79:$R$113,VLOOKUP(AW52,Foundation_Calc!$I$2:$J$8,2,FALSE),0),
IF(AX52="K",VLOOKUP(K52,Foundation_Calc!$K$117:$R$151,VLOOKUP(AW52,Foundation_Calc!$I$2:$J$8,2,FALSE),0),"")))</f>
        <v/>
      </c>
      <c r="BA52" s="495" t="str">
        <f t="shared" si="16"/>
        <v>ü</v>
      </c>
      <c r="BB52" s="495" t="str">
        <f t="shared" si="17"/>
        <v/>
      </c>
      <c r="BC52" s="495" t="str">
        <f t="shared" si="18"/>
        <v/>
      </c>
      <c r="BD52" s="513" t="str">
        <f>IF(AND(L52="",H52=""),"",
IF(H52="",Pole_Calc!A$9,
IF(H52="MP",Pole_Calc!A$10,
IF(H52="AnMP",Pole_Calc!A$11,
IF(H52="A",Pole_Calc!A$12,
IF(H52="S/A",Pole_Calc!A$13,
IF(H52="A/S",Pole_Calc!A$14,"Poner a mano")))))))</f>
        <v>App.7-V11I-P9.5.1.1</v>
      </c>
      <c r="BE52" s="429" t="s">
        <v>118</v>
      </c>
      <c r="BF52" s="289"/>
      <c r="BG52" s="289"/>
      <c r="BH52" s="290"/>
      <c r="BI52" s="289"/>
    </row>
    <row r="53" spans="1:61" ht="16.149999999999999" customHeight="1">
      <c r="A53" s="514"/>
      <c r="B53" s="450"/>
      <c r="C53" s="3"/>
      <c r="D53" s="83"/>
      <c r="E53" s="4"/>
      <c r="F53" s="4"/>
      <c r="G53" s="6">
        <v>50</v>
      </c>
      <c r="H53" s="449"/>
      <c r="I53" s="4"/>
      <c r="J53" s="3"/>
      <c r="K53" s="449"/>
      <c r="L53" s="449"/>
      <c r="M53" s="449" t="str">
        <f>IF(L53="","",
IF(AX53="PT",VLOOKUP(L53,Foundation_Calc!$V$79:$X$113,VLOOKUP(AX53,Foundation_Calc!$I$10:$J$13,2,FALSE),0),
IF(AX53="K",VLOOKUP(L53,Foundation_Calc!$V$117:$X$151,VLOOKUP(AX53,Foundation_Calc!$I$10:$J$13,2,FALSE),0),"")))</f>
        <v/>
      </c>
      <c r="N53" s="449"/>
      <c r="O53" s="449"/>
      <c r="P53" s="449"/>
      <c r="Q53" s="4"/>
      <c r="R53" s="6"/>
      <c r="S53" s="6"/>
      <c r="T53" s="4"/>
      <c r="U53" s="4"/>
      <c r="V53" s="4"/>
      <c r="W53" s="9"/>
      <c r="X53" s="9"/>
      <c r="Y53" s="9"/>
      <c r="Z53" s="9"/>
      <c r="AA53" s="9"/>
      <c r="AB53" s="9"/>
      <c r="AC53" s="449" t="str">
        <f t="shared" si="0"/>
        <v/>
      </c>
      <c r="AD53" s="449"/>
      <c r="AE53" s="449"/>
      <c r="AF53" s="4"/>
      <c r="AG53" s="83"/>
      <c r="AH53" s="4"/>
      <c r="AI53" s="4"/>
      <c r="AJ53" s="449"/>
      <c r="AK53" s="449"/>
      <c r="AL53" s="449"/>
      <c r="AM53" s="449"/>
      <c r="AN53" s="10"/>
      <c r="AO53" s="9"/>
      <c r="AP53" s="9"/>
      <c r="AQ53" s="9">
        <f>+FL_1($T$54,$T$52,$G$53,1200,9.28,-1*$F$54)</f>
        <v>0.35144897575350331</v>
      </c>
      <c r="AR53" s="9"/>
      <c r="AS53" s="9"/>
      <c r="AT53" s="9"/>
      <c r="AU53" s="428"/>
      <c r="AV53" s="428"/>
      <c r="AW53" s="449" t="str">
        <f>IF(C53&gt;0,VLOOKUP(C53,Foundation_Calc!$A$2:$C$13,3,1),
IF(J53&gt;0,VLOOKUP(J53,Foundation_Calc!$A$2:$C$13,3,1),""))</f>
        <v/>
      </c>
      <c r="AX53" s="449" t="str">
        <f>IF(C53&gt;0,VLOOKUP(C53,Foundation_Calc!$E$2:$G$33,3,1),
IF(J53&gt;0,VLOOKUP(J53,Foundation_Calc!$E$2:$G$33,3,1),""))</f>
        <v/>
      </c>
      <c r="AY53" s="10" t="str">
        <f>IF(L53="","",
IF(AX53="PT",VLOOKUP(L53,Foundation_Calc!$K$79:$R$113,VLOOKUP(AW53,Foundation_Calc!$I$2:$J$8,2,FALSE),0),
IF(AX53="K",VLOOKUP(L53,Foundation_Calc!$K$117:$R$151,VLOOKUP(AW53,Foundation_Calc!$I$2:$J$8,2,FALSE),0),"")))</f>
        <v/>
      </c>
      <c r="AZ53" s="10" t="str">
        <f>IF(K53="","",
IF(AX53="PT",VLOOKUP(K53,Foundation_Calc!$K$79:$R$113,VLOOKUP(AW53,Foundation_Calc!$I$2:$J$8,2,FALSE),0),
IF(AX53="K",VLOOKUP(K53,Foundation_Calc!$K$117:$R$151,VLOOKUP(AW53,Foundation_Calc!$I$2:$J$8,2,FALSE),0),"")))</f>
        <v/>
      </c>
      <c r="BA53" s="495" t="str">
        <f t="shared" si="16"/>
        <v/>
      </c>
      <c r="BB53" s="495" t="str">
        <f t="shared" si="17"/>
        <v/>
      </c>
      <c r="BC53" s="495" t="str">
        <f t="shared" si="18"/>
        <v/>
      </c>
      <c r="BD53" s="513" t="str">
        <f>IF(AND(L53="",H53=""),"",
IF(H53="",Pole_Calc!A$9,
IF(H53="MP",Pole_Calc!A$10,
IF(H53="AnMP",Pole_Calc!A$11,
IF(H53="A",Pole_Calc!A$12,
IF(H53="S/A",Pole_Calc!A$13,
IF(H53="A/S",Pole_Calc!A$14,"Poner a mano")))))))</f>
        <v/>
      </c>
      <c r="BE53" s="429" t="s">
        <v>118</v>
      </c>
      <c r="BF53" s="290"/>
      <c r="BG53" s="290"/>
      <c r="BH53" s="290"/>
      <c r="BI53" s="290"/>
    </row>
    <row r="54" spans="1:61" ht="16.149999999999999" customHeight="1">
      <c r="A54" s="514"/>
      <c r="B54" s="450" t="s">
        <v>175</v>
      </c>
      <c r="C54" s="3">
        <f>+$C$52+$G$53</f>
        <v>31505.65</v>
      </c>
      <c r="D54" s="83"/>
      <c r="E54" s="4"/>
      <c r="F54" s="4">
        <f>-(505^2)/(C54-31369.11)</f>
        <v>-1867.7676871246401</v>
      </c>
      <c r="G54" s="6"/>
      <c r="H54" s="449"/>
      <c r="I54" s="4"/>
      <c r="J54" s="3"/>
      <c r="K54" s="449"/>
      <c r="L54" s="449" t="s">
        <v>158</v>
      </c>
      <c r="M54" s="449" t="str">
        <f>IF(L54="","",
IF(AX54="PT",VLOOKUP(L54,Foundation_Calc!$V$79:$X$113,VLOOKUP(AX54,Foundation_Calc!$I$10:$J$13,2,FALSE),0),
IF(AX54="K",VLOOKUP(L54,Foundation_Calc!$V$117:$X$151,VLOOKUP(AX54,Foundation_Calc!$I$10:$J$13,2,FALSE),0),"")))</f>
        <v>C4R</v>
      </c>
      <c r="N54" s="449" t="s">
        <v>134</v>
      </c>
      <c r="O54" s="449"/>
      <c r="P54" s="449"/>
      <c r="Q54" s="4"/>
      <c r="R54" s="6"/>
      <c r="S54" s="6"/>
      <c r="T54" s="4">
        <v>30</v>
      </c>
      <c r="U54" s="4"/>
      <c r="V54" s="4"/>
      <c r="W54" s="9">
        <v>1.4</v>
      </c>
      <c r="X54" s="9"/>
      <c r="Y54" s="9"/>
      <c r="Z54" s="9"/>
      <c r="AA54" s="9"/>
      <c r="AB54" s="9"/>
      <c r="AC54" s="449" t="str">
        <f t="shared" si="0"/>
        <v>PHQ</v>
      </c>
      <c r="AD54" s="449"/>
      <c r="AE54" s="449"/>
      <c r="AF54" s="4"/>
      <c r="AG54" s="83"/>
      <c r="AH54" s="4"/>
      <c r="AI54" s="4"/>
      <c r="AJ54" s="449"/>
      <c r="AK54" s="449"/>
      <c r="AL54" s="449"/>
      <c r="AM54" s="449" t="s">
        <v>126</v>
      </c>
      <c r="AN54" s="10">
        <v>5.5</v>
      </c>
      <c r="AO54" s="9"/>
      <c r="AP54" s="9"/>
      <c r="AQ54" s="9"/>
      <c r="AR54" s="9"/>
      <c r="AS54" s="9"/>
      <c r="AT54" s="9">
        <f>+ab($T$54,$T$52,$T$56,$G$53,$G$55,-1*$F$54,1200)</f>
        <v>6.8768757502020996</v>
      </c>
      <c r="AU54" s="428"/>
      <c r="AV54" s="428"/>
      <c r="AW54" s="449" t="str">
        <f>IF(C54&gt;0,VLOOKUP(C54,Foundation_Calc!$A$2:$C$13,3,1),
IF(J54&gt;0,VLOOKUP(J54,Foundation_Calc!$A$2:$C$13,3,1),""))</f>
        <v>Multi Soil</v>
      </c>
      <c r="AX54" s="449" t="str">
        <f>IF(C54&gt;0,VLOOKUP(C54,Foundation_Calc!$E$2:$G$33,3,1),
IF(J54&gt;0,VLOOKUP(J54,Foundation_Calc!$E$2:$G$33,3,1),""))</f>
        <v>PT</v>
      </c>
      <c r="AY54" s="10">
        <f>IF(L54="","",
IF(AX54="PT",VLOOKUP(L54,Foundation_Calc!$K$79:$R$113,VLOOKUP(AW54,Foundation_Calc!$I$2:$J$8,2,FALSE),0),
IF(AX54="K",VLOOKUP(L54,Foundation_Calc!$K$117:$R$151,VLOOKUP(AW54,Foundation_Calc!$I$2:$J$8,2,FALSE),0),"")))</f>
        <v>3.5</v>
      </c>
      <c r="AZ54" s="10" t="str">
        <f>IF(K54="","",
IF(AX54="PT",VLOOKUP(K54,Foundation_Calc!$K$79:$R$113,VLOOKUP(AW54,Foundation_Calc!$I$2:$J$8,2,FALSE),0),
IF(AX54="K",VLOOKUP(K54,Foundation_Calc!$K$117:$R$151,VLOOKUP(AW54,Foundation_Calc!$I$2:$J$8,2,FALSE),0),"")))</f>
        <v/>
      </c>
      <c r="BA54" s="495" t="str">
        <f t="shared" si="16"/>
        <v>ü</v>
      </c>
      <c r="BB54" s="495" t="str">
        <f t="shared" si="17"/>
        <v/>
      </c>
      <c r="BC54" s="495" t="str">
        <f t="shared" si="18"/>
        <v/>
      </c>
      <c r="BD54" s="513" t="str">
        <f>IF(AND(L54="",H54=""),"",
IF(H54="",Pole_Calc!A$9,
IF(H54="MP",Pole_Calc!A$10,
IF(H54="AnMP",Pole_Calc!A$11,
IF(H54="A",Pole_Calc!A$12,
IF(H54="S/A",Pole_Calc!A$13,
IF(H54="A/S",Pole_Calc!A$14,"Poner a mano")))))))</f>
        <v>App.7-V11I-P9.5.1.1</v>
      </c>
      <c r="BE54" s="429" t="s">
        <v>172</v>
      </c>
      <c r="BF54" s="289"/>
      <c r="BG54" s="289"/>
      <c r="BH54" s="290"/>
      <c r="BI54" s="289"/>
    </row>
    <row r="55" spans="1:61" ht="16.149999999999999" customHeight="1">
      <c r="A55" s="514"/>
      <c r="B55" s="450"/>
      <c r="C55" s="3"/>
      <c r="D55" s="83"/>
      <c r="E55" s="4"/>
      <c r="F55" s="4"/>
      <c r="G55" s="6">
        <v>50</v>
      </c>
      <c r="H55" s="449"/>
      <c r="I55" s="4"/>
      <c r="J55" s="3"/>
      <c r="K55" s="449"/>
      <c r="L55" s="449"/>
      <c r="M55" s="449" t="str">
        <f>IF(L55="","",
IF(AX55="PT",VLOOKUP(L55,Foundation_Calc!$V$79:$X$113,VLOOKUP(AX55,Foundation_Calc!$I$10:$J$13,2,FALSE),0),
IF(AX55="K",VLOOKUP(L55,Foundation_Calc!$V$117:$X$151,VLOOKUP(AX55,Foundation_Calc!$I$10:$J$13,2,FALSE),0),"")))</f>
        <v/>
      </c>
      <c r="N55" s="449"/>
      <c r="O55" s="449"/>
      <c r="P55" s="449"/>
      <c r="Q55" s="4"/>
      <c r="R55" s="6"/>
      <c r="S55" s="6"/>
      <c r="T55" s="4"/>
      <c r="U55" s="4"/>
      <c r="V55" s="4"/>
      <c r="W55" s="9"/>
      <c r="X55" s="9"/>
      <c r="Y55" s="9"/>
      <c r="Z55" s="9"/>
      <c r="AA55" s="9"/>
      <c r="AB55" s="9"/>
      <c r="AC55" s="449" t="str">
        <f t="shared" si="0"/>
        <v/>
      </c>
      <c r="AD55" s="449"/>
      <c r="AE55" s="449"/>
      <c r="AF55" s="4"/>
      <c r="AG55" s="83"/>
      <c r="AH55" s="4"/>
      <c r="AI55" s="4"/>
      <c r="AJ55" s="449"/>
      <c r="AK55" s="449"/>
      <c r="AL55" s="449"/>
      <c r="AM55" s="449"/>
      <c r="AN55" s="10"/>
      <c r="AO55" s="9"/>
      <c r="AP55" s="9"/>
      <c r="AQ55" s="9">
        <f>+FL_1($T$56,$T$54,$G$55,1200,9.28,-1*$F$56)</f>
        <v>0.33331886373108921</v>
      </c>
      <c r="AR55" s="9"/>
      <c r="AS55" s="9"/>
      <c r="AT55" s="9"/>
      <c r="AU55" s="428"/>
      <c r="AV55" s="428"/>
      <c r="AW55" s="449" t="str">
        <f>IF(C55&gt;0,VLOOKUP(C55,Foundation_Calc!$A$2:$C$13,3,1),
IF(J55&gt;0,VLOOKUP(J55,Foundation_Calc!$A$2:$C$13,3,1),""))</f>
        <v/>
      </c>
      <c r="AX55" s="449" t="str">
        <f>IF(C55&gt;0,VLOOKUP(C55,Foundation_Calc!$E$2:$G$33,3,1),
IF(J55&gt;0,VLOOKUP(J55,Foundation_Calc!$E$2:$G$33,3,1),""))</f>
        <v/>
      </c>
      <c r="AY55" s="10" t="str">
        <f>IF(L55="","",
IF(AX55="PT",VLOOKUP(L55,Foundation_Calc!$K$79:$R$113,VLOOKUP(AW55,Foundation_Calc!$I$2:$J$8,2,FALSE),0),
IF(AX55="K",VLOOKUP(L55,Foundation_Calc!$K$117:$R$151,VLOOKUP(AW55,Foundation_Calc!$I$2:$J$8,2,FALSE),0),"")))</f>
        <v/>
      </c>
      <c r="AZ55" s="10" t="str">
        <f>IF(K55="","",
IF(AX55="PT",VLOOKUP(K55,Foundation_Calc!$K$79:$R$113,VLOOKUP(AW55,Foundation_Calc!$I$2:$J$8,2,FALSE),0),
IF(AX55="K",VLOOKUP(K55,Foundation_Calc!$K$117:$R$151,VLOOKUP(AW55,Foundation_Calc!$I$2:$J$8,2,FALSE),0),"")))</f>
        <v/>
      </c>
      <c r="BA55" s="495" t="str">
        <f t="shared" si="16"/>
        <v/>
      </c>
      <c r="BB55" s="495" t="str">
        <f t="shared" si="17"/>
        <v/>
      </c>
      <c r="BC55" s="495" t="str">
        <f t="shared" si="18"/>
        <v/>
      </c>
      <c r="BD55" s="513" t="str">
        <f>IF(AND(L55="",H55=""),"",
IF(H55="",Pole_Calc!A$9,
IF(H55="MP",Pole_Calc!A$10,
IF(H55="AnMP",Pole_Calc!A$11,
IF(H55="A",Pole_Calc!A$12,
IF(H55="S/A",Pole_Calc!A$13,
IF(H55="A/S",Pole_Calc!A$14,"Poner a mano")))))))</f>
        <v/>
      </c>
      <c r="BE55" s="429" t="s">
        <v>118</v>
      </c>
      <c r="BF55" s="290"/>
      <c r="BG55" s="290"/>
      <c r="BH55" s="290"/>
      <c r="BI55" s="290"/>
    </row>
    <row r="56" spans="1:61" ht="16.149999999999999" customHeight="1">
      <c r="A56" s="514"/>
      <c r="B56" s="450" t="s">
        <v>176</v>
      </c>
      <c r="C56" s="3">
        <f>+$C$54+$G$55</f>
        <v>31555.65</v>
      </c>
      <c r="D56" s="83"/>
      <c r="E56" s="4"/>
      <c r="F56" s="4">
        <f>IF(C56&gt;0,VLOOKUP(C56,'ALIGNMENT TRACK'!$A$1:$K$81,9,1))</f>
        <v>-1500</v>
      </c>
      <c r="G56" s="6"/>
      <c r="H56" s="449"/>
      <c r="I56" s="4"/>
      <c r="J56" s="3"/>
      <c r="K56" s="449"/>
      <c r="L56" s="449" t="s">
        <v>158</v>
      </c>
      <c r="M56" s="449" t="str">
        <f>IF(L56="","",
IF(AX56="PT",VLOOKUP(L56,Foundation_Calc!$V$79:$X$113,VLOOKUP(AX56,Foundation_Calc!$I$10:$J$13,2,FALSE),0),
IF(AX56="K",VLOOKUP(L56,Foundation_Calc!$V$117:$X$151,VLOOKUP(AX56,Foundation_Calc!$I$10:$J$13,2,FALSE),0),"")))</f>
        <v>C4R</v>
      </c>
      <c r="N56" s="449" t="s">
        <v>134</v>
      </c>
      <c r="O56" s="449"/>
      <c r="P56" s="449"/>
      <c r="Q56" s="4"/>
      <c r="R56" s="6"/>
      <c r="S56" s="6"/>
      <c r="T56" s="4">
        <v>30</v>
      </c>
      <c r="U56" s="4"/>
      <c r="V56" s="4"/>
      <c r="W56" s="9">
        <v>1.4</v>
      </c>
      <c r="X56" s="9"/>
      <c r="Y56" s="9"/>
      <c r="Z56" s="9"/>
      <c r="AA56" s="9"/>
      <c r="AB56" s="9"/>
      <c r="AC56" s="449" t="str">
        <f t="shared" si="0"/>
        <v>PHQ</v>
      </c>
      <c r="AD56" s="449"/>
      <c r="AE56" s="449"/>
      <c r="AF56" s="4"/>
      <c r="AG56" s="83"/>
      <c r="AH56" s="4"/>
      <c r="AI56" s="4"/>
      <c r="AJ56" s="449"/>
      <c r="AK56" s="449"/>
      <c r="AL56" s="449"/>
      <c r="AM56" s="449" t="s">
        <v>126</v>
      </c>
      <c r="AN56" s="10">
        <v>5.5</v>
      </c>
      <c r="AO56" s="9"/>
      <c r="AP56" s="9"/>
      <c r="AQ56" s="9"/>
      <c r="AR56" s="9"/>
      <c r="AS56" s="9"/>
      <c r="AT56" s="9">
        <f>+ab($T$56,$T$54,$T$58,$G$55,$G$57,-1*$F$56,1200)</f>
        <v>5.7375244864003294</v>
      </c>
      <c r="AU56" s="428"/>
      <c r="AV56" s="428"/>
      <c r="AW56" s="449" t="str">
        <f>IF(C56&gt;0,VLOOKUP(C56,Foundation_Calc!$A$2:$C$13,3,1),
IF(J56&gt;0,VLOOKUP(J56,Foundation_Calc!$A$2:$C$13,3,1),""))</f>
        <v>Multi Soil</v>
      </c>
      <c r="AX56" s="449" t="str">
        <f>IF(C56&gt;0,VLOOKUP(C56,Foundation_Calc!$E$2:$G$33,3,1),
IF(J56&gt;0,VLOOKUP(J56,Foundation_Calc!$E$2:$G$33,3,1),""))</f>
        <v>PT</v>
      </c>
      <c r="AY56" s="10">
        <f>IF(L56="","",
IF(AX56="PT",VLOOKUP(L56,Foundation_Calc!$K$79:$R$113,VLOOKUP(AW56,Foundation_Calc!$I$2:$J$8,2,FALSE),0),
IF(AX56="K",VLOOKUP(L56,Foundation_Calc!$K$117:$R$151,VLOOKUP(AW56,Foundation_Calc!$I$2:$J$8,2,FALSE),0),"")))</f>
        <v>3.5</v>
      </c>
      <c r="AZ56" s="10" t="str">
        <f>IF(K56="","",
IF(AX56="PT",VLOOKUP(K56,Foundation_Calc!$K$79:$R$113,VLOOKUP(AW56,Foundation_Calc!$I$2:$J$8,2,FALSE),0),
IF(AX56="K",VLOOKUP(K56,Foundation_Calc!$K$117:$R$151,VLOOKUP(AW56,Foundation_Calc!$I$2:$J$8,2,FALSE),0),"")))</f>
        <v/>
      </c>
      <c r="BA56" s="495" t="str">
        <f t="shared" si="16"/>
        <v>ü</v>
      </c>
      <c r="BB56" s="495" t="str">
        <f t="shared" si="17"/>
        <v/>
      </c>
      <c r="BC56" s="495" t="str">
        <f t="shared" si="18"/>
        <v/>
      </c>
      <c r="BD56" s="513" t="str">
        <f>IF(AND(L56="",H56=""),"",
IF(H56="",Pole_Calc!A$9,
IF(H56="MP",Pole_Calc!A$10,
IF(H56="AnMP",Pole_Calc!A$11,
IF(H56="A",Pole_Calc!A$12,
IF(H56="S/A",Pole_Calc!A$13,
IF(H56="A/S",Pole_Calc!A$14,"Poner a mano")))))))</f>
        <v>App.7-V11I-P9.5.1.1</v>
      </c>
      <c r="BE56" s="429" t="s">
        <v>118</v>
      </c>
      <c r="BF56" s="289"/>
      <c r="BG56" s="289"/>
      <c r="BH56" s="290"/>
      <c r="BI56" s="289"/>
    </row>
    <row r="57" spans="1:61" ht="16.149999999999999" customHeight="1">
      <c r="A57" s="514"/>
      <c r="B57" s="450"/>
      <c r="C57" s="3"/>
      <c r="D57" s="83"/>
      <c r="E57" s="4"/>
      <c r="F57" s="4"/>
      <c r="G57" s="6">
        <v>50</v>
      </c>
      <c r="H57" s="449"/>
      <c r="I57" s="4"/>
      <c r="J57" s="3"/>
      <c r="K57" s="449"/>
      <c r="L57" s="449"/>
      <c r="M57" s="449" t="str">
        <f>IF(L57="","",
IF(AX57="PT",VLOOKUP(L57,Foundation_Calc!$V$79:$X$113,VLOOKUP(AX57,Foundation_Calc!$I$10:$J$13,2,FALSE),0),
IF(AX57="K",VLOOKUP(L57,Foundation_Calc!$V$117:$X$151,VLOOKUP(AX57,Foundation_Calc!$I$10:$J$13,2,FALSE),0),"")))</f>
        <v/>
      </c>
      <c r="N57" s="449"/>
      <c r="O57" s="449"/>
      <c r="P57" s="449"/>
      <c r="Q57" s="4"/>
      <c r="R57" s="6"/>
      <c r="S57" s="6"/>
      <c r="T57" s="4"/>
      <c r="U57" s="4"/>
      <c r="V57" s="4"/>
      <c r="W57" s="9"/>
      <c r="X57" s="9"/>
      <c r="Y57" s="9"/>
      <c r="Z57" s="9"/>
      <c r="AA57" s="9"/>
      <c r="AB57" s="9"/>
      <c r="AC57" s="449" t="str">
        <f t="shared" si="0"/>
        <v/>
      </c>
      <c r="AD57" s="449"/>
      <c r="AE57" s="449"/>
      <c r="AF57" s="4"/>
      <c r="AG57" s="83"/>
      <c r="AH57" s="4"/>
      <c r="AI57" s="4"/>
      <c r="AJ57" s="449"/>
      <c r="AK57" s="449"/>
      <c r="AL57" s="449"/>
      <c r="AM57" s="449"/>
      <c r="AN57" s="10"/>
      <c r="AO57" s="9"/>
      <c r="AP57" s="9"/>
      <c r="AQ57" s="9">
        <f>+FL_1($T$58,$T$56,$G$57,1200,9.28,-1*$F$58)</f>
        <v>0.33331886373108921</v>
      </c>
      <c r="AR57" s="9"/>
      <c r="AS57" s="9"/>
      <c r="AT57" s="9"/>
      <c r="AU57" s="428"/>
      <c r="AV57" s="428"/>
      <c r="AW57" s="449" t="str">
        <f>IF(C57&gt;0,VLOOKUP(C57,Foundation_Calc!$A$2:$C$13,3,1),
IF(J57&gt;0,VLOOKUP(J57,Foundation_Calc!$A$2:$C$13,3,1),""))</f>
        <v/>
      </c>
      <c r="AX57" s="449" t="str">
        <f>IF(C57&gt;0,VLOOKUP(C57,Foundation_Calc!$E$2:$G$33,3,1),
IF(J57&gt;0,VLOOKUP(J57,Foundation_Calc!$E$2:$G$33,3,1),""))</f>
        <v/>
      </c>
      <c r="AY57" s="10" t="str">
        <f>IF(L57="","",
IF(AX57="PT",VLOOKUP(L57,Foundation_Calc!$K$79:$R$113,VLOOKUP(AW57,Foundation_Calc!$I$2:$J$8,2,FALSE),0),
IF(AX57="K",VLOOKUP(L57,Foundation_Calc!$K$117:$R$151,VLOOKUP(AW57,Foundation_Calc!$I$2:$J$8,2,FALSE),0),"")))</f>
        <v/>
      </c>
      <c r="AZ57" s="10" t="str">
        <f>IF(K57="","",
IF(AX57="PT",VLOOKUP(K57,Foundation_Calc!$K$79:$R$113,VLOOKUP(AW57,Foundation_Calc!$I$2:$J$8,2,FALSE),0),
IF(AX57="K",VLOOKUP(K57,Foundation_Calc!$K$117:$R$151,VLOOKUP(AW57,Foundation_Calc!$I$2:$J$8,2,FALSE),0),"")))</f>
        <v/>
      </c>
      <c r="BA57" s="495" t="str">
        <f t="shared" si="16"/>
        <v/>
      </c>
      <c r="BB57" s="495" t="str">
        <f t="shared" si="17"/>
        <v/>
      </c>
      <c r="BC57" s="495" t="str">
        <f t="shared" si="18"/>
        <v/>
      </c>
      <c r="BD57" s="513" t="str">
        <f>IF(AND(L57="",H57=""),"",
IF(H57="",Pole_Calc!A$9,
IF(H57="MP",Pole_Calc!A$10,
IF(H57="AnMP",Pole_Calc!A$11,
IF(H57="A",Pole_Calc!A$12,
IF(H57="S/A",Pole_Calc!A$13,
IF(H57="A/S",Pole_Calc!A$14,"Poner a mano")))))))</f>
        <v/>
      </c>
      <c r="BE57" s="429" t="s">
        <v>118</v>
      </c>
      <c r="BF57" s="290"/>
      <c r="BG57" s="290"/>
      <c r="BH57" s="290"/>
      <c r="BI57" s="290"/>
    </row>
    <row r="58" spans="1:61" ht="16.149999999999999" customHeight="1">
      <c r="A58" s="514"/>
      <c r="B58" s="450" t="s">
        <v>177</v>
      </c>
      <c r="C58" s="3">
        <f>+$C$56+$G$57</f>
        <v>31605.65</v>
      </c>
      <c r="D58" s="83"/>
      <c r="E58" s="4"/>
      <c r="F58" s="4">
        <f>IF(C58&gt;0,VLOOKUP(C58,'ALIGNMENT TRACK'!$A$1:$K$81,9,1))</f>
        <v>-1500</v>
      </c>
      <c r="G58" s="6"/>
      <c r="H58" s="449"/>
      <c r="I58" s="4"/>
      <c r="J58" s="3"/>
      <c r="K58" s="449"/>
      <c r="L58" s="449" t="s">
        <v>158</v>
      </c>
      <c r="M58" s="449" t="str">
        <f>IF(L58="","",
IF(AX58="PT",VLOOKUP(L58,Foundation_Calc!$V$79:$X$113,VLOOKUP(AX58,Foundation_Calc!$I$10:$J$13,2,FALSE),0),
IF(AX58="K",VLOOKUP(L58,Foundation_Calc!$V$117:$X$151,VLOOKUP(AX58,Foundation_Calc!$I$10:$J$13,2,FALSE),0),"")))</f>
        <v>C4R</v>
      </c>
      <c r="N58" s="449" t="s">
        <v>134</v>
      </c>
      <c r="O58" s="449"/>
      <c r="P58" s="449"/>
      <c r="Q58" s="4"/>
      <c r="R58" s="6"/>
      <c r="S58" s="6"/>
      <c r="T58" s="4">
        <v>30</v>
      </c>
      <c r="U58" s="4"/>
      <c r="V58" s="4"/>
      <c r="W58" s="9">
        <v>1.4</v>
      </c>
      <c r="X58" s="9"/>
      <c r="Y58" s="9"/>
      <c r="Z58" s="9"/>
      <c r="AA58" s="9"/>
      <c r="AB58" s="9"/>
      <c r="AC58" s="449" t="str">
        <f t="shared" si="0"/>
        <v>PHQ</v>
      </c>
      <c r="AD58" s="449"/>
      <c r="AE58" s="449"/>
      <c r="AF58" s="4"/>
      <c r="AG58" s="83"/>
      <c r="AH58" s="4"/>
      <c r="AI58" s="4"/>
      <c r="AJ58" s="449"/>
      <c r="AK58" s="449"/>
      <c r="AL58" s="449"/>
      <c r="AM58" s="449" t="s">
        <v>126</v>
      </c>
      <c r="AN58" s="10">
        <v>5.5</v>
      </c>
      <c r="AO58" s="9"/>
      <c r="AP58" s="9"/>
      <c r="AQ58" s="9"/>
      <c r="AR58" s="9"/>
      <c r="AS58" s="9"/>
      <c r="AT58" s="9">
        <f>+ab($T$58,$T$56,$T$60,$G$57,$G$59,-1*$F$58,1200)</f>
        <v>5.8836212128479506</v>
      </c>
      <c r="AU58" s="428"/>
      <c r="AV58" s="428"/>
      <c r="AW58" s="449" t="str">
        <f>IF(C58&gt;0,VLOOKUP(C58,Foundation_Calc!$A$2:$C$13,3,1),
IF(J58&gt;0,VLOOKUP(J58,Foundation_Calc!$A$2:$C$13,3,1),""))</f>
        <v>Multi Soil</v>
      </c>
      <c r="AX58" s="449" t="str">
        <f>IF(C58&gt;0,VLOOKUP(C58,Foundation_Calc!$E$2:$G$33,3,1),
IF(J58&gt;0,VLOOKUP(J58,Foundation_Calc!$E$2:$G$33,3,1),""))</f>
        <v>PT</v>
      </c>
      <c r="AY58" s="10">
        <f>IF(L58="","",
IF(AX58="PT",VLOOKUP(L58,Foundation_Calc!$K$79:$R$113,VLOOKUP(AW58,Foundation_Calc!$I$2:$J$8,2,FALSE),0),
IF(AX58="K",VLOOKUP(L58,Foundation_Calc!$K$117:$R$151,VLOOKUP(AW58,Foundation_Calc!$I$2:$J$8,2,FALSE),0),"")))</f>
        <v>3.5</v>
      </c>
      <c r="AZ58" s="10" t="str">
        <f>IF(K58="","",
IF(AX58="PT",VLOOKUP(K58,Foundation_Calc!$K$79:$R$113,VLOOKUP(AW58,Foundation_Calc!$I$2:$J$8,2,FALSE),0),
IF(AX58="K",VLOOKUP(K58,Foundation_Calc!$K$117:$R$151,VLOOKUP(AW58,Foundation_Calc!$I$2:$J$8,2,FALSE),0),"")))</f>
        <v/>
      </c>
      <c r="BA58" s="495" t="str">
        <f t="shared" si="16"/>
        <v>ü</v>
      </c>
      <c r="BB58" s="495" t="str">
        <f t="shared" si="17"/>
        <v/>
      </c>
      <c r="BC58" s="495" t="str">
        <f t="shared" si="18"/>
        <v/>
      </c>
      <c r="BD58" s="513" t="str">
        <f>IF(AND(L58="",H58=""),"",
IF(H58="",Pole_Calc!A$9,
IF(H58="MP",Pole_Calc!A$10,
IF(H58="AnMP",Pole_Calc!A$11,
IF(H58="A",Pole_Calc!A$12,
IF(H58="S/A",Pole_Calc!A$13,
IF(H58="A/S",Pole_Calc!A$14,"Poner a mano")))))))</f>
        <v>App.7-V11I-P9.5.1.1</v>
      </c>
      <c r="BE58" s="429" t="s">
        <v>118</v>
      </c>
      <c r="BF58" s="289"/>
      <c r="BG58" s="289"/>
      <c r="BH58" s="290"/>
      <c r="BI58" s="289"/>
    </row>
    <row r="59" spans="1:61" ht="16.149999999999999" customHeight="1">
      <c r="A59" s="659" t="s">
        <v>178</v>
      </c>
      <c r="B59" s="660"/>
      <c r="C59" s="661"/>
      <c r="D59" s="662"/>
      <c r="E59" s="663"/>
      <c r="F59" s="663"/>
      <c r="G59" s="664">
        <v>47.5</v>
      </c>
      <c r="H59" s="665"/>
      <c r="I59" s="663"/>
      <c r="J59" s="661"/>
      <c r="K59" s="665"/>
      <c r="L59" s="665"/>
      <c r="M59" s="665" t="str">
        <f>IF(L59="","",
IF(AX59="PT",VLOOKUP(L59,Foundation_Calc!$V$79:$X$113,VLOOKUP(AX59,Foundation_Calc!$I$10:$J$13,2,FALSE),0),
IF(AX59="K",VLOOKUP(L59,Foundation_Calc!$V$117:$X$151,VLOOKUP(AX59,Foundation_Calc!$I$10:$J$13,2,FALSE),0),"")))</f>
        <v/>
      </c>
      <c r="N59" s="665"/>
      <c r="O59" s="665"/>
      <c r="P59" s="665"/>
      <c r="Q59" s="663"/>
      <c r="R59" s="664"/>
      <c r="S59" s="664"/>
      <c r="T59" s="663"/>
      <c r="U59" s="663"/>
      <c r="V59" s="663"/>
      <c r="W59" s="666"/>
      <c r="X59" s="666"/>
      <c r="Y59" s="666"/>
      <c r="Z59" s="666"/>
      <c r="AA59" s="666"/>
      <c r="AB59" s="666"/>
      <c r="AC59" s="665" t="str">
        <f t="shared" si="0"/>
        <v/>
      </c>
      <c r="AD59" s="665"/>
      <c r="AE59" s="665"/>
      <c r="AF59" s="663"/>
      <c r="AG59" s="662"/>
      <c r="AH59" s="663"/>
      <c r="AI59" s="663"/>
      <c r="AJ59" s="665"/>
      <c r="AK59" s="665"/>
      <c r="AL59" s="665"/>
      <c r="AM59" s="665"/>
      <c r="AN59" s="667"/>
      <c r="AO59" s="666"/>
      <c r="AP59" s="666"/>
      <c r="AQ59" s="666">
        <f>+FL_1($T$60,$T$58,$G$59,1200,9.28,-1*$F$60)</f>
        <v>0.3300715479114793</v>
      </c>
      <c r="AR59" s="666"/>
      <c r="AS59" s="666"/>
      <c r="AT59" s="666"/>
      <c r="AU59" s="668"/>
      <c r="AV59" s="668"/>
      <c r="AW59" s="665" t="str">
        <f>IF(C59&gt;0,VLOOKUP(C59,Foundation_Calc!$A$2:$C$13,3,1),
IF(J59&gt;0,VLOOKUP(J59,Foundation_Calc!$A$2:$C$13,3,1),""))</f>
        <v/>
      </c>
      <c r="AX59" s="665" t="str">
        <f>IF(C59&gt;0,VLOOKUP(C59,Foundation_Calc!$E$2:$G$33,3,1),
IF(J59&gt;0,VLOOKUP(J59,Foundation_Calc!$E$2:$G$33,3,1),""))</f>
        <v/>
      </c>
      <c r="AY59" s="667" t="str">
        <f>IF(L59="","",
IF(AX59="PT",VLOOKUP(L59,Foundation_Calc!$K$79:$R$113,VLOOKUP(AW59,Foundation_Calc!$I$2:$J$8,2,FALSE),0),
IF(AX59="K",VLOOKUP(L59,Foundation_Calc!$K$117:$R$151,VLOOKUP(AW59,Foundation_Calc!$I$2:$J$8,2,FALSE),0),"")))</f>
        <v/>
      </c>
      <c r="AZ59" s="667" t="str">
        <f>IF(K59="","",
IF(AX59="PT",VLOOKUP(K59,Foundation_Calc!$K$79:$R$113,VLOOKUP(AW59,Foundation_Calc!$I$2:$J$8,2,FALSE),0),
IF(AX59="K",VLOOKUP(K59,Foundation_Calc!$K$117:$R$151,VLOOKUP(AW59,Foundation_Calc!$I$2:$J$8,2,FALSE),0),"")))</f>
        <v/>
      </c>
      <c r="BA59" s="495" t="str">
        <f t="shared" si="16"/>
        <v/>
      </c>
      <c r="BB59" s="495" t="str">
        <f t="shared" si="17"/>
        <v/>
      </c>
      <c r="BC59" s="495" t="str">
        <f t="shared" si="18"/>
        <v/>
      </c>
      <c r="BD59" s="513" t="str">
        <f>IF(AND(L59="",H59=""),"",
IF(H59="",Pole_Calc!A$9,
IF(H59="MP",Pole_Calc!A$10,
IF(H59="AnMP",Pole_Calc!A$11,
IF(H59="A",Pole_Calc!A$12,
IF(H59="S/A",Pole_Calc!A$13,
IF(H59="A/S",Pole_Calc!A$14,"Poner a mano")))))))</f>
        <v/>
      </c>
      <c r="BE59" s="429" t="s">
        <v>118</v>
      </c>
      <c r="BF59" s="290"/>
      <c r="BG59" s="290"/>
      <c r="BH59" s="290"/>
      <c r="BI59" s="290"/>
    </row>
    <row r="60" spans="1:61" ht="16.149999999999999" customHeight="1">
      <c r="A60" s="514"/>
      <c r="B60" s="450" t="s">
        <v>179</v>
      </c>
      <c r="C60" s="3">
        <f>+$C$58+$G$59</f>
        <v>31653.15</v>
      </c>
      <c r="D60" s="83"/>
      <c r="E60" s="4"/>
      <c r="F60" s="4">
        <f>IF(C60&gt;0,VLOOKUP(C60,'ALIGNMENT TRACK'!$A$1:$K$81,9,1))</f>
        <v>-1500</v>
      </c>
      <c r="G60" s="6"/>
      <c r="H60" s="449"/>
      <c r="I60" s="4"/>
      <c r="J60" s="3"/>
      <c r="K60" s="449"/>
      <c r="L60" s="449" t="s">
        <v>158</v>
      </c>
      <c r="M60" s="449" t="str">
        <f>IF(L60="","",
IF(AX60="PT",VLOOKUP(L60,Foundation_Calc!$V$79:$X$113,VLOOKUP(AX60,Foundation_Calc!$I$10:$J$13,2,FALSE),0),
IF(AX60="K",VLOOKUP(L60,Foundation_Calc!$V$117:$X$151,VLOOKUP(AX60,Foundation_Calc!$I$10:$J$13,2,FALSE),0),"")))</f>
        <v>C4R</v>
      </c>
      <c r="N60" s="449" t="s">
        <v>134</v>
      </c>
      <c r="O60" s="449"/>
      <c r="P60" s="449"/>
      <c r="Q60" s="4"/>
      <c r="R60" s="6"/>
      <c r="S60" s="6"/>
      <c r="T60" s="4">
        <v>30</v>
      </c>
      <c r="U60" s="4"/>
      <c r="V60" s="4"/>
      <c r="W60" s="9">
        <v>1.4</v>
      </c>
      <c r="X60" s="9"/>
      <c r="Y60" s="9"/>
      <c r="Z60" s="9"/>
      <c r="AA60" s="9"/>
      <c r="AB60" s="9"/>
      <c r="AC60" s="449" t="str">
        <f t="shared" si="0"/>
        <v>PHQ</v>
      </c>
      <c r="AD60" s="449"/>
      <c r="AE60" s="449"/>
      <c r="AF60" s="4"/>
      <c r="AG60" s="83"/>
      <c r="AH60" s="4"/>
      <c r="AI60" s="4"/>
      <c r="AJ60" s="449"/>
      <c r="AK60" s="449"/>
      <c r="AL60" s="449"/>
      <c r="AM60" s="449" t="s">
        <v>126</v>
      </c>
      <c r="AN60" s="10">
        <v>5.5</v>
      </c>
      <c r="AO60" s="9"/>
      <c r="AP60" s="9"/>
      <c r="AQ60" s="9"/>
      <c r="AR60" s="9"/>
      <c r="AS60" s="9"/>
      <c r="AT60" s="9">
        <f>+ab($T$60,$T$58,$T$62,$G$59,$G$61,-1*$F$60,1200)</f>
        <v>6.0563080124975599</v>
      </c>
      <c r="AU60" s="428"/>
      <c r="AV60" s="428"/>
      <c r="AW60" s="449" t="str">
        <f>IF(C60&gt;0,VLOOKUP(C60,Foundation_Calc!$A$2:$C$13,3,1),
IF(J60&gt;0,VLOOKUP(J60,Foundation_Calc!$A$2:$C$13,3,1),""))</f>
        <v>Multi Soil</v>
      </c>
      <c r="AX60" s="449" t="str">
        <f>IF(C60&gt;0,VLOOKUP(C60,Foundation_Calc!$E$2:$G$33,3,1),
IF(J60&gt;0,VLOOKUP(J60,Foundation_Calc!$E$2:$G$33,3,1),""))</f>
        <v>PT</v>
      </c>
      <c r="AY60" s="10">
        <f>IF(L60="","",
IF(AX60="PT",VLOOKUP(L60,Foundation_Calc!$K$79:$R$113,VLOOKUP(AW60,Foundation_Calc!$I$2:$J$8,2,FALSE),0),
IF(AX60="K",VLOOKUP(L60,Foundation_Calc!$K$117:$R$151,VLOOKUP(AW60,Foundation_Calc!$I$2:$J$8,2,FALSE),0),"")))</f>
        <v>3.5</v>
      </c>
      <c r="AZ60" s="10" t="str">
        <f>IF(K60="","",
IF(AX60="PT",VLOOKUP(K60,Foundation_Calc!$K$79:$R$113,VLOOKUP(AW60,Foundation_Calc!$I$2:$J$8,2,FALSE),0),
IF(AX60="K",VLOOKUP(K60,Foundation_Calc!$K$117:$R$151,VLOOKUP(AW60,Foundation_Calc!$I$2:$J$8,2,FALSE),0),"")))</f>
        <v/>
      </c>
      <c r="BA60" s="495" t="str">
        <f t="shared" si="16"/>
        <v>ü</v>
      </c>
      <c r="BB60" s="495" t="str">
        <f t="shared" si="17"/>
        <v/>
      </c>
      <c r="BC60" s="495" t="str">
        <f t="shared" si="18"/>
        <v/>
      </c>
      <c r="BD60" s="513" t="str">
        <f>IF(AND(L60="",H60=""),"",
IF(H60="",Pole_Calc!A$9,
IF(H60="MP",Pole_Calc!A$10,
IF(H60="AnMP",Pole_Calc!A$11,
IF(H60="A",Pole_Calc!A$12,
IF(H60="S/A",Pole_Calc!A$13,
IF(H60="A/S",Pole_Calc!A$14,"Poner a mano")))))))</f>
        <v>App.7-V11I-P9.5.1.1</v>
      </c>
      <c r="BE60" s="429" t="s">
        <v>118</v>
      </c>
      <c r="BF60" s="289"/>
      <c r="BG60" s="289"/>
      <c r="BH60" s="290"/>
      <c r="BI60" s="289"/>
    </row>
    <row r="61" spans="1:61" ht="16.149999999999999" customHeight="1">
      <c r="A61" s="659" t="s">
        <v>178</v>
      </c>
      <c r="B61" s="660"/>
      <c r="C61" s="661"/>
      <c r="D61" s="662"/>
      <c r="E61" s="663"/>
      <c r="F61" s="663"/>
      <c r="G61" s="664">
        <v>47.2</v>
      </c>
      <c r="H61" s="665"/>
      <c r="I61" s="663"/>
      <c r="J61" s="661">
        <f>C62-7.5</f>
        <v>31693.15</v>
      </c>
      <c r="K61" s="665" t="s">
        <v>117</v>
      </c>
      <c r="L61" s="665"/>
      <c r="M61" s="665" t="str">
        <f>IF(L61="","",
IF(AX61="PT",VLOOKUP(L61,Foundation_Calc!$V$79:$X$113,VLOOKUP(AX61,Foundation_Calc!$I$10:$J$13,2,FALSE),0),
IF(AX61="K",VLOOKUP(L61,Foundation_Calc!$V$117:$X$151,VLOOKUP(AX61,Foundation_Calc!$I$10:$J$13,2,FALSE),0),"")))</f>
        <v/>
      </c>
      <c r="N61" s="665"/>
      <c r="O61" s="665"/>
      <c r="P61" s="665"/>
      <c r="Q61" s="663"/>
      <c r="R61" s="664"/>
      <c r="S61" s="664"/>
      <c r="T61" s="663"/>
      <c r="U61" s="663"/>
      <c r="V61" s="663"/>
      <c r="W61" s="666"/>
      <c r="X61" s="666"/>
      <c r="Y61" s="666"/>
      <c r="Z61" s="666"/>
      <c r="AA61" s="666"/>
      <c r="AB61" s="666"/>
      <c r="AC61" s="665" t="str">
        <f t="shared" si="0"/>
        <v/>
      </c>
      <c r="AD61" s="665"/>
      <c r="AE61" s="665"/>
      <c r="AF61" s="663"/>
      <c r="AG61" s="662"/>
      <c r="AH61" s="663"/>
      <c r="AI61" s="663"/>
      <c r="AJ61" s="665"/>
      <c r="AK61" s="665"/>
      <c r="AL61" s="665"/>
      <c r="AM61" s="665"/>
      <c r="AN61" s="667"/>
      <c r="AO61" s="666"/>
      <c r="AP61" s="666"/>
      <c r="AQ61" s="666">
        <f>+FL_1($T$62,$T$60,$G$61,1200,9.28,-1*$F$62)</f>
        <v>0.32969304285764656</v>
      </c>
      <c r="AR61" s="666"/>
      <c r="AS61" s="666"/>
      <c r="AT61" s="666"/>
      <c r="AU61" s="668"/>
      <c r="AV61" s="668"/>
      <c r="AW61" s="665" t="str">
        <f>IF(C61&gt;0,VLOOKUP(C61,Foundation_Calc!$A$2:$C$13,3,1),
IF(J61&gt;0,VLOOKUP(J61,Foundation_Calc!$A$2:$C$13,3,1),""))</f>
        <v>Multi Soil</v>
      </c>
      <c r="AX61" s="665" t="str">
        <f>IF(C61&gt;0,VLOOKUP(C61,Foundation_Calc!$E$2:$G$33,3,1),
IF(J61&gt;0,VLOOKUP(J61,Foundation_Calc!$E$2:$G$33,3,1),""))</f>
        <v>PT</v>
      </c>
      <c r="AY61" s="667" t="str">
        <f>IF(L61="","",
IF(AX61="PT",VLOOKUP(L61,Foundation_Calc!$K$79:$R$113,VLOOKUP(AW61,Foundation_Calc!$I$2:$J$8,2,FALSE),0),
IF(AX61="K",VLOOKUP(L61,Foundation_Calc!$K$117:$R$151,VLOOKUP(AW61,Foundation_Calc!$I$2:$J$8,2,FALSE),0),"")))</f>
        <v/>
      </c>
      <c r="AZ61" s="667">
        <f>IF(K61="","",
IF(AX61="PT",VLOOKUP(K61,Foundation_Calc!$K$79:$R$113,VLOOKUP(AW61,Foundation_Calc!$I$2:$J$8,2,FALSE),0),
IF(AX61="K",VLOOKUP(K61,Foundation_Calc!$K$117:$R$151,VLOOKUP(AW61,Foundation_Calc!$I$2:$J$8,2,FALSE),0),"")))</f>
        <v>3.9</v>
      </c>
      <c r="BA61" s="495" t="str">
        <f t="shared" si="16"/>
        <v/>
      </c>
      <c r="BB61" s="495" t="str">
        <f t="shared" si="17"/>
        <v>ü</v>
      </c>
      <c r="BC61" s="495" t="str">
        <f t="shared" si="18"/>
        <v/>
      </c>
      <c r="BD61" s="513" t="str">
        <f>IF(AND(L61="",H61=""),"",
IF(H61="",Pole_Calc!A$9,
IF(H61="MP",Pole_Calc!A$10,
IF(H61="AnMP",Pole_Calc!A$11,
IF(H61="A",Pole_Calc!A$12,
IF(H61="S/A",Pole_Calc!A$13,
IF(H61="A/S",Pole_Calc!A$14,"Poner a mano")))))))</f>
        <v/>
      </c>
      <c r="BE61" s="429" t="s">
        <v>118</v>
      </c>
      <c r="BF61" s="290"/>
      <c r="BG61" s="290"/>
      <c r="BH61" s="290"/>
      <c r="BI61" s="290"/>
    </row>
    <row r="62" spans="1:61" ht="16.149999999999999" customHeight="1">
      <c r="A62" s="514"/>
      <c r="B62" s="450" t="s">
        <v>180</v>
      </c>
      <c r="C62" s="3">
        <f>+$C$60+$G$61+0.3</f>
        <v>31700.65</v>
      </c>
      <c r="D62" s="83"/>
      <c r="E62" s="4"/>
      <c r="F62" s="4">
        <f>IF(C62&gt;0,VLOOKUP(C62,'ALIGNMENT TRACK'!$A$1:$K$81,9,1))</f>
        <v>-1500</v>
      </c>
      <c r="G62" s="6"/>
      <c r="H62" s="449" t="s">
        <v>121</v>
      </c>
      <c r="I62" s="4" t="s">
        <v>122</v>
      </c>
      <c r="J62" s="3"/>
      <c r="K62" s="449"/>
      <c r="L62" s="449" t="s">
        <v>181</v>
      </c>
      <c r="M62" s="449" t="str">
        <f>IF(L62="","",
IF(AX62="PT",VLOOKUP(L62,Foundation_Calc!$V$79:$X$113,VLOOKUP(AX62,Foundation_Calc!$I$10:$J$13,2,FALSE),0),
IF(AX62="K",VLOOKUP(L62,Foundation_Calc!$V$117:$X$151,VLOOKUP(AX62,Foundation_Calc!$I$10:$J$13,2,FALSE),0),"")))</f>
        <v>C5R</v>
      </c>
      <c r="N62" s="449" t="s">
        <v>134</v>
      </c>
      <c r="O62" s="449"/>
      <c r="P62" s="449"/>
      <c r="Q62" s="4"/>
      <c r="R62" s="6"/>
      <c r="S62" s="6"/>
      <c r="T62" s="4">
        <v>30</v>
      </c>
      <c r="U62" s="4"/>
      <c r="V62" s="4"/>
      <c r="W62" s="9">
        <v>1.4</v>
      </c>
      <c r="X62" s="9"/>
      <c r="Y62" s="9"/>
      <c r="Z62" s="9"/>
      <c r="AA62" s="9"/>
      <c r="AB62" s="9"/>
      <c r="AC62" s="449" t="str">
        <f t="shared" si="0"/>
        <v>PHQ</v>
      </c>
      <c r="AD62" s="449"/>
      <c r="AE62" s="449"/>
      <c r="AF62" s="4"/>
      <c r="AG62" s="83"/>
      <c r="AH62" s="4"/>
      <c r="AI62" s="4"/>
      <c r="AJ62" s="449"/>
      <c r="AK62" s="449"/>
      <c r="AL62" s="449"/>
      <c r="AM62" s="449" t="s">
        <v>126</v>
      </c>
      <c r="AN62" s="10">
        <v>5.5</v>
      </c>
      <c r="AO62" s="9"/>
      <c r="AP62" s="9"/>
      <c r="AQ62" s="9"/>
      <c r="AR62" s="9"/>
      <c r="AS62" s="9"/>
      <c r="AT62" s="9">
        <f>+ab($T$62,$T$60,$U$64,$G$61,$G$63,-1*$F$62,1200)</f>
        <v>5.256974959070809</v>
      </c>
      <c r="AU62" s="428"/>
      <c r="AV62" s="428"/>
      <c r="AW62" s="449" t="str">
        <f>IF(C62&gt;0,VLOOKUP(C62,Foundation_Calc!$A$2:$C$13,3,1),
IF(J62&gt;0,VLOOKUP(J62,Foundation_Calc!$A$2:$C$13,3,1),""))</f>
        <v>Multi Soil</v>
      </c>
      <c r="AX62" s="449" t="str">
        <f>IF(C62&gt;0,VLOOKUP(C62,Foundation_Calc!$E$2:$G$33,3,1),
IF(J62&gt;0,VLOOKUP(J62,Foundation_Calc!$E$2:$G$33,3,1),""))</f>
        <v>PT</v>
      </c>
      <c r="AY62" s="10">
        <f>IF(L62="","",
IF(AX62="PT",VLOOKUP(L62,Foundation_Calc!$K$79:$R$113,VLOOKUP(AW62,Foundation_Calc!$I$2:$J$8,2,FALSE),0),
IF(AX62="K",VLOOKUP(L62,Foundation_Calc!$K$117:$R$151,VLOOKUP(AW62,Foundation_Calc!$I$2:$J$8,2,FALSE),0),"")))</f>
        <v>3.5</v>
      </c>
      <c r="AZ62" s="10" t="str">
        <f>IF(K62="","",
IF(AX62="PT",VLOOKUP(K62,Foundation_Calc!$K$79:$R$113,VLOOKUP(AW62,Foundation_Calc!$I$2:$J$8,2,FALSE),0),
IF(AX62="K",VLOOKUP(K62,Foundation_Calc!$K$117:$R$151,VLOOKUP(AW62,Foundation_Calc!$I$2:$J$8,2,FALSE),0),"")))</f>
        <v/>
      </c>
      <c r="BA62" s="495" t="str">
        <f t="shared" si="16"/>
        <v>ü</v>
      </c>
      <c r="BB62" s="495" t="str">
        <f t="shared" si="17"/>
        <v/>
      </c>
      <c r="BC62" s="495" t="str">
        <f t="shared" si="18"/>
        <v/>
      </c>
      <c r="BD62" s="513" t="str">
        <f>IF(AND(L62="",H62=""),"",
IF(H62="",Pole_Calc!A$9,
IF(H62="MP",Pole_Calc!A$10,
IF(H62="AnMP",Pole_Calc!A$11,
IF(H62="A",Pole_Calc!A$12,
IF(H62="S/A",Pole_Calc!A$13,
IF(H62="A/S",Pole_Calc!A$14,"Poner a mano")))))))</f>
        <v>App.7-V11I-P9.5.1.6</v>
      </c>
      <c r="BE62" s="429" t="s">
        <v>118</v>
      </c>
      <c r="BF62" s="289"/>
      <c r="BG62" s="289"/>
      <c r="BH62" s="290"/>
      <c r="BI62" s="289"/>
    </row>
    <row r="63" spans="1:61" ht="16.149999999999999" customHeight="1">
      <c r="A63" s="514"/>
      <c r="B63" s="450"/>
      <c r="C63" s="3"/>
      <c r="D63" s="83"/>
      <c r="E63" s="4"/>
      <c r="F63" s="4"/>
      <c r="G63" s="6">
        <v>50</v>
      </c>
      <c r="H63" s="449"/>
      <c r="I63" s="4"/>
      <c r="J63" s="3"/>
      <c r="K63" s="449"/>
      <c r="L63" s="449"/>
      <c r="M63" s="449" t="str">
        <f>IF(L63="","",
IF(AX63="PT",VLOOKUP(L63,Foundation_Calc!$V$79:$X$113,VLOOKUP(AX63,Foundation_Calc!$I$10:$J$13,2,FALSE),0),
IF(AX63="K",VLOOKUP(L63,Foundation_Calc!$V$117:$X$151,VLOOKUP(AX63,Foundation_Calc!$I$10:$J$13,2,FALSE),0),"")))</f>
        <v/>
      </c>
      <c r="N63" s="449"/>
      <c r="O63" s="449"/>
      <c r="P63" s="449"/>
      <c r="Q63" s="4"/>
      <c r="R63" s="6"/>
      <c r="S63" s="6"/>
      <c r="T63" s="4"/>
      <c r="U63" s="4"/>
      <c r="V63" s="4"/>
      <c r="W63" s="9"/>
      <c r="X63" s="9"/>
      <c r="Y63" s="9"/>
      <c r="Z63" s="9"/>
      <c r="AA63" s="9"/>
      <c r="AB63" s="9"/>
      <c r="AC63" s="449" t="str">
        <f t="shared" si="0"/>
        <v/>
      </c>
      <c r="AD63" s="449"/>
      <c r="AE63" s="449"/>
      <c r="AF63" s="4"/>
      <c r="AG63" s="83"/>
      <c r="AH63" s="4"/>
      <c r="AI63" s="4"/>
      <c r="AJ63" s="449"/>
      <c r="AK63" s="449"/>
      <c r="AL63" s="449"/>
      <c r="AM63" s="449"/>
      <c r="AN63" s="10"/>
      <c r="AO63" s="9"/>
      <c r="AP63" s="9"/>
      <c r="AQ63" s="9">
        <f>+FL_1($U$64,$T$62,$G$63,1200,9.28,-1*$F$64)</f>
        <v>0.3000133279906077</v>
      </c>
      <c r="AR63" s="9"/>
      <c r="AS63" s="9"/>
      <c r="AT63" s="9"/>
      <c r="AU63" s="428"/>
      <c r="AV63" s="428"/>
      <c r="AW63" s="449" t="str">
        <f>IF(C63&gt;0,VLOOKUP(C63,Foundation_Calc!$A$2:$C$13,3,1),
IF(J63&gt;0,VLOOKUP(J63,Foundation_Calc!$A$2:$C$13,3,1),""))</f>
        <v/>
      </c>
      <c r="AX63" s="449" t="str">
        <f>IF(C63&gt;0,VLOOKUP(C63,Foundation_Calc!$E$2:$G$33,3,1),
IF(J63&gt;0,VLOOKUP(J63,Foundation_Calc!$E$2:$G$33,3,1),""))</f>
        <v/>
      </c>
      <c r="AY63" s="10" t="str">
        <f>IF(L63="","",
IF(AX63="PT",VLOOKUP(L63,Foundation_Calc!$K$79:$R$113,VLOOKUP(AW63,Foundation_Calc!$I$2:$J$8,2,FALSE),0),
IF(AX63="K",VLOOKUP(L63,Foundation_Calc!$K$117:$R$151,VLOOKUP(AW63,Foundation_Calc!$I$2:$J$8,2,FALSE),0),"")))</f>
        <v/>
      </c>
      <c r="AZ63" s="10" t="str">
        <f>IF(K63="","",
IF(AX63="PT",VLOOKUP(K63,Foundation_Calc!$K$79:$R$113,VLOOKUP(AW63,Foundation_Calc!$I$2:$J$8,2,FALSE),0),
IF(AX63="K",VLOOKUP(K63,Foundation_Calc!$K$117:$R$151,VLOOKUP(AW63,Foundation_Calc!$I$2:$J$8,2,FALSE),0),"")))</f>
        <v/>
      </c>
      <c r="BA63" s="495" t="str">
        <f t="shared" ref="BA63:BA90" si="19">IF(AY63="","",IF(AY63&gt;0,"ü",""))</f>
        <v/>
      </c>
      <c r="BB63" s="495" t="str">
        <f t="shared" ref="BB63:BB90" si="20">IF(AZ63="","",IF(AZ63&gt;0,"ü",""))</f>
        <v/>
      </c>
      <c r="BC63" s="495" t="str">
        <f t="shared" ref="BC63:BC90" si="21">IF(M63="","",IF(M63="U.S.","ü",IF(M63="U.S. N.D.","ü","")))</f>
        <v/>
      </c>
      <c r="BD63" s="513" t="str">
        <f>IF(AND(L63="",H63=""),"",
IF(H63="",Pole_Calc!A$9,
IF(H63="MP",Pole_Calc!A$10,
IF(H63="AnMP",Pole_Calc!A$11,
IF(H63="A",Pole_Calc!A$12,
IF(H63="S/A",Pole_Calc!A$13,
IF(H63="A/S",Pole_Calc!A$14,"Poner a mano")))))))</f>
        <v/>
      </c>
      <c r="BE63" s="429" t="s">
        <v>118</v>
      </c>
      <c r="BF63" s="290"/>
      <c r="BG63" s="290"/>
      <c r="BH63" s="290"/>
      <c r="BI63" s="290"/>
    </row>
    <row r="64" spans="1:61" ht="16.149999999999999" customHeight="1">
      <c r="A64" s="514"/>
      <c r="B64" s="450" t="s">
        <v>182</v>
      </c>
      <c r="C64" s="3">
        <f>+$C$62+$G$63</f>
        <v>31750.65</v>
      </c>
      <c r="D64" s="83"/>
      <c r="E64" s="4"/>
      <c r="F64" s="4">
        <f>IF(C64&gt;0,VLOOKUP(C64,'ALIGNMENT TRACK'!$A$1:$K$81,9,1))</f>
        <v>-1500</v>
      </c>
      <c r="G64" s="6"/>
      <c r="H64" s="449" t="s">
        <v>131</v>
      </c>
      <c r="I64" s="4"/>
      <c r="J64" s="3"/>
      <c r="K64" s="449"/>
      <c r="L64" s="449" t="s">
        <v>183</v>
      </c>
      <c r="M64" s="449" t="str">
        <f>IF(L64="","",
IF(AX64="PT",VLOOKUP(L64,Foundation_Calc!$V$79:$X$113,VLOOKUP(AX64,Foundation_Calc!$I$10:$J$13,2,FALSE),0),
IF(AX64="K",VLOOKUP(L64,Foundation_Calc!$V$117:$X$151,VLOOKUP(AX64,Foundation_Calc!$I$10:$J$13,2,FALSE),0),"")))</f>
        <v>2C3R</v>
      </c>
      <c r="N64" s="449" t="s">
        <v>133</v>
      </c>
      <c r="O64" s="449" t="s">
        <v>134</v>
      </c>
      <c r="P64" s="449"/>
      <c r="Q64" s="4"/>
      <c r="R64" s="6"/>
      <c r="S64" s="6"/>
      <c r="T64" s="4">
        <v>30</v>
      </c>
      <c r="U64" s="4">
        <v>10</v>
      </c>
      <c r="V64" s="4"/>
      <c r="W64" s="9">
        <v>1.4</v>
      </c>
      <c r="X64" s="9">
        <v>2.2999999999999998</v>
      </c>
      <c r="Y64" s="9"/>
      <c r="Z64" s="9">
        <v>0.45</v>
      </c>
      <c r="AA64" s="9"/>
      <c r="AB64" s="9"/>
      <c r="AC64" s="449"/>
      <c r="AD64" s="449"/>
      <c r="AE64" s="449"/>
      <c r="AF64" s="4"/>
      <c r="AG64" s="83"/>
      <c r="AH64" s="4"/>
      <c r="AI64" s="4"/>
      <c r="AJ64" s="449"/>
      <c r="AK64" s="449"/>
      <c r="AL64" s="449"/>
      <c r="AM64" s="449" t="s">
        <v>126</v>
      </c>
      <c r="AN64" s="10">
        <v>5.5</v>
      </c>
      <c r="AO64" s="9"/>
      <c r="AP64" s="9"/>
      <c r="AQ64" s="9"/>
      <c r="AR64" s="9"/>
      <c r="AS64" s="9"/>
      <c r="AT64" s="9">
        <f>+ab($U$64,$T$62,$U$66,$G$63,$G$65,-1*$F$64,1200)</f>
        <v>6.5135890367228049</v>
      </c>
      <c r="AU64" s="428"/>
      <c r="AV64" s="428"/>
      <c r="AW64" s="449" t="str">
        <f>IF(C64&gt;0,VLOOKUP(C64,Foundation_Calc!$A$2:$C$13,3,1),
IF(J64&gt;0,VLOOKUP(J64,Foundation_Calc!$A$2:$C$13,3,1),""))</f>
        <v>Multi Soil</v>
      </c>
      <c r="AX64" s="449" t="str">
        <f>IF(C64&gt;0,VLOOKUP(C64,Foundation_Calc!$E$2:$G$33,3,1),
IF(J64&gt;0,VLOOKUP(J64,Foundation_Calc!$E$2:$G$33,3,1),""))</f>
        <v>PT</v>
      </c>
      <c r="AY64" s="10">
        <f>IF(L64="","",
IF(AX64="PT",VLOOKUP(L64,Foundation_Calc!$K$79:$R$113,VLOOKUP(AW64,Foundation_Calc!$I$2:$J$8,2,FALSE),0),
IF(AX64="K",VLOOKUP(L64,Foundation_Calc!$K$117:$R$151,VLOOKUP(AW64,Foundation_Calc!$I$2:$J$8,2,FALSE),0),"")))</f>
        <v>3.7</v>
      </c>
      <c r="AZ64" s="10" t="str">
        <f>IF(K64="","",
IF(AX64="PT",VLOOKUP(K64,Foundation_Calc!$K$79:$R$113,VLOOKUP(AW64,Foundation_Calc!$I$2:$J$8,2,FALSE),0),
IF(AX64="K",VLOOKUP(K64,Foundation_Calc!$K$117:$R$151,VLOOKUP(AW64,Foundation_Calc!$I$2:$J$8,2,FALSE),0),"")))</f>
        <v/>
      </c>
      <c r="BA64" s="495" t="str">
        <f t="shared" si="19"/>
        <v>ü</v>
      </c>
      <c r="BB64" s="495" t="str">
        <f t="shared" si="20"/>
        <v/>
      </c>
      <c r="BC64" s="495" t="str">
        <f t="shared" si="21"/>
        <v/>
      </c>
      <c r="BD64" s="513" t="str">
        <f>IF(AND(L64="",H64=""),"",
IF(H64="",Pole_Calc!A$9,
IF(H64="MP",Pole_Calc!A$10,
IF(H64="AnMP",Pole_Calc!A$11,
IF(H64="A",Pole_Calc!A$12,
IF(H64="S/A",Pole_Calc!A$13,
IF(H64="A/S",Pole_Calc!A$14,"Poner a mano")))))))</f>
        <v>App.7-V11I-P9.5.1.5</v>
      </c>
      <c r="BE64" s="429" t="s">
        <v>118</v>
      </c>
      <c r="BF64" s="289"/>
      <c r="BG64" s="289"/>
      <c r="BH64" s="290"/>
      <c r="BI64" s="289"/>
    </row>
    <row r="65" spans="1:61" ht="16.149999999999999" customHeight="1">
      <c r="A65" s="514"/>
      <c r="B65" s="450"/>
      <c r="C65" s="3"/>
      <c r="D65" s="83"/>
      <c r="E65" s="4"/>
      <c r="F65" s="4"/>
      <c r="G65" s="6">
        <v>50</v>
      </c>
      <c r="H65" s="449"/>
      <c r="I65" s="4"/>
      <c r="J65" s="3"/>
      <c r="K65" s="449"/>
      <c r="L65" s="449"/>
      <c r="M65" s="449" t="str">
        <f>IF(L65="","",
IF(AX65="PT",VLOOKUP(L65,Foundation_Calc!$V$79:$X$113,VLOOKUP(AX65,Foundation_Calc!$I$10:$J$13,2,FALSE),0),
IF(AX65="K",VLOOKUP(L65,Foundation_Calc!$V$117:$X$151,VLOOKUP(AX65,Foundation_Calc!$I$10:$J$13,2,FALSE),0),"")))</f>
        <v/>
      </c>
      <c r="N65" s="449"/>
      <c r="O65" s="449"/>
      <c r="P65" s="449"/>
      <c r="Q65" s="4"/>
      <c r="R65" s="6"/>
      <c r="S65" s="6"/>
      <c r="T65" s="4"/>
      <c r="U65" s="4"/>
      <c r="V65" s="4"/>
      <c r="W65" s="9"/>
      <c r="X65" s="9"/>
      <c r="Y65" s="9"/>
      <c r="Z65" s="9"/>
      <c r="AA65" s="9"/>
      <c r="AB65" s="9"/>
      <c r="AC65" s="449" t="str">
        <f t="shared" si="0"/>
        <v/>
      </c>
      <c r="AD65" s="449"/>
      <c r="AE65" s="449"/>
      <c r="AF65" s="4"/>
      <c r="AG65" s="83"/>
      <c r="AH65" s="4"/>
      <c r="AI65" s="4"/>
      <c r="AJ65" s="449"/>
      <c r="AK65" s="449"/>
      <c r="AL65" s="449"/>
      <c r="AM65" s="449"/>
      <c r="AN65" s="10"/>
      <c r="AO65" s="9"/>
      <c r="AP65" s="9"/>
      <c r="AQ65" s="9">
        <f>+FL_1($T$66,$U$64,$G$65,1200,9.28,-1*$F$66)</f>
        <v>0.3</v>
      </c>
      <c r="AR65" s="9"/>
      <c r="AS65" s="9"/>
      <c r="AT65" s="9"/>
      <c r="AU65" s="428"/>
      <c r="AV65" s="428"/>
      <c r="AW65" s="449" t="str">
        <f>IF(C65&gt;0,VLOOKUP(C65,Foundation_Calc!$A$2:$C$13,3,1),
IF(J65&gt;0,VLOOKUP(J65,Foundation_Calc!$A$2:$C$13,3,1),""))</f>
        <v/>
      </c>
      <c r="AX65" s="449" t="str">
        <f>IF(C65&gt;0,VLOOKUP(C65,Foundation_Calc!$E$2:$G$33,3,1),
IF(J65&gt;0,VLOOKUP(J65,Foundation_Calc!$E$2:$G$33,3,1),""))</f>
        <v/>
      </c>
      <c r="AY65" s="10" t="str">
        <f>IF(L65="","",
IF(AX65="PT",VLOOKUP(L65,Foundation_Calc!$K$79:$R$113,VLOOKUP(AW65,Foundation_Calc!$I$2:$J$8,2,FALSE),0),
IF(AX65="K",VLOOKUP(L65,Foundation_Calc!$K$117:$R$151,VLOOKUP(AW65,Foundation_Calc!$I$2:$J$8,2,FALSE),0),"")))</f>
        <v/>
      </c>
      <c r="AZ65" s="10" t="str">
        <f>IF(K65="","",
IF(AX65="PT",VLOOKUP(K65,Foundation_Calc!$K$79:$R$113,VLOOKUP(AW65,Foundation_Calc!$I$2:$J$8,2,FALSE),0),
IF(AX65="K",VLOOKUP(K65,Foundation_Calc!$K$117:$R$151,VLOOKUP(AW65,Foundation_Calc!$I$2:$J$8,2,FALSE),0),"")))</f>
        <v/>
      </c>
      <c r="BA65" s="495" t="str">
        <f t="shared" si="19"/>
        <v/>
      </c>
      <c r="BB65" s="495" t="str">
        <f t="shared" si="20"/>
        <v/>
      </c>
      <c r="BC65" s="495" t="str">
        <f t="shared" si="21"/>
        <v/>
      </c>
      <c r="BD65" s="513" t="str">
        <f>IF(AND(L65="",H65=""),"",
IF(H65="",Pole_Calc!A$9,
IF(H65="MP",Pole_Calc!A$10,
IF(H65="AnMP",Pole_Calc!A$11,
IF(H65="A",Pole_Calc!A$12,
IF(H65="S/A",Pole_Calc!A$13,
IF(H65="A/S",Pole_Calc!A$14,"Poner a mano")))))))</f>
        <v/>
      </c>
      <c r="BE65" s="429" t="s">
        <v>118</v>
      </c>
      <c r="BF65" s="290"/>
      <c r="BG65" s="290"/>
      <c r="BH65" s="290"/>
      <c r="BI65" s="290"/>
    </row>
    <row r="66" spans="1:61" ht="16.149999999999999" customHeight="1">
      <c r="A66" s="514"/>
      <c r="B66" s="450" t="s">
        <v>184</v>
      </c>
      <c r="C66" s="3">
        <f>+$C$64+$G$65</f>
        <v>31800.65</v>
      </c>
      <c r="D66" s="83"/>
      <c r="E66" s="4"/>
      <c r="F66" s="4">
        <f>IF(C66&gt;0,VLOOKUP(C66,'ALIGNMENT TRACK'!$A$1:$K$81,9,1))</f>
        <v>-1500</v>
      </c>
      <c r="G66" s="6"/>
      <c r="H66" s="449" t="s">
        <v>131</v>
      </c>
      <c r="I66" s="4"/>
      <c r="J66" s="3"/>
      <c r="K66" s="449"/>
      <c r="L66" s="449" t="s">
        <v>183</v>
      </c>
      <c r="M66" s="449" t="str">
        <f>IF(L66="","",
IF(AX66="PT",VLOOKUP(L66,Foundation_Calc!$V$79:$X$113,VLOOKUP(AX66,Foundation_Calc!$I$10:$J$13,2,FALSE),0),
IF(AX66="K",VLOOKUP(L66,Foundation_Calc!$V$117:$X$151,VLOOKUP(AX66,Foundation_Calc!$I$10:$J$13,2,FALSE),0),"")))</f>
        <v>2C3R</v>
      </c>
      <c r="N66" s="449" t="s">
        <v>134</v>
      </c>
      <c r="O66" s="449" t="s">
        <v>133</v>
      </c>
      <c r="P66" s="449"/>
      <c r="Q66" s="4"/>
      <c r="R66" s="6"/>
      <c r="S66" s="6"/>
      <c r="T66" s="4">
        <v>30</v>
      </c>
      <c r="U66" s="4">
        <v>10</v>
      </c>
      <c r="V66" s="4"/>
      <c r="W66" s="9">
        <v>1.4</v>
      </c>
      <c r="X66" s="9">
        <v>2.2999999999999998</v>
      </c>
      <c r="Y66" s="9"/>
      <c r="Z66" s="9"/>
      <c r="AA66" s="9">
        <v>0.45</v>
      </c>
      <c r="AB66" s="9"/>
      <c r="AC66" s="449" t="str">
        <f t="shared" si="0"/>
        <v>PHQ</v>
      </c>
      <c r="AD66" s="449"/>
      <c r="AE66" s="449"/>
      <c r="AF66" s="4"/>
      <c r="AG66" s="83"/>
      <c r="AH66" s="4"/>
      <c r="AI66" s="4"/>
      <c r="AJ66" s="449"/>
      <c r="AK66" s="449"/>
      <c r="AL66" s="449"/>
      <c r="AM66" s="449" t="s">
        <v>126</v>
      </c>
      <c r="AN66" s="10">
        <v>5.5</v>
      </c>
      <c r="AO66" s="9"/>
      <c r="AP66" s="9"/>
      <c r="AQ66" s="9"/>
      <c r="AR66" s="9"/>
      <c r="AS66" s="9"/>
      <c r="AT66" s="9">
        <f>+ab($T$66,$T$64,$T$68,$G$65,$G$67,-1*$F$66,1200)</f>
        <v>5.7375244864003294</v>
      </c>
      <c r="AU66" s="428"/>
      <c r="AV66" s="428"/>
      <c r="AW66" s="449" t="str">
        <f>IF(C66&gt;0,VLOOKUP(C66,Foundation_Calc!$A$2:$C$13,3,1),
IF(J66&gt;0,VLOOKUP(J66,Foundation_Calc!$A$2:$C$13,3,1),""))</f>
        <v>Multi Soil</v>
      </c>
      <c r="AX66" s="449" t="str">
        <f>IF(C66&gt;0,VLOOKUP(C66,Foundation_Calc!$E$2:$G$33,3,1),
IF(J66&gt;0,VLOOKUP(J66,Foundation_Calc!$E$2:$G$33,3,1),""))</f>
        <v>PT</v>
      </c>
      <c r="AY66" s="10">
        <f>IF(L66="","",
IF(AX66="PT",VLOOKUP(L66,Foundation_Calc!$K$79:$R$113,VLOOKUP(AW66,Foundation_Calc!$I$2:$J$8,2,FALSE),0),
IF(AX66="K",VLOOKUP(L66,Foundation_Calc!$K$117:$R$151,VLOOKUP(AW66,Foundation_Calc!$I$2:$J$8,2,FALSE),0),"")))</f>
        <v>3.7</v>
      </c>
      <c r="AZ66" s="10" t="str">
        <f>IF(K66="","",
IF(AX66="PT",VLOOKUP(K66,Foundation_Calc!$K$79:$R$113,VLOOKUP(AW66,Foundation_Calc!$I$2:$J$8,2,FALSE),0),
IF(AX66="K",VLOOKUP(K66,Foundation_Calc!$K$117:$R$151,VLOOKUP(AW66,Foundation_Calc!$I$2:$J$8,2,FALSE),0),"")))</f>
        <v/>
      </c>
      <c r="BA66" s="495" t="str">
        <f t="shared" si="19"/>
        <v>ü</v>
      </c>
      <c r="BB66" s="495" t="str">
        <f t="shared" si="20"/>
        <v/>
      </c>
      <c r="BC66" s="495" t="str">
        <f t="shared" si="21"/>
        <v/>
      </c>
      <c r="BD66" s="513" t="str">
        <f>IF(AND(L66="",H66=""),"",
IF(H66="",Pole_Calc!A$9,
IF(H66="MP",Pole_Calc!A$10,
IF(H66="AnMP",Pole_Calc!A$11,
IF(H66="A",Pole_Calc!A$12,
IF(H66="S/A",Pole_Calc!A$13,
IF(H66="A/S",Pole_Calc!A$14,"Poner a mano")))))))</f>
        <v>App.7-V11I-P9.5.1.5</v>
      </c>
      <c r="BE66" s="429" t="s">
        <v>118</v>
      </c>
      <c r="BF66" s="289"/>
      <c r="BG66" s="289"/>
      <c r="BH66" s="290"/>
      <c r="BI66" s="289"/>
    </row>
    <row r="67" spans="1:61" ht="16.149999999999999" customHeight="1">
      <c r="A67" s="514"/>
      <c r="B67" s="450"/>
      <c r="C67" s="3"/>
      <c r="D67" s="83"/>
      <c r="E67" s="4"/>
      <c r="F67" s="4"/>
      <c r="G67" s="6">
        <v>50</v>
      </c>
      <c r="H67" s="449"/>
      <c r="I67" s="4"/>
      <c r="J67" s="3"/>
      <c r="K67" s="449"/>
      <c r="L67" s="449"/>
      <c r="M67" s="449" t="str">
        <f>IF(L67="","",
IF(AX67="PT",VLOOKUP(L67,Foundation_Calc!$V$79:$X$113,VLOOKUP(AX67,Foundation_Calc!$I$10:$J$13,2,FALSE),0),
IF(AX67="K",VLOOKUP(L67,Foundation_Calc!$V$117:$X$151,VLOOKUP(AX67,Foundation_Calc!$I$10:$J$13,2,FALSE),0),"")))</f>
        <v/>
      </c>
      <c r="N67" s="449"/>
      <c r="O67" s="449"/>
      <c r="P67" s="449"/>
      <c r="Q67" s="4"/>
      <c r="R67" s="6"/>
      <c r="S67" s="6"/>
      <c r="T67" s="4"/>
      <c r="U67" s="4"/>
      <c r="V67" s="4"/>
      <c r="W67" s="572"/>
      <c r="X67" s="9"/>
      <c r="Y67" s="9"/>
      <c r="Z67" s="9"/>
      <c r="AA67" s="9"/>
      <c r="AB67" s="9"/>
      <c r="AC67" s="449" t="str">
        <f t="shared" si="0"/>
        <v/>
      </c>
      <c r="AD67" s="449"/>
      <c r="AE67" s="449"/>
      <c r="AF67" s="4"/>
      <c r="AG67" s="83"/>
      <c r="AH67" s="4"/>
      <c r="AI67" s="4"/>
      <c r="AJ67" s="449"/>
      <c r="AK67" s="449"/>
      <c r="AL67" s="449"/>
      <c r="AM67" s="449"/>
      <c r="AN67" s="10"/>
      <c r="AO67" s="9"/>
      <c r="AP67" s="9"/>
      <c r="AQ67" s="9">
        <f>+FL_1($T$68,$T$66,$G$67,1200,9.28,-1*$F$68)</f>
        <v>0.33331886373108921</v>
      </c>
      <c r="AR67" s="9"/>
      <c r="AS67" s="9"/>
      <c r="AT67" s="9"/>
      <c r="AU67" s="428"/>
      <c r="AV67" s="428"/>
      <c r="AW67" s="449"/>
      <c r="AX67" s="449" t="str">
        <f>IF(C67&gt;0,VLOOKUP(C67,Foundation_Calc!$E$2:$G$33,3,1),
IF(J67&gt;0,VLOOKUP(J67,Foundation_Calc!$E$2:$G$33,3,1),""))</f>
        <v/>
      </c>
      <c r="AY67" s="10" t="str">
        <f>IF(L67="","",
IF(AX67="PT",VLOOKUP(L67,Foundation_Calc!$K$79:$R$113,VLOOKUP(AW67,Foundation_Calc!$I$2:$J$8,2,FALSE),0),
IF(AX67="K",VLOOKUP(L67,Foundation_Calc!$K$117:$R$151,VLOOKUP(AW67,Foundation_Calc!$I$2:$J$8,2,FALSE),0),"")))</f>
        <v/>
      </c>
      <c r="AZ67" s="10" t="str">
        <f>IF(K67="","",
IF(AX67="PT",VLOOKUP(K67,Foundation_Calc!$K$79:$R$113,VLOOKUP(AW67,Foundation_Calc!$I$2:$J$8,2,FALSE),0),
IF(AX67="K",VLOOKUP(K67,Foundation_Calc!$K$117:$R$151,VLOOKUP(AW67,Foundation_Calc!$I$2:$J$8,2,FALSE),0),"")))</f>
        <v/>
      </c>
      <c r="BA67" s="495" t="str">
        <f t="shared" si="19"/>
        <v/>
      </c>
      <c r="BB67" s="495" t="str">
        <f t="shared" si="20"/>
        <v/>
      </c>
      <c r="BC67" s="495" t="str">
        <f t="shared" si="21"/>
        <v/>
      </c>
      <c r="BD67" s="513" t="str">
        <f>IF(AND(L67="",H67=""),"",
IF(H67="",Pole_Calc!A$9,
IF(H67="MP",Pole_Calc!A$10,
IF(H67="AnMP",Pole_Calc!A$11,
IF(H67="A",Pole_Calc!A$12,
IF(H67="S/A",Pole_Calc!A$13,
IF(H67="A/S",Pole_Calc!A$14,"Poner a mano")))))))</f>
        <v/>
      </c>
      <c r="BE67" s="429" t="s">
        <v>118</v>
      </c>
      <c r="BF67" s="290"/>
      <c r="BG67" s="290"/>
      <c r="BH67" s="290"/>
      <c r="BI67" s="290"/>
    </row>
    <row r="68" spans="1:61" ht="16.149999999999999" customHeight="1">
      <c r="A68" s="514"/>
      <c r="B68" s="450" t="s">
        <v>185</v>
      </c>
      <c r="C68" s="3">
        <f>+$C$66+$G$67</f>
        <v>31850.65</v>
      </c>
      <c r="D68" s="83"/>
      <c r="E68" s="4"/>
      <c r="F68" s="4">
        <f>IF(C68&gt;0,VLOOKUP(C68,'ALIGNMENT TRACK'!$A$1:$K$81,9,1))</f>
        <v>-1500</v>
      </c>
      <c r="G68" s="6"/>
      <c r="H68" s="449" t="s">
        <v>121</v>
      </c>
      <c r="I68" s="4" t="s">
        <v>122</v>
      </c>
      <c r="J68" s="3"/>
      <c r="K68" s="449"/>
      <c r="L68" s="449" t="s">
        <v>181</v>
      </c>
      <c r="M68" s="449" t="str">
        <f>IF(L68="","",
IF(AX68="PT",VLOOKUP(L68,Foundation_Calc!$V$79:$X$113,VLOOKUP(AX68,Foundation_Calc!$I$10:$J$13,2,FALSE),0),
IF(AX68="K",VLOOKUP(L68,Foundation_Calc!$V$117:$X$151,VLOOKUP(AX68,Foundation_Calc!$I$10:$J$13,2,FALSE),0),"")))</f>
        <v>C5R</v>
      </c>
      <c r="N68" s="449" t="s">
        <v>134</v>
      </c>
      <c r="O68" s="449"/>
      <c r="P68" s="449"/>
      <c r="Q68" s="4"/>
      <c r="R68" s="6"/>
      <c r="S68" s="6"/>
      <c r="T68" s="4">
        <v>30</v>
      </c>
      <c r="U68" s="4"/>
      <c r="V68" s="4"/>
      <c r="W68" s="9">
        <v>1.4</v>
      </c>
      <c r="X68" s="9"/>
      <c r="Y68" s="9"/>
      <c r="Z68" s="9"/>
      <c r="AA68" s="9"/>
      <c r="AB68" s="9"/>
      <c r="AC68" s="449" t="str">
        <f t="shared" si="0"/>
        <v>PHQ</v>
      </c>
      <c r="AD68" s="449"/>
      <c r="AE68" s="449"/>
      <c r="AF68" s="4"/>
      <c r="AG68" s="83"/>
      <c r="AH68" s="4"/>
      <c r="AI68" s="4"/>
      <c r="AJ68" s="449"/>
      <c r="AK68" s="449"/>
      <c r="AL68" s="449"/>
      <c r="AM68" s="449" t="s">
        <v>126</v>
      </c>
      <c r="AN68" s="10">
        <v>5.5</v>
      </c>
      <c r="AO68" s="9"/>
      <c r="AP68" s="9"/>
      <c r="AQ68" s="9"/>
      <c r="AR68" s="9"/>
      <c r="AS68" s="9"/>
      <c r="AT68" s="9">
        <f>+ab($T$68,$T$66,$T$70,$G$67,$G$69,-1*$F$68,1200)</f>
        <v>5.7375244864003294</v>
      </c>
      <c r="AU68" s="428"/>
      <c r="AV68" s="428"/>
      <c r="AW68" s="449" t="str">
        <f>IF(C68&gt;0,VLOOKUP(C68,Foundation_Calc!$A$2:$C$13,3,1),
IF(J68&gt;0,VLOOKUP(J68,Foundation_Calc!$A$2:$C$13,3,1),""))</f>
        <v>Multi Soil</v>
      </c>
      <c r="AX68" s="449" t="str">
        <f>IF(C68&gt;0,VLOOKUP(C68,Foundation_Calc!$E$2:$G$33,3,1),
IF(J68&gt;0,VLOOKUP(J68,Foundation_Calc!$E$2:$G$33,3,1),""))</f>
        <v>PT</v>
      </c>
      <c r="AY68" s="10">
        <f>IF(L68="","",
IF(AX68="PT",VLOOKUP(L68,Foundation_Calc!$K$79:$R$113,VLOOKUP(AW68,Foundation_Calc!$I$2:$J$8,2,FALSE),0),
IF(AX68="K",VLOOKUP(L68,Foundation_Calc!$K$117:$R$151,VLOOKUP(AW68,Foundation_Calc!$I$2:$J$8,2,FALSE),0),"")))</f>
        <v>3.5</v>
      </c>
      <c r="AZ68" s="10" t="str">
        <f>IF(K68="","",
IF(AX68="PT",VLOOKUP(K68,Foundation_Calc!$K$79:$R$113,VLOOKUP(AW68,Foundation_Calc!$I$2:$J$8,2,FALSE),0),
IF(AX68="K",VLOOKUP(K68,Foundation_Calc!$K$117:$R$151,VLOOKUP(AW68,Foundation_Calc!$I$2:$J$8,2,FALSE),0),"")))</f>
        <v/>
      </c>
      <c r="BA68" s="495" t="str">
        <f t="shared" si="19"/>
        <v>ü</v>
      </c>
      <c r="BB68" s="495" t="str">
        <f t="shared" si="20"/>
        <v/>
      </c>
      <c r="BC68" s="495" t="str">
        <f t="shared" si="21"/>
        <v/>
      </c>
      <c r="BD68" s="513" t="str">
        <f>IF(AND(L68="",H68=""),"",
IF(H68="",Pole_Calc!A$9,
IF(H68="MP",Pole_Calc!A$10,
IF(H68="AnMP",Pole_Calc!A$11,
IF(H68="A",Pole_Calc!A$12,
IF(H68="S/A",Pole_Calc!A$13,
IF(H68="A/S",Pole_Calc!A$14,"Poner a mano")))))))</f>
        <v>App.7-V11I-P9.5.1.6</v>
      </c>
      <c r="BE68" s="429" t="s">
        <v>118</v>
      </c>
      <c r="BF68" s="289"/>
      <c r="BG68" s="289"/>
      <c r="BH68" s="290"/>
      <c r="BI68" s="289"/>
    </row>
    <row r="69" spans="1:61" ht="16.149999999999999" customHeight="1">
      <c r="A69" s="514"/>
      <c r="B69" s="450"/>
      <c r="C69" s="3"/>
      <c r="D69" s="83"/>
      <c r="E69" s="4"/>
      <c r="F69" s="4"/>
      <c r="G69" s="6">
        <v>50</v>
      </c>
      <c r="H69" s="449"/>
      <c r="I69" s="4"/>
      <c r="J69" s="3">
        <f>C68+7.5</f>
        <v>31858.15</v>
      </c>
      <c r="K69" s="449" t="s">
        <v>117</v>
      </c>
      <c r="L69" s="449"/>
      <c r="M69" s="449" t="str">
        <f>IF(L69="","",
IF(AX69="PT",VLOOKUP(L69,Foundation_Calc!$V$79:$X$113,VLOOKUP(AX69,Foundation_Calc!$I$10:$J$13,2,FALSE),0),
IF(AX69="K",VLOOKUP(L69,Foundation_Calc!$V$117:$X$151,VLOOKUP(AX69,Foundation_Calc!$I$10:$J$13,2,FALSE),0),"")))</f>
        <v/>
      </c>
      <c r="N69" s="449"/>
      <c r="O69" s="449"/>
      <c r="P69" s="449"/>
      <c r="Q69" s="4"/>
      <c r="R69" s="6"/>
      <c r="S69" s="6"/>
      <c r="T69" s="4"/>
      <c r="U69" s="4"/>
      <c r="V69" s="4"/>
      <c r="W69" s="9"/>
      <c r="X69" s="9"/>
      <c r="Y69" s="9"/>
      <c r="Z69" s="9"/>
      <c r="AA69" s="9"/>
      <c r="AB69" s="9"/>
      <c r="AC69" s="449" t="str">
        <f t="shared" ref="AC69:AC132" si="22">IF(OR(AT69&gt;8,AT69&lt;-8),"PH",
IF(OR(AT69&gt;5,AT69&lt;-5),"PHQ",
IF(OR(AT69&gt;1,AT69&lt;-1),
"PHC","")))</f>
        <v/>
      </c>
      <c r="AD69" s="449"/>
      <c r="AE69" s="449"/>
      <c r="AF69" s="4"/>
      <c r="AG69" s="83"/>
      <c r="AH69" s="4"/>
      <c r="AI69" s="4"/>
      <c r="AJ69" s="449"/>
      <c r="AK69" s="449"/>
      <c r="AL69" s="449"/>
      <c r="AM69" s="449"/>
      <c r="AN69" s="10"/>
      <c r="AO69" s="9"/>
      <c r="AP69" s="9"/>
      <c r="AQ69" s="9">
        <f>+FL_1($T$70,$T$68,$G$69,1200,9.28,-1*$F$70)</f>
        <v>0.37917573229143875</v>
      </c>
      <c r="AR69" s="9"/>
      <c r="AS69" s="9"/>
      <c r="AT69" s="9"/>
      <c r="AU69" s="428"/>
      <c r="AV69" s="428"/>
      <c r="AW69" s="449" t="str">
        <f>IF(C69&gt;0,VLOOKUP(C69,Foundation_Calc!$A$2:$C$13,3,1),
IF(J69&gt;0,VLOOKUP(J69,Foundation_Calc!$A$2:$C$13,3,1),""))</f>
        <v>Multi Soil</v>
      </c>
      <c r="AX69" s="449" t="str">
        <f>IF(C69&gt;0,VLOOKUP(C69,Foundation_Calc!$E$2:$G$33,3,1),
IF(J69&gt;0,VLOOKUP(J69,Foundation_Calc!$E$2:$G$33,3,1),""))</f>
        <v>PT</v>
      </c>
      <c r="AY69" s="10" t="str">
        <f>IF(L69="","",
IF(AX69="PT",VLOOKUP(L69,Foundation_Calc!$K$79:$R$113,VLOOKUP(AW69,Foundation_Calc!$I$2:$J$8,2,FALSE),0),
IF(AX69="K",VLOOKUP(L69,Foundation_Calc!$K$117:$R$151,VLOOKUP(AW69,Foundation_Calc!$I$2:$J$8,2,FALSE),0),"")))</f>
        <v/>
      </c>
      <c r="AZ69" s="10">
        <f>IF(K69="","",
IF(AX69="PT",VLOOKUP(K69,Foundation_Calc!$K$79:$R$113,VLOOKUP(AW69,Foundation_Calc!$I$2:$J$8,2,FALSE),0),
IF(AX69="K",VLOOKUP(K69,Foundation_Calc!$K$117:$R$151,VLOOKUP(AW69,Foundation_Calc!$I$2:$J$8,2,FALSE),0),"")))</f>
        <v>3.9</v>
      </c>
      <c r="BA69" s="495" t="str">
        <f t="shared" si="19"/>
        <v/>
      </c>
      <c r="BB69" s="495" t="str">
        <f t="shared" si="20"/>
        <v>ü</v>
      </c>
      <c r="BC69" s="495" t="str">
        <f t="shared" si="21"/>
        <v/>
      </c>
      <c r="BD69" s="513" t="str">
        <f>IF(AND(L69="",H69=""),"",
IF(H69="",Pole_Calc!A$9,
IF(H69="MP",Pole_Calc!A$10,
IF(H69="AnMP",Pole_Calc!A$11,
IF(H69="A",Pole_Calc!A$12,
IF(H69="S/A",Pole_Calc!A$13,
IF(H69="A/S",Pole_Calc!A$14,"Poner a mano")))))))</f>
        <v/>
      </c>
      <c r="BE69" s="429" t="s">
        <v>118</v>
      </c>
      <c r="BF69" s="290"/>
      <c r="BG69" s="290"/>
      <c r="BH69" s="290"/>
      <c r="BI69" s="290"/>
    </row>
    <row r="70" spans="1:61" ht="16.149999999999999" customHeight="1">
      <c r="A70" s="514"/>
      <c r="B70" s="450" t="s">
        <v>186</v>
      </c>
      <c r="C70" s="3">
        <f>+$C$68+$G$69</f>
        <v>31900.65</v>
      </c>
      <c r="D70" s="83"/>
      <c r="E70" s="4"/>
      <c r="F70" s="4">
        <f>(505^2)/(C70-32033.25)</f>
        <v>-1923.2654600301871</v>
      </c>
      <c r="G70" s="6"/>
      <c r="H70" s="449"/>
      <c r="I70" s="4"/>
      <c r="J70" s="3"/>
      <c r="K70" s="449"/>
      <c r="L70" s="449" t="s">
        <v>158</v>
      </c>
      <c r="M70" s="449" t="str">
        <f>IF(L70="","",
IF(AX70="PT",VLOOKUP(L70,Foundation_Calc!$V$79:$X$113,VLOOKUP(AX70,Foundation_Calc!$I$10:$J$13,2,FALSE),0),
IF(AX70="K",VLOOKUP(L70,Foundation_Calc!$V$117:$X$151,VLOOKUP(AX70,Foundation_Calc!$I$10:$J$13,2,FALSE),0),"")))</f>
        <v>C4R</v>
      </c>
      <c r="N70" s="449" t="s">
        <v>134</v>
      </c>
      <c r="O70" s="449"/>
      <c r="P70" s="449"/>
      <c r="Q70" s="4"/>
      <c r="R70" s="6"/>
      <c r="S70" s="6"/>
      <c r="T70" s="4">
        <v>30</v>
      </c>
      <c r="U70" s="4"/>
      <c r="V70" s="4"/>
      <c r="W70" s="9">
        <v>1.4</v>
      </c>
      <c r="X70" s="9"/>
      <c r="Y70" s="9"/>
      <c r="Z70" s="9"/>
      <c r="AA70" s="9"/>
      <c r="AB70" s="9"/>
      <c r="AC70" s="449" t="str">
        <f t="shared" si="22"/>
        <v>PHQ</v>
      </c>
      <c r="AD70" s="449"/>
      <c r="AE70" s="449"/>
      <c r="AF70" s="4"/>
      <c r="AG70" s="83"/>
      <c r="AH70" s="4"/>
      <c r="AI70" s="4"/>
      <c r="AJ70" s="449"/>
      <c r="AK70" s="449"/>
      <c r="AL70" s="449"/>
      <c r="AM70" s="449" t="s">
        <v>126</v>
      </c>
      <c r="AN70" s="10">
        <v>5.5</v>
      </c>
      <c r="AO70" s="9"/>
      <c r="AP70" s="9"/>
      <c r="AQ70" s="9"/>
      <c r="AR70" s="9"/>
      <c r="AS70" s="9"/>
      <c r="AT70" s="9">
        <f>+ab($T$70,$T$68,$T$72,$G$69,$G$71,-1*$F$70,1200)</f>
        <v>6.8215182363065372</v>
      </c>
      <c r="AU70" s="428"/>
      <c r="AV70" s="428"/>
      <c r="AW70" s="449" t="str">
        <f>IF(C70&gt;0,VLOOKUP(C70,Foundation_Calc!$A$2:$C$13,3,1),
IF(J70&gt;0,VLOOKUP(J70,Foundation_Calc!$A$2:$C$13,3,1),""))</f>
        <v>Multi Soil</v>
      </c>
      <c r="AX70" s="449" t="str">
        <f>IF(C70&gt;0,VLOOKUP(C70,Foundation_Calc!$E$2:$G$33,3,1),
IF(J70&gt;0,VLOOKUP(J70,Foundation_Calc!$E$2:$G$33,3,1),""))</f>
        <v>PT</v>
      </c>
      <c r="AY70" s="10">
        <f>IF(L70="","",
IF(AX70="PT",VLOOKUP(L70,Foundation_Calc!$K$79:$R$113,VLOOKUP(AW70,Foundation_Calc!$I$2:$J$8,2,FALSE),0),
IF(AX70="K",VLOOKUP(L70,Foundation_Calc!$K$117:$R$151,VLOOKUP(AW70,Foundation_Calc!$I$2:$J$8,2,FALSE),0),"")))</f>
        <v>3.5</v>
      </c>
      <c r="AZ70" s="10" t="str">
        <f>IF(K70="","",
IF(AX70="PT",VLOOKUP(K70,Foundation_Calc!$K$79:$R$113,VLOOKUP(AW70,Foundation_Calc!$I$2:$J$8,2,FALSE),0),
IF(AX70="K",VLOOKUP(K70,Foundation_Calc!$K$117:$R$151,VLOOKUP(AW70,Foundation_Calc!$I$2:$J$8,2,FALSE),0),"")))</f>
        <v/>
      </c>
      <c r="BA70" s="495" t="str">
        <f t="shared" si="19"/>
        <v>ü</v>
      </c>
      <c r="BB70" s="495" t="str">
        <f t="shared" si="20"/>
        <v/>
      </c>
      <c r="BC70" s="495" t="str">
        <f t="shared" si="21"/>
        <v/>
      </c>
      <c r="BD70" s="513" t="str">
        <f>IF(AND(L70="",H70=""),"",
IF(H70="",Pole_Calc!A$9,
IF(H70="MP",Pole_Calc!A$10,
IF(H70="AnMP",Pole_Calc!A$11,
IF(H70="A",Pole_Calc!A$12,
IF(H70="S/A",Pole_Calc!A$13,
IF(H70="A/S",Pole_Calc!A$14,"Poner a mano")))))))</f>
        <v>App.7-V11I-P9.5.1.1</v>
      </c>
      <c r="BE70" s="429" t="s">
        <v>118</v>
      </c>
      <c r="BF70" s="289"/>
      <c r="BG70" s="289"/>
      <c r="BH70" s="290"/>
      <c r="BI70" s="289"/>
    </row>
    <row r="71" spans="1:61" ht="16.149999999999999" customHeight="1">
      <c r="A71" s="514"/>
      <c r="B71" s="450"/>
      <c r="C71" s="3"/>
      <c r="D71" s="83"/>
      <c r="E71" s="4"/>
      <c r="F71" s="4"/>
      <c r="G71" s="6">
        <v>50</v>
      </c>
      <c r="H71" s="449"/>
      <c r="I71" s="4"/>
      <c r="J71" s="3"/>
      <c r="K71" s="449"/>
      <c r="L71" s="449"/>
      <c r="M71" s="449" t="str">
        <f>IF(L71="","",
IF(AX71="PT",VLOOKUP(L71,Foundation_Calc!$V$79:$X$113,VLOOKUP(AX71,Foundation_Calc!$I$10:$J$13,2,FALSE),0),
IF(AX71="K",VLOOKUP(L71,Foundation_Calc!$V$117:$X$151,VLOOKUP(AX71,Foundation_Calc!$I$10:$J$13,2,FALSE),0),"")))</f>
        <v/>
      </c>
      <c r="N71" s="449"/>
      <c r="O71" s="449"/>
      <c r="P71" s="449"/>
      <c r="Q71" s="4"/>
      <c r="R71" s="6"/>
      <c r="S71" s="6"/>
      <c r="T71" s="4"/>
      <c r="U71" s="4"/>
      <c r="V71" s="4"/>
      <c r="W71" s="9"/>
      <c r="X71" s="9"/>
      <c r="Y71" s="9"/>
      <c r="Z71" s="9"/>
      <c r="AA71" s="9"/>
      <c r="AB71" s="9"/>
      <c r="AC71" s="449" t="str">
        <f t="shared" si="22"/>
        <v/>
      </c>
      <c r="AD71" s="449"/>
      <c r="AE71" s="449"/>
      <c r="AF71" s="4"/>
      <c r="AG71" s="83"/>
      <c r="AH71" s="4"/>
      <c r="AI71" s="4"/>
      <c r="AJ71" s="449"/>
      <c r="AK71" s="449"/>
      <c r="AL71" s="449"/>
      <c r="AM71" s="449"/>
      <c r="AN71" s="10"/>
      <c r="AO71" s="9"/>
      <c r="AP71" s="9"/>
      <c r="AQ71" s="9">
        <f>+FL_1($T$72,$T$70,$G$71,1200,9.28,-1*$F$72)</f>
        <v>0.39489949128353774</v>
      </c>
      <c r="AR71" s="9"/>
      <c r="AS71" s="9"/>
      <c r="AT71" s="9"/>
      <c r="AU71" s="428"/>
      <c r="AV71" s="428"/>
      <c r="AW71" s="449" t="str">
        <f>IF(C71&gt;0,VLOOKUP(C71,Foundation_Calc!$A$2:$C$13,3,1),
IF(J71&gt;0,VLOOKUP(J71,Foundation_Calc!$A$2:$C$13,3,1),""))</f>
        <v/>
      </c>
      <c r="AX71" s="449" t="str">
        <f>IF(C71&gt;0,VLOOKUP(C71,Foundation_Calc!$E$2:$G$33,3,1),
IF(J71&gt;0,VLOOKUP(J71,Foundation_Calc!$E$2:$G$33,3,1),""))</f>
        <v/>
      </c>
      <c r="AY71" s="10" t="str">
        <f>IF(L71="","",
IF(AX71="PT",VLOOKUP(L71,Foundation_Calc!$K$79:$R$113,VLOOKUP(AW71,Foundation_Calc!$I$2:$J$8,2,FALSE),0),
IF(AX71="K",VLOOKUP(L71,Foundation_Calc!$K$117:$R$151,VLOOKUP(AW71,Foundation_Calc!$I$2:$J$8,2,FALSE),0),"")))</f>
        <v/>
      </c>
      <c r="AZ71" s="10" t="str">
        <f>IF(K71="","",
IF(AX71="PT",VLOOKUP(K71,Foundation_Calc!$K$79:$R$113,VLOOKUP(AW71,Foundation_Calc!$I$2:$J$8,2,FALSE),0),
IF(AX71="K",VLOOKUP(K71,Foundation_Calc!$K$117:$R$151,VLOOKUP(AW71,Foundation_Calc!$I$2:$J$8,2,FALSE),0),"")))</f>
        <v/>
      </c>
      <c r="BA71" s="495" t="str">
        <f t="shared" si="19"/>
        <v/>
      </c>
      <c r="BB71" s="495" t="str">
        <f t="shared" si="20"/>
        <v/>
      </c>
      <c r="BC71" s="495" t="str">
        <f t="shared" si="21"/>
        <v/>
      </c>
      <c r="BD71" s="513" t="str">
        <f>IF(AND(L71="",H71=""),"",
IF(H71="",Pole_Calc!A$9,
IF(H71="MP",Pole_Calc!A$10,
IF(H71="AnMP",Pole_Calc!A$11,
IF(H71="A",Pole_Calc!A$12,
IF(H71="S/A",Pole_Calc!A$13,
IF(H71="A/S",Pole_Calc!A$14,"Poner a mano")))))))</f>
        <v/>
      </c>
      <c r="BE71" s="429" t="s">
        <v>118</v>
      </c>
      <c r="BF71" s="290"/>
      <c r="BG71" s="290"/>
      <c r="BH71" s="290"/>
      <c r="BI71" s="290"/>
    </row>
    <row r="72" spans="1:61" ht="16.149999999999999" customHeight="1">
      <c r="A72" s="514"/>
      <c r="B72" s="450" t="s">
        <v>187</v>
      </c>
      <c r="C72" s="3">
        <f>+$C$70+$G$71</f>
        <v>31950.65</v>
      </c>
      <c r="D72" s="83"/>
      <c r="E72" s="4"/>
      <c r="F72" s="4">
        <f>(505^2)/(C72-32033.25)</f>
        <v>-3087.4697336562285</v>
      </c>
      <c r="G72" s="6"/>
      <c r="H72" s="449"/>
      <c r="I72" s="4"/>
      <c r="J72" s="3"/>
      <c r="K72" s="449"/>
      <c r="L72" s="449" t="s">
        <v>153</v>
      </c>
      <c r="M72" s="449" t="str">
        <f>IF(L72="","",
IF(AX72="PT",VLOOKUP(L72,Foundation_Calc!$V$79:$X$113,VLOOKUP(AX72,Foundation_Calc!$I$10:$J$13,2,FALSE),0),
IF(AX72="K",VLOOKUP(L72,Foundation_Calc!$V$117:$X$151,VLOOKUP(AX72,Foundation_Calc!$I$10:$J$13,2,FALSE),0),"")))</f>
        <v>C3R</v>
      </c>
      <c r="N72" s="449" t="s">
        <v>134</v>
      </c>
      <c r="O72" s="449"/>
      <c r="P72" s="449"/>
      <c r="Q72" s="4"/>
      <c r="R72" s="6"/>
      <c r="S72" s="6"/>
      <c r="T72" s="4">
        <v>20</v>
      </c>
      <c r="U72" s="4"/>
      <c r="V72" s="4"/>
      <c r="W72" s="9">
        <v>1.4</v>
      </c>
      <c r="X72" s="9"/>
      <c r="Y72" s="9"/>
      <c r="Z72" s="9"/>
      <c r="AA72" s="9"/>
      <c r="AB72" s="9"/>
      <c r="AC72" s="449" t="str">
        <f t="shared" si="22"/>
        <v>PH</v>
      </c>
      <c r="AD72" s="449"/>
      <c r="AE72" s="449"/>
      <c r="AF72" s="4"/>
      <c r="AG72" s="83"/>
      <c r="AH72" s="4"/>
      <c r="AI72" s="4"/>
      <c r="AJ72" s="449"/>
      <c r="AK72" s="449"/>
      <c r="AL72" s="449"/>
      <c r="AM72" s="449" t="s">
        <v>126</v>
      </c>
      <c r="AN72" s="10">
        <v>5.5</v>
      </c>
      <c r="AO72" s="9"/>
      <c r="AP72" s="9"/>
      <c r="AQ72" s="9"/>
      <c r="AR72" s="9"/>
      <c r="AS72" s="9"/>
      <c r="AT72" s="9">
        <f>+ab($T$72,$T$70,$T$74,$G$71,$G$73,-1*$F$72,1200)</f>
        <v>8.2164105456167302</v>
      </c>
      <c r="AU72" s="428"/>
      <c r="AV72" s="428"/>
      <c r="AW72" s="449" t="str">
        <f>IF(C72&gt;0,VLOOKUP(C72,Foundation_Calc!$A$2:$C$13,3,1),
IF(J72&gt;0,VLOOKUP(J72,Foundation_Calc!$A$2:$C$13,3,1),""))</f>
        <v>Multi Soil</v>
      </c>
      <c r="AX72" s="449" t="str">
        <f>IF(C72&gt;0,VLOOKUP(C72,Foundation_Calc!$E$2:$G$33,3,1),
IF(J72&gt;0,VLOOKUP(J72,Foundation_Calc!$E$2:$G$33,3,1),""))</f>
        <v>PT</v>
      </c>
      <c r="AY72" s="10">
        <f>IF(L72="","",
IF(AX72="PT",VLOOKUP(L72,Foundation_Calc!$K$79:$R$113,VLOOKUP(AW72,Foundation_Calc!$I$2:$J$8,2,FALSE),0),
IF(AX72="K",VLOOKUP(L72,Foundation_Calc!$K$117:$R$151,VLOOKUP(AW72,Foundation_Calc!$I$2:$J$8,2,FALSE),0),"")))</f>
        <v>3.5</v>
      </c>
      <c r="AZ72" s="10" t="str">
        <f>IF(K72="","",
IF(AX72="PT",VLOOKUP(K72,Foundation_Calc!$K$79:$R$113,VLOOKUP(AW72,Foundation_Calc!$I$2:$J$8,2,FALSE),0),
IF(AX72="K",VLOOKUP(K72,Foundation_Calc!$K$117:$R$151,VLOOKUP(AW72,Foundation_Calc!$I$2:$J$8,2,FALSE),0),"")))</f>
        <v/>
      </c>
      <c r="BA72" s="495" t="str">
        <f t="shared" si="19"/>
        <v>ü</v>
      </c>
      <c r="BB72" s="495" t="str">
        <f t="shared" si="20"/>
        <v/>
      </c>
      <c r="BC72" s="495" t="str">
        <f t="shared" si="21"/>
        <v/>
      </c>
      <c r="BD72" s="513" t="str">
        <f>IF(AND(L72="",H72=""),"",
IF(H72="",Pole_Calc!A$9,
IF(H72="MP",Pole_Calc!A$10,
IF(H72="AnMP",Pole_Calc!A$11,
IF(H72="A",Pole_Calc!A$12,
IF(H72="S/A",Pole_Calc!A$13,
IF(H72="A/S",Pole_Calc!A$14,"Poner a mano")))))))</f>
        <v>App.7-V11I-P9.5.1.1</v>
      </c>
      <c r="BE72" s="429" t="s">
        <v>118</v>
      </c>
      <c r="BF72" s="289"/>
      <c r="BG72" s="289"/>
      <c r="BH72" s="290"/>
      <c r="BI72" s="289"/>
    </row>
    <row r="73" spans="1:61" ht="16.149999999999999" customHeight="1">
      <c r="A73" s="514"/>
      <c r="B73" s="450"/>
      <c r="C73" s="3"/>
      <c r="D73" s="83"/>
      <c r="E73" s="4"/>
      <c r="F73" s="4"/>
      <c r="G73" s="6">
        <v>50</v>
      </c>
      <c r="H73" s="449"/>
      <c r="I73" s="4"/>
      <c r="J73" s="3"/>
      <c r="K73" s="449"/>
      <c r="L73" s="449"/>
      <c r="M73" s="449" t="str">
        <f>IF(L73="","",
IF(AX73="PT",VLOOKUP(L73,Foundation_Calc!$V$79:$X$113,VLOOKUP(AX73,Foundation_Calc!$I$10:$J$13,2,FALSE),0),
IF(AX73="K",VLOOKUP(L73,Foundation_Calc!$V$117:$X$151,VLOOKUP(AX73,Foundation_Calc!$I$10:$J$13,2,FALSE),0),"")))</f>
        <v/>
      </c>
      <c r="N73" s="449"/>
      <c r="O73" s="449"/>
      <c r="P73" s="449"/>
      <c r="Q73" s="4"/>
      <c r="R73" s="6"/>
      <c r="S73" s="6"/>
      <c r="T73" s="4"/>
      <c r="U73" s="4"/>
      <c r="V73" s="4"/>
      <c r="W73" s="9"/>
      <c r="X73" s="9"/>
      <c r="Y73" s="9"/>
      <c r="Z73" s="9"/>
      <c r="AA73" s="9"/>
      <c r="AB73" s="9"/>
      <c r="AC73" s="449" t="str">
        <f t="shared" si="22"/>
        <v/>
      </c>
      <c r="AD73" s="449"/>
      <c r="AE73" s="449"/>
      <c r="AF73" s="4"/>
      <c r="AG73" s="83"/>
      <c r="AH73" s="4"/>
      <c r="AI73" s="4"/>
      <c r="AJ73" s="449"/>
      <c r="AK73" s="449"/>
      <c r="AL73" s="449"/>
      <c r="AM73" s="449"/>
      <c r="AN73" s="10"/>
      <c r="AO73" s="9"/>
      <c r="AP73" s="9"/>
      <c r="AQ73" s="9">
        <f>+FL_2($T$74,$T$72,$G$73,1200,9.28,-1*$F$74)</f>
        <v>-0.35155567712902991</v>
      </c>
      <c r="AR73" s="9"/>
      <c r="AS73" s="9"/>
      <c r="AT73" s="9"/>
      <c r="AU73" s="428"/>
      <c r="AV73" s="428"/>
      <c r="AW73" s="449"/>
      <c r="AX73" s="449" t="str">
        <f>IF(C73&gt;0,VLOOKUP(C73,Foundation_Calc!$E$2:$G$33,3,1),
IF(J73&gt;0,VLOOKUP(J73,Foundation_Calc!$E$2:$G$33,3,1),""))</f>
        <v/>
      </c>
      <c r="AY73" s="10" t="str">
        <f>IF(L73="","",
IF(AX73="PT",VLOOKUP(L73,Foundation_Calc!$K$79:$R$113,VLOOKUP(AW73,Foundation_Calc!$I$2:$J$8,2,FALSE),0),
IF(AX73="K",VLOOKUP(L73,Foundation_Calc!$K$117:$R$151,VLOOKUP(AW73,Foundation_Calc!$I$2:$J$8,2,FALSE),0),"")))</f>
        <v/>
      </c>
      <c r="AZ73" s="10" t="str">
        <f>IF(K73="","",
IF(AX73="PT",VLOOKUP(K73,Foundation_Calc!$K$79:$R$113,VLOOKUP(AW73,Foundation_Calc!$I$2:$J$8,2,FALSE),0),
IF(AX73="K",VLOOKUP(K73,Foundation_Calc!$K$117:$R$151,VLOOKUP(AW73,Foundation_Calc!$I$2:$J$8,2,FALSE),0),"")))</f>
        <v/>
      </c>
      <c r="BA73" s="495" t="str">
        <f t="shared" si="19"/>
        <v/>
      </c>
      <c r="BB73" s="495" t="str">
        <f t="shared" si="20"/>
        <v/>
      </c>
      <c r="BC73" s="495" t="str">
        <f t="shared" si="21"/>
        <v/>
      </c>
      <c r="BD73" s="513" t="str">
        <f>IF(AND(L73="",H73=""),"",
IF(H73="",Pole_Calc!A$9,
IF(H73="MP",Pole_Calc!A$10,
IF(H73="AnMP",Pole_Calc!A$11,
IF(H73="A",Pole_Calc!A$12,
IF(H73="S/A",Pole_Calc!A$13,
IF(H73="A/S",Pole_Calc!A$14,"Poner a mano")))))))</f>
        <v/>
      </c>
      <c r="BE73" s="429" t="s">
        <v>118</v>
      </c>
      <c r="BF73" s="290"/>
      <c r="BG73" s="290"/>
      <c r="BH73" s="290"/>
      <c r="BI73" s="290"/>
    </row>
    <row r="74" spans="1:61" ht="16.149999999999999" customHeight="1">
      <c r="A74" s="514"/>
      <c r="B74" s="450" t="s">
        <v>188</v>
      </c>
      <c r="C74" s="3">
        <f>+$C$72+$G$73</f>
        <v>32000.65</v>
      </c>
      <c r="D74" s="83"/>
      <c r="E74" s="4"/>
      <c r="F74" s="4">
        <f>(505^2)/(C74-32033.25)</f>
        <v>-7822.8527607365459</v>
      </c>
      <c r="G74" s="6"/>
      <c r="H74" s="449"/>
      <c r="I74" s="4"/>
      <c r="J74" s="3"/>
      <c r="K74" s="449"/>
      <c r="L74" s="449" t="s">
        <v>153</v>
      </c>
      <c r="M74" s="449" t="str">
        <f>IF(L74="","",
IF(AX74="PT",VLOOKUP(L74,Foundation_Calc!$V$79:$X$113,VLOOKUP(AX74,Foundation_Calc!$I$10:$J$13,2,FALSE),0),
IF(AX74="K",VLOOKUP(L74,Foundation_Calc!$V$117:$X$151,VLOOKUP(AX74,Foundation_Calc!$I$10:$J$13,2,FALSE),0),"")))</f>
        <v>C3R</v>
      </c>
      <c r="N74" s="449" t="s">
        <v>124</v>
      </c>
      <c r="O74" s="449"/>
      <c r="P74" s="449"/>
      <c r="Q74" s="4"/>
      <c r="R74" s="6"/>
      <c r="S74" s="6"/>
      <c r="T74" s="4">
        <v>-25</v>
      </c>
      <c r="U74" s="4"/>
      <c r="V74" s="4"/>
      <c r="W74" s="9">
        <v>1.4</v>
      </c>
      <c r="X74" s="9"/>
      <c r="Y74" s="9"/>
      <c r="Z74" s="9"/>
      <c r="AA74" s="9"/>
      <c r="AB74" s="9"/>
      <c r="AC74" s="449" t="str">
        <f t="shared" si="22"/>
        <v>PH</v>
      </c>
      <c r="AD74" s="449"/>
      <c r="AE74" s="449"/>
      <c r="AF74" s="4"/>
      <c r="AG74" s="83"/>
      <c r="AH74" s="4"/>
      <c r="AI74" s="4"/>
      <c r="AJ74" s="449"/>
      <c r="AK74" s="449"/>
      <c r="AL74" s="449"/>
      <c r="AM74" s="449" t="s">
        <v>126</v>
      </c>
      <c r="AN74" s="10">
        <v>5.5</v>
      </c>
      <c r="AO74" s="9"/>
      <c r="AP74" s="9"/>
      <c r="AQ74" s="9"/>
      <c r="AR74" s="9"/>
      <c r="AS74" s="9"/>
      <c r="AT74" s="9">
        <f>+ab($T$74,$T$72,$T$76,$G$73,$G$75,-1*$F$74,1200)</f>
        <v>-14.238978217931882</v>
      </c>
      <c r="AU74" s="428"/>
      <c r="AV74" s="428"/>
      <c r="AW74" s="449" t="str">
        <f>IF(C74&gt;0,VLOOKUP(C74,Foundation_Calc!$A$2:$C$13,3,1),
IF(J74&gt;0,VLOOKUP(J74,Foundation_Calc!$A$2:$C$13,3,1),""))</f>
        <v>Multi Soil</v>
      </c>
      <c r="AX74" s="449" t="str">
        <f>IF(C74&gt;0,VLOOKUP(C74,Foundation_Calc!$E$2:$G$33,3,1),
IF(J74&gt;0,VLOOKUP(J74,Foundation_Calc!$E$2:$G$33,3,1),""))</f>
        <v>PT</v>
      </c>
      <c r="AY74" s="10">
        <f>IF(L74="","",
IF(AX74="PT",VLOOKUP(L74,Foundation_Calc!$K$79:$R$113,VLOOKUP(AW74,Foundation_Calc!$I$2:$J$8,2,FALSE),0),
IF(AX74="K",VLOOKUP(L74,Foundation_Calc!$K$117:$R$151,VLOOKUP(AW74,Foundation_Calc!$I$2:$J$8,2,FALSE),0),"")))</f>
        <v>3.5</v>
      </c>
      <c r="AZ74" s="10" t="str">
        <f>IF(K74="","",
IF(AX74="PT",VLOOKUP(K74,Foundation_Calc!$K$79:$R$113,VLOOKUP(AW74,Foundation_Calc!$I$2:$J$8,2,FALSE),0),
IF(AX74="K",VLOOKUP(K74,Foundation_Calc!$K$117:$R$151,VLOOKUP(AW74,Foundation_Calc!$I$2:$J$8,2,FALSE),0),"")))</f>
        <v/>
      </c>
      <c r="BA74" s="495" t="str">
        <f t="shared" si="19"/>
        <v>ü</v>
      </c>
      <c r="BB74" s="495" t="str">
        <f t="shared" si="20"/>
        <v/>
      </c>
      <c r="BC74" s="495" t="str">
        <f t="shared" si="21"/>
        <v/>
      </c>
      <c r="BD74" s="513" t="str">
        <f>IF(AND(L74="",H74=""),"",
IF(H74="",Pole_Calc!A$9,
IF(H74="MP",Pole_Calc!A$10,
IF(H74="AnMP",Pole_Calc!A$11,
IF(H74="A",Pole_Calc!A$12,
IF(H74="S/A",Pole_Calc!A$13,
IF(H74="A/S",Pole_Calc!A$14,"Poner a mano")))))))</f>
        <v>App.7-V11I-P9.5.1.1</v>
      </c>
      <c r="BE74" s="429" t="s">
        <v>118</v>
      </c>
      <c r="BF74" s="289"/>
      <c r="BG74" s="289"/>
      <c r="BH74" s="290"/>
      <c r="BI74" s="289"/>
    </row>
    <row r="75" spans="1:61" ht="16.149999999999999" customHeight="1">
      <c r="A75" s="514"/>
      <c r="B75" s="450"/>
      <c r="C75" s="3"/>
      <c r="D75" s="83"/>
      <c r="E75" s="4"/>
      <c r="F75" s="4"/>
      <c r="G75" s="6">
        <v>55</v>
      </c>
      <c r="H75" s="449"/>
      <c r="I75" s="4"/>
      <c r="J75" s="3"/>
      <c r="K75" s="449"/>
      <c r="L75" s="449"/>
      <c r="M75" s="449" t="str">
        <f>IF(L75="","",
IF(AX75="PT",VLOOKUP(L75,Foundation_Calc!$V$79:$X$113,VLOOKUP(AX75,Foundation_Calc!$I$10:$J$13,2,FALSE),0),
IF(AX75="K",VLOOKUP(L75,Foundation_Calc!$V$117:$X$151,VLOOKUP(AX75,Foundation_Calc!$I$10:$J$13,2,FALSE),0),"")))</f>
        <v/>
      </c>
      <c r="N75" s="449"/>
      <c r="O75" s="449"/>
      <c r="P75" s="449"/>
      <c r="Q75" s="4"/>
      <c r="R75" s="6"/>
      <c r="S75" s="6"/>
      <c r="T75" s="4"/>
      <c r="U75" s="4"/>
      <c r="V75" s="4"/>
      <c r="W75" s="9"/>
      <c r="X75" s="9"/>
      <c r="Y75" s="9"/>
      <c r="Z75" s="9"/>
      <c r="AA75" s="9"/>
      <c r="AB75" s="9"/>
      <c r="AC75" s="449" t="str">
        <f t="shared" si="22"/>
        <v/>
      </c>
      <c r="AD75" s="449"/>
      <c r="AE75" s="449"/>
      <c r="AF75" s="4"/>
      <c r="AG75" s="83"/>
      <c r="AH75" s="4"/>
      <c r="AI75" s="4"/>
      <c r="AJ75" s="449"/>
      <c r="AK75" s="449"/>
      <c r="AL75" s="449"/>
      <c r="AM75" s="449"/>
      <c r="AN75" s="10"/>
      <c r="AO75" s="9"/>
      <c r="AP75" s="9"/>
      <c r="AQ75" s="9">
        <f>+FL_1($T$76,$T$74,$G$75,1200,9.28,-1*$F$76)</f>
        <v>0.41936166072727271</v>
      </c>
      <c r="AR75" s="9"/>
      <c r="AS75" s="9"/>
      <c r="AT75" s="9"/>
      <c r="AU75" s="428"/>
      <c r="AV75" s="428"/>
      <c r="AW75" s="449" t="str">
        <f>IF(C75&gt;0,VLOOKUP(C75,Foundation_Calc!$A$2:$C$13,3,1),
IF(J75&gt;0,VLOOKUP(J75,Foundation_Calc!$A$2:$C$13,3,1),""))</f>
        <v/>
      </c>
      <c r="AX75" s="449" t="str">
        <f>IF(C75&gt;0,VLOOKUP(C75,Foundation_Calc!$E$2:$G$33,3,1),
IF(J75&gt;0,VLOOKUP(J75,Foundation_Calc!$E$2:$G$33,3,1),""))</f>
        <v/>
      </c>
      <c r="AY75" s="10" t="str">
        <f>IF(L75="","",
IF(AX75="PT",VLOOKUP(L75,Foundation_Calc!$K$79:$R$113,VLOOKUP(AW75,Foundation_Calc!$I$2:$J$8,2,FALSE),0),
IF(AX75="K",VLOOKUP(L75,Foundation_Calc!$K$117:$R$151,VLOOKUP(AW75,Foundation_Calc!$I$2:$J$8,2,FALSE),0),"")))</f>
        <v/>
      </c>
      <c r="AZ75" s="10" t="str">
        <f>IF(K75="","",
IF(AX75="PT",VLOOKUP(K75,Foundation_Calc!$K$79:$R$113,VLOOKUP(AW75,Foundation_Calc!$I$2:$J$8,2,FALSE),0),
IF(AX75="K",VLOOKUP(K75,Foundation_Calc!$K$117:$R$151,VLOOKUP(AW75,Foundation_Calc!$I$2:$J$8,2,FALSE),0),"")))</f>
        <v/>
      </c>
      <c r="BA75" s="495" t="str">
        <f t="shared" si="19"/>
        <v/>
      </c>
      <c r="BB75" s="495" t="str">
        <f t="shared" si="20"/>
        <v/>
      </c>
      <c r="BC75" s="495" t="str">
        <f t="shared" si="21"/>
        <v/>
      </c>
      <c r="BD75" s="513" t="str">
        <f>IF(AND(L75="",H75=""),"",
IF(H75="",Pole_Calc!A$9,
IF(H75="MP",Pole_Calc!A$10,
IF(H75="AnMP",Pole_Calc!A$11,
IF(H75="A",Pole_Calc!A$12,
IF(H75="S/A",Pole_Calc!A$13,
IF(H75="A/S",Pole_Calc!A$14,"Poner a mano")))))))</f>
        <v/>
      </c>
      <c r="BE75" s="429" t="s">
        <v>118</v>
      </c>
      <c r="BF75" s="290"/>
      <c r="BG75" s="290"/>
      <c r="BH75" s="290"/>
      <c r="BI75" s="290"/>
    </row>
    <row r="76" spans="1:61" ht="16.149999999999999" customHeight="1">
      <c r="A76" s="514"/>
      <c r="B76" s="450" t="s">
        <v>189</v>
      </c>
      <c r="C76" s="3">
        <f>+$C$74+$G$75</f>
        <v>32055.65</v>
      </c>
      <c r="D76" s="83"/>
      <c r="E76" s="4"/>
      <c r="F76" s="4">
        <f>IF(C76&gt;0,VLOOKUP(C76,'ALIGNMENT TRACK'!$A$1:$K$81,9,1))</f>
        <v>0</v>
      </c>
      <c r="G76" s="6"/>
      <c r="H76" s="449"/>
      <c r="I76" s="4"/>
      <c r="J76" s="3"/>
      <c r="K76" s="449"/>
      <c r="L76" s="449" t="s">
        <v>153</v>
      </c>
      <c r="M76" s="449" t="str">
        <f>IF(L76="","",
IF(AX76="PT",VLOOKUP(L76,Foundation_Calc!$V$79:$X$113,VLOOKUP(AX76,Foundation_Calc!$I$10:$J$13,2,FALSE),0),
IF(AX76="K",VLOOKUP(L76,Foundation_Calc!$V$117:$X$151,VLOOKUP(AX76,Foundation_Calc!$I$10:$J$13,2,FALSE),0),"")))</f>
        <v>C3R</v>
      </c>
      <c r="N76" s="449" t="s">
        <v>134</v>
      </c>
      <c r="O76" s="449"/>
      <c r="P76" s="449"/>
      <c r="Q76" s="4"/>
      <c r="R76" s="6"/>
      <c r="S76" s="6"/>
      <c r="T76" s="4">
        <v>35</v>
      </c>
      <c r="U76" s="4"/>
      <c r="V76" s="4"/>
      <c r="W76" s="9">
        <v>1.4</v>
      </c>
      <c r="X76" s="9"/>
      <c r="Y76" s="9"/>
      <c r="Z76" s="9"/>
      <c r="AA76" s="9"/>
      <c r="AB76" s="9"/>
      <c r="AC76" s="449" t="str">
        <f t="shared" si="22"/>
        <v>PH</v>
      </c>
      <c r="AD76" s="449"/>
      <c r="AE76" s="449"/>
      <c r="AF76" s="4"/>
      <c r="AG76" s="83"/>
      <c r="AH76" s="4"/>
      <c r="AI76" s="4"/>
      <c r="AJ76" s="449"/>
      <c r="AK76" s="449"/>
      <c r="AL76" s="449"/>
      <c r="AM76" s="449" t="s">
        <v>126</v>
      </c>
      <c r="AN76" s="10">
        <v>5.5</v>
      </c>
      <c r="AO76" s="9"/>
      <c r="AP76" s="9"/>
      <c r="AQ76" s="9"/>
      <c r="AR76" s="9"/>
      <c r="AS76" s="9"/>
      <c r="AT76" s="9">
        <f>+ab($T$76,$T$74,$T$78,$G$75,$G$77,-1*$F$76,1200)</f>
        <v>8.4383763415882473</v>
      </c>
      <c r="AU76" s="428"/>
      <c r="AV76" s="428"/>
      <c r="AW76" s="449" t="str">
        <f>IF(C76&gt;0,VLOOKUP(C76,Foundation_Calc!$A$2:$C$13,3,1),
IF(J76&gt;0,VLOOKUP(J76,Foundation_Calc!$A$2:$C$13,3,1),""))</f>
        <v>Multi Soil</v>
      </c>
      <c r="AX76" s="449" t="str">
        <f>IF(C76&gt;0,VLOOKUP(C76,Foundation_Calc!$E$2:$G$33,3,1),
IF(J76&gt;0,VLOOKUP(J76,Foundation_Calc!$E$2:$G$33,3,1),""))</f>
        <v>PT</v>
      </c>
      <c r="AY76" s="10">
        <f>IF(L76="","",
IF(AX76="PT",VLOOKUP(L76,Foundation_Calc!$K$79:$R$113,VLOOKUP(AW76,Foundation_Calc!$I$2:$J$8,2,FALSE),0),
IF(AX76="K",VLOOKUP(L76,Foundation_Calc!$K$117:$R$151,VLOOKUP(AW76,Foundation_Calc!$I$2:$J$8,2,FALSE),0),"")))</f>
        <v>3.5</v>
      </c>
      <c r="AZ76" s="10" t="str">
        <f>IF(K76="","",
IF(AX76="PT",VLOOKUP(K76,Foundation_Calc!$K$79:$R$113,VLOOKUP(AW76,Foundation_Calc!$I$2:$J$8,2,FALSE),0),
IF(AX76="K",VLOOKUP(K76,Foundation_Calc!$K$117:$R$151,VLOOKUP(AW76,Foundation_Calc!$I$2:$J$8,2,FALSE),0),"")))</f>
        <v/>
      </c>
      <c r="BA76" s="495" t="str">
        <f t="shared" si="19"/>
        <v>ü</v>
      </c>
      <c r="BB76" s="495" t="str">
        <f t="shared" si="20"/>
        <v/>
      </c>
      <c r="BC76" s="495" t="str">
        <f t="shared" si="21"/>
        <v/>
      </c>
      <c r="BD76" s="513" t="str">
        <f>IF(AND(L76="",H76=""),"",
IF(H76="",Pole_Calc!A$9,
IF(H76="MP",Pole_Calc!A$10,
IF(H76="AnMP",Pole_Calc!A$11,
IF(H76="A",Pole_Calc!A$12,
IF(H76="S/A",Pole_Calc!A$13,
IF(H76="A/S",Pole_Calc!A$14,"Poner a mano")))))))</f>
        <v>App.7-V11I-P9.5.1.1</v>
      </c>
      <c r="BE76" s="429" t="s">
        <v>118</v>
      </c>
      <c r="BF76" s="289"/>
      <c r="BG76" s="289"/>
      <c r="BH76" s="290"/>
      <c r="BI76" s="289"/>
    </row>
    <row r="77" spans="1:61" ht="16.149999999999999" customHeight="1">
      <c r="A77" s="514"/>
      <c r="B77" s="450"/>
      <c r="C77" s="3"/>
      <c r="D77" s="83"/>
      <c r="E77" s="4"/>
      <c r="F77" s="4"/>
      <c r="G77" s="6">
        <v>60</v>
      </c>
      <c r="H77" s="449"/>
      <c r="I77" s="4"/>
      <c r="J77" s="3"/>
      <c r="K77" s="449"/>
      <c r="L77" s="449"/>
      <c r="M77" s="449" t="str">
        <f>IF(L77="","",
IF(AX77="PT",VLOOKUP(L77,Foundation_Calc!$V$79:$X$113,VLOOKUP(AX77,Foundation_Calc!$I$10:$J$13,2,FALSE),0),
IF(AX77="K",VLOOKUP(L77,Foundation_Calc!$V$117:$X$151,VLOOKUP(AX77,Foundation_Calc!$I$10:$J$13,2,FALSE),0),"")))</f>
        <v/>
      </c>
      <c r="N77" s="449"/>
      <c r="O77" s="449"/>
      <c r="P77" s="449"/>
      <c r="Q77" s="4"/>
      <c r="R77" s="6"/>
      <c r="S77" s="6"/>
      <c r="T77" s="4"/>
      <c r="U77" s="4"/>
      <c r="V77" s="4"/>
      <c r="W77" s="572"/>
      <c r="X77" s="9"/>
      <c r="Y77" s="9"/>
      <c r="Z77" s="9"/>
      <c r="AA77" s="9"/>
      <c r="AB77" s="9"/>
      <c r="AC77" s="449" t="str">
        <f t="shared" si="22"/>
        <v/>
      </c>
      <c r="AD77" s="449"/>
      <c r="AE77" s="449"/>
      <c r="AF77" s="4"/>
      <c r="AG77" s="83"/>
      <c r="AH77" s="4"/>
      <c r="AI77" s="4"/>
      <c r="AJ77" s="449"/>
      <c r="AK77" s="449"/>
      <c r="AL77" s="449"/>
      <c r="AM77" s="449"/>
      <c r="AN77" s="10"/>
      <c r="AO77" s="9"/>
      <c r="AP77" s="9"/>
      <c r="AQ77" s="9">
        <f>+FL_2($T$78,$T$76,$G$77,1200,9.28,-1*$F$78)</f>
        <v>-0.43600286799999999</v>
      </c>
      <c r="AR77" s="9"/>
      <c r="AS77" s="9"/>
      <c r="AT77" s="9"/>
      <c r="AU77" s="428"/>
      <c r="AV77" s="428"/>
      <c r="AW77" s="449" t="str">
        <f>IF(C77&gt;0,VLOOKUP(C77,Foundation_Calc!$A$2:$C$13,3,1),
IF(J77&gt;0,VLOOKUP(J77,Foundation_Calc!$A$2:$C$13,3,1),""))</f>
        <v/>
      </c>
      <c r="AX77" s="449" t="str">
        <f>IF(C77&gt;0,VLOOKUP(C77,Foundation_Calc!$E$2:$G$33,3,1),
IF(J77&gt;0,VLOOKUP(J77,Foundation_Calc!$E$2:$G$33,3,1),""))</f>
        <v/>
      </c>
      <c r="AY77" s="10" t="str">
        <f>IF(L77="","",
IF(AX77="PT",VLOOKUP(L77,Foundation_Calc!$K$79:$R$113,VLOOKUP(AW77,Foundation_Calc!$I$2:$J$8,2,FALSE),0),
IF(AX77="K",VLOOKUP(L77,Foundation_Calc!$K$117:$R$151,VLOOKUP(AW77,Foundation_Calc!$I$2:$J$8,2,FALSE),0),"")))</f>
        <v/>
      </c>
      <c r="AZ77" s="10" t="str">
        <f>IF(K77="","",
IF(AX77="PT",VLOOKUP(K77,Foundation_Calc!$K$79:$R$113,VLOOKUP(AW77,Foundation_Calc!$I$2:$J$8,2,FALSE),0),
IF(AX77="K",VLOOKUP(K77,Foundation_Calc!$K$117:$R$151,VLOOKUP(AW77,Foundation_Calc!$I$2:$J$8,2,FALSE),0),"")))</f>
        <v/>
      </c>
      <c r="BA77" s="495" t="str">
        <f t="shared" si="19"/>
        <v/>
      </c>
      <c r="BB77" s="495" t="str">
        <f t="shared" si="20"/>
        <v/>
      </c>
      <c r="BC77" s="495" t="str">
        <f t="shared" si="21"/>
        <v/>
      </c>
      <c r="BD77" s="513" t="str">
        <f>IF(AND(L77="",H77=""),"",
IF(H77="",Pole_Calc!A$9,
IF(H77="MP",Pole_Calc!A$10,
IF(H77="AnMP",Pole_Calc!A$11,
IF(H77="A",Pole_Calc!A$12,
IF(H77="S/A",Pole_Calc!A$13,
IF(H77="A/S",Pole_Calc!A$14,"Poner a mano")))))))</f>
        <v/>
      </c>
      <c r="BE77" s="429" t="s">
        <v>118</v>
      </c>
      <c r="BF77" s="290"/>
      <c r="BG77" s="290"/>
      <c r="BH77" s="290"/>
      <c r="BI77" s="290"/>
    </row>
    <row r="78" spans="1:61" ht="16.149999999999999" customHeight="1">
      <c r="A78" s="514"/>
      <c r="B78" s="450" t="s">
        <v>190</v>
      </c>
      <c r="C78" s="3">
        <f>+$C$76+$G$77</f>
        <v>32115.65</v>
      </c>
      <c r="D78" s="83"/>
      <c r="E78" s="4"/>
      <c r="F78" s="4">
        <f>IF(C78&gt;0,VLOOKUP(C78,'ALIGNMENT TRACK'!$A$1:$K$81,9,1))</f>
        <v>0</v>
      </c>
      <c r="G78" s="6"/>
      <c r="H78" s="449"/>
      <c r="I78" s="4"/>
      <c r="J78" s="3"/>
      <c r="K78" s="449"/>
      <c r="L78" s="449" t="s">
        <v>153</v>
      </c>
      <c r="M78" s="449" t="str">
        <f>IF(L78="","",
IF(AX78="PT",VLOOKUP(L78,Foundation_Calc!$V$79:$X$113,VLOOKUP(AX78,Foundation_Calc!$I$10:$J$13,2,FALSE),0),
IF(AX78="K",VLOOKUP(L78,Foundation_Calc!$V$117:$X$151,VLOOKUP(AX78,Foundation_Calc!$I$10:$J$13,2,FALSE),0),"")))</f>
        <v>C3R</v>
      </c>
      <c r="N78" s="449" t="s">
        <v>124</v>
      </c>
      <c r="O78" s="449"/>
      <c r="P78" s="449"/>
      <c r="Q78" s="4"/>
      <c r="R78" s="6"/>
      <c r="S78" s="6"/>
      <c r="T78" s="4">
        <v>-35</v>
      </c>
      <c r="U78" s="4"/>
      <c r="V78" s="4"/>
      <c r="W78" s="9">
        <v>1.4</v>
      </c>
      <c r="X78" s="9"/>
      <c r="Y78" s="9"/>
      <c r="Z78" s="9"/>
      <c r="AA78" s="9"/>
      <c r="AB78" s="9"/>
      <c r="AC78" s="449" t="str">
        <f t="shared" si="22"/>
        <v>PHQ</v>
      </c>
      <c r="AD78" s="449"/>
      <c r="AE78" s="449"/>
      <c r="AF78" s="4"/>
      <c r="AG78" s="83"/>
      <c r="AH78" s="4"/>
      <c r="AI78" s="4"/>
      <c r="AJ78" s="449"/>
      <c r="AK78" s="449"/>
      <c r="AL78" s="449"/>
      <c r="AM78" s="449" t="s">
        <v>126</v>
      </c>
      <c r="AN78" s="10">
        <v>5.5</v>
      </c>
      <c r="AO78" s="9"/>
      <c r="AP78" s="9"/>
      <c r="AQ78" s="9"/>
      <c r="AR78" s="9"/>
      <c r="AS78" s="9"/>
      <c r="AT78" s="9">
        <f>+ab($T$78,$T$76,$T$80,$G$77,$G$79,-1*$F$78,1200)</f>
        <v>-7.8175501667728815</v>
      </c>
      <c r="AU78" s="428"/>
      <c r="AV78" s="428"/>
      <c r="AW78" s="449" t="str">
        <f>IF(C78&gt;0,VLOOKUP(C78,Foundation_Calc!$A$2:$C$13,3,1),
IF(J78&gt;0,VLOOKUP(J78,Foundation_Calc!$A$2:$C$13,3,1),""))</f>
        <v>Multi Soil</v>
      </c>
      <c r="AX78" s="449" t="str">
        <f>IF(C78&gt;0,VLOOKUP(C78,Foundation_Calc!$E$2:$G$33,3,1),
IF(J78&gt;0,VLOOKUP(J78,Foundation_Calc!$E$2:$G$33,3,1),""))</f>
        <v>PT</v>
      </c>
      <c r="AY78" s="10">
        <f>IF(L78="","",
IF(AX78="PT",VLOOKUP(L78,Foundation_Calc!$K$79:$R$113,VLOOKUP(AW78,Foundation_Calc!$I$2:$J$8,2,FALSE),0),
IF(AX78="K",VLOOKUP(L78,Foundation_Calc!$K$117:$R$151,VLOOKUP(AW78,Foundation_Calc!$I$2:$J$8,2,FALSE),0),"")))</f>
        <v>3.5</v>
      </c>
      <c r="AZ78" s="10" t="str">
        <f>IF(K78="","",
IF(AX78="PT",VLOOKUP(K78,Foundation_Calc!$K$79:$R$113,VLOOKUP(AW78,Foundation_Calc!$I$2:$J$8,2,FALSE),0),
IF(AX78="K",VLOOKUP(K78,Foundation_Calc!$K$117:$R$151,VLOOKUP(AW78,Foundation_Calc!$I$2:$J$8,2,FALSE),0),"")))</f>
        <v/>
      </c>
      <c r="BA78" s="495" t="str">
        <f t="shared" si="19"/>
        <v>ü</v>
      </c>
      <c r="BB78" s="495" t="str">
        <f t="shared" si="20"/>
        <v/>
      </c>
      <c r="BC78" s="495" t="str">
        <f t="shared" si="21"/>
        <v/>
      </c>
      <c r="BD78" s="513" t="str">
        <f>IF(AND(L78="",H78=""),"",
IF(H78="",Pole_Calc!A$9,
IF(H78="MP",Pole_Calc!A$10,
IF(H78="AnMP",Pole_Calc!A$11,
IF(H78="A",Pole_Calc!A$12,
IF(H78="S/A",Pole_Calc!A$13,
IF(H78="A/S",Pole_Calc!A$14,"Poner a mano")))))))</f>
        <v>App.7-V11I-P9.5.1.1</v>
      </c>
      <c r="BE78" s="429" t="s">
        <v>118</v>
      </c>
      <c r="BF78" s="289"/>
      <c r="BG78" s="289"/>
      <c r="BH78" s="290"/>
      <c r="BI78" s="289"/>
    </row>
    <row r="79" spans="1:61" ht="16.149999999999999" customHeight="1">
      <c r="A79" s="514"/>
      <c r="B79" s="450"/>
      <c r="C79" s="3"/>
      <c r="D79" s="83"/>
      <c r="E79" s="4"/>
      <c r="F79" s="4"/>
      <c r="G79" s="6">
        <v>55</v>
      </c>
      <c r="H79" s="449"/>
      <c r="I79" s="4"/>
      <c r="J79" s="3">
        <f>C80-7.5</f>
        <v>32163.15</v>
      </c>
      <c r="K79" s="449" t="s">
        <v>166</v>
      </c>
      <c r="L79" s="449"/>
      <c r="M79" s="449" t="str">
        <f>IF(L79="","",
IF(AX79="PT",VLOOKUP(L79,Foundation_Calc!$V$79:$X$113,VLOOKUP(AX79,Foundation_Calc!$I$10:$J$13,2,FALSE),0),
IF(AX79="K",VLOOKUP(L79,Foundation_Calc!$V$117:$X$151,VLOOKUP(AX79,Foundation_Calc!$I$10:$J$13,2,FALSE),0),"")))</f>
        <v/>
      </c>
      <c r="N79" s="449"/>
      <c r="O79" s="449"/>
      <c r="P79" s="449"/>
      <c r="Q79" s="4"/>
      <c r="R79" s="6"/>
      <c r="S79" s="6"/>
      <c r="T79" s="4"/>
      <c r="U79" s="4"/>
      <c r="V79" s="4"/>
      <c r="W79" s="572"/>
      <c r="X79" s="9"/>
      <c r="Y79" s="9"/>
      <c r="Z79" s="9"/>
      <c r="AA79" s="9"/>
      <c r="AB79" s="9"/>
      <c r="AC79" s="449" t="str">
        <f t="shared" si="22"/>
        <v/>
      </c>
      <c r="AD79" s="449"/>
      <c r="AE79" s="449"/>
      <c r="AF79" s="4"/>
      <c r="AG79" s="83"/>
      <c r="AH79" s="4"/>
      <c r="AI79" s="4"/>
      <c r="AJ79" s="449"/>
      <c r="AK79" s="449"/>
      <c r="AL79" s="449"/>
      <c r="AM79" s="449"/>
      <c r="AN79" s="10"/>
      <c r="AO79" s="9"/>
      <c r="AP79" s="9"/>
      <c r="AQ79" s="9">
        <f>+FL_2($T$80,$T$78,$G$79,1200,9.28,-1*$F$80)</f>
        <v>-0.39714735709090898</v>
      </c>
      <c r="AR79" s="9"/>
      <c r="AS79" s="9"/>
      <c r="AT79" s="9"/>
      <c r="AU79" s="428"/>
      <c r="AV79" s="428"/>
      <c r="AW79" s="449" t="str">
        <f>IF(C79&gt;0,VLOOKUP(C79,Foundation_Calc!$A$2:$C$13,3,1),
IF(J79&gt;0,VLOOKUP(J79,Foundation_Calc!$A$2:$C$13,3,1),""))</f>
        <v>Multi Soil</v>
      </c>
      <c r="AX79" s="449" t="str">
        <f>IF(C79&gt;0,VLOOKUP(C79,Foundation_Calc!$E$2:$G$33,3,1),
IF(J79&gt;0,VLOOKUP(J79,Foundation_Calc!$E$2:$G$33,3,1),""))</f>
        <v>PT</v>
      </c>
      <c r="AY79" s="10" t="str">
        <f>IF(L79="","",
IF(AX79="PT",VLOOKUP(L79,Foundation_Calc!$K$79:$R$113,VLOOKUP(AW79,Foundation_Calc!$I$2:$J$8,2,FALSE),0),
IF(AX79="K",VLOOKUP(L79,Foundation_Calc!$K$117:$R$151,VLOOKUP(AW79,Foundation_Calc!$I$2:$J$8,2,FALSE),0),"")))</f>
        <v/>
      </c>
      <c r="AZ79" s="10">
        <f>IF(K79="","",
IF(AX79="PT",VLOOKUP(K79,Foundation_Calc!$K$79:$R$113,VLOOKUP(AW79,Foundation_Calc!$I$2:$J$8,2,FALSE),0),
IF(AX79="K",VLOOKUP(K79,Foundation_Calc!$K$117:$R$151,VLOOKUP(AW79,Foundation_Calc!$I$2:$J$8,2,FALSE),0),"")))</f>
        <v>2.8</v>
      </c>
      <c r="BA79" s="495" t="str">
        <f t="shared" si="19"/>
        <v/>
      </c>
      <c r="BB79" s="495" t="str">
        <f t="shared" si="20"/>
        <v>ü</v>
      </c>
      <c r="BC79" s="495" t="str">
        <f t="shared" si="21"/>
        <v/>
      </c>
      <c r="BD79" s="513" t="str">
        <f>IF(AND(L79="",H79=""),"",
IF(H79="",Pole_Calc!A$9,
IF(H79="MP",Pole_Calc!A$10,
IF(H79="AnMP",Pole_Calc!A$11,
IF(H79="A",Pole_Calc!A$12,
IF(H79="S/A",Pole_Calc!A$13,
IF(H79="A/S",Pole_Calc!A$14,"Poner a mano")))))))</f>
        <v/>
      </c>
      <c r="BE79" s="429" t="s">
        <v>118</v>
      </c>
      <c r="BF79" s="290"/>
      <c r="BG79" s="290"/>
      <c r="BH79" s="290"/>
      <c r="BI79" s="290"/>
    </row>
    <row r="80" spans="1:61" ht="16.149999999999999" customHeight="1">
      <c r="A80" s="514"/>
      <c r="B80" s="450" t="s">
        <v>191</v>
      </c>
      <c r="C80" s="3">
        <f>+$C$78+$G$79</f>
        <v>32170.65</v>
      </c>
      <c r="D80" s="83"/>
      <c r="E80" s="4"/>
      <c r="F80" s="4">
        <f>IF(C80&gt;0,VLOOKUP(C80,'ALIGNMENT TRACK'!$A$1:$K$81,9,1))</f>
        <v>0</v>
      </c>
      <c r="G80" s="6"/>
      <c r="H80" s="449" t="s">
        <v>168</v>
      </c>
      <c r="I80" s="4"/>
      <c r="J80" s="3"/>
      <c r="K80" s="449"/>
      <c r="L80" s="449" t="s">
        <v>158</v>
      </c>
      <c r="M80" s="449" t="str">
        <f>IF(L80="","",
IF(AX80="PT",VLOOKUP(L80,Foundation_Calc!$V$79:$X$113,VLOOKUP(AX80,Foundation_Calc!$I$10:$J$13,2,FALSE),0),
IF(AX80="K",VLOOKUP(L80,Foundation_Calc!$V$117:$X$151,VLOOKUP(AX80,Foundation_Calc!$I$10:$J$13,2,FALSE),0),"")))</f>
        <v>C4R</v>
      </c>
      <c r="N80" s="449" t="s">
        <v>134</v>
      </c>
      <c r="O80" s="449"/>
      <c r="P80" s="449"/>
      <c r="Q80" s="4"/>
      <c r="R80" s="6"/>
      <c r="S80" s="6"/>
      <c r="T80" s="4">
        <v>35</v>
      </c>
      <c r="U80" s="4"/>
      <c r="V80" s="4"/>
      <c r="W80" s="572">
        <v>1.2</v>
      </c>
      <c r="X80" s="9"/>
      <c r="Y80" s="9"/>
      <c r="Z80" s="9"/>
      <c r="AA80" s="9"/>
      <c r="AB80" s="9"/>
      <c r="AC80" s="449" t="str">
        <f t="shared" si="22"/>
        <v>PHQ</v>
      </c>
      <c r="AD80" s="449"/>
      <c r="AE80" s="449"/>
      <c r="AF80" s="4"/>
      <c r="AG80" s="83"/>
      <c r="AH80" s="4"/>
      <c r="AI80" s="4"/>
      <c r="AJ80" s="449"/>
      <c r="AK80" s="449"/>
      <c r="AL80" s="449"/>
      <c r="AM80" s="449" t="s">
        <v>126</v>
      </c>
      <c r="AN80" s="10">
        <v>5.5</v>
      </c>
      <c r="AO80" s="9"/>
      <c r="AP80" s="9"/>
      <c r="AQ80" s="9"/>
      <c r="AR80" s="9"/>
      <c r="AS80" s="9"/>
      <c r="AT80" s="9">
        <f>+ab($T$80,$T$78,$T$82,$G$79,$G$81,-1*$F$80,1200)</f>
        <v>7.1424146886693025</v>
      </c>
      <c r="AU80" s="428"/>
      <c r="AV80" s="428"/>
      <c r="AW80" s="449" t="str">
        <f>IF(C80&gt;0,VLOOKUP(C80,Foundation_Calc!$A$2:$C$13,3,1),
IF(J80&gt;0,VLOOKUP(J80,Foundation_Calc!$A$2:$C$13,3,1),""))</f>
        <v>Multi Soil</v>
      </c>
      <c r="AX80" s="449" t="str">
        <f>IF(C80&gt;0,VLOOKUP(C80,Foundation_Calc!$E$2:$G$33,3,1),
IF(J80&gt;0,VLOOKUP(J80,Foundation_Calc!$E$2:$G$33,3,1),""))</f>
        <v>PT</v>
      </c>
      <c r="AY80" s="10">
        <f>IF(L80="","",
IF(AX80="PT",VLOOKUP(L80,Foundation_Calc!$K$79:$R$113,VLOOKUP(AW80,Foundation_Calc!$I$2:$J$8,2,FALSE),0),
IF(AX80="K",VLOOKUP(L80,Foundation_Calc!$K$117:$R$151,VLOOKUP(AW80,Foundation_Calc!$I$2:$J$8,2,FALSE),0),"")))</f>
        <v>3.5</v>
      </c>
      <c r="AZ80" s="10" t="str">
        <f>IF(K80="","",
IF(AX80="PT",VLOOKUP(K80,Foundation_Calc!$K$79:$R$113,VLOOKUP(AW80,Foundation_Calc!$I$2:$J$8,2,FALSE),0),
IF(AX80="K",VLOOKUP(K80,Foundation_Calc!$K$117:$R$151,VLOOKUP(AW80,Foundation_Calc!$I$2:$J$8,2,FALSE),0),"")))</f>
        <v/>
      </c>
      <c r="BA80" s="495" t="str">
        <f t="shared" si="19"/>
        <v>ü</v>
      </c>
      <c r="BB80" s="495" t="str">
        <f t="shared" si="20"/>
        <v/>
      </c>
      <c r="BC80" s="495" t="str">
        <f t="shared" si="21"/>
        <v/>
      </c>
      <c r="BD80" s="513" t="str">
        <f>IF(AND(L80="",H80=""),"",
IF(H80="",Pole_Calc!A$9,
IF(H80="MP",Pole_Calc!A$10,
IF(H80="AnMP",Pole_Calc!A$11,
IF(H80="A",Pole_Calc!A$12,
IF(H80="S/A",Pole_Calc!A$13,
IF(H80="A/S",Pole_Calc!A$14,"Poner a mano")))))))</f>
        <v>App.7-V11I-P9.5.1.3</v>
      </c>
      <c r="BE80" s="429" t="s">
        <v>118</v>
      </c>
      <c r="BF80" s="289"/>
      <c r="BG80" s="289"/>
      <c r="BH80" s="290"/>
      <c r="BI80" s="289"/>
    </row>
    <row r="81" spans="1:61" ht="16.149999999999999" customHeight="1">
      <c r="A81" s="514" t="s">
        <v>169</v>
      </c>
      <c r="B81" s="450"/>
      <c r="C81" s="3"/>
      <c r="D81" s="83"/>
      <c r="E81" s="4"/>
      <c r="F81" s="4"/>
      <c r="G81" s="6">
        <v>50</v>
      </c>
      <c r="H81" s="449"/>
      <c r="I81" s="4">
        <f>SUM(G63:G81)</f>
        <v>520</v>
      </c>
      <c r="J81" s="3"/>
      <c r="K81" s="449"/>
      <c r="L81" s="449"/>
      <c r="M81" s="449" t="str">
        <f>IF(L81="","",
IF(AX81="PT",VLOOKUP(L81,Foundation_Calc!$V$79:$X$113,VLOOKUP(AX81,Foundation_Calc!$I$10:$J$13,2,FALSE),0),
IF(AX81="K",VLOOKUP(L81,Foundation_Calc!$V$117:$X$151,VLOOKUP(AX81,Foundation_Calc!$I$10:$J$13,2,FALSE),0),"")))</f>
        <v/>
      </c>
      <c r="N81" s="449"/>
      <c r="O81" s="449"/>
      <c r="P81" s="449"/>
      <c r="Q81" s="4"/>
      <c r="R81" s="6"/>
      <c r="S81" s="6"/>
      <c r="T81" s="4"/>
      <c r="U81" s="4"/>
      <c r="V81" s="4"/>
      <c r="W81" s="572"/>
      <c r="X81" s="9"/>
      <c r="Y81" s="9"/>
      <c r="Z81" s="9"/>
      <c r="AA81" s="9"/>
      <c r="AB81" s="9"/>
      <c r="AC81" s="449" t="str">
        <f t="shared" si="22"/>
        <v/>
      </c>
      <c r="AD81" s="449"/>
      <c r="AE81" s="449"/>
      <c r="AF81" s="4"/>
      <c r="AG81" s="83"/>
      <c r="AH81" s="4"/>
      <c r="AI81" s="4"/>
      <c r="AJ81" s="449"/>
      <c r="AK81" s="449"/>
      <c r="AL81" s="449"/>
      <c r="AM81" s="449"/>
      <c r="AN81" s="10"/>
      <c r="AO81" s="9"/>
      <c r="AP81" s="9"/>
      <c r="AQ81" s="9">
        <f>+FL_2($T$82,$T$80,$G$81,1200,9.28,-1*$F$82)</f>
        <v>-0.36839079999999996</v>
      </c>
      <c r="AR81" s="9"/>
      <c r="AS81" s="9"/>
      <c r="AT81" s="9"/>
      <c r="AU81" s="428"/>
      <c r="AV81" s="428"/>
      <c r="AW81" s="449" t="str">
        <f>IF(C81&gt;0,VLOOKUP(C81,Foundation_Calc!$A$2:$C$13,3,1),
IF(J81&gt;0,VLOOKUP(J81,Foundation_Calc!$A$2:$C$13,3,1),""))</f>
        <v/>
      </c>
      <c r="AX81" s="449" t="str">
        <f>IF(C81&gt;0,VLOOKUP(C81,Foundation_Calc!$E$2:$G$33,3,1),
IF(J81&gt;0,VLOOKUP(J81,Foundation_Calc!$E$2:$G$33,3,1),""))</f>
        <v/>
      </c>
      <c r="AY81" s="10" t="str">
        <f>IF(L81="","",
IF(AX81="PT",VLOOKUP(L81,Foundation_Calc!$K$79:$R$113,VLOOKUP(AW81,Foundation_Calc!$I$2:$J$8,2,FALSE),0),
IF(AX81="K",VLOOKUP(L81,Foundation_Calc!$K$117:$R$151,VLOOKUP(AW81,Foundation_Calc!$I$2:$J$8,2,FALSE),0),"")))</f>
        <v/>
      </c>
      <c r="AZ81" s="10" t="str">
        <f>IF(K81="","",
IF(AX81="PT",VLOOKUP(K81,Foundation_Calc!$K$79:$R$113,VLOOKUP(AW81,Foundation_Calc!$I$2:$J$8,2,FALSE),0),
IF(AX81="K",VLOOKUP(K81,Foundation_Calc!$K$117:$R$151,VLOOKUP(AW81,Foundation_Calc!$I$2:$J$8,2,FALSE),0),"")))</f>
        <v/>
      </c>
      <c r="BA81" s="495" t="str">
        <f t="shared" si="19"/>
        <v/>
      </c>
      <c r="BB81" s="495" t="str">
        <f t="shared" si="20"/>
        <v/>
      </c>
      <c r="BC81" s="495" t="str">
        <f t="shared" si="21"/>
        <v/>
      </c>
      <c r="BD81" s="513" t="str">
        <f>IF(AND(L81="",H81=""),"",
IF(H81="",Pole_Calc!A$9,
IF(H81="MP",Pole_Calc!A$10,
IF(H81="AnMP",Pole_Calc!A$11,
IF(H81="A",Pole_Calc!A$12,
IF(H81="S/A",Pole_Calc!A$13,
IF(H81="A/S",Pole_Calc!A$14,"Poner a mano")))))))</f>
        <v/>
      </c>
      <c r="BE81" s="429" t="s">
        <v>118</v>
      </c>
      <c r="BF81" s="290"/>
      <c r="BG81" s="290"/>
      <c r="BH81" s="290"/>
      <c r="BI81" s="290"/>
    </row>
    <row r="82" spans="1:61" ht="16.149999999999999" customHeight="1">
      <c r="A82" s="514"/>
      <c r="B82" s="450" t="s">
        <v>192</v>
      </c>
      <c r="C82" s="3">
        <f>+$C$80+$G$81</f>
        <v>32220.65</v>
      </c>
      <c r="D82" s="83"/>
      <c r="E82" s="4"/>
      <c r="F82" s="4">
        <f>IF(C82&gt;0,VLOOKUP(C82,'ALIGNMENT TRACK'!$A$1:$K$81,9,1))</f>
        <v>0</v>
      </c>
      <c r="G82" s="6"/>
      <c r="H82" s="449" t="s">
        <v>171</v>
      </c>
      <c r="I82" s="4"/>
      <c r="J82" s="3"/>
      <c r="K82" s="449"/>
      <c r="L82" s="449" t="s">
        <v>153</v>
      </c>
      <c r="M82" s="449" t="str">
        <f>IF(L82="","",
IF(AX82="PT",VLOOKUP(L82,Foundation_Calc!$V$79:$X$113,VLOOKUP(AX82,Foundation_Calc!$I$10:$J$13,2,FALSE),0),
IF(AX82="K",VLOOKUP(L82,Foundation_Calc!$V$117:$X$151,VLOOKUP(AX82,Foundation_Calc!$I$10:$J$13,2,FALSE),0),"")))</f>
        <v>C3R</v>
      </c>
      <c r="N82" s="449" t="s">
        <v>124</v>
      </c>
      <c r="O82" s="449"/>
      <c r="P82" s="449"/>
      <c r="Q82" s="4"/>
      <c r="R82" s="6"/>
      <c r="S82" s="6"/>
      <c r="T82" s="4">
        <v>-35</v>
      </c>
      <c r="U82" s="4"/>
      <c r="V82" s="4"/>
      <c r="W82" s="572">
        <v>1</v>
      </c>
      <c r="X82" s="9"/>
      <c r="Y82" s="9"/>
      <c r="Z82" s="9"/>
      <c r="AA82" s="9"/>
      <c r="AB82" s="9"/>
      <c r="AC82" s="449" t="str">
        <f t="shared" si="22"/>
        <v>PHQ</v>
      </c>
      <c r="AD82" s="449"/>
      <c r="AE82" s="449"/>
      <c r="AF82" s="4"/>
      <c r="AG82" s="83"/>
      <c r="AH82" s="4"/>
      <c r="AI82" s="4"/>
      <c r="AJ82" s="449"/>
      <c r="AK82" s="449"/>
      <c r="AL82" s="449"/>
      <c r="AM82" s="449" t="s">
        <v>126</v>
      </c>
      <c r="AN82" s="10">
        <f>AN80-0.08</f>
        <v>5.42</v>
      </c>
      <c r="AO82" s="9"/>
      <c r="AP82" s="9"/>
      <c r="AQ82" s="9"/>
      <c r="AR82" s="9"/>
      <c r="AS82" s="9"/>
      <c r="AT82" s="9">
        <f>+ab($T$82,$T$80,$T$84,$G$81,$G$83,-1*$F$82,1200)</f>
        <v>-6.4650411729017883</v>
      </c>
      <c r="AU82" s="428"/>
      <c r="AV82" s="428"/>
      <c r="AW82" s="449" t="str">
        <f>IF(C82&gt;0,VLOOKUP(C82,Foundation_Calc!$A$2:$C$13,3,1),
IF(J82&gt;0,VLOOKUP(J82,Foundation_Calc!$A$2:$C$13,3,1),""))</f>
        <v>Multi Soil</v>
      </c>
      <c r="AX82" s="449" t="str">
        <f>IF(C82&gt;0,VLOOKUP(C82,Foundation_Calc!$E$2:$G$33,3,1),
IF(J82&gt;0,VLOOKUP(J82,Foundation_Calc!$E$2:$G$33,3,1),""))</f>
        <v>PT</v>
      </c>
      <c r="AY82" s="10">
        <f>IF(L82="","",
IF(AX82="PT",VLOOKUP(L82,Foundation_Calc!$K$79:$R$113,VLOOKUP(AW82,Foundation_Calc!$I$2:$J$8,2,FALSE),0),
IF(AX82="K",VLOOKUP(L82,Foundation_Calc!$K$117:$R$151,VLOOKUP(AW82,Foundation_Calc!$I$2:$J$8,2,FALSE),0),"")))</f>
        <v>3.5</v>
      </c>
      <c r="AZ82" s="10" t="str">
        <f>IF(K82="","",
IF(AX82="PT",VLOOKUP(K82,Foundation_Calc!$K$79:$R$113,VLOOKUP(AW82,Foundation_Calc!$I$2:$J$8,2,FALSE),0),
IF(AX82="K",VLOOKUP(K82,Foundation_Calc!$K$117:$R$151,VLOOKUP(AW82,Foundation_Calc!$I$2:$J$8,2,FALSE),0),"")))</f>
        <v/>
      </c>
      <c r="BA82" s="495" t="str">
        <f t="shared" si="19"/>
        <v>ü</v>
      </c>
      <c r="BB82" s="495" t="str">
        <f t="shared" si="20"/>
        <v/>
      </c>
      <c r="BC82" s="495" t="str">
        <f t="shared" si="21"/>
        <v/>
      </c>
      <c r="BD82" s="513" t="str">
        <f>IF(AND(L82="",H82=""),"",
IF(H82="",Pole_Calc!A$9,
IF(H82="MP",Pole_Calc!A$10,
IF(H82="AnMP",Pole_Calc!A$11,
IF(H82="A",Pole_Calc!A$12,
IF(H82="S/A",Pole_Calc!A$13,
IF(H82="A/S",Pole_Calc!A$14,"Poner a mano")))))))</f>
        <v>App.7-V11I-P9.5.1.2</v>
      </c>
      <c r="BE82" s="429" t="s">
        <v>118</v>
      </c>
      <c r="BF82" s="289"/>
      <c r="BG82" s="289"/>
      <c r="BH82" s="290"/>
      <c r="BI82" s="289"/>
    </row>
    <row r="83" spans="1:61" ht="16.149999999999999" customHeight="1">
      <c r="A83" s="514" t="s">
        <v>193</v>
      </c>
      <c r="B83" s="450"/>
      <c r="C83" s="3"/>
      <c r="D83" s="83"/>
      <c r="E83" s="4"/>
      <c r="F83" s="4"/>
      <c r="G83" s="6">
        <v>45</v>
      </c>
      <c r="H83" s="449"/>
      <c r="I83" s="4">
        <f>SUM(G83:G101)</f>
        <v>442</v>
      </c>
      <c r="J83" s="3"/>
      <c r="K83" s="449"/>
      <c r="L83" s="449"/>
      <c r="M83" s="449" t="str">
        <f>IF(L83="","",
IF(AX83="PT",VLOOKUP(L83,Foundation_Calc!$V$79:$X$113,VLOOKUP(AX83,Foundation_Calc!$I$10:$J$13,2,FALSE),0),
IF(AX83="K",VLOOKUP(L83,Foundation_Calc!$V$117:$X$151,VLOOKUP(AX83,Foundation_Calc!$I$10:$J$13,2,FALSE),0),"")))</f>
        <v/>
      </c>
      <c r="N83" s="449"/>
      <c r="O83" s="449"/>
      <c r="P83" s="449"/>
      <c r="Q83" s="4"/>
      <c r="R83" s="6"/>
      <c r="S83" s="6"/>
      <c r="T83" s="4"/>
      <c r="U83" s="4"/>
      <c r="V83" s="4"/>
      <c r="W83" s="572"/>
      <c r="X83" s="9"/>
      <c r="Y83" s="9"/>
      <c r="Z83" s="9"/>
      <c r="AA83" s="9"/>
      <c r="AB83" s="9"/>
      <c r="AC83" s="449" t="str">
        <f t="shared" si="22"/>
        <v/>
      </c>
      <c r="AD83" s="449"/>
      <c r="AE83" s="449"/>
      <c r="AF83" s="4"/>
      <c r="AG83" s="83"/>
      <c r="AH83" s="4"/>
      <c r="AI83" s="4"/>
      <c r="AJ83" s="449"/>
      <c r="AK83" s="449"/>
      <c r="AL83" s="449"/>
      <c r="AM83" s="449"/>
      <c r="AN83" s="10"/>
      <c r="AO83" s="9"/>
      <c r="AP83" s="9"/>
      <c r="AQ83" s="9">
        <f>+FL_1($T$84,$T$82,$G$83,1200,9.28,-1*$F$84)</f>
        <v>0.35219954355555555</v>
      </c>
      <c r="AR83" s="9"/>
      <c r="AS83" s="9"/>
      <c r="AT83" s="9"/>
      <c r="AU83" s="428"/>
      <c r="AV83" s="428"/>
      <c r="AW83" s="449" t="str">
        <f>IF(C83&gt;0,VLOOKUP(C83,Foundation_Calc!$A$2:$C$13,3,1),
IF(J83&gt;0,VLOOKUP(J83,Foundation_Calc!$A$2:$C$13,3,1),""))</f>
        <v/>
      </c>
      <c r="AX83" s="449" t="str">
        <f>IF(C83&gt;0,VLOOKUP(C83,Foundation_Calc!$E$2:$G$33,3,1),
IF(J83&gt;0,VLOOKUP(J83,Foundation_Calc!$E$2:$G$33,3,1),""))</f>
        <v/>
      </c>
      <c r="AY83" s="10" t="str">
        <f>IF(L83="","",
IF(AX83="PT",VLOOKUP(L83,Foundation_Calc!$K$79:$R$113,VLOOKUP(AW83,Foundation_Calc!$I$2:$J$8,2,FALSE),0),
IF(AX83="K",VLOOKUP(L83,Foundation_Calc!$K$117:$R$151,VLOOKUP(AW83,Foundation_Calc!$I$2:$J$8,2,FALSE),0),"")))</f>
        <v/>
      </c>
      <c r="AZ83" s="10" t="str">
        <f>IF(K83="","",
IF(AX83="PT",VLOOKUP(K83,Foundation_Calc!$K$79:$R$113,VLOOKUP(AW83,Foundation_Calc!$I$2:$J$8,2,FALSE),0),
IF(AX83="K",VLOOKUP(K83,Foundation_Calc!$K$117:$R$151,VLOOKUP(AW83,Foundation_Calc!$I$2:$J$8,2,FALSE),0),"")))</f>
        <v/>
      </c>
      <c r="BA83" s="495" t="str">
        <f t="shared" si="19"/>
        <v/>
      </c>
      <c r="BB83" s="495" t="str">
        <f t="shared" si="20"/>
        <v/>
      </c>
      <c r="BC83" s="495" t="str">
        <f t="shared" si="21"/>
        <v/>
      </c>
      <c r="BD83" s="513" t="str">
        <f>IF(AND(L83="",H83=""),"",
IF(H83="",Pole_Calc!A$9,
IF(H83="MP",Pole_Calc!A$10,
IF(H83="AnMP",Pole_Calc!A$11,
IF(H83="A",Pole_Calc!A$12,
IF(H83="S/A",Pole_Calc!A$13,
IF(H83="A/S",Pole_Calc!A$14,"Poner a mano")))))))</f>
        <v/>
      </c>
      <c r="BE83" s="429" t="s">
        <v>118</v>
      </c>
      <c r="BF83" s="290"/>
      <c r="BG83" s="290"/>
      <c r="BH83" s="290"/>
      <c r="BI83" s="290"/>
    </row>
    <row r="84" spans="1:61" ht="16.149999999999999" customHeight="1">
      <c r="A84" s="514"/>
      <c r="B84" s="450" t="s">
        <v>194</v>
      </c>
      <c r="C84" s="3">
        <f>+$C$82+$G$83</f>
        <v>32265.65</v>
      </c>
      <c r="D84" s="83"/>
      <c r="E84" s="4"/>
      <c r="F84" s="4">
        <f>IF(C84&gt;0,VLOOKUP(C84,'ALIGNMENT TRACK'!$A$1:$K$81,9,1))</f>
        <v>0</v>
      </c>
      <c r="G84" s="6"/>
      <c r="H84" s="449" t="s">
        <v>168</v>
      </c>
      <c r="I84" s="4"/>
      <c r="J84" s="3">
        <f>C84+7.5</f>
        <v>32273.15</v>
      </c>
      <c r="K84" s="449" t="s">
        <v>166</v>
      </c>
      <c r="L84" s="449" t="s">
        <v>158</v>
      </c>
      <c r="M84" s="449" t="str">
        <f>IF(L84="","",
IF(AX84="PT",VLOOKUP(L84,Foundation_Calc!$V$79:$X$113,VLOOKUP(AX84,Foundation_Calc!$I$10:$J$13,2,FALSE),0),
IF(AX84="K",VLOOKUP(L84,Foundation_Calc!$V$117:$X$151,VLOOKUP(AX84,Foundation_Calc!$I$10:$J$13,2,FALSE),0),"")))</f>
        <v>C4R</v>
      </c>
      <c r="N84" s="449" t="s">
        <v>134</v>
      </c>
      <c r="O84" s="449"/>
      <c r="P84" s="449"/>
      <c r="Q84" s="4"/>
      <c r="R84" s="6"/>
      <c r="S84" s="6"/>
      <c r="T84" s="4">
        <v>35</v>
      </c>
      <c r="U84" s="4"/>
      <c r="V84" s="4"/>
      <c r="W84" s="572">
        <v>1</v>
      </c>
      <c r="X84" s="9"/>
      <c r="Y84" s="9"/>
      <c r="Z84" s="9"/>
      <c r="AA84" s="9"/>
      <c r="AB84" s="9"/>
      <c r="AC84" s="449" t="str">
        <f t="shared" si="22"/>
        <v>PHQ</v>
      </c>
      <c r="AD84" s="449"/>
      <c r="AE84" s="449"/>
      <c r="AF84" s="4"/>
      <c r="AG84" s="83"/>
      <c r="AH84" s="4"/>
      <c r="AI84" s="4"/>
      <c r="AJ84" s="449"/>
      <c r="AK84" s="449"/>
      <c r="AL84" s="449"/>
      <c r="AM84" s="449" t="s">
        <v>126</v>
      </c>
      <c r="AN84" s="10">
        <f>AN82-0.07</f>
        <v>5.35</v>
      </c>
      <c r="AO84" s="9"/>
      <c r="AP84" s="9"/>
      <c r="AQ84" s="9"/>
      <c r="AR84" s="9"/>
      <c r="AS84" s="9"/>
      <c r="AT84" s="9">
        <f>+ab($T$84,$T$82,$T$86,$G$83,$G$85,-1*$F$84,1200)</f>
        <v>5.9339737405906332</v>
      </c>
      <c r="AU84" s="428"/>
      <c r="AV84" s="428"/>
      <c r="AW84" s="449" t="str">
        <f>IF(C84&gt;0,VLOOKUP(C84,Foundation_Calc!$A$2:$C$13,3,1),
IF(J84&gt;0,VLOOKUP(J84,Foundation_Calc!$A$2:$C$13,3,1),""))</f>
        <v>Multi Soil</v>
      </c>
      <c r="AX84" s="449" t="str">
        <f>IF(C84&gt;0,VLOOKUP(C84,Foundation_Calc!$E$2:$G$33,3,1),
IF(J84&gt;0,VLOOKUP(J84,Foundation_Calc!$E$2:$G$33,3,1),""))</f>
        <v>PT</v>
      </c>
      <c r="AY84" s="10">
        <f>IF(L84="","",
IF(AX84="PT",VLOOKUP(L84,Foundation_Calc!$K$79:$R$113,VLOOKUP(AW84,Foundation_Calc!$I$2:$J$8,2,FALSE),0),
IF(AX84="K",VLOOKUP(L84,Foundation_Calc!$K$117:$R$151,VLOOKUP(AW84,Foundation_Calc!$I$2:$J$8,2,FALSE),0),"")))</f>
        <v>3.5</v>
      </c>
      <c r="AZ84" s="10">
        <f>IF(K84="","",
IF(AX84="PT",VLOOKUP(K84,Foundation_Calc!$K$79:$R$113,VLOOKUP(AW84,Foundation_Calc!$I$2:$J$8,2,FALSE),0),
IF(AX84="K",VLOOKUP(K84,Foundation_Calc!$K$117:$R$151,VLOOKUP(AW84,Foundation_Calc!$I$2:$J$8,2,FALSE),0),"")))</f>
        <v>2.8</v>
      </c>
      <c r="BA84" s="495" t="str">
        <f t="shared" si="19"/>
        <v>ü</v>
      </c>
      <c r="BB84" s="495" t="str">
        <f t="shared" si="20"/>
        <v>ü</v>
      </c>
      <c r="BC84" s="495" t="str">
        <f t="shared" si="21"/>
        <v/>
      </c>
      <c r="BD84" s="513" t="str">
        <f>IF(AND(L84="",H84=""),"",
IF(H84="",Pole_Calc!A$9,
IF(H84="MP",Pole_Calc!A$10,
IF(H84="AnMP",Pole_Calc!A$11,
IF(H84="A",Pole_Calc!A$12,
IF(H84="S/A",Pole_Calc!A$13,
IF(H84="A/S",Pole_Calc!A$14,"Poner a mano")))))))</f>
        <v>App.7-V11I-P9.5.1.3</v>
      </c>
      <c r="BE84" s="429" t="s">
        <v>118</v>
      </c>
      <c r="BF84" s="289"/>
      <c r="BG84" s="289"/>
      <c r="BH84" s="290"/>
      <c r="BI84" s="289"/>
    </row>
    <row r="85" spans="1:61" ht="16.149999999999999" customHeight="1">
      <c r="A85" s="514"/>
      <c r="B85" s="450"/>
      <c r="C85" s="3"/>
      <c r="D85" s="83"/>
      <c r="E85" s="4"/>
      <c r="F85" s="4"/>
      <c r="G85" s="6">
        <v>42</v>
      </c>
      <c r="H85" s="449"/>
      <c r="I85" s="4" t="s">
        <v>195</v>
      </c>
      <c r="J85" s="3">
        <f>C86-7.5</f>
        <v>32300.15</v>
      </c>
      <c r="K85" s="449" t="s">
        <v>166</v>
      </c>
      <c r="L85" s="449"/>
      <c r="M85" s="449" t="str">
        <f>IF(L85="","",
IF(AX85="PT",VLOOKUP(L85,Foundation_Calc!$V$79:$X$113,VLOOKUP(AX85,Foundation_Calc!$I$10:$J$13,2,FALSE),0),
IF(AX85="K",VLOOKUP(L85,Foundation_Calc!$V$117:$X$151,VLOOKUP(AX85,Foundation_Calc!$I$10:$J$13,2,FALSE),0),"")))</f>
        <v/>
      </c>
      <c r="N85" s="449"/>
      <c r="O85" s="449"/>
      <c r="P85" s="449"/>
      <c r="Q85" s="4"/>
      <c r="R85" s="6"/>
      <c r="S85" s="6"/>
      <c r="T85" s="4"/>
      <c r="U85" s="4"/>
      <c r="V85" s="4"/>
      <c r="W85" s="572"/>
      <c r="X85" s="9"/>
      <c r="Y85" s="9"/>
      <c r="Z85" s="9"/>
      <c r="AA85" s="9"/>
      <c r="AB85" s="9"/>
      <c r="AC85" s="449" t="str">
        <f t="shared" si="22"/>
        <v/>
      </c>
      <c r="AD85" s="449"/>
      <c r="AE85" s="449"/>
      <c r="AF85" s="4"/>
      <c r="AG85" s="83"/>
      <c r="AH85" s="4"/>
      <c r="AI85" s="4"/>
      <c r="AJ85" s="449"/>
      <c r="AK85" s="449"/>
      <c r="AL85" s="449"/>
      <c r="AM85" s="449"/>
      <c r="AN85" s="10"/>
      <c r="AO85" s="9"/>
      <c r="AP85" s="9"/>
      <c r="AQ85" s="9">
        <f>+FL_1($T$86,$T$84,$G$85,1200,9.28,-1*$F$86)</f>
        <v>0.35</v>
      </c>
      <c r="AR85" s="9"/>
      <c r="AS85" s="9"/>
      <c r="AT85" s="9"/>
      <c r="AU85" s="428"/>
      <c r="AV85" s="428"/>
      <c r="AW85" s="449" t="str">
        <f>IF(C85&gt;0,VLOOKUP(C85,Foundation_Calc!$A$2:$C$13,3,1),
IF(J85&gt;0,VLOOKUP(J85,Foundation_Calc!$A$2:$C$13,3,1),""))</f>
        <v>Multi Soil</v>
      </c>
      <c r="AX85" s="449" t="str">
        <f>IF(C85&gt;0,VLOOKUP(C85,Foundation_Calc!$E$2:$G$33,3,1),
IF(J85&gt;0,VLOOKUP(J85,Foundation_Calc!$E$2:$G$33,3,1),""))</f>
        <v>PT</v>
      </c>
      <c r="AY85" s="10" t="str">
        <f>IF(L85="","",
IF(AX85="PT",VLOOKUP(L85,Foundation_Calc!$K$79:$R$113,VLOOKUP(AW85,Foundation_Calc!$I$2:$J$8,2,FALSE),0),
IF(AX85="K",VLOOKUP(L85,Foundation_Calc!$K$117:$R$151,VLOOKUP(AW85,Foundation_Calc!$I$2:$J$8,2,FALSE),0),"")))</f>
        <v/>
      </c>
      <c r="AZ85" s="10">
        <f>IF(K85="","",
IF(AX85="PT",VLOOKUP(K85,Foundation_Calc!$K$79:$R$113,VLOOKUP(AW85,Foundation_Calc!$I$2:$J$8,2,FALSE),0),
IF(AX85="K",VLOOKUP(K85,Foundation_Calc!$K$117:$R$151,VLOOKUP(AW85,Foundation_Calc!$I$2:$J$8,2,FALSE),0),"")))</f>
        <v>2.8</v>
      </c>
      <c r="BA85" s="495" t="str">
        <f t="shared" si="19"/>
        <v/>
      </c>
      <c r="BB85" s="495" t="str">
        <f t="shared" si="20"/>
        <v>ü</v>
      </c>
      <c r="BC85" s="495" t="str">
        <f t="shared" si="21"/>
        <v/>
      </c>
      <c r="BD85" s="513" t="str">
        <f>IF(AND(L85="",H85=""),"",
IF(H85="",Pole_Calc!A$9,
IF(H85="MP",Pole_Calc!A$10,
IF(H85="AnMP",Pole_Calc!A$11,
IF(H85="A",Pole_Calc!A$12,
IF(H85="S/A",Pole_Calc!A$13,
IF(H85="A/S",Pole_Calc!A$14,"Poner a mano")))))))</f>
        <v/>
      </c>
      <c r="BE85" s="429" t="s">
        <v>118</v>
      </c>
      <c r="BF85" s="290"/>
      <c r="BG85" s="290"/>
      <c r="BH85" s="290"/>
      <c r="BI85" s="290"/>
    </row>
    <row r="86" spans="1:61" ht="16.149999999999999" customHeight="1">
      <c r="A86" s="514"/>
      <c r="B86" s="450" t="s">
        <v>196</v>
      </c>
      <c r="C86" s="3">
        <f>+$C$84+$G$85</f>
        <v>32307.65</v>
      </c>
      <c r="D86" s="83"/>
      <c r="E86" s="4"/>
      <c r="F86" s="4">
        <f>IF(C86&gt;0,VLOOKUP(C86,'ALIGNMENT TRACK'!$A$1:$K$81,9,1))</f>
        <v>0</v>
      </c>
      <c r="G86" s="6"/>
      <c r="H86" s="449"/>
      <c r="I86" s="4"/>
      <c r="J86" s="3"/>
      <c r="K86" s="449"/>
      <c r="L86" s="449" t="s">
        <v>158</v>
      </c>
      <c r="M86" s="449" t="str">
        <f>IF(L86="","",
IF(AX86="PT",VLOOKUP(L86,Foundation_Calc!$V$79:$X$113,VLOOKUP(AX86,Foundation_Calc!$I$10:$J$13,2,FALSE),0),
IF(AX86="K",VLOOKUP(L86,Foundation_Calc!$V$117:$X$151,VLOOKUP(AX86,Foundation_Calc!$I$10:$J$13,2,FALSE),0),"")))</f>
        <v>C4R</v>
      </c>
      <c r="N86" s="449" t="s">
        <v>124</v>
      </c>
      <c r="O86" s="449"/>
      <c r="P86" s="449"/>
      <c r="Q86" s="4"/>
      <c r="R86" s="6"/>
      <c r="S86" s="6"/>
      <c r="T86" s="4">
        <v>-35</v>
      </c>
      <c r="U86" s="4"/>
      <c r="V86" s="4"/>
      <c r="W86" s="572">
        <v>1</v>
      </c>
      <c r="X86" s="9"/>
      <c r="Y86" s="9"/>
      <c r="Z86" s="9"/>
      <c r="AA86" s="9"/>
      <c r="AB86" s="9"/>
      <c r="AC86" s="449" t="str">
        <f t="shared" si="22"/>
        <v>PHQ</v>
      </c>
      <c r="AD86" s="449"/>
      <c r="AE86" s="449"/>
      <c r="AF86" s="4"/>
      <c r="AG86" s="83"/>
      <c r="AH86" s="4"/>
      <c r="AI86" s="4"/>
      <c r="AJ86" s="449"/>
      <c r="AK86" s="449"/>
      <c r="AL86" s="449"/>
      <c r="AM86" s="449" t="s">
        <v>126</v>
      </c>
      <c r="AN86" s="10">
        <f>AN88+0.07</f>
        <v>5.28</v>
      </c>
      <c r="AO86" s="9"/>
      <c r="AP86" s="9"/>
      <c r="AQ86" s="9"/>
      <c r="AR86" s="9"/>
      <c r="AS86" s="9"/>
      <c r="AT86" s="9">
        <f>+ab($T$86,$T$84,$T$88,$G$85,$G$87,-1*$F$86,1200)</f>
        <v>-5.5984915706275187</v>
      </c>
      <c r="AU86" s="428"/>
      <c r="AV86" s="428"/>
      <c r="AW86" s="449" t="str">
        <f>IF(C86&gt;0,VLOOKUP(C86,Foundation_Calc!$A$2:$C$13,3,1),
IF(J86&gt;0,VLOOKUP(J86,Foundation_Calc!$A$2:$C$13,3,1),""))</f>
        <v>Multi Soil</v>
      </c>
      <c r="AX86" s="449" t="str">
        <f>IF(C86&gt;0,VLOOKUP(C86,Foundation_Calc!$E$2:$G$33,3,1),
IF(J86&gt;0,VLOOKUP(J86,Foundation_Calc!$E$2:$G$33,3,1),""))</f>
        <v>PT</v>
      </c>
      <c r="AY86" s="10">
        <f>IF(L86="","",
IF(AX86="PT",VLOOKUP(L86,Foundation_Calc!$K$79:$R$113,VLOOKUP(AW86,Foundation_Calc!$I$2:$J$8,2,FALSE),0),
IF(AX86="K",VLOOKUP(L86,Foundation_Calc!$K$117:$R$151,VLOOKUP(AW86,Foundation_Calc!$I$2:$J$8,2,FALSE),0),"")))</f>
        <v>3.5</v>
      </c>
      <c r="AZ86" s="10" t="str">
        <f>IF(K86="","",
IF(AX86="PT",VLOOKUP(K86,Foundation_Calc!$K$79:$R$113,VLOOKUP(AW86,Foundation_Calc!$I$2:$J$8,2,FALSE),0),
IF(AX86="K",VLOOKUP(K86,Foundation_Calc!$K$117:$R$151,VLOOKUP(AW86,Foundation_Calc!$I$2:$J$8,2,FALSE),0),"")))</f>
        <v/>
      </c>
      <c r="BA86" s="495" t="str">
        <f t="shared" si="19"/>
        <v>ü</v>
      </c>
      <c r="BB86" s="495" t="str">
        <f t="shared" si="20"/>
        <v/>
      </c>
      <c r="BC86" s="495" t="str">
        <f t="shared" si="21"/>
        <v/>
      </c>
      <c r="BD86" s="513" t="str">
        <f>IF(AND(L86="",H86=""),"",
IF(H86="",Pole_Calc!A$9,
IF(H86="MP",Pole_Calc!A$10,
IF(H86="AnMP",Pole_Calc!A$11,
IF(H86="A",Pole_Calc!A$12,
IF(H86="S/A",Pole_Calc!A$13,
IF(H86="A/S",Pole_Calc!A$14,"Poner a mano")))))))</f>
        <v>App.7-V11I-P9.5.1.1</v>
      </c>
      <c r="BE86" s="429" t="s">
        <v>118</v>
      </c>
      <c r="BF86" s="289"/>
      <c r="BG86" s="289"/>
      <c r="BH86" s="290"/>
      <c r="BI86" s="289"/>
    </row>
    <row r="87" spans="1:61" ht="16.149999999999999" customHeight="1">
      <c r="A87" s="514"/>
      <c r="B87" s="450"/>
      <c r="C87" s="3"/>
      <c r="D87" s="83"/>
      <c r="E87" s="4"/>
      <c r="F87" s="4"/>
      <c r="G87" s="6">
        <v>40</v>
      </c>
      <c r="H87" s="449"/>
      <c r="I87" s="4" t="s">
        <v>195</v>
      </c>
      <c r="J87" s="3">
        <f>C86+7.5</f>
        <v>32315.15</v>
      </c>
      <c r="K87" s="449" t="s">
        <v>166</v>
      </c>
      <c r="L87" s="449"/>
      <c r="M87" s="449" t="str">
        <f>IF(L87="","",
IF(AX87="PT",VLOOKUP(L87,Foundation_Calc!$V$79:$X$113,VLOOKUP(AX87,Foundation_Calc!$I$10:$J$13,2,FALSE),0),
IF(AX87="K",VLOOKUP(L87,Foundation_Calc!$V$117:$X$151,VLOOKUP(AX87,Foundation_Calc!$I$10:$J$13,2,FALSE),0),"")))</f>
        <v/>
      </c>
      <c r="N87" s="449"/>
      <c r="O87" s="449"/>
      <c r="P87" s="449"/>
      <c r="Q87" s="4"/>
      <c r="R87" s="6"/>
      <c r="S87" s="6"/>
      <c r="T87" s="4"/>
      <c r="U87" s="4"/>
      <c r="V87" s="4"/>
      <c r="W87" s="572"/>
      <c r="X87" s="9"/>
      <c r="Y87" s="9"/>
      <c r="Z87" s="9"/>
      <c r="AA87" s="9"/>
      <c r="AB87" s="9"/>
      <c r="AC87" s="449" t="str">
        <f t="shared" si="22"/>
        <v/>
      </c>
      <c r="AD87" s="449"/>
      <c r="AE87" s="449"/>
      <c r="AF87" s="4"/>
      <c r="AG87" s="83"/>
      <c r="AH87" s="4"/>
      <c r="AI87" s="4"/>
      <c r="AJ87" s="449"/>
      <c r="AK87" s="449"/>
      <c r="AL87" s="449"/>
      <c r="AM87" s="449"/>
      <c r="AN87" s="10"/>
      <c r="AO87" s="9"/>
      <c r="AP87" s="9"/>
      <c r="AQ87" s="9">
        <f>+FL_2($T$88,$T$86,$G$87,1200,9.28,-1*$F$88)</f>
        <v>-0.35000000000000125</v>
      </c>
      <c r="AR87" s="9"/>
      <c r="AS87" s="9"/>
      <c r="AT87" s="9"/>
      <c r="AU87" s="428"/>
      <c r="AV87" s="428"/>
      <c r="AW87" s="449" t="str">
        <f>IF(C87&gt;0,VLOOKUP(C87,Foundation_Calc!$A$2:$C$13,3,1),
IF(J87&gt;0,VLOOKUP(J87,Foundation_Calc!$A$2:$C$13,3,1),""))</f>
        <v>Multi Soil</v>
      </c>
      <c r="AX87" s="449" t="str">
        <f>IF(C87&gt;0,VLOOKUP(C87,Foundation_Calc!$E$2:$G$33,3,1),
IF(J87&gt;0,VLOOKUP(J87,Foundation_Calc!$E$2:$G$33,3,1),""))</f>
        <v>PT</v>
      </c>
      <c r="AY87" s="10" t="str">
        <f>IF(L87="","",
IF(AX87="PT",VLOOKUP(L87,Foundation_Calc!$K$79:$R$113,VLOOKUP(AW87,Foundation_Calc!$I$2:$J$8,2,FALSE),0),
IF(AX87="K",VLOOKUP(L87,Foundation_Calc!$K$117:$R$151,VLOOKUP(AW87,Foundation_Calc!$I$2:$J$8,2,FALSE),0),"")))</f>
        <v/>
      </c>
      <c r="AZ87" s="10">
        <f>IF(K87="","",
IF(AX87="PT",VLOOKUP(K87,Foundation_Calc!$K$79:$R$113,VLOOKUP(AW87,Foundation_Calc!$I$2:$J$8,2,FALSE),0),
IF(AX87="K",VLOOKUP(K87,Foundation_Calc!$K$117:$R$151,VLOOKUP(AW87,Foundation_Calc!$I$2:$J$8,2,FALSE),0),"")))</f>
        <v>2.8</v>
      </c>
      <c r="BA87" s="495" t="str">
        <f t="shared" si="19"/>
        <v/>
      </c>
      <c r="BB87" s="495" t="str">
        <f t="shared" si="20"/>
        <v>ü</v>
      </c>
      <c r="BC87" s="495" t="str">
        <f t="shared" si="21"/>
        <v/>
      </c>
      <c r="BD87" s="513" t="str">
        <f>IF(AND(L87="",H87=""),"",
IF(H87="",Pole_Calc!A$9,
IF(H87="MP",Pole_Calc!A$10,
IF(H87="AnMP",Pole_Calc!A$11,
IF(H87="A",Pole_Calc!A$12,
IF(H87="S/A",Pole_Calc!A$13,
IF(H87="A/S",Pole_Calc!A$14,"Poner a mano")))))))</f>
        <v/>
      </c>
      <c r="BE87" s="429" t="s">
        <v>118</v>
      </c>
      <c r="BF87" s="290"/>
      <c r="BG87" s="290"/>
      <c r="BH87" s="290"/>
      <c r="BI87" s="290"/>
    </row>
    <row r="88" spans="1:61" ht="16.149999999999999" customHeight="1">
      <c r="A88" s="514"/>
      <c r="B88" s="450" t="s">
        <v>197</v>
      </c>
      <c r="C88" s="3">
        <f>+$C$86+$G$87</f>
        <v>32347.65</v>
      </c>
      <c r="D88" s="83"/>
      <c r="E88" s="4"/>
      <c r="F88" s="4">
        <f>IF(C88&gt;0,VLOOKUP(C88,'ALIGNMENT TRACK'!$A$1:$K$81,9,1))</f>
        <v>0</v>
      </c>
      <c r="G88" s="6"/>
      <c r="H88" s="449"/>
      <c r="I88" s="4"/>
      <c r="J88" s="3"/>
      <c r="K88" s="449"/>
      <c r="L88" s="449" t="s">
        <v>153</v>
      </c>
      <c r="M88" s="449" t="str">
        <f>IF(L88="","",
IF(AX88="PT",VLOOKUP(L88,Foundation_Calc!$V$79:$X$113,VLOOKUP(AX88,Foundation_Calc!$I$10:$J$13,2,FALSE),0),
IF(AX88="K",VLOOKUP(L88,Foundation_Calc!$V$117:$X$151,VLOOKUP(AX88,Foundation_Calc!$I$10:$J$13,2,FALSE),0),"")))</f>
        <v>C3R</v>
      </c>
      <c r="N88" s="449" t="s">
        <v>134</v>
      </c>
      <c r="O88" s="449"/>
      <c r="P88" s="449"/>
      <c r="Q88" s="4"/>
      <c r="R88" s="6"/>
      <c r="S88" s="6"/>
      <c r="T88" s="4">
        <v>35</v>
      </c>
      <c r="U88" s="4"/>
      <c r="V88" s="4"/>
      <c r="W88" s="572">
        <v>0.8</v>
      </c>
      <c r="X88" s="9"/>
      <c r="Y88" s="9"/>
      <c r="Z88" s="9"/>
      <c r="AA88" s="9"/>
      <c r="AB88" s="9"/>
      <c r="AC88" s="449" t="str">
        <f t="shared" si="22"/>
        <v>PHQ</v>
      </c>
      <c r="AD88" s="449"/>
      <c r="AE88" s="449"/>
      <c r="AF88" s="4"/>
      <c r="AG88" s="83"/>
      <c r="AH88" s="4"/>
      <c r="AI88" s="4"/>
      <c r="AJ88" s="449"/>
      <c r="AK88" s="449"/>
      <c r="AL88" s="449"/>
      <c r="AM88" s="449" t="s">
        <v>126</v>
      </c>
      <c r="AN88" s="10">
        <f>AN90+0.06</f>
        <v>5.21</v>
      </c>
      <c r="AO88" s="9"/>
      <c r="AP88" s="9"/>
      <c r="AQ88" s="9"/>
      <c r="AR88" s="9"/>
      <c r="AS88" s="9"/>
      <c r="AT88" s="9">
        <f>+ab($T$88,$T$86,$T$90,$G$87,$G$89,-1*$F$88,1200)</f>
        <v>5.5330635446960796</v>
      </c>
      <c r="AU88" s="428"/>
      <c r="AV88" s="428"/>
      <c r="AW88" s="449" t="str">
        <f>IF(C88&gt;0,VLOOKUP(C88,Foundation_Calc!$A$2:$C$13,3,1),
IF(J88&gt;0,VLOOKUP(J88,Foundation_Calc!$A$2:$C$13,3,1),""))</f>
        <v>Multi Soil</v>
      </c>
      <c r="AX88" s="449" t="str">
        <f>IF(C88&gt;0,VLOOKUP(C88,Foundation_Calc!$E$2:$G$33,3,1),
IF(J88&gt;0,VLOOKUP(J88,Foundation_Calc!$E$2:$G$33,3,1),""))</f>
        <v>PT</v>
      </c>
      <c r="AY88" s="10">
        <f>IF(L88="","",
IF(AX88="PT",VLOOKUP(L88,Foundation_Calc!$K$79:$R$113,VLOOKUP(AW88,Foundation_Calc!$I$2:$J$8,2,FALSE),0),
IF(AX88="K",VLOOKUP(L88,Foundation_Calc!$K$117:$R$151,VLOOKUP(AW88,Foundation_Calc!$I$2:$J$8,2,FALSE),0),"")))</f>
        <v>3.5</v>
      </c>
      <c r="AZ88" s="10" t="str">
        <f>IF(K88="","",
IF(AX88="PT",VLOOKUP(K88,Foundation_Calc!$K$79:$R$113,VLOOKUP(AW88,Foundation_Calc!$I$2:$J$8,2,FALSE),0),
IF(AX88="K",VLOOKUP(K88,Foundation_Calc!$K$117:$R$151,VLOOKUP(AW88,Foundation_Calc!$I$2:$J$8,2,FALSE),0),"")))</f>
        <v/>
      </c>
      <c r="BA88" s="495" t="str">
        <f t="shared" si="19"/>
        <v>ü</v>
      </c>
      <c r="BB88" s="495" t="str">
        <f t="shared" si="20"/>
        <v/>
      </c>
      <c r="BC88" s="495" t="str">
        <f t="shared" si="21"/>
        <v/>
      </c>
      <c r="BD88" s="513" t="str">
        <f>IF(AND(L88="",H88=""),"",
IF(H88="",Pole_Calc!A$9,
IF(H88="MP",Pole_Calc!A$10,
IF(H88="AnMP",Pole_Calc!A$11,
IF(H88="A",Pole_Calc!A$12,
IF(H88="S/A",Pole_Calc!A$13,
IF(H88="A/S",Pole_Calc!A$14,"Poner a mano")))))))</f>
        <v>App.7-V11I-P9.5.1.1</v>
      </c>
      <c r="BE88" s="429" t="s">
        <v>118</v>
      </c>
      <c r="BF88" s="289"/>
      <c r="BG88" s="289"/>
      <c r="BH88" s="290"/>
      <c r="BI88" s="289"/>
    </row>
    <row r="89" spans="1:61" ht="16.149999999999999" customHeight="1">
      <c r="A89" s="514"/>
      <c r="B89" s="450"/>
      <c r="C89" s="3"/>
      <c r="D89" s="83"/>
      <c r="E89" s="4"/>
      <c r="F89" s="4"/>
      <c r="G89" s="6">
        <v>41</v>
      </c>
      <c r="H89" s="449"/>
      <c r="I89" s="4"/>
      <c r="J89" s="3"/>
      <c r="K89" s="449"/>
      <c r="L89" s="449"/>
      <c r="M89" s="449" t="str">
        <f>IF(L89="","",
IF(AX89="PT",VLOOKUP(L89,Foundation_Calc!$V$79:$X$113,VLOOKUP(AX89,Foundation_Calc!$I$10:$J$13,2,FALSE),0),
IF(AX89="K",VLOOKUP(L89,Foundation_Calc!$V$117:$X$151,VLOOKUP(AX89,Foundation_Calc!$I$10:$J$13,2,FALSE),0),"")))</f>
        <v/>
      </c>
      <c r="N89" s="449"/>
      <c r="O89" s="449"/>
      <c r="P89" s="449"/>
      <c r="Q89" s="4"/>
      <c r="R89" s="6"/>
      <c r="S89" s="6"/>
      <c r="T89" s="4"/>
      <c r="U89" s="4"/>
      <c r="V89" s="4"/>
      <c r="W89" s="572"/>
      <c r="X89" s="9"/>
      <c r="Y89" s="9"/>
      <c r="Z89" s="9"/>
      <c r="AA89" s="9"/>
      <c r="AB89" s="9"/>
      <c r="AC89" s="449" t="str">
        <f t="shared" si="22"/>
        <v/>
      </c>
      <c r="AD89" s="449"/>
      <c r="AE89" s="449"/>
      <c r="AF89" s="4"/>
      <c r="AG89" s="83"/>
      <c r="AH89" s="4"/>
      <c r="AI89" s="4"/>
      <c r="AJ89" s="449"/>
      <c r="AK89" s="449"/>
      <c r="AL89" s="449"/>
      <c r="AM89" s="449"/>
      <c r="AN89" s="10"/>
      <c r="AO89" s="9"/>
      <c r="AP89" s="9"/>
      <c r="AQ89" s="9">
        <f>+FL_1($T$90,$T$88,$G$89,1200,9.28,-1*$F$90)</f>
        <v>0.35000000000000048</v>
      </c>
      <c r="AR89" s="9"/>
      <c r="AS89" s="9"/>
      <c r="AT89" s="9"/>
      <c r="AU89" s="428"/>
      <c r="AV89" s="428"/>
      <c r="AW89" s="449" t="str">
        <f>IF(C89&gt;0,VLOOKUP(C89,Foundation_Calc!$A$2:$C$13,3,1),
IF(J89&gt;0,VLOOKUP(J89,Foundation_Calc!$A$2:$C$13,3,1),""))</f>
        <v/>
      </c>
      <c r="AX89" s="449" t="str">
        <f>IF(C89&gt;0,VLOOKUP(C89,Foundation_Calc!$E$2:$G$33,3,1),
IF(J89&gt;0,VLOOKUP(J89,Foundation_Calc!$E$2:$G$33,3,1),""))</f>
        <v/>
      </c>
      <c r="AY89" s="10" t="str">
        <f>IF(L89="","",
IF(AX89="PT",VLOOKUP(L89,Foundation_Calc!$K$79:$R$113,VLOOKUP(AW89,Foundation_Calc!$I$2:$J$8,2,FALSE),0),
IF(AX89="K",VLOOKUP(L89,Foundation_Calc!$K$117:$R$151,VLOOKUP(AW89,Foundation_Calc!$I$2:$J$8,2,FALSE),0),"")))</f>
        <v/>
      </c>
      <c r="AZ89" s="10" t="str">
        <f>IF(K89="","",
IF(AX89="PT",VLOOKUP(K89,Foundation_Calc!$K$79:$R$113,VLOOKUP(AW89,Foundation_Calc!$I$2:$J$8,2,FALSE),0),
IF(AX89="K",VLOOKUP(K89,Foundation_Calc!$K$117:$R$151,VLOOKUP(AW89,Foundation_Calc!$I$2:$J$8,2,FALSE),0),"")))</f>
        <v/>
      </c>
      <c r="BA89" s="495" t="str">
        <f t="shared" si="19"/>
        <v/>
      </c>
      <c r="BB89" s="495" t="str">
        <f t="shared" si="20"/>
        <v/>
      </c>
      <c r="BC89" s="495" t="str">
        <f t="shared" si="21"/>
        <v/>
      </c>
      <c r="BD89" s="513" t="str">
        <f>IF(AND(L89="",H89=""),"",
IF(H89="",Pole_Calc!A$9,
IF(H89="MP",Pole_Calc!A$10,
IF(H89="AnMP",Pole_Calc!A$11,
IF(H89="A",Pole_Calc!A$12,
IF(H89="S/A",Pole_Calc!A$13,
IF(H89="A/S",Pole_Calc!A$14,"Poner a mano")))))))</f>
        <v/>
      </c>
      <c r="BE89" s="429" t="s">
        <v>118</v>
      </c>
      <c r="BF89" s="290"/>
      <c r="BG89" s="290"/>
      <c r="BH89" s="290"/>
      <c r="BI89" s="290"/>
    </row>
    <row r="90" spans="1:61" ht="16.149999999999999" customHeight="1">
      <c r="A90" s="514"/>
      <c r="B90" s="450" t="s">
        <v>198</v>
      </c>
      <c r="C90" s="3">
        <f>+$C$88+$G$89</f>
        <v>32388.65</v>
      </c>
      <c r="D90" s="83"/>
      <c r="E90" s="4"/>
      <c r="F90" s="4">
        <f>IF(C90&gt;0,VLOOKUP(C90,'ALIGNMENT TRACK'!$A$1:$K$81,9,1))</f>
        <v>0</v>
      </c>
      <c r="G90" s="6"/>
      <c r="H90" s="449"/>
      <c r="I90" s="4"/>
      <c r="J90" s="3"/>
      <c r="K90" s="449"/>
      <c r="L90" s="449" t="s">
        <v>153</v>
      </c>
      <c r="M90" s="449" t="str">
        <f>IF(L90="","",
IF(AX90="PT",VLOOKUP(L90,Foundation_Calc!$V$79:$X$113,VLOOKUP(AX90,Foundation_Calc!$I$10:$J$13,2,FALSE),0),
IF(AX90="K",VLOOKUP(L90,Foundation_Calc!$V$117:$X$151,VLOOKUP(AX90,Foundation_Calc!$I$10:$J$13,2,FALSE),0),"")))</f>
        <v>C3R</v>
      </c>
      <c r="N90" s="449" t="s">
        <v>124</v>
      </c>
      <c r="O90" s="449"/>
      <c r="P90" s="449"/>
      <c r="Q90" s="4"/>
      <c r="R90" s="6"/>
      <c r="S90" s="6"/>
      <c r="T90" s="4">
        <v>-35</v>
      </c>
      <c r="U90" s="4"/>
      <c r="V90" s="4"/>
      <c r="W90" s="572">
        <v>0.55000000000000004</v>
      </c>
      <c r="X90" s="9"/>
      <c r="Y90" s="9"/>
      <c r="Z90" s="9"/>
      <c r="AA90" s="9"/>
      <c r="AB90" s="9"/>
      <c r="AC90" s="449" t="str">
        <f t="shared" si="22"/>
        <v>PHQ</v>
      </c>
      <c r="AD90" s="449"/>
      <c r="AE90" s="449"/>
      <c r="AF90" s="4"/>
      <c r="AG90" s="83"/>
      <c r="AH90" s="4"/>
      <c r="AI90" s="4"/>
      <c r="AJ90" s="449"/>
      <c r="AK90" s="449"/>
      <c r="AL90" s="449"/>
      <c r="AM90" s="449" t="s">
        <v>126</v>
      </c>
      <c r="AN90" s="10">
        <v>5.15</v>
      </c>
      <c r="AO90" s="9"/>
      <c r="AP90" s="9"/>
      <c r="AQ90" s="9"/>
      <c r="AR90" s="9"/>
      <c r="AS90" s="9"/>
      <c r="AT90" s="9">
        <f>+ab($T$90,$T$88,$T$92,$G$89,$G$91,-1*$F$90,1200)</f>
        <v>-5.6018028203681745</v>
      </c>
      <c r="AU90" s="428"/>
      <c r="AV90" s="428"/>
      <c r="AW90" s="449" t="str">
        <f>IF(C90&gt;0,VLOOKUP(C90,Foundation_Calc!$A$2:$C$13,3,1),
IF(J90&gt;0,VLOOKUP(J90,Foundation_Calc!$A$2:$C$13,3,1),""))</f>
        <v>Multi Soil</v>
      </c>
      <c r="AX90" s="449" t="str">
        <f>IF(C90&gt;0,VLOOKUP(C90,Foundation_Calc!$E$2:$G$33,3,1),
IF(J90&gt;0,VLOOKUP(J90,Foundation_Calc!$E$2:$G$33,3,1),""))</f>
        <v>PT</v>
      </c>
      <c r="AY90" s="10">
        <f>IF(L90="","",
IF(AX90="PT",VLOOKUP(L90,Foundation_Calc!$K$79:$R$113,VLOOKUP(AW90,Foundation_Calc!$I$2:$J$8,2,FALSE),0),
IF(AX90="K",VLOOKUP(L90,Foundation_Calc!$K$117:$R$151,VLOOKUP(AW90,Foundation_Calc!$I$2:$J$8,2,FALSE),0),"")))</f>
        <v>3.5</v>
      </c>
      <c r="AZ90" s="10" t="str">
        <f>IF(K90="","",
IF(AX90="PT",VLOOKUP(K90,Foundation_Calc!$K$79:$R$113,VLOOKUP(AW90,Foundation_Calc!$I$2:$J$8,2,FALSE),0),
IF(AX90="K",VLOOKUP(K90,Foundation_Calc!$K$117:$R$151,VLOOKUP(AW90,Foundation_Calc!$I$2:$J$8,2,FALSE),0),"")))</f>
        <v/>
      </c>
      <c r="BA90" s="495" t="str">
        <f t="shared" si="19"/>
        <v>ü</v>
      </c>
      <c r="BB90" s="495" t="str">
        <f t="shared" si="20"/>
        <v/>
      </c>
      <c r="BC90" s="495" t="str">
        <f t="shared" si="21"/>
        <v/>
      </c>
      <c r="BD90" s="513" t="str">
        <f>IF(AND(L90="",H90=""),"",
IF(H90="",Pole_Calc!A$9,
IF(H90="MP",Pole_Calc!A$10,
IF(H90="AnMP",Pole_Calc!A$11,
IF(H90="A",Pole_Calc!A$12,
IF(H90="S/A",Pole_Calc!A$13,
IF(H90="A/S",Pole_Calc!A$14,"Poner a mano")))))))</f>
        <v>App.7-V11I-P9.5.1.1</v>
      </c>
      <c r="BE90" s="429" t="s">
        <v>118</v>
      </c>
      <c r="BF90" s="289"/>
      <c r="BG90" s="289"/>
      <c r="BH90" s="290"/>
      <c r="BI90" s="289"/>
    </row>
    <row r="91" spans="1:61" ht="16.149999999999999" customHeight="1">
      <c r="A91" s="514" t="s">
        <v>199</v>
      </c>
      <c r="B91" s="450"/>
      <c r="C91" s="3"/>
      <c r="D91" s="83"/>
      <c r="E91" s="4"/>
      <c r="F91" s="4"/>
      <c r="G91" s="6">
        <v>41</v>
      </c>
      <c r="H91" s="449"/>
      <c r="I91" s="4"/>
      <c r="J91" s="3"/>
      <c r="K91" s="449"/>
      <c r="L91" s="449"/>
      <c r="M91" s="449" t="str">
        <f>IF(L91="","",
IF(AX91="PT",VLOOKUP(L91,Foundation_Calc!$V$79:$X$113,VLOOKUP(AX91,Foundation_Calc!$I$10:$J$13,2,FALSE),0),
IF(AX91="K",VLOOKUP(L91,Foundation_Calc!$V$117:$X$151,VLOOKUP(AX91,Foundation_Calc!$I$10:$J$13,2,FALSE),0),"")))</f>
        <v/>
      </c>
      <c r="N91" s="449"/>
      <c r="O91" s="449"/>
      <c r="P91" s="449"/>
      <c r="Q91" s="4"/>
      <c r="R91" s="6"/>
      <c r="S91" s="6"/>
      <c r="T91" s="4"/>
      <c r="U91" s="4"/>
      <c r="V91" s="4"/>
      <c r="W91" s="572"/>
      <c r="X91" s="9"/>
      <c r="Y91" s="9"/>
      <c r="Z91" s="9"/>
      <c r="AA91" s="9"/>
      <c r="AB91" s="9"/>
      <c r="AC91" s="449" t="str">
        <f t="shared" si="22"/>
        <v/>
      </c>
      <c r="AD91" s="449"/>
      <c r="AE91" s="449"/>
      <c r="AF91" s="4"/>
      <c r="AG91" s="83"/>
      <c r="AH91" s="4"/>
      <c r="AI91" s="4"/>
      <c r="AJ91" s="449"/>
      <c r="AK91" s="449"/>
      <c r="AL91" s="449"/>
      <c r="AM91" s="449"/>
      <c r="AN91" s="10"/>
      <c r="AO91" s="9"/>
      <c r="AP91" s="9"/>
      <c r="AQ91" s="9">
        <f>+FL_2($T$92,$T$90,$G$91,1200,9.28,-1*$F$92)</f>
        <v>-0.35000000000000048</v>
      </c>
      <c r="AR91" s="9"/>
      <c r="AS91" s="9"/>
      <c r="AT91" s="9"/>
      <c r="AU91" s="428"/>
      <c r="AV91" s="428"/>
      <c r="AW91" s="449" t="str">
        <f>IF(C91&gt;0,VLOOKUP(C91,Foundation_Calc!$A$2:$C$13,3,1),
IF(J91&gt;0,VLOOKUP(J91,Foundation_Calc!$A$2:$C$13,3,1),""))</f>
        <v/>
      </c>
      <c r="AX91" s="449" t="str">
        <f>IF(C91&gt;0,VLOOKUP(C91,Foundation_Calc!$E$2:$G$33,3,1),
IF(J91&gt;0,VLOOKUP(J91,Foundation_Calc!$E$2:$G$33,3,1),""))</f>
        <v/>
      </c>
      <c r="AY91" s="10" t="str">
        <f>IF(L91="","",
IF(AX91="PT",VLOOKUP(L91,Foundation_Calc!$K$79:$R$113,VLOOKUP(AW91,Foundation_Calc!$I$2:$J$8,2,FALSE),0),
IF(AX91="K",VLOOKUP(L91,Foundation_Calc!$K$117:$R$151,VLOOKUP(AW91,Foundation_Calc!$I$2:$J$8,2,FALSE),0),"")))</f>
        <v/>
      </c>
      <c r="AZ91" s="10" t="str">
        <f>IF(K91="","",
IF(AX91="PT",VLOOKUP(K91,Foundation_Calc!$K$79:$R$113,VLOOKUP(AW91,Foundation_Calc!$I$2:$J$8,2,FALSE),0),
IF(AX91="K",VLOOKUP(K91,Foundation_Calc!$K$117:$R$151,VLOOKUP(AW91,Foundation_Calc!$I$2:$J$8,2,FALSE),0),"")))</f>
        <v/>
      </c>
      <c r="BA91" s="495" t="str">
        <f t="shared" si="16"/>
        <v/>
      </c>
      <c r="BB91" s="495" t="str">
        <f t="shared" si="17"/>
        <v/>
      </c>
      <c r="BC91" s="495" t="str">
        <f t="shared" si="18"/>
        <v/>
      </c>
      <c r="BD91" s="513" t="str">
        <f>IF(AND(L91="",H91=""),"",
IF(H91="",Pole_Calc!A$9,
IF(H91="MP",Pole_Calc!A$10,
IF(H91="AnMP",Pole_Calc!A$11,
IF(H91="A",Pole_Calc!A$12,
IF(H91="S/A",Pole_Calc!A$13,
IF(H91="A/S",Pole_Calc!A$14,"Poner a mano")))))))</f>
        <v/>
      </c>
      <c r="BE91" s="429" t="s">
        <v>172</v>
      </c>
      <c r="BF91" s="290"/>
      <c r="BG91" s="290"/>
      <c r="BH91" s="290"/>
      <c r="BI91" s="290"/>
    </row>
    <row r="92" spans="1:61" ht="16.149999999999999" customHeight="1">
      <c r="A92" s="574" t="s">
        <v>199</v>
      </c>
      <c r="B92" s="450" t="s">
        <v>200</v>
      </c>
      <c r="C92" s="3">
        <f>+$C$90+$G$91</f>
        <v>32429.65</v>
      </c>
      <c r="D92" s="83"/>
      <c r="E92" s="4"/>
      <c r="F92" s="4">
        <f>IF(C92&gt;0,VLOOKUP(C92,'ALIGNMENT TRACK'!$A$1:$K$81,9,1))</f>
        <v>0</v>
      </c>
      <c r="G92" s="6"/>
      <c r="H92" s="449"/>
      <c r="I92" s="4"/>
      <c r="J92" s="3"/>
      <c r="K92" s="449"/>
      <c r="L92" s="449" t="s">
        <v>201</v>
      </c>
      <c r="M92" s="449" t="str">
        <f>IF(L92="","",
IF(AX92="PT",VLOOKUP(L92,Foundation_Calc!$V$79:$X$113,VLOOKUP(AX92,Foundation_Calc!$I$10:$J$13,2,FALSE),0),
IF(AX92="K",VLOOKUP(L92,Foundation_Calc!$V$117:$X$151,VLOOKUP(AX92,Foundation_Calc!$I$10:$J$13,2,FALSE),0),"")))</f>
        <v/>
      </c>
      <c r="N92" s="449" t="s">
        <v>134</v>
      </c>
      <c r="O92" s="449"/>
      <c r="P92" s="449"/>
      <c r="Q92" s="4"/>
      <c r="R92" s="6"/>
      <c r="S92" s="6"/>
      <c r="T92" s="4">
        <v>35</v>
      </c>
      <c r="U92" s="4"/>
      <c r="V92" s="4"/>
      <c r="W92" s="572">
        <v>0.55000000000000004</v>
      </c>
      <c r="X92" s="9"/>
      <c r="Y92" s="9"/>
      <c r="Z92" s="9"/>
      <c r="AA92" s="9"/>
      <c r="AB92" s="9"/>
      <c r="AC92" s="449" t="str">
        <f t="shared" si="22"/>
        <v>PHQ</v>
      </c>
      <c r="AD92" s="449"/>
      <c r="AE92" s="449"/>
      <c r="AF92" s="4"/>
      <c r="AG92" s="83"/>
      <c r="AH92" s="4"/>
      <c r="AI92" s="4"/>
      <c r="AJ92" s="449"/>
      <c r="AK92" s="449" t="s">
        <v>202</v>
      </c>
      <c r="AL92" s="449"/>
      <c r="AM92" s="449" t="s">
        <v>203</v>
      </c>
      <c r="AN92" s="10">
        <v>5.15</v>
      </c>
      <c r="AO92" s="9"/>
      <c r="AP92" s="9"/>
      <c r="AQ92" s="9"/>
      <c r="AR92" s="9"/>
      <c r="AS92" s="9"/>
      <c r="AT92" s="9">
        <f>+ab($T$92,$T$90,$T$94,$G$91,$G$93,-1*$F$92,1200)</f>
        <v>5.6017894536180286</v>
      </c>
      <c r="AU92" s="428"/>
      <c r="AV92" s="428"/>
      <c r="AW92" s="449"/>
      <c r="AX92" s="449" t="s">
        <v>201</v>
      </c>
      <c r="AY92" s="10" t="s">
        <v>201</v>
      </c>
      <c r="AZ92" s="10" t="str">
        <f>IF(K92="","",
IF(AX92="PT",VLOOKUP(K92,Foundation_Calc!$K$79:$R$113,VLOOKUP(AW92,Foundation_Calc!$I$2:$J$8,2,FALSE),0),
IF(AX92="K",VLOOKUP(K92,Foundation_Calc!$K$117:$R$151,VLOOKUP(AW92,Foundation_Calc!$I$2:$J$8,2,FALSE),0),"")))</f>
        <v/>
      </c>
      <c r="BA92" s="495"/>
      <c r="BB92" s="495"/>
      <c r="BC92" s="495"/>
      <c r="BD92" s="513"/>
      <c r="BE92" s="429" t="s">
        <v>118</v>
      </c>
      <c r="BF92" s="289"/>
      <c r="BG92" s="289"/>
      <c r="BH92" s="290"/>
      <c r="BI92" s="289"/>
    </row>
    <row r="93" spans="1:61" ht="16.149999999999999" customHeight="1">
      <c r="A93" s="514" t="s">
        <v>199</v>
      </c>
      <c r="B93" s="450"/>
      <c r="C93" s="3"/>
      <c r="D93" s="83"/>
      <c r="E93" s="4"/>
      <c r="F93" s="4"/>
      <c r="G93" s="6">
        <v>41</v>
      </c>
      <c r="H93" s="449"/>
      <c r="I93" s="4"/>
      <c r="J93" s="3"/>
      <c r="K93" s="449"/>
      <c r="L93" s="449"/>
      <c r="M93" s="449" t="str">
        <f>IF(L93="","",
IF(AX93="PT",VLOOKUP(L93,Foundation_Calc!$V$79:$X$113,VLOOKUP(AX93,Foundation_Calc!$I$10:$J$13,2,FALSE),0),
IF(AX93="K",VLOOKUP(L93,Foundation_Calc!$V$117:$X$151,VLOOKUP(AX93,Foundation_Calc!$I$10:$J$13,2,FALSE),0),"")))</f>
        <v/>
      </c>
      <c r="N93" s="449"/>
      <c r="O93" s="449"/>
      <c r="P93" s="449"/>
      <c r="Q93" s="4"/>
      <c r="R93" s="6"/>
      <c r="S93" s="6"/>
      <c r="T93" s="4"/>
      <c r="U93" s="4"/>
      <c r="V93" s="4"/>
      <c r="W93" s="572"/>
      <c r="X93" s="9"/>
      <c r="Y93" s="9"/>
      <c r="Z93" s="9"/>
      <c r="AA93" s="9"/>
      <c r="AB93" s="9"/>
      <c r="AC93" s="449" t="str">
        <f t="shared" si="22"/>
        <v/>
      </c>
      <c r="AD93" s="449"/>
      <c r="AE93" s="449"/>
      <c r="AF93" s="4"/>
      <c r="AG93" s="83"/>
      <c r="AH93" s="4"/>
      <c r="AI93" s="4"/>
      <c r="AJ93" s="449"/>
      <c r="AK93" s="449"/>
      <c r="AL93" s="449"/>
      <c r="AM93" s="449"/>
      <c r="AN93" s="10"/>
      <c r="AO93" s="9"/>
      <c r="AP93" s="9"/>
      <c r="AQ93" s="9">
        <f>+FL_1($T$94,$T$92,$G$93,1200,9.28,-1*$F$94)</f>
        <v>0.35000000000000048</v>
      </c>
      <c r="AR93" s="9"/>
      <c r="AS93" s="9"/>
      <c r="AT93" s="9"/>
      <c r="AU93" s="428"/>
      <c r="AV93" s="428"/>
      <c r="AW93" s="449" t="str">
        <f>IF(C93&gt;0,VLOOKUP(C93,Foundation_Calc!$A$2:$C$13,3,1),
IF(J93&gt;0,VLOOKUP(J93,Foundation_Calc!$A$2:$C$13,3,1),""))</f>
        <v/>
      </c>
      <c r="AX93" s="449" t="str">
        <f>IF(C93&gt;0,VLOOKUP(C93,Foundation_Calc!$E$2:$G$33,3,1),
IF(J93&gt;0,VLOOKUP(J93,Foundation_Calc!$E$2:$G$33,3,1),""))</f>
        <v/>
      </c>
      <c r="AY93" s="10" t="str">
        <f>IF(L93="","",
IF(AX93="PT",VLOOKUP(L93,Foundation_Calc!$K$79:$R$113,VLOOKUP(AW93,Foundation_Calc!$I$2:$J$8,2,FALSE),0),
IF(AX93="K",VLOOKUP(L93,Foundation_Calc!$K$117:$R$151,VLOOKUP(AW93,Foundation_Calc!$I$2:$J$8,2,FALSE),0),"")))</f>
        <v/>
      </c>
      <c r="AZ93" s="10" t="str">
        <f>IF(K93="","",
IF(AX93="PT",VLOOKUP(K93,Foundation_Calc!$K$79:$R$113,VLOOKUP(AW93,Foundation_Calc!$I$2:$J$8,2,FALSE),0),
IF(AX93="K",VLOOKUP(K93,Foundation_Calc!$K$117:$R$151,VLOOKUP(AW93,Foundation_Calc!$I$2:$J$8,2,FALSE),0),"")))</f>
        <v/>
      </c>
      <c r="BA93" s="495" t="str">
        <f t="shared" si="16"/>
        <v/>
      </c>
      <c r="BB93" s="495" t="str">
        <f t="shared" si="17"/>
        <v/>
      </c>
      <c r="BC93" s="495" t="str">
        <f t="shared" si="18"/>
        <v/>
      </c>
      <c r="BD93" s="513" t="str">
        <f>IF(AND(L93="",H93=""),"",
IF(H93="",Pole_Calc!A$9,
IF(H93="MP",Pole_Calc!A$10,
IF(H93="AnMP",Pole_Calc!A$11,
IF(H93="A",Pole_Calc!A$12,
IF(H93="S/A",Pole_Calc!A$13,
IF(H93="A/S",Pole_Calc!A$14,"Poner a mano")))))))</f>
        <v/>
      </c>
      <c r="BE93" s="429" t="s">
        <v>118</v>
      </c>
      <c r="BF93" s="290"/>
      <c r="BG93" s="290"/>
      <c r="BH93" s="290"/>
      <c r="BI93" s="290"/>
    </row>
    <row r="94" spans="1:61" ht="16.149999999999999" customHeight="1">
      <c r="A94" s="514"/>
      <c r="B94" s="450" t="s">
        <v>204</v>
      </c>
      <c r="C94" s="3">
        <f>+$C$92+$G$93</f>
        <v>32470.65</v>
      </c>
      <c r="D94" s="83"/>
      <c r="E94" s="4"/>
      <c r="F94" s="4">
        <f>IF(C94&gt;0,VLOOKUP(C94,'ALIGNMENT TRACK'!$A$1:$K$81,9,1))</f>
        <v>0</v>
      </c>
      <c r="G94" s="6"/>
      <c r="H94" s="449"/>
      <c r="I94" s="4"/>
      <c r="J94" s="3"/>
      <c r="K94" s="449"/>
      <c r="L94" s="449" t="s">
        <v>153</v>
      </c>
      <c r="M94" s="449" t="str">
        <f>IF(L94="","",
IF(AX94="PT",VLOOKUP(L94,Foundation_Calc!$V$79:$X$113,VLOOKUP(AX94,Foundation_Calc!$I$10:$J$13,2,FALSE),0),
IF(AX94="K",VLOOKUP(L94,Foundation_Calc!$V$117:$X$151,VLOOKUP(AX94,Foundation_Calc!$I$10:$J$13,2,FALSE),0),"")))</f>
        <v>C3R</v>
      </c>
      <c r="N94" s="449" t="s">
        <v>124</v>
      </c>
      <c r="O94" s="449"/>
      <c r="P94" s="449"/>
      <c r="Q94" s="4"/>
      <c r="R94" s="6"/>
      <c r="S94" s="6"/>
      <c r="T94" s="4">
        <v>-35</v>
      </c>
      <c r="U94" s="4"/>
      <c r="V94" s="4"/>
      <c r="W94" s="572">
        <v>0.55000000000000004</v>
      </c>
      <c r="X94" s="9"/>
      <c r="Y94" s="9"/>
      <c r="Z94" s="9"/>
      <c r="AA94" s="9"/>
      <c r="AB94" s="9"/>
      <c r="AC94" s="449" t="str">
        <f t="shared" si="22"/>
        <v>PHQ</v>
      </c>
      <c r="AD94" s="449"/>
      <c r="AE94" s="449"/>
      <c r="AF94" s="4"/>
      <c r="AG94" s="83"/>
      <c r="AH94" s="4"/>
      <c r="AI94" s="4"/>
      <c r="AJ94" s="449"/>
      <c r="AK94" s="449"/>
      <c r="AL94" s="449"/>
      <c r="AM94" s="449" t="s">
        <v>126</v>
      </c>
      <c r="AN94" s="10">
        <v>5.15</v>
      </c>
      <c r="AO94" s="9"/>
      <c r="AP94" s="9"/>
      <c r="AQ94" s="9"/>
      <c r="AR94" s="9"/>
      <c r="AS94" s="9"/>
      <c r="AT94" s="9">
        <f>+ab($T$94,$T$92,$T$96,$G$93,$G$95,-1*$F$94,1200)</f>
        <v>-5.7981896619073314</v>
      </c>
      <c r="AU94" s="428"/>
      <c r="AV94" s="428"/>
      <c r="AW94" s="449" t="str">
        <f>IF(C94&gt;0,VLOOKUP(C94,Foundation_Calc!$A$2:$C$13,3,1),
IF(J94&gt;0,VLOOKUP(J94,Foundation_Calc!$A$2:$C$13,3,1),""))</f>
        <v>Multi Soil</v>
      </c>
      <c r="AX94" s="449" t="str">
        <f>IF(C94&gt;0,VLOOKUP(C94,Foundation_Calc!$E$2:$G$33,3,1),
IF(J94&gt;0,VLOOKUP(J94,Foundation_Calc!$E$2:$G$33,3,1),""))</f>
        <v>PT</v>
      </c>
      <c r="AY94" s="10">
        <f>IF(L94="","",
IF(AX94="PT",VLOOKUP(L94,Foundation_Calc!$K$79:$R$113,VLOOKUP(AW94,Foundation_Calc!$I$2:$J$8,2,FALSE),0),
IF(AX94="K",VLOOKUP(L94,Foundation_Calc!$K$117:$R$151,VLOOKUP(AW94,Foundation_Calc!$I$2:$J$8,2,FALSE),0),"")))</f>
        <v>3.5</v>
      </c>
      <c r="AZ94" s="10" t="str">
        <f>IF(K94="","",
IF(AX94="PT",VLOOKUP(K94,Foundation_Calc!$K$79:$R$113,VLOOKUP(AW94,Foundation_Calc!$I$2:$J$8,2,FALSE),0),
IF(AX94="K",VLOOKUP(K94,Foundation_Calc!$K$117:$R$151,VLOOKUP(AW94,Foundation_Calc!$I$2:$J$8,2,FALSE),0),"")))</f>
        <v/>
      </c>
      <c r="BA94" s="495" t="str">
        <f t="shared" si="16"/>
        <v>ü</v>
      </c>
      <c r="BB94" s="495" t="str">
        <f t="shared" si="17"/>
        <v/>
      </c>
      <c r="BC94" s="495" t="str">
        <f t="shared" si="18"/>
        <v/>
      </c>
      <c r="BD94" s="513" t="str">
        <f>IF(AND(L94="",H94=""),"",
IF(H94="",Pole_Calc!A$9,
IF(H94="MP",Pole_Calc!A$10,
IF(H94="AnMP",Pole_Calc!A$11,
IF(H94="A",Pole_Calc!A$12,
IF(H94="S/A",Pole_Calc!A$13,
IF(H94="A/S",Pole_Calc!A$14,"Poner a mano")))))))</f>
        <v>App.7-V11I-P9.5.1.1</v>
      </c>
      <c r="BE94" s="429" t="s">
        <v>118</v>
      </c>
      <c r="BF94" s="289"/>
      <c r="BG94" s="289"/>
      <c r="BH94" s="290"/>
      <c r="BI94" s="289"/>
    </row>
    <row r="95" spans="1:61" ht="16.149999999999999" customHeight="1">
      <c r="A95" s="514"/>
      <c r="B95" s="450"/>
      <c r="C95" s="3"/>
      <c r="D95" s="83"/>
      <c r="E95" s="4"/>
      <c r="F95" s="4"/>
      <c r="G95" s="6">
        <v>44</v>
      </c>
      <c r="H95" s="449"/>
      <c r="I95" s="4"/>
      <c r="J95" s="3"/>
      <c r="K95" s="449"/>
      <c r="L95" s="449"/>
      <c r="M95" s="449" t="str">
        <f>IF(L95="","",
IF(AX95="PT",VLOOKUP(L95,Foundation_Calc!$V$79:$X$113,VLOOKUP(AX95,Foundation_Calc!$I$10:$J$13,2,FALSE),0),
IF(AX95="K",VLOOKUP(L95,Foundation_Calc!$V$117:$X$151,VLOOKUP(AX95,Foundation_Calc!$I$10:$J$13,2,FALSE),0),"")))</f>
        <v/>
      </c>
      <c r="N95" s="449"/>
      <c r="O95" s="449"/>
      <c r="P95" s="449"/>
      <c r="Q95" s="4"/>
      <c r="R95" s="6"/>
      <c r="S95" s="6"/>
      <c r="T95" s="4"/>
      <c r="U95" s="4"/>
      <c r="V95" s="4"/>
      <c r="W95" s="572"/>
      <c r="X95" s="9"/>
      <c r="Y95" s="9"/>
      <c r="Z95" s="9"/>
      <c r="AA95" s="9"/>
      <c r="AB95" s="9"/>
      <c r="AC95" s="449" t="str">
        <f t="shared" si="22"/>
        <v/>
      </c>
      <c r="AD95" s="449"/>
      <c r="AE95" s="449"/>
      <c r="AF95" s="4"/>
      <c r="AG95" s="83"/>
      <c r="AH95" s="4"/>
      <c r="AI95" s="4"/>
      <c r="AJ95" s="449"/>
      <c r="AK95" s="449"/>
      <c r="AL95" s="449"/>
      <c r="AM95" s="449"/>
      <c r="AN95" s="10"/>
      <c r="AO95" s="9"/>
      <c r="AP95" s="9"/>
      <c r="AQ95" s="9">
        <f>+FL_2($T$96,$T$94,$G$95,1200,9.28,-1*$F$96)</f>
        <v>-0.35078837199999996</v>
      </c>
      <c r="AR95" s="9"/>
      <c r="AS95" s="9"/>
      <c r="AT95" s="9"/>
      <c r="AU95" s="428"/>
      <c r="AV95" s="428"/>
      <c r="AW95" s="449" t="str">
        <f>IF(C95&gt;0,VLOOKUP(C95,Foundation_Calc!$A$2:$C$13,3,1),
IF(J95&gt;0,VLOOKUP(J95,Foundation_Calc!$A$2:$C$13,3,1),""))</f>
        <v/>
      </c>
      <c r="AX95" s="449" t="str">
        <f>IF(C95&gt;0,VLOOKUP(C95,Foundation_Calc!$E$2:$G$33,3,1),
IF(J95&gt;0,VLOOKUP(J95,Foundation_Calc!$E$2:$G$33,3,1),""))</f>
        <v/>
      </c>
      <c r="AY95" s="10" t="str">
        <f>IF(L95="","",
IF(AX95="PT",VLOOKUP(L95,Foundation_Calc!$K$79:$R$113,VLOOKUP(AW95,Foundation_Calc!$I$2:$J$8,2,FALSE),0),
IF(AX95="K",VLOOKUP(L95,Foundation_Calc!$K$117:$R$151,VLOOKUP(AW95,Foundation_Calc!$I$2:$J$8,2,FALSE),0),"")))</f>
        <v/>
      </c>
      <c r="AZ95" s="10" t="str">
        <f>IF(K95="","",
IF(AX95="PT",VLOOKUP(K95,Foundation_Calc!$K$79:$R$113,VLOOKUP(AW95,Foundation_Calc!$I$2:$J$8,2,FALSE),0),
IF(AX95="K",VLOOKUP(K95,Foundation_Calc!$K$117:$R$151,VLOOKUP(AW95,Foundation_Calc!$I$2:$J$8,2,FALSE),0),"")))</f>
        <v/>
      </c>
      <c r="BA95" s="495" t="str">
        <f t="shared" si="16"/>
        <v/>
      </c>
      <c r="BB95" s="495" t="str">
        <f t="shared" si="17"/>
        <v/>
      </c>
      <c r="BC95" s="495" t="str">
        <f t="shared" si="18"/>
        <v/>
      </c>
      <c r="BD95" s="513" t="str">
        <f>IF(AND(L95="",H95=""),"",
IF(H95="",Pole_Calc!A$9,
IF(H95="MP",Pole_Calc!A$10,
IF(H95="AnMP",Pole_Calc!A$11,
IF(H95="A",Pole_Calc!A$12,
IF(H95="S/A",Pole_Calc!A$13,
IF(H95="A/S",Pole_Calc!A$14,"Poner a mano")))))))</f>
        <v/>
      </c>
      <c r="BE95" s="429" t="s">
        <v>118</v>
      </c>
      <c r="BF95" s="290"/>
      <c r="BG95" s="290"/>
      <c r="BH95" s="290"/>
      <c r="BI95" s="290"/>
    </row>
    <row r="96" spans="1:61" ht="16.149999999999999" customHeight="1">
      <c r="A96" s="514"/>
      <c r="B96" s="450" t="s">
        <v>205</v>
      </c>
      <c r="C96" s="3">
        <f>+$C$94+$G$95</f>
        <v>32514.65</v>
      </c>
      <c r="D96" s="83"/>
      <c r="E96" s="4"/>
      <c r="F96" s="4">
        <f>IF(C96&gt;0,VLOOKUP(C96,'ALIGNMENT TRACK'!$A$1:$K$81,9,1))</f>
        <v>0</v>
      </c>
      <c r="G96" s="6"/>
      <c r="H96" s="449" t="s">
        <v>121</v>
      </c>
      <c r="I96" s="4" t="s">
        <v>122</v>
      </c>
      <c r="J96" s="3"/>
      <c r="K96" s="449"/>
      <c r="L96" s="449" t="s">
        <v>206</v>
      </c>
      <c r="M96" s="449" t="str">
        <f>IF(L96="","",
IF(AX96="PT",VLOOKUP(L96,Foundation_Calc!$V$79:$X$113,VLOOKUP(AX96,Foundation_Calc!$I$10:$J$13,2,FALSE),0),
IF(AX96="K",VLOOKUP(L96,Foundation_Calc!$V$117:$X$151,VLOOKUP(AX96,Foundation_Calc!$I$10:$J$13,2,FALSE),0),"")))</f>
        <v>2C4R</v>
      </c>
      <c r="N96" s="449" t="s">
        <v>134</v>
      </c>
      <c r="O96" s="449"/>
      <c r="P96" s="449"/>
      <c r="Q96" s="4"/>
      <c r="R96" s="6"/>
      <c r="S96" s="6"/>
      <c r="T96" s="4">
        <v>35</v>
      </c>
      <c r="U96" s="4"/>
      <c r="V96" s="4"/>
      <c r="W96" s="572">
        <v>0.8</v>
      </c>
      <c r="X96" s="9"/>
      <c r="Y96" s="9"/>
      <c r="Z96" s="9"/>
      <c r="AA96" s="9"/>
      <c r="AB96" s="9"/>
      <c r="AC96" s="449" t="str">
        <f t="shared" si="22"/>
        <v>PHQ</v>
      </c>
      <c r="AD96" s="449"/>
      <c r="AE96" s="449"/>
      <c r="AF96" s="4"/>
      <c r="AG96" s="83"/>
      <c r="AH96" s="4"/>
      <c r="AI96" s="4"/>
      <c r="AJ96" s="449"/>
      <c r="AK96" s="449"/>
      <c r="AL96" s="449"/>
      <c r="AM96" s="449" t="s">
        <v>126</v>
      </c>
      <c r="AN96" s="10">
        <v>5.15</v>
      </c>
      <c r="AO96" s="9"/>
      <c r="AP96" s="9"/>
      <c r="AQ96" s="9"/>
      <c r="AR96" s="9"/>
      <c r="AS96" s="9"/>
      <c r="AT96" s="9">
        <f>+ab($T$96,$T$94,$U$98,$G$95,$G$97,-1*$F$96,1200)</f>
        <v>5.9402081926454366</v>
      </c>
      <c r="AU96" s="428"/>
      <c r="AV96" s="428"/>
      <c r="AW96" s="449" t="str">
        <f>IF(C96&gt;0,VLOOKUP(C96,Foundation_Calc!$A$2:$C$13,3,1),
IF(J96&gt;0,VLOOKUP(J96,Foundation_Calc!$A$2:$C$13,3,1),""))</f>
        <v>Multi Soil</v>
      </c>
      <c r="AX96" s="449" t="str">
        <f>IF(C96&gt;0,VLOOKUP(C96,Foundation_Calc!$E$2:$G$33,3,1),
IF(J96&gt;0,VLOOKUP(J96,Foundation_Calc!$E$2:$G$33,3,1),""))</f>
        <v>PT</v>
      </c>
      <c r="AY96" s="10">
        <f>IF(L96="","",
IF(AX96="PT",VLOOKUP(L96,Foundation_Calc!$K$79:$R$113,VLOOKUP(AW96,Foundation_Calc!$I$2:$J$8,2,FALSE),0),
IF(AX96="K",VLOOKUP(L96,Foundation_Calc!$K$117:$R$151,VLOOKUP(AW96,Foundation_Calc!$I$2:$J$8,2,FALSE),0),"")))</f>
        <v>4</v>
      </c>
      <c r="AZ96" s="10" t="str">
        <f>IF(K96="","",
IF(AX96="PT",VLOOKUP(K96,Foundation_Calc!$K$79:$R$113,VLOOKUP(AW96,Foundation_Calc!$I$2:$J$8,2,FALSE),0),
IF(AX96="K",VLOOKUP(K96,Foundation_Calc!$K$117:$R$151,VLOOKUP(AW96,Foundation_Calc!$I$2:$J$8,2,FALSE),0),"")))</f>
        <v/>
      </c>
      <c r="BA96" s="495" t="str">
        <f t="shared" si="16"/>
        <v>ü</v>
      </c>
      <c r="BB96" s="495" t="str">
        <f t="shared" si="17"/>
        <v/>
      </c>
      <c r="BC96" s="495" t="str">
        <f t="shared" si="18"/>
        <v/>
      </c>
      <c r="BD96" s="513" t="str">
        <f>IF(AND(L96="",H96=""),"",
IF(H96="",Pole_Calc!A$9,
IF(H96="MP",Pole_Calc!A$10,
IF(H96="AnMP",Pole_Calc!A$11,
IF(H96="A",Pole_Calc!A$12,
IF(H96="S/A",Pole_Calc!A$13,
IF(H96="A/S",Pole_Calc!A$14,"Poner a mano")))))))</f>
        <v>App.7-V11I-P9.5.1.6</v>
      </c>
      <c r="BE96" s="429" t="s">
        <v>118</v>
      </c>
      <c r="BF96" s="289"/>
      <c r="BG96" s="289"/>
      <c r="BH96" s="290"/>
      <c r="BI96" s="289"/>
    </row>
    <row r="97" spans="1:61" ht="16.149999999999999" customHeight="1">
      <c r="A97" s="514"/>
      <c r="B97" s="450"/>
      <c r="C97" s="3"/>
      <c r="D97" s="83"/>
      <c r="E97" s="4"/>
      <c r="F97" s="4"/>
      <c r="G97" s="6">
        <v>43</v>
      </c>
      <c r="H97" s="449"/>
      <c r="I97" s="4"/>
      <c r="J97" s="3"/>
      <c r="K97" s="449"/>
      <c r="L97" s="449"/>
      <c r="M97" s="449" t="str">
        <f>IF(L97="","",
IF(AX97="PT",VLOOKUP(L97,Foundation_Calc!$V$79:$X$113,VLOOKUP(AX97,Foundation_Calc!$I$10:$J$13,2,FALSE),0),
IF(AX97="K",VLOOKUP(L97,Foundation_Calc!$V$117:$X$151,VLOOKUP(AX97,Foundation_Calc!$I$10:$J$13,2,FALSE),0),"")))</f>
        <v/>
      </c>
      <c r="N97" s="449"/>
      <c r="O97" s="449"/>
      <c r="P97" s="449"/>
      <c r="Q97" s="4"/>
      <c r="R97" s="6"/>
      <c r="S97" s="6"/>
      <c r="T97" s="4"/>
      <c r="U97" s="4"/>
      <c r="V97" s="4"/>
      <c r="W97" s="9"/>
      <c r="X97" s="9"/>
      <c r="Y97" s="9"/>
      <c r="Z97" s="9"/>
      <c r="AA97" s="9"/>
      <c r="AB97" s="9"/>
      <c r="AC97" s="449" t="str">
        <f t="shared" si="22"/>
        <v/>
      </c>
      <c r="AD97" s="449"/>
      <c r="AE97" s="449"/>
      <c r="AF97" s="4"/>
      <c r="AG97" s="83"/>
      <c r="AH97" s="4"/>
      <c r="AI97" s="4"/>
      <c r="AJ97" s="449"/>
      <c r="AK97" s="449"/>
      <c r="AL97" s="449"/>
      <c r="AM97" s="449"/>
      <c r="AN97" s="10"/>
      <c r="AO97" s="9"/>
      <c r="AP97" s="9"/>
      <c r="AQ97" s="9">
        <f>+FL_2($U$98,$T$96,$G$97,1200,9.28,-1*$F$98)</f>
        <v>-0.35007811860465116</v>
      </c>
      <c r="AR97" s="9"/>
      <c r="AS97" s="9"/>
      <c r="AT97" s="9"/>
      <c r="AU97" s="428"/>
      <c r="AV97" s="428"/>
      <c r="AW97" s="449" t="str">
        <f>IF(C97&gt;0,VLOOKUP(C97,Foundation_Calc!$A$2:$C$13,3,1),
IF(J97&gt;0,VLOOKUP(J97,Foundation_Calc!$A$2:$C$13,3,1),""))</f>
        <v/>
      </c>
      <c r="AX97" s="449" t="str">
        <f>IF(C97&gt;0,VLOOKUP(C97,Foundation_Calc!$E$2:$G$33,3,1),
IF(J97&gt;0,VLOOKUP(J97,Foundation_Calc!$E$2:$G$33,3,1),""))</f>
        <v/>
      </c>
      <c r="AY97" s="10" t="str">
        <f>IF(L97="","",
IF(AX97="PT",VLOOKUP(L97,Foundation_Calc!$K$79:$R$113,VLOOKUP(AW97,Foundation_Calc!$I$2:$J$8,2,FALSE),0),
IF(AX97="K",VLOOKUP(L97,Foundation_Calc!$K$117:$R$151,VLOOKUP(AW97,Foundation_Calc!$I$2:$J$8,2,FALSE),0),"")))</f>
        <v/>
      </c>
      <c r="AZ97" s="10" t="str">
        <f>IF(K97="","",
IF(AX97="PT",VLOOKUP(K97,Foundation_Calc!$K$79:$R$113,VLOOKUP(AW97,Foundation_Calc!$I$2:$J$8,2,FALSE),0),
IF(AX97="K",VLOOKUP(K97,Foundation_Calc!$K$117:$R$151,VLOOKUP(AW97,Foundation_Calc!$I$2:$J$8,2,FALSE),0),"")))</f>
        <v/>
      </c>
      <c r="BA97" s="495" t="str">
        <f t="shared" si="16"/>
        <v/>
      </c>
      <c r="BB97" s="495" t="str">
        <f t="shared" si="17"/>
        <v/>
      </c>
      <c r="BC97" s="495" t="str">
        <f t="shared" si="18"/>
        <v/>
      </c>
      <c r="BD97" s="513" t="str">
        <f>IF(AND(L97="",H97=""),"",
IF(H97="",Pole_Calc!A$9,
IF(H97="MP",Pole_Calc!A$10,
IF(H97="AnMP",Pole_Calc!A$11,
IF(H97="A",Pole_Calc!A$12,
IF(H97="S/A",Pole_Calc!A$13,
IF(H97="A/S",Pole_Calc!A$14,"Poner a mano")))))))</f>
        <v/>
      </c>
      <c r="BE97" s="429" t="s">
        <v>118</v>
      </c>
      <c r="BF97" s="290"/>
      <c r="BG97" s="290"/>
      <c r="BH97" s="290"/>
      <c r="BI97" s="290"/>
    </row>
    <row r="98" spans="1:61" ht="16.149999999999999" customHeight="1">
      <c r="A98" s="514"/>
      <c r="B98" s="450" t="s">
        <v>207</v>
      </c>
      <c r="C98" s="3">
        <f>+$C$96+$G$97</f>
        <v>32557.65</v>
      </c>
      <c r="D98" s="83"/>
      <c r="E98" s="4"/>
      <c r="F98" s="4">
        <f>IF(C98&gt;0,VLOOKUP(C98,'ALIGNMENT TRACK'!$A$1:$K$81,9,1))</f>
        <v>0</v>
      </c>
      <c r="G98" s="6"/>
      <c r="H98" s="449" t="s">
        <v>131</v>
      </c>
      <c r="I98" s="4"/>
      <c r="J98" s="3"/>
      <c r="K98" s="449"/>
      <c r="L98" s="449" t="s">
        <v>183</v>
      </c>
      <c r="M98" s="449" t="str">
        <f>IF(L98="","",
IF(AX98="PT",VLOOKUP(L98,Foundation_Calc!$V$79:$X$113,VLOOKUP(AX98,Foundation_Calc!$I$10:$J$13,2,FALSE),0),
IF(AX98="K",VLOOKUP(L98,Foundation_Calc!$V$117:$X$151,VLOOKUP(AX98,Foundation_Calc!$I$10:$J$13,2,FALSE),0),"")))</f>
        <v>2C3R</v>
      </c>
      <c r="N98" s="449" t="s">
        <v>133</v>
      </c>
      <c r="O98" s="449" t="s">
        <v>124</v>
      </c>
      <c r="P98" s="449"/>
      <c r="Q98" s="4"/>
      <c r="R98" s="6"/>
      <c r="S98" s="6"/>
      <c r="T98" s="4">
        <v>-15</v>
      </c>
      <c r="U98" s="4">
        <v>-35</v>
      </c>
      <c r="V98" s="4"/>
      <c r="W98" s="572">
        <v>1</v>
      </c>
      <c r="X98" s="572">
        <v>1.4</v>
      </c>
      <c r="Y98" s="9"/>
      <c r="Z98" s="9">
        <v>0.45</v>
      </c>
      <c r="AA98" s="9"/>
      <c r="AB98" s="9"/>
      <c r="AC98" s="449"/>
      <c r="AD98" s="449"/>
      <c r="AE98" s="449"/>
      <c r="AF98" s="4"/>
      <c r="AG98" s="83"/>
      <c r="AH98" s="4"/>
      <c r="AI98" s="4"/>
      <c r="AJ98" s="449"/>
      <c r="AK98" s="449"/>
      <c r="AL98" s="449"/>
      <c r="AM98" s="449" t="s">
        <v>126</v>
      </c>
      <c r="AN98" s="10">
        <v>5.15</v>
      </c>
      <c r="AO98" s="9"/>
      <c r="AP98" s="9"/>
      <c r="AQ98" s="9"/>
      <c r="AR98" s="9"/>
      <c r="AS98" s="9"/>
      <c r="AT98" s="9">
        <f>+ab($U$98,$T$96,$U$100,$G$97,$G$99,-1*$F$98,1200)</f>
        <v>-7.2629689900420038</v>
      </c>
      <c r="AU98" s="428"/>
      <c r="AV98" s="428"/>
      <c r="AW98" s="449" t="str">
        <f>IF(C98&gt;0,VLOOKUP(C98,Foundation_Calc!$A$2:$C$13,3,1),
IF(J98&gt;0,VLOOKUP(J98,Foundation_Calc!$A$2:$C$13,3,1),""))</f>
        <v>Multi Soil</v>
      </c>
      <c r="AX98" s="449" t="str">
        <f>IF(C98&gt;0,VLOOKUP(C98,Foundation_Calc!$E$2:$G$33,3,1),
IF(J98&gt;0,VLOOKUP(J98,Foundation_Calc!$E$2:$G$33,3,1),""))</f>
        <v>PT</v>
      </c>
      <c r="AY98" s="10">
        <f>IF(L98="","",
IF(AX98="PT",VLOOKUP(L98,Foundation_Calc!$K$79:$R$113,VLOOKUP(AW98,Foundation_Calc!$I$2:$J$8,2,FALSE),0),
IF(AX98="K",VLOOKUP(L98,Foundation_Calc!$K$117:$R$151,VLOOKUP(AW98,Foundation_Calc!$I$2:$J$8,2,FALSE),0),"")))</f>
        <v>3.7</v>
      </c>
      <c r="AZ98" s="10" t="str">
        <f>IF(K98="","",
IF(AX98="PT",VLOOKUP(K98,Foundation_Calc!$K$79:$R$113,VLOOKUP(AW98,Foundation_Calc!$I$2:$J$8,2,FALSE),0),
IF(AX98="K",VLOOKUP(K98,Foundation_Calc!$K$117:$R$151,VLOOKUP(AW98,Foundation_Calc!$I$2:$J$8,2,FALSE),0),"")))</f>
        <v/>
      </c>
      <c r="BA98" s="495" t="str">
        <f t="shared" si="16"/>
        <v>ü</v>
      </c>
      <c r="BB98" s="495" t="str">
        <f t="shared" si="17"/>
        <v/>
      </c>
      <c r="BC98" s="495" t="str">
        <f t="shared" si="18"/>
        <v/>
      </c>
      <c r="BD98" s="513" t="str">
        <f>IF(AND(L98="",H98=""),"",
IF(H98="",Pole_Calc!A$9,
IF(H98="MP",Pole_Calc!A$10,
IF(H98="AnMP",Pole_Calc!A$11,
IF(H98="A",Pole_Calc!A$12,
IF(H98="S/A",Pole_Calc!A$13,
IF(H98="A/S",Pole_Calc!A$14,"Poner a mano")))))))</f>
        <v>App.7-V11I-P9.5.1.5</v>
      </c>
      <c r="BE98" s="429" t="s">
        <v>118</v>
      </c>
      <c r="BF98" s="289"/>
      <c r="BG98" s="289"/>
      <c r="BH98" s="290"/>
      <c r="BI98" s="289"/>
    </row>
    <row r="99" spans="1:61" ht="16.149999999999999" customHeight="1">
      <c r="A99" s="514"/>
      <c r="B99" s="450"/>
      <c r="C99" s="3"/>
      <c r="D99" s="83"/>
      <c r="E99" s="4"/>
      <c r="F99" s="4"/>
      <c r="G99" s="6">
        <v>50</v>
      </c>
      <c r="H99" s="449"/>
      <c r="I99" s="4"/>
      <c r="J99" s="3"/>
      <c r="K99" s="449"/>
      <c r="L99" s="449"/>
      <c r="M99" s="449" t="str">
        <f>IF(L99="","",
IF(AX99="PT",VLOOKUP(L99,Foundation_Calc!$V$79:$X$113,VLOOKUP(AX99,Foundation_Calc!$I$10:$J$13,2,FALSE),0),
IF(AX99="K",VLOOKUP(L99,Foundation_Calc!$V$117:$X$151,VLOOKUP(AX99,Foundation_Calc!$I$10:$J$13,2,FALSE),0),"")))</f>
        <v/>
      </c>
      <c r="N99" s="449"/>
      <c r="O99" s="449"/>
      <c r="P99" s="449"/>
      <c r="Q99" s="4"/>
      <c r="R99" s="6"/>
      <c r="S99" s="6"/>
      <c r="T99" s="4"/>
      <c r="U99" s="4"/>
      <c r="V99" s="4"/>
      <c r="W99" s="572"/>
      <c r="X99" s="572"/>
      <c r="Y99" s="9"/>
      <c r="Z99" s="9"/>
      <c r="AA99" s="9"/>
      <c r="AB99" s="9"/>
      <c r="AC99" s="449" t="str">
        <f t="shared" si="22"/>
        <v/>
      </c>
      <c r="AD99" s="449"/>
      <c r="AE99" s="449"/>
      <c r="AF99" s="4"/>
      <c r="AG99" s="83"/>
      <c r="AH99" s="4"/>
      <c r="AI99" s="4"/>
      <c r="AJ99" s="449"/>
      <c r="AK99" s="449"/>
      <c r="AL99" s="449"/>
      <c r="AM99" s="449"/>
      <c r="AN99" s="10"/>
      <c r="AO99" s="9"/>
      <c r="AP99" s="9"/>
      <c r="AQ99" s="9">
        <f>+FL_1($U$100,$U$98,$G$99,1200,9.28,-1*$F$100)</f>
        <v>0.20632183866666665</v>
      </c>
      <c r="AR99" s="9"/>
      <c r="AS99" s="9"/>
      <c r="AT99" s="9"/>
      <c r="AU99" s="428"/>
      <c r="AV99" s="428"/>
      <c r="AW99" s="449" t="str">
        <f>IF(C99&gt;0,VLOOKUP(C99,Foundation_Calc!$A$2:$C$13,3,1),
IF(J99&gt;0,VLOOKUP(J99,Foundation_Calc!$A$2:$C$13,3,1),""))</f>
        <v/>
      </c>
      <c r="AX99" s="449" t="str">
        <f>IF(C99&gt;0,VLOOKUP(C99,Foundation_Calc!$E$2:$G$33,3,1),
IF(J99&gt;0,VLOOKUP(J99,Foundation_Calc!$E$2:$G$33,3,1),""))</f>
        <v/>
      </c>
      <c r="AY99" s="10" t="str">
        <f>IF(L99="","",
IF(AX99="PT",VLOOKUP(L99,Foundation_Calc!$K$79:$R$113,VLOOKUP(AW99,Foundation_Calc!$I$2:$J$8,2,FALSE),0),
IF(AX99="K",VLOOKUP(L99,Foundation_Calc!$K$117:$R$151,VLOOKUP(AW99,Foundation_Calc!$I$2:$J$8,2,FALSE),0),"")))</f>
        <v/>
      </c>
      <c r="AZ99" s="10" t="str">
        <f>IF(K99="","",
IF(AX99="PT",VLOOKUP(K99,Foundation_Calc!$K$79:$R$113,VLOOKUP(AW99,Foundation_Calc!$I$2:$J$8,2,FALSE),0),
IF(AX99="K",VLOOKUP(K99,Foundation_Calc!$K$117:$R$151,VLOOKUP(AW99,Foundation_Calc!$I$2:$J$8,2,FALSE),0),"")))</f>
        <v/>
      </c>
      <c r="BA99" s="495" t="str">
        <f t="shared" si="16"/>
        <v/>
      </c>
      <c r="BB99" s="495" t="str">
        <f t="shared" si="17"/>
        <v/>
      </c>
      <c r="BC99" s="495" t="str">
        <f t="shared" si="18"/>
        <v/>
      </c>
      <c r="BD99" s="513" t="str">
        <f>IF(AND(L99="",H99=""),"",
IF(H99="",Pole_Calc!A$9,
IF(H99="MP",Pole_Calc!A$10,
IF(H99="AnMP",Pole_Calc!A$11,
IF(H99="A",Pole_Calc!A$12,
IF(H99="S/A",Pole_Calc!A$13,
IF(H99="A/S",Pole_Calc!A$14,"Poner a mano")))))))</f>
        <v/>
      </c>
      <c r="BE99" s="429" t="s">
        <v>118</v>
      </c>
      <c r="BF99" s="290"/>
      <c r="BG99" s="290"/>
      <c r="BH99" s="290"/>
      <c r="BI99" s="290"/>
    </row>
    <row r="100" spans="1:61" ht="16.149999999999999" customHeight="1">
      <c r="A100" s="514"/>
      <c r="B100" s="450" t="s">
        <v>208</v>
      </c>
      <c r="C100" s="3">
        <f>+$C$98+$G$99</f>
        <v>32607.65</v>
      </c>
      <c r="D100" s="83"/>
      <c r="E100" s="4"/>
      <c r="F100" s="4">
        <f>IF(C100&gt;0,VLOOKUP(C100,'ALIGNMENT TRACK'!$A$1:$K$81,9,1))</f>
        <v>0</v>
      </c>
      <c r="G100" s="6"/>
      <c r="H100" s="449" t="s">
        <v>131</v>
      </c>
      <c r="I100" s="4"/>
      <c r="J100" s="3"/>
      <c r="K100" s="449"/>
      <c r="L100" s="449" t="s">
        <v>158</v>
      </c>
      <c r="M100" s="449" t="str">
        <f>IF(L100="","",
IF(AX100="PT",VLOOKUP(L100,Foundation_Calc!$V$79:$X$113,VLOOKUP(AX100,Foundation_Calc!$I$10:$J$13,2,FALSE),0),
IF(AX100="K",VLOOKUP(L100,Foundation_Calc!$V$117:$X$151,VLOOKUP(AX100,Foundation_Calc!$I$10:$J$13,2,FALSE),0),"")))</f>
        <v>C4R</v>
      </c>
      <c r="N100" s="449" t="s">
        <v>134</v>
      </c>
      <c r="O100" s="449" t="s">
        <v>133</v>
      </c>
      <c r="P100" s="449"/>
      <c r="Q100" s="4"/>
      <c r="R100" s="6"/>
      <c r="S100" s="6"/>
      <c r="T100" s="4">
        <v>35</v>
      </c>
      <c r="U100" s="4">
        <v>15</v>
      </c>
      <c r="V100" s="4"/>
      <c r="W100" s="572">
        <v>1.4</v>
      </c>
      <c r="X100" s="572">
        <v>1.8</v>
      </c>
      <c r="Y100" s="9"/>
      <c r="Z100" s="9"/>
      <c r="AA100" s="9">
        <v>0.45</v>
      </c>
      <c r="AB100" s="9"/>
      <c r="AC100" s="449" t="str">
        <f t="shared" si="22"/>
        <v>PH</v>
      </c>
      <c r="AD100" s="449"/>
      <c r="AE100" s="449"/>
      <c r="AF100" s="4"/>
      <c r="AG100" s="83"/>
      <c r="AH100" s="4"/>
      <c r="AI100" s="4"/>
      <c r="AJ100" s="449"/>
      <c r="AK100" s="449"/>
      <c r="AL100" s="449"/>
      <c r="AM100" s="449" t="s">
        <v>126</v>
      </c>
      <c r="AN100" s="10">
        <v>5.15</v>
      </c>
      <c r="AO100" s="9"/>
      <c r="AP100" s="9"/>
      <c r="AQ100" s="9"/>
      <c r="AR100" s="9"/>
      <c r="AS100" s="9"/>
      <c r="AT100" s="9">
        <f>+ab($T$100,$T$98,$T$102,$G$99,$G$101,-1*$F$100,1200)</f>
        <v>8.3829244797029698</v>
      </c>
      <c r="AU100" s="428"/>
      <c r="AV100" s="428"/>
      <c r="AW100" s="449" t="str">
        <f>IF(C100&gt;0,VLOOKUP(C100,Foundation_Calc!$A$2:$C$13,3,1),
IF(J100&gt;0,VLOOKUP(J100,Foundation_Calc!$A$2:$C$13,3,1),""))</f>
        <v>Multi Soil</v>
      </c>
      <c r="AX100" s="449" t="str">
        <f>IF(C100&gt;0,VLOOKUP(C100,Foundation_Calc!$E$2:$G$33,3,1),
IF(J100&gt;0,VLOOKUP(J100,Foundation_Calc!$E$2:$G$33,3,1),""))</f>
        <v>PT</v>
      </c>
      <c r="AY100" s="10">
        <f>IF(L100="","",
IF(AX100="PT",VLOOKUP(L100,Foundation_Calc!$K$79:$R$113,VLOOKUP(AW100,Foundation_Calc!$I$2:$J$8,2,FALSE),0),
IF(AX100="K",VLOOKUP(L100,Foundation_Calc!$K$117:$R$151,VLOOKUP(AW100,Foundation_Calc!$I$2:$J$8,2,FALSE),0),"")))</f>
        <v>3.5</v>
      </c>
      <c r="AZ100" s="10" t="str">
        <f>IF(K100="","",
IF(AX100="PT",VLOOKUP(K100,Foundation_Calc!$K$79:$R$113,VLOOKUP(AW100,Foundation_Calc!$I$2:$J$8,2,FALSE),0),
IF(AX100="K",VLOOKUP(K100,Foundation_Calc!$K$117:$R$151,VLOOKUP(AW100,Foundation_Calc!$I$2:$J$8,2,FALSE),0),"")))</f>
        <v/>
      </c>
      <c r="BA100" s="495" t="str">
        <f t="shared" si="16"/>
        <v>ü</v>
      </c>
      <c r="BB100" s="495" t="str">
        <f t="shared" si="17"/>
        <v/>
      </c>
      <c r="BC100" s="495" t="str">
        <f t="shared" si="18"/>
        <v/>
      </c>
      <c r="BD100" s="513" t="str">
        <f>IF(AND(L100="",H100=""),"",
IF(H100="",Pole_Calc!A$9,
IF(H100="MP",Pole_Calc!A$10,
IF(H100="AnMP",Pole_Calc!A$11,
IF(H100="A",Pole_Calc!A$12,
IF(H100="S/A",Pole_Calc!A$13,
IF(H100="A/S",Pole_Calc!A$14,"Poner a mano")))))))</f>
        <v>App.7-V11I-P9.5.1.5</v>
      </c>
      <c r="BE100" s="429" t="s">
        <v>118</v>
      </c>
      <c r="BF100" s="289"/>
      <c r="BG100" s="289"/>
      <c r="BH100" s="290"/>
      <c r="BI100" s="289"/>
    </row>
    <row r="101" spans="1:61" ht="16.149999999999999" customHeight="1">
      <c r="A101" s="514"/>
      <c r="B101" s="450"/>
      <c r="C101" s="3"/>
      <c r="D101" s="83"/>
      <c r="E101" s="4"/>
      <c r="F101" s="4"/>
      <c r="G101" s="6">
        <v>55</v>
      </c>
      <c r="H101" s="449"/>
      <c r="I101" s="4"/>
      <c r="J101" s="3"/>
      <c r="K101" s="449"/>
      <c r="L101" s="449"/>
      <c r="M101" s="449" t="str">
        <f>IF(L101="","",
IF(AX101="PT",VLOOKUP(L101,Foundation_Calc!$V$79:$X$113,VLOOKUP(AX101,Foundation_Calc!$I$10:$J$13,2,FALSE),0),
IF(AX101="K",VLOOKUP(L101,Foundation_Calc!$V$117:$X$151,VLOOKUP(AX101,Foundation_Calc!$I$10:$J$13,2,FALSE),0),"")))</f>
        <v/>
      </c>
      <c r="N101" s="449"/>
      <c r="O101" s="449"/>
      <c r="P101" s="449"/>
      <c r="Q101" s="4"/>
      <c r="R101" s="6"/>
      <c r="S101" s="6"/>
      <c r="T101" s="4"/>
      <c r="U101" s="4"/>
      <c r="V101" s="4"/>
      <c r="W101" s="572"/>
      <c r="X101" s="572"/>
      <c r="Y101" s="9"/>
      <c r="Z101" s="9"/>
      <c r="AA101" s="9"/>
      <c r="AB101" s="9"/>
      <c r="AC101" s="449" t="str">
        <f t="shared" si="22"/>
        <v/>
      </c>
      <c r="AD101" s="449"/>
      <c r="AE101" s="449"/>
      <c r="AF101" s="4"/>
      <c r="AG101" s="83"/>
      <c r="AH101" s="4"/>
      <c r="AI101" s="4"/>
      <c r="AJ101" s="449"/>
      <c r="AK101" s="449"/>
      <c r="AL101" s="449"/>
      <c r="AM101" s="449"/>
      <c r="AN101" s="10"/>
      <c r="AO101" s="9"/>
      <c r="AP101" s="9"/>
      <c r="AQ101" s="9">
        <f>+FL_1($T$102,$T$100,$G$101,1200,9.28,-1*$F$102)</f>
        <v>0.39714735709090898</v>
      </c>
      <c r="AR101" s="9"/>
      <c r="AS101" s="9"/>
      <c r="AT101" s="9"/>
      <c r="AU101" s="428"/>
      <c r="AV101" s="428"/>
      <c r="AW101" s="449" t="str">
        <f>IF(C101&gt;0,VLOOKUP(C101,Foundation_Calc!$A$2:$C$13,3,1),
IF(J101&gt;0,VLOOKUP(J101,Foundation_Calc!$A$2:$C$13,3,1),""))</f>
        <v/>
      </c>
      <c r="AX101" s="449" t="str">
        <f>IF(C101&gt;0,VLOOKUP(C101,Foundation_Calc!$E$2:$G$33,3,1),
IF(J101&gt;0,VLOOKUP(J101,Foundation_Calc!$E$2:$G$33,3,1),""))</f>
        <v/>
      </c>
      <c r="AY101" s="10" t="str">
        <f>IF(L101="","",
IF(AX101="PT",VLOOKUP(L101,Foundation_Calc!$K$79:$R$113,VLOOKUP(AW101,Foundation_Calc!$I$2:$J$8,2,FALSE),0),
IF(AX101="K",VLOOKUP(L101,Foundation_Calc!$K$117:$R$151,VLOOKUP(AW101,Foundation_Calc!$I$2:$J$8,2,FALSE),0),"")))</f>
        <v/>
      </c>
      <c r="AZ101" s="10" t="str">
        <f>IF(K101="","",
IF(AX101="PT",VLOOKUP(K101,Foundation_Calc!$K$79:$R$113,VLOOKUP(AW101,Foundation_Calc!$I$2:$J$8,2,FALSE),0),
IF(AX101="K",VLOOKUP(K101,Foundation_Calc!$K$117:$R$151,VLOOKUP(AW101,Foundation_Calc!$I$2:$J$8,2,FALSE),0),"")))</f>
        <v/>
      </c>
      <c r="BA101" s="495" t="str">
        <f t="shared" ref="BA101:BA160" si="23">IF(AY101="","",IF(AY101&gt;0,"ü",""))</f>
        <v/>
      </c>
      <c r="BB101" s="495" t="str">
        <f t="shared" ref="BB101:BB160" si="24">IF(AZ101="","",IF(AZ101&gt;0,"ü",""))</f>
        <v/>
      </c>
      <c r="BC101" s="495" t="str">
        <f t="shared" ref="BC101:BC160" si="25">IF(M101="","",IF(M101="U.S.","ü",IF(M101="U.S. N.D.","ü","")))</f>
        <v/>
      </c>
      <c r="BD101" s="513" t="str">
        <f>IF(AND(L101="",H101=""),"",
IF(H101="",Pole_Calc!A$9,
IF(H101="MP",Pole_Calc!A$10,
IF(H101="AnMP",Pole_Calc!A$11,
IF(H101="A",Pole_Calc!A$12,
IF(H101="S/A",Pole_Calc!A$13,
IF(H101="A/S",Pole_Calc!A$14,"Poner a mano")))))))</f>
        <v/>
      </c>
      <c r="BE101" s="429" t="s">
        <v>118</v>
      </c>
      <c r="BF101" s="290"/>
      <c r="BG101" s="290"/>
      <c r="BH101" s="290"/>
      <c r="BI101" s="290"/>
    </row>
    <row r="102" spans="1:61" ht="16.149999999999999" customHeight="1">
      <c r="A102" s="514"/>
      <c r="B102" s="450" t="s">
        <v>209</v>
      </c>
      <c r="C102" s="3">
        <f>+$C$100+$G$101</f>
        <v>32662.65</v>
      </c>
      <c r="D102" s="83"/>
      <c r="E102" s="4"/>
      <c r="F102" s="4">
        <f>IF(C102&gt;0,VLOOKUP(C102,'ALIGNMENT TRACK'!$A$1:$K$81,9,1))</f>
        <v>0</v>
      </c>
      <c r="G102" s="6"/>
      <c r="H102" s="449" t="s">
        <v>121</v>
      </c>
      <c r="I102" s="4" t="s">
        <v>122</v>
      </c>
      <c r="J102" s="3"/>
      <c r="K102" s="449"/>
      <c r="L102" s="449" t="s">
        <v>151</v>
      </c>
      <c r="M102" s="449" t="str">
        <f>IF(L102="","",
IF(AX102="PT",VLOOKUP(L102,Foundation_Calc!$V$79:$X$113,VLOOKUP(AX102,Foundation_Calc!$I$10:$J$13,2,FALSE),0),
IF(AX102="K",VLOOKUP(L102,Foundation_Calc!$V$117:$X$151,VLOOKUP(AX102,Foundation_Calc!$I$10:$J$13,2,FALSE),0),"")))</f>
        <v>C4R</v>
      </c>
      <c r="N102" s="449" t="s">
        <v>124</v>
      </c>
      <c r="O102" s="449"/>
      <c r="P102" s="449"/>
      <c r="Q102" s="4"/>
      <c r="R102" s="6"/>
      <c r="S102" s="6"/>
      <c r="T102" s="4">
        <v>-35</v>
      </c>
      <c r="U102" s="4"/>
      <c r="V102" s="4"/>
      <c r="W102" s="9">
        <v>1.4</v>
      </c>
      <c r="X102" s="572"/>
      <c r="Y102" s="9"/>
      <c r="Z102" s="9"/>
      <c r="AA102" s="9"/>
      <c r="AB102" s="9"/>
      <c r="AC102" s="449" t="str">
        <f t="shared" si="22"/>
        <v>PHQ</v>
      </c>
      <c r="AD102" s="449"/>
      <c r="AE102" s="449"/>
      <c r="AF102" s="4"/>
      <c r="AG102" s="83"/>
      <c r="AH102" s="4"/>
      <c r="AI102" s="4"/>
      <c r="AJ102" s="449"/>
      <c r="AK102" s="449"/>
      <c r="AL102" s="449"/>
      <c r="AM102" s="449" t="s">
        <v>126</v>
      </c>
      <c r="AN102" s="10">
        <f>AN100+0.08</f>
        <v>5.23</v>
      </c>
      <c r="AO102" s="9"/>
      <c r="AP102" s="9"/>
      <c r="AQ102" s="9"/>
      <c r="AR102" s="9"/>
      <c r="AS102" s="9"/>
      <c r="AT102" s="9">
        <f>+ab($T$102,$T$100,$T$104,$G$101,$G$103,-1*$F$102,1200)</f>
        <v>-7.8175501667728815</v>
      </c>
      <c r="AU102" s="428"/>
      <c r="AV102" s="428"/>
      <c r="AW102" s="449" t="str">
        <f>IF(C102&gt;0,VLOOKUP(C102,Foundation_Calc!$A$2:$C$13,3,1),
IF(J102&gt;0,VLOOKUP(J102,Foundation_Calc!$A$2:$C$13,3,1),""))</f>
        <v>Multi Soil</v>
      </c>
      <c r="AX102" s="449" t="str">
        <f>IF(C102&gt;0,VLOOKUP(C102,Foundation_Calc!$E$2:$G$33,3,1),
IF(J102&gt;0,VLOOKUP(J102,Foundation_Calc!$E$2:$G$33,3,1),""))</f>
        <v>PT</v>
      </c>
      <c r="AY102" s="10">
        <f>IF(L102="","",
IF(AX102="PT",VLOOKUP(L102,Foundation_Calc!$K$79:$R$113,VLOOKUP(AW102,Foundation_Calc!$I$2:$J$8,2,FALSE),0),
IF(AX102="K",VLOOKUP(L102,Foundation_Calc!$K$117:$R$151,VLOOKUP(AW102,Foundation_Calc!$I$2:$J$8,2,FALSE),0),"")))</f>
        <v>3.5</v>
      </c>
      <c r="AZ102" s="10" t="str">
        <f>IF(K102="","",
IF(AX102="PT",VLOOKUP(K102,Foundation_Calc!$K$79:$R$113,VLOOKUP(AW102,Foundation_Calc!$I$2:$J$8,2,FALSE),0),
IF(AX102="K",VLOOKUP(K102,Foundation_Calc!$K$117:$R$151,VLOOKUP(AW102,Foundation_Calc!$I$2:$J$8,2,FALSE),0),"")))</f>
        <v/>
      </c>
      <c r="BA102" s="495" t="str">
        <f t="shared" si="23"/>
        <v>ü</v>
      </c>
      <c r="BB102" s="495" t="str">
        <f t="shared" si="24"/>
        <v/>
      </c>
      <c r="BC102" s="495" t="str">
        <f t="shared" si="25"/>
        <v/>
      </c>
      <c r="BD102" s="513" t="str">
        <f>IF(AND(L102="",H102=""),"",
IF(H102="",Pole_Calc!A$9,
IF(H102="MP",Pole_Calc!A$10,
IF(H102="AnMP",Pole_Calc!A$11,
IF(H102="A",Pole_Calc!A$12,
IF(H102="S/A",Pole_Calc!A$13,
IF(H102="A/S",Pole_Calc!A$14,"Poner a mano")))))))</f>
        <v>App.7-V11I-P9.5.1.6</v>
      </c>
      <c r="BE102" s="429" t="s">
        <v>118</v>
      </c>
      <c r="BF102" s="289"/>
      <c r="BG102" s="289"/>
      <c r="BH102" s="290"/>
      <c r="BI102" s="289"/>
    </row>
    <row r="103" spans="1:61" ht="16.149999999999999" customHeight="1">
      <c r="A103" s="514"/>
      <c r="B103" s="450"/>
      <c r="C103" s="3"/>
      <c r="D103" s="83"/>
      <c r="E103" s="4"/>
      <c r="F103" s="4"/>
      <c r="G103" s="6">
        <v>60</v>
      </c>
      <c r="H103" s="449"/>
      <c r="I103" s="4"/>
      <c r="J103" s="3">
        <f>C102+7.5</f>
        <v>32670.15</v>
      </c>
      <c r="K103" s="449" t="s">
        <v>117</v>
      </c>
      <c r="L103" s="449"/>
      <c r="M103" s="449" t="str">
        <f>IF(L103="","",
IF(AX103="PT",VLOOKUP(L103,Foundation_Calc!$V$79:$X$113,VLOOKUP(AX103,Foundation_Calc!$I$10:$J$13,2,FALSE),0),
IF(AX103="K",VLOOKUP(L103,Foundation_Calc!$V$117:$X$151,VLOOKUP(AX103,Foundation_Calc!$I$10:$J$13,2,FALSE),0),"")))</f>
        <v/>
      </c>
      <c r="N103" s="449"/>
      <c r="O103" s="449"/>
      <c r="P103" s="449"/>
      <c r="Q103" s="4"/>
      <c r="R103" s="6"/>
      <c r="S103" s="6"/>
      <c r="T103" s="4"/>
      <c r="U103" s="4"/>
      <c r="V103" s="4"/>
      <c r="W103" s="572"/>
      <c r="X103" s="572"/>
      <c r="Y103" s="9"/>
      <c r="Z103" s="9"/>
      <c r="AA103" s="9"/>
      <c r="AB103" s="9"/>
      <c r="AC103" s="449" t="str">
        <f t="shared" si="22"/>
        <v/>
      </c>
      <c r="AD103" s="449"/>
      <c r="AE103" s="449"/>
      <c r="AF103" s="4"/>
      <c r="AG103" s="83"/>
      <c r="AH103" s="4"/>
      <c r="AI103" s="4"/>
      <c r="AJ103" s="449"/>
      <c r="AK103" s="449"/>
      <c r="AL103" s="449"/>
      <c r="AM103" s="449"/>
      <c r="AN103" s="10"/>
      <c r="AO103" s="9"/>
      <c r="AP103" s="9"/>
      <c r="AQ103" s="9">
        <f>+FL_1($T$104,$T$102,$G$103,1200,9.28,-1*$F$104)</f>
        <v>0.43600286799999999</v>
      </c>
      <c r="AR103" s="9"/>
      <c r="AS103" s="9"/>
      <c r="AT103" s="9"/>
      <c r="AU103" s="428"/>
      <c r="AV103" s="428"/>
      <c r="AW103" s="449" t="str">
        <f>IF(C103&gt;0,VLOOKUP(C103,Foundation_Calc!$A$2:$C$13,3,1),
IF(J103&gt;0,VLOOKUP(J103,Foundation_Calc!$A$2:$C$13,3,1),""))</f>
        <v>Multi Soil</v>
      </c>
      <c r="AX103" s="449" t="str">
        <f>IF(C103&gt;0,VLOOKUP(C103,Foundation_Calc!$E$2:$G$33,3,1),
IF(J103&gt;0,VLOOKUP(J103,Foundation_Calc!$E$2:$G$33,3,1),""))</f>
        <v>PT</v>
      </c>
      <c r="AY103" s="10" t="str">
        <f>IF(L103="","",
IF(AX103="PT",VLOOKUP(L103,Foundation_Calc!$K$79:$R$113,VLOOKUP(AW103,Foundation_Calc!$I$2:$J$8,2,FALSE),0),
IF(AX103="K",VLOOKUP(L103,Foundation_Calc!$K$117:$R$151,VLOOKUP(AW103,Foundation_Calc!$I$2:$J$8,2,FALSE),0),"")))</f>
        <v/>
      </c>
      <c r="AZ103" s="10">
        <f>IF(K103="","",
IF(AX103="PT",VLOOKUP(K103,Foundation_Calc!$K$79:$R$113,VLOOKUP(AW103,Foundation_Calc!$I$2:$J$8,2,FALSE),0),
IF(AX103="K",VLOOKUP(K103,Foundation_Calc!$K$117:$R$151,VLOOKUP(AW103,Foundation_Calc!$I$2:$J$8,2,FALSE),0),"")))</f>
        <v>3.9</v>
      </c>
      <c r="BA103" s="495" t="str">
        <f t="shared" si="23"/>
        <v/>
      </c>
      <c r="BB103" s="495" t="str">
        <f t="shared" si="24"/>
        <v>ü</v>
      </c>
      <c r="BC103" s="495" t="str">
        <f t="shared" si="25"/>
        <v/>
      </c>
      <c r="BD103" s="513" t="str">
        <f>IF(AND(L103="",H103=""),"",
IF(H103="",Pole_Calc!A$9,
IF(H103="MP",Pole_Calc!A$10,
IF(H103="AnMP",Pole_Calc!A$11,
IF(H103="A",Pole_Calc!A$12,
IF(H103="S/A",Pole_Calc!A$13,
IF(H103="A/S",Pole_Calc!A$14,"Poner a mano")))))))</f>
        <v/>
      </c>
      <c r="BE103" s="429" t="s">
        <v>118</v>
      </c>
      <c r="BF103" s="290"/>
      <c r="BG103" s="290"/>
      <c r="BH103" s="290"/>
      <c r="BI103" s="290"/>
    </row>
    <row r="104" spans="1:61" ht="16.149999999999999" customHeight="1">
      <c r="A104" s="514"/>
      <c r="B104" s="450" t="s">
        <v>210</v>
      </c>
      <c r="C104" s="3">
        <f>+$C$102+$G$103</f>
        <v>32722.65</v>
      </c>
      <c r="D104" s="83"/>
      <c r="E104" s="4"/>
      <c r="F104" s="4">
        <f>IF(C104&gt;0,VLOOKUP(C104,'ALIGNMENT TRACK'!$A$1:$K$81,9,1))</f>
        <v>0</v>
      </c>
      <c r="G104" s="6"/>
      <c r="H104" s="449"/>
      <c r="I104" s="4"/>
      <c r="J104" s="3"/>
      <c r="K104" s="449"/>
      <c r="L104" s="449" t="s">
        <v>153</v>
      </c>
      <c r="M104" s="449" t="str">
        <f>IF(L104="","",
IF(AX104="PT",VLOOKUP(L104,Foundation_Calc!$V$79:$X$113,VLOOKUP(AX104,Foundation_Calc!$I$10:$J$13,2,FALSE),0),
IF(AX104="K",VLOOKUP(L104,Foundation_Calc!$V$117:$X$151,VLOOKUP(AX104,Foundation_Calc!$I$10:$J$13,2,FALSE),0),"")))</f>
        <v>C3R</v>
      </c>
      <c r="N104" s="449" t="s">
        <v>134</v>
      </c>
      <c r="O104" s="449"/>
      <c r="P104" s="449"/>
      <c r="Q104" s="4"/>
      <c r="R104" s="6"/>
      <c r="S104" s="6"/>
      <c r="T104" s="4">
        <v>35</v>
      </c>
      <c r="U104" s="4"/>
      <c r="V104" s="4"/>
      <c r="W104" s="9">
        <v>1.4</v>
      </c>
      <c r="X104" s="9"/>
      <c r="Y104" s="9"/>
      <c r="Z104" s="9"/>
      <c r="AA104" s="9"/>
      <c r="AB104" s="9"/>
      <c r="AC104" s="449" t="str">
        <f t="shared" si="22"/>
        <v>PH</v>
      </c>
      <c r="AD104" s="449"/>
      <c r="AE104" s="449"/>
      <c r="AF104" s="4"/>
      <c r="AG104" s="83"/>
      <c r="AH104" s="4"/>
      <c r="AI104" s="4"/>
      <c r="AJ104" s="449"/>
      <c r="AK104" s="449"/>
      <c r="AL104" s="449"/>
      <c r="AM104" s="449" t="s">
        <v>126</v>
      </c>
      <c r="AN104" s="10">
        <f>AN102+0.09</f>
        <v>5.32</v>
      </c>
      <c r="AO104" s="9"/>
      <c r="AP104" s="9"/>
      <c r="AQ104" s="9"/>
      <c r="AR104" s="9"/>
      <c r="AS104" s="9"/>
      <c r="AT104" s="9">
        <f>+ab($T$104,$T$102,$T$106,$G$103,$G$105,-1*$F$104,1200)</f>
        <v>8.3002133012442592</v>
      </c>
      <c r="AU104" s="428"/>
      <c r="AV104" s="428"/>
      <c r="AW104" s="449" t="str">
        <f>IF(C104&gt;0,VLOOKUP(C104,Foundation_Calc!$A$2:$C$13,3,1),
IF(J104&gt;0,VLOOKUP(J104,Foundation_Calc!$A$2:$C$13,3,1),""))</f>
        <v>Multi Soil</v>
      </c>
      <c r="AX104" s="449" t="str">
        <f>IF(C104&gt;0,VLOOKUP(C104,Foundation_Calc!$E$2:$G$33,3,1),
IF(J104&gt;0,VLOOKUP(J104,Foundation_Calc!$E$2:$G$33,3,1),""))</f>
        <v>PT</v>
      </c>
      <c r="AY104" s="10">
        <f>IF(L104="","",
IF(AX104="PT",VLOOKUP(L104,Foundation_Calc!$K$79:$R$113,VLOOKUP(AW104,Foundation_Calc!$I$2:$J$8,2,FALSE),0),
IF(AX104="K",VLOOKUP(L104,Foundation_Calc!$K$117:$R$151,VLOOKUP(AW104,Foundation_Calc!$I$2:$J$8,2,FALSE),0),"")))</f>
        <v>3.5</v>
      </c>
      <c r="AZ104" s="10" t="str">
        <f>IF(K104="","",
IF(AX104="PT",VLOOKUP(K104,Foundation_Calc!$K$79:$R$113,VLOOKUP(AW104,Foundation_Calc!$I$2:$J$8,2,FALSE),0),
IF(AX104="K",VLOOKUP(K104,Foundation_Calc!$K$117:$R$151,VLOOKUP(AW104,Foundation_Calc!$I$2:$J$8,2,FALSE),0),"")))</f>
        <v/>
      </c>
      <c r="BA104" s="495" t="str">
        <f t="shared" si="23"/>
        <v>ü</v>
      </c>
      <c r="BB104" s="495" t="str">
        <f t="shared" si="24"/>
        <v/>
      </c>
      <c r="BC104" s="495" t="str">
        <f t="shared" si="25"/>
        <v/>
      </c>
      <c r="BD104" s="513" t="str">
        <f>IF(AND(L104="",H104=""),"",
IF(H104="",Pole_Calc!A$9,
IF(H104="MP",Pole_Calc!A$10,
IF(H104="AnMP",Pole_Calc!A$11,
IF(H104="A",Pole_Calc!A$12,
IF(H104="S/A",Pole_Calc!A$13,
IF(H104="A/S",Pole_Calc!A$14,"Poner a mano")))))))</f>
        <v>App.7-V11I-P9.5.1.1</v>
      </c>
      <c r="BE104" s="429" t="s">
        <v>118</v>
      </c>
      <c r="BF104" s="289"/>
      <c r="BG104" s="289"/>
      <c r="BH104" s="290"/>
      <c r="BI104" s="289"/>
    </row>
    <row r="105" spans="1:61" ht="16.149999999999999" customHeight="1">
      <c r="A105" s="514"/>
      <c r="B105" s="450"/>
      <c r="C105" s="3"/>
      <c r="D105" s="83"/>
      <c r="E105" s="4"/>
      <c r="F105" s="4"/>
      <c r="G105" s="6">
        <v>62</v>
      </c>
      <c r="H105" s="449"/>
      <c r="I105" s="4"/>
      <c r="J105" s="3"/>
      <c r="K105" s="449"/>
      <c r="L105" s="449"/>
      <c r="M105" s="449" t="str">
        <f>IF(L105="","",
IF(AX105="PT",VLOOKUP(L105,Foundation_Calc!$V$79:$X$113,VLOOKUP(AX105,Foundation_Calc!$I$10:$J$13,2,FALSE),0),
IF(AX105="K",VLOOKUP(L105,Foundation_Calc!$V$117:$X$151,VLOOKUP(AX105,Foundation_Calc!$I$10:$J$13,2,FALSE),0),"")))</f>
        <v/>
      </c>
      <c r="N105" s="449"/>
      <c r="O105" s="449"/>
      <c r="P105" s="449"/>
      <c r="Q105" s="4"/>
      <c r="R105" s="6"/>
      <c r="S105" s="6"/>
      <c r="T105" s="4"/>
      <c r="U105" s="4"/>
      <c r="V105" s="4"/>
      <c r="W105" s="9"/>
      <c r="X105" s="9"/>
      <c r="Y105" s="9"/>
      <c r="Z105" s="9"/>
      <c r="AA105" s="9"/>
      <c r="AB105" s="9"/>
      <c r="AC105" s="449" t="str">
        <f t="shared" si="22"/>
        <v/>
      </c>
      <c r="AD105" s="449"/>
      <c r="AE105" s="449"/>
      <c r="AF105" s="4"/>
      <c r="AG105" s="83"/>
      <c r="AH105" s="4"/>
      <c r="AI105" s="4"/>
      <c r="AJ105" s="449"/>
      <c r="AK105" s="449"/>
      <c r="AL105" s="449"/>
      <c r="AM105" s="449"/>
      <c r="AN105" s="10"/>
      <c r="AO105" s="9"/>
      <c r="AP105" s="9"/>
      <c r="AQ105" s="9">
        <f>+FL_2($T$106,$T$104,$G$105,1200,9.28,-1*$F$106)</f>
        <v>-0.45400350967741931</v>
      </c>
      <c r="AR105" s="9"/>
      <c r="AS105" s="9"/>
      <c r="AT105" s="9"/>
      <c r="AU105" s="428"/>
      <c r="AV105" s="428"/>
      <c r="AW105" s="449" t="str">
        <f>IF(C105&gt;0,VLOOKUP(C105,Foundation_Calc!$A$2:$C$13,3,1),
IF(J105&gt;0,VLOOKUP(J105,Foundation_Calc!$A$2:$C$13,3,1),""))</f>
        <v/>
      </c>
      <c r="AX105" s="449" t="str">
        <f>IF(C105&gt;0,VLOOKUP(C105,Foundation_Calc!$E$2:$G$33,3,1),
IF(J105&gt;0,VLOOKUP(J105,Foundation_Calc!$E$2:$G$33,3,1),""))</f>
        <v/>
      </c>
      <c r="AY105" s="10" t="str">
        <f>IF(L105="","",
IF(AX105="PT",VLOOKUP(L105,Foundation_Calc!$K$79:$R$113,VLOOKUP(AW105,Foundation_Calc!$I$2:$J$8,2,FALSE),0),
IF(AX105="K",VLOOKUP(L105,Foundation_Calc!$K$117:$R$151,VLOOKUP(AW105,Foundation_Calc!$I$2:$J$8,2,FALSE),0),"")))</f>
        <v/>
      </c>
      <c r="AZ105" s="10" t="str">
        <f>IF(K105="","",
IF(AX105="PT",VLOOKUP(K105,Foundation_Calc!$K$79:$R$113,VLOOKUP(AW105,Foundation_Calc!$I$2:$J$8,2,FALSE),0),
IF(AX105="K",VLOOKUP(K105,Foundation_Calc!$K$117:$R$151,VLOOKUP(AW105,Foundation_Calc!$I$2:$J$8,2,FALSE),0),"")))</f>
        <v/>
      </c>
      <c r="BA105" s="495" t="str">
        <f t="shared" si="23"/>
        <v/>
      </c>
      <c r="BB105" s="495" t="str">
        <f t="shared" si="24"/>
        <v/>
      </c>
      <c r="BC105" s="495" t="str">
        <f t="shared" si="25"/>
        <v/>
      </c>
      <c r="BD105" s="513" t="str">
        <f>IF(AND(L105="",H105=""),"",
IF(H105="",Pole_Calc!A$9,
IF(H105="MP",Pole_Calc!A$10,
IF(H105="AnMP",Pole_Calc!A$11,
IF(H105="A",Pole_Calc!A$12,
IF(H105="S/A",Pole_Calc!A$13,
IF(H105="A/S",Pole_Calc!A$14,"Poner a mano")))))))</f>
        <v/>
      </c>
      <c r="BE105" s="429" t="s">
        <v>118</v>
      </c>
      <c r="BF105" s="290"/>
      <c r="BG105" s="290"/>
      <c r="BH105" s="290"/>
      <c r="BI105" s="290"/>
    </row>
    <row r="106" spans="1:61" ht="16.149999999999999" customHeight="1">
      <c r="A106" s="514"/>
      <c r="B106" s="450" t="s">
        <v>211</v>
      </c>
      <c r="C106" s="3">
        <f>+$C$104+$G$105</f>
        <v>32784.65</v>
      </c>
      <c r="D106" s="83"/>
      <c r="E106" s="4"/>
      <c r="F106" s="4">
        <f>IF(C106&gt;0,VLOOKUP(C106,'ALIGNMENT TRACK'!$A$1:$K$81,9,1))</f>
        <v>0</v>
      </c>
      <c r="G106" s="6"/>
      <c r="H106" s="449"/>
      <c r="I106" s="4"/>
      <c r="J106" s="3"/>
      <c r="K106" s="449"/>
      <c r="L106" s="449" t="s">
        <v>153</v>
      </c>
      <c r="M106" s="449" t="str">
        <f>IF(L106="","",
IF(AX106="PT",VLOOKUP(L106,Foundation_Calc!$V$79:$X$113,VLOOKUP(AX106,Foundation_Calc!$I$10:$J$13,2,FALSE),0),
IF(AX106="K",VLOOKUP(L106,Foundation_Calc!$V$117:$X$151,VLOOKUP(AX106,Foundation_Calc!$I$10:$J$13,2,FALSE),0),"")))</f>
        <v>C3R</v>
      </c>
      <c r="N106" s="449" t="s">
        <v>124</v>
      </c>
      <c r="O106" s="449"/>
      <c r="P106" s="449"/>
      <c r="Q106" s="4"/>
      <c r="R106" s="6"/>
      <c r="S106" s="6"/>
      <c r="T106" s="4">
        <v>-35</v>
      </c>
      <c r="U106" s="4"/>
      <c r="V106" s="4"/>
      <c r="W106" s="9">
        <v>1.4</v>
      </c>
      <c r="X106" s="9"/>
      <c r="Y106" s="9"/>
      <c r="Z106" s="9"/>
      <c r="AA106" s="9"/>
      <c r="AB106" s="9"/>
      <c r="AC106" s="449" t="str">
        <f t="shared" si="22"/>
        <v>PH</v>
      </c>
      <c r="AD106" s="449"/>
      <c r="AE106" s="449"/>
      <c r="AF106" s="4"/>
      <c r="AG106" s="83"/>
      <c r="AH106" s="4"/>
      <c r="AI106" s="4"/>
      <c r="AJ106" s="449"/>
      <c r="AK106" s="449"/>
      <c r="AL106" s="449"/>
      <c r="AM106" s="449" t="s">
        <v>126</v>
      </c>
      <c r="AN106" s="10">
        <f>AN108-0.09</f>
        <v>5.41</v>
      </c>
      <c r="AO106" s="9"/>
      <c r="AP106" s="9"/>
      <c r="AQ106" s="9"/>
      <c r="AR106" s="9"/>
      <c r="AS106" s="9"/>
      <c r="AT106" s="9">
        <f>+ab($T$106,$T$104,$T$108,$G$105,$G$107,-1*$F$106,1200)</f>
        <v>-8.4366201521118445</v>
      </c>
      <c r="AU106" s="428"/>
      <c r="AV106" s="428"/>
      <c r="AW106" s="449" t="str">
        <f>IF(C106&gt;0,VLOOKUP(C106,Foundation_Calc!$A$2:$C$13,3,1),
IF(J106&gt;0,VLOOKUP(J106,Foundation_Calc!$A$2:$C$13,3,1),""))</f>
        <v>Multi Soil</v>
      </c>
      <c r="AX106" s="449" t="str">
        <f>IF(C106&gt;0,VLOOKUP(C106,Foundation_Calc!$E$2:$G$33,3,1),
IF(J106&gt;0,VLOOKUP(J106,Foundation_Calc!$E$2:$G$33,3,1),""))</f>
        <v>PT</v>
      </c>
      <c r="AY106" s="10">
        <f>IF(L106="","",
IF(AX106="PT",VLOOKUP(L106,Foundation_Calc!$K$79:$R$113,VLOOKUP(AW106,Foundation_Calc!$I$2:$J$8,2,FALSE),0),
IF(AX106="K",VLOOKUP(L106,Foundation_Calc!$K$117:$R$151,VLOOKUP(AW106,Foundation_Calc!$I$2:$J$8,2,FALSE),0),"")))</f>
        <v>3.5</v>
      </c>
      <c r="AZ106" s="10" t="str">
        <f>IF(K106="","",
IF(AX106="PT",VLOOKUP(K106,Foundation_Calc!$K$79:$R$113,VLOOKUP(AW106,Foundation_Calc!$I$2:$J$8,2,FALSE),0),
IF(AX106="K",VLOOKUP(K106,Foundation_Calc!$K$117:$R$151,VLOOKUP(AW106,Foundation_Calc!$I$2:$J$8,2,FALSE),0),"")))</f>
        <v/>
      </c>
      <c r="BA106" s="495" t="str">
        <f t="shared" si="23"/>
        <v>ü</v>
      </c>
      <c r="BB106" s="495" t="str">
        <f t="shared" si="24"/>
        <v/>
      </c>
      <c r="BC106" s="495" t="str">
        <f t="shared" si="25"/>
        <v/>
      </c>
      <c r="BD106" s="513" t="str">
        <f>IF(AND(L106="",H106=""),"",
IF(H106="",Pole_Calc!A$9,
IF(H106="MP",Pole_Calc!A$10,
IF(H106="AnMP",Pole_Calc!A$11,
IF(H106="A",Pole_Calc!A$12,
IF(H106="S/A",Pole_Calc!A$13,
IF(H106="A/S",Pole_Calc!A$14,"Poner a mano")))))))</f>
        <v>App.7-V11I-P9.5.1.1</v>
      </c>
      <c r="BE106" s="429" t="s">
        <v>118</v>
      </c>
      <c r="BF106" s="289"/>
      <c r="BG106" s="289"/>
      <c r="BH106" s="290"/>
      <c r="BI106" s="289"/>
    </row>
    <row r="107" spans="1:61" ht="16.149999999999999" customHeight="1">
      <c r="A107" s="514"/>
      <c r="B107" s="450"/>
      <c r="C107" s="3"/>
      <c r="D107" s="83"/>
      <c r="E107" s="4"/>
      <c r="F107" s="4"/>
      <c r="G107" s="6">
        <v>62</v>
      </c>
      <c r="H107" s="449"/>
      <c r="I107" s="4"/>
      <c r="J107" s="3"/>
      <c r="K107" s="449"/>
      <c r="L107" s="449"/>
      <c r="M107" s="449" t="str">
        <f>IF(L107="","",
IF(AX107="PT",VLOOKUP(L107,Foundation_Calc!$V$79:$X$113,VLOOKUP(AX107,Foundation_Calc!$I$10:$J$13,2,FALSE),0),
IF(AX107="K",VLOOKUP(L107,Foundation_Calc!$V$117:$X$151,VLOOKUP(AX107,Foundation_Calc!$I$10:$J$13,2,FALSE),0),"")))</f>
        <v/>
      </c>
      <c r="N107" s="449"/>
      <c r="O107" s="449"/>
      <c r="P107" s="449"/>
      <c r="Q107" s="4"/>
      <c r="R107" s="6"/>
      <c r="S107" s="6"/>
      <c r="T107" s="4"/>
      <c r="U107" s="4"/>
      <c r="V107" s="4"/>
      <c r="W107" s="9"/>
      <c r="X107" s="9"/>
      <c r="Y107" s="9"/>
      <c r="Z107" s="9"/>
      <c r="AA107" s="9"/>
      <c r="AB107" s="9"/>
      <c r="AC107" s="449" t="str">
        <f t="shared" si="22"/>
        <v/>
      </c>
      <c r="AD107" s="449"/>
      <c r="AE107" s="449"/>
      <c r="AF107" s="4"/>
      <c r="AG107" s="83"/>
      <c r="AH107" s="4"/>
      <c r="AI107" s="4"/>
      <c r="AJ107" s="449"/>
      <c r="AK107" s="449"/>
      <c r="AL107" s="449"/>
      <c r="AM107" s="449"/>
      <c r="AN107" s="10"/>
      <c r="AO107" s="9"/>
      <c r="AP107" s="9"/>
      <c r="AQ107" s="9">
        <f>+FL_1($T$108,$T$106,$G$107,1200,9.28,-1*$F$108)</f>
        <v>0.45400350967741931</v>
      </c>
      <c r="AR107" s="9"/>
      <c r="AS107" s="9"/>
      <c r="AT107" s="9"/>
      <c r="AU107" s="428"/>
      <c r="AV107" s="428"/>
      <c r="AW107" s="449" t="str">
        <f>IF(C107&gt;0,VLOOKUP(C107,Foundation_Calc!$A$2:$C$13,3,1),
IF(J107&gt;0,VLOOKUP(J107,Foundation_Calc!$A$2:$C$13,3,1),""))</f>
        <v/>
      </c>
      <c r="AX107" s="449" t="str">
        <f>IF(C107&gt;0,VLOOKUP(C107,Foundation_Calc!$E$2:$G$33,3,1),
IF(J107&gt;0,VLOOKUP(J107,Foundation_Calc!$E$2:$G$33,3,1),""))</f>
        <v/>
      </c>
      <c r="AY107" s="10" t="str">
        <f>IF(L107="","",
IF(AX107="PT",VLOOKUP(L107,Foundation_Calc!$K$79:$R$113,VLOOKUP(AW107,Foundation_Calc!$I$2:$J$8,2,FALSE),0),
IF(AX107="K",VLOOKUP(L107,Foundation_Calc!$K$117:$R$151,VLOOKUP(AW107,Foundation_Calc!$I$2:$J$8,2,FALSE),0),"")))</f>
        <v/>
      </c>
      <c r="AZ107" s="10" t="str">
        <f>IF(K107="","",
IF(AX107="PT",VLOOKUP(K107,Foundation_Calc!$K$79:$R$113,VLOOKUP(AW107,Foundation_Calc!$I$2:$J$8,2,FALSE),0),
IF(AX107="K",VLOOKUP(K107,Foundation_Calc!$K$117:$R$151,VLOOKUP(AW107,Foundation_Calc!$I$2:$J$8,2,FALSE),0),"")))</f>
        <v/>
      </c>
      <c r="BA107" s="495" t="str">
        <f t="shared" si="23"/>
        <v/>
      </c>
      <c r="BB107" s="495" t="str">
        <f t="shared" si="24"/>
        <v/>
      </c>
      <c r="BC107" s="495" t="str">
        <f t="shared" si="25"/>
        <v/>
      </c>
      <c r="BD107" s="513" t="str">
        <f>IF(AND(L107="",H107=""),"",
IF(H107="",Pole_Calc!A$9,
IF(H107="MP",Pole_Calc!A$10,
IF(H107="AnMP",Pole_Calc!A$11,
IF(H107="A",Pole_Calc!A$12,
IF(H107="S/A",Pole_Calc!A$13,
IF(H107="A/S",Pole_Calc!A$14,"Poner a mano")))))))</f>
        <v/>
      </c>
      <c r="BE107" s="429" t="s">
        <v>118</v>
      </c>
      <c r="BF107" s="290"/>
      <c r="BG107" s="290"/>
      <c r="BH107" s="290"/>
      <c r="BI107" s="290"/>
    </row>
    <row r="108" spans="1:61" ht="16.149999999999999" customHeight="1">
      <c r="A108" s="514"/>
      <c r="B108" s="450" t="s">
        <v>212</v>
      </c>
      <c r="C108" s="3">
        <f>+$C$106+$G$107</f>
        <v>32846.65</v>
      </c>
      <c r="D108" s="83"/>
      <c r="E108" s="4"/>
      <c r="F108" s="4">
        <f>IF(C108&gt;0,VLOOKUP(C108,'ALIGNMENT TRACK'!$A$1:$K$81,9,1))</f>
        <v>0</v>
      </c>
      <c r="G108" s="6"/>
      <c r="H108" s="449"/>
      <c r="I108" s="4"/>
      <c r="J108" s="3"/>
      <c r="K108" s="449"/>
      <c r="L108" s="449" t="s">
        <v>153</v>
      </c>
      <c r="M108" s="449" t="str">
        <f>IF(L108="","",
IF(AX108="PT",VLOOKUP(L108,Foundation_Calc!$V$79:$X$113,VLOOKUP(AX108,Foundation_Calc!$I$10:$J$13,2,FALSE),0),
IF(AX108="K",VLOOKUP(L108,Foundation_Calc!$V$117:$X$151,VLOOKUP(AX108,Foundation_Calc!$I$10:$J$13,2,FALSE),0),"")))</f>
        <v>C3R</v>
      </c>
      <c r="N108" s="449" t="s">
        <v>134</v>
      </c>
      <c r="O108" s="449"/>
      <c r="P108" s="449"/>
      <c r="Q108" s="4"/>
      <c r="R108" s="6"/>
      <c r="S108" s="6"/>
      <c r="T108" s="4">
        <v>35</v>
      </c>
      <c r="U108" s="4"/>
      <c r="V108" s="4"/>
      <c r="W108" s="9">
        <v>1.4</v>
      </c>
      <c r="X108" s="9"/>
      <c r="Y108" s="9"/>
      <c r="Z108" s="9"/>
      <c r="AA108" s="9"/>
      <c r="AB108" s="9"/>
      <c r="AC108" s="449" t="str">
        <f t="shared" si="22"/>
        <v>PH</v>
      </c>
      <c r="AD108" s="449"/>
      <c r="AE108" s="449"/>
      <c r="AF108" s="4"/>
      <c r="AG108" s="83"/>
      <c r="AH108" s="4"/>
      <c r="AI108" s="4"/>
      <c r="AJ108" s="449"/>
      <c r="AK108" s="449"/>
      <c r="AL108" s="449"/>
      <c r="AM108" s="449" t="s">
        <v>126</v>
      </c>
      <c r="AN108" s="10">
        <v>5.5</v>
      </c>
      <c r="AO108" s="9"/>
      <c r="AP108" s="9"/>
      <c r="AQ108" s="9"/>
      <c r="AR108" s="9"/>
      <c r="AS108" s="9"/>
      <c r="AT108" s="9">
        <f>+ab($T$108,$T$106,$T$110,$G$107,$G$109,-1*$F$108,1200)</f>
        <v>8.4365744899000195</v>
      </c>
      <c r="AU108" s="428"/>
      <c r="AV108" s="428"/>
      <c r="AW108" s="449" t="str">
        <f>IF(C108&gt;0,VLOOKUP(C108,Foundation_Calc!$A$2:$C$13,3,1),
IF(J108&gt;0,VLOOKUP(J108,Foundation_Calc!$A$2:$C$13,3,1),""))</f>
        <v>Multi Soil</v>
      </c>
      <c r="AX108" s="449" t="str">
        <f>IF(C108&gt;0,VLOOKUP(C108,Foundation_Calc!$E$2:$G$33,3,1),
IF(J108&gt;0,VLOOKUP(J108,Foundation_Calc!$E$2:$G$33,3,1),""))</f>
        <v>PT</v>
      </c>
      <c r="AY108" s="10">
        <f>IF(L108="","",
IF(AX108="PT",VLOOKUP(L108,Foundation_Calc!$K$79:$R$113,VLOOKUP(AW108,Foundation_Calc!$I$2:$J$8,2,FALSE),0),
IF(AX108="K",VLOOKUP(L108,Foundation_Calc!$K$117:$R$151,VLOOKUP(AW108,Foundation_Calc!$I$2:$J$8,2,FALSE),0),"")))</f>
        <v>3.5</v>
      </c>
      <c r="AZ108" s="10" t="str">
        <f>IF(K108="","",
IF(AX108="PT",VLOOKUP(K108,Foundation_Calc!$K$79:$R$113,VLOOKUP(AW108,Foundation_Calc!$I$2:$J$8,2,FALSE),0),
IF(AX108="K",VLOOKUP(K108,Foundation_Calc!$K$117:$R$151,VLOOKUP(AW108,Foundation_Calc!$I$2:$J$8,2,FALSE),0),"")))</f>
        <v/>
      </c>
      <c r="BA108" s="495" t="str">
        <f t="shared" si="23"/>
        <v>ü</v>
      </c>
      <c r="BB108" s="495" t="str">
        <f t="shared" si="24"/>
        <v/>
      </c>
      <c r="BC108" s="495" t="str">
        <f t="shared" si="25"/>
        <v/>
      </c>
      <c r="BD108" s="513" t="str">
        <f>IF(AND(L108="",H108=""),"",
IF(H108="",Pole_Calc!A$9,
IF(H108="MP",Pole_Calc!A$10,
IF(H108="AnMP",Pole_Calc!A$11,
IF(H108="A",Pole_Calc!A$12,
IF(H108="S/A",Pole_Calc!A$13,
IF(H108="A/S",Pole_Calc!A$14,"Poner a mano")))))))</f>
        <v>App.7-V11I-P9.5.1.1</v>
      </c>
      <c r="BE108" s="429" t="s">
        <v>118</v>
      </c>
      <c r="BF108" s="289"/>
      <c r="BG108" s="289"/>
      <c r="BH108" s="290"/>
      <c r="BI108" s="289"/>
    </row>
    <row r="109" spans="1:61" ht="16.149999999999999" customHeight="1">
      <c r="A109" s="514"/>
      <c r="B109" s="450"/>
      <c r="C109" s="3"/>
      <c r="D109" s="83"/>
      <c r="E109" s="4"/>
      <c r="F109" s="4"/>
      <c r="G109" s="6">
        <v>62</v>
      </c>
      <c r="H109" s="449"/>
      <c r="I109" s="4"/>
      <c r="J109" s="3"/>
      <c r="K109" s="449"/>
      <c r="L109" s="449"/>
      <c r="M109" s="449" t="str">
        <f>IF(L109="","",
IF(AX109="PT",VLOOKUP(L109,Foundation_Calc!$V$79:$X$113,VLOOKUP(AX109,Foundation_Calc!$I$10:$J$13,2,FALSE),0),
IF(AX109="K",VLOOKUP(L109,Foundation_Calc!$V$117:$X$151,VLOOKUP(AX109,Foundation_Calc!$I$10:$J$13,2,FALSE),0),"")))</f>
        <v/>
      </c>
      <c r="N109" s="449"/>
      <c r="O109" s="449"/>
      <c r="P109" s="449"/>
      <c r="Q109" s="4"/>
      <c r="R109" s="6"/>
      <c r="S109" s="6"/>
      <c r="T109" s="4"/>
      <c r="U109" s="4"/>
      <c r="V109" s="4"/>
      <c r="W109" s="9"/>
      <c r="X109" s="9"/>
      <c r="Y109" s="9"/>
      <c r="Z109" s="9"/>
      <c r="AA109" s="9"/>
      <c r="AB109" s="9"/>
      <c r="AC109" s="449" t="str">
        <f t="shared" si="22"/>
        <v/>
      </c>
      <c r="AD109" s="449"/>
      <c r="AE109" s="449"/>
      <c r="AF109" s="4"/>
      <c r="AG109" s="83"/>
      <c r="AH109" s="4"/>
      <c r="AI109" s="4"/>
      <c r="AJ109" s="449"/>
      <c r="AK109" s="449"/>
      <c r="AL109" s="449"/>
      <c r="AM109" s="449"/>
      <c r="AN109" s="10"/>
      <c r="AO109" s="9"/>
      <c r="AP109" s="9"/>
      <c r="AQ109" s="9">
        <f>+FL_2($T$110,$T$108,$G$109,1200,9.28,-1*$F$110)</f>
        <v>-0.45400350967741931</v>
      </c>
      <c r="AR109" s="9"/>
      <c r="AS109" s="9"/>
      <c r="AT109" s="9"/>
      <c r="AU109" s="428"/>
      <c r="AV109" s="428"/>
      <c r="AW109" s="449" t="str">
        <f>IF(C109&gt;0,VLOOKUP(C109,Foundation_Calc!$A$2:$C$13,3,1),
IF(J109&gt;0,VLOOKUP(J109,Foundation_Calc!$A$2:$C$13,3,1),""))</f>
        <v/>
      </c>
      <c r="AX109" s="449" t="str">
        <f>IF(C109&gt;0,VLOOKUP(C109,Foundation_Calc!$E$2:$G$33,3,1),
IF(J109&gt;0,VLOOKUP(J109,Foundation_Calc!$E$2:$G$33,3,1),""))</f>
        <v/>
      </c>
      <c r="AY109" s="10" t="str">
        <f>IF(L109="","",
IF(AX109="PT",VLOOKUP(L109,Foundation_Calc!$K$79:$R$113,VLOOKUP(AW109,Foundation_Calc!$I$2:$J$8,2,FALSE),0),
IF(AX109="K",VLOOKUP(L109,Foundation_Calc!$K$117:$R$151,VLOOKUP(AW109,Foundation_Calc!$I$2:$J$8,2,FALSE),0),"")))</f>
        <v/>
      </c>
      <c r="AZ109" s="10" t="str">
        <f>IF(K109="","",
IF(AX109="PT",VLOOKUP(K109,Foundation_Calc!$K$79:$R$113,VLOOKUP(AW109,Foundation_Calc!$I$2:$J$8,2,FALSE),0),
IF(AX109="K",VLOOKUP(K109,Foundation_Calc!$K$117:$R$151,VLOOKUP(AW109,Foundation_Calc!$I$2:$J$8,2,FALSE),0),"")))</f>
        <v/>
      </c>
      <c r="BA109" s="495" t="str">
        <f t="shared" si="23"/>
        <v/>
      </c>
      <c r="BB109" s="495" t="str">
        <f t="shared" si="24"/>
        <v/>
      </c>
      <c r="BC109" s="495" t="str">
        <f t="shared" si="25"/>
        <v/>
      </c>
      <c r="BD109" s="513" t="str">
        <f>IF(AND(L109="",H109=""),"",
IF(H109="",Pole_Calc!A$9,
IF(H109="MP",Pole_Calc!A$10,
IF(H109="AnMP",Pole_Calc!A$11,
IF(H109="A",Pole_Calc!A$12,
IF(H109="S/A",Pole_Calc!A$13,
IF(H109="A/S",Pole_Calc!A$14,"Poner a mano")))))))</f>
        <v/>
      </c>
      <c r="BE109" s="429" t="s">
        <v>118</v>
      </c>
      <c r="BF109" s="290"/>
      <c r="BG109" s="290"/>
      <c r="BH109" s="290"/>
      <c r="BI109" s="290"/>
    </row>
    <row r="110" spans="1:61" ht="16.149999999999999" customHeight="1">
      <c r="A110" s="514"/>
      <c r="B110" s="450" t="s">
        <v>213</v>
      </c>
      <c r="C110" s="3">
        <f>+$C$108+$G$109</f>
        <v>32908.65</v>
      </c>
      <c r="D110" s="83"/>
      <c r="E110" s="4"/>
      <c r="F110" s="4">
        <f>IF(C110&gt;0,VLOOKUP(C110,'ALIGNMENT TRACK'!$A$1:$K$81,9,1))</f>
        <v>0</v>
      </c>
      <c r="G110" s="6"/>
      <c r="H110" s="449"/>
      <c r="I110" s="4"/>
      <c r="J110" s="3"/>
      <c r="K110" s="449"/>
      <c r="L110" s="449" t="s">
        <v>153</v>
      </c>
      <c r="M110" s="449" t="str">
        <f>IF(L110="","",
IF(AX110="PT",VLOOKUP(L110,Foundation_Calc!$V$79:$X$113,VLOOKUP(AX110,Foundation_Calc!$I$10:$J$13,2,FALSE),0),
IF(AX110="K",VLOOKUP(L110,Foundation_Calc!$V$117:$X$151,VLOOKUP(AX110,Foundation_Calc!$I$10:$J$13,2,FALSE),0),"")))</f>
        <v>C3R</v>
      </c>
      <c r="N110" s="449" t="s">
        <v>124</v>
      </c>
      <c r="O110" s="449"/>
      <c r="P110" s="449"/>
      <c r="Q110" s="4"/>
      <c r="R110" s="6"/>
      <c r="S110" s="6"/>
      <c r="T110" s="4">
        <v>-35</v>
      </c>
      <c r="U110" s="4"/>
      <c r="V110" s="4"/>
      <c r="W110" s="9">
        <v>1.4</v>
      </c>
      <c r="X110" s="9"/>
      <c r="Y110" s="9"/>
      <c r="Z110" s="9"/>
      <c r="AA110" s="9"/>
      <c r="AB110" s="9"/>
      <c r="AC110" s="449" t="str">
        <f t="shared" si="22"/>
        <v>PH</v>
      </c>
      <c r="AD110" s="449"/>
      <c r="AE110" s="449"/>
      <c r="AF110" s="4"/>
      <c r="AG110" s="83"/>
      <c r="AH110" s="4"/>
      <c r="AI110" s="4"/>
      <c r="AJ110" s="449"/>
      <c r="AK110" s="449"/>
      <c r="AL110" s="449"/>
      <c r="AM110" s="449" t="s">
        <v>126</v>
      </c>
      <c r="AN110" s="10">
        <v>5.5</v>
      </c>
      <c r="AO110" s="9"/>
      <c r="AP110" s="9"/>
      <c r="AQ110" s="9"/>
      <c r="AR110" s="9"/>
      <c r="AS110" s="9"/>
      <c r="AT110" s="9">
        <f>+ab($T$110,$T$108,$T$112,$G$109,$G$111,-1*$F$110,1200)</f>
        <v>-8.300256796512933</v>
      </c>
      <c r="AU110" s="428"/>
      <c r="AV110" s="428"/>
      <c r="AW110" s="449" t="str">
        <f>IF(C110&gt;0,VLOOKUP(C110,Foundation_Calc!$A$2:$C$13,3,1),
IF(J110&gt;0,VLOOKUP(J110,Foundation_Calc!$A$2:$C$13,3,1),""))</f>
        <v>Multi Soil</v>
      </c>
      <c r="AX110" s="449" t="str">
        <f>IF(C110&gt;0,VLOOKUP(C110,Foundation_Calc!$E$2:$G$33,3,1),
IF(J110&gt;0,VLOOKUP(J110,Foundation_Calc!$E$2:$G$33,3,1),""))</f>
        <v>PT</v>
      </c>
      <c r="AY110" s="10">
        <f>IF(L110="","",
IF(AX110="PT",VLOOKUP(L110,Foundation_Calc!$K$79:$R$113,VLOOKUP(AW110,Foundation_Calc!$I$2:$J$8,2,FALSE),0),
IF(AX110="K",VLOOKUP(L110,Foundation_Calc!$K$117:$R$151,VLOOKUP(AW110,Foundation_Calc!$I$2:$J$8,2,FALSE),0),"")))</f>
        <v>3.5</v>
      </c>
      <c r="AZ110" s="10" t="str">
        <f>IF(K110="","",
IF(AX110="PT",VLOOKUP(K110,Foundation_Calc!$K$79:$R$113,VLOOKUP(AW110,Foundation_Calc!$I$2:$J$8,2,FALSE),0),
IF(AX110="K",VLOOKUP(K110,Foundation_Calc!$K$117:$R$151,VLOOKUP(AW110,Foundation_Calc!$I$2:$J$8,2,FALSE),0),"")))</f>
        <v/>
      </c>
      <c r="BA110" s="495" t="str">
        <f t="shared" si="23"/>
        <v>ü</v>
      </c>
      <c r="BB110" s="495" t="str">
        <f t="shared" si="24"/>
        <v/>
      </c>
      <c r="BC110" s="495" t="str">
        <f t="shared" si="25"/>
        <v/>
      </c>
      <c r="BD110" s="513" t="str">
        <f>IF(AND(L110="",H110=""),"",
IF(H110="",Pole_Calc!A$9,
IF(H110="MP",Pole_Calc!A$10,
IF(H110="AnMP",Pole_Calc!A$11,
IF(H110="A",Pole_Calc!A$12,
IF(H110="S/A",Pole_Calc!A$13,
IF(H110="A/S",Pole_Calc!A$14,"Poner a mano")))))))</f>
        <v>App.7-V11I-P9.5.1.1</v>
      </c>
      <c r="BE110" s="429" t="s">
        <v>118</v>
      </c>
      <c r="BF110" s="289"/>
      <c r="BG110" s="289"/>
      <c r="BH110" s="290"/>
      <c r="BI110" s="289"/>
    </row>
    <row r="111" spans="1:61" ht="16.149999999999999" customHeight="1">
      <c r="A111" s="607" t="s">
        <v>169</v>
      </c>
      <c r="B111" s="536"/>
      <c r="C111" s="537"/>
      <c r="D111" s="538"/>
      <c r="E111" s="539"/>
      <c r="F111" s="539"/>
      <c r="G111" s="540">
        <v>60</v>
      </c>
      <c r="H111" s="541"/>
      <c r="I111" s="539"/>
      <c r="J111" s="537"/>
      <c r="K111" s="541"/>
      <c r="L111" s="449"/>
      <c r="M111" s="541" t="str">
        <f>IF(L111="","",
IF(AX111="PT",VLOOKUP(L111,Foundation_Calc!$V$79:$X$113,VLOOKUP(AX111,Foundation_Calc!$I$10:$J$13,2,FALSE),0),
IF(AX111="K",VLOOKUP(L111,Foundation_Calc!$V$117:$X$151,VLOOKUP(AX111,Foundation_Calc!$I$10:$J$13,2,FALSE),0),"")))</f>
        <v/>
      </c>
      <c r="N111" s="541"/>
      <c r="O111" s="541"/>
      <c r="P111" s="541"/>
      <c r="Q111" s="539"/>
      <c r="R111" s="540"/>
      <c r="S111" s="540"/>
      <c r="T111" s="539"/>
      <c r="U111" s="539"/>
      <c r="V111" s="539"/>
      <c r="W111" s="542"/>
      <c r="X111" s="542"/>
      <c r="Y111" s="542"/>
      <c r="Z111" s="542"/>
      <c r="AA111" s="542"/>
      <c r="AB111" s="542"/>
      <c r="AC111" s="541" t="str">
        <f t="shared" si="22"/>
        <v/>
      </c>
      <c r="AD111" s="541"/>
      <c r="AE111" s="541"/>
      <c r="AF111" s="539"/>
      <c r="AG111" s="538"/>
      <c r="AH111" s="539"/>
      <c r="AI111" s="539"/>
      <c r="AJ111" s="541"/>
      <c r="AK111" s="541"/>
      <c r="AL111" s="541"/>
      <c r="AM111" s="541"/>
      <c r="AN111" s="543"/>
      <c r="AO111" s="542"/>
      <c r="AP111" s="542"/>
      <c r="AQ111" s="542">
        <f>+FL_1($T$112,$T$110,$G$111,1200,9.28,-1*$F$112)</f>
        <v>0.43600286799999999</v>
      </c>
      <c r="AR111" s="542"/>
      <c r="AS111" s="542"/>
      <c r="AT111" s="542"/>
      <c r="AU111" s="544"/>
      <c r="AV111" s="544"/>
      <c r="AW111" s="541" t="str">
        <f>IF(C111&gt;0,VLOOKUP(C111,Foundation_Calc!$A$2:$C$13,3,1),
IF(J111&gt;0,VLOOKUP(J111,Foundation_Calc!$A$2:$C$13,3,1),""))</f>
        <v/>
      </c>
      <c r="AX111" s="541" t="str">
        <f>IF(C111&gt;0,VLOOKUP(C111,Foundation_Calc!$E$2:$G$33,3,1),
IF(J111&gt;0,VLOOKUP(J111,Foundation_Calc!$E$2:$G$33,3,1),""))</f>
        <v/>
      </c>
      <c r="AY111" s="543" t="str">
        <f>IF(L111="","",
IF(AX111="PT",VLOOKUP(L111,Foundation_Calc!$K$79:$R$113,VLOOKUP(AW111,Foundation_Calc!$I$2:$J$8,2,FALSE),0),
IF(AX111="K",VLOOKUP(L111,Foundation_Calc!$K$117:$R$151,VLOOKUP(AW111,Foundation_Calc!$I$2:$J$8,2,FALSE),0),"")))</f>
        <v/>
      </c>
      <c r="AZ111" s="543" t="str">
        <f>IF(K111="","",
IF(AX111="PT",VLOOKUP(K111,Foundation_Calc!$K$79:$R$113,VLOOKUP(AW111,Foundation_Calc!$I$2:$J$8,2,FALSE),0),
IF(AX111="K",VLOOKUP(K111,Foundation_Calc!$K$117:$R$151,VLOOKUP(AW111,Foundation_Calc!$I$2:$J$8,2,FALSE),0),"")))</f>
        <v/>
      </c>
      <c r="BA111" s="550" t="str">
        <f t="shared" si="23"/>
        <v/>
      </c>
      <c r="BB111" s="550" t="str">
        <f t="shared" si="24"/>
        <v/>
      </c>
      <c r="BC111" s="550" t="str">
        <f t="shared" si="25"/>
        <v/>
      </c>
      <c r="BD111" s="516" t="str">
        <f>IF(AND(L111="",H111=""),"",
IF(H111="",Pole_Calc!A$9,
IF(H111="MP",Pole_Calc!A$10,
IF(H111="AnMP",Pole_Calc!A$11,
IF(H111="A",Pole_Calc!A$12,
IF(H111="S/A",Pole_Calc!A$13,
IF(H111="A/S",Pole_Calc!A$14,"Poner a mano")))))))</f>
        <v/>
      </c>
      <c r="BE111" s="429" t="s">
        <v>118</v>
      </c>
      <c r="BF111" s="290"/>
      <c r="BG111" s="290"/>
      <c r="BH111" s="290"/>
      <c r="BI111" s="290"/>
    </row>
    <row r="112" spans="1:61" ht="16.149999999999999" customHeight="1">
      <c r="A112" s="514"/>
      <c r="B112" s="450" t="s">
        <v>214</v>
      </c>
      <c r="C112" s="3">
        <f>+$C$110+$G$111</f>
        <v>32968.65</v>
      </c>
      <c r="D112" s="83"/>
      <c r="E112" s="4"/>
      <c r="F112" s="4">
        <f>IF(C112&gt;0,VLOOKUP(C112,'ALIGNMENT TRACK'!$A$1:$K$81,9,1))</f>
        <v>0</v>
      </c>
      <c r="G112" s="6"/>
      <c r="H112" s="449"/>
      <c r="I112" s="4"/>
      <c r="J112" s="3"/>
      <c r="K112" s="449"/>
      <c r="L112" s="449" t="s">
        <v>153</v>
      </c>
      <c r="M112" s="449" t="str">
        <f>IF(L112="","",
IF(AX112="PT",VLOOKUP(L112,Foundation_Calc!$V$79:$X$113,VLOOKUP(AX112,Foundation_Calc!$I$10:$J$13,2,FALSE),0),
IF(AX112="K",VLOOKUP(L112,Foundation_Calc!$V$117:$X$151,VLOOKUP(AX112,Foundation_Calc!$I$10:$J$13,2,FALSE),0),"")))</f>
        <v>C3R</v>
      </c>
      <c r="N112" s="449" t="s">
        <v>134</v>
      </c>
      <c r="O112" s="449"/>
      <c r="P112" s="449"/>
      <c r="Q112" s="4"/>
      <c r="R112" s="6"/>
      <c r="S112" s="6"/>
      <c r="T112" s="4">
        <v>35</v>
      </c>
      <c r="U112" s="4"/>
      <c r="V112" s="4"/>
      <c r="W112" s="9">
        <v>1.4</v>
      </c>
      <c r="X112" s="9"/>
      <c r="Y112" s="9"/>
      <c r="Z112" s="9"/>
      <c r="AA112" s="9"/>
      <c r="AB112" s="9"/>
      <c r="AC112" s="449" t="str">
        <f t="shared" si="22"/>
        <v>PHQ</v>
      </c>
      <c r="AD112" s="449"/>
      <c r="AE112" s="449"/>
      <c r="AF112" s="4"/>
      <c r="AG112" s="83"/>
      <c r="AH112" s="4"/>
      <c r="AI112" s="4"/>
      <c r="AJ112" s="449"/>
      <c r="AK112" s="449"/>
      <c r="AL112" s="449"/>
      <c r="AM112" s="449" t="s">
        <v>126</v>
      </c>
      <c r="AN112" s="10">
        <v>5.5</v>
      </c>
      <c r="AO112" s="9"/>
      <c r="AP112" s="9"/>
      <c r="AQ112" s="9"/>
      <c r="AR112" s="9"/>
      <c r="AS112" s="9"/>
      <c r="AT112" s="9">
        <f>+ab($T$112,$T$110,$T$114,$G$111,$G$113,-1*$F$112,1200)</f>
        <v>7.6683863015994245</v>
      </c>
      <c r="AU112" s="428"/>
      <c r="AV112" s="428"/>
      <c r="AW112" s="449" t="str">
        <f>IF(C112&gt;0,VLOOKUP(C112,Foundation_Calc!$A$2:$C$13,3,1),
IF(J112&gt;0,VLOOKUP(J112,Foundation_Calc!$A$2:$C$13,3,1),""))</f>
        <v>Multi Soil</v>
      </c>
      <c r="AX112" s="449" t="str">
        <f>IF(C112&gt;0,VLOOKUP(C112,Foundation_Calc!$E$2:$G$33,3,1),
IF(J112&gt;0,VLOOKUP(J112,Foundation_Calc!$E$2:$G$33,3,1),""))</f>
        <v>PT</v>
      </c>
      <c r="AY112" s="10">
        <f>IF(L112="","",
IF(AX112="PT",VLOOKUP(L112,Foundation_Calc!$K$79:$R$113,VLOOKUP(AW112,Foundation_Calc!$I$2:$J$8,2,FALSE),0),
IF(AX112="K",VLOOKUP(L112,Foundation_Calc!$K$117:$R$151,VLOOKUP(AW112,Foundation_Calc!$I$2:$J$8,2,FALSE),0),"")))</f>
        <v>3.5</v>
      </c>
      <c r="AZ112" s="10" t="str">
        <f>IF(K112="","",
IF(AX112="PT",VLOOKUP(K112,Foundation_Calc!$K$79:$R$113,VLOOKUP(AW112,Foundation_Calc!$I$2:$J$8,2,FALSE),0),
IF(AX112="K",VLOOKUP(K112,Foundation_Calc!$K$117:$R$151,VLOOKUP(AW112,Foundation_Calc!$I$2:$J$8,2,FALSE),0),"")))</f>
        <v/>
      </c>
      <c r="BA112" s="495" t="str">
        <f t="shared" si="23"/>
        <v>ü</v>
      </c>
      <c r="BB112" s="495" t="str">
        <f t="shared" si="24"/>
        <v/>
      </c>
      <c r="BC112" s="495" t="str">
        <f t="shared" si="25"/>
        <v/>
      </c>
      <c r="BD112" s="513" t="str">
        <f>IF(AND(L112="",H112=""),"",
IF(H112="",Pole_Calc!A$9,
IF(H112="MP",Pole_Calc!A$10,
IF(H112="AnMP",Pole_Calc!A$11,
IF(H112="A",Pole_Calc!A$12,
IF(H112="S/A",Pole_Calc!A$13,
IF(H112="A/S",Pole_Calc!A$14,"Poner a mano")))))))</f>
        <v>App.7-V11I-P9.5.1.1</v>
      </c>
      <c r="BE112" s="429" t="s">
        <v>118</v>
      </c>
      <c r="BF112" s="289"/>
      <c r="BG112" s="289"/>
      <c r="BH112" s="290"/>
      <c r="BI112" s="289"/>
    </row>
    <row r="113" spans="1:61" ht="16.149999999999999" customHeight="1">
      <c r="A113" s="514"/>
      <c r="B113" s="450"/>
      <c r="C113" s="3"/>
      <c r="D113" s="83"/>
      <c r="E113" s="4"/>
      <c r="F113" s="4"/>
      <c r="G113" s="6">
        <v>53</v>
      </c>
      <c r="H113" s="449"/>
      <c r="I113" s="4"/>
      <c r="J113" s="3"/>
      <c r="K113" s="449"/>
      <c r="L113" s="449"/>
      <c r="M113" s="449" t="str">
        <f>IF(L113="","",
IF(AX113="PT",VLOOKUP(L113,Foundation_Calc!$V$79:$X$113,VLOOKUP(AX113,Foundation_Calc!$I$10:$J$13,2,FALSE),0),
IF(AX113="K",VLOOKUP(L113,Foundation_Calc!$V$117:$X$151,VLOOKUP(AX113,Foundation_Calc!$I$10:$J$13,2,FALSE),0),"")))</f>
        <v/>
      </c>
      <c r="N113" s="449"/>
      <c r="O113" s="449"/>
      <c r="P113" s="449"/>
      <c r="Q113" s="4"/>
      <c r="R113" s="6"/>
      <c r="S113" s="6"/>
      <c r="T113" s="4"/>
      <c r="U113" s="4"/>
      <c r="V113" s="4"/>
      <c r="W113" s="9"/>
      <c r="X113" s="9"/>
      <c r="Y113" s="9"/>
      <c r="Z113" s="9"/>
      <c r="AA113" s="9"/>
      <c r="AB113" s="9"/>
      <c r="AC113" s="449" t="str">
        <f t="shared" si="22"/>
        <v/>
      </c>
      <c r="AD113" s="449"/>
      <c r="AE113" s="449"/>
      <c r="AF113" s="4"/>
      <c r="AG113" s="83"/>
      <c r="AH113" s="4"/>
      <c r="AI113" s="4"/>
      <c r="AJ113" s="449"/>
      <c r="AK113" s="449"/>
      <c r="AL113" s="449"/>
      <c r="AM113" s="449"/>
      <c r="AN113" s="10"/>
      <c r="AO113" s="9"/>
      <c r="AP113" s="9"/>
      <c r="AQ113" s="9">
        <f>+FL_1($T$114,$T$112,$G$113,1200,9.28,-1*$F$114)</f>
        <v>0.38432069766037741</v>
      </c>
      <c r="AR113" s="9"/>
      <c r="AS113" s="9"/>
      <c r="AT113" s="9"/>
      <c r="AU113" s="428"/>
      <c r="AV113" s="428"/>
      <c r="AW113" s="449" t="str">
        <f>IF(C113&gt;0,VLOOKUP(C113,Foundation_Calc!$A$2:$C$13,3,1),
IF(J113&gt;0,VLOOKUP(J113,Foundation_Calc!$A$2:$C$13,3,1),""))</f>
        <v/>
      </c>
      <c r="AX113" s="449" t="str">
        <f>IF(C113&gt;0,VLOOKUP(C113,Foundation_Calc!$E$2:$G$33,3,1),
IF(J113&gt;0,VLOOKUP(J113,Foundation_Calc!$E$2:$G$33,3,1),""))</f>
        <v/>
      </c>
      <c r="AY113" s="10" t="str">
        <f>IF(L113="","",
IF(AX113="PT",VLOOKUP(L113,Foundation_Calc!$K$79:$R$113,VLOOKUP(AW113,Foundation_Calc!$I$2:$J$8,2,FALSE),0),
IF(AX113="K",VLOOKUP(L113,Foundation_Calc!$K$117:$R$151,VLOOKUP(AW113,Foundation_Calc!$I$2:$J$8,2,FALSE),0),"")))</f>
        <v/>
      </c>
      <c r="AZ113" s="10" t="str">
        <f>IF(K113="","",
IF(AX113="PT",VLOOKUP(K113,Foundation_Calc!$K$79:$R$113,VLOOKUP(AW113,Foundation_Calc!$I$2:$J$8,2,FALSE),0),
IF(AX113="K",VLOOKUP(K113,Foundation_Calc!$K$117:$R$151,VLOOKUP(AW113,Foundation_Calc!$I$2:$J$8,2,FALSE),0),"")))</f>
        <v/>
      </c>
      <c r="BA113" s="495" t="str">
        <f t="shared" si="23"/>
        <v/>
      </c>
      <c r="BB113" s="495" t="str">
        <f t="shared" si="24"/>
        <v/>
      </c>
      <c r="BC113" s="495" t="str">
        <f t="shared" si="25"/>
        <v/>
      </c>
      <c r="BD113" s="513" t="str">
        <f>IF(AND(L113="",H113=""),"",
IF(H113="",Pole_Calc!A$9,
IF(H113="MP",Pole_Calc!A$10,
IF(H113="AnMP",Pole_Calc!A$11,
IF(H113="A",Pole_Calc!A$12,
IF(H113="S/A",Pole_Calc!A$13,
IF(H113="A/S",Pole_Calc!A$14,"Poner a mano")))))))</f>
        <v/>
      </c>
      <c r="BE113" s="429" t="s">
        <v>118</v>
      </c>
      <c r="BF113" s="290"/>
      <c r="BG113" s="290"/>
      <c r="BH113" s="290"/>
      <c r="BI113" s="290"/>
    </row>
    <row r="114" spans="1:61" ht="16.149999999999999" customHeight="1">
      <c r="A114" s="514"/>
      <c r="B114" s="450" t="s">
        <v>215</v>
      </c>
      <c r="C114" s="3">
        <f>+$C$112+$G$113</f>
        <v>33021.65</v>
      </c>
      <c r="D114" s="83"/>
      <c r="E114" s="4"/>
      <c r="F114" s="4">
        <f>IF(C114&gt;0,VLOOKUP(C114,'ALIGNMENT TRACK'!$A$1:$K$81,9,1))</f>
        <v>0</v>
      </c>
      <c r="G114" s="6"/>
      <c r="H114" s="449"/>
      <c r="I114" s="4"/>
      <c r="J114" s="3"/>
      <c r="K114" s="449"/>
      <c r="L114" s="449" t="s">
        <v>153</v>
      </c>
      <c r="M114" s="449" t="str">
        <f>IF(L114="","",
IF(AX114="PT",VLOOKUP(L114,Foundation_Calc!$V$79:$X$113,VLOOKUP(AX114,Foundation_Calc!$I$10:$J$13,2,FALSE),0),
IF(AX114="K",VLOOKUP(L114,Foundation_Calc!$V$117:$X$151,VLOOKUP(AX114,Foundation_Calc!$I$10:$J$13,2,FALSE),0),"")))</f>
        <v>C3R</v>
      </c>
      <c r="N114" s="449" t="s">
        <v>124</v>
      </c>
      <c r="O114" s="449"/>
      <c r="P114" s="449"/>
      <c r="Q114" s="4"/>
      <c r="R114" s="6"/>
      <c r="S114" s="6"/>
      <c r="T114" s="4">
        <v>-35</v>
      </c>
      <c r="U114" s="4"/>
      <c r="V114" s="4"/>
      <c r="W114" s="9">
        <v>1.4</v>
      </c>
      <c r="X114" s="9"/>
      <c r="Y114" s="9"/>
      <c r="Z114" s="9"/>
      <c r="AA114" s="9"/>
      <c r="AB114" s="9"/>
      <c r="AC114" s="449" t="str">
        <f t="shared" si="22"/>
        <v>PHQ</v>
      </c>
      <c r="AD114" s="449"/>
      <c r="AE114" s="449"/>
      <c r="AF114" s="4"/>
      <c r="AG114" s="83"/>
      <c r="AH114" s="4"/>
      <c r="AI114" s="4"/>
      <c r="AJ114" s="449"/>
      <c r="AK114" s="449"/>
      <c r="AL114" s="449"/>
      <c r="AM114" s="449" t="s">
        <v>126</v>
      </c>
      <c r="AN114" s="10">
        <v>5.5</v>
      </c>
      <c r="AO114" s="9"/>
      <c r="AP114" s="9"/>
      <c r="AQ114" s="9"/>
      <c r="AR114" s="9"/>
      <c r="AS114" s="9"/>
      <c r="AT114" s="9">
        <f>+ab($T$114,$T$112,$T$116,$G$113,$G$115,-1*$F$114,1200)</f>
        <v>-7.2327048082747183</v>
      </c>
      <c r="AU114" s="428"/>
      <c r="AV114" s="428"/>
      <c r="AW114" s="449" t="str">
        <f>IF(C114&gt;0,VLOOKUP(C114,Foundation_Calc!$A$2:$C$13,3,1),
IF(J114&gt;0,VLOOKUP(J114,Foundation_Calc!$A$2:$C$13,3,1),""))</f>
        <v>Multi Soil</v>
      </c>
      <c r="AX114" s="449" t="str">
        <f>IF(C114&gt;0,VLOOKUP(C114,Foundation_Calc!$E$2:$G$33,3,1),
IF(J114&gt;0,VLOOKUP(J114,Foundation_Calc!$E$2:$G$33,3,1),""))</f>
        <v>PT</v>
      </c>
      <c r="AY114" s="10">
        <f>IF(L114="","",
IF(AX114="PT",VLOOKUP(L114,Foundation_Calc!$K$79:$R$113,VLOOKUP(AW114,Foundation_Calc!$I$2:$J$8,2,FALSE),0),
IF(AX114="K",VLOOKUP(L114,Foundation_Calc!$K$117:$R$151,VLOOKUP(AW114,Foundation_Calc!$I$2:$J$8,2,FALSE),0),"")))</f>
        <v>3.5</v>
      </c>
      <c r="AZ114" s="10" t="str">
        <f>IF(K114="","",
IF(AX114="PT",VLOOKUP(K114,Foundation_Calc!$K$79:$R$113,VLOOKUP(AW114,Foundation_Calc!$I$2:$J$8,2,FALSE),0),
IF(AX114="K",VLOOKUP(K114,Foundation_Calc!$K$117:$R$151,VLOOKUP(AW114,Foundation_Calc!$I$2:$J$8,2,FALSE),0),"")))</f>
        <v/>
      </c>
      <c r="BA114" s="495" t="str">
        <f t="shared" si="23"/>
        <v>ü</v>
      </c>
      <c r="BB114" s="495" t="str">
        <f t="shared" si="24"/>
        <v/>
      </c>
      <c r="BC114" s="495" t="str">
        <f t="shared" si="25"/>
        <v/>
      </c>
      <c r="BD114" s="513" t="str">
        <f>IF(AND(L114="",H114=""),"",
IF(H114="",Pole_Calc!A$9,
IF(H114="MP",Pole_Calc!A$10,
IF(H114="AnMP",Pole_Calc!A$11,
IF(H114="A",Pole_Calc!A$12,
IF(H114="S/A",Pole_Calc!A$13,
IF(H114="A/S",Pole_Calc!A$14,"Poner a mano")))))))</f>
        <v>App.7-V11I-P9.5.1.1</v>
      </c>
      <c r="BE114" s="429" t="s">
        <v>118</v>
      </c>
      <c r="BF114" s="289"/>
      <c r="BG114" s="289"/>
      <c r="BH114" s="290"/>
      <c r="BI114" s="289"/>
    </row>
    <row r="115" spans="1:61" ht="16.149999999999999" customHeight="1">
      <c r="A115" s="514"/>
      <c r="B115" s="450"/>
      <c r="C115" s="3"/>
      <c r="D115" s="83"/>
      <c r="E115" s="4"/>
      <c r="F115" s="4"/>
      <c r="G115" s="6">
        <v>53.1</v>
      </c>
      <c r="H115" s="449"/>
      <c r="I115" s="4"/>
      <c r="J115" s="3"/>
      <c r="K115" s="449"/>
      <c r="L115" s="449"/>
      <c r="M115" s="449" t="str">
        <f>IF(L115="","",
IF(AX115="PT",VLOOKUP(L115,Foundation_Calc!$V$79:$X$113,VLOOKUP(AX115,Foundation_Calc!$I$10:$J$13,2,FALSE),0),
IF(AX115="K",VLOOKUP(L115,Foundation_Calc!$V$117:$X$151,VLOOKUP(AX115,Foundation_Calc!$I$10:$J$13,2,FALSE),0),"")))</f>
        <v/>
      </c>
      <c r="N115" s="449"/>
      <c r="O115" s="449"/>
      <c r="P115" s="449"/>
      <c r="Q115" s="4"/>
      <c r="R115" s="6"/>
      <c r="S115" s="6"/>
      <c r="T115" s="4"/>
      <c r="U115" s="4"/>
      <c r="V115" s="4"/>
      <c r="W115" s="9"/>
      <c r="X115" s="9"/>
      <c r="Y115" s="9"/>
      <c r="Z115" s="9"/>
      <c r="AA115" s="9"/>
      <c r="AB115" s="9"/>
      <c r="AC115" s="449" t="str">
        <f t="shared" si="22"/>
        <v/>
      </c>
      <c r="AD115" s="449"/>
      <c r="AE115" s="449"/>
      <c r="AF115" s="4"/>
      <c r="AG115" s="83"/>
      <c r="AH115" s="4"/>
      <c r="AI115" s="4"/>
      <c r="AJ115" s="449"/>
      <c r="AK115" s="449"/>
      <c r="AL115" s="449"/>
      <c r="AM115" s="449"/>
      <c r="AN115" s="10"/>
      <c r="AO115" s="9"/>
      <c r="AP115" s="9"/>
      <c r="AQ115" s="9">
        <f>+FL_1($T$116,$T$114,$G$115,1200,9.28,-1*$F$116)</f>
        <v>0.38492192843691148</v>
      </c>
      <c r="AR115" s="9"/>
      <c r="AS115" s="9"/>
      <c r="AT115" s="9"/>
      <c r="AU115" s="428"/>
      <c r="AV115" s="428"/>
      <c r="AW115" s="449" t="str">
        <f>IF(C115&gt;0,VLOOKUP(C115,Foundation_Calc!$A$2:$C$13,3,1),
IF(J115&gt;0,VLOOKUP(J115,Foundation_Calc!$A$2:$C$13,3,1),""))</f>
        <v/>
      </c>
      <c r="AX115" s="449" t="str">
        <f>IF(C115&gt;0,VLOOKUP(C115,Foundation_Calc!$E$2:$G$33,3,1),
IF(J115&gt;0,VLOOKUP(J115,Foundation_Calc!$E$2:$G$33,3,1),""))</f>
        <v/>
      </c>
      <c r="AY115" s="10" t="str">
        <f>IF(L115="","",
IF(AX115="PT",VLOOKUP(L115,Foundation_Calc!$K$79:$R$113,VLOOKUP(AW115,Foundation_Calc!$I$2:$J$8,2,FALSE),0),
IF(AX115="K",VLOOKUP(L115,Foundation_Calc!$K$117:$R$151,VLOOKUP(AW115,Foundation_Calc!$I$2:$J$8,2,FALSE),0),"")))</f>
        <v/>
      </c>
      <c r="AZ115" s="10" t="str">
        <f>IF(K115="","",
IF(AX115="PT",VLOOKUP(K115,Foundation_Calc!$K$79:$R$113,VLOOKUP(AW115,Foundation_Calc!$I$2:$J$8,2,FALSE),0),
IF(AX115="K",VLOOKUP(K115,Foundation_Calc!$K$117:$R$151,VLOOKUP(AW115,Foundation_Calc!$I$2:$J$8,2,FALSE),0),"")))</f>
        <v/>
      </c>
      <c r="BA115" s="495" t="str">
        <f t="shared" si="23"/>
        <v/>
      </c>
      <c r="BB115" s="495" t="str">
        <f t="shared" si="24"/>
        <v/>
      </c>
      <c r="BC115" s="495" t="str">
        <f t="shared" si="25"/>
        <v/>
      </c>
      <c r="BD115" s="513" t="str">
        <f>IF(AND(L115="",H115=""),"",
IF(H115="",Pole_Calc!A$9,
IF(H115="MP",Pole_Calc!A$10,
IF(H115="AnMP",Pole_Calc!A$11,
IF(H115="A",Pole_Calc!A$12,
IF(H115="S/A",Pole_Calc!A$13,
IF(H115="A/S",Pole_Calc!A$14,"Poner a mano")))))))</f>
        <v/>
      </c>
      <c r="BE115" s="429" t="s">
        <v>118</v>
      </c>
      <c r="BF115" s="290"/>
      <c r="BG115" s="290"/>
      <c r="BH115" s="290"/>
      <c r="BI115" s="290"/>
    </row>
    <row r="116" spans="1:61" ht="16.149999999999999" customHeight="1">
      <c r="A116" s="514"/>
      <c r="B116" s="450" t="s">
        <v>216</v>
      </c>
      <c r="C116" s="3">
        <f>+$C$114+$G$115</f>
        <v>33074.75</v>
      </c>
      <c r="D116" s="83"/>
      <c r="E116" s="4"/>
      <c r="F116" s="4">
        <f>IF(C116&gt;0,VLOOKUP(C116,'ALIGNMENT TRACK'!$A$1:$K$81,9,1))</f>
        <v>0</v>
      </c>
      <c r="G116" s="6"/>
      <c r="H116" s="449"/>
      <c r="I116" s="4"/>
      <c r="J116" s="3"/>
      <c r="K116" s="449"/>
      <c r="L116" s="449" t="s">
        <v>153</v>
      </c>
      <c r="M116" s="449" t="str">
        <f>IF(L116="","",
IF(AX116="PT",VLOOKUP(L116,Foundation_Calc!$V$79:$X$113,VLOOKUP(AX116,Foundation_Calc!$I$10:$J$13,2,FALSE),0),
IF(AX116="K",VLOOKUP(L116,Foundation_Calc!$V$117:$X$151,VLOOKUP(AX116,Foundation_Calc!$I$10:$J$13,2,FALSE),0),"")))</f>
        <v>C3R</v>
      </c>
      <c r="N116" s="449" t="s">
        <v>134</v>
      </c>
      <c r="O116" s="449"/>
      <c r="P116" s="449"/>
      <c r="Q116" s="4"/>
      <c r="R116" s="6"/>
      <c r="S116" s="6"/>
      <c r="T116" s="4">
        <v>35</v>
      </c>
      <c r="U116" s="4"/>
      <c r="V116" s="4"/>
      <c r="W116" s="9">
        <v>1.4</v>
      </c>
      <c r="X116" s="9"/>
      <c r="Y116" s="9"/>
      <c r="Z116" s="9"/>
      <c r="AA116" s="9"/>
      <c r="AB116" s="9"/>
      <c r="AC116" s="449" t="str">
        <f t="shared" si="22"/>
        <v>PHQ</v>
      </c>
      <c r="AD116" s="449"/>
      <c r="AE116" s="449"/>
      <c r="AF116" s="4"/>
      <c r="AG116" s="83"/>
      <c r="AH116" s="4"/>
      <c r="AI116" s="4"/>
      <c r="AJ116" s="449"/>
      <c r="AK116" s="449"/>
      <c r="AL116" s="449"/>
      <c r="AM116" s="449" t="s">
        <v>126</v>
      </c>
      <c r="AN116" s="10">
        <v>5.5</v>
      </c>
      <c r="AO116" s="9"/>
      <c r="AP116" s="9"/>
      <c r="AQ116" s="9"/>
      <c r="AR116" s="9"/>
      <c r="AS116" s="9"/>
      <c r="AT116" s="9">
        <f>+ab($T$116,$T$114,$T$118,$G$115,$G$117,-1*$F$116,1200)</f>
        <v>7.6759704777084679</v>
      </c>
      <c r="AU116" s="428"/>
      <c r="AV116" s="428"/>
      <c r="AW116" s="449" t="str">
        <f>IF(C116&gt;0,VLOOKUP(C116,Foundation_Calc!$A$2:$C$13,3,1),
IF(J116&gt;0,VLOOKUP(J116,Foundation_Calc!$A$2:$C$13,3,1),""))</f>
        <v>Multi Soil</v>
      </c>
      <c r="AX116" s="449" t="str">
        <f>IF(C116&gt;0,VLOOKUP(C116,Foundation_Calc!$E$2:$G$33,3,1),
IF(J116&gt;0,VLOOKUP(J116,Foundation_Calc!$E$2:$G$33,3,1),""))</f>
        <v>PT</v>
      </c>
      <c r="AY116" s="10">
        <f>IF(L116="","",
IF(AX116="PT",VLOOKUP(L116,Foundation_Calc!$K$79:$R$113,VLOOKUP(AW116,Foundation_Calc!$I$2:$J$8,2,FALSE),0),
IF(AX116="K",VLOOKUP(L116,Foundation_Calc!$K$117:$R$151,VLOOKUP(AW116,Foundation_Calc!$I$2:$J$8,2,FALSE),0),"")))</f>
        <v>3.5</v>
      </c>
      <c r="AZ116" s="10" t="str">
        <f>IF(K116="","",
IF(AX116="PT",VLOOKUP(K116,Foundation_Calc!$K$79:$R$113,VLOOKUP(AW116,Foundation_Calc!$I$2:$J$8,2,FALSE),0),
IF(AX116="K",VLOOKUP(K116,Foundation_Calc!$K$117:$R$151,VLOOKUP(AW116,Foundation_Calc!$I$2:$J$8,2,FALSE),0),"")))</f>
        <v/>
      </c>
      <c r="BA116" s="495" t="str">
        <f t="shared" si="23"/>
        <v>ü</v>
      </c>
      <c r="BB116" s="495" t="str">
        <f t="shared" si="24"/>
        <v/>
      </c>
      <c r="BC116" s="495" t="str">
        <f t="shared" si="25"/>
        <v/>
      </c>
      <c r="BD116" s="513" t="str">
        <f>IF(AND(L116="",H116=""),"",
IF(H116="",Pole_Calc!A$9,
IF(H116="MP",Pole_Calc!A$10,
IF(H116="AnMP",Pole_Calc!A$11,
IF(H116="A",Pole_Calc!A$12,
IF(H116="S/A",Pole_Calc!A$13,
IF(H116="A/S",Pole_Calc!A$14,"Poner a mano")))))))</f>
        <v>App.7-V11I-P9.5.1.1</v>
      </c>
      <c r="BE116" s="429" t="s">
        <v>118</v>
      </c>
      <c r="BF116" s="289"/>
      <c r="BG116" s="289"/>
      <c r="BH116" s="290"/>
      <c r="BI116" s="289"/>
    </row>
    <row r="117" spans="1:61" ht="16.149999999999999" customHeight="1">
      <c r="A117" s="514"/>
      <c r="B117" s="450"/>
      <c r="C117" s="3"/>
      <c r="D117" s="83"/>
      <c r="E117" s="4"/>
      <c r="F117" s="4"/>
      <c r="G117" s="6">
        <v>60</v>
      </c>
      <c r="H117" s="449"/>
      <c r="I117" s="4"/>
      <c r="J117" s="3">
        <f>C118-7.5</f>
        <v>33127.25</v>
      </c>
      <c r="K117" s="449" t="s">
        <v>166</v>
      </c>
      <c r="L117" s="449"/>
      <c r="M117" s="449" t="str">
        <f>IF(L117="","",
IF(AX117="PT",VLOOKUP(L117,Foundation_Calc!$V$79:$X$113,VLOOKUP(AX117,Foundation_Calc!$I$10:$J$13,2,FALSE),0),
IF(AX117="K",VLOOKUP(L117,Foundation_Calc!$V$117:$X$151,VLOOKUP(AX117,Foundation_Calc!$I$10:$J$13,2,FALSE),0),"")))</f>
        <v/>
      </c>
      <c r="N117" s="449"/>
      <c r="O117" s="449"/>
      <c r="P117" s="449"/>
      <c r="Q117" s="4"/>
      <c r="R117" s="6"/>
      <c r="S117" s="6"/>
      <c r="T117" s="4"/>
      <c r="U117" s="4"/>
      <c r="V117" s="4"/>
      <c r="W117" s="9"/>
      <c r="X117" s="9"/>
      <c r="Y117" s="9"/>
      <c r="Z117" s="9"/>
      <c r="AA117" s="9"/>
      <c r="AB117" s="9"/>
      <c r="AC117" s="449" t="str">
        <f t="shared" si="22"/>
        <v/>
      </c>
      <c r="AD117" s="449"/>
      <c r="AE117" s="449"/>
      <c r="AF117" s="4"/>
      <c r="AG117" s="83"/>
      <c r="AH117" s="4"/>
      <c r="AI117" s="4"/>
      <c r="AJ117" s="449"/>
      <c r="AK117" s="449"/>
      <c r="AL117" s="449"/>
      <c r="AM117" s="449"/>
      <c r="AN117" s="10"/>
      <c r="AO117" s="9"/>
      <c r="AP117" s="9"/>
      <c r="AQ117" s="9">
        <f>+FL_2($T$118,$T$116,$G$117,1200,9.28,-1*$F$118)</f>
        <v>-0.43600286799999999</v>
      </c>
      <c r="AR117" s="9"/>
      <c r="AS117" s="9"/>
      <c r="AT117" s="9"/>
      <c r="AU117" s="428"/>
      <c r="AV117" s="428"/>
      <c r="AW117" s="449" t="str">
        <f>IF(C117&gt;0,VLOOKUP(C117,Foundation_Calc!$A$2:$C$13,3,1),
IF(J117&gt;0,VLOOKUP(J117,Foundation_Calc!$A$2:$C$13,3,1),""))</f>
        <v>Multi Soil</v>
      </c>
      <c r="AX117" s="449" t="str">
        <f>IF(C117&gt;0,VLOOKUP(C117,Foundation_Calc!$E$2:$G$33,3,1),
IF(J117&gt;0,VLOOKUP(J117,Foundation_Calc!$E$2:$G$33,3,1),""))</f>
        <v>PT</v>
      </c>
      <c r="AY117" s="10" t="str">
        <f>IF(L117="","",
IF(AX117="PT",VLOOKUP(L117,Foundation_Calc!$K$79:$R$113,VLOOKUP(AW117,Foundation_Calc!$I$2:$J$8,2,FALSE),0),
IF(AX117="K",VLOOKUP(L117,Foundation_Calc!$K$117:$R$151,VLOOKUP(AW117,Foundation_Calc!$I$2:$J$8,2,FALSE),0),"")))</f>
        <v/>
      </c>
      <c r="AZ117" s="10">
        <f>IF(K117="","",
IF(AX117="PT",VLOOKUP(K117,Foundation_Calc!$K$79:$R$113,VLOOKUP(AW117,Foundation_Calc!$I$2:$J$8,2,FALSE),0),
IF(AX117="K",VLOOKUP(K117,Foundation_Calc!$K$117:$R$151,VLOOKUP(AW117,Foundation_Calc!$I$2:$J$8,2,FALSE),0),"")))</f>
        <v>2.8</v>
      </c>
      <c r="BA117" s="495" t="str">
        <f t="shared" si="23"/>
        <v/>
      </c>
      <c r="BB117" s="495" t="str">
        <f t="shared" si="24"/>
        <v>ü</v>
      </c>
      <c r="BC117" s="495" t="str">
        <f t="shared" si="25"/>
        <v/>
      </c>
      <c r="BD117" s="513" t="str">
        <f>IF(AND(L117="",H117=""),"",
IF(H117="",Pole_Calc!A$9,
IF(H117="MP",Pole_Calc!A$10,
IF(H117="AnMP",Pole_Calc!A$11,
IF(H117="A",Pole_Calc!A$12,
IF(H117="S/A",Pole_Calc!A$13,
IF(H117="A/S",Pole_Calc!A$14,"Poner a mano")))))))</f>
        <v/>
      </c>
      <c r="BE117" s="429" t="s">
        <v>118</v>
      </c>
      <c r="BF117" s="290"/>
      <c r="BG117" s="290"/>
      <c r="BH117" s="290"/>
      <c r="BI117" s="290"/>
    </row>
    <row r="118" spans="1:61" ht="16.149999999999999" customHeight="1">
      <c r="A118" s="514"/>
      <c r="B118" s="450" t="s">
        <v>217</v>
      </c>
      <c r="C118" s="3">
        <f>+$C$116+$G$117</f>
        <v>33134.75</v>
      </c>
      <c r="D118" s="83"/>
      <c r="E118" s="4"/>
      <c r="F118" s="4">
        <f>IF(C118&gt;0,VLOOKUP(C118,'ALIGNMENT TRACK'!$A$1:$K$81,9,1))</f>
        <v>0</v>
      </c>
      <c r="G118" s="6"/>
      <c r="H118" s="449" t="s">
        <v>168</v>
      </c>
      <c r="I118" s="4"/>
      <c r="J118" s="3"/>
      <c r="K118" s="449"/>
      <c r="L118" s="449" t="s">
        <v>158</v>
      </c>
      <c r="M118" s="449" t="str">
        <f>IF(L118="","",
IF(AX118="PT",VLOOKUP(L118,Foundation_Calc!$V$79:$X$113,VLOOKUP(AX118,Foundation_Calc!$I$10:$J$13,2,FALSE),0),
IF(AX118="K",VLOOKUP(L118,Foundation_Calc!$V$117:$X$151,VLOOKUP(AX118,Foundation_Calc!$I$10:$J$13,2,FALSE),0),"")))</f>
        <v>C4R</v>
      </c>
      <c r="N118" s="449" t="s">
        <v>124</v>
      </c>
      <c r="O118" s="449"/>
      <c r="P118" s="449"/>
      <c r="Q118" s="4"/>
      <c r="R118" s="6"/>
      <c r="S118" s="6"/>
      <c r="T118" s="4">
        <v>-35</v>
      </c>
      <c r="U118" s="4"/>
      <c r="V118" s="4"/>
      <c r="W118" s="9">
        <v>1.4</v>
      </c>
      <c r="X118" s="9"/>
      <c r="Y118" s="9"/>
      <c r="Z118" s="9"/>
      <c r="AA118" s="9"/>
      <c r="AB118" s="9"/>
      <c r="AC118" s="449" t="str">
        <f t="shared" si="22"/>
        <v>PHQ</v>
      </c>
      <c r="AD118" s="449"/>
      <c r="AE118" s="449"/>
      <c r="AF118" s="4"/>
      <c r="AG118" s="83"/>
      <c r="AH118" s="4"/>
      <c r="AI118" s="4"/>
      <c r="AJ118" s="449"/>
      <c r="AK118" s="449"/>
      <c r="AL118" s="449"/>
      <c r="AM118" s="449" t="s">
        <v>126</v>
      </c>
      <c r="AN118" s="10">
        <v>5.5</v>
      </c>
      <c r="AO118" s="9"/>
      <c r="AP118" s="9"/>
      <c r="AQ118" s="9"/>
      <c r="AR118" s="9"/>
      <c r="AS118" s="9"/>
      <c r="AT118" s="9">
        <f>+ab($T$118,$T$116,$T$120,$G$117,$G$119,-1*$F$118,1200)</f>
        <v>-7.8175501667728815</v>
      </c>
      <c r="AU118" s="428"/>
      <c r="AV118" s="428"/>
      <c r="AW118" s="449" t="str">
        <f>IF(C118&gt;0,VLOOKUP(C118,Foundation_Calc!$A$2:$C$13,3,1),
IF(J118&gt;0,VLOOKUP(J118,Foundation_Calc!$A$2:$C$13,3,1),""))</f>
        <v>Multi Soil</v>
      </c>
      <c r="AX118" s="449" t="str">
        <f>IF(C118&gt;0,VLOOKUP(C118,Foundation_Calc!$E$2:$G$33,3,1),
IF(J118&gt;0,VLOOKUP(J118,Foundation_Calc!$E$2:$G$33,3,1),""))</f>
        <v>PT</v>
      </c>
      <c r="AY118" s="10">
        <f>IF(L118="","",
IF(AX118="PT",VLOOKUP(L118,Foundation_Calc!$K$79:$R$113,VLOOKUP(AW118,Foundation_Calc!$I$2:$J$8,2,FALSE),0),
IF(AX118="K",VLOOKUP(L118,Foundation_Calc!$K$117:$R$151,VLOOKUP(AW118,Foundation_Calc!$I$2:$J$8,2,FALSE),0),"")))</f>
        <v>3.5</v>
      </c>
      <c r="AZ118" s="10" t="str">
        <f>IF(K118="","",
IF(AX118="PT",VLOOKUP(K118,Foundation_Calc!$K$79:$R$113,VLOOKUP(AW118,Foundation_Calc!$I$2:$J$8,2,FALSE),0),
IF(AX118="K",VLOOKUP(K118,Foundation_Calc!$K$117:$R$151,VLOOKUP(AW118,Foundation_Calc!$I$2:$J$8,2,FALSE),0),"")))</f>
        <v/>
      </c>
      <c r="BA118" s="495" t="str">
        <f t="shared" si="23"/>
        <v>ü</v>
      </c>
      <c r="BB118" s="495" t="str">
        <f t="shared" si="24"/>
        <v/>
      </c>
      <c r="BC118" s="495" t="str">
        <f t="shared" si="25"/>
        <v/>
      </c>
      <c r="BD118" s="513" t="str">
        <f>IF(AND(L118="",H118=""),"",
IF(H118="",Pole_Calc!A$9,
IF(H118="MP",Pole_Calc!A$10,
IF(H118="AnMP",Pole_Calc!A$11,
IF(H118="A",Pole_Calc!A$12,
IF(H118="S/A",Pole_Calc!A$13,
IF(H118="A/S",Pole_Calc!A$14,"Poner a mano")))))))</f>
        <v>App.7-V11I-P9.5.1.3</v>
      </c>
      <c r="BE118" s="429" t="s">
        <v>118</v>
      </c>
      <c r="BF118" s="289"/>
      <c r="BG118" s="289"/>
      <c r="BH118" s="290"/>
      <c r="BI118" s="289"/>
    </row>
    <row r="119" spans="1:61" ht="16.149999999999999" customHeight="1">
      <c r="A119" s="514" t="s">
        <v>169</v>
      </c>
      <c r="B119" s="450"/>
      <c r="C119" s="3"/>
      <c r="D119" s="83"/>
      <c r="E119" s="4"/>
      <c r="F119" s="4"/>
      <c r="G119" s="6">
        <v>55</v>
      </c>
      <c r="H119" s="449"/>
      <c r="I119" s="4">
        <f>SUM(G97:G119)</f>
        <v>675.1</v>
      </c>
      <c r="J119" s="3"/>
      <c r="K119" s="449"/>
      <c r="L119" s="449"/>
      <c r="M119" s="449" t="str">
        <f>IF(L119="","",
IF(AX119="PT",VLOOKUP(L119,Foundation_Calc!$V$79:$X$113,VLOOKUP(AX119,Foundation_Calc!$I$10:$J$13,2,FALSE),0),
IF(AX119="K",VLOOKUP(L119,Foundation_Calc!$V$117:$X$151,VLOOKUP(AX119,Foundation_Calc!$I$10:$J$13,2,FALSE),0),"")))</f>
        <v/>
      </c>
      <c r="N119" s="449"/>
      <c r="O119" s="449"/>
      <c r="P119" s="449"/>
      <c r="Q119" s="4"/>
      <c r="R119" s="6"/>
      <c r="S119" s="6"/>
      <c r="T119" s="4"/>
      <c r="U119" s="4"/>
      <c r="V119" s="4"/>
      <c r="W119" s="9"/>
      <c r="X119" s="9"/>
      <c r="Y119" s="9"/>
      <c r="Z119" s="9"/>
      <c r="AA119" s="9"/>
      <c r="AB119" s="9"/>
      <c r="AC119" s="449" t="str">
        <f t="shared" si="22"/>
        <v/>
      </c>
      <c r="AD119" s="449"/>
      <c r="AE119" s="449"/>
      <c r="AF119" s="4"/>
      <c r="AG119" s="83"/>
      <c r="AH119" s="4"/>
      <c r="AI119" s="4"/>
      <c r="AJ119" s="449"/>
      <c r="AK119" s="449"/>
      <c r="AL119" s="449"/>
      <c r="AM119" s="449"/>
      <c r="AN119" s="10"/>
      <c r="AO119" s="9"/>
      <c r="AP119" s="9"/>
      <c r="AQ119" s="9">
        <f>+FL_2($T$120,$T$118,$G$119,1200,9.28,-1*$F$120)</f>
        <v>-0.39714735709090898</v>
      </c>
      <c r="AR119" s="9"/>
      <c r="AS119" s="9"/>
      <c r="AT119" s="9"/>
      <c r="AU119" s="428"/>
      <c r="AV119" s="428"/>
      <c r="AW119" s="449" t="str">
        <f>IF(C119&gt;0,VLOOKUP(C119,Foundation_Calc!$A$2:$C$13,3,1),
IF(J119&gt;0,VLOOKUP(J119,Foundation_Calc!$A$2:$C$13,3,1),""))</f>
        <v/>
      </c>
      <c r="AX119" s="449" t="str">
        <f>IF(C119&gt;0,VLOOKUP(C119,Foundation_Calc!$E$2:$G$33,3,1),
IF(J119&gt;0,VLOOKUP(J119,Foundation_Calc!$E$2:$G$33,3,1),""))</f>
        <v/>
      </c>
      <c r="AY119" s="10" t="str">
        <f>IF(L119="","",
IF(AX119="PT",VLOOKUP(L119,Foundation_Calc!$K$79:$R$113,VLOOKUP(AW119,Foundation_Calc!$I$2:$J$8,2,FALSE),0),
IF(AX119="K",VLOOKUP(L119,Foundation_Calc!$K$117:$R$151,VLOOKUP(AW119,Foundation_Calc!$I$2:$J$8,2,FALSE),0),"")))</f>
        <v/>
      </c>
      <c r="AZ119" s="10" t="str">
        <f>IF(K119="","",
IF(AX119="PT",VLOOKUP(K119,Foundation_Calc!$K$79:$R$113,VLOOKUP(AW119,Foundation_Calc!$I$2:$J$8,2,FALSE),0),
IF(AX119="K",VLOOKUP(K119,Foundation_Calc!$K$117:$R$151,VLOOKUP(AW119,Foundation_Calc!$I$2:$J$8,2,FALSE),0),"")))</f>
        <v/>
      </c>
      <c r="BA119" s="495" t="str">
        <f t="shared" si="23"/>
        <v/>
      </c>
      <c r="BB119" s="495" t="str">
        <f t="shared" si="24"/>
        <v/>
      </c>
      <c r="BC119" s="495" t="str">
        <f t="shared" si="25"/>
        <v/>
      </c>
      <c r="BD119" s="513" t="str">
        <f>IF(AND(L119="",H119=""),"",
IF(H119="",Pole_Calc!A$9,
IF(H119="MP",Pole_Calc!A$10,
IF(H119="AnMP",Pole_Calc!A$11,
IF(H119="A",Pole_Calc!A$12,
IF(H119="S/A",Pole_Calc!A$13,
IF(H119="A/S",Pole_Calc!A$14,"Poner a mano")))))))</f>
        <v/>
      </c>
      <c r="BE119" s="429" t="s">
        <v>118</v>
      </c>
      <c r="BF119" s="290"/>
      <c r="BG119" s="290"/>
      <c r="BH119" s="290"/>
      <c r="BI119" s="290"/>
    </row>
    <row r="120" spans="1:61" ht="16.149999999999999" customHeight="1">
      <c r="A120" s="514"/>
      <c r="B120" s="450" t="s">
        <v>218</v>
      </c>
      <c r="C120" s="3">
        <f>+$C$118+$G$119</f>
        <v>33189.75</v>
      </c>
      <c r="D120" s="83"/>
      <c r="E120" s="4"/>
      <c r="F120" s="4">
        <f>IF(C120&gt;0,VLOOKUP(C120,'ALIGNMENT TRACK'!$A$1:$K$81,9,1))</f>
        <v>0</v>
      </c>
      <c r="G120" s="6"/>
      <c r="H120" s="449" t="s">
        <v>171</v>
      </c>
      <c r="I120" s="4"/>
      <c r="J120" s="3"/>
      <c r="K120" s="449"/>
      <c r="L120" s="449" t="s">
        <v>153</v>
      </c>
      <c r="M120" s="449" t="str">
        <f>IF(L120="","",
IF(AX120="PT",VLOOKUP(L120,Foundation_Calc!$V$79:$X$113,VLOOKUP(AX120,Foundation_Calc!$I$10:$J$13,2,FALSE),0),
IF(AX120="K",VLOOKUP(L120,Foundation_Calc!$V$117:$X$151,VLOOKUP(AX120,Foundation_Calc!$I$10:$J$13,2,FALSE),0),"")))</f>
        <v>C3R</v>
      </c>
      <c r="N120" s="449" t="s">
        <v>134</v>
      </c>
      <c r="O120" s="449"/>
      <c r="P120" s="449"/>
      <c r="Q120" s="4"/>
      <c r="R120" s="6"/>
      <c r="S120" s="6"/>
      <c r="T120" s="4">
        <v>35</v>
      </c>
      <c r="U120" s="4"/>
      <c r="V120" s="4"/>
      <c r="W120" s="9">
        <v>1.4</v>
      </c>
      <c r="X120" s="9"/>
      <c r="Y120" s="9"/>
      <c r="Z120" s="9"/>
      <c r="AA120" s="9"/>
      <c r="AB120" s="9"/>
      <c r="AC120" s="449" t="str">
        <f t="shared" si="22"/>
        <v>PHQ</v>
      </c>
      <c r="AD120" s="449"/>
      <c r="AE120" s="449"/>
      <c r="AF120" s="4"/>
      <c r="AG120" s="83"/>
      <c r="AH120" s="4"/>
      <c r="AI120" s="4"/>
      <c r="AJ120" s="449"/>
      <c r="AK120" s="449"/>
      <c r="AL120" s="449"/>
      <c r="AM120" s="449" t="s">
        <v>126</v>
      </c>
      <c r="AN120" s="10">
        <v>5.5</v>
      </c>
      <c r="AO120" s="9"/>
      <c r="AP120" s="9"/>
      <c r="AQ120" s="9"/>
      <c r="AR120" s="9"/>
      <c r="AS120" s="9"/>
      <c r="AT120" s="9">
        <f>+ab($T$120,$T$118,$T$122,$G$119,$G$121,-1*$F$120,1200)</f>
        <v>7.4955682572493121</v>
      </c>
      <c r="AU120" s="428"/>
      <c r="AV120" s="428"/>
      <c r="AW120" s="449" t="str">
        <f>IF(C120&gt;0,VLOOKUP(C120,Foundation_Calc!$A$2:$C$13,3,1),
IF(J120&gt;0,VLOOKUP(J120,Foundation_Calc!$A$2:$C$13,3,1),""))</f>
        <v>Multi Soil</v>
      </c>
      <c r="AX120" s="449" t="str">
        <f>IF(C120&gt;0,VLOOKUP(C120,Foundation_Calc!$E$2:$G$33,3,1),
IF(J120&gt;0,VLOOKUP(J120,Foundation_Calc!$E$2:$G$33,3,1),""))</f>
        <v>PT</v>
      </c>
      <c r="AY120" s="10">
        <f>IF(L120="","",
IF(AX120="PT",VLOOKUP(L120,Foundation_Calc!$K$79:$R$113,VLOOKUP(AW120,Foundation_Calc!$I$2:$J$8,2,FALSE),0),
IF(AX120="K",VLOOKUP(L120,Foundation_Calc!$K$117:$R$151,VLOOKUP(AW120,Foundation_Calc!$I$2:$J$8,2,FALSE),0),"")))</f>
        <v>3.5</v>
      </c>
      <c r="AZ120" s="10" t="str">
        <f>IF(K120="","",
IF(AX120="PT",VLOOKUP(K120,Foundation_Calc!$K$79:$R$113,VLOOKUP(AW120,Foundation_Calc!$I$2:$J$8,2,FALSE),0),
IF(AX120="K",VLOOKUP(K120,Foundation_Calc!$K$117:$R$151,VLOOKUP(AW120,Foundation_Calc!$I$2:$J$8,2,FALSE),0),"")))</f>
        <v/>
      </c>
      <c r="BA120" s="495" t="str">
        <f t="shared" si="23"/>
        <v>ü</v>
      </c>
      <c r="BB120" s="495" t="str">
        <f t="shared" si="24"/>
        <v/>
      </c>
      <c r="BC120" s="495" t="str">
        <f t="shared" si="25"/>
        <v/>
      </c>
      <c r="BD120" s="513" t="str">
        <f>IF(AND(L120="",H120=""),"",
IF(H120="",Pole_Calc!A$9,
IF(H120="MP",Pole_Calc!A$10,
IF(H120="AnMP",Pole_Calc!A$11,
IF(H120="A",Pole_Calc!A$12,
IF(H120="S/A",Pole_Calc!A$13,
IF(H120="A/S",Pole_Calc!A$14,"Poner a mano")))))))</f>
        <v>App.7-V11I-P9.5.1.2</v>
      </c>
      <c r="BE120" s="429" t="s">
        <v>118</v>
      </c>
      <c r="BF120" s="289"/>
      <c r="BG120" s="289"/>
      <c r="BH120" s="290"/>
      <c r="BI120" s="289"/>
    </row>
    <row r="121" spans="1:61" ht="16.149999999999999" customHeight="1">
      <c r="A121" s="514"/>
      <c r="B121" s="450"/>
      <c r="C121" s="3"/>
      <c r="D121" s="83"/>
      <c r="E121" s="4"/>
      <c r="F121" s="4"/>
      <c r="G121" s="6">
        <v>55</v>
      </c>
      <c r="H121" s="449"/>
      <c r="I121" s="4">
        <f>SUM(G121:G141)</f>
        <v>650</v>
      </c>
      <c r="J121" s="3"/>
      <c r="K121" s="449"/>
      <c r="L121" s="449"/>
      <c r="M121" s="449" t="str">
        <f>IF(L121="","",
IF(AX121="PT",VLOOKUP(L121,Foundation_Calc!$V$79:$X$113,VLOOKUP(AX121,Foundation_Calc!$I$10:$J$13,2,FALSE),0),
IF(AX121="K",VLOOKUP(L121,Foundation_Calc!$V$117:$X$151,VLOOKUP(AX121,Foundation_Calc!$I$10:$J$13,2,FALSE),0),"")))</f>
        <v/>
      </c>
      <c r="N121" s="449"/>
      <c r="O121" s="449"/>
      <c r="P121" s="449"/>
      <c r="Q121" s="4"/>
      <c r="R121" s="6"/>
      <c r="S121" s="6"/>
      <c r="T121" s="4"/>
      <c r="U121" s="4"/>
      <c r="V121" s="4"/>
      <c r="W121" s="9"/>
      <c r="X121" s="9"/>
      <c r="Y121" s="9"/>
      <c r="Z121" s="9"/>
      <c r="AA121" s="9"/>
      <c r="AB121" s="9"/>
      <c r="AC121" s="449" t="str">
        <f t="shared" si="22"/>
        <v/>
      </c>
      <c r="AD121" s="449"/>
      <c r="AE121" s="449"/>
      <c r="AF121" s="4"/>
      <c r="AG121" s="83"/>
      <c r="AH121" s="4"/>
      <c r="AI121" s="4"/>
      <c r="AJ121" s="449"/>
      <c r="AK121" s="449"/>
      <c r="AL121" s="449"/>
      <c r="AM121" s="449"/>
      <c r="AN121" s="10"/>
      <c r="AO121" s="9"/>
      <c r="AP121" s="9"/>
      <c r="AQ121" s="9">
        <f>+FL_1($T$122,$T$120,$G$121,1200,9.28,-1*$F$122)</f>
        <v>0.39714735709090898</v>
      </c>
      <c r="AR121" s="9"/>
      <c r="AS121" s="9"/>
      <c r="AT121" s="9"/>
      <c r="AU121" s="428"/>
      <c r="AV121" s="428"/>
      <c r="AW121" s="449" t="str">
        <f>IF(C121&gt;0,VLOOKUP(C121,Foundation_Calc!$A$2:$C$13,3,1),
IF(J121&gt;0,VLOOKUP(J121,Foundation_Calc!$A$2:$C$13,3,1),""))</f>
        <v/>
      </c>
      <c r="AX121" s="449" t="str">
        <f>IF(C121&gt;0,VLOOKUP(C121,Foundation_Calc!$E$2:$G$33,3,1),
IF(J121&gt;0,VLOOKUP(J121,Foundation_Calc!$E$2:$G$33,3,1),""))</f>
        <v/>
      </c>
      <c r="AY121" s="10" t="str">
        <f>IF(L121="","",
IF(AX121="PT",VLOOKUP(L121,Foundation_Calc!$K$79:$R$113,VLOOKUP(AW121,Foundation_Calc!$I$2:$J$8,2,FALSE),0),
IF(AX121="K",VLOOKUP(L121,Foundation_Calc!$K$117:$R$151,VLOOKUP(AW121,Foundation_Calc!$I$2:$J$8,2,FALSE),0),"")))</f>
        <v/>
      </c>
      <c r="AZ121" s="10" t="str">
        <f>IF(K121="","",
IF(AX121="PT",VLOOKUP(K121,Foundation_Calc!$K$79:$R$113,VLOOKUP(AW121,Foundation_Calc!$I$2:$J$8,2,FALSE),0),
IF(AX121="K",VLOOKUP(K121,Foundation_Calc!$K$117:$R$151,VLOOKUP(AW121,Foundation_Calc!$I$2:$J$8,2,FALSE),0),"")))</f>
        <v/>
      </c>
      <c r="BA121" s="495" t="str">
        <f t="shared" si="23"/>
        <v/>
      </c>
      <c r="BB121" s="495" t="str">
        <f t="shared" si="24"/>
        <v/>
      </c>
      <c r="BC121" s="495" t="str">
        <f t="shared" si="25"/>
        <v/>
      </c>
      <c r="BD121" s="513" t="str">
        <f>IF(AND(L121="",H121=""),"",
IF(H121="",Pole_Calc!A$9,
IF(H121="MP",Pole_Calc!A$10,
IF(H121="AnMP",Pole_Calc!A$11,
IF(H121="A",Pole_Calc!A$12,
IF(H121="S/A",Pole_Calc!A$13,
IF(H121="A/S",Pole_Calc!A$14,"Poner a mano")))))))</f>
        <v/>
      </c>
      <c r="BE121" s="429" t="s">
        <v>118</v>
      </c>
      <c r="BF121" s="290"/>
      <c r="BG121" s="290"/>
      <c r="BH121" s="290"/>
      <c r="BI121" s="290"/>
    </row>
    <row r="122" spans="1:61" ht="16.149999999999999" customHeight="1">
      <c r="A122" s="514"/>
      <c r="B122" s="450" t="s">
        <v>219</v>
      </c>
      <c r="C122" s="3">
        <f>+$C$120+$G$121</f>
        <v>33244.75</v>
      </c>
      <c r="D122" s="83"/>
      <c r="E122" s="4"/>
      <c r="F122" s="4">
        <f>IF(C122&gt;0,VLOOKUP(C122,'ALIGNMENT TRACK'!$A$1:$K$81,9,1))</f>
        <v>0</v>
      </c>
      <c r="G122" s="6"/>
      <c r="H122" s="449" t="s">
        <v>168</v>
      </c>
      <c r="I122" s="4"/>
      <c r="J122" s="3"/>
      <c r="K122" s="449"/>
      <c r="L122" s="449" t="s">
        <v>158</v>
      </c>
      <c r="M122" s="449" t="str">
        <f>IF(L122="","",
IF(AX122="PT",VLOOKUP(L122,Foundation_Calc!$V$79:$X$113,VLOOKUP(AX122,Foundation_Calc!$I$10:$J$13,2,FALSE),0),
IF(AX122="K",VLOOKUP(L122,Foundation_Calc!$V$117:$X$151,VLOOKUP(AX122,Foundation_Calc!$I$10:$J$13,2,FALSE),0),"")))</f>
        <v>C4R</v>
      </c>
      <c r="N122" s="449" t="s">
        <v>124</v>
      </c>
      <c r="O122" s="449"/>
      <c r="P122" s="449"/>
      <c r="Q122" s="4"/>
      <c r="R122" s="6"/>
      <c r="S122" s="6"/>
      <c r="T122" s="4">
        <v>-35</v>
      </c>
      <c r="U122" s="4"/>
      <c r="V122" s="4"/>
      <c r="W122" s="9">
        <v>1.4</v>
      </c>
      <c r="X122" s="9"/>
      <c r="Y122" s="9"/>
      <c r="Z122" s="9"/>
      <c r="AA122" s="9"/>
      <c r="AB122" s="9"/>
      <c r="AC122" s="449" t="str">
        <f t="shared" si="22"/>
        <v>PHQ</v>
      </c>
      <c r="AD122" s="449"/>
      <c r="AE122" s="449"/>
      <c r="AF122" s="4"/>
      <c r="AG122" s="83"/>
      <c r="AH122" s="4"/>
      <c r="AI122" s="4"/>
      <c r="AJ122" s="449"/>
      <c r="AK122" s="449"/>
      <c r="AL122" s="449"/>
      <c r="AM122" s="449" t="s">
        <v>126</v>
      </c>
      <c r="AN122" s="10">
        <v>5.5</v>
      </c>
      <c r="AO122" s="9"/>
      <c r="AP122" s="9"/>
      <c r="AQ122" s="9"/>
      <c r="AR122" s="9"/>
      <c r="AS122" s="9"/>
      <c r="AT122" s="9">
        <f>+ab($T$122,$T$120,$T$124,$G$121,$G$123,-1*$F$122,1200)</f>
        <v>-7.495600280563588</v>
      </c>
      <c r="AU122" s="428"/>
      <c r="AV122" s="428"/>
      <c r="AW122" s="449" t="str">
        <f>IF(C122&gt;0,VLOOKUP(C122,Foundation_Calc!$A$2:$C$13,3,1),
IF(J122&gt;0,VLOOKUP(J122,Foundation_Calc!$A$2:$C$13,3,1),""))</f>
        <v>Multi Soil</v>
      </c>
      <c r="AX122" s="449" t="str">
        <f>IF(C122&gt;0,VLOOKUP(C122,Foundation_Calc!$E$2:$G$33,3,1),
IF(J122&gt;0,VLOOKUP(J122,Foundation_Calc!$E$2:$G$33,3,1),""))</f>
        <v>PT</v>
      </c>
      <c r="AY122" s="10">
        <f>IF(L122="","",
IF(AX122="PT",VLOOKUP(L122,Foundation_Calc!$K$79:$R$113,VLOOKUP(AW122,Foundation_Calc!$I$2:$J$8,2,FALSE),0),
IF(AX122="K",VLOOKUP(L122,Foundation_Calc!$K$117:$R$151,VLOOKUP(AW122,Foundation_Calc!$I$2:$J$8,2,FALSE),0),"")))</f>
        <v>3.5</v>
      </c>
      <c r="AZ122" s="10" t="str">
        <f>IF(K122="","",
IF(AX122="PT",VLOOKUP(K122,Foundation_Calc!$K$79:$R$113,VLOOKUP(AW122,Foundation_Calc!$I$2:$J$8,2,FALSE),0),
IF(AX122="K",VLOOKUP(K122,Foundation_Calc!$K$117:$R$151,VLOOKUP(AW122,Foundation_Calc!$I$2:$J$8,2,FALSE),0),"")))</f>
        <v/>
      </c>
      <c r="BA122" s="495" t="str">
        <f t="shared" si="23"/>
        <v>ü</v>
      </c>
      <c r="BB122" s="495" t="str">
        <f t="shared" si="24"/>
        <v/>
      </c>
      <c r="BC122" s="495" t="str">
        <f t="shared" si="25"/>
        <v/>
      </c>
      <c r="BD122" s="513" t="str">
        <f>IF(AND(L122="",H122=""),"",
IF(H122="",Pole_Calc!A$9,
IF(H122="MP",Pole_Calc!A$10,
IF(H122="AnMP",Pole_Calc!A$11,
IF(H122="A",Pole_Calc!A$12,
IF(H122="S/A",Pole_Calc!A$13,
IF(H122="A/S",Pole_Calc!A$14,"Poner a mano")))))))</f>
        <v>App.7-V11I-P9.5.1.3</v>
      </c>
      <c r="BE122" s="429" t="s">
        <v>118</v>
      </c>
      <c r="BF122" s="289"/>
      <c r="BG122" s="289"/>
      <c r="BH122" s="290"/>
      <c r="BI122" s="289"/>
    </row>
    <row r="123" spans="1:61" ht="16.149999999999999" customHeight="1">
      <c r="A123" s="514"/>
      <c r="B123" s="450"/>
      <c r="C123" s="3"/>
      <c r="D123" s="83"/>
      <c r="E123" s="4"/>
      <c r="F123" s="4"/>
      <c r="G123" s="6">
        <v>55</v>
      </c>
      <c r="H123" s="449"/>
      <c r="I123" s="4"/>
      <c r="J123" s="3">
        <f>C122+7.5</f>
        <v>33252.25</v>
      </c>
      <c r="K123" s="449" t="s">
        <v>166</v>
      </c>
      <c r="L123" s="449"/>
      <c r="M123" s="449" t="str">
        <f>IF(L123="","",
IF(AX123="PT",VLOOKUP(L123,Foundation_Calc!$V$79:$X$113,VLOOKUP(AX123,Foundation_Calc!$I$10:$J$13,2,FALSE),0),
IF(AX123="K",VLOOKUP(L123,Foundation_Calc!$V$117:$X$151,VLOOKUP(AX123,Foundation_Calc!$I$10:$J$13,2,FALSE),0),"")))</f>
        <v/>
      </c>
      <c r="N123" s="449"/>
      <c r="O123" s="449"/>
      <c r="P123" s="449"/>
      <c r="Q123" s="4"/>
      <c r="R123" s="6"/>
      <c r="S123" s="6"/>
      <c r="T123" s="4"/>
      <c r="U123" s="4"/>
      <c r="V123" s="4"/>
      <c r="W123" s="9"/>
      <c r="X123" s="9"/>
      <c r="Y123" s="9"/>
      <c r="Z123" s="9"/>
      <c r="AA123" s="9"/>
      <c r="AB123" s="9"/>
      <c r="AC123" s="449" t="str">
        <f t="shared" si="22"/>
        <v/>
      </c>
      <c r="AD123" s="449"/>
      <c r="AE123" s="449"/>
      <c r="AF123" s="4"/>
      <c r="AG123" s="83"/>
      <c r="AH123" s="4"/>
      <c r="AI123" s="4"/>
      <c r="AJ123" s="449"/>
      <c r="AK123" s="449"/>
      <c r="AL123" s="449"/>
      <c r="AM123" s="449"/>
      <c r="AN123" s="10"/>
      <c r="AO123" s="9"/>
      <c r="AP123" s="9"/>
      <c r="AQ123" s="9">
        <f>+FL_2($T$124,$T$122,$G$123,1200,9.28,-1*$F$124)</f>
        <v>-0.39714735709090898</v>
      </c>
      <c r="AR123" s="9"/>
      <c r="AS123" s="9"/>
      <c r="AT123" s="9"/>
      <c r="AU123" s="428"/>
      <c r="AV123" s="428"/>
      <c r="AW123" s="449" t="str">
        <f>IF(C123&gt;0,VLOOKUP(C123,Foundation_Calc!$A$2:$C$13,3,1),
IF(J123&gt;0,VLOOKUP(J123,Foundation_Calc!$A$2:$C$13,3,1),""))</f>
        <v>Multi Soil</v>
      </c>
      <c r="AX123" s="449" t="str">
        <f>IF(C123&gt;0,VLOOKUP(C123,Foundation_Calc!$E$2:$G$33,3,1),
IF(J123&gt;0,VLOOKUP(J123,Foundation_Calc!$E$2:$G$33,3,1),""))</f>
        <v>PT</v>
      </c>
      <c r="AY123" s="10" t="str">
        <f>IF(L123="","",
IF(AX123="PT",VLOOKUP(L123,Foundation_Calc!$K$79:$R$113,VLOOKUP(AW123,Foundation_Calc!$I$2:$J$8,2,FALSE),0),
IF(AX123="K",VLOOKUP(L123,Foundation_Calc!$K$117:$R$151,VLOOKUP(AW123,Foundation_Calc!$I$2:$J$8,2,FALSE),0),"")))</f>
        <v/>
      </c>
      <c r="AZ123" s="10">
        <f>IF(K123="","",
IF(AX123="PT",VLOOKUP(K123,Foundation_Calc!$K$79:$R$113,VLOOKUP(AW123,Foundation_Calc!$I$2:$J$8,2,FALSE),0),
IF(AX123="K",VLOOKUP(K123,Foundation_Calc!$K$117:$R$151,VLOOKUP(AW123,Foundation_Calc!$I$2:$J$8,2,FALSE),0),"")))</f>
        <v>2.8</v>
      </c>
      <c r="BA123" s="495" t="str">
        <f t="shared" si="23"/>
        <v/>
      </c>
      <c r="BB123" s="495" t="str">
        <f t="shared" si="24"/>
        <v>ü</v>
      </c>
      <c r="BC123" s="495" t="str">
        <f t="shared" si="25"/>
        <v/>
      </c>
      <c r="BD123" s="513" t="str">
        <f>IF(AND(L123="",H123=""),"",
IF(H123="",Pole_Calc!A$9,
IF(H123="MP",Pole_Calc!A$10,
IF(H123="AnMP",Pole_Calc!A$11,
IF(H123="A",Pole_Calc!A$12,
IF(H123="S/A",Pole_Calc!A$13,
IF(H123="A/S",Pole_Calc!A$14,"Poner a mano")))))))</f>
        <v/>
      </c>
      <c r="BE123" s="429" t="s">
        <v>118</v>
      </c>
      <c r="BF123" s="290"/>
      <c r="BG123" s="290"/>
      <c r="BH123" s="290"/>
      <c r="BI123" s="290"/>
    </row>
    <row r="124" spans="1:61" ht="16.149999999999999" customHeight="1">
      <c r="A124" s="514"/>
      <c r="B124" s="450" t="s">
        <v>220</v>
      </c>
      <c r="C124" s="3">
        <f>+$C$122+$G$123</f>
        <v>33299.75</v>
      </c>
      <c r="D124" s="83"/>
      <c r="E124" s="4"/>
      <c r="F124" s="4">
        <f>IF(C124&gt;0,VLOOKUP(C124,'ALIGNMENT TRACK'!$A$1:$K$81,9,1))</f>
        <v>0</v>
      </c>
      <c r="G124" s="6"/>
      <c r="H124" s="449"/>
      <c r="I124" s="4"/>
      <c r="J124" s="3"/>
      <c r="K124" s="449"/>
      <c r="L124" s="449" t="s">
        <v>153</v>
      </c>
      <c r="M124" s="449" t="str">
        <f>IF(L124="","",
IF(AX124="PT",VLOOKUP(L124,Foundation_Calc!$V$79:$X$113,VLOOKUP(AX124,Foundation_Calc!$I$10:$J$13,2,FALSE),0),
IF(AX124="K",VLOOKUP(L124,Foundation_Calc!$V$117:$X$151,VLOOKUP(AX124,Foundation_Calc!$I$10:$J$13,2,FALSE),0),"")))</f>
        <v>C3R</v>
      </c>
      <c r="N124" s="449" t="s">
        <v>134</v>
      </c>
      <c r="O124" s="449"/>
      <c r="P124" s="449"/>
      <c r="Q124" s="4"/>
      <c r="R124" s="6"/>
      <c r="S124" s="6"/>
      <c r="T124" s="4">
        <v>35</v>
      </c>
      <c r="U124" s="4"/>
      <c r="V124" s="4"/>
      <c r="W124" s="9">
        <v>1.4</v>
      </c>
      <c r="X124" s="9"/>
      <c r="Y124" s="9"/>
      <c r="Z124" s="9"/>
      <c r="AA124" s="9"/>
      <c r="AB124" s="9"/>
      <c r="AC124" s="449" t="str">
        <f t="shared" si="22"/>
        <v>PHQ</v>
      </c>
      <c r="AD124" s="449"/>
      <c r="AE124" s="449"/>
      <c r="AF124" s="4"/>
      <c r="AG124" s="83"/>
      <c r="AH124" s="4"/>
      <c r="AI124" s="4"/>
      <c r="AJ124" s="449"/>
      <c r="AK124" s="449"/>
      <c r="AL124" s="449"/>
      <c r="AM124" s="449" t="s">
        <v>126</v>
      </c>
      <c r="AN124" s="10">
        <v>5.5</v>
      </c>
      <c r="AO124" s="9"/>
      <c r="AP124" s="9"/>
      <c r="AQ124" s="9"/>
      <c r="AR124" s="9"/>
      <c r="AS124" s="9"/>
      <c r="AT124" s="9">
        <f>+ab($T$124,$T$122,$T$126,$G$123,$G$125,-1*$F$124,1200)</f>
        <v>7.8175137683875535</v>
      </c>
      <c r="AU124" s="428"/>
      <c r="AV124" s="428"/>
      <c r="AW124" s="449" t="str">
        <f>IF(C124&gt;0,VLOOKUP(C124,Foundation_Calc!$A$2:$C$13,3,1),
IF(J124&gt;0,VLOOKUP(J124,Foundation_Calc!$A$2:$C$13,3,1),""))</f>
        <v>Multi Soil</v>
      </c>
      <c r="AX124" s="449" t="str">
        <f>IF(C124&gt;0,VLOOKUP(C124,Foundation_Calc!$E$2:$G$33,3,1),
IF(J124&gt;0,VLOOKUP(J124,Foundation_Calc!$E$2:$G$33,3,1),""))</f>
        <v>PT</v>
      </c>
      <c r="AY124" s="10">
        <f>IF(L124="","",
IF(AX124="PT",VLOOKUP(L124,Foundation_Calc!$K$79:$R$113,VLOOKUP(AW124,Foundation_Calc!$I$2:$J$8,2,FALSE),0),
IF(AX124="K",VLOOKUP(L124,Foundation_Calc!$K$117:$R$151,VLOOKUP(AW124,Foundation_Calc!$I$2:$J$8,2,FALSE),0),"")))</f>
        <v>3.5</v>
      </c>
      <c r="AZ124" s="10" t="str">
        <f>IF(K124="","",
IF(AX124="PT",VLOOKUP(K124,Foundation_Calc!$K$79:$R$113,VLOOKUP(AW124,Foundation_Calc!$I$2:$J$8,2,FALSE),0),
IF(AX124="K",VLOOKUP(K124,Foundation_Calc!$K$117:$R$151,VLOOKUP(AW124,Foundation_Calc!$I$2:$J$8,2,FALSE),0),"")))</f>
        <v/>
      </c>
      <c r="BA124" s="495" t="str">
        <f t="shared" si="23"/>
        <v>ü</v>
      </c>
      <c r="BB124" s="495" t="str">
        <f t="shared" si="24"/>
        <v/>
      </c>
      <c r="BC124" s="495" t="str">
        <f t="shared" si="25"/>
        <v/>
      </c>
      <c r="BD124" s="513" t="str">
        <f>IF(AND(L124="",H124=""),"",
IF(H124="",Pole_Calc!A$9,
IF(H124="MP",Pole_Calc!A$10,
IF(H124="AnMP",Pole_Calc!A$11,
IF(H124="A",Pole_Calc!A$12,
IF(H124="S/A",Pole_Calc!A$13,
IF(H124="A/S",Pole_Calc!A$14,"Poner a mano")))))))</f>
        <v>App.7-V11I-P9.5.1.1</v>
      </c>
      <c r="BE124" s="429" t="s">
        <v>118</v>
      </c>
      <c r="BF124" s="289"/>
      <c r="BG124" s="289"/>
      <c r="BH124" s="290"/>
      <c r="BI124" s="289"/>
    </row>
    <row r="125" spans="1:61" ht="16.149999999999999" customHeight="1">
      <c r="A125" s="514"/>
      <c r="B125" s="450"/>
      <c r="C125" s="3"/>
      <c r="D125" s="83"/>
      <c r="E125" s="4"/>
      <c r="F125" s="4"/>
      <c r="G125" s="6">
        <v>60</v>
      </c>
      <c r="H125" s="449"/>
      <c r="I125" s="4"/>
      <c r="J125" s="3"/>
      <c r="K125" s="449"/>
      <c r="L125" s="449"/>
      <c r="M125" s="449" t="str">
        <f>IF(L125="","",
IF(AX125="PT",VLOOKUP(L125,Foundation_Calc!$V$79:$X$113,VLOOKUP(AX125,Foundation_Calc!$I$10:$J$13,2,FALSE),0),
IF(AX125="K",VLOOKUP(L125,Foundation_Calc!$V$117:$X$151,VLOOKUP(AX125,Foundation_Calc!$I$10:$J$13,2,FALSE),0),"")))</f>
        <v/>
      </c>
      <c r="N125" s="449"/>
      <c r="O125" s="449"/>
      <c r="P125" s="449"/>
      <c r="Q125" s="4"/>
      <c r="R125" s="6"/>
      <c r="S125" s="6"/>
      <c r="T125" s="4"/>
      <c r="U125" s="4"/>
      <c r="V125" s="4"/>
      <c r="W125" s="9"/>
      <c r="X125" s="9"/>
      <c r="Y125" s="9"/>
      <c r="Z125" s="9"/>
      <c r="AA125" s="9"/>
      <c r="AB125" s="9"/>
      <c r="AC125" s="449" t="str">
        <f t="shared" si="22"/>
        <v/>
      </c>
      <c r="AD125" s="449"/>
      <c r="AE125" s="449"/>
      <c r="AF125" s="4"/>
      <c r="AG125" s="83"/>
      <c r="AH125" s="4"/>
      <c r="AI125" s="4"/>
      <c r="AJ125" s="449"/>
      <c r="AK125" s="449"/>
      <c r="AL125" s="449"/>
      <c r="AM125" s="449"/>
      <c r="AN125" s="10"/>
      <c r="AO125" s="9"/>
      <c r="AP125" s="9"/>
      <c r="AQ125" s="9">
        <f>+FL_2($T$126,$T$124,$G$125,1200,9.28,-1*$F$126)</f>
        <v>-0.43600286799999999</v>
      </c>
      <c r="AR125" s="9"/>
      <c r="AS125" s="9"/>
      <c r="AT125" s="9"/>
      <c r="AU125" s="428"/>
      <c r="AV125" s="428"/>
      <c r="AW125" s="449" t="str">
        <f>IF(C125&gt;0,VLOOKUP(C125,Foundation_Calc!$A$2:$C$13,3,1),
IF(J125&gt;0,VLOOKUP(J125,Foundation_Calc!$A$2:$C$13,3,1),""))</f>
        <v/>
      </c>
      <c r="AX125" s="449" t="str">
        <f>IF(C125&gt;0,VLOOKUP(C125,Foundation_Calc!$E$2:$G$33,3,1),
IF(J125&gt;0,VLOOKUP(J125,Foundation_Calc!$E$2:$G$33,3,1),""))</f>
        <v/>
      </c>
      <c r="AY125" s="10" t="str">
        <f>IF(L125="","",
IF(AX125="PT",VLOOKUP(L125,Foundation_Calc!$K$79:$R$113,VLOOKUP(AW125,Foundation_Calc!$I$2:$J$8,2,FALSE),0),
IF(AX125="K",VLOOKUP(L125,Foundation_Calc!$K$117:$R$151,VLOOKUP(AW125,Foundation_Calc!$I$2:$J$8,2,FALSE),0),"")))</f>
        <v/>
      </c>
      <c r="AZ125" s="10" t="str">
        <f>IF(K125="","",
IF(AX125="PT",VLOOKUP(K125,Foundation_Calc!$K$79:$R$113,VLOOKUP(AW125,Foundation_Calc!$I$2:$J$8,2,FALSE),0),
IF(AX125="K",VLOOKUP(K125,Foundation_Calc!$K$117:$R$151,VLOOKUP(AW125,Foundation_Calc!$I$2:$J$8,2,FALSE),0),"")))</f>
        <v/>
      </c>
      <c r="BA125" s="495" t="str">
        <f t="shared" si="23"/>
        <v/>
      </c>
      <c r="BB125" s="495" t="str">
        <f t="shared" si="24"/>
        <v/>
      </c>
      <c r="BC125" s="495" t="str">
        <f t="shared" si="25"/>
        <v/>
      </c>
      <c r="BD125" s="513" t="str">
        <f>IF(AND(L125="",H125=""),"",
IF(H125="",Pole_Calc!A$9,
IF(H125="MP",Pole_Calc!A$10,
IF(H125="AnMP",Pole_Calc!A$11,
IF(H125="A",Pole_Calc!A$12,
IF(H125="S/A",Pole_Calc!A$13,
IF(H125="A/S",Pole_Calc!A$14,"Poner a mano")))))))</f>
        <v/>
      </c>
      <c r="BE125" s="429" t="s">
        <v>118</v>
      </c>
      <c r="BF125" s="290"/>
      <c r="BG125" s="290"/>
      <c r="BH125" s="290"/>
      <c r="BI125" s="290"/>
    </row>
    <row r="126" spans="1:61" ht="16.149999999999999" customHeight="1">
      <c r="A126" s="514"/>
      <c r="B126" s="450" t="s">
        <v>221</v>
      </c>
      <c r="C126" s="3">
        <f>+$C$124+$G$125</f>
        <v>33359.75</v>
      </c>
      <c r="D126" s="83"/>
      <c r="E126" s="4"/>
      <c r="F126" s="4">
        <f>IF(C126&gt;0,VLOOKUP(C126,'ALIGNMENT TRACK'!$A$1:$K$81,9,1))</f>
        <v>0</v>
      </c>
      <c r="G126" s="6"/>
      <c r="H126" s="449"/>
      <c r="I126" s="4"/>
      <c r="J126" s="3"/>
      <c r="K126" s="449"/>
      <c r="L126" s="449" t="s">
        <v>153</v>
      </c>
      <c r="M126" s="449" t="str">
        <f>IF(L126="","",
IF(AX126="PT",VLOOKUP(L126,Foundation_Calc!$V$79:$X$113,VLOOKUP(AX126,Foundation_Calc!$I$10:$J$13,2,FALSE),0),
IF(AX126="K",VLOOKUP(L126,Foundation_Calc!$V$117:$X$151,VLOOKUP(AX126,Foundation_Calc!$I$10:$J$13,2,FALSE),0),"")))</f>
        <v>C3R</v>
      </c>
      <c r="N126" s="449" t="s">
        <v>124</v>
      </c>
      <c r="O126" s="449"/>
      <c r="P126" s="449"/>
      <c r="Q126" s="4"/>
      <c r="R126" s="6"/>
      <c r="S126" s="6"/>
      <c r="T126" s="4">
        <v>-35</v>
      </c>
      <c r="U126" s="4"/>
      <c r="V126" s="4"/>
      <c r="W126" s="9">
        <v>1.4</v>
      </c>
      <c r="X126" s="9"/>
      <c r="Y126" s="9"/>
      <c r="Z126" s="9"/>
      <c r="AA126" s="9"/>
      <c r="AB126" s="9"/>
      <c r="AC126" s="449" t="str">
        <f t="shared" si="22"/>
        <v>PH</v>
      </c>
      <c r="AD126" s="449"/>
      <c r="AE126" s="449"/>
      <c r="AF126" s="4"/>
      <c r="AG126" s="83"/>
      <c r="AH126" s="4"/>
      <c r="AI126" s="4"/>
      <c r="AJ126" s="449"/>
      <c r="AK126" s="449"/>
      <c r="AL126" s="449"/>
      <c r="AM126" s="449" t="s">
        <v>126</v>
      </c>
      <c r="AN126" s="10">
        <v>5.5</v>
      </c>
      <c r="AO126" s="9"/>
      <c r="AP126" s="9"/>
      <c r="AQ126" s="9"/>
      <c r="AR126" s="9"/>
      <c r="AS126" s="9"/>
      <c r="AT126" s="9">
        <f>+ab($T$126,$T$124,$T$128,$G$125,$G$127,-1*$F$126,1200)</f>
        <v>-8.1682020423530854</v>
      </c>
      <c r="AU126" s="428"/>
      <c r="AV126" s="428"/>
      <c r="AW126" s="449" t="str">
        <f>IF(C126&gt;0,VLOOKUP(C126,Foundation_Calc!$A$2:$C$13,3,1),
IF(J126&gt;0,VLOOKUP(J126,Foundation_Calc!$A$2:$C$13,3,1),""))</f>
        <v>Multi Soil</v>
      </c>
      <c r="AX126" s="449" t="str">
        <f>IF(C126&gt;0,VLOOKUP(C126,Foundation_Calc!$E$2:$G$33,3,1),
IF(J126&gt;0,VLOOKUP(J126,Foundation_Calc!$E$2:$G$33,3,1),""))</f>
        <v>PT</v>
      </c>
      <c r="AY126" s="10">
        <f>IF(L126="","",
IF(AX126="PT",VLOOKUP(L126,Foundation_Calc!$K$79:$R$113,VLOOKUP(AW126,Foundation_Calc!$I$2:$J$8,2,FALSE),0),
IF(AX126="K",VLOOKUP(L126,Foundation_Calc!$K$117:$R$151,VLOOKUP(AW126,Foundation_Calc!$I$2:$J$8,2,FALSE),0),"")))</f>
        <v>3.5</v>
      </c>
      <c r="AZ126" s="10" t="str">
        <f>IF(K126="","",
IF(AX126="PT",VLOOKUP(K126,Foundation_Calc!$K$79:$R$113,VLOOKUP(AW126,Foundation_Calc!$I$2:$J$8,2,FALSE),0),
IF(AX126="K",VLOOKUP(K126,Foundation_Calc!$K$117:$R$151,VLOOKUP(AW126,Foundation_Calc!$I$2:$J$8,2,FALSE),0),"")))</f>
        <v/>
      </c>
      <c r="BA126" s="495" t="str">
        <f t="shared" si="23"/>
        <v>ü</v>
      </c>
      <c r="BB126" s="495" t="str">
        <f t="shared" si="24"/>
        <v/>
      </c>
      <c r="BC126" s="495" t="str">
        <f t="shared" si="25"/>
        <v/>
      </c>
      <c r="BD126" s="513" t="str">
        <f>IF(AND(L126="",H126=""),"",
IF(H126="",Pole_Calc!A$9,
IF(H126="MP",Pole_Calc!A$10,
IF(H126="AnMP",Pole_Calc!A$11,
IF(H126="A",Pole_Calc!A$12,
IF(H126="S/A",Pole_Calc!A$13,
IF(H126="A/S",Pole_Calc!A$14,"Poner a mano")))))))</f>
        <v>App.7-V11I-P9.5.1.1</v>
      </c>
      <c r="BE126" s="429" t="s">
        <v>118</v>
      </c>
      <c r="BF126" s="289"/>
      <c r="BG126" s="289"/>
      <c r="BH126" s="290"/>
      <c r="BI126" s="289"/>
    </row>
    <row r="127" spans="1:61" ht="16.149999999999999" customHeight="1">
      <c r="A127" s="514"/>
      <c r="B127" s="450"/>
      <c r="C127" s="3"/>
      <c r="D127" s="83"/>
      <c r="E127" s="4"/>
      <c r="F127" s="4"/>
      <c r="G127" s="6">
        <v>60</v>
      </c>
      <c r="H127" s="449"/>
      <c r="I127" s="4"/>
      <c r="J127" s="3"/>
      <c r="K127" s="449"/>
      <c r="L127" s="449"/>
      <c r="M127" s="449" t="str">
        <f>IF(L127="","",
IF(AX127="PT",VLOOKUP(L127,Foundation_Calc!$V$79:$X$113,VLOOKUP(AX127,Foundation_Calc!$I$10:$J$13,2,FALSE),0),
IF(AX127="K",VLOOKUP(L127,Foundation_Calc!$V$117:$X$151,VLOOKUP(AX127,Foundation_Calc!$I$10:$J$13,2,FALSE),0),"")))</f>
        <v/>
      </c>
      <c r="N127" s="449"/>
      <c r="O127" s="449"/>
      <c r="P127" s="449"/>
      <c r="Q127" s="4"/>
      <c r="R127" s="6"/>
      <c r="S127" s="6"/>
      <c r="T127" s="4"/>
      <c r="U127" s="4"/>
      <c r="V127" s="4"/>
      <c r="W127" s="9"/>
      <c r="X127" s="9"/>
      <c r="Y127" s="9"/>
      <c r="Z127" s="9"/>
      <c r="AA127" s="9"/>
      <c r="AB127" s="9"/>
      <c r="AC127" s="449" t="str">
        <f t="shared" si="22"/>
        <v/>
      </c>
      <c r="AD127" s="449"/>
      <c r="AE127" s="449"/>
      <c r="AF127" s="4"/>
      <c r="AG127" s="83"/>
      <c r="AH127" s="4"/>
      <c r="AI127" s="4"/>
      <c r="AJ127" s="449"/>
      <c r="AK127" s="449"/>
      <c r="AL127" s="449"/>
      <c r="AM127" s="449"/>
      <c r="AN127" s="10"/>
      <c r="AO127" s="9"/>
      <c r="AP127" s="9"/>
      <c r="AQ127" s="9">
        <f>+FL_2($T$128,$T$126,$G$127,1200,9.28,-1*$F$128)</f>
        <v>-0.43600286799999993</v>
      </c>
      <c r="AR127" s="9"/>
      <c r="AS127" s="9"/>
      <c r="AT127" s="9"/>
      <c r="AU127" s="428"/>
      <c r="AV127" s="428"/>
      <c r="AW127" s="449" t="str">
        <f>IF(C127&gt;0,VLOOKUP(C127,Foundation_Calc!$A$2:$C$13,3,1),
IF(J127&gt;0,VLOOKUP(J127,Foundation_Calc!$A$2:$C$13,3,1),""))</f>
        <v/>
      </c>
      <c r="AX127" s="449" t="str">
        <f>IF(C127&gt;0,VLOOKUP(C127,Foundation_Calc!$E$2:$G$33,3,1),
IF(J127&gt;0,VLOOKUP(J127,Foundation_Calc!$E$2:$G$33,3,1),""))</f>
        <v/>
      </c>
      <c r="AY127" s="10" t="str">
        <f>IF(L127="","",
IF(AX127="PT",VLOOKUP(L127,Foundation_Calc!$K$79:$R$113,VLOOKUP(AW127,Foundation_Calc!$I$2:$J$8,2,FALSE),0),
IF(AX127="K",VLOOKUP(L127,Foundation_Calc!$K$117:$R$151,VLOOKUP(AW127,Foundation_Calc!$I$2:$J$8,2,FALSE),0),"")))</f>
        <v/>
      </c>
      <c r="AZ127" s="10" t="str">
        <f>IF(K127="","",
IF(AX127="PT",VLOOKUP(K127,Foundation_Calc!$K$79:$R$113,VLOOKUP(AW127,Foundation_Calc!$I$2:$J$8,2,FALSE),0),
IF(AX127="K",VLOOKUP(K127,Foundation_Calc!$K$117:$R$151,VLOOKUP(AW127,Foundation_Calc!$I$2:$J$8,2,FALSE),0),"")))</f>
        <v/>
      </c>
      <c r="BA127" s="495" t="str">
        <f t="shared" si="23"/>
        <v/>
      </c>
      <c r="BB127" s="495" t="str">
        <f t="shared" si="24"/>
        <v/>
      </c>
      <c r="BC127" s="495" t="str">
        <f t="shared" si="25"/>
        <v/>
      </c>
      <c r="BD127" s="513" t="str">
        <f>IF(AND(L127="",H127=""),"",
IF(H127="",Pole_Calc!A$9,
IF(H127="MP",Pole_Calc!A$10,
IF(H127="AnMP",Pole_Calc!A$11,
IF(H127="A",Pole_Calc!A$12,
IF(H127="S/A",Pole_Calc!A$13,
IF(H127="A/S",Pole_Calc!A$14,"Poner a mano")))))))</f>
        <v/>
      </c>
      <c r="BE127" s="429" t="s">
        <v>118</v>
      </c>
      <c r="BF127" s="290"/>
      <c r="BG127" s="290"/>
      <c r="BH127" s="290"/>
      <c r="BI127" s="290"/>
    </row>
    <row r="128" spans="1:61" ht="16.149999999999999" customHeight="1">
      <c r="A128" s="514"/>
      <c r="B128" s="450" t="s">
        <v>222</v>
      </c>
      <c r="C128" s="3">
        <f>+$C$126+$G$127</f>
        <v>33419.75</v>
      </c>
      <c r="D128" s="83"/>
      <c r="E128" s="4"/>
      <c r="F128" s="4">
        <f>IF(C128&gt;0,VLOOKUP(C128,'ALIGNMENT TRACK'!$A$1:$K$81,9,1))</f>
        <v>0</v>
      </c>
      <c r="G128" s="6"/>
      <c r="H128" s="449"/>
      <c r="I128" s="4"/>
      <c r="J128" s="3"/>
      <c r="K128" s="449"/>
      <c r="L128" s="449" t="s">
        <v>153</v>
      </c>
      <c r="M128" s="449" t="str">
        <f>IF(L128="","",
IF(AX128="PT",VLOOKUP(L128,Foundation_Calc!$V$79:$X$113,VLOOKUP(AX128,Foundation_Calc!$I$10:$J$13,2,FALSE),0),
IF(AX128="K",VLOOKUP(L128,Foundation_Calc!$V$117:$X$151,VLOOKUP(AX128,Foundation_Calc!$I$10:$J$13,2,FALSE),0),"")))</f>
        <v>C3R</v>
      </c>
      <c r="N128" s="449" t="s">
        <v>134</v>
      </c>
      <c r="O128" s="449"/>
      <c r="P128" s="449"/>
      <c r="Q128" s="4"/>
      <c r="R128" s="6"/>
      <c r="S128" s="6"/>
      <c r="T128" s="4">
        <v>35</v>
      </c>
      <c r="U128" s="4"/>
      <c r="V128" s="4"/>
      <c r="W128" s="9">
        <v>1.4</v>
      </c>
      <c r="X128" s="9"/>
      <c r="Y128" s="9"/>
      <c r="Z128" s="9"/>
      <c r="AA128" s="9"/>
      <c r="AB128" s="9"/>
      <c r="AC128" s="449" t="str">
        <f t="shared" si="22"/>
        <v>PH</v>
      </c>
      <c r="AD128" s="449"/>
      <c r="AE128" s="449"/>
      <c r="AF128" s="4"/>
      <c r="AG128" s="83"/>
      <c r="AH128" s="4"/>
      <c r="AI128" s="4"/>
      <c r="AJ128" s="449"/>
      <c r="AK128" s="449"/>
      <c r="AL128" s="449"/>
      <c r="AM128" s="449" t="s">
        <v>126</v>
      </c>
      <c r="AN128" s="10">
        <v>5.5</v>
      </c>
      <c r="AO128" s="9"/>
      <c r="AP128" s="9"/>
      <c r="AQ128" s="9"/>
      <c r="AR128" s="9"/>
      <c r="AS128" s="9"/>
      <c r="AT128" s="9">
        <f>+ab($T$128,$T$126,$T$130,$G$127,$G$129,-1*$F$128,1200)</f>
        <v>8.1681606014296726</v>
      </c>
      <c r="AU128" s="428"/>
      <c r="AV128" s="428"/>
      <c r="AW128" s="449" t="str">
        <f>IF(C128&gt;0,VLOOKUP(C128,Foundation_Calc!$A$2:$C$13,3,1),
IF(J128&gt;0,VLOOKUP(J128,Foundation_Calc!$A$2:$C$13,3,1),""))</f>
        <v>Multi Soil</v>
      </c>
      <c r="AX128" s="449" t="str">
        <f>IF(C128&gt;0,VLOOKUP(C128,Foundation_Calc!$E$2:$G$33,3,1),
IF(J128&gt;0,VLOOKUP(J128,Foundation_Calc!$E$2:$G$33,3,1),""))</f>
        <v>PT</v>
      </c>
      <c r="AY128" s="10">
        <f>IF(L128="","",
IF(AX128="PT",VLOOKUP(L128,Foundation_Calc!$K$79:$R$113,VLOOKUP(AW128,Foundation_Calc!$I$2:$J$8,2,FALSE),0),
IF(AX128="K",VLOOKUP(L128,Foundation_Calc!$K$117:$R$151,VLOOKUP(AW128,Foundation_Calc!$I$2:$J$8,2,FALSE),0),"")))</f>
        <v>3.5</v>
      </c>
      <c r="AZ128" s="10" t="str">
        <f>IF(K128="","",
IF(AX128="PT",VLOOKUP(K128,Foundation_Calc!$K$79:$R$113,VLOOKUP(AW128,Foundation_Calc!$I$2:$J$8,2,FALSE),0),
IF(AX128="K",VLOOKUP(K128,Foundation_Calc!$K$117:$R$151,VLOOKUP(AW128,Foundation_Calc!$I$2:$J$8,2,FALSE),0),"")))</f>
        <v/>
      </c>
      <c r="BA128" s="495" t="str">
        <f t="shared" si="23"/>
        <v>ü</v>
      </c>
      <c r="BB128" s="495" t="str">
        <f t="shared" si="24"/>
        <v/>
      </c>
      <c r="BC128" s="495" t="str">
        <f t="shared" si="25"/>
        <v/>
      </c>
      <c r="BD128" s="513" t="str">
        <f>IF(AND(L128="",H128=""),"",
IF(H128="",Pole_Calc!A$9,
IF(H128="MP",Pole_Calc!A$10,
IF(H128="AnMP",Pole_Calc!A$11,
IF(H128="A",Pole_Calc!A$12,
IF(H128="S/A",Pole_Calc!A$13,
IF(H128="A/S",Pole_Calc!A$14,"Poner a mano")))))))</f>
        <v>App.7-V11I-P9.5.1.1</v>
      </c>
      <c r="BE128" s="429" t="s">
        <v>118</v>
      </c>
      <c r="BF128" s="289"/>
      <c r="BG128" s="289"/>
      <c r="BH128" s="290"/>
      <c r="BI128" s="289"/>
    </row>
    <row r="129" spans="1:61" ht="16.149999999999999" customHeight="1">
      <c r="A129" s="514" t="s">
        <v>169</v>
      </c>
      <c r="B129" s="450"/>
      <c r="C129" s="3"/>
      <c r="D129" s="83"/>
      <c r="E129" s="4"/>
      <c r="F129" s="4"/>
      <c r="G129" s="6">
        <v>60</v>
      </c>
      <c r="H129" s="449"/>
      <c r="I129" s="4"/>
      <c r="J129" s="3"/>
      <c r="K129" s="449"/>
      <c r="L129" s="449"/>
      <c r="M129" s="449" t="str">
        <f>IF(L129="","",
IF(AX129="PT",VLOOKUP(L129,Foundation_Calc!$V$79:$X$113,VLOOKUP(AX129,Foundation_Calc!$I$10:$J$13,2,FALSE),0),
IF(AX129="K",VLOOKUP(L129,Foundation_Calc!$V$117:$X$151,VLOOKUP(AX129,Foundation_Calc!$I$10:$J$13,2,FALSE),0),"")))</f>
        <v/>
      </c>
      <c r="N129" s="449"/>
      <c r="O129" s="449"/>
      <c r="P129" s="449"/>
      <c r="Q129" s="4"/>
      <c r="R129" s="6"/>
      <c r="S129" s="6"/>
      <c r="T129" s="4"/>
      <c r="U129" s="4"/>
      <c r="V129" s="4"/>
      <c r="W129" s="9"/>
      <c r="X129" s="9"/>
      <c r="Y129" s="9"/>
      <c r="Z129" s="9"/>
      <c r="AA129" s="9"/>
      <c r="AB129" s="9"/>
      <c r="AC129" s="449" t="str">
        <f t="shared" si="22"/>
        <v/>
      </c>
      <c r="AD129" s="449"/>
      <c r="AE129" s="449"/>
      <c r="AF129" s="4"/>
      <c r="AG129" s="83"/>
      <c r="AH129" s="4"/>
      <c r="AI129" s="4"/>
      <c r="AJ129" s="449"/>
      <c r="AK129" s="449"/>
      <c r="AL129" s="449"/>
      <c r="AM129" s="449"/>
      <c r="AN129" s="10"/>
      <c r="AO129" s="9"/>
      <c r="AP129" s="9"/>
      <c r="AQ129" s="9">
        <f>+FL_2($T$130,$T$128,$G$129,1200,9.28,-1*$F$130)</f>
        <v>-0.43600286799999999</v>
      </c>
      <c r="AR129" s="9"/>
      <c r="AS129" s="9"/>
      <c r="AT129" s="9"/>
      <c r="AU129" s="428"/>
      <c r="AV129" s="428"/>
      <c r="AW129" s="449" t="str">
        <f>IF(C129&gt;0,VLOOKUP(C129,Foundation_Calc!$A$2:$C$13,3,1),
IF(J129&gt;0,VLOOKUP(J129,Foundation_Calc!$A$2:$C$13,3,1),""))</f>
        <v/>
      </c>
      <c r="AX129" s="449" t="str">
        <f>IF(C129&gt;0,VLOOKUP(C129,Foundation_Calc!$E$2:$G$33,3,1),
IF(J129&gt;0,VLOOKUP(J129,Foundation_Calc!$E$2:$G$33,3,1),""))</f>
        <v/>
      </c>
      <c r="AY129" s="10" t="str">
        <f>IF(L129="","",
IF(AX129="PT",VLOOKUP(L129,Foundation_Calc!$K$79:$R$113,VLOOKUP(AW129,Foundation_Calc!$I$2:$J$8,2,FALSE),0),
IF(AX129="K",VLOOKUP(L129,Foundation_Calc!$K$117:$R$151,VLOOKUP(AW129,Foundation_Calc!$I$2:$J$8,2,FALSE),0),"")))</f>
        <v/>
      </c>
      <c r="AZ129" s="10" t="str">
        <f>IF(K129="","",
IF(AX129="PT",VLOOKUP(K129,Foundation_Calc!$K$79:$R$113,VLOOKUP(AW129,Foundation_Calc!$I$2:$J$8,2,FALSE),0),
IF(AX129="K",VLOOKUP(K129,Foundation_Calc!$K$117:$R$151,VLOOKUP(AW129,Foundation_Calc!$I$2:$J$8,2,FALSE),0),"")))</f>
        <v/>
      </c>
      <c r="BA129" s="495" t="str">
        <f t="shared" si="23"/>
        <v/>
      </c>
      <c r="BB129" s="495" t="str">
        <f t="shared" si="24"/>
        <v/>
      </c>
      <c r="BC129" s="495" t="str">
        <f t="shared" si="25"/>
        <v/>
      </c>
      <c r="BD129" s="513" t="str">
        <f>IF(AND(L129="",H129=""),"",
IF(H129="",Pole_Calc!A$9,
IF(H129="MP",Pole_Calc!A$10,
IF(H129="AnMP",Pole_Calc!A$11,
IF(H129="A",Pole_Calc!A$12,
IF(H129="S/A",Pole_Calc!A$13,
IF(H129="A/S",Pole_Calc!A$14,"Poner a mano")))))))</f>
        <v/>
      </c>
      <c r="BE129" s="429" t="s">
        <v>118</v>
      </c>
      <c r="BF129" s="290"/>
      <c r="BG129" s="290"/>
      <c r="BH129" s="290"/>
      <c r="BI129" s="290"/>
    </row>
    <row r="130" spans="1:61" ht="16.149999999999999" customHeight="1">
      <c r="A130" s="514"/>
      <c r="B130" s="450" t="s">
        <v>223</v>
      </c>
      <c r="C130" s="3">
        <f>+$C$128+$G$129</f>
        <v>33479.75</v>
      </c>
      <c r="D130" s="83"/>
      <c r="E130" s="4"/>
      <c r="F130" s="4">
        <f>IF(C130&gt;0,VLOOKUP(C130,'ALIGNMENT TRACK'!$A$1:$K$81,9,1))</f>
        <v>0</v>
      </c>
      <c r="G130" s="6"/>
      <c r="H130" s="449"/>
      <c r="I130" s="4"/>
      <c r="J130" s="3"/>
      <c r="K130" s="449"/>
      <c r="L130" s="449" t="s">
        <v>153</v>
      </c>
      <c r="M130" s="449" t="str">
        <f>IF(L130="","",
IF(AX130="PT",VLOOKUP(L130,Foundation_Calc!$V$79:$X$113,VLOOKUP(AX130,Foundation_Calc!$I$10:$J$13,2,FALSE),0),
IF(AX130="K",VLOOKUP(L130,Foundation_Calc!$V$117:$X$151,VLOOKUP(AX130,Foundation_Calc!$I$10:$J$13,2,FALSE),0),"")))</f>
        <v>C3R</v>
      </c>
      <c r="N130" s="449" t="s">
        <v>124</v>
      </c>
      <c r="O130" s="449"/>
      <c r="P130" s="449"/>
      <c r="Q130" s="4"/>
      <c r="R130" s="6"/>
      <c r="S130" s="6"/>
      <c r="T130" s="4">
        <v>-35</v>
      </c>
      <c r="U130" s="4"/>
      <c r="V130" s="4"/>
      <c r="W130" s="9">
        <v>1.4</v>
      </c>
      <c r="X130" s="9"/>
      <c r="Y130" s="9"/>
      <c r="Z130" s="9"/>
      <c r="AA130" s="9"/>
      <c r="AB130" s="9"/>
      <c r="AC130" s="449" t="str">
        <f t="shared" si="22"/>
        <v>PH</v>
      </c>
      <c r="AD130" s="449"/>
      <c r="AE130" s="449"/>
      <c r="AF130" s="4"/>
      <c r="AG130" s="83"/>
      <c r="AH130" s="4"/>
      <c r="AI130" s="4"/>
      <c r="AJ130" s="449"/>
      <c r="AK130" s="449"/>
      <c r="AL130" s="449"/>
      <c r="AM130" s="449" t="s">
        <v>126</v>
      </c>
      <c r="AN130" s="10">
        <v>5.5</v>
      </c>
      <c r="AO130" s="9"/>
      <c r="AP130" s="9"/>
      <c r="AQ130" s="9"/>
      <c r="AR130" s="9"/>
      <c r="AS130" s="9"/>
      <c r="AT130" s="9">
        <f>+ab($T$130,$T$128,$T$132,$G$129,$G$131,-1*$F$130,1200)</f>
        <v>-14.999185883002529</v>
      </c>
      <c r="AU130" s="428"/>
      <c r="AV130" s="428"/>
      <c r="AW130" s="449" t="str">
        <f>IF(C130&gt;0,VLOOKUP(C130,Foundation_Calc!$A$2:$C$13,3,1),
IF(J130&gt;0,VLOOKUP(J130,Foundation_Calc!$A$2:$C$13,3,1),""))</f>
        <v>Multi Soil</v>
      </c>
      <c r="AX130" s="449" t="str">
        <f>IF(C130&gt;0,VLOOKUP(C130,Foundation_Calc!$E$2:$G$33,3,1),
IF(J130&gt;0,VLOOKUP(J130,Foundation_Calc!$E$2:$G$33,3,1),""))</f>
        <v>PT</v>
      </c>
      <c r="AY130" s="10">
        <f>IF(L130="","",
IF(AX130="PT",VLOOKUP(L130,Foundation_Calc!$K$79:$R$113,VLOOKUP(AW130,Foundation_Calc!$I$2:$J$8,2,FALSE),0),
IF(AX130="K",VLOOKUP(L130,Foundation_Calc!$K$117:$R$151,VLOOKUP(AW130,Foundation_Calc!$I$2:$J$8,2,FALSE),0),"")))</f>
        <v>3.5</v>
      </c>
      <c r="AZ130" s="10" t="str">
        <f>IF(K130="","",
IF(AX130="PT",VLOOKUP(K130,Foundation_Calc!$K$79:$R$113,VLOOKUP(AW130,Foundation_Calc!$I$2:$J$8,2,FALSE),0),
IF(AX130="K",VLOOKUP(K130,Foundation_Calc!$K$117:$R$151,VLOOKUP(AW130,Foundation_Calc!$I$2:$J$8,2,FALSE),0),"")))</f>
        <v/>
      </c>
      <c r="BA130" s="495" t="str">
        <f t="shared" si="23"/>
        <v>ü</v>
      </c>
      <c r="BB130" s="495" t="str">
        <f t="shared" si="24"/>
        <v/>
      </c>
      <c r="BC130" s="495" t="str">
        <f t="shared" si="25"/>
        <v/>
      </c>
      <c r="BD130" s="513" t="str">
        <f>IF(AND(L130="",H130=""),"",
IF(H130="",Pole_Calc!A$9,
IF(H130="MP",Pole_Calc!A$10,
IF(H130="AnMP",Pole_Calc!A$11,
IF(H130="A",Pole_Calc!A$12,
IF(H130="S/A",Pole_Calc!A$13,
IF(H130="A/S",Pole_Calc!A$14,"Poner a mano")))))))</f>
        <v>App.7-V11I-P9.5.1.1</v>
      </c>
      <c r="BE130" s="429" t="s">
        <v>118</v>
      </c>
      <c r="BF130" s="289"/>
      <c r="BG130" s="289"/>
      <c r="BH130" s="290"/>
      <c r="BI130" s="289"/>
    </row>
    <row r="131" spans="1:61" ht="16.149999999999999" customHeight="1">
      <c r="A131" s="514"/>
      <c r="B131" s="450"/>
      <c r="C131" s="3"/>
      <c r="D131" s="83"/>
      <c r="E131" s="4"/>
      <c r="F131" s="4"/>
      <c r="G131" s="6">
        <v>60</v>
      </c>
      <c r="H131" s="449"/>
      <c r="I131" s="4"/>
      <c r="J131" s="3"/>
      <c r="K131" s="449"/>
      <c r="L131" s="449"/>
      <c r="M131" s="449" t="str">
        <f>IF(L131="","",
IF(AX131="PT",VLOOKUP(L131,Foundation_Calc!$V$79:$X$113,VLOOKUP(AX131,Foundation_Calc!$I$10:$J$13,2,FALSE),0),
IF(AX131="K",VLOOKUP(L131,Foundation_Calc!$V$117:$X$151,VLOOKUP(AX131,Foundation_Calc!$I$10:$J$13,2,FALSE),0),"")))</f>
        <v/>
      </c>
      <c r="N131" s="449"/>
      <c r="O131" s="561"/>
      <c r="P131" s="449"/>
      <c r="Q131" s="4"/>
      <c r="R131" s="6"/>
      <c r="S131" s="6"/>
      <c r="T131" s="4"/>
      <c r="U131" s="4"/>
      <c r="V131" s="4"/>
      <c r="W131" s="9"/>
      <c r="X131" s="9"/>
      <c r="Y131" s="9"/>
      <c r="Z131" s="9"/>
      <c r="AA131" s="9"/>
      <c r="AB131" s="9"/>
      <c r="AC131" s="449" t="str">
        <f t="shared" si="22"/>
        <v/>
      </c>
      <c r="AD131" s="449"/>
      <c r="AE131" s="449"/>
      <c r="AF131" s="4"/>
      <c r="AG131" s="83"/>
      <c r="AH131" s="4"/>
      <c r="AI131" s="4"/>
      <c r="AJ131" s="449"/>
      <c r="AK131" s="449"/>
      <c r="AL131" s="449"/>
      <c r="AM131" s="449"/>
      <c r="AN131" s="10"/>
      <c r="AO131" s="9"/>
      <c r="AP131" s="9"/>
      <c r="AQ131" s="9">
        <f>+FL_1($T$132,$T$130,$G$131,1200,9.28,-1*$F$132)</f>
        <v>2.3448991999999995E-2</v>
      </c>
      <c r="AR131" s="9"/>
      <c r="AS131" s="9"/>
      <c r="AT131" s="9"/>
      <c r="AU131" s="428"/>
      <c r="AV131" s="428"/>
      <c r="AW131" s="449" t="str">
        <f>IF(C131&gt;0,VLOOKUP(C131,Foundation_Calc!$A$2:$C$13,3,1),
IF(J131&gt;0,VLOOKUP(J131,Foundation_Calc!$A$2:$C$13,3,1),""))</f>
        <v/>
      </c>
      <c r="AX131" s="449" t="str">
        <f>IF(C131&gt;0,VLOOKUP(C131,Foundation_Calc!$E$2:$G$33,3,1),
IF(J131&gt;0,VLOOKUP(J131,Foundation_Calc!$E$2:$G$33,3,1),""))</f>
        <v/>
      </c>
      <c r="AY131" s="10" t="str">
        <f>IF(L131="","",
IF(AX131="PT",VLOOKUP(L131,Foundation_Calc!$K$79:$R$113,VLOOKUP(AW131,Foundation_Calc!$I$2:$J$8,2,FALSE),0),
IF(AX131="K",VLOOKUP(L131,Foundation_Calc!$K$117:$R$151,VLOOKUP(AW131,Foundation_Calc!$I$2:$J$8,2,FALSE),0),"")))</f>
        <v/>
      </c>
      <c r="AZ131" s="10" t="str">
        <f>IF(K131="","",
IF(AX131="PT",VLOOKUP(K131,Foundation_Calc!$K$79:$R$113,VLOOKUP(AW131,Foundation_Calc!$I$2:$J$8,2,FALSE),0),
IF(AX131="K",VLOOKUP(K131,Foundation_Calc!$K$117:$R$151,VLOOKUP(AW131,Foundation_Calc!$I$2:$J$8,2,FALSE),0),"")))</f>
        <v/>
      </c>
      <c r="BA131" s="495" t="str">
        <f t="shared" si="23"/>
        <v/>
      </c>
      <c r="BB131" s="495" t="str">
        <f t="shared" si="24"/>
        <v/>
      </c>
      <c r="BC131" s="495" t="str">
        <f t="shared" si="25"/>
        <v/>
      </c>
      <c r="BD131" s="513" t="str">
        <f>IF(AND(L131="",H131=""),"",
IF(H131="",Pole_Calc!A$9,
IF(H131="MP",Pole_Calc!A$10,
IF(H131="AnMP",Pole_Calc!A$11,
IF(H131="A",Pole_Calc!A$12,
IF(H131="S/A",Pole_Calc!A$13,
IF(H131="A/S",Pole_Calc!A$14,"Poner a mano")))))))</f>
        <v/>
      </c>
      <c r="BE131" s="429" t="s">
        <v>118</v>
      </c>
      <c r="BF131" s="290"/>
      <c r="BG131" s="290"/>
      <c r="BH131" s="290"/>
      <c r="BI131" s="290"/>
    </row>
    <row r="132" spans="1:61" ht="16.149999999999999" customHeight="1">
      <c r="A132" s="514"/>
      <c r="B132" s="450" t="s">
        <v>224</v>
      </c>
      <c r="C132" s="3">
        <f>+$C$130+$G$131</f>
        <v>33539.75</v>
      </c>
      <c r="D132" s="83"/>
      <c r="E132" s="4"/>
      <c r="F132" s="4">
        <f>IF(C132&gt;0,VLOOKUP(C132,'ALIGNMENT TRACK'!$A$1:$K$81,9,1))</f>
        <v>0</v>
      </c>
      <c r="G132" s="6"/>
      <c r="H132" s="449"/>
      <c r="I132" s="4"/>
      <c r="J132" s="3"/>
      <c r="K132" s="449"/>
      <c r="L132" s="449" t="s">
        <v>153</v>
      </c>
      <c r="M132" s="449" t="str">
        <f>IF(L132="","",
IF(AX132="PT",VLOOKUP(L132,Foundation_Calc!$V$79:$X$113,VLOOKUP(AX132,Foundation_Calc!$I$10:$J$13,2,FALSE),0),
IF(AX132="K",VLOOKUP(L132,Foundation_Calc!$V$117:$X$151,VLOOKUP(AX132,Foundation_Calc!$I$10:$J$13,2,FALSE),0),"")))</f>
        <v>C3R</v>
      </c>
      <c r="N132" s="449" t="s">
        <v>124</v>
      </c>
      <c r="O132" s="553"/>
      <c r="P132" s="449"/>
      <c r="Q132" s="4"/>
      <c r="R132" s="6"/>
      <c r="S132" s="6"/>
      <c r="T132" s="4">
        <v>-30</v>
      </c>
      <c r="U132" s="4"/>
      <c r="V132" s="4"/>
      <c r="W132" s="9">
        <v>1.4</v>
      </c>
      <c r="X132" s="9"/>
      <c r="Y132" s="9"/>
      <c r="Z132" s="9"/>
      <c r="AA132" s="9"/>
      <c r="AB132" s="9"/>
      <c r="AC132" s="449" t="str">
        <f t="shared" si="22"/>
        <v>PH</v>
      </c>
      <c r="AD132" s="449"/>
      <c r="AE132" s="449"/>
      <c r="AF132" s="4"/>
      <c r="AG132" s="83"/>
      <c r="AH132" s="4"/>
      <c r="AI132" s="4"/>
      <c r="AJ132" s="449"/>
      <c r="AK132" s="449"/>
      <c r="AL132" s="449"/>
      <c r="AM132" s="449" t="s">
        <v>126</v>
      </c>
      <c r="AN132" s="10">
        <v>5.5</v>
      </c>
      <c r="AO132" s="9"/>
      <c r="AP132" s="9"/>
      <c r="AQ132" s="9"/>
      <c r="AR132" s="9"/>
      <c r="AS132" s="9"/>
      <c r="AT132" s="9">
        <f>+ab($T$132,$T$130,$T$134,$G$131,$G$133,-1*$F$132,1200)</f>
        <v>-19.768157432203889</v>
      </c>
      <c r="AU132" s="428"/>
      <c r="AV132" s="428"/>
      <c r="AW132" s="449" t="str">
        <f>IF(C132&gt;0,VLOOKUP(C132,Foundation_Calc!$A$2:$C$13,3,1),
IF(J132&gt;0,VLOOKUP(J132,Foundation_Calc!$A$2:$C$13,3,1),""))</f>
        <v>Multi Soil</v>
      </c>
      <c r="AX132" s="449" t="str">
        <f>IF(C132&gt;0,VLOOKUP(C132,Foundation_Calc!$E$2:$G$33,3,1),
IF(J132&gt;0,VLOOKUP(J132,Foundation_Calc!$E$2:$G$33,3,1),""))</f>
        <v>PT</v>
      </c>
      <c r="AY132" s="10">
        <f>IF(L132="","",
IF(AX132="PT",VLOOKUP(L132,Foundation_Calc!$K$79:$R$113,VLOOKUP(AW132,Foundation_Calc!$I$2:$J$8,2,FALSE),0),
IF(AX132="K",VLOOKUP(L132,Foundation_Calc!$K$117:$R$151,VLOOKUP(AW132,Foundation_Calc!$I$2:$J$8,2,FALSE),0),"")))</f>
        <v>3.5</v>
      </c>
      <c r="AZ132" s="10" t="str">
        <f>IF(K132="","",
IF(AX132="PT",VLOOKUP(K132,Foundation_Calc!$K$79:$R$113,VLOOKUP(AW132,Foundation_Calc!$I$2:$J$8,2,FALSE),0),
IF(AX132="K",VLOOKUP(K132,Foundation_Calc!$K$117:$R$151,VLOOKUP(AW132,Foundation_Calc!$I$2:$J$8,2,FALSE),0),"")))</f>
        <v/>
      </c>
      <c r="BA132" s="495" t="str">
        <f t="shared" si="23"/>
        <v>ü</v>
      </c>
      <c r="BB132" s="495" t="str">
        <f t="shared" si="24"/>
        <v/>
      </c>
      <c r="BC132" s="495" t="str">
        <f t="shared" si="25"/>
        <v/>
      </c>
      <c r="BD132" s="513" t="str">
        <f>IF(AND(L132="",H132=""),"",
IF(H132="",Pole_Calc!A$9,
IF(H132="MP",Pole_Calc!A$10,
IF(H132="AnMP",Pole_Calc!A$11,
IF(H132="A",Pole_Calc!A$12,
IF(H132="S/A",Pole_Calc!A$13,
IF(H132="A/S",Pole_Calc!A$14,"Poner a mano")))))))</f>
        <v>App.7-V11I-P9.5.1.1</v>
      </c>
      <c r="BE132" s="429" t="s">
        <v>118</v>
      </c>
      <c r="BF132" s="289"/>
      <c r="BG132" s="289"/>
      <c r="BH132" s="290"/>
      <c r="BI132" s="289"/>
    </row>
    <row r="133" spans="1:61" ht="16.149999999999999" customHeight="1">
      <c r="A133" s="514"/>
      <c r="B133" s="450"/>
      <c r="C133" s="3"/>
      <c r="D133" s="83"/>
      <c r="E133" s="4"/>
      <c r="F133" s="4"/>
      <c r="G133" s="6">
        <v>59.1</v>
      </c>
      <c r="H133" s="449"/>
      <c r="I133" s="4"/>
      <c r="J133" s="3"/>
      <c r="K133" s="449"/>
      <c r="L133" s="449"/>
      <c r="M133" s="449" t="str">
        <f>IF(L133="","",
IF(AX133="PT",VLOOKUP(L133,Foundation_Calc!$V$79:$X$113,VLOOKUP(AX133,Foundation_Calc!$I$10:$J$13,2,FALSE),0),
IF(AX133="K",VLOOKUP(L133,Foundation_Calc!$V$117:$X$151,VLOOKUP(AX133,Foundation_Calc!$I$10:$J$13,2,FALSE),0),"")))</f>
        <v/>
      </c>
      <c r="N133" s="449"/>
      <c r="O133" s="561"/>
      <c r="P133" s="449"/>
      <c r="Q133" s="4"/>
      <c r="R133" s="6"/>
      <c r="S133" s="6"/>
      <c r="T133" s="4"/>
      <c r="U133" s="4"/>
      <c r="V133" s="4"/>
      <c r="W133" s="9"/>
      <c r="X133" s="9"/>
      <c r="Y133" s="9"/>
      <c r="Z133" s="9"/>
      <c r="AA133" s="9"/>
      <c r="AB133" s="9"/>
      <c r="AC133" s="449" t="str">
        <f t="shared" ref="AC133:AC193" si="26">IF(OR(AT133&gt;8,AT133&lt;-8),"PH",
IF(OR(AT133&gt;5,AT133&lt;-5),"PHQ",
IF(OR(AT133&gt;1,AT133&lt;-1),
"PHC","")))</f>
        <v/>
      </c>
      <c r="AD133" s="449"/>
      <c r="AE133" s="449"/>
      <c r="AF133" s="4"/>
      <c r="AG133" s="83"/>
      <c r="AH133" s="4"/>
      <c r="AI133" s="4"/>
      <c r="AJ133" s="449"/>
      <c r="AK133" s="449"/>
      <c r="AL133" s="449"/>
      <c r="AM133" s="449"/>
      <c r="AN133" s="10"/>
      <c r="AO133" s="9"/>
      <c r="AP133" s="9"/>
      <c r="AQ133" s="9">
        <f>+FL_1($T$134,$T$132,$G$133,1200,9.28,-1*$F$134)</f>
        <v>0.40427765771912011</v>
      </c>
      <c r="AR133" s="9"/>
      <c r="AS133" s="9"/>
      <c r="AT133" s="9"/>
      <c r="AU133" s="428"/>
      <c r="AV133" s="428"/>
      <c r="AW133" s="449" t="str">
        <f>IF(C133&gt;0,VLOOKUP(C133,Foundation_Calc!$A$2:$C$13,3,1),
IF(J133&gt;0,VLOOKUP(J133,Foundation_Calc!$A$2:$C$13,3,1),""))</f>
        <v/>
      </c>
      <c r="AX133" s="449" t="str">
        <f>IF(C133&gt;0,VLOOKUP(C133,Foundation_Calc!$E$2:$G$33,3,1),
IF(J133&gt;0,VLOOKUP(J133,Foundation_Calc!$E$2:$G$33,3,1),""))</f>
        <v/>
      </c>
      <c r="AY133" s="10" t="str">
        <f>IF(L133="","",
IF(AX133="PT",VLOOKUP(L133,Foundation_Calc!$K$79:$R$113,VLOOKUP(AW133,Foundation_Calc!$I$2:$J$8,2,FALSE),0),
IF(AX133="K",VLOOKUP(L133,Foundation_Calc!$K$117:$R$151,VLOOKUP(AW133,Foundation_Calc!$I$2:$J$8,2,FALSE),0),"")))</f>
        <v/>
      </c>
      <c r="AZ133" s="10" t="str">
        <f>IF(K133="","",
IF(AX133="PT",VLOOKUP(K133,Foundation_Calc!$K$79:$R$113,VLOOKUP(AW133,Foundation_Calc!$I$2:$J$8,2,FALSE),0),
IF(AX133="K",VLOOKUP(K133,Foundation_Calc!$K$117:$R$151,VLOOKUP(AW133,Foundation_Calc!$I$2:$J$8,2,FALSE),0),"")))</f>
        <v/>
      </c>
      <c r="BA133" s="495" t="str">
        <f t="shared" si="23"/>
        <v/>
      </c>
      <c r="BB133" s="495" t="str">
        <f t="shared" si="24"/>
        <v/>
      </c>
      <c r="BC133" s="495" t="str">
        <f t="shared" si="25"/>
        <v/>
      </c>
      <c r="BD133" s="513" t="str">
        <f>IF(AND(L133="",H133=""),"",
IF(H133="",Pole_Calc!A$9,
IF(H133="MP",Pole_Calc!A$10,
IF(H133="AnMP",Pole_Calc!A$11,
IF(H133="A",Pole_Calc!A$12,
IF(H133="S/A",Pole_Calc!A$13,
IF(H133="A/S",Pole_Calc!A$14,"Poner a mano")))))))</f>
        <v/>
      </c>
      <c r="BE133" s="429" t="s">
        <v>118</v>
      </c>
      <c r="BF133" s="290"/>
      <c r="BG133" s="290"/>
      <c r="BH133" s="290"/>
      <c r="BI133" s="290"/>
    </row>
    <row r="134" spans="1:61" ht="16.149999999999999" customHeight="1">
      <c r="A134" s="514"/>
      <c r="B134" s="450" t="s">
        <v>225</v>
      </c>
      <c r="C134" s="3">
        <f>+$C$132+$G$133</f>
        <v>33598.85</v>
      </c>
      <c r="D134" s="83"/>
      <c r="E134" s="4"/>
      <c r="F134" s="4">
        <f>IF(C134&gt;0,VLOOKUP(C134,'ALIGNMENT TRACK'!$A$1:$K$81,9,1))</f>
        <v>0</v>
      </c>
      <c r="G134" s="6"/>
      <c r="H134" s="449"/>
      <c r="I134" s="4"/>
      <c r="J134" s="3"/>
      <c r="K134" s="449"/>
      <c r="L134" s="449" t="s">
        <v>153</v>
      </c>
      <c r="M134" s="449" t="str">
        <f>IF(L134="","",
IF(AX134="PT",VLOOKUP(L134,Foundation_Calc!$V$79:$X$113,VLOOKUP(AX134,Foundation_Calc!$I$10:$J$13,2,FALSE),0),
IF(AX134="K",VLOOKUP(L134,Foundation_Calc!$V$117:$X$151,VLOOKUP(AX134,Foundation_Calc!$I$10:$J$13,2,FALSE),0),"")))</f>
        <v>C3R</v>
      </c>
      <c r="N134" s="449" t="s">
        <v>134</v>
      </c>
      <c r="O134" s="449"/>
      <c r="P134" s="449"/>
      <c r="Q134" s="4"/>
      <c r="R134" s="6"/>
      <c r="S134" s="6"/>
      <c r="T134" s="4">
        <v>30</v>
      </c>
      <c r="U134" s="4"/>
      <c r="V134" s="4"/>
      <c r="W134" s="572">
        <v>1.2</v>
      </c>
      <c r="X134" s="9"/>
      <c r="Y134" s="9"/>
      <c r="Z134" s="9"/>
      <c r="AA134" s="9"/>
      <c r="AB134" s="9"/>
      <c r="AC134" s="449" t="str">
        <f t="shared" si="26"/>
        <v>PH</v>
      </c>
      <c r="AD134" s="449"/>
      <c r="AE134" s="449"/>
      <c r="AF134" s="4"/>
      <c r="AG134" s="83"/>
      <c r="AH134" s="4"/>
      <c r="AI134" s="4"/>
      <c r="AJ134" s="449"/>
      <c r="AK134" s="449"/>
      <c r="AL134" s="449"/>
      <c r="AM134" s="449" t="s">
        <v>126</v>
      </c>
      <c r="AN134" s="10">
        <v>5.5</v>
      </c>
      <c r="AO134" s="9"/>
      <c r="AP134" s="9"/>
      <c r="AQ134" s="9"/>
      <c r="AR134" s="9"/>
      <c r="AS134" s="9"/>
      <c r="AT134" s="9">
        <f>+ab($T$134,$T$132,$T$136,$G$133,$G$135,-1*$F$134,1200)</f>
        <v>10.079491428823802</v>
      </c>
      <c r="AU134" s="428"/>
      <c r="AV134" s="428"/>
      <c r="AW134" s="449" t="str">
        <f>IF(C134&gt;0,VLOOKUP(C134,Foundation_Calc!$A$2:$C$13,3,1),
IF(J134&gt;0,VLOOKUP(J134,Foundation_Calc!$A$2:$C$13,3,1),""))</f>
        <v>Multi Soil</v>
      </c>
      <c r="AX134" s="449" t="str">
        <f>IF(C134&gt;0,VLOOKUP(C134,Foundation_Calc!$E$2:$G$33,3,1),
IF(J134&gt;0,VLOOKUP(J134,Foundation_Calc!$E$2:$G$33,3,1),""))</f>
        <v>PT</v>
      </c>
      <c r="AY134" s="10">
        <f>IF(L134="","",
IF(AX134="PT",VLOOKUP(L134,Foundation_Calc!$K$79:$R$113,VLOOKUP(AW134,Foundation_Calc!$I$2:$J$8,2,FALSE),0),
IF(AX134="K",VLOOKUP(L134,Foundation_Calc!$K$117:$R$151,VLOOKUP(AW134,Foundation_Calc!$I$2:$J$8,2,FALSE),0),"")))</f>
        <v>3.5</v>
      </c>
      <c r="AZ134" s="10" t="str">
        <f>IF(K134="","",
IF(AX134="PT",VLOOKUP(K134,Foundation_Calc!$K$79:$R$113,VLOOKUP(AW134,Foundation_Calc!$I$2:$J$8,2,FALSE),0),
IF(AX134="K",VLOOKUP(K134,Foundation_Calc!$K$117:$R$151,VLOOKUP(AW134,Foundation_Calc!$I$2:$J$8,2,FALSE),0),"")))</f>
        <v/>
      </c>
      <c r="BA134" s="495" t="str">
        <f t="shared" si="23"/>
        <v>ü</v>
      </c>
      <c r="BB134" s="495" t="str">
        <f t="shared" si="24"/>
        <v/>
      </c>
      <c r="BC134" s="495" t="str">
        <f t="shared" si="25"/>
        <v/>
      </c>
      <c r="BD134" s="513" t="str">
        <f>IF(AND(L134="",H134=""),"",
IF(H134="",Pole_Calc!A$9,
IF(H134="MP",Pole_Calc!A$10,
IF(H134="AnMP",Pole_Calc!A$11,
IF(H134="A",Pole_Calc!A$12,
IF(H134="S/A",Pole_Calc!A$13,
IF(H134="A/S",Pole_Calc!A$14,"Poner a mano")))))))</f>
        <v>App.7-V11I-P9.5.1.1</v>
      </c>
      <c r="BE134" s="429" t="s">
        <v>118</v>
      </c>
      <c r="BF134" s="289"/>
      <c r="BG134" s="289"/>
      <c r="BH134" s="290"/>
      <c r="BI134" s="289"/>
    </row>
    <row r="135" spans="1:61" ht="16.149999999999999" customHeight="1">
      <c r="A135" s="514" t="s">
        <v>199</v>
      </c>
      <c r="B135" s="450"/>
      <c r="C135" s="3"/>
      <c r="D135" s="83"/>
      <c r="E135" s="4"/>
      <c r="F135" s="4"/>
      <c r="G135" s="6">
        <v>63.3</v>
      </c>
      <c r="H135" s="449"/>
      <c r="I135" s="4"/>
      <c r="J135" s="3"/>
      <c r="K135" s="449"/>
      <c r="L135" s="449"/>
      <c r="M135" s="449" t="str">
        <f>IF(L135="","",
IF(AX135="PT",VLOOKUP(L135,Foundation_Calc!$V$79:$X$113,VLOOKUP(AX135,Foundation_Calc!$I$10:$J$13,2,FALSE),0),
IF(AX135="K",VLOOKUP(L135,Foundation_Calc!$V$117:$X$151,VLOOKUP(AX135,Foundation_Calc!$I$10:$J$13,2,FALSE),0),"")))</f>
        <v/>
      </c>
      <c r="N135" s="449"/>
      <c r="O135" s="449"/>
      <c r="P135" s="449"/>
      <c r="Q135" s="4"/>
      <c r="R135" s="6"/>
      <c r="S135" s="6"/>
      <c r="T135" s="4"/>
      <c r="U135" s="4"/>
      <c r="V135" s="4"/>
      <c r="W135" s="572"/>
      <c r="X135" s="9"/>
      <c r="Y135" s="9"/>
      <c r="Z135" s="9"/>
      <c r="AA135" s="9"/>
      <c r="AB135" s="9"/>
      <c r="AC135" s="449" t="str">
        <f t="shared" si="26"/>
        <v/>
      </c>
      <c r="AD135" s="449"/>
      <c r="AE135" s="449"/>
      <c r="AF135" s="4"/>
      <c r="AG135" s="83"/>
      <c r="AH135" s="4"/>
      <c r="AI135" s="4"/>
      <c r="AJ135" s="449"/>
      <c r="AK135" s="449"/>
      <c r="AL135" s="449"/>
      <c r="AM135" s="449"/>
      <c r="AN135" s="10"/>
      <c r="AO135" s="9"/>
      <c r="AP135" s="9"/>
      <c r="AQ135" s="9">
        <f>+FL_1($T$136,$T$134,$G$135,1200,9.28,-1*$F$136)</f>
        <v>0.46114408866350715</v>
      </c>
      <c r="AR135" s="9"/>
      <c r="AS135" s="9"/>
      <c r="AT135" s="9"/>
      <c r="AU135" s="428"/>
      <c r="AV135" s="428"/>
      <c r="AW135" s="449" t="str">
        <f>IF(C135&gt;0,VLOOKUP(C135,Foundation_Calc!$A$2:$C$13,3,1),
IF(J135&gt;0,VLOOKUP(J135,Foundation_Calc!$A$2:$C$13,3,1),""))</f>
        <v/>
      </c>
      <c r="AX135" s="449" t="str">
        <f>IF(C135&gt;0,VLOOKUP(C135,Foundation_Calc!$E$2:$G$33,3,1),
IF(J135&gt;0,VLOOKUP(J135,Foundation_Calc!$E$2:$G$33,3,1),""))</f>
        <v/>
      </c>
      <c r="AY135" s="10" t="str">
        <f>IF(L135="","",
IF(AX135="PT",VLOOKUP(L135,Foundation_Calc!$K$79:$R$113,VLOOKUP(AW135,Foundation_Calc!$I$2:$J$8,2,FALSE),0),
IF(AX135="K",VLOOKUP(L135,Foundation_Calc!$K$117:$R$151,VLOOKUP(AW135,Foundation_Calc!$I$2:$J$8,2,FALSE),0),"")))</f>
        <v/>
      </c>
      <c r="AZ135" s="10" t="str">
        <f>IF(K135="","",
IF(AX135="PT",VLOOKUP(K135,Foundation_Calc!$K$79:$R$113,VLOOKUP(AW135,Foundation_Calc!$I$2:$J$8,2,FALSE),0),
IF(AX135="K",VLOOKUP(K135,Foundation_Calc!$K$117:$R$151,VLOOKUP(AW135,Foundation_Calc!$I$2:$J$8,2,FALSE),0),"")))</f>
        <v/>
      </c>
      <c r="BA135" s="495" t="str">
        <f t="shared" si="23"/>
        <v/>
      </c>
      <c r="BB135" s="495" t="str">
        <f t="shared" si="24"/>
        <v/>
      </c>
      <c r="BC135" s="495" t="str">
        <f t="shared" si="25"/>
        <v/>
      </c>
      <c r="BD135" s="513" t="str">
        <f>IF(AND(L135="",H135=""),"",
IF(H135="",Pole_Calc!A$9,
IF(H135="MP",Pole_Calc!A$10,
IF(H135="AnMP",Pole_Calc!A$11,
IF(H135="A",Pole_Calc!A$12,
IF(H135="S/A",Pole_Calc!A$13,
IF(H135="A/S",Pole_Calc!A$14,"Poner a mano")))))))</f>
        <v/>
      </c>
      <c r="BE135" s="429" t="s">
        <v>118</v>
      </c>
      <c r="BF135" s="290"/>
      <c r="BG135" s="290"/>
      <c r="BH135" s="290"/>
      <c r="BI135" s="290"/>
    </row>
    <row r="136" spans="1:61" ht="16.149999999999999" customHeight="1">
      <c r="A136" s="514" t="s">
        <v>169</v>
      </c>
      <c r="B136" s="450" t="s">
        <v>226</v>
      </c>
      <c r="C136" s="3">
        <f>+$C$134+$G$135</f>
        <v>33662.15</v>
      </c>
      <c r="D136" s="83"/>
      <c r="E136" s="4"/>
      <c r="F136" s="4">
        <f>IF(C136&gt;0,VLOOKUP(C136,'ALIGNMENT TRACK'!$A$1:$K$81,9,1))</f>
        <v>0</v>
      </c>
      <c r="G136" s="6"/>
      <c r="H136" s="449" t="s">
        <v>121</v>
      </c>
      <c r="I136" s="4" t="s">
        <v>122</v>
      </c>
      <c r="J136" s="3"/>
      <c r="K136" s="449"/>
      <c r="L136" s="449" t="s">
        <v>206</v>
      </c>
      <c r="M136" s="449" t="str">
        <f>IF(L136="","",
IF(AX136="PT",VLOOKUP(L136,Foundation_Calc!$V$79:$X$113,VLOOKUP(AX136,Foundation_Calc!$I$10:$J$13,2,FALSE),0),
IF(AX136="K",VLOOKUP(L136,Foundation_Calc!$V$117:$X$151,VLOOKUP(AX136,Foundation_Calc!$I$10:$J$13,2,FALSE),0),"")))</f>
        <v>2C4R</v>
      </c>
      <c r="N136" s="449" t="s">
        <v>124</v>
      </c>
      <c r="O136" s="449"/>
      <c r="P136" s="449"/>
      <c r="Q136" s="4"/>
      <c r="R136" s="6"/>
      <c r="S136" s="6"/>
      <c r="T136" s="4">
        <v>-25</v>
      </c>
      <c r="U136" s="4"/>
      <c r="V136" s="4"/>
      <c r="W136" s="572">
        <v>1.2</v>
      </c>
      <c r="X136" s="9"/>
      <c r="Y136" s="9"/>
      <c r="Z136" s="9"/>
      <c r="AA136" s="9"/>
      <c r="AB136" s="9"/>
      <c r="AC136" s="449" t="str">
        <f t="shared" si="26"/>
        <v>PH</v>
      </c>
      <c r="AD136" s="449"/>
      <c r="AE136" s="449"/>
      <c r="AF136" s="4"/>
      <c r="AG136" s="83"/>
      <c r="AH136" s="4"/>
      <c r="AI136" s="4"/>
      <c r="AJ136" s="449"/>
      <c r="AK136" s="449"/>
      <c r="AL136" s="449"/>
      <c r="AM136" s="449" t="s">
        <v>126</v>
      </c>
      <c r="AN136" s="10">
        <v>5.5</v>
      </c>
      <c r="AO136" s="9"/>
      <c r="AP136" s="9"/>
      <c r="AQ136" s="9"/>
      <c r="AR136" s="9"/>
      <c r="AS136" s="9"/>
      <c r="AT136" s="9">
        <f>+ab($T$136,$T$134,$U$138,$G$135,$G$137,-1*$F$136,1200)</f>
        <v>-12.953068464648933</v>
      </c>
      <c r="AU136" s="428"/>
      <c r="AV136" s="428"/>
      <c r="AW136" s="449" t="str">
        <f>IF(C136&gt;0,VLOOKUP(C136,Foundation_Calc!$A$2:$C$13,3,1),
IF(J136&gt;0,VLOOKUP(J136,Foundation_Calc!$A$2:$C$13,3,1),""))</f>
        <v>Multi Soil</v>
      </c>
      <c r="AX136" s="449" t="str">
        <f>IF(C136&gt;0,VLOOKUP(C136,Foundation_Calc!$E$2:$G$33,3,1),
IF(J136&gt;0,VLOOKUP(J136,Foundation_Calc!$E$2:$G$33,3,1),""))</f>
        <v>PT</v>
      </c>
      <c r="AY136" s="10">
        <f>IF(L136="","",
IF(AX136="PT",VLOOKUP(L136,Foundation_Calc!$K$79:$R$113,VLOOKUP(AW136,Foundation_Calc!$I$2:$J$8,2,FALSE),0),
IF(AX136="K",VLOOKUP(L136,Foundation_Calc!$K$117:$R$151,VLOOKUP(AW136,Foundation_Calc!$I$2:$J$8,2,FALSE),0),"")))</f>
        <v>4</v>
      </c>
      <c r="AZ136" s="10" t="str">
        <f>IF(K136="","",
IF(AX136="PT",VLOOKUP(K136,Foundation_Calc!$K$79:$R$113,VLOOKUP(AW136,Foundation_Calc!$I$2:$J$8,2,FALSE),0),
IF(AX136="K",VLOOKUP(K136,Foundation_Calc!$K$117:$R$151,VLOOKUP(AW136,Foundation_Calc!$I$2:$J$8,2,FALSE),0),"")))</f>
        <v/>
      </c>
      <c r="BA136" s="495" t="str">
        <f t="shared" si="23"/>
        <v>ü</v>
      </c>
      <c r="BB136" s="495" t="str">
        <f t="shared" si="24"/>
        <v/>
      </c>
      <c r="BC136" s="495" t="str">
        <f t="shared" si="25"/>
        <v/>
      </c>
      <c r="BD136" s="513" t="str">
        <f>Pole_Calc!A$167</f>
        <v>App.7-V11I-P9.5.15.2</v>
      </c>
      <c r="BE136" s="429" t="s">
        <v>118</v>
      </c>
      <c r="BF136" s="289"/>
      <c r="BG136" s="289"/>
      <c r="BH136" s="290"/>
      <c r="BI136" s="289"/>
    </row>
    <row r="137" spans="1:61" ht="16.149999999999999" customHeight="1">
      <c r="A137" s="518"/>
      <c r="B137" s="450"/>
      <c r="C137" s="3"/>
      <c r="D137" s="83"/>
      <c r="E137" s="4"/>
      <c r="F137" s="4"/>
      <c r="G137" s="6">
        <v>59.6</v>
      </c>
      <c r="H137" s="449"/>
      <c r="I137" s="4"/>
      <c r="J137" s="3"/>
      <c r="K137" s="449"/>
      <c r="L137" s="449"/>
      <c r="M137" s="449" t="str">
        <f>IF(L137="","",
IF(AX137="PT",VLOOKUP(L137,Foundation_Calc!$V$79:$X$113,VLOOKUP(AX137,Foundation_Calc!$I$10:$J$13,2,FALSE),0),
IF(AX137="K",VLOOKUP(L137,Foundation_Calc!$V$117:$X$151,VLOOKUP(AX137,Foundation_Calc!$I$10:$J$13,2,FALSE),0),"")))</f>
        <v/>
      </c>
      <c r="N137" s="449"/>
      <c r="O137" s="449"/>
      <c r="P137" s="449"/>
      <c r="Q137" s="4"/>
      <c r="R137" s="6"/>
      <c r="S137" s="6"/>
      <c r="T137" s="4"/>
      <c r="U137" s="4"/>
      <c r="V137" s="4"/>
      <c r="W137" s="9"/>
      <c r="X137" s="9"/>
      <c r="Y137" s="9"/>
      <c r="Z137" s="9"/>
      <c r="AA137" s="9"/>
      <c r="AB137" s="9"/>
      <c r="AC137" s="449" t="str">
        <f t="shared" si="26"/>
        <v/>
      </c>
      <c r="AD137" s="449"/>
      <c r="AE137" s="449"/>
      <c r="AF137" s="4"/>
      <c r="AG137" s="83"/>
      <c r="AH137" s="4"/>
      <c r="AI137" s="4"/>
      <c r="AJ137" s="449"/>
      <c r="AK137" s="449"/>
      <c r="AL137" s="449"/>
      <c r="AM137" s="449"/>
      <c r="AN137" s="10"/>
      <c r="AO137" s="9"/>
      <c r="AP137" s="9"/>
      <c r="AQ137" s="9">
        <f>+FL_2($U$138,$T$136,$G$137,1200,9.28,-1*$F$138)</f>
        <v>-0.44067248231767331</v>
      </c>
      <c r="AR137" s="9"/>
      <c r="AS137" s="9"/>
      <c r="AT137" s="9"/>
      <c r="AU137" s="428"/>
      <c r="AV137" s="428"/>
      <c r="AW137" s="449" t="str">
        <f>IF(C137&gt;0,VLOOKUP(C137,Foundation_Calc!$A$2:$C$13,3,1),
IF(J137&gt;0,VLOOKUP(J137,Foundation_Calc!$A$2:$C$13,3,1),""))</f>
        <v/>
      </c>
      <c r="AX137" s="449" t="str">
        <f>IF(C137&gt;0,VLOOKUP(C137,Foundation_Calc!$E$2:$G$33,3,1),
IF(J137&gt;0,VLOOKUP(J137,Foundation_Calc!$E$2:$G$33,3,1),""))</f>
        <v/>
      </c>
      <c r="AY137" s="10" t="str">
        <f>IF(L137="","",
IF(AX137="PT",VLOOKUP(L137,Foundation_Calc!$K$79:$R$113,VLOOKUP(AW137,Foundation_Calc!$I$2:$J$8,2,FALSE),0),
IF(AX137="K",VLOOKUP(L137,Foundation_Calc!$K$117:$R$151,VLOOKUP(AW137,Foundation_Calc!$I$2:$J$8,2,FALSE),0),"")))</f>
        <v/>
      </c>
      <c r="AZ137" s="10" t="str">
        <f>IF(K137="","",
IF(AX137="PT",VLOOKUP(K137,Foundation_Calc!$K$79:$R$113,VLOOKUP(AW137,Foundation_Calc!$I$2:$J$8,2,FALSE),0),
IF(AX137="K",VLOOKUP(K137,Foundation_Calc!$K$117:$R$151,VLOOKUP(AW137,Foundation_Calc!$I$2:$J$8,2,FALSE),0),"")))</f>
        <v/>
      </c>
      <c r="BA137" s="496" t="str">
        <f t="shared" si="23"/>
        <v/>
      </c>
      <c r="BB137" s="496" t="str">
        <f t="shared" si="24"/>
        <v/>
      </c>
      <c r="BC137" s="496" t="str">
        <f t="shared" si="25"/>
        <v/>
      </c>
      <c r="BD137" s="513" t="str">
        <f>IF(AND(L137="",H137=""),"",
IF(H137="",Pole_Calc!A$9,
IF(H137="MP",Pole_Calc!A$10,
IF(H137="AnMP",Pole_Calc!A$11,
IF(H137="A",Pole_Calc!A$12,
IF(H137="S/A",Pole_Calc!A$13,
IF(H137="A/S",Pole_Calc!A$14,"Poner a mano")))))))</f>
        <v/>
      </c>
      <c r="BE137" s="429" t="s">
        <v>118</v>
      </c>
      <c r="BF137" s="290"/>
      <c r="BG137" s="290"/>
      <c r="BH137" s="290"/>
      <c r="BI137" s="290"/>
    </row>
    <row r="138" spans="1:61" ht="16.149999999999999" customHeight="1">
      <c r="A138" s="514"/>
      <c r="B138" s="450" t="s">
        <v>227</v>
      </c>
      <c r="C138" s="3">
        <f>+$C$136+$G$137</f>
        <v>33721.75</v>
      </c>
      <c r="D138" s="83"/>
      <c r="E138" s="4"/>
      <c r="F138" s="4">
        <f>IF(C138&gt;0,VLOOKUP(C138,'ALIGNMENT TRACK'!$A$1:$K$81,9,1))</f>
        <v>0</v>
      </c>
      <c r="G138" s="6"/>
      <c r="H138" s="449" t="s">
        <v>131</v>
      </c>
      <c r="I138" s="4"/>
      <c r="J138" s="3"/>
      <c r="K138" s="449"/>
      <c r="L138" s="449" t="s">
        <v>158</v>
      </c>
      <c r="M138" s="449" t="str">
        <f>IF(L138="","",
IF(AX138="PT",VLOOKUP(L138,Foundation_Calc!$V$79:$X$113,VLOOKUP(AX138,Foundation_Calc!$I$10:$J$13,2,FALSE),0),
IF(AX138="K",VLOOKUP(L138,Foundation_Calc!$V$117:$X$151,VLOOKUP(AX138,Foundation_Calc!$I$10:$J$13,2,FALSE),0),"")))</f>
        <v>C4R</v>
      </c>
      <c r="N138" s="449" t="s">
        <v>133</v>
      </c>
      <c r="O138" s="449" t="s">
        <v>134</v>
      </c>
      <c r="P138" s="449"/>
      <c r="Q138" s="4"/>
      <c r="R138" s="6"/>
      <c r="S138" s="6"/>
      <c r="T138" s="4">
        <v>55</v>
      </c>
      <c r="U138" s="4">
        <v>10</v>
      </c>
      <c r="V138" s="4"/>
      <c r="W138" s="9">
        <v>1.4</v>
      </c>
      <c r="X138" s="9">
        <v>1.8</v>
      </c>
      <c r="Y138" s="9"/>
      <c r="Z138" s="9">
        <v>0.55000000000000004</v>
      </c>
      <c r="AA138" s="9"/>
      <c r="AB138" s="9"/>
      <c r="AC138" s="449"/>
      <c r="AD138" s="449"/>
      <c r="AE138" s="449"/>
      <c r="AF138" s="4"/>
      <c r="AG138" s="83"/>
      <c r="AH138" s="4"/>
      <c r="AI138" s="4"/>
      <c r="AJ138" s="449"/>
      <c r="AK138" s="449"/>
      <c r="AL138" s="449"/>
      <c r="AM138" s="449" t="s">
        <v>126</v>
      </c>
      <c r="AN138" s="10">
        <v>5.5</v>
      </c>
      <c r="AO138" s="9"/>
      <c r="AP138" s="9"/>
      <c r="AQ138" s="9"/>
      <c r="AR138" s="9"/>
      <c r="AS138" s="9"/>
      <c r="AT138" s="9">
        <f>+ab($U$138,$T$136,$U$140,$G$137,$G$139,-1*$F$138,1200)</f>
        <v>11.216155383889832</v>
      </c>
      <c r="AU138" s="428"/>
      <c r="AV138" s="428"/>
      <c r="AW138" s="449" t="str">
        <f>IF(C138&gt;0,VLOOKUP(C138,Foundation_Calc!$A$2:$C$13,3,1),
IF(J138&gt;0,VLOOKUP(J138,Foundation_Calc!$A$2:$C$13,3,1),""))</f>
        <v>Multi Soil</v>
      </c>
      <c r="AX138" s="449" t="str">
        <f>IF(C138&gt;0,VLOOKUP(C138,Foundation_Calc!$E$2:$G$33,3,1),
IF(J138&gt;0,VLOOKUP(J138,Foundation_Calc!$E$2:$G$33,3,1),""))</f>
        <v>PT</v>
      </c>
      <c r="AY138" s="10">
        <f>IF(L138="","",
IF(AX138="PT",VLOOKUP(L138,Foundation_Calc!$K$79:$R$113,VLOOKUP(AW138,Foundation_Calc!$I$2:$J$8,2,FALSE),0),
IF(AX138="K",VLOOKUP(L138,Foundation_Calc!$K$117:$R$151,VLOOKUP(AW138,Foundation_Calc!$I$2:$J$8,2,FALSE),0),"")))</f>
        <v>3.5</v>
      </c>
      <c r="AZ138" s="10" t="str">
        <f>IF(K138="","",
IF(AX138="PT",VLOOKUP(K138,Foundation_Calc!$K$79:$R$113,VLOOKUP(AW138,Foundation_Calc!$I$2:$J$8,2,FALSE),0),
IF(AX138="K",VLOOKUP(K138,Foundation_Calc!$K$117:$R$151,VLOOKUP(AW138,Foundation_Calc!$I$2:$J$8,2,FALSE),0),"")))</f>
        <v/>
      </c>
      <c r="BA138" s="495" t="str">
        <f t="shared" si="23"/>
        <v>ü</v>
      </c>
      <c r="BB138" s="495" t="str">
        <f t="shared" si="24"/>
        <v/>
      </c>
      <c r="BC138" s="495" t="str">
        <f t="shared" si="25"/>
        <v/>
      </c>
      <c r="BD138" s="513" t="str">
        <f>IF(AND(L138="",H138=""),"",
IF(H138="",Pole_Calc!A$9,
IF(H138="MP",Pole_Calc!A$10,
IF(H138="AnMP",Pole_Calc!A$11,
IF(H138="A",Pole_Calc!A$12,
IF(H138="S/A",Pole_Calc!A$13,
IF(H138="A/S",Pole_Calc!A$14,"Poner a mano")))))))</f>
        <v>App.7-V11I-P9.5.1.5</v>
      </c>
      <c r="BE138" s="429" t="s">
        <v>118</v>
      </c>
      <c r="BF138" s="289"/>
      <c r="BG138" s="289"/>
      <c r="BH138" s="290"/>
      <c r="BI138" s="289"/>
    </row>
    <row r="139" spans="1:61" ht="16.149999999999999" customHeight="1">
      <c r="A139" s="514"/>
      <c r="B139" s="450"/>
      <c r="C139" s="3"/>
      <c r="D139" s="83"/>
      <c r="E139" s="4"/>
      <c r="F139" s="4"/>
      <c r="G139" s="6">
        <v>59</v>
      </c>
      <c r="H139" s="449"/>
      <c r="I139" s="4"/>
      <c r="J139" s="3">
        <f>C140-7.5</f>
        <v>33773.25</v>
      </c>
      <c r="K139" s="449" t="s">
        <v>117</v>
      </c>
      <c r="L139" s="449"/>
      <c r="M139" s="449" t="str">
        <f>IF(L139="","",
IF(AX139="PT",VLOOKUP(L139,Foundation_Calc!$V$79:$X$113,VLOOKUP(AX139,Foundation_Calc!$I$10:$J$13,2,FALSE),0),
IF(AX139="K",VLOOKUP(L139,Foundation_Calc!$V$117:$X$151,VLOOKUP(AX139,Foundation_Calc!$I$10:$J$13,2,FALSE),0),"")))</f>
        <v/>
      </c>
      <c r="N139" s="449"/>
      <c r="O139" s="449"/>
      <c r="P139" s="449"/>
      <c r="Q139" s="4"/>
      <c r="R139" s="6"/>
      <c r="S139" s="6"/>
      <c r="T139" s="4"/>
      <c r="U139" s="4"/>
      <c r="V139" s="4"/>
      <c r="W139" s="9"/>
      <c r="X139" s="9"/>
      <c r="Y139" s="9"/>
      <c r="Z139" s="9"/>
      <c r="AA139" s="9"/>
      <c r="AB139" s="9"/>
      <c r="AC139" s="449" t="str">
        <f t="shared" si="26"/>
        <v/>
      </c>
      <c r="AD139" s="449"/>
      <c r="AE139" s="449"/>
      <c r="AF139" s="4"/>
      <c r="AG139" s="83"/>
      <c r="AH139" s="4"/>
      <c r="AI139" s="4"/>
      <c r="AJ139" s="449"/>
      <c r="AK139" s="449"/>
      <c r="AL139" s="449"/>
      <c r="AM139" s="449"/>
      <c r="AN139" s="10"/>
      <c r="AO139" s="9"/>
      <c r="AP139" s="9"/>
      <c r="AQ139" s="9">
        <f>+FL_1($T$140,$T$138,$G$139,1200,9.28,-1*$F$140)</f>
        <v>0.63997069209039559</v>
      </c>
      <c r="AR139" s="9"/>
      <c r="AS139" s="9"/>
      <c r="AT139" s="9"/>
      <c r="AU139" s="428"/>
      <c r="AV139" s="428"/>
      <c r="AW139" s="449" t="str">
        <f>IF(C139&gt;0,VLOOKUP(C139,Foundation_Calc!$A$2:$C$13,3,1),
IF(J139&gt;0,VLOOKUP(J139,Foundation_Calc!$A$2:$C$13,3,1),""))</f>
        <v>Multi Soil</v>
      </c>
      <c r="AX139" s="449" t="str">
        <f>IF(C139&gt;0,VLOOKUP(C139,Foundation_Calc!$E$2:$G$33,3,1),
IF(J139&gt;0,VLOOKUP(J139,Foundation_Calc!$E$2:$G$33,3,1),""))</f>
        <v>PT</v>
      </c>
      <c r="AY139" s="10" t="str">
        <f>IF(L139="","",
IF(AX139="PT",VLOOKUP(L139,Foundation_Calc!$K$79:$R$113,VLOOKUP(AW139,Foundation_Calc!$I$2:$J$8,2,FALSE),0),
IF(AX139="K",VLOOKUP(L139,Foundation_Calc!$K$117:$R$151,VLOOKUP(AW139,Foundation_Calc!$I$2:$J$8,2,FALSE),0),"")))</f>
        <v/>
      </c>
      <c r="AZ139" s="10">
        <f>IF(K139="","",
IF(AX139="PT",VLOOKUP(K139,Foundation_Calc!$K$79:$R$113,VLOOKUP(AW139,Foundation_Calc!$I$2:$J$8,2,FALSE),0),
IF(AX139="K",VLOOKUP(K139,Foundation_Calc!$K$117:$R$151,VLOOKUP(AW139,Foundation_Calc!$I$2:$J$8,2,FALSE),0),"")))</f>
        <v>3.9</v>
      </c>
      <c r="BA139" s="495" t="str">
        <f t="shared" si="23"/>
        <v/>
      </c>
      <c r="BB139" s="495" t="str">
        <f t="shared" si="24"/>
        <v>ü</v>
      </c>
      <c r="BC139" s="495" t="str">
        <f t="shared" si="25"/>
        <v/>
      </c>
      <c r="BD139" s="513" t="str">
        <f>IF(AND(L139="",H139=""),"",
IF(H139="",Pole_Calc!A$9,
IF(H139="MP",Pole_Calc!A$10,
IF(H139="AnMP",Pole_Calc!A$11,
IF(H139="A",Pole_Calc!A$12,
IF(H139="S/A",Pole_Calc!A$13,
IF(H139="A/S",Pole_Calc!A$14,"Poner a mano")))))))</f>
        <v/>
      </c>
      <c r="BE139" s="429" t="s">
        <v>118</v>
      </c>
      <c r="BF139" s="290"/>
      <c r="BG139" s="290"/>
      <c r="BH139" s="290"/>
      <c r="BI139" s="290"/>
    </row>
    <row r="140" spans="1:61" ht="16.149999999999999" customHeight="1">
      <c r="A140" s="514" t="s">
        <v>228</v>
      </c>
      <c r="B140" s="450" t="s">
        <v>229</v>
      </c>
      <c r="C140" s="3">
        <f>+$C$138+$G$139</f>
        <v>33780.75</v>
      </c>
      <c r="D140" s="83"/>
      <c r="E140" s="4"/>
      <c r="F140" s="4">
        <f>IF(C140&gt;0,VLOOKUP(C140,'ALIGNMENT TRACK'!$A$1:$K$81,9,1))</f>
        <v>0</v>
      </c>
      <c r="G140" s="6"/>
      <c r="H140" s="449" t="s">
        <v>230</v>
      </c>
      <c r="I140" s="4" t="s">
        <v>231</v>
      </c>
      <c r="J140" s="3"/>
      <c r="K140" s="449"/>
      <c r="L140" s="449" t="s">
        <v>232</v>
      </c>
      <c r="M140" s="449" t="str">
        <f>IF(L140="","",
IF(AX140="PT",VLOOKUP(L140,Foundation_Calc!$V$79:$X$113,VLOOKUP(AX140,Foundation_Calc!$I$10:$J$13,2,FALSE),0),
IF(AX140="K",VLOOKUP(L140,Foundation_Calc!$V$117:$X$151,VLOOKUP(AX140,Foundation_Calc!$I$10:$J$13,2,FALSE),0),"")))</f>
        <v>C5R</v>
      </c>
      <c r="N140" s="449" t="s">
        <v>124</v>
      </c>
      <c r="O140" s="449" t="s">
        <v>133</v>
      </c>
      <c r="P140" s="449"/>
      <c r="Q140" s="4"/>
      <c r="R140" s="6"/>
      <c r="S140" s="6"/>
      <c r="T140" s="4">
        <v>-10</v>
      </c>
      <c r="U140" s="4">
        <v>-55</v>
      </c>
      <c r="V140" s="4"/>
      <c r="W140" s="9">
        <v>1.4</v>
      </c>
      <c r="X140" s="9">
        <v>1.8</v>
      </c>
      <c r="Y140" s="9"/>
      <c r="Z140" s="9"/>
      <c r="AA140" s="9">
        <v>0.55000000000000004</v>
      </c>
      <c r="AB140" s="9"/>
      <c r="AC140" s="449" t="str">
        <f t="shared" si="26"/>
        <v>PH</v>
      </c>
      <c r="AD140" s="449"/>
      <c r="AE140" s="449"/>
      <c r="AF140" s="4"/>
      <c r="AG140" s="83"/>
      <c r="AH140" s="4"/>
      <c r="AI140" s="4"/>
      <c r="AJ140" s="449" t="s">
        <v>233</v>
      </c>
      <c r="AK140" s="449"/>
      <c r="AL140" s="449"/>
      <c r="AM140" s="449" t="s">
        <v>126</v>
      </c>
      <c r="AN140" s="10">
        <v>5.5</v>
      </c>
      <c r="AO140" s="9"/>
      <c r="AP140" s="9"/>
      <c r="AQ140" s="9"/>
      <c r="AR140" s="9"/>
      <c r="AS140" s="9"/>
      <c r="AT140" s="9">
        <f>+ab($T$140,$T$138,$U$142,$G$139,$G$141,-1*$F$140,1200)</f>
        <v>-19.762125011185518</v>
      </c>
      <c r="AU140" s="428"/>
      <c r="AV140" s="428"/>
      <c r="AW140" s="449" t="str">
        <f>IF(C140&gt;0,VLOOKUP(C140,Foundation_Calc!$A$2:$C$13,3,1),
IF(J140&gt;0,VLOOKUP(J140,Foundation_Calc!$A$2:$C$13,3,1),""))</f>
        <v>Multi Soil</v>
      </c>
      <c r="AX140" s="449" t="str">
        <f>IF(C140&gt;0,VLOOKUP(C140,Foundation_Calc!$E$2:$G$33,3,1),
IF(J140&gt;0,VLOOKUP(J140,Foundation_Calc!$E$2:$G$33,3,1),""))</f>
        <v>PT</v>
      </c>
      <c r="AY140" s="10">
        <f>IF(L140="","",
IF(AX140="PT",VLOOKUP(L140,Foundation_Calc!$K$79:$R$113,VLOOKUP(AW140,Foundation_Calc!$I$2:$J$8,2,FALSE),0),
IF(AX140="K",VLOOKUP(L140,Foundation_Calc!$K$117:$R$151,VLOOKUP(AW140,Foundation_Calc!$I$2:$J$8,2,FALSE),0),"")))</f>
        <v>3.5</v>
      </c>
      <c r="AZ140" s="10" t="str">
        <f>IF(K140="","",
IF(AX140="PT",VLOOKUP(K140,Foundation_Calc!$K$79:$R$113,VLOOKUP(AW140,Foundation_Calc!$I$2:$J$8,2,FALSE),0),
IF(AX140="K",VLOOKUP(K140,Foundation_Calc!$K$117:$R$151,VLOOKUP(AW140,Foundation_Calc!$I$2:$J$8,2,FALSE),0),"")))</f>
        <v/>
      </c>
      <c r="BA140" s="495" t="str">
        <f t="shared" si="23"/>
        <v>ü</v>
      </c>
      <c r="BB140" s="495" t="str">
        <f t="shared" si="24"/>
        <v/>
      </c>
      <c r="BC140" s="495" t="str">
        <f t="shared" si="25"/>
        <v/>
      </c>
      <c r="BD140" s="513" t="str">
        <f>Pole_Calc!A$116</f>
        <v>App.7-V11I-P9.5.11.4</v>
      </c>
      <c r="BE140" s="429" t="s">
        <v>118</v>
      </c>
      <c r="BF140" s="289"/>
      <c r="BG140" s="289"/>
      <c r="BH140" s="290"/>
      <c r="BI140" s="289"/>
    </row>
    <row r="141" spans="1:61" ht="16.149999999999999" customHeight="1">
      <c r="A141" s="514" t="s">
        <v>234</v>
      </c>
      <c r="B141" s="450"/>
      <c r="C141" s="3"/>
      <c r="D141" s="83"/>
      <c r="E141" s="4"/>
      <c r="F141" s="4"/>
      <c r="G141" s="6">
        <v>59</v>
      </c>
      <c r="H141" s="449"/>
      <c r="I141" s="4">
        <v>306</v>
      </c>
      <c r="J141" s="3"/>
      <c r="K141" s="449"/>
      <c r="L141" s="449"/>
      <c r="M141" s="449" t="str">
        <f>IF(L141="","",
IF(AX141="PT",VLOOKUP(L141,Foundation_Calc!$V$79:$X$113,VLOOKUP(AX141,Foundation_Calc!$I$10:$J$13,2,FALSE),0),
IF(AX141="K",VLOOKUP(L141,Foundation_Calc!$V$117:$X$151,VLOOKUP(AX141,Foundation_Calc!$I$10:$J$13,2,FALSE),0),"")))</f>
        <v/>
      </c>
      <c r="N141" s="449"/>
      <c r="O141" s="449"/>
      <c r="P141" s="449"/>
      <c r="Q141" s="4"/>
      <c r="R141" s="6"/>
      <c r="S141" s="6"/>
      <c r="T141" s="4"/>
      <c r="U141" s="4"/>
      <c r="V141" s="4"/>
      <c r="W141" s="9"/>
      <c r="X141" s="9"/>
      <c r="Y141" s="9"/>
      <c r="Z141" s="9"/>
      <c r="AA141" s="9"/>
      <c r="AB141" s="9"/>
      <c r="AC141" s="449" t="str">
        <f t="shared" si="26"/>
        <v/>
      </c>
      <c r="AD141" s="449"/>
      <c r="AE141" s="449"/>
      <c r="AF141" s="4"/>
      <c r="AG141" s="83"/>
      <c r="AH141" s="4"/>
      <c r="AI141" s="4"/>
      <c r="AJ141" s="449"/>
      <c r="AK141" s="449"/>
      <c r="AL141" s="449"/>
      <c r="AM141" s="449"/>
      <c r="AN141" s="10"/>
      <c r="AO141" s="9"/>
      <c r="AP141" s="9"/>
      <c r="AQ141" s="9">
        <f>+FL_2($U$142,$T$140,$G$141,1200,9.28,-1*$F$142)</f>
        <v>-0.48835403907344632</v>
      </c>
      <c r="AR141" s="9"/>
      <c r="AS141" s="9"/>
      <c r="AT141" s="9"/>
      <c r="AU141" s="428"/>
      <c r="AV141" s="428"/>
      <c r="AW141" s="449" t="str">
        <f>IF(C141&gt;0,VLOOKUP(C141,Foundation_Calc!$A$2:$C$13,3,1),
IF(J141&gt;0,VLOOKUP(J141,Foundation_Calc!$A$2:$C$13,3,1),""))</f>
        <v/>
      </c>
      <c r="AX141" s="449" t="str">
        <f>IF(C141&gt;0,VLOOKUP(C141,Foundation_Calc!$E$2:$G$33,3,1),
IF(J141&gt;0,VLOOKUP(J141,Foundation_Calc!$E$2:$G$33,3,1),""))</f>
        <v/>
      </c>
      <c r="AY141" s="10" t="str">
        <f>IF(L141="","",
IF(AX141="PT",VLOOKUP(L141,Foundation_Calc!$K$79:$R$113,VLOOKUP(AW141,Foundation_Calc!$I$2:$J$8,2,FALSE),0),
IF(AX141="K",VLOOKUP(L141,Foundation_Calc!$K$117:$R$151,VLOOKUP(AW141,Foundation_Calc!$I$2:$J$8,2,FALSE),0),"")))</f>
        <v/>
      </c>
      <c r="AZ141" s="10" t="str">
        <f>IF(K141="","",
IF(AX141="PT",VLOOKUP(K141,Foundation_Calc!$K$79:$R$113,VLOOKUP(AW141,Foundation_Calc!$I$2:$J$8,2,FALSE),0),
IF(AX141="K",VLOOKUP(K141,Foundation_Calc!$K$117:$R$151,VLOOKUP(AW141,Foundation_Calc!$I$2:$J$8,2,FALSE),0),"")))</f>
        <v/>
      </c>
      <c r="BA141" s="495" t="str">
        <f t="shared" si="23"/>
        <v/>
      </c>
      <c r="BB141" s="495" t="str">
        <f t="shared" si="24"/>
        <v/>
      </c>
      <c r="BC141" s="495" t="str">
        <f t="shared" si="25"/>
        <v/>
      </c>
      <c r="BD141" s="513" t="str">
        <f>IF(AND(L141="",H141=""),"",
IF(H141="",Pole_Calc!A$9,
IF(H141="MP",Pole_Calc!A$10,
IF(H141="AnMP",Pole_Calc!A$11,
IF(H141="A",Pole_Calc!A$12,
IF(H141="S/A",Pole_Calc!A$13,
IF(H141="A/S",Pole_Calc!A$14,"Poner a mano")))))))</f>
        <v/>
      </c>
      <c r="BE141" s="429" t="s">
        <v>118</v>
      </c>
      <c r="BF141" s="290"/>
      <c r="BG141" s="290"/>
      <c r="BH141" s="290"/>
      <c r="BI141" s="290"/>
    </row>
    <row r="142" spans="1:61" ht="16.149999999999999" customHeight="1">
      <c r="A142" s="514"/>
      <c r="B142" s="450" t="s">
        <v>235</v>
      </c>
      <c r="C142" s="3">
        <f>+$C$140+$G$141+0.6</f>
        <v>33840.35</v>
      </c>
      <c r="D142" s="83"/>
      <c r="E142" s="4"/>
      <c r="F142" s="4">
        <f>IF(C142&gt;0,VLOOKUP(C142,'ALIGNMENT TRACK'!$A$1:$K$81,9,1))</f>
        <v>0</v>
      </c>
      <c r="G142" s="6"/>
      <c r="H142" s="449" t="s">
        <v>236</v>
      </c>
      <c r="I142" s="4" t="s">
        <v>122</v>
      </c>
      <c r="J142" s="3"/>
      <c r="K142" s="449"/>
      <c r="L142" s="449" t="s">
        <v>181</v>
      </c>
      <c r="M142" s="449" t="str">
        <f>IF(L142="","",
IF(AX142="PT",VLOOKUP(L142,Foundation_Calc!$V$79:$X$113,VLOOKUP(AX142,Foundation_Calc!$I$10:$J$13,2,FALSE),0),
IF(AX142="K",VLOOKUP(L142,Foundation_Calc!$V$117:$X$151,VLOOKUP(AX142,Foundation_Calc!$I$10:$J$13,2,FALSE),0),"")))</f>
        <v>C5R</v>
      </c>
      <c r="N142" s="554" t="s">
        <v>133</v>
      </c>
      <c r="O142" s="449" t="s">
        <v>124</v>
      </c>
      <c r="P142" s="449"/>
      <c r="Q142" s="4"/>
      <c r="R142" s="6"/>
      <c r="S142" s="6"/>
      <c r="T142" s="4">
        <v>-55</v>
      </c>
      <c r="U142" s="4">
        <v>-20</v>
      </c>
      <c r="V142" s="4"/>
      <c r="W142" s="9">
        <v>2</v>
      </c>
      <c r="X142" s="9">
        <v>1.4</v>
      </c>
      <c r="Y142" s="9"/>
      <c r="Z142" s="9">
        <v>0.45</v>
      </c>
      <c r="AA142" s="9"/>
      <c r="AB142" s="9"/>
      <c r="AC142" s="449"/>
      <c r="AD142" s="449"/>
      <c r="AE142" s="449"/>
      <c r="AF142" s="4"/>
      <c r="AG142" s="83"/>
      <c r="AH142" s="4"/>
      <c r="AI142" s="4"/>
      <c r="AJ142" s="449"/>
      <c r="AK142" s="449"/>
      <c r="AL142" s="449"/>
      <c r="AM142" s="449" t="s">
        <v>126</v>
      </c>
      <c r="AN142" s="10">
        <v>5.5</v>
      </c>
      <c r="AO142" s="9"/>
      <c r="AP142" s="9"/>
      <c r="AQ142" s="9"/>
      <c r="AR142" s="9"/>
      <c r="AS142" s="9"/>
      <c r="AT142" s="9">
        <f>+ab($U$142,$T$140,$U$144,$G$141,$G$143,-1*$F$142,1200)</f>
        <v>-16.794830574198357</v>
      </c>
      <c r="AU142" s="428"/>
      <c r="AV142" s="428"/>
      <c r="AW142" s="449" t="str">
        <f>IF(C142&gt;0,VLOOKUP(C142,Foundation_Calc!$A$2:$C$13,3,1),
IF(J142&gt;0,VLOOKUP(J142,Foundation_Calc!$A$2:$C$13,3,1),""))</f>
        <v>Multi Soil</v>
      </c>
      <c r="AX142" s="449" t="str">
        <f>IF(C142&gt;0,VLOOKUP(C142,Foundation_Calc!$E$2:$G$33,3,1),
IF(J142&gt;0,VLOOKUP(J142,Foundation_Calc!$E$2:$G$33,3,1),""))</f>
        <v>PT</v>
      </c>
      <c r="AY142" s="10">
        <f>IF(L142="","",
IF(AX142="PT",VLOOKUP(L142,Foundation_Calc!$K$79:$R$113,VLOOKUP(AW142,Foundation_Calc!$I$2:$J$8,2,FALSE),0),
IF(AX142="K",VLOOKUP(L142,Foundation_Calc!$K$117:$R$151,VLOOKUP(AW142,Foundation_Calc!$I$2:$J$8,2,FALSE),0),"")))</f>
        <v>3.5</v>
      </c>
      <c r="AZ142" s="10" t="str">
        <f>IF(K142="","",
IF(AX142="PT",VLOOKUP(K142,Foundation_Calc!$K$79:$R$113,VLOOKUP(AW142,Foundation_Calc!$I$2:$J$8,2,FALSE),0),
IF(AX142="K",VLOOKUP(K142,Foundation_Calc!$K$117:$R$151,VLOOKUP(AW142,Foundation_Calc!$I$2:$J$8,2,FALSE),0),"")))</f>
        <v/>
      </c>
      <c r="BA142" s="495" t="str">
        <f t="shared" si="23"/>
        <v>ü</v>
      </c>
      <c r="BB142" s="495" t="str">
        <f t="shared" si="24"/>
        <v/>
      </c>
      <c r="BC142" s="495" t="str">
        <f t="shared" si="25"/>
        <v/>
      </c>
      <c r="BD142" s="513" t="str">
        <f>Pole_Calc!A$16</f>
        <v>App.7-V11I-P9.5.1.8</v>
      </c>
      <c r="BE142" s="429" t="s">
        <v>118</v>
      </c>
      <c r="BF142" s="289"/>
      <c r="BG142" s="289"/>
      <c r="BH142" s="290"/>
      <c r="BI142" s="289"/>
    </row>
    <row r="143" spans="1:61" ht="16.149999999999999" customHeight="1">
      <c r="A143" s="514"/>
      <c r="B143" s="450"/>
      <c r="C143" s="3"/>
      <c r="D143" s="83"/>
      <c r="E143" s="4"/>
      <c r="F143" s="4"/>
      <c r="G143" s="6">
        <v>58.5</v>
      </c>
      <c r="H143" s="449"/>
      <c r="I143" s="4"/>
      <c r="J143" s="3">
        <f>C142+7.5</f>
        <v>33847.85</v>
      </c>
      <c r="K143" s="449" t="s">
        <v>117</v>
      </c>
      <c r="L143" s="449"/>
      <c r="M143" s="449" t="str">
        <f>IF(L143="","",
IF(AX143="PT",VLOOKUP(L143,Foundation_Calc!$V$79:$X$113,VLOOKUP(AX143,Foundation_Calc!$I$10:$J$13,2,FALSE),0),
IF(AX143="K",VLOOKUP(L143,Foundation_Calc!$V$117:$X$151,VLOOKUP(AX143,Foundation_Calc!$I$10:$J$13,2,FALSE),0),"")))</f>
        <v/>
      </c>
      <c r="N143" s="449"/>
      <c r="O143" s="449"/>
      <c r="P143" s="449"/>
      <c r="Q143" s="4"/>
      <c r="R143" s="6"/>
      <c r="S143" s="6"/>
      <c r="T143" s="4"/>
      <c r="U143" s="4"/>
      <c r="V143" s="4"/>
      <c r="W143" s="572"/>
      <c r="X143" s="9"/>
      <c r="Y143" s="9"/>
      <c r="Z143" s="9"/>
      <c r="AA143" s="9"/>
      <c r="AB143" s="9"/>
      <c r="AC143" s="449" t="str">
        <f t="shared" si="26"/>
        <v/>
      </c>
      <c r="AD143" s="449"/>
      <c r="AE143" s="449"/>
      <c r="AF143" s="4"/>
      <c r="AG143" s="83"/>
      <c r="AH143" s="4"/>
      <c r="AI143" s="4"/>
      <c r="AJ143" s="449"/>
      <c r="AK143" s="449"/>
      <c r="AL143" s="449"/>
      <c r="AM143" s="449"/>
      <c r="AN143" s="10"/>
      <c r="AO143" s="9"/>
      <c r="AP143" s="9"/>
      <c r="AQ143" s="9">
        <f>+FL_2($U$144,$U$142,$G$143,1200,9.28,-1*$F$144)</f>
        <v>-0.31296758765811972</v>
      </c>
      <c r="AR143" s="9"/>
      <c r="AS143" s="9"/>
      <c r="AT143" s="9"/>
      <c r="AU143" s="428"/>
      <c r="AV143" s="428"/>
      <c r="AW143" s="449" t="str">
        <f>IF(C143&gt;0,VLOOKUP(C143,Foundation_Calc!$A$2:$C$13,3,1),
IF(J143&gt;0,VLOOKUP(J143,Foundation_Calc!$A$2:$C$13,3,1),""))</f>
        <v>Multi Soil</v>
      </c>
      <c r="AX143" s="449" t="str">
        <f>IF(C143&gt;0,VLOOKUP(C143,Foundation_Calc!$E$2:$G$33,3,1),
IF(J143&gt;0,VLOOKUP(J143,Foundation_Calc!$E$2:$G$33,3,1),""))</f>
        <v>PT</v>
      </c>
      <c r="AY143" s="10" t="str">
        <f>IF(L143="","",
IF(AX143="PT",VLOOKUP(L143,Foundation_Calc!$K$79:$R$113,VLOOKUP(AW143,Foundation_Calc!$I$2:$J$8,2,FALSE),0),
IF(AX143="K",VLOOKUP(L143,Foundation_Calc!$K$117:$R$151,VLOOKUP(AW143,Foundation_Calc!$I$2:$J$8,2,FALSE),0),"")))</f>
        <v/>
      </c>
      <c r="AZ143" s="10">
        <f>IF(K143="","",
IF(AX143="PT",VLOOKUP(K143,Foundation_Calc!$K$79:$R$113,VLOOKUP(AW143,Foundation_Calc!$I$2:$J$8,2,FALSE),0),
IF(AX143="K",VLOOKUP(K143,Foundation_Calc!$K$117:$R$151,VLOOKUP(AW143,Foundation_Calc!$I$2:$J$8,2,FALSE),0),"")))</f>
        <v>3.9</v>
      </c>
      <c r="BA143" s="495" t="str">
        <f t="shared" si="23"/>
        <v/>
      </c>
      <c r="BB143" s="495" t="str">
        <f t="shared" si="24"/>
        <v>ü</v>
      </c>
      <c r="BC143" s="495" t="str">
        <f t="shared" si="25"/>
        <v/>
      </c>
      <c r="BD143" s="513" t="str">
        <f>IF(AND(L143="",H143=""),"",
IF(H143="",Pole_Calc!A$9,
IF(H143="MP",Pole_Calc!A$10,
IF(H143="AnMP",Pole_Calc!A$11,
IF(H143="A",Pole_Calc!A$12,
IF(H143="S/A",Pole_Calc!A$13,
IF(H143="A/S",Pole_Calc!A$14,"Poner a mano")))))))</f>
        <v/>
      </c>
      <c r="BE143" s="429" t="s">
        <v>118</v>
      </c>
      <c r="BF143" s="290"/>
      <c r="BG143" s="290"/>
      <c r="BH143" s="290"/>
      <c r="BI143" s="290"/>
    </row>
    <row r="144" spans="1:61" ht="16.149999999999999" customHeight="1">
      <c r="A144" s="514"/>
      <c r="B144" s="450" t="s">
        <v>237</v>
      </c>
      <c r="C144" s="3">
        <f>+$C$142+$G$143</f>
        <v>33898.85</v>
      </c>
      <c r="D144" s="83"/>
      <c r="E144" s="4"/>
      <c r="F144" s="4">
        <f>IF(C144&gt;0,VLOOKUP(C144,'ALIGNMENT TRACK'!$A$1:$K$81,9,1))</f>
        <v>0</v>
      </c>
      <c r="G144" s="6"/>
      <c r="H144" s="449" t="s">
        <v>238</v>
      </c>
      <c r="I144" s="4"/>
      <c r="J144" s="3"/>
      <c r="K144" s="449"/>
      <c r="L144" s="449" t="s">
        <v>183</v>
      </c>
      <c r="M144" s="449" t="str">
        <f>IF(L144="","",
IF(AX144="PT",VLOOKUP(L144,Foundation_Calc!$V$79:$X$113,VLOOKUP(AX144,Foundation_Calc!$I$10:$J$13,2,FALSE),0),
IF(AX144="K",VLOOKUP(L144,Foundation_Calc!$V$117:$X$151,VLOOKUP(AX144,Foundation_Calc!$I$10:$J$13,2,FALSE),0),"")))</f>
        <v>2C3R</v>
      </c>
      <c r="N144" s="554" t="s">
        <v>124</v>
      </c>
      <c r="O144" s="449" t="s">
        <v>134</v>
      </c>
      <c r="P144" s="449"/>
      <c r="Q144" s="4"/>
      <c r="R144" s="6"/>
      <c r="S144" s="6"/>
      <c r="T144" s="4">
        <v>20</v>
      </c>
      <c r="U144" s="4">
        <v>35</v>
      </c>
      <c r="V144" s="4"/>
      <c r="W144" s="9">
        <v>2</v>
      </c>
      <c r="X144" s="9">
        <v>1.4</v>
      </c>
      <c r="Y144" s="9"/>
      <c r="Z144" s="9"/>
      <c r="AA144" s="9"/>
      <c r="AB144" s="9"/>
      <c r="AC144" s="449" t="str">
        <f t="shared" si="26"/>
        <v>PH</v>
      </c>
      <c r="AD144" s="449"/>
      <c r="AE144" s="449"/>
      <c r="AF144" s="4"/>
      <c r="AG144" s="83"/>
      <c r="AH144" s="4"/>
      <c r="AI144" s="4"/>
      <c r="AJ144" s="449" t="s">
        <v>239</v>
      </c>
      <c r="AK144" s="449"/>
      <c r="AL144" s="449"/>
      <c r="AM144" s="449" t="s">
        <v>126</v>
      </c>
      <c r="AN144" s="10">
        <v>5.5</v>
      </c>
      <c r="AO144" s="9"/>
      <c r="AP144" s="9"/>
      <c r="AQ144" s="9"/>
      <c r="AR144" s="9"/>
      <c r="AS144" s="9"/>
      <c r="AT144" s="9">
        <f>+ab($U$144,$U$142,$T$146,$G$143,$G$145,-1*$F$144,1200)</f>
        <v>8.3616126048659787</v>
      </c>
      <c r="AU144" s="428"/>
      <c r="AV144" s="428"/>
      <c r="AW144" s="449" t="str">
        <f>IF(C144&gt;0,VLOOKUP(C144,Foundation_Calc!$A$2:$C$13,3,1),
IF(J144&gt;0,VLOOKUP(J144,Foundation_Calc!$A$2:$C$13,3,1),""))</f>
        <v>Multi Soil</v>
      </c>
      <c r="AX144" s="449" t="str">
        <f>IF(C144&gt;0,VLOOKUP(C144,Foundation_Calc!$E$2:$G$33,3,1),
IF(J144&gt;0,VLOOKUP(J144,Foundation_Calc!$E$2:$G$33,3,1),""))</f>
        <v>PT</v>
      </c>
      <c r="AY144" s="10">
        <f>IF(L144="","",
IF(AX144="PT",VLOOKUP(L144,Foundation_Calc!$K$79:$R$113,VLOOKUP(AW144,Foundation_Calc!$I$2:$J$8,2,FALSE),0),
IF(AX144="K",VLOOKUP(L144,Foundation_Calc!$K$117:$R$151,VLOOKUP(AW144,Foundation_Calc!$I$2:$J$8,2,FALSE),0),"")))</f>
        <v>3.7</v>
      </c>
      <c r="AZ144" s="10" t="str">
        <f>IF(K144="","",
IF(AX144="PT",VLOOKUP(K144,Foundation_Calc!$K$79:$R$113,VLOOKUP(AW144,Foundation_Calc!$I$2:$J$8,2,FALSE),0),
IF(AX144="K",VLOOKUP(K144,Foundation_Calc!$K$117:$R$151,VLOOKUP(AW144,Foundation_Calc!$I$2:$J$8,2,FALSE),0),"")))</f>
        <v/>
      </c>
      <c r="BA144" s="495" t="str">
        <f t="shared" si="23"/>
        <v>ü</v>
      </c>
      <c r="BB144" s="495" t="str">
        <f t="shared" si="24"/>
        <v/>
      </c>
      <c r="BC144" s="495" t="str">
        <f t="shared" si="25"/>
        <v/>
      </c>
      <c r="BD144" s="513" t="str">
        <f>Pole_Calc!A$13</f>
        <v>App.7-V11I-P9.5.1.5</v>
      </c>
      <c r="BE144" s="429" t="s">
        <v>118</v>
      </c>
      <c r="BF144" s="289"/>
      <c r="BG144" s="289"/>
      <c r="BH144" s="290"/>
      <c r="BI144" s="289"/>
    </row>
    <row r="145" spans="1:61" ht="16.149999999999999" customHeight="1">
      <c r="A145" s="514" t="s">
        <v>169</v>
      </c>
      <c r="B145" s="450"/>
      <c r="C145" s="3"/>
      <c r="D145" s="83"/>
      <c r="E145" s="4"/>
      <c r="F145" s="4"/>
      <c r="G145" s="6">
        <v>52.3</v>
      </c>
      <c r="H145" s="449"/>
      <c r="I145" s="4"/>
      <c r="J145" s="3">
        <f>C146-7.5</f>
        <v>33943.65</v>
      </c>
      <c r="K145" s="449" t="s">
        <v>166</v>
      </c>
      <c r="L145" s="449"/>
      <c r="M145" s="449" t="str">
        <f>IF(L145="","",
IF(AX145="PT",VLOOKUP(L145,Foundation_Calc!$V$79:$X$113,VLOOKUP(AX145,Foundation_Calc!$I$10:$J$13,2,FALSE),0),
IF(AX145="K",VLOOKUP(L145,Foundation_Calc!$V$117:$X$151,VLOOKUP(AX145,Foundation_Calc!$I$10:$J$13,2,FALSE),0),"")))</f>
        <v/>
      </c>
      <c r="N145" s="449"/>
      <c r="O145" s="449"/>
      <c r="P145" s="449"/>
      <c r="Q145" s="4"/>
      <c r="R145" s="6"/>
      <c r="S145" s="6"/>
      <c r="T145" s="4"/>
      <c r="U145" s="4"/>
      <c r="V145" s="4"/>
      <c r="W145" s="572"/>
      <c r="X145" s="9"/>
      <c r="Y145" s="9"/>
      <c r="Z145" s="9"/>
      <c r="AA145" s="9"/>
      <c r="AB145" s="9"/>
      <c r="AC145" s="449" t="str">
        <f t="shared" si="26"/>
        <v/>
      </c>
      <c r="AD145" s="449"/>
      <c r="AE145" s="449"/>
      <c r="AF145" s="4"/>
      <c r="AG145" s="83"/>
      <c r="AH145" s="4"/>
      <c r="AI145" s="4"/>
      <c r="AJ145" s="449"/>
      <c r="AK145" s="449"/>
      <c r="AL145" s="449"/>
      <c r="AM145" s="449"/>
      <c r="AN145" s="10"/>
      <c r="AO145" s="9"/>
      <c r="AP145" s="9"/>
      <c r="AQ145" s="9">
        <f>+FL_2($T$146,$U$144,$G$145,1200,9.28,-1*$F$146)</f>
        <v>-0.38023467504907577</v>
      </c>
      <c r="AR145" s="9"/>
      <c r="AS145" s="9"/>
      <c r="AT145" s="9"/>
      <c r="AU145" s="428"/>
      <c r="AV145" s="428"/>
      <c r="AW145" s="449" t="str">
        <f>IF(C145&gt;0,VLOOKUP(C145,Foundation_Calc!$A$2:$C$13,3,1),
IF(J145&gt;0,VLOOKUP(J145,Foundation_Calc!$A$2:$C$13,3,1),""))</f>
        <v>Multi Soil</v>
      </c>
      <c r="AX145" s="449" t="str">
        <f>IF(C145&gt;0,VLOOKUP(C145,Foundation_Calc!$E$2:$G$33,3,1),
IF(J145&gt;0,VLOOKUP(J145,Foundation_Calc!$E$2:$G$33,3,1),""))</f>
        <v>PT</v>
      </c>
      <c r="AY145" s="10" t="str">
        <f>IF(L145="","",
IF(AX145="PT",VLOOKUP(L145,Foundation_Calc!$K$79:$R$113,VLOOKUP(AW145,Foundation_Calc!$I$2:$J$8,2,FALSE),0),
IF(AX145="K",VLOOKUP(L145,Foundation_Calc!$K$117:$R$151,VLOOKUP(AW145,Foundation_Calc!$I$2:$J$8,2,FALSE),0),"")))</f>
        <v/>
      </c>
      <c r="AZ145" s="10">
        <f>IF(K145="","",
IF(AX145="PT",VLOOKUP(K145,Foundation_Calc!$K$79:$R$113,VLOOKUP(AW145,Foundation_Calc!$I$2:$J$8,2,FALSE),0),
IF(AX145="K",VLOOKUP(K145,Foundation_Calc!$K$117:$R$151,VLOOKUP(AW145,Foundation_Calc!$I$2:$J$8,2,FALSE),0),"")))</f>
        <v>2.8</v>
      </c>
      <c r="BA145" s="495" t="str">
        <f t="shared" si="23"/>
        <v/>
      </c>
      <c r="BB145" s="495" t="str">
        <f t="shared" si="24"/>
        <v>ü</v>
      </c>
      <c r="BC145" s="495" t="str">
        <f t="shared" si="25"/>
        <v/>
      </c>
      <c r="BD145" s="513" t="str">
        <f>IF(AND(L145="",H145=""),"",
IF(H145="",Pole_Calc!A$9,
IF(H145="MP",Pole_Calc!A$10,
IF(H145="AnMP",Pole_Calc!A$11,
IF(H145="A",Pole_Calc!A$12,
IF(H145="S/A",Pole_Calc!A$13,
IF(H145="A/S",Pole_Calc!A$14,"Poner a mano")))))))</f>
        <v/>
      </c>
      <c r="BE145" s="429" t="s">
        <v>118</v>
      </c>
      <c r="BF145" s="290"/>
      <c r="BG145" s="290"/>
      <c r="BH145" s="290"/>
      <c r="BI145" s="290"/>
    </row>
    <row r="146" spans="1:61" ht="16.149999999999999" customHeight="1">
      <c r="A146" s="514"/>
      <c r="B146" s="450" t="s">
        <v>240</v>
      </c>
      <c r="C146" s="3">
        <f>+$C$144+$G$145</f>
        <v>33951.15</v>
      </c>
      <c r="D146" s="83"/>
      <c r="E146" s="4"/>
      <c r="F146" s="4">
        <f>IF(C146&gt;0,VLOOKUP(C146,'ALIGNMENT TRACK'!$A$1:$K$81,9,1))</f>
        <v>0</v>
      </c>
      <c r="G146" s="6"/>
      <c r="H146" s="449" t="s">
        <v>168</v>
      </c>
      <c r="I146" s="4"/>
      <c r="J146" s="3"/>
      <c r="K146" s="449"/>
      <c r="L146" s="449" t="s">
        <v>232</v>
      </c>
      <c r="M146" s="449" t="str">
        <f>IF(L146="","",
IF(AX146="PT",VLOOKUP(L146,Foundation_Calc!$V$79:$X$113,VLOOKUP(AX146,Foundation_Calc!$I$10:$J$13,2,FALSE),0),
IF(AX146="K",VLOOKUP(L146,Foundation_Calc!$V$117:$X$151,VLOOKUP(AX146,Foundation_Calc!$I$10:$J$13,2,FALSE),0),"")))</f>
        <v>C5R</v>
      </c>
      <c r="N146" s="449" t="s">
        <v>124</v>
      </c>
      <c r="O146" s="449"/>
      <c r="P146" s="449"/>
      <c r="Q146" s="4"/>
      <c r="R146" s="6"/>
      <c r="S146" s="6"/>
      <c r="T146" s="4">
        <v>-35</v>
      </c>
      <c r="U146" s="4"/>
      <c r="V146" s="4"/>
      <c r="W146" s="9">
        <v>1.4</v>
      </c>
      <c r="X146" s="9"/>
      <c r="Y146" s="9"/>
      <c r="Z146" s="9"/>
      <c r="AA146" s="9"/>
      <c r="AB146" s="9"/>
      <c r="AC146" s="449" t="str">
        <f t="shared" si="26"/>
        <v>PHQ</v>
      </c>
      <c r="AD146" s="449"/>
      <c r="AE146" s="449"/>
      <c r="AF146" s="4"/>
      <c r="AG146" s="83"/>
      <c r="AH146" s="4"/>
      <c r="AI146" s="4"/>
      <c r="AJ146" s="449"/>
      <c r="AK146" s="449"/>
      <c r="AL146" s="449" t="s">
        <v>241</v>
      </c>
      <c r="AM146" s="449" t="s">
        <v>126</v>
      </c>
      <c r="AN146" s="10">
        <v>5.5</v>
      </c>
      <c r="AO146" s="9"/>
      <c r="AP146" s="9"/>
      <c r="AQ146" s="9"/>
      <c r="AR146" s="9"/>
      <c r="AS146" s="9"/>
      <c r="AT146" s="9">
        <f>+ab($T$146,$U$144,$T$148,$G$145,$G$147,-1*$F$146,1200)</f>
        <v>-7.3090524743562151</v>
      </c>
      <c r="AU146" s="428"/>
      <c r="AV146" s="428"/>
      <c r="AW146" s="449" t="str">
        <f>IF(C146&gt;0,VLOOKUP(C146,Foundation_Calc!$A$2:$C$13,3,1),
IF(J146&gt;0,VLOOKUP(J146,Foundation_Calc!$A$2:$C$13,3,1),""))</f>
        <v>Multi Soil</v>
      </c>
      <c r="AX146" s="449" t="str">
        <f>IF(C146&gt;0,VLOOKUP(C146,Foundation_Calc!$E$2:$G$33,3,1),
IF(J146&gt;0,VLOOKUP(J146,Foundation_Calc!$E$2:$G$33,3,1),""))</f>
        <v>PT</v>
      </c>
      <c r="AY146" s="10">
        <f>IF(L146="","",
IF(AX146="PT",VLOOKUP(L146,Foundation_Calc!$K$79:$R$113,VLOOKUP(AW146,Foundation_Calc!$I$2:$J$8,2,FALSE),0),
IF(AX146="K",VLOOKUP(L146,Foundation_Calc!$K$117:$R$151,VLOOKUP(AW146,Foundation_Calc!$I$2:$J$8,2,FALSE),0),"")))</f>
        <v>3.5</v>
      </c>
      <c r="AZ146" s="10" t="str">
        <f>IF(K146="","",
IF(AX146="PT",VLOOKUP(K146,Foundation_Calc!$K$79:$R$113,VLOOKUP(AW146,Foundation_Calc!$I$2:$J$8,2,FALSE),0),
IF(AX146="K",VLOOKUP(K146,Foundation_Calc!$K$117:$R$151,VLOOKUP(AW146,Foundation_Calc!$I$2:$J$8,2,FALSE),0),"")))</f>
        <v/>
      </c>
      <c r="BA146" s="495" t="str">
        <f t="shared" si="23"/>
        <v>ü</v>
      </c>
      <c r="BB146" s="495" t="str">
        <f t="shared" si="24"/>
        <v/>
      </c>
      <c r="BC146" s="495" t="str">
        <f t="shared" si="25"/>
        <v/>
      </c>
      <c r="BD146" s="513" t="str">
        <f>Pole_Calc!A$251</f>
        <v>App.8-V08H-P10.3</v>
      </c>
      <c r="BE146" s="429" t="s">
        <v>118</v>
      </c>
      <c r="BF146" s="289"/>
      <c r="BG146" s="289"/>
      <c r="BH146" s="290"/>
      <c r="BI146" s="289"/>
    </row>
    <row r="147" spans="1:61" ht="16.149999999999999" customHeight="1">
      <c r="A147" s="514"/>
      <c r="B147" s="450"/>
      <c r="C147" s="3"/>
      <c r="D147" s="83"/>
      <c r="E147" s="4"/>
      <c r="F147" s="4"/>
      <c r="G147" s="6">
        <v>55</v>
      </c>
      <c r="H147" s="449"/>
      <c r="I147" s="4">
        <f>SUM(G137:G147)</f>
        <v>343.4</v>
      </c>
      <c r="J147" s="3"/>
      <c r="K147" s="449"/>
      <c r="L147" s="449"/>
      <c r="M147" s="449" t="str">
        <f>IF(L147="","",
IF(AX147="PT",VLOOKUP(L147,Foundation_Calc!$V$79:$X$113,VLOOKUP(AX147,Foundation_Calc!$I$10:$J$13,2,FALSE),0),
IF(AX147="K",VLOOKUP(L147,Foundation_Calc!$V$117:$X$151,VLOOKUP(AX147,Foundation_Calc!$I$10:$J$13,2,FALSE),0),"")))</f>
        <v/>
      </c>
      <c r="N147" s="449"/>
      <c r="O147" s="449"/>
      <c r="P147" s="449"/>
      <c r="Q147" s="4"/>
      <c r="R147" s="6"/>
      <c r="S147" s="6"/>
      <c r="T147" s="4"/>
      <c r="U147" s="4"/>
      <c r="V147" s="4"/>
      <c r="W147" s="9"/>
      <c r="X147" s="9"/>
      <c r="Y147" s="9"/>
      <c r="Z147" s="9"/>
      <c r="AA147" s="9"/>
      <c r="AB147" s="9"/>
      <c r="AC147" s="449" t="str">
        <f t="shared" si="26"/>
        <v/>
      </c>
      <c r="AD147" s="449"/>
      <c r="AE147" s="449"/>
      <c r="AF147" s="4"/>
      <c r="AG147" s="83"/>
      <c r="AH147" s="4"/>
      <c r="AI147" s="4"/>
      <c r="AJ147" s="449"/>
      <c r="AK147" s="449"/>
      <c r="AL147" s="449"/>
      <c r="AM147" s="449"/>
      <c r="AN147" s="10"/>
      <c r="AO147" s="9"/>
      <c r="AP147" s="9"/>
      <c r="AQ147" s="9">
        <f>+FL_2($T$148,$T$146,$G$147,1200,9.28,-1*$F$148)</f>
        <v>-0.39714735709090898</v>
      </c>
      <c r="AR147" s="9"/>
      <c r="AS147" s="9"/>
      <c r="AT147" s="9"/>
      <c r="AU147" s="428"/>
      <c r="AV147" s="428"/>
      <c r="AW147" s="449" t="str">
        <f>IF(C147&gt;0,VLOOKUP(C147,Foundation_Calc!$A$2:$C$13,3,1),
IF(J147&gt;0,VLOOKUP(J147,Foundation_Calc!$A$2:$C$13,3,1),""))</f>
        <v/>
      </c>
      <c r="AX147" s="449" t="str">
        <f>IF(C147&gt;0,VLOOKUP(C147,Foundation_Calc!$E$2:$G$33,3,1),
IF(J147&gt;0,VLOOKUP(J147,Foundation_Calc!$E$2:$G$33,3,1),""))</f>
        <v/>
      </c>
      <c r="AY147" s="10" t="str">
        <f>IF(L147="","",
IF(AX147="PT",VLOOKUP(L147,Foundation_Calc!$K$79:$R$113,VLOOKUP(AW147,Foundation_Calc!$I$2:$J$8,2,FALSE),0),
IF(AX147="K",VLOOKUP(L147,Foundation_Calc!$K$117:$R$151,VLOOKUP(AW147,Foundation_Calc!$I$2:$J$8,2,FALSE),0),"")))</f>
        <v/>
      </c>
      <c r="AZ147" s="10" t="str">
        <f>IF(K147="","",
IF(AX147="PT",VLOOKUP(K147,Foundation_Calc!$K$79:$R$113,VLOOKUP(AW147,Foundation_Calc!$I$2:$J$8,2,FALSE),0),
IF(AX147="K",VLOOKUP(K147,Foundation_Calc!$K$117:$R$151,VLOOKUP(AW147,Foundation_Calc!$I$2:$J$8,2,FALSE),0),"")))</f>
        <v/>
      </c>
      <c r="BA147" s="495" t="str">
        <f t="shared" si="23"/>
        <v/>
      </c>
      <c r="BB147" s="495" t="str">
        <f t="shared" si="24"/>
        <v/>
      </c>
      <c r="BC147" s="495" t="str">
        <f t="shared" si="25"/>
        <v/>
      </c>
      <c r="BD147" s="513" t="str">
        <f>IF(AND(L147="",H147=""),"",
IF(H147="",Pole_Calc!A$9,
IF(H147="MP",Pole_Calc!A$10,
IF(H147="AnMP",Pole_Calc!A$11,
IF(H147="A",Pole_Calc!A$12,
IF(H147="S/A",Pole_Calc!A$13,
IF(H147="A/S",Pole_Calc!A$14,"Poner a mano")))))))</f>
        <v/>
      </c>
      <c r="BE147" s="429" t="s">
        <v>118</v>
      </c>
      <c r="BF147" s="290"/>
      <c r="BG147" s="290"/>
      <c r="BH147" s="290"/>
      <c r="BI147" s="290"/>
    </row>
    <row r="148" spans="1:61" ht="16.149999999999999" customHeight="1">
      <c r="A148" s="514"/>
      <c r="B148" s="450" t="s">
        <v>242</v>
      </c>
      <c r="C148" s="3">
        <f>+$C$146+$G$147</f>
        <v>34006.15</v>
      </c>
      <c r="D148" s="83"/>
      <c r="E148" s="4"/>
      <c r="F148" s="4">
        <f>IF(C148&gt;0,VLOOKUP(C148,'ALIGNMENT TRACK'!$A$1:$K$81,9,1))</f>
        <v>0</v>
      </c>
      <c r="G148" s="6"/>
      <c r="H148" s="449" t="s">
        <v>171</v>
      </c>
      <c r="I148" s="4"/>
      <c r="J148" s="3"/>
      <c r="K148" s="449"/>
      <c r="L148" s="449" t="s">
        <v>232</v>
      </c>
      <c r="M148" s="449" t="str">
        <f>IF(L148="","",
IF(AX148="PT",VLOOKUP(L148,Foundation_Calc!$V$79:$X$113,VLOOKUP(AX148,Foundation_Calc!$I$10:$J$13,2,FALSE),0),
IF(AX148="K",VLOOKUP(L148,Foundation_Calc!$V$117:$X$151,VLOOKUP(AX148,Foundation_Calc!$I$10:$J$13,2,FALSE),0),"")))</f>
        <v>C5R</v>
      </c>
      <c r="N148" s="449" t="s">
        <v>134</v>
      </c>
      <c r="O148" s="449"/>
      <c r="P148" s="449"/>
      <c r="Q148" s="4"/>
      <c r="R148" s="6"/>
      <c r="S148" s="6"/>
      <c r="T148" s="4">
        <v>35</v>
      </c>
      <c r="U148" s="4"/>
      <c r="V148" s="4"/>
      <c r="W148" s="9">
        <v>1.4</v>
      </c>
      <c r="X148" s="9"/>
      <c r="Y148" s="9"/>
      <c r="Z148" s="9"/>
      <c r="AA148" s="9"/>
      <c r="AB148" s="9"/>
      <c r="AC148" s="449" t="str">
        <f t="shared" si="26"/>
        <v>PHQ</v>
      </c>
      <c r="AD148" s="449"/>
      <c r="AE148" s="449"/>
      <c r="AF148" s="4"/>
      <c r="AG148" s="83"/>
      <c r="AH148" s="4"/>
      <c r="AI148" s="4"/>
      <c r="AJ148" s="449"/>
      <c r="AK148" s="449"/>
      <c r="AL148" s="449" t="s">
        <v>241</v>
      </c>
      <c r="AM148" s="449" t="s">
        <v>126</v>
      </c>
      <c r="AN148" s="10">
        <v>5.5</v>
      </c>
      <c r="AO148" s="9"/>
      <c r="AP148" s="9"/>
      <c r="AQ148" s="9"/>
      <c r="AR148" s="9"/>
      <c r="AS148" s="9"/>
      <c r="AT148" s="9">
        <f>+ab($T$148,$T$146,$T$150,$G$147,$G$149,-1*$F$148,1200)</f>
        <v>7.075181613509204</v>
      </c>
      <c r="AU148" s="428"/>
      <c r="AV148" s="428"/>
      <c r="AW148" s="449" t="str">
        <f>IF(C148&gt;0,VLOOKUP(C148,Foundation_Calc!$A$2:$C$13,3,1),
IF(J148&gt;0,VLOOKUP(J148,Foundation_Calc!$A$2:$C$13,3,1),""))</f>
        <v>Multi Soil</v>
      </c>
      <c r="AX148" s="449" t="str">
        <f>IF(C148&gt;0,VLOOKUP(C148,Foundation_Calc!$E$2:$G$33,3,1),
IF(J148&gt;0,VLOOKUP(J148,Foundation_Calc!$E$2:$G$33,3,1),""))</f>
        <v>PT</v>
      </c>
      <c r="AY148" s="10">
        <f>IF(L148="","",
IF(AX148="PT",VLOOKUP(L148,Foundation_Calc!$K$79:$R$113,VLOOKUP(AW148,Foundation_Calc!$I$2:$J$8,2,FALSE),0),
IF(AX148="K",VLOOKUP(L148,Foundation_Calc!$K$117:$R$151,VLOOKUP(AW148,Foundation_Calc!$I$2:$J$8,2,FALSE),0),"")))</f>
        <v>3.5</v>
      </c>
      <c r="AZ148" s="10" t="str">
        <f>IF(K148="","",
IF(AX148="PT",VLOOKUP(K148,Foundation_Calc!$K$79:$R$113,VLOOKUP(AW148,Foundation_Calc!$I$2:$J$8,2,FALSE),0),
IF(AX148="K",VLOOKUP(K148,Foundation_Calc!$K$117:$R$151,VLOOKUP(AW148,Foundation_Calc!$I$2:$J$8,2,FALSE),0),"")))</f>
        <v/>
      </c>
      <c r="BA148" s="495" t="str">
        <f t="shared" si="23"/>
        <v>ü</v>
      </c>
      <c r="BB148" s="495" t="str">
        <f t="shared" si="24"/>
        <v/>
      </c>
      <c r="BC148" s="495" t="str">
        <f t="shared" si="25"/>
        <v/>
      </c>
      <c r="BD148" s="513" t="str">
        <f>Pole_Calc!A$251</f>
        <v>App.8-V08H-P10.3</v>
      </c>
      <c r="BE148" s="429" t="s">
        <v>118</v>
      </c>
      <c r="BF148" s="289"/>
      <c r="BG148" s="289"/>
      <c r="BH148" s="290"/>
      <c r="BI148" s="289"/>
    </row>
    <row r="149" spans="1:61" ht="16.149999999999999" customHeight="1">
      <c r="A149" s="514"/>
      <c r="B149" s="450"/>
      <c r="C149" s="3"/>
      <c r="D149" s="83"/>
      <c r="E149" s="4"/>
      <c r="F149" s="4"/>
      <c r="G149" s="6">
        <v>49.1</v>
      </c>
      <c r="H149" s="449"/>
      <c r="I149" s="4">
        <f>SUM(G149:G167)</f>
        <v>349.2</v>
      </c>
      <c r="J149" s="3"/>
      <c r="K149" s="449"/>
      <c r="L149" s="449"/>
      <c r="M149" s="449" t="str">
        <f>IF(L149="","",
IF(AX149="PT",VLOOKUP(L149,Foundation_Calc!$V$79:$X$113,VLOOKUP(AX149,Foundation_Calc!$I$10:$J$13,2,FALSE),0),
IF(AX149="K",VLOOKUP(L149,Foundation_Calc!$V$117:$X$151,VLOOKUP(AX149,Foundation_Calc!$I$10:$J$13,2,FALSE),0),"")))</f>
        <v/>
      </c>
      <c r="N149" s="449"/>
      <c r="O149" s="449"/>
      <c r="P149" s="449"/>
      <c r="Q149" s="4"/>
      <c r="R149" s="6"/>
      <c r="S149" s="6"/>
      <c r="T149" s="4"/>
      <c r="U149" s="4"/>
      <c r="V149" s="4"/>
      <c r="W149" s="9"/>
      <c r="X149" s="9"/>
      <c r="Y149" s="9"/>
      <c r="Z149" s="9"/>
      <c r="AA149" s="9"/>
      <c r="AB149" s="9"/>
      <c r="AC149" s="449" t="str">
        <f t="shared" si="26"/>
        <v/>
      </c>
      <c r="AD149" s="449"/>
      <c r="AE149" s="449"/>
      <c r="AF149" s="4"/>
      <c r="AG149" s="83"/>
      <c r="AH149" s="4"/>
      <c r="AI149" s="4"/>
      <c r="AJ149" s="449"/>
      <c r="AK149" s="449"/>
      <c r="AL149" s="449"/>
      <c r="AM149" s="449"/>
      <c r="AN149" s="10"/>
      <c r="AO149" s="9"/>
      <c r="AP149" s="9"/>
      <c r="AQ149" s="9">
        <f>+FL_1($T$150,$T$148,$G$149,1200,9.28,-1*$F$150)</f>
        <v>0.36445736502647652</v>
      </c>
      <c r="AR149" s="9"/>
      <c r="AS149" s="9"/>
      <c r="AT149" s="9"/>
      <c r="AU149" s="428"/>
      <c r="AV149" s="428"/>
      <c r="AW149" s="449" t="str">
        <f>IF(C149&gt;0,VLOOKUP(C149,Foundation_Calc!$A$2:$C$13,3,1),
IF(J149&gt;0,VLOOKUP(J149,Foundation_Calc!$A$2:$C$13,3,1),""))</f>
        <v/>
      </c>
      <c r="AX149" s="449" t="str">
        <f>IF(C149&gt;0,VLOOKUP(C149,Foundation_Calc!$E$2:$G$33,3,1),
IF(J149&gt;0,VLOOKUP(J149,Foundation_Calc!$E$2:$G$33,3,1),""))</f>
        <v/>
      </c>
      <c r="AY149" s="10" t="str">
        <f>IF(L149="","",
IF(AX149="PT",VLOOKUP(L149,Foundation_Calc!$K$79:$R$113,VLOOKUP(AW149,Foundation_Calc!$I$2:$J$8,2,FALSE),0),
IF(AX149="K",VLOOKUP(L149,Foundation_Calc!$K$117:$R$151,VLOOKUP(AW149,Foundation_Calc!$I$2:$J$8,2,FALSE),0),"")))</f>
        <v/>
      </c>
      <c r="AZ149" s="10" t="str">
        <f>IF(K149="","",
IF(AX149="PT",VLOOKUP(K149,Foundation_Calc!$K$79:$R$113,VLOOKUP(AW149,Foundation_Calc!$I$2:$J$8,2,FALSE),0),
IF(AX149="K",VLOOKUP(K149,Foundation_Calc!$K$117:$R$151,VLOOKUP(AW149,Foundation_Calc!$I$2:$J$8,2,FALSE),0),"")))</f>
        <v/>
      </c>
      <c r="BA149" s="495" t="str">
        <f t="shared" si="23"/>
        <v/>
      </c>
      <c r="BB149" s="495" t="str">
        <f t="shared" si="24"/>
        <v/>
      </c>
      <c r="BC149" s="495" t="str">
        <f t="shared" si="25"/>
        <v/>
      </c>
      <c r="BD149" s="513" t="str">
        <f>IF(AND(L149="",H149=""),"",
IF(H149="",Pole_Calc!A$9,
IF(H149="MP",Pole_Calc!A$10,
IF(H149="AnMP",Pole_Calc!A$11,
IF(H149="A",Pole_Calc!A$12,
IF(H149="S/A",Pole_Calc!A$13,
IF(H149="A/S",Pole_Calc!A$14,"Poner a mano")))))))</f>
        <v/>
      </c>
      <c r="BE149" s="429" t="s">
        <v>118</v>
      </c>
      <c r="BF149" s="290"/>
      <c r="BG149" s="290"/>
      <c r="BH149" s="290"/>
      <c r="BI149" s="290"/>
    </row>
    <row r="150" spans="1:61" ht="16.149999999999999" customHeight="1">
      <c r="A150" s="514"/>
      <c r="B150" s="450" t="s">
        <v>243</v>
      </c>
      <c r="C150" s="3">
        <f>+$C$148+$G$149</f>
        <v>34055.25</v>
      </c>
      <c r="D150" s="83"/>
      <c r="E150" s="4"/>
      <c r="F150" s="4">
        <f>IF(C150&gt;0,VLOOKUP(C150,'ALIGNMENT TRACK'!$A$1:$K$81,9,1))</f>
        <v>0</v>
      </c>
      <c r="G150" s="6"/>
      <c r="H150" s="449" t="s">
        <v>244</v>
      </c>
      <c r="I150" s="4"/>
      <c r="J150" s="3"/>
      <c r="K150" s="449"/>
      <c r="L150" s="449" t="s">
        <v>232</v>
      </c>
      <c r="M150" s="449" t="str">
        <f>IF(L150="","",
IF(AX150="PT",VLOOKUP(L150,Foundation_Calc!$V$79:$X$113,VLOOKUP(AX150,Foundation_Calc!$I$10:$J$13,2,FALSE),0),
IF(AX150="K",VLOOKUP(L150,Foundation_Calc!$V$117:$X$151,VLOOKUP(AX150,Foundation_Calc!$I$10:$J$13,2,FALSE),0),"")))</f>
        <v>C5R</v>
      </c>
      <c r="N150" s="449" t="s">
        <v>124</v>
      </c>
      <c r="O150" s="554" t="s">
        <v>133</v>
      </c>
      <c r="P150" s="449"/>
      <c r="Q150" s="4"/>
      <c r="R150" s="6"/>
      <c r="S150" s="6"/>
      <c r="T150" s="4">
        <v>-35</v>
      </c>
      <c r="U150" s="4">
        <v>50</v>
      </c>
      <c r="V150" s="4"/>
      <c r="W150" s="9">
        <v>2</v>
      </c>
      <c r="X150" s="9">
        <v>1.4</v>
      </c>
      <c r="Y150" s="9"/>
      <c r="Z150" s="9"/>
      <c r="AA150" s="9">
        <v>0.6</v>
      </c>
      <c r="AB150" s="9"/>
      <c r="AC150" s="449" t="str">
        <f t="shared" si="26"/>
        <v>PHQ</v>
      </c>
      <c r="AD150" s="449"/>
      <c r="AE150" s="449"/>
      <c r="AF150" s="4"/>
      <c r="AG150" s="83"/>
      <c r="AH150" s="4"/>
      <c r="AI150" s="4"/>
      <c r="AJ150" s="449"/>
      <c r="AK150" s="449"/>
      <c r="AL150" s="449" t="s">
        <v>241</v>
      </c>
      <c r="AM150" s="449" t="s">
        <v>126</v>
      </c>
      <c r="AN150" s="10">
        <v>5.5</v>
      </c>
      <c r="AO150" s="9"/>
      <c r="AP150" s="9"/>
      <c r="AQ150" s="9"/>
      <c r="AR150" s="9"/>
      <c r="AS150" s="9"/>
      <c r="AT150" s="9">
        <f>+ab($T$150,$T$148,$T$152,$G$149,$G$151,-1*$F$150,1200)</f>
        <v>-5.6207285458933072</v>
      </c>
      <c r="AU150" s="428"/>
      <c r="AV150" s="428"/>
      <c r="AW150" s="449" t="str">
        <f>IF(C150&gt;0,VLOOKUP(C150,Foundation_Calc!$A$2:$C$13,3,1),
IF(J150&gt;0,VLOOKUP(J150,Foundation_Calc!$A$2:$C$13,3,1),""))</f>
        <v>Multi Soil</v>
      </c>
      <c r="AX150" s="449" t="str">
        <f>IF(C150&gt;0,VLOOKUP(C150,Foundation_Calc!$E$2:$G$33,3,1),
IF(J150&gt;0,VLOOKUP(J150,Foundation_Calc!$E$2:$G$33,3,1),""))</f>
        <v>PT</v>
      </c>
      <c r="AY150" s="10">
        <f>IF(L150="","",
IF(AX150="PT",VLOOKUP(L150,Foundation_Calc!$K$79:$R$113,VLOOKUP(AW150,Foundation_Calc!$I$2:$J$8,2,FALSE),0),
IF(AX150="K",VLOOKUP(L150,Foundation_Calc!$K$117:$R$151,VLOOKUP(AW150,Foundation_Calc!$I$2:$J$8,2,FALSE),0),"")))</f>
        <v>3.5</v>
      </c>
      <c r="AZ150" s="10" t="str">
        <f>IF(K150="","",
IF(AX150="PT",VLOOKUP(K150,Foundation_Calc!$K$79:$R$113,VLOOKUP(AW150,Foundation_Calc!$I$2:$J$8,2,FALSE),0),
IF(AX150="K",VLOOKUP(K150,Foundation_Calc!$K$117:$R$151,VLOOKUP(AW150,Foundation_Calc!$I$2:$J$8,2,FALSE),0),"")))</f>
        <v/>
      </c>
      <c r="BA150" s="495" t="str">
        <f t="shared" si="23"/>
        <v>ü</v>
      </c>
      <c r="BB150" s="495" t="str">
        <f t="shared" si="24"/>
        <v/>
      </c>
      <c r="BC150" s="495" t="str">
        <f t="shared" si="25"/>
        <v/>
      </c>
      <c r="BD150" s="513" t="str">
        <f>Pole_Calc!A$251</f>
        <v>App.8-V08H-P10.3</v>
      </c>
      <c r="BE150" s="429" t="s">
        <v>118</v>
      </c>
      <c r="BF150" s="289"/>
      <c r="BG150" s="289"/>
      <c r="BH150" s="290"/>
      <c r="BI150" s="289"/>
    </row>
    <row r="151" spans="1:61" ht="16.149999999999999" customHeight="1">
      <c r="A151" s="514"/>
      <c r="B151" s="450"/>
      <c r="C151" s="3"/>
      <c r="D151" s="83"/>
      <c r="E151" s="4"/>
      <c r="F151" s="4"/>
      <c r="G151" s="6">
        <v>35.4</v>
      </c>
      <c r="H151" s="449"/>
      <c r="I151" s="4"/>
      <c r="J151" s="3">
        <f>C150+7.5</f>
        <v>34062.75</v>
      </c>
      <c r="K151" s="449" t="s">
        <v>166</v>
      </c>
      <c r="L151" s="449"/>
      <c r="M151" s="449" t="str">
        <f>IF(L151="","",
IF(AX151="PT",VLOOKUP(L151,Foundation_Calc!$V$79:$X$113,VLOOKUP(AX151,Foundation_Calc!$I$10:$J$13,2,FALSE),0),
IF(AX151="K",VLOOKUP(L151,Foundation_Calc!$V$117:$X$151,VLOOKUP(AX151,Foundation_Calc!$I$10:$J$13,2,FALSE),0),"")))</f>
        <v/>
      </c>
      <c r="N151" s="449"/>
      <c r="O151" s="449"/>
      <c r="P151" s="449"/>
      <c r="Q151" s="4"/>
      <c r="R151" s="6"/>
      <c r="S151" s="6"/>
      <c r="T151" s="4"/>
      <c r="U151" s="4"/>
      <c r="V151" s="4"/>
      <c r="W151" s="9"/>
      <c r="X151" s="9"/>
      <c r="Y151" s="9"/>
      <c r="Z151" s="9"/>
      <c r="AA151" s="9"/>
      <c r="AB151" s="9"/>
      <c r="AC151" s="449" t="str">
        <f t="shared" si="26"/>
        <v/>
      </c>
      <c r="AD151" s="449"/>
      <c r="AE151" s="449"/>
      <c r="AF151" s="4"/>
      <c r="AG151" s="83"/>
      <c r="AH151" s="4"/>
      <c r="AI151" s="4"/>
      <c r="AJ151" s="449"/>
      <c r="AK151" s="449"/>
      <c r="AL151" s="449"/>
      <c r="AM151" s="449"/>
      <c r="AN151" s="10"/>
      <c r="AO151" s="9"/>
      <c r="AP151" s="9"/>
      <c r="AQ151" s="9">
        <f>+FL_2($T$152,$T$150,$G$151,1200,9.28,-1*$F$152)</f>
        <v>-0.35000000000000925</v>
      </c>
      <c r="AR151" s="9"/>
      <c r="AS151" s="9"/>
      <c r="AT151" s="9"/>
      <c r="AU151" s="428"/>
      <c r="AV151" s="428"/>
      <c r="AW151" s="449" t="str">
        <f>IF(C151&gt;0,VLOOKUP(C151,Foundation_Calc!$A$2:$C$13,3,1),
IF(J151&gt;0,VLOOKUP(J151,Foundation_Calc!$A$2:$C$13,3,1),""))</f>
        <v>Multi Soil</v>
      </c>
      <c r="AX151" s="449" t="str">
        <f>IF(C151&gt;0,VLOOKUP(C151,Foundation_Calc!$E$2:$G$33,3,1),
IF(J151&gt;0,VLOOKUP(J151,Foundation_Calc!$E$2:$G$33,3,1),""))</f>
        <v>PT</v>
      </c>
      <c r="AY151" s="10" t="str">
        <f>IF(L151="","",
IF(AX151="PT",VLOOKUP(L151,Foundation_Calc!$K$79:$R$113,VLOOKUP(AW151,Foundation_Calc!$I$2:$J$8,2,FALSE),0),
IF(AX151="K",VLOOKUP(L151,Foundation_Calc!$K$117:$R$151,VLOOKUP(AW151,Foundation_Calc!$I$2:$J$8,2,FALSE),0),"")))</f>
        <v/>
      </c>
      <c r="AZ151" s="10">
        <f>IF(K151="","",
IF(AX151="PT",VLOOKUP(K151,Foundation_Calc!$K$79:$R$113,VLOOKUP(AW151,Foundation_Calc!$I$2:$J$8,2,FALSE),0),
IF(AX151="K",VLOOKUP(K151,Foundation_Calc!$K$117:$R$151,VLOOKUP(AW151,Foundation_Calc!$I$2:$J$8,2,FALSE),0),"")))</f>
        <v>2.8</v>
      </c>
      <c r="BA151" s="495" t="str">
        <f t="shared" si="23"/>
        <v/>
      </c>
      <c r="BB151" s="495" t="str">
        <f t="shared" si="24"/>
        <v>ü</v>
      </c>
      <c r="BC151" s="495" t="str">
        <f t="shared" si="25"/>
        <v/>
      </c>
      <c r="BD151" s="513" t="str">
        <f>IF(AND(L151="",H151=""),"",
IF(H151="",Pole_Calc!A$9,
IF(H151="MP",Pole_Calc!A$10,
IF(H151="AnMP",Pole_Calc!A$11,
IF(H151="A",Pole_Calc!A$12,
IF(H151="S/A",Pole_Calc!A$13,
IF(H151="A/S",Pole_Calc!A$14,"Poner a mano")))))))</f>
        <v/>
      </c>
      <c r="BE151" s="429" t="s">
        <v>118</v>
      </c>
      <c r="BF151" s="290"/>
      <c r="BG151" s="290"/>
      <c r="BH151" s="290"/>
      <c r="BI151" s="290"/>
    </row>
    <row r="152" spans="1:61" ht="16.149999999999999" customHeight="1">
      <c r="A152" s="514"/>
      <c r="B152" s="450" t="s">
        <v>245</v>
      </c>
      <c r="C152" s="3">
        <f>+$C$150+$G$151</f>
        <v>34090.65</v>
      </c>
      <c r="D152" s="83"/>
      <c r="E152" s="4"/>
      <c r="F152" s="4">
        <f>IF(C152&gt;0,VLOOKUP(C152,'ALIGNMENT TRACK'!$A$1:$K$81,9,1))</f>
        <v>0</v>
      </c>
      <c r="G152" s="6"/>
      <c r="H152" s="449" t="s">
        <v>246</v>
      </c>
      <c r="I152" s="4" t="s">
        <v>162</v>
      </c>
      <c r="J152" s="3"/>
      <c r="K152" s="449"/>
      <c r="L152" s="449" t="s">
        <v>247</v>
      </c>
      <c r="M152" s="449" t="str">
        <f>IF(L152="","",
IF(AX152="PT",VLOOKUP(L152,Foundation_Calc!$V$79:$X$113,VLOOKUP(AX152,Foundation_Calc!$I$10:$J$13,2,FALSE),0),
IF(AX152="K",VLOOKUP(L152,Foundation_Calc!$V$117:$X$151,VLOOKUP(AX152,Foundation_Calc!$I$10:$J$13,2,FALSE),0),"")))</f>
        <v>C12R</v>
      </c>
      <c r="N152" s="449" t="s">
        <v>134</v>
      </c>
      <c r="O152" s="449"/>
      <c r="P152" s="449"/>
      <c r="Q152" s="4"/>
      <c r="R152" s="6"/>
      <c r="S152" s="6"/>
      <c r="T152" s="4">
        <v>35</v>
      </c>
      <c r="U152" s="4"/>
      <c r="V152" s="4"/>
      <c r="W152" s="9">
        <v>1.4</v>
      </c>
      <c r="X152" s="9"/>
      <c r="Y152" s="9"/>
      <c r="Z152" s="9"/>
      <c r="AA152" s="9"/>
      <c r="AB152" s="9"/>
      <c r="AC152" s="449" t="str">
        <f t="shared" si="26"/>
        <v>PHC</v>
      </c>
      <c r="AD152" s="449"/>
      <c r="AE152" s="449"/>
      <c r="AF152" s="4"/>
      <c r="AG152" s="83"/>
      <c r="AH152" s="4"/>
      <c r="AI152" s="4"/>
      <c r="AJ152" s="449"/>
      <c r="AK152" s="449"/>
      <c r="AL152" s="449" t="s">
        <v>241</v>
      </c>
      <c r="AM152" s="449" t="s">
        <v>126</v>
      </c>
      <c r="AN152" s="10">
        <v>5.5</v>
      </c>
      <c r="AO152" s="9"/>
      <c r="AP152" s="9"/>
      <c r="AQ152" s="9"/>
      <c r="AR152" s="9"/>
      <c r="AS152" s="9"/>
      <c r="AT152" s="9">
        <f>+ab($T$152,$T$150,$T$154,$G$151,$G$153,-1*$F$152,1200)</f>
        <v>4.0101114394498341</v>
      </c>
      <c r="AU152" s="428"/>
      <c r="AV152" s="428"/>
      <c r="AW152" s="449" t="str">
        <f>IF(C152&gt;0,VLOOKUP(C152,Foundation_Calc!$A$2:$C$13,3,1),
IF(J152&gt;0,VLOOKUP(J152,Foundation_Calc!$A$2:$C$13,3,1),""))</f>
        <v>Multi Soil</v>
      </c>
      <c r="AX152" s="449" t="str">
        <f>IF(C152&gt;0,VLOOKUP(C152,Foundation_Calc!$E$2:$G$33,3,1),
IF(J152&gt;0,VLOOKUP(J152,Foundation_Calc!$E$2:$G$33,3,1),""))</f>
        <v>PT</v>
      </c>
      <c r="AY152" s="10">
        <f>IF(L152="","",
IF(AX152="PT",VLOOKUP(L152,Foundation_Calc!$K$79:$R$113,VLOOKUP(AW152,Foundation_Calc!$I$2:$J$8,2,FALSE),0),
IF(AX152="K",VLOOKUP(L152,Foundation_Calc!$K$117:$R$151,VLOOKUP(AW152,Foundation_Calc!$I$2:$J$8,2,FALSE),0),"")))</f>
        <v>6.2</v>
      </c>
      <c r="AZ152" s="10" t="str">
        <f>IF(K152="","",
IF(AX152="PT",VLOOKUP(K152,Foundation_Calc!$K$79:$R$113,VLOOKUP(AW152,Foundation_Calc!$I$2:$J$8,2,FALSE),0),
IF(AX152="K",VLOOKUP(K152,Foundation_Calc!$K$117:$R$151,VLOOKUP(AW152,Foundation_Calc!$I$2:$J$8,2,FALSE),0),"")))</f>
        <v/>
      </c>
      <c r="BA152" s="495" t="str">
        <f t="shared" si="23"/>
        <v>ü</v>
      </c>
      <c r="BB152" s="495" t="str">
        <f t="shared" si="24"/>
        <v/>
      </c>
      <c r="BC152" s="495" t="str">
        <f t="shared" si="25"/>
        <v/>
      </c>
      <c r="BD152" s="513" t="str">
        <f>Pole_Calc!A$289</f>
        <v>App.8-V08H-P10.3.2</v>
      </c>
      <c r="BE152" s="429" t="s">
        <v>118</v>
      </c>
      <c r="BF152" s="289"/>
      <c r="BG152" s="289"/>
      <c r="BH152" s="290"/>
      <c r="BI152" s="289"/>
    </row>
    <row r="153" spans="1:61" ht="16.149999999999999" customHeight="1">
      <c r="A153" s="514"/>
      <c r="B153" s="450"/>
      <c r="C153" s="3"/>
      <c r="D153" s="83"/>
      <c r="E153" s="4"/>
      <c r="F153" s="4"/>
      <c r="G153" s="6">
        <v>25</v>
      </c>
      <c r="H153" s="449"/>
      <c r="I153" s="4"/>
      <c r="J153" s="3"/>
      <c r="K153" s="449"/>
      <c r="L153" s="449"/>
      <c r="M153" s="449" t="str">
        <f>IF(L153="","",
IF(AX153="PT",VLOOKUP(L153,Foundation_Calc!$V$79:$X$113,VLOOKUP(AX153,Foundation_Calc!$I$10:$J$13,2,FALSE),0),
IF(AX153="K",VLOOKUP(L153,Foundation_Calc!$V$117:$X$151,VLOOKUP(AX153,Foundation_Calc!$I$10:$J$13,2,FALSE),0),"")))</f>
        <v/>
      </c>
      <c r="N153" s="449"/>
      <c r="O153" s="561"/>
      <c r="P153" s="449"/>
      <c r="Q153" s="4"/>
      <c r="R153" s="6"/>
      <c r="S153" s="6"/>
      <c r="T153" s="4"/>
      <c r="U153" s="4"/>
      <c r="V153" s="4"/>
      <c r="W153" s="9"/>
      <c r="X153" s="9"/>
      <c r="Y153" s="9"/>
      <c r="Z153" s="9"/>
      <c r="AA153" s="9"/>
      <c r="AB153" s="9"/>
      <c r="AC153" s="449" t="str">
        <f t="shared" si="26"/>
        <v/>
      </c>
      <c r="AD153" s="449"/>
      <c r="AE153" s="449"/>
      <c r="AF153" s="4"/>
      <c r="AG153" s="83"/>
      <c r="AH153" s="4"/>
      <c r="AI153" s="4"/>
      <c r="AJ153" s="449"/>
      <c r="AK153" s="449"/>
      <c r="AL153" s="449"/>
      <c r="AM153" s="449"/>
      <c r="AN153" s="10"/>
      <c r="AO153" s="9"/>
      <c r="AP153" s="9"/>
      <c r="AQ153" s="9">
        <f>+FL_1($T$154,$T$152,$G$153,1200,9.28,-1*$F$154)</f>
        <v>0.35000000000002029</v>
      </c>
      <c r="AR153" s="9"/>
      <c r="AS153" s="9"/>
      <c r="AT153" s="9"/>
      <c r="AU153" s="428"/>
      <c r="AV153" s="428"/>
      <c r="AW153" s="449" t="str">
        <f>IF(C153&gt;0,VLOOKUP(C153,Foundation_Calc!$A$2:$C$13,3,1),
IF(J153&gt;0,VLOOKUP(J153,Foundation_Calc!$A$2:$C$13,3,1),""))</f>
        <v/>
      </c>
      <c r="AX153" s="449" t="str">
        <f>IF(C153&gt;0,VLOOKUP(C153,Foundation_Calc!$E$2:$G$33,3,1),
IF(J153&gt;0,VLOOKUP(J153,Foundation_Calc!$E$2:$G$33,3,1),""))</f>
        <v/>
      </c>
      <c r="AY153" s="10" t="str">
        <f>IF(L153="","",
IF(AX153="PT",VLOOKUP(L153,Foundation_Calc!$K$79:$R$113,VLOOKUP(AW153,Foundation_Calc!$I$2:$J$8,2,FALSE),0),
IF(AX153="K",VLOOKUP(L153,Foundation_Calc!$K$117:$R$151,VLOOKUP(AW153,Foundation_Calc!$I$2:$J$8,2,FALSE),0),"")))</f>
        <v/>
      </c>
      <c r="AZ153" s="10" t="str">
        <f>IF(K153="","",
IF(AX153="PT",VLOOKUP(K153,Foundation_Calc!$K$79:$R$113,VLOOKUP(AW153,Foundation_Calc!$I$2:$J$8,2,FALSE),0),
IF(AX153="K",VLOOKUP(K153,Foundation_Calc!$K$117:$R$151,VLOOKUP(AW153,Foundation_Calc!$I$2:$J$8,2,FALSE),0),"")))</f>
        <v/>
      </c>
      <c r="BA153" s="495" t="str">
        <f t="shared" si="23"/>
        <v/>
      </c>
      <c r="BB153" s="495" t="str">
        <f t="shared" si="24"/>
        <v/>
      </c>
      <c r="BC153" s="495" t="str">
        <f t="shared" si="25"/>
        <v/>
      </c>
      <c r="BD153" s="513" t="str">
        <f>IF(AND(L153="",H153=""),"",
IF(H153="",Pole_Calc!A$9,
IF(H153="MP",Pole_Calc!A$10,
IF(H153="AnMP",Pole_Calc!A$11,
IF(H153="A",Pole_Calc!A$12,
IF(H153="S/A",Pole_Calc!A$13,
IF(H153="A/S",Pole_Calc!A$14,"Poner a mano")))))))</f>
        <v/>
      </c>
      <c r="BE153" s="429" t="s">
        <v>118</v>
      </c>
      <c r="BF153" s="290"/>
      <c r="BG153" s="290"/>
      <c r="BH153" s="290"/>
      <c r="BI153" s="290"/>
    </row>
    <row r="154" spans="1:61" ht="16.149999999999999" customHeight="1">
      <c r="A154" s="514" t="s">
        <v>248</v>
      </c>
      <c r="B154" s="450" t="s">
        <v>249</v>
      </c>
      <c r="C154" s="3">
        <f>+$C$152+$G$153</f>
        <v>34115.65</v>
      </c>
      <c r="D154" s="83"/>
      <c r="E154" s="4"/>
      <c r="F154" s="4">
        <f>IF(C154&gt;0,VLOOKUP(C154,'ALIGNMENT TRACK'!$A$1:$K$81,9,1))</f>
        <v>0</v>
      </c>
      <c r="G154" s="6"/>
      <c r="H154" s="449"/>
      <c r="I154" s="4"/>
      <c r="J154" s="3"/>
      <c r="K154" s="449"/>
      <c r="L154" s="449" t="s">
        <v>250</v>
      </c>
      <c r="M154" s="449" t="str">
        <f>IF(L154="","",
IF(AX154="PT",VLOOKUP(L154,Foundation_Calc!$V$79:$X$113,VLOOKUP(AX154,Foundation_Calc!$I$10:$J$13,2,FALSE),0),
IF(AX154="K",VLOOKUP(L154,Foundation_Calc!$V$117:$X$151,VLOOKUP(AX154,Foundation_Calc!$I$10:$J$13,2,FALSE),0),"")))</f>
        <v>2C4R</v>
      </c>
      <c r="N154" s="449" t="s">
        <v>124</v>
      </c>
      <c r="O154" s="449"/>
      <c r="P154" s="449"/>
      <c r="Q154" s="4"/>
      <c r="R154" s="6"/>
      <c r="S154" s="6"/>
      <c r="T154" s="4">
        <v>-35</v>
      </c>
      <c r="U154" s="4"/>
      <c r="V154" s="4"/>
      <c r="W154" s="9">
        <v>1.4</v>
      </c>
      <c r="X154" s="9"/>
      <c r="Y154" s="9"/>
      <c r="Z154" s="9"/>
      <c r="AA154" s="9"/>
      <c r="AB154" s="9"/>
      <c r="AC154" s="449" t="str">
        <f t="shared" si="26"/>
        <v>PHC</v>
      </c>
      <c r="AD154" s="449"/>
      <c r="AE154" s="449"/>
      <c r="AF154" s="4"/>
      <c r="AG154" s="83"/>
      <c r="AH154" s="4"/>
      <c r="AI154" s="4"/>
      <c r="AJ154" s="449" t="s">
        <v>251</v>
      </c>
      <c r="AK154" s="449"/>
      <c r="AL154" s="449" t="s">
        <v>252</v>
      </c>
      <c r="AM154" s="449" t="s">
        <v>126</v>
      </c>
      <c r="AN154" s="10">
        <v>5.5</v>
      </c>
      <c r="AO154" s="9"/>
      <c r="AP154" s="9"/>
      <c r="AQ154" s="9"/>
      <c r="AR154" s="9"/>
      <c r="AS154" s="9"/>
      <c r="AT154" s="9">
        <f>+ab($T$154,$T$152,$T$156,$G$153,$G$155,-1*$F$154,1200)</f>
        <v>-3.2579137988933069</v>
      </c>
      <c r="AU154" s="428"/>
      <c r="AV154" s="428"/>
      <c r="AW154" s="449" t="str">
        <f>IF(C154&gt;0,VLOOKUP(C154,Foundation_Calc!$A$2:$C$13,3,1),
IF(J154&gt;0,VLOOKUP(J154,Foundation_Calc!$A$2:$C$13,3,1),""))</f>
        <v>Multi Soil</v>
      </c>
      <c r="AX154" s="449" t="str">
        <f>IF(C154&gt;0,VLOOKUP(C154,Foundation_Calc!$E$2:$G$33,3,1),
IF(J154&gt;0,VLOOKUP(J154,Foundation_Calc!$E$2:$G$33,3,1),""))</f>
        <v>PT</v>
      </c>
      <c r="AY154" s="10">
        <f>IF(L154="","",
IF(AX154="PT",VLOOKUP(L154,Foundation_Calc!$K$79:$R$113,VLOOKUP(AW154,Foundation_Calc!$I$2:$J$8,2,FALSE),0),
IF(AX154="K",VLOOKUP(L154,Foundation_Calc!$K$117:$R$151,VLOOKUP(AW154,Foundation_Calc!$I$2:$J$8,2,FALSE),0),"")))</f>
        <v>5.6</v>
      </c>
      <c r="AZ154" s="10" t="str">
        <f>IF(K154="","",
IF(AX154="PT",VLOOKUP(K154,Foundation_Calc!$K$79:$R$113,VLOOKUP(AW154,Foundation_Calc!$I$2:$J$8,2,FALSE),0),
IF(AX154="K",VLOOKUP(K154,Foundation_Calc!$K$117:$R$151,VLOOKUP(AW154,Foundation_Calc!$I$2:$J$8,2,FALSE),0),"")))</f>
        <v/>
      </c>
      <c r="BA154" s="495" t="str">
        <f t="shared" si="23"/>
        <v>ü</v>
      </c>
      <c r="BB154" s="495" t="str">
        <f t="shared" si="24"/>
        <v/>
      </c>
      <c r="BC154" s="495" t="str">
        <f t="shared" si="25"/>
        <v/>
      </c>
      <c r="BD154" s="513" t="str">
        <f>Pole_Calc!A$251</f>
        <v>App.8-V08H-P10.3</v>
      </c>
      <c r="BE154" s="429" t="s">
        <v>118</v>
      </c>
      <c r="BF154" s="289"/>
      <c r="BG154" s="289"/>
      <c r="BH154" s="290"/>
      <c r="BI154" s="289"/>
    </row>
    <row r="155" spans="1:61" ht="16.149999999999999" customHeight="1">
      <c r="A155" s="514"/>
      <c r="B155" s="450"/>
      <c r="C155" s="3"/>
      <c r="D155" s="83"/>
      <c r="E155" s="4"/>
      <c r="F155" s="4"/>
      <c r="G155" s="6">
        <v>22.7</v>
      </c>
      <c r="H155" s="449"/>
      <c r="I155" s="4"/>
      <c r="J155" s="3"/>
      <c r="K155" s="449"/>
      <c r="L155" s="449"/>
      <c r="M155" s="449" t="str">
        <f>IF(L155="","",
IF(AX155="PT",VLOOKUP(L155,Foundation_Calc!$V$79:$X$113,VLOOKUP(AX155,Foundation_Calc!$I$10:$J$13,2,FALSE),0),
IF(AX155="K",VLOOKUP(L155,Foundation_Calc!$V$117:$X$151,VLOOKUP(AX155,Foundation_Calc!$I$10:$J$13,2,FALSE),0),"")))</f>
        <v/>
      </c>
      <c r="N155" s="449"/>
      <c r="O155" s="561"/>
      <c r="P155" s="449"/>
      <c r="Q155" s="4"/>
      <c r="R155" s="6"/>
      <c r="S155" s="6"/>
      <c r="T155" s="4"/>
      <c r="U155" s="4"/>
      <c r="V155" s="4"/>
      <c r="W155" s="9"/>
      <c r="X155" s="9"/>
      <c r="Y155" s="9"/>
      <c r="Z155" s="9"/>
      <c r="AA155" s="9"/>
      <c r="AB155" s="9"/>
      <c r="AC155" s="449" t="str">
        <f t="shared" si="26"/>
        <v/>
      </c>
      <c r="AD155" s="449"/>
      <c r="AE155" s="449"/>
      <c r="AF155" s="4"/>
      <c r="AG155" s="83"/>
      <c r="AH155" s="4"/>
      <c r="AI155" s="4"/>
      <c r="AJ155" s="449"/>
      <c r="AK155" s="449"/>
      <c r="AL155" s="449"/>
      <c r="AM155" s="449"/>
      <c r="AN155" s="10"/>
      <c r="AO155" s="9"/>
      <c r="AP155" s="9"/>
      <c r="AQ155" s="9">
        <f>+FL_2($T$156,$T$154,$G$155,1200,9.28,-1*$F$156)</f>
        <v>-0.35000000000001641</v>
      </c>
      <c r="AR155" s="9"/>
      <c r="AS155" s="9"/>
      <c r="AT155" s="9"/>
      <c r="AU155" s="428"/>
      <c r="AV155" s="428"/>
      <c r="AW155" s="449" t="str">
        <f>IF(C155&gt;0,VLOOKUP(C155,Foundation_Calc!$A$2:$C$13,3,1),
IF(J155&gt;0,VLOOKUP(J155,Foundation_Calc!$A$2:$C$13,3,1),""))</f>
        <v/>
      </c>
      <c r="AX155" s="449" t="str">
        <f>IF(C155&gt;0,VLOOKUP(C155,Foundation_Calc!$E$2:$G$33,3,1),
IF(J155&gt;0,VLOOKUP(J155,Foundation_Calc!$E$2:$G$33,3,1),""))</f>
        <v/>
      </c>
      <c r="AY155" s="10" t="str">
        <f>IF(L155="","",
IF(AX155="PT",VLOOKUP(L155,Foundation_Calc!$K$79:$R$113,VLOOKUP(AW155,Foundation_Calc!$I$2:$J$8,2,FALSE),0),
IF(AX155="K",VLOOKUP(L155,Foundation_Calc!$K$117:$R$151,VLOOKUP(AW155,Foundation_Calc!$I$2:$J$8,2,FALSE),0),"")))</f>
        <v/>
      </c>
      <c r="AZ155" s="10" t="str">
        <f>IF(K155="","",
IF(AX155="PT",VLOOKUP(K155,Foundation_Calc!$K$79:$R$113,VLOOKUP(AW155,Foundation_Calc!$I$2:$J$8,2,FALSE),0),
IF(AX155="K",VLOOKUP(K155,Foundation_Calc!$K$117:$R$151,VLOOKUP(AW155,Foundation_Calc!$I$2:$J$8,2,FALSE),0),"")))</f>
        <v/>
      </c>
      <c r="BA155" s="495" t="str">
        <f t="shared" si="23"/>
        <v/>
      </c>
      <c r="BB155" s="495" t="str">
        <f t="shared" si="24"/>
        <v/>
      </c>
      <c r="BC155" s="495" t="str">
        <f t="shared" si="25"/>
        <v/>
      </c>
      <c r="BD155" s="513" t="str">
        <f>IF(AND(L155="",H155=""),"",
IF(H155="",Pole_Calc!A$9,
IF(H155="MP",Pole_Calc!A$10,
IF(H155="AnMP",Pole_Calc!A$11,
IF(H155="A",Pole_Calc!A$12,
IF(H155="S/A",Pole_Calc!A$13,
IF(H155="A/S",Pole_Calc!A$14,"Poner a mano")))))))</f>
        <v/>
      </c>
      <c r="BE155" s="429" t="s">
        <v>118</v>
      </c>
      <c r="BF155" s="290"/>
      <c r="BG155" s="290"/>
      <c r="BH155" s="290"/>
      <c r="BI155" s="290"/>
    </row>
    <row r="156" spans="1:61" ht="16.149999999999999" customHeight="1">
      <c r="A156" s="514"/>
      <c r="B156" s="450" t="s">
        <v>253</v>
      </c>
      <c r="C156" s="3">
        <f>+$C$154+$G$155</f>
        <v>34138.35</v>
      </c>
      <c r="D156" s="83"/>
      <c r="E156" s="4"/>
      <c r="F156" s="4">
        <f>IF(C156&gt;0,VLOOKUP(C156,'ALIGNMENT TRACK'!$A$1:$K$81,9,1))</f>
        <v>0</v>
      </c>
      <c r="G156" s="6"/>
      <c r="H156" s="449"/>
      <c r="I156" s="4"/>
      <c r="J156" s="3"/>
      <c r="K156" s="449"/>
      <c r="L156" s="449" t="s">
        <v>250</v>
      </c>
      <c r="M156" s="449" t="str">
        <f>IF(L156="","",
IF(AX156="PT",VLOOKUP(L156,Foundation_Calc!$V$79:$X$113,VLOOKUP(AX156,Foundation_Calc!$I$10:$J$13,2,FALSE),0),
IF(AX156="K",VLOOKUP(L156,Foundation_Calc!$V$117:$X$151,VLOOKUP(AX156,Foundation_Calc!$I$10:$J$13,2,FALSE),0),"")))</f>
        <v>2C4R</v>
      </c>
      <c r="N156" s="449" t="s">
        <v>134</v>
      </c>
      <c r="O156" s="449"/>
      <c r="P156" s="449"/>
      <c r="Q156" s="4"/>
      <c r="R156" s="6"/>
      <c r="S156" s="6"/>
      <c r="T156" s="4">
        <v>35</v>
      </c>
      <c r="U156" s="4"/>
      <c r="V156" s="4"/>
      <c r="W156" s="9">
        <v>1.4</v>
      </c>
      <c r="X156" s="9"/>
      <c r="Y156" s="9"/>
      <c r="Z156" s="9"/>
      <c r="AA156" s="9"/>
      <c r="AB156" s="9"/>
      <c r="AC156" s="449" t="str">
        <f t="shared" si="26"/>
        <v>PHC</v>
      </c>
      <c r="AD156" s="449"/>
      <c r="AE156" s="449"/>
      <c r="AF156" s="4"/>
      <c r="AG156" s="83"/>
      <c r="AH156" s="4"/>
      <c r="AI156" s="4"/>
      <c r="AJ156" s="449"/>
      <c r="AK156" s="449"/>
      <c r="AL156" s="449" t="s">
        <v>252</v>
      </c>
      <c r="AM156" s="449" t="s">
        <v>126</v>
      </c>
      <c r="AN156" s="10">
        <v>5.5</v>
      </c>
      <c r="AO156" s="9"/>
      <c r="AP156" s="9"/>
      <c r="AQ156" s="9"/>
      <c r="AR156" s="9"/>
      <c r="AS156" s="9"/>
      <c r="AT156" s="9">
        <f>+ab($T$156,$T$154,$T$158,$G$155,$G$157,-1*$F$156,1200)</f>
        <v>3.3766820246213158</v>
      </c>
      <c r="AU156" s="428"/>
      <c r="AV156" s="428"/>
      <c r="AW156" s="449" t="str">
        <f>IF(C156&gt;0,VLOOKUP(C156,Foundation_Calc!$A$2:$C$13,3,1),
IF(J156&gt;0,VLOOKUP(J156,Foundation_Calc!$A$2:$C$13,3,1),""))</f>
        <v>Multi Soil</v>
      </c>
      <c r="AX156" s="449" t="str">
        <f>IF(C156&gt;0,VLOOKUP(C156,Foundation_Calc!$E$2:$G$33,3,1),
IF(J156&gt;0,VLOOKUP(J156,Foundation_Calc!$E$2:$G$33,3,1),""))</f>
        <v>PT</v>
      </c>
      <c r="AY156" s="10">
        <f>IF(L156="","",
IF(AX156="PT",VLOOKUP(L156,Foundation_Calc!$K$79:$R$113,VLOOKUP(AW156,Foundation_Calc!$I$2:$J$8,2,FALSE),0),
IF(AX156="K",VLOOKUP(L156,Foundation_Calc!$K$117:$R$151,VLOOKUP(AW156,Foundation_Calc!$I$2:$J$8,2,FALSE),0),"")))</f>
        <v>5.6</v>
      </c>
      <c r="AZ156" s="10" t="str">
        <f>IF(K156="","",
IF(AX156="PT",VLOOKUP(K156,Foundation_Calc!$K$79:$R$113,VLOOKUP(AW156,Foundation_Calc!$I$2:$J$8,2,FALSE),0),
IF(AX156="K",VLOOKUP(K156,Foundation_Calc!$K$117:$R$151,VLOOKUP(AW156,Foundation_Calc!$I$2:$J$8,2,FALSE),0),"")))</f>
        <v/>
      </c>
      <c r="BA156" s="495" t="str">
        <f t="shared" si="23"/>
        <v>ü</v>
      </c>
      <c r="BB156" s="495" t="str">
        <f t="shared" si="24"/>
        <v/>
      </c>
      <c r="BC156" s="495" t="str">
        <f t="shared" si="25"/>
        <v/>
      </c>
      <c r="BD156" s="513" t="str">
        <f>Pole_Calc!A$251</f>
        <v>App.8-V08H-P10.3</v>
      </c>
      <c r="BE156" s="429" t="s">
        <v>118</v>
      </c>
      <c r="BF156" s="289"/>
      <c r="BG156" s="289"/>
      <c r="BH156" s="290"/>
      <c r="BI156" s="289"/>
    </row>
    <row r="157" spans="1:61" ht="17.45" customHeight="1">
      <c r="A157" s="514"/>
      <c r="B157" s="450"/>
      <c r="C157" s="3"/>
      <c r="D157" s="83"/>
      <c r="E157" s="4"/>
      <c r="F157" s="4"/>
      <c r="G157" s="6">
        <v>27</v>
      </c>
      <c r="H157" s="448"/>
      <c r="I157" s="566"/>
      <c r="J157" s="3"/>
      <c r="K157" s="449"/>
      <c r="L157" s="449"/>
      <c r="M157" s="449" t="str">
        <f>IF(L157="","",
IF(AX157="PT",VLOOKUP(L157,Foundation_Calc!$V$79:$X$113,VLOOKUP(AX157,Foundation_Calc!$I$10:$J$13,2,FALSE),0),
IF(AX157="K",VLOOKUP(L157,Foundation_Calc!$V$117:$X$151,VLOOKUP(AX157,Foundation_Calc!$I$10:$J$13,2,FALSE),0),"")))</f>
        <v/>
      </c>
      <c r="N157" s="449"/>
      <c r="O157" s="449"/>
      <c r="P157" s="449"/>
      <c r="Q157" s="4"/>
      <c r="R157" s="6"/>
      <c r="S157" s="6"/>
      <c r="T157" s="4"/>
      <c r="U157" s="4"/>
      <c r="V157" s="4"/>
      <c r="W157" s="9"/>
      <c r="X157" s="9"/>
      <c r="Y157" s="9"/>
      <c r="Z157" s="9"/>
      <c r="AA157" s="9"/>
      <c r="AB157" s="9"/>
      <c r="AC157" s="449" t="str">
        <f t="shared" si="26"/>
        <v/>
      </c>
      <c r="AD157" s="449"/>
      <c r="AE157" s="449"/>
      <c r="AF157" s="4"/>
      <c r="AG157" s="83"/>
      <c r="AH157" s="4"/>
      <c r="AI157" s="4"/>
      <c r="AJ157" s="449"/>
      <c r="AK157" s="449"/>
      <c r="AL157" s="449"/>
      <c r="AM157" s="449"/>
      <c r="AN157" s="10"/>
      <c r="AO157" s="9"/>
      <c r="AP157" s="9"/>
      <c r="AQ157" s="9">
        <f>+FL_1($T$158,$T$156,$G$157,1200,9.28,-1*$F$158)</f>
        <v>0.3500000000000219</v>
      </c>
      <c r="AR157" s="9"/>
      <c r="AS157" s="9"/>
      <c r="AT157" s="9"/>
      <c r="AU157" s="428"/>
      <c r="AV157" s="428"/>
      <c r="AW157" s="449" t="str">
        <f>IF(C157&gt;0,VLOOKUP(C157,Foundation_Calc!$A$2:$C$13,3,1),
IF(J157&gt;0,VLOOKUP(J157,Foundation_Calc!$A$2:$C$13,3,1),""))</f>
        <v/>
      </c>
      <c r="AX157" s="449" t="str">
        <f>IF(C157&gt;0,VLOOKUP(C157,Foundation_Calc!$E$2:$G$33,3,1),
IF(J157&gt;0,VLOOKUP(J157,Foundation_Calc!$E$2:$G$33,3,1),""))</f>
        <v/>
      </c>
      <c r="AY157" s="10" t="str">
        <f>IF(L157="","",
IF(AX157="PT",VLOOKUP(L157,Foundation_Calc!$K$79:$R$113,VLOOKUP(AW157,Foundation_Calc!$I$2:$J$8,2,FALSE),0),
IF(AX157="K",VLOOKUP(L157,Foundation_Calc!$K$117:$R$151,VLOOKUP(AW157,Foundation_Calc!$I$2:$J$8,2,FALSE),0),"")))</f>
        <v/>
      </c>
      <c r="AZ157" s="10" t="str">
        <f>IF(K157="","",
IF(AX157="PT",VLOOKUP(K157,Foundation_Calc!$K$79:$R$113,VLOOKUP(AW157,Foundation_Calc!$I$2:$J$8,2,FALSE),0),
IF(AX157="K",VLOOKUP(K157,Foundation_Calc!$K$117:$R$151,VLOOKUP(AW157,Foundation_Calc!$I$2:$J$8,2,FALSE),0),"")))</f>
        <v/>
      </c>
      <c r="BA157" s="495" t="str">
        <f t="shared" si="23"/>
        <v/>
      </c>
      <c r="BB157" s="495" t="str">
        <f t="shared" si="24"/>
        <v/>
      </c>
      <c r="BC157" s="495" t="str">
        <f t="shared" si="25"/>
        <v/>
      </c>
      <c r="BD157" s="513" t="str">
        <f>IF(AND(L157="",H157=""),"",
IF(H157="",Pole_Calc!A$9,
IF(H157="MP",Pole_Calc!A$10,
IF(H157="AnMP",Pole_Calc!A$11,
IF(H157="A",Pole_Calc!A$12,
IF(H157="S/A",Pole_Calc!A$13,
IF(H157="A/S",Pole_Calc!A$14,"Poner a mano")))))))</f>
        <v/>
      </c>
      <c r="BE157" s="429" t="s">
        <v>118</v>
      </c>
      <c r="BF157" s="290"/>
      <c r="BG157" s="290"/>
      <c r="BH157" s="290"/>
      <c r="BI157" s="290"/>
    </row>
    <row r="158" spans="1:61" ht="16.149999999999999" customHeight="1">
      <c r="A158" s="514"/>
      <c r="B158" s="450" t="s">
        <v>254</v>
      </c>
      <c r="C158" s="3">
        <f>+$C$156+$G$157</f>
        <v>34165.35</v>
      </c>
      <c r="D158" s="83"/>
      <c r="E158" s="4"/>
      <c r="F158" s="4">
        <f>IF(C158&gt;0,VLOOKUP(C158,'ALIGNMENT TRACK'!$A$1:$K$81,9,1))</f>
        <v>0</v>
      </c>
      <c r="G158" s="6"/>
      <c r="H158" s="449"/>
      <c r="I158" s="4"/>
      <c r="J158" s="3"/>
      <c r="K158" s="449"/>
      <c r="L158" s="449" t="s">
        <v>250</v>
      </c>
      <c r="M158" s="449" t="str">
        <f>IF(L158="","",
IF(AX158="PT",VLOOKUP(L158,Foundation_Calc!$V$79:$X$113,VLOOKUP(AX158,Foundation_Calc!$I$10:$J$13,2,FALSE),0),
IF(AX158="K",VLOOKUP(L158,Foundation_Calc!$V$117:$X$151,VLOOKUP(AX158,Foundation_Calc!$I$10:$J$13,2,FALSE),0),"")))</f>
        <v>2C4R</v>
      </c>
      <c r="N158" s="449" t="s">
        <v>124</v>
      </c>
      <c r="O158" s="449"/>
      <c r="P158" s="449"/>
      <c r="Q158" s="4"/>
      <c r="R158" s="6"/>
      <c r="S158" s="6"/>
      <c r="T158" s="4">
        <v>-35</v>
      </c>
      <c r="U158" s="4"/>
      <c r="V158" s="4"/>
      <c r="W158" s="9">
        <v>1.4</v>
      </c>
      <c r="X158" s="9"/>
      <c r="Y158" s="9"/>
      <c r="Z158" s="9"/>
      <c r="AA158" s="9"/>
      <c r="AB158" s="9"/>
      <c r="AC158" s="449" t="str">
        <f t="shared" si="26"/>
        <v>PHC</v>
      </c>
      <c r="AD158" s="449"/>
      <c r="AE158" s="449"/>
      <c r="AF158" s="4"/>
      <c r="AG158" s="83"/>
      <c r="AH158" s="4"/>
      <c r="AI158" s="4"/>
      <c r="AJ158" s="449"/>
      <c r="AK158" s="449"/>
      <c r="AL158" s="449" t="s">
        <v>252</v>
      </c>
      <c r="AM158" s="449" t="s">
        <v>126</v>
      </c>
      <c r="AN158" s="10">
        <v>5.5</v>
      </c>
      <c r="AO158" s="9"/>
      <c r="AP158" s="9"/>
      <c r="AQ158" s="9"/>
      <c r="AR158" s="9"/>
      <c r="AS158" s="9"/>
      <c r="AT158" s="9">
        <f>+ab($T$158,$T$156,$T$160,$G$157,$G$159,-1*$F$158,1200)</f>
        <v>-3.8895815360535271</v>
      </c>
      <c r="AU158" s="428"/>
      <c r="AV158" s="428"/>
      <c r="AW158" s="449" t="str">
        <f>IF(C158&gt;0,VLOOKUP(C158,Foundation_Calc!$A$2:$C$13,3,1),
IF(J158&gt;0,VLOOKUP(J158,Foundation_Calc!$A$2:$C$13,3,1),""))</f>
        <v>Multi Soil</v>
      </c>
      <c r="AX158" s="449" t="str">
        <f>IF(C158&gt;0,VLOOKUP(C158,Foundation_Calc!$E$2:$G$33,3,1),
IF(J158&gt;0,VLOOKUP(J158,Foundation_Calc!$E$2:$G$33,3,1),""))</f>
        <v>PT</v>
      </c>
      <c r="AY158" s="10">
        <f>IF(L158="","",
IF(AX158="PT",VLOOKUP(L158,Foundation_Calc!$K$79:$R$113,VLOOKUP(AW158,Foundation_Calc!$I$2:$J$8,2,FALSE),0),
IF(AX158="K",VLOOKUP(L158,Foundation_Calc!$K$117:$R$151,VLOOKUP(AW158,Foundation_Calc!$I$2:$J$8,2,FALSE),0),"")))</f>
        <v>5.6</v>
      </c>
      <c r="AZ158" s="10" t="str">
        <f>IF(K158="","",
IF(AX158="PT",VLOOKUP(K158,Foundation_Calc!$K$79:$R$113,VLOOKUP(AW158,Foundation_Calc!$I$2:$J$8,2,FALSE),0),
IF(AX158="K",VLOOKUP(K158,Foundation_Calc!$K$117:$R$151,VLOOKUP(AW158,Foundation_Calc!$I$2:$J$8,2,FALSE),0),"")))</f>
        <v/>
      </c>
      <c r="BA158" s="495" t="str">
        <f t="shared" si="23"/>
        <v>ü</v>
      </c>
      <c r="BB158" s="495" t="str">
        <f t="shared" si="24"/>
        <v/>
      </c>
      <c r="BC158" s="495" t="str">
        <f t="shared" si="25"/>
        <v/>
      </c>
      <c r="BD158" s="513" t="str">
        <f>Pole_Calc!A$251</f>
        <v>App.8-V08H-P10.3</v>
      </c>
      <c r="BE158" s="429" t="s">
        <v>118</v>
      </c>
      <c r="BF158" s="289"/>
      <c r="BG158" s="289"/>
      <c r="BH158" s="290"/>
      <c r="BI158" s="289"/>
    </row>
    <row r="159" spans="1:61" ht="16.149999999999999" customHeight="1">
      <c r="A159" s="514"/>
      <c r="B159" s="450"/>
      <c r="C159" s="3"/>
      <c r="D159" s="83"/>
      <c r="E159" s="4"/>
      <c r="F159" s="4"/>
      <c r="G159" s="6">
        <v>30</v>
      </c>
      <c r="H159" s="449"/>
      <c r="I159" s="4"/>
      <c r="J159" s="3"/>
      <c r="K159" s="449"/>
      <c r="L159" s="449"/>
      <c r="M159" s="449" t="str">
        <f>IF(L159="","",
IF(AX159="PT",VLOOKUP(L159,Foundation_Calc!$V$79:$X$113,VLOOKUP(AX159,Foundation_Calc!$I$10:$J$13,2,FALSE),0),
IF(AX159="K",VLOOKUP(L159,Foundation_Calc!$V$117:$X$151,VLOOKUP(AX159,Foundation_Calc!$I$10:$J$13,2,FALSE),0),"")))</f>
        <v/>
      </c>
      <c r="N159" s="449"/>
      <c r="O159" s="449"/>
      <c r="P159" s="449"/>
      <c r="Q159" s="4"/>
      <c r="R159" s="6"/>
      <c r="S159" s="6"/>
      <c r="T159" s="4"/>
      <c r="U159" s="4"/>
      <c r="V159" s="4"/>
      <c r="W159" s="9"/>
      <c r="X159" s="9"/>
      <c r="Y159" s="9"/>
      <c r="Z159" s="9"/>
      <c r="AA159" s="9"/>
      <c r="AB159" s="9"/>
      <c r="AC159" s="449" t="str">
        <f t="shared" si="26"/>
        <v/>
      </c>
      <c r="AD159" s="449"/>
      <c r="AE159" s="449"/>
      <c r="AF159" s="4"/>
      <c r="AG159" s="83"/>
      <c r="AH159" s="4"/>
      <c r="AI159" s="4"/>
      <c r="AJ159" s="449"/>
      <c r="AK159" s="449"/>
      <c r="AL159" s="449"/>
      <c r="AM159" s="449"/>
      <c r="AN159" s="10"/>
      <c r="AO159" s="9"/>
      <c r="AP159" s="9"/>
      <c r="AQ159" s="9">
        <f>+FL_2($T$160,$T$158,$G$159,1200,9.28,-1*$F$160)</f>
        <v>-0.35000000000002224</v>
      </c>
      <c r="AR159" s="9"/>
      <c r="AS159" s="9"/>
      <c r="AT159" s="9"/>
      <c r="AU159" s="428"/>
      <c r="AV159" s="428"/>
      <c r="AW159" s="449" t="str">
        <f>IF(C159&gt;0,VLOOKUP(C159,Foundation_Calc!$A$2:$C$13,3,1),
IF(J159&gt;0,VLOOKUP(J159,Foundation_Calc!$A$2:$C$13,3,1),""))</f>
        <v/>
      </c>
      <c r="AX159" s="449" t="str">
        <f>IF(C159&gt;0,VLOOKUP(C159,Foundation_Calc!$E$2:$G$33,3,1),
IF(J159&gt;0,VLOOKUP(J159,Foundation_Calc!$E$2:$G$33,3,1),""))</f>
        <v/>
      </c>
      <c r="AY159" s="10" t="str">
        <f>IF(L159="","",
IF(AX159="PT",VLOOKUP(L159,Foundation_Calc!$K$79:$R$113,VLOOKUP(AW159,Foundation_Calc!$I$2:$J$8,2,FALSE),0),
IF(AX159="K",VLOOKUP(L159,Foundation_Calc!$K$117:$R$151,VLOOKUP(AW159,Foundation_Calc!$I$2:$J$8,2,FALSE),0),"")))</f>
        <v/>
      </c>
      <c r="AZ159" s="10" t="str">
        <f>IF(K159="","",
IF(AX159="PT",VLOOKUP(K159,Foundation_Calc!$K$79:$R$113,VLOOKUP(AW159,Foundation_Calc!$I$2:$J$8,2,FALSE),0),
IF(AX159="K",VLOOKUP(K159,Foundation_Calc!$K$117:$R$151,VLOOKUP(AW159,Foundation_Calc!$I$2:$J$8,2,FALSE),0),"")))</f>
        <v/>
      </c>
      <c r="BA159" s="495" t="str">
        <f t="shared" si="23"/>
        <v/>
      </c>
      <c r="BB159" s="495" t="str">
        <f t="shared" si="24"/>
        <v/>
      </c>
      <c r="BC159" s="495" t="str">
        <f t="shared" si="25"/>
        <v/>
      </c>
      <c r="BD159" s="513" t="str">
        <f>IF(AND(L159="",H159=""),"",
IF(H159="",Pole_Calc!A$9,
IF(H159="MP",Pole_Calc!A$10,
IF(H159="AnMP",Pole_Calc!A$11,
IF(H159="A",Pole_Calc!A$12,
IF(H159="S/A",Pole_Calc!A$13,
IF(H159="A/S",Pole_Calc!A$14,"Poner a mano")))))))</f>
        <v/>
      </c>
      <c r="BE159" s="429" t="s">
        <v>118</v>
      </c>
      <c r="BF159" s="290"/>
      <c r="BG159" s="290"/>
      <c r="BH159" s="290"/>
      <c r="BI159" s="290"/>
    </row>
    <row r="160" spans="1:61" ht="16.149999999999999" customHeight="1">
      <c r="A160" s="514"/>
      <c r="B160" s="450" t="s">
        <v>255</v>
      </c>
      <c r="C160" s="3">
        <f>+$C$158+$G$159</f>
        <v>34195.35</v>
      </c>
      <c r="D160" s="83"/>
      <c r="E160" s="4"/>
      <c r="F160" s="4">
        <f>IF(C160&gt;0,VLOOKUP(C160,'ALIGNMENT TRACK'!$A$1:$K$81,9,1))</f>
        <v>0</v>
      </c>
      <c r="G160" s="6"/>
      <c r="H160" s="449" t="s">
        <v>168</v>
      </c>
      <c r="I160" s="4"/>
      <c r="J160" s="3"/>
      <c r="K160" s="449"/>
      <c r="L160" s="449" t="s">
        <v>250</v>
      </c>
      <c r="M160" s="449" t="str">
        <f>IF(L160="","",
IF(AX160="PT",VLOOKUP(L160,Foundation_Calc!$V$79:$X$113,VLOOKUP(AX160,Foundation_Calc!$I$10:$J$13,2,FALSE),0),
IF(AX160="K",VLOOKUP(L160,Foundation_Calc!$V$117:$X$151,VLOOKUP(AX160,Foundation_Calc!$I$10:$J$13,2,FALSE),0),"")))</f>
        <v>2C4R</v>
      </c>
      <c r="N160" s="449" t="s">
        <v>134</v>
      </c>
      <c r="O160" s="449"/>
      <c r="P160" s="449"/>
      <c r="Q160" s="4"/>
      <c r="R160" s="6"/>
      <c r="S160" s="6"/>
      <c r="T160" s="4">
        <v>35</v>
      </c>
      <c r="U160" s="4"/>
      <c r="V160" s="4"/>
      <c r="W160" s="9">
        <v>1.4</v>
      </c>
      <c r="X160" s="9"/>
      <c r="Y160" s="9"/>
      <c r="Z160" s="9"/>
      <c r="AA160" s="9"/>
      <c r="AB160" s="9"/>
      <c r="AC160" s="449" t="str">
        <f t="shared" si="26"/>
        <v>PHC</v>
      </c>
      <c r="AD160" s="449"/>
      <c r="AE160" s="449"/>
      <c r="AF160" s="4"/>
      <c r="AG160" s="83"/>
      <c r="AH160" s="4"/>
      <c r="AI160" s="4"/>
      <c r="AJ160" s="449"/>
      <c r="AK160" s="449"/>
      <c r="AL160" s="449" t="s">
        <v>252</v>
      </c>
      <c r="AM160" s="449" t="s">
        <v>126</v>
      </c>
      <c r="AN160" s="10">
        <v>5.5</v>
      </c>
      <c r="AO160" s="9"/>
      <c r="AP160" s="9"/>
      <c r="AQ160" s="9"/>
      <c r="AR160" s="9"/>
      <c r="AS160" s="9"/>
      <c r="AT160" s="9">
        <f>+ab($T$160,$T$158,$T$162,$G$159,$G$161,-1*$F$160,1200)</f>
        <v>4.7300984704137852</v>
      </c>
      <c r="AU160" s="428"/>
      <c r="AV160" s="428"/>
      <c r="AW160" s="449" t="str">
        <f>IF(C160&gt;0,VLOOKUP(C160,Foundation_Calc!$A$2:$C$13,3,1),
IF(J160&gt;0,VLOOKUP(J160,Foundation_Calc!$A$2:$C$13,3,1),""))</f>
        <v>Multi Soil</v>
      </c>
      <c r="AX160" s="449" t="str">
        <f>IF(C160&gt;0,VLOOKUP(C160,Foundation_Calc!$E$2:$G$33,3,1),
IF(J160&gt;0,VLOOKUP(J160,Foundation_Calc!$E$2:$G$33,3,1),""))</f>
        <v>PT</v>
      </c>
      <c r="AY160" s="10">
        <f>IF(L160="","",
IF(AX160="PT",VLOOKUP(L160,Foundation_Calc!$K$79:$R$113,VLOOKUP(AW160,Foundation_Calc!$I$2:$J$8,2,FALSE),0),
IF(AX160="K",VLOOKUP(L160,Foundation_Calc!$K$117:$R$151,VLOOKUP(AW160,Foundation_Calc!$I$2:$J$8,2,FALSE),0),"")))</f>
        <v>5.6</v>
      </c>
      <c r="AZ160" s="10" t="str">
        <f>IF(K160="","",
IF(AX160="PT",VLOOKUP(K160,Foundation_Calc!$K$79:$R$113,VLOOKUP(AW160,Foundation_Calc!$I$2:$J$8,2,FALSE),0),
IF(AX160="K",VLOOKUP(K160,Foundation_Calc!$K$117:$R$151,VLOOKUP(AW160,Foundation_Calc!$I$2:$J$8,2,FALSE),0),"")))</f>
        <v/>
      </c>
      <c r="BA160" s="495" t="str">
        <f t="shared" si="23"/>
        <v>ü</v>
      </c>
      <c r="BB160" s="495" t="str">
        <f t="shared" si="24"/>
        <v/>
      </c>
      <c r="BC160" s="495" t="str">
        <f t="shared" si="25"/>
        <v/>
      </c>
      <c r="BD160" s="513" t="str">
        <f>Pole_Calc!A$251</f>
        <v>App.8-V08H-P10.3</v>
      </c>
      <c r="BE160" s="429" t="s">
        <v>118</v>
      </c>
      <c r="BF160" s="289"/>
      <c r="BG160" s="289"/>
      <c r="BH160" s="290"/>
      <c r="BI160" s="289"/>
    </row>
    <row r="161" spans="1:61" ht="16.149999999999999" customHeight="1">
      <c r="A161" s="514"/>
      <c r="B161" s="450"/>
      <c r="C161" s="3"/>
      <c r="D161" s="83"/>
      <c r="E161" s="4"/>
      <c r="F161" s="4"/>
      <c r="G161" s="6">
        <v>35</v>
      </c>
      <c r="H161" s="449"/>
      <c r="I161" s="4"/>
      <c r="J161" s="3">
        <f>C162-7.5</f>
        <v>34222.85</v>
      </c>
      <c r="K161" s="449" t="s">
        <v>117</v>
      </c>
      <c r="L161" s="449"/>
      <c r="M161" s="449" t="str">
        <f>IF(L161="","",
IF(AX161="PT",VLOOKUP(L161,Foundation_Calc!$V$79:$X$113,VLOOKUP(AX161,Foundation_Calc!$I$10:$J$13,2,FALSE),0),
IF(AX161="K",VLOOKUP(L161,Foundation_Calc!$V$117:$X$151,VLOOKUP(AX161,Foundation_Calc!$I$10:$J$13,2,FALSE),0),"")))</f>
        <v/>
      </c>
      <c r="N161" s="449"/>
      <c r="O161" s="449"/>
      <c r="P161" s="449"/>
      <c r="Q161" s="4"/>
      <c r="R161" s="6"/>
      <c r="S161" s="6"/>
      <c r="T161" s="4"/>
      <c r="U161" s="4"/>
      <c r="V161" s="4"/>
      <c r="W161" s="9"/>
      <c r="X161" s="9"/>
      <c r="Y161" s="9"/>
      <c r="Z161" s="9"/>
      <c r="AA161" s="9"/>
      <c r="AB161" s="9"/>
      <c r="AC161" s="449" t="str">
        <f t="shared" si="26"/>
        <v/>
      </c>
      <c r="AD161" s="449"/>
      <c r="AE161" s="449"/>
      <c r="AF161" s="4"/>
      <c r="AG161" s="83"/>
      <c r="AH161" s="4"/>
      <c r="AI161" s="4"/>
      <c r="AJ161" s="449"/>
      <c r="AK161" s="449"/>
      <c r="AL161" s="449"/>
      <c r="AM161" s="449"/>
      <c r="AN161" s="10"/>
      <c r="AO161" s="9"/>
      <c r="AP161" s="9"/>
      <c r="AQ161" s="9">
        <f>+FL_1($T$162,$T$160,$G$161,1200,9.28,-1*$F$162)</f>
        <v>0.35000000000000586</v>
      </c>
      <c r="AR161" s="9"/>
      <c r="AS161" s="9"/>
      <c r="AT161" s="9"/>
      <c r="AU161" s="428"/>
      <c r="AV161" s="428"/>
      <c r="AW161" s="449" t="str">
        <f>IF(C161&gt;0,VLOOKUP(C161,Foundation_Calc!$A$2:$C$13,3,1),
IF(J161&gt;0,VLOOKUP(J161,Foundation_Calc!$A$2:$C$13,3,1),""))</f>
        <v>Multi Soil</v>
      </c>
      <c r="AX161" s="449" t="str">
        <f>IF(C161&gt;0,VLOOKUP(C161,Foundation_Calc!$E$2:$G$33,3,1),
IF(J161&gt;0,VLOOKUP(J161,Foundation_Calc!$E$2:$G$33,3,1),""))</f>
        <v>PT</v>
      </c>
      <c r="AY161" s="10" t="str">
        <f>IF(L161="","",
IF(AX161="PT",VLOOKUP(L161,Foundation_Calc!$K$79:$R$113,VLOOKUP(AW161,Foundation_Calc!$I$2:$J$8,2,FALSE),0),
IF(AX161="K",VLOOKUP(L161,Foundation_Calc!$K$117:$R$151,VLOOKUP(AW161,Foundation_Calc!$I$2:$J$8,2,FALSE),0),"")))</f>
        <v/>
      </c>
      <c r="AZ161" s="10">
        <f>IF(K161="","",
IF(AX161="PT",VLOOKUP(K161,Foundation_Calc!$K$79:$R$113,VLOOKUP(AW161,Foundation_Calc!$I$2:$J$8,2,FALSE),0),
IF(AX161="K",VLOOKUP(K161,Foundation_Calc!$K$117:$R$151,VLOOKUP(AW161,Foundation_Calc!$I$2:$J$8,2,FALSE),0),"")))</f>
        <v>3.9</v>
      </c>
      <c r="BA161" s="495" t="str">
        <f t="shared" ref="BA161:BA224" si="27">IF(AY161="","",IF(AY161&gt;0,"ü",""))</f>
        <v/>
      </c>
      <c r="BB161" s="495" t="str">
        <f t="shared" ref="BB161:BB224" si="28">IF(AZ161="","",IF(AZ161&gt;0,"ü",""))</f>
        <v>ü</v>
      </c>
      <c r="BC161" s="495" t="str">
        <f t="shared" ref="BC161:BC224" si="29">IF(M161="","",IF(M161="U.S.","ü",IF(M161="U.S. N.D.","ü","")))</f>
        <v/>
      </c>
      <c r="BD161" s="513" t="str">
        <f>IF(AND(L161="",H161=""),"",
IF(H161="",Pole_Calc!A$9,
IF(H161="MP",Pole_Calc!A$10,
IF(H161="AnMP",Pole_Calc!A$11,
IF(H161="A",Pole_Calc!A$12,
IF(H161="S/A",Pole_Calc!A$13,
IF(H161="A/S",Pole_Calc!A$14,"Poner a mano")))))))</f>
        <v/>
      </c>
      <c r="BE161" s="429" t="s">
        <v>118</v>
      </c>
      <c r="BF161" s="290"/>
      <c r="BG161" s="290"/>
      <c r="BH161" s="290"/>
      <c r="BI161" s="290"/>
    </row>
    <row r="162" spans="1:61" ht="16.149999999999999" customHeight="1">
      <c r="A162" s="514"/>
      <c r="B162" s="450" t="s">
        <v>256</v>
      </c>
      <c r="C162" s="3">
        <f>+$C$160+$G$161</f>
        <v>34230.35</v>
      </c>
      <c r="D162" s="83"/>
      <c r="E162" s="4"/>
      <c r="F162" s="4">
        <f>IF(C162&gt;0,VLOOKUP(C162,'ALIGNMENT TRACK'!$A$1:$K$81,9,1))</f>
        <v>0</v>
      </c>
      <c r="G162" s="6"/>
      <c r="H162" s="449" t="s">
        <v>121</v>
      </c>
      <c r="I162" s="4" t="s">
        <v>122</v>
      </c>
      <c r="J162" s="3"/>
      <c r="K162" s="449"/>
      <c r="L162" s="449" t="s">
        <v>250</v>
      </c>
      <c r="M162" s="449" t="str">
        <f>IF(L162="","",
IF(AX162="PT",VLOOKUP(L162,Foundation_Calc!$V$79:$X$113,VLOOKUP(AX162,Foundation_Calc!$I$10:$J$13,2,FALSE),0),
IF(AX162="K",VLOOKUP(L162,Foundation_Calc!$V$117:$X$151,VLOOKUP(AX162,Foundation_Calc!$I$10:$J$13,2,FALSE),0),"")))</f>
        <v>2C4R</v>
      </c>
      <c r="N162" s="449" t="s">
        <v>124</v>
      </c>
      <c r="O162" s="449"/>
      <c r="P162" s="449"/>
      <c r="Q162" s="4"/>
      <c r="R162" s="6"/>
      <c r="S162" s="6"/>
      <c r="T162" s="4">
        <v>-25</v>
      </c>
      <c r="U162" s="4"/>
      <c r="V162" s="4"/>
      <c r="W162" s="9">
        <v>1.4</v>
      </c>
      <c r="X162" s="9"/>
      <c r="Y162" s="9"/>
      <c r="Z162" s="9"/>
      <c r="AA162" s="9"/>
      <c r="AB162" s="9"/>
      <c r="AC162" s="449" t="str">
        <f t="shared" si="26"/>
        <v>PHQ</v>
      </c>
      <c r="AD162" s="449"/>
      <c r="AE162" s="449"/>
      <c r="AF162" s="4"/>
      <c r="AG162" s="83"/>
      <c r="AH162" s="4"/>
      <c r="AI162" s="4"/>
      <c r="AJ162" s="449"/>
      <c r="AK162" s="449"/>
      <c r="AL162" s="449" t="s">
        <v>252</v>
      </c>
      <c r="AM162" s="449" t="s">
        <v>126</v>
      </c>
      <c r="AN162" s="10">
        <v>5.5</v>
      </c>
      <c r="AO162" s="9"/>
      <c r="AP162" s="9"/>
      <c r="AQ162" s="9"/>
      <c r="AR162" s="9"/>
      <c r="AS162" s="9"/>
      <c r="AT162" s="9">
        <f>+ab($T$162,$T$160,$U$164,$G$161,$G$163,-1*$F$162,1200)</f>
        <v>-6.6857405692099503</v>
      </c>
      <c r="AU162" s="428"/>
      <c r="AV162" s="428"/>
      <c r="AW162" s="449" t="str">
        <f>IF(C162&gt;0,VLOOKUP(C162,Foundation_Calc!$A$2:$C$13,3,1),
IF(J162&gt;0,VLOOKUP(J162,Foundation_Calc!$A$2:$C$13,3,1),""))</f>
        <v>Multi Soil</v>
      </c>
      <c r="AX162" s="449" t="str">
        <f>IF(C162&gt;0,VLOOKUP(C162,Foundation_Calc!$E$2:$G$33,3,1),
IF(J162&gt;0,VLOOKUP(J162,Foundation_Calc!$E$2:$G$33,3,1),""))</f>
        <v>PT</v>
      </c>
      <c r="AY162" s="563">
        <f>IF(L162="","",
IF(AX162="PT",VLOOKUP(L162,Foundation_Calc!$K$79:$R$113,VLOOKUP(AW162,Foundation_Calc!$I$2:$J$8,2,FALSE),0),
IF(AX162="K",VLOOKUP(L162,Foundation_Calc!$K$117:$R$151,VLOOKUP(AW162,Foundation_Calc!$I$2:$J$8,2,FALSE),0),"")))</f>
        <v>5.6</v>
      </c>
      <c r="AZ162" s="563" t="str">
        <f>IF(K162="","",
IF(AX162="PT",VLOOKUP(K162,Foundation_Calc!$K$79:$R$113,VLOOKUP(AW162,Foundation_Calc!$I$2:$J$8,2,FALSE),0),
IF(AX162="K",VLOOKUP(K162,Foundation_Calc!$K$117:$R$151,VLOOKUP(AW162,Foundation_Calc!$I$2:$J$8,2,FALSE),0),"")))</f>
        <v/>
      </c>
      <c r="BA162" s="495" t="str">
        <f t="shared" si="27"/>
        <v>ü</v>
      </c>
      <c r="BB162" s="495" t="str">
        <f t="shared" si="28"/>
        <v/>
      </c>
      <c r="BC162" s="495" t="str">
        <f t="shared" si="29"/>
        <v/>
      </c>
      <c r="BD162" s="513" t="str">
        <f>Pole_Calc!A$251</f>
        <v>App.8-V08H-P10.3</v>
      </c>
      <c r="BE162" s="429" t="s">
        <v>118</v>
      </c>
      <c r="BF162" s="289"/>
      <c r="BG162" s="289"/>
      <c r="BH162" s="290"/>
      <c r="BI162" s="289"/>
    </row>
    <row r="163" spans="1:61" ht="16.149999999999999" customHeight="1">
      <c r="A163" s="514"/>
      <c r="B163" s="450"/>
      <c r="C163" s="3"/>
      <c r="D163" s="83"/>
      <c r="E163" s="4"/>
      <c r="F163" s="4"/>
      <c r="G163" s="6">
        <v>35</v>
      </c>
      <c r="H163" s="449"/>
      <c r="I163" s="4"/>
      <c r="J163" s="3"/>
      <c r="K163" s="449"/>
      <c r="L163" s="449"/>
      <c r="M163" s="449" t="str">
        <f>IF(L163="","",
IF(AX163="PT",VLOOKUP(L163,Foundation_Calc!$V$79:$X$113,VLOOKUP(AX163,Foundation_Calc!$I$10:$J$13,2,FALSE),0),
IF(AX163="K",VLOOKUP(L163,Foundation_Calc!$V$117:$X$151,VLOOKUP(AX163,Foundation_Calc!$I$10:$J$13,2,FALSE),0),"")))</f>
        <v/>
      </c>
      <c r="N163" s="449"/>
      <c r="O163" s="449"/>
      <c r="P163" s="449"/>
      <c r="Q163" s="4"/>
      <c r="R163" s="6"/>
      <c r="S163" s="6"/>
      <c r="T163" s="4"/>
      <c r="U163" s="4"/>
      <c r="V163" s="4"/>
      <c r="W163" s="572"/>
      <c r="X163" s="9"/>
      <c r="Y163" s="9"/>
      <c r="Z163" s="9"/>
      <c r="AA163" s="9"/>
      <c r="AB163" s="9"/>
      <c r="AC163" s="449" t="str">
        <f t="shared" si="26"/>
        <v/>
      </c>
      <c r="AD163" s="449"/>
      <c r="AE163" s="449"/>
      <c r="AF163" s="4"/>
      <c r="AG163" s="83"/>
      <c r="AH163" s="4"/>
      <c r="AI163" s="4"/>
      <c r="AJ163" s="449"/>
      <c r="AK163" s="449"/>
      <c r="AL163" s="449"/>
      <c r="AM163" s="449"/>
      <c r="AN163" s="10"/>
      <c r="AO163" s="9"/>
      <c r="AP163" s="9"/>
      <c r="AQ163" s="9">
        <f>+FL_2($U$164,$T$162,$G$163,1200,9.28,-1*$F$164)</f>
        <v>-0.25286423771428573</v>
      </c>
      <c r="AR163" s="9"/>
      <c r="AS163" s="9"/>
      <c r="AT163" s="9"/>
      <c r="AU163" s="428"/>
      <c r="AV163" s="428"/>
      <c r="AW163" s="449" t="str">
        <f>IF(C163&gt;0,VLOOKUP(C163,Foundation_Calc!$A$2:$C$13,3,1),
IF(J163&gt;0,VLOOKUP(J163,Foundation_Calc!$A$2:$C$13,3,1),""))</f>
        <v/>
      </c>
      <c r="AX163" s="449" t="str">
        <f>IF(C163&gt;0,VLOOKUP(C163,Foundation_Calc!$E$2:$G$33,3,1),
IF(J163&gt;0,VLOOKUP(J163,Foundation_Calc!$E$2:$G$33,3,1),""))</f>
        <v/>
      </c>
      <c r="AY163" s="10" t="str">
        <f>IF(L163="","",
IF(AX163="PT",VLOOKUP(L163,Foundation_Calc!$K$79:$R$113,VLOOKUP(AW163,Foundation_Calc!$I$2:$J$8,2,FALSE),0),
IF(AX163="K",VLOOKUP(L163,Foundation_Calc!$K$117:$R$151,VLOOKUP(AW163,Foundation_Calc!$I$2:$J$8,2,FALSE),0),"")))</f>
        <v/>
      </c>
      <c r="AZ163" s="10" t="str">
        <f>IF(K163="","",
IF(AX163="PT",VLOOKUP(K163,Foundation_Calc!$K$79:$R$113,VLOOKUP(AW163,Foundation_Calc!$I$2:$J$8,2,FALSE),0),
IF(AX163="K",VLOOKUP(K163,Foundation_Calc!$K$117:$R$151,VLOOKUP(AW163,Foundation_Calc!$I$2:$J$8,2,FALSE),0),"")))</f>
        <v/>
      </c>
      <c r="BA163" s="495" t="str">
        <f t="shared" si="27"/>
        <v/>
      </c>
      <c r="BB163" s="495" t="str">
        <f t="shared" si="28"/>
        <v/>
      </c>
      <c r="BC163" s="495" t="str">
        <f t="shared" si="29"/>
        <v/>
      </c>
      <c r="BD163" s="513" t="str">
        <f>IF(AND(L163="",H163=""),"",
IF(H163="",Pole_Calc!A$9,
IF(H163="MP",Pole_Calc!A$10,
IF(H163="AnMP",Pole_Calc!A$11,
IF(H163="A",Pole_Calc!A$12,
IF(H163="S/A",Pole_Calc!A$13,
IF(H163="A/S",Pole_Calc!A$14,"Poner a mano")))))))</f>
        <v/>
      </c>
      <c r="BE163" s="429" t="s">
        <v>118</v>
      </c>
      <c r="BF163" s="290"/>
      <c r="BG163" s="290"/>
      <c r="BH163" s="290"/>
      <c r="BI163" s="290"/>
    </row>
    <row r="164" spans="1:61" ht="16.149999999999999" customHeight="1">
      <c r="A164" s="514"/>
      <c r="B164" s="450" t="s">
        <v>257</v>
      </c>
      <c r="C164" s="3">
        <f>+$C$162+$G$163</f>
        <v>34265.35</v>
      </c>
      <c r="D164" s="83"/>
      <c r="E164" s="4"/>
      <c r="F164" s="4">
        <f>IF(C164&gt;0,VLOOKUP(C164,'ALIGNMENT TRACK'!$A$1:$K$81,9,1))</f>
        <v>0</v>
      </c>
      <c r="G164" s="6"/>
      <c r="H164" s="449" t="s">
        <v>131</v>
      </c>
      <c r="I164" s="4"/>
      <c r="J164" s="3"/>
      <c r="K164" s="449"/>
      <c r="L164" s="449" t="s">
        <v>250</v>
      </c>
      <c r="M164" s="449" t="str">
        <f>IF(L164="","",
IF(AX164="PT",VLOOKUP(L164,Foundation_Calc!$V$79:$X$113,VLOOKUP(AX164,Foundation_Calc!$I$10:$J$13,2,FALSE),0),
IF(AX164="K",VLOOKUP(L164,Foundation_Calc!$V$117:$X$151,VLOOKUP(AX164,Foundation_Calc!$I$10:$J$13,2,FALSE),0),"")))</f>
        <v>2C4R</v>
      </c>
      <c r="N164" s="449" t="s">
        <v>133</v>
      </c>
      <c r="O164" s="449" t="s">
        <v>134</v>
      </c>
      <c r="P164" s="449"/>
      <c r="Q164" s="4"/>
      <c r="R164" s="6"/>
      <c r="S164" s="6"/>
      <c r="T164" s="4">
        <v>35</v>
      </c>
      <c r="U164" s="4">
        <v>15</v>
      </c>
      <c r="V164" s="4"/>
      <c r="W164" s="9">
        <v>1.4</v>
      </c>
      <c r="X164" s="9">
        <v>2</v>
      </c>
      <c r="Y164" s="9"/>
      <c r="Z164" s="9">
        <v>0.4</v>
      </c>
      <c r="AA164" s="9"/>
      <c r="AB164" s="9"/>
      <c r="AC164" s="449" t="str">
        <f t="shared" si="26"/>
        <v>PH</v>
      </c>
      <c r="AD164" s="449"/>
      <c r="AE164" s="449"/>
      <c r="AF164" s="4"/>
      <c r="AG164" s="83"/>
      <c r="AH164" s="4"/>
      <c r="AI164" s="4"/>
      <c r="AJ164" s="449"/>
      <c r="AK164" s="449"/>
      <c r="AL164" s="449" t="s">
        <v>252</v>
      </c>
      <c r="AM164" s="449" t="s">
        <v>126</v>
      </c>
      <c r="AN164" s="10">
        <v>5.5</v>
      </c>
      <c r="AO164" s="9"/>
      <c r="AP164" s="9"/>
      <c r="AQ164" s="9"/>
      <c r="AR164" s="9"/>
      <c r="AS164" s="9"/>
      <c r="AT164" s="9">
        <f>+ab($U$164,$T$162,$U$166,$G$163,$G$165,-1*$F$164,1200)</f>
        <v>8.4516935857536808</v>
      </c>
      <c r="AU164" s="428"/>
      <c r="AV164" s="428"/>
      <c r="AW164" s="449" t="str">
        <f>IF(C164&gt;0,VLOOKUP(C164,Foundation_Calc!$A$2:$C$13,3,1),
IF(J164&gt;0,VLOOKUP(J164,Foundation_Calc!$A$2:$C$13,3,1),""))</f>
        <v>Multi Soil</v>
      </c>
      <c r="AX164" s="449" t="str">
        <f>IF(C164&gt;0,VLOOKUP(C164,Foundation_Calc!$E$2:$G$33,3,1),
IF(J164&gt;0,VLOOKUP(J164,Foundation_Calc!$E$2:$G$33,3,1),""))</f>
        <v>PT</v>
      </c>
      <c r="AY164" s="10">
        <f>IF(L164="","",
IF(AX164="PT",VLOOKUP(L164,Foundation_Calc!$K$79:$R$113,VLOOKUP(AW164,Foundation_Calc!$I$2:$J$8,2,FALSE),0),
IF(AX164="K",VLOOKUP(L164,Foundation_Calc!$K$117:$R$151,VLOOKUP(AW164,Foundation_Calc!$I$2:$J$8,2,FALSE),0),"")))</f>
        <v>5.6</v>
      </c>
      <c r="AZ164" s="10" t="str">
        <f>IF(K164="","",
IF(AX164="PT",VLOOKUP(K164,Foundation_Calc!$K$79:$R$113,VLOOKUP(AW164,Foundation_Calc!$I$2:$J$8,2,FALSE),0),
IF(AX164="K",VLOOKUP(K164,Foundation_Calc!$K$117:$R$151,VLOOKUP(AW164,Foundation_Calc!$I$2:$J$8,2,FALSE),0),"")))</f>
        <v/>
      </c>
      <c r="BA164" s="495" t="str">
        <f t="shared" si="27"/>
        <v>ü</v>
      </c>
      <c r="BB164" s="495" t="str">
        <f t="shared" si="28"/>
        <v/>
      </c>
      <c r="BC164" s="495" t="str">
        <f t="shared" si="29"/>
        <v/>
      </c>
      <c r="BD164" s="513" t="str">
        <f>Pole_Calc!A$251</f>
        <v>App.8-V08H-P10.3</v>
      </c>
      <c r="BE164" s="429" t="s">
        <v>118</v>
      </c>
      <c r="BF164" s="289"/>
      <c r="BG164" s="289"/>
      <c r="BH164" s="290"/>
      <c r="BI164" s="289"/>
    </row>
    <row r="165" spans="1:61" ht="16.149999999999999" customHeight="1">
      <c r="A165" s="514"/>
      <c r="B165" s="450"/>
      <c r="C165" s="3"/>
      <c r="D165" s="83"/>
      <c r="E165" s="4"/>
      <c r="F165" s="4"/>
      <c r="G165" s="6">
        <v>45</v>
      </c>
      <c r="H165" s="449"/>
      <c r="I165" s="4"/>
      <c r="J165" s="3"/>
      <c r="K165" s="449"/>
      <c r="L165" s="449"/>
      <c r="M165" s="449" t="str">
        <f>IF(L165="","",
IF(AX165="PT",VLOOKUP(L165,Foundation_Calc!$V$79:$X$113,VLOOKUP(AX165,Foundation_Calc!$I$10:$J$13,2,FALSE),0),
IF(AX165="K",VLOOKUP(L165,Foundation_Calc!$V$117:$X$151,VLOOKUP(AX165,Foundation_Calc!$I$10:$J$13,2,FALSE),0),"")))</f>
        <v/>
      </c>
      <c r="N165" s="449"/>
      <c r="O165" s="449"/>
      <c r="P165" s="449"/>
      <c r="Q165" s="4"/>
      <c r="R165" s="6"/>
      <c r="S165" s="6"/>
      <c r="T165" s="4"/>
      <c r="U165" s="4"/>
      <c r="V165" s="4"/>
      <c r="W165" s="572"/>
      <c r="X165" s="9"/>
      <c r="Y165" s="9"/>
      <c r="Z165" s="9"/>
      <c r="AA165" s="9"/>
      <c r="AB165" s="9"/>
      <c r="AC165" s="449" t="str">
        <f t="shared" si="26"/>
        <v/>
      </c>
      <c r="AD165" s="449"/>
      <c r="AE165" s="449"/>
      <c r="AF165" s="4"/>
      <c r="AG165" s="83"/>
      <c r="AH165" s="4"/>
      <c r="AI165" s="4"/>
      <c r="AJ165" s="449"/>
      <c r="AK165" s="449"/>
      <c r="AL165" s="449"/>
      <c r="AM165" s="449"/>
      <c r="AN165" s="10"/>
      <c r="AO165" s="9"/>
      <c r="AP165" s="9"/>
      <c r="AQ165" s="9">
        <f>+FL_1($U$166,$U$164,$G$165,1200,9.28,-1*$F$166)</f>
        <v>0.17557119866666673</v>
      </c>
      <c r="AR165" s="9"/>
      <c r="AS165" s="9"/>
      <c r="AT165" s="9"/>
      <c r="AU165" s="428"/>
      <c r="AV165" s="428"/>
      <c r="AW165" s="449" t="str">
        <f>IF(C165&gt;0,VLOOKUP(C165,Foundation_Calc!$A$2:$C$13,3,1),
IF(J165&gt;0,VLOOKUP(J165,Foundation_Calc!$A$2:$C$13,3,1),""))</f>
        <v/>
      </c>
      <c r="AX165" s="449" t="str">
        <f>IF(C165&gt;0,VLOOKUP(C165,Foundation_Calc!$E$2:$G$33,3,1),
IF(J165&gt;0,VLOOKUP(J165,Foundation_Calc!$E$2:$G$33,3,1),""))</f>
        <v/>
      </c>
      <c r="AY165" s="10" t="str">
        <f>IF(L165="","",
IF(AX165="PT",VLOOKUP(L165,Foundation_Calc!$K$79:$R$113,VLOOKUP(AW165,Foundation_Calc!$I$2:$J$8,2,FALSE),0),
IF(AX165="K",VLOOKUP(L165,Foundation_Calc!$K$117:$R$151,VLOOKUP(AW165,Foundation_Calc!$I$2:$J$8,2,FALSE),0),"")))</f>
        <v/>
      </c>
      <c r="AZ165" s="10" t="str">
        <f>IF(K165="","",
IF(AX165="PT",VLOOKUP(K165,Foundation_Calc!$K$79:$R$113,VLOOKUP(AW165,Foundation_Calc!$I$2:$J$8,2,FALSE),0),
IF(AX165="K",VLOOKUP(K165,Foundation_Calc!$K$117:$R$151,VLOOKUP(AW165,Foundation_Calc!$I$2:$J$8,2,FALSE),0),"")))</f>
        <v/>
      </c>
      <c r="BA165" s="495" t="str">
        <f t="shared" si="27"/>
        <v/>
      </c>
      <c r="BB165" s="495" t="str">
        <f t="shared" si="28"/>
        <v/>
      </c>
      <c r="BC165" s="495" t="str">
        <f t="shared" si="29"/>
        <v/>
      </c>
      <c r="BD165" s="513" t="str">
        <f>IF(AND(L165="",H165=""),"",
IF(H165="",Pole_Calc!A$9,
IF(H165="MP",Pole_Calc!A$10,
IF(H165="AnMP",Pole_Calc!A$11,
IF(H165="A",Pole_Calc!A$12,
IF(H165="S/A",Pole_Calc!A$13,
IF(H165="A/S",Pole_Calc!A$14,"Poner a mano")))))))</f>
        <v/>
      </c>
      <c r="BE165" s="429" t="s">
        <v>118</v>
      </c>
      <c r="BF165" s="290"/>
      <c r="BG165" s="290"/>
      <c r="BH165" s="290"/>
      <c r="BI165" s="290"/>
    </row>
    <row r="166" spans="1:61" ht="16.149999999999999" customHeight="1">
      <c r="A166" s="514"/>
      <c r="B166" s="450" t="s">
        <v>258</v>
      </c>
      <c r="C166" s="3">
        <f>+$C$164+$G$165</f>
        <v>34310.35</v>
      </c>
      <c r="D166" s="83"/>
      <c r="E166" s="4"/>
      <c r="F166" s="4">
        <f>IF(C166&gt;0,VLOOKUP(C166,'ALIGNMENT TRACK'!$A$1:$K$81,9,1))</f>
        <v>0</v>
      </c>
      <c r="G166" s="6"/>
      <c r="H166" s="449" t="s">
        <v>131</v>
      </c>
      <c r="I166" s="4"/>
      <c r="J166" s="3"/>
      <c r="K166" s="449"/>
      <c r="L166" s="449" t="s">
        <v>250</v>
      </c>
      <c r="M166" s="449" t="str">
        <f>IF(L166="","",
IF(AX166="PT",VLOOKUP(L166,Foundation_Calc!$V$79:$X$113,VLOOKUP(AX166,Foundation_Calc!$I$10:$J$13,2,FALSE),0),
IF(AX166="K",VLOOKUP(L166,Foundation_Calc!$V$117:$X$151,VLOOKUP(AX166,Foundation_Calc!$I$10:$J$13,2,FALSE),0),"")))</f>
        <v>2C4R</v>
      </c>
      <c r="N166" s="449" t="s">
        <v>124</v>
      </c>
      <c r="O166" s="449" t="s">
        <v>133</v>
      </c>
      <c r="P166" s="449"/>
      <c r="Q166" s="4"/>
      <c r="R166" s="6"/>
      <c r="S166" s="6"/>
      <c r="T166" s="4">
        <v>-15</v>
      </c>
      <c r="U166" s="4">
        <v>-35</v>
      </c>
      <c r="V166" s="4"/>
      <c r="W166" s="9">
        <v>1.4</v>
      </c>
      <c r="X166" s="9">
        <v>2</v>
      </c>
      <c r="Y166" s="9"/>
      <c r="Z166" s="9"/>
      <c r="AA166" s="9">
        <v>0.4</v>
      </c>
      <c r="AB166" s="9"/>
      <c r="AC166" s="449" t="str">
        <f t="shared" si="26"/>
        <v>PH</v>
      </c>
      <c r="AD166" s="449"/>
      <c r="AE166" s="449"/>
      <c r="AF166" s="4"/>
      <c r="AG166" s="83"/>
      <c r="AH166" s="4"/>
      <c r="AI166" s="4"/>
      <c r="AJ166" s="449"/>
      <c r="AK166" s="449"/>
      <c r="AL166" s="449" t="s">
        <v>252</v>
      </c>
      <c r="AM166" s="449" t="s">
        <v>126</v>
      </c>
      <c r="AN166" s="10">
        <v>5.5</v>
      </c>
      <c r="AO166" s="9"/>
      <c r="AP166" s="9"/>
      <c r="AQ166" s="9"/>
      <c r="AR166" s="9"/>
      <c r="AS166" s="9"/>
      <c r="AT166" s="9">
        <f>+ab($T$166,$T$164,$T$168,$G$165,$G$167,-1*$F$166,1200)</f>
        <v>-9.5064485387917568</v>
      </c>
      <c r="AU166" s="428"/>
      <c r="AV166" s="428"/>
      <c r="AW166" s="449" t="str">
        <f>IF(C166&gt;0,VLOOKUP(C166,Foundation_Calc!$A$2:$C$13,3,1),
IF(J166&gt;0,VLOOKUP(J166,Foundation_Calc!$A$2:$C$13,3,1),""))</f>
        <v>Multi Soil</v>
      </c>
      <c r="AX166" s="449" t="str">
        <f>IF(C166&gt;0,VLOOKUP(C166,Foundation_Calc!$E$2:$G$33,3,1),
IF(J166&gt;0,VLOOKUP(J166,Foundation_Calc!$E$2:$G$33,3,1),""))</f>
        <v>PT</v>
      </c>
      <c r="AY166" s="10">
        <f>IF(L166="","",
IF(AX166="PT",VLOOKUP(L166,Foundation_Calc!$K$79:$R$113,VLOOKUP(AW166,Foundation_Calc!$I$2:$J$8,2,FALSE),0),
IF(AX166="K",VLOOKUP(L166,Foundation_Calc!$K$117:$R$151,VLOOKUP(AW166,Foundation_Calc!$I$2:$J$8,2,FALSE),0),"")))</f>
        <v>5.6</v>
      </c>
      <c r="AZ166" s="10" t="str">
        <f>IF(K166="","",
IF(AX166="PT",VLOOKUP(K166,Foundation_Calc!$K$79:$R$113,VLOOKUP(AW166,Foundation_Calc!$I$2:$J$8,2,FALSE),0),
IF(AX166="K",VLOOKUP(K166,Foundation_Calc!$K$117:$R$151,VLOOKUP(AW166,Foundation_Calc!$I$2:$J$8,2,FALSE),0),"")))</f>
        <v/>
      </c>
      <c r="BA166" s="495" t="str">
        <f t="shared" si="27"/>
        <v>ü</v>
      </c>
      <c r="BB166" s="495" t="str">
        <f t="shared" si="28"/>
        <v/>
      </c>
      <c r="BC166" s="495" t="str">
        <f t="shared" si="29"/>
        <v/>
      </c>
      <c r="BD166" s="513" t="str">
        <f>Pole_Calc!A$251</f>
        <v>App.8-V08H-P10.3</v>
      </c>
      <c r="BE166" s="429" t="s">
        <v>118</v>
      </c>
      <c r="BF166" s="289"/>
      <c r="BG166" s="289"/>
      <c r="BH166" s="290"/>
      <c r="BI166" s="289"/>
    </row>
    <row r="167" spans="1:61" ht="16.149999999999999" customHeight="1">
      <c r="A167" s="607"/>
      <c r="B167" s="536"/>
      <c r="C167" s="537"/>
      <c r="D167" s="538"/>
      <c r="E167" s="539"/>
      <c r="F167" s="539"/>
      <c r="G167" s="540">
        <v>45</v>
      </c>
      <c r="H167" s="541"/>
      <c r="I167" s="539" t="s">
        <v>122</v>
      </c>
      <c r="J167" s="537"/>
      <c r="K167" s="541"/>
      <c r="L167" s="541"/>
      <c r="M167" s="541" t="str">
        <f>IF(L167="","",
IF(AX167="PT",VLOOKUP(L167,Foundation_Calc!$V$79:$X$113,VLOOKUP(AX167,Foundation_Calc!$I$10:$J$13,2,FALSE),0),
IF(AX167="K",VLOOKUP(L167,Foundation_Calc!$V$117:$X$151,VLOOKUP(AX167,Foundation_Calc!$I$10:$J$13,2,FALSE),0),"")))</f>
        <v/>
      </c>
      <c r="N167" s="541"/>
      <c r="O167" s="541"/>
      <c r="P167" s="541"/>
      <c r="Q167" s="539"/>
      <c r="R167" s="540"/>
      <c r="S167" s="540"/>
      <c r="T167" s="539"/>
      <c r="U167" s="539"/>
      <c r="V167" s="539"/>
      <c r="W167" s="542"/>
      <c r="X167" s="542"/>
      <c r="Y167" s="542"/>
      <c r="Z167" s="542"/>
      <c r="AA167" s="542"/>
      <c r="AB167" s="542"/>
      <c r="AC167" s="541" t="str">
        <f t="shared" si="26"/>
        <v/>
      </c>
      <c r="AD167" s="541"/>
      <c r="AE167" s="541"/>
      <c r="AF167" s="539"/>
      <c r="AG167" s="538"/>
      <c r="AH167" s="539"/>
      <c r="AI167" s="539"/>
      <c r="AJ167" s="541"/>
      <c r="AK167" s="541"/>
      <c r="AL167" s="541"/>
      <c r="AM167" s="541"/>
      <c r="AN167" s="543"/>
      <c r="AO167" s="542"/>
      <c r="AP167" s="542"/>
      <c r="AQ167" s="542">
        <f>+FL_1($T$168,$T$166,$G$167,1200,9.28,-1*$F$168)</f>
        <v>0.29683556133333333</v>
      </c>
      <c r="AR167" s="542"/>
      <c r="AS167" s="542"/>
      <c r="AT167" s="542"/>
      <c r="AU167" s="544"/>
      <c r="AV167" s="544"/>
      <c r="AW167" s="541" t="str">
        <f>IF(C167&gt;0,VLOOKUP(C167,Foundation_Calc!$A$2:$C$13,3,1),
IF(J167&gt;0,VLOOKUP(J167,Foundation_Calc!$A$2:$C$13,3,1),""))</f>
        <v/>
      </c>
      <c r="AX167" s="541" t="str">
        <f>IF(C167&gt;0,VLOOKUP(C167,Foundation_Calc!$E$2:$G$33,3,1),
IF(J167&gt;0,VLOOKUP(J167,Foundation_Calc!$E$2:$G$33,3,1),""))</f>
        <v/>
      </c>
      <c r="AY167" s="543" t="str">
        <f>IF(L167="","",
IF(AX167="PT",VLOOKUP(L167,Foundation_Calc!$K$79:$R$113,VLOOKUP(AW167,Foundation_Calc!$I$2:$J$8,2,FALSE),0),
IF(AX167="K",VLOOKUP(L167,Foundation_Calc!$K$117:$R$151,VLOOKUP(AW167,Foundation_Calc!$I$2:$J$8,2,FALSE),0),"")))</f>
        <v/>
      </c>
      <c r="AZ167" s="543" t="str">
        <f>IF(K167="","",
IF(AX167="PT",VLOOKUP(K167,Foundation_Calc!$K$79:$R$113,VLOOKUP(AW167,Foundation_Calc!$I$2:$J$8,2,FALSE),0),
IF(AX167="K",VLOOKUP(K167,Foundation_Calc!$K$117:$R$151,VLOOKUP(AW167,Foundation_Calc!$I$2:$J$8,2,FALSE),0),"")))</f>
        <v/>
      </c>
      <c r="BA167" s="550" t="str">
        <f t="shared" ref="BA167" si="30">IF(AY167="","",IF(AY167&gt;0,"ü",""))</f>
        <v/>
      </c>
      <c r="BB167" s="550" t="str">
        <f t="shared" ref="BB167" si="31">IF(AZ167="","",IF(AZ167&gt;0,"ü",""))</f>
        <v/>
      </c>
      <c r="BC167" s="550" t="str">
        <f t="shared" ref="BC167" si="32">IF(M167="","",IF(M167="U.S.","ü",IF(M167="U.S. N.D.","ü","")))</f>
        <v/>
      </c>
      <c r="BD167" s="516" t="str">
        <f>IF(AND(L167="",H167=""),"",
IF(H167="",Pole_Calc!A$9,
IF(H167="MP",Pole_Calc!A$10,
IF(H167="AnMP",Pole_Calc!A$11,
IF(H167="A",Pole_Calc!A$12,
IF(H167="S/A",Pole_Calc!A$13,
IF(H167="A/S",Pole_Calc!A$14,"Poner a mano")))))))</f>
        <v/>
      </c>
      <c r="BE167" s="429" t="s">
        <v>118</v>
      </c>
      <c r="BF167" s="290"/>
      <c r="BG167" s="290"/>
      <c r="BH167" s="290"/>
      <c r="BI167" s="290"/>
    </row>
    <row r="168" spans="1:61" ht="17.45" customHeight="1">
      <c r="A168" s="635"/>
      <c r="B168" s="450" t="s">
        <v>259</v>
      </c>
      <c r="C168" s="3">
        <f>+$C$166+$G$167</f>
        <v>34355.35</v>
      </c>
      <c r="D168" s="83"/>
      <c r="E168" s="4"/>
      <c r="F168" s="4">
        <f>IF(C168&gt;0,VLOOKUP(C168,'ALIGNMENT TRACK'!$A$1:$K$81,9,1))</f>
        <v>0</v>
      </c>
      <c r="G168" s="6"/>
      <c r="H168" s="449" t="s">
        <v>260</v>
      </c>
      <c r="I168" s="4" t="s">
        <v>162</v>
      </c>
      <c r="J168" s="3"/>
      <c r="K168" s="449"/>
      <c r="L168" s="449" t="s">
        <v>247</v>
      </c>
      <c r="M168" s="449" t="str">
        <f>IF(L168="","",
IF(AX168="PT",VLOOKUP(L168,Foundation_Calc!$V$79:$X$113,VLOOKUP(AX168,Foundation_Calc!$I$10:$J$13,2,FALSE),0),
IF(AX168="K",VLOOKUP(L168,Foundation_Calc!$V$117:$X$151,VLOOKUP(AX168,Foundation_Calc!$I$10:$J$13,2,FALSE),0),"")))</f>
        <v>C12R</v>
      </c>
      <c r="N168" s="449" t="s">
        <v>134</v>
      </c>
      <c r="O168" s="449"/>
      <c r="P168" s="449"/>
      <c r="Q168" s="4"/>
      <c r="R168" s="6"/>
      <c r="S168" s="6"/>
      <c r="T168" s="4">
        <v>25</v>
      </c>
      <c r="U168" s="4"/>
      <c r="V168" s="4"/>
      <c r="W168" s="9">
        <v>1.4</v>
      </c>
      <c r="X168" s="9"/>
      <c r="Y168" s="9"/>
      <c r="Z168" s="9"/>
      <c r="AA168" s="9"/>
      <c r="AB168" s="9"/>
      <c r="AC168" s="449" t="str">
        <f t="shared" si="26"/>
        <v>PH</v>
      </c>
      <c r="AD168" s="449"/>
      <c r="AE168" s="449"/>
      <c r="AF168" s="4"/>
      <c r="AG168" s="83"/>
      <c r="AH168" s="4"/>
      <c r="AI168" s="4"/>
      <c r="AJ168" s="449"/>
      <c r="AK168" s="449"/>
      <c r="AL168" s="449" t="s">
        <v>252</v>
      </c>
      <c r="AM168" s="449" t="s">
        <v>126</v>
      </c>
      <c r="AN168" s="10">
        <v>5.5</v>
      </c>
      <c r="AO168" s="9"/>
      <c r="AP168" s="9"/>
      <c r="AQ168" s="9"/>
      <c r="AR168" s="9"/>
      <c r="AS168" s="9"/>
      <c r="AT168" s="9">
        <f>+ab($T$168,$T$166,$U$170,$G$167,$G$169,-1*$F$168,1200)</f>
        <v>8.7152731859815127</v>
      </c>
      <c r="AU168" s="428"/>
      <c r="AV168" s="428"/>
      <c r="AW168" s="449" t="str">
        <f>IF(C168&gt;0,VLOOKUP(C168,Foundation_Calc!$A$2:$C$13,3,1),
IF(J168&gt;0,VLOOKUP(J168,Foundation_Calc!$A$2:$C$13,3,1),""))</f>
        <v>Multi Soil</v>
      </c>
      <c r="AX168" s="449" t="str">
        <f>IF(C168&gt;0,VLOOKUP(C168,Foundation_Calc!$E$2:$G$33,3,1),
IF(J168&gt;0,VLOOKUP(J168,Foundation_Calc!$E$2:$G$33,3,1),""))</f>
        <v>PT</v>
      </c>
      <c r="AY168" s="10">
        <f>IF(L168="","",
IF(AX168="PT",VLOOKUP(L168,Foundation_Calc!$K$79:$R$113,VLOOKUP(AW168,Foundation_Calc!$I$2:$J$8,2,FALSE),0),
IF(AX168="K",VLOOKUP(L168,Foundation_Calc!$K$117:$R$151,VLOOKUP(AW168,Foundation_Calc!$I$2:$J$8,2,FALSE),0),"")))</f>
        <v>6.2</v>
      </c>
      <c r="AZ168" s="10" t="str">
        <f>IF(K168="","",
IF(AX168="PT",VLOOKUP(K168,Foundation_Calc!$K$79:$R$113,VLOOKUP(AW168,Foundation_Calc!$I$2:$J$8,2,FALSE),0),
IF(AX168="K",VLOOKUP(K168,Foundation_Calc!$K$117:$R$151,VLOOKUP(AW168,Foundation_Calc!$I$2:$J$8,2,FALSE),0),"")))</f>
        <v/>
      </c>
      <c r="BA168" s="495" t="str">
        <f t="shared" si="27"/>
        <v>ü</v>
      </c>
      <c r="BB168" s="495" t="str">
        <f t="shared" si="28"/>
        <v/>
      </c>
      <c r="BC168" s="495" t="str">
        <f t="shared" si="29"/>
        <v/>
      </c>
      <c r="BD168" s="513" t="str">
        <f>Pole_Calc!A$251</f>
        <v>App.8-V08H-P10.3</v>
      </c>
      <c r="BE168" s="429" t="s">
        <v>118</v>
      </c>
      <c r="BF168" s="289"/>
      <c r="BG168" s="289"/>
      <c r="BH168" s="290"/>
      <c r="BI168" s="289"/>
    </row>
    <row r="169" spans="1:61" ht="16.149999999999999" customHeight="1">
      <c r="A169" s="514"/>
      <c r="B169" s="450"/>
      <c r="C169" s="3"/>
      <c r="D169" s="83"/>
      <c r="E169" s="4"/>
      <c r="F169" s="4"/>
      <c r="G169" s="6">
        <v>46.3</v>
      </c>
      <c r="H169" s="449"/>
      <c r="I169" s="4"/>
      <c r="J169" s="3"/>
      <c r="K169" s="449"/>
      <c r="L169" s="449"/>
      <c r="M169" s="449" t="str">
        <f>IF(L169="","",
IF(AX169="PT",VLOOKUP(L169,Foundation_Calc!$V$79:$X$113,VLOOKUP(AX169,Foundation_Calc!$I$10:$J$13,2,FALSE),0),
IF(AX169="K",VLOOKUP(L169,Foundation_Calc!$V$117:$X$151,VLOOKUP(AX169,Foundation_Calc!$I$10:$J$13,2,FALSE),0),"")))</f>
        <v/>
      </c>
      <c r="N169" s="449"/>
      <c r="O169" s="449"/>
      <c r="P169" s="449"/>
      <c r="Q169" s="4"/>
      <c r="R169" s="6"/>
      <c r="S169" s="6"/>
      <c r="T169" s="4"/>
      <c r="U169" s="4"/>
      <c r="V169" s="4"/>
      <c r="W169" s="9"/>
      <c r="X169" s="9"/>
      <c r="Y169" s="9"/>
      <c r="Z169" s="9"/>
      <c r="AA169" s="9"/>
      <c r="AB169" s="9"/>
      <c r="AC169" s="449" t="str">
        <f t="shared" si="26"/>
        <v/>
      </c>
      <c r="AD169" s="449"/>
      <c r="AE169" s="449"/>
      <c r="AF169" s="4"/>
      <c r="AG169" s="83"/>
      <c r="AH169" s="4"/>
      <c r="AI169" s="4"/>
      <c r="AJ169" s="449"/>
      <c r="AK169" s="449"/>
      <c r="AL169" s="449"/>
      <c r="AM169" s="449"/>
      <c r="AN169" s="10"/>
      <c r="AO169" s="9"/>
      <c r="AP169" s="9"/>
      <c r="AQ169" s="9">
        <f>+FL_1($U$170,$T$168,$G$169,1200,9.28,-1*$F$170)</f>
        <v>0.26580185262203021</v>
      </c>
      <c r="AR169" s="9"/>
      <c r="AS169" s="9"/>
      <c r="AT169" s="9"/>
      <c r="AU169" s="428"/>
      <c r="AV169" s="428"/>
      <c r="AW169" s="449" t="str">
        <f>IF(C169&gt;0,VLOOKUP(C169,Foundation_Calc!$A$2:$C$13,3,1),
IF(J169&gt;0,VLOOKUP(J169,Foundation_Calc!$A$2:$C$13,3,1),""))</f>
        <v/>
      </c>
      <c r="AX169" s="449" t="str">
        <f>IF(C169&gt;0,VLOOKUP(C169,Foundation_Calc!$E$2:$G$33,3,1),
IF(J169&gt;0,VLOOKUP(J169,Foundation_Calc!$E$2:$G$33,3,1),""))</f>
        <v/>
      </c>
      <c r="AY169" s="10" t="str">
        <f>IF(L169="","",
IF(AX169="PT",VLOOKUP(L169,Foundation_Calc!$K$79:$R$113,VLOOKUP(AW169,Foundation_Calc!$I$2:$J$8,2,FALSE),0),
IF(AX169="K",VLOOKUP(L169,Foundation_Calc!$K$117:$R$151,VLOOKUP(AW169,Foundation_Calc!$I$2:$J$8,2,FALSE),0),"")))</f>
        <v/>
      </c>
      <c r="AZ169" s="10" t="str">
        <f>IF(K169="","",
IF(AX169="PT",VLOOKUP(K169,Foundation_Calc!$K$79:$R$113,VLOOKUP(AW169,Foundation_Calc!$I$2:$J$8,2,FALSE),0),
IF(AX169="K",VLOOKUP(K169,Foundation_Calc!$K$117:$R$151,VLOOKUP(AW169,Foundation_Calc!$I$2:$J$8,2,FALSE),0),"")))</f>
        <v/>
      </c>
      <c r="BA169" s="495" t="str">
        <f t="shared" si="27"/>
        <v/>
      </c>
      <c r="BB169" s="495" t="str">
        <f t="shared" si="28"/>
        <v/>
      </c>
      <c r="BC169" s="495" t="str">
        <f t="shared" si="29"/>
        <v/>
      </c>
      <c r="BD169" s="513" t="str">
        <f>IF(AND(L169="",H169=""),"",
IF(H169="",Pole_Calc!A$9,
IF(H169="MP",Pole_Calc!A$10,
IF(H169="AnMP",Pole_Calc!A$11,
IF(H169="A",Pole_Calc!A$12,
IF(H169="S/A",Pole_Calc!A$13,
IF(H169="A/S",Pole_Calc!A$14,"Poner a mano")))))))</f>
        <v/>
      </c>
      <c r="BE169" s="429" t="s">
        <v>118</v>
      </c>
      <c r="BF169" s="290"/>
      <c r="BG169" s="290"/>
      <c r="BH169" s="290"/>
      <c r="BI169" s="290"/>
    </row>
    <row r="170" spans="1:61" ht="16.149999999999999" customHeight="1">
      <c r="A170" s="607"/>
      <c r="B170" s="450" t="s">
        <v>261</v>
      </c>
      <c r="C170" s="3">
        <f>+$C$168+$G$169</f>
        <v>34401.65</v>
      </c>
      <c r="D170" s="83"/>
      <c r="E170" s="4"/>
      <c r="F170" s="4">
        <f>IF(C170&gt;0,VLOOKUP(C170,'ALIGNMENT TRACK'!$A$1:$K$81,9,1))</f>
        <v>0</v>
      </c>
      <c r="G170" s="6"/>
      <c r="H170" s="449" t="s">
        <v>131</v>
      </c>
      <c r="I170" s="4"/>
      <c r="J170" s="3"/>
      <c r="K170" s="449"/>
      <c r="L170" s="449" t="s">
        <v>250</v>
      </c>
      <c r="M170" s="449" t="str">
        <f>IF(L170="","",
IF(AX170="PT",VLOOKUP(L170,Foundation_Calc!$V$79:$X$113,VLOOKUP(AX170,Foundation_Calc!$I$10:$J$13,2,FALSE),0),
IF(AX170="K",VLOOKUP(L170,Foundation_Calc!$V$117:$X$151,VLOOKUP(AX170,Foundation_Calc!$I$10:$J$13,2,FALSE),0),"")))</f>
        <v>2C4R</v>
      </c>
      <c r="N170" s="449" t="s">
        <v>133</v>
      </c>
      <c r="O170" s="449" t="s">
        <v>124</v>
      </c>
      <c r="P170" s="449"/>
      <c r="Q170" s="4"/>
      <c r="R170" s="6"/>
      <c r="S170" s="6"/>
      <c r="T170" s="4">
        <v>50</v>
      </c>
      <c r="U170" s="4">
        <v>-35</v>
      </c>
      <c r="V170" s="4"/>
      <c r="W170" s="9">
        <v>1.4</v>
      </c>
      <c r="X170" s="9">
        <v>2</v>
      </c>
      <c r="Y170" s="9"/>
      <c r="Z170" s="9">
        <v>0.6</v>
      </c>
      <c r="AA170" s="9"/>
      <c r="AB170" s="9"/>
      <c r="AC170" s="449"/>
      <c r="AD170" s="449"/>
      <c r="AE170" s="449"/>
      <c r="AF170" s="4"/>
      <c r="AG170" s="83"/>
      <c r="AH170" s="4"/>
      <c r="AI170" s="4"/>
      <c r="AJ170" s="449"/>
      <c r="AK170" s="449"/>
      <c r="AL170" s="449" t="s">
        <v>252</v>
      </c>
      <c r="AM170" s="449" t="s">
        <v>126</v>
      </c>
      <c r="AN170" s="10">
        <v>5.5</v>
      </c>
      <c r="AO170" s="9"/>
      <c r="AP170" s="9"/>
      <c r="AQ170" s="9"/>
      <c r="AR170" s="9"/>
      <c r="AS170" s="9"/>
      <c r="AT170" s="9">
        <f>+ab($U$170,$T$168,$T$172,$G$169,$G$171,-1*$F$170,1200)</f>
        <v>-7.0816835832592417</v>
      </c>
      <c r="AU170" s="428"/>
      <c r="AV170" s="428"/>
      <c r="AW170" s="449" t="str">
        <f>IF(C170&gt;0,VLOOKUP(C170,Foundation_Calc!$A$2:$C$13,3,1),
IF(J170&gt;0,VLOOKUP(J170,Foundation_Calc!$A$2:$C$13,3,1),""))</f>
        <v>Multi Soil</v>
      </c>
      <c r="AX170" s="449" t="str">
        <f>IF(C170&gt;0,VLOOKUP(C170,Foundation_Calc!$E$2:$G$33,3,1),
IF(J170&gt;0,VLOOKUP(J170,Foundation_Calc!$E$2:$G$33,3,1),""))</f>
        <v>PT</v>
      </c>
      <c r="AY170" s="10">
        <f>IF(L170="","",
IF(AX170="PT",VLOOKUP(L170,Foundation_Calc!$K$79:$R$113,VLOOKUP(AW170,Foundation_Calc!$I$2:$J$8,2,FALSE),0),
IF(AX170="K",VLOOKUP(L170,Foundation_Calc!$K$117:$R$151,VLOOKUP(AW170,Foundation_Calc!$I$2:$J$8,2,FALSE),0),"")))</f>
        <v>5.6</v>
      </c>
      <c r="AZ170" s="10" t="str">
        <f>IF(K170="","",
IF(AX170="PT",VLOOKUP(K170,Foundation_Calc!$K$79:$R$113,VLOOKUP(AW170,Foundation_Calc!$I$2:$J$8,2,FALSE),0),
IF(AX170="K",VLOOKUP(K170,Foundation_Calc!$K$117:$R$151,VLOOKUP(AW170,Foundation_Calc!$I$2:$J$8,2,FALSE),0),"")))</f>
        <v/>
      </c>
      <c r="BA170" s="495" t="str">
        <f t="shared" si="27"/>
        <v>ü</v>
      </c>
      <c r="BB170" s="495" t="str">
        <f t="shared" si="28"/>
        <v/>
      </c>
      <c r="BC170" s="495" t="str">
        <f t="shared" si="29"/>
        <v/>
      </c>
      <c r="BD170" s="513" t="str">
        <f>Pole_Calc!A$251</f>
        <v>App.8-V08H-P10.3</v>
      </c>
      <c r="BE170" s="429" t="s">
        <v>118</v>
      </c>
      <c r="BF170" s="289"/>
      <c r="BG170" s="289"/>
      <c r="BH170" s="290"/>
      <c r="BI170" s="289"/>
    </row>
    <row r="171" spans="1:61" ht="16.149999999999999" customHeight="1">
      <c r="A171" s="514"/>
      <c r="B171" s="450"/>
      <c r="C171" s="3"/>
      <c r="D171" s="83"/>
      <c r="E171" s="4"/>
      <c r="F171" s="4"/>
      <c r="G171" s="6">
        <v>50</v>
      </c>
      <c r="H171" s="449"/>
      <c r="I171" s="4"/>
      <c r="J171" s="3"/>
      <c r="K171" s="449"/>
      <c r="L171" s="449"/>
      <c r="M171" s="449" t="str">
        <f>IF(L171="","",
IF(AX171="PT",VLOOKUP(L171,Foundation_Calc!$V$79:$X$113,VLOOKUP(AX171,Foundation_Calc!$I$10:$J$13,2,FALSE),0),
IF(AX171="K",VLOOKUP(L171,Foundation_Calc!$V$117:$X$151,VLOOKUP(AX171,Foundation_Calc!$I$10:$J$13,2,FALSE),0),"")))</f>
        <v/>
      </c>
      <c r="N171" s="449"/>
      <c r="O171" s="449"/>
      <c r="P171" s="449"/>
      <c r="Q171" s="4"/>
      <c r="R171" s="6"/>
      <c r="S171" s="6"/>
      <c r="T171" s="4"/>
      <c r="U171" s="4"/>
      <c r="V171" s="4"/>
      <c r="W171" s="9"/>
      <c r="X171" s="9"/>
      <c r="Y171" s="9"/>
      <c r="Z171" s="9"/>
      <c r="AA171" s="9"/>
      <c r="AB171" s="9"/>
      <c r="AC171" s="449" t="str">
        <f t="shared" si="26"/>
        <v/>
      </c>
      <c r="AD171" s="449"/>
      <c r="AE171" s="449"/>
      <c r="AF171" s="4"/>
      <c r="AG171" s="83"/>
      <c r="AH171" s="4"/>
      <c r="AI171" s="4"/>
      <c r="AJ171" s="449"/>
      <c r="AK171" s="449"/>
      <c r="AL171" s="449"/>
      <c r="AM171" s="449"/>
      <c r="AN171" s="10"/>
      <c r="AO171" s="9"/>
      <c r="AP171" s="9"/>
      <c r="AQ171" s="9">
        <f>+FL_1($T$172,$U$170,$G$171,1200,9.28,-1*$F$172)</f>
        <v>0.36839079999999996</v>
      </c>
      <c r="AR171" s="9"/>
      <c r="AS171" s="9"/>
      <c r="AT171" s="9"/>
      <c r="AU171" s="428"/>
      <c r="AV171" s="428"/>
      <c r="AW171" s="449" t="str">
        <f>IF(C171&gt;0,VLOOKUP(C171,Foundation_Calc!$A$2:$C$13,3,1),
IF(J171&gt;0,VLOOKUP(J171,Foundation_Calc!$A$2:$C$13,3,1),""))</f>
        <v/>
      </c>
      <c r="AX171" s="449" t="str">
        <f>IF(C171&gt;0,VLOOKUP(C171,Foundation_Calc!$E$2:$G$33,3,1),
IF(J171&gt;0,VLOOKUP(J171,Foundation_Calc!$E$2:$G$33,3,1),""))</f>
        <v/>
      </c>
      <c r="AY171" s="10" t="str">
        <f>IF(L171="","",
IF(AX171="PT",VLOOKUP(L171,Foundation_Calc!$K$79:$R$113,VLOOKUP(AW171,Foundation_Calc!$I$2:$J$8,2,FALSE),0),
IF(AX171="K",VLOOKUP(L171,Foundation_Calc!$K$117:$R$151,VLOOKUP(AW171,Foundation_Calc!$I$2:$J$8,2,FALSE),0),"")))</f>
        <v/>
      </c>
      <c r="AZ171" s="10" t="str">
        <f>IF(K171="","",
IF(AX171="PT",VLOOKUP(K171,Foundation_Calc!$K$79:$R$113,VLOOKUP(AW171,Foundation_Calc!$I$2:$J$8,2,FALSE),0),
IF(AX171="K",VLOOKUP(K171,Foundation_Calc!$K$117:$R$151,VLOOKUP(AW171,Foundation_Calc!$I$2:$J$8,2,FALSE),0),"")))</f>
        <v/>
      </c>
      <c r="BA171" s="495" t="str">
        <f t="shared" si="27"/>
        <v/>
      </c>
      <c r="BB171" s="495" t="str">
        <f t="shared" si="28"/>
        <v/>
      </c>
      <c r="BC171" s="495" t="str">
        <f t="shared" si="29"/>
        <v/>
      </c>
      <c r="BD171" s="513" t="str">
        <f>IF(AND(L171="",H171=""),"",
IF(H171="",Pole_Calc!A$9,
IF(H171="MP",Pole_Calc!A$10,
IF(H171="AnMP",Pole_Calc!A$11,
IF(H171="A",Pole_Calc!A$12,
IF(H171="S/A",Pole_Calc!A$13,
IF(H171="A/S",Pole_Calc!A$14,"Poner a mano")))))))</f>
        <v/>
      </c>
      <c r="BE171" s="429" t="s">
        <v>118</v>
      </c>
      <c r="BF171" s="290"/>
      <c r="BG171" s="290"/>
      <c r="BH171" s="290"/>
      <c r="BI171" s="290"/>
    </row>
    <row r="172" spans="1:61" ht="16.149999999999999" customHeight="1">
      <c r="A172" s="514"/>
      <c r="B172" s="450" t="s">
        <v>262</v>
      </c>
      <c r="C172" s="3">
        <f>+$C$170+$G$171</f>
        <v>34451.65</v>
      </c>
      <c r="D172" s="83"/>
      <c r="E172" s="4"/>
      <c r="F172" s="4">
        <f>IF(C172&gt;0,VLOOKUP(C172,'ALIGNMENT TRACK'!$A$1:$K$81,9,1))</f>
        <v>0</v>
      </c>
      <c r="G172" s="6"/>
      <c r="H172" s="449"/>
      <c r="I172" s="4"/>
      <c r="J172" s="3"/>
      <c r="K172" s="449"/>
      <c r="L172" s="449" t="s">
        <v>250</v>
      </c>
      <c r="M172" s="449" t="str">
        <f>IF(L172="","",
IF(AX172="PT",VLOOKUP(L172,Foundation_Calc!$V$79:$X$113,VLOOKUP(AX172,Foundation_Calc!$I$10:$J$13,2,FALSE),0),
IF(AX172="K",VLOOKUP(L172,Foundation_Calc!$V$117:$X$151,VLOOKUP(AX172,Foundation_Calc!$I$10:$J$13,2,FALSE),0),"")))</f>
        <v>2C4R</v>
      </c>
      <c r="N172" s="449" t="s">
        <v>134</v>
      </c>
      <c r="O172" s="449"/>
      <c r="P172" s="449"/>
      <c r="Q172" s="4"/>
      <c r="R172" s="6"/>
      <c r="S172" s="6"/>
      <c r="T172" s="4">
        <v>35</v>
      </c>
      <c r="U172" s="4"/>
      <c r="V172" s="4"/>
      <c r="W172" s="9">
        <v>1.4</v>
      </c>
      <c r="X172" s="9"/>
      <c r="Y172" s="9"/>
      <c r="Z172" s="9"/>
      <c r="AA172" s="9"/>
      <c r="AB172" s="9"/>
      <c r="AC172" s="449" t="str">
        <f t="shared" si="26"/>
        <v>PHQ</v>
      </c>
      <c r="AD172" s="449"/>
      <c r="AE172" s="449"/>
      <c r="AF172" s="4"/>
      <c r="AG172" s="83"/>
      <c r="AH172" s="4"/>
      <c r="AI172" s="4"/>
      <c r="AJ172" s="449"/>
      <c r="AK172" s="449"/>
      <c r="AL172" s="449" t="s">
        <v>252</v>
      </c>
      <c r="AM172" s="449" t="s">
        <v>126</v>
      </c>
      <c r="AN172" s="10">
        <v>5.5</v>
      </c>
      <c r="AO172" s="9"/>
      <c r="AP172" s="9"/>
      <c r="AQ172" s="9"/>
      <c r="AR172" s="9"/>
      <c r="AS172" s="9"/>
      <c r="AT172" s="9">
        <f>+ab($T$172,$U$170,$T$174,$G$171,$G$173,-1*$F$172,1200)</f>
        <v>7.2785200304795445</v>
      </c>
      <c r="AU172" s="428"/>
      <c r="AV172" s="428"/>
      <c r="AW172" s="449" t="str">
        <f>IF(C172&gt;0,VLOOKUP(C172,Foundation_Calc!$A$2:$C$13,3,1),
IF(J172&gt;0,VLOOKUP(J172,Foundation_Calc!$A$2:$C$13,3,1),""))</f>
        <v>Multi Soil</v>
      </c>
      <c r="AX172" s="449" t="str">
        <f>IF(C172&gt;0,VLOOKUP(C172,Foundation_Calc!$E$2:$G$33,3,1),
IF(J172&gt;0,VLOOKUP(J172,Foundation_Calc!$E$2:$G$33,3,1),""))</f>
        <v>PT</v>
      </c>
      <c r="AY172" s="10">
        <f>IF(L172="","",
IF(AX172="PT",VLOOKUP(L172,Foundation_Calc!$K$79:$R$113,VLOOKUP(AW172,Foundation_Calc!$I$2:$J$8,2,FALSE),0),
IF(AX172="K",VLOOKUP(L172,Foundation_Calc!$K$117:$R$151,VLOOKUP(AW172,Foundation_Calc!$I$2:$J$8,2,FALSE),0),"")))</f>
        <v>5.6</v>
      </c>
      <c r="AZ172" s="10" t="str">
        <f>IF(K172="","",
IF(AX172="PT",VLOOKUP(K172,Foundation_Calc!$K$79:$R$113,VLOOKUP(AW172,Foundation_Calc!$I$2:$J$8,2,FALSE),0),
IF(AX172="K",VLOOKUP(K172,Foundation_Calc!$K$117:$R$151,VLOOKUP(AW172,Foundation_Calc!$I$2:$J$8,2,FALSE),0),"")))</f>
        <v/>
      </c>
      <c r="BA172" s="495" t="str">
        <f t="shared" si="27"/>
        <v>ü</v>
      </c>
      <c r="BB172" s="495" t="str">
        <f t="shared" si="28"/>
        <v/>
      </c>
      <c r="BC172" s="495" t="str">
        <f t="shared" si="29"/>
        <v/>
      </c>
      <c r="BD172" s="513" t="str">
        <f>Pole_Calc!A$251</f>
        <v>App.8-V08H-P10.3</v>
      </c>
      <c r="BE172" s="429" t="s">
        <v>118</v>
      </c>
      <c r="BF172" s="289"/>
      <c r="BG172" s="289"/>
      <c r="BH172" s="290"/>
      <c r="BI172" s="289"/>
    </row>
    <row r="173" spans="1:61" ht="16.149999999999999" customHeight="1">
      <c r="A173" s="514"/>
      <c r="B173" s="450"/>
      <c r="C173" s="3"/>
      <c r="D173" s="83"/>
      <c r="E173" s="4"/>
      <c r="F173" s="4"/>
      <c r="G173" s="6">
        <v>45</v>
      </c>
      <c r="H173" s="449"/>
      <c r="I173" s="4"/>
      <c r="J173" s="3"/>
      <c r="K173" s="449"/>
      <c r="L173" s="449"/>
      <c r="M173" s="449" t="str">
        <f>IF(L173="","",
IF(AX173="PT",VLOOKUP(L173,Foundation_Calc!$V$79:$X$113,VLOOKUP(AX173,Foundation_Calc!$I$10:$J$13,2,FALSE),0),
IF(AX173="K",VLOOKUP(L173,Foundation_Calc!$V$117:$X$151,VLOOKUP(AX173,Foundation_Calc!$I$10:$J$13,2,FALSE),0),"")))</f>
        <v/>
      </c>
      <c r="N173" s="449"/>
      <c r="O173" s="449"/>
      <c r="P173" s="449"/>
      <c r="Q173" s="4"/>
      <c r="R173" s="6"/>
      <c r="S173" s="6"/>
      <c r="T173" s="4"/>
      <c r="U173" s="4"/>
      <c r="V173" s="4"/>
      <c r="W173" s="572"/>
      <c r="X173" s="9"/>
      <c r="Y173" s="9"/>
      <c r="Z173" s="9"/>
      <c r="AA173" s="9"/>
      <c r="AB173" s="9"/>
      <c r="AC173" s="449" t="str">
        <f t="shared" si="26"/>
        <v/>
      </c>
      <c r="AD173" s="449"/>
      <c r="AE173" s="449"/>
      <c r="AF173" s="4"/>
      <c r="AG173" s="83"/>
      <c r="AH173" s="4"/>
      <c r="AI173" s="4"/>
      <c r="AJ173" s="449"/>
      <c r="AK173" s="449"/>
      <c r="AL173" s="449"/>
      <c r="AM173" s="449"/>
      <c r="AN173" s="10"/>
      <c r="AO173" s="9"/>
      <c r="AP173" s="9"/>
      <c r="AQ173" s="9">
        <f>+FL_1($T$174,$T$172,$G$173,1200,9.28,-1*$F$174)</f>
        <v>0.39968478786997624</v>
      </c>
      <c r="AR173" s="9"/>
      <c r="AS173" s="9"/>
      <c r="AT173" s="9"/>
      <c r="AU173" s="428"/>
      <c r="AV173" s="428"/>
      <c r="AW173" s="449" t="str">
        <f>IF(C173&gt;0,VLOOKUP(C173,Foundation_Calc!$A$2:$C$13,3,1),
IF(J173&gt;0,VLOOKUP(J173,Foundation_Calc!$A$2:$C$13,3,1),""))</f>
        <v/>
      </c>
      <c r="AX173" s="449" t="str">
        <f>IF(C173&gt;0,VLOOKUP(C173,Foundation_Calc!$E$2:$G$33,3,1),
IF(J173&gt;0,VLOOKUP(J173,Foundation_Calc!$E$2:$G$33,3,1),""))</f>
        <v/>
      </c>
      <c r="AY173" s="10" t="str">
        <f>IF(L173="","",
IF(AX173="PT",VLOOKUP(L173,Foundation_Calc!$K$79:$R$113,VLOOKUP(AW173,Foundation_Calc!$I$2:$J$8,2,FALSE),0),
IF(AX173="K",VLOOKUP(L173,Foundation_Calc!$K$117:$R$151,VLOOKUP(AW173,Foundation_Calc!$I$2:$J$8,2,FALSE),0),"")))</f>
        <v/>
      </c>
      <c r="AZ173" s="10" t="str">
        <f>IF(K173="","",
IF(AX173="PT",VLOOKUP(K173,Foundation_Calc!$K$79:$R$113,VLOOKUP(AW173,Foundation_Calc!$I$2:$J$8,2,FALSE),0),
IF(AX173="K",VLOOKUP(K173,Foundation_Calc!$K$117:$R$151,VLOOKUP(AW173,Foundation_Calc!$I$2:$J$8,2,FALSE),0),"")))</f>
        <v/>
      </c>
      <c r="BA173" s="495" t="str">
        <f t="shared" si="27"/>
        <v/>
      </c>
      <c r="BB173" s="495" t="str">
        <f t="shared" si="28"/>
        <v/>
      </c>
      <c r="BC173" s="495" t="str">
        <f t="shared" si="29"/>
        <v/>
      </c>
      <c r="BD173" s="513" t="str">
        <f>IF(AND(L173="",H173=""),"",
IF(H173="",Pole_Calc!A$9,
IF(H173="MP",Pole_Calc!A$10,
IF(H173="AnMP",Pole_Calc!A$11,
IF(H173="A",Pole_Calc!A$12,
IF(H173="S/A",Pole_Calc!A$13,
IF(H173="A/S",Pole_Calc!A$14,"Poner a mano")))))))</f>
        <v/>
      </c>
      <c r="BE173" s="429" t="s">
        <v>118</v>
      </c>
      <c r="BF173" s="290"/>
      <c r="BG173" s="290"/>
      <c r="BH173" s="290"/>
      <c r="BI173" s="290"/>
    </row>
    <row r="174" spans="1:61" ht="16.149999999999999" customHeight="1">
      <c r="A174" s="514"/>
      <c r="B174" s="450" t="s">
        <v>263</v>
      </c>
      <c r="C174" s="3">
        <f>+$C$172+$G$173</f>
        <v>34496.65</v>
      </c>
      <c r="D174" s="83"/>
      <c r="E174" s="4"/>
      <c r="F174" s="4">
        <f>(424^2)/(C174-34459.08)</f>
        <v>4785.0944902848387</v>
      </c>
      <c r="G174" s="6"/>
      <c r="H174" s="449"/>
      <c r="I174" s="4"/>
      <c r="J174" s="3"/>
      <c r="K174" s="449"/>
      <c r="L174" s="449" t="s">
        <v>250</v>
      </c>
      <c r="M174" s="449" t="str">
        <f>IF(L174="","",
IF(AX174="PT",VLOOKUP(L174,Foundation_Calc!$V$79:$X$113,VLOOKUP(AX174,Foundation_Calc!$I$10:$J$13,2,FALSE),0),
IF(AX174="K",VLOOKUP(L174,Foundation_Calc!$V$117:$X$151,VLOOKUP(AX174,Foundation_Calc!$I$10:$J$13,2,FALSE),0),"")))</f>
        <v>2C4R</v>
      </c>
      <c r="N174" s="449" t="s">
        <v>124</v>
      </c>
      <c r="O174" s="449"/>
      <c r="P174" s="449"/>
      <c r="Q174" s="4"/>
      <c r="R174" s="6"/>
      <c r="S174" s="6"/>
      <c r="T174" s="4">
        <v>-20</v>
      </c>
      <c r="U174" s="4"/>
      <c r="V174" s="4"/>
      <c r="W174" s="9">
        <v>1.4</v>
      </c>
      <c r="X174" s="9"/>
      <c r="Y174" s="9"/>
      <c r="Z174" s="9"/>
      <c r="AA174" s="9"/>
      <c r="AB174" s="9"/>
      <c r="AC174" s="449" t="str">
        <f t="shared" si="26"/>
        <v>PH</v>
      </c>
      <c r="AD174" s="449"/>
      <c r="AE174" s="449"/>
      <c r="AF174" s="4"/>
      <c r="AG174" s="83"/>
      <c r="AH174" s="4"/>
      <c r="AI174" s="4"/>
      <c r="AJ174" s="449"/>
      <c r="AK174" s="449"/>
      <c r="AL174" s="449" t="s">
        <v>252</v>
      </c>
      <c r="AM174" s="449" t="s">
        <v>126</v>
      </c>
      <c r="AN174" s="10">
        <v>5.5</v>
      </c>
      <c r="AO174" s="9"/>
      <c r="AP174" s="9"/>
      <c r="AQ174" s="9"/>
      <c r="AR174" s="9"/>
      <c r="AS174" s="9"/>
      <c r="AT174" s="9">
        <f>+ab($T$174,$T$172,$T$176,$G$173,$G$175,-1*$F$174,1200)</f>
        <v>-10.205298679732042</v>
      </c>
      <c r="AU174" s="428"/>
      <c r="AV174" s="428"/>
      <c r="AW174" s="449" t="str">
        <f>IF(C174&gt;0,VLOOKUP(C174,Foundation_Calc!$A$2:$C$13,3,1),
IF(J174&gt;0,VLOOKUP(J174,Foundation_Calc!$A$2:$C$13,3,1),""))</f>
        <v>Multi Soil</v>
      </c>
      <c r="AX174" s="449" t="str">
        <f>IF(C174&gt;0,VLOOKUP(C174,Foundation_Calc!$E$2:$G$33,3,1),
IF(J174&gt;0,VLOOKUP(J174,Foundation_Calc!$E$2:$G$33,3,1),""))</f>
        <v>PT</v>
      </c>
      <c r="AY174" s="10">
        <f>IF(L174="","",
IF(AX174="PT",VLOOKUP(L174,Foundation_Calc!$K$79:$R$113,VLOOKUP(AW174,Foundation_Calc!$I$2:$J$8,2,FALSE),0),
IF(AX174="K",VLOOKUP(L174,Foundation_Calc!$K$117:$R$151,VLOOKUP(AW174,Foundation_Calc!$I$2:$J$8,2,FALSE),0),"")))</f>
        <v>5.6</v>
      </c>
      <c r="AZ174" s="10" t="str">
        <f>IF(K174="","",
IF(AX174="PT",VLOOKUP(K174,Foundation_Calc!$K$79:$R$113,VLOOKUP(AW174,Foundation_Calc!$I$2:$J$8,2,FALSE),0),
IF(AX174="K",VLOOKUP(K174,Foundation_Calc!$K$117:$R$151,VLOOKUP(AW174,Foundation_Calc!$I$2:$J$8,2,FALSE),0),"")))</f>
        <v/>
      </c>
      <c r="BA174" s="495" t="str">
        <f t="shared" si="27"/>
        <v>ü</v>
      </c>
      <c r="BB174" s="495" t="str">
        <f t="shared" si="28"/>
        <v/>
      </c>
      <c r="BC174" s="495" t="str">
        <f t="shared" si="29"/>
        <v/>
      </c>
      <c r="BD174" s="513" t="str">
        <f>Pole_Calc!A$251</f>
        <v>App.8-V08H-P10.3</v>
      </c>
      <c r="BE174" s="429" t="s">
        <v>118</v>
      </c>
      <c r="BF174" s="289"/>
      <c r="BG174" s="289"/>
      <c r="BH174" s="290"/>
      <c r="BI174" s="289"/>
    </row>
    <row r="175" spans="1:61" ht="16.149999999999999" customHeight="1">
      <c r="A175" s="514"/>
      <c r="B175" s="450"/>
      <c r="C175" s="3"/>
      <c r="D175" s="83"/>
      <c r="E175" s="4"/>
      <c r="F175" s="4"/>
      <c r="G175" s="6">
        <v>40</v>
      </c>
      <c r="H175" s="449"/>
      <c r="I175" s="4" t="s">
        <v>195</v>
      </c>
      <c r="J175" s="3"/>
      <c r="K175" s="449"/>
      <c r="L175" s="449"/>
      <c r="M175" s="449" t="str">
        <f>IF(L175="","",
IF(AX175="PT",VLOOKUP(L175,Foundation_Calc!$V$79:$X$113,VLOOKUP(AX175,Foundation_Calc!$I$10:$J$13,2,FALSE),0),
IF(AX175="K",VLOOKUP(L175,Foundation_Calc!$V$117:$X$151,VLOOKUP(AX175,Foundation_Calc!$I$10:$J$13,2,FALSE),0),"")))</f>
        <v/>
      </c>
      <c r="N175" s="449"/>
      <c r="O175" s="449"/>
      <c r="P175" s="449"/>
      <c r="Q175" s="4"/>
      <c r="R175" s="6"/>
      <c r="S175" s="6"/>
      <c r="T175" s="4"/>
      <c r="U175" s="4"/>
      <c r="V175" s="4"/>
      <c r="W175" s="9"/>
      <c r="X175" s="9"/>
      <c r="Y175" s="9"/>
      <c r="Z175" s="9"/>
      <c r="AA175" s="9"/>
      <c r="AB175" s="9"/>
      <c r="AC175" s="449" t="str">
        <f t="shared" si="26"/>
        <v/>
      </c>
      <c r="AD175" s="449"/>
      <c r="AE175" s="449"/>
      <c r="AF175" s="4"/>
      <c r="AG175" s="83"/>
      <c r="AH175" s="4"/>
      <c r="AI175" s="4"/>
      <c r="AJ175" s="449"/>
      <c r="AK175" s="449"/>
      <c r="AL175" s="449"/>
      <c r="AM175" s="449"/>
      <c r="AN175" s="10"/>
      <c r="AO175" s="9"/>
      <c r="AP175" s="9"/>
      <c r="AQ175" s="9">
        <f>+FL_2($T$176,$T$174,$G$175,1200,9.28,-1*$F$176)</f>
        <v>-0.32751056369746329</v>
      </c>
      <c r="AR175" s="9"/>
      <c r="AS175" s="9"/>
      <c r="AT175" s="9"/>
      <c r="AU175" s="428"/>
      <c r="AV175" s="428"/>
      <c r="AW175" s="449" t="str">
        <f>IF(C175&gt;0,VLOOKUP(C175,Foundation_Calc!$A$2:$C$13,3,1),
IF(J175&gt;0,VLOOKUP(J175,Foundation_Calc!$A$2:$C$13,3,1),""))</f>
        <v/>
      </c>
      <c r="AX175" s="449" t="str">
        <f>IF(C175&gt;0,VLOOKUP(C175,Foundation_Calc!$E$2:$G$33,3,1),
IF(J175&gt;0,VLOOKUP(J175,Foundation_Calc!$E$2:$G$33,3,1),""))</f>
        <v/>
      </c>
      <c r="AY175" s="10" t="str">
        <f>IF(L175="","",
IF(AX175="PT",VLOOKUP(L175,Foundation_Calc!$K$79:$R$113,VLOOKUP(AW175,Foundation_Calc!$I$2:$J$8,2,FALSE),0),
IF(AX175="K",VLOOKUP(L175,Foundation_Calc!$K$117:$R$151,VLOOKUP(AW175,Foundation_Calc!$I$2:$J$8,2,FALSE),0),"")))</f>
        <v/>
      </c>
      <c r="AZ175" s="10" t="str">
        <f>IF(K175="","",
IF(AX175="PT",VLOOKUP(K175,Foundation_Calc!$K$79:$R$113,VLOOKUP(AW175,Foundation_Calc!$I$2:$J$8,2,FALSE),0),
IF(AX175="K",VLOOKUP(K175,Foundation_Calc!$K$117:$R$151,VLOOKUP(AW175,Foundation_Calc!$I$2:$J$8,2,FALSE),0),"")))</f>
        <v/>
      </c>
      <c r="BA175" s="495" t="str">
        <f t="shared" si="27"/>
        <v/>
      </c>
      <c r="BB175" s="495" t="str">
        <f t="shared" si="28"/>
        <v/>
      </c>
      <c r="BC175" s="495" t="str">
        <f t="shared" si="29"/>
        <v/>
      </c>
      <c r="BD175" s="513" t="str">
        <f>IF(AND(L175="",H175=""),"",
IF(H175="",Pole_Calc!A$9,
IF(H175="MP",Pole_Calc!A$10,
IF(H175="AnMP",Pole_Calc!A$11,
IF(H175="A",Pole_Calc!A$12,
IF(H175="S/A",Pole_Calc!A$13,
IF(H175="A/S",Pole_Calc!A$14,"Poner a mano")))))))</f>
        <v/>
      </c>
      <c r="BE175" s="429" t="s">
        <v>118</v>
      </c>
      <c r="BF175" s="290"/>
      <c r="BG175" s="290"/>
      <c r="BH175" s="290"/>
      <c r="BI175" s="290"/>
    </row>
    <row r="176" spans="1:61" ht="16.149999999999999" customHeight="1">
      <c r="A176" s="514"/>
      <c r="B176" s="450" t="s">
        <v>264</v>
      </c>
      <c r="C176" s="3">
        <f>+$C$174+$G$175</f>
        <v>34536.65</v>
      </c>
      <c r="D176" s="83"/>
      <c r="E176" s="4"/>
      <c r="F176" s="4">
        <f>(424^2)/(C176-34459.08)</f>
        <v>2317.5970091530316</v>
      </c>
      <c r="G176" s="6"/>
      <c r="H176" s="449" t="s">
        <v>131</v>
      </c>
      <c r="I176" s="4"/>
      <c r="J176" s="3"/>
      <c r="K176" s="449"/>
      <c r="L176" s="449" t="s">
        <v>250</v>
      </c>
      <c r="M176" s="449" t="str">
        <f>IF(L176="","",
IF(AX176="PT",VLOOKUP(L176,Foundation_Calc!$V$79:$X$113,VLOOKUP(AX176,Foundation_Calc!$I$10:$J$13,2,FALSE),0),
IF(AX176="K",VLOOKUP(L176,Foundation_Calc!$V$117:$X$151,VLOOKUP(AX176,Foundation_Calc!$I$10:$J$13,2,FALSE),0),"")))</f>
        <v>2C4R</v>
      </c>
      <c r="N176" s="449" t="s">
        <v>124</v>
      </c>
      <c r="O176" s="449" t="s">
        <v>133</v>
      </c>
      <c r="P176" s="449"/>
      <c r="Q176" s="4"/>
      <c r="R176" s="6"/>
      <c r="S176" s="6"/>
      <c r="T176" s="4">
        <v>-30</v>
      </c>
      <c r="U176" s="4">
        <v>50</v>
      </c>
      <c r="V176" s="4"/>
      <c r="W176" s="9">
        <v>2</v>
      </c>
      <c r="X176" s="9">
        <v>1.4</v>
      </c>
      <c r="Y176" s="9"/>
      <c r="Z176" s="9"/>
      <c r="AA176" s="9">
        <v>0.6</v>
      </c>
      <c r="AB176" s="9"/>
      <c r="AC176" s="449" t="str">
        <f t="shared" si="26"/>
        <v>PH</v>
      </c>
      <c r="AD176" s="449"/>
      <c r="AE176" s="449"/>
      <c r="AF176" s="4"/>
      <c r="AG176" s="83"/>
      <c r="AH176" s="4"/>
      <c r="AI176" s="4"/>
      <c r="AJ176" s="449"/>
      <c r="AK176" s="449"/>
      <c r="AL176" s="449" t="s">
        <v>252</v>
      </c>
      <c r="AM176" s="449" t="s">
        <v>126</v>
      </c>
      <c r="AN176" s="10">
        <v>5.5</v>
      </c>
      <c r="AO176" s="9"/>
      <c r="AP176" s="9"/>
      <c r="AQ176" s="9"/>
      <c r="AR176" s="9"/>
      <c r="AS176" s="9"/>
      <c r="AT176" s="9">
        <f>+ab($T$176,$T$174,$T$178,$G$175,$G$177,-1*$F$176,1200)</f>
        <v>-10.164334966277471</v>
      </c>
      <c r="AU176" s="428"/>
      <c r="AV176" s="428"/>
      <c r="AW176" s="449" t="str">
        <f>IF(C176&gt;0,VLOOKUP(C176,Foundation_Calc!$A$2:$C$13,3,1),
IF(J176&gt;0,VLOOKUP(J176,Foundation_Calc!$A$2:$C$13,3,1),""))</f>
        <v>Multi Soil</v>
      </c>
      <c r="AX176" s="449" t="str">
        <f>IF(C176&gt;0,VLOOKUP(C176,Foundation_Calc!$E$2:$G$33,3,1),
IF(J176&gt;0,VLOOKUP(J176,Foundation_Calc!$E$2:$G$33,3,1),""))</f>
        <v>PT</v>
      </c>
      <c r="AY176" s="10">
        <f>IF(L176="","",
IF(AX176="PT",VLOOKUP(L176,Foundation_Calc!$K$79:$R$113,VLOOKUP(AW176,Foundation_Calc!$I$2:$J$8,2,FALSE),0),
IF(AX176="K",VLOOKUP(L176,Foundation_Calc!$K$117:$R$151,VLOOKUP(AW176,Foundation_Calc!$I$2:$J$8,2,FALSE),0),"")))</f>
        <v>5.6</v>
      </c>
      <c r="AZ176" s="10" t="str">
        <f>IF(K176="","",
IF(AX176="PT",VLOOKUP(K176,Foundation_Calc!$K$79:$R$113,VLOOKUP(AW176,Foundation_Calc!$I$2:$J$8,2,FALSE),0),
IF(AX176="K",VLOOKUP(K176,Foundation_Calc!$K$117:$R$151,VLOOKUP(AW176,Foundation_Calc!$I$2:$J$8,2,FALSE),0),"")))</f>
        <v/>
      </c>
      <c r="BA176" s="495" t="str">
        <f t="shared" si="27"/>
        <v>ü</v>
      </c>
      <c r="BB176" s="495" t="str">
        <f t="shared" si="28"/>
        <v/>
      </c>
      <c r="BC176" s="495" t="str">
        <f t="shared" si="29"/>
        <v/>
      </c>
      <c r="BD176" s="513" t="str">
        <f>Pole_Calc!A$251</f>
        <v>App.8-V08H-P10.3</v>
      </c>
      <c r="BE176" s="429" t="s">
        <v>118</v>
      </c>
      <c r="BF176" s="289"/>
      <c r="BG176" s="289"/>
      <c r="BH176" s="290"/>
      <c r="BI176" s="289"/>
    </row>
    <row r="177" spans="1:61" ht="16.149999999999999" customHeight="1">
      <c r="A177" s="514"/>
      <c r="B177" s="450"/>
      <c r="C177" s="3"/>
      <c r="D177" s="83"/>
      <c r="E177" s="4"/>
      <c r="F177" s="4"/>
      <c r="G177" s="6">
        <v>35</v>
      </c>
      <c r="H177" s="449"/>
      <c r="I177" s="4" t="s">
        <v>195</v>
      </c>
      <c r="J177" s="3"/>
      <c r="K177" s="449"/>
      <c r="L177" s="449"/>
      <c r="M177" s="449" t="str">
        <f>IF(L177="","",
IF(AX177="PT",VLOOKUP(L177,Foundation_Calc!$V$79:$X$113,VLOOKUP(AX177,Foundation_Calc!$I$10:$J$13,2,FALSE),0),
IF(AX177="K",VLOOKUP(L177,Foundation_Calc!$V$117:$X$151,VLOOKUP(AX177,Foundation_Calc!$I$10:$J$13,2,FALSE),0),"")))</f>
        <v/>
      </c>
      <c r="N177" s="449"/>
      <c r="O177" s="575"/>
      <c r="P177" s="449"/>
      <c r="Q177" s="4"/>
      <c r="R177" s="6"/>
      <c r="S177" s="6"/>
      <c r="T177" s="4"/>
      <c r="U177" s="4"/>
      <c r="V177" s="4"/>
      <c r="W177" s="9"/>
      <c r="X177" s="9"/>
      <c r="Y177" s="9"/>
      <c r="Z177" s="9"/>
      <c r="AA177" s="9"/>
      <c r="AB177" s="9"/>
      <c r="AC177" s="449" t="str">
        <f t="shared" si="26"/>
        <v/>
      </c>
      <c r="AD177" s="449"/>
      <c r="AE177" s="449"/>
      <c r="AF177" s="4"/>
      <c r="AG177" s="83"/>
      <c r="AH177" s="4"/>
      <c r="AI177" s="4"/>
      <c r="AJ177" s="449"/>
      <c r="AK177" s="449"/>
      <c r="AL177" s="449"/>
      <c r="AM177" s="449"/>
      <c r="AN177" s="10"/>
      <c r="AO177" s="9"/>
      <c r="AP177" s="9"/>
      <c r="AQ177" s="9">
        <f>+FL_2($T$178,$T$176,$G$177,1200,9.28,-1*$F$178)</f>
        <v>-0.32253179477518157</v>
      </c>
      <c r="AR177" s="9"/>
      <c r="AS177" s="9"/>
      <c r="AT177" s="9"/>
      <c r="AU177" s="428"/>
      <c r="AV177" s="428"/>
      <c r="AW177" s="449" t="str">
        <f>IF(C177&gt;0,VLOOKUP(C177,Foundation_Calc!$A$2:$C$13,3,1),
IF(J177&gt;0,VLOOKUP(J177,Foundation_Calc!$A$2:$C$13,3,1),""))</f>
        <v/>
      </c>
      <c r="AX177" s="449" t="str">
        <f>IF(C177&gt;0,VLOOKUP(C177,Foundation_Calc!$E$2:$G$33,3,1),
IF(J177&gt;0,VLOOKUP(J177,Foundation_Calc!$E$2:$G$33,3,1),""))</f>
        <v/>
      </c>
      <c r="AY177" s="10" t="str">
        <f>IF(L177="","",
IF(AX177="PT",VLOOKUP(L177,Foundation_Calc!$K$79:$R$113,VLOOKUP(AW177,Foundation_Calc!$I$2:$J$8,2,FALSE),0),
IF(AX177="K",VLOOKUP(L177,Foundation_Calc!$K$117:$R$151,VLOOKUP(AW177,Foundation_Calc!$I$2:$J$8,2,FALSE),0),"")))</f>
        <v/>
      </c>
      <c r="AZ177" s="10" t="str">
        <f>IF(K177="","",
IF(AX177="PT",VLOOKUP(K177,Foundation_Calc!$K$79:$R$113,VLOOKUP(AW177,Foundation_Calc!$I$2:$J$8,2,FALSE),0),
IF(AX177="K",VLOOKUP(K177,Foundation_Calc!$K$117:$R$151,VLOOKUP(AW177,Foundation_Calc!$I$2:$J$8,2,FALSE),0),"")))</f>
        <v/>
      </c>
      <c r="BA177" s="495" t="str">
        <f t="shared" si="27"/>
        <v/>
      </c>
      <c r="BB177" s="495" t="str">
        <f t="shared" si="28"/>
        <v/>
      </c>
      <c r="BC177" s="495" t="str">
        <f t="shared" si="29"/>
        <v/>
      </c>
      <c r="BD177" s="513" t="str">
        <f>IF(AND(L177="",H177=""),"",
IF(H177="",Pole_Calc!A$9,
IF(H177="MP",Pole_Calc!A$10,
IF(H177="AnMP",Pole_Calc!A$11,
IF(H177="A",Pole_Calc!A$12,
IF(H177="S/A",Pole_Calc!A$13,
IF(H177="A/S",Pole_Calc!A$14,"Poner a mano")))))))</f>
        <v/>
      </c>
      <c r="BE177" s="429" t="s">
        <v>118</v>
      </c>
      <c r="BF177" s="290"/>
      <c r="BG177" s="290"/>
      <c r="BH177" s="290"/>
      <c r="BI177" s="290"/>
    </row>
    <row r="178" spans="1:61" ht="16.149999999999999" customHeight="1">
      <c r="A178" s="514"/>
      <c r="B178" s="450" t="s">
        <v>265</v>
      </c>
      <c r="C178" s="3">
        <f>+$C$176+$G$177</f>
        <v>34571.65</v>
      </c>
      <c r="D178" s="83"/>
      <c r="E178" s="4"/>
      <c r="F178" s="4">
        <f>(424^2)/(C178-34459.08)</f>
        <v>1597.0151905481075</v>
      </c>
      <c r="G178" s="6"/>
      <c r="H178" s="449" t="s">
        <v>266</v>
      </c>
      <c r="I178" s="4" t="s">
        <v>122</v>
      </c>
      <c r="J178" s="3"/>
      <c r="K178" s="449"/>
      <c r="L178" s="449" t="s">
        <v>247</v>
      </c>
      <c r="M178" s="449" t="str">
        <f>IF(L178="","",
IF(AX178="PT",VLOOKUP(L178,Foundation_Calc!$V$79:$X$113,VLOOKUP(AX178,Foundation_Calc!$I$10:$J$13,2,FALSE),0),
IF(AX178="K",VLOOKUP(L178,Foundation_Calc!$V$117:$X$151,VLOOKUP(AX178,Foundation_Calc!$I$10:$J$13,2,FALSE),0),"")))</f>
        <v>C12R</v>
      </c>
      <c r="N178" s="449" t="s">
        <v>124</v>
      </c>
      <c r="O178" s="449"/>
      <c r="P178" s="449"/>
      <c r="Q178" s="4"/>
      <c r="R178" s="6"/>
      <c r="S178" s="6"/>
      <c r="T178" s="4">
        <v>-30</v>
      </c>
      <c r="U178" s="4"/>
      <c r="V178" s="4"/>
      <c r="W178" s="9">
        <v>1.4</v>
      </c>
      <c r="X178" s="9"/>
      <c r="Y178" s="9"/>
      <c r="Z178" s="9"/>
      <c r="AA178" s="9"/>
      <c r="AB178" s="9"/>
      <c r="AC178" s="449" t="str">
        <f t="shared" si="26"/>
        <v>PH</v>
      </c>
      <c r="AD178" s="449"/>
      <c r="AE178" s="449"/>
      <c r="AF178" s="4"/>
      <c r="AG178" s="83"/>
      <c r="AH178" s="4"/>
      <c r="AI178" s="4"/>
      <c r="AJ178" s="449"/>
      <c r="AK178" s="449"/>
      <c r="AL178" s="449" t="s">
        <v>252</v>
      </c>
      <c r="AM178" s="449" t="s">
        <v>126</v>
      </c>
      <c r="AN178" s="10">
        <v>5.5</v>
      </c>
      <c r="AO178" s="9"/>
      <c r="AP178" s="9"/>
      <c r="AQ178" s="9"/>
      <c r="AR178" s="9"/>
      <c r="AS178" s="9"/>
      <c r="AT178" s="9">
        <f>+ab($T$178,$T$176,$T$180,$G$177,$G$179,-1*$F$178,1200)</f>
        <v>-9.3456263312755699</v>
      </c>
      <c r="AU178" s="428"/>
      <c r="AV178" s="428"/>
      <c r="AW178" s="449" t="str">
        <f>IF(C178&gt;0,VLOOKUP(C178,Foundation_Calc!$A$2:$C$13,3,1),
IF(J178&gt;0,VLOOKUP(J178,Foundation_Calc!$A$2:$C$13,3,1),""))</f>
        <v>Multi Soil</v>
      </c>
      <c r="AX178" s="449" t="str">
        <f>IF(C178&gt;0,VLOOKUP(C178,Foundation_Calc!$E$2:$G$33,3,1),
IF(J178&gt;0,VLOOKUP(J178,Foundation_Calc!$E$2:$G$33,3,1),""))</f>
        <v>PT</v>
      </c>
      <c r="AY178" s="10">
        <f>IF(L178="","",
IF(AX178="PT",VLOOKUP(L178,Foundation_Calc!$K$79:$R$113,VLOOKUP(AW178,Foundation_Calc!$I$2:$J$8,2,FALSE),0),
IF(AX178="K",VLOOKUP(L178,Foundation_Calc!$K$117:$R$151,VLOOKUP(AW178,Foundation_Calc!$I$2:$J$8,2,FALSE),0),"")))</f>
        <v>6.2</v>
      </c>
      <c r="AZ178" s="10" t="str">
        <f>IF(K178="","",
IF(AX178="PT",VLOOKUP(K178,Foundation_Calc!$K$79:$R$113,VLOOKUP(AW178,Foundation_Calc!$I$2:$J$8,2,FALSE),0),
IF(AX178="K",VLOOKUP(K178,Foundation_Calc!$K$117:$R$151,VLOOKUP(AW178,Foundation_Calc!$I$2:$J$8,2,FALSE),0),"")))</f>
        <v/>
      </c>
      <c r="BA178" s="495" t="str">
        <f t="shared" si="27"/>
        <v>ü</v>
      </c>
      <c r="BB178" s="495" t="str">
        <f t="shared" si="28"/>
        <v/>
      </c>
      <c r="BC178" s="495" t="str">
        <f t="shared" si="29"/>
        <v/>
      </c>
      <c r="BD178" s="513" t="str">
        <f>Pole_Calc!A$251</f>
        <v>App.8-V08H-P10.3</v>
      </c>
      <c r="BE178" s="429" t="s">
        <v>118</v>
      </c>
      <c r="BF178" s="289"/>
      <c r="BG178" s="289"/>
      <c r="BH178" s="290"/>
      <c r="BI178" s="289"/>
    </row>
    <row r="179" spans="1:61" ht="16.149999999999999" customHeight="1">
      <c r="A179" s="514"/>
      <c r="B179" s="450"/>
      <c r="C179" s="3"/>
      <c r="D179" s="83"/>
      <c r="E179" s="4"/>
      <c r="F179" s="4"/>
      <c r="G179" s="6">
        <v>30</v>
      </c>
      <c r="H179" s="449"/>
      <c r="I179" s="4">
        <f>SUM(G163:G179)</f>
        <v>371.3</v>
      </c>
      <c r="J179" s="3"/>
      <c r="K179" s="449"/>
      <c r="L179" s="449"/>
      <c r="M179" s="449" t="str">
        <f>IF(L179="","",
IF(AX179="PT",VLOOKUP(L179,Foundation_Calc!$V$79:$X$113,VLOOKUP(AX179,Foundation_Calc!$I$10:$J$13,2,FALSE),0),
IF(AX179="K",VLOOKUP(L179,Foundation_Calc!$V$117:$X$151,VLOOKUP(AX179,Foundation_Calc!$I$10:$J$13,2,FALSE),0),"")))</f>
        <v/>
      </c>
      <c r="N179" s="449"/>
      <c r="O179" s="449"/>
      <c r="P179" s="575"/>
      <c r="Q179" s="4"/>
      <c r="R179" s="6"/>
      <c r="S179" s="6"/>
      <c r="T179" s="4"/>
      <c r="U179" s="4"/>
      <c r="V179" s="4"/>
      <c r="W179" s="9"/>
      <c r="X179" s="9"/>
      <c r="Y179" s="9"/>
      <c r="Z179" s="9"/>
      <c r="AA179" s="9"/>
      <c r="AB179" s="9"/>
      <c r="AC179" s="449" t="str">
        <f t="shared" si="26"/>
        <v/>
      </c>
      <c r="AD179" s="449"/>
      <c r="AE179" s="449"/>
      <c r="AF179" s="4"/>
      <c r="AG179" s="83"/>
      <c r="AH179" s="4"/>
      <c r="AI179" s="4"/>
      <c r="AJ179" s="449"/>
      <c r="AK179" s="449"/>
      <c r="AL179" s="449"/>
      <c r="AM179" s="449"/>
      <c r="AN179" s="10"/>
      <c r="AO179" s="9"/>
      <c r="AP179" s="9"/>
      <c r="AQ179" s="9">
        <f>+FL_2($T$180,$T$178,$G$179,1200,9.28,-1*$F$180)</f>
        <v>-0.30000000000000004</v>
      </c>
      <c r="AR179" s="9"/>
      <c r="AS179" s="9"/>
      <c r="AT179" s="9"/>
      <c r="AU179" s="428"/>
      <c r="AV179" s="428"/>
      <c r="AW179" s="449" t="str">
        <f>IF(C179&gt;0,VLOOKUP(C179,Foundation_Calc!$A$2:$C$13,3,1),
IF(J179&gt;0,VLOOKUP(J179,Foundation_Calc!$A$2:$C$13,3,1),""))</f>
        <v/>
      </c>
      <c r="AX179" s="449" t="str">
        <f>IF(C179&gt;0,VLOOKUP(C179,Foundation_Calc!$E$2:$G$33,3,1),
IF(J179&gt;0,VLOOKUP(J179,Foundation_Calc!$E$2:$G$33,3,1),""))</f>
        <v/>
      </c>
      <c r="AY179" s="10" t="str">
        <f>IF(L179="","",
IF(AX179="PT",VLOOKUP(L179,Foundation_Calc!$K$79:$R$113,VLOOKUP(AW179,Foundation_Calc!$I$2:$J$8,2,FALSE),0),
IF(AX179="K",VLOOKUP(L179,Foundation_Calc!$K$117:$R$151,VLOOKUP(AW179,Foundation_Calc!$I$2:$J$8,2,FALSE),0),"")))</f>
        <v/>
      </c>
      <c r="AZ179" s="10" t="str">
        <f>IF(K179="","",
IF(AX179="PT",VLOOKUP(K179,Foundation_Calc!$K$79:$R$113,VLOOKUP(AW179,Foundation_Calc!$I$2:$J$8,2,FALSE),0),
IF(AX179="K",VLOOKUP(K179,Foundation_Calc!$K$117:$R$151,VLOOKUP(AW179,Foundation_Calc!$I$2:$J$8,2,FALSE),0),"")))</f>
        <v/>
      </c>
      <c r="BA179" s="495" t="str">
        <f t="shared" si="27"/>
        <v/>
      </c>
      <c r="BB179" s="495" t="str">
        <f t="shared" si="28"/>
        <v/>
      </c>
      <c r="BC179" s="495" t="str">
        <f t="shared" si="29"/>
        <v/>
      </c>
      <c r="BD179" s="513" t="str">
        <f>IF(AND(L179="",H179=""),"",
IF(H179="",Pole_Calc!A$9,
IF(H179="MP",Pole_Calc!A$10,
IF(H179="AnMP",Pole_Calc!A$11,
IF(H179="A",Pole_Calc!A$12,
IF(H179="S/A",Pole_Calc!A$13,
IF(H179="A/S",Pole_Calc!A$14,"Poner a mano")))))))</f>
        <v/>
      </c>
      <c r="BE179" s="429" t="s">
        <v>118</v>
      </c>
      <c r="BF179" s="290"/>
      <c r="BG179" s="290"/>
      <c r="BH179" s="290"/>
      <c r="BI179" s="290"/>
    </row>
    <row r="180" spans="1:61" ht="16.149999999999999" customHeight="1">
      <c r="A180" s="514"/>
      <c r="B180" s="450" t="s">
        <v>267</v>
      </c>
      <c r="C180" s="3">
        <f>+$C$178+$G$179</f>
        <v>34601.65</v>
      </c>
      <c r="D180" s="83"/>
      <c r="E180" s="4"/>
      <c r="F180" s="4">
        <f>(424^2)/(C180-34459.08)</f>
        <v>1260.9665427509319</v>
      </c>
      <c r="G180" s="6"/>
      <c r="H180" s="449" t="s">
        <v>171</v>
      </c>
      <c r="I180" s="4"/>
      <c r="J180" s="3"/>
      <c r="K180" s="449"/>
      <c r="L180" s="449" t="s">
        <v>268</v>
      </c>
      <c r="M180" s="449" t="str">
        <f>IF(L180="","",
IF(AX180="PT",VLOOKUP(L180,Foundation_Calc!$V$79:$X$113,VLOOKUP(AX180,Foundation_Calc!$I$10:$J$13,2,FALSE),0),
IF(AX180="K",VLOOKUP(L180,Foundation_Calc!$V$117:$X$151,VLOOKUP(AX180,Foundation_Calc!$I$10:$J$13,2,FALSE),0),"")))</f>
        <v>C7R</v>
      </c>
      <c r="N180" s="449" t="s">
        <v>124</v>
      </c>
      <c r="O180" s="449"/>
      <c r="P180" s="449"/>
      <c r="Q180" s="4"/>
      <c r="R180" s="6"/>
      <c r="S180" s="6"/>
      <c r="T180" s="4">
        <v>-30</v>
      </c>
      <c r="U180" s="4"/>
      <c r="V180" s="4"/>
      <c r="W180" s="9">
        <v>1.4</v>
      </c>
      <c r="X180" s="9"/>
      <c r="Y180" s="9"/>
      <c r="Z180" s="9"/>
      <c r="AA180" s="9"/>
      <c r="AB180" s="9"/>
      <c r="AC180" s="449" t="str">
        <f t="shared" si="26"/>
        <v>PH</v>
      </c>
      <c r="AD180" s="449"/>
      <c r="AE180" s="449"/>
      <c r="AF180" s="4"/>
      <c r="AG180" s="83"/>
      <c r="AH180" s="4"/>
      <c r="AI180" s="4"/>
      <c r="AJ180" s="449"/>
      <c r="AK180" s="449"/>
      <c r="AL180" s="449" t="s">
        <v>269</v>
      </c>
      <c r="AM180" s="449" t="s">
        <v>126</v>
      </c>
      <c r="AN180" s="10">
        <v>5.5</v>
      </c>
      <c r="AO180" s="9"/>
      <c r="AP180" s="9"/>
      <c r="AQ180" s="9"/>
      <c r="AR180" s="9"/>
      <c r="AS180" s="9"/>
      <c r="AT180" s="9">
        <f>+ab($T$180,$T$178,$T$182,$G$179,$G$181,-1*$F$180,1200)</f>
        <v>-8.8736591027376726</v>
      </c>
      <c r="AU180" s="428"/>
      <c r="AV180" s="428"/>
      <c r="AW180" s="449" t="str">
        <f>IF(C180&gt;0,VLOOKUP(C180,Foundation_Calc!$A$2:$C$13,3,1),
IF(J180&gt;0,VLOOKUP(J180,Foundation_Calc!$A$2:$C$13,3,1),""))</f>
        <v>Multi Soil</v>
      </c>
      <c r="AX180" s="449" t="str">
        <f>IF(C180&gt;0,VLOOKUP(C180,Foundation_Calc!$E$2:$G$33,3,1),
IF(J180&gt;0,VLOOKUP(J180,Foundation_Calc!$E$2:$G$33,3,1),""))</f>
        <v>PT</v>
      </c>
      <c r="AY180" s="10">
        <f>IF(L180="","",
IF(AX180="PT",VLOOKUP(L180,Foundation_Calc!$K$79:$R$113,VLOOKUP(AW180,Foundation_Calc!$I$2:$J$8,2,FALSE),0),
IF(AX180="K",VLOOKUP(L180,Foundation_Calc!$K$117:$R$151,VLOOKUP(AW180,Foundation_Calc!$I$2:$J$8,2,FALSE),0),"")))</f>
        <v>4</v>
      </c>
      <c r="AZ180" s="10" t="str">
        <f>IF(K180="","",
IF(AX180="PT",VLOOKUP(K180,Foundation_Calc!$K$79:$R$113,VLOOKUP(AW180,Foundation_Calc!$I$2:$J$8,2,FALSE),0),
IF(AX180="K",VLOOKUP(K180,Foundation_Calc!$K$117:$R$151,VLOOKUP(AW180,Foundation_Calc!$I$2:$J$8,2,FALSE),0),"")))</f>
        <v/>
      </c>
      <c r="BA180" s="495" t="str">
        <f t="shared" si="27"/>
        <v>ü</v>
      </c>
      <c r="BB180" s="495" t="str">
        <f t="shared" si="28"/>
        <v/>
      </c>
      <c r="BC180" s="495" t="str">
        <f t="shared" si="29"/>
        <v/>
      </c>
      <c r="BD180" s="513" t="str">
        <f>Pole_Calc!A$251</f>
        <v>App.8-V08H-P10.3</v>
      </c>
      <c r="BE180" s="429" t="s">
        <v>118</v>
      </c>
      <c r="BF180" s="289"/>
      <c r="BG180" s="289"/>
      <c r="BH180" s="290"/>
      <c r="BI180" s="289"/>
    </row>
    <row r="181" spans="1:61" ht="16.149999999999999" customHeight="1">
      <c r="A181" s="514"/>
      <c r="B181" s="450"/>
      <c r="C181" s="3"/>
      <c r="D181" s="83"/>
      <c r="E181" s="4"/>
      <c r="F181" s="4"/>
      <c r="G181" s="6">
        <v>24.1</v>
      </c>
      <c r="H181" s="449"/>
      <c r="I181" s="4">
        <f>SUM(G181:G197)</f>
        <v>379.7</v>
      </c>
      <c r="J181" s="3"/>
      <c r="K181" s="449"/>
      <c r="L181" s="449"/>
      <c r="M181" s="449" t="str">
        <f>IF(L181="","",
IF(AX181="PT",VLOOKUP(L181,Foundation_Calc!$V$79:$X$113,VLOOKUP(AX181,Foundation_Calc!$I$10:$J$13,2,FALSE),0),
IF(AX181="K",VLOOKUP(L181,Foundation_Calc!$V$117:$X$151,VLOOKUP(AX181,Foundation_Calc!$I$10:$J$13,2,FALSE),0),"")))</f>
        <v/>
      </c>
      <c r="N181" s="575"/>
      <c r="O181" s="449"/>
      <c r="P181" s="449"/>
      <c r="Q181" s="4"/>
      <c r="R181" s="6"/>
      <c r="S181" s="6"/>
      <c r="T181" s="4"/>
      <c r="U181" s="4"/>
      <c r="V181" s="4"/>
      <c r="W181" s="9"/>
      <c r="X181" s="9"/>
      <c r="Y181" s="9"/>
      <c r="Z181" s="9"/>
      <c r="AA181" s="9"/>
      <c r="AB181" s="9"/>
      <c r="AC181" s="449" t="str">
        <f t="shared" si="26"/>
        <v/>
      </c>
      <c r="AD181" s="449"/>
      <c r="AE181" s="449"/>
      <c r="AF181" s="4"/>
      <c r="AG181" s="83"/>
      <c r="AH181" s="4"/>
      <c r="AI181" s="4"/>
      <c r="AJ181" s="449"/>
      <c r="AK181" s="449"/>
      <c r="AL181" s="449"/>
      <c r="AM181" s="449"/>
      <c r="AN181" s="10"/>
      <c r="AO181" s="9"/>
      <c r="AP181" s="9"/>
      <c r="AQ181" s="9">
        <f>+FL_2($T$182,$T$180,$G$181,1200,9.28,-1*$F$182)</f>
        <v>-0.3</v>
      </c>
      <c r="AR181" s="9"/>
      <c r="AS181" s="9"/>
      <c r="AT181" s="9"/>
      <c r="AU181" s="428"/>
      <c r="AV181" s="428"/>
      <c r="AW181" s="449" t="str">
        <f>IF(C181&gt;0,VLOOKUP(C181,Foundation_Calc!$A$2:$C$13,3,1),
IF(J181&gt;0,VLOOKUP(J181,Foundation_Calc!$A$2:$C$13,3,1),""))</f>
        <v/>
      </c>
      <c r="AX181" s="449" t="str">
        <f>IF(C181&gt;0,VLOOKUP(C181,Foundation_Calc!$E$2:$G$33,3,1),
IF(J181&gt;0,VLOOKUP(J181,Foundation_Calc!$E$2:$G$33,3,1),""))</f>
        <v/>
      </c>
      <c r="AY181" s="10" t="str">
        <f>IF(L181="","",
IF(AX181="PT",VLOOKUP(L181,Foundation_Calc!$K$79:$R$113,VLOOKUP(AW181,Foundation_Calc!$I$2:$J$8,2,FALSE),0),
IF(AX181="K",VLOOKUP(L181,Foundation_Calc!$K$117:$R$151,VLOOKUP(AW181,Foundation_Calc!$I$2:$J$8,2,FALSE),0),"")))</f>
        <v/>
      </c>
      <c r="AZ181" s="10" t="str">
        <f>IF(K181="","",
IF(AX181="PT",VLOOKUP(K181,Foundation_Calc!$K$79:$R$113,VLOOKUP(AW181,Foundation_Calc!$I$2:$J$8,2,FALSE),0),
IF(AX181="K",VLOOKUP(K181,Foundation_Calc!$K$117:$R$151,VLOOKUP(AW181,Foundation_Calc!$I$2:$J$8,2,FALSE),0),"")))</f>
        <v/>
      </c>
      <c r="BA181" s="495" t="str">
        <f t="shared" si="27"/>
        <v/>
      </c>
      <c r="BB181" s="495" t="str">
        <f t="shared" si="28"/>
        <v/>
      </c>
      <c r="BC181" s="495" t="str">
        <f t="shared" si="29"/>
        <v/>
      </c>
      <c r="BD181" s="513" t="str">
        <f>IF(AND(L181="",H181=""),"",
IF(H181="",Pole_Calc!A$9,
IF(H181="MP",Pole_Calc!A$10,
IF(H181="AnMP",Pole_Calc!A$11,
IF(H181="A",Pole_Calc!A$12,
IF(H181="S/A",Pole_Calc!A$13,
IF(H181="A/S",Pole_Calc!A$14,"Poner a mano")))))))</f>
        <v/>
      </c>
      <c r="BE181" s="429" t="s">
        <v>118</v>
      </c>
      <c r="BF181" s="290"/>
      <c r="BG181" s="290"/>
      <c r="BH181" s="290"/>
      <c r="BI181" s="290"/>
    </row>
    <row r="182" spans="1:61" ht="16.149999999999999" customHeight="1">
      <c r="A182" s="514"/>
      <c r="B182" s="450" t="s">
        <v>270</v>
      </c>
      <c r="C182" s="3">
        <f>+$C$180+$G$181</f>
        <v>34625.75</v>
      </c>
      <c r="D182" s="83"/>
      <c r="E182" s="4"/>
      <c r="F182" s="4">
        <f>IF(C182&gt;0,VLOOKUP(C182,'ALIGNMENT TRACK'!$A$1:$K$81,9,1))</f>
        <v>1200</v>
      </c>
      <c r="G182" s="6"/>
      <c r="H182" s="449" t="s">
        <v>168</v>
      </c>
      <c r="I182" s="4"/>
      <c r="J182" s="3">
        <f>C182+7.5</f>
        <v>34633.25</v>
      </c>
      <c r="K182" s="449" t="s">
        <v>166</v>
      </c>
      <c r="L182" s="449" t="s">
        <v>232</v>
      </c>
      <c r="M182" s="449" t="str">
        <f>IF(L182="","",
IF(AX182="PT",VLOOKUP(L182,Foundation_Calc!$V$79:$X$113,VLOOKUP(AX182,Foundation_Calc!$I$10:$J$13,2,FALSE),0),
IF(AX182="K",VLOOKUP(L182,Foundation_Calc!$V$117:$X$151,VLOOKUP(AX182,Foundation_Calc!$I$10:$J$13,2,FALSE),0),"")))</f>
        <v>C5R</v>
      </c>
      <c r="N182" s="449" t="s">
        <v>124</v>
      </c>
      <c r="O182" s="449"/>
      <c r="P182" s="449"/>
      <c r="Q182" s="4"/>
      <c r="R182" s="6"/>
      <c r="S182" s="6"/>
      <c r="T182" s="4">
        <v>-30</v>
      </c>
      <c r="U182" s="4"/>
      <c r="V182" s="4"/>
      <c r="W182" s="9">
        <v>1.4</v>
      </c>
      <c r="X182" s="9"/>
      <c r="Y182" s="9"/>
      <c r="Z182" s="9"/>
      <c r="AA182" s="9"/>
      <c r="AB182" s="9"/>
      <c r="AC182" s="449" t="str">
        <f t="shared" si="26"/>
        <v>PH</v>
      </c>
      <c r="AD182" s="449"/>
      <c r="AE182" s="449"/>
      <c r="AF182" s="4"/>
      <c r="AG182" s="83"/>
      <c r="AH182" s="4"/>
      <c r="AI182" s="4"/>
      <c r="AJ182" s="449"/>
      <c r="AK182" s="449"/>
      <c r="AL182" s="449" t="s">
        <v>241</v>
      </c>
      <c r="AM182" s="449" t="s">
        <v>126</v>
      </c>
      <c r="AN182" s="10">
        <v>5.5</v>
      </c>
      <c r="AO182" s="9"/>
      <c r="AP182" s="9"/>
      <c r="AQ182" s="9"/>
      <c r="AR182" s="9"/>
      <c r="AS182" s="9"/>
      <c r="AT182" s="9">
        <f>+ab($T$182,$T$180,$T$184,$G$181,$G$183,-1*$F$182,1200)</f>
        <v>-8.4509751882325528</v>
      </c>
      <c r="AU182" s="428"/>
      <c r="AV182" s="428"/>
      <c r="AW182" s="449" t="str">
        <f>IF(C182&gt;0,VLOOKUP(C182,Foundation_Calc!$A$2:$C$13,3,1),
IF(J182&gt;0,VLOOKUP(J182,Foundation_Calc!$A$2:$C$13,3,1),""))</f>
        <v>Multi Soil</v>
      </c>
      <c r="AX182" s="449" t="str">
        <f>IF(C182&gt;0,VLOOKUP(C182,Foundation_Calc!$E$2:$G$33,3,1),
IF(J182&gt;0,VLOOKUP(J182,Foundation_Calc!$E$2:$G$33,3,1),""))</f>
        <v>PT</v>
      </c>
      <c r="AY182" s="10">
        <f>IF(L182="","",
IF(AX182="PT",VLOOKUP(L182,Foundation_Calc!$K$79:$R$113,VLOOKUP(AW182,Foundation_Calc!$I$2:$J$8,2,FALSE),0),
IF(AX182="K",VLOOKUP(L182,Foundation_Calc!$K$117:$R$151,VLOOKUP(AW182,Foundation_Calc!$I$2:$J$8,2,FALSE),0),"")))</f>
        <v>3.5</v>
      </c>
      <c r="AZ182" s="10">
        <f>IF(K182="","",
IF(AX182="PT",VLOOKUP(K182,Foundation_Calc!$K$79:$R$113,VLOOKUP(AW182,Foundation_Calc!$I$2:$J$8,2,FALSE),0),
IF(AX182="K",VLOOKUP(K182,Foundation_Calc!$K$117:$R$151,VLOOKUP(AW182,Foundation_Calc!$I$2:$J$8,2,FALSE),0),"")))</f>
        <v>2.8</v>
      </c>
      <c r="BA182" s="495" t="str">
        <f t="shared" si="27"/>
        <v>ü</v>
      </c>
      <c r="BB182" s="495" t="str">
        <f t="shared" si="28"/>
        <v>ü</v>
      </c>
      <c r="BC182" s="495" t="str">
        <f t="shared" si="29"/>
        <v/>
      </c>
      <c r="BD182" s="513" t="str">
        <f>Pole_Calc!A$251</f>
        <v>App.8-V08H-P10.3</v>
      </c>
      <c r="BE182" s="429" t="s">
        <v>118</v>
      </c>
      <c r="BF182" s="289"/>
      <c r="BG182" s="289"/>
      <c r="BH182" s="290"/>
      <c r="BI182" s="289"/>
    </row>
    <row r="183" spans="1:61" ht="16.149999999999999" customHeight="1">
      <c r="A183" s="514"/>
      <c r="B183" s="450"/>
      <c r="C183" s="3"/>
      <c r="D183" s="83"/>
      <c r="E183" s="4"/>
      <c r="F183" s="4"/>
      <c r="G183" s="6">
        <v>30</v>
      </c>
      <c r="H183" s="449"/>
      <c r="I183" s="4"/>
      <c r="J183" s="3">
        <f>C184-7.5</f>
        <v>34648.25</v>
      </c>
      <c r="K183" s="449" t="s">
        <v>117</v>
      </c>
      <c r="L183" s="449"/>
      <c r="M183" s="449" t="str">
        <f>IF(L183="","",
IF(AX183="PT",VLOOKUP(L183,Foundation_Calc!$V$79:$X$113,VLOOKUP(AX183,Foundation_Calc!$I$10:$J$13,2,FALSE),0),
IF(AX183="K",VLOOKUP(L183,Foundation_Calc!$V$117:$X$151,VLOOKUP(AX183,Foundation_Calc!$I$10:$J$13,2,FALSE),0),"")))</f>
        <v/>
      </c>
      <c r="N183" s="449"/>
      <c r="O183" s="575"/>
      <c r="P183" s="449"/>
      <c r="Q183" s="4"/>
      <c r="R183" s="6"/>
      <c r="S183" s="6"/>
      <c r="T183" s="4"/>
      <c r="U183" s="4"/>
      <c r="V183" s="4"/>
      <c r="W183" s="9"/>
      <c r="X183" s="9"/>
      <c r="Y183" s="9"/>
      <c r="Z183" s="9"/>
      <c r="AA183" s="9"/>
      <c r="AB183" s="9"/>
      <c r="AC183" s="449" t="str">
        <f t="shared" si="26"/>
        <v/>
      </c>
      <c r="AD183" s="449"/>
      <c r="AE183" s="449"/>
      <c r="AF183" s="4"/>
      <c r="AG183" s="83"/>
      <c r="AH183" s="4"/>
      <c r="AI183" s="4"/>
      <c r="AJ183" s="449"/>
      <c r="AK183" s="449"/>
      <c r="AL183" s="449"/>
      <c r="AM183" s="449"/>
      <c r="AN183" s="10"/>
      <c r="AO183" s="9"/>
      <c r="AP183" s="9"/>
      <c r="AQ183" s="9">
        <f>+FL_2($T$184,$T$182,$G$183,1200,9.28,-1*$F$184)</f>
        <v>-0.30000000000000004</v>
      </c>
      <c r="AR183" s="9"/>
      <c r="AS183" s="9"/>
      <c r="AT183" s="9"/>
      <c r="AU183" s="428"/>
      <c r="AV183" s="428"/>
      <c r="AW183" s="449" t="str">
        <f>IF(C183&gt;0,VLOOKUP(C183,Foundation_Calc!$A$2:$C$13,3,1),
IF(J183&gt;0,VLOOKUP(J183,Foundation_Calc!$A$2:$C$13,3,1),""))</f>
        <v>Multi Soil</v>
      </c>
      <c r="AX183" s="449" t="str">
        <f>IF(C183&gt;0,VLOOKUP(C183,Foundation_Calc!$E$2:$G$33,3,1),
IF(J183&gt;0,VLOOKUP(J183,Foundation_Calc!$E$2:$G$33,3,1),""))</f>
        <v>PT</v>
      </c>
      <c r="AY183" s="10" t="str">
        <f>IF(L183="","",
IF(AX183="PT",VLOOKUP(L183,Foundation_Calc!$K$79:$R$113,VLOOKUP(AW183,Foundation_Calc!$I$2:$J$8,2,FALSE),0),
IF(AX183="K",VLOOKUP(L183,Foundation_Calc!$K$117:$R$151,VLOOKUP(AW183,Foundation_Calc!$I$2:$J$8,2,FALSE),0),"")))</f>
        <v/>
      </c>
      <c r="AZ183" s="10">
        <f>IF(K183="","",
IF(AX183="PT",VLOOKUP(K183,Foundation_Calc!$K$79:$R$113,VLOOKUP(AW183,Foundation_Calc!$I$2:$J$8,2,FALSE),0),
IF(AX183="K",VLOOKUP(K183,Foundation_Calc!$K$117:$R$151,VLOOKUP(AW183,Foundation_Calc!$I$2:$J$8,2,FALSE),0),"")))</f>
        <v>3.9</v>
      </c>
      <c r="BA183" s="495" t="str">
        <f t="shared" si="27"/>
        <v/>
      </c>
      <c r="BB183" s="495" t="str">
        <f t="shared" si="28"/>
        <v>ü</v>
      </c>
      <c r="BC183" s="495" t="str">
        <f t="shared" si="29"/>
        <v/>
      </c>
      <c r="BD183" s="513" t="str">
        <f>IF(AND(L183="",H183=""),"",
IF(H183="",Pole_Calc!A$9,
IF(H183="MP",Pole_Calc!A$10,
IF(H183="AnMP",Pole_Calc!A$11,
IF(H183="A",Pole_Calc!A$12,
IF(H183="S/A",Pole_Calc!A$13,
IF(H183="A/S",Pole_Calc!A$14,"Poner a mano")))))))</f>
        <v/>
      </c>
      <c r="BE183" s="429" t="s">
        <v>118</v>
      </c>
      <c r="BF183" s="290"/>
      <c r="BG183" s="290"/>
      <c r="BH183" s="290"/>
      <c r="BI183" s="290"/>
    </row>
    <row r="184" spans="1:61" ht="16.149999999999999" customHeight="1">
      <c r="A184" s="514"/>
      <c r="B184" s="450" t="s">
        <v>271</v>
      </c>
      <c r="C184" s="3">
        <f>+$C$182+$G$183</f>
        <v>34655.75</v>
      </c>
      <c r="D184" s="83"/>
      <c r="E184" s="4"/>
      <c r="F184" s="4">
        <f>IF(C184&gt;0,VLOOKUP(C184,'ALIGNMENT TRACK'!$A$1:$K$81,9,1))</f>
        <v>1200</v>
      </c>
      <c r="G184" s="6"/>
      <c r="H184" s="449" t="s">
        <v>121</v>
      </c>
      <c r="I184" s="4" t="s">
        <v>122</v>
      </c>
      <c r="J184" s="3"/>
      <c r="K184" s="449"/>
      <c r="L184" s="449" t="s">
        <v>232</v>
      </c>
      <c r="M184" s="449" t="str">
        <f>IF(L184="","",
IF(AX184="PT",VLOOKUP(L184,Foundation_Calc!$V$79:$X$113,VLOOKUP(AX184,Foundation_Calc!$I$10:$J$13,2,FALSE),0),
IF(AX184="K",VLOOKUP(L184,Foundation_Calc!$V$117:$X$151,VLOOKUP(AX184,Foundation_Calc!$I$10:$J$13,2,FALSE),0),"")))</f>
        <v>C5R</v>
      </c>
      <c r="N184" s="449" t="s">
        <v>124</v>
      </c>
      <c r="O184" s="449"/>
      <c r="P184" s="449"/>
      <c r="Q184" s="4"/>
      <c r="R184" s="6"/>
      <c r="S184" s="6"/>
      <c r="T184" s="4">
        <v>-30</v>
      </c>
      <c r="U184" s="4"/>
      <c r="V184" s="4"/>
      <c r="W184" s="9">
        <v>1.4</v>
      </c>
      <c r="X184" s="9"/>
      <c r="Y184" s="9"/>
      <c r="Z184" s="9"/>
      <c r="AA184" s="9"/>
      <c r="AB184" s="9"/>
      <c r="AC184" s="449" t="str">
        <f t="shared" si="26"/>
        <v>PHQ</v>
      </c>
      <c r="AD184" s="449"/>
      <c r="AE184" s="449"/>
      <c r="AF184" s="4"/>
      <c r="AG184" s="83"/>
      <c r="AH184" s="4"/>
      <c r="AI184" s="4"/>
      <c r="AJ184" s="449"/>
      <c r="AK184" s="449"/>
      <c r="AL184" s="449" t="s">
        <v>241</v>
      </c>
      <c r="AM184" s="449" t="s">
        <v>126</v>
      </c>
      <c r="AN184" s="10">
        <v>5.5</v>
      </c>
      <c r="AO184" s="9"/>
      <c r="AP184" s="9"/>
      <c r="AQ184" s="9"/>
      <c r="AR184" s="9"/>
      <c r="AS184" s="9"/>
      <c r="AT184" s="9">
        <f>+ab($T$184,$T$182,$U$186,$G$183,$G$185,-1*$F$184,1200)</f>
        <v>-6.5504869627694697</v>
      </c>
      <c r="AU184" s="428"/>
      <c r="AV184" s="428"/>
      <c r="AW184" s="449" t="str">
        <f>IF(C184&gt;0,VLOOKUP(C184,Foundation_Calc!$A$2:$C$13,3,1),
IF(J184&gt;0,VLOOKUP(J184,Foundation_Calc!$A$2:$C$13,3,1),""))</f>
        <v>Multi Soil</v>
      </c>
      <c r="AX184" s="449" t="str">
        <f>IF(C184&gt;0,VLOOKUP(C184,Foundation_Calc!$E$2:$G$33,3,1),
IF(J184&gt;0,VLOOKUP(J184,Foundation_Calc!$E$2:$G$33,3,1),""))</f>
        <v>PT</v>
      </c>
      <c r="AY184" s="10">
        <f>IF(L184="","",
IF(AX184="PT",VLOOKUP(L184,Foundation_Calc!$K$79:$R$113,VLOOKUP(AW184,Foundation_Calc!$I$2:$J$8,2,FALSE),0),
IF(AX184="K",VLOOKUP(L184,Foundation_Calc!$K$117:$R$151,VLOOKUP(AW184,Foundation_Calc!$I$2:$J$8,2,FALSE),0),"")))</f>
        <v>3.5</v>
      </c>
      <c r="AZ184" s="10" t="str">
        <f>IF(K184="","",
IF(AX184="PT",VLOOKUP(K184,Foundation_Calc!$K$79:$R$113,VLOOKUP(AW184,Foundation_Calc!$I$2:$J$8,2,FALSE),0),
IF(AX184="K",VLOOKUP(K184,Foundation_Calc!$K$117:$R$151,VLOOKUP(AW184,Foundation_Calc!$I$2:$J$8,2,FALSE),0),"")))</f>
        <v/>
      </c>
      <c r="BA184" s="495" t="str">
        <f t="shared" si="27"/>
        <v>ü</v>
      </c>
      <c r="BB184" s="495" t="str">
        <f t="shared" si="28"/>
        <v/>
      </c>
      <c r="BC184" s="495" t="str">
        <f t="shared" si="29"/>
        <v/>
      </c>
      <c r="BD184" s="513" t="str">
        <f>Pole_Calc!A$251</f>
        <v>App.8-V08H-P10.3</v>
      </c>
      <c r="BE184" s="429" t="s">
        <v>118</v>
      </c>
      <c r="BF184" s="289"/>
      <c r="BG184" s="289"/>
      <c r="BH184" s="290"/>
      <c r="BI184" s="289"/>
    </row>
    <row r="185" spans="1:61" ht="16.149999999999999" customHeight="1">
      <c r="A185" s="514"/>
      <c r="B185" s="450"/>
      <c r="C185" s="3"/>
      <c r="D185" s="83"/>
      <c r="E185" s="4"/>
      <c r="F185" s="4"/>
      <c r="G185" s="6">
        <v>40</v>
      </c>
      <c r="H185" s="449"/>
      <c r="I185" s="4"/>
      <c r="J185" s="3"/>
      <c r="K185" s="449"/>
      <c r="L185" s="449"/>
      <c r="M185" s="449" t="str">
        <f>IF(L185="","",
IF(AX185="PT",VLOOKUP(L185,Foundation_Calc!$V$79:$X$113,VLOOKUP(AX185,Foundation_Calc!$I$10:$J$13,2,FALSE),0),
IF(AX185="K",VLOOKUP(L185,Foundation_Calc!$V$117:$X$151,VLOOKUP(AX185,Foundation_Calc!$I$10:$J$13,2,FALSE),0),"")))</f>
        <v/>
      </c>
      <c r="N185" s="449"/>
      <c r="O185" s="449"/>
      <c r="P185" s="449"/>
      <c r="Q185" s="4"/>
      <c r="R185" s="6"/>
      <c r="S185" s="6"/>
      <c r="T185" s="4"/>
      <c r="U185" s="4"/>
      <c r="V185" s="4"/>
      <c r="W185" s="9"/>
      <c r="X185" s="9"/>
      <c r="Y185" s="9"/>
      <c r="Z185" s="9"/>
      <c r="AA185" s="9"/>
      <c r="AB185" s="9"/>
      <c r="AC185" s="449" t="str">
        <f t="shared" si="26"/>
        <v/>
      </c>
      <c r="AD185" s="449"/>
      <c r="AE185" s="449"/>
      <c r="AF185" s="4"/>
      <c r="AG185" s="83"/>
      <c r="AH185" s="4"/>
      <c r="AI185" s="4"/>
      <c r="AJ185" s="449"/>
      <c r="AK185" s="449"/>
      <c r="AL185" s="449"/>
      <c r="AM185" s="449"/>
      <c r="AN185" s="10"/>
      <c r="AO185" s="9"/>
      <c r="AP185" s="9"/>
      <c r="AQ185" s="9">
        <f>+FL_2($U$186,$T$184,$G$185,1200,9.28,-1*$F$186)</f>
        <v>-0.3</v>
      </c>
      <c r="AR185" s="9"/>
      <c r="AS185" s="9"/>
      <c r="AT185" s="9"/>
      <c r="AU185" s="428"/>
      <c r="AV185" s="428"/>
      <c r="AW185" s="449" t="str">
        <f>IF(C185&gt;0,VLOOKUP(C185,Foundation_Calc!$A$2:$C$13,3,1),
IF(J185&gt;0,VLOOKUP(J185,Foundation_Calc!$A$2:$C$13,3,1),""))</f>
        <v/>
      </c>
      <c r="AX185" s="449" t="str">
        <f>IF(C185&gt;0,VLOOKUP(C185,Foundation_Calc!$E$2:$G$33,3,1),
IF(J185&gt;0,VLOOKUP(J185,Foundation_Calc!$E$2:$G$33,3,1),""))</f>
        <v/>
      </c>
      <c r="AY185" s="10" t="str">
        <f>IF(L185="","",
IF(AX185="PT",VLOOKUP(L185,Foundation_Calc!$K$79:$R$113,VLOOKUP(AW185,Foundation_Calc!$I$2:$J$8,2,FALSE),0),
IF(AX185="K",VLOOKUP(L185,Foundation_Calc!$K$117:$R$151,VLOOKUP(AW185,Foundation_Calc!$I$2:$J$8,2,FALSE),0),"")))</f>
        <v/>
      </c>
      <c r="AZ185" s="10" t="str">
        <f>IF(K185="","",
IF(AX185="PT",VLOOKUP(K185,Foundation_Calc!$K$79:$R$113,VLOOKUP(AW185,Foundation_Calc!$I$2:$J$8,2,FALSE),0),
IF(AX185="K",VLOOKUP(K185,Foundation_Calc!$K$117:$R$151,VLOOKUP(AW185,Foundation_Calc!$I$2:$J$8,2,FALSE),0),"")))</f>
        <v/>
      </c>
      <c r="BA185" s="495" t="str">
        <f t="shared" si="27"/>
        <v/>
      </c>
      <c r="BB185" s="495" t="str">
        <f t="shared" si="28"/>
        <v/>
      </c>
      <c r="BC185" s="495" t="str">
        <f t="shared" si="29"/>
        <v/>
      </c>
      <c r="BD185" s="513" t="str">
        <f>IF(AND(L185="",H185=""),"",
IF(H185="",Pole_Calc!A$9,
IF(H185="MP",Pole_Calc!A$10,
IF(H185="AnMP",Pole_Calc!A$11,
IF(H185="A",Pole_Calc!A$12,
IF(H185="S/A",Pole_Calc!A$13,
IF(H185="A/S",Pole_Calc!A$14,"Poner a mano")))))))</f>
        <v/>
      </c>
      <c r="BE185" s="429" t="s">
        <v>118</v>
      </c>
      <c r="BF185" s="290"/>
      <c r="BG185" s="290"/>
      <c r="BH185" s="290"/>
      <c r="BI185" s="290"/>
    </row>
    <row r="186" spans="1:61" ht="16.149999999999999" customHeight="1">
      <c r="A186" s="514"/>
      <c r="B186" s="450" t="s">
        <v>272</v>
      </c>
      <c r="C186" s="3">
        <f>+$C$184+$G$185</f>
        <v>34695.75</v>
      </c>
      <c r="D186" s="83"/>
      <c r="E186" s="4"/>
      <c r="F186" s="4">
        <f>IF(C186&gt;0,VLOOKUP(C186,'ALIGNMENT TRACK'!$A$1:$K$81,9,1))</f>
        <v>1200</v>
      </c>
      <c r="G186" s="6"/>
      <c r="H186" s="449" t="s">
        <v>131</v>
      </c>
      <c r="I186" s="4"/>
      <c r="J186" s="3"/>
      <c r="K186" s="449"/>
      <c r="L186" s="449" t="s">
        <v>232</v>
      </c>
      <c r="M186" s="449" t="str">
        <f>IF(L186="","",
IF(AX186="PT",VLOOKUP(L186,Foundation_Calc!$V$79:$X$113,VLOOKUP(AX186,Foundation_Calc!$I$10:$J$13,2,FALSE),0),
IF(AX186="K",VLOOKUP(L186,Foundation_Calc!$V$117:$X$151,VLOOKUP(AX186,Foundation_Calc!$I$10:$J$13,2,FALSE),0),"")))</f>
        <v>C5R</v>
      </c>
      <c r="N186" s="449" t="s">
        <v>133</v>
      </c>
      <c r="O186" s="449" t="s">
        <v>124</v>
      </c>
      <c r="P186" s="449"/>
      <c r="Q186" s="4"/>
      <c r="R186" s="6"/>
      <c r="S186" s="6"/>
      <c r="T186" s="4">
        <v>50</v>
      </c>
      <c r="U186" s="4">
        <v>-30</v>
      </c>
      <c r="V186" s="4"/>
      <c r="W186" s="9">
        <v>1.4</v>
      </c>
      <c r="X186" s="9">
        <v>2</v>
      </c>
      <c r="Y186" s="9"/>
      <c r="Z186" s="9">
        <v>0.6</v>
      </c>
      <c r="AA186" s="9"/>
      <c r="AB186" s="9"/>
      <c r="AC186" s="449"/>
      <c r="AD186" s="449"/>
      <c r="AE186" s="449"/>
      <c r="AF186" s="4"/>
      <c r="AG186" s="83"/>
      <c r="AH186" s="4"/>
      <c r="AI186" s="4"/>
      <c r="AJ186" s="449"/>
      <c r="AK186" s="449"/>
      <c r="AL186" s="449" t="s">
        <v>241</v>
      </c>
      <c r="AM186" s="449" t="s">
        <v>126</v>
      </c>
      <c r="AN186" s="10">
        <v>5.5</v>
      </c>
      <c r="AO186" s="9"/>
      <c r="AP186" s="9"/>
      <c r="AQ186" s="9"/>
      <c r="AR186" s="9"/>
      <c r="AS186" s="9"/>
      <c r="AT186" s="9">
        <f>+ab($U$186,$T$184,$T$188,$G$185,$G$187,-1*$F$186,1200)</f>
        <v>-5.3644380271233256</v>
      </c>
      <c r="AU186" s="428"/>
      <c r="AV186" s="428"/>
      <c r="AW186" s="449" t="str">
        <f>IF(C186&gt;0,VLOOKUP(C186,Foundation_Calc!$A$2:$C$13,3,1),
IF(J186&gt;0,VLOOKUP(J186,Foundation_Calc!$A$2:$C$13,3,1),""))</f>
        <v>Multi Soil</v>
      </c>
      <c r="AX186" s="449" t="str">
        <f>IF(C186&gt;0,VLOOKUP(C186,Foundation_Calc!$E$2:$G$33,3,1),
IF(J186&gt;0,VLOOKUP(J186,Foundation_Calc!$E$2:$G$33,3,1),""))</f>
        <v>PT</v>
      </c>
      <c r="AY186" s="10">
        <f>IF(L186="","",
IF(AX186="PT",VLOOKUP(L186,Foundation_Calc!$K$79:$R$113,VLOOKUP(AW186,Foundation_Calc!$I$2:$J$8,2,FALSE),0),
IF(AX186="K",VLOOKUP(L186,Foundation_Calc!$K$117:$R$151,VLOOKUP(AW186,Foundation_Calc!$I$2:$J$8,2,FALSE),0),"")))</f>
        <v>3.5</v>
      </c>
      <c r="AZ186" s="10" t="str">
        <f>IF(K186="","",
IF(AX186="PT",VLOOKUP(K186,Foundation_Calc!$K$79:$R$113,VLOOKUP(AW186,Foundation_Calc!$I$2:$J$8,2,FALSE),0),
IF(AX186="K",VLOOKUP(K186,Foundation_Calc!$K$117:$R$151,VLOOKUP(AW186,Foundation_Calc!$I$2:$J$8,2,FALSE),0),"")))</f>
        <v/>
      </c>
      <c r="BA186" s="495" t="str">
        <f t="shared" si="27"/>
        <v>ü</v>
      </c>
      <c r="BB186" s="495" t="str">
        <f t="shared" si="28"/>
        <v/>
      </c>
      <c r="BC186" s="495" t="str">
        <f t="shared" si="29"/>
        <v/>
      </c>
      <c r="BD186" s="513" t="str">
        <f>Pole_Calc!A$251</f>
        <v>App.8-V08H-P10.3</v>
      </c>
      <c r="BE186" s="429" t="s">
        <v>118</v>
      </c>
      <c r="BF186" s="289"/>
      <c r="BG186" s="289"/>
      <c r="BH186" s="290"/>
      <c r="BI186" s="289"/>
    </row>
    <row r="187" spans="1:61" ht="16.149999999999999" customHeight="1">
      <c r="A187" s="514"/>
      <c r="B187" s="450"/>
      <c r="C187" s="3"/>
      <c r="D187" s="83"/>
      <c r="E187" s="4"/>
      <c r="F187" s="4"/>
      <c r="G187" s="6">
        <v>45.6</v>
      </c>
      <c r="H187" s="449"/>
      <c r="I187" s="4"/>
      <c r="J187" s="3"/>
      <c r="K187" s="449"/>
      <c r="L187" s="449"/>
      <c r="M187" s="449" t="str">
        <f>IF(L187="","",
IF(AX187="PT",VLOOKUP(L187,Foundation_Calc!$V$79:$X$113,VLOOKUP(AX187,Foundation_Calc!$I$10:$J$13,2,FALSE),0),
IF(AX187="K",VLOOKUP(L187,Foundation_Calc!$V$117:$X$151,VLOOKUP(AX187,Foundation_Calc!$I$10:$J$13,2,FALSE),0),"")))</f>
        <v/>
      </c>
      <c r="N187" s="449"/>
      <c r="O187" s="449"/>
      <c r="P187" s="449"/>
      <c r="Q187" s="4"/>
      <c r="R187" s="6"/>
      <c r="S187" s="6"/>
      <c r="T187" s="4"/>
      <c r="U187" s="4"/>
      <c r="V187" s="4"/>
      <c r="W187" s="9"/>
      <c r="X187" s="9"/>
      <c r="Y187" s="9"/>
      <c r="Z187" s="9"/>
      <c r="AA187" s="9"/>
      <c r="AB187" s="9"/>
      <c r="AC187" s="449" t="str">
        <f t="shared" si="26"/>
        <v/>
      </c>
      <c r="AD187" s="449"/>
      <c r="AE187" s="449"/>
      <c r="AF187" s="4"/>
      <c r="AG187" s="83"/>
      <c r="AH187" s="4"/>
      <c r="AI187" s="4"/>
      <c r="AJ187" s="449"/>
      <c r="AK187" s="449"/>
      <c r="AL187" s="449"/>
      <c r="AM187" s="449"/>
      <c r="AN187" s="10"/>
      <c r="AO187" s="9"/>
      <c r="AP187" s="9"/>
      <c r="AQ187" s="9">
        <f>+FL_1($T$188,$U$186,$G$187,1200,9.28,-1*$F$188)</f>
        <v>0.11762435167928682</v>
      </c>
      <c r="AR187" s="9"/>
      <c r="AS187" s="9"/>
      <c r="AT187" s="9"/>
      <c r="AU187" s="428"/>
      <c r="AV187" s="428"/>
      <c r="AW187" s="449" t="str">
        <f>IF(C187&gt;0,VLOOKUP(C187,Foundation_Calc!$A$2:$C$13,3,1),
IF(J187&gt;0,VLOOKUP(J187,Foundation_Calc!$A$2:$C$13,3,1),""))</f>
        <v/>
      </c>
      <c r="AX187" s="449" t="str">
        <f>IF(C187&gt;0,VLOOKUP(C187,Foundation_Calc!$E$2:$G$33,3,1),
IF(J187&gt;0,VLOOKUP(J187,Foundation_Calc!$E$2:$G$33,3,1),""))</f>
        <v/>
      </c>
      <c r="AY187" s="10" t="str">
        <f>IF(L187="","",
IF(AX187="PT",VLOOKUP(L187,Foundation_Calc!$K$79:$R$113,VLOOKUP(AW187,Foundation_Calc!$I$2:$J$8,2,FALSE),0),
IF(AX187="K",VLOOKUP(L187,Foundation_Calc!$K$117:$R$151,VLOOKUP(AW187,Foundation_Calc!$I$2:$J$8,2,FALSE),0),"")))</f>
        <v/>
      </c>
      <c r="AZ187" s="10" t="str">
        <f>IF(K187="","",
IF(AX187="PT",VLOOKUP(K187,Foundation_Calc!$K$79:$R$113,VLOOKUP(AW187,Foundation_Calc!$I$2:$J$8,2,FALSE),0),
IF(AX187="K",VLOOKUP(K187,Foundation_Calc!$K$117:$R$151,VLOOKUP(AW187,Foundation_Calc!$I$2:$J$8,2,FALSE),0),"")))</f>
        <v/>
      </c>
      <c r="BA187" s="495" t="str">
        <f t="shared" si="27"/>
        <v/>
      </c>
      <c r="BB187" s="495" t="str">
        <f t="shared" si="28"/>
        <v/>
      </c>
      <c r="BC187" s="495" t="str">
        <f t="shared" si="29"/>
        <v/>
      </c>
      <c r="BD187" s="513" t="str">
        <f>IF(AND(L187="",H187=""),"",
IF(H187="",Pole_Calc!A$9,
IF(H187="MP",Pole_Calc!A$10,
IF(H187="AnMP",Pole_Calc!A$11,
IF(H187="A",Pole_Calc!A$12,
IF(H187="S/A",Pole_Calc!A$13,
IF(H187="A/S",Pole_Calc!A$14,"Poner a mano")))))))</f>
        <v/>
      </c>
      <c r="BE187" s="429" t="s">
        <v>118</v>
      </c>
      <c r="BF187" s="290"/>
      <c r="BG187" s="290"/>
      <c r="BH187" s="290"/>
      <c r="BI187" s="290"/>
    </row>
    <row r="188" spans="1:61" ht="16.149999999999999" customHeight="1">
      <c r="A188" s="514"/>
      <c r="B188" s="450" t="s">
        <v>273</v>
      </c>
      <c r="C188" s="3">
        <f>+$C$186+$G$187</f>
        <v>34741.35</v>
      </c>
      <c r="D188" s="83"/>
      <c r="E188" s="4"/>
      <c r="F188" s="4">
        <f>IF(C188&gt;0,VLOOKUP(C188,'ALIGNMENT TRACK'!$A$1:$K$81,9,1))</f>
        <v>1200</v>
      </c>
      <c r="G188" s="6"/>
      <c r="H188" s="449"/>
      <c r="I188" s="4"/>
      <c r="J188" s="3"/>
      <c r="K188" s="449"/>
      <c r="L188" s="449" t="s">
        <v>232</v>
      </c>
      <c r="M188" s="449" t="str">
        <f>IF(L188="","",
IF(AX188="PT",VLOOKUP(L188,Foundation_Calc!$V$79:$X$113,VLOOKUP(AX188,Foundation_Calc!$I$10:$J$13,2,FALSE),0),
IF(AX188="K",VLOOKUP(L188,Foundation_Calc!$V$117:$X$151,VLOOKUP(AX188,Foundation_Calc!$I$10:$J$13,2,FALSE),0),"")))</f>
        <v>C5R</v>
      </c>
      <c r="N188" s="449" t="s">
        <v>124</v>
      </c>
      <c r="O188" s="449"/>
      <c r="P188" s="449"/>
      <c r="Q188" s="4"/>
      <c r="R188" s="6"/>
      <c r="S188" s="6"/>
      <c r="T188" s="4">
        <v>-30</v>
      </c>
      <c r="U188" s="4"/>
      <c r="V188" s="4"/>
      <c r="W188" s="9">
        <v>1.4</v>
      </c>
      <c r="X188" s="9"/>
      <c r="Y188" s="9"/>
      <c r="Z188" s="9"/>
      <c r="AA188" s="9"/>
      <c r="AB188" s="9"/>
      <c r="AC188" s="449" t="str">
        <f t="shared" si="26"/>
        <v>PHC</v>
      </c>
      <c r="AD188" s="449"/>
      <c r="AE188" s="449"/>
      <c r="AF188" s="4"/>
      <c r="AG188" s="83"/>
      <c r="AH188" s="4"/>
      <c r="AI188" s="4"/>
      <c r="AJ188" s="449"/>
      <c r="AK188" s="449"/>
      <c r="AL188" s="449" t="s">
        <v>241</v>
      </c>
      <c r="AM188" s="449" t="s">
        <v>126</v>
      </c>
      <c r="AN188" s="10">
        <v>5.5</v>
      </c>
      <c r="AO188" s="9"/>
      <c r="AP188" s="9"/>
      <c r="AQ188" s="9"/>
      <c r="AR188" s="9"/>
      <c r="AS188" s="9"/>
      <c r="AT188" s="9">
        <f>+ab($T$188,$U$186,$T$190,$G$187,$G$189,-1*$F$188,1200)</f>
        <v>-4.9082827075675457</v>
      </c>
      <c r="AU188" s="428"/>
      <c r="AV188" s="428"/>
      <c r="AW188" s="449" t="str">
        <f>IF(C188&gt;0,VLOOKUP(C188,Foundation_Calc!$A$2:$C$13,3,1),
IF(J188&gt;0,VLOOKUP(J188,Foundation_Calc!$A$2:$C$13,3,1),""))</f>
        <v>Multi Soil</v>
      </c>
      <c r="AX188" s="449" t="str">
        <f>IF(C188&gt;0,VLOOKUP(C188,Foundation_Calc!$E$2:$G$33,3,1),
IF(J188&gt;0,VLOOKUP(J188,Foundation_Calc!$E$2:$G$33,3,1),""))</f>
        <v>PT</v>
      </c>
      <c r="AY188" s="10">
        <f>IF(L188="","",
IF(AX188="PT",VLOOKUP(L188,Foundation_Calc!$K$79:$R$113,VLOOKUP(AW188,Foundation_Calc!$I$2:$J$8,2,FALSE),0),
IF(AX188="K",VLOOKUP(L188,Foundation_Calc!$K$117:$R$151,VLOOKUP(AW188,Foundation_Calc!$I$2:$J$8,2,FALSE),0),"")))</f>
        <v>3.5</v>
      </c>
      <c r="AZ188" s="10" t="str">
        <f>IF(K188="","",
IF(AX188="PT",VLOOKUP(K188,Foundation_Calc!$K$79:$R$113,VLOOKUP(AW188,Foundation_Calc!$I$2:$J$8,2,FALSE),0),
IF(AX188="K",VLOOKUP(K188,Foundation_Calc!$K$117:$R$151,VLOOKUP(AW188,Foundation_Calc!$I$2:$J$8,2,FALSE),0),"")))</f>
        <v/>
      </c>
      <c r="BA188" s="495" t="str">
        <f t="shared" si="27"/>
        <v>ü</v>
      </c>
      <c r="BB188" s="495" t="str">
        <f t="shared" si="28"/>
        <v/>
      </c>
      <c r="BC188" s="495" t="str">
        <f t="shared" si="29"/>
        <v/>
      </c>
      <c r="BD188" s="513" t="str">
        <f>Pole_Calc!A$251</f>
        <v>App.8-V08H-P10.3</v>
      </c>
      <c r="BE188" s="429" t="s">
        <v>118</v>
      </c>
      <c r="BF188" s="289"/>
      <c r="BG188" s="289"/>
      <c r="BH188" s="290"/>
      <c r="BI188" s="289"/>
    </row>
    <row r="189" spans="1:61" ht="16.149999999999999" customHeight="1">
      <c r="A189" s="514"/>
      <c r="B189" s="450"/>
      <c r="C189" s="3"/>
      <c r="D189" s="83"/>
      <c r="E189" s="4"/>
      <c r="F189" s="4"/>
      <c r="G189" s="6">
        <v>48</v>
      </c>
      <c r="H189" s="449"/>
      <c r="I189" s="4"/>
      <c r="J189" s="3"/>
      <c r="K189" s="449"/>
      <c r="L189" s="449"/>
      <c r="M189" s="449" t="str">
        <f>IF(L189="","",
IF(AX189="PT",VLOOKUP(L189,Foundation_Calc!$V$79:$X$113,VLOOKUP(AX189,Foundation_Calc!$I$10:$J$13,2,FALSE),0),
IF(AX189="K",VLOOKUP(L189,Foundation_Calc!$V$117:$X$151,VLOOKUP(AX189,Foundation_Calc!$I$10:$J$13,2,FALSE),0),"")))</f>
        <v/>
      </c>
      <c r="N189" s="449"/>
      <c r="O189" s="449"/>
      <c r="P189" s="449"/>
      <c r="Q189" s="4"/>
      <c r="R189" s="6"/>
      <c r="S189" s="6"/>
      <c r="T189" s="4"/>
      <c r="U189" s="4"/>
      <c r="V189" s="4"/>
      <c r="W189" s="9"/>
      <c r="X189" s="9"/>
      <c r="Y189" s="9"/>
      <c r="Z189" s="9"/>
      <c r="AA189" s="9"/>
      <c r="AB189" s="9"/>
      <c r="AC189" s="449" t="str">
        <f t="shared" si="26"/>
        <v/>
      </c>
      <c r="AD189" s="449"/>
      <c r="AE189" s="449"/>
      <c r="AF189" s="4"/>
      <c r="AG189" s="83"/>
      <c r="AH189" s="4"/>
      <c r="AI189" s="4"/>
      <c r="AJ189" s="449"/>
      <c r="AK189" s="449"/>
      <c r="AL189" s="449"/>
      <c r="AM189" s="449"/>
      <c r="AN189" s="10"/>
      <c r="AO189" s="9"/>
      <c r="AP189" s="9"/>
      <c r="AQ189" s="9">
        <f>+FL_2($T$190,$T$188,$G$189,1200,9.28,-1*$F$190)</f>
        <v>-0.30001440298338383</v>
      </c>
      <c r="AR189" s="9"/>
      <c r="AS189" s="9"/>
      <c r="AT189" s="9"/>
      <c r="AU189" s="428"/>
      <c r="AV189" s="428"/>
      <c r="AW189" s="449" t="str">
        <f>IF(C189&gt;0,VLOOKUP(C189,Foundation_Calc!$A$2:$C$13,3,1),
IF(J189&gt;0,VLOOKUP(J189,Foundation_Calc!$A$2:$C$13,3,1),""))</f>
        <v/>
      </c>
      <c r="AX189" s="449" t="str">
        <f>IF(C189&gt;0,VLOOKUP(C189,Foundation_Calc!$E$2:$G$33,3,1),
IF(J189&gt;0,VLOOKUP(J189,Foundation_Calc!$E$2:$G$33,3,1),""))</f>
        <v/>
      </c>
      <c r="AY189" s="10" t="str">
        <f>IF(L189="","",
IF(AX189="PT",VLOOKUP(L189,Foundation_Calc!$K$79:$R$113,VLOOKUP(AW189,Foundation_Calc!$I$2:$J$8,2,FALSE),0),
IF(AX189="K",VLOOKUP(L189,Foundation_Calc!$K$117:$R$151,VLOOKUP(AW189,Foundation_Calc!$I$2:$J$8,2,FALSE),0),"")))</f>
        <v/>
      </c>
      <c r="AZ189" s="10" t="str">
        <f>IF(K189="","",
IF(AX189="PT",VLOOKUP(K189,Foundation_Calc!$K$79:$R$113,VLOOKUP(AW189,Foundation_Calc!$I$2:$J$8,2,FALSE),0),
IF(AX189="K",VLOOKUP(K189,Foundation_Calc!$K$117:$R$151,VLOOKUP(AW189,Foundation_Calc!$I$2:$J$8,2,FALSE),0),"")))</f>
        <v/>
      </c>
      <c r="BA189" s="495" t="str">
        <f t="shared" si="27"/>
        <v/>
      </c>
      <c r="BB189" s="495" t="str">
        <f t="shared" si="28"/>
        <v/>
      </c>
      <c r="BC189" s="495" t="str">
        <f t="shared" si="29"/>
        <v/>
      </c>
      <c r="BD189" s="513" t="str">
        <f>IF(AND(L189="",H189=""),"",
IF(H189="",Pole_Calc!A$9,
IF(H189="MP",Pole_Calc!A$10,
IF(H189="AnMP",Pole_Calc!A$11,
IF(H189="A",Pole_Calc!A$12,
IF(H189="S/A",Pole_Calc!A$13,
IF(H189="A/S",Pole_Calc!A$14,"Poner a mano")))))))</f>
        <v/>
      </c>
      <c r="BE189" s="429" t="s">
        <v>118</v>
      </c>
      <c r="BF189" s="290"/>
      <c r="BG189" s="290"/>
      <c r="BH189" s="290"/>
      <c r="BI189" s="290"/>
    </row>
    <row r="190" spans="1:61" ht="16.149999999999999" customHeight="1">
      <c r="A190" s="514"/>
      <c r="B190" s="450" t="s">
        <v>274</v>
      </c>
      <c r="C190" s="3">
        <f>+$C$188+$G$189</f>
        <v>34789.35</v>
      </c>
      <c r="D190" s="83"/>
      <c r="E190" s="4"/>
      <c r="F190" s="4">
        <f>IF(C190&gt;0,VLOOKUP(C190,'ALIGNMENT TRACK'!$A$1:$K$81,9,1))</f>
        <v>1200</v>
      </c>
      <c r="G190" s="6"/>
      <c r="H190" s="449"/>
      <c r="I190" s="4"/>
      <c r="J190" s="3"/>
      <c r="K190" s="449"/>
      <c r="L190" s="449" t="s">
        <v>232</v>
      </c>
      <c r="M190" s="449" t="str">
        <f>IF(L190="","",
IF(AX190="PT",VLOOKUP(L190,Foundation_Calc!$V$79:$X$113,VLOOKUP(AX190,Foundation_Calc!$I$10:$J$13,2,FALSE),0),
IF(AX190="K",VLOOKUP(L190,Foundation_Calc!$V$117:$X$151,VLOOKUP(AX190,Foundation_Calc!$I$10:$J$13,2,FALSE),0),"")))</f>
        <v>C5R</v>
      </c>
      <c r="N190" s="449" t="s">
        <v>124</v>
      </c>
      <c r="O190" s="449"/>
      <c r="P190" s="449"/>
      <c r="Q190" s="4"/>
      <c r="R190" s="6"/>
      <c r="S190" s="6"/>
      <c r="T190" s="4">
        <v>-30</v>
      </c>
      <c r="U190" s="4"/>
      <c r="V190" s="4"/>
      <c r="W190" s="9">
        <v>1.4</v>
      </c>
      <c r="X190" s="9"/>
      <c r="Y190" s="9"/>
      <c r="Z190" s="9"/>
      <c r="AA190" s="9"/>
      <c r="AB190" s="9"/>
      <c r="AC190" s="449" t="str">
        <f t="shared" si="26"/>
        <v>PHC</v>
      </c>
      <c r="AD190" s="449"/>
      <c r="AE190" s="449"/>
      <c r="AF190" s="4"/>
      <c r="AG190" s="83"/>
      <c r="AH190" s="4"/>
      <c r="AI190" s="4"/>
      <c r="AJ190" s="449"/>
      <c r="AK190" s="449"/>
      <c r="AL190" s="449" t="s">
        <v>241</v>
      </c>
      <c r="AM190" s="449" t="s">
        <v>126</v>
      </c>
      <c r="AN190" s="10">
        <v>5.5</v>
      </c>
      <c r="AO190" s="9"/>
      <c r="AP190" s="9"/>
      <c r="AQ190" s="9"/>
      <c r="AR190" s="9"/>
      <c r="AS190" s="9"/>
      <c r="AT190" s="9">
        <f>+ab($T$190,$T$188,$T$192,$G$189,$G$191,-1*$F$190,1200)</f>
        <v>-4.7861529281530943</v>
      </c>
      <c r="AU190" s="428"/>
      <c r="AV190" s="428"/>
      <c r="AW190" s="449" t="str">
        <f>IF(C190&gt;0,VLOOKUP(C190,Foundation_Calc!$A$2:$C$13,3,1),
IF(J190&gt;0,VLOOKUP(J190,Foundation_Calc!$A$2:$C$13,3,1),""))</f>
        <v>Multi Soil</v>
      </c>
      <c r="AX190" s="449" t="str">
        <f>IF(C190&gt;0,VLOOKUP(C190,Foundation_Calc!$E$2:$G$33,3,1),
IF(J190&gt;0,VLOOKUP(J190,Foundation_Calc!$E$2:$G$33,3,1),""))</f>
        <v>PT</v>
      </c>
      <c r="AY190" s="10">
        <f>IF(L190="","",
IF(AX190="PT",VLOOKUP(L190,Foundation_Calc!$K$79:$R$113,VLOOKUP(AW190,Foundation_Calc!$I$2:$J$8,2,FALSE),0),
IF(AX190="K",VLOOKUP(L190,Foundation_Calc!$K$117:$R$151,VLOOKUP(AW190,Foundation_Calc!$I$2:$J$8,2,FALSE),0),"")))</f>
        <v>3.5</v>
      </c>
      <c r="AZ190" s="10" t="str">
        <f>IF(K190="","",
IF(AX190="PT",VLOOKUP(K190,Foundation_Calc!$K$79:$R$113,VLOOKUP(AW190,Foundation_Calc!$I$2:$J$8,2,FALSE),0),
IF(AX190="K",VLOOKUP(K190,Foundation_Calc!$K$117:$R$151,VLOOKUP(AW190,Foundation_Calc!$I$2:$J$8,2,FALSE),0),"")))</f>
        <v/>
      </c>
      <c r="BA190" s="495" t="str">
        <f t="shared" si="27"/>
        <v>ü</v>
      </c>
      <c r="BB190" s="495" t="str">
        <f t="shared" si="28"/>
        <v/>
      </c>
      <c r="BC190" s="495" t="str">
        <f t="shared" si="29"/>
        <v/>
      </c>
      <c r="BD190" s="513" t="str">
        <f>Pole_Calc!A$251</f>
        <v>App.8-V08H-P10.3</v>
      </c>
      <c r="BE190" s="429" t="s">
        <v>118</v>
      </c>
      <c r="BF190" s="289"/>
      <c r="BG190" s="289"/>
      <c r="BH190" s="290"/>
      <c r="BI190" s="289"/>
    </row>
    <row r="191" spans="1:61" ht="16.149999999999999" customHeight="1">
      <c r="A191" s="514"/>
      <c r="B191" s="450"/>
      <c r="C191" s="3"/>
      <c r="D191" s="83"/>
      <c r="E191" s="4"/>
      <c r="F191" s="4"/>
      <c r="G191" s="6">
        <v>48</v>
      </c>
      <c r="H191" s="449"/>
      <c r="I191" s="4"/>
      <c r="J191" s="3">
        <f>C192-7.5</f>
        <v>34829.85</v>
      </c>
      <c r="K191" s="449" t="s">
        <v>117</v>
      </c>
      <c r="L191" s="449"/>
      <c r="M191" s="449" t="str">
        <f>IF(L191="","",
IF(AX191="PT",VLOOKUP(L191,Foundation_Calc!$V$79:$X$113,VLOOKUP(AX191,Foundation_Calc!$I$10:$J$13,2,FALSE),0),
IF(AX191="K",VLOOKUP(L191,Foundation_Calc!$V$117:$X$151,VLOOKUP(AX191,Foundation_Calc!$I$10:$J$13,2,FALSE),0),"")))</f>
        <v/>
      </c>
      <c r="N191" s="449"/>
      <c r="O191" s="449"/>
      <c r="P191" s="449"/>
      <c r="Q191" s="4"/>
      <c r="R191" s="6"/>
      <c r="S191" s="6"/>
      <c r="T191" s="4"/>
      <c r="U191" s="4"/>
      <c r="V191" s="4"/>
      <c r="W191" s="9"/>
      <c r="X191" s="9"/>
      <c r="Y191" s="9"/>
      <c r="Z191" s="9"/>
      <c r="AA191" s="9"/>
      <c r="AB191" s="9"/>
      <c r="AC191" s="449" t="str">
        <f t="shared" si="26"/>
        <v/>
      </c>
      <c r="AD191" s="449"/>
      <c r="AE191" s="449"/>
      <c r="AF191" s="4"/>
      <c r="AG191" s="83"/>
      <c r="AH191" s="4"/>
      <c r="AI191" s="4"/>
      <c r="AJ191" s="449"/>
      <c r="AK191" s="449"/>
      <c r="AL191" s="449"/>
      <c r="AM191" s="449"/>
      <c r="AN191" s="10"/>
      <c r="AO191" s="9"/>
      <c r="AP191" s="9"/>
      <c r="AQ191" s="9">
        <f>+FL_2($T$192,$T$190,$G$191,1200,9.28,-1*$F$192)</f>
        <v>-0.30001440298338383</v>
      </c>
      <c r="AR191" s="9"/>
      <c r="AS191" s="9"/>
      <c r="AT191" s="9"/>
      <c r="AU191" s="428"/>
      <c r="AV191" s="428"/>
      <c r="AW191" s="449" t="str">
        <f>IF(C191&gt;0,VLOOKUP(C191,Foundation_Calc!$A$2:$C$13,3,1),
IF(J191&gt;0,VLOOKUP(J191,Foundation_Calc!$A$2:$C$13,3,1),""))</f>
        <v>Multi Soil</v>
      </c>
      <c r="AX191" s="449" t="str">
        <f>IF(C191&gt;0,VLOOKUP(C191,Foundation_Calc!$E$2:$G$33,3,1),
IF(J191&gt;0,VLOOKUP(J191,Foundation_Calc!$E$2:$G$33,3,1),""))</f>
        <v>PT</v>
      </c>
      <c r="AY191" s="10" t="str">
        <f>IF(L191="","",
IF(AX191="PT",VLOOKUP(L191,Foundation_Calc!$K$79:$R$113,VLOOKUP(AW191,Foundation_Calc!$I$2:$J$8,2,FALSE),0),
IF(AX191="K",VLOOKUP(L191,Foundation_Calc!$K$117:$R$151,VLOOKUP(AW191,Foundation_Calc!$I$2:$J$8,2,FALSE),0),"")))</f>
        <v/>
      </c>
      <c r="AZ191" s="10">
        <f>IF(K191="","",
IF(AX191="PT",VLOOKUP(K191,Foundation_Calc!$K$79:$R$113,VLOOKUP(AW191,Foundation_Calc!$I$2:$J$8,2,FALSE),0),
IF(AX191="K",VLOOKUP(K191,Foundation_Calc!$K$117:$R$151,VLOOKUP(AW191,Foundation_Calc!$I$2:$J$8,2,FALSE),0),"")))</f>
        <v>3.9</v>
      </c>
      <c r="BA191" s="495" t="str">
        <f t="shared" si="27"/>
        <v/>
      </c>
      <c r="BB191" s="495" t="str">
        <f t="shared" si="28"/>
        <v>ü</v>
      </c>
      <c r="BC191" s="495" t="str">
        <f t="shared" si="29"/>
        <v/>
      </c>
      <c r="BD191" s="513" t="str">
        <f>IF(AND(L191="",H191=""),"",
IF(H191="",Pole_Calc!A$9,
IF(H191="MP",Pole_Calc!A$10,
IF(H191="AnMP",Pole_Calc!A$11,
IF(H191="A",Pole_Calc!A$12,
IF(H191="S/A",Pole_Calc!A$13,
IF(H191="A/S",Pole_Calc!A$14,"Poner a mano")))))))</f>
        <v/>
      </c>
      <c r="BE191" s="429" t="s">
        <v>118</v>
      </c>
      <c r="BF191" s="290"/>
      <c r="BG191" s="290"/>
      <c r="BH191" s="290"/>
      <c r="BI191" s="290"/>
    </row>
    <row r="192" spans="1:61" ht="16.149999999999999" customHeight="1">
      <c r="A192" s="514"/>
      <c r="B192" s="450" t="s">
        <v>275</v>
      </c>
      <c r="C192" s="3">
        <f>+$C$190+$G$191</f>
        <v>34837.35</v>
      </c>
      <c r="D192" s="83"/>
      <c r="E192" s="4"/>
      <c r="F192" s="4">
        <f>IF(C192&gt;0,VLOOKUP(C192,'ALIGNMENT TRACK'!$A$1:$K$81,9,1))</f>
        <v>1200</v>
      </c>
      <c r="G192" s="6"/>
      <c r="H192" s="449" t="s">
        <v>236</v>
      </c>
      <c r="I192" s="4" t="s">
        <v>162</v>
      </c>
      <c r="J192" s="3"/>
      <c r="K192" s="449"/>
      <c r="L192" s="449" t="s">
        <v>232</v>
      </c>
      <c r="M192" s="449" t="str">
        <f>IF(L192="","",
IF(AX192="PT",VLOOKUP(L192,Foundation_Calc!$V$79:$X$113,VLOOKUP(AX192,Foundation_Calc!$I$10:$J$13,2,FALSE),0),
IF(AX192="K",VLOOKUP(L192,Foundation_Calc!$V$117:$X$151,VLOOKUP(AX192,Foundation_Calc!$I$10:$J$13,2,FALSE),0),"")))</f>
        <v>C5R</v>
      </c>
      <c r="N192" s="449" t="s">
        <v>124</v>
      </c>
      <c r="O192" s="449" t="s">
        <v>133</v>
      </c>
      <c r="P192" s="449"/>
      <c r="Q192" s="4"/>
      <c r="R192" s="6"/>
      <c r="S192" s="6"/>
      <c r="T192" s="4">
        <v>-30</v>
      </c>
      <c r="U192" s="4">
        <v>50</v>
      </c>
      <c r="V192" s="4"/>
      <c r="W192" s="9">
        <v>2</v>
      </c>
      <c r="X192" s="9">
        <v>1.4</v>
      </c>
      <c r="Y192" s="9"/>
      <c r="Z192" s="9"/>
      <c r="AA192" s="9">
        <v>0.6</v>
      </c>
      <c r="AB192" s="9"/>
      <c r="AC192" s="449" t="str">
        <f t="shared" si="26"/>
        <v>PHC</v>
      </c>
      <c r="AD192" s="449"/>
      <c r="AE192" s="449"/>
      <c r="AF192" s="4"/>
      <c r="AG192" s="83"/>
      <c r="AH192" s="4"/>
      <c r="AI192" s="4"/>
      <c r="AJ192" s="449"/>
      <c r="AK192" s="449"/>
      <c r="AL192" s="449" t="s">
        <v>241</v>
      </c>
      <c r="AM192" s="449" t="s">
        <v>126</v>
      </c>
      <c r="AN192" s="10">
        <v>5.5</v>
      </c>
      <c r="AO192" s="9"/>
      <c r="AP192" s="9"/>
      <c r="AQ192" s="9"/>
      <c r="AR192" s="9"/>
      <c r="AS192" s="9"/>
      <c r="AT192" s="9">
        <f>+ab($T$192,$T$190,$U$194,$G$191,$G$193,-1*$F$192,1200)</f>
        <v>-4.7861529281530943</v>
      </c>
      <c r="AU192" s="428"/>
      <c r="AV192" s="428"/>
      <c r="AW192" s="449" t="str">
        <f>IF(C192&gt;0,VLOOKUP(C192,Foundation_Calc!$A$2:$C$13,3,1),
IF(J192&gt;0,VLOOKUP(J192,Foundation_Calc!$A$2:$C$13,3,1),""))</f>
        <v>Multi Soil</v>
      </c>
      <c r="AX192" s="449" t="str">
        <f>IF(C192&gt;0,VLOOKUP(C192,Foundation_Calc!$E$2:$G$33,3,1),
IF(J192&gt;0,VLOOKUP(J192,Foundation_Calc!$E$2:$G$33,3,1),""))</f>
        <v>PT</v>
      </c>
      <c r="AY192" s="10">
        <f>IF(L192="","",
IF(AX192="PT",VLOOKUP(L192,Foundation_Calc!$K$79:$R$113,VLOOKUP(AW192,Foundation_Calc!$I$2:$J$8,2,FALSE),0),
IF(AX192="K",VLOOKUP(L192,Foundation_Calc!$K$117:$R$151,VLOOKUP(AW192,Foundation_Calc!$I$2:$J$8,2,FALSE),0),"")))</f>
        <v>3.5</v>
      </c>
      <c r="AZ192" s="10" t="str">
        <f>IF(K192="","",
IF(AX192="PT",VLOOKUP(K192,Foundation_Calc!$K$79:$R$113,VLOOKUP(AW192,Foundation_Calc!$I$2:$J$8,2,FALSE),0),
IF(AX192="K",VLOOKUP(K192,Foundation_Calc!$K$117:$R$151,VLOOKUP(AW192,Foundation_Calc!$I$2:$J$8,2,FALSE),0),"")))</f>
        <v/>
      </c>
      <c r="BA192" s="495" t="str">
        <f t="shared" si="27"/>
        <v>ü</v>
      </c>
      <c r="BB192" s="495" t="str">
        <f t="shared" si="28"/>
        <v/>
      </c>
      <c r="BC192" s="495" t="str">
        <f t="shared" si="29"/>
        <v/>
      </c>
      <c r="BD192" s="513" t="str">
        <f>Pole_Calc!A$251</f>
        <v>App.8-V08H-P10.3</v>
      </c>
      <c r="BE192" s="429" t="s">
        <v>118</v>
      </c>
      <c r="BF192" s="289"/>
      <c r="BG192" s="289"/>
      <c r="BH192" s="290"/>
      <c r="BI192" s="289"/>
    </row>
    <row r="193" spans="1:61" ht="16.149999999999999" customHeight="1">
      <c r="A193" s="685" t="s">
        <v>160</v>
      </c>
      <c r="B193" s="686"/>
      <c r="C193" s="687"/>
      <c r="D193" s="688"/>
      <c r="E193" s="689"/>
      <c r="F193" s="689"/>
      <c r="G193" s="690">
        <v>48</v>
      </c>
      <c r="H193" s="691"/>
      <c r="I193" s="689"/>
      <c r="J193" s="687"/>
      <c r="K193" s="691"/>
      <c r="L193" s="691"/>
      <c r="M193" s="691" t="str">
        <f>IF(L193="","",
IF(AX193="PT",VLOOKUP(L193,Foundation_Calc!$V$79:$X$113,VLOOKUP(AX193,Foundation_Calc!$I$10:$J$13,2,FALSE),0),
IF(AX193="K",VLOOKUP(L193,Foundation_Calc!$V$117:$X$151,VLOOKUP(AX193,Foundation_Calc!$I$10:$J$13,2,FALSE),0),"")))</f>
        <v/>
      </c>
      <c r="N193" s="691"/>
      <c r="O193" s="691"/>
      <c r="P193" s="691"/>
      <c r="Q193" s="689"/>
      <c r="R193" s="690"/>
      <c r="S193" s="690"/>
      <c r="T193" s="689"/>
      <c r="U193" s="689"/>
      <c r="V193" s="689"/>
      <c r="W193" s="692"/>
      <c r="X193" s="692"/>
      <c r="Y193" s="692"/>
      <c r="Z193" s="692"/>
      <c r="AA193" s="692"/>
      <c r="AB193" s="692"/>
      <c r="AC193" s="691" t="str">
        <f t="shared" si="26"/>
        <v/>
      </c>
      <c r="AD193" s="691"/>
      <c r="AE193" s="691"/>
      <c r="AF193" s="689"/>
      <c r="AG193" s="688"/>
      <c r="AH193" s="689"/>
      <c r="AI193" s="689"/>
      <c r="AJ193" s="691"/>
      <c r="AK193" s="691"/>
      <c r="AL193" s="691"/>
      <c r="AM193" s="691"/>
      <c r="AN193" s="693"/>
      <c r="AO193" s="692"/>
      <c r="AP193" s="692"/>
      <c r="AQ193" s="692">
        <f>+FL_2($T$194,$T$192,$G$193,1200,9.28,-1*$F$194)</f>
        <v>-0.30005606965004639</v>
      </c>
      <c r="AR193" s="692"/>
      <c r="AS193" s="692"/>
      <c r="AT193" s="692"/>
      <c r="AU193" s="694"/>
      <c r="AV193" s="694"/>
      <c r="AW193" s="691" t="str">
        <f>IF(C193&gt;0,VLOOKUP(C193,Foundation_Calc!$A$2:$C$13,3,1),
IF(J193&gt;0,VLOOKUP(J193,Foundation_Calc!$A$2:$C$13,3,1),""))</f>
        <v/>
      </c>
      <c r="AX193" s="691" t="str">
        <f>IF(C193&gt;0,VLOOKUP(C193,Foundation_Calc!$E$2:$G$33,3,1),
IF(J193&gt;0,VLOOKUP(J193,Foundation_Calc!$E$2:$G$33,3,1),""))</f>
        <v/>
      </c>
      <c r="AY193" s="693" t="str">
        <f>IF(L193="","",
IF(AX193="PT",VLOOKUP(L193,Foundation_Calc!$K$79:$R$113,VLOOKUP(AW193,Foundation_Calc!$I$2:$J$8,2,FALSE),0),
IF(AX193="K",VLOOKUP(L193,Foundation_Calc!$K$117:$R$151,VLOOKUP(AW193,Foundation_Calc!$I$2:$J$8,2,FALSE),0),"")))</f>
        <v/>
      </c>
      <c r="AZ193" s="693" t="str">
        <f>IF(K193="","",
IF(AX193="PT",VLOOKUP(K193,Foundation_Calc!$K$79:$R$113,VLOOKUP(AW193,Foundation_Calc!$I$2:$J$8,2,FALSE),0),
IF(AX193="K",VLOOKUP(K193,Foundation_Calc!$K$117:$R$151,VLOOKUP(AW193,Foundation_Calc!$I$2:$J$8,2,FALSE),0),"")))</f>
        <v/>
      </c>
      <c r="BA193" s="495" t="str">
        <f t="shared" si="27"/>
        <v/>
      </c>
      <c r="BB193" s="495" t="str">
        <f t="shared" si="28"/>
        <v/>
      </c>
      <c r="BC193" s="495" t="str">
        <f t="shared" si="29"/>
        <v/>
      </c>
      <c r="BD193" s="513" t="str">
        <f>IF(AND(L193="",H193=""),"",
IF(H193="",Pole_Calc!A$9,
IF(H193="MP",Pole_Calc!A$10,
IF(H193="AnMP",Pole_Calc!A$11,
IF(H193="A",Pole_Calc!A$12,
IF(H193="S/A",Pole_Calc!A$13,
IF(H193="A/S",Pole_Calc!A$14,"Poner a mano")))))))</f>
        <v/>
      </c>
      <c r="BE193" s="429" t="s">
        <v>118</v>
      </c>
      <c r="BF193" s="290"/>
      <c r="BG193" s="290"/>
      <c r="BH193" s="290"/>
      <c r="BI193" s="290"/>
    </row>
    <row r="194" spans="1:61" ht="16.149999999999999" customHeight="1">
      <c r="A194" s="514"/>
      <c r="B194" s="450" t="s">
        <v>276</v>
      </c>
      <c r="C194" s="3">
        <f>+$C$192+$G$193</f>
        <v>34885.35</v>
      </c>
      <c r="D194" s="83"/>
      <c r="E194" s="4"/>
      <c r="F194" s="4">
        <f>IF(C194&gt;0,VLOOKUP(C194,'ALIGNMENT TRACK'!$A$1:$K$81,9,1))</f>
        <v>1200</v>
      </c>
      <c r="G194" s="6"/>
      <c r="H194" s="449" t="s">
        <v>277</v>
      </c>
      <c r="I194" s="4" t="s">
        <v>122</v>
      </c>
      <c r="J194" s="3"/>
      <c r="K194" s="449"/>
      <c r="L194" s="449" t="s">
        <v>232</v>
      </c>
      <c r="M194" s="449" t="str">
        <f>IF(L194="","",
IF(AX194="PT",VLOOKUP(L194,Foundation_Calc!$V$79:$X$113,VLOOKUP(AX194,Foundation_Calc!$I$10:$J$13,2,FALSE),0),
IF(AX194="K",VLOOKUP(L194,Foundation_Calc!$V$117:$X$151,VLOOKUP(AX194,Foundation_Calc!$I$10:$J$13,2,FALSE),0),"")))</f>
        <v>C5R</v>
      </c>
      <c r="N194" s="449" t="s">
        <v>133</v>
      </c>
      <c r="O194" s="449" t="s">
        <v>124</v>
      </c>
      <c r="P194" s="449"/>
      <c r="Q194" s="4"/>
      <c r="R194" s="6"/>
      <c r="S194" s="6"/>
      <c r="T194" s="4">
        <v>-10</v>
      </c>
      <c r="U194" s="4">
        <v>-30</v>
      </c>
      <c r="V194" s="4"/>
      <c r="W194" s="9">
        <v>1.4</v>
      </c>
      <c r="X194" s="9">
        <v>2.2999999999999998</v>
      </c>
      <c r="Y194" s="9"/>
      <c r="Z194" s="9">
        <v>0.45</v>
      </c>
      <c r="AA194" s="9"/>
      <c r="AB194" s="9"/>
      <c r="AC194" s="449"/>
      <c r="AD194" s="449"/>
      <c r="AE194" s="449"/>
      <c r="AF194" s="4"/>
      <c r="AG194" s="83"/>
      <c r="AH194" s="4"/>
      <c r="AI194" s="4"/>
      <c r="AJ194" s="449"/>
      <c r="AK194" s="449"/>
      <c r="AL194" s="449" t="s">
        <v>241</v>
      </c>
      <c r="AM194" s="449" t="s">
        <v>126</v>
      </c>
      <c r="AN194" s="10">
        <v>5.5</v>
      </c>
      <c r="AO194" s="9"/>
      <c r="AP194" s="9"/>
      <c r="AQ194" s="9"/>
      <c r="AR194" s="9"/>
      <c r="AS194" s="9"/>
      <c r="AT194" s="9">
        <f>+ab($U$194,$T$192,$T$196,$G$193,$G$195,-1*$F$194,1200)</f>
        <v>-4.3364404927865321</v>
      </c>
      <c r="AU194" s="428"/>
      <c r="AV194" s="428"/>
      <c r="AW194" s="449" t="str">
        <f>IF(C194&gt;0,VLOOKUP(C194,Foundation_Calc!$A$2:$C$13,3,1),
IF(J194&gt;0,VLOOKUP(J194,Foundation_Calc!$A$2:$C$13,3,1),""))</f>
        <v>Multi Soil</v>
      </c>
      <c r="AX194" s="449" t="str">
        <f>IF(C194&gt;0,VLOOKUP(C194,Foundation_Calc!$E$2:$G$33,3,1),
IF(J194&gt;0,VLOOKUP(J194,Foundation_Calc!$E$2:$G$33,3,1),""))</f>
        <v>PT</v>
      </c>
      <c r="AY194" s="10">
        <f>IF(L194="","",
IF(AX194="PT",VLOOKUP(L194,Foundation_Calc!$K$79:$R$113,VLOOKUP(AW194,Foundation_Calc!$I$2:$J$8,2,FALSE),0),
IF(AX194="K",VLOOKUP(L194,Foundation_Calc!$K$117:$R$151,VLOOKUP(AW194,Foundation_Calc!$I$2:$J$8,2,FALSE),0),"")))</f>
        <v>3.5</v>
      </c>
      <c r="AZ194" s="10" t="str">
        <f>IF(K194="","",
IF(AX194="PT",VLOOKUP(K194,Foundation_Calc!$K$79:$R$113,VLOOKUP(AW194,Foundation_Calc!$I$2:$J$8,2,FALSE),0),
IF(AX194="K",VLOOKUP(K194,Foundation_Calc!$K$117:$R$151,VLOOKUP(AW194,Foundation_Calc!$I$2:$J$8,2,FALSE),0),"")))</f>
        <v/>
      </c>
      <c r="BA194" s="495" t="str">
        <f t="shared" si="27"/>
        <v>ü</v>
      </c>
      <c r="BB194" s="495" t="str">
        <f t="shared" si="28"/>
        <v/>
      </c>
      <c r="BC194" s="495" t="str">
        <f t="shared" si="29"/>
        <v/>
      </c>
      <c r="BD194" s="513" t="str">
        <f>Pole_Calc!A$251</f>
        <v>App.8-V08H-P10.3</v>
      </c>
      <c r="BE194" s="429" t="s">
        <v>118</v>
      </c>
      <c r="BF194" s="289"/>
      <c r="BG194" s="289"/>
      <c r="BH194" s="290"/>
      <c r="BI194" s="289"/>
    </row>
    <row r="195" spans="1:61" ht="16.149999999999999" customHeight="1">
      <c r="A195" s="514"/>
      <c r="B195" s="450"/>
      <c r="C195" s="3"/>
      <c r="D195" s="83"/>
      <c r="E195" s="4"/>
      <c r="F195" s="4"/>
      <c r="G195" s="6">
        <v>48</v>
      </c>
      <c r="H195" s="449"/>
      <c r="I195" s="4"/>
      <c r="J195" s="3">
        <f>C194+7.5</f>
        <v>34892.85</v>
      </c>
      <c r="K195" s="449" t="s">
        <v>117</v>
      </c>
      <c r="L195" s="449"/>
      <c r="M195" s="449" t="str">
        <f>IF(L195="","",
IF(AX195="PT",VLOOKUP(L195,Foundation_Calc!$V$79:$X$113,VLOOKUP(AX195,Foundation_Calc!$I$10:$J$13,2,FALSE),0),
IF(AX195="K",VLOOKUP(L195,Foundation_Calc!$V$117:$X$151,VLOOKUP(AX195,Foundation_Calc!$I$10:$J$13,2,FALSE),0),"")))</f>
        <v/>
      </c>
      <c r="N195" s="449"/>
      <c r="O195" s="449"/>
      <c r="P195" s="449"/>
      <c r="Q195" s="4"/>
      <c r="R195" s="6"/>
      <c r="S195" s="6"/>
      <c r="T195" s="4"/>
      <c r="U195" s="4"/>
      <c r="V195" s="4"/>
      <c r="W195" s="9"/>
      <c r="X195" s="9"/>
      <c r="Y195" s="9"/>
      <c r="Z195" s="9"/>
      <c r="AA195" s="9"/>
      <c r="AB195" s="9"/>
      <c r="AC195" s="449" t="str">
        <f t="shared" ref="AC195:AC258" si="33">IF(OR(AT195&gt;8,AT195&lt;-8),"PH",
IF(OR(AT195&gt;5,AT195&lt;-5),"PHQ",
IF(OR(AT195&gt;1,AT195&lt;-1),
"PHC","")))</f>
        <v/>
      </c>
      <c r="AD195" s="449"/>
      <c r="AE195" s="449"/>
      <c r="AF195" s="4"/>
      <c r="AG195" s="83"/>
      <c r="AH195" s="4"/>
      <c r="AI195" s="4"/>
      <c r="AJ195" s="449"/>
      <c r="AK195" s="449"/>
      <c r="AL195" s="449"/>
      <c r="AM195" s="449"/>
      <c r="AN195" s="10"/>
      <c r="AO195" s="9"/>
      <c r="AP195" s="9"/>
      <c r="AQ195" s="9">
        <f>+FL_1($T$196,$T$194,$G$195,1200,9.28,-1*$F$196)</f>
        <v>0.36274400480117103</v>
      </c>
      <c r="AR195" s="9"/>
      <c r="AS195" s="9"/>
      <c r="AT195" s="9"/>
      <c r="AU195" s="428"/>
      <c r="AV195" s="428"/>
      <c r="AW195" s="449" t="str">
        <f>IF(C195&gt;0,VLOOKUP(C195,Foundation_Calc!$A$2:$C$13,3,1),
IF(J195&gt;0,VLOOKUP(J195,Foundation_Calc!$A$2:$C$13,3,1),""))</f>
        <v>Multi Soil</v>
      </c>
      <c r="AX195" s="449" t="str">
        <f>IF(C195&gt;0,VLOOKUP(C195,Foundation_Calc!$E$2:$G$33,3,1),
IF(J195&gt;0,VLOOKUP(J195,Foundation_Calc!$E$2:$G$33,3,1),""))</f>
        <v>PT</v>
      </c>
      <c r="AY195" s="10" t="str">
        <f>IF(L195="","",
IF(AX195="PT",VLOOKUP(L195,Foundation_Calc!$K$79:$R$113,VLOOKUP(AW195,Foundation_Calc!$I$2:$J$8,2,FALSE),0),
IF(AX195="K",VLOOKUP(L195,Foundation_Calc!$K$117:$R$151,VLOOKUP(AW195,Foundation_Calc!$I$2:$J$8,2,FALSE),0),"")))</f>
        <v/>
      </c>
      <c r="AZ195" s="10">
        <f>IF(K195="","",
IF(AX195="PT",VLOOKUP(K195,Foundation_Calc!$K$79:$R$113,VLOOKUP(AW195,Foundation_Calc!$I$2:$J$8,2,FALSE),0),
IF(AX195="K",VLOOKUP(K195,Foundation_Calc!$K$117:$R$151,VLOOKUP(AW195,Foundation_Calc!$I$2:$J$8,2,FALSE),0),"")))</f>
        <v>3.9</v>
      </c>
      <c r="BA195" s="495" t="str">
        <f t="shared" si="27"/>
        <v/>
      </c>
      <c r="BB195" s="495" t="str">
        <f t="shared" si="28"/>
        <v>ü</v>
      </c>
      <c r="BC195" s="495" t="str">
        <f t="shared" si="29"/>
        <v/>
      </c>
      <c r="BD195" s="513" t="str">
        <f>IF(AND(L195="",H195=""),"",
IF(H195="",Pole_Calc!A$9,
IF(H195="MP",Pole_Calc!A$10,
IF(H195="AnMP",Pole_Calc!A$11,
IF(H195="A",Pole_Calc!A$12,
IF(H195="S/A",Pole_Calc!A$13,
IF(H195="A/S",Pole_Calc!A$14,"Poner a mano")))))))</f>
        <v/>
      </c>
      <c r="BE195" s="429" t="s">
        <v>118</v>
      </c>
      <c r="BF195" s="290"/>
      <c r="BG195" s="290"/>
      <c r="BH195" s="290"/>
      <c r="BI195" s="290"/>
    </row>
    <row r="196" spans="1:61" ht="16.149999999999999" customHeight="1">
      <c r="A196" s="514"/>
      <c r="B196" s="450" t="s">
        <v>278</v>
      </c>
      <c r="C196" s="3">
        <f>+$C$194+$G$195</f>
        <v>34933.35</v>
      </c>
      <c r="D196" s="83"/>
      <c r="E196" s="4"/>
      <c r="F196" s="4">
        <f>IF(C196&gt;0,VLOOKUP(C196,'ALIGNMENT TRACK'!$A$1:$K$81,9,1))</f>
        <v>1200</v>
      </c>
      <c r="G196" s="6"/>
      <c r="H196" s="449" t="s">
        <v>131</v>
      </c>
      <c r="I196" s="4"/>
      <c r="J196" s="3"/>
      <c r="K196" s="449"/>
      <c r="L196" s="449" t="s">
        <v>232</v>
      </c>
      <c r="M196" s="449" t="str">
        <f>IF(L196="","",
IF(AX196="PT",VLOOKUP(L196,Foundation_Calc!$V$79:$X$113,VLOOKUP(AX196,Foundation_Calc!$I$10:$J$13,2,FALSE),0),
IF(AX196="K",VLOOKUP(L196,Foundation_Calc!$V$117:$X$151,VLOOKUP(AX196,Foundation_Calc!$I$10:$J$13,2,FALSE),0),"")))</f>
        <v>C5R</v>
      </c>
      <c r="N196" s="449" t="s">
        <v>124</v>
      </c>
      <c r="O196" s="449" t="s">
        <v>133</v>
      </c>
      <c r="P196" s="449"/>
      <c r="Q196" s="4"/>
      <c r="R196" s="6"/>
      <c r="S196" s="6"/>
      <c r="T196" s="4">
        <v>-10</v>
      </c>
      <c r="U196" s="4">
        <v>-30</v>
      </c>
      <c r="V196" s="4"/>
      <c r="W196" s="9">
        <v>1.4</v>
      </c>
      <c r="X196" s="9">
        <v>2.2999999999999998</v>
      </c>
      <c r="Y196" s="9"/>
      <c r="Z196" s="9"/>
      <c r="AA196" s="9">
        <v>0.45</v>
      </c>
      <c r="AB196" s="9"/>
      <c r="AC196" s="449" t="str">
        <f t="shared" si="33"/>
        <v>PHQ</v>
      </c>
      <c r="AD196" s="449"/>
      <c r="AE196" s="449"/>
      <c r="AF196" s="4"/>
      <c r="AG196" s="83"/>
      <c r="AH196" s="4"/>
      <c r="AI196" s="4"/>
      <c r="AJ196" s="449"/>
      <c r="AK196" s="449"/>
      <c r="AL196" s="449" t="s">
        <v>241</v>
      </c>
      <c r="AM196" s="449" t="s">
        <v>126</v>
      </c>
      <c r="AN196" s="10">
        <v>5.5</v>
      </c>
      <c r="AO196" s="9"/>
      <c r="AP196" s="9"/>
      <c r="AQ196" s="9"/>
      <c r="AR196" s="9"/>
      <c r="AS196" s="9"/>
      <c r="AT196" s="9">
        <f>+ab($T$196,$T$194,$T$198,$G$195,$G$197,-1*$F$196,1200)</f>
        <v>-5.3396317044105279</v>
      </c>
      <c r="AU196" s="428"/>
      <c r="AV196" s="428"/>
      <c r="AW196" s="449" t="str">
        <f>IF(C196&gt;0,VLOOKUP(C196,Foundation_Calc!$A$2:$C$13,3,1),
IF(J196&gt;0,VLOOKUP(J196,Foundation_Calc!$A$2:$C$13,3,1),""))</f>
        <v>Multi Soil</v>
      </c>
      <c r="AX196" s="449" t="str">
        <f>IF(C196&gt;0,VLOOKUP(C196,Foundation_Calc!$E$2:$G$33,3,1),
IF(J196&gt;0,VLOOKUP(J196,Foundation_Calc!$E$2:$G$33,3,1),""))</f>
        <v>PT</v>
      </c>
      <c r="AY196" s="10">
        <f>IF(L196="","",
IF(AX196="PT",VLOOKUP(L196,Foundation_Calc!$K$79:$R$113,VLOOKUP(AW196,Foundation_Calc!$I$2:$J$8,2,FALSE),0),
IF(AX196="K",VLOOKUP(L196,Foundation_Calc!$K$117:$R$151,VLOOKUP(AW196,Foundation_Calc!$I$2:$J$8,2,FALSE),0),"")))</f>
        <v>3.5</v>
      </c>
      <c r="AZ196" s="10" t="str">
        <f>IF(K196="","",
IF(AX196="PT",VLOOKUP(K196,Foundation_Calc!$K$79:$R$113,VLOOKUP(AW196,Foundation_Calc!$I$2:$J$8,2,FALSE),0),
IF(AX196="K",VLOOKUP(K196,Foundation_Calc!$K$117:$R$151,VLOOKUP(AW196,Foundation_Calc!$I$2:$J$8,2,FALSE),0),"")))</f>
        <v/>
      </c>
      <c r="BA196" s="495" t="str">
        <f t="shared" si="27"/>
        <v>ü</v>
      </c>
      <c r="BB196" s="495" t="str">
        <f t="shared" si="28"/>
        <v/>
      </c>
      <c r="BC196" s="495" t="str">
        <f t="shared" si="29"/>
        <v/>
      </c>
      <c r="BD196" s="513" t="str">
        <f>Pole_Calc!A$251</f>
        <v>App.8-V08H-P10.3</v>
      </c>
      <c r="BE196" s="429" t="s">
        <v>118</v>
      </c>
      <c r="BF196" s="289"/>
      <c r="BG196" s="289"/>
      <c r="BH196" s="290"/>
      <c r="BI196" s="289"/>
    </row>
    <row r="197" spans="1:61" ht="16.149999999999999" customHeight="1">
      <c r="A197" s="514"/>
      <c r="B197" s="450"/>
      <c r="C197" s="3"/>
      <c r="D197" s="83"/>
      <c r="E197" s="4"/>
      <c r="F197" s="4"/>
      <c r="G197" s="6">
        <v>48</v>
      </c>
      <c r="H197" s="449"/>
      <c r="I197" s="4"/>
      <c r="J197" s="3"/>
      <c r="K197" s="449"/>
      <c r="L197" s="449"/>
      <c r="M197" s="449" t="str">
        <f>IF(L197="","",
IF(AX197="PT",VLOOKUP(L197,Foundation_Calc!$V$79:$X$113,VLOOKUP(AX197,Foundation_Calc!$I$10:$J$13,2,FALSE),0),
IF(AX197="K",VLOOKUP(L197,Foundation_Calc!$V$117:$X$151,VLOOKUP(AX197,Foundation_Calc!$I$10:$J$13,2,FALSE),0),"")))</f>
        <v/>
      </c>
      <c r="N197" s="449"/>
      <c r="O197" s="449"/>
      <c r="P197" s="449"/>
      <c r="Q197" s="4"/>
      <c r="R197" s="6"/>
      <c r="S197" s="6"/>
      <c r="T197" s="4"/>
      <c r="U197" s="4"/>
      <c r="V197" s="4"/>
      <c r="W197" s="9"/>
      <c r="X197" s="9"/>
      <c r="Y197" s="9"/>
      <c r="Z197" s="9"/>
      <c r="AA197" s="9"/>
      <c r="AB197" s="9"/>
      <c r="AC197" s="449" t="str">
        <f t="shared" si="33"/>
        <v/>
      </c>
      <c r="AD197" s="449"/>
      <c r="AE197" s="449"/>
      <c r="AF197" s="4"/>
      <c r="AG197" s="83"/>
      <c r="AH197" s="4"/>
      <c r="AI197" s="4"/>
      <c r="AJ197" s="449"/>
      <c r="AK197" s="449"/>
      <c r="AL197" s="449"/>
      <c r="AM197" s="449"/>
      <c r="AN197" s="10"/>
      <c r="AO197" s="9"/>
      <c r="AP197" s="9"/>
      <c r="AQ197" s="9">
        <f>+FL_2($T$198,$T$196,$G$197,1200,9.28,-1*$F$198)</f>
        <v>-0.29999999999999993</v>
      </c>
      <c r="AR197" s="9"/>
      <c r="AS197" s="9"/>
      <c r="AT197" s="9"/>
      <c r="AU197" s="428"/>
      <c r="AV197" s="428"/>
      <c r="AW197" s="449" t="str">
        <f>IF(C197&gt;0,VLOOKUP(C197,Foundation_Calc!$A$2:$C$13,3,1),
IF(J197&gt;0,VLOOKUP(J197,Foundation_Calc!$A$2:$C$13,3,1),""))</f>
        <v/>
      </c>
      <c r="AX197" s="449" t="str">
        <f>IF(C197&gt;0,VLOOKUP(C197,Foundation_Calc!$E$2:$G$33,3,1),
IF(J197&gt;0,VLOOKUP(J197,Foundation_Calc!$E$2:$G$33,3,1),""))</f>
        <v/>
      </c>
      <c r="AY197" s="10" t="str">
        <f>IF(L197="","",
IF(AX197="PT",VLOOKUP(L197,Foundation_Calc!$K$79:$R$113,VLOOKUP(AW197,Foundation_Calc!$I$2:$J$8,2,FALSE),0),
IF(AX197="K",VLOOKUP(L197,Foundation_Calc!$K$117:$R$151,VLOOKUP(AW197,Foundation_Calc!$I$2:$J$8,2,FALSE),0),"")))</f>
        <v/>
      </c>
      <c r="AZ197" s="10" t="str">
        <f>IF(K197="","",
IF(AX197="PT",VLOOKUP(K197,Foundation_Calc!$K$79:$R$113,VLOOKUP(AW197,Foundation_Calc!$I$2:$J$8,2,FALSE),0),
IF(AX197="K",VLOOKUP(K197,Foundation_Calc!$K$117:$R$151,VLOOKUP(AW197,Foundation_Calc!$I$2:$J$8,2,FALSE),0),"")))</f>
        <v/>
      </c>
      <c r="BA197" s="495" t="str">
        <f t="shared" si="27"/>
        <v/>
      </c>
      <c r="BB197" s="495" t="str">
        <f t="shared" si="28"/>
        <v/>
      </c>
      <c r="BC197" s="495" t="str">
        <f t="shared" si="29"/>
        <v/>
      </c>
      <c r="BD197" s="513" t="str">
        <f>IF(AND(L197="",H197=""),"",
IF(H197="",Pole_Calc!A$9,
IF(H197="MP",Pole_Calc!A$10,
IF(H197="AnMP",Pole_Calc!A$11,
IF(H197="A",Pole_Calc!A$12,
IF(H197="S/A",Pole_Calc!A$13,
IF(H197="A/S",Pole_Calc!A$14,"Poner a mano")))))))</f>
        <v/>
      </c>
      <c r="BE197" s="429" t="s">
        <v>118</v>
      </c>
      <c r="BF197" s="290"/>
      <c r="BG197" s="290"/>
      <c r="BH197" s="290"/>
      <c r="BI197" s="290"/>
    </row>
    <row r="198" spans="1:61" ht="16.149999999999999" customHeight="1">
      <c r="A198" s="514"/>
      <c r="B198" s="450" t="s">
        <v>279</v>
      </c>
      <c r="C198" s="3">
        <f>+$C$196+$G$197</f>
        <v>34981.35</v>
      </c>
      <c r="D198" s="83"/>
      <c r="E198" s="4"/>
      <c r="F198" s="4">
        <f>IF(C198&gt;0,VLOOKUP(C198,'ALIGNMENT TRACK'!$A$1:$K$81,9,1))</f>
        <v>1200</v>
      </c>
      <c r="G198" s="6"/>
      <c r="H198" s="449" t="s">
        <v>121</v>
      </c>
      <c r="I198" s="4" t="s">
        <v>122</v>
      </c>
      <c r="J198" s="3"/>
      <c r="K198" s="449"/>
      <c r="L198" s="449" t="s">
        <v>232</v>
      </c>
      <c r="M198" s="449" t="str">
        <f>IF(L198="","",
IF(AX198="PT",VLOOKUP(L198,Foundation_Calc!$V$79:$X$113,VLOOKUP(AX198,Foundation_Calc!$I$10:$J$13,2,FALSE),0),
IF(AX198="K",VLOOKUP(L198,Foundation_Calc!$V$117:$X$151,VLOOKUP(AX198,Foundation_Calc!$I$10:$J$13,2,FALSE),0),"")))</f>
        <v>C5R</v>
      </c>
      <c r="N198" s="449" t="s">
        <v>124</v>
      </c>
      <c r="O198" s="449"/>
      <c r="P198" s="449"/>
      <c r="Q198" s="4"/>
      <c r="R198" s="6"/>
      <c r="S198" s="6"/>
      <c r="T198" s="4">
        <v>-30</v>
      </c>
      <c r="U198" s="4"/>
      <c r="V198" s="4"/>
      <c r="W198" s="9">
        <v>1.4</v>
      </c>
      <c r="X198" s="9"/>
      <c r="Y198" s="9"/>
      <c r="Z198" s="9"/>
      <c r="AA198" s="9"/>
      <c r="AB198" s="9"/>
      <c r="AC198" s="449" t="str">
        <f t="shared" si="33"/>
        <v>PHC</v>
      </c>
      <c r="AD198" s="449"/>
      <c r="AE198" s="449"/>
      <c r="AF198" s="4"/>
      <c r="AG198" s="83"/>
      <c r="AH198" s="4"/>
      <c r="AI198" s="4"/>
      <c r="AJ198" s="449"/>
      <c r="AK198" s="449"/>
      <c r="AL198" s="449" t="s">
        <v>241</v>
      </c>
      <c r="AM198" s="449" t="s">
        <v>126</v>
      </c>
      <c r="AN198" s="10">
        <v>5.5</v>
      </c>
      <c r="AO198" s="9"/>
      <c r="AP198" s="9"/>
      <c r="AQ198" s="9"/>
      <c r="AR198" s="9"/>
      <c r="AS198" s="9"/>
      <c r="AT198" s="9">
        <f>+ab($T$198,$T$196,$T$200,$G$197,$G$199,-1*$F$198,1200)</f>
        <v>-4.3364404927865321</v>
      </c>
      <c r="AU198" s="428"/>
      <c r="AV198" s="428"/>
      <c r="AW198" s="449" t="str">
        <f>IF(C198&gt;0,VLOOKUP(C198,Foundation_Calc!$A$2:$C$13,3,1),
IF(J198&gt;0,VLOOKUP(J198,Foundation_Calc!$A$2:$C$13,3,1),""))</f>
        <v>Multi Soil</v>
      </c>
      <c r="AX198" s="449" t="str">
        <f>IF(C198&gt;0,VLOOKUP(C198,Foundation_Calc!$E$2:$G$33,3,1),
IF(J198&gt;0,VLOOKUP(J198,Foundation_Calc!$E$2:$G$33,3,1),""))</f>
        <v>PT</v>
      </c>
      <c r="AY198" s="10">
        <f>IF(L198="","",
IF(AX198="PT",VLOOKUP(L198,Foundation_Calc!$K$79:$R$113,VLOOKUP(AW198,Foundation_Calc!$I$2:$J$8,2,FALSE),0),
IF(AX198="K",VLOOKUP(L198,Foundation_Calc!$K$117:$R$151,VLOOKUP(AW198,Foundation_Calc!$I$2:$J$8,2,FALSE),0),"")))</f>
        <v>3.5</v>
      </c>
      <c r="AZ198" s="10" t="str">
        <f>IF(K198="","",
IF(AX198="PT",VLOOKUP(K198,Foundation_Calc!$K$79:$R$113,VLOOKUP(AW198,Foundation_Calc!$I$2:$J$8,2,FALSE),0),
IF(AX198="K",VLOOKUP(K198,Foundation_Calc!$K$117:$R$151,VLOOKUP(AW198,Foundation_Calc!$I$2:$J$8,2,FALSE),0),"")))</f>
        <v/>
      </c>
      <c r="BA198" s="495" t="str">
        <f t="shared" si="27"/>
        <v>ü</v>
      </c>
      <c r="BB198" s="495" t="str">
        <f t="shared" si="28"/>
        <v/>
      </c>
      <c r="BC198" s="495" t="str">
        <f t="shared" si="29"/>
        <v/>
      </c>
      <c r="BD198" s="513" t="str">
        <f>Pole_Calc!A$251</f>
        <v>App.8-V08H-P10.3</v>
      </c>
      <c r="BE198" s="429" t="s">
        <v>118</v>
      </c>
      <c r="BF198" s="289"/>
      <c r="BG198" s="289"/>
      <c r="BH198" s="290"/>
      <c r="BI198" s="289"/>
    </row>
    <row r="199" spans="1:61" ht="16.149999999999999" customHeight="1">
      <c r="A199" s="514"/>
      <c r="B199" s="450"/>
      <c r="C199" s="3"/>
      <c r="D199" s="83"/>
      <c r="E199" s="4"/>
      <c r="F199" s="4"/>
      <c r="G199" s="6">
        <v>48</v>
      </c>
      <c r="H199" s="449"/>
      <c r="I199" s="4"/>
      <c r="J199" s="3">
        <f>C198+7.5</f>
        <v>34988.85</v>
      </c>
      <c r="K199" s="449" t="s">
        <v>117</v>
      </c>
      <c r="L199" s="449"/>
      <c r="M199" s="449" t="str">
        <f>IF(L199="","",
IF(AX199="PT",VLOOKUP(L199,Foundation_Calc!$V$79:$X$113,VLOOKUP(AX199,Foundation_Calc!$I$10:$J$13,2,FALSE),0),
IF(AX199="K",VLOOKUP(L199,Foundation_Calc!$V$117:$X$151,VLOOKUP(AX199,Foundation_Calc!$I$10:$J$13,2,FALSE),0),"")))</f>
        <v/>
      </c>
      <c r="N199" s="449"/>
      <c r="O199" s="449"/>
      <c r="P199" s="449"/>
      <c r="Q199" s="4"/>
      <c r="R199" s="6"/>
      <c r="S199" s="6"/>
      <c r="T199" s="4"/>
      <c r="U199" s="4"/>
      <c r="V199" s="4"/>
      <c r="W199" s="9"/>
      <c r="X199" s="9"/>
      <c r="Y199" s="9"/>
      <c r="Z199" s="9"/>
      <c r="AA199" s="9"/>
      <c r="AB199" s="9"/>
      <c r="AC199" s="449" t="str">
        <f t="shared" si="33"/>
        <v/>
      </c>
      <c r="AD199" s="449"/>
      <c r="AE199" s="449"/>
      <c r="AF199" s="4"/>
      <c r="AG199" s="83"/>
      <c r="AH199" s="4"/>
      <c r="AI199" s="4"/>
      <c r="AJ199" s="449"/>
      <c r="AK199" s="449"/>
      <c r="AL199" s="449"/>
      <c r="AM199" s="449"/>
      <c r="AN199" s="10"/>
      <c r="AO199" s="9"/>
      <c r="AP199" s="9"/>
      <c r="AQ199" s="9">
        <f>+FL_2($T$200,$T$198,$G$199,1200,9.28,-1*$F$200)</f>
        <v>-0.30001440298338383</v>
      </c>
      <c r="AR199" s="9"/>
      <c r="AS199" s="9"/>
      <c r="AT199" s="9"/>
      <c r="AU199" s="428"/>
      <c r="AV199" s="428"/>
      <c r="AW199" s="449" t="str">
        <f>IF(C199&gt;0,VLOOKUP(C199,Foundation_Calc!$A$2:$C$13,3,1),
IF(J199&gt;0,VLOOKUP(J199,Foundation_Calc!$A$2:$C$13,3,1),""))</f>
        <v>Multi Soil</v>
      </c>
      <c r="AX199" s="449" t="str">
        <f>IF(C199&gt;0,VLOOKUP(C199,Foundation_Calc!$E$2:$G$33,3,1),
IF(J199&gt;0,VLOOKUP(J199,Foundation_Calc!$E$2:$G$33,3,1),""))</f>
        <v>PT</v>
      </c>
      <c r="AY199" s="10" t="str">
        <f>IF(L199="","",
IF(AX199="PT",VLOOKUP(L199,Foundation_Calc!$K$79:$R$113,VLOOKUP(AW199,Foundation_Calc!$I$2:$J$8,2,FALSE),0),
IF(AX199="K",VLOOKUP(L199,Foundation_Calc!$K$117:$R$151,VLOOKUP(AW199,Foundation_Calc!$I$2:$J$8,2,FALSE),0),"")))</f>
        <v/>
      </c>
      <c r="AZ199" s="10">
        <f>IF(K199="","",
IF(AX199="PT",VLOOKUP(K199,Foundation_Calc!$K$79:$R$113,VLOOKUP(AW199,Foundation_Calc!$I$2:$J$8,2,FALSE),0),
IF(AX199="K",VLOOKUP(K199,Foundation_Calc!$K$117:$R$151,VLOOKUP(AW199,Foundation_Calc!$I$2:$J$8,2,FALSE),0),"")))</f>
        <v>3.9</v>
      </c>
      <c r="BA199" s="495" t="str">
        <f t="shared" si="27"/>
        <v/>
      </c>
      <c r="BB199" s="495" t="str">
        <f t="shared" si="28"/>
        <v>ü</v>
      </c>
      <c r="BC199" s="495" t="str">
        <f t="shared" si="29"/>
        <v/>
      </c>
      <c r="BD199" s="513" t="str">
        <f>IF(AND(L199="",H199=""),"",
IF(H199="",Pole_Calc!A$9,
IF(H199="MP",Pole_Calc!A$10,
IF(H199="AnMP",Pole_Calc!A$11,
IF(H199="A",Pole_Calc!A$12,
IF(H199="S/A",Pole_Calc!A$13,
IF(H199="A/S",Pole_Calc!A$14,"Poner a mano")))))))</f>
        <v/>
      </c>
      <c r="BE199" s="429" t="s">
        <v>118</v>
      </c>
      <c r="BF199" s="290"/>
      <c r="BG199" s="290"/>
      <c r="BH199" s="290"/>
      <c r="BI199" s="290"/>
    </row>
    <row r="200" spans="1:61" ht="16.149999999999999" customHeight="1">
      <c r="A200" s="514"/>
      <c r="B200" s="450" t="s">
        <v>280</v>
      </c>
      <c r="C200" s="3">
        <f>+$C$198+$G$199</f>
        <v>35029.35</v>
      </c>
      <c r="D200" s="83"/>
      <c r="E200" s="4"/>
      <c r="F200" s="4">
        <f>IF(C200&gt;0,VLOOKUP(C200,'ALIGNMENT TRACK'!$A$1:$K$81,9,1))</f>
        <v>1200</v>
      </c>
      <c r="G200" s="6"/>
      <c r="H200" s="449" t="s">
        <v>168</v>
      </c>
      <c r="I200" s="4"/>
      <c r="J200" s="3">
        <f>C200-7.5</f>
        <v>35021.85</v>
      </c>
      <c r="K200" s="449" t="s">
        <v>166</v>
      </c>
      <c r="L200" s="449" t="s">
        <v>232</v>
      </c>
      <c r="M200" s="449" t="str">
        <f>IF(L200="","",
IF(AX200="PT",VLOOKUP(L200,Foundation_Calc!$V$79:$X$113,VLOOKUP(AX200,Foundation_Calc!$I$10:$J$13,2,FALSE),0),
IF(AX200="K",VLOOKUP(L200,Foundation_Calc!$V$117:$X$151,VLOOKUP(AX200,Foundation_Calc!$I$10:$J$13,2,FALSE),0),"")))</f>
        <v>C5R</v>
      </c>
      <c r="N200" s="449" t="s">
        <v>124</v>
      </c>
      <c r="O200" s="449"/>
      <c r="P200" s="449"/>
      <c r="Q200" s="4"/>
      <c r="R200" s="6"/>
      <c r="S200" s="6"/>
      <c r="T200" s="4">
        <v>-30</v>
      </c>
      <c r="U200" s="4"/>
      <c r="V200" s="4"/>
      <c r="W200" s="9">
        <v>1.4</v>
      </c>
      <c r="X200" s="9"/>
      <c r="Y200" s="9"/>
      <c r="Z200" s="9"/>
      <c r="AA200" s="9"/>
      <c r="AB200" s="9"/>
      <c r="AC200" s="449" t="str">
        <f t="shared" si="33"/>
        <v>PHC</v>
      </c>
      <c r="AD200" s="449"/>
      <c r="AE200" s="449"/>
      <c r="AF200" s="4"/>
      <c r="AG200" s="83"/>
      <c r="AH200" s="4"/>
      <c r="AI200" s="4"/>
      <c r="AJ200" s="449"/>
      <c r="AK200" s="449"/>
      <c r="AL200" s="449" t="s">
        <v>241</v>
      </c>
      <c r="AM200" s="449" t="s">
        <v>126</v>
      </c>
      <c r="AN200" s="10">
        <v>5.5</v>
      </c>
      <c r="AO200" s="9"/>
      <c r="AP200" s="9"/>
      <c r="AQ200" s="9"/>
      <c r="AR200" s="9"/>
      <c r="AS200" s="9"/>
      <c r="AT200" s="9">
        <f>+ab($T$200,$T$198,$T$202,$G$199,$G$201,-1*$F$200,1200)</f>
        <v>-4.7861529281530943</v>
      </c>
      <c r="AU200" s="428"/>
      <c r="AV200" s="428"/>
      <c r="AW200" s="449" t="str">
        <f>IF(C200&gt;0,VLOOKUP(C200,Foundation_Calc!$A$2:$C$13,3,1),
IF(J200&gt;0,VLOOKUP(J200,Foundation_Calc!$A$2:$C$13,3,1),""))</f>
        <v>Multi Soil</v>
      </c>
      <c r="AX200" s="449" t="str">
        <f>IF(C200&gt;0,VLOOKUP(C200,Foundation_Calc!$E$2:$G$33,3,1),
IF(J200&gt;0,VLOOKUP(J200,Foundation_Calc!$E$2:$G$33,3,1),""))</f>
        <v>PT</v>
      </c>
      <c r="AY200" s="10">
        <f>IF(L200="","",
IF(AX200="PT",VLOOKUP(L200,Foundation_Calc!$K$79:$R$113,VLOOKUP(AW200,Foundation_Calc!$I$2:$J$8,2,FALSE),0),
IF(AX200="K",VLOOKUP(L200,Foundation_Calc!$K$117:$R$151,VLOOKUP(AW200,Foundation_Calc!$I$2:$J$8,2,FALSE),0),"")))</f>
        <v>3.5</v>
      </c>
      <c r="AZ200" s="10">
        <f>IF(K200="","",
IF(AX200="PT",VLOOKUP(K200,Foundation_Calc!$K$79:$R$113,VLOOKUP(AW200,Foundation_Calc!$I$2:$J$8,2,FALSE),0),
IF(AX200="K",VLOOKUP(K200,Foundation_Calc!$K$117:$R$151,VLOOKUP(AW200,Foundation_Calc!$I$2:$J$8,2,FALSE),0),"")))</f>
        <v>2.8</v>
      </c>
      <c r="BA200" s="495" t="str">
        <f t="shared" si="27"/>
        <v>ü</v>
      </c>
      <c r="BB200" s="495" t="str">
        <f t="shared" si="28"/>
        <v>ü</v>
      </c>
      <c r="BC200" s="495" t="str">
        <f t="shared" si="29"/>
        <v/>
      </c>
      <c r="BD200" s="513" t="str">
        <f>Pole_Calc!A$251</f>
        <v>App.8-V08H-P10.3</v>
      </c>
      <c r="BE200" s="429" t="s">
        <v>118</v>
      </c>
      <c r="BF200" s="289"/>
      <c r="BG200" s="289"/>
      <c r="BH200" s="290"/>
      <c r="BI200" s="289"/>
    </row>
    <row r="201" spans="1:61" ht="16.149999999999999" customHeight="1">
      <c r="A201" s="518"/>
      <c r="B201" s="450"/>
      <c r="C201" s="3"/>
      <c r="D201" s="83"/>
      <c r="E201" s="4"/>
      <c r="F201" s="4"/>
      <c r="G201" s="6">
        <v>48</v>
      </c>
      <c r="H201" s="449"/>
      <c r="I201" s="4"/>
      <c r="J201" s="3"/>
      <c r="K201" s="449"/>
      <c r="L201" s="449"/>
      <c r="M201" s="449" t="str">
        <f>IF(L201="","",
IF(AX201="PT",VLOOKUP(L201,Foundation_Calc!$V$79:$X$113,VLOOKUP(AX201,Foundation_Calc!$I$10:$J$13,2,FALSE),0),
IF(AX201="K",VLOOKUP(L201,Foundation_Calc!$V$117:$X$151,VLOOKUP(AX201,Foundation_Calc!$I$10:$J$13,2,FALSE),0),"")))</f>
        <v/>
      </c>
      <c r="N201" s="449"/>
      <c r="O201" s="449"/>
      <c r="P201" s="449"/>
      <c r="Q201" s="4"/>
      <c r="R201" s="6"/>
      <c r="S201" s="6"/>
      <c r="T201" s="4"/>
      <c r="U201" s="4"/>
      <c r="V201" s="4"/>
      <c r="W201" s="572"/>
      <c r="X201" s="9"/>
      <c r="Y201" s="9"/>
      <c r="Z201" s="9"/>
      <c r="AA201" s="9"/>
      <c r="AB201" s="9"/>
      <c r="AC201" s="449" t="str">
        <f t="shared" si="33"/>
        <v/>
      </c>
      <c r="AD201" s="449"/>
      <c r="AE201" s="449"/>
      <c r="AF201" s="4"/>
      <c r="AG201" s="83"/>
      <c r="AH201" s="4"/>
      <c r="AI201" s="4"/>
      <c r="AJ201" s="449"/>
      <c r="AK201" s="449"/>
      <c r="AL201" s="449"/>
      <c r="AM201" s="449"/>
      <c r="AN201" s="10"/>
      <c r="AO201" s="9"/>
      <c r="AP201" s="9"/>
      <c r="AQ201" s="9">
        <f>+FL_2($T$202,$T$200,$G$201,1200,9.28,-1*$F$202)</f>
        <v>-0.30001440298338383</v>
      </c>
      <c r="AR201" s="9"/>
      <c r="AS201" s="9"/>
      <c r="AT201" s="9"/>
      <c r="AU201" s="428"/>
      <c r="AV201" s="428"/>
      <c r="AW201" s="449" t="str">
        <f>IF(C201&gt;0,VLOOKUP(C201,Foundation_Calc!$A$2:$C$13,3,1),
IF(J201&gt;0,VLOOKUP(J201,Foundation_Calc!$A$2:$C$13,3,1),""))</f>
        <v/>
      </c>
      <c r="AX201" s="449" t="str">
        <f>IF(C201&gt;0,VLOOKUP(C201,Foundation_Calc!$E$2:$G$33,3,1),
IF(J201&gt;0,VLOOKUP(J201,Foundation_Calc!$E$2:$G$33,3,1),""))</f>
        <v/>
      </c>
      <c r="AY201" s="10" t="str">
        <f>IF(L201="","",
IF(AX201="PT",VLOOKUP(L201,Foundation_Calc!$K$79:$R$113,VLOOKUP(AW201,Foundation_Calc!$I$2:$J$8,2,FALSE),0),
IF(AX201="K",VLOOKUP(L201,Foundation_Calc!$K$117:$R$151,VLOOKUP(AW201,Foundation_Calc!$I$2:$J$8,2,FALSE),0),"")))</f>
        <v/>
      </c>
      <c r="AZ201" s="10" t="str">
        <f>IF(K201="","",
IF(AX201="PT",VLOOKUP(K201,Foundation_Calc!$K$79:$R$113,VLOOKUP(AW201,Foundation_Calc!$I$2:$J$8,2,FALSE),0),
IF(AX201="K",VLOOKUP(K201,Foundation_Calc!$K$117:$R$151,VLOOKUP(AW201,Foundation_Calc!$I$2:$J$8,2,FALSE),0),"")))</f>
        <v/>
      </c>
      <c r="BA201" s="495" t="str">
        <f t="shared" si="27"/>
        <v/>
      </c>
      <c r="BB201" s="495" t="str">
        <f t="shared" si="28"/>
        <v/>
      </c>
      <c r="BC201" s="495" t="str">
        <f t="shared" si="29"/>
        <v/>
      </c>
      <c r="BD201" s="513" t="str">
        <f>IF(AND(L201="",H201=""),"",
IF(H201="",Pole_Calc!A$9,
IF(H201="MP",Pole_Calc!A$10,
IF(H201="AnMP",Pole_Calc!A$11,
IF(H201="A",Pole_Calc!A$12,
IF(H201="S/A",Pole_Calc!A$13,
IF(H201="A/S",Pole_Calc!A$14,"Poner a mano")))))))</f>
        <v/>
      </c>
      <c r="BE201" s="429" t="s">
        <v>118</v>
      </c>
      <c r="BF201" s="290"/>
      <c r="BG201" s="290"/>
      <c r="BH201" s="290"/>
      <c r="BI201" s="290"/>
    </row>
    <row r="202" spans="1:61" ht="16.149999999999999" customHeight="1">
      <c r="A202" s="514"/>
      <c r="B202" s="450" t="s">
        <v>281</v>
      </c>
      <c r="C202" s="3">
        <f>+$C$200+$G$201</f>
        <v>35077.35</v>
      </c>
      <c r="D202" s="83"/>
      <c r="E202" s="4"/>
      <c r="F202" s="4">
        <f>IF(C202&gt;0,VLOOKUP(C202,'ALIGNMENT TRACK'!$A$1:$K$81,9,1))</f>
        <v>1200</v>
      </c>
      <c r="G202" s="6"/>
      <c r="H202" s="449"/>
      <c r="I202" s="4"/>
      <c r="J202" s="3"/>
      <c r="K202" s="449"/>
      <c r="L202" s="449" t="s">
        <v>232</v>
      </c>
      <c r="M202" s="449" t="str">
        <f>IF(L202="","",
IF(AX202="PT",VLOOKUP(L202,Foundation_Calc!$V$79:$X$113,VLOOKUP(AX202,Foundation_Calc!$I$10:$J$13,2,FALSE),0),
IF(AX202="K",VLOOKUP(L202,Foundation_Calc!$V$117:$X$151,VLOOKUP(AX202,Foundation_Calc!$I$10:$J$13,2,FALSE),0),"")))</f>
        <v>C5R</v>
      </c>
      <c r="N202" s="449" t="s">
        <v>124</v>
      </c>
      <c r="O202" s="449"/>
      <c r="P202" s="449"/>
      <c r="Q202" s="4"/>
      <c r="R202" s="6"/>
      <c r="S202" s="6"/>
      <c r="T202" s="4">
        <v>-30</v>
      </c>
      <c r="U202" s="4"/>
      <c r="V202" s="4"/>
      <c r="W202" s="9">
        <v>1.4</v>
      </c>
      <c r="X202" s="9"/>
      <c r="Y202" s="9"/>
      <c r="Z202" s="9"/>
      <c r="AA202" s="9"/>
      <c r="AB202" s="9"/>
      <c r="AC202" s="449" t="str">
        <f t="shared" si="33"/>
        <v>PHC</v>
      </c>
      <c r="AD202" s="449"/>
      <c r="AE202" s="449"/>
      <c r="AF202" s="4"/>
      <c r="AG202" s="83"/>
      <c r="AH202" s="4"/>
      <c r="AI202" s="4"/>
      <c r="AJ202" s="449"/>
      <c r="AK202" s="449"/>
      <c r="AL202" s="449" t="s">
        <v>241</v>
      </c>
      <c r="AM202" s="449" t="s">
        <v>126</v>
      </c>
      <c r="AN202" s="10">
        <v>5.5</v>
      </c>
      <c r="AO202" s="9"/>
      <c r="AP202" s="9"/>
      <c r="AQ202" s="9"/>
      <c r="AR202" s="9"/>
      <c r="AS202" s="9"/>
      <c r="AT202" s="9">
        <f>+ab($T$202,$T$200,$T$204,$G$201,$G$203,-1*$F$202,1200)</f>
        <v>-4.7861529281530943</v>
      </c>
      <c r="AU202" s="428"/>
      <c r="AV202" s="428"/>
      <c r="AW202" s="449" t="str">
        <f>IF(C202&gt;0,VLOOKUP(C202,Foundation_Calc!$A$2:$C$13,3,1),
IF(J202&gt;0,VLOOKUP(J202,Foundation_Calc!$A$2:$C$13,3,1),""))</f>
        <v>Multi Soil</v>
      </c>
      <c r="AX202" s="449" t="str">
        <f>IF(C202&gt;0,VLOOKUP(C202,Foundation_Calc!$E$2:$G$33,3,1),
IF(J202&gt;0,VLOOKUP(J202,Foundation_Calc!$E$2:$G$33,3,1),""))</f>
        <v>PT</v>
      </c>
      <c r="AY202" s="10">
        <f>IF(L202="","",
IF(AX202="PT",VLOOKUP(L202,Foundation_Calc!$K$79:$R$113,VLOOKUP(AW202,Foundation_Calc!$I$2:$J$8,2,FALSE),0),
IF(AX202="K",VLOOKUP(L202,Foundation_Calc!$K$117:$R$151,VLOOKUP(AW202,Foundation_Calc!$I$2:$J$8,2,FALSE),0),"")))</f>
        <v>3.5</v>
      </c>
      <c r="AZ202" s="10" t="str">
        <f>IF(K202="","",
IF(AX202="PT",VLOOKUP(K202,Foundation_Calc!$K$79:$R$113,VLOOKUP(AW202,Foundation_Calc!$I$2:$J$8,2,FALSE),0),
IF(AX202="K",VLOOKUP(K202,Foundation_Calc!$K$117:$R$151,VLOOKUP(AW202,Foundation_Calc!$I$2:$J$8,2,FALSE),0),"")))</f>
        <v/>
      </c>
      <c r="BA202" s="495" t="str">
        <f t="shared" si="27"/>
        <v>ü</v>
      </c>
      <c r="BB202" s="495" t="str">
        <f t="shared" si="28"/>
        <v/>
      </c>
      <c r="BC202" s="495" t="str">
        <f t="shared" si="29"/>
        <v/>
      </c>
      <c r="BD202" s="513" t="str">
        <f>Pole_Calc!A$251</f>
        <v>App.8-V08H-P10.3</v>
      </c>
      <c r="BE202" s="429" t="s">
        <v>118</v>
      </c>
      <c r="BF202" s="289"/>
      <c r="BG202" s="289"/>
      <c r="BH202" s="290"/>
      <c r="BI202" s="289"/>
    </row>
    <row r="203" spans="1:61" ht="16.149999999999999" customHeight="1">
      <c r="A203" s="514"/>
      <c r="B203" s="450"/>
      <c r="C203" s="3"/>
      <c r="D203" s="83"/>
      <c r="E203" s="4"/>
      <c r="F203" s="4"/>
      <c r="G203" s="6">
        <v>48</v>
      </c>
      <c r="H203" s="449"/>
      <c r="I203" s="4"/>
      <c r="J203" s="3"/>
      <c r="K203" s="449"/>
      <c r="L203" s="449"/>
      <c r="M203" s="449" t="str">
        <f>IF(L203="","",
IF(AX203="PT",VLOOKUP(L203,Foundation_Calc!$V$79:$X$113,VLOOKUP(AX203,Foundation_Calc!$I$10:$J$13,2,FALSE),0),
IF(AX203="K",VLOOKUP(L203,Foundation_Calc!$V$117:$X$151,VLOOKUP(AX203,Foundation_Calc!$I$10:$J$13,2,FALSE),0),"")))</f>
        <v/>
      </c>
      <c r="N203" s="449"/>
      <c r="O203" s="449"/>
      <c r="P203" s="449"/>
      <c r="Q203" s="4"/>
      <c r="R203" s="6"/>
      <c r="S203" s="6"/>
      <c r="T203" s="4"/>
      <c r="U203" s="4"/>
      <c r="V203" s="4"/>
      <c r="W203" s="572"/>
      <c r="X203" s="9"/>
      <c r="Y203" s="9"/>
      <c r="Z203" s="9"/>
      <c r="AA203" s="9"/>
      <c r="AB203" s="9"/>
      <c r="AC203" s="449" t="str">
        <f t="shared" si="33"/>
        <v/>
      </c>
      <c r="AD203" s="449"/>
      <c r="AE203" s="449"/>
      <c r="AF203" s="4"/>
      <c r="AG203" s="83"/>
      <c r="AH203" s="4"/>
      <c r="AI203" s="4"/>
      <c r="AJ203" s="449"/>
      <c r="AK203" s="449"/>
      <c r="AL203" s="449"/>
      <c r="AM203" s="449"/>
      <c r="AN203" s="10"/>
      <c r="AO203" s="9"/>
      <c r="AP203" s="9"/>
      <c r="AQ203" s="9">
        <f>+FL_2($T$204,$T$202,$G$203,1200,9.28,-1*$F$204)</f>
        <v>-0.35785105955262286</v>
      </c>
      <c r="AR203" s="9"/>
      <c r="AS203" s="9"/>
      <c r="AT203" s="9"/>
      <c r="AU203" s="428"/>
      <c r="AV203" s="428"/>
      <c r="AW203" s="449" t="str">
        <f>IF(C203&gt;0,VLOOKUP(C203,Foundation_Calc!$A$2:$C$13,3,1),
IF(J203&gt;0,VLOOKUP(J203,Foundation_Calc!$A$2:$C$13,3,1),""))</f>
        <v/>
      </c>
      <c r="AX203" s="449" t="str">
        <f>IF(C203&gt;0,VLOOKUP(C203,Foundation_Calc!$E$2:$G$33,3,1),
IF(J203&gt;0,VLOOKUP(J203,Foundation_Calc!$E$2:$G$33,3,1),""))</f>
        <v/>
      </c>
      <c r="AY203" s="10" t="str">
        <f>IF(L203="","",
IF(AX203="PT",VLOOKUP(L203,Foundation_Calc!$K$79:$R$113,VLOOKUP(AW203,Foundation_Calc!$I$2:$J$8,2,FALSE),0),
IF(AX203="K",VLOOKUP(L203,Foundation_Calc!$K$117:$R$151,VLOOKUP(AW203,Foundation_Calc!$I$2:$J$8,2,FALSE),0),"")))</f>
        <v/>
      </c>
      <c r="AZ203" s="10" t="str">
        <f>IF(K203="","",
IF(AX203="PT",VLOOKUP(K203,Foundation_Calc!$K$79:$R$113,VLOOKUP(AW203,Foundation_Calc!$I$2:$J$8,2,FALSE),0),
IF(AX203="K",VLOOKUP(K203,Foundation_Calc!$K$117:$R$151,VLOOKUP(AW203,Foundation_Calc!$I$2:$J$8,2,FALSE),0),"")))</f>
        <v/>
      </c>
      <c r="BA203" s="495" t="str">
        <f t="shared" si="27"/>
        <v/>
      </c>
      <c r="BB203" s="495" t="str">
        <f t="shared" si="28"/>
        <v/>
      </c>
      <c r="BC203" s="495" t="str">
        <f t="shared" si="29"/>
        <v/>
      </c>
      <c r="BD203" s="513" t="str">
        <f>IF(AND(L203="",H203=""),"",
IF(H203="",Pole_Calc!A$9,
IF(H203="MP",Pole_Calc!A$10,
IF(H203="AnMP",Pole_Calc!A$11,
IF(H203="A",Pole_Calc!A$12,
IF(H203="S/A",Pole_Calc!A$13,
IF(H203="A/S",Pole_Calc!A$14,"Poner a mano")))))))</f>
        <v/>
      </c>
      <c r="BE203" s="429" t="s">
        <v>118</v>
      </c>
      <c r="BF203" s="290"/>
      <c r="BG203" s="290"/>
      <c r="BH203" s="290"/>
      <c r="BI203" s="290"/>
    </row>
    <row r="204" spans="1:61" ht="16.149999999999999" customHeight="1">
      <c r="A204" s="514"/>
      <c r="B204" s="450" t="s">
        <v>282</v>
      </c>
      <c r="C204" s="3">
        <f>+$C$202+$G$203</f>
        <v>35125.35</v>
      </c>
      <c r="D204" s="83"/>
      <c r="E204" s="4"/>
      <c r="F204" s="4">
        <f>-(424^2)/(C204-35228.26)</f>
        <v>1746.9244971333583</v>
      </c>
      <c r="G204" s="6"/>
      <c r="H204" s="449"/>
      <c r="I204" s="4"/>
      <c r="J204" s="3"/>
      <c r="K204" s="449"/>
      <c r="L204" s="449" t="s">
        <v>232</v>
      </c>
      <c r="M204" s="449" t="str">
        <f>IF(L204="","",
IF(AX204="PT",VLOOKUP(L204,Foundation_Calc!$V$79:$X$113,VLOOKUP(AX204,Foundation_Calc!$I$10:$J$13,2,FALSE),0),
IF(AX204="K",VLOOKUP(L204,Foundation_Calc!$V$117:$X$151,VLOOKUP(AX204,Foundation_Calc!$I$10:$J$13,2,FALSE),0),"")))</f>
        <v>C5R</v>
      </c>
      <c r="N204" s="449" t="s">
        <v>124</v>
      </c>
      <c r="O204" s="449"/>
      <c r="P204" s="449"/>
      <c r="Q204" s="4"/>
      <c r="R204" s="6"/>
      <c r="S204" s="6"/>
      <c r="T204" s="4">
        <v>-30</v>
      </c>
      <c r="U204" s="4"/>
      <c r="V204" s="4"/>
      <c r="W204" s="9">
        <v>1.4</v>
      </c>
      <c r="X204" s="9"/>
      <c r="Y204" s="9"/>
      <c r="Z204" s="9"/>
      <c r="AA204" s="9"/>
      <c r="AB204" s="9"/>
      <c r="AC204" s="449" t="str">
        <f t="shared" si="33"/>
        <v>PHC</v>
      </c>
      <c r="AD204" s="449"/>
      <c r="AE204" s="449"/>
      <c r="AF204" s="4"/>
      <c r="AG204" s="83"/>
      <c r="AH204" s="4"/>
      <c r="AI204" s="4"/>
      <c r="AJ204" s="449"/>
      <c r="AK204" s="449"/>
      <c r="AL204" s="449" t="s">
        <v>241</v>
      </c>
      <c r="AM204" s="449" t="s">
        <v>126</v>
      </c>
      <c r="AN204" s="10">
        <v>5.5</v>
      </c>
      <c r="AO204" s="9"/>
      <c r="AP204" s="9"/>
      <c r="AQ204" s="9"/>
      <c r="AR204" s="9"/>
      <c r="AS204" s="9"/>
      <c r="AT204" s="9">
        <f>+ab($T$204,$T$202,$T$206,$G$203,$G$205,-1*$F$204,1200)</f>
        <v>-4.7899247993313931</v>
      </c>
      <c r="AU204" s="428"/>
      <c r="AV204" s="428"/>
      <c r="AW204" s="449" t="str">
        <f>IF(C204&gt;0,VLOOKUP(C204,Foundation_Calc!$A$2:$C$13,3,1),
IF(J204&gt;0,VLOOKUP(J204,Foundation_Calc!$A$2:$C$13,3,1),""))</f>
        <v>Multi Soil</v>
      </c>
      <c r="AX204" s="449" t="str">
        <f>IF(C204&gt;0,VLOOKUP(C204,Foundation_Calc!$E$2:$G$33,3,1),
IF(J204&gt;0,VLOOKUP(J204,Foundation_Calc!$E$2:$G$33,3,1),""))</f>
        <v>PT</v>
      </c>
      <c r="AY204" s="10">
        <f>IF(L204="","",
IF(AX204="PT",VLOOKUP(L204,Foundation_Calc!$K$79:$R$113,VLOOKUP(AW204,Foundation_Calc!$I$2:$J$8,2,FALSE),0),
IF(AX204="K",VLOOKUP(L204,Foundation_Calc!$K$117:$R$151,VLOOKUP(AW204,Foundation_Calc!$I$2:$J$8,2,FALSE),0),"")))</f>
        <v>3.5</v>
      </c>
      <c r="AZ204" s="10" t="str">
        <f>IF(K204="","",
IF(AX204="PT",VLOOKUP(K204,Foundation_Calc!$K$79:$R$113,VLOOKUP(AW204,Foundation_Calc!$I$2:$J$8,2,FALSE),0),
IF(AX204="K",VLOOKUP(K204,Foundation_Calc!$K$117:$R$151,VLOOKUP(AW204,Foundation_Calc!$I$2:$J$8,2,FALSE),0),"")))</f>
        <v/>
      </c>
      <c r="BA204" s="495" t="str">
        <f t="shared" si="27"/>
        <v>ü</v>
      </c>
      <c r="BB204" s="495" t="str">
        <f t="shared" si="28"/>
        <v/>
      </c>
      <c r="BC204" s="495" t="str">
        <f t="shared" si="29"/>
        <v/>
      </c>
      <c r="BD204" s="513" t="str">
        <f>Pole_Calc!A$251</f>
        <v>App.8-V08H-P10.3</v>
      </c>
      <c r="BE204" s="429" t="s">
        <v>118</v>
      </c>
      <c r="BF204" s="289"/>
      <c r="BG204" s="289"/>
      <c r="BH204" s="290"/>
      <c r="BI204" s="289"/>
    </row>
    <row r="205" spans="1:61" ht="16.149999999999999" customHeight="1">
      <c r="A205" s="514"/>
      <c r="B205" s="450"/>
      <c r="C205" s="3"/>
      <c r="D205" s="83"/>
      <c r="E205" s="4"/>
      <c r="F205" s="4"/>
      <c r="G205" s="6">
        <v>44</v>
      </c>
      <c r="H205" s="449"/>
      <c r="I205" s="4"/>
      <c r="J205" s="3">
        <f>C206-7.5</f>
        <v>35161.85</v>
      </c>
      <c r="K205" s="449" t="s">
        <v>117</v>
      </c>
      <c r="L205" s="449"/>
      <c r="M205" s="449" t="str">
        <f>IF(L205="","",
IF(AX205="PT",VLOOKUP(L205,Foundation_Calc!$V$79:$X$113,VLOOKUP(AX205,Foundation_Calc!$I$10:$J$13,2,FALSE),0),
IF(AX205="K",VLOOKUP(L205,Foundation_Calc!$V$117:$X$151,VLOOKUP(AX205,Foundation_Calc!$I$10:$J$13,2,FALSE),0),"")))</f>
        <v/>
      </c>
      <c r="N205" s="449"/>
      <c r="O205" s="449"/>
      <c r="P205" s="449"/>
      <c r="Q205" s="4"/>
      <c r="R205" s="6"/>
      <c r="S205" s="6"/>
      <c r="T205" s="4"/>
      <c r="U205" s="4"/>
      <c r="V205" s="4"/>
      <c r="W205" s="572"/>
      <c r="X205" s="9"/>
      <c r="Y205" s="9"/>
      <c r="Z205" s="9"/>
      <c r="AA205" s="9"/>
      <c r="AB205" s="9"/>
      <c r="AC205" s="449" t="str">
        <f t="shared" si="33"/>
        <v/>
      </c>
      <c r="AD205" s="449"/>
      <c r="AE205" s="449"/>
      <c r="AF205" s="4"/>
      <c r="AG205" s="83"/>
      <c r="AH205" s="4"/>
      <c r="AI205" s="4"/>
      <c r="AJ205" s="449"/>
      <c r="AK205" s="449"/>
      <c r="AL205" s="449"/>
      <c r="AM205" s="449"/>
      <c r="AN205" s="10"/>
      <c r="AO205" s="9"/>
      <c r="AP205" s="9"/>
      <c r="AQ205" s="9">
        <f>+FL_1($T$206,$T$204,$G$205,1200,9.28,-1*$F$206)</f>
        <v>0.35089173751451558</v>
      </c>
      <c r="AR205" s="9"/>
      <c r="AS205" s="9"/>
      <c r="AT205" s="9"/>
      <c r="AU205" s="428"/>
      <c r="AV205" s="428"/>
      <c r="AW205" s="449" t="str">
        <f>IF(C205&gt;0,VLOOKUP(C205,Foundation_Calc!$A$2:$C$13,3,1),
IF(J205&gt;0,VLOOKUP(J205,Foundation_Calc!$A$2:$C$13,3,1),""))</f>
        <v>Multi Soil</v>
      </c>
      <c r="AX205" s="449" t="str">
        <f>IF(C205&gt;0,VLOOKUP(C205,Foundation_Calc!$E$2:$G$33,3,1),
IF(J205&gt;0,VLOOKUP(J205,Foundation_Calc!$E$2:$G$33,3,1),""))</f>
        <v>PT</v>
      </c>
      <c r="AY205" s="10" t="str">
        <f>IF(L205="","",
IF(AX205="PT",VLOOKUP(L205,Foundation_Calc!$K$79:$R$113,VLOOKUP(AW205,Foundation_Calc!$I$2:$J$8,2,FALSE),0),
IF(AX205="K",VLOOKUP(L205,Foundation_Calc!$K$117:$R$151,VLOOKUP(AW205,Foundation_Calc!$I$2:$J$8,2,FALSE),0),"")))</f>
        <v/>
      </c>
      <c r="AZ205" s="10">
        <f>IF(K205="","",
IF(AX205="PT",VLOOKUP(K205,Foundation_Calc!$K$79:$R$113,VLOOKUP(AW205,Foundation_Calc!$I$2:$J$8,2,FALSE),0),
IF(AX205="K",VLOOKUP(K205,Foundation_Calc!$K$117:$R$151,VLOOKUP(AW205,Foundation_Calc!$I$2:$J$8,2,FALSE),0),"")))</f>
        <v>3.9</v>
      </c>
      <c r="BA205" s="495" t="str">
        <f t="shared" si="27"/>
        <v/>
      </c>
      <c r="BB205" s="495" t="str">
        <f t="shared" si="28"/>
        <v>ü</v>
      </c>
      <c r="BC205" s="495" t="str">
        <f t="shared" si="29"/>
        <v/>
      </c>
      <c r="BD205" s="513" t="str">
        <f>IF(AND(L205="",H205=""),"",
IF(H205="",Pole_Calc!A$9,
IF(H205="MP",Pole_Calc!A$10,
IF(H205="AnMP",Pole_Calc!A$11,
IF(H205="A",Pole_Calc!A$12,
IF(H205="S/A",Pole_Calc!A$13,
IF(H205="A/S",Pole_Calc!A$14,"Poner a mano")))))))</f>
        <v/>
      </c>
      <c r="BE205" s="429" t="s">
        <v>118</v>
      </c>
      <c r="BF205" s="290"/>
      <c r="BG205" s="290"/>
      <c r="BH205" s="290"/>
      <c r="BI205" s="290"/>
    </row>
    <row r="206" spans="1:61" ht="16.149999999999999" customHeight="1">
      <c r="A206" s="514"/>
      <c r="B206" s="450" t="s">
        <v>283</v>
      </c>
      <c r="C206" s="3">
        <f>+$C$204+$G$205</f>
        <v>35169.35</v>
      </c>
      <c r="D206" s="83"/>
      <c r="E206" s="4"/>
      <c r="F206" s="4">
        <f>-(424^2)/(C206-35228.26)</f>
        <v>3051.7059921912978</v>
      </c>
      <c r="G206" s="6"/>
      <c r="H206" s="449" t="s">
        <v>284</v>
      </c>
      <c r="I206" s="4" t="s">
        <v>162</v>
      </c>
      <c r="J206" s="3"/>
      <c r="K206" s="449"/>
      <c r="L206" s="449" t="s">
        <v>232</v>
      </c>
      <c r="M206" s="449" t="str">
        <f>IF(L206="","",
IF(AX206="PT",VLOOKUP(L206,Foundation_Calc!$V$79:$X$113,VLOOKUP(AX206,Foundation_Calc!$I$10:$J$13,2,FALSE),0),
IF(AX206="K",VLOOKUP(L206,Foundation_Calc!$V$117:$X$151,VLOOKUP(AX206,Foundation_Calc!$I$10:$J$13,2,FALSE),0),"")))</f>
        <v>C5R</v>
      </c>
      <c r="N206" s="449" t="s">
        <v>134</v>
      </c>
      <c r="O206" s="449"/>
      <c r="P206" s="449"/>
      <c r="Q206" s="4"/>
      <c r="R206" s="6"/>
      <c r="S206" s="6"/>
      <c r="T206" s="4">
        <v>30</v>
      </c>
      <c r="U206" s="4"/>
      <c r="V206" s="4"/>
      <c r="W206" s="9">
        <v>1.4</v>
      </c>
      <c r="X206" s="9"/>
      <c r="Y206" s="9"/>
      <c r="Z206" s="9"/>
      <c r="AA206" s="9"/>
      <c r="AB206" s="9"/>
      <c r="AC206" s="449" t="str">
        <f t="shared" si="33"/>
        <v>PH</v>
      </c>
      <c r="AD206" s="449"/>
      <c r="AE206" s="449"/>
      <c r="AF206" s="4"/>
      <c r="AG206" s="83"/>
      <c r="AH206" s="4"/>
      <c r="AI206" s="4"/>
      <c r="AJ206" s="449"/>
      <c r="AK206" s="449"/>
      <c r="AL206" s="449" t="s">
        <v>241</v>
      </c>
      <c r="AM206" s="449" t="s">
        <v>126</v>
      </c>
      <c r="AN206" s="10">
        <v>5.5</v>
      </c>
      <c r="AO206" s="9"/>
      <c r="AP206" s="9"/>
      <c r="AQ206" s="9"/>
      <c r="AR206" s="9"/>
      <c r="AS206" s="9"/>
      <c r="AT206" s="9">
        <f>+ab($T$206,$T$204,$U$208,$G$205,$G$207,-1*$F$206,1200)</f>
        <v>15.950375565190209</v>
      </c>
      <c r="AU206" s="428"/>
      <c r="AV206" s="428"/>
      <c r="AW206" s="449" t="str">
        <f>IF(C206&gt;0,VLOOKUP(C206,Foundation_Calc!$A$2:$C$13,3,1),
IF(J206&gt;0,VLOOKUP(J206,Foundation_Calc!$A$2:$C$13,3,1),""))</f>
        <v>Multi Soil</v>
      </c>
      <c r="AX206" s="449" t="str">
        <f>IF(C206&gt;0,VLOOKUP(C206,Foundation_Calc!$E$2:$G$33,3,1),
IF(J206&gt;0,VLOOKUP(J206,Foundation_Calc!$E$2:$G$33,3,1),""))</f>
        <v>PT</v>
      </c>
      <c r="AY206" s="10">
        <f>IF(L206="","",
IF(AX206="PT",VLOOKUP(L206,Foundation_Calc!$K$79:$R$113,VLOOKUP(AW206,Foundation_Calc!$I$2:$J$8,2,FALSE),0),
IF(AX206="K",VLOOKUP(L206,Foundation_Calc!$K$117:$R$151,VLOOKUP(AW206,Foundation_Calc!$I$2:$J$8,2,FALSE),0),"")))</f>
        <v>3.5</v>
      </c>
      <c r="AZ206" s="10" t="str">
        <f>IF(K206="","",
IF(AX206="PT",VLOOKUP(K206,Foundation_Calc!$K$79:$R$113,VLOOKUP(AW206,Foundation_Calc!$I$2:$J$8,2,FALSE),0),
IF(AX206="K",VLOOKUP(K206,Foundation_Calc!$K$117:$R$151,VLOOKUP(AW206,Foundation_Calc!$I$2:$J$8,2,FALSE),0),"")))</f>
        <v/>
      </c>
      <c r="BA206" s="495" t="str">
        <f t="shared" si="27"/>
        <v>ü</v>
      </c>
      <c r="BB206" s="495" t="str">
        <f t="shared" si="28"/>
        <v/>
      </c>
      <c r="BC206" s="495" t="str">
        <f t="shared" si="29"/>
        <v/>
      </c>
      <c r="BD206" s="513" t="str">
        <f>Pole_Calc!A$251</f>
        <v>App.8-V08H-P10.3</v>
      </c>
      <c r="BE206" s="429" t="s">
        <v>118</v>
      </c>
      <c r="BF206" s="289"/>
      <c r="BG206" s="289"/>
      <c r="BH206" s="290"/>
      <c r="BI206" s="289"/>
    </row>
    <row r="207" spans="1:61" ht="16.149999999999999" customHeight="1">
      <c r="A207" s="514" t="s">
        <v>169</v>
      </c>
      <c r="B207" s="450"/>
      <c r="C207" s="3"/>
      <c r="D207" s="83"/>
      <c r="E207" s="4"/>
      <c r="F207" s="4"/>
      <c r="G207" s="6">
        <v>44</v>
      </c>
      <c r="H207" s="449"/>
      <c r="I207" s="4">
        <v>280</v>
      </c>
      <c r="J207" s="3"/>
      <c r="K207" s="449"/>
      <c r="L207" s="449"/>
      <c r="M207" s="449" t="str">
        <f>IF(L207="","",
IF(AX207="PT",VLOOKUP(L207,Foundation_Calc!$V$79:$X$113,VLOOKUP(AX207,Foundation_Calc!$I$10:$J$13,2,FALSE),0),
IF(AX207="K",VLOOKUP(L207,Foundation_Calc!$V$117:$X$151,VLOOKUP(AX207,Foundation_Calc!$I$10:$J$13,2,FALSE),0),"")))</f>
        <v/>
      </c>
      <c r="N207" s="449"/>
      <c r="O207" s="449"/>
      <c r="P207" s="449"/>
      <c r="Q207" s="4"/>
      <c r="R207" s="6"/>
      <c r="S207" s="6"/>
      <c r="T207" s="4"/>
      <c r="U207" s="4"/>
      <c r="V207" s="4"/>
      <c r="W207" s="572"/>
      <c r="X207" s="9"/>
      <c r="Y207" s="9"/>
      <c r="Z207" s="9"/>
      <c r="AA207" s="9"/>
      <c r="AB207" s="9"/>
      <c r="AC207" s="449" t="str">
        <f t="shared" si="33"/>
        <v/>
      </c>
      <c r="AD207" s="449"/>
      <c r="AE207" s="449"/>
      <c r="AF207" s="4"/>
      <c r="AG207" s="83"/>
      <c r="AH207" s="4"/>
      <c r="AI207" s="4"/>
      <c r="AJ207" s="449"/>
      <c r="AK207" s="449"/>
      <c r="AL207" s="449"/>
      <c r="AM207" s="449"/>
      <c r="AN207" s="10"/>
      <c r="AO207" s="9"/>
      <c r="AP207" s="9"/>
      <c r="AQ207" s="9">
        <f>+FL_1($U$208,$T$206,$G$207,1200,9.28,-1*$F$208)</f>
        <v>0.32345607191931575</v>
      </c>
      <c r="AR207" s="9"/>
      <c r="AS207" s="9"/>
      <c r="AT207" s="9"/>
      <c r="AU207" s="428"/>
      <c r="AV207" s="428"/>
      <c r="AW207" s="449" t="str">
        <f>IF(C207&gt;0,VLOOKUP(C207,Foundation_Calc!$A$2:$C$13,3,1),
IF(J207&gt;0,VLOOKUP(J207,Foundation_Calc!$A$2:$C$13,3,1),""))</f>
        <v/>
      </c>
      <c r="AX207" s="449" t="str">
        <f>IF(C207&gt;0,VLOOKUP(C207,Foundation_Calc!$E$2:$G$33,3,1),
IF(J207&gt;0,VLOOKUP(J207,Foundation_Calc!$E$2:$G$33,3,1),""))</f>
        <v/>
      </c>
      <c r="AY207" s="10" t="str">
        <f>IF(L207="","",
IF(AX207="PT",VLOOKUP(L207,Foundation_Calc!$K$79:$R$113,VLOOKUP(AW207,Foundation_Calc!$I$2:$J$8,2,FALSE),0),
IF(AX207="K",VLOOKUP(L207,Foundation_Calc!$K$117:$R$151,VLOOKUP(AW207,Foundation_Calc!$I$2:$J$8,2,FALSE),0),"")))</f>
        <v/>
      </c>
      <c r="AZ207" s="10" t="str">
        <f>IF(K207="","",
IF(AX207="PT",VLOOKUP(K207,Foundation_Calc!$K$79:$R$113,VLOOKUP(AW207,Foundation_Calc!$I$2:$J$8,2,FALSE),0),
IF(AX207="K",VLOOKUP(K207,Foundation_Calc!$K$117:$R$151,VLOOKUP(AW207,Foundation_Calc!$I$2:$J$8,2,FALSE),0),"")))</f>
        <v/>
      </c>
      <c r="BA207" s="495" t="str">
        <f t="shared" si="27"/>
        <v/>
      </c>
      <c r="BB207" s="495" t="str">
        <f t="shared" si="28"/>
        <v/>
      </c>
      <c r="BC207" s="495" t="str">
        <f t="shared" si="29"/>
        <v/>
      </c>
      <c r="BD207" s="513" t="str">
        <f>IF(AND(L207="",H207=""),"",
IF(H207="",Pole_Calc!A$9,
IF(H207="MP",Pole_Calc!A$10,
IF(H207="AnMP",Pole_Calc!A$11,
IF(H207="A",Pole_Calc!A$12,
IF(H207="S/A",Pole_Calc!A$13,
IF(H207="A/S",Pole_Calc!A$14,"Poner a mano")))))))</f>
        <v/>
      </c>
      <c r="BE207" s="429" t="s">
        <v>118</v>
      </c>
      <c r="BF207" s="290"/>
      <c r="BG207" s="290"/>
      <c r="BH207" s="290"/>
      <c r="BI207" s="290"/>
    </row>
    <row r="208" spans="1:61" ht="16.149999999999999" customHeight="1">
      <c r="A208" s="514"/>
      <c r="B208" s="450" t="s">
        <v>285</v>
      </c>
      <c r="C208" s="3">
        <f>+$C$206+$G$207</f>
        <v>35213.35</v>
      </c>
      <c r="D208" s="83"/>
      <c r="E208" s="4"/>
      <c r="F208" s="4">
        <f>-(424^2)/(C208-35228.26)</f>
        <v>12057.411133464648</v>
      </c>
      <c r="G208" s="6"/>
      <c r="H208" s="449" t="s">
        <v>286</v>
      </c>
      <c r="I208" s="4" t="s">
        <v>162</v>
      </c>
      <c r="J208" s="3"/>
      <c r="K208" s="449"/>
      <c r="L208" s="449" t="s">
        <v>247</v>
      </c>
      <c r="M208" s="449" t="str">
        <f>IF(L208="","",
IF(AX208="PT",VLOOKUP(L208,Foundation_Calc!$V$79:$X$113,VLOOKUP(AX208,Foundation_Calc!$I$10:$J$13,2,FALSE),0),
IF(AX208="K",VLOOKUP(L208,Foundation_Calc!$V$117:$X$151,VLOOKUP(AX208,Foundation_Calc!$I$10:$J$13,2,FALSE),0),"")))</f>
        <v>C12R</v>
      </c>
      <c r="N208" s="449" t="s">
        <v>133</v>
      </c>
      <c r="O208" s="449" t="s">
        <v>124</v>
      </c>
      <c r="P208" s="449"/>
      <c r="Q208" s="4"/>
      <c r="R208" s="6"/>
      <c r="S208" s="6"/>
      <c r="T208" s="4">
        <v>50</v>
      </c>
      <c r="U208" s="4">
        <v>-25</v>
      </c>
      <c r="V208" s="4"/>
      <c r="W208" s="9">
        <v>1.4</v>
      </c>
      <c r="X208" s="9">
        <v>2</v>
      </c>
      <c r="Y208" s="9"/>
      <c r="Z208" s="9">
        <v>0.6</v>
      </c>
      <c r="AA208" s="9"/>
      <c r="AB208" s="9"/>
      <c r="AC208" s="449" t="str">
        <f t="shared" si="33"/>
        <v>PHQ</v>
      </c>
      <c r="AD208" s="449"/>
      <c r="AE208" s="449"/>
      <c r="AF208" s="4"/>
      <c r="AG208" s="83"/>
      <c r="AH208" s="4"/>
      <c r="AI208" s="4"/>
      <c r="AJ208" s="449"/>
      <c r="AK208" s="449"/>
      <c r="AL208" s="449" t="s">
        <v>241</v>
      </c>
      <c r="AM208" s="449" t="s">
        <v>126</v>
      </c>
      <c r="AN208" s="10">
        <v>5.5</v>
      </c>
      <c r="AO208" s="9"/>
      <c r="AP208" s="9"/>
      <c r="AQ208" s="9"/>
      <c r="AR208" s="9"/>
      <c r="AS208" s="9"/>
      <c r="AT208" s="9">
        <f>+ab($U$208,$T$206,$U$210,$G$207,$G$209,-1*$F$208,1200)</f>
        <v>-7.6029577724010924</v>
      </c>
      <c r="AU208" s="428"/>
      <c r="AV208" s="428"/>
      <c r="AW208" s="449" t="str">
        <f>IF(C208&gt;0,VLOOKUP(C208,Foundation_Calc!$A$2:$C$13,3,1),
IF(J208&gt;0,VLOOKUP(J208,Foundation_Calc!$A$2:$C$13,3,1),""))</f>
        <v>Multi Soil</v>
      </c>
      <c r="AX208" s="449" t="str">
        <f>IF(C208&gt;0,VLOOKUP(C208,Foundation_Calc!$E$2:$G$33,3,1),
IF(J208&gt;0,VLOOKUP(J208,Foundation_Calc!$E$2:$G$33,3,1),""))</f>
        <v>PT</v>
      </c>
      <c r="AY208" s="10">
        <f>IF(L208="","",
IF(AX208="PT",VLOOKUP(L208,Foundation_Calc!$K$79:$R$113,VLOOKUP(AW208,Foundation_Calc!$I$2:$J$8,2,FALSE),0),
IF(AX208="K",VLOOKUP(L208,Foundation_Calc!$K$117:$R$151,VLOOKUP(AW208,Foundation_Calc!$I$2:$J$8,2,FALSE),0),"")))</f>
        <v>6.2</v>
      </c>
      <c r="AZ208" s="10" t="str">
        <f>IF(K208="","",
IF(AX208="PT",VLOOKUP(K208,Foundation_Calc!$K$79:$R$113,VLOOKUP(AW208,Foundation_Calc!$I$2:$J$8,2,FALSE),0),
IF(AX208="K",VLOOKUP(K208,Foundation_Calc!$K$117:$R$151,VLOOKUP(AW208,Foundation_Calc!$I$2:$J$8,2,FALSE),0),"")))</f>
        <v/>
      </c>
      <c r="BA208" s="495" t="str">
        <f t="shared" si="27"/>
        <v>ü</v>
      </c>
      <c r="BB208" s="495" t="str">
        <f t="shared" si="28"/>
        <v/>
      </c>
      <c r="BC208" s="495" t="str">
        <f t="shared" si="29"/>
        <v/>
      </c>
      <c r="BD208" s="513" t="str">
        <f>Pole_Calc!A$289</f>
        <v>App.8-V08H-P10.3.2</v>
      </c>
      <c r="BE208" s="429" t="s">
        <v>118</v>
      </c>
      <c r="BF208" s="289"/>
      <c r="BG208" s="289"/>
      <c r="BH208" s="290"/>
      <c r="BI208" s="289"/>
    </row>
    <row r="209" spans="1:61" ht="16.149999999999999" customHeight="1">
      <c r="A209" s="514"/>
      <c r="B209" s="450"/>
      <c r="C209" s="3"/>
      <c r="D209" s="83"/>
      <c r="E209" s="4"/>
      <c r="F209" s="4"/>
      <c r="G209" s="6">
        <v>38.1</v>
      </c>
      <c r="H209" s="449"/>
      <c r="I209" s="4"/>
      <c r="J209" s="3"/>
      <c r="K209" s="449"/>
      <c r="L209" s="449"/>
      <c r="M209" s="449" t="str">
        <f>IF(L209="","",
IF(AX209="PT",VLOOKUP(L209,Foundation_Calc!$V$79:$X$113,VLOOKUP(AX209,Foundation_Calc!$I$10:$J$13,2,FALSE),0),
IF(AX209="K",VLOOKUP(L209,Foundation_Calc!$V$117:$X$151,VLOOKUP(AX209,Foundation_Calc!$I$10:$J$13,2,FALSE),0),"")))</f>
        <v/>
      </c>
      <c r="N209" s="449"/>
      <c r="O209" s="449"/>
      <c r="P209" s="449"/>
      <c r="Q209" s="4"/>
      <c r="R209" s="6"/>
      <c r="S209" s="6"/>
      <c r="T209" s="4"/>
      <c r="U209" s="4"/>
      <c r="V209" s="4"/>
      <c r="W209" s="9"/>
      <c r="X209" s="9"/>
      <c r="Y209" s="9"/>
      <c r="Z209" s="9"/>
      <c r="AA209" s="9"/>
      <c r="AB209" s="9"/>
      <c r="AC209" s="449" t="str">
        <f t="shared" si="33"/>
        <v/>
      </c>
      <c r="AD209" s="449"/>
      <c r="AE209" s="449"/>
      <c r="AF209" s="4"/>
      <c r="AG209" s="83"/>
      <c r="AH209" s="4"/>
      <c r="AI209" s="4"/>
      <c r="AJ209" s="449"/>
      <c r="AK209" s="449"/>
      <c r="AL209" s="449"/>
      <c r="AM209" s="449"/>
      <c r="AN209" s="10"/>
      <c r="AO209" s="9"/>
      <c r="AP209" s="9"/>
      <c r="AQ209" s="9">
        <f>+FL_1($U$210,$U$208,$G$209,1200,9.28,-1*$F$210)</f>
        <v>0.11988419026771654</v>
      </c>
      <c r="AR209" s="9"/>
      <c r="AS209" s="9"/>
      <c r="AT209" s="9"/>
      <c r="AU209" s="428"/>
      <c r="AV209" s="428"/>
      <c r="AW209" s="449" t="str">
        <f>IF(C209&gt;0,VLOOKUP(C209,Foundation_Calc!$A$2:$C$13,3,1),
IF(J209&gt;0,VLOOKUP(J209,Foundation_Calc!$A$2:$C$13,3,1),""))</f>
        <v/>
      </c>
      <c r="AX209" s="449" t="str">
        <f>IF(C209&gt;0,VLOOKUP(C209,Foundation_Calc!$E$2:$G$33,3,1),
IF(J209&gt;0,VLOOKUP(J209,Foundation_Calc!$E$2:$G$33,3,1),""))</f>
        <v/>
      </c>
      <c r="AY209" s="10" t="str">
        <f>IF(L209="","",
IF(AX209="PT",VLOOKUP(L209,Foundation_Calc!$K$79:$R$113,VLOOKUP(AW209,Foundation_Calc!$I$2:$J$8,2,FALSE),0),
IF(AX209="K",VLOOKUP(L209,Foundation_Calc!$K$117:$R$151,VLOOKUP(AW209,Foundation_Calc!$I$2:$J$8,2,FALSE),0),"")))</f>
        <v/>
      </c>
      <c r="AZ209" s="10" t="str">
        <f>IF(K209="","",
IF(AX209="PT",VLOOKUP(K209,Foundation_Calc!$K$79:$R$113,VLOOKUP(AW209,Foundation_Calc!$I$2:$J$8,2,FALSE),0),
IF(AX209="K",VLOOKUP(K209,Foundation_Calc!$K$117:$R$151,VLOOKUP(AW209,Foundation_Calc!$I$2:$J$8,2,FALSE),0),"")))</f>
        <v/>
      </c>
      <c r="BA209" s="495" t="str">
        <f t="shared" si="27"/>
        <v/>
      </c>
      <c r="BB209" s="495" t="str">
        <f t="shared" si="28"/>
        <v/>
      </c>
      <c r="BC209" s="495" t="str">
        <f t="shared" si="29"/>
        <v/>
      </c>
      <c r="BD209" s="513" t="str">
        <f>IF(AND(L209="",H209=""),"",
IF(H209="",Pole_Calc!A$9,
IF(H209="MP",Pole_Calc!A$10,
IF(H209="AnMP",Pole_Calc!A$11,
IF(H209="A",Pole_Calc!A$12,
IF(H209="S/A",Pole_Calc!A$13,
IF(H209="A/S",Pole_Calc!A$14,"Poner a mano")))))))</f>
        <v/>
      </c>
      <c r="BE209" s="429" t="s">
        <v>118</v>
      </c>
      <c r="BF209" s="290"/>
      <c r="BG209" s="290"/>
      <c r="BH209" s="290"/>
      <c r="BI209" s="290"/>
    </row>
    <row r="210" spans="1:61" ht="16.149999999999999" customHeight="1">
      <c r="A210" s="514"/>
      <c r="B210" s="450" t="s">
        <v>287</v>
      </c>
      <c r="C210" s="3">
        <f>+$C$208+$G$209</f>
        <v>35251.449999999997</v>
      </c>
      <c r="D210" s="83"/>
      <c r="E210" s="4"/>
      <c r="F210" s="4">
        <f>IF(C210&gt;0,VLOOKUP(C210,'ALIGNMENT TRACK'!$A$1:$K$81,9,1))</f>
        <v>0</v>
      </c>
      <c r="G210" s="6"/>
      <c r="H210" s="449" t="s">
        <v>131</v>
      </c>
      <c r="I210" s="4"/>
      <c r="J210" s="3"/>
      <c r="K210" s="449"/>
      <c r="L210" s="449" t="s">
        <v>232</v>
      </c>
      <c r="M210" s="449" t="str">
        <f>IF(L210="","",
IF(AX210="PT",VLOOKUP(L210,Foundation_Calc!$V$79:$X$113,VLOOKUP(AX210,Foundation_Calc!$I$10:$J$13,2,FALSE),0),
IF(AX210="K",VLOOKUP(L210,Foundation_Calc!$V$117:$X$151,VLOOKUP(AX210,Foundation_Calc!$I$10:$J$13,2,FALSE),0),"")))</f>
        <v>C5R</v>
      </c>
      <c r="N210" s="449" t="s">
        <v>133</v>
      </c>
      <c r="O210" s="449" t="s">
        <v>134</v>
      </c>
      <c r="P210" s="449"/>
      <c r="Q210" s="4"/>
      <c r="R210" s="6"/>
      <c r="S210" s="6"/>
      <c r="T210" s="4">
        <v>55</v>
      </c>
      <c r="U210" s="4">
        <v>10</v>
      </c>
      <c r="V210" s="4"/>
      <c r="W210" s="9">
        <v>1.4</v>
      </c>
      <c r="X210" s="9">
        <v>2</v>
      </c>
      <c r="Y210" s="9"/>
      <c r="Z210" s="9">
        <v>0.4</v>
      </c>
      <c r="AA210" s="9"/>
      <c r="AB210" s="9"/>
      <c r="AC210" s="449" t="str">
        <f t="shared" si="33"/>
        <v>PH</v>
      </c>
      <c r="AD210" s="449"/>
      <c r="AE210" s="449"/>
      <c r="AF210" s="4"/>
      <c r="AG210" s="83"/>
      <c r="AH210" s="4"/>
      <c r="AI210" s="4"/>
      <c r="AJ210" s="449"/>
      <c r="AK210" s="449"/>
      <c r="AL210" s="449" t="s">
        <v>241</v>
      </c>
      <c r="AM210" s="449" t="s">
        <v>126</v>
      </c>
      <c r="AN210" s="10">
        <v>5.5</v>
      </c>
      <c r="AO210" s="9"/>
      <c r="AP210" s="9"/>
      <c r="AQ210" s="9"/>
      <c r="AR210" s="9"/>
      <c r="AS210" s="9"/>
      <c r="AT210" s="9">
        <f>+ab($U$210,$U$208,$T$212,$G$209,$G$211,-1*$F$210,1200)</f>
        <v>13.804375088140183</v>
      </c>
      <c r="AU210" s="428"/>
      <c r="AV210" s="428"/>
      <c r="AW210" s="449" t="str">
        <f>IF(C210&gt;0,VLOOKUP(C210,Foundation_Calc!$A$2:$C$13,3,1),
IF(J210&gt;0,VLOOKUP(J210,Foundation_Calc!$A$2:$C$13,3,1),""))</f>
        <v>Multi Soil</v>
      </c>
      <c r="AX210" s="449" t="str">
        <f>IF(C210&gt;0,VLOOKUP(C210,Foundation_Calc!$E$2:$G$33,3,1),
IF(J210&gt;0,VLOOKUP(J210,Foundation_Calc!$E$2:$G$33,3,1),""))</f>
        <v>PT</v>
      </c>
      <c r="AY210" s="10">
        <f>IF(L210="","",
IF(AX210="PT",VLOOKUP(L210,Foundation_Calc!$K$79:$R$113,VLOOKUP(AW210,Foundation_Calc!$I$2:$J$8,2,FALSE),0),
IF(AX210="K",VLOOKUP(L210,Foundation_Calc!$K$117:$R$151,VLOOKUP(AW210,Foundation_Calc!$I$2:$J$8,2,FALSE),0),"")))</f>
        <v>3.5</v>
      </c>
      <c r="AZ210" s="10" t="str">
        <f>IF(K210="","",
IF(AX210="PT",VLOOKUP(K210,Foundation_Calc!$K$79:$R$113,VLOOKUP(AW210,Foundation_Calc!$I$2:$J$8,2,FALSE),0),
IF(AX210="K",VLOOKUP(K210,Foundation_Calc!$K$117:$R$151,VLOOKUP(AW210,Foundation_Calc!$I$2:$J$8,2,FALSE),0),"")))</f>
        <v/>
      </c>
      <c r="BA210" s="495" t="str">
        <f t="shared" si="27"/>
        <v>ü</v>
      </c>
      <c r="BB210" s="495" t="str">
        <f t="shared" si="28"/>
        <v/>
      </c>
      <c r="BC210" s="495" t="str">
        <f t="shared" si="29"/>
        <v/>
      </c>
      <c r="BD210" s="513" t="str">
        <f>Pole_Calc!A$251</f>
        <v>App.8-V08H-P10.3</v>
      </c>
      <c r="BE210" s="429" t="s">
        <v>118</v>
      </c>
      <c r="BF210" s="289"/>
      <c r="BG210" s="289"/>
      <c r="BH210" s="290"/>
      <c r="BI210" s="289"/>
    </row>
    <row r="211" spans="1:61" ht="16.149999999999999" customHeight="1">
      <c r="A211" s="514"/>
      <c r="B211" s="450"/>
      <c r="C211" s="3"/>
      <c r="D211" s="83"/>
      <c r="E211" s="4"/>
      <c r="F211" s="4"/>
      <c r="G211" s="6">
        <v>45</v>
      </c>
      <c r="H211" s="449"/>
      <c r="I211" s="4"/>
      <c r="J211" s="3"/>
      <c r="K211" s="449"/>
      <c r="L211" s="449"/>
      <c r="M211" s="449" t="str">
        <f>IF(L211="","",
IF(AX211="PT",VLOOKUP(L211,Foundation_Calc!$V$79:$X$113,VLOOKUP(AX211,Foundation_Calc!$I$10:$J$13,2,FALSE),0),
IF(AX211="K",VLOOKUP(L211,Foundation_Calc!$V$117:$X$151,VLOOKUP(AX211,Foundation_Calc!$I$10:$J$13,2,FALSE),0),"")))</f>
        <v/>
      </c>
      <c r="N211" s="449"/>
      <c r="O211" s="449"/>
      <c r="P211" s="449"/>
      <c r="Q211" s="4"/>
      <c r="R211" s="6"/>
      <c r="S211" s="6"/>
      <c r="T211" s="4"/>
      <c r="U211" s="4"/>
      <c r="V211" s="4"/>
      <c r="W211" s="9"/>
      <c r="X211" s="9"/>
      <c r="Y211" s="9"/>
      <c r="Z211" s="9"/>
      <c r="AA211" s="9"/>
      <c r="AB211" s="9"/>
      <c r="AC211" s="449" t="str">
        <f t="shared" si="33"/>
        <v/>
      </c>
      <c r="AD211" s="449"/>
      <c r="AE211" s="449"/>
      <c r="AF211" s="4"/>
      <c r="AG211" s="83"/>
      <c r="AH211" s="4"/>
      <c r="AI211" s="4"/>
      <c r="AJ211" s="449"/>
      <c r="AK211" s="449"/>
      <c r="AL211" s="449"/>
      <c r="AM211" s="449"/>
      <c r="AN211" s="10"/>
      <c r="AO211" s="9"/>
      <c r="AP211" s="9"/>
      <c r="AQ211" s="9">
        <f>+FL_2($T$212,$U$210,$G$211,1200,9.28,-1*$F$212)</f>
        <v>-0.20852138888888888</v>
      </c>
      <c r="AR211" s="9"/>
      <c r="AS211" s="9"/>
      <c r="AT211" s="9"/>
      <c r="AU211" s="428"/>
      <c r="AV211" s="428"/>
      <c r="AW211" s="449" t="str">
        <f>IF(C211&gt;0,VLOOKUP(C211,Foundation_Calc!$A$2:$C$13,3,1),
IF(J211&gt;0,VLOOKUP(J211,Foundation_Calc!$A$2:$C$13,3,1),""))</f>
        <v/>
      </c>
      <c r="AX211" s="449" t="str">
        <f>IF(C211&gt;0,VLOOKUP(C211,Foundation_Calc!$E$2:$G$33,3,1),
IF(J211&gt;0,VLOOKUP(J211,Foundation_Calc!$E$2:$G$33,3,1),""))</f>
        <v/>
      </c>
      <c r="AY211" s="10" t="str">
        <f>IF(L211="","",
IF(AX211="PT",VLOOKUP(L211,Foundation_Calc!$K$79:$R$113,VLOOKUP(AW211,Foundation_Calc!$I$2:$J$8,2,FALSE),0),
IF(AX211="K",VLOOKUP(L211,Foundation_Calc!$K$117:$R$151,VLOOKUP(AW211,Foundation_Calc!$I$2:$J$8,2,FALSE),0),"")))</f>
        <v/>
      </c>
      <c r="AZ211" s="10" t="str">
        <f>IF(K211="","",
IF(AX211="PT",VLOOKUP(K211,Foundation_Calc!$K$79:$R$113,VLOOKUP(AW211,Foundation_Calc!$I$2:$J$8,2,FALSE),0),
IF(AX211="K",VLOOKUP(K211,Foundation_Calc!$K$117:$R$151,VLOOKUP(AW211,Foundation_Calc!$I$2:$J$8,2,FALSE),0),"")))</f>
        <v/>
      </c>
      <c r="BA211" s="495" t="str">
        <f t="shared" si="27"/>
        <v/>
      </c>
      <c r="BB211" s="495" t="str">
        <f t="shared" si="28"/>
        <v/>
      </c>
      <c r="BC211" s="495" t="str">
        <f t="shared" si="29"/>
        <v/>
      </c>
      <c r="BD211" s="513" t="str">
        <f>IF(AND(L211="",H211=""),"",
IF(H211="",Pole_Calc!A$9,
IF(H211="MP",Pole_Calc!A$10,
IF(H211="AnMP",Pole_Calc!A$11,
IF(H211="A",Pole_Calc!A$12,
IF(H211="S/A",Pole_Calc!A$13,
IF(H211="A/S",Pole_Calc!A$14,"Poner a mano")))))))</f>
        <v/>
      </c>
      <c r="BE211" s="429" t="s">
        <v>118</v>
      </c>
      <c r="BF211" s="290"/>
      <c r="BG211" s="290"/>
      <c r="BH211" s="290"/>
      <c r="BI211" s="290"/>
    </row>
    <row r="212" spans="1:61" ht="16.149999999999999" customHeight="1">
      <c r="A212" s="514" t="s">
        <v>288</v>
      </c>
      <c r="B212" s="450" t="s">
        <v>289</v>
      </c>
      <c r="C212" s="3">
        <f>+$C$210+$G$211</f>
        <v>35296.449999999997</v>
      </c>
      <c r="D212" s="83"/>
      <c r="E212" s="4"/>
      <c r="F212" s="4">
        <f>IF(C212&gt;0,VLOOKUP(C212,'ALIGNMENT TRACK'!$A$1:$K$81,9,1))</f>
        <v>0</v>
      </c>
      <c r="G212" s="6"/>
      <c r="H212" s="449" t="s">
        <v>131</v>
      </c>
      <c r="I212" s="4" t="s">
        <v>132</v>
      </c>
      <c r="J212" s="3"/>
      <c r="K212" s="449"/>
      <c r="L212" s="449" t="s">
        <v>183</v>
      </c>
      <c r="M212" s="449" t="str">
        <f>IF(L212="","",
IF(AX212="PT",VLOOKUP(L212,Foundation_Calc!$V$79:$X$113,VLOOKUP(AX212,Foundation_Calc!$I$10:$J$13,2,FALSE),0),
IF(AX212="K",VLOOKUP(L212,Foundation_Calc!$V$117:$X$151,VLOOKUP(AX212,Foundation_Calc!$I$10:$J$13,2,FALSE),0),"")))</f>
        <v>2C3R</v>
      </c>
      <c r="N212" s="449" t="s">
        <v>124</v>
      </c>
      <c r="O212" s="449" t="s">
        <v>133</v>
      </c>
      <c r="P212" s="449"/>
      <c r="Q212" s="4"/>
      <c r="R212" s="6"/>
      <c r="S212" s="6"/>
      <c r="T212" s="4">
        <v>-10</v>
      </c>
      <c r="U212" s="4">
        <v>-55</v>
      </c>
      <c r="V212" s="4"/>
      <c r="W212" s="9">
        <v>1.4</v>
      </c>
      <c r="X212" s="9">
        <v>2</v>
      </c>
      <c r="Y212" s="9"/>
      <c r="Z212" s="9"/>
      <c r="AA212" s="9">
        <v>0.4</v>
      </c>
      <c r="AB212" s="9"/>
      <c r="AC212" s="449" t="str">
        <f t="shared" si="33"/>
        <v>PH</v>
      </c>
      <c r="AD212" s="449"/>
      <c r="AE212" s="449"/>
      <c r="AF212" s="4"/>
      <c r="AG212" s="83"/>
      <c r="AH212" s="4"/>
      <c r="AI212" s="4"/>
      <c r="AJ212" s="449" t="s">
        <v>290</v>
      </c>
      <c r="AK212" s="449"/>
      <c r="AL212" s="449"/>
      <c r="AM212" s="449" t="s">
        <v>126</v>
      </c>
      <c r="AN212" s="10">
        <v>5.5</v>
      </c>
      <c r="AO212" s="9"/>
      <c r="AP212" s="9"/>
      <c r="AQ212" s="9"/>
      <c r="AR212" s="9"/>
      <c r="AS212" s="9"/>
      <c r="AT212" s="9">
        <f>+ab($T$212,$U$210,$T$214,$G$211,$G$213,-1*$F$212,1200)</f>
        <v>-14.006318891343666</v>
      </c>
      <c r="AU212" s="428"/>
      <c r="AV212" s="428"/>
      <c r="AW212" s="449" t="str">
        <f>IF(C212&gt;0,VLOOKUP(C212,Foundation_Calc!$A$2:$C$13,3,1),
IF(J212&gt;0,VLOOKUP(J212,Foundation_Calc!$A$2:$C$13,3,1),""))</f>
        <v>Multi Soil</v>
      </c>
      <c r="AX212" s="449" t="str">
        <f>IF(C212&gt;0,VLOOKUP(C212,Foundation_Calc!$E$2:$G$33,3,1),
IF(J212&gt;0,VLOOKUP(J212,Foundation_Calc!$E$2:$G$33,3,1),""))</f>
        <v>PT</v>
      </c>
      <c r="AY212" s="10">
        <f>IF(L212="","",
IF(AX212="PT",VLOOKUP(L212,Foundation_Calc!$K$79:$R$113,VLOOKUP(AW212,Foundation_Calc!$I$2:$J$8,2,FALSE),0),
IF(AX212="K",VLOOKUP(L212,Foundation_Calc!$K$117:$R$151,VLOOKUP(AW212,Foundation_Calc!$I$2:$J$8,2,FALSE),0),"")))</f>
        <v>3.7</v>
      </c>
      <c r="AZ212" s="10" t="str">
        <f>IF(K212="","",
IF(AX212="PT",VLOOKUP(K212,Foundation_Calc!$K$79:$R$113,VLOOKUP(AW212,Foundation_Calc!$I$2:$J$8,2,FALSE),0),
IF(AX212="K",VLOOKUP(K212,Foundation_Calc!$K$117:$R$151,VLOOKUP(AW212,Foundation_Calc!$I$2:$J$8,2,FALSE),0),"")))</f>
        <v/>
      </c>
      <c r="BA212" s="495" t="str">
        <f t="shared" si="27"/>
        <v>ü</v>
      </c>
      <c r="BB212" s="495" t="str">
        <f t="shared" si="28"/>
        <v/>
      </c>
      <c r="BC212" s="495" t="str">
        <f t="shared" si="29"/>
        <v/>
      </c>
      <c r="BD212" s="513" t="str">
        <f>IF(AND(L212="",H212=""),"",
IF(H212="",Pole_Calc!A$9,
IF(H212="MP",Pole_Calc!A$10,
IF(H212="AnMP",Pole_Calc!A$11,
IF(H212="A",Pole_Calc!A$12,
IF(H212="S/A",Pole_Calc!A$13,
IF(H212="A/S",Pole_Calc!A$14,"Poner a mano")))))))</f>
        <v>App.7-V11I-P9.5.1.5</v>
      </c>
      <c r="BE212" s="429" t="s">
        <v>118</v>
      </c>
      <c r="BF212" s="289"/>
      <c r="BG212" s="289"/>
      <c r="BH212" s="290"/>
      <c r="BI212" s="289"/>
    </row>
    <row r="213" spans="1:61" ht="16.149999999999999" customHeight="1">
      <c r="A213" s="514"/>
      <c r="B213" s="450"/>
      <c r="C213" s="3"/>
      <c r="D213" s="83"/>
      <c r="E213" s="4"/>
      <c r="F213" s="4"/>
      <c r="G213" s="6">
        <v>50.1</v>
      </c>
      <c r="H213" s="449"/>
      <c r="I213" s="4">
        <f>SUM(G193:G213)</f>
        <v>509.20000000000005</v>
      </c>
      <c r="J213" s="3"/>
      <c r="K213" s="449"/>
      <c r="L213" s="449"/>
      <c r="M213" s="449" t="str">
        <f>IF(L213="","",
IF(AX213="PT",VLOOKUP(L213,Foundation_Calc!$V$79:$X$113,VLOOKUP(AX213,Foundation_Calc!$I$10:$J$13,2,FALSE),0),
IF(AX213="K",VLOOKUP(L213,Foundation_Calc!$V$117:$X$151,VLOOKUP(AX213,Foundation_Calc!$I$10:$J$13,2,FALSE),0),"")))</f>
        <v/>
      </c>
      <c r="N213" s="449"/>
      <c r="O213" s="449"/>
      <c r="P213" s="449"/>
      <c r="Q213" s="4"/>
      <c r="R213" s="6"/>
      <c r="S213" s="6"/>
      <c r="T213" s="4"/>
      <c r="U213" s="4"/>
      <c r="V213" s="4"/>
      <c r="W213" s="9"/>
      <c r="X213" s="9"/>
      <c r="Y213" s="9"/>
      <c r="Z213" s="9"/>
      <c r="AA213" s="9"/>
      <c r="AB213" s="9"/>
      <c r="AC213" s="449" t="str">
        <f t="shared" si="33"/>
        <v/>
      </c>
      <c r="AD213" s="449"/>
      <c r="AE213" s="449"/>
      <c r="AF213" s="4"/>
      <c r="AG213" s="83"/>
      <c r="AH213" s="4"/>
      <c r="AI213" s="4"/>
      <c r="AJ213" s="449"/>
      <c r="AK213" s="449"/>
      <c r="AL213" s="449"/>
      <c r="AM213" s="449"/>
      <c r="AN213" s="10"/>
      <c r="AO213" s="9"/>
      <c r="AP213" s="9"/>
      <c r="AQ213" s="9">
        <f>+FL_1($T$214,$T$212,$G$213,1200,9.28,-1*$F$214)</f>
        <v>0.41979612512574849</v>
      </c>
      <c r="AR213" s="9"/>
      <c r="AS213" s="9"/>
      <c r="AT213" s="9"/>
      <c r="AU213" s="428"/>
      <c r="AV213" s="428"/>
      <c r="AW213" s="449" t="str">
        <f>IF(C213&gt;0,VLOOKUP(C213,Foundation_Calc!$A$2:$C$13,3,1),
IF(J213&gt;0,VLOOKUP(J213,Foundation_Calc!$A$2:$C$13,3,1),""))</f>
        <v/>
      </c>
      <c r="AX213" s="449" t="str">
        <f>IF(C213&gt;0,VLOOKUP(C213,Foundation_Calc!$E$2:$G$33,3,1),
IF(J213&gt;0,VLOOKUP(J213,Foundation_Calc!$E$2:$G$33,3,1),""))</f>
        <v/>
      </c>
      <c r="AY213" s="10" t="str">
        <f>IF(L213="","",
IF(AX213="PT",VLOOKUP(L213,Foundation_Calc!$K$79:$R$113,VLOOKUP(AW213,Foundation_Calc!$I$2:$J$8,2,FALSE),0),
IF(AX213="K",VLOOKUP(L213,Foundation_Calc!$K$117:$R$151,VLOOKUP(AW213,Foundation_Calc!$I$2:$J$8,2,FALSE),0),"")))</f>
        <v/>
      </c>
      <c r="AZ213" s="10" t="str">
        <f>IF(K213="","",
IF(AX213="PT",VLOOKUP(K213,Foundation_Calc!$K$79:$R$113,VLOOKUP(AW213,Foundation_Calc!$I$2:$J$8,2,FALSE),0),
IF(AX213="K",VLOOKUP(K213,Foundation_Calc!$K$117:$R$151,VLOOKUP(AW213,Foundation_Calc!$I$2:$J$8,2,FALSE),0),"")))</f>
        <v/>
      </c>
      <c r="BA213" s="495" t="str">
        <f t="shared" si="27"/>
        <v/>
      </c>
      <c r="BB213" s="495" t="str">
        <f t="shared" si="28"/>
        <v/>
      </c>
      <c r="BC213" s="495" t="str">
        <f t="shared" si="29"/>
        <v/>
      </c>
      <c r="BD213" s="513" t="str">
        <f>IF(AND(L213="",H213=""),"",
IF(H213="",Pole_Calc!A$9,
IF(H213="MP",Pole_Calc!A$10,
IF(H213="AnMP",Pole_Calc!A$11,
IF(H213="A",Pole_Calc!A$12,
IF(H213="S/A",Pole_Calc!A$13,
IF(H213="A/S",Pole_Calc!A$14,"Poner a mano")))))))</f>
        <v/>
      </c>
      <c r="BE213" s="429" t="s">
        <v>118</v>
      </c>
      <c r="BF213" s="290"/>
      <c r="BG213" s="290"/>
      <c r="BH213" s="290"/>
      <c r="BI213" s="290"/>
    </row>
    <row r="214" spans="1:61" ht="16.149999999999999" customHeight="1">
      <c r="A214" s="514"/>
      <c r="B214" s="450" t="s">
        <v>291</v>
      </c>
      <c r="C214" s="3">
        <f>+$C$212+$G$213</f>
        <v>35346.549999999996</v>
      </c>
      <c r="D214" s="83"/>
      <c r="E214" s="4"/>
      <c r="F214" s="4">
        <f>IF(C214&gt;0,VLOOKUP(C214,'ALIGNMENT TRACK'!$A$1:$K$81,9,1))</f>
        <v>0</v>
      </c>
      <c r="G214" s="6"/>
      <c r="H214" s="449" t="s">
        <v>292</v>
      </c>
      <c r="I214" s="4" t="s">
        <v>122</v>
      </c>
      <c r="J214" s="3"/>
      <c r="K214" s="449"/>
      <c r="L214" s="449" t="s">
        <v>206</v>
      </c>
      <c r="M214" s="449" t="str">
        <f>IF(L214="","",
IF(AX214="PT",VLOOKUP(L214,Foundation_Calc!$V$79:$X$113,VLOOKUP(AX214,Foundation_Calc!$I$10:$J$13,2,FALSE),0),
IF(AX214="K",VLOOKUP(L214,Foundation_Calc!$V$117:$X$151,VLOOKUP(AX214,Foundation_Calc!$I$10:$J$13,2,FALSE),0),"")))</f>
        <v>2C4R</v>
      </c>
      <c r="N214" s="449" t="s">
        <v>134</v>
      </c>
      <c r="O214" s="554" t="s">
        <v>124</v>
      </c>
      <c r="P214" s="449"/>
      <c r="Q214" s="4"/>
      <c r="R214" s="6"/>
      <c r="S214" s="6"/>
      <c r="T214" s="4">
        <v>35</v>
      </c>
      <c r="U214" s="4">
        <v>20</v>
      </c>
      <c r="V214" s="4"/>
      <c r="W214" s="9">
        <v>1.4</v>
      </c>
      <c r="X214" s="9">
        <v>2</v>
      </c>
      <c r="Y214" s="9"/>
      <c r="Z214" s="9"/>
      <c r="AA214" s="9"/>
      <c r="AB214" s="9"/>
      <c r="AC214" s="449" t="str">
        <f t="shared" si="33"/>
        <v>PH</v>
      </c>
      <c r="AD214" s="449"/>
      <c r="AE214" s="449"/>
      <c r="AF214" s="4"/>
      <c r="AG214" s="83"/>
      <c r="AH214" s="4"/>
      <c r="AI214" s="4"/>
      <c r="AJ214" s="449" t="s">
        <v>239</v>
      </c>
      <c r="AK214" s="449"/>
      <c r="AL214" s="449"/>
      <c r="AM214" s="449" t="s">
        <v>126</v>
      </c>
      <c r="AN214" s="10">
        <v>5.5</v>
      </c>
      <c r="AO214" s="9"/>
      <c r="AP214" s="9"/>
      <c r="AQ214" s="9"/>
      <c r="AR214" s="9"/>
      <c r="AS214" s="9"/>
      <c r="AT214" s="9">
        <f>+ab($T$214,$T$212,$T$216,$G$213,$G$215,-1*$F$214,1200)</f>
        <v>9.5147943332273694</v>
      </c>
      <c r="AU214" s="428"/>
      <c r="AV214" s="428"/>
      <c r="AW214" s="449" t="str">
        <f>IF(C214&gt;0,VLOOKUP(C214,Foundation_Calc!$A$2:$C$13,3,1),
IF(J214&gt;0,VLOOKUP(J214,Foundation_Calc!$A$2:$C$13,3,1),""))</f>
        <v>Multi Soil</v>
      </c>
      <c r="AX214" s="449" t="str">
        <f>IF(C214&gt;0,VLOOKUP(C214,Foundation_Calc!$E$2:$G$33,3,1),
IF(J214&gt;0,VLOOKUP(J214,Foundation_Calc!$E$2:$G$33,3,1),""))</f>
        <v>PT</v>
      </c>
      <c r="AY214" s="10">
        <f>IF(L214="","",
IF(AX214="PT",VLOOKUP(L214,Foundation_Calc!$K$79:$R$113,VLOOKUP(AW214,Foundation_Calc!$I$2:$J$8,2,FALSE),0),
IF(AX214="K",VLOOKUP(L214,Foundation_Calc!$K$117:$R$151,VLOOKUP(AW214,Foundation_Calc!$I$2:$J$8,2,FALSE),0),"")))</f>
        <v>4</v>
      </c>
      <c r="AZ214" s="10" t="str">
        <f>IF(K214="","",
IF(AX214="PT",VLOOKUP(K214,Foundation_Calc!$K$79:$R$113,VLOOKUP(AW214,Foundation_Calc!$I$2:$J$8,2,FALSE),0),
IF(AX214="K",VLOOKUP(K214,Foundation_Calc!$K$117:$R$151,VLOOKUP(AW214,Foundation_Calc!$I$2:$J$8,2,FALSE),0),"")))</f>
        <v/>
      </c>
      <c r="BA214" s="495" t="str">
        <f t="shared" si="27"/>
        <v>ü</v>
      </c>
      <c r="BB214" s="495" t="str">
        <f t="shared" si="28"/>
        <v/>
      </c>
      <c r="BC214" s="495" t="str">
        <f t="shared" si="29"/>
        <v/>
      </c>
      <c r="BD214" s="513" t="str">
        <f>Pole_Calc!A$16</f>
        <v>App.7-V11I-P9.5.1.8</v>
      </c>
      <c r="BE214" s="429" t="s">
        <v>118</v>
      </c>
      <c r="BF214" s="289"/>
      <c r="BG214" s="289"/>
      <c r="BH214" s="290"/>
      <c r="BI214" s="289"/>
    </row>
    <row r="215" spans="1:61" ht="16.149999999999999" customHeight="1">
      <c r="A215" s="514"/>
      <c r="B215" s="450"/>
      <c r="C215" s="3"/>
      <c r="D215" s="83"/>
      <c r="E215" s="4"/>
      <c r="F215" s="4"/>
      <c r="G215" s="6">
        <v>50</v>
      </c>
      <c r="H215" s="449"/>
      <c r="I215" s="4"/>
      <c r="J215" s="3"/>
      <c r="K215" s="449"/>
      <c r="L215" s="449"/>
      <c r="M215" s="449" t="str">
        <f>IF(L215="","",
IF(AX215="PT",VLOOKUP(L215,Foundation_Calc!$V$79:$X$113,VLOOKUP(AX215,Foundation_Calc!$I$10:$J$13,2,FALSE),0),
IF(AX215="K",VLOOKUP(L215,Foundation_Calc!$V$117:$X$151,VLOOKUP(AX215,Foundation_Calc!$I$10:$J$13,2,FALSE),0),"")))</f>
        <v/>
      </c>
      <c r="N215" s="575"/>
      <c r="O215" s="449"/>
      <c r="P215" s="449"/>
      <c r="Q215" s="4"/>
      <c r="R215" s="6"/>
      <c r="S215" s="6"/>
      <c r="T215" s="4"/>
      <c r="U215" s="4"/>
      <c r="V215" s="4"/>
      <c r="W215" s="9"/>
      <c r="X215" s="9"/>
      <c r="Y215" s="9"/>
      <c r="Z215" s="9"/>
      <c r="AA215" s="9"/>
      <c r="AB215" s="9"/>
      <c r="AC215" s="449" t="str">
        <f t="shared" si="33"/>
        <v/>
      </c>
      <c r="AD215" s="449"/>
      <c r="AE215" s="449"/>
      <c r="AF215" s="4"/>
      <c r="AG215" s="83"/>
      <c r="AH215" s="4"/>
      <c r="AI215" s="4"/>
      <c r="AJ215" s="449"/>
      <c r="AK215" s="449"/>
      <c r="AL215" s="449"/>
      <c r="AM215" s="449"/>
      <c r="AN215" s="10"/>
      <c r="AO215" s="9"/>
      <c r="AP215" s="9"/>
      <c r="AQ215" s="9">
        <f>+FL_1($T$216,$T$214,$G$215,1200,9.28,-1*$F$216)</f>
        <v>0.39489941866666667</v>
      </c>
      <c r="AR215" s="9"/>
      <c r="AS215" s="9"/>
      <c r="AT215" s="9"/>
      <c r="AU215" s="428"/>
      <c r="AV215" s="428"/>
      <c r="AW215" s="449" t="str">
        <f>IF(C215&gt;0,VLOOKUP(C215,Foundation_Calc!$A$2:$C$13,3,1),
IF(J215&gt;0,VLOOKUP(J215,Foundation_Calc!$A$2:$C$13,3,1),""))</f>
        <v/>
      </c>
      <c r="AX215" s="449" t="str">
        <f>IF(C215&gt;0,VLOOKUP(C215,Foundation_Calc!$E$2:$G$33,3,1),
IF(J215&gt;0,VLOOKUP(J215,Foundation_Calc!$E$2:$G$33,3,1),""))</f>
        <v/>
      </c>
      <c r="AY215" s="10" t="str">
        <f>IF(L215="","",
IF(AX215="PT",VLOOKUP(L215,Foundation_Calc!$K$79:$R$113,VLOOKUP(AW215,Foundation_Calc!$I$2:$J$8,2,FALSE),0),
IF(AX215="K",VLOOKUP(L215,Foundation_Calc!$K$117:$R$151,VLOOKUP(AW215,Foundation_Calc!$I$2:$J$8,2,FALSE),0),"")))</f>
        <v/>
      </c>
      <c r="AZ215" s="10" t="str">
        <f>IF(K215="","",
IF(AX215="PT",VLOOKUP(K215,Foundation_Calc!$K$79:$R$113,VLOOKUP(AW215,Foundation_Calc!$I$2:$J$8,2,FALSE),0),
IF(AX215="K",VLOOKUP(K215,Foundation_Calc!$K$117:$R$151,VLOOKUP(AW215,Foundation_Calc!$I$2:$J$8,2,FALSE),0),"")))</f>
        <v/>
      </c>
      <c r="BA215" s="495" t="str">
        <f t="shared" si="27"/>
        <v/>
      </c>
      <c r="BB215" s="495" t="str">
        <f t="shared" si="28"/>
        <v/>
      </c>
      <c r="BC215" s="495" t="str">
        <f t="shared" si="29"/>
        <v/>
      </c>
      <c r="BD215" s="513" t="str">
        <f>IF(AND(L215="",H215=""),"",
IF(H215="",Pole_Calc!A$9,
IF(H215="MP",Pole_Calc!A$10,
IF(H215="AnMP",Pole_Calc!A$11,
IF(H215="A",Pole_Calc!A$12,
IF(H215="S/A",Pole_Calc!A$13,
IF(H215="A/S",Pole_Calc!A$14,"Poner a mano")))))))</f>
        <v/>
      </c>
      <c r="BE215" s="429" t="s">
        <v>118</v>
      </c>
      <c r="BF215" s="290"/>
      <c r="BG215" s="290"/>
      <c r="BH215" s="290"/>
      <c r="BI215" s="290"/>
    </row>
    <row r="216" spans="1:61" ht="16.149999999999999" customHeight="1">
      <c r="A216" s="514"/>
      <c r="B216" s="450" t="s">
        <v>293</v>
      </c>
      <c r="C216" s="3">
        <f>+$C$214+$G$215</f>
        <v>35396.549999999996</v>
      </c>
      <c r="D216" s="83"/>
      <c r="E216" s="4"/>
      <c r="F216" s="4">
        <f>IF(C216&gt;0,VLOOKUP(C216,'ALIGNMENT TRACK'!$A$1:$K$81,9,1))</f>
        <v>0</v>
      </c>
      <c r="G216" s="6"/>
      <c r="H216" s="449" t="s">
        <v>131</v>
      </c>
      <c r="I216" s="4"/>
      <c r="J216" s="3"/>
      <c r="K216" s="449"/>
      <c r="L216" s="449" t="s">
        <v>183</v>
      </c>
      <c r="M216" s="449" t="str">
        <f>IF(L216="","",
IF(AX216="PT",VLOOKUP(L216,Foundation_Calc!$V$79:$X$113,VLOOKUP(AX216,Foundation_Calc!$I$10:$J$13,2,FALSE),0),
IF(AX216="K",VLOOKUP(L216,Foundation_Calc!$V$117:$X$151,VLOOKUP(AX216,Foundation_Calc!$I$10:$J$13,2,FALSE),0),"")))</f>
        <v>2C3R</v>
      </c>
      <c r="N216" s="449" t="s">
        <v>124</v>
      </c>
      <c r="O216" s="554" t="s">
        <v>133</v>
      </c>
      <c r="P216" s="449"/>
      <c r="Q216" s="4"/>
      <c r="R216" s="6"/>
      <c r="S216" s="6"/>
      <c r="T216" s="4">
        <v>-20</v>
      </c>
      <c r="U216" s="4">
        <v>-55</v>
      </c>
      <c r="V216" s="4"/>
      <c r="W216" s="9">
        <v>1.4</v>
      </c>
      <c r="X216" s="9">
        <v>2</v>
      </c>
      <c r="Y216" s="9"/>
      <c r="Z216" s="9"/>
      <c r="AA216" s="9">
        <v>0.45</v>
      </c>
      <c r="AB216" s="9"/>
      <c r="AC216" s="449" t="str">
        <f t="shared" si="33"/>
        <v>PH</v>
      </c>
      <c r="AD216" s="449"/>
      <c r="AE216" s="449"/>
      <c r="AF216" s="4"/>
      <c r="AG216" s="83"/>
      <c r="AH216" s="4"/>
      <c r="AI216" s="4"/>
      <c r="AJ216" s="449"/>
      <c r="AK216" s="449"/>
      <c r="AL216" s="449"/>
      <c r="AM216" s="449" t="s">
        <v>126</v>
      </c>
      <c r="AN216" s="10">
        <f>AN214-0.07</f>
        <v>5.43</v>
      </c>
      <c r="AO216" s="9"/>
      <c r="AP216" s="9"/>
      <c r="AQ216" s="9"/>
      <c r="AR216" s="9"/>
      <c r="AS216" s="9"/>
      <c r="AT216" s="9">
        <f>+ab($T$216,$T$214,$T$218,$G$215,$G$217,-1*$F$216,1200)</f>
        <v>-8.6559532182479764</v>
      </c>
      <c r="AU216" s="428"/>
      <c r="AV216" s="428"/>
      <c r="AW216" s="449" t="str">
        <f>IF(C216&gt;0,VLOOKUP(C216,Foundation_Calc!$A$2:$C$13,3,1),
IF(J216&gt;0,VLOOKUP(J216,Foundation_Calc!$A$2:$C$13,3,1),""))</f>
        <v>Multi Soil</v>
      </c>
      <c r="AX216" s="449" t="str">
        <f>IF(C216&gt;0,VLOOKUP(C216,Foundation_Calc!$E$2:$G$33,3,1),
IF(J216&gt;0,VLOOKUP(J216,Foundation_Calc!$E$2:$G$33,3,1),""))</f>
        <v>PT</v>
      </c>
      <c r="AY216" s="10">
        <f>IF(L216="","",
IF(AX216="PT",VLOOKUP(L216,Foundation_Calc!$K$79:$R$113,VLOOKUP(AW216,Foundation_Calc!$I$2:$J$8,2,FALSE),0),
IF(AX216="K",VLOOKUP(L216,Foundation_Calc!$K$117:$R$151,VLOOKUP(AW216,Foundation_Calc!$I$2:$J$8,2,FALSE),0),"")))</f>
        <v>3.7</v>
      </c>
      <c r="AZ216" s="10" t="str">
        <f>IF(K216="","",
IF(AX216="PT",VLOOKUP(K216,Foundation_Calc!$K$79:$R$113,VLOOKUP(AW216,Foundation_Calc!$I$2:$J$8,2,FALSE),0),
IF(AX216="K",VLOOKUP(K216,Foundation_Calc!$K$117:$R$151,VLOOKUP(AW216,Foundation_Calc!$I$2:$J$8,2,FALSE),0),"")))</f>
        <v/>
      </c>
      <c r="BA216" s="495" t="str">
        <f t="shared" si="27"/>
        <v>ü</v>
      </c>
      <c r="BB216" s="495" t="str">
        <f t="shared" si="28"/>
        <v/>
      </c>
      <c r="BC216" s="495" t="str">
        <f t="shared" si="29"/>
        <v/>
      </c>
      <c r="BD216" s="513" t="str">
        <f>IF(AND(L216="",H216=""),"",
IF(H216="",Pole_Calc!A$9,
IF(H216="MP",Pole_Calc!A$10,
IF(H216="AnMP",Pole_Calc!A$11,
IF(H216="A",Pole_Calc!A$12,
IF(H216="S/A",Pole_Calc!A$13,
IF(H216="A/S",Pole_Calc!A$14,"Poner a mano")))))))</f>
        <v>App.7-V11I-P9.5.1.5</v>
      </c>
      <c r="BE216" s="429" t="s">
        <v>118</v>
      </c>
      <c r="BF216" s="289"/>
      <c r="BG216" s="289"/>
      <c r="BH216" s="290"/>
      <c r="BI216" s="289"/>
    </row>
    <row r="217" spans="1:61" ht="16.149999999999999" customHeight="1">
      <c r="A217" s="514"/>
      <c r="B217" s="450"/>
      <c r="C217" s="3"/>
      <c r="D217" s="83"/>
      <c r="E217" s="4"/>
      <c r="F217" s="4"/>
      <c r="G217" s="6">
        <v>50</v>
      </c>
      <c r="H217" s="449"/>
      <c r="I217" s="4"/>
      <c r="J217" s="3"/>
      <c r="K217" s="449"/>
      <c r="L217" s="449"/>
      <c r="M217" s="449" t="str">
        <f>IF(L217="","",
IF(AX217="PT",VLOOKUP(L217,Foundation_Calc!$V$79:$X$113,VLOOKUP(AX217,Foundation_Calc!$I$10:$J$13,2,FALSE),0),
IF(AX217="K",VLOOKUP(L217,Foundation_Calc!$V$117:$X$151,VLOOKUP(AX217,Foundation_Calc!$I$10:$J$13,2,FALSE),0),"")))</f>
        <v/>
      </c>
      <c r="N217" s="575"/>
      <c r="O217" s="449"/>
      <c r="P217" s="575"/>
      <c r="Q217" s="4"/>
      <c r="R217" s="6"/>
      <c r="S217" s="6"/>
      <c r="T217" s="4"/>
      <c r="U217" s="4"/>
      <c r="V217" s="4"/>
      <c r="W217" s="9"/>
      <c r="X217" s="9"/>
      <c r="Y217" s="9"/>
      <c r="Z217" s="9"/>
      <c r="AA217" s="9"/>
      <c r="AB217" s="9"/>
      <c r="AC217" s="449" t="str">
        <f t="shared" si="33"/>
        <v/>
      </c>
      <c r="AD217" s="449"/>
      <c r="AE217" s="449"/>
      <c r="AF217" s="4"/>
      <c r="AG217" s="83"/>
      <c r="AH217" s="4"/>
      <c r="AI217" s="4"/>
      <c r="AJ217" s="449"/>
      <c r="AK217" s="449"/>
      <c r="AL217" s="449"/>
      <c r="AM217" s="449"/>
      <c r="AN217" s="10"/>
      <c r="AO217" s="9"/>
      <c r="AP217" s="9"/>
      <c r="AQ217" s="9">
        <f>+FL_1($T$218,$T$216,$G$217,1200,9.28,-1*$F$218)</f>
        <v>0.39489941866666661</v>
      </c>
      <c r="AR217" s="9"/>
      <c r="AS217" s="9"/>
      <c r="AT217" s="9"/>
      <c r="AU217" s="428"/>
      <c r="AV217" s="428"/>
      <c r="AW217" s="449" t="str">
        <f>IF(C217&gt;0,VLOOKUP(C217,Foundation_Calc!$A$2:$C$13,3,1),
IF(J217&gt;0,VLOOKUP(J217,Foundation_Calc!$A$2:$C$13,3,1),""))</f>
        <v/>
      </c>
      <c r="AX217" s="449" t="str">
        <f>IF(C217&gt;0,VLOOKUP(C217,Foundation_Calc!$E$2:$G$33,3,1),
IF(J217&gt;0,VLOOKUP(J217,Foundation_Calc!$E$2:$G$33,3,1),""))</f>
        <v/>
      </c>
      <c r="AY217" s="10" t="str">
        <f>IF(L217="","",
IF(AX217="PT",VLOOKUP(L217,Foundation_Calc!$K$79:$R$113,VLOOKUP(AW217,Foundation_Calc!$I$2:$J$8,2,FALSE),0),
IF(AX217="K",VLOOKUP(L217,Foundation_Calc!$K$117:$R$151,VLOOKUP(AW217,Foundation_Calc!$I$2:$J$8,2,FALSE),0),"")))</f>
        <v/>
      </c>
      <c r="AZ217" s="10" t="str">
        <f>IF(K217="","",
IF(AX217="PT",VLOOKUP(K217,Foundation_Calc!$K$79:$R$113,VLOOKUP(AW217,Foundation_Calc!$I$2:$J$8,2,FALSE),0),
IF(AX217="K",VLOOKUP(K217,Foundation_Calc!$K$117:$R$151,VLOOKUP(AW217,Foundation_Calc!$I$2:$J$8,2,FALSE),0),"")))</f>
        <v/>
      </c>
      <c r="BA217" s="495" t="str">
        <f t="shared" si="27"/>
        <v/>
      </c>
      <c r="BB217" s="495" t="str">
        <f t="shared" si="28"/>
        <v/>
      </c>
      <c r="BC217" s="495" t="str">
        <f t="shared" si="29"/>
        <v/>
      </c>
      <c r="BD217" s="513" t="str">
        <f>IF(AND(L217="",H217=""),"",
IF(H217="",Pole_Calc!A$9,
IF(H217="MP",Pole_Calc!A$10,
IF(H217="AnMP",Pole_Calc!A$11,
IF(H217="A",Pole_Calc!A$12,
IF(H217="S/A",Pole_Calc!A$13,
IF(H217="A/S",Pole_Calc!A$14,"Poner a mano")))))))</f>
        <v/>
      </c>
      <c r="BE217" s="429" t="s">
        <v>118</v>
      </c>
      <c r="BF217" s="290"/>
      <c r="BG217" s="290"/>
      <c r="BH217" s="290"/>
      <c r="BI217" s="290"/>
    </row>
    <row r="218" spans="1:61" ht="16.149999999999999" customHeight="1">
      <c r="A218" s="514"/>
      <c r="B218" s="450" t="s">
        <v>294</v>
      </c>
      <c r="C218" s="3">
        <f>+$C$216+$G$217</f>
        <v>35446.549999999996</v>
      </c>
      <c r="D218" s="83"/>
      <c r="E218" s="4"/>
      <c r="F218" s="4">
        <f>IF(C218&gt;0,VLOOKUP(C218,'ALIGNMENT TRACK'!$A$1:$K$81,9,1))</f>
        <v>0</v>
      </c>
      <c r="G218" s="6"/>
      <c r="H218" s="449" t="s">
        <v>284</v>
      </c>
      <c r="I218" s="4" t="s">
        <v>122</v>
      </c>
      <c r="J218" s="3">
        <f>C218+7.5</f>
        <v>35454.049999999996</v>
      </c>
      <c r="K218" s="449" t="s">
        <v>117</v>
      </c>
      <c r="L218" s="449" t="s">
        <v>151</v>
      </c>
      <c r="M218" s="449" t="str">
        <f>IF(L218="","",
IF(AX218="PT",VLOOKUP(L218,Foundation_Calc!$V$79:$X$113,VLOOKUP(AX218,Foundation_Calc!$I$10:$J$13,2,FALSE),0),
IF(AX218="K",VLOOKUP(L218,Foundation_Calc!$V$117:$X$151,VLOOKUP(AX218,Foundation_Calc!$I$10:$J$13,2,FALSE),0),"")))</f>
        <v>C4R</v>
      </c>
      <c r="N218" s="449" t="s">
        <v>134</v>
      </c>
      <c r="O218" s="449"/>
      <c r="P218" s="449"/>
      <c r="Q218" s="4"/>
      <c r="R218" s="6"/>
      <c r="S218" s="6"/>
      <c r="T218" s="4">
        <v>35</v>
      </c>
      <c r="U218" s="4"/>
      <c r="V218" s="4"/>
      <c r="W218" s="9">
        <v>1.4</v>
      </c>
      <c r="X218" s="9"/>
      <c r="Y218" s="9"/>
      <c r="Z218" s="9"/>
      <c r="AA218" s="9"/>
      <c r="AB218" s="9"/>
      <c r="AC218" s="449" t="str">
        <f t="shared" si="33"/>
        <v>PHQ</v>
      </c>
      <c r="AD218" s="449"/>
      <c r="AE218" s="449"/>
      <c r="AF218" s="4"/>
      <c r="AG218" s="83"/>
      <c r="AH218" s="4"/>
      <c r="AI218" s="4"/>
      <c r="AJ218" s="449"/>
      <c r="AK218" s="449"/>
      <c r="AL218" s="449"/>
      <c r="AM218" s="449" t="s">
        <v>126</v>
      </c>
      <c r="AN218" s="10">
        <f>AN216-0.11</f>
        <v>5.3199999999999994</v>
      </c>
      <c r="AO218" s="9"/>
      <c r="AP218" s="9"/>
      <c r="AQ218" s="9"/>
      <c r="AR218" s="9"/>
      <c r="AS218" s="9"/>
      <c r="AT218" s="9">
        <f>+ab($T$218,$T$216,$T$220,$G$217,$G$219,-1*$F$218,1200)</f>
        <v>7.8367460343650421</v>
      </c>
      <c r="AU218" s="428"/>
      <c r="AV218" s="428"/>
      <c r="AW218" s="449" t="str">
        <f>IF(C218&gt;0,VLOOKUP(C218,Foundation_Calc!$A$2:$C$13,3,1),
IF(J218&gt;0,VLOOKUP(J218,Foundation_Calc!$A$2:$C$13,3,1),""))</f>
        <v>Multi Soil</v>
      </c>
      <c r="AX218" s="449" t="str">
        <f>IF(C218&gt;0,VLOOKUP(C218,Foundation_Calc!$E$2:$G$33,3,1),
IF(J218&gt;0,VLOOKUP(J218,Foundation_Calc!$E$2:$G$33,3,1),""))</f>
        <v>PT</v>
      </c>
      <c r="AY218" s="10">
        <f>IF(L218="","",
IF(AX218="PT",VLOOKUP(L218,Foundation_Calc!$K$79:$R$113,VLOOKUP(AW218,Foundation_Calc!$I$2:$J$8,2,FALSE),0),
IF(AX218="K",VLOOKUP(L218,Foundation_Calc!$K$117:$R$151,VLOOKUP(AW218,Foundation_Calc!$I$2:$J$8,2,FALSE),0),"")))</f>
        <v>3.5</v>
      </c>
      <c r="AZ218" s="10">
        <f>IF(K218="","",
IF(AX218="PT",VLOOKUP(K218,Foundation_Calc!$K$79:$R$113,VLOOKUP(AW218,Foundation_Calc!$I$2:$J$8,2,FALSE),0),
IF(AX218="K",VLOOKUP(K218,Foundation_Calc!$K$117:$R$151,VLOOKUP(AW218,Foundation_Calc!$I$2:$J$8,2,FALSE),0),"")))</f>
        <v>3.9</v>
      </c>
      <c r="BA218" s="495" t="str">
        <f t="shared" si="27"/>
        <v>ü</v>
      </c>
      <c r="BB218" s="495" t="str">
        <f t="shared" si="28"/>
        <v>ü</v>
      </c>
      <c r="BC218" s="495" t="str">
        <f t="shared" si="29"/>
        <v/>
      </c>
      <c r="BD218" s="513" t="str">
        <f>Pole_Calc!A$14</f>
        <v>App.7-V11I-P9.5.1.6</v>
      </c>
      <c r="BE218" s="429" t="s">
        <v>118</v>
      </c>
      <c r="BF218" s="289"/>
      <c r="BG218" s="289"/>
      <c r="BH218" s="290"/>
      <c r="BI218" s="289"/>
    </row>
    <row r="219" spans="1:61" ht="16.149999999999999" customHeight="1">
      <c r="A219" s="514"/>
      <c r="B219" s="450"/>
      <c r="C219" s="3"/>
      <c r="D219" s="83"/>
      <c r="E219" s="4"/>
      <c r="F219" s="4"/>
      <c r="G219" s="6">
        <v>45</v>
      </c>
      <c r="H219" s="449"/>
      <c r="I219" s="4"/>
      <c r="J219" s="3">
        <f>C220-7.5</f>
        <v>35484.049999999996</v>
      </c>
      <c r="K219" s="449" t="s">
        <v>117</v>
      </c>
      <c r="L219" s="449"/>
      <c r="M219" s="449" t="str">
        <f>IF(L219="","",
IF(AX219="PT",VLOOKUP(L219,Foundation_Calc!$V$79:$X$113,VLOOKUP(AX219,Foundation_Calc!$I$10:$J$13,2,FALSE),0),
IF(AX219="K",VLOOKUP(L219,Foundation_Calc!$V$117:$X$151,VLOOKUP(AX219,Foundation_Calc!$I$10:$J$13,2,FALSE),0),"")))</f>
        <v/>
      </c>
      <c r="N219" s="575"/>
      <c r="O219" s="449"/>
      <c r="P219" s="575"/>
      <c r="Q219" s="4"/>
      <c r="R219" s="6"/>
      <c r="S219" s="6"/>
      <c r="T219" s="4"/>
      <c r="U219" s="4"/>
      <c r="V219" s="4"/>
      <c r="W219" s="9"/>
      <c r="X219" s="9"/>
      <c r="Y219" s="9"/>
      <c r="Z219" s="9"/>
      <c r="AA219" s="9"/>
      <c r="AB219" s="9"/>
      <c r="AC219" s="449" t="str">
        <f t="shared" si="33"/>
        <v/>
      </c>
      <c r="AD219" s="449"/>
      <c r="AE219" s="449"/>
      <c r="AF219" s="4"/>
      <c r="AG219" s="83"/>
      <c r="AH219" s="4"/>
      <c r="AI219" s="4"/>
      <c r="AJ219" s="449"/>
      <c r="AK219" s="449"/>
      <c r="AL219" s="449"/>
      <c r="AM219" s="449"/>
      <c r="AN219" s="10"/>
      <c r="AO219" s="9"/>
      <c r="AP219" s="9"/>
      <c r="AQ219" s="9">
        <f>+FL_1($T$220,$T$218,$G$219,1200,9.28,-1*$F$220)</f>
        <v>0.3606925279999999</v>
      </c>
      <c r="AR219" s="9"/>
      <c r="AS219" s="9"/>
      <c r="AT219" s="9"/>
      <c r="AU219" s="428"/>
      <c r="AV219" s="428"/>
      <c r="AW219" s="449" t="str">
        <f>IF(C219&gt;0,VLOOKUP(C219,Foundation_Calc!$A$2:$C$13,3,1),
IF(J219&gt;0,VLOOKUP(J219,Foundation_Calc!$A$2:$C$13,3,1),""))</f>
        <v>Multi Soil</v>
      </c>
      <c r="AX219" s="449" t="str">
        <f>IF(C219&gt;0,VLOOKUP(C219,Foundation_Calc!$E$2:$G$33,3,1),
IF(J219&gt;0,VLOOKUP(J219,Foundation_Calc!$E$2:$G$33,3,1),""))</f>
        <v>PT</v>
      </c>
      <c r="AY219" s="10" t="str">
        <f>IF(L219="","",
IF(AX219="PT",VLOOKUP(L219,Foundation_Calc!$K$79:$R$113,VLOOKUP(AW219,Foundation_Calc!$I$2:$J$8,2,FALSE),0),
IF(AX219="K",VLOOKUP(L219,Foundation_Calc!$K$117:$R$151,VLOOKUP(AW219,Foundation_Calc!$I$2:$J$8,2,FALSE),0),"")))</f>
        <v/>
      </c>
      <c r="AZ219" s="10">
        <f>IF(K219="","",
IF(AX219="PT",VLOOKUP(K219,Foundation_Calc!$K$79:$R$113,VLOOKUP(AW219,Foundation_Calc!$I$2:$J$8,2,FALSE),0),
IF(AX219="K",VLOOKUP(K219,Foundation_Calc!$K$117:$R$151,VLOOKUP(AW219,Foundation_Calc!$I$2:$J$8,2,FALSE),0),"")))</f>
        <v>3.9</v>
      </c>
      <c r="BA219" s="495" t="str">
        <f t="shared" si="27"/>
        <v/>
      </c>
      <c r="BB219" s="495" t="str">
        <f t="shared" si="28"/>
        <v>ü</v>
      </c>
      <c r="BC219" s="495" t="str">
        <f t="shared" si="29"/>
        <v/>
      </c>
      <c r="BD219" s="513" t="str">
        <f>IF(AND(L219="",H219=""),"",
IF(H219="",Pole_Calc!A$9,
IF(H219="MP",Pole_Calc!A$10,
IF(H219="AnMP",Pole_Calc!A$11,
IF(H219="A",Pole_Calc!A$12,
IF(H219="S/A",Pole_Calc!A$13,
IF(H219="A/S",Pole_Calc!A$14,"Poner a mano")))))))</f>
        <v/>
      </c>
      <c r="BE219" s="429" t="s">
        <v>118</v>
      </c>
      <c r="BF219" s="290"/>
      <c r="BG219" s="290"/>
      <c r="BH219" s="290"/>
      <c r="BI219" s="290"/>
    </row>
    <row r="220" spans="1:61" ht="16.149999999999999" customHeight="1">
      <c r="A220" s="514"/>
      <c r="B220" s="450" t="s">
        <v>295</v>
      </c>
      <c r="C220" s="3">
        <f>+$C$218+$G$219</f>
        <v>35491.549999999996</v>
      </c>
      <c r="D220" s="83"/>
      <c r="E220" s="4"/>
      <c r="F220" s="4">
        <f>IF(C220&gt;0,VLOOKUP(C220,'ALIGNMENT TRACK'!$A$1:$K$81,9,1))</f>
        <v>0</v>
      </c>
      <c r="G220" s="6"/>
      <c r="H220" s="449" t="s">
        <v>121</v>
      </c>
      <c r="I220" s="4" t="s">
        <v>122</v>
      </c>
      <c r="J220" s="3"/>
      <c r="K220" s="449"/>
      <c r="L220" s="449" t="s">
        <v>151</v>
      </c>
      <c r="M220" s="449" t="str">
        <f>IF(L220="","",
IF(AX220="PT",VLOOKUP(L220,Foundation_Calc!$V$79:$X$113,VLOOKUP(AX220,Foundation_Calc!$I$10:$J$13,2,FALSE),0),
IF(AX220="K",VLOOKUP(L220,Foundation_Calc!$V$117:$X$151,VLOOKUP(AX220,Foundation_Calc!$I$10:$J$13,2,FALSE),0),"")))</f>
        <v>C4R</v>
      </c>
      <c r="N220" s="449" t="s">
        <v>124</v>
      </c>
      <c r="O220" s="449"/>
      <c r="P220" s="449"/>
      <c r="Q220" s="4"/>
      <c r="R220" s="6"/>
      <c r="S220" s="6"/>
      <c r="T220" s="4">
        <v>-25</v>
      </c>
      <c r="U220" s="4"/>
      <c r="V220" s="4"/>
      <c r="W220" s="9">
        <v>1.4</v>
      </c>
      <c r="X220" s="9"/>
      <c r="Y220" s="9"/>
      <c r="Z220" s="9"/>
      <c r="AA220" s="9"/>
      <c r="AB220" s="9"/>
      <c r="AC220" s="449" t="str">
        <f t="shared" si="33"/>
        <v>PH</v>
      </c>
      <c r="AD220" s="449"/>
      <c r="AE220" s="449"/>
      <c r="AF220" s="4"/>
      <c r="AG220" s="83"/>
      <c r="AH220" s="4"/>
      <c r="AI220" s="4"/>
      <c r="AJ220" s="449"/>
      <c r="AK220" s="449"/>
      <c r="AL220" s="449"/>
      <c r="AM220" s="449" t="s">
        <v>126</v>
      </c>
      <c r="AN220" s="10">
        <f>AN222+0.06</f>
        <v>5.21</v>
      </c>
      <c r="AO220" s="9"/>
      <c r="AP220" s="9"/>
      <c r="AQ220" s="9"/>
      <c r="AR220" s="9"/>
      <c r="AS220" s="9"/>
      <c r="AT220" s="9">
        <f>+ab($T$220,$T$218,$U$222,$G$219,$G$221,-1*$F$220,1200)</f>
        <v>-8.9108511613185648</v>
      </c>
      <c r="AU220" s="428"/>
      <c r="AV220" s="428"/>
      <c r="AW220" s="449" t="str">
        <f>IF(C220&gt;0,VLOOKUP(C220,Foundation_Calc!$A$2:$C$13,3,1),
IF(J220&gt;0,VLOOKUP(J220,Foundation_Calc!$A$2:$C$13,3,1),""))</f>
        <v>Multi Soil</v>
      </c>
      <c r="AX220" s="449" t="str">
        <f>IF(C220&gt;0,VLOOKUP(C220,Foundation_Calc!$E$2:$G$33,3,1),
IF(J220&gt;0,VLOOKUP(J220,Foundation_Calc!$E$2:$G$33,3,1),""))</f>
        <v>PT</v>
      </c>
      <c r="AY220" s="10">
        <f>IF(L220="","",
IF(AX220="PT",VLOOKUP(L220,Foundation_Calc!$K$79:$R$113,VLOOKUP(AW220,Foundation_Calc!$I$2:$J$8,2,FALSE),0),
IF(AX220="K",VLOOKUP(L220,Foundation_Calc!$K$117:$R$151,VLOOKUP(AW220,Foundation_Calc!$I$2:$J$8,2,FALSE),0),"")))</f>
        <v>3.5</v>
      </c>
      <c r="AZ220" s="10" t="str">
        <f>IF(K220="","",
IF(AX220="PT",VLOOKUP(K220,Foundation_Calc!$K$79:$R$113,VLOOKUP(AW220,Foundation_Calc!$I$2:$J$8,2,FALSE),0),
IF(AX220="K",VLOOKUP(K220,Foundation_Calc!$K$117:$R$151,VLOOKUP(AW220,Foundation_Calc!$I$2:$J$8,2,FALSE),0),"")))</f>
        <v/>
      </c>
      <c r="BA220" s="495" t="str">
        <f t="shared" si="27"/>
        <v>ü</v>
      </c>
      <c r="BB220" s="495" t="str">
        <f t="shared" si="28"/>
        <v/>
      </c>
      <c r="BC220" s="495" t="str">
        <f t="shared" si="29"/>
        <v/>
      </c>
      <c r="BD220" s="513" t="str">
        <f>IF(AND(L220="",H220=""),"",
IF(H220="",Pole_Calc!A$9,
IF(H220="MP",Pole_Calc!A$10,
IF(H220="AnMP",Pole_Calc!A$11,
IF(H220="A",Pole_Calc!A$12,
IF(H220="S/A",Pole_Calc!A$13,
IF(H220="A/S",Pole_Calc!A$14,"Poner a mano")))))))</f>
        <v>App.7-V11I-P9.5.1.6</v>
      </c>
      <c r="BE220" s="429" t="s">
        <v>118</v>
      </c>
      <c r="BF220" s="289"/>
      <c r="BG220" s="289"/>
      <c r="BH220" s="290"/>
      <c r="BI220" s="289"/>
    </row>
    <row r="221" spans="1:61" ht="16.149999999999999" customHeight="1">
      <c r="A221" s="514" t="s">
        <v>234</v>
      </c>
      <c r="B221" s="450"/>
      <c r="C221" s="3"/>
      <c r="D221" s="83"/>
      <c r="E221" s="4"/>
      <c r="F221" s="4"/>
      <c r="G221" s="6">
        <v>43.6</v>
      </c>
      <c r="H221" s="449"/>
      <c r="I221" s="4"/>
      <c r="J221" s="3"/>
      <c r="K221" s="449"/>
      <c r="L221" s="449"/>
      <c r="M221" s="449" t="str">
        <f>IF(L221="","",
IF(AX221="PT",VLOOKUP(L221,Foundation_Calc!$V$79:$X$113,VLOOKUP(AX221,Foundation_Calc!$I$10:$J$13,2,FALSE),0),
IF(AX221="K",VLOOKUP(L221,Foundation_Calc!$V$117:$X$151,VLOOKUP(AX221,Foundation_Calc!$I$10:$J$13,2,FALSE),0),"")))</f>
        <v/>
      </c>
      <c r="N221" s="449"/>
      <c r="O221" s="575"/>
      <c r="P221" s="449"/>
      <c r="Q221" s="4"/>
      <c r="R221" s="6"/>
      <c r="S221" s="6"/>
      <c r="T221" s="4"/>
      <c r="U221" s="4"/>
      <c r="V221" s="4"/>
      <c r="W221" s="9"/>
      <c r="X221" s="9"/>
      <c r="Y221" s="9"/>
      <c r="Z221" s="9"/>
      <c r="AA221" s="9"/>
      <c r="AB221" s="9"/>
      <c r="AC221" s="449" t="str">
        <f t="shared" si="33"/>
        <v/>
      </c>
      <c r="AD221" s="449"/>
      <c r="AE221" s="449"/>
      <c r="AF221" s="4"/>
      <c r="AG221" s="83"/>
      <c r="AH221" s="4"/>
      <c r="AI221" s="4"/>
      <c r="AJ221" s="449"/>
      <c r="AK221" s="449"/>
      <c r="AL221" s="449"/>
      <c r="AM221" s="449"/>
      <c r="AN221" s="10"/>
      <c r="AO221" s="9"/>
      <c r="AP221" s="9"/>
      <c r="AQ221" s="9">
        <f>+FL_2($U$222,$T$220,$G$221,1200,9.28,-1*$F$222)</f>
        <v>-0.30042398674006121</v>
      </c>
      <c r="AR221" s="9"/>
      <c r="AS221" s="9"/>
      <c r="AT221" s="9"/>
      <c r="AU221" s="428"/>
      <c r="AV221" s="428"/>
      <c r="AW221" s="449" t="str">
        <f>IF(C221&gt;0,VLOOKUP(C221,Foundation_Calc!$A$2:$C$13,3,1),
IF(J221&gt;0,VLOOKUP(J221,Foundation_Calc!$A$2:$C$13,3,1),""))</f>
        <v/>
      </c>
      <c r="AX221" s="449" t="str">
        <f>IF(C221&gt;0,VLOOKUP(C221,Foundation_Calc!$E$2:$G$33,3,1),
IF(J221&gt;0,VLOOKUP(J221,Foundation_Calc!$E$2:$G$33,3,1),""))</f>
        <v/>
      </c>
      <c r="AY221" s="10" t="str">
        <f>IF(L221="","",
IF(AX221="PT",VLOOKUP(L221,Foundation_Calc!$K$79:$R$113,VLOOKUP(AW221,Foundation_Calc!$I$2:$J$8,2,FALSE),0),
IF(AX221="K",VLOOKUP(L221,Foundation_Calc!$K$117:$R$151,VLOOKUP(AW221,Foundation_Calc!$I$2:$J$8,2,FALSE),0),"")))</f>
        <v/>
      </c>
      <c r="AZ221" s="10" t="str">
        <f>IF(K221="","",
IF(AX221="PT",VLOOKUP(K221,Foundation_Calc!$K$79:$R$113,VLOOKUP(AW221,Foundation_Calc!$I$2:$J$8,2,FALSE),0),
IF(AX221="K",VLOOKUP(K221,Foundation_Calc!$K$117:$R$151,VLOOKUP(AW221,Foundation_Calc!$I$2:$J$8,2,FALSE),0),"")))</f>
        <v/>
      </c>
      <c r="BA221" s="495" t="str">
        <f t="shared" si="27"/>
        <v/>
      </c>
      <c r="BB221" s="495" t="str">
        <f t="shared" si="28"/>
        <v/>
      </c>
      <c r="BC221" s="495" t="str">
        <f t="shared" si="29"/>
        <v/>
      </c>
      <c r="BD221" s="513" t="str">
        <f>IF(AND(L221="",H221=""),"",
IF(H221="",Pole_Calc!A$9,
IF(H221="MP",Pole_Calc!A$10,
IF(H221="AnMP",Pole_Calc!A$11,
IF(H221="A",Pole_Calc!A$12,
IF(H221="S/A",Pole_Calc!A$13,
IF(H221="A/S",Pole_Calc!A$14,"Poner a mano")))))))</f>
        <v/>
      </c>
      <c r="BE221" s="429" t="s">
        <v>118</v>
      </c>
      <c r="BF221" s="290"/>
      <c r="BG221" s="290"/>
      <c r="BH221" s="290"/>
      <c r="BI221" s="290"/>
    </row>
    <row r="222" spans="1:61" ht="16.149999999999999" customHeight="1">
      <c r="A222" s="514" t="s">
        <v>296</v>
      </c>
      <c r="B222" s="450" t="s">
        <v>297</v>
      </c>
      <c r="C222" s="3">
        <f>+$C$220+$G$221</f>
        <v>35535.149999999994</v>
      </c>
      <c r="D222" s="83"/>
      <c r="E222" s="4"/>
      <c r="F222" s="4">
        <f>IF(C222&gt;0,VLOOKUP(C222,'ALIGNMENT TRACK'!$A$1:$K$81,9,1))</f>
        <v>0</v>
      </c>
      <c r="G222" s="6"/>
      <c r="H222" s="449" t="s">
        <v>131</v>
      </c>
      <c r="I222" s="4" t="s">
        <v>132</v>
      </c>
      <c r="J222" s="3"/>
      <c r="K222" s="449"/>
      <c r="L222" s="449" t="s">
        <v>298</v>
      </c>
      <c r="M222" s="449" t="str">
        <f>IF(L222="","",
IF(AX222="PT",VLOOKUP(L222,Foundation_Calc!$V$79:$X$113,VLOOKUP(AX222,Foundation_Calc!$I$10:$J$13,2,FALSE),0),
IF(AX222="K",VLOOKUP(L222,Foundation_Calc!$V$117:$X$151,VLOOKUP(AX222,Foundation_Calc!$I$10:$J$13,2,FALSE),0),"")))</f>
        <v>2C3R</v>
      </c>
      <c r="N222" s="449" t="s">
        <v>133</v>
      </c>
      <c r="O222" s="449" t="s">
        <v>134</v>
      </c>
      <c r="P222" s="449"/>
      <c r="Q222" s="4"/>
      <c r="R222" s="6"/>
      <c r="S222" s="6"/>
      <c r="T222" s="4">
        <v>55</v>
      </c>
      <c r="U222" s="4">
        <v>10</v>
      </c>
      <c r="V222" s="4"/>
      <c r="W222" s="9">
        <v>1.4</v>
      </c>
      <c r="X222" s="9">
        <v>2</v>
      </c>
      <c r="Y222" s="9"/>
      <c r="Z222" s="9">
        <v>0.4</v>
      </c>
      <c r="AA222" s="9"/>
      <c r="AB222" s="9"/>
      <c r="AC222" s="449" t="str">
        <f t="shared" si="33"/>
        <v>PH</v>
      </c>
      <c r="AD222" s="449"/>
      <c r="AE222" s="449"/>
      <c r="AF222" s="4"/>
      <c r="AG222" s="83"/>
      <c r="AH222" s="4"/>
      <c r="AI222" s="4"/>
      <c r="AJ222" s="449" t="s">
        <v>233</v>
      </c>
      <c r="AK222" s="449"/>
      <c r="AL222" s="449"/>
      <c r="AM222" s="449" t="s">
        <v>126</v>
      </c>
      <c r="AN222" s="10">
        <v>5.15</v>
      </c>
      <c r="AO222" s="9"/>
      <c r="AP222" s="9"/>
      <c r="AQ222" s="9"/>
      <c r="AR222" s="9"/>
      <c r="AS222" s="9"/>
      <c r="AT222" s="9">
        <f>+ab($U$222,$T$220,$U$224,$G$221,$G$223,-1*$F$222,1200)</f>
        <v>8.4767901049752599</v>
      </c>
      <c r="AU222" s="428"/>
      <c r="AV222" s="428"/>
      <c r="AW222" s="449" t="str">
        <f>IF(C222&gt;0,VLOOKUP(C222,Foundation_Calc!$A$2:$C$13,3,1),
IF(J222&gt;0,VLOOKUP(J222,Foundation_Calc!$A$2:$C$13,3,1),""))</f>
        <v>Multi Soil</v>
      </c>
      <c r="AX222" s="449" t="str">
        <f>IF(C222&gt;0,VLOOKUP(C222,Foundation_Calc!$E$2:$G$33,3,1),
IF(J222&gt;0,VLOOKUP(J222,Foundation_Calc!$E$2:$G$33,3,1),""))</f>
        <v>PT</v>
      </c>
      <c r="AY222" s="10">
        <f>IF(L222="","",
IF(AX222="PT",VLOOKUP(L222,Foundation_Calc!$K$79:$R$113,VLOOKUP(AW222,Foundation_Calc!$I$2:$J$8,2,FALSE),0),
IF(AX222="K",VLOOKUP(L222,Foundation_Calc!$K$117:$R$151,VLOOKUP(AW222,Foundation_Calc!$I$2:$J$8,2,FALSE),0),"")))</f>
        <v>4</v>
      </c>
      <c r="AZ222" s="10" t="str">
        <f>IF(K222="","",
IF(AX222="PT",VLOOKUP(K222,Foundation_Calc!$K$79:$R$113,VLOOKUP(AW222,Foundation_Calc!$I$2:$J$8,2,FALSE),0),
IF(AX222="K",VLOOKUP(K222,Foundation_Calc!$K$117:$R$151,VLOOKUP(AW222,Foundation_Calc!$I$2:$J$8,2,FALSE),0),"")))</f>
        <v/>
      </c>
      <c r="BA222" s="495" t="str">
        <f t="shared" si="27"/>
        <v>ü</v>
      </c>
      <c r="BB222" s="495" t="str">
        <f t="shared" si="28"/>
        <v/>
      </c>
      <c r="BC222" s="495" t="str">
        <f t="shared" si="29"/>
        <v/>
      </c>
      <c r="BD222" s="513" t="str">
        <f>IF(AND(L222="",H222=""),"",
IF(H222="",Pole_Calc!A$9,
IF(H222="MP",Pole_Calc!A$10,
IF(H222="AnMP",Pole_Calc!A$11,
IF(H222="A",Pole_Calc!A$12,
IF(H222="S/A",Pole_Calc!A$13,
IF(H222="A/S",Pole_Calc!A$14,"Poner a mano")))))))</f>
        <v>App.7-V11I-P9.5.1.5</v>
      </c>
      <c r="BE222" s="429" t="s">
        <v>118</v>
      </c>
      <c r="BF222" s="289"/>
      <c r="BG222" s="289"/>
      <c r="BH222" s="290"/>
      <c r="BI222" s="289"/>
    </row>
    <row r="223" spans="1:61" ht="16.149999999999999" customHeight="1">
      <c r="A223" s="514"/>
      <c r="B223" s="450"/>
      <c r="C223" s="3"/>
      <c r="D223" s="83"/>
      <c r="E223" s="4"/>
      <c r="F223" s="4"/>
      <c r="G223" s="6">
        <v>45</v>
      </c>
      <c r="H223" s="449"/>
      <c r="I223" s="4"/>
      <c r="J223" s="3"/>
      <c r="K223" s="449"/>
      <c r="L223" s="449"/>
      <c r="M223" s="449" t="str">
        <f>IF(L223="","",
IF(AX223="PT",VLOOKUP(L223,Foundation_Calc!$V$79:$X$113,VLOOKUP(AX223,Foundation_Calc!$I$10:$J$13,2,FALSE),0),
IF(AX223="K",VLOOKUP(L223,Foundation_Calc!$V$117:$X$151,VLOOKUP(AX223,Foundation_Calc!$I$10:$J$13,2,FALSE),0),"")))</f>
        <v/>
      </c>
      <c r="N223" s="449"/>
      <c r="O223" s="575"/>
      <c r="P223" s="449"/>
      <c r="Q223" s="4"/>
      <c r="R223" s="6"/>
      <c r="S223" s="6"/>
      <c r="T223" s="4"/>
      <c r="U223" s="4"/>
      <c r="V223" s="4"/>
      <c r="W223" s="9"/>
      <c r="X223" s="9"/>
      <c r="Y223" s="9"/>
      <c r="Z223" s="9"/>
      <c r="AA223" s="9"/>
      <c r="AB223" s="9"/>
      <c r="AC223" s="449" t="str">
        <f t="shared" si="33"/>
        <v/>
      </c>
      <c r="AD223" s="449"/>
      <c r="AE223" s="449"/>
      <c r="AF223" s="4"/>
      <c r="AG223" s="83"/>
      <c r="AH223" s="4"/>
      <c r="AI223" s="4"/>
      <c r="AJ223" s="449"/>
      <c r="AK223" s="449"/>
      <c r="AL223" s="449"/>
      <c r="AM223" s="449"/>
      <c r="AN223" s="10"/>
      <c r="AO223" s="9"/>
      <c r="AP223" s="9"/>
      <c r="AQ223" s="9">
        <f>+FL_2($T$224,$U$222,$G$223,1200,9.28,-1*$F$224)</f>
        <v>-0.20852138888888888</v>
      </c>
      <c r="AR223" s="9"/>
      <c r="AS223" s="9"/>
      <c r="AT223" s="9"/>
      <c r="AU223" s="428"/>
      <c r="AV223" s="428"/>
      <c r="AW223" s="449" t="str">
        <f>IF(C223&gt;0,VLOOKUP(C223,Foundation_Calc!$A$2:$C$13,3,1),
IF(J223&gt;0,VLOOKUP(J223,Foundation_Calc!$A$2:$C$13,3,1),""))</f>
        <v/>
      </c>
      <c r="AX223" s="449" t="str">
        <f>IF(C223&gt;0,VLOOKUP(C223,Foundation_Calc!$E$2:$G$33,3,1),
IF(J223&gt;0,VLOOKUP(J223,Foundation_Calc!$E$2:$G$33,3,1),""))</f>
        <v/>
      </c>
      <c r="AY223" s="10" t="str">
        <f>IF(L223="","",
IF(AX223="PT",VLOOKUP(L223,Foundation_Calc!$K$79:$R$113,VLOOKUP(AW223,Foundation_Calc!$I$2:$J$8,2,FALSE),0),
IF(AX223="K",VLOOKUP(L223,Foundation_Calc!$K$117:$R$151,VLOOKUP(AW223,Foundation_Calc!$I$2:$J$8,2,FALSE),0),"")))</f>
        <v/>
      </c>
      <c r="AZ223" s="10" t="str">
        <f>IF(K223="","",
IF(AX223="PT",VLOOKUP(K223,Foundation_Calc!$K$79:$R$113,VLOOKUP(AW223,Foundation_Calc!$I$2:$J$8,2,FALSE),0),
IF(AX223="K",VLOOKUP(K223,Foundation_Calc!$K$117:$R$151,VLOOKUP(AW223,Foundation_Calc!$I$2:$J$8,2,FALSE),0),"")))</f>
        <v/>
      </c>
      <c r="BA223" s="495" t="str">
        <f t="shared" si="27"/>
        <v/>
      </c>
      <c r="BB223" s="495" t="str">
        <f t="shared" si="28"/>
        <v/>
      </c>
      <c r="BC223" s="495" t="str">
        <f t="shared" si="29"/>
        <v/>
      </c>
      <c r="BD223" s="513" t="str">
        <f>IF(AND(L223="",H223=""),"",
IF(H223="",Pole_Calc!A$9,
IF(H223="MP",Pole_Calc!A$10,
IF(H223="AnMP",Pole_Calc!A$11,
IF(H223="A",Pole_Calc!A$12,
IF(H223="S/A",Pole_Calc!A$13,
IF(H223="A/S",Pole_Calc!A$14,"Poner a mano")))))))</f>
        <v/>
      </c>
      <c r="BE223" s="429" t="s">
        <v>118</v>
      </c>
      <c r="BF223" s="290"/>
      <c r="BG223" s="290"/>
      <c r="BH223" s="290"/>
      <c r="BI223" s="290"/>
    </row>
    <row r="224" spans="1:61" ht="16.149999999999999" customHeight="1">
      <c r="A224" s="514"/>
      <c r="B224" s="450" t="s">
        <v>299</v>
      </c>
      <c r="C224" s="3">
        <f>+$C$222+$G$223</f>
        <v>35580.149999999994</v>
      </c>
      <c r="D224" s="83"/>
      <c r="E224" s="4"/>
      <c r="F224" s="4">
        <f>IF(C224&gt;0,VLOOKUP(C224,'ALIGNMENT TRACK'!$A$1:$K$81,9,1))</f>
        <v>0</v>
      </c>
      <c r="G224" s="6"/>
      <c r="H224" s="449" t="s">
        <v>131</v>
      </c>
      <c r="I224" s="4"/>
      <c r="J224" s="3"/>
      <c r="K224" s="449"/>
      <c r="L224" s="449" t="s">
        <v>183</v>
      </c>
      <c r="M224" s="449" t="str">
        <f>IF(L224="","",
IF(AX224="PT",VLOOKUP(L224,Foundation_Calc!$V$79:$X$113,VLOOKUP(AX224,Foundation_Calc!$I$10:$J$13,2,FALSE),0),
IF(AX224="K",VLOOKUP(L224,Foundation_Calc!$V$117:$X$151,VLOOKUP(AX224,Foundation_Calc!$I$10:$J$13,2,FALSE),0),"")))</f>
        <v>2C3R</v>
      </c>
      <c r="N224" s="449" t="s">
        <v>124</v>
      </c>
      <c r="O224" s="449" t="s">
        <v>133</v>
      </c>
      <c r="P224" s="449"/>
      <c r="Q224" s="4"/>
      <c r="R224" s="6"/>
      <c r="S224" s="6"/>
      <c r="T224" s="4">
        <v>-10</v>
      </c>
      <c r="U224" s="4">
        <v>-55</v>
      </c>
      <c r="V224" s="4"/>
      <c r="W224" s="572">
        <v>1</v>
      </c>
      <c r="X224" s="9">
        <v>2</v>
      </c>
      <c r="Y224" s="9"/>
      <c r="Z224" s="9"/>
      <c r="AA224" s="9">
        <v>0.4</v>
      </c>
      <c r="AB224" s="9"/>
      <c r="AC224" s="449" t="str">
        <f t="shared" si="33"/>
        <v>PH</v>
      </c>
      <c r="AD224" s="449"/>
      <c r="AE224" s="449"/>
      <c r="AF224" s="4"/>
      <c r="AG224" s="83"/>
      <c r="AH224" s="4"/>
      <c r="AI224" s="4"/>
      <c r="AJ224" s="449"/>
      <c r="AK224" s="449"/>
      <c r="AL224" s="449"/>
      <c r="AM224" s="449" t="s">
        <v>126</v>
      </c>
      <c r="AN224" s="10">
        <v>5.15</v>
      </c>
      <c r="AO224" s="9"/>
      <c r="AP224" s="9"/>
      <c r="AQ224" s="9"/>
      <c r="AR224" s="9"/>
      <c r="AS224" s="9"/>
      <c r="AT224" s="9">
        <f>+ab($T$224,$T$222,$T$226,$G$223,$G$225,-1*$F$224,1200)</f>
        <v>-8.6354085189023433</v>
      </c>
      <c r="AU224" s="428"/>
      <c r="AV224" s="428"/>
      <c r="AW224" s="449" t="str">
        <f>IF(C224&gt;0,VLOOKUP(C224,Foundation_Calc!$A$2:$C$13,3,1),
IF(J224&gt;0,VLOOKUP(J224,Foundation_Calc!$A$2:$C$13,3,1),""))</f>
        <v>Multi Soil</v>
      </c>
      <c r="AX224" s="449" t="str">
        <f>IF(C224&gt;0,VLOOKUP(C224,Foundation_Calc!$E$2:$G$33,3,1),
IF(J224&gt;0,VLOOKUP(J224,Foundation_Calc!$E$2:$G$33,3,1),""))</f>
        <v>PT</v>
      </c>
      <c r="AY224" s="10">
        <f>IF(L224="","",
IF(AX224="PT",VLOOKUP(L224,Foundation_Calc!$K$79:$R$113,VLOOKUP(AW224,Foundation_Calc!$I$2:$J$8,2,FALSE),0),
IF(AX224="K",VLOOKUP(L224,Foundation_Calc!$K$117:$R$151,VLOOKUP(AW224,Foundation_Calc!$I$2:$J$8,2,FALSE),0),"")))</f>
        <v>3.7</v>
      </c>
      <c r="AZ224" s="10" t="str">
        <f>IF(K224="","",
IF(AX224="PT",VLOOKUP(K224,Foundation_Calc!$K$79:$R$113,VLOOKUP(AW224,Foundation_Calc!$I$2:$J$8,2,FALSE),0),
IF(AX224="K",VLOOKUP(K224,Foundation_Calc!$K$117:$R$151,VLOOKUP(AW224,Foundation_Calc!$I$2:$J$8,2,FALSE),0),"")))</f>
        <v/>
      </c>
      <c r="BA224" s="495" t="str">
        <f t="shared" si="27"/>
        <v>ü</v>
      </c>
      <c r="BB224" s="495" t="str">
        <f t="shared" si="28"/>
        <v/>
      </c>
      <c r="BC224" s="495" t="str">
        <f t="shared" si="29"/>
        <v/>
      </c>
      <c r="BD224" s="513" t="str">
        <f>IF(AND(L224="",H224=""),"",
IF(H224="",Pole_Calc!A$9,
IF(H224="MP",Pole_Calc!A$10,
IF(H224="AnMP",Pole_Calc!A$11,
IF(H224="A",Pole_Calc!A$12,
IF(H224="S/A",Pole_Calc!A$13,
IF(H224="A/S",Pole_Calc!A$14,"Poner a mano")))))))</f>
        <v>App.7-V11I-P9.5.1.5</v>
      </c>
      <c r="BE224" s="429" t="s">
        <v>118</v>
      </c>
      <c r="BF224" s="289"/>
      <c r="BG224" s="289"/>
      <c r="BH224" s="290"/>
      <c r="BI224" s="289"/>
    </row>
    <row r="225" spans="1:61" ht="16.149999999999999" customHeight="1">
      <c r="A225" s="514" t="s">
        <v>169</v>
      </c>
      <c r="B225" s="450"/>
      <c r="C225" s="3"/>
      <c r="D225" s="83"/>
      <c r="E225" s="4"/>
      <c r="F225" s="4"/>
      <c r="G225" s="6">
        <v>46</v>
      </c>
      <c r="H225" s="449"/>
      <c r="I225" s="4">
        <f>SUM(G209:G225)</f>
        <v>412.8</v>
      </c>
      <c r="J225" s="3"/>
      <c r="K225" s="449"/>
      <c r="L225" s="449"/>
      <c r="M225" s="449" t="str">
        <f>IF(L225="","",
IF(AX225="PT",VLOOKUP(L225,Foundation_Calc!$V$79:$X$113,VLOOKUP(AX225,Foundation_Calc!$I$10:$J$13,2,FALSE),0),
IF(AX225="K",VLOOKUP(L225,Foundation_Calc!$V$117:$X$151,VLOOKUP(AX225,Foundation_Calc!$I$10:$J$13,2,FALSE),0),"")))</f>
        <v/>
      </c>
      <c r="N225" s="449"/>
      <c r="O225" s="449"/>
      <c r="P225" s="575"/>
      <c r="Q225" s="4"/>
      <c r="R225" s="6"/>
      <c r="S225" s="6"/>
      <c r="T225" s="4"/>
      <c r="U225" s="4"/>
      <c r="V225" s="4"/>
      <c r="W225" s="9"/>
      <c r="X225" s="9"/>
      <c r="Y225" s="9"/>
      <c r="Z225" s="9"/>
      <c r="AA225" s="9"/>
      <c r="AB225" s="9"/>
      <c r="AC225" s="449" t="str">
        <f t="shared" si="33"/>
        <v/>
      </c>
      <c r="AD225" s="449"/>
      <c r="AE225" s="449"/>
      <c r="AF225" s="4"/>
      <c r="AG225" s="83"/>
      <c r="AH225" s="4"/>
      <c r="AI225" s="4"/>
      <c r="AJ225" s="449"/>
      <c r="AK225" s="449"/>
      <c r="AL225" s="449"/>
      <c r="AM225" s="449"/>
      <c r="AN225" s="10"/>
      <c r="AO225" s="9"/>
      <c r="AP225" s="9"/>
      <c r="AQ225" s="9">
        <f>+FL_1($T$226,$T$224,$G$225,1200,9.28,-1*$F$226)</f>
        <v>0.31697699988405797</v>
      </c>
      <c r="AR225" s="9"/>
      <c r="AS225" s="9"/>
      <c r="AT225" s="9"/>
      <c r="AU225" s="428"/>
      <c r="AV225" s="428"/>
      <c r="AW225" s="449" t="str">
        <f>IF(C225&gt;0,VLOOKUP(C225,Foundation_Calc!$A$2:$C$13,3,1),
IF(J225&gt;0,VLOOKUP(J225,Foundation_Calc!$A$2:$C$13,3,1),""))</f>
        <v/>
      </c>
      <c r="AX225" s="449" t="str">
        <f>IF(C225&gt;0,VLOOKUP(C225,Foundation_Calc!$E$2:$G$33,3,1),
IF(J225&gt;0,VLOOKUP(J225,Foundation_Calc!$E$2:$G$33,3,1),""))</f>
        <v/>
      </c>
      <c r="AY225" s="10" t="str">
        <f>IF(L225="","",
IF(AX225="PT",VLOOKUP(L225,Foundation_Calc!$K$79:$R$113,VLOOKUP(AW225,Foundation_Calc!$I$2:$J$8,2,FALSE),0),
IF(AX225="K",VLOOKUP(L225,Foundation_Calc!$K$117:$R$151,VLOOKUP(AW225,Foundation_Calc!$I$2:$J$8,2,FALSE),0),"")))</f>
        <v/>
      </c>
      <c r="AZ225" s="10" t="str">
        <f>IF(K225="","",
IF(AX225="PT",VLOOKUP(K225,Foundation_Calc!$K$79:$R$113,VLOOKUP(AW225,Foundation_Calc!$I$2:$J$8,2,FALSE),0),
IF(AX225="K",VLOOKUP(K225,Foundation_Calc!$K$117:$R$151,VLOOKUP(AW225,Foundation_Calc!$I$2:$J$8,2,FALSE),0),"")))</f>
        <v/>
      </c>
      <c r="BA225" s="495" t="str">
        <f t="shared" ref="BA225:BA288" si="34">IF(AY225="","",IF(AY225&gt;0,"ü",""))</f>
        <v/>
      </c>
      <c r="BB225" s="495" t="str">
        <f t="shared" ref="BB225:BB288" si="35">IF(AZ225="","",IF(AZ225&gt;0,"ü",""))</f>
        <v/>
      </c>
      <c r="BC225" s="495" t="str">
        <f t="shared" ref="BC225:BC288" si="36">IF(M225="","",IF(M225="U.S.","ü",IF(M225="U.S. N.D.","ü","")))</f>
        <v/>
      </c>
      <c r="BD225" s="513" t="str">
        <f>IF(AND(L225="",H225=""),"",
IF(H225="",Pole_Calc!A$9,
IF(H225="MP",Pole_Calc!A$10,
IF(H225="AnMP",Pole_Calc!A$11,
IF(H225="A",Pole_Calc!A$12,
IF(H225="S/A",Pole_Calc!A$13,
IF(H225="A/S",Pole_Calc!A$14,"Poner a mano")))))))</f>
        <v/>
      </c>
      <c r="BE225" s="429" t="s">
        <v>118</v>
      </c>
      <c r="BF225" s="290"/>
      <c r="BG225" s="290"/>
      <c r="BH225" s="290"/>
      <c r="BI225" s="290"/>
    </row>
    <row r="226" spans="1:61" ht="17.45" customHeight="1">
      <c r="A226" s="635"/>
      <c r="B226" s="450" t="s">
        <v>300</v>
      </c>
      <c r="C226" s="3">
        <f>+$C$224+$G$225-1.6</f>
        <v>35624.549999999996</v>
      </c>
      <c r="D226" s="83"/>
      <c r="E226" s="4"/>
      <c r="F226" s="4">
        <f>IF(C226&gt;0,VLOOKUP(C226,'ALIGNMENT TRACK'!$A$1:$K$81,9,1))</f>
        <v>0</v>
      </c>
      <c r="G226" s="6"/>
      <c r="H226" s="449" t="s">
        <v>121</v>
      </c>
      <c r="I226" s="4" t="s">
        <v>122</v>
      </c>
      <c r="J226" s="3"/>
      <c r="K226" s="449"/>
      <c r="L226" s="449" t="s">
        <v>151</v>
      </c>
      <c r="M226" s="449" t="str">
        <f>IF(L226="","",
IF(AX226="PT",VLOOKUP(L226,Foundation_Calc!$V$79:$X$113,VLOOKUP(AX226,Foundation_Calc!$I$10:$J$13,2,FALSE),0),
IF(AX226="K",VLOOKUP(L226,Foundation_Calc!$V$117:$X$151,VLOOKUP(AX226,Foundation_Calc!$I$10:$J$13,2,FALSE),0),"")))</f>
        <v>C4R</v>
      </c>
      <c r="N226" s="449" t="s">
        <v>134</v>
      </c>
      <c r="O226" s="449"/>
      <c r="P226" s="449"/>
      <c r="Q226" s="4"/>
      <c r="R226" s="6"/>
      <c r="S226" s="6"/>
      <c r="T226" s="4">
        <v>25</v>
      </c>
      <c r="U226" s="4"/>
      <c r="V226" s="4"/>
      <c r="W226" s="572">
        <v>0.6</v>
      </c>
      <c r="X226" s="9"/>
      <c r="Y226" s="9"/>
      <c r="Z226" s="9"/>
      <c r="AA226" s="9"/>
      <c r="AB226" s="9"/>
      <c r="AC226" s="449" t="str">
        <f t="shared" si="33"/>
        <v>PH</v>
      </c>
      <c r="AD226" s="449"/>
      <c r="AE226" s="449"/>
      <c r="AF226" s="4"/>
      <c r="AG226" s="83"/>
      <c r="AH226" s="4"/>
      <c r="AI226" s="4"/>
      <c r="AJ226" s="449"/>
      <c r="AK226" s="449"/>
      <c r="AL226" s="449"/>
      <c r="AM226" s="449" t="s">
        <v>126</v>
      </c>
      <c r="AN226" s="10">
        <v>5.15</v>
      </c>
      <c r="AO226" s="9"/>
      <c r="AP226" s="9"/>
      <c r="AQ226" s="9"/>
      <c r="AR226" s="9"/>
      <c r="AS226" s="9"/>
      <c r="AT226" s="9">
        <f>+ab($T$226,$T$224,$T$228,$G$225,$G$227,-1*$F$226,1200)</f>
        <v>8.9585974776900468</v>
      </c>
      <c r="AU226" s="428"/>
      <c r="AV226" s="428"/>
      <c r="AW226" s="449" t="str">
        <f>IF(C226&gt;0,VLOOKUP(C226,Foundation_Calc!$A$2:$C$13,3,1),
IF(J226&gt;0,VLOOKUP(J226,Foundation_Calc!$A$2:$C$13,3,1),""))</f>
        <v>Multi Soil</v>
      </c>
      <c r="AX226" s="449" t="str">
        <f>IF(C226&gt;0,VLOOKUP(C226,Foundation_Calc!$E$2:$G$33,3,1),
IF(J226&gt;0,VLOOKUP(J226,Foundation_Calc!$E$2:$G$33,3,1),""))</f>
        <v>PT</v>
      </c>
      <c r="AY226" s="10">
        <f>IF(L226="","",
IF(AX226="PT",VLOOKUP(L226,Foundation_Calc!$K$79:$R$113,VLOOKUP(AW226,Foundation_Calc!$I$2:$J$8,2,FALSE),0),
IF(AX226="K",VLOOKUP(L226,Foundation_Calc!$K$117:$R$151,VLOOKUP(AW226,Foundation_Calc!$I$2:$J$8,2,FALSE),0),"")))</f>
        <v>3.5</v>
      </c>
      <c r="AZ226" s="10" t="str">
        <f>IF(K226="","",
IF(AX226="PT",VLOOKUP(K226,Foundation_Calc!$K$79:$R$113,VLOOKUP(AW226,Foundation_Calc!$I$2:$J$8,2,FALSE),0),
IF(AX226="K",VLOOKUP(K226,Foundation_Calc!$K$117:$R$151,VLOOKUP(AW226,Foundation_Calc!$I$2:$J$8,2,FALSE),0),"")))</f>
        <v/>
      </c>
      <c r="BA226" s="495" t="str">
        <f t="shared" si="34"/>
        <v>ü</v>
      </c>
      <c r="BB226" s="495" t="str">
        <f t="shared" si="35"/>
        <v/>
      </c>
      <c r="BC226" s="495" t="str">
        <f t="shared" si="36"/>
        <v/>
      </c>
      <c r="BD226" s="513" t="str">
        <f>IF(AND(L226="",H226=""),"",
IF(H226="",Pole_Calc!A$9,
IF(H226="MP",Pole_Calc!A$10,
IF(H226="AnMP",Pole_Calc!A$11,
IF(H226="A",Pole_Calc!A$12,
IF(H226="S/A",Pole_Calc!A$13,
IF(H226="A/S",Pole_Calc!A$14,"Poner a mano")))))))</f>
        <v>App.7-V11I-P9.5.1.6</v>
      </c>
      <c r="BE226" s="429" t="s">
        <v>118</v>
      </c>
      <c r="BF226" s="289"/>
      <c r="BG226" s="289"/>
      <c r="BH226" s="290"/>
      <c r="BI226" s="289"/>
    </row>
    <row r="227" spans="1:61" ht="16.149999999999999" customHeight="1">
      <c r="A227" s="514" t="s">
        <v>199</v>
      </c>
      <c r="B227" s="450"/>
      <c r="C227" s="3"/>
      <c r="D227" s="83"/>
      <c r="E227" s="4"/>
      <c r="F227" s="4"/>
      <c r="G227" s="6">
        <v>44</v>
      </c>
      <c r="H227" s="449"/>
      <c r="I227" s="4"/>
      <c r="J227" s="3">
        <f>C226+7.5</f>
        <v>35632.049999999996</v>
      </c>
      <c r="K227" s="449" t="s">
        <v>117</v>
      </c>
      <c r="L227" s="449"/>
      <c r="M227" s="449" t="str">
        <f>IF(L227="","",
IF(AX227="PT",VLOOKUP(L227,Foundation_Calc!$V$79:$X$113,VLOOKUP(AX227,Foundation_Calc!$I$10:$J$13,2,FALSE),0),
IF(AX227="K",VLOOKUP(L227,Foundation_Calc!$V$117:$X$151,VLOOKUP(AX227,Foundation_Calc!$I$10:$J$13,2,FALSE),0),"")))</f>
        <v/>
      </c>
      <c r="N227" s="449"/>
      <c r="O227" s="449"/>
      <c r="P227" s="449"/>
      <c r="Q227" s="4"/>
      <c r="R227" s="6"/>
      <c r="S227" s="6"/>
      <c r="T227" s="4"/>
      <c r="U227" s="4"/>
      <c r="V227" s="4"/>
      <c r="W227" s="9"/>
      <c r="X227" s="9"/>
      <c r="Y227" s="9"/>
      <c r="Z227" s="9"/>
      <c r="AA227" s="9"/>
      <c r="AB227" s="9"/>
      <c r="AC227" s="449" t="str">
        <f t="shared" si="33"/>
        <v/>
      </c>
      <c r="AD227" s="449"/>
      <c r="AE227" s="449"/>
      <c r="AF227" s="4"/>
      <c r="AG227" s="83"/>
      <c r="AH227" s="4"/>
      <c r="AI227" s="4"/>
      <c r="AJ227" s="449"/>
      <c r="AK227" s="449"/>
      <c r="AL227" s="449"/>
      <c r="AM227" s="449"/>
      <c r="AN227" s="10"/>
      <c r="AO227" s="9"/>
      <c r="AP227" s="9"/>
      <c r="AQ227" s="9">
        <f>+FL_2($T$228,$T$226,$G$227,1200,9.28,-1*$F$228)</f>
        <v>-0.3573732229090909</v>
      </c>
      <c r="AR227" s="9"/>
      <c r="AS227" s="9"/>
      <c r="AT227" s="9"/>
      <c r="AU227" s="428"/>
      <c r="AV227" s="428"/>
      <c r="AW227" s="449" t="str">
        <f>IF(C227&gt;0,VLOOKUP(C227,Foundation_Calc!$A$2:$C$13,3,1),
IF(J227&gt;0,VLOOKUP(J227,Foundation_Calc!$A$2:$C$13,3,1),""))</f>
        <v>Multi Soil</v>
      </c>
      <c r="AX227" s="449" t="str">
        <f>IF(C227&gt;0,VLOOKUP(C227,Foundation_Calc!$E$2:$G$33,3,1),
IF(J227&gt;0,VLOOKUP(J227,Foundation_Calc!$E$2:$G$33,3,1),""))</f>
        <v>PT</v>
      </c>
      <c r="AY227" s="10" t="str">
        <f>IF(L227="","",
IF(AX227="PT",VLOOKUP(L227,Foundation_Calc!$K$79:$R$113,VLOOKUP(AW227,Foundation_Calc!$I$2:$J$8,2,FALSE),0),
IF(AX227="K",VLOOKUP(L227,Foundation_Calc!$K$117:$R$151,VLOOKUP(AW227,Foundation_Calc!$I$2:$J$8,2,FALSE),0),"")))</f>
        <v/>
      </c>
      <c r="AZ227" s="10">
        <f>IF(K227="","",
IF(AX227="PT",VLOOKUP(K227,Foundation_Calc!$K$79:$R$113,VLOOKUP(AW227,Foundation_Calc!$I$2:$J$8,2,FALSE),0),
IF(AX227="K",VLOOKUP(K227,Foundation_Calc!$K$117:$R$151,VLOOKUP(AW227,Foundation_Calc!$I$2:$J$8,2,FALSE),0),"")))</f>
        <v>3.9</v>
      </c>
      <c r="BA227" s="495" t="str">
        <f t="shared" si="34"/>
        <v/>
      </c>
      <c r="BB227" s="495" t="str">
        <f t="shared" si="35"/>
        <v>ü</v>
      </c>
      <c r="BC227" s="495" t="str">
        <f t="shared" si="36"/>
        <v/>
      </c>
      <c r="BD227" s="513" t="str">
        <f>IF(AND(L227="",H227=""),"",
IF(H227="",Pole_Calc!A$9,
IF(H227="MP",Pole_Calc!A$10,
IF(H227="AnMP",Pole_Calc!A$11,
IF(H227="A",Pole_Calc!A$12,
IF(H227="S/A",Pole_Calc!A$13,
IF(H227="A/S",Pole_Calc!A$14,"Poner a mano")))))))</f>
        <v/>
      </c>
      <c r="BE227" s="429" t="s">
        <v>118</v>
      </c>
      <c r="BF227" s="290"/>
      <c r="BG227" s="290"/>
      <c r="BH227" s="290"/>
      <c r="BI227" s="290"/>
    </row>
    <row r="228" spans="1:61" ht="16.149999999999999" customHeight="1">
      <c r="A228" s="514"/>
      <c r="B228" s="450" t="s">
        <v>301</v>
      </c>
      <c r="C228" s="3">
        <f>+$C$226+$G$227</f>
        <v>35668.549999999996</v>
      </c>
      <c r="D228" s="83"/>
      <c r="E228" s="4"/>
      <c r="F228" s="4">
        <f>IF(C228&gt;0,VLOOKUP(C228,'ALIGNMENT TRACK'!$A$1:$K$81,9,1))</f>
        <v>0</v>
      </c>
      <c r="G228" s="6"/>
      <c r="H228" s="449"/>
      <c r="I228" s="4"/>
      <c r="J228" s="3"/>
      <c r="K228" s="449"/>
      <c r="L228" s="449" t="s">
        <v>153</v>
      </c>
      <c r="M228" s="449" t="str">
        <f>IF(L228="","",
IF(AX228="PT",VLOOKUP(L228,Foundation_Calc!$V$79:$X$113,VLOOKUP(AX228,Foundation_Calc!$I$10:$J$13,2,FALSE),0),
IF(AX228="K",VLOOKUP(L228,Foundation_Calc!$V$117:$X$151,VLOOKUP(AX228,Foundation_Calc!$I$10:$J$13,2,FALSE),0),"")))</f>
        <v>C3R</v>
      </c>
      <c r="N228" s="449" t="s">
        <v>124</v>
      </c>
      <c r="O228" s="449"/>
      <c r="P228" s="449"/>
      <c r="Q228" s="4"/>
      <c r="R228" s="6"/>
      <c r="S228" s="6"/>
      <c r="T228" s="4">
        <v>-35</v>
      </c>
      <c r="U228" s="4"/>
      <c r="V228" s="4"/>
      <c r="W228" s="572">
        <v>0.6</v>
      </c>
      <c r="X228" s="9"/>
      <c r="Y228" s="9"/>
      <c r="Z228" s="9"/>
      <c r="AA228" s="9"/>
      <c r="AB228" s="9"/>
      <c r="AC228" s="449" t="str">
        <f t="shared" si="33"/>
        <v>PHQ</v>
      </c>
      <c r="AD228" s="449"/>
      <c r="AE228" s="449"/>
      <c r="AF228" s="4"/>
      <c r="AG228" s="83"/>
      <c r="AH228" s="4"/>
      <c r="AI228" s="4"/>
      <c r="AJ228" s="449"/>
      <c r="AK228" s="449"/>
      <c r="AL228" s="449"/>
      <c r="AM228" s="449" t="s">
        <v>126</v>
      </c>
      <c r="AN228" s="10">
        <v>5.15</v>
      </c>
      <c r="AO228" s="9"/>
      <c r="AP228" s="9"/>
      <c r="AQ228" s="9"/>
      <c r="AR228" s="9"/>
      <c r="AS228" s="9"/>
      <c r="AT228" s="9">
        <f>+ab($T$228,$T$226,$T$230,$G$227,$G$229,-1*$F$228,1200)</f>
        <v>-6.4672319646041654</v>
      </c>
      <c r="AU228" s="428"/>
      <c r="AV228" s="428"/>
      <c r="AW228" s="449" t="str">
        <f>IF(C228&gt;0,VLOOKUP(C228,Foundation_Calc!$A$2:$C$13,3,1),
IF(J228&gt;0,VLOOKUP(J228,Foundation_Calc!$A$2:$C$13,3,1),""))</f>
        <v>Multi Soil</v>
      </c>
      <c r="AX228" s="449" t="str">
        <f>IF(C228&gt;0,VLOOKUP(C228,Foundation_Calc!$E$2:$G$33,3,1),
IF(J228&gt;0,VLOOKUP(J228,Foundation_Calc!$E$2:$G$33,3,1),""))</f>
        <v>PT</v>
      </c>
      <c r="AY228" s="10">
        <f>IF(L228="","",
IF(AX228="PT",VLOOKUP(L228,Foundation_Calc!$K$79:$R$113,VLOOKUP(AW228,Foundation_Calc!$I$2:$J$8,2,FALSE),0),
IF(AX228="K",VLOOKUP(L228,Foundation_Calc!$K$117:$R$151,VLOOKUP(AW228,Foundation_Calc!$I$2:$J$8,2,FALSE),0),"")))</f>
        <v>3.5</v>
      </c>
      <c r="AZ228" s="10" t="str">
        <f>IF(K228="","",
IF(AX228="PT",VLOOKUP(K228,Foundation_Calc!$K$79:$R$113,VLOOKUP(AW228,Foundation_Calc!$I$2:$J$8,2,FALSE),0),
IF(AX228="K",VLOOKUP(K228,Foundation_Calc!$K$117:$R$151,VLOOKUP(AW228,Foundation_Calc!$I$2:$J$8,2,FALSE),0),"")))</f>
        <v/>
      </c>
      <c r="BA228" s="495" t="str">
        <f t="shared" si="34"/>
        <v>ü</v>
      </c>
      <c r="BB228" s="495" t="str">
        <f t="shared" si="35"/>
        <v/>
      </c>
      <c r="BC228" s="495" t="str">
        <f t="shared" si="36"/>
        <v/>
      </c>
      <c r="BD228" s="513" t="str">
        <f>IF(AND(L228="",H228=""),"",
IF(H228="",Pole_Calc!A$9,
IF(H228="MP",Pole_Calc!A$10,
IF(H228="AnMP",Pole_Calc!A$11,
IF(H228="A",Pole_Calc!A$12,
IF(H228="S/A",Pole_Calc!A$13,
IF(H228="A/S",Pole_Calc!A$14,"Poner a mano")))))))</f>
        <v>App.7-V11I-P9.5.1.1</v>
      </c>
      <c r="BE228" s="429" t="s">
        <v>118</v>
      </c>
      <c r="BF228" s="289"/>
      <c r="BG228" s="289"/>
      <c r="BH228" s="290"/>
      <c r="BI228" s="289"/>
    </row>
    <row r="229" spans="1:61" ht="16.149999999999999" customHeight="1">
      <c r="A229" s="514"/>
      <c r="B229" s="450"/>
      <c r="C229" s="3"/>
      <c r="D229" s="83"/>
      <c r="E229" s="4"/>
      <c r="F229" s="4"/>
      <c r="G229" s="6">
        <v>44</v>
      </c>
      <c r="H229" s="449"/>
      <c r="I229" s="4"/>
      <c r="J229" s="3"/>
      <c r="K229" s="449"/>
      <c r="L229" s="449"/>
      <c r="M229" s="449" t="str">
        <f>IF(L229="","",
IF(AX229="PT",VLOOKUP(L229,Foundation_Calc!$V$79:$X$113,VLOOKUP(AX229,Foundation_Calc!$I$10:$J$13,2,FALSE),0),
IF(AX229="K",VLOOKUP(L229,Foundation_Calc!$V$117:$X$151,VLOOKUP(AX229,Foundation_Calc!$I$10:$J$13,2,FALSE),0),"")))</f>
        <v/>
      </c>
      <c r="N229" s="449"/>
      <c r="O229" s="449"/>
      <c r="P229" s="449"/>
      <c r="Q229" s="4"/>
      <c r="R229" s="6"/>
      <c r="S229" s="6"/>
      <c r="T229" s="4"/>
      <c r="U229" s="4"/>
      <c r="V229" s="4"/>
      <c r="W229" s="9"/>
      <c r="X229" s="9"/>
      <c r="Y229" s="9"/>
      <c r="Z229" s="9"/>
      <c r="AA229" s="9"/>
      <c r="AB229" s="9"/>
      <c r="AC229" s="449" t="str">
        <f t="shared" si="33"/>
        <v/>
      </c>
      <c r="AD229" s="449"/>
      <c r="AE229" s="449"/>
      <c r="AF229" s="4"/>
      <c r="AG229" s="83"/>
      <c r="AH229" s="4"/>
      <c r="AI229" s="4"/>
      <c r="AJ229" s="449"/>
      <c r="AK229" s="449"/>
      <c r="AL229" s="449"/>
      <c r="AM229" s="449"/>
      <c r="AN229" s="10"/>
      <c r="AO229" s="9"/>
      <c r="AP229" s="9"/>
      <c r="AQ229" s="9">
        <f>+FL_2($T$230,$T$228,$G$229,1200,9.28,-1*$F$230)</f>
        <v>-0.36212499951457344</v>
      </c>
      <c r="AR229" s="9"/>
      <c r="AS229" s="9"/>
      <c r="AT229" s="9"/>
      <c r="AU229" s="428"/>
      <c r="AV229" s="428"/>
      <c r="AW229" s="449" t="str">
        <f>IF(C229&gt;0,VLOOKUP(C229,Foundation_Calc!$A$2:$C$13,3,1),
IF(J229&gt;0,VLOOKUP(J229,Foundation_Calc!$A$2:$C$13,3,1),""))</f>
        <v/>
      </c>
      <c r="AX229" s="449" t="str">
        <f>IF(C229&gt;0,VLOOKUP(C229,Foundation_Calc!$E$2:$G$33,3,1),
IF(J229&gt;0,VLOOKUP(J229,Foundation_Calc!$E$2:$G$33,3,1),""))</f>
        <v/>
      </c>
      <c r="AY229" s="10" t="str">
        <f>IF(L229="","",
IF(AX229="PT",VLOOKUP(L229,Foundation_Calc!$K$79:$R$113,VLOOKUP(AW229,Foundation_Calc!$I$2:$J$8,2,FALSE),0),
IF(AX229="K",VLOOKUP(L229,Foundation_Calc!$K$117:$R$151,VLOOKUP(AW229,Foundation_Calc!$I$2:$J$8,2,FALSE),0),"")))</f>
        <v/>
      </c>
      <c r="AZ229" s="10" t="str">
        <f>IF(K229="","",
IF(AX229="PT",VLOOKUP(K229,Foundation_Calc!$K$79:$R$113,VLOOKUP(AW229,Foundation_Calc!$I$2:$J$8,2,FALSE),0),
IF(AX229="K",VLOOKUP(K229,Foundation_Calc!$K$117:$R$151,VLOOKUP(AW229,Foundation_Calc!$I$2:$J$8,2,FALSE),0),"")))</f>
        <v/>
      </c>
      <c r="BA229" s="495" t="str">
        <f t="shared" si="34"/>
        <v/>
      </c>
      <c r="BB229" s="495" t="str">
        <f t="shared" si="35"/>
        <v/>
      </c>
      <c r="BC229" s="495" t="str">
        <f t="shared" si="36"/>
        <v/>
      </c>
      <c r="BD229" s="513" t="str">
        <f>IF(AND(L229="",H229=""),"",
IF(H229="",Pole_Calc!A$9,
IF(H229="MP",Pole_Calc!A$10,
IF(H229="AnMP",Pole_Calc!A$11,
IF(H229="A",Pole_Calc!A$12,
IF(H229="S/A",Pole_Calc!A$13,
IF(H229="A/S",Pole_Calc!A$14,"Poner a mano")))))))</f>
        <v/>
      </c>
      <c r="BE229" s="429" t="s">
        <v>118</v>
      </c>
      <c r="BF229" s="290"/>
      <c r="BG229" s="290"/>
      <c r="BH229" s="290"/>
      <c r="BI229" s="290"/>
    </row>
    <row r="230" spans="1:61" ht="16.149999999999999" customHeight="1">
      <c r="A230" s="514"/>
      <c r="B230" s="450" t="s">
        <v>302</v>
      </c>
      <c r="C230" s="3">
        <f>+$C$228+$G$229</f>
        <v>35712.549999999996</v>
      </c>
      <c r="D230" s="83"/>
      <c r="E230" s="4"/>
      <c r="F230" s="4">
        <f>-(505^2)/(C230-35670)</f>
        <v>-5993.5370152767609</v>
      </c>
      <c r="G230" s="6"/>
      <c r="H230" s="449"/>
      <c r="I230" s="4"/>
      <c r="J230" s="3"/>
      <c r="K230" s="449"/>
      <c r="L230" s="449" t="s">
        <v>153</v>
      </c>
      <c r="M230" s="449" t="str">
        <f>IF(L230="","",
IF(AX230="PT",VLOOKUP(L230,Foundation_Calc!$V$79:$X$113,VLOOKUP(AX230,Foundation_Calc!$I$10:$J$13,2,FALSE),0),
IF(AX230="K",VLOOKUP(L230,Foundation_Calc!$V$117:$X$151,VLOOKUP(AX230,Foundation_Calc!$I$10:$J$13,2,FALSE),0),"")))</f>
        <v>C3R</v>
      </c>
      <c r="N230" s="449" t="s">
        <v>134</v>
      </c>
      <c r="O230" s="449"/>
      <c r="P230" s="449"/>
      <c r="Q230" s="4"/>
      <c r="R230" s="6"/>
      <c r="S230" s="6"/>
      <c r="T230" s="4">
        <v>35</v>
      </c>
      <c r="U230" s="4"/>
      <c r="V230" s="4"/>
      <c r="W230" s="572">
        <v>0.9</v>
      </c>
      <c r="X230" s="9"/>
      <c r="Y230" s="9"/>
      <c r="Z230" s="9"/>
      <c r="AA230" s="9"/>
      <c r="AB230" s="9"/>
      <c r="AC230" s="449" t="str">
        <f t="shared" si="33"/>
        <v>PHQ</v>
      </c>
      <c r="AD230" s="449"/>
      <c r="AE230" s="449"/>
      <c r="AF230" s="4"/>
      <c r="AG230" s="83"/>
      <c r="AH230" s="4"/>
      <c r="AI230" s="4"/>
      <c r="AJ230" s="449"/>
      <c r="AK230" s="449"/>
      <c r="AL230" s="449"/>
      <c r="AM230" s="449" t="s">
        <v>126</v>
      </c>
      <c r="AN230" s="10">
        <f>AN228+0.06</f>
        <v>5.21</v>
      </c>
      <c r="AO230" s="9"/>
      <c r="AP230" s="9"/>
      <c r="AQ230" s="9"/>
      <c r="AR230" s="9"/>
      <c r="AS230" s="9"/>
      <c r="AT230" s="9">
        <f>+ab($T$230,$T$228,$T$232,$G$229,$G$231,-1*$F$230,1200)</f>
        <v>7.4341350654913665</v>
      </c>
      <c r="AU230" s="428"/>
      <c r="AV230" s="428"/>
      <c r="AW230" s="449" t="str">
        <f>IF(C230&gt;0,VLOOKUP(C230,Foundation_Calc!$A$2:$C$13,3,1),
IF(J230&gt;0,VLOOKUP(J230,Foundation_Calc!$A$2:$C$13,3,1),""))</f>
        <v>Multi Soil</v>
      </c>
      <c r="AX230" s="449" t="str">
        <f>IF(C230&gt;0,VLOOKUP(C230,Foundation_Calc!$E$2:$G$33,3,1),
IF(J230&gt;0,VLOOKUP(J230,Foundation_Calc!$E$2:$G$33,3,1),""))</f>
        <v>PT</v>
      </c>
      <c r="AY230" s="10">
        <f>IF(L230="","",
IF(AX230="PT",VLOOKUP(L230,Foundation_Calc!$K$79:$R$113,VLOOKUP(AW230,Foundation_Calc!$I$2:$J$8,2,FALSE),0),
IF(AX230="K",VLOOKUP(L230,Foundation_Calc!$K$117:$R$151,VLOOKUP(AW230,Foundation_Calc!$I$2:$J$8,2,FALSE),0),"")))</f>
        <v>3.5</v>
      </c>
      <c r="AZ230" s="10" t="str">
        <f>IF(K230="","",
IF(AX230="PT",VLOOKUP(K230,Foundation_Calc!$K$79:$R$113,VLOOKUP(AW230,Foundation_Calc!$I$2:$J$8,2,FALSE),0),
IF(AX230="K",VLOOKUP(K230,Foundation_Calc!$K$117:$R$151,VLOOKUP(AW230,Foundation_Calc!$I$2:$J$8,2,FALSE),0),"")))</f>
        <v/>
      </c>
      <c r="BA230" s="495" t="str">
        <f t="shared" si="34"/>
        <v>ü</v>
      </c>
      <c r="BB230" s="495" t="str">
        <f t="shared" si="35"/>
        <v/>
      </c>
      <c r="BC230" s="495" t="str">
        <f t="shared" si="36"/>
        <v/>
      </c>
      <c r="BD230" s="513" t="str">
        <f>IF(AND(L230="",H230=""),"",
IF(H230="",Pole_Calc!A$9,
IF(H230="MP",Pole_Calc!A$10,
IF(H230="AnMP",Pole_Calc!A$11,
IF(H230="A",Pole_Calc!A$12,
IF(H230="S/A",Pole_Calc!A$13,
IF(H230="A/S",Pole_Calc!A$14,"Poner a mano")))))))</f>
        <v>App.7-V11I-P9.5.1.1</v>
      </c>
      <c r="BE230" s="429" t="s">
        <v>118</v>
      </c>
      <c r="BF230" s="289"/>
      <c r="BG230" s="289"/>
      <c r="BH230" s="290"/>
      <c r="BI230" s="289"/>
    </row>
    <row r="231" spans="1:61" ht="16.149999999999999" customHeight="1">
      <c r="A231" s="514"/>
      <c r="B231" s="450"/>
      <c r="C231" s="3"/>
      <c r="D231" s="83"/>
      <c r="E231" s="4"/>
      <c r="F231" s="4"/>
      <c r="G231" s="6">
        <v>48</v>
      </c>
      <c r="H231" s="449"/>
      <c r="I231" s="4"/>
      <c r="J231" s="3"/>
      <c r="K231" s="449"/>
      <c r="L231" s="449"/>
      <c r="M231" s="449" t="str">
        <f>IF(L231="","",
IF(AX231="PT",VLOOKUP(L231,Foundation_Calc!$V$79:$X$113,VLOOKUP(AX231,Foundation_Calc!$I$10:$J$13,2,FALSE),0),
IF(AX231="K",VLOOKUP(L231,Foundation_Calc!$V$117:$X$151,VLOOKUP(AX231,Foundation_Calc!$I$10:$J$13,2,FALSE),0),"")))</f>
        <v/>
      </c>
      <c r="N231" s="449"/>
      <c r="O231" s="449"/>
      <c r="P231" s="449"/>
      <c r="Q231" s="4"/>
      <c r="R231" s="6"/>
      <c r="S231" s="6"/>
      <c r="T231" s="4"/>
      <c r="U231" s="4"/>
      <c r="V231" s="4"/>
      <c r="W231" s="9"/>
      <c r="X231" s="9"/>
      <c r="Y231" s="9"/>
      <c r="Z231" s="9"/>
      <c r="AA231" s="9"/>
      <c r="AB231" s="9"/>
      <c r="AC231" s="449" t="str">
        <f t="shared" si="33"/>
        <v/>
      </c>
      <c r="AD231" s="449"/>
      <c r="AE231" s="449"/>
      <c r="AF231" s="4"/>
      <c r="AG231" s="83"/>
      <c r="AH231" s="4"/>
      <c r="AI231" s="4"/>
      <c r="AJ231" s="449"/>
      <c r="AK231" s="449"/>
      <c r="AL231" s="449"/>
      <c r="AM231" s="449"/>
      <c r="AN231" s="10"/>
      <c r="AO231" s="9"/>
      <c r="AP231" s="9"/>
      <c r="AQ231" s="9">
        <f>+FL_1($T$232,$T$230,$G$231,1200,9.28,-1*$F$232)</f>
        <v>0.42564845703084297</v>
      </c>
      <c r="AR231" s="9"/>
      <c r="AS231" s="9"/>
      <c r="AT231" s="9"/>
      <c r="AU231" s="428"/>
      <c r="AV231" s="428"/>
      <c r="AW231" s="449" t="str">
        <f>IF(C231&gt;0,VLOOKUP(C231,Foundation_Calc!$A$2:$C$13,3,1),
IF(J231&gt;0,VLOOKUP(J231,Foundation_Calc!$A$2:$C$13,3,1),""))</f>
        <v/>
      </c>
      <c r="AX231" s="449" t="str">
        <f>IF(C231&gt;0,VLOOKUP(C231,Foundation_Calc!$E$2:$G$33,3,1),
IF(J231&gt;0,VLOOKUP(J231,Foundation_Calc!$E$2:$G$33,3,1),""))</f>
        <v/>
      </c>
      <c r="AY231" s="10" t="str">
        <f>IF(L231="","",
IF(AX231="PT",VLOOKUP(L231,Foundation_Calc!$K$79:$R$113,VLOOKUP(AW231,Foundation_Calc!$I$2:$J$8,2,FALSE),0),
IF(AX231="K",VLOOKUP(L231,Foundation_Calc!$K$117:$R$151,VLOOKUP(AW231,Foundation_Calc!$I$2:$J$8,2,FALSE),0),"")))</f>
        <v/>
      </c>
      <c r="AZ231" s="10" t="str">
        <f>IF(K231="","",
IF(AX231="PT",VLOOKUP(K231,Foundation_Calc!$K$79:$R$113,VLOOKUP(AW231,Foundation_Calc!$I$2:$J$8,2,FALSE),0),
IF(AX231="K",VLOOKUP(K231,Foundation_Calc!$K$117:$R$151,VLOOKUP(AW231,Foundation_Calc!$I$2:$J$8,2,FALSE),0),"")))</f>
        <v/>
      </c>
      <c r="BA231" s="495" t="str">
        <f t="shared" si="34"/>
        <v/>
      </c>
      <c r="BB231" s="495" t="str">
        <f t="shared" si="35"/>
        <v/>
      </c>
      <c r="BC231" s="495" t="str">
        <f t="shared" si="36"/>
        <v/>
      </c>
      <c r="BD231" s="513" t="str">
        <f>IF(AND(L231="",H231=""),"",
IF(H231="",Pole_Calc!A$9,
IF(H231="MP",Pole_Calc!A$10,
IF(H231="AnMP",Pole_Calc!A$11,
IF(H231="A",Pole_Calc!A$12,
IF(H231="S/A",Pole_Calc!A$13,
IF(H231="A/S",Pole_Calc!A$14,"Poner a mano")))))))</f>
        <v/>
      </c>
      <c r="BE231" s="429" t="s">
        <v>118</v>
      </c>
      <c r="BF231" s="290"/>
      <c r="BG231" s="290"/>
      <c r="BH231" s="290"/>
      <c r="BI231" s="290"/>
    </row>
    <row r="232" spans="1:61" ht="16.149999999999999" customHeight="1">
      <c r="A232" s="514"/>
      <c r="B232" s="450" t="s">
        <v>303</v>
      </c>
      <c r="C232" s="3">
        <f>+$C$230+$G$231</f>
        <v>35760.549999999996</v>
      </c>
      <c r="D232" s="83"/>
      <c r="E232" s="4"/>
      <c r="F232" s="4">
        <f>-(505^2)/(C232-35670)</f>
        <v>-2816.3997791276897</v>
      </c>
      <c r="G232" s="6"/>
      <c r="H232" s="449"/>
      <c r="I232" s="4"/>
      <c r="J232" s="3"/>
      <c r="K232" s="449"/>
      <c r="L232" s="449" t="s">
        <v>153</v>
      </c>
      <c r="M232" s="449" t="str">
        <f>IF(L232="","",
IF(AX232="PT",VLOOKUP(L232,Foundation_Calc!$V$79:$X$113,VLOOKUP(AX232,Foundation_Calc!$I$10:$J$13,2,FALSE),0),
IF(AX232="K",VLOOKUP(L232,Foundation_Calc!$V$117:$X$151,VLOOKUP(AX232,Foundation_Calc!$I$10:$J$13,2,FALSE),0),"")))</f>
        <v>C3R</v>
      </c>
      <c r="N232" s="449" t="s">
        <v>134</v>
      </c>
      <c r="O232" s="449"/>
      <c r="P232" s="449"/>
      <c r="Q232" s="4"/>
      <c r="R232" s="6"/>
      <c r="S232" s="6"/>
      <c r="T232" s="4">
        <v>25</v>
      </c>
      <c r="U232" s="4"/>
      <c r="V232" s="4"/>
      <c r="W232" s="572">
        <v>1.2</v>
      </c>
      <c r="X232" s="9"/>
      <c r="Y232" s="9"/>
      <c r="Z232" s="9"/>
      <c r="AA232" s="9"/>
      <c r="AB232" s="9"/>
      <c r="AC232" s="449" t="str">
        <f t="shared" si="33"/>
        <v>PH</v>
      </c>
      <c r="AD232" s="449"/>
      <c r="AE232" s="449"/>
      <c r="AF232" s="4"/>
      <c r="AG232" s="83"/>
      <c r="AH232" s="4"/>
      <c r="AI232" s="4"/>
      <c r="AJ232" s="449"/>
      <c r="AK232" s="449"/>
      <c r="AL232" s="449"/>
      <c r="AM232" s="449" t="s">
        <v>126</v>
      </c>
      <c r="AN232" s="10">
        <f>AN230+0.11</f>
        <v>5.32</v>
      </c>
      <c r="AO232" s="9"/>
      <c r="AP232" s="9"/>
      <c r="AQ232" s="9"/>
      <c r="AR232" s="9"/>
      <c r="AS232" s="9"/>
      <c r="AT232" s="9">
        <f>+ab($T$232,$T$230,$T$234,$G$231,$G$233,-1*$F$232,1200)</f>
        <v>13.168358031503455</v>
      </c>
      <c r="AU232" s="428"/>
      <c r="AV232" s="428"/>
      <c r="AW232" s="449" t="str">
        <f>IF(C232&gt;0,VLOOKUP(C232,Foundation_Calc!$A$2:$C$13,3,1),
IF(J232&gt;0,VLOOKUP(J232,Foundation_Calc!$A$2:$C$13,3,1),""))</f>
        <v>Multi Soil</v>
      </c>
      <c r="AX232" s="449" t="str">
        <f>IF(C232&gt;0,VLOOKUP(C232,Foundation_Calc!$E$2:$G$33,3,1),
IF(J232&gt;0,VLOOKUP(J232,Foundation_Calc!$E$2:$G$33,3,1),""))</f>
        <v>PT</v>
      </c>
      <c r="AY232" s="10">
        <f>IF(L232="","",
IF(AX232="PT",VLOOKUP(L232,Foundation_Calc!$K$79:$R$113,VLOOKUP(AW232,Foundation_Calc!$I$2:$J$8,2,FALSE),0),
IF(AX232="K",VLOOKUP(L232,Foundation_Calc!$K$117:$R$151,VLOOKUP(AW232,Foundation_Calc!$I$2:$J$8,2,FALSE),0),"")))</f>
        <v>3.5</v>
      </c>
      <c r="AZ232" s="10" t="str">
        <f>IF(K232="","",
IF(AX232="PT",VLOOKUP(K232,Foundation_Calc!$K$79:$R$113,VLOOKUP(AW232,Foundation_Calc!$I$2:$J$8,2,FALSE),0),
IF(AX232="K",VLOOKUP(K232,Foundation_Calc!$K$117:$R$151,VLOOKUP(AW232,Foundation_Calc!$I$2:$J$8,2,FALSE),0),"")))</f>
        <v/>
      </c>
      <c r="BA232" s="495" t="str">
        <f t="shared" si="34"/>
        <v>ü</v>
      </c>
      <c r="BB232" s="495" t="str">
        <f t="shared" si="35"/>
        <v/>
      </c>
      <c r="BC232" s="495" t="str">
        <f t="shared" si="36"/>
        <v/>
      </c>
      <c r="BD232" s="513" t="str">
        <f>IF(AND(L232="",H232=""),"",
IF(H232="",Pole_Calc!A$9,
IF(H232="MP",Pole_Calc!A$10,
IF(H232="AnMP",Pole_Calc!A$11,
IF(H232="A",Pole_Calc!A$12,
IF(H232="S/A",Pole_Calc!A$13,
IF(H232="A/S",Pole_Calc!A$14,"Poner a mano")))))))</f>
        <v>App.7-V11I-P9.5.1.1</v>
      </c>
      <c r="BE232" s="429" t="s">
        <v>118</v>
      </c>
      <c r="BF232" s="289"/>
      <c r="BG232" s="289"/>
      <c r="BH232" s="290"/>
      <c r="BI232" s="289"/>
    </row>
    <row r="233" spans="1:61" ht="16.149999999999999" customHeight="1">
      <c r="A233" s="514"/>
      <c r="B233" s="450"/>
      <c r="C233" s="3"/>
      <c r="D233" s="83"/>
      <c r="E233" s="4"/>
      <c r="F233" s="4"/>
      <c r="G233" s="6">
        <v>50</v>
      </c>
      <c r="H233" s="449"/>
      <c r="I233" s="4"/>
      <c r="J233" s="3"/>
      <c r="K233" s="449"/>
      <c r="L233" s="449"/>
      <c r="M233" s="449" t="str">
        <f>IF(L233="","",
IF(AX233="PT",VLOOKUP(L233,Foundation_Calc!$V$79:$X$113,VLOOKUP(AX233,Foundation_Calc!$I$10:$J$13,2,FALSE),0),
IF(AX233="K",VLOOKUP(L233,Foundation_Calc!$V$117:$X$151,VLOOKUP(AX233,Foundation_Calc!$I$10:$J$13,2,FALSE),0),"")))</f>
        <v/>
      </c>
      <c r="N233" s="449"/>
      <c r="O233" s="449"/>
      <c r="P233" s="449"/>
      <c r="Q233" s="4"/>
      <c r="R233" s="6"/>
      <c r="S233" s="6"/>
      <c r="T233" s="4"/>
      <c r="U233" s="4"/>
      <c r="V233" s="4"/>
      <c r="W233" s="9"/>
      <c r="X233" s="9"/>
      <c r="Y233" s="9"/>
      <c r="Z233" s="9"/>
      <c r="AA233" s="9"/>
      <c r="AB233" s="9"/>
      <c r="AC233" s="449" t="str">
        <f t="shared" si="33"/>
        <v/>
      </c>
      <c r="AD233" s="449"/>
      <c r="AE233" s="449"/>
      <c r="AF233" s="4"/>
      <c r="AG233" s="83"/>
      <c r="AH233" s="4"/>
      <c r="AI233" s="4"/>
      <c r="AJ233" s="449"/>
      <c r="AK233" s="449"/>
      <c r="AL233" s="449"/>
      <c r="AM233" s="449"/>
      <c r="AN233" s="10"/>
      <c r="AO233" s="9"/>
      <c r="AP233" s="9"/>
      <c r="AQ233" s="9">
        <f>+FL_1($T$234,$T$232,$G$233,1200,9.28,-1*$F$234)</f>
        <v>0.34668336593042448</v>
      </c>
      <c r="AR233" s="9"/>
      <c r="AS233" s="9"/>
      <c r="AT233" s="9"/>
      <c r="AU233" s="428"/>
      <c r="AV233" s="428"/>
      <c r="AW233" s="449" t="str">
        <f>IF(C233&gt;0,VLOOKUP(C233,Foundation_Calc!$A$2:$C$13,3,1),
IF(J233&gt;0,VLOOKUP(J233,Foundation_Calc!$A$2:$C$13,3,1),""))</f>
        <v/>
      </c>
      <c r="AX233" s="449" t="str">
        <f>IF(C233&gt;0,VLOOKUP(C233,Foundation_Calc!$E$2:$G$33,3,1),
IF(J233&gt;0,VLOOKUP(J233,Foundation_Calc!$E$2:$G$33,3,1),""))</f>
        <v/>
      </c>
      <c r="AY233" s="10" t="str">
        <f>IF(L233="","",
IF(AX233="PT",VLOOKUP(L233,Foundation_Calc!$K$79:$R$113,VLOOKUP(AW233,Foundation_Calc!$I$2:$J$8,2,FALSE),0),
IF(AX233="K",VLOOKUP(L233,Foundation_Calc!$K$117:$R$151,VLOOKUP(AW233,Foundation_Calc!$I$2:$J$8,2,FALSE),0),"")))</f>
        <v/>
      </c>
      <c r="AZ233" s="10" t="str">
        <f>IF(K233="","",
IF(AX233="PT",VLOOKUP(K233,Foundation_Calc!$K$79:$R$113,VLOOKUP(AW233,Foundation_Calc!$I$2:$J$8,2,FALSE),0),
IF(AX233="K",VLOOKUP(K233,Foundation_Calc!$K$117:$R$151,VLOOKUP(AW233,Foundation_Calc!$I$2:$J$8,2,FALSE),0),"")))</f>
        <v/>
      </c>
      <c r="BA233" s="495" t="str">
        <f t="shared" si="34"/>
        <v/>
      </c>
      <c r="BB233" s="495" t="str">
        <f t="shared" si="35"/>
        <v/>
      </c>
      <c r="BC233" s="495" t="str">
        <f t="shared" si="36"/>
        <v/>
      </c>
      <c r="BD233" s="513" t="str">
        <f>IF(AND(L233="",H233=""),"",
IF(H233="",Pole_Calc!A$9,
IF(H233="MP",Pole_Calc!A$10,
IF(H233="AnMP",Pole_Calc!A$11,
IF(H233="A",Pole_Calc!A$12,
IF(H233="S/A",Pole_Calc!A$13,
IF(H233="A/S",Pole_Calc!A$14,"Poner a mano")))))))</f>
        <v/>
      </c>
      <c r="BE233" s="429" t="s">
        <v>118</v>
      </c>
      <c r="BF233" s="290"/>
      <c r="BG233" s="290"/>
      <c r="BH233" s="290"/>
      <c r="BI233" s="290"/>
    </row>
    <row r="234" spans="1:61" ht="16.149999999999999" customHeight="1">
      <c r="A234" s="514"/>
      <c r="B234" s="450" t="s">
        <v>304</v>
      </c>
      <c r="C234" s="3">
        <f>+$C$232+$G$233</f>
        <v>35810.549999999996</v>
      </c>
      <c r="D234" s="83"/>
      <c r="E234" s="4"/>
      <c r="F234" s="4">
        <f>-(505^2)/(C234-35670)</f>
        <v>-1814.4788331555171</v>
      </c>
      <c r="G234" s="6"/>
      <c r="H234" s="449"/>
      <c r="I234" s="4"/>
      <c r="J234" s="3"/>
      <c r="K234" s="449"/>
      <c r="L234" s="449" t="s">
        <v>158</v>
      </c>
      <c r="M234" s="449" t="str">
        <f>IF(L234="","",
IF(AX234="PT",VLOOKUP(L234,Foundation_Calc!$V$79:$X$113,VLOOKUP(AX234,Foundation_Calc!$I$10:$J$13,2,FALSE),0),
IF(AX234="K",VLOOKUP(L234,Foundation_Calc!$V$117:$X$151,VLOOKUP(AX234,Foundation_Calc!$I$10:$J$13,2,FALSE),0),"")))</f>
        <v>C4R</v>
      </c>
      <c r="N234" s="449" t="s">
        <v>134</v>
      </c>
      <c r="O234" s="449"/>
      <c r="P234" s="449"/>
      <c r="Q234" s="4"/>
      <c r="R234" s="6"/>
      <c r="S234" s="6"/>
      <c r="T234" s="4">
        <v>30</v>
      </c>
      <c r="U234" s="4"/>
      <c r="V234" s="4"/>
      <c r="W234" s="9">
        <v>1.4</v>
      </c>
      <c r="X234" s="9"/>
      <c r="Y234" s="9"/>
      <c r="Z234" s="9"/>
      <c r="AA234" s="9"/>
      <c r="AB234" s="9"/>
      <c r="AC234" s="449" t="str">
        <f t="shared" si="33"/>
        <v>PHQ</v>
      </c>
      <c r="AD234" s="449"/>
      <c r="AE234" s="449"/>
      <c r="AF234" s="4"/>
      <c r="AG234" s="83"/>
      <c r="AH234" s="4"/>
      <c r="AI234" s="4"/>
      <c r="AJ234" s="449"/>
      <c r="AK234" s="449"/>
      <c r="AL234" s="449"/>
      <c r="AM234" s="449" t="s">
        <v>126</v>
      </c>
      <c r="AN234" s="10">
        <f>AN236-0.07</f>
        <v>5.43</v>
      </c>
      <c r="AO234" s="9"/>
      <c r="AP234" s="9"/>
      <c r="AQ234" s="9"/>
      <c r="AR234" s="9"/>
      <c r="AS234" s="9"/>
      <c r="AT234" s="9">
        <f>+ab($T$234,$T$232,$T$236,$G$233,$G$235,-1*$F$234,1200)</f>
        <v>6.6892836646587241</v>
      </c>
      <c r="AU234" s="428"/>
      <c r="AV234" s="428"/>
      <c r="AW234" s="449" t="str">
        <f>IF(C234&gt;0,VLOOKUP(C234,Foundation_Calc!$A$2:$C$13,3,1),
IF(J234&gt;0,VLOOKUP(J234,Foundation_Calc!$A$2:$C$13,3,1),""))</f>
        <v>Multi Soil</v>
      </c>
      <c r="AX234" s="449" t="str">
        <f>IF(C234&gt;0,VLOOKUP(C234,Foundation_Calc!$E$2:$G$33,3,1),
IF(J234&gt;0,VLOOKUP(J234,Foundation_Calc!$E$2:$G$33,3,1),""))</f>
        <v>PT</v>
      </c>
      <c r="AY234" s="10">
        <f>IF(L234="","",
IF(AX234="PT",VLOOKUP(L234,Foundation_Calc!$K$79:$R$113,VLOOKUP(AW234,Foundation_Calc!$I$2:$J$8,2,FALSE),0),
IF(AX234="K",VLOOKUP(L234,Foundation_Calc!$K$117:$R$151,VLOOKUP(AW234,Foundation_Calc!$I$2:$J$8,2,FALSE),0),"")))</f>
        <v>3.5</v>
      </c>
      <c r="AZ234" s="10" t="str">
        <f>IF(K234="","",
IF(AX234="PT",VLOOKUP(K234,Foundation_Calc!$K$79:$R$113,VLOOKUP(AW234,Foundation_Calc!$I$2:$J$8,2,FALSE),0),
IF(AX234="K",VLOOKUP(K234,Foundation_Calc!$K$117:$R$151,VLOOKUP(AW234,Foundation_Calc!$I$2:$J$8,2,FALSE),0),"")))</f>
        <v/>
      </c>
      <c r="BA234" s="495" t="str">
        <f t="shared" si="34"/>
        <v>ü</v>
      </c>
      <c r="BB234" s="495" t="str">
        <f t="shared" si="35"/>
        <v/>
      </c>
      <c r="BC234" s="495" t="str">
        <f t="shared" si="36"/>
        <v/>
      </c>
      <c r="BD234" s="513" t="str">
        <f>IF(AND(L234="",H234=""),"",
IF(H234="",Pole_Calc!A$9,
IF(H234="MP",Pole_Calc!A$10,
IF(H234="AnMP",Pole_Calc!A$11,
IF(H234="A",Pole_Calc!A$12,
IF(H234="S/A",Pole_Calc!A$13,
IF(H234="A/S",Pole_Calc!A$14,"Poner a mano")))))))</f>
        <v>App.7-V11I-P9.5.1.1</v>
      </c>
      <c r="BE234" s="429" t="s">
        <v>118</v>
      </c>
      <c r="BF234" s="289"/>
      <c r="BG234" s="289"/>
      <c r="BH234" s="290"/>
      <c r="BI234" s="289"/>
    </row>
    <row r="235" spans="1:61" ht="16.149999999999999" customHeight="1">
      <c r="A235" s="685" t="s">
        <v>305</v>
      </c>
      <c r="B235" s="686"/>
      <c r="C235" s="687"/>
      <c r="D235" s="688"/>
      <c r="E235" s="689"/>
      <c r="F235" s="689"/>
      <c r="G235" s="690">
        <v>50</v>
      </c>
      <c r="H235" s="691"/>
      <c r="I235" s="689"/>
      <c r="J235" s="687"/>
      <c r="K235" s="691"/>
      <c r="L235" s="691"/>
      <c r="M235" s="691" t="str">
        <f>IF(L235="","",
IF(AX235="PT",VLOOKUP(L235,Foundation_Calc!$V$79:$X$113,VLOOKUP(AX235,Foundation_Calc!$I$10:$J$13,2,FALSE),0),
IF(AX235="K",VLOOKUP(L235,Foundation_Calc!$V$117:$X$151,VLOOKUP(AX235,Foundation_Calc!$I$10:$J$13,2,FALSE),0),"")))</f>
        <v/>
      </c>
      <c r="N235" s="691"/>
      <c r="O235" s="691"/>
      <c r="P235" s="691"/>
      <c r="Q235" s="689"/>
      <c r="R235" s="690"/>
      <c r="S235" s="690"/>
      <c r="T235" s="689"/>
      <c r="U235" s="689"/>
      <c r="V235" s="689"/>
      <c r="W235" s="695"/>
      <c r="X235" s="692"/>
      <c r="Y235" s="692"/>
      <c r="Z235" s="692"/>
      <c r="AA235" s="692"/>
      <c r="AB235" s="692"/>
      <c r="AC235" s="691" t="str">
        <f t="shared" si="33"/>
        <v/>
      </c>
      <c r="AD235" s="691"/>
      <c r="AE235" s="691"/>
      <c r="AF235" s="689"/>
      <c r="AG235" s="688"/>
      <c r="AH235" s="689"/>
      <c r="AI235" s="689"/>
      <c r="AJ235" s="691"/>
      <c r="AK235" s="691"/>
      <c r="AL235" s="691"/>
      <c r="AM235" s="691"/>
      <c r="AN235" s="693"/>
      <c r="AO235" s="692"/>
      <c r="AP235" s="692"/>
      <c r="AQ235" s="692">
        <f>+FL_1($T$236,$T$234,$G$235,1200,9.28,-1*$F$236)</f>
        <v>0.33331886373108921</v>
      </c>
      <c r="AR235" s="692"/>
      <c r="AS235" s="692"/>
      <c r="AT235" s="692"/>
      <c r="AU235" s="694"/>
      <c r="AV235" s="694"/>
      <c r="AW235" s="691" t="str">
        <f>IF(C235&gt;0,VLOOKUP(C235,Foundation_Calc!$A$2:$C$13,3,1),
IF(J235&gt;0,VLOOKUP(J235,Foundation_Calc!$A$2:$C$13,3,1),""))</f>
        <v/>
      </c>
      <c r="AX235" s="691" t="str">
        <f>IF(C235&gt;0,VLOOKUP(C235,Foundation_Calc!$E$2:$G$33,3,1),
IF(J235&gt;0,VLOOKUP(J235,Foundation_Calc!$E$2:$G$33,3,1),""))</f>
        <v/>
      </c>
      <c r="AY235" s="693" t="str">
        <f>IF(L235="","",
IF(AX235="PT",VLOOKUP(L235,Foundation_Calc!$K$79:$R$113,VLOOKUP(AW235,Foundation_Calc!$I$2:$J$8,2,FALSE),0),
IF(AX235="K",VLOOKUP(L235,Foundation_Calc!$K$117:$R$151,VLOOKUP(AW235,Foundation_Calc!$I$2:$J$8,2,FALSE),0),"")))</f>
        <v/>
      </c>
      <c r="AZ235" s="693" t="str">
        <f>IF(K235="","",
IF(AX235="PT",VLOOKUP(K235,Foundation_Calc!$K$79:$R$113,VLOOKUP(AW235,Foundation_Calc!$I$2:$J$8,2,FALSE),0),
IF(AX235="K",VLOOKUP(K235,Foundation_Calc!$K$117:$R$151,VLOOKUP(AW235,Foundation_Calc!$I$2:$J$8,2,FALSE),0),"")))</f>
        <v/>
      </c>
      <c r="BA235" s="495" t="str">
        <f t="shared" si="34"/>
        <v/>
      </c>
      <c r="BB235" s="495" t="str">
        <f t="shared" si="35"/>
        <v/>
      </c>
      <c r="BC235" s="495" t="str">
        <f t="shared" si="36"/>
        <v/>
      </c>
      <c r="BD235" s="513" t="str">
        <f>IF(AND(L235="",H235=""),"",
IF(H235="",Pole_Calc!A$9,
IF(H235="MP",Pole_Calc!A$10,
IF(H235="AnMP",Pole_Calc!A$11,
IF(H235="A",Pole_Calc!A$12,
IF(H235="S/A",Pole_Calc!A$13,
IF(H235="A/S",Pole_Calc!A$14,"Poner a mano")))))))</f>
        <v/>
      </c>
      <c r="BE235" s="429" t="s">
        <v>118</v>
      </c>
      <c r="BF235" s="290"/>
      <c r="BG235" s="290"/>
      <c r="BH235" s="290"/>
      <c r="BI235" s="290"/>
    </row>
    <row r="236" spans="1:61" ht="16.149999999999999" customHeight="1">
      <c r="A236" s="514"/>
      <c r="B236" s="450" t="s">
        <v>306</v>
      </c>
      <c r="C236" s="3">
        <f>+$C$234+$G$235</f>
        <v>35860.549999999996</v>
      </c>
      <c r="D236" s="83"/>
      <c r="E236" s="4"/>
      <c r="F236" s="4">
        <f>IF(C236&gt;0,VLOOKUP(C236,'ALIGNMENT TRACK'!$A$1:$K$81,9,1))</f>
        <v>-1500</v>
      </c>
      <c r="G236" s="6"/>
      <c r="H236" s="449"/>
      <c r="I236" s="4"/>
      <c r="J236" s="3"/>
      <c r="K236" s="449"/>
      <c r="L236" s="449" t="s">
        <v>158</v>
      </c>
      <c r="M236" s="449" t="str">
        <f>IF(L236="","",
IF(AX236="PT",VLOOKUP(L236,Foundation_Calc!$V$79:$X$113,VLOOKUP(AX236,Foundation_Calc!$I$10:$J$13,2,FALSE),0),
IF(AX236="K",VLOOKUP(L236,Foundation_Calc!$V$117:$X$151,VLOOKUP(AX236,Foundation_Calc!$I$10:$J$13,2,FALSE),0),"")))</f>
        <v>C4R</v>
      </c>
      <c r="N236" s="449" t="s">
        <v>134</v>
      </c>
      <c r="O236" s="449"/>
      <c r="P236" s="449"/>
      <c r="Q236" s="4"/>
      <c r="R236" s="6"/>
      <c r="S236" s="6"/>
      <c r="T236" s="4">
        <v>30</v>
      </c>
      <c r="U236" s="4"/>
      <c r="V236" s="4"/>
      <c r="W236" s="9">
        <v>1.4</v>
      </c>
      <c r="X236" s="9"/>
      <c r="Y236" s="9"/>
      <c r="Z236" s="9"/>
      <c r="AA236" s="9"/>
      <c r="AB236" s="9"/>
      <c r="AC236" s="449" t="str">
        <f t="shared" si="33"/>
        <v>PHQ</v>
      </c>
      <c r="AD236" s="449"/>
      <c r="AE236" s="449"/>
      <c r="AF236" s="4"/>
      <c r="AG236" s="83"/>
      <c r="AH236" s="4"/>
      <c r="AI236" s="4"/>
      <c r="AJ236" s="449"/>
      <c r="AK236" s="449"/>
      <c r="AL236" s="449"/>
      <c r="AM236" s="449" t="s">
        <v>126</v>
      </c>
      <c r="AN236" s="10">
        <v>5.5</v>
      </c>
      <c r="AO236" s="9"/>
      <c r="AP236" s="9"/>
      <c r="AQ236" s="9"/>
      <c r="AR236" s="9"/>
      <c r="AS236" s="9"/>
      <c r="AT236" s="9">
        <f>+ab($T$236,$T$234,$T$238,$G$235,$G$237,-1*$F$236,1200)</f>
        <v>5.7375244864003294</v>
      </c>
      <c r="AU236" s="428"/>
      <c r="AV236" s="428"/>
      <c r="AW236" s="449" t="str">
        <f>IF(C236&gt;0,VLOOKUP(C236,Foundation_Calc!$A$2:$C$13,3,1),
IF(J236&gt;0,VLOOKUP(J236,Foundation_Calc!$A$2:$C$13,3,1),""))</f>
        <v>Multi Soil</v>
      </c>
      <c r="AX236" s="449" t="str">
        <f>IF(C236&gt;0,VLOOKUP(C236,Foundation_Calc!$E$2:$G$33,3,1),
IF(J236&gt;0,VLOOKUP(J236,Foundation_Calc!$E$2:$G$33,3,1),""))</f>
        <v>PT</v>
      </c>
      <c r="AY236" s="10">
        <f>IF(L236="","",
IF(AX236="PT",VLOOKUP(L236,Foundation_Calc!$K$79:$R$113,VLOOKUP(AW236,Foundation_Calc!$I$2:$J$8,2,FALSE),0),
IF(AX236="K",VLOOKUP(L236,Foundation_Calc!$K$117:$R$151,VLOOKUP(AW236,Foundation_Calc!$I$2:$J$8,2,FALSE),0),"")))</f>
        <v>3.5</v>
      </c>
      <c r="AZ236" s="10" t="str">
        <f>IF(K236="","",
IF(AX236="PT",VLOOKUP(K236,Foundation_Calc!$K$79:$R$113,VLOOKUP(AW236,Foundation_Calc!$I$2:$J$8,2,FALSE),0),
IF(AX236="K",VLOOKUP(K236,Foundation_Calc!$K$117:$R$151,VLOOKUP(AW236,Foundation_Calc!$I$2:$J$8,2,FALSE),0),"")))</f>
        <v/>
      </c>
      <c r="BA236" s="495" t="str">
        <f t="shared" si="34"/>
        <v>ü</v>
      </c>
      <c r="BB236" s="495" t="str">
        <f t="shared" si="35"/>
        <v/>
      </c>
      <c r="BC236" s="495" t="str">
        <f t="shared" si="36"/>
        <v/>
      </c>
      <c r="BD236" s="513" t="str">
        <f>IF(AND(L236="",H236=""),"",
IF(H236="",Pole_Calc!A$9,
IF(H236="MP",Pole_Calc!A$10,
IF(H236="AnMP",Pole_Calc!A$11,
IF(H236="A",Pole_Calc!A$12,
IF(H236="S/A",Pole_Calc!A$13,
IF(H236="A/S",Pole_Calc!A$14,"Poner a mano")))))))</f>
        <v>App.7-V11I-P9.5.1.1</v>
      </c>
      <c r="BE236" s="429" t="s">
        <v>118</v>
      </c>
      <c r="BF236" s="289"/>
      <c r="BG236" s="289"/>
      <c r="BH236" s="290"/>
      <c r="BI236" s="289"/>
    </row>
    <row r="237" spans="1:61" ht="16.149999999999999" customHeight="1">
      <c r="A237" s="514"/>
      <c r="B237" s="450"/>
      <c r="C237" s="3"/>
      <c r="D237" s="83"/>
      <c r="E237" s="4"/>
      <c r="F237" s="4"/>
      <c r="G237" s="6">
        <v>50</v>
      </c>
      <c r="H237" s="449"/>
      <c r="I237" s="4"/>
      <c r="J237" s="3">
        <f>C238-7.5</f>
        <v>35903.049999999996</v>
      </c>
      <c r="K237" s="449" t="s">
        <v>166</v>
      </c>
      <c r="L237" s="449"/>
      <c r="M237" s="449" t="str">
        <f>IF(L237="","",
IF(AX237="PT",VLOOKUP(L237,Foundation_Calc!$V$79:$X$113,VLOOKUP(AX237,Foundation_Calc!$I$10:$J$13,2,FALSE),0),
IF(AX237="K",VLOOKUP(L237,Foundation_Calc!$V$117:$X$151,VLOOKUP(AX237,Foundation_Calc!$I$10:$J$13,2,FALSE),0),"")))</f>
        <v/>
      </c>
      <c r="N237" s="449"/>
      <c r="O237" s="449"/>
      <c r="P237" s="449"/>
      <c r="Q237" s="4"/>
      <c r="R237" s="6"/>
      <c r="S237" s="6"/>
      <c r="T237" s="4"/>
      <c r="U237" s="4"/>
      <c r="V237" s="4"/>
      <c r="W237" s="9"/>
      <c r="X237" s="9"/>
      <c r="Y237" s="9"/>
      <c r="Z237" s="9"/>
      <c r="AA237" s="9"/>
      <c r="AB237" s="9"/>
      <c r="AC237" s="449" t="str">
        <f t="shared" si="33"/>
        <v/>
      </c>
      <c r="AD237" s="449"/>
      <c r="AE237" s="449"/>
      <c r="AF237" s="4"/>
      <c r="AG237" s="83"/>
      <c r="AH237" s="4"/>
      <c r="AI237" s="4"/>
      <c r="AJ237" s="449"/>
      <c r="AK237" s="449"/>
      <c r="AL237" s="449"/>
      <c r="AM237" s="449"/>
      <c r="AN237" s="10"/>
      <c r="AO237" s="9"/>
      <c r="AP237" s="9"/>
      <c r="AQ237" s="9">
        <f>+FL_1($T$238,$T$236,$G$237,1200,9.28,-1*$F$238)</f>
        <v>0.33331886373108921</v>
      </c>
      <c r="AR237" s="9"/>
      <c r="AS237" s="9"/>
      <c r="AT237" s="9"/>
      <c r="AU237" s="428"/>
      <c r="AV237" s="428"/>
      <c r="AW237" s="449" t="str">
        <f>IF(C237&gt;0,VLOOKUP(C237,Foundation_Calc!$A$2:$C$13,3,1),
IF(J237&gt;0,VLOOKUP(J237,Foundation_Calc!$A$2:$C$13,3,1),""))</f>
        <v>Multi Soil</v>
      </c>
      <c r="AX237" s="449" t="str">
        <f>IF(C237&gt;0,VLOOKUP(C237,Foundation_Calc!$E$2:$G$33,3,1),
IF(J237&gt;0,VLOOKUP(J237,Foundation_Calc!$E$2:$G$33,3,1),""))</f>
        <v>PT</v>
      </c>
      <c r="AY237" s="10" t="str">
        <f>IF(L237="","",
IF(AX237="PT",VLOOKUP(L237,Foundation_Calc!$K$79:$R$113,VLOOKUP(AW237,Foundation_Calc!$I$2:$J$8,2,FALSE),0),
IF(AX237="K",VLOOKUP(L237,Foundation_Calc!$K$117:$R$151,VLOOKUP(AW237,Foundation_Calc!$I$2:$J$8,2,FALSE),0),"")))</f>
        <v/>
      </c>
      <c r="AZ237" s="10">
        <f>IF(K237="","",
IF(AX237="PT",VLOOKUP(K237,Foundation_Calc!$K$79:$R$113,VLOOKUP(AW237,Foundation_Calc!$I$2:$J$8,2,FALSE),0),
IF(AX237="K",VLOOKUP(K237,Foundation_Calc!$K$117:$R$151,VLOOKUP(AW237,Foundation_Calc!$I$2:$J$8,2,FALSE),0),"")))</f>
        <v>2.8</v>
      </c>
      <c r="BA237" s="495" t="str">
        <f t="shared" si="34"/>
        <v/>
      </c>
      <c r="BB237" s="495" t="str">
        <f t="shared" si="35"/>
        <v>ü</v>
      </c>
      <c r="BC237" s="495" t="str">
        <f t="shared" si="36"/>
        <v/>
      </c>
      <c r="BD237" s="513" t="str">
        <f>IF(AND(L237="",H237=""),"",
IF(H237="",Pole_Calc!A$9,
IF(H237="MP",Pole_Calc!A$10,
IF(H237="AnMP",Pole_Calc!A$11,
IF(H237="A",Pole_Calc!A$12,
IF(H237="S/A",Pole_Calc!A$13,
IF(H237="A/S",Pole_Calc!A$14,"Poner a mano")))))))</f>
        <v/>
      </c>
      <c r="BE237" s="429" t="s">
        <v>118</v>
      </c>
      <c r="BF237" s="290"/>
      <c r="BG237" s="290"/>
      <c r="BH237" s="290"/>
      <c r="BI237" s="290"/>
    </row>
    <row r="238" spans="1:61" ht="16.149999999999999" customHeight="1">
      <c r="A238" s="514"/>
      <c r="B238" s="450" t="s">
        <v>307</v>
      </c>
      <c r="C238" s="3">
        <f>+$C$236+$G$237</f>
        <v>35910.549999999996</v>
      </c>
      <c r="D238" s="83"/>
      <c r="E238" s="4"/>
      <c r="F238" s="4">
        <f>IF(C238&gt;0,VLOOKUP(C238,'ALIGNMENT TRACK'!$A$1:$K$81,9,1))</f>
        <v>-1500</v>
      </c>
      <c r="G238" s="6"/>
      <c r="H238" s="449" t="s">
        <v>168</v>
      </c>
      <c r="I238" s="4"/>
      <c r="J238" s="3"/>
      <c r="K238" s="449"/>
      <c r="L238" s="449" t="s">
        <v>158</v>
      </c>
      <c r="M238" s="449" t="str">
        <f>IF(L238="","",
IF(AX238="PT",VLOOKUP(L238,Foundation_Calc!$V$79:$X$113,VLOOKUP(AX238,Foundation_Calc!$I$10:$J$13,2,FALSE),0),
IF(AX238="K",VLOOKUP(L238,Foundation_Calc!$V$117:$X$151,VLOOKUP(AX238,Foundation_Calc!$I$10:$J$13,2,FALSE),0),"")))</f>
        <v>C4R</v>
      </c>
      <c r="N238" s="449" t="s">
        <v>134</v>
      </c>
      <c r="O238" s="449"/>
      <c r="P238" s="449"/>
      <c r="Q238" s="4"/>
      <c r="R238" s="6"/>
      <c r="S238" s="6"/>
      <c r="T238" s="4">
        <v>30</v>
      </c>
      <c r="U238" s="4"/>
      <c r="V238" s="4"/>
      <c r="W238" s="9">
        <v>1.4</v>
      </c>
      <c r="X238" s="9"/>
      <c r="Y238" s="9"/>
      <c r="Z238" s="9"/>
      <c r="AA238" s="9"/>
      <c r="AB238" s="9"/>
      <c r="AC238" s="449" t="str">
        <f t="shared" si="33"/>
        <v>PHQ</v>
      </c>
      <c r="AD238" s="449"/>
      <c r="AE238" s="449"/>
      <c r="AF238" s="4"/>
      <c r="AG238" s="83"/>
      <c r="AH238" s="4"/>
      <c r="AI238" s="4"/>
      <c r="AJ238" s="449"/>
      <c r="AK238" s="449"/>
      <c r="AL238" s="449"/>
      <c r="AM238" s="449" t="s">
        <v>126</v>
      </c>
      <c r="AN238" s="10">
        <v>5.5</v>
      </c>
      <c r="AO238" s="9"/>
      <c r="AP238" s="9"/>
      <c r="AQ238" s="9"/>
      <c r="AR238" s="9"/>
      <c r="AS238" s="9"/>
      <c r="AT238" s="9">
        <f>+ab($T$238,$T$236,$T$240,$G$237,$G$239,-1*$F$238,1200)</f>
        <v>5.7375244864003294</v>
      </c>
      <c r="AU238" s="428"/>
      <c r="AV238" s="428"/>
      <c r="AW238" s="449" t="str">
        <f>IF(C238&gt;0,VLOOKUP(C238,Foundation_Calc!$A$2:$C$13,3,1),
IF(J238&gt;0,VLOOKUP(J238,Foundation_Calc!$A$2:$C$13,3,1),""))</f>
        <v>Multi Soil</v>
      </c>
      <c r="AX238" s="449" t="str">
        <f>IF(C238&gt;0,VLOOKUP(C238,Foundation_Calc!$E$2:$G$33,3,1),
IF(J238&gt;0,VLOOKUP(J238,Foundation_Calc!$E$2:$G$33,3,1),""))</f>
        <v>PT</v>
      </c>
      <c r="AY238" s="10">
        <f>IF(L238="","",
IF(AX238="PT",VLOOKUP(L238,Foundation_Calc!$K$79:$R$113,VLOOKUP(AW238,Foundation_Calc!$I$2:$J$8,2,FALSE),0),
IF(AX238="K",VLOOKUP(L238,Foundation_Calc!$K$117:$R$151,VLOOKUP(AW238,Foundation_Calc!$I$2:$J$8,2,FALSE),0),"")))</f>
        <v>3.5</v>
      </c>
      <c r="AZ238" s="10" t="str">
        <f>IF(K238="","",
IF(AX238="PT",VLOOKUP(K238,Foundation_Calc!$K$79:$R$113,VLOOKUP(AW238,Foundation_Calc!$I$2:$J$8,2,FALSE),0),
IF(AX238="K",VLOOKUP(K238,Foundation_Calc!$K$117:$R$151,VLOOKUP(AW238,Foundation_Calc!$I$2:$J$8,2,FALSE),0),"")))</f>
        <v/>
      </c>
      <c r="BA238" s="495" t="str">
        <f t="shared" si="34"/>
        <v>ü</v>
      </c>
      <c r="BB238" s="495" t="str">
        <f t="shared" si="35"/>
        <v/>
      </c>
      <c r="BC238" s="495" t="str">
        <f t="shared" si="36"/>
        <v/>
      </c>
      <c r="BD238" s="513" t="str">
        <f>IF(AND(L238="",H238=""),"",
IF(H238="",Pole_Calc!A$9,
IF(H238="MP",Pole_Calc!A$10,
IF(H238="AnMP",Pole_Calc!A$11,
IF(H238="A",Pole_Calc!A$12,
IF(H238="S/A",Pole_Calc!A$13,
IF(H238="A/S",Pole_Calc!A$14,"Poner a mano")))))))</f>
        <v>App.7-V11I-P9.5.1.3</v>
      </c>
      <c r="BE238" s="429" t="s">
        <v>118</v>
      </c>
      <c r="BF238" s="289"/>
      <c r="BG238" s="289"/>
      <c r="BH238" s="290"/>
      <c r="BI238" s="289"/>
    </row>
    <row r="239" spans="1:61" ht="16.149999999999999" customHeight="1">
      <c r="A239" s="514"/>
      <c r="B239" s="450"/>
      <c r="C239" s="3"/>
      <c r="D239" s="83"/>
      <c r="E239" s="4"/>
      <c r="F239" s="4"/>
      <c r="G239" s="6">
        <v>50</v>
      </c>
      <c r="H239" s="449"/>
      <c r="I239" s="4">
        <f>SUM(G221:G239)</f>
        <v>470.6</v>
      </c>
      <c r="J239" s="3"/>
      <c r="K239" s="449"/>
      <c r="L239" s="449"/>
      <c r="M239" s="449" t="str">
        <f>IF(L239="","",
IF(AX239="PT",VLOOKUP(L239,Foundation_Calc!$V$79:$X$113,VLOOKUP(AX239,Foundation_Calc!$I$10:$J$13,2,FALSE),0),
IF(AX239="K",VLOOKUP(L239,Foundation_Calc!$V$117:$X$151,VLOOKUP(AX239,Foundation_Calc!$I$10:$J$13,2,FALSE),0),"")))</f>
        <v/>
      </c>
      <c r="N239" s="449"/>
      <c r="O239" s="449"/>
      <c r="P239" s="449"/>
      <c r="Q239" s="4"/>
      <c r="R239" s="6"/>
      <c r="S239" s="6"/>
      <c r="T239" s="4"/>
      <c r="U239" s="4"/>
      <c r="V239" s="4"/>
      <c r="W239" s="9"/>
      <c r="X239" s="9"/>
      <c r="Y239" s="9"/>
      <c r="Z239" s="9"/>
      <c r="AA239" s="9"/>
      <c r="AB239" s="9"/>
      <c r="AC239" s="449" t="str">
        <f t="shared" si="33"/>
        <v/>
      </c>
      <c r="AD239" s="449"/>
      <c r="AE239" s="449"/>
      <c r="AF239" s="4"/>
      <c r="AG239" s="83"/>
      <c r="AH239" s="4"/>
      <c r="AI239" s="4"/>
      <c r="AJ239" s="449"/>
      <c r="AK239" s="449"/>
      <c r="AL239" s="449"/>
      <c r="AM239" s="449"/>
      <c r="AN239" s="10"/>
      <c r="AO239" s="9"/>
      <c r="AP239" s="9"/>
      <c r="AQ239" s="9">
        <f>+FL_1($T$240,$T$238,$G$239,1200,9.28,-1*$F$240)</f>
        <v>0.33331886373108921</v>
      </c>
      <c r="AR239" s="9"/>
      <c r="AS239" s="9"/>
      <c r="AT239" s="9"/>
      <c r="AU239" s="428"/>
      <c r="AV239" s="428"/>
      <c r="AW239" s="449" t="str">
        <f>IF(C239&gt;0,VLOOKUP(C239,Foundation_Calc!$A$2:$C$13,3,1),
IF(J239&gt;0,VLOOKUP(J239,Foundation_Calc!$A$2:$C$13,3,1),""))</f>
        <v/>
      </c>
      <c r="AX239" s="449" t="str">
        <f>IF(C239&gt;0,VLOOKUP(C239,Foundation_Calc!$E$2:$G$33,3,1),
IF(J239&gt;0,VLOOKUP(J239,Foundation_Calc!$E$2:$G$33,3,1),""))</f>
        <v/>
      </c>
      <c r="AY239" s="10" t="str">
        <f>IF(L239="","",
IF(AX239="PT",VLOOKUP(L239,Foundation_Calc!$K$79:$R$113,VLOOKUP(AW239,Foundation_Calc!$I$2:$J$8,2,FALSE),0),
IF(AX239="K",VLOOKUP(L239,Foundation_Calc!$K$117:$R$151,VLOOKUP(AW239,Foundation_Calc!$I$2:$J$8,2,FALSE),0),"")))</f>
        <v/>
      </c>
      <c r="AZ239" s="10" t="str">
        <f>IF(K239="","",
IF(AX239="PT",VLOOKUP(K239,Foundation_Calc!$K$79:$R$113,VLOOKUP(AW239,Foundation_Calc!$I$2:$J$8,2,FALSE),0),
IF(AX239="K",VLOOKUP(K239,Foundation_Calc!$K$117:$R$151,VLOOKUP(AW239,Foundation_Calc!$I$2:$J$8,2,FALSE),0),"")))</f>
        <v/>
      </c>
      <c r="BA239" s="495" t="str">
        <f t="shared" si="34"/>
        <v/>
      </c>
      <c r="BB239" s="495" t="str">
        <f t="shared" si="35"/>
        <v/>
      </c>
      <c r="BC239" s="495" t="str">
        <f t="shared" si="36"/>
        <v/>
      </c>
      <c r="BD239" s="513" t="str">
        <f>IF(AND(L239="",H239=""),"",
IF(H239="",Pole_Calc!A$9,
IF(H239="MP",Pole_Calc!A$10,
IF(H239="AnMP",Pole_Calc!A$11,
IF(H239="A",Pole_Calc!A$12,
IF(H239="S/A",Pole_Calc!A$13,
IF(H239="A/S",Pole_Calc!A$14,"Poner a mano")))))))</f>
        <v/>
      </c>
      <c r="BE239" s="429" t="s">
        <v>118</v>
      </c>
      <c r="BF239" s="290"/>
      <c r="BG239" s="290"/>
      <c r="BH239" s="290"/>
      <c r="BI239" s="290"/>
    </row>
    <row r="240" spans="1:61" ht="16.149999999999999" customHeight="1">
      <c r="A240" s="514"/>
      <c r="B240" s="450" t="s">
        <v>308</v>
      </c>
      <c r="C240" s="3">
        <f>+$C$238+$G$239</f>
        <v>35960.549999999996</v>
      </c>
      <c r="D240" s="83"/>
      <c r="E240" s="4"/>
      <c r="F240" s="4">
        <f>IF(C240&gt;0,VLOOKUP(C240,'ALIGNMENT TRACK'!$A$1:$K$81,9,1))</f>
        <v>-1500</v>
      </c>
      <c r="G240" s="6"/>
      <c r="H240" s="449" t="s">
        <v>171</v>
      </c>
      <c r="I240" s="4"/>
      <c r="J240" s="3"/>
      <c r="K240" s="449"/>
      <c r="L240" s="449" t="s">
        <v>158</v>
      </c>
      <c r="M240" s="449" t="str">
        <f>IF(L240="","",
IF(AX240="PT",VLOOKUP(L240,Foundation_Calc!$V$79:$X$113,VLOOKUP(AX240,Foundation_Calc!$I$10:$J$13,2,FALSE),0),
IF(AX240="K",VLOOKUP(L240,Foundation_Calc!$V$117:$X$151,VLOOKUP(AX240,Foundation_Calc!$I$10:$J$13,2,FALSE),0),"")))</f>
        <v>C4R</v>
      </c>
      <c r="N240" s="449" t="s">
        <v>134</v>
      </c>
      <c r="O240" s="449"/>
      <c r="P240" s="449"/>
      <c r="Q240" s="4"/>
      <c r="R240" s="6"/>
      <c r="S240" s="6"/>
      <c r="T240" s="4">
        <v>30</v>
      </c>
      <c r="U240" s="4"/>
      <c r="V240" s="4"/>
      <c r="W240" s="9">
        <v>1.4</v>
      </c>
      <c r="X240" s="9"/>
      <c r="Y240" s="9"/>
      <c r="Z240" s="9"/>
      <c r="AA240" s="9"/>
      <c r="AB240" s="9"/>
      <c r="AC240" s="449" t="str">
        <f t="shared" si="33"/>
        <v>PHQ</v>
      </c>
      <c r="AD240" s="449"/>
      <c r="AE240" s="449"/>
      <c r="AF240" s="4"/>
      <c r="AG240" s="83"/>
      <c r="AH240" s="4"/>
      <c r="AI240" s="4"/>
      <c r="AJ240" s="449"/>
      <c r="AK240" s="449"/>
      <c r="AL240" s="449"/>
      <c r="AM240" s="449" t="s">
        <v>126</v>
      </c>
      <c r="AN240" s="10">
        <v>5.5</v>
      </c>
      <c r="AO240" s="9"/>
      <c r="AP240" s="9"/>
      <c r="AQ240" s="9"/>
      <c r="AR240" s="9"/>
      <c r="AS240" s="9"/>
      <c r="AT240" s="9">
        <f>+ab($T$240,$T$238,$T$242,$G$239,$G$241,-1*$F$240,1200)</f>
        <v>5.7375244864003294</v>
      </c>
      <c r="AU240" s="428"/>
      <c r="AV240" s="428"/>
      <c r="AW240" s="449" t="str">
        <f>IF(C240&gt;0,VLOOKUP(C240,Foundation_Calc!$A$2:$C$13,3,1),
IF(J240&gt;0,VLOOKUP(J240,Foundation_Calc!$A$2:$C$13,3,1),""))</f>
        <v>Multi Soil</v>
      </c>
      <c r="AX240" s="449" t="str">
        <f>IF(C240&gt;0,VLOOKUP(C240,Foundation_Calc!$E$2:$G$33,3,1),
IF(J240&gt;0,VLOOKUP(J240,Foundation_Calc!$E$2:$G$33,3,1),""))</f>
        <v>PT</v>
      </c>
      <c r="AY240" s="10">
        <f>IF(L240="","",
IF(AX240="PT",VLOOKUP(L240,Foundation_Calc!$K$79:$R$113,VLOOKUP(AW240,Foundation_Calc!$I$2:$J$8,2,FALSE),0),
IF(AX240="K",VLOOKUP(L240,Foundation_Calc!$K$117:$R$151,VLOOKUP(AW240,Foundation_Calc!$I$2:$J$8,2,FALSE),0),"")))</f>
        <v>3.5</v>
      </c>
      <c r="AZ240" s="10" t="str">
        <f>IF(K240="","",
IF(AX240="PT",VLOOKUP(K240,Foundation_Calc!$K$79:$R$113,VLOOKUP(AW240,Foundation_Calc!$I$2:$J$8,2,FALSE),0),
IF(AX240="K",VLOOKUP(K240,Foundation_Calc!$K$117:$R$151,VLOOKUP(AW240,Foundation_Calc!$I$2:$J$8,2,FALSE),0),"")))</f>
        <v/>
      </c>
      <c r="BA240" s="495" t="str">
        <f t="shared" si="34"/>
        <v>ü</v>
      </c>
      <c r="BB240" s="495" t="str">
        <f t="shared" si="35"/>
        <v/>
      </c>
      <c r="BC240" s="495" t="str">
        <f t="shared" si="36"/>
        <v/>
      </c>
      <c r="BD240" s="513" t="str">
        <f>IF(AND(L240="",H240=""),"",
IF(H240="",Pole_Calc!A$9,
IF(H240="MP",Pole_Calc!A$10,
IF(H240="AnMP",Pole_Calc!A$11,
IF(H240="A",Pole_Calc!A$12,
IF(H240="S/A",Pole_Calc!A$13,
IF(H240="A/S",Pole_Calc!A$14,"Poner a mano")))))))</f>
        <v>App.7-V11I-P9.5.1.2</v>
      </c>
      <c r="BE240" s="429" t="s">
        <v>118</v>
      </c>
      <c r="BF240" s="289"/>
      <c r="BG240" s="289"/>
      <c r="BH240" s="290"/>
      <c r="BI240" s="289"/>
    </row>
    <row r="241" spans="1:61" ht="16.149999999999999" customHeight="1">
      <c r="A241" s="514"/>
      <c r="B241" s="450"/>
      <c r="C241" s="3"/>
      <c r="D241" s="83"/>
      <c r="E241" s="4"/>
      <c r="F241" s="4"/>
      <c r="G241" s="6">
        <v>50</v>
      </c>
      <c r="H241" s="449"/>
      <c r="I241" s="4">
        <f>SUM(G241:G259)</f>
        <v>515</v>
      </c>
      <c r="J241" s="3"/>
      <c r="K241" s="449"/>
      <c r="L241" s="449"/>
      <c r="M241" s="449" t="str">
        <f>IF(L241="","",
IF(AX241="PT",VLOOKUP(L241,Foundation_Calc!$V$79:$X$113,VLOOKUP(AX241,Foundation_Calc!$I$10:$J$13,2,FALSE),0),
IF(AX241="K",VLOOKUP(L241,Foundation_Calc!$V$117:$X$151,VLOOKUP(AX241,Foundation_Calc!$I$10:$J$13,2,FALSE),0),"")))</f>
        <v/>
      </c>
      <c r="N241" s="449"/>
      <c r="O241" s="449"/>
      <c r="P241" s="449"/>
      <c r="Q241" s="4"/>
      <c r="R241" s="6"/>
      <c r="S241" s="6"/>
      <c r="T241" s="4"/>
      <c r="U241" s="4"/>
      <c r="V241" s="4"/>
      <c r="W241" s="9"/>
      <c r="X241" s="9"/>
      <c r="Y241" s="9"/>
      <c r="Z241" s="9"/>
      <c r="AA241" s="9"/>
      <c r="AB241" s="9"/>
      <c r="AC241" s="449" t="str">
        <f t="shared" si="33"/>
        <v/>
      </c>
      <c r="AD241" s="449"/>
      <c r="AE241" s="449"/>
      <c r="AF241" s="4"/>
      <c r="AG241" s="83"/>
      <c r="AH241" s="4"/>
      <c r="AI241" s="4"/>
      <c r="AJ241" s="449"/>
      <c r="AK241" s="449"/>
      <c r="AL241" s="449"/>
      <c r="AM241" s="449"/>
      <c r="AN241" s="10"/>
      <c r="AO241" s="9"/>
      <c r="AP241" s="9"/>
      <c r="AQ241" s="9">
        <f>+FL_1($T$242,$T$240,$G$241,1200,9.28,-1*$F$242)</f>
        <v>0.33331886373108921</v>
      </c>
      <c r="AR241" s="9"/>
      <c r="AS241" s="9"/>
      <c r="AT241" s="9"/>
      <c r="AU241" s="428"/>
      <c r="AV241" s="428"/>
      <c r="AW241" s="449" t="str">
        <f>IF(C241&gt;0,VLOOKUP(C241,Foundation_Calc!$A$2:$C$13,3,1),
IF(J241&gt;0,VLOOKUP(J241,Foundation_Calc!$A$2:$C$13,3,1),""))</f>
        <v/>
      </c>
      <c r="AX241" s="449" t="str">
        <f>IF(C241&gt;0,VLOOKUP(C241,Foundation_Calc!$E$2:$G$33,3,1),
IF(J241&gt;0,VLOOKUP(J241,Foundation_Calc!$E$2:$G$33,3,1),""))</f>
        <v/>
      </c>
      <c r="AY241" s="10" t="str">
        <f>IF(L241="","",
IF(AX241="PT",VLOOKUP(L241,Foundation_Calc!$K$79:$R$113,VLOOKUP(AW241,Foundation_Calc!$I$2:$J$8,2,FALSE),0),
IF(AX241="K",VLOOKUP(L241,Foundation_Calc!$K$117:$R$151,VLOOKUP(AW241,Foundation_Calc!$I$2:$J$8,2,FALSE),0),"")))</f>
        <v/>
      </c>
      <c r="AZ241" s="10" t="str">
        <f>IF(K241="","",
IF(AX241="PT",VLOOKUP(K241,Foundation_Calc!$K$79:$R$113,VLOOKUP(AW241,Foundation_Calc!$I$2:$J$8,2,FALSE),0),
IF(AX241="K",VLOOKUP(K241,Foundation_Calc!$K$117:$R$151,VLOOKUP(AW241,Foundation_Calc!$I$2:$J$8,2,FALSE),0),"")))</f>
        <v/>
      </c>
      <c r="BA241" s="495" t="str">
        <f t="shared" si="34"/>
        <v/>
      </c>
      <c r="BB241" s="495" t="str">
        <f t="shared" si="35"/>
        <v/>
      </c>
      <c r="BC241" s="495" t="str">
        <f t="shared" si="36"/>
        <v/>
      </c>
      <c r="BD241" s="513" t="str">
        <f>IF(AND(L241="",H241=""),"",
IF(H241="",Pole_Calc!A$9,
IF(H241="MP",Pole_Calc!A$10,
IF(H241="AnMP",Pole_Calc!A$11,
IF(H241="A",Pole_Calc!A$12,
IF(H241="S/A",Pole_Calc!A$13,
IF(H241="A/S",Pole_Calc!A$14,"Poner a mano")))))))</f>
        <v/>
      </c>
      <c r="BE241" s="429" t="s">
        <v>118</v>
      </c>
      <c r="BF241" s="290"/>
      <c r="BG241" s="290"/>
      <c r="BH241" s="290"/>
      <c r="BI241" s="290"/>
    </row>
    <row r="242" spans="1:61" ht="16.149999999999999" customHeight="1">
      <c r="A242" s="514"/>
      <c r="B242" s="450" t="s">
        <v>309</v>
      </c>
      <c r="C242" s="3">
        <f>+$C$240+$G$241</f>
        <v>36010.549999999996</v>
      </c>
      <c r="D242" s="83"/>
      <c r="E242" s="4"/>
      <c r="F242" s="4">
        <f>IF(C242&gt;0,VLOOKUP(C242,'ALIGNMENT TRACK'!$A$1:$K$81,9,1))</f>
        <v>-1500</v>
      </c>
      <c r="G242" s="6"/>
      <c r="H242" s="449" t="s">
        <v>168</v>
      </c>
      <c r="I242" s="4"/>
      <c r="J242" s="3"/>
      <c r="K242" s="449"/>
      <c r="L242" s="449" t="s">
        <v>158</v>
      </c>
      <c r="M242" s="449" t="str">
        <f>IF(L242="","",
IF(AX242="PT",VLOOKUP(L242,Foundation_Calc!$V$79:$X$113,VLOOKUP(AX242,Foundation_Calc!$I$10:$J$13,2,FALSE),0),
IF(AX242="K",VLOOKUP(L242,Foundation_Calc!$V$117:$X$151,VLOOKUP(AX242,Foundation_Calc!$I$10:$J$13,2,FALSE),0),"")))</f>
        <v>C4R</v>
      </c>
      <c r="N242" s="449" t="s">
        <v>134</v>
      </c>
      <c r="O242" s="449"/>
      <c r="P242" s="449"/>
      <c r="Q242" s="4"/>
      <c r="R242" s="6"/>
      <c r="S242" s="6"/>
      <c r="T242" s="4">
        <v>30</v>
      </c>
      <c r="U242" s="4"/>
      <c r="V242" s="4"/>
      <c r="W242" s="9">
        <v>1.4</v>
      </c>
      <c r="X242" s="9"/>
      <c r="Y242" s="9"/>
      <c r="Z242" s="9"/>
      <c r="AA242" s="9"/>
      <c r="AB242" s="9"/>
      <c r="AC242" s="449" t="str">
        <f t="shared" si="33"/>
        <v>PHQ</v>
      </c>
      <c r="AD242" s="449"/>
      <c r="AE242" s="449"/>
      <c r="AF242" s="4"/>
      <c r="AG242" s="83"/>
      <c r="AH242" s="4"/>
      <c r="AI242" s="4"/>
      <c r="AJ242" s="449"/>
      <c r="AK242" s="449"/>
      <c r="AL242" s="449"/>
      <c r="AM242" s="449" t="s">
        <v>126</v>
      </c>
      <c r="AN242" s="10">
        <v>5.5</v>
      </c>
      <c r="AO242" s="9"/>
      <c r="AP242" s="9"/>
      <c r="AQ242" s="9"/>
      <c r="AR242" s="9"/>
      <c r="AS242" s="9"/>
      <c r="AT242" s="9">
        <f>+ab($T$242,$T$240,$T$244,$G$241,$G$243,-1*$F$242,1200)</f>
        <v>5.7375244864003294</v>
      </c>
      <c r="AU242" s="428"/>
      <c r="AV242" s="428"/>
      <c r="AW242" s="449" t="str">
        <f>IF(C242&gt;0,VLOOKUP(C242,Foundation_Calc!$A$2:$C$13,3,1),
IF(J242&gt;0,VLOOKUP(J242,Foundation_Calc!$A$2:$C$13,3,1),""))</f>
        <v>Multi Soil</v>
      </c>
      <c r="AX242" s="449" t="str">
        <f>IF(C242&gt;0,VLOOKUP(C242,Foundation_Calc!$E$2:$G$33,3,1),
IF(J242&gt;0,VLOOKUP(J242,Foundation_Calc!$E$2:$G$33,3,1),""))</f>
        <v>PT</v>
      </c>
      <c r="AY242" s="10">
        <f>IF(L242="","",
IF(AX242="PT",VLOOKUP(L242,Foundation_Calc!$K$79:$R$113,VLOOKUP(AW242,Foundation_Calc!$I$2:$J$8,2,FALSE),0),
IF(AX242="K",VLOOKUP(L242,Foundation_Calc!$K$117:$R$151,VLOOKUP(AW242,Foundation_Calc!$I$2:$J$8,2,FALSE),0),"")))</f>
        <v>3.5</v>
      </c>
      <c r="AZ242" s="10" t="str">
        <f>IF(K242="","",
IF(AX242="PT",VLOOKUP(K242,Foundation_Calc!$K$79:$R$113,VLOOKUP(AW242,Foundation_Calc!$I$2:$J$8,2,FALSE),0),
IF(AX242="K",VLOOKUP(K242,Foundation_Calc!$K$117:$R$151,VLOOKUP(AW242,Foundation_Calc!$I$2:$J$8,2,FALSE),0),"")))</f>
        <v/>
      </c>
      <c r="BA242" s="495" t="str">
        <f t="shared" si="34"/>
        <v>ü</v>
      </c>
      <c r="BB242" s="495" t="str">
        <f t="shared" si="35"/>
        <v/>
      </c>
      <c r="BC242" s="495" t="str">
        <f t="shared" si="36"/>
        <v/>
      </c>
      <c r="BD242" s="513" t="str">
        <f>IF(AND(L242="",H242=""),"",
IF(H242="",Pole_Calc!A$9,
IF(H242="MP",Pole_Calc!A$10,
IF(H242="AnMP",Pole_Calc!A$11,
IF(H242="A",Pole_Calc!A$12,
IF(H242="S/A",Pole_Calc!A$13,
IF(H242="A/S",Pole_Calc!A$14,"Poner a mano")))))))</f>
        <v>App.7-V11I-P9.5.1.3</v>
      </c>
      <c r="BE242" s="429" t="s">
        <v>118</v>
      </c>
      <c r="BF242" s="289"/>
      <c r="BG242" s="289"/>
      <c r="BH242" s="290"/>
      <c r="BI242" s="289"/>
    </row>
    <row r="243" spans="1:61" ht="16.149999999999999" customHeight="1">
      <c r="A243" s="514"/>
      <c r="B243" s="450"/>
      <c r="C243" s="3"/>
      <c r="D243" s="83"/>
      <c r="E243" s="4"/>
      <c r="F243" s="4"/>
      <c r="G243" s="6">
        <v>50</v>
      </c>
      <c r="H243" s="449"/>
      <c r="I243" s="4"/>
      <c r="J243" s="3">
        <f>C242+7.5</f>
        <v>36018.049999999996</v>
      </c>
      <c r="K243" s="449" t="s">
        <v>166</v>
      </c>
      <c r="L243" s="449"/>
      <c r="M243" s="449" t="str">
        <f>IF(L243="","",
IF(AX243="PT",VLOOKUP(L243,Foundation_Calc!$V$79:$X$113,VLOOKUP(AX243,Foundation_Calc!$I$10:$J$13,2,FALSE),0),
IF(AX243="K",VLOOKUP(L243,Foundation_Calc!$V$117:$X$151,VLOOKUP(AX243,Foundation_Calc!$I$10:$J$13,2,FALSE),0),"")))</f>
        <v/>
      </c>
      <c r="N243" s="449"/>
      <c r="O243" s="449"/>
      <c r="P243" s="449"/>
      <c r="Q243" s="4"/>
      <c r="R243" s="6"/>
      <c r="S243" s="6"/>
      <c r="T243" s="4"/>
      <c r="U243" s="4"/>
      <c r="V243" s="4"/>
      <c r="W243" s="9"/>
      <c r="X243" s="9"/>
      <c r="Y243" s="9"/>
      <c r="Z243" s="9"/>
      <c r="AA243" s="9"/>
      <c r="AB243" s="9"/>
      <c r="AC243" s="449" t="str">
        <f t="shared" si="33"/>
        <v/>
      </c>
      <c r="AD243" s="449"/>
      <c r="AE243" s="449"/>
      <c r="AF243" s="4"/>
      <c r="AG243" s="83"/>
      <c r="AH243" s="4"/>
      <c r="AI243" s="4"/>
      <c r="AJ243" s="449"/>
      <c r="AK243" s="449"/>
      <c r="AL243" s="449"/>
      <c r="AM243" s="449"/>
      <c r="AN243" s="10"/>
      <c r="AO243" s="9"/>
      <c r="AP243" s="9"/>
      <c r="AQ243" s="9">
        <f>+FL_1($T$244,$T$242,$G$243,1200,9.28,-1*$F$244)</f>
        <v>0.33331886373108921</v>
      </c>
      <c r="AR243" s="9"/>
      <c r="AS243" s="9"/>
      <c r="AT243" s="9"/>
      <c r="AU243" s="428"/>
      <c r="AV243" s="428"/>
      <c r="AW243" s="449" t="str">
        <f>IF(C243&gt;0,VLOOKUP(C243,Foundation_Calc!$A$2:$C$13,3,1),
IF(J243&gt;0,VLOOKUP(J243,Foundation_Calc!$A$2:$C$13,3,1),""))</f>
        <v>Multi Soil</v>
      </c>
      <c r="AX243" s="449" t="str">
        <f>IF(C243&gt;0,VLOOKUP(C243,Foundation_Calc!$E$2:$G$33,3,1),
IF(J243&gt;0,VLOOKUP(J243,Foundation_Calc!$E$2:$G$33,3,1),""))</f>
        <v>PT</v>
      </c>
      <c r="AY243" s="10" t="str">
        <f>IF(L243="","",
IF(AX243="PT",VLOOKUP(L243,Foundation_Calc!$K$79:$R$113,VLOOKUP(AW243,Foundation_Calc!$I$2:$J$8,2,FALSE),0),
IF(AX243="K",VLOOKUP(L243,Foundation_Calc!$K$117:$R$151,VLOOKUP(AW243,Foundation_Calc!$I$2:$J$8,2,FALSE),0),"")))</f>
        <v/>
      </c>
      <c r="AZ243" s="10">
        <f>IF(K243="","",
IF(AX243="PT",VLOOKUP(K243,Foundation_Calc!$K$79:$R$113,VLOOKUP(AW243,Foundation_Calc!$I$2:$J$8,2,FALSE),0),
IF(AX243="K",VLOOKUP(K243,Foundation_Calc!$K$117:$R$151,VLOOKUP(AW243,Foundation_Calc!$I$2:$J$8,2,FALSE),0),"")))</f>
        <v>2.8</v>
      </c>
      <c r="BA243" s="495" t="str">
        <f t="shared" si="34"/>
        <v/>
      </c>
      <c r="BB243" s="495" t="str">
        <f t="shared" si="35"/>
        <v>ü</v>
      </c>
      <c r="BC243" s="495" t="str">
        <f t="shared" si="36"/>
        <v/>
      </c>
      <c r="BD243" s="513" t="str">
        <f>IF(AND(L243="",H243=""),"",
IF(H243="",Pole_Calc!A$9,
IF(H243="MP",Pole_Calc!A$10,
IF(H243="AnMP",Pole_Calc!A$11,
IF(H243="A",Pole_Calc!A$12,
IF(H243="S/A",Pole_Calc!A$13,
IF(H243="A/S",Pole_Calc!A$14,"Poner a mano")))))))</f>
        <v/>
      </c>
      <c r="BE243" s="429" t="s">
        <v>118</v>
      </c>
      <c r="BF243" s="290"/>
      <c r="BG243" s="290"/>
      <c r="BH243" s="290"/>
      <c r="BI243" s="290"/>
    </row>
    <row r="244" spans="1:61" ht="16.149999999999999" customHeight="1">
      <c r="A244" s="514"/>
      <c r="B244" s="450" t="s">
        <v>310</v>
      </c>
      <c r="C244" s="3">
        <f>+$C$242+$G$243</f>
        <v>36060.549999999996</v>
      </c>
      <c r="D244" s="83"/>
      <c r="E244" s="4"/>
      <c r="F244" s="4">
        <f>IF(C244&gt;0,VLOOKUP(C244,'ALIGNMENT TRACK'!$A$1:$K$81,9,1))</f>
        <v>-1500</v>
      </c>
      <c r="G244" s="6"/>
      <c r="H244" s="449"/>
      <c r="I244" s="4"/>
      <c r="J244" s="3"/>
      <c r="K244" s="449"/>
      <c r="L244" s="449" t="s">
        <v>158</v>
      </c>
      <c r="M244" s="449" t="str">
        <f>IF(L244="","",
IF(AX244="PT",VLOOKUP(L244,Foundation_Calc!$V$79:$X$113,VLOOKUP(AX244,Foundation_Calc!$I$10:$J$13,2,FALSE),0),
IF(AX244="K",VLOOKUP(L244,Foundation_Calc!$V$117:$X$151,VLOOKUP(AX244,Foundation_Calc!$I$10:$J$13,2,FALSE),0),"")))</f>
        <v>C4R</v>
      </c>
      <c r="N244" s="449" t="s">
        <v>134</v>
      </c>
      <c r="O244" s="449"/>
      <c r="P244" s="449"/>
      <c r="Q244" s="4"/>
      <c r="R244" s="6"/>
      <c r="S244" s="6"/>
      <c r="T244" s="4">
        <v>30</v>
      </c>
      <c r="U244" s="4"/>
      <c r="V244" s="4"/>
      <c r="W244" s="9">
        <v>1.4</v>
      </c>
      <c r="X244" s="9"/>
      <c r="Y244" s="9"/>
      <c r="Z244" s="9"/>
      <c r="AA244" s="9"/>
      <c r="AB244" s="9"/>
      <c r="AC244" s="449" t="str">
        <f t="shared" si="33"/>
        <v>PHQ</v>
      </c>
      <c r="AD244" s="449"/>
      <c r="AE244" s="449"/>
      <c r="AF244" s="4"/>
      <c r="AG244" s="83"/>
      <c r="AH244" s="4"/>
      <c r="AI244" s="4"/>
      <c r="AJ244" s="449"/>
      <c r="AK244" s="449"/>
      <c r="AL244" s="449"/>
      <c r="AM244" s="449" t="s">
        <v>126</v>
      </c>
      <c r="AN244" s="10">
        <v>5.5</v>
      </c>
      <c r="AO244" s="9"/>
      <c r="AP244" s="9"/>
      <c r="AQ244" s="9"/>
      <c r="AR244" s="9"/>
      <c r="AS244" s="9"/>
      <c r="AT244" s="9">
        <f>+ab($T$244,$T$242,$T$246,$G$243,$G$245,-1*$F$244,1200)</f>
        <v>5.7375244864003294</v>
      </c>
      <c r="AU244" s="428"/>
      <c r="AV244" s="428"/>
      <c r="AW244" s="449" t="str">
        <f>IF(C244&gt;0,VLOOKUP(C244,Foundation_Calc!$A$2:$C$13,3,1),
IF(J244&gt;0,VLOOKUP(J244,Foundation_Calc!$A$2:$C$13,3,1),""))</f>
        <v>Multi Soil</v>
      </c>
      <c r="AX244" s="449" t="str">
        <f>IF(C244&gt;0,VLOOKUP(C244,Foundation_Calc!$E$2:$G$33,3,1),
IF(J244&gt;0,VLOOKUP(J244,Foundation_Calc!$E$2:$G$33,3,1),""))</f>
        <v>PT</v>
      </c>
      <c r="AY244" s="10">
        <f>IF(L244="","",
IF(AX244="PT",VLOOKUP(L244,Foundation_Calc!$K$79:$R$113,VLOOKUP(AW244,Foundation_Calc!$I$2:$J$8,2,FALSE),0),
IF(AX244="K",VLOOKUP(L244,Foundation_Calc!$K$117:$R$151,VLOOKUP(AW244,Foundation_Calc!$I$2:$J$8,2,FALSE),0),"")))</f>
        <v>3.5</v>
      </c>
      <c r="AZ244" s="10" t="str">
        <f>IF(K244="","",
IF(AX244="PT",VLOOKUP(K244,Foundation_Calc!$K$79:$R$113,VLOOKUP(AW244,Foundation_Calc!$I$2:$J$8,2,FALSE),0),
IF(AX244="K",VLOOKUP(K244,Foundation_Calc!$K$117:$R$151,VLOOKUP(AW244,Foundation_Calc!$I$2:$J$8,2,FALSE),0),"")))</f>
        <v/>
      </c>
      <c r="BA244" s="495" t="str">
        <f t="shared" si="34"/>
        <v>ü</v>
      </c>
      <c r="BB244" s="495" t="str">
        <f t="shared" si="35"/>
        <v/>
      </c>
      <c r="BC244" s="495" t="str">
        <f t="shared" si="36"/>
        <v/>
      </c>
      <c r="BD244" s="513" t="str">
        <f>IF(AND(L244="",H244=""),"",
IF(H244="",Pole_Calc!A$9,
IF(H244="MP",Pole_Calc!A$10,
IF(H244="AnMP",Pole_Calc!A$11,
IF(H244="A",Pole_Calc!A$12,
IF(H244="S/A",Pole_Calc!A$13,
IF(H244="A/S",Pole_Calc!A$14,"Poner a mano")))))))</f>
        <v>App.7-V11I-P9.5.1.1</v>
      </c>
      <c r="BE244" s="429" t="s">
        <v>118</v>
      </c>
      <c r="BF244" s="289"/>
      <c r="BG244" s="289"/>
      <c r="BH244" s="290"/>
      <c r="BI244" s="289"/>
    </row>
    <row r="245" spans="1:61" ht="16.149999999999999" customHeight="1">
      <c r="A245" s="514" t="s">
        <v>169</v>
      </c>
      <c r="B245" s="450"/>
      <c r="C245" s="3"/>
      <c r="D245" s="83"/>
      <c r="E245" s="4"/>
      <c r="F245" s="4"/>
      <c r="G245" s="6">
        <v>50</v>
      </c>
      <c r="H245" s="449"/>
      <c r="I245" s="4"/>
      <c r="J245" s="3"/>
      <c r="K245" s="449"/>
      <c r="L245" s="449"/>
      <c r="M245" s="449" t="str">
        <f>IF(L245="","",
IF(AX245="PT",VLOOKUP(L245,Foundation_Calc!$V$79:$X$113,VLOOKUP(AX245,Foundation_Calc!$I$10:$J$13,2,FALSE),0),
IF(AX245="K",VLOOKUP(L245,Foundation_Calc!$V$117:$X$151,VLOOKUP(AX245,Foundation_Calc!$I$10:$J$13,2,FALSE),0),"")))</f>
        <v/>
      </c>
      <c r="N245" s="449"/>
      <c r="O245" s="449"/>
      <c r="P245" s="449"/>
      <c r="Q245" s="4"/>
      <c r="R245" s="6"/>
      <c r="S245" s="6"/>
      <c r="T245" s="4"/>
      <c r="U245" s="4"/>
      <c r="V245" s="4"/>
      <c r="W245" s="9"/>
      <c r="X245" s="9"/>
      <c r="Y245" s="9"/>
      <c r="Z245" s="9"/>
      <c r="AA245" s="9"/>
      <c r="AB245" s="9"/>
      <c r="AC245" s="449" t="str">
        <f t="shared" si="33"/>
        <v/>
      </c>
      <c r="AD245" s="449"/>
      <c r="AE245" s="449"/>
      <c r="AF245" s="4"/>
      <c r="AG245" s="83"/>
      <c r="AH245" s="4"/>
      <c r="AI245" s="4"/>
      <c r="AJ245" s="449"/>
      <c r="AK245" s="449"/>
      <c r="AL245" s="449"/>
      <c r="AM245" s="449"/>
      <c r="AN245" s="10"/>
      <c r="AO245" s="9"/>
      <c r="AP245" s="9"/>
      <c r="AQ245" s="9">
        <f>+FL_1($T$246,$T$244,$G$245,1200,9.28,-1*$F$246)</f>
        <v>0.33331886373108921</v>
      </c>
      <c r="AR245" s="9"/>
      <c r="AS245" s="9"/>
      <c r="AT245" s="9"/>
      <c r="AU245" s="428"/>
      <c r="AV245" s="428"/>
      <c r="AW245" s="449" t="str">
        <f>IF(C245&gt;0,VLOOKUP(C245,Foundation_Calc!$A$2:$C$13,3,1),
IF(J245&gt;0,VLOOKUP(J245,Foundation_Calc!$A$2:$C$13,3,1),""))</f>
        <v/>
      </c>
      <c r="AX245" s="449" t="str">
        <f>IF(C245&gt;0,VLOOKUP(C245,Foundation_Calc!$E$2:$G$33,3,1),
IF(J245&gt;0,VLOOKUP(J245,Foundation_Calc!$E$2:$G$33,3,1),""))</f>
        <v/>
      </c>
      <c r="AY245" s="10" t="str">
        <f>IF(L245="","",
IF(AX245="PT",VLOOKUP(L245,Foundation_Calc!$K$79:$R$113,VLOOKUP(AW245,Foundation_Calc!$I$2:$J$8,2,FALSE),0),
IF(AX245="K",VLOOKUP(L245,Foundation_Calc!$K$117:$R$151,VLOOKUP(AW245,Foundation_Calc!$I$2:$J$8,2,FALSE),0),"")))</f>
        <v/>
      </c>
      <c r="AZ245" s="10" t="str">
        <f>IF(K245="","",
IF(AX245="PT",VLOOKUP(K245,Foundation_Calc!$K$79:$R$113,VLOOKUP(AW245,Foundation_Calc!$I$2:$J$8,2,FALSE),0),
IF(AX245="K",VLOOKUP(K245,Foundation_Calc!$K$117:$R$151,VLOOKUP(AW245,Foundation_Calc!$I$2:$J$8,2,FALSE),0),"")))</f>
        <v/>
      </c>
      <c r="BA245" s="495" t="str">
        <f t="shared" si="34"/>
        <v/>
      </c>
      <c r="BB245" s="495" t="str">
        <f t="shared" si="35"/>
        <v/>
      </c>
      <c r="BC245" s="495" t="str">
        <f t="shared" si="36"/>
        <v/>
      </c>
      <c r="BD245" s="513" t="str">
        <f>IF(AND(L245="",H245=""),"",
IF(H245="",Pole_Calc!A$9,
IF(H245="MP",Pole_Calc!A$10,
IF(H245="AnMP",Pole_Calc!A$11,
IF(H245="A",Pole_Calc!A$12,
IF(H245="S/A",Pole_Calc!A$13,
IF(H245="A/S",Pole_Calc!A$14,"Poner a mano")))))))</f>
        <v/>
      </c>
      <c r="BE245" s="429" t="s">
        <v>118</v>
      </c>
      <c r="BF245" s="290"/>
      <c r="BG245" s="290"/>
      <c r="BH245" s="290"/>
      <c r="BI245" s="290"/>
    </row>
    <row r="246" spans="1:61" ht="16.149999999999999" customHeight="1">
      <c r="A246" s="514"/>
      <c r="B246" s="450" t="s">
        <v>311</v>
      </c>
      <c r="C246" s="3">
        <f>+$C$244+$G$245</f>
        <v>36110.549999999996</v>
      </c>
      <c r="D246" s="83"/>
      <c r="E246" s="4"/>
      <c r="F246" s="4">
        <f>IF(C246&gt;0,VLOOKUP(C246,'ALIGNMENT TRACK'!$A$1:$K$81,9,1))</f>
        <v>-1500</v>
      </c>
      <c r="G246" s="6"/>
      <c r="H246" s="449"/>
      <c r="I246" s="4"/>
      <c r="J246" s="3"/>
      <c r="K246" s="449"/>
      <c r="L246" s="449" t="s">
        <v>158</v>
      </c>
      <c r="M246" s="449" t="str">
        <f>IF(L246="","",
IF(AX246="PT",VLOOKUP(L246,Foundation_Calc!$V$79:$X$113,VLOOKUP(AX246,Foundation_Calc!$I$10:$J$13,2,FALSE),0),
IF(AX246="K",VLOOKUP(L246,Foundation_Calc!$V$117:$X$151,VLOOKUP(AX246,Foundation_Calc!$I$10:$J$13,2,FALSE),0),"")))</f>
        <v>C4R</v>
      </c>
      <c r="N246" s="449" t="s">
        <v>134</v>
      </c>
      <c r="O246" s="449"/>
      <c r="P246" s="449"/>
      <c r="Q246" s="4"/>
      <c r="R246" s="6"/>
      <c r="S246" s="6"/>
      <c r="T246" s="4">
        <v>30</v>
      </c>
      <c r="U246" s="4"/>
      <c r="V246" s="4"/>
      <c r="W246" s="9">
        <v>1.4</v>
      </c>
      <c r="X246" s="9"/>
      <c r="Y246" s="9"/>
      <c r="Z246" s="9"/>
      <c r="AA246" s="9"/>
      <c r="AB246" s="9"/>
      <c r="AC246" s="449" t="str">
        <f t="shared" si="33"/>
        <v>PHQ</v>
      </c>
      <c r="AD246" s="449"/>
      <c r="AE246" s="449"/>
      <c r="AF246" s="4"/>
      <c r="AG246" s="83"/>
      <c r="AH246" s="4"/>
      <c r="AI246" s="4"/>
      <c r="AJ246" s="449"/>
      <c r="AK246" s="449"/>
      <c r="AL246" s="449"/>
      <c r="AM246" s="449" t="s">
        <v>126</v>
      </c>
      <c r="AN246" s="10">
        <v>5.5</v>
      </c>
      <c r="AO246" s="9"/>
      <c r="AP246" s="9"/>
      <c r="AQ246" s="9"/>
      <c r="AR246" s="9"/>
      <c r="AS246" s="9"/>
      <c r="AT246" s="9">
        <f>+ab($T$246,$T$244,$T$248,$G$245,$G$247,-1*$F$246,1200)</f>
        <v>5.7375244864003294</v>
      </c>
      <c r="AU246" s="428"/>
      <c r="AV246" s="428"/>
      <c r="AW246" s="449" t="str">
        <f>IF(C246&gt;0,VLOOKUP(C246,Foundation_Calc!$A$2:$C$13,3,1),
IF(J246&gt;0,VLOOKUP(J246,Foundation_Calc!$A$2:$C$13,3,1),""))</f>
        <v>Multi Soil</v>
      </c>
      <c r="AX246" s="449" t="str">
        <f>IF(C246&gt;0,VLOOKUP(C246,Foundation_Calc!$E$2:$G$33,3,1),
IF(J246&gt;0,VLOOKUP(J246,Foundation_Calc!$E$2:$G$33,3,1),""))</f>
        <v>PT</v>
      </c>
      <c r="AY246" s="10">
        <f>IF(L246="","",
IF(AX246="PT",VLOOKUP(L246,Foundation_Calc!$K$79:$R$113,VLOOKUP(AW246,Foundation_Calc!$I$2:$J$8,2,FALSE),0),
IF(AX246="K",VLOOKUP(L246,Foundation_Calc!$K$117:$R$151,VLOOKUP(AW246,Foundation_Calc!$I$2:$J$8,2,FALSE),0),"")))</f>
        <v>3.5</v>
      </c>
      <c r="AZ246" s="10" t="str">
        <f>IF(K246="","",
IF(AX246="PT",VLOOKUP(K246,Foundation_Calc!$K$79:$R$113,VLOOKUP(AW246,Foundation_Calc!$I$2:$J$8,2,FALSE),0),
IF(AX246="K",VLOOKUP(K246,Foundation_Calc!$K$117:$R$151,VLOOKUP(AW246,Foundation_Calc!$I$2:$J$8,2,FALSE),0),"")))</f>
        <v/>
      </c>
      <c r="BA246" s="495" t="str">
        <f t="shared" si="34"/>
        <v>ü</v>
      </c>
      <c r="BB246" s="495" t="str">
        <f t="shared" si="35"/>
        <v/>
      </c>
      <c r="BC246" s="495" t="str">
        <f t="shared" si="36"/>
        <v/>
      </c>
      <c r="BD246" s="513" t="str">
        <f>IF(AND(L246="",H246=""),"",
IF(H246="",Pole_Calc!A$9,
IF(H246="MP",Pole_Calc!A$10,
IF(H246="AnMP",Pole_Calc!A$11,
IF(H246="A",Pole_Calc!A$12,
IF(H246="S/A",Pole_Calc!A$13,
IF(H246="A/S",Pole_Calc!A$14,"Poner a mano")))))))</f>
        <v>App.7-V11I-P9.5.1.1</v>
      </c>
      <c r="BE246" s="429" t="s">
        <v>118</v>
      </c>
      <c r="BF246" s="289"/>
      <c r="BG246" s="289"/>
      <c r="BH246" s="290"/>
      <c r="BI246" s="289"/>
    </row>
    <row r="247" spans="1:61" ht="16.149999999999999" customHeight="1">
      <c r="A247" s="514"/>
      <c r="B247" s="450"/>
      <c r="C247" s="3"/>
      <c r="D247" s="83"/>
      <c r="E247" s="4"/>
      <c r="F247" s="4"/>
      <c r="G247" s="6">
        <v>50</v>
      </c>
      <c r="H247" s="449"/>
      <c r="I247" s="4"/>
      <c r="J247" s="3"/>
      <c r="K247" s="449"/>
      <c r="L247" s="449"/>
      <c r="M247" s="449" t="str">
        <f>IF(L247="","",
IF(AX247="PT",VLOOKUP(L247,Foundation_Calc!$V$79:$X$113,VLOOKUP(AX247,Foundation_Calc!$I$10:$J$13,2,FALSE),0),
IF(AX247="K",VLOOKUP(L247,Foundation_Calc!$V$117:$X$151,VLOOKUP(AX247,Foundation_Calc!$I$10:$J$13,2,FALSE),0),"")))</f>
        <v/>
      </c>
      <c r="N247" s="449"/>
      <c r="O247" s="449"/>
      <c r="P247" s="449"/>
      <c r="Q247" s="4"/>
      <c r="R247" s="6"/>
      <c r="S247" s="6"/>
      <c r="T247" s="4"/>
      <c r="U247" s="4"/>
      <c r="V247" s="4"/>
      <c r="W247" s="9"/>
      <c r="X247" s="9"/>
      <c r="Y247" s="9"/>
      <c r="Z247" s="9"/>
      <c r="AA247" s="9"/>
      <c r="AB247" s="9"/>
      <c r="AC247" s="449" t="str">
        <f t="shared" si="33"/>
        <v/>
      </c>
      <c r="AD247" s="449"/>
      <c r="AE247" s="449"/>
      <c r="AF247" s="4"/>
      <c r="AG247" s="83"/>
      <c r="AH247" s="4"/>
      <c r="AI247" s="4"/>
      <c r="AJ247" s="449"/>
      <c r="AK247" s="449"/>
      <c r="AL247" s="449"/>
      <c r="AM247" s="449"/>
      <c r="AN247" s="10"/>
      <c r="AO247" s="9"/>
      <c r="AP247" s="9"/>
      <c r="AQ247" s="9">
        <f>+FL_1($T$248,$T$246,$G$247,1200,9.28,-1*$F$248)</f>
        <v>0.33331886373108921</v>
      </c>
      <c r="AR247" s="9"/>
      <c r="AS247" s="9"/>
      <c r="AT247" s="9"/>
      <c r="AU247" s="428"/>
      <c r="AV247" s="428"/>
      <c r="AW247" s="449" t="str">
        <f>IF(C247&gt;0,VLOOKUP(C247,Foundation_Calc!$A$2:$C$13,3,1),
IF(J247&gt;0,VLOOKUP(J247,Foundation_Calc!$A$2:$C$13,3,1),""))</f>
        <v/>
      </c>
      <c r="AX247" s="449" t="str">
        <f>IF(C247&gt;0,VLOOKUP(C247,Foundation_Calc!$E$2:$G$33,3,1),
IF(J247&gt;0,VLOOKUP(J247,Foundation_Calc!$E$2:$G$33,3,1),""))</f>
        <v/>
      </c>
      <c r="AY247" s="10" t="str">
        <f>IF(L247="","",
IF(AX247="PT",VLOOKUP(L247,Foundation_Calc!$K$79:$R$113,VLOOKUP(AW247,Foundation_Calc!$I$2:$J$8,2,FALSE),0),
IF(AX247="K",VLOOKUP(L247,Foundation_Calc!$K$117:$R$151,VLOOKUP(AW247,Foundation_Calc!$I$2:$J$8,2,FALSE),0),"")))</f>
        <v/>
      </c>
      <c r="AZ247" s="10" t="str">
        <f>IF(K247="","",
IF(AX247="PT",VLOOKUP(K247,Foundation_Calc!$K$79:$R$113,VLOOKUP(AW247,Foundation_Calc!$I$2:$J$8,2,FALSE),0),
IF(AX247="K",VLOOKUP(K247,Foundation_Calc!$K$117:$R$151,VLOOKUP(AW247,Foundation_Calc!$I$2:$J$8,2,FALSE),0),"")))</f>
        <v/>
      </c>
      <c r="BA247" s="495" t="str">
        <f t="shared" si="34"/>
        <v/>
      </c>
      <c r="BB247" s="495" t="str">
        <f t="shared" si="35"/>
        <v/>
      </c>
      <c r="BC247" s="495" t="str">
        <f t="shared" si="36"/>
        <v/>
      </c>
      <c r="BD247" s="513" t="str">
        <f>IF(AND(L247="",H247=""),"",
IF(H247="",Pole_Calc!A$9,
IF(H247="MP",Pole_Calc!A$10,
IF(H247="AnMP",Pole_Calc!A$11,
IF(H247="A",Pole_Calc!A$12,
IF(H247="S/A",Pole_Calc!A$13,
IF(H247="A/S",Pole_Calc!A$14,"Poner a mano")))))))</f>
        <v/>
      </c>
      <c r="BE247" s="429" t="s">
        <v>118</v>
      </c>
      <c r="BF247" s="290"/>
      <c r="BG247" s="290"/>
      <c r="BH247" s="290"/>
      <c r="BI247" s="290"/>
    </row>
    <row r="248" spans="1:61" ht="16.149999999999999" customHeight="1">
      <c r="A248" s="514"/>
      <c r="B248" s="450" t="s">
        <v>312</v>
      </c>
      <c r="C248" s="3">
        <f>+$C$246+$G$247</f>
        <v>36160.549999999996</v>
      </c>
      <c r="D248" s="83"/>
      <c r="E248" s="4"/>
      <c r="F248" s="4">
        <f>IF(C248&gt;0,VLOOKUP(C248,'ALIGNMENT TRACK'!$A$1:$K$81,9,1))</f>
        <v>-1500</v>
      </c>
      <c r="G248" s="6"/>
      <c r="H248" s="449"/>
      <c r="I248" s="4"/>
      <c r="J248" s="3"/>
      <c r="K248" s="449"/>
      <c r="L248" s="449" t="s">
        <v>158</v>
      </c>
      <c r="M248" s="449" t="str">
        <f>IF(L248="","",
IF(AX248="PT",VLOOKUP(L248,Foundation_Calc!$V$79:$X$113,VLOOKUP(AX248,Foundation_Calc!$I$10:$J$13,2,FALSE),0),
IF(AX248="K",VLOOKUP(L248,Foundation_Calc!$V$117:$X$151,VLOOKUP(AX248,Foundation_Calc!$I$10:$J$13,2,FALSE),0),"")))</f>
        <v>C4R</v>
      </c>
      <c r="N248" s="449" t="s">
        <v>134</v>
      </c>
      <c r="O248" s="449"/>
      <c r="P248" s="449"/>
      <c r="Q248" s="4"/>
      <c r="R248" s="6"/>
      <c r="S248" s="6"/>
      <c r="T248" s="4">
        <v>30</v>
      </c>
      <c r="U248" s="4"/>
      <c r="V248" s="4"/>
      <c r="W248" s="9">
        <v>1.4</v>
      </c>
      <c r="X248" s="9"/>
      <c r="Y248" s="9"/>
      <c r="Z248" s="9"/>
      <c r="AA248" s="9"/>
      <c r="AB248" s="9"/>
      <c r="AC248" s="449" t="str">
        <f t="shared" si="33"/>
        <v>PHQ</v>
      </c>
      <c r="AD248" s="449"/>
      <c r="AE248" s="449"/>
      <c r="AF248" s="4"/>
      <c r="AG248" s="83"/>
      <c r="AH248" s="4"/>
      <c r="AI248" s="4"/>
      <c r="AJ248" s="449"/>
      <c r="AK248" s="449"/>
      <c r="AL248" s="449"/>
      <c r="AM248" s="449" t="s">
        <v>126</v>
      </c>
      <c r="AN248" s="10">
        <v>5.5</v>
      </c>
      <c r="AO248" s="9"/>
      <c r="AP248" s="9"/>
      <c r="AQ248" s="9"/>
      <c r="AR248" s="9"/>
      <c r="AS248" s="9"/>
      <c r="AT248" s="9">
        <f>+ab($T$248,$T$246,$T$250,$G$247,$G$249,-1*$F$248,1200)</f>
        <v>5.7375244864003294</v>
      </c>
      <c r="AU248" s="428"/>
      <c r="AV248" s="428"/>
      <c r="AW248" s="449" t="str">
        <f>IF(C248&gt;0,VLOOKUP(C248,Foundation_Calc!$A$2:$C$13,3,1),
IF(J248&gt;0,VLOOKUP(J248,Foundation_Calc!$A$2:$C$13,3,1),""))</f>
        <v>Multi Soil</v>
      </c>
      <c r="AX248" s="449" t="str">
        <f>IF(C248&gt;0,VLOOKUP(C248,Foundation_Calc!$E$2:$G$33,3,1),
IF(J248&gt;0,VLOOKUP(J248,Foundation_Calc!$E$2:$G$33,3,1),""))</f>
        <v>PT</v>
      </c>
      <c r="AY248" s="10">
        <f>IF(L248="","",
IF(AX248="PT",VLOOKUP(L248,Foundation_Calc!$K$79:$R$113,VLOOKUP(AW248,Foundation_Calc!$I$2:$J$8,2,FALSE),0),
IF(AX248="K",VLOOKUP(L248,Foundation_Calc!$K$117:$R$151,VLOOKUP(AW248,Foundation_Calc!$I$2:$J$8,2,FALSE),0),"")))</f>
        <v>3.5</v>
      </c>
      <c r="AZ248" s="10" t="str">
        <f>IF(K248="","",
IF(AX248="PT",VLOOKUP(K248,Foundation_Calc!$K$79:$R$113,VLOOKUP(AW248,Foundation_Calc!$I$2:$J$8,2,FALSE),0),
IF(AX248="K",VLOOKUP(K248,Foundation_Calc!$K$117:$R$151,VLOOKUP(AW248,Foundation_Calc!$I$2:$J$8,2,FALSE),0),"")))</f>
        <v/>
      </c>
      <c r="BA248" s="495" t="str">
        <f t="shared" si="34"/>
        <v>ü</v>
      </c>
      <c r="BB248" s="495" t="str">
        <f t="shared" si="35"/>
        <v/>
      </c>
      <c r="BC248" s="495" t="str">
        <f t="shared" si="36"/>
        <v/>
      </c>
      <c r="BD248" s="513" t="str">
        <f>IF(AND(L248="",H248=""),"",
IF(H248="",Pole_Calc!A$9,
IF(H248="MP",Pole_Calc!A$10,
IF(H248="AnMP",Pole_Calc!A$11,
IF(H248="A",Pole_Calc!A$12,
IF(H248="S/A",Pole_Calc!A$13,
IF(H248="A/S",Pole_Calc!A$14,"Poner a mano")))))))</f>
        <v>App.7-V11I-P9.5.1.1</v>
      </c>
      <c r="BE248" s="429" t="s">
        <v>118</v>
      </c>
      <c r="BF248" s="289"/>
      <c r="BG248" s="289"/>
      <c r="BH248" s="290"/>
      <c r="BI248" s="289"/>
    </row>
    <row r="249" spans="1:61" ht="16.149999999999999" customHeight="1">
      <c r="A249" s="514"/>
      <c r="B249" s="450"/>
      <c r="C249" s="3"/>
      <c r="D249" s="83"/>
      <c r="E249" s="4"/>
      <c r="F249" s="4"/>
      <c r="G249" s="6">
        <v>50</v>
      </c>
      <c r="H249" s="449"/>
      <c r="I249" s="4"/>
      <c r="J249" s="3"/>
      <c r="K249" s="449"/>
      <c r="L249" s="449"/>
      <c r="M249" s="449" t="str">
        <f>IF(L249="","",
IF(AX249="PT",VLOOKUP(L249,Foundation_Calc!$V$79:$X$113,VLOOKUP(AX249,Foundation_Calc!$I$10:$J$13,2,FALSE),0),
IF(AX249="K",VLOOKUP(L249,Foundation_Calc!$V$117:$X$151,VLOOKUP(AX249,Foundation_Calc!$I$10:$J$13,2,FALSE),0),"")))</f>
        <v/>
      </c>
      <c r="N249" s="449"/>
      <c r="O249" s="449"/>
      <c r="P249" s="449"/>
      <c r="Q249" s="4"/>
      <c r="R249" s="6"/>
      <c r="S249" s="6"/>
      <c r="T249" s="4"/>
      <c r="U249" s="4"/>
      <c r="V249" s="4"/>
      <c r="W249" s="9"/>
      <c r="X249" s="9"/>
      <c r="Y249" s="9"/>
      <c r="Z249" s="9"/>
      <c r="AA249" s="9"/>
      <c r="AB249" s="9"/>
      <c r="AC249" s="449" t="str">
        <f t="shared" si="33"/>
        <v/>
      </c>
      <c r="AD249" s="449"/>
      <c r="AE249" s="449"/>
      <c r="AF249" s="4"/>
      <c r="AG249" s="83"/>
      <c r="AH249" s="4"/>
      <c r="AI249" s="4"/>
      <c r="AJ249" s="449"/>
      <c r="AK249" s="449"/>
      <c r="AL249" s="449"/>
      <c r="AM249" s="449"/>
      <c r="AN249" s="10"/>
      <c r="AO249" s="9"/>
      <c r="AP249" s="9"/>
      <c r="AQ249" s="9">
        <f>+FL_1($T$250,$T$248,$G$249,1200,9.28,-1*$F$250)</f>
        <v>0.35172334314499187</v>
      </c>
      <c r="AR249" s="9"/>
      <c r="AS249" s="9"/>
      <c r="AT249" s="9"/>
      <c r="AU249" s="428"/>
      <c r="AV249" s="428"/>
      <c r="AW249" s="449" t="str">
        <f>IF(C249&gt;0,VLOOKUP(C249,Foundation_Calc!$A$2:$C$13,3,1),
IF(J249&gt;0,VLOOKUP(J249,Foundation_Calc!$A$2:$C$13,3,1),""))</f>
        <v/>
      </c>
      <c r="AX249" s="449" t="str">
        <f>IF(C249&gt;0,VLOOKUP(C249,Foundation_Calc!$E$2:$G$33,3,1),
IF(J249&gt;0,VLOOKUP(J249,Foundation_Calc!$E$2:$G$33,3,1),""))</f>
        <v/>
      </c>
      <c r="AY249" s="10" t="str">
        <f>IF(L249="","",
IF(AX249="PT",VLOOKUP(L249,Foundation_Calc!$K$79:$R$113,VLOOKUP(AW249,Foundation_Calc!$I$2:$J$8,2,FALSE),0),
IF(AX249="K",VLOOKUP(L249,Foundation_Calc!$K$117:$R$151,VLOOKUP(AW249,Foundation_Calc!$I$2:$J$8,2,FALSE),0),"")))</f>
        <v/>
      </c>
      <c r="AZ249" s="10" t="str">
        <f>IF(K249="","",
IF(AX249="PT",VLOOKUP(K249,Foundation_Calc!$K$79:$R$113,VLOOKUP(AW249,Foundation_Calc!$I$2:$J$8,2,FALSE),0),
IF(AX249="K",VLOOKUP(K249,Foundation_Calc!$K$117:$R$151,VLOOKUP(AW249,Foundation_Calc!$I$2:$J$8,2,FALSE),0),"")))</f>
        <v/>
      </c>
      <c r="BA249" s="495" t="str">
        <f t="shared" si="34"/>
        <v/>
      </c>
      <c r="BB249" s="495" t="str">
        <f t="shared" si="35"/>
        <v/>
      </c>
      <c r="BC249" s="495" t="str">
        <f t="shared" si="36"/>
        <v/>
      </c>
      <c r="BD249" s="513" t="str">
        <f>IF(AND(L249="",H249=""),"",
IF(H249="",Pole_Calc!A$9,
IF(H249="MP",Pole_Calc!A$10,
IF(H249="AnMP",Pole_Calc!A$11,
IF(H249="A",Pole_Calc!A$12,
IF(H249="S/A",Pole_Calc!A$13,
IF(H249="A/S",Pole_Calc!A$14,"Poner a mano")))))))</f>
        <v/>
      </c>
      <c r="BE249" s="429" t="s">
        <v>118</v>
      </c>
      <c r="BF249" s="290"/>
      <c r="BG249" s="290"/>
      <c r="BH249" s="290"/>
      <c r="BI249" s="290"/>
    </row>
    <row r="250" spans="1:61" ht="16.149999999999999" customHeight="1">
      <c r="A250" s="514"/>
      <c r="B250" s="450" t="s">
        <v>313</v>
      </c>
      <c r="C250" s="3">
        <f>+$C$248+$G$249</f>
        <v>36210.549999999996</v>
      </c>
      <c r="D250" s="83"/>
      <c r="E250" s="4"/>
      <c r="F250" s="4">
        <f>(505^2)/(C250-36365.55)</f>
        <v>-1645.3225806450841</v>
      </c>
      <c r="G250" s="6"/>
      <c r="H250" s="449"/>
      <c r="I250" s="4"/>
      <c r="J250" s="3"/>
      <c r="K250" s="449"/>
      <c r="L250" s="449" t="s">
        <v>158</v>
      </c>
      <c r="M250" s="449" t="str">
        <f>IF(L250="","",
IF(AX250="PT",VLOOKUP(L250,Foundation_Calc!$V$79:$X$113,VLOOKUP(AX250,Foundation_Calc!$I$10:$J$13,2,FALSE),0),
IF(AX250="K",VLOOKUP(L250,Foundation_Calc!$V$117:$X$151,VLOOKUP(AX250,Foundation_Calc!$I$10:$J$13,2,FALSE),0),"")))</f>
        <v>C4RT</v>
      </c>
      <c r="N250" s="449" t="s">
        <v>134</v>
      </c>
      <c r="O250" s="449"/>
      <c r="P250" s="449"/>
      <c r="Q250" s="4"/>
      <c r="R250" s="6"/>
      <c r="S250" s="6"/>
      <c r="T250" s="4">
        <v>30</v>
      </c>
      <c r="U250" s="4"/>
      <c r="V250" s="4"/>
      <c r="W250" s="9">
        <v>1.4</v>
      </c>
      <c r="X250" s="9"/>
      <c r="Y250" s="9"/>
      <c r="Z250" s="9"/>
      <c r="AA250" s="9"/>
      <c r="AB250" s="9"/>
      <c r="AC250" s="449" t="str">
        <f t="shared" si="33"/>
        <v>PHQ</v>
      </c>
      <c r="AD250" s="449"/>
      <c r="AE250" s="449"/>
      <c r="AF250" s="4"/>
      <c r="AG250" s="83"/>
      <c r="AH250" s="4"/>
      <c r="AI250" s="4"/>
      <c r="AJ250" s="449"/>
      <c r="AK250" s="449"/>
      <c r="AL250" s="449"/>
      <c r="AM250" s="449" t="s">
        <v>126</v>
      </c>
      <c r="AN250" s="10">
        <v>5.5</v>
      </c>
      <c r="AO250" s="9"/>
      <c r="AP250" s="9"/>
      <c r="AQ250" s="9"/>
      <c r="AR250" s="9"/>
      <c r="AS250" s="9"/>
      <c r="AT250" s="9">
        <f>+ab($T$250,$T$248,$T$252,$G$249,$G$251,-1*$F$250,1200)</f>
        <v>6.289125973114988</v>
      </c>
      <c r="AU250" s="428"/>
      <c r="AV250" s="428"/>
      <c r="AW250" s="449" t="str">
        <f>IF(C250&gt;0,VLOOKUP(C250,Foundation_Calc!$A$2:$C$13,3,1),
IF(J250&gt;0,VLOOKUP(J250,Foundation_Calc!$A$2:$C$13,3,1),""))</f>
        <v>Multi Soil</v>
      </c>
      <c r="AX250" s="449" t="str">
        <f>IF(C250&gt;0,VLOOKUP(C250,Foundation_Calc!$E$2:$G$33,3,1),
IF(J250&gt;0,VLOOKUP(J250,Foundation_Calc!$E$2:$G$33,3,1),""))</f>
        <v>K</v>
      </c>
      <c r="AY250" s="10">
        <f>IF(L250="","",
IF(AX250="PT",VLOOKUP(L250,Foundation_Calc!$K$79:$R$113,VLOOKUP(AW250,Foundation_Calc!$I$2:$J$8,2,FALSE),0),
IF(AX250="K",VLOOKUP(L250,Foundation_Calc!$K$117:$R$151,VLOOKUP(AW250,Foundation_Calc!$I$2:$J$8,2,FALSE),0),"")))</f>
        <v>4.2</v>
      </c>
      <c r="AZ250" s="10" t="str">
        <f>IF(K250="","",
IF(AX250="PT",VLOOKUP(K250,Foundation_Calc!$K$79:$R$113,VLOOKUP(AW250,Foundation_Calc!$I$2:$J$8,2,FALSE),0),
IF(AX250="K",VLOOKUP(K250,Foundation_Calc!$K$117:$R$151,VLOOKUP(AW250,Foundation_Calc!$I$2:$J$8,2,FALSE),0),"")))</f>
        <v/>
      </c>
      <c r="BA250" s="495" t="str">
        <f t="shared" si="34"/>
        <v>ü</v>
      </c>
      <c r="BB250" s="495" t="str">
        <f t="shared" si="35"/>
        <v/>
      </c>
      <c r="BC250" s="495" t="str">
        <f t="shared" si="36"/>
        <v/>
      </c>
      <c r="BD250" s="513" t="str">
        <f>IF(AND(L250="",H250=""),"",
IF(H250="",Pole_Calc!A$9,
IF(H250="MP",Pole_Calc!A$10,
IF(H250="AnMP",Pole_Calc!A$11,
IF(H250="A",Pole_Calc!A$12,
IF(H250="S/A",Pole_Calc!A$13,
IF(H250="A/S",Pole_Calc!A$14,"Poner a mano")))))))</f>
        <v>App.7-V11I-P9.5.1.1</v>
      </c>
      <c r="BE250" s="429" t="s">
        <v>118</v>
      </c>
      <c r="BF250" s="289"/>
      <c r="BG250" s="289"/>
      <c r="BH250" s="290"/>
      <c r="BI250" s="289"/>
    </row>
    <row r="251" spans="1:61" ht="16.149999999999999" customHeight="1">
      <c r="A251" s="514"/>
      <c r="B251" s="450"/>
      <c r="C251" s="3"/>
      <c r="D251" s="83"/>
      <c r="E251" s="4"/>
      <c r="F251" s="4"/>
      <c r="G251" s="6">
        <v>50</v>
      </c>
      <c r="H251" s="449"/>
      <c r="I251" s="4"/>
      <c r="J251" s="3"/>
      <c r="K251" s="449"/>
      <c r="L251" s="449"/>
      <c r="M251" s="449" t="str">
        <f>IF(L251="","",
IF(AX251="PT",VLOOKUP(L251,Foundation_Calc!$V$79:$X$113,VLOOKUP(AX251,Foundation_Calc!$I$10:$J$13,2,FALSE),0),
IF(AX251="K",VLOOKUP(L251,Foundation_Calc!$V$117:$X$151,VLOOKUP(AX251,Foundation_Calc!$I$10:$J$13,2,FALSE),0),"")))</f>
        <v/>
      </c>
      <c r="N251" s="449"/>
      <c r="O251" s="449"/>
      <c r="P251" s="449"/>
      <c r="Q251" s="4"/>
      <c r="R251" s="6"/>
      <c r="S251" s="6"/>
      <c r="T251" s="4"/>
      <c r="U251" s="4"/>
      <c r="V251" s="4"/>
      <c r="W251" s="9"/>
      <c r="X251" s="9"/>
      <c r="Y251" s="9"/>
      <c r="Z251" s="9"/>
      <c r="AA251" s="9"/>
      <c r="AB251" s="9"/>
      <c r="AC251" s="449" t="str">
        <f t="shared" si="33"/>
        <v/>
      </c>
      <c r="AD251" s="449"/>
      <c r="AE251" s="449"/>
      <c r="AF251" s="4"/>
      <c r="AG251" s="83"/>
      <c r="AH251" s="4"/>
      <c r="AI251" s="4"/>
      <c r="AJ251" s="449"/>
      <c r="AK251" s="449"/>
      <c r="AL251" s="449"/>
      <c r="AM251" s="449"/>
      <c r="AN251" s="10"/>
      <c r="AO251" s="9"/>
      <c r="AP251" s="9"/>
      <c r="AQ251" s="9">
        <f>+FL_1($T$252,$T$250,$G$251,1200,9.28,-1*$F$252)</f>
        <v>0.41299940207924613</v>
      </c>
      <c r="AR251" s="9"/>
      <c r="AS251" s="9"/>
      <c r="AT251" s="9"/>
      <c r="AU251" s="428"/>
      <c r="AV251" s="428"/>
      <c r="AW251" s="449" t="str">
        <f>IF(C251&gt;0,VLOOKUP(C251,Foundation_Calc!$A$2:$C$13,3,1),
IF(J251&gt;0,VLOOKUP(J251,Foundation_Calc!$A$2:$C$13,3,1),""))</f>
        <v/>
      </c>
      <c r="AX251" s="449" t="str">
        <f>IF(C251&gt;0,VLOOKUP(C251,Foundation_Calc!$E$2:$G$33,3,1),
IF(J251&gt;0,VLOOKUP(J251,Foundation_Calc!$E$2:$G$33,3,1),""))</f>
        <v/>
      </c>
      <c r="AY251" s="10" t="str">
        <f>IF(L251="","",
IF(AX251="PT",VLOOKUP(L251,Foundation_Calc!$K$79:$R$113,VLOOKUP(AW251,Foundation_Calc!$I$2:$J$8,2,FALSE),0),
IF(AX251="K",VLOOKUP(L251,Foundation_Calc!$K$117:$R$151,VLOOKUP(AW251,Foundation_Calc!$I$2:$J$8,2,FALSE),0),"")))</f>
        <v/>
      </c>
      <c r="AZ251" s="10" t="str">
        <f>IF(K251="","",
IF(AX251="PT",VLOOKUP(K251,Foundation_Calc!$K$79:$R$113,VLOOKUP(AW251,Foundation_Calc!$I$2:$J$8,2,FALSE),0),
IF(AX251="K",VLOOKUP(K251,Foundation_Calc!$K$117:$R$151,VLOOKUP(AW251,Foundation_Calc!$I$2:$J$8,2,FALSE),0),"")))</f>
        <v/>
      </c>
      <c r="BA251" s="495" t="str">
        <f t="shared" si="34"/>
        <v/>
      </c>
      <c r="BB251" s="495" t="str">
        <f t="shared" si="35"/>
        <v/>
      </c>
      <c r="BC251" s="495" t="str">
        <f t="shared" si="36"/>
        <v/>
      </c>
      <c r="BD251" s="513" t="str">
        <f>IF(AND(L251="",H251=""),"",
IF(H251="",Pole_Calc!A$9,
IF(H251="MP",Pole_Calc!A$10,
IF(H251="AnMP",Pole_Calc!A$11,
IF(H251="A",Pole_Calc!A$12,
IF(H251="S/A",Pole_Calc!A$13,
IF(H251="A/S",Pole_Calc!A$14,"Poner a mano")))))))</f>
        <v/>
      </c>
      <c r="BE251" s="429" t="s">
        <v>118</v>
      </c>
      <c r="BF251" s="290"/>
      <c r="BG251" s="290"/>
      <c r="BH251" s="290"/>
      <c r="BI251" s="290"/>
    </row>
    <row r="252" spans="1:61" ht="16.149999999999999" customHeight="1">
      <c r="A252" s="514"/>
      <c r="B252" s="450" t="s">
        <v>314</v>
      </c>
      <c r="C252" s="3">
        <f>+$C$250+$G$251</f>
        <v>36260.549999999996</v>
      </c>
      <c r="D252" s="83"/>
      <c r="E252" s="4"/>
      <c r="F252" s="4">
        <f>(505^2)/(C252-36365.55)</f>
        <v>-2428.8095238093556</v>
      </c>
      <c r="G252" s="6"/>
      <c r="H252" s="449"/>
      <c r="I252" s="4"/>
      <c r="J252" s="3"/>
      <c r="K252" s="449"/>
      <c r="L252" s="449" t="s">
        <v>158</v>
      </c>
      <c r="M252" s="449" t="str">
        <f>IF(L252="","",
IF(AX252="PT",VLOOKUP(L252,Foundation_Calc!$V$79:$X$113,VLOOKUP(AX252,Foundation_Calc!$I$10:$J$13,2,FALSE),0),
IF(AX252="K",VLOOKUP(L252,Foundation_Calc!$V$117:$X$151,VLOOKUP(AX252,Foundation_Calc!$I$10:$J$13,2,FALSE),0),"")))</f>
        <v>C4RT</v>
      </c>
      <c r="N252" s="449" t="s">
        <v>134</v>
      </c>
      <c r="O252" s="449"/>
      <c r="P252" s="449"/>
      <c r="Q252" s="4"/>
      <c r="R252" s="6"/>
      <c r="S252" s="6"/>
      <c r="T252" s="4">
        <v>30</v>
      </c>
      <c r="U252" s="4"/>
      <c r="V252" s="4"/>
      <c r="W252" s="9">
        <v>1.4</v>
      </c>
      <c r="X252" s="9"/>
      <c r="Y252" s="9"/>
      <c r="Z252" s="9"/>
      <c r="AA252" s="9"/>
      <c r="AB252" s="9"/>
      <c r="AC252" s="449" t="str">
        <f t="shared" si="33"/>
        <v>PH</v>
      </c>
      <c r="AD252" s="449"/>
      <c r="AE252" s="449"/>
      <c r="AF252" s="4"/>
      <c r="AG252" s="83"/>
      <c r="AH252" s="4"/>
      <c r="AI252" s="4"/>
      <c r="AJ252" s="449"/>
      <c r="AK252" s="449"/>
      <c r="AL252" s="449"/>
      <c r="AM252" s="449" t="s">
        <v>126</v>
      </c>
      <c r="AN252" s="10">
        <v>5.5</v>
      </c>
      <c r="AO252" s="9"/>
      <c r="AP252" s="9"/>
      <c r="AQ252" s="9"/>
      <c r="AR252" s="9"/>
      <c r="AS252" s="9"/>
      <c r="AT252" s="9">
        <f>+ab($T$252,$T$250,$T$254,$G$251,$G$253,-1*$F$252,1200)</f>
        <v>8.4345460082054426</v>
      </c>
      <c r="AU252" s="428"/>
      <c r="AV252" s="428"/>
      <c r="AW252" s="449" t="str">
        <f>IF(C252&gt;0,VLOOKUP(C252,Foundation_Calc!$A$2:$C$13,3,1),
IF(J252&gt;0,VLOOKUP(J252,Foundation_Calc!$A$2:$C$13,3,1),""))</f>
        <v>Multi Soil</v>
      </c>
      <c r="AX252" s="449" t="str">
        <f>IF(C252&gt;0,VLOOKUP(C252,Foundation_Calc!$E$2:$G$33,3,1),
IF(J252&gt;0,VLOOKUP(J252,Foundation_Calc!$E$2:$G$33,3,1),""))</f>
        <v>K</v>
      </c>
      <c r="AY252" s="10">
        <f>IF(L252="","",
IF(AX252="PT",VLOOKUP(L252,Foundation_Calc!$K$79:$R$113,VLOOKUP(AW252,Foundation_Calc!$I$2:$J$8,2,FALSE),0),
IF(AX252="K",VLOOKUP(L252,Foundation_Calc!$K$117:$R$151,VLOOKUP(AW252,Foundation_Calc!$I$2:$J$8,2,FALSE),0),"")))</f>
        <v>4.2</v>
      </c>
      <c r="AZ252" s="10" t="str">
        <f>IF(K252="","",
IF(AX252="PT",VLOOKUP(K252,Foundation_Calc!$K$79:$R$113,VLOOKUP(AW252,Foundation_Calc!$I$2:$J$8,2,FALSE),0),
IF(AX252="K",VLOOKUP(K252,Foundation_Calc!$K$117:$R$151,VLOOKUP(AW252,Foundation_Calc!$I$2:$J$8,2,FALSE),0),"")))</f>
        <v/>
      </c>
      <c r="BA252" s="495" t="str">
        <f t="shared" si="34"/>
        <v>ü</v>
      </c>
      <c r="BB252" s="495" t="str">
        <f t="shared" si="35"/>
        <v/>
      </c>
      <c r="BC252" s="495" t="str">
        <f t="shared" si="36"/>
        <v/>
      </c>
      <c r="BD252" s="513" t="str">
        <f>IF(AND(L252="",H252=""),"",
IF(H252="",Pole_Calc!A$9,
IF(H252="MP",Pole_Calc!A$10,
IF(H252="AnMP",Pole_Calc!A$11,
IF(H252="A",Pole_Calc!A$12,
IF(H252="S/A",Pole_Calc!A$13,
IF(H252="A/S",Pole_Calc!A$14,"Poner a mano")))))))</f>
        <v>App.7-V11I-P9.5.1.1</v>
      </c>
      <c r="BE252" s="429" t="s">
        <v>118</v>
      </c>
      <c r="BF252" s="289"/>
      <c r="BG252" s="289"/>
      <c r="BH252" s="290"/>
      <c r="BI252" s="289"/>
    </row>
    <row r="253" spans="1:61" ht="16.149999999999999" customHeight="1">
      <c r="A253" s="514"/>
      <c r="B253" s="450"/>
      <c r="C253" s="3"/>
      <c r="D253" s="83"/>
      <c r="E253" s="4"/>
      <c r="F253" s="4"/>
      <c r="G253" s="6">
        <v>50</v>
      </c>
      <c r="H253" s="449"/>
      <c r="I253" s="4"/>
      <c r="J253" s="3">
        <f>C254-7.5</f>
        <v>36303.049999999996</v>
      </c>
      <c r="K253" s="449" t="s">
        <v>315</v>
      </c>
      <c r="L253" s="449"/>
      <c r="M253" s="449" t="str">
        <f>IF(L253="","",
IF(AX253="PT",VLOOKUP(L253,Foundation_Calc!$V$79:$X$113,VLOOKUP(AX253,Foundation_Calc!$I$10:$J$13,2,FALSE),0),
IF(AX253="K",VLOOKUP(L253,Foundation_Calc!$V$117:$X$151,VLOOKUP(AX253,Foundation_Calc!$I$10:$J$13,2,FALSE),0),"")))</f>
        <v/>
      </c>
      <c r="N253" s="449"/>
      <c r="O253" s="449"/>
      <c r="P253" s="449"/>
      <c r="Q253" s="4"/>
      <c r="R253" s="6"/>
      <c r="S253" s="6"/>
      <c r="T253" s="4"/>
      <c r="U253" s="4"/>
      <c r="V253" s="4"/>
      <c r="W253" s="9"/>
      <c r="X253" s="9"/>
      <c r="Y253" s="9"/>
      <c r="Z253" s="9"/>
      <c r="AA253" s="9"/>
      <c r="AB253" s="9"/>
      <c r="AC253" s="449" t="str">
        <f t="shared" si="33"/>
        <v/>
      </c>
      <c r="AD253" s="449"/>
      <c r="AE253" s="449"/>
      <c r="AF253" s="4"/>
      <c r="AG253" s="83"/>
      <c r="AH253" s="4"/>
      <c r="AI253" s="4"/>
      <c r="AJ253" s="449"/>
      <c r="AK253" s="449"/>
      <c r="AL253" s="449"/>
      <c r="AM253" s="449"/>
      <c r="AN253" s="10"/>
      <c r="AO253" s="9"/>
      <c r="AP253" s="9"/>
      <c r="AQ253" s="9">
        <f>+FL_1($T$254,$T$252,$G$253,1200,9.28,-1*$F$254)</f>
        <v>0.42785720168508617</v>
      </c>
      <c r="AR253" s="9"/>
      <c r="AS253" s="9"/>
      <c r="AT253" s="9"/>
      <c r="AU253" s="428"/>
      <c r="AV253" s="428"/>
      <c r="AW253" s="449" t="str">
        <f>IF(C253&gt;0,VLOOKUP(C253,Foundation_Calc!$A$2:$C$13,3,1),
IF(J253&gt;0,VLOOKUP(J253,Foundation_Calc!$A$2:$C$13,3,1),""))</f>
        <v>Multi Soil</v>
      </c>
      <c r="AX253" s="449" t="str">
        <f>IF(C253&gt;0,VLOOKUP(C253,Foundation_Calc!$E$2:$G$33,3,1),
IF(J253&gt;0,VLOOKUP(J253,Foundation_Calc!$E$2:$G$33,3,1),""))</f>
        <v>K</v>
      </c>
      <c r="AY253" s="10" t="str">
        <f>IF(L253="","",
IF(AX253="PT",VLOOKUP(L253,Foundation_Calc!$K$79:$R$113,VLOOKUP(AW253,Foundation_Calc!$I$2:$J$8,2,FALSE),0),
IF(AX253="K",VLOOKUP(L253,Foundation_Calc!$K$117:$R$151,VLOOKUP(AW253,Foundation_Calc!$I$2:$J$8,2,FALSE),0),"")))</f>
        <v/>
      </c>
      <c r="AZ253" s="10">
        <f>IF(K253="","",
IF(AX253="PT",VLOOKUP(K253,Foundation_Calc!$K$79:$R$113,VLOOKUP(AW253,Foundation_Calc!$I$2:$J$8,2,FALSE),0),
IF(AX253="K",VLOOKUP(K253,Foundation_Calc!$K$117:$R$151,VLOOKUP(AW253,Foundation_Calc!$I$2:$J$8,2,FALSE),0),"")))</f>
        <v>3.9</v>
      </c>
      <c r="BA253" s="495" t="str">
        <f t="shared" si="34"/>
        <v/>
      </c>
      <c r="BB253" s="495" t="str">
        <f t="shared" si="35"/>
        <v>ü</v>
      </c>
      <c r="BC253" s="495" t="str">
        <f t="shared" si="36"/>
        <v/>
      </c>
      <c r="BD253" s="513" t="str">
        <f>IF(AND(L253="",H253=""),"",
IF(H253="",Pole_Calc!A$9,
IF(H253="MP",Pole_Calc!A$10,
IF(H253="AnMP",Pole_Calc!A$11,
IF(H253="A",Pole_Calc!A$12,
IF(H253="S/A",Pole_Calc!A$13,
IF(H253="A/S",Pole_Calc!A$14,"Poner a mano")))))))</f>
        <v/>
      </c>
      <c r="BE253" s="429" t="s">
        <v>118</v>
      </c>
      <c r="BF253" s="290"/>
      <c r="BG253" s="290"/>
      <c r="BH253" s="290"/>
      <c r="BI253" s="290"/>
    </row>
    <row r="254" spans="1:61" ht="16.149999999999999" customHeight="1">
      <c r="A254" s="514"/>
      <c r="B254" s="450" t="s">
        <v>316</v>
      </c>
      <c r="C254" s="3">
        <f>+$C$252+$G$253</f>
        <v>36310.549999999996</v>
      </c>
      <c r="D254" s="83"/>
      <c r="E254" s="4"/>
      <c r="F254" s="4">
        <f>(505^2)/(C254-36365.55)</f>
        <v>-4636.8181818175681</v>
      </c>
      <c r="G254" s="6"/>
      <c r="H254" s="449" t="s">
        <v>121</v>
      </c>
      <c r="I254" s="4" t="s">
        <v>122</v>
      </c>
      <c r="J254" s="3"/>
      <c r="K254" s="449"/>
      <c r="L254" s="449" t="s">
        <v>151</v>
      </c>
      <c r="M254" s="449" t="str">
        <f>IF(L254="","",
IF(AX254="PT",VLOOKUP(L254,Foundation_Calc!$V$79:$X$113,VLOOKUP(AX254,Foundation_Calc!$I$10:$J$13,2,FALSE),0),
IF(AX254="K",VLOOKUP(L254,Foundation_Calc!$V$117:$X$151,VLOOKUP(AX254,Foundation_Calc!$I$10:$J$13,2,FALSE),0),"")))</f>
        <v>C4RT</v>
      </c>
      <c r="N254" s="449" t="s">
        <v>134</v>
      </c>
      <c r="O254" s="449"/>
      <c r="P254" s="449"/>
      <c r="Q254" s="4"/>
      <c r="R254" s="6"/>
      <c r="S254" s="6"/>
      <c r="T254" s="4">
        <v>20</v>
      </c>
      <c r="U254" s="4"/>
      <c r="V254" s="4"/>
      <c r="W254" s="9">
        <v>1.4</v>
      </c>
      <c r="X254" s="9"/>
      <c r="Y254" s="9"/>
      <c r="Z254" s="9"/>
      <c r="AA254" s="9"/>
      <c r="AB254" s="9"/>
      <c r="AC254" s="449" t="str">
        <f t="shared" si="33"/>
        <v>PH</v>
      </c>
      <c r="AD254" s="449"/>
      <c r="AE254" s="449"/>
      <c r="AF254" s="4"/>
      <c r="AG254" s="83"/>
      <c r="AH254" s="4"/>
      <c r="AI254" s="4"/>
      <c r="AJ254" s="449"/>
      <c r="AK254" s="449"/>
      <c r="AL254" s="449"/>
      <c r="AM254" s="449" t="s">
        <v>126</v>
      </c>
      <c r="AN254" s="10">
        <v>5.5</v>
      </c>
      <c r="AO254" s="9"/>
      <c r="AP254" s="9"/>
      <c r="AQ254" s="9"/>
      <c r="AR254" s="9"/>
      <c r="AS254" s="9"/>
      <c r="AT254" s="9">
        <f>+ab($T$254,$T$252,$T$256,$G$253,$G$255,-1*$F$254,1200)</f>
        <v>12.052357173135578</v>
      </c>
      <c r="AU254" s="428"/>
      <c r="AV254" s="428"/>
      <c r="AW254" s="449" t="str">
        <f>IF(C254&gt;0,VLOOKUP(C254,Foundation_Calc!$A$2:$C$13,3,1),
IF(J254&gt;0,VLOOKUP(J254,Foundation_Calc!$A$2:$C$13,3,1),""))</f>
        <v>Multi Soil</v>
      </c>
      <c r="AX254" s="449" t="str">
        <f>IF(C254&gt;0,VLOOKUP(C254,Foundation_Calc!$E$2:$G$33,3,1),
IF(J254&gt;0,VLOOKUP(J254,Foundation_Calc!$E$2:$G$33,3,1),""))</f>
        <v>K</v>
      </c>
      <c r="AY254" s="10">
        <f>IF(L254="","",
IF(AX254="PT",VLOOKUP(L254,Foundation_Calc!$K$79:$R$113,VLOOKUP(AW254,Foundation_Calc!$I$2:$J$8,2,FALSE),0),
IF(AX254="K",VLOOKUP(L254,Foundation_Calc!$K$117:$R$151,VLOOKUP(AW254,Foundation_Calc!$I$2:$J$8,2,FALSE),0),"")))</f>
        <v>4.2</v>
      </c>
      <c r="AZ254" s="10" t="str">
        <f>IF(K254="","",
IF(AX254="PT",VLOOKUP(K254,Foundation_Calc!$K$79:$R$113,VLOOKUP(AW254,Foundation_Calc!$I$2:$J$8,2,FALSE),0),
IF(AX254="K",VLOOKUP(K254,Foundation_Calc!$K$117:$R$151,VLOOKUP(AW254,Foundation_Calc!$I$2:$J$8,2,FALSE),0),"")))</f>
        <v/>
      </c>
      <c r="BA254" s="495" t="str">
        <f t="shared" si="34"/>
        <v>ü</v>
      </c>
      <c r="BB254" s="495" t="str">
        <f t="shared" si="35"/>
        <v/>
      </c>
      <c r="BC254" s="495" t="str">
        <f t="shared" si="36"/>
        <v/>
      </c>
      <c r="BD254" s="513" t="str">
        <f>IF(AND(L254="",H254=""),"",
IF(H254="",Pole_Calc!A$9,
IF(H254="MP",Pole_Calc!A$10,
IF(H254="AnMP",Pole_Calc!A$11,
IF(H254="A",Pole_Calc!A$12,
IF(H254="S/A",Pole_Calc!A$13,
IF(H254="A/S",Pole_Calc!A$14,"Poner a mano")))))))</f>
        <v>App.7-V11I-P9.5.1.6</v>
      </c>
      <c r="BE254" s="429" t="s">
        <v>118</v>
      </c>
      <c r="BF254" s="289"/>
      <c r="BG254" s="289"/>
      <c r="BH254" s="290"/>
      <c r="BI254" s="289"/>
    </row>
    <row r="255" spans="1:61" ht="16.149999999999999" customHeight="1">
      <c r="A255" s="514"/>
      <c r="B255" s="450"/>
      <c r="C255" s="3"/>
      <c r="D255" s="83"/>
      <c r="E255" s="4"/>
      <c r="F255" s="4"/>
      <c r="G255" s="6">
        <v>55</v>
      </c>
      <c r="H255" s="449"/>
      <c r="I255" s="4"/>
      <c r="J255" s="3"/>
      <c r="K255" s="449"/>
      <c r="L255" s="449"/>
      <c r="M255" s="449" t="str">
        <f>IF(L255="","",
IF(AX255="PT",VLOOKUP(L255,Foundation_Calc!$V$79:$X$113,VLOOKUP(AX255,Foundation_Calc!$I$10:$J$13,2,FALSE),0),
IF(AX255="K",VLOOKUP(L255,Foundation_Calc!$V$117:$X$151,VLOOKUP(AX255,Foundation_Calc!$I$10:$J$13,2,FALSE),0),"")))</f>
        <v/>
      </c>
      <c r="N255" s="449"/>
      <c r="O255" s="449"/>
      <c r="P255" s="449"/>
      <c r="Q255" s="4"/>
      <c r="R255" s="6"/>
      <c r="S255" s="6"/>
      <c r="T255" s="4"/>
      <c r="U255" s="4"/>
      <c r="V255" s="4"/>
      <c r="W255" s="9"/>
      <c r="X255" s="9"/>
      <c r="Y255" s="9"/>
      <c r="Z255" s="9"/>
      <c r="AA255" s="9"/>
      <c r="AB255" s="9"/>
      <c r="AC255" s="449" t="str">
        <f t="shared" si="33"/>
        <v/>
      </c>
      <c r="AD255" s="449"/>
      <c r="AE255" s="449"/>
      <c r="AF255" s="4"/>
      <c r="AG255" s="83"/>
      <c r="AH255" s="4"/>
      <c r="AI255" s="4"/>
      <c r="AJ255" s="449"/>
      <c r="AK255" s="449"/>
      <c r="AL255" s="449"/>
      <c r="AM255" s="449"/>
      <c r="AN255" s="10"/>
      <c r="AO255" s="9"/>
      <c r="AP255" s="9"/>
      <c r="AQ255" s="9">
        <f>+FL_2($U$256,$T$254,$G$255,1200,9.28,-1*$F$256)</f>
        <v>-0.43207183866666665</v>
      </c>
      <c r="AR255" s="9"/>
      <c r="AS255" s="9"/>
      <c r="AT255" s="9"/>
      <c r="AU255" s="428"/>
      <c r="AV255" s="428"/>
      <c r="AW255" s="449" t="str">
        <f>IF(C255&gt;0,VLOOKUP(C255,Foundation_Calc!$A$2:$C$13,3,1),
IF(J255&gt;0,VLOOKUP(J255,Foundation_Calc!$A$2:$C$13,3,1),""))</f>
        <v/>
      </c>
      <c r="AX255" s="449" t="str">
        <f>IF(C255&gt;0,VLOOKUP(C255,Foundation_Calc!$E$2:$G$33,3,1),
IF(J255&gt;0,VLOOKUP(J255,Foundation_Calc!$E$2:$G$33,3,1),""))</f>
        <v/>
      </c>
      <c r="AY255" s="10" t="str">
        <f>IF(L255="","",
IF(AX255="PT",VLOOKUP(L255,Foundation_Calc!$K$79:$R$113,VLOOKUP(AW255,Foundation_Calc!$I$2:$J$8,2,FALSE),0),
IF(AX255="K",VLOOKUP(L255,Foundation_Calc!$K$117:$R$151,VLOOKUP(AW255,Foundation_Calc!$I$2:$J$8,2,FALSE),0),"")))</f>
        <v/>
      </c>
      <c r="AZ255" s="10" t="str">
        <f>IF(K255="","",
IF(AX255="PT",VLOOKUP(K255,Foundation_Calc!$K$79:$R$113,VLOOKUP(AW255,Foundation_Calc!$I$2:$J$8,2,FALSE),0),
IF(AX255="K",VLOOKUP(K255,Foundation_Calc!$K$117:$R$151,VLOOKUP(AW255,Foundation_Calc!$I$2:$J$8,2,FALSE),0),"")))</f>
        <v/>
      </c>
      <c r="BA255" s="495" t="str">
        <f t="shared" si="34"/>
        <v/>
      </c>
      <c r="BB255" s="495" t="str">
        <f t="shared" si="35"/>
        <v/>
      </c>
      <c r="BC255" s="495" t="str">
        <f t="shared" si="36"/>
        <v/>
      </c>
      <c r="BD255" s="513" t="str">
        <f>IF(AND(L255="",H255=""),"",
IF(H255="",Pole_Calc!A$9,
IF(H255="MP",Pole_Calc!A$10,
IF(H255="AnMP",Pole_Calc!A$11,
IF(H255="A",Pole_Calc!A$12,
IF(H255="S/A",Pole_Calc!A$13,
IF(H255="A/S",Pole_Calc!A$14,"Poner a mano")))))))</f>
        <v/>
      </c>
      <c r="BE255" s="429" t="s">
        <v>118</v>
      </c>
      <c r="BF255" s="290"/>
      <c r="BG255" s="290"/>
      <c r="BH255" s="290"/>
      <c r="BI255" s="290"/>
    </row>
    <row r="256" spans="1:61" ht="16.149999999999999" customHeight="1">
      <c r="A256" s="514"/>
      <c r="B256" s="450" t="s">
        <v>317</v>
      </c>
      <c r="C256" s="3">
        <f>+$C$254+$G$255</f>
        <v>36365.549999999996</v>
      </c>
      <c r="D256" s="83"/>
      <c r="E256" s="4"/>
      <c r="F256" s="4">
        <v>0</v>
      </c>
      <c r="G256" s="6"/>
      <c r="H256" s="449" t="s">
        <v>131</v>
      </c>
      <c r="I256" s="4"/>
      <c r="J256" s="3"/>
      <c r="K256" s="449"/>
      <c r="L256" s="449" t="s">
        <v>158</v>
      </c>
      <c r="M256" s="449" t="str">
        <f>IF(L256="","",
IF(AX256="PT",VLOOKUP(L256,Foundation_Calc!$V$79:$X$113,VLOOKUP(AX256,Foundation_Calc!$I$10:$J$13,2,FALSE),0),
IF(AX256="K",VLOOKUP(L256,Foundation_Calc!$V$117:$X$151,VLOOKUP(AX256,Foundation_Calc!$I$10:$J$13,2,FALSE),0),"")))</f>
        <v>C4RT</v>
      </c>
      <c r="N256" s="449" t="s">
        <v>133</v>
      </c>
      <c r="O256" s="449" t="s">
        <v>124</v>
      </c>
      <c r="P256" s="449"/>
      <c r="Q256" s="4"/>
      <c r="R256" s="6"/>
      <c r="S256" s="6"/>
      <c r="T256" s="4">
        <v>-15</v>
      </c>
      <c r="U256" s="4">
        <v>-35</v>
      </c>
      <c r="V256" s="4"/>
      <c r="W256" s="9">
        <v>1.4</v>
      </c>
      <c r="X256" s="9">
        <v>2.2999999999999998</v>
      </c>
      <c r="Y256" s="9"/>
      <c r="Z256" s="9">
        <v>0.45</v>
      </c>
      <c r="AA256" s="9"/>
      <c r="AB256" s="9"/>
      <c r="AC256" s="449" t="str">
        <f t="shared" si="33"/>
        <v>PH</v>
      </c>
      <c r="AD256" s="449"/>
      <c r="AE256" s="449"/>
      <c r="AF256" s="4"/>
      <c r="AG256" s="83"/>
      <c r="AH256" s="4"/>
      <c r="AI256" s="4"/>
      <c r="AJ256" s="449"/>
      <c r="AK256" s="449"/>
      <c r="AL256" s="449"/>
      <c r="AM256" s="449" t="s">
        <v>126</v>
      </c>
      <c r="AN256" s="10">
        <v>5.5</v>
      </c>
      <c r="AO256" s="9"/>
      <c r="AP256" s="9"/>
      <c r="AQ256" s="9"/>
      <c r="AR256" s="9"/>
      <c r="AS256" s="9"/>
      <c r="AT256" s="9">
        <f>+ab($U$256,$T$254,$U$258,$G$255,$G$257,-1*$F$256,1200)</f>
        <v>-9.5064520386521991</v>
      </c>
      <c r="AU256" s="428"/>
      <c r="AV256" s="428"/>
      <c r="AW256" s="449" t="str">
        <f>IF(C256&gt;0,VLOOKUP(C256,Foundation_Calc!$A$2:$C$13,3,1),
IF(J256&gt;0,VLOOKUP(J256,Foundation_Calc!$A$2:$C$13,3,1),""))</f>
        <v>Multi Soil</v>
      </c>
      <c r="AX256" s="449" t="str">
        <f>IF(C256&gt;0,VLOOKUP(C256,Foundation_Calc!$E$2:$G$33,3,1),
IF(J256&gt;0,VLOOKUP(J256,Foundation_Calc!$E$2:$G$33,3,1),""))</f>
        <v>K</v>
      </c>
      <c r="AY256" s="10">
        <f>IF(L256="","",
IF(AX256="PT",VLOOKUP(L256,Foundation_Calc!$K$79:$R$113,VLOOKUP(AW256,Foundation_Calc!$I$2:$J$8,2,FALSE),0),
IF(AX256="K",VLOOKUP(L256,Foundation_Calc!$K$117:$R$151,VLOOKUP(AW256,Foundation_Calc!$I$2:$J$8,2,FALSE),0),"")))</f>
        <v>4.2</v>
      </c>
      <c r="AZ256" s="10" t="str">
        <f>IF(K256="","",
IF(AX256="PT",VLOOKUP(K256,Foundation_Calc!$K$79:$R$113,VLOOKUP(AW256,Foundation_Calc!$I$2:$J$8,2,FALSE),0),
IF(AX256="K",VLOOKUP(K256,Foundation_Calc!$K$117:$R$151,VLOOKUP(AW256,Foundation_Calc!$I$2:$J$8,2,FALSE),0),"")))</f>
        <v/>
      </c>
      <c r="BA256" s="495" t="str">
        <f t="shared" si="34"/>
        <v>ü</v>
      </c>
      <c r="BB256" s="495" t="str">
        <f t="shared" si="35"/>
        <v/>
      </c>
      <c r="BC256" s="495" t="str">
        <f t="shared" si="36"/>
        <v/>
      </c>
      <c r="BD256" s="513" t="str">
        <f>IF(AND(L256="",H256=""),"",
IF(H256="",Pole_Calc!A$9,
IF(H256="MP",Pole_Calc!A$10,
IF(H256="AnMP",Pole_Calc!A$11,
IF(H256="A",Pole_Calc!A$12,
IF(H256="S/A",Pole_Calc!A$13,
IF(H256="A/S",Pole_Calc!A$14,"Poner a mano")))))))</f>
        <v>App.7-V11I-P9.5.1.5</v>
      </c>
      <c r="BE256" s="429" t="s">
        <v>118</v>
      </c>
      <c r="BF256" s="289"/>
      <c r="BG256" s="289"/>
      <c r="BH256" s="290"/>
      <c r="BI256" s="289"/>
    </row>
    <row r="257" spans="1:61" ht="16.149999999999999" customHeight="1">
      <c r="A257" s="514"/>
      <c r="B257" s="450"/>
      <c r="C257" s="3"/>
      <c r="D257" s="83"/>
      <c r="E257" s="4"/>
      <c r="F257" s="4"/>
      <c r="G257" s="6">
        <v>50</v>
      </c>
      <c r="H257" s="449"/>
      <c r="I257" s="4"/>
      <c r="J257" s="3"/>
      <c r="K257" s="449"/>
      <c r="L257" s="449"/>
      <c r="M257" s="449" t="str">
        <f>IF(L257="","",
IF(AX257="PT",VLOOKUP(L257,Foundation_Calc!$V$79:$X$113,VLOOKUP(AX257,Foundation_Calc!$I$10:$J$13,2,FALSE),0),
IF(AX257="K",VLOOKUP(L257,Foundation_Calc!$V$117:$X$151,VLOOKUP(AX257,Foundation_Calc!$I$10:$J$13,2,FALSE),0),"")))</f>
        <v/>
      </c>
      <c r="N257" s="449"/>
      <c r="O257" s="449"/>
      <c r="P257" s="449"/>
      <c r="Q257" s="4"/>
      <c r="R257" s="6"/>
      <c r="S257" s="6"/>
      <c r="T257" s="4"/>
      <c r="U257" s="4"/>
      <c r="V257" s="4"/>
      <c r="W257" s="9"/>
      <c r="X257" s="9"/>
      <c r="Y257" s="9"/>
      <c r="Z257" s="9"/>
      <c r="AA257" s="9"/>
      <c r="AB257" s="9"/>
      <c r="AC257" s="449" t="str">
        <f t="shared" si="33"/>
        <v/>
      </c>
      <c r="AD257" s="449"/>
      <c r="AE257" s="449"/>
      <c r="AF257" s="4"/>
      <c r="AG257" s="83"/>
      <c r="AH257" s="4"/>
      <c r="AI257" s="4"/>
      <c r="AJ257" s="449"/>
      <c r="AK257" s="449"/>
      <c r="AL257" s="449"/>
      <c r="AM257" s="449"/>
      <c r="AN257" s="10"/>
      <c r="AO257" s="9"/>
      <c r="AP257" s="9"/>
      <c r="AQ257" s="9">
        <f>+FL_1($T$258,$U$256,$G$257,1200,9.28,-1*$F$258)</f>
        <v>0.36839079999999996</v>
      </c>
      <c r="AR257" s="9"/>
      <c r="AS257" s="9"/>
      <c r="AT257" s="9"/>
      <c r="AU257" s="428"/>
      <c r="AV257" s="428"/>
      <c r="AW257" s="449" t="str">
        <f>IF(C257&gt;0,VLOOKUP(C257,Foundation_Calc!$A$2:$C$13,3,1),
IF(J257&gt;0,VLOOKUP(J257,Foundation_Calc!$A$2:$C$13,3,1),""))</f>
        <v/>
      </c>
      <c r="AX257" s="449" t="str">
        <f>IF(C257&gt;0,VLOOKUP(C257,Foundation_Calc!$E$2:$G$33,3,1),
IF(J257&gt;0,VLOOKUP(J257,Foundation_Calc!$E$2:$G$33,3,1),""))</f>
        <v/>
      </c>
      <c r="AY257" s="10" t="str">
        <f>IF(L257="","",
IF(AX257="PT",VLOOKUP(L257,Foundation_Calc!$K$79:$R$113,VLOOKUP(AW257,Foundation_Calc!$I$2:$J$8,2,FALSE),0),
IF(AX257="K",VLOOKUP(L257,Foundation_Calc!$K$117:$R$151,VLOOKUP(AW257,Foundation_Calc!$I$2:$J$8,2,FALSE),0),"")))</f>
        <v/>
      </c>
      <c r="AZ257" s="10" t="str">
        <f>IF(K257="","",
IF(AX257="PT",VLOOKUP(K257,Foundation_Calc!$K$79:$R$113,VLOOKUP(AW257,Foundation_Calc!$I$2:$J$8,2,FALSE),0),
IF(AX257="K",VLOOKUP(K257,Foundation_Calc!$K$117:$R$151,VLOOKUP(AW257,Foundation_Calc!$I$2:$J$8,2,FALSE),0),"")))</f>
        <v/>
      </c>
      <c r="BA257" s="495" t="str">
        <f t="shared" si="34"/>
        <v/>
      </c>
      <c r="BB257" s="495" t="str">
        <f t="shared" si="35"/>
        <v/>
      </c>
      <c r="BC257" s="495" t="str">
        <f t="shared" si="36"/>
        <v/>
      </c>
      <c r="BD257" s="513" t="str">
        <f>IF(AND(L257="",H257=""),"",
IF(H257="",Pole_Calc!A$9,
IF(H257="MP",Pole_Calc!A$10,
IF(H257="AnMP",Pole_Calc!A$11,
IF(H257="A",Pole_Calc!A$12,
IF(H257="S/A",Pole_Calc!A$13,
IF(H257="A/S",Pole_Calc!A$14,"Poner a mano")))))))</f>
        <v/>
      </c>
      <c r="BE257" s="429" t="s">
        <v>118</v>
      </c>
      <c r="BF257" s="290"/>
      <c r="BG257" s="290"/>
      <c r="BH257" s="290"/>
      <c r="BI257" s="290"/>
    </row>
    <row r="258" spans="1:61" ht="16.149999999999999" customHeight="1">
      <c r="A258" s="514"/>
      <c r="B258" s="450" t="s">
        <v>318</v>
      </c>
      <c r="C258" s="3">
        <f>+$C$256+$G$257</f>
        <v>36415.549999999996</v>
      </c>
      <c r="D258" s="83"/>
      <c r="E258" s="4"/>
      <c r="F258" s="4">
        <f>IF(C258&gt;0,VLOOKUP(C258,'ALIGNMENT TRACK'!$A$1:$K$81,9,1))</f>
        <v>0</v>
      </c>
      <c r="G258" s="6"/>
      <c r="H258" s="449" t="s">
        <v>131</v>
      </c>
      <c r="I258" s="4"/>
      <c r="J258" s="3"/>
      <c r="K258" s="449"/>
      <c r="L258" s="449" t="s">
        <v>158</v>
      </c>
      <c r="M258" s="449" t="str">
        <f>IF(L258="","",
IF(AX258="PT",VLOOKUP(L258,Foundation_Calc!$V$79:$X$113,VLOOKUP(AX258,Foundation_Calc!$I$10:$J$13,2,FALSE),0),
IF(AX258="K",VLOOKUP(L258,Foundation_Calc!$V$117:$X$151,VLOOKUP(AX258,Foundation_Calc!$I$10:$J$13,2,FALSE),0),"")))</f>
        <v>C4RT</v>
      </c>
      <c r="N258" s="449" t="s">
        <v>134</v>
      </c>
      <c r="O258" s="449" t="s">
        <v>133</v>
      </c>
      <c r="P258" s="449"/>
      <c r="Q258" s="4"/>
      <c r="R258" s="6"/>
      <c r="S258" s="6"/>
      <c r="T258" s="4">
        <v>35</v>
      </c>
      <c r="U258" s="4">
        <v>15</v>
      </c>
      <c r="V258" s="4"/>
      <c r="W258" s="9">
        <v>1.4</v>
      </c>
      <c r="X258" s="9">
        <v>2.2999999999999998</v>
      </c>
      <c r="Y258" s="9"/>
      <c r="Z258" s="9"/>
      <c r="AA258" s="9">
        <v>0.45</v>
      </c>
      <c r="AB258" s="9"/>
      <c r="AC258" s="449" t="str">
        <f t="shared" si="33"/>
        <v>PH</v>
      </c>
      <c r="AD258" s="449"/>
      <c r="AE258" s="449"/>
      <c r="AF258" s="4"/>
      <c r="AG258" s="83"/>
      <c r="AH258" s="4"/>
      <c r="AI258" s="4"/>
      <c r="AJ258" s="449"/>
      <c r="AK258" s="449"/>
      <c r="AL258" s="449"/>
      <c r="AM258" s="449" t="s">
        <v>126</v>
      </c>
      <c r="AN258" s="10">
        <v>5.5</v>
      </c>
      <c r="AO258" s="9"/>
      <c r="AP258" s="9"/>
      <c r="AQ258" s="9"/>
      <c r="AR258" s="9"/>
      <c r="AS258" s="9"/>
      <c r="AT258" s="9">
        <f>+ab($T$258,$T$256,$T$260,$G$257,$G$259,-1*$F$258,1200)</f>
        <v>8.787017159077454</v>
      </c>
      <c r="AU258" s="428"/>
      <c r="AV258" s="428"/>
      <c r="AW258" s="449" t="str">
        <f>IF(C258&gt;0,VLOOKUP(C258,Foundation_Calc!$A$2:$C$13,3,1),
IF(J258&gt;0,VLOOKUP(J258,Foundation_Calc!$A$2:$C$13,3,1),""))</f>
        <v>Multi Soil</v>
      </c>
      <c r="AX258" s="449" t="str">
        <f>IF(C258&gt;0,VLOOKUP(C258,Foundation_Calc!$E$2:$G$33,3,1),
IF(J258&gt;0,VLOOKUP(J258,Foundation_Calc!$E$2:$G$33,3,1),""))</f>
        <v>K</v>
      </c>
      <c r="AY258" s="10">
        <f>IF(L258="","",
IF(AX258="PT",VLOOKUP(L258,Foundation_Calc!$K$79:$R$113,VLOOKUP(AW258,Foundation_Calc!$I$2:$J$8,2,FALSE),0),
IF(AX258="K",VLOOKUP(L258,Foundation_Calc!$K$117:$R$151,VLOOKUP(AW258,Foundation_Calc!$I$2:$J$8,2,FALSE),0),"")))</f>
        <v>4.2</v>
      </c>
      <c r="AZ258" s="10" t="str">
        <f>IF(K258="","",
IF(AX258="PT",VLOOKUP(K258,Foundation_Calc!$K$79:$R$113,VLOOKUP(AW258,Foundation_Calc!$I$2:$J$8,2,FALSE),0),
IF(AX258="K",VLOOKUP(K258,Foundation_Calc!$K$117:$R$151,VLOOKUP(AW258,Foundation_Calc!$I$2:$J$8,2,FALSE),0),"")))</f>
        <v/>
      </c>
      <c r="BA258" s="495" t="str">
        <f t="shared" si="34"/>
        <v>ü</v>
      </c>
      <c r="BB258" s="495" t="str">
        <f t="shared" si="35"/>
        <v/>
      </c>
      <c r="BC258" s="495" t="str">
        <f t="shared" si="36"/>
        <v/>
      </c>
      <c r="BD258" s="513" t="str">
        <f>IF(AND(L258="",H258=""),"",
IF(H258="",Pole_Calc!A$9,
IF(H258="MP",Pole_Calc!A$10,
IF(H258="AnMP",Pole_Calc!A$11,
IF(H258="A",Pole_Calc!A$12,
IF(H258="S/A",Pole_Calc!A$13,
IF(H258="A/S",Pole_Calc!A$14,"Poner a mano")))))))</f>
        <v>App.7-V11I-P9.5.1.5</v>
      </c>
      <c r="BE258" s="429" t="s">
        <v>118</v>
      </c>
      <c r="BF258" s="289"/>
      <c r="BG258" s="289"/>
      <c r="BH258" s="290"/>
      <c r="BI258" s="289"/>
    </row>
    <row r="259" spans="1:61" ht="16.149999999999999" customHeight="1">
      <c r="A259" s="514"/>
      <c r="B259" s="450"/>
      <c r="C259" s="3"/>
      <c r="D259" s="83"/>
      <c r="E259" s="4"/>
      <c r="F259" s="4"/>
      <c r="G259" s="6">
        <v>60</v>
      </c>
      <c r="H259" s="449"/>
      <c r="I259" s="4"/>
      <c r="J259" s="3"/>
      <c r="K259" s="449"/>
      <c r="L259" s="449"/>
      <c r="M259" s="449" t="str">
        <f>IF(L259="","",
IF(AX259="PT",VLOOKUP(L259,Foundation_Calc!$V$79:$X$113,VLOOKUP(AX259,Foundation_Calc!$I$10:$J$13,2,FALSE),0),
IF(AX259="K",VLOOKUP(L259,Foundation_Calc!$V$117:$X$151,VLOOKUP(AX259,Foundation_Calc!$I$10:$J$13,2,FALSE),0),"")))</f>
        <v/>
      </c>
      <c r="N259" s="449"/>
      <c r="O259" s="449"/>
      <c r="P259" s="449"/>
      <c r="Q259" s="4"/>
      <c r="R259" s="6"/>
      <c r="S259" s="6"/>
      <c r="T259" s="4"/>
      <c r="U259" s="4"/>
      <c r="V259" s="4"/>
      <c r="W259" s="9"/>
      <c r="X259" s="9"/>
      <c r="Y259" s="9"/>
      <c r="Z259" s="9"/>
      <c r="AA259" s="9"/>
      <c r="AB259" s="9"/>
      <c r="AC259" s="449" t="str">
        <f t="shared" ref="AC259:AC322" si="37">IF(OR(AT259&gt;8,AT259&lt;-8),"PH",
IF(OR(AT259&gt;5,AT259&lt;-5),"PHQ",
IF(OR(AT259&gt;1,AT259&lt;-1),
"PHC","")))</f>
        <v/>
      </c>
      <c r="AD259" s="449"/>
      <c r="AE259" s="449"/>
      <c r="AF259" s="4"/>
      <c r="AG259" s="83"/>
      <c r="AH259" s="4"/>
      <c r="AI259" s="4"/>
      <c r="AJ259" s="449"/>
      <c r="AK259" s="449"/>
      <c r="AL259" s="449"/>
      <c r="AM259" s="449"/>
      <c r="AN259" s="10"/>
      <c r="AO259" s="9"/>
      <c r="AP259" s="9"/>
      <c r="AQ259" s="9">
        <f>+FL_2($T$260,$T$258,$G$259,1200,9.28,-1*$F$260)</f>
        <v>-0.43600286799999999</v>
      </c>
      <c r="AR259" s="9"/>
      <c r="AS259" s="9"/>
      <c r="AT259" s="9"/>
      <c r="AU259" s="428"/>
      <c r="AV259" s="428"/>
      <c r="AW259" s="449" t="str">
        <f>IF(C259&gt;0,VLOOKUP(C259,Foundation_Calc!$A$2:$C$13,3,1),
IF(J259&gt;0,VLOOKUP(J259,Foundation_Calc!$A$2:$C$13,3,1),""))</f>
        <v/>
      </c>
      <c r="AX259" s="449" t="str">
        <f>IF(C259&gt;0,VLOOKUP(C259,Foundation_Calc!$E$2:$G$33,3,1),
IF(J259&gt;0,VLOOKUP(J259,Foundation_Calc!$E$2:$G$33,3,1),""))</f>
        <v/>
      </c>
      <c r="AY259" s="10" t="str">
        <f>IF(L259="","",
IF(AX259="PT",VLOOKUP(L259,Foundation_Calc!$K$79:$R$113,VLOOKUP(AW259,Foundation_Calc!$I$2:$J$8,2,FALSE),0),
IF(AX259="K",VLOOKUP(L259,Foundation_Calc!$K$117:$R$151,VLOOKUP(AW259,Foundation_Calc!$I$2:$J$8,2,FALSE),0),"")))</f>
        <v/>
      </c>
      <c r="AZ259" s="10" t="str">
        <f>IF(K259="","",
IF(AX259="PT",VLOOKUP(K259,Foundation_Calc!$K$79:$R$113,VLOOKUP(AW259,Foundation_Calc!$I$2:$J$8,2,FALSE),0),
IF(AX259="K",VLOOKUP(K259,Foundation_Calc!$K$117:$R$151,VLOOKUP(AW259,Foundation_Calc!$I$2:$J$8,2,FALSE),0),"")))</f>
        <v/>
      </c>
      <c r="BA259" s="495" t="str">
        <f t="shared" si="34"/>
        <v/>
      </c>
      <c r="BB259" s="495" t="str">
        <f t="shared" si="35"/>
        <v/>
      </c>
      <c r="BC259" s="495" t="str">
        <f t="shared" si="36"/>
        <v/>
      </c>
      <c r="BD259" s="513" t="str">
        <f>IF(AND(L259="",H259=""),"",
IF(H259="",Pole_Calc!A$9,
IF(H259="MP",Pole_Calc!A$10,
IF(H259="AnMP",Pole_Calc!A$11,
IF(H259="A",Pole_Calc!A$12,
IF(H259="S/A",Pole_Calc!A$13,
IF(H259="A/S",Pole_Calc!A$14,"Poner a mano")))))))</f>
        <v/>
      </c>
      <c r="BE259" s="429" t="s">
        <v>118</v>
      </c>
      <c r="BF259" s="290"/>
      <c r="BG259" s="290"/>
      <c r="BH259" s="290"/>
      <c r="BI259" s="290"/>
    </row>
    <row r="260" spans="1:61" ht="16.149999999999999" customHeight="1">
      <c r="A260" s="514"/>
      <c r="B260" s="450" t="s">
        <v>319</v>
      </c>
      <c r="C260" s="3">
        <f>+$C$258+$G$259-1.7</f>
        <v>36473.85</v>
      </c>
      <c r="D260" s="83"/>
      <c r="E260" s="4"/>
      <c r="F260" s="4">
        <f>IF(C260&gt;0,VLOOKUP(C260,'ALIGNMENT TRACK'!$A$1:$K$81,9,1))</f>
        <v>0</v>
      </c>
      <c r="G260" s="6"/>
      <c r="H260" s="449" t="s">
        <v>121</v>
      </c>
      <c r="I260" s="4" t="s">
        <v>122</v>
      </c>
      <c r="J260" s="3"/>
      <c r="K260" s="449"/>
      <c r="L260" s="449" t="s">
        <v>151</v>
      </c>
      <c r="M260" s="449" t="str">
        <f>IF(L260="","",
IF(AX260="PT",VLOOKUP(L260,Foundation_Calc!$V$79:$X$113,VLOOKUP(AX260,Foundation_Calc!$I$10:$J$13,2,FALSE),0),
IF(AX260="K",VLOOKUP(L260,Foundation_Calc!$V$117:$X$151,VLOOKUP(AX260,Foundation_Calc!$I$10:$J$13,2,FALSE),0),"")))</f>
        <v>C4RT</v>
      </c>
      <c r="N260" s="449" t="s">
        <v>124</v>
      </c>
      <c r="O260" s="449"/>
      <c r="P260" s="449"/>
      <c r="Q260" s="4"/>
      <c r="R260" s="6"/>
      <c r="S260" s="6"/>
      <c r="T260" s="4">
        <v>-35</v>
      </c>
      <c r="U260" s="4"/>
      <c r="V260" s="4"/>
      <c r="W260" s="9">
        <v>1.4</v>
      </c>
      <c r="X260" s="9"/>
      <c r="Y260" s="9"/>
      <c r="Z260" s="9"/>
      <c r="AA260" s="9"/>
      <c r="AB260" s="9"/>
      <c r="AC260" s="449" t="str">
        <f t="shared" si="37"/>
        <v>PH</v>
      </c>
      <c r="AD260" s="449"/>
      <c r="AE260" s="449"/>
      <c r="AF260" s="4"/>
      <c r="AG260" s="83"/>
      <c r="AH260" s="4"/>
      <c r="AI260" s="4"/>
      <c r="AJ260" s="449"/>
      <c r="AK260" s="449"/>
      <c r="AL260" s="449"/>
      <c r="AM260" s="449" t="s">
        <v>126</v>
      </c>
      <c r="AN260" s="10">
        <v>5.5</v>
      </c>
      <c r="AO260" s="9"/>
      <c r="AP260" s="9"/>
      <c r="AQ260" s="9"/>
      <c r="AR260" s="9"/>
      <c r="AS260" s="9"/>
      <c r="AT260" s="9">
        <f>+ab($T$260,$T$258,$T$262,$G$259,$G$261,-1*$F$260,1200)</f>
        <v>-8.1682020423530854</v>
      </c>
      <c r="AU260" s="428"/>
      <c r="AV260" s="428"/>
      <c r="AW260" s="449" t="str">
        <f>IF(C260&gt;0,VLOOKUP(C260,Foundation_Calc!$A$2:$C$13,3,1),
IF(J260&gt;0,VLOOKUP(J260,Foundation_Calc!$A$2:$C$13,3,1),""))</f>
        <v>Multi Soil</v>
      </c>
      <c r="AX260" s="449" t="str">
        <f>IF(C260&gt;0,VLOOKUP(C260,Foundation_Calc!$E$2:$G$33,3,1),
IF(J260&gt;0,VLOOKUP(J260,Foundation_Calc!$E$2:$G$33,3,1),""))</f>
        <v>K</v>
      </c>
      <c r="AY260" s="10">
        <f>IF(L260="","",
IF(AX260="PT",VLOOKUP(L260,Foundation_Calc!$K$79:$R$113,VLOOKUP(AW260,Foundation_Calc!$I$2:$J$8,2,FALSE),0),
IF(AX260="K",VLOOKUP(L260,Foundation_Calc!$K$117:$R$151,VLOOKUP(AW260,Foundation_Calc!$I$2:$J$8,2,FALSE),0),"")))</f>
        <v>4.2</v>
      </c>
      <c r="AZ260" s="10" t="str">
        <f>IF(K260="","",
IF(AX260="PT",VLOOKUP(K260,Foundation_Calc!$K$79:$R$113,VLOOKUP(AW260,Foundation_Calc!$I$2:$J$8,2,FALSE),0),
IF(AX260="K",VLOOKUP(K260,Foundation_Calc!$K$117:$R$151,VLOOKUP(AW260,Foundation_Calc!$I$2:$J$8,2,FALSE),0),"")))</f>
        <v/>
      </c>
      <c r="BA260" s="495" t="str">
        <f t="shared" si="34"/>
        <v>ü</v>
      </c>
      <c r="BB260" s="495" t="str">
        <f t="shared" si="35"/>
        <v/>
      </c>
      <c r="BC260" s="495" t="str">
        <f t="shared" si="36"/>
        <v/>
      </c>
      <c r="BD260" s="513" t="str">
        <f>IF(AND(L260="",H260=""),"",
IF(H260="",Pole_Calc!A$9,
IF(H260="MP",Pole_Calc!A$10,
IF(H260="AnMP",Pole_Calc!A$11,
IF(H260="A",Pole_Calc!A$12,
IF(H260="S/A",Pole_Calc!A$13,
IF(H260="A/S",Pole_Calc!A$14,"Poner a mano")))))))</f>
        <v>App.7-V11I-P9.5.1.6</v>
      </c>
      <c r="BE260" s="429" t="s">
        <v>118</v>
      </c>
      <c r="BF260" s="289"/>
      <c r="BG260" s="289"/>
      <c r="BH260" s="290"/>
      <c r="BI260" s="289"/>
    </row>
    <row r="261" spans="1:61" ht="16.149999999999999" customHeight="1">
      <c r="A261" s="514"/>
      <c r="B261" s="450"/>
      <c r="C261" s="3"/>
      <c r="D261" s="83"/>
      <c r="E261" s="4"/>
      <c r="F261" s="4"/>
      <c r="G261" s="6">
        <v>60</v>
      </c>
      <c r="H261" s="449"/>
      <c r="I261" s="4"/>
      <c r="J261" s="3">
        <f>C260+7.5</f>
        <v>36481.35</v>
      </c>
      <c r="K261" s="449" t="s">
        <v>315</v>
      </c>
      <c r="L261" s="449"/>
      <c r="M261" s="449" t="str">
        <f>IF(L261="","",
IF(AX261="PT",VLOOKUP(L261,Foundation_Calc!$V$79:$X$113,VLOOKUP(AX261,Foundation_Calc!$I$10:$J$13,2,FALSE),0),
IF(AX261="K",VLOOKUP(L261,Foundation_Calc!$V$117:$X$151,VLOOKUP(AX261,Foundation_Calc!$I$10:$J$13,2,FALSE),0),"")))</f>
        <v/>
      </c>
      <c r="N261" s="449"/>
      <c r="O261" s="449"/>
      <c r="P261" s="449"/>
      <c r="Q261" s="4"/>
      <c r="R261" s="6"/>
      <c r="S261" s="6"/>
      <c r="T261" s="4"/>
      <c r="U261" s="4"/>
      <c r="V261" s="4"/>
      <c r="W261" s="9"/>
      <c r="X261" s="9"/>
      <c r="Y261" s="9"/>
      <c r="Z261" s="9"/>
      <c r="AA261" s="9"/>
      <c r="AB261" s="9"/>
      <c r="AC261" s="449" t="str">
        <f t="shared" si="37"/>
        <v/>
      </c>
      <c r="AD261" s="449"/>
      <c r="AE261" s="449"/>
      <c r="AF261" s="4"/>
      <c r="AG261" s="83"/>
      <c r="AH261" s="4"/>
      <c r="AI261" s="4"/>
      <c r="AJ261" s="449"/>
      <c r="AK261" s="449"/>
      <c r="AL261" s="449"/>
      <c r="AM261" s="449"/>
      <c r="AN261" s="10"/>
      <c r="AO261" s="9"/>
      <c r="AP261" s="9"/>
      <c r="AQ261" s="9">
        <f>+FL_1($T$262,$T$260,$G$261,1200,9.28,-1*$F$262)</f>
        <v>0.43600286799999999</v>
      </c>
      <c r="AR261" s="9"/>
      <c r="AS261" s="9"/>
      <c r="AT261" s="9"/>
      <c r="AU261" s="428"/>
      <c r="AV261" s="428"/>
      <c r="AW261" s="449" t="str">
        <f>IF(C261&gt;0,VLOOKUP(C261,Foundation_Calc!$A$2:$C$13,3,1),
IF(J261&gt;0,VLOOKUP(J261,Foundation_Calc!$A$2:$C$13,3,1),""))</f>
        <v>Multi Soil</v>
      </c>
      <c r="AX261" s="449" t="str">
        <f>IF(C261&gt;0,VLOOKUP(C261,Foundation_Calc!$E$2:$G$33,3,1),
IF(J261&gt;0,VLOOKUP(J261,Foundation_Calc!$E$2:$G$33,3,1),""))</f>
        <v>K</v>
      </c>
      <c r="AY261" s="10" t="str">
        <f>IF(L261="","",
IF(AX261="PT",VLOOKUP(L261,Foundation_Calc!$K$79:$R$113,VLOOKUP(AW261,Foundation_Calc!$I$2:$J$8,2,FALSE),0),
IF(AX261="K",VLOOKUP(L261,Foundation_Calc!$K$117:$R$151,VLOOKUP(AW261,Foundation_Calc!$I$2:$J$8,2,FALSE),0),"")))</f>
        <v/>
      </c>
      <c r="AZ261" s="10">
        <f>IF(K261="","",
IF(AX261="PT",VLOOKUP(K261,Foundation_Calc!$K$79:$R$113,VLOOKUP(AW261,Foundation_Calc!$I$2:$J$8,2,FALSE),0),
IF(AX261="K",VLOOKUP(K261,Foundation_Calc!$K$117:$R$151,VLOOKUP(AW261,Foundation_Calc!$I$2:$J$8,2,FALSE),0),"")))</f>
        <v>3.9</v>
      </c>
      <c r="BA261" s="495" t="str">
        <f t="shared" si="34"/>
        <v/>
      </c>
      <c r="BB261" s="495" t="str">
        <f t="shared" si="35"/>
        <v>ü</v>
      </c>
      <c r="BC261" s="495" t="str">
        <f t="shared" si="36"/>
        <v/>
      </c>
      <c r="BD261" s="513" t="str">
        <f>IF(AND(L261="",H261=""),"",
IF(H261="",Pole_Calc!A$9,
IF(H261="MP",Pole_Calc!A$10,
IF(H261="AnMP",Pole_Calc!A$11,
IF(H261="A",Pole_Calc!A$12,
IF(H261="S/A",Pole_Calc!A$13,
IF(H261="A/S",Pole_Calc!A$14,"Poner a mano")))))))</f>
        <v/>
      </c>
      <c r="BE261" s="429" t="s">
        <v>118</v>
      </c>
      <c r="BF261" s="290"/>
      <c r="BG261" s="290"/>
      <c r="BH261" s="290"/>
      <c r="BI261" s="290"/>
    </row>
    <row r="262" spans="1:61" ht="16.149999999999999" customHeight="1">
      <c r="A262" s="514"/>
      <c r="B262" s="450" t="s">
        <v>320</v>
      </c>
      <c r="C262" s="3">
        <f>+$C$260+$G$261</f>
        <v>36533.85</v>
      </c>
      <c r="D262" s="83"/>
      <c r="E262" s="4"/>
      <c r="F262" s="4">
        <f>IF(C262&gt;0,VLOOKUP(C262,'ALIGNMENT TRACK'!$A$1:$K$81,9,1))</f>
        <v>0</v>
      </c>
      <c r="G262" s="6"/>
      <c r="H262" s="449"/>
      <c r="I262" s="4"/>
      <c r="J262" s="3"/>
      <c r="K262" s="449"/>
      <c r="L262" s="449" t="s">
        <v>153</v>
      </c>
      <c r="M262" s="449" t="str">
        <f>IF(L262="","",
IF(AX262="PT",VLOOKUP(L262,Foundation_Calc!$V$79:$X$113,VLOOKUP(AX262,Foundation_Calc!$I$10:$J$13,2,FALSE),0),
IF(AX262="K",VLOOKUP(L262,Foundation_Calc!$V$117:$X$151,VLOOKUP(AX262,Foundation_Calc!$I$10:$J$13,2,FALSE),0),"")))</f>
        <v>C3RT</v>
      </c>
      <c r="N262" s="449" t="s">
        <v>134</v>
      </c>
      <c r="O262" s="449"/>
      <c r="P262" s="449"/>
      <c r="Q262" s="4"/>
      <c r="R262" s="6"/>
      <c r="S262" s="6"/>
      <c r="T262" s="4">
        <v>35</v>
      </c>
      <c r="U262" s="4"/>
      <c r="V262" s="4"/>
      <c r="W262" s="9">
        <v>1.4</v>
      </c>
      <c r="X262" s="9"/>
      <c r="Y262" s="9"/>
      <c r="Z262" s="9"/>
      <c r="AA262" s="9"/>
      <c r="AB262" s="9"/>
      <c r="AC262" s="449" t="str">
        <f t="shared" si="37"/>
        <v>PHQ</v>
      </c>
      <c r="AD262" s="449"/>
      <c r="AE262" s="449"/>
      <c r="AF262" s="4"/>
      <c r="AG262" s="83"/>
      <c r="AH262" s="4"/>
      <c r="AI262" s="4"/>
      <c r="AJ262" s="449"/>
      <c r="AK262" s="449"/>
      <c r="AL262" s="449"/>
      <c r="AM262" s="449" t="s">
        <v>126</v>
      </c>
      <c r="AN262" s="10">
        <v>5.5</v>
      </c>
      <c r="AO262" s="9"/>
      <c r="AP262" s="9"/>
      <c r="AQ262" s="9"/>
      <c r="AR262" s="9"/>
      <c r="AS262" s="9"/>
      <c r="AT262" s="9">
        <f>+ab($T$262,$T$260,$T$264,$G$261,$G$263,-1*$F$262,1200)</f>
        <v>7.8175137683875535</v>
      </c>
      <c r="AU262" s="428"/>
      <c r="AV262" s="428"/>
      <c r="AW262" s="449" t="str">
        <f>IF(C262&gt;0,VLOOKUP(C262,Foundation_Calc!$A$2:$C$13,3,1),
IF(J262&gt;0,VLOOKUP(J262,Foundation_Calc!$A$2:$C$13,3,1),""))</f>
        <v>Multi Soil</v>
      </c>
      <c r="AX262" s="449" t="str">
        <f>IF(C262&gt;0,VLOOKUP(C262,Foundation_Calc!$E$2:$G$33,3,1),
IF(J262&gt;0,VLOOKUP(J262,Foundation_Calc!$E$2:$G$33,3,1),""))</f>
        <v>K</v>
      </c>
      <c r="AY262" s="10">
        <f>IF(L262="","",
IF(AX262="PT",VLOOKUP(L262,Foundation_Calc!$K$79:$R$113,VLOOKUP(AW262,Foundation_Calc!$I$2:$J$8,2,FALSE),0),
IF(AX262="K",VLOOKUP(L262,Foundation_Calc!$K$117:$R$151,VLOOKUP(AW262,Foundation_Calc!$I$2:$J$8,2,FALSE),0),"")))</f>
        <v>4</v>
      </c>
      <c r="AZ262" s="10" t="str">
        <f>IF(K262="","",
IF(AX262="PT",VLOOKUP(K262,Foundation_Calc!$K$79:$R$113,VLOOKUP(AW262,Foundation_Calc!$I$2:$J$8,2,FALSE),0),
IF(AX262="K",VLOOKUP(K262,Foundation_Calc!$K$117:$R$151,VLOOKUP(AW262,Foundation_Calc!$I$2:$J$8,2,FALSE),0),"")))</f>
        <v/>
      </c>
      <c r="BA262" s="495" t="str">
        <f t="shared" si="34"/>
        <v>ü</v>
      </c>
      <c r="BB262" s="495" t="str">
        <f t="shared" si="35"/>
        <v/>
      </c>
      <c r="BC262" s="495" t="str">
        <f t="shared" si="36"/>
        <v/>
      </c>
      <c r="BD262" s="513" t="str">
        <f>IF(AND(L262="",H262=""),"",
IF(H262="",Pole_Calc!A$9,
IF(H262="MP",Pole_Calc!A$10,
IF(H262="AnMP",Pole_Calc!A$11,
IF(H262="A",Pole_Calc!A$12,
IF(H262="S/A",Pole_Calc!A$13,
IF(H262="A/S",Pole_Calc!A$14,"Poner a mano")))))))</f>
        <v>App.7-V11I-P9.5.1.1</v>
      </c>
      <c r="BE262" s="429" t="s">
        <v>118</v>
      </c>
      <c r="BF262" s="289"/>
      <c r="BG262" s="289"/>
      <c r="BH262" s="290"/>
      <c r="BI262" s="289"/>
    </row>
    <row r="263" spans="1:61" ht="16.149999999999999" customHeight="1">
      <c r="A263" s="514"/>
      <c r="B263" s="450"/>
      <c r="C263" s="3"/>
      <c r="D263" s="83"/>
      <c r="E263" s="4"/>
      <c r="F263" s="4"/>
      <c r="G263" s="6">
        <v>55</v>
      </c>
      <c r="H263" s="449"/>
      <c r="I263" s="4"/>
      <c r="J263" s="3"/>
      <c r="K263" s="449"/>
      <c r="L263" s="449"/>
      <c r="M263" s="449" t="str">
        <f>IF(L263="","",
IF(AX263="PT",VLOOKUP(L263,Foundation_Calc!$V$79:$X$113,VLOOKUP(AX263,Foundation_Calc!$I$10:$J$13,2,FALSE),0),
IF(AX263="K",VLOOKUP(L263,Foundation_Calc!$V$117:$X$151,VLOOKUP(AX263,Foundation_Calc!$I$10:$J$13,2,FALSE),0),"")))</f>
        <v/>
      </c>
      <c r="N263" s="449"/>
      <c r="O263" s="449"/>
      <c r="P263" s="449"/>
      <c r="Q263" s="4"/>
      <c r="R263" s="6"/>
      <c r="S263" s="6"/>
      <c r="T263" s="4"/>
      <c r="U263" s="4"/>
      <c r="V263" s="4"/>
      <c r="W263" s="9"/>
      <c r="X263" s="9"/>
      <c r="Y263" s="9"/>
      <c r="Z263" s="9"/>
      <c r="AA263" s="9"/>
      <c r="AB263" s="9"/>
      <c r="AC263" s="449" t="str">
        <f t="shared" si="37"/>
        <v/>
      </c>
      <c r="AD263" s="449"/>
      <c r="AE263" s="449"/>
      <c r="AF263" s="4"/>
      <c r="AG263" s="83"/>
      <c r="AH263" s="4"/>
      <c r="AI263" s="4"/>
      <c r="AJ263" s="449"/>
      <c r="AK263" s="449"/>
      <c r="AL263" s="449"/>
      <c r="AM263" s="449"/>
      <c r="AN263" s="10"/>
      <c r="AO263" s="9"/>
      <c r="AP263" s="9"/>
      <c r="AQ263" s="9">
        <f>+FL_1($T$264,$T$262,$G$263,1200,9.28,-1*$F$264)</f>
        <v>0.42165644724987017</v>
      </c>
      <c r="AR263" s="9"/>
      <c r="AS263" s="9"/>
      <c r="AT263" s="9"/>
      <c r="AU263" s="428"/>
      <c r="AV263" s="428"/>
      <c r="AW263" s="449" t="str">
        <f>IF(C263&gt;0,VLOOKUP(C263,Foundation_Calc!$A$2:$C$13,3,1),
IF(J263&gt;0,VLOOKUP(J263,Foundation_Calc!$A$2:$C$13,3,1),""))</f>
        <v/>
      </c>
      <c r="AX263" s="449" t="str">
        <f>IF(C263&gt;0,VLOOKUP(C263,Foundation_Calc!$E$2:$G$33,3,1),
IF(J263&gt;0,VLOOKUP(J263,Foundation_Calc!$E$2:$G$33,3,1),""))</f>
        <v/>
      </c>
      <c r="AY263" s="10" t="str">
        <f>IF(L263="","",
IF(AX263="PT",VLOOKUP(L263,Foundation_Calc!$K$79:$R$113,VLOOKUP(AW263,Foundation_Calc!$I$2:$J$8,2,FALSE),0),
IF(AX263="K",VLOOKUP(L263,Foundation_Calc!$K$117:$R$151,VLOOKUP(AW263,Foundation_Calc!$I$2:$J$8,2,FALSE),0),"")))</f>
        <v/>
      </c>
      <c r="AZ263" s="10" t="str">
        <f>IF(K263="","",
IF(AX263="PT",VLOOKUP(K263,Foundation_Calc!$K$79:$R$113,VLOOKUP(AW263,Foundation_Calc!$I$2:$J$8,2,FALSE),0),
IF(AX263="K",VLOOKUP(K263,Foundation_Calc!$K$117:$R$151,VLOOKUP(AW263,Foundation_Calc!$I$2:$J$8,2,FALSE),0),"")))</f>
        <v/>
      </c>
      <c r="BA263" s="495" t="str">
        <f t="shared" si="34"/>
        <v/>
      </c>
      <c r="BB263" s="495" t="str">
        <f t="shared" si="35"/>
        <v/>
      </c>
      <c r="BC263" s="495" t="str">
        <f t="shared" si="36"/>
        <v/>
      </c>
      <c r="BD263" s="513" t="str">
        <f>IF(AND(L263="",H263=""),"",
IF(H263="",Pole_Calc!A$9,
IF(H263="MP",Pole_Calc!A$10,
IF(H263="AnMP",Pole_Calc!A$11,
IF(H263="A",Pole_Calc!A$12,
IF(H263="S/A",Pole_Calc!A$13,
IF(H263="A/S",Pole_Calc!A$14,"Poner a mano")))))))</f>
        <v/>
      </c>
      <c r="BE263" s="429" t="s">
        <v>118</v>
      </c>
      <c r="BF263" s="290"/>
      <c r="BG263" s="290"/>
      <c r="BH263" s="290"/>
      <c r="BI263" s="290"/>
    </row>
    <row r="264" spans="1:61" ht="16.149999999999999" customHeight="1">
      <c r="A264" s="514"/>
      <c r="B264" s="450" t="s">
        <v>321</v>
      </c>
      <c r="C264" s="3">
        <f>+$C$262+$G$263</f>
        <v>36588.85</v>
      </c>
      <c r="D264" s="83"/>
      <c r="E264" s="4"/>
      <c r="F264" s="4">
        <f>(505^2)/(C264-36564.58)</f>
        <v>10507.828594974604</v>
      </c>
      <c r="G264" s="6"/>
      <c r="H264" s="449"/>
      <c r="I264" s="4"/>
      <c r="J264" s="3"/>
      <c r="K264" s="449"/>
      <c r="L264" s="449" t="s">
        <v>153</v>
      </c>
      <c r="M264" s="449" t="str">
        <f>IF(L264="","",
IF(AX264="PT",VLOOKUP(L264,Foundation_Calc!$V$79:$X$113,VLOOKUP(AX264,Foundation_Calc!$I$10:$J$13,2,FALSE),0),
IF(AX264="K",VLOOKUP(L264,Foundation_Calc!$V$117:$X$151,VLOOKUP(AX264,Foundation_Calc!$I$10:$J$13,2,FALSE),0),"")))</f>
        <v>C3RT</v>
      </c>
      <c r="N264" s="449" t="s">
        <v>124</v>
      </c>
      <c r="O264" s="449"/>
      <c r="P264" s="449"/>
      <c r="Q264" s="4"/>
      <c r="R264" s="6"/>
      <c r="S264" s="6"/>
      <c r="T264" s="4">
        <v>-35</v>
      </c>
      <c r="U264" s="4"/>
      <c r="V264" s="4"/>
      <c r="W264" s="9">
        <v>1.4</v>
      </c>
      <c r="X264" s="9"/>
      <c r="Y264" s="9"/>
      <c r="Z264" s="9"/>
      <c r="AA264" s="9"/>
      <c r="AB264" s="9"/>
      <c r="AC264" s="449" t="str">
        <f t="shared" si="37"/>
        <v>PH</v>
      </c>
      <c r="AD264" s="449"/>
      <c r="AE264" s="449"/>
      <c r="AF264" s="4"/>
      <c r="AG264" s="83"/>
      <c r="AH264" s="4"/>
      <c r="AI264" s="4"/>
      <c r="AJ264" s="449"/>
      <c r="AK264" s="449"/>
      <c r="AL264" s="449"/>
      <c r="AM264" s="449" t="s">
        <v>126</v>
      </c>
      <c r="AN264" s="10">
        <v>5.5</v>
      </c>
      <c r="AO264" s="9"/>
      <c r="AP264" s="9"/>
      <c r="AQ264" s="9"/>
      <c r="AR264" s="9"/>
      <c r="AS264" s="9"/>
      <c r="AT264" s="9">
        <f>+ab($T$264,$T$262,$T$266,$G$263,$G$265,-1*$F$264,1200)</f>
        <v>-9.1920668302411173</v>
      </c>
      <c r="AU264" s="428"/>
      <c r="AV264" s="428"/>
      <c r="AW264" s="449" t="str">
        <f>IF(C264&gt;0,VLOOKUP(C264,Foundation_Calc!$A$2:$C$13,3,1),
IF(J264&gt;0,VLOOKUP(J264,Foundation_Calc!$A$2:$C$13,3,1),""))</f>
        <v>Multi Soil</v>
      </c>
      <c r="AX264" s="449" t="str">
        <f>IF(C264&gt;0,VLOOKUP(C264,Foundation_Calc!$E$2:$G$33,3,1),
IF(J264&gt;0,VLOOKUP(J264,Foundation_Calc!$E$2:$G$33,3,1),""))</f>
        <v>K</v>
      </c>
      <c r="AY264" s="10">
        <f>IF(L264="","",
IF(AX264="PT",VLOOKUP(L264,Foundation_Calc!$K$79:$R$113,VLOOKUP(AW264,Foundation_Calc!$I$2:$J$8,2,FALSE),0),
IF(AX264="K",VLOOKUP(L264,Foundation_Calc!$K$117:$R$151,VLOOKUP(AW264,Foundation_Calc!$I$2:$J$8,2,FALSE),0),"")))</f>
        <v>4</v>
      </c>
      <c r="AZ264" s="10" t="str">
        <f>IF(K264="","",
IF(AX264="PT",VLOOKUP(K264,Foundation_Calc!$K$79:$R$113,VLOOKUP(AW264,Foundation_Calc!$I$2:$J$8,2,FALSE),0),
IF(AX264="K",VLOOKUP(K264,Foundation_Calc!$K$117:$R$151,VLOOKUP(AW264,Foundation_Calc!$I$2:$J$8,2,FALSE),0),"")))</f>
        <v/>
      </c>
      <c r="BA264" s="495" t="str">
        <f t="shared" si="34"/>
        <v>ü</v>
      </c>
      <c r="BB264" s="495" t="str">
        <f t="shared" si="35"/>
        <v/>
      </c>
      <c r="BC264" s="495" t="str">
        <f t="shared" si="36"/>
        <v/>
      </c>
      <c r="BD264" s="513" t="str">
        <f>IF(AND(L264="",H264=""),"",
IF(H264="",Pole_Calc!A$9,
IF(H264="MP",Pole_Calc!A$10,
IF(H264="AnMP",Pole_Calc!A$11,
IF(H264="A",Pole_Calc!A$12,
IF(H264="S/A",Pole_Calc!A$13,
IF(H264="A/S",Pole_Calc!A$14,"Poner a mano")))))))</f>
        <v>App.7-V11I-P9.5.1.1</v>
      </c>
      <c r="BE264" s="429" t="s">
        <v>118</v>
      </c>
      <c r="BF264" s="289"/>
      <c r="BG264" s="289"/>
      <c r="BH264" s="290"/>
      <c r="BI264" s="289"/>
    </row>
    <row r="265" spans="1:61" ht="16.149999999999999" customHeight="1">
      <c r="A265" s="514"/>
      <c r="B265" s="450"/>
      <c r="C265" s="3"/>
      <c r="D265" s="83"/>
      <c r="E265" s="4"/>
      <c r="F265" s="4"/>
      <c r="G265" s="6">
        <v>53</v>
      </c>
      <c r="H265" s="449"/>
      <c r="I265" s="4"/>
      <c r="J265" s="3"/>
      <c r="K265" s="449"/>
      <c r="L265" s="449"/>
      <c r="M265" s="449" t="str">
        <f>IF(L265="","",
IF(AX265="PT",VLOOKUP(L265,Foundation_Calc!$V$79:$X$113,VLOOKUP(AX265,Foundation_Calc!$I$10:$J$13,2,FALSE),0),
IF(AX265="K",VLOOKUP(L265,Foundation_Calc!$V$117:$X$151,VLOOKUP(AX265,Foundation_Calc!$I$10:$J$13,2,FALSE),0),"")))</f>
        <v/>
      </c>
      <c r="N265" s="449"/>
      <c r="O265" s="449"/>
      <c r="P265" s="449"/>
      <c r="Q265" s="4"/>
      <c r="R265" s="6"/>
      <c r="S265" s="6"/>
      <c r="T265" s="4"/>
      <c r="U265" s="4"/>
      <c r="V265" s="4"/>
      <c r="W265" s="9"/>
      <c r="X265" s="9"/>
      <c r="Y265" s="9"/>
      <c r="Z265" s="9"/>
      <c r="AA265" s="9"/>
      <c r="AB265" s="9"/>
      <c r="AC265" s="449" t="str">
        <f t="shared" si="37"/>
        <v/>
      </c>
      <c r="AD265" s="449"/>
      <c r="AE265" s="449"/>
      <c r="AF265" s="4"/>
      <c r="AG265" s="83"/>
      <c r="AH265" s="4"/>
      <c r="AI265" s="4"/>
      <c r="AJ265" s="449"/>
      <c r="AK265" s="449"/>
      <c r="AL265" s="449"/>
      <c r="AM265" s="449"/>
      <c r="AN265" s="10"/>
      <c r="AO265" s="9"/>
      <c r="AP265" s="9"/>
      <c r="AQ265" s="9">
        <f>+FL_2($T$266,$T$264,$G$265,1200,9.28,-1*$F$266)</f>
        <v>-0.44866281351546355</v>
      </c>
      <c r="AR265" s="9"/>
      <c r="AS265" s="9"/>
      <c r="AT265" s="9"/>
      <c r="AU265" s="428"/>
      <c r="AV265" s="428"/>
      <c r="AW265" s="449" t="str">
        <f>IF(C265&gt;0,VLOOKUP(C265,Foundation_Calc!$A$2:$C$13,3,1),
IF(J265&gt;0,VLOOKUP(J265,Foundation_Calc!$A$2:$C$13,3,1),""))</f>
        <v/>
      </c>
      <c r="AX265" s="449" t="str">
        <f>IF(C265&gt;0,VLOOKUP(C265,Foundation_Calc!$E$2:$G$33,3,1),
IF(J265&gt;0,VLOOKUP(J265,Foundation_Calc!$E$2:$G$33,3,1),""))</f>
        <v/>
      </c>
      <c r="AY265" s="10" t="str">
        <f>IF(L265="","",
IF(AX265="PT",VLOOKUP(L265,Foundation_Calc!$K$79:$R$113,VLOOKUP(AW265,Foundation_Calc!$I$2:$J$8,2,FALSE),0),
IF(AX265="K",VLOOKUP(L265,Foundation_Calc!$K$117:$R$151,VLOOKUP(AW265,Foundation_Calc!$I$2:$J$8,2,FALSE),0),"")))</f>
        <v/>
      </c>
      <c r="AZ265" s="10" t="str">
        <f>IF(K265="","",
IF(AX265="PT",VLOOKUP(K265,Foundation_Calc!$K$79:$R$113,VLOOKUP(AW265,Foundation_Calc!$I$2:$J$8,2,FALSE),0),
IF(AX265="K",VLOOKUP(K265,Foundation_Calc!$K$117:$R$151,VLOOKUP(AW265,Foundation_Calc!$I$2:$J$8,2,FALSE),0),"")))</f>
        <v/>
      </c>
      <c r="BA265" s="495" t="str">
        <f t="shared" si="34"/>
        <v/>
      </c>
      <c r="BB265" s="495" t="str">
        <f t="shared" si="35"/>
        <v/>
      </c>
      <c r="BC265" s="495" t="str">
        <f t="shared" si="36"/>
        <v/>
      </c>
      <c r="BD265" s="513" t="str">
        <f>IF(AND(L265="",H265=""),"",
IF(H265="",Pole_Calc!A$9,
IF(H265="MP",Pole_Calc!A$10,
IF(H265="AnMP",Pole_Calc!A$11,
IF(H265="A",Pole_Calc!A$12,
IF(H265="S/A",Pole_Calc!A$13,
IF(H265="A/S",Pole_Calc!A$14,"Poner a mano")))))))</f>
        <v/>
      </c>
      <c r="BE265" s="429" t="s">
        <v>118</v>
      </c>
      <c r="BF265" s="290"/>
      <c r="BG265" s="290"/>
      <c r="BH265" s="290"/>
      <c r="BI265" s="290"/>
    </row>
    <row r="266" spans="1:61" ht="16.149999999999999" customHeight="1">
      <c r="A266" s="514"/>
      <c r="B266" s="450" t="s">
        <v>322</v>
      </c>
      <c r="C266" s="3">
        <f>+$C$264+$G$265</f>
        <v>36641.85</v>
      </c>
      <c r="D266" s="83"/>
      <c r="E266" s="4"/>
      <c r="F266" s="4">
        <f>(505^2)/(C266-36564.58)</f>
        <v>3300.4400155300968</v>
      </c>
      <c r="G266" s="6"/>
      <c r="H266" s="449"/>
      <c r="I266" s="4"/>
      <c r="J266" s="3"/>
      <c r="K266" s="449"/>
      <c r="L266" s="449" t="s">
        <v>153</v>
      </c>
      <c r="M266" s="449" t="str">
        <f>IF(L266="","",
IF(AX266="PT",VLOOKUP(L266,Foundation_Calc!$V$79:$X$113,VLOOKUP(AX266,Foundation_Calc!$I$10:$J$13,2,FALSE),0),
IF(AX266="K",VLOOKUP(L266,Foundation_Calc!$V$117:$X$151,VLOOKUP(AX266,Foundation_Calc!$I$10:$J$13,2,FALSE),0),"")))</f>
        <v>C3RT</v>
      </c>
      <c r="N266" s="449" t="s">
        <v>124</v>
      </c>
      <c r="O266" s="449"/>
      <c r="P266" s="449"/>
      <c r="Q266" s="4"/>
      <c r="R266" s="6"/>
      <c r="S266" s="6"/>
      <c r="T266" s="4">
        <v>-20</v>
      </c>
      <c r="U266" s="4"/>
      <c r="V266" s="4"/>
      <c r="W266" s="9">
        <v>1.4</v>
      </c>
      <c r="X266" s="9"/>
      <c r="Y266" s="9"/>
      <c r="Z266" s="9"/>
      <c r="AA266" s="9"/>
      <c r="AB266" s="9"/>
      <c r="AC266" s="449" t="str">
        <f t="shared" si="37"/>
        <v>PH</v>
      </c>
      <c r="AD266" s="449"/>
      <c r="AE266" s="449"/>
      <c r="AF266" s="4"/>
      <c r="AG266" s="83"/>
      <c r="AH266" s="4"/>
      <c r="AI266" s="4"/>
      <c r="AJ266" s="449"/>
      <c r="AK266" s="449"/>
      <c r="AL266" s="449"/>
      <c r="AM266" s="449" t="s">
        <v>126</v>
      </c>
      <c r="AN266" s="10">
        <v>5.5</v>
      </c>
      <c r="AO266" s="9"/>
      <c r="AP266" s="9"/>
      <c r="AQ266" s="9"/>
      <c r="AR266" s="9"/>
      <c r="AS266" s="9"/>
      <c r="AT266" s="9">
        <f>+ab($T$266,$T$264,$T$268,$G$265,$G$267,-1*$F$266,1200)</f>
        <v>-17.26846471648312</v>
      </c>
      <c r="AU266" s="428"/>
      <c r="AV266" s="428"/>
      <c r="AW266" s="449" t="str">
        <f>IF(C266&gt;0,VLOOKUP(C266,Foundation_Calc!$A$2:$C$13,3,1),
IF(J266&gt;0,VLOOKUP(J266,Foundation_Calc!$A$2:$C$13,3,1),""))</f>
        <v>Multi Soil</v>
      </c>
      <c r="AX266" s="449" t="str">
        <f>IF(C266&gt;0,VLOOKUP(C266,Foundation_Calc!$E$2:$G$33,3,1),
IF(J266&gt;0,VLOOKUP(J266,Foundation_Calc!$E$2:$G$33,3,1),""))</f>
        <v>K</v>
      </c>
      <c r="AY266" s="10">
        <f>IF(L266="","",
IF(AX266="PT",VLOOKUP(L266,Foundation_Calc!$K$79:$R$113,VLOOKUP(AW266,Foundation_Calc!$I$2:$J$8,2,FALSE),0),
IF(AX266="K",VLOOKUP(L266,Foundation_Calc!$K$117:$R$151,VLOOKUP(AW266,Foundation_Calc!$I$2:$J$8,2,FALSE),0),"")))</f>
        <v>4</v>
      </c>
      <c r="AZ266" s="10" t="str">
        <f>IF(K266="","",
IF(AX266="PT",VLOOKUP(K266,Foundation_Calc!$K$79:$R$113,VLOOKUP(AW266,Foundation_Calc!$I$2:$J$8,2,FALSE),0),
IF(AX266="K",VLOOKUP(K266,Foundation_Calc!$K$117:$R$151,VLOOKUP(AW266,Foundation_Calc!$I$2:$J$8,2,FALSE),0),"")))</f>
        <v/>
      </c>
      <c r="BA266" s="495" t="str">
        <f t="shared" si="34"/>
        <v>ü</v>
      </c>
      <c r="BB266" s="495" t="str">
        <f t="shared" si="35"/>
        <v/>
      </c>
      <c r="BC266" s="495" t="str">
        <f t="shared" si="36"/>
        <v/>
      </c>
      <c r="BD266" s="513" t="str">
        <f>IF(AND(L266="",H266=""),"",
IF(H266="",Pole_Calc!A$9,
IF(H266="MP",Pole_Calc!A$10,
IF(H266="AnMP",Pole_Calc!A$11,
IF(H266="A",Pole_Calc!A$12,
IF(H266="S/A",Pole_Calc!A$13,
IF(H266="A/S",Pole_Calc!A$14,"Poner a mano")))))))</f>
        <v>App.7-V11I-P9.5.1.1</v>
      </c>
      <c r="BE266" s="429" t="s">
        <v>118</v>
      </c>
      <c r="BF266" s="289"/>
      <c r="BG266" s="289"/>
      <c r="BH266" s="290"/>
      <c r="BI266" s="289"/>
    </row>
    <row r="267" spans="1:61" ht="16.149999999999999" customHeight="1">
      <c r="A267" s="607" t="s">
        <v>169</v>
      </c>
      <c r="B267" s="536"/>
      <c r="C267" s="537"/>
      <c r="D267" s="538"/>
      <c r="E267" s="539"/>
      <c r="F267" s="539"/>
      <c r="G267" s="540">
        <v>50</v>
      </c>
      <c r="H267" s="541"/>
      <c r="I267" s="539"/>
      <c r="J267" s="537"/>
      <c r="K267" s="541"/>
      <c r="L267" s="449"/>
      <c r="M267" s="541" t="str">
        <f>IF(L267="","",
IF(AX267="PT",VLOOKUP(L267,Foundation_Calc!$V$79:$X$113,VLOOKUP(AX267,Foundation_Calc!$I$10:$J$13,2,FALSE),0),
IF(AX267="K",VLOOKUP(L267,Foundation_Calc!$V$117:$X$151,VLOOKUP(AX267,Foundation_Calc!$I$10:$J$13,2,FALSE),0),"")))</f>
        <v/>
      </c>
      <c r="N267" s="541"/>
      <c r="O267" s="541"/>
      <c r="P267" s="541"/>
      <c r="Q267" s="539"/>
      <c r="R267" s="540"/>
      <c r="S267" s="540"/>
      <c r="T267" s="539"/>
      <c r="U267" s="539"/>
      <c r="V267" s="539"/>
      <c r="W267" s="542"/>
      <c r="X267" s="542"/>
      <c r="Y267" s="542"/>
      <c r="Z267" s="542"/>
      <c r="AA267" s="542"/>
      <c r="AB267" s="542"/>
      <c r="AC267" s="541" t="str">
        <f t="shared" si="37"/>
        <v/>
      </c>
      <c r="AD267" s="541"/>
      <c r="AE267" s="541"/>
      <c r="AF267" s="539"/>
      <c r="AG267" s="538"/>
      <c r="AH267" s="539"/>
      <c r="AI267" s="539"/>
      <c r="AJ267" s="541"/>
      <c r="AK267" s="541"/>
      <c r="AL267" s="541"/>
      <c r="AM267" s="541"/>
      <c r="AN267" s="543"/>
      <c r="AO267" s="542"/>
      <c r="AP267" s="542"/>
      <c r="AQ267" s="542">
        <f>+FL_2($T$268,$T$266,$G$267,1200,9.28,-1*$F$268)</f>
        <v>-0.34300044394587254</v>
      </c>
      <c r="AR267" s="542"/>
      <c r="AS267" s="542"/>
      <c r="AT267" s="542"/>
      <c r="AU267" s="544"/>
      <c r="AV267" s="544"/>
      <c r="AW267" s="541" t="str">
        <f>IF(C267&gt;0,VLOOKUP(C267,Foundation_Calc!$A$2:$C$13,3,1),
IF(J267&gt;0,VLOOKUP(J267,Foundation_Calc!$A$2:$C$13,3,1),""))</f>
        <v/>
      </c>
      <c r="AX267" s="541" t="str">
        <f>IF(C267&gt;0,VLOOKUP(C267,Foundation_Calc!$E$2:$G$33,3,1),
IF(J267&gt;0,VLOOKUP(J267,Foundation_Calc!$E$2:$G$33,3,1),""))</f>
        <v/>
      </c>
      <c r="AY267" s="543" t="str">
        <f>IF(L267="","",
IF(AX267="PT",VLOOKUP(L267,Foundation_Calc!$K$79:$R$113,VLOOKUP(AW267,Foundation_Calc!$I$2:$J$8,2,FALSE),0),
IF(AX267="K",VLOOKUP(L267,Foundation_Calc!$K$117:$R$151,VLOOKUP(AW267,Foundation_Calc!$I$2:$J$8,2,FALSE),0),"")))</f>
        <v/>
      </c>
      <c r="AZ267" s="543" t="str">
        <f>IF(K267="","",
IF(AX267="PT",VLOOKUP(K267,Foundation_Calc!$K$79:$R$113,VLOOKUP(AW267,Foundation_Calc!$I$2:$J$8,2,FALSE),0),
IF(AX267="K",VLOOKUP(K267,Foundation_Calc!$K$117:$R$151,VLOOKUP(AW267,Foundation_Calc!$I$2:$J$8,2,FALSE),0),"")))</f>
        <v/>
      </c>
      <c r="BA267" s="550" t="str">
        <f t="shared" si="34"/>
        <v/>
      </c>
      <c r="BB267" s="550" t="str">
        <f t="shared" si="35"/>
        <v/>
      </c>
      <c r="BC267" s="550" t="str">
        <f t="shared" si="36"/>
        <v/>
      </c>
      <c r="BD267" s="516" t="str">
        <f>IF(AND(L267="",H267=""),"",
IF(H267="",Pole_Calc!A$9,
IF(H267="MP",Pole_Calc!A$10,
IF(H267="AnMP",Pole_Calc!A$11,
IF(H267="A",Pole_Calc!A$12,
IF(H267="S/A",Pole_Calc!A$13,
IF(H267="A/S",Pole_Calc!A$14,"Poner a mano")))))))</f>
        <v/>
      </c>
      <c r="BE267" s="429" t="s">
        <v>118</v>
      </c>
      <c r="BF267" s="290"/>
      <c r="BG267" s="290"/>
      <c r="BH267" s="290"/>
      <c r="BI267" s="290"/>
    </row>
    <row r="268" spans="1:61" ht="16.149999999999999" customHeight="1">
      <c r="A268" s="514"/>
      <c r="B268" s="450" t="s">
        <v>323</v>
      </c>
      <c r="C268" s="3">
        <f>+$C$266+$G$267</f>
        <v>36691.85</v>
      </c>
      <c r="D268" s="83"/>
      <c r="E268" s="4"/>
      <c r="F268" s="4">
        <f>(505^2)/(C268-36564.58)</f>
        <v>2003.8107959456779</v>
      </c>
      <c r="G268" s="6"/>
      <c r="H268" s="449"/>
      <c r="I268" s="4"/>
      <c r="J268" s="3"/>
      <c r="K268" s="449"/>
      <c r="L268" s="449" t="s">
        <v>158</v>
      </c>
      <c r="M268" s="449" t="str">
        <f>IF(L268="","",
IF(AX268="PT",VLOOKUP(L268,Foundation_Calc!$V$79:$X$113,VLOOKUP(AX268,Foundation_Calc!$I$10:$J$13,2,FALSE),0),
IF(AX268="K",VLOOKUP(L268,Foundation_Calc!$V$117:$X$151,VLOOKUP(AX268,Foundation_Calc!$I$10:$J$13,2,FALSE),0),"")))</f>
        <v>C4RT</v>
      </c>
      <c r="N268" s="449" t="s">
        <v>124</v>
      </c>
      <c r="O268" s="449"/>
      <c r="P268" s="449"/>
      <c r="Q268" s="4"/>
      <c r="R268" s="6"/>
      <c r="S268" s="6"/>
      <c r="T268" s="4">
        <v>-30</v>
      </c>
      <c r="U268" s="4"/>
      <c r="V268" s="4"/>
      <c r="W268" s="9">
        <v>1.4</v>
      </c>
      <c r="X268" s="9"/>
      <c r="Y268" s="9"/>
      <c r="Z268" s="9"/>
      <c r="AA268" s="9"/>
      <c r="AB268" s="9"/>
      <c r="AC268" s="449" t="str">
        <f t="shared" si="37"/>
        <v>PHQ</v>
      </c>
      <c r="AD268" s="449"/>
      <c r="AE268" s="449"/>
      <c r="AF268" s="4"/>
      <c r="AG268" s="83"/>
      <c r="AH268" s="4"/>
      <c r="AI268" s="4"/>
      <c r="AJ268" s="449"/>
      <c r="AK268" s="449"/>
      <c r="AL268" s="449"/>
      <c r="AM268" s="449" t="s">
        <v>126</v>
      </c>
      <c r="AN268" s="10">
        <v>5.5</v>
      </c>
      <c r="AO268" s="9"/>
      <c r="AP268" s="9"/>
      <c r="AQ268" s="9"/>
      <c r="AR268" s="9"/>
      <c r="AS268" s="9"/>
      <c r="AT268" s="9">
        <f>+ab($T$268,$T$266,$T$270,$G$267,$G$269,-1*$F$268,1200)</f>
        <v>-7.0833635582298342</v>
      </c>
      <c r="AU268" s="428"/>
      <c r="AV268" s="428"/>
      <c r="AW268" s="449" t="str">
        <f>IF(C268&gt;0,VLOOKUP(C268,Foundation_Calc!$A$2:$C$13,3,1),
IF(J268&gt;0,VLOOKUP(J268,Foundation_Calc!$A$2:$C$13,3,1),""))</f>
        <v>Multi Soil</v>
      </c>
      <c r="AX268" s="449" t="str">
        <f>IF(C268&gt;0,VLOOKUP(C268,Foundation_Calc!$E$2:$G$33,3,1),
IF(J268&gt;0,VLOOKUP(J268,Foundation_Calc!$E$2:$G$33,3,1),""))</f>
        <v>K</v>
      </c>
      <c r="AY268" s="10">
        <f>IF(L268="","",
IF(AX268="PT",VLOOKUP(L268,Foundation_Calc!$K$79:$R$113,VLOOKUP(AW268,Foundation_Calc!$I$2:$J$8,2,FALSE),0),
IF(AX268="K",VLOOKUP(L268,Foundation_Calc!$K$117:$R$151,VLOOKUP(AW268,Foundation_Calc!$I$2:$J$8,2,FALSE),0),"")))</f>
        <v>4.2</v>
      </c>
      <c r="AZ268" s="10" t="str">
        <f>IF(K268="","",
IF(AX268="PT",VLOOKUP(K268,Foundation_Calc!$K$79:$R$113,VLOOKUP(AW268,Foundation_Calc!$I$2:$J$8,2,FALSE),0),
IF(AX268="K",VLOOKUP(K268,Foundation_Calc!$K$117:$R$151,VLOOKUP(AW268,Foundation_Calc!$I$2:$J$8,2,FALSE),0),"")))</f>
        <v/>
      </c>
      <c r="BA268" s="495" t="str">
        <f t="shared" si="34"/>
        <v>ü</v>
      </c>
      <c r="BB268" s="495" t="str">
        <f t="shared" si="35"/>
        <v/>
      </c>
      <c r="BC268" s="495" t="str">
        <f t="shared" si="36"/>
        <v/>
      </c>
      <c r="BD268" s="513" t="str">
        <f>IF(AND(L268="",H268=""),"",
IF(H268="",Pole_Calc!A$9,
IF(H268="MP",Pole_Calc!A$10,
IF(H268="AnMP",Pole_Calc!A$11,
IF(H268="A",Pole_Calc!A$12,
IF(H268="S/A",Pole_Calc!A$13,
IF(H268="A/S",Pole_Calc!A$14,"Poner a mano")))))))</f>
        <v>App.7-V11I-P9.5.1.1</v>
      </c>
      <c r="BE268" s="429" t="s">
        <v>118</v>
      </c>
      <c r="BF268" s="289"/>
      <c r="BG268" s="289"/>
      <c r="BH268" s="290"/>
      <c r="BI268" s="289"/>
    </row>
    <row r="269" spans="1:61" ht="16.149999999999999" customHeight="1">
      <c r="A269" s="514"/>
      <c r="B269" s="450"/>
      <c r="C269" s="3"/>
      <c r="D269" s="83"/>
      <c r="E269" s="4"/>
      <c r="F269" s="4"/>
      <c r="G269" s="6">
        <v>50</v>
      </c>
      <c r="H269" s="449"/>
      <c r="I269" s="4"/>
      <c r="J269" s="3">
        <f>C270-7.5</f>
        <v>36734.35</v>
      </c>
      <c r="K269" s="449" t="s">
        <v>324</v>
      </c>
      <c r="L269" s="449"/>
      <c r="M269" s="449" t="str">
        <f>IF(L269="","",
IF(AX269="PT",VLOOKUP(L269,Foundation_Calc!$V$79:$X$113,VLOOKUP(AX269,Foundation_Calc!$I$10:$J$13,2,FALSE),0),
IF(AX269="K",VLOOKUP(L269,Foundation_Calc!$V$117:$X$151,VLOOKUP(AX269,Foundation_Calc!$I$10:$J$13,2,FALSE),0),"")))</f>
        <v/>
      </c>
      <c r="N269" s="449"/>
      <c r="O269" s="449"/>
      <c r="P269" s="449"/>
      <c r="Q269" s="4"/>
      <c r="R269" s="6"/>
      <c r="S269" s="6"/>
      <c r="T269" s="4"/>
      <c r="U269" s="4"/>
      <c r="V269" s="4"/>
      <c r="W269" s="9"/>
      <c r="X269" s="9"/>
      <c r="Y269" s="9"/>
      <c r="Z269" s="9"/>
      <c r="AA269" s="9"/>
      <c r="AB269" s="9"/>
      <c r="AC269" s="449" t="str">
        <f t="shared" si="37"/>
        <v/>
      </c>
      <c r="AD269" s="449"/>
      <c r="AE269" s="449"/>
      <c r="AF269" s="4"/>
      <c r="AG269" s="83"/>
      <c r="AH269" s="4"/>
      <c r="AI269" s="4"/>
      <c r="AJ269" s="449"/>
      <c r="AK269" s="449"/>
      <c r="AL269" s="449"/>
      <c r="AM269" s="449"/>
      <c r="AN269" s="10"/>
      <c r="AO269" s="9"/>
      <c r="AP269" s="9"/>
      <c r="AQ269" s="9">
        <f>+FL_2($T$270,$T$268,$G$269,1200,9.28,-1*$F$270)</f>
        <v>-0.33331886373108921</v>
      </c>
      <c r="AR269" s="9"/>
      <c r="AS269" s="9"/>
      <c r="AT269" s="9"/>
      <c r="AU269" s="428"/>
      <c r="AV269" s="428"/>
      <c r="AW269" s="449" t="str">
        <f>IF(C269&gt;0,VLOOKUP(C269,Foundation_Calc!$A$2:$C$13,3,1),
IF(J269&gt;0,VLOOKUP(J269,Foundation_Calc!$A$2:$C$13,3,1),""))</f>
        <v>Multi Soil</v>
      </c>
      <c r="AX269" s="449" t="str">
        <f>IF(C269&gt;0,VLOOKUP(C269,Foundation_Calc!$E$2:$G$33,3,1),
IF(J269&gt;0,VLOOKUP(J269,Foundation_Calc!$E$2:$G$33,3,1),""))</f>
        <v>K</v>
      </c>
      <c r="AY269" s="10" t="str">
        <f>IF(L269="","",
IF(AX269="PT",VLOOKUP(L269,Foundation_Calc!$K$79:$R$113,VLOOKUP(AW269,Foundation_Calc!$I$2:$J$8,2,FALSE),0),
IF(AX269="K",VLOOKUP(L269,Foundation_Calc!$K$117:$R$151,VLOOKUP(AW269,Foundation_Calc!$I$2:$J$8,2,FALSE),0),"")))</f>
        <v/>
      </c>
      <c r="AZ269" s="10">
        <f>IF(K269="","",
IF(AX269="PT",VLOOKUP(K269,Foundation_Calc!$K$79:$R$113,VLOOKUP(AW269,Foundation_Calc!$I$2:$J$8,2,FALSE),0),
IF(AX269="K",VLOOKUP(K269,Foundation_Calc!$K$117:$R$151,VLOOKUP(AW269,Foundation_Calc!$I$2:$J$8,2,FALSE),0),"")))</f>
        <v>2.8</v>
      </c>
      <c r="BA269" s="495" t="str">
        <f t="shared" si="34"/>
        <v/>
      </c>
      <c r="BB269" s="495" t="str">
        <f t="shared" si="35"/>
        <v>ü</v>
      </c>
      <c r="BC269" s="495" t="str">
        <f t="shared" si="36"/>
        <v/>
      </c>
      <c r="BD269" s="513" t="str">
        <f>IF(AND(L269="",H269=""),"",
IF(H269="",Pole_Calc!A$9,
IF(H269="MP",Pole_Calc!A$10,
IF(H269="AnMP",Pole_Calc!A$11,
IF(H269="A",Pole_Calc!A$12,
IF(H269="S/A",Pole_Calc!A$13,
IF(H269="A/S",Pole_Calc!A$14,"Poner a mano")))))))</f>
        <v/>
      </c>
      <c r="BE269" s="429" t="s">
        <v>118</v>
      </c>
      <c r="BF269" s="290"/>
      <c r="BG269" s="290"/>
      <c r="BH269" s="290"/>
      <c r="BI269" s="290"/>
    </row>
    <row r="270" spans="1:61" ht="16.149999999999999" customHeight="1">
      <c r="A270" s="514"/>
      <c r="B270" s="450" t="s">
        <v>325</v>
      </c>
      <c r="C270" s="3">
        <f>+$C$268+$G$269</f>
        <v>36741.85</v>
      </c>
      <c r="D270" s="83"/>
      <c r="E270" s="4"/>
      <c r="F270" s="4">
        <f>IF(C270&gt;0,VLOOKUP(C270,'ALIGNMENT TRACK'!$A$1:$K$81,9,1))</f>
        <v>1500</v>
      </c>
      <c r="G270" s="6"/>
      <c r="H270" s="449" t="s">
        <v>168</v>
      </c>
      <c r="I270" s="4">
        <f>SUM(G255:G271)</f>
        <v>483</v>
      </c>
      <c r="J270" s="3"/>
      <c r="K270" s="449"/>
      <c r="L270" s="449" t="s">
        <v>158</v>
      </c>
      <c r="M270" s="449" t="str">
        <f>IF(L270="","",
IF(AX270="PT",VLOOKUP(L270,Foundation_Calc!$V$79:$X$113,VLOOKUP(AX270,Foundation_Calc!$I$10:$J$13,2,FALSE),0),
IF(AX270="K",VLOOKUP(L270,Foundation_Calc!$V$117:$X$151,VLOOKUP(AX270,Foundation_Calc!$I$10:$J$13,2,FALSE),0),"")))</f>
        <v>C4RT</v>
      </c>
      <c r="N270" s="449" t="s">
        <v>124</v>
      </c>
      <c r="O270" s="449"/>
      <c r="P270" s="449"/>
      <c r="Q270" s="4"/>
      <c r="R270" s="6"/>
      <c r="S270" s="6"/>
      <c r="T270" s="4">
        <v>-30</v>
      </c>
      <c r="U270" s="4"/>
      <c r="V270" s="4"/>
      <c r="W270" s="9">
        <v>1.4</v>
      </c>
      <c r="X270" s="9"/>
      <c r="Y270" s="9"/>
      <c r="Z270" s="9"/>
      <c r="AA270" s="9"/>
      <c r="AB270" s="9"/>
      <c r="AC270" s="449" t="str">
        <f t="shared" si="37"/>
        <v>PHQ</v>
      </c>
      <c r="AD270" s="449"/>
      <c r="AE270" s="449"/>
      <c r="AF270" s="4"/>
      <c r="AG270" s="83"/>
      <c r="AH270" s="4"/>
      <c r="AI270" s="4"/>
      <c r="AJ270" s="449"/>
      <c r="AK270" s="449"/>
      <c r="AL270" s="449"/>
      <c r="AM270" s="449" t="s">
        <v>126</v>
      </c>
      <c r="AN270" s="10">
        <v>5.5</v>
      </c>
      <c r="AO270" s="9"/>
      <c r="AP270" s="9"/>
      <c r="AQ270" s="9"/>
      <c r="AR270" s="9"/>
      <c r="AS270" s="9"/>
      <c r="AT270" s="9">
        <f>+ab($T$270,$T$268,$T$272,$G$269,$G$271,-1*$F$270,1200)</f>
        <v>-5.7375244864003294</v>
      </c>
      <c r="AU270" s="428"/>
      <c r="AV270" s="428"/>
      <c r="AW270" s="449" t="str">
        <f>IF(C270&gt;0,VLOOKUP(C270,Foundation_Calc!$A$2:$C$13,3,1),
IF(J270&gt;0,VLOOKUP(J270,Foundation_Calc!$A$2:$C$13,3,1),""))</f>
        <v>Multi Soil</v>
      </c>
      <c r="AX270" s="449" t="str">
        <f>IF(C270&gt;0,VLOOKUP(C270,Foundation_Calc!$E$2:$G$33,3,1),
IF(J270&gt;0,VLOOKUP(J270,Foundation_Calc!$E$2:$G$33,3,1),""))</f>
        <v>K</v>
      </c>
      <c r="AY270" s="10">
        <f>IF(L270="","",
IF(AX270="PT",VLOOKUP(L270,Foundation_Calc!$K$79:$R$113,VLOOKUP(AW270,Foundation_Calc!$I$2:$J$8,2,FALSE),0),
IF(AX270="K",VLOOKUP(L270,Foundation_Calc!$K$117:$R$151,VLOOKUP(AW270,Foundation_Calc!$I$2:$J$8,2,FALSE),0),"")))</f>
        <v>4.2</v>
      </c>
      <c r="AZ270" s="10" t="str">
        <f>IF(K270="","",
IF(AX270="PT",VLOOKUP(K270,Foundation_Calc!$K$79:$R$113,VLOOKUP(AW270,Foundation_Calc!$I$2:$J$8,2,FALSE),0),
IF(AX270="K",VLOOKUP(K270,Foundation_Calc!$K$117:$R$151,VLOOKUP(AW270,Foundation_Calc!$I$2:$J$8,2,FALSE),0),"")))</f>
        <v/>
      </c>
      <c r="BA270" s="495" t="str">
        <f t="shared" si="34"/>
        <v>ü</v>
      </c>
      <c r="BB270" s="495" t="str">
        <f t="shared" si="35"/>
        <v/>
      </c>
      <c r="BC270" s="495" t="str">
        <f t="shared" si="36"/>
        <v/>
      </c>
      <c r="BD270" s="513" t="str">
        <f>IF(AND(L270="",H270=""),"",
IF(H270="",Pole_Calc!A$9,
IF(H270="MP",Pole_Calc!A$10,
IF(H270="AnMP",Pole_Calc!A$11,
IF(H270="A",Pole_Calc!A$12,
IF(H270="S/A",Pole_Calc!A$13,
IF(H270="A/S",Pole_Calc!A$14,"Poner a mano")))))))</f>
        <v>App.7-V11I-P9.5.1.3</v>
      </c>
      <c r="BE270" s="429" t="s">
        <v>118</v>
      </c>
      <c r="BF270" s="289"/>
      <c r="BG270" s="289"/>
      <c r="BH270" s="290"/>
      <c r="BI270" s="289"/>
    </row>
    <row r="271" spans="1:61" ht="16.149999999999999" customHeight="1">
      <c r="A271" s="514"/>
      <c r="B271" s="450"/>
      <c r="C271" s="3"/>
      <c r="D271" s="83"/>
      <c r="E271" s="4"/>
      <c r="F271" s="4"/>
      <c r="G271" s="6">
        <v>50</v>
      </c>
      <c r="H271" s="449"/>
      <c r="I271" s="4" t="s">
        <v>195</v>
      </c>
      <c r="J271" s="3">
        <f>C272-7.5</f>
        <v>36784.35</v>
      </c>
      <c r="K271" s="449" t="s">
        <v>324</v>
      </c>
      <c r="L271" s="449"/>
      <c r="M271" s="449" t="str">
        <f>IF(L271="","",
IF(AX271="PT",VLOOKUP(L271,Foundation_Calc!$V$79:$X$113,VLOOKUP(AX271,Foundation_Calc!$I$10:$J$13,2,FALSE),0),
IF(AX271="K",VLOOKUP(L271,Foundation_Calc!$V$117:$X$151,VLOOKUP(AX271,Foundation_Calc!$I$10:$J$13,2,FALSE),0),"")))</f>
        <v/>
      </c>
      <c r="N271" s="449"/>
      <c r="O271" s="449"/>
      <c r="P271" s="449"/>
      <c r="Q271" s="4"/>
      <c r="R271" s="6"/>
      <c r="S271" s="6"/>
      <c r="T271" s="4"/>
      <c r="U271" s="4"/>
      <c r="V271" s="4"/>
      <c r="W271" s="9"/>
      <c r="X271" s="9"/>
      <c r="Y271" s="9"/>
      <c r="Z271" s="9"/>
      <c r="AA271" s="9"/>
      <c r="AB271" s="9"/>
      <c r="AC271" s="449" t="str">
        <f t="shared" si="37"/>
        <v/>
      </c>
      <c r="AD271" s="449"/>
      <c r="AE271" s="449"/>
      <c r="AF271" s="4"/>
      <c r="AG271" s="83"/>
      <c r="AH271" s="4"/>
      <c r="AI271" s="4"/>
      <c r="AJ271" s="449"/>
      <c r="AK271" s="449"/>
      <c r="AL271" s="449"/>
      <c r="AM271" s="449"/>
      <c r="AN271" s="10"/>
      <c r="AO271" s="9"/>
      <c r="AP271" s="9"/>
      <c r="AQ271" s="9">
        <f>+FL_2($T$272,$T$270,$G$271,1200,9.28,-1*$F$272)</f>
        <v>-0.33331886373108921</v>
      </c>
      <c r="AR271" s="9"/>
      <c r="AS271" s="9"/>
      <c r="AT271" s="9"/>
      <c r="AU271" s="428"/>
      <c r="AV271" s="428"/>
      <c r="AW271" s="449" t="str">
        <f>IF(C271&gt;0,VLOOKUP(C271,Foundation_Calc!$A$2:$C$13,3,1),
IF(J271&gt;0,VLOOKUP(J271,Foundation_Calc!$A$2:$C$13,3,1),""))</f>
        <v>Multi Soil</v>
      </c>
      <c r="AX271" s="449" t="str">
        <f>IF(C271&gt;0,VLOOKUP(C271,Foundation_Calc!$E$2:$G$33,3,1),
IF(J271&gt;0,VLOOKUP(J271,Foundation_Calc!$E$2:$G$33,3,1),""))</f>
        <v>K</v>
      </c>
      <c r="AY271" s="10" t="str">
        <f>IF(L271="","",
IF(AX271="PT",VLOOKUP(L271,Foundation_Calc!$K$79:$R$113,VLOOKUP(AW271,Foundation_Calc!$I$2:$J$8,2,FALSE),0),
IF(AX271="K",VLOOKUP(L271,Foundation_Calc!$K$117:$R$151,VLOOKUP(AW271,Foundation_Calc!$I$2:$J$8,2,FALSE),0),"")))</f>
        <v/>
      </c>
      <c r="AZ271" s="10">
        <f>IF(K271="","",
IF(AX271="PT",VLOOKUP(K271,Foundation_Calc!$K$79:$R$113,VLOOKUP(AW271,Foundation_Calc!$I$2:$J$8,2,FALSE),0),
IF(AX271="K",VLOOKUP(K271,Foundation_Calc!$K$117:$R$151,VLOOKUP(AW271,Foundation_Calc!$I$2:$J$8,2,FALSE),0),"")))</f>
        <v>2.8</v>
      </c>
      <c r="BA271" s="495" t="str">
        <f t="shared" si="34"/>
        <v/>
      </c>
      <c r="BB271" s="495" t="str">
        <f t="shared" si="35"/>
        <v>ü</v>
      </c>
      <c r="BC271" s="495" t="str">
        <f t="shared" si="36"/>
        <v/>
      </c>
      <c r="BD271" s="513" t="str">
        <f>IF(AND(L271="",H271=""),"",
IF(H271="",Pole_Calc!A$9,
IF(H271="MP",Pole_Calc!A$10,
IF(H271="AnMP",Pole_Calc!A$11,
IF(H271="A",Pole_Calc!A$12,
IF(H271="S/A",Pole_Calc!A$13,
IF(H271="A/S",Pole_Calc!A$14,"Poner a mano")))))))</f>
        <v/>
      </c>
      <c r="BE271" s="429" t="s">
        <v>118</v>
      </c>
      <c r="BF271" s="290"/>
      <c r="BG271" s="290"/>
      <c r="BH271" s="290"/>
      <c r="BI271" s="290"/>
    </row>
    <row r="272" spans="1:61" ht="16.149999999999999" customHeight="1">
      <c r="A272" s="514"/>
      <c r="B272" s="450" t="s">
        <v>326</v>
      </c>
      <c r="C272" s="3">
        <f>+$C$270+$G$271</f>
        <v>36791.85</v>
      </c>
      <c r="D272" s="83"/>
      <c r="E272" s="4"/>
      <c r="F272" s="4">
        <f>IF(C272&gt;0,VLOOKUP(C272,'ALIGNMENT TRACK'!$A$1:$K$81,9,1))</f>
        <v>1500</v>
      </c>
      <c r="G272" s="6"/>
      <c r="H272" s="449" t="s">
        <v>171</v>
      </c>
      <c r="I272" s="4"/>
      <c r="J272" s="3"/>
      <c r="K272" s="449"/>
      <c r="L272" s="449" t="s">
        <v>158</v>
      </c>
      <c r="M272" s="449" t="str">
        <f>IF(L272="","",
IF(AX272="PT",VLOOKUP(L272,Foundation_Calc!$V$79:$X$113,VLOOKUP(AX272,Foundation_Calc!$I$10:$J$13,2,FALSE),0),
IF(AX272="K",VLOOKUP(L272,Foundation_Calc!$V$117:$X$151,VLOOKUP(AX272,Foundation_Calc!$I$10:$J$13,2,FALSE),0),"")))</f>
        <v>C4RT</v>
      </c>
      <c r="N272" s="449" t="s">
        <v>124</v>
      </c>
      <c r="O272" s="449"/>
      <c r="P272" s="449"/>
      <c r="Q272" s="4"/>
      <c r="R272" s="6"/>
      <c r="S272" s="6"/>
      <c r="T272" s="4">
        <v>-30</v>
      </c>
      <c r="U272" s="4"/>
      <c r="V272" s="4"/>
      <c r="W272" s="9">
        <v>1.4</v>
      </c>
      <c r="X272" s="9"/>
      <c r="Y272" s="9"/>
      <c r="Z272" s="9"/>
      <c r="AA272" s="9"/>
      <c r="AB272" s="9"/>
      <c r="AC272" s="449" t="str">
        <f t="shared" si="37"/>
        <v>PHQ</v>
      </c>
      <c r="AD272" s="449"/>
      <c r="AE272" s="449"/>
      <c r="AF272" s="4"/>
      <c r="AG272" s="83"/>
      <c r="AH272" s="4"/>
      <c r="AI272" s="4"/>
      <c r="AJ272" s="449"/>
      <c r="AK272" s="449"/>
      <c r="AL272" s="449"/>
      <c r="AM272" s="449" t="s">
        <v>126</v>
      </c>
      <c r="AN272" s="10">
        <v>5.5</v>
      </c>
      <c r="AO272" s="9"/>
      <c r="AP272" s="9"/>
      <c r="AQ272" s="9"/>
      <c r="AR272" s="9"/>
      <c r="AS272" s="9"/>
      <c r="AT272" s="9">
        <f>+ab($T$272,$T$270,$T$274,$G$271,$G$273,-1*$F$272,1200)</f>
        <v>-5.7375244864003294</v>
      </c>
      <c r="AU272" s="428"/>
      <c r="AV272" s="428"/>
      <c r="AW272" s="449" t="str">
        <f>IF(C272&gt;0,VLOOKUP(C272,Foundation_Calc!$A$2:$C$13,3,1),
IF(J272&gt;0,VLOOKUP(J272,Foundation_Calc!$A$2:$C$13,3,1),""))</f>
        <v>Multi Soil</v>
      </c>
      <c r="AX272" s="449" t="str">
        <f>IF(C272&gt;0,VLOOKUP(C272,Foundation_Calc!$E$2:$G$33,3,1),
IF(J272&gt;0,VLOOKUP(J272,Foundation_Calc!$E$2:$G$33,3,1),""))</f>
        <v>K</v>
      </c>
      <c r="AY272" s="10">
        <f>IF(L272="","",
IF(AX272="PT",VLOOKUP(L272,Foundation_Calc!$K$79:$R$113,VLOOKUP(AW272,Foundation_Calc!$I$2:$J$8,2,FALSE),0),
IF(AX272="K",VLOOKUP(L272,Foundation_Calc!$K$117:$R$151,VLOOKUP(AW272,Foundation_Calc!$I$2:$J$8,2,FALSE),0),"")))</f>
        <v>4.2</v>
      </c>
      <c r="AZ272" s="10" t="str">
        <f>IF(K272="","",
IF(AX272="PT",VLOOKUP(K272,Foundation_Calc!$K$79:$R$113,VLOOKUP(AW272,Foundation_Calc!$I$2:$J$8,2,FALSE),0),
IF(AX272="K",VLOOKUP(K272,Foundation_Calc!$K$117:$R$151,VLOOKUP(AW272,Foundation_Calc!$I$2:$J$8,2,FALSE),0),"")))</f>
        <v/>
      </c>
      <c r="BA272" s="495" t="str">
        <f t="shared" si="34"/>
        <v>ü</v>
      </c>
      <c r="BB272" s="495" t="str">
        <f t="shared" si="35"/>
        <v/>
      </c>
      <c r="BC272" s="495" t="str">
        <f t="shared" si="36"/>
        <v/>
      </c>
      <c r="BD272" s="513" t="str">
        <f>IF(AND(L272="",H272=""),"",
IF(H272="",Pole_Calc!A$9,
IF(H272="MP",Pole_Calc!A$10,
IF(H272="AnMP",Pole_Calc!A$11,
IF(H272="A",Pole_Calc!A$12,
IF(H272="S/A",Pole_Calc!A$13,
IF(H272="A/S",Pole_Calc!A$14,"Poner a mano")))))))</f>
        <v>App.7-V11I-P9.5.1.2</v>
      </c>
      <c r="BE272" s="429" t="s">
        <v>118</v>
      </c>
      <c r="BF272" s="289"/>
      <c r="BG272" s="289"/>
      <c r="BH272" s="290"/>
      <c r="BI272" s="289"/>
    </row>
    <row r="273" spans="1:61" ht="16.149999999999999" customHeight="1">
      <c r="A273" s="514"/>
      <c r="B273" s="450"/>
      <c r="C273" s="3"/>
      <c r="D273" s="83"/>
      <c r="E273" s="4"/>
      <c r="F273" s="4"/>
      <c r="G273" s="6">
        <v>50</v>
      </c>
      <c r="H273" s="449"/>
      <c r="I273" s="4" t="s">
        <v>195</v>
      </c>
      <c r="J273" s="3">
        <f>C272+7.5</f>
        <v>36799.35</v>
      </c>
      <c r="K273" s="449" t="s">
        <v>324</v>
      </c>
      <c r="L273" s="449"/>
      <c r="M273" s="449" t="str">
        <f>IF(L273="","",
IF(AX273="PT",VLOOKUP(L273,Foundation_Calc!$V$79:$X$113,VLOOKUP(AX273,Foundation_Calc!$I$10:$J$13,2,FALSE),0),
IF(AX273="K",VLOOKUP(L273,Foundation_Calc!$V$117:$X$151,VLOOKUP(AX273,Foundation_Calc!$I$10:$J$13,2,FALSE),0),"")))</f>
        <v/>
      </c>
      <c r="N273" s="449"/>
      <c r="O273" s="449"/>
      <c r="P273" s="449"/>
      <c r="Q273" s="4"/>
      <c r="R273" s="6"/>
      <c r="S273" s="6"/>
      <c r="T273" s="4"/>
      <c r="U273" s="4"/>
      <c r="V273" s="4"/>
      <c r="W273" s="9"/>
      <c r="X273" s="9"/>
      <c r="Y273" s="9"/>
      <c r="Z273" s="9"/>
      <c r="AA273" s="9"/>
      <c r="AB273" s="9"/>
      <c r="AC273" s="449" t="str">
        <f t="shared" si="37"/>
        <v/>
      </c>
      <c r="AD273" s="449"/>
      <c r="AE273" s="449"/>
      <c r="AF273" s="4"/>
      <c r="AG273" s="83"/>
      <c r="AH273" s="4"/>
      <c r="AI273" s="4"/>
      <c r="AJ273" s="449"/>
      <c r="AK273" s="449"/>
      <c r="AL273" s="449"/>
      <c r="AM273" s="449"/>
      <c r="AN273" s="10"/>
      <c r="AO273" s="9"/>
      <c r="AP273" s="9"/>
      <c r="AQ273" s="9">
        <f>+FL_2($T$274,$T$272,$G$273,1200,9.28,-1*$F$274)</f>
        <v>-0.38259493901606823</v>
      </c>
      <c r="AR273" s="9"/>
      <c r="AS273" s="9"/>
      <c r="AT273" s="9"/>
      <c r="AU273" s="428"/>
      <c r="AV273" s="428"/>
      <c r="AW273" s="449" t="str">
        <f>IF(C273&gt;0,VLOOKUP(C273,Foundation_Calc!$A$2:$C$13,3,1),
IF(J273&gt;0,VLOOKUP(J273,Foundation_Calc!$A$2:$C$13,3,1),""))</f>
        <v>Multi Soil</v>
      </c>
      <c r="AX273" s="449" t="str">
        <f>IF(C273&gt;0,VLOOKUP(C273,Foundation_Calc!$E$2:$G$33,3,1),
IF(J273&gt;0,VLOOKUP(J273,Foundation_Calc!$E$2:$G$33,3,1),""))</f>
        <v>K</v>
      </c>
      <c r="AY273" s="10" t="str">
        <f>IF(L273="","",
IF(AX273="PT",VLOOKUP(L273,Foundation_Calc!$K$79:$R$113,VLOOKUP(AW273,Foundation_Calc!$I$2:$J$8,2,FALSE),0),
IF(AX273="K",VLOOKUP(L273,Foundation_Calc!$K$117:$R$151,VLOOKUP(AW273,Foundation_Calc!$I$2:$J$8,2,FALSE),0),"")))</f>
        <v/>
      </c>
      <c r="AZ273" s="10">
        <f>IF(K273="","",
IF(AX273="PT",VLOOKUP(K273,Foundation_Calc!$K$79:$R$113,VLOOKUP(AW273,Foundation_Calc!$I$2:$J$8,2,FALSE),0),
IF(AX273="K",VLOOKUP(K273,Foundation_Calc!$K$117:$R$151,VLOOKUP(AW273,Foundation_Calc!$I$2:$J$8,2,FALSE),0),"")))</f>
        <v>2.8</v>
      </c>
      <c r="BA273" s="495" t="str">
        <f t="shared" si="34"/>
        <v/>
      </c>
      <c r="BB273" s="495" t="str">
        <f t="shared" si="35"/>
        <v>ü</v>
      </c>
      <c r="BC273" s="495" t="str">
        <f t="shared" si="36"/>
        <v/>
      </c>
      <c r="BD273" s="513" t="str">
        <f>IF(AND(L273="",H273=""),"",
IF(H273="",Pole_Calc!A$9,
IF(H273="MP",Pole_Calc!A$10,
IF(H273="AnMP",Pole_Calc!A$11,
IF(H273="A",Pole_Calc!A$12,
IF(H273="S/A",Pole_Calc!A$13,
IF(H273="A/S",Pole_Calc!A$14,"Poner a mano")))))))</f>
        <v/>
      </c>
      <c r="BE273" s="429" t="s">
        <v>118</v>
      </c>
      <c r="BF273" s="290"/>
      <c r="BG273" s="290"/>
      <c r="BH273" s="290"/>
      <c r="BI273" s="290"/>
    </row>
    <row r="274" spans="1:61" ht="16.149999999999999" customHeight="1">
      <c r="A274" s="514"/>
      <c r="B274" s="450" t="s">
        <v>327</v>
      </c>
      <c r="C274" s="3">
        <f>+$C$272+$G$273</f>
        <v>36841.85</v>
      </c>
      <c r="D274" s="83"/>
      <c r="E274" s="4"/>
      <c r="F274" s="4">
        <f>-(505^2)/(C274-36971.66)</f>
        <v>1964.6021107772151</v>
      </c>
      <c r="G274" s="6"/>
      <c r="H274" s="449" t="s">
        <v>168</v>
      </c>
      <c r="I274" s="4">
        <f>SUM(G273:G291)</f>
        <v>518</v>
      </c>
      <c r="J274" s="3"/>
      <c r="K274" s="449"/>
      <c r="L274" s="449" t="s">
        <v>158</v>
      </c>
      <c r="M274" s="449" t="str">
        <f>IF(L274="","",
IF(AX274="PT",VLOOKUP(L274,Foundation_Calc!$V$79:$X$113,VLOOKUP(AX274,Foundation_Calc!$I$10:$J$13,2,FALSE),0),
IF(AX274="K",VLOOKUP(L274,Foundation_Calc!$V$117:$X$151,VLOOKUP(AX274,Foundation_Calc!$I$10:$J$13,2,FALSE),0),"")))</f>
        <v>C4RT</v>
      </c>
      <c r="N274" s="449" t="s">
        <v>124</v>
      </c>
      <c r="O274" s="449"/>
      <c r="P274" s="449"/>
      <c r="Q274" s="4"/>
      <c r="R274" s="6"/>
      <c r="S274" s="6"/>
      <c r="T274" s="4">
        <v>-30</v>
      </c>
      <c r="U274" s="4"/>
      <c r="V274" s="4"/>
      <c r="W274" s="9">
        <v>1.4</v>
      </c>
      <c r="X274" s="9"/>
      <c r="Y274" s="9"/>
      <c r="Z274" s="9"/>
      <c r="AA274" s="9"/>
      <c r="AB274" s="9"/>
      <c r="AC274" s="449" t="str">
        <f t="shared" si="37"/>
        <v>PHQ</v>
      </c>
      <c r="AD274" s="449"/>
      <c r="AE274" s="449"/>
      <c r="AF274" s="4"/>
      <c r="AG274" s="83"/>
      <c r="AH274" s="4"/>
      <c r="AI274" s="4"/>
      <c r="AJ274" s="449"/>
      <c r="AK274" s="449"/>
      <c r="AL274" s="449"/>
      <c r="AM274" s="449" t="s">
        <v>126</v>
      </c>
      <c r="AN274" s="10">
        <v>5.5</v>
      </c>
      <c r="AO274" s="9"/>
      <c r="AP274" s="9"/>
      <c r="AQ274" s="9"/>
      <c r="AR274" s="9"/>
      <c r="AS274" s="9"/>
      <c r="AT274" s="9">
        <f>+ab($T$274,$T$272,$T$276,$G$273,$G$275,-1*$F$274,1200)</f>
        <v>-6.9561316653487051</v>
      </c>
      <c r="AU274" s="428"/>
      <c r="AV274" s="428"/>
      <c r="AW274" s="449" t="str">
        <f>IF(C274&gt;0,VLOOKUP(C274,Foundation_Calc!$A$2:$C$13,3,1),
IF(J274&gt;0,VLOOKUP(J274,Foundation_Calc!$A$2:$C$13,3,1),""))</f>
        <v>Multi Soil</v>
      </c>
      <c r="AX274" s="449" t="str">
        <f>IF(C274&gt;0,VLOOKUP(C274,Foundation_Calc!$E$2:$G$33,3,1),
IF(J274&gt;0,VLOOKUP(J274,Foundation_Calc!$E$2:$G$33,3,1),""))</f>
        <v>K</v>
      </c>
      <c r="AY274" s="10">
        <f>IF(L274="","",
IF(AX274="PT",VLOOKUP(L274,Foundation_Calc!$K$79:$R$113,VLOOKUP(AW274,Foundation_Calc!$I$2:$J$8,2,FALSE),0),
IF(AX274="K",VLOOKUP(L274,Foundation_Calc!$K$117:$R$151,VLOOKUP(AW274,Foundation_Calc!$I$2:$J$8,2,FALSE),0),"")))</f>
        <v>4.2</v>
      </c>
      <c r="AZ274" s="10" t="str">
        <f>IF(K274="","",
IF(AX274="PT",VLOOKUP(K274,Foundation_Calc!$K$79:$R$113,VLOOKUP(AW274,Foundation_Calc!$I$2:$J$8,2,FALSE),0),
IF(AX274="K",VLOOKUP(K274,Foundation_Calc!$K$117:$R$151,VLOOKUP(AW274,Foundation_Calc!$I$2:$J$8,2,FALSE),0),"")))</f>
        <v/>
      </c>
      <c r="BA274" s="495" t="str">
        <f t="shared" si="34"/>
        <v>ü</v>
      </c>
      <c r="BB274" s="495" t="str">
        <f t="shared" si="35"/>
        <v/>
      </c>
      <c r="BC274" s="495" t="str">
        <f t="shared" si="36"/>
        <v/>
      </c>
      <c r="BD274" s="513" t="str">
        <f>IF(AND(L274="",H274=""),"",
IF(H274="",Pole_Calc!A$9,
IF(H274="MP",Pole_Calc!A$10,
IF(H274="AnMP",Pole_Calc!A$11,
IF(H274="A",Pole_Calc!A$12,
IF(H274="S/A",Pole_Calc!A$13,
IF(H274="A/S",Pole_Calc!A$14,"Poner a mano")))))))</f>
        <v>App.7-V11I-P9.5.1.3</v>
      </c>
      <c r="BE274" s="429" t="s">
        <v>118</v>
      </c>
      <c r="BF274" s="289"/>
      <c r="BG274" s="289"/>
      <c r="BH274" s="290"/>
      <c r="BI274" s="289"/>
    </row>
    <row r="275" spans="1:61" ht="16.149999999999999" customHeight="1">
      <c r="A275" s="514"/>
      <c r="B275" s="450"/>
      <c r="C275" s="3"/>
      <c r="D275" s="83"/>
      <c r="E275" s="4"/>
      <c r="F275" s="4"/>
      <c r="G275" s="6">
        <v>50</v>
      </c>
      <c r="H275" s="449"/>
      <c r="I275" s="4"/>
      <c r="J275" s="3">
        <f>C274+7.5</f>
        <v>36849.35</v>
      </c>
      <c r="K275" s="449" t="s">
        <v>324</v>
      </c>
      <c r="L275" s="449"/>
      <c r="M275" s="449" t="str">
        <f>IF(L275="","",
IF(AX275="PT",VLOOKUP(L275,Foundation_Calc!$V$79:$X$113,VLOOKUP(AX275,Foundation_Calc!$I$10:$J$13,2,FALSE),0),
IF(AX275="K",VLOOKUP(L275,Foundation_Calc!$V$117:$X$151,VLOOKUP(AX275,Foundation_Calc!$I$10:$J$13,2,FALSE),0),"")))</f>
        <v/>
      </c>
      <c r="N275" s="449"/>
      <c r="O275" s="449"/>
      <c r="P275" s="449"/>
      <c r="Q275" s="4"/>
      <c r="R275" s="6"/>
      <c r="S275" s="6"/>
      <c r="T275" s="4"/>
      <c r="U275" s="4"/>
      <c r="V275" s="4"/>
      <c r="W275" s="9"/>
      <c r="X275" s="9"/>
      <c r="Y275" s="9"/>
      <c r="Z275" s="9"/>
      <c r="AA275" s="9"/>
      <c r="AB275" s="9"/>
      <c r="AC275" s="449" t="str">
        <f t="shared" si="37"/>
        <v/>
      </c>
      <c r="AD275" s="449"/>
      <c r="AE275" s="449"/>
      <c r="AF275" s="4"/>
      <c r="AG275" s="83"/>
      <c r="AH275" s="4"/>
      <c r="AI275" s="4"/>
      <c r="AJ275" s="449"/>
      <c r="AK275" s="449"/>
      <c r="AL275" s="449"/>
      <c r="AM275" s="449"/>
      <c r="AN275" s="10"/>
      <c r="AO275" s="9"/>
      <c r="AP275" s="9"/>
      <c r="AQ275" s="9">
        <f>+FL_2($T$276,$T$274,$G$275,1200,9.28,-1*$F$276)</f>
        <v>-0.39821267340150346</v>
      </c>
      <c r="AR275" s="9"/>
      <c r="AS275" s="9"/>
      <c r="AT275" s="9"/>
      <c r="AU275" s="428"/>
      <c r="AV275" s="428"/>
      <c r="AW275" s="449" t="str">
        <f>IF(C275&gt;0,VLOOKUP(C275,Foundation_Calc!$A$2:$C$13,3,1),
IF(J275&gt;0,VLOOKUP(J275,Foundation_Calc!$A$2:$C$13,3,1),""))</f>
        <v>Multi Soil</v>
      </c>
      <c r="AX275" s="449" t="str">
        <f>IF(C275&gt;0,VLOOKUP(C275,Foundation_Calc!$E$2:$G$33,3,1),
IF(J275&gt;0,VLOOKUP(J275,Foundation_Calc!$E$2:$G$33,3,1),""))</f>
        <v>K</v>
      </c>
      <c r="AY275" s="10" t="str">
        <f>IF(L275="","",
IF(AX275="PT",VLOOKUP(L275,Foundation_Calc!$K$79:$R$113,VLOOKUP(AW275,Foundation_Calc!$I$2:$J$8,2,FALSE),0),
IF(AX275="K",VLOOKUP(L275,Foundation_Calc!$K$117:$R$151,VLOOKUP(AW275,Foundation_Calc!$I$2:$J$8,2,FALSE),0),"")))</f>
        <v/>
      </c>
      <c r="AZ275" s="10">
        <f>IF(K275="","",
IF(AX275="PT",VLOOKUP(K275,Foundation_Calc!$K$79:$R$113,VLOOKUP(AW275,Foundation_Calc!$I$2:$J$8,2,FALSE),0),
IF(AX275="K",VLOOKUP(K275,Foundation_Calc!$K$117:$R$151,VLOOKUP(AW275,Foundation_Calc!$I$2:$J$8,2,FALSE),0),"")))</f>
        <v>2.8</v>
      </c>
      <c r="BA275" s="495" t="str">
        <f t="shared" si="34"/>
        <v/>
      </c>
      <c r="BB275" s="495" t="str">
        <f t="shared" si="35"/>
        <v>ü</v>
      </c>
      <c r="BC275" s="495" t="str">
        <f t="shared" si="36"/>
        <v/>
      </c>
      <c r="BD275" s="513" t="str">
        <f>IF(AND(L275="",H275=""),"",
IF(H275="",Pole_Calc!A$9,
IF(H275="MP",Pole_Calc!A$10,
IF(H275="AnMP",Pole_Calc!A$11,
IF(H275="A",Pole_Calc!A$12,
IF(H275="S/A",Pole_Calc!A$13,
IF(H275="A/S",Pole_Calc!A$14,"Poner a mano")))))))</f>
        <v/>
      </c>
      <c r="BE275" s="429" t="s">
        <v>118</v>
      </c>
      <c r="BF275" s="290"/>
      <c r="BG275" s="290"/>
      <c r="BH275" s="290"/>
      <c r="BI275" s="290"/>
    </row>
    <row r="276" spans="1:61" ht="16.149999999999999" customHeight="1">
      <c r="A276" s="514"/>
      <c r="B276" s="450" t="s">
        <v>328</v>
      </c>
      <c r="C276" s="3">
        <f>+$C$274+$G$275</f>
        <v>36891.85</v>
      </c>
      <c r="D276" s="83"/>
      <c r="E276" s="4"/>
      <c r="F276" s="4">
        <f>-(505^2)/(C276-36971.66)</f>
        <v>3195.4015787493322</v>
      </c>
      <c r="G276" s="6"/>
      <c r="H276" s="449"/>
      <c r="I276" s="4"/>
      <c r="J276" s="3"/>
      <c r="K276" s="449"/>
      <c r="L276" s="449" t="s">
        <v>153</v>
      </c>
      <c r="M276" s="449" t="str">
        <f>IF(L276="","",
IF(AX276="PT",VLOOKUP(L276,Foundation_Calc!$V$79:$X$113,VLOOKUP(AX276,Foundation_Calc!$I$10:$J$13,2,FALSE),0),
IF(AX276="K",VLOOKUP(L276,Foundation_Calc!$V$117:$X$151,VLOOKUP(AX276,Foundation_Calc!$I$10:$J$13,2,FALSE),0),"")))</f>
        <v>C3RT</v>
      </c>
      <c r="N276" s="449" t="s">
        <v>124</v>
      </c>
      <c r="O276" s="449"/>
      <c r="P276" s="449"/>
      <c r="Q276" s="4"/>
      <c r="R276" s="6"/>
      <c r="S276" s="6"/>
      <c r="T276" s="4">
        <v>-20</v>
      </c>
      <c r="U276" s="4"/>
      <c r="V276" s="4"/>
      <c r="W276" s="9">
        <v>1.4</v>
      </c>
      <c r="X276" s="9"/>
      <c r="Y276" s="9"/>
      <c r="Z276" s="9"/>
      <c r="AA276" s="9"/>
      <c r="AB276" s="9"/>
      <c r="AC276" s="449" t="str">
        <f t="shared" si="37"/>
        <v>PH</v>
      </c>
      <c r="AD276" s="449"/>
      <c r="AE276" s="449"/>
      <c r="AF276" s="4"/>
      <c r="AG276" s="83"/>
      <c r="AH276" s="4"/>
      <c r="AI276" s="4"/>
      <c r="AJ276" s="449"/>
      <c r="AK276" s="449"/>
      <c r="AL276" s="449"/>
      <c r="AM276" s="449" t="s">
        <v>126</v>
      </c>
      <c r="AN276" s="10">
        <v>5.5</v>
      </c>
      <c r="AO276" s="9"/>
      <c r="AP276" s="9"/>
      <c r="AQ276" s="9"/>
      <c r="AR276" s="9"/>
      <c r="AS276" s="9"/>
      <c r="AT276" s="9">
        <f>+ab($T$276,$T$274,$T$278,$G$275,$G$277,-1*$F$276,1200)</f>
        <v>-8.4120548613422965</v>
      </c>
      <c r="AU276" s="428"/>
      <c r="AV276" s="428"/>
      <c r="AW276" s="449" t="str">
        <f>IF(C276&gt;0,VLOOKUP(C276,Foundation_Calc!$A$2:$C$13,3,1),
IF(J276&gt;0,VLOOKUP(J276,Foundation_Calc!$A$2:$C$13,3,1),""))</f>
        <v>Multi Soil</v>
      </c>
      <c r="AX276" s="449" t="str">
        <f>IF(C276&gt;0,VLOOKUP(C276,Foundation_Calc!$E$2:$G$33,3,1),
IF(J276&gt;0,VLOOKUP(J276,Foundation_Calc!$E$2:$G$33,3,1),""))</f>
        <v>K</v>
      </c>
      <c r="AY276" s="10">
        <f>IF(L276="","",
IF(AX276="PT",VLOOKUP(L276,Foundation_Calc!$K$79:$R$113,VLOOKUP(AW276,Foundation_Calc!$I$2:$J$8,2,FALSE),0),
IF(AX276="K",VLOOKUP(L276,Foundation_Calc!$K$117:$R$151,VLOOKUP(AW276,Foundation_Calc!$I$2:$J$8,2,FALSE),0),"")))</f>
        <v>4</v>
      </c>
      <c r="AZ276" s="10" t="str">
        <f>IF(K276="","",
IF(AX276="PT",VLOOKUP(K276,Foundation_Calc!$K$79:$R$113,VLOOKUP(AW276,Foundation_Calc!$I$2:$J$8,2,FALSE),0),
IF(AX276="K",VLOOKUP(K276,Foundation_Calc!$K$117:$R$151,VLOOKUP(AW276,Foundation_Calc!$I$2:$J$8,2,FALSE),0),"")))</f>
        <v/>
      </c>
      <c r="BA276" s="495" t="str">
        <f t="shared" si="34"/>
        <v>ü</v>
      </c>
      <c r="BB276" s="495" t="str">
        <f t="shared" si="35"/>
        <v/>
      </c>
      <c r="BC276" s="495" t="str">
        <f t="shared" si="36"/>
        <v/>
      </c>
      <c r="BD276" s="513" t="str">
        <f>IF(AND(L276="",H276=""),"",
IF(H276="",Pole_Calc!A$9,
IF(H276="MP",Pole_Calc!A$10,
IF(H276="AnMP",Pole_Calc!A$11,
IF(H276="A",Pole_Calc!A$12,
IF(H276="S/A",Pole_Calc!A$13,
IF(H276="A/S",Pole_Calc!A$14,"Poner a mano")))))))</f>
        <v>App.7-V11I-P9.5.1.1</v>
      </c>
      <c r="BE276" s="429" t="s">
        <v>118</v>
      </c>
      <c r="BF276" s="289"/>
      <c r="BG276" s="289"/>
      <c r="BH276" s="290"/>
      <c r="BI276" s="289"/>
    </row>
    <row r="277" spans="1:61" ht="16.149999999999999" customHeight="1">
      <c r="A277" s="514"/>
      <c r="B277" s="450"/>
      <c r="C277" s="3"/>
      <c r="D277" s="83"/>
      <c r="E277" s="4"/>
      <c r="F277" s="4"/>
      <c r="G277" s="6">
        <v>50</v>
      </c>
      <c r="H277" s="449"/>
      <c r="I277" s="4"/>
      <c r="J277" s="3"/>
      <c r="K277" s="449"/>
      <c r="L277" s="449"/>
      <c r="M277" s="449" t="str">
        <f>IF(L277="","",
IF(AX277="PT",VLOOKUP(L277,Foundation_Calc!$V$79:$X$113,VLOOKUP(AX277,Foundation_Calc!$I$10:$J$13,2,FALSE),0),
IF(AX277="K",VLOOKUP(L277,Foundation_Calc!$V$117:$X$151,VLOOKUP(AX277,Foundation_Calc!$I$10:$J$13,2,FALSE),0),"")))</f>
        <v/>
      </c>
      <c r="N277" s="449"/>
      <c r="O277" s="449"/>
      <c r="P277" s="449"/>
      <c r="Q277" s="4"/>
      <c r="R277" s="6"/>
      <c r="S277" s="6"/>
      <c r="T277" s="4"/>
      <c r="U277" s="4"/>
      <c r="V277" s="4"/>
      <c r="W277" s="9"/>
      <c r="X277" s="9"/>
      <c r="Y277" s="9"/>
      <c r="Z277" s="9"/>
      <c r="AA277" s="9"/>
      <c r="AB277" s="9"/>
      <c r="AC277" s="449" t="str">
        <f t="shared" si="37"/>
        <v/>
      </c>
      <c r="AD277" s="449"/>
      <c r="AE277" s="449"/>
      <c r="AF277" s="4"/>
      <c r="AG277" s="83"/>
      <c r="AH277" s="4"/>
      <c r="AI277" s="4"/>
      <c r="AJ277" s="449"/>
      <c r="AK277" s="449"/>
      <c r="AL277" s="449"/>
      <c r="AM277" s="449"/>
      <c r="AN277" s="10"/>
      <c r="AO277" s="9"/>
      <c r="AP277" s="9"/>
      <c r="AQ277" s="9">
        <f>+FL_1($T$278,$T$276,$G$277,1200,9.28,-1*$F$278)</f>
        <v>0.3486891789857533</v>
      </c>
      <c r="AR277" s="9"/>
      <c r="AS277" s="9"/>
      <c r="AT277" s="9"/>
      <c r="AU277" s="428"/>
      <c r="AV277" s="428"/>
      <c r="AW277" s="449" t="str">
        <f>IF(C277&gt;0,VLOOKUP(C277,Foundation_Calc!$A$2:$C$13,3,1),
IF(J277&gt;0,VLOOKUP(J277,Foundation_Calc!$A$2:$C$13,3,1),""))</f>
        <v/>
      </c>
      <c r="AX277" s="449" t="str">
        <f>IF(C277&gt;0,VLOOKUP(C277,Foundation_Calc!$E$2:$G$33,3,1),
IF(J277&gt;0,VLOOKUP(J277,Foundation_Calc!$E$2:$G$33,3,1),""))</f>
        <v/>
      </c>
      <c r="AY277" s="10" t="str">
        <f>IF(L277="","",
IF(AX277="PT",VLOOKUP(L277,Foundation_Calc!$K$79:$R$113,VLOOKUP(AW277,Foundation_Calc!$I$2:$J$8,2,FALSE),0),
IF(AX277="K",VLOOKUP(L277,Foundation_Calc!$K$117:$R$151,VLOOKUP(AW277,Foundation_Calc!$I$2:$J$8,2,FALSE),0),"")))</f>
        <v/>
      </c>
      <c r="AZ277" s="10" t="str">
        <f>IF(K277="","",
IF(AX277="PT",VLOOKUP(K277,Foundation_Calc!$K$79:$R$113,VLOOKUP(AW277,Foundation_Calc!$I$2:$J$8,2,FALSE),0),
IF(AX277="K",VLOOKUP(K277,Foundation_Calc!$K$117:$R$151,VLOOKUP(AW277,Foundation_Calc!$I$2:$J$8,2,FALSE),0),"")))</f>
        <v/>
      </c>
      <c r="BA277" s="495" t="str">
        <f t="shared" si="34"/>
        <v/>
      </c>
      <c r="BB277" s="495" t="str">
        <f t="shared" si="35"/>
        <v/>
      </c>
      <c r="BC277" s="495" t="str">
        <f t="shared" si="36"/>
        <v/>
      </c>
      <c r="BD277" s="513" t="str">
        <f>IF(AND(L277="",H277=""),"",
IF(H277="",Pole_Calc!A$9,
IF(H277="MP",Pole_Calc!A$10,
IF(H277="AnMP",Pole_Calc!A$11,
IF(H277="A",Pole_Calc!A$12,
IF(H277="S/A",Pole_Calc!A$13,
IF(H277="A/S",Pole_Calc!A$14,"Poner a mano")))))))</f>
        <v/>
      </c>
      <c r="BE277" s="429" t="s">
        <v>118</v>
      </c>
      <c r="BF277" s="290"/>
      <c r="BG277" s="290"/>
      <c r="BH277" s="290"/>
      <c r="BI277" s="290"/>
    </row>
    <row r="278" spans="1:61" ht="16.149999999999999" customHeight="1">
      <c r="A278" s="514"/>
      <c r="B278" s="450" t="s">
        <v>329</v>
      </c>
      <c r="C278" s="3">
        <f>+$C$276+$G$277</f>
        <v>36941.85</v>
      </c>
      <c r="D278" s="83"/>
      <c r="E278" s="4"/>
      <c r="F278" s="4">
        <f>-(505^2)/(C278-36971.66)</f>
        <v>8555.0150956040816</v>
      </c>
      <c r="G278" s="6"/>
      <c r="H278" s="449"/>
      <c r="I278" s="4"/>
      <c r="J278" s="3"/>
      <c r="K278" s="449"/>
      <c r="L278" s="449" t="s">
        <v>153</v>
      </c>
      <c r="M278" s="449" t="str">
        <f>IF(L278="","",
IF(AX278="PT",VLOOKUP(L278,Foundation_Calc!$V$79:$X$113,VLOOKUP(AX278,Foundation_Calc!$I$10:$J$13,2,FALSE),0),
IF(AX278="K",VLOOKUP(L278,Foundation_Calc!$V$117:$X$151,VLOOKUP(AX278,Foundation_Calc!$I$10:$J$13,2,FALSE),0),"")))</f>
        <v>C3RT</v>
      </c>
      <c r="N278" s="449" t="s">
        <v>134</v>
      </c>
      <c r="O278" s="449"/>
      <c r="P278" s="449"/>
      <c r="Q278" s="4"/>
      <c r="R278" s="6"/>
      <c r="S278" s="6"/>
      <c r="T278" s="4">
        <v>25</v>
      </c>
      <c r="U278" s="4"/>
      <c r="V278" s="4"/>
      <c r="W278" s="9">
        <v>1.4</v>
      </c>
      <c r="X278" s="9"/>
      <c r="Y278" s="9"/>
      <c r="Z278" s="9"/>
      <c r="AA278" s="9"/>
      <c r="AB278" s="9"/>
      <c r="AC278" s="449" t="str">
        <f t="shared" si="37"/>
        <v>PH</v>
      </c>
      <c r="AD278" s="449"/>
      <c r="AE278" s="449"/>
      <c r="AF278" s="4"/>
      <c r="AG278" s="83"/>
      <c r="AH278" s="4"/>
      <c r="AI278" s="4"/>
      <c r="AJ278" s="449"/>
      <c r="AK278" s="449"/>
      <c r="AL278" s="449"/>
      <c r="AM278" s="449" t="s">
        <v>126</v>
      </c>
      <c r="AN278" s="10">
        <v>5.5</v>
      </c>
      <c r="AO278" s="9"/>
      <c r="AP278" s="9"/>
      <c r="AQ278" s="9"/>
      <c r="AR278" s="9"/>
      <c r="AS278" s="9"/>
      <c r="AT278" s="9">
        <f>+ab($T$278,$T$276,$T$280,$G$277,$G$279,-1*$F$278,1200)</f>
        <v>12.461331849337782</v>
      </c>
      <c r="AU278" s="428"/>
      <c r="AV278" s="428"/>
      <c r="AW278" s="449" t="str">
        <f>IF(C278&gt;0,VLOOKUP(C278,Foundation_Calc!$A$2:$C$13,3,1),
IF(J278&gt;0,VLOOKUP(J278,Foundation_Calc!$A$2:$C$13,3,1),""))</f>
        <v>Multi Soil</v>
      </c>
      <c r="AX278" s="449" t="str">
        <f>IF(C278&gt;0,VLOOKUP(C278,Foundation_Calc!$E$2:$G$33,3,1),
IF(J278&gt;0,VLOOKUP(J278,Foundation_Calc!$E$2:$G$33,3,1),""))</f>
        <v>K</v>
      </c>
      <c r="AY278" s="10">
        <f>IF(L278="","",
IF(AX278="PT",VLOOKUP(L278,Foundation_Calc!$K$79:$R$113,VLOOKUP(AW278,Foundation_Calc!$I$2:$J$8,2,FALSE),0),
IF(AX278="K",VLOOKUP(L278,Foundation_Calc!$K$117:$R$151,VLOOKUP(AW278,Foundation_Calc!$I$2:$J$8,2,FALSE),0),"")))</f>
        <v>4</v>
      </c>
      <c r="AZ278" s="10" t="str">
        <f>IF(K278="","",
IF(AX278="PT",VLOOKUP(K278,Foundation_Calc!$K$79:$R$113,VLOOKUP(AW278,Foundation_Calc!$I$2:$J$8,2,FALSE),0),
IF(AX278="K",VLOOKUP(K278,Foundation_Calc!$K$117:$R$151,VLOOKUP(AW278,Foundation_Calc!$I$2:$J$8,2,FALSE),0),"")))</f>
        <v/>
      </c>
      <c r="BA278" s="495" t="str">
        <f t="shared" si="34"/>
        <v>ü</v>
      </c>
      <c r="BB278" s="495" t="str">
        <f t="shared" si="35"/>
        <v/>
      </c>
      <c r="BC278" s="495" t="str">
        <f t="shared" si="36"/>
        <v/>
      </c>
      <c r="BD278" s="513" t="str">
        <f>IF(AND(L278="",H278=""),"",
IF(H278="",Pole_Calc!A$9,
IF(H278="MP",Pole_Calc!A$10,
IF(H278="AnMP",Pole_Calc!A$11,
IF(H278="A",Pole_Calc!A$12,
IF(H278="S/A",Pole_Calc!A$13,
IF(H278="A/S",Pole_Calc!A$14,"Poner a mano")))))))</f>
        <v>App.7-V11I-P9.5.1.1</v>
      </c>
      <c r="BE278" s="429" t="s">
        <v>118</v>
      </c>
      <c r="BF278" s="289"/>
      <c r="BG278" s="289"/>
      <c r="BH278" s="290"/>
      <c r="BI278" s="289"/>
    </row>
    <row r="279" spans="1:61" ht="16.149999999999999" customHeight="1">
      <c r="A279" s="514"/>
      <c r="B279" s="450"/>
      <c r="C279" s="3"/>
      <c r="D279" s="83"/>
      <c r="E279" s="4"/>
      <c r="F279" s="4"/>
      <c r="G279" s="6">
        <v>50</v>
      </c>
      <c r="H279" s="449"/>
      <c r="I279" s="4"/>
      <c r="J279" s="3"/>
      <c r="K279" s="449"/>
      <c r="L279" s="449"/>
      <c r="M279" s="449" t="str">
        <f>IF(L279="","",
IF(AX279="PT",VLOOKUP(L279,Foundation_Calc!$V$79:$X$113,VLOOKUP(AX279,Foundation_Calc!$I$10:$J$13,2,FALSE),0),
IF(AX279="K",VLOOKUP(L279,Foundation_Calc!$V$117:$X$151,VLOOKUP(AX279,Foundation_Calc!$I$10:$J$13,2,FALSE),0),"")))</f>
        <v/>
      </c>
      <c r="N279" s="449"/>
      <c r="O279" s="449"/>
      <c r="P279" s="449"/>
      <c r="Q279" s="4"/>
      <c r="R279" s="6"/>
      <c r="S279" s="6"/>
      <c r="T279" s="4"/>
      <c r="U279" s="4"/>
      <c r="V279" s="4"/>
      <c r="W279" s="9"/>
      <c r="X279" s="9"/>
      <c r="Y279" s="9"/>
      <c r="Z279" s="9"/>
      <c r="AA279" s="9"/>
      <c r="AB279" s="9"/>
      <c r="AC279" s="449" t="str">
        <f t="shared" si="37"/>
        <v/>
      </c>
      <c r="AD279" s="449"/>
      <c r="AE279" s="449"/>
      <c r="AF279" s="4"/>
      <c r="AG279" s="83"/>
      <c r="AH279" s="4"/>
      <c r="AI279" s="4"/>
      <c r="AJ279" s="449"/>
      <c r="AK279" s="449"/>
      <c r="AL279" s="449"/>
      <c r="AM279" s="449"/>
      <c r="AN279" s="10"/>
      <c r="AO279" s="9"/>
      <c r="AP279" s="9"/>
      <c r="AQ279" s="9">
        <f>+FL_2($T$280,$T$278,$G$279,1200,9.28,-1*$F$280)</f>
        <v>-0.384770112</v>
      </c>
      <c r="AR279" s="9"/>
      <c r="AS279" s="9"/>
      <c r="AT279" s="9"/>
      <c r="AU279" s="428"/>
      <c r="AV279" s="428"/>
      <c r="AW279" s="449" t="str">
        <f>IF(C279&gt;0,VLOOKUP(C279,Foundation_Calc!$A$2:$C$13,3,1),
IF(J279&gt;0,VLOOKUP(J279,Foundation_Calc!$A$2:$C$13,3,1),""))</f>
        <v/>
      </c>
      <c r="AX279" s="449" t="str">
        <f>IF(C279&gt;0,VLOOKUP(C279,Foundation_Calc!$E$2:$G$33,3,1),
IF(J279&gt;0,VLOOKUP(J279,Foundation_Calc!$E$2:$G$33,3,1),""))</f>
        <v/>
      </c>
      <c r="AY279" s="10" t="str">
        <f>IF(L279="","",
IF(AX279="PT",VLOOKUP(L279,Foundation_Calc!$K$79:$R$113,VLOOKUP(AW279,Foundation_Calc!$I$2:$J$8,2,FALSE),0),
IF(AX279="K",VLOOKUP(L279,Foundation_Calc!$K$117:$R$151,VLOOKUP(AW279,Foundation_Calc!$I$2:$J$8,2,FALSE),0),"")))</f>
        <v/>
      </c>
      <c r="AZ279" s="10" t="str">
        <f>IF(K279="","",
IF(AX279="PT",VLOOKUP(K279,Foundation_Calc!$K$79:$R$113,VLOOKUP(AW279,Foundation_Calc!$I$2:$J$8,2,FALSE),0),
IF(AX279="K",VLOOKUP(K279,Foundation_Calc!$K$117:$R$151,VLOOKUP(AW279,Foundation_Calc!$I$2:$J$8,2,FALSE),0),"")))</f>
        <v/>
      </c>
      <c r="BA279" s="495" t="str">
        <f t="shared" si="34"/>
        <v/>
      </c>
      <c r="BB279" s="495" t="str">
        <f t="shared" si="35"/>
        <v/>
      </c>
      <c r="BC279" s="495" t="str">
        <f t="shared" si="36"/>
        <v/>
      </c>
      <c r="BD279" s="513" t="str">
        <f>IF(AND(L279="",H279=""),"",
IF(H279="",Pole_Calc!A$9,
IF(H279="MP",Pole_Calc!A$10,
IF(H279="AnMP",Pole_Calc!A$11,
IF(H279="A",Pole_Calc!A$12,
IF(H279="S/A",Pole_Calc!A$13,
IF(H279="A/S",Pole_Calc!A$14,"Poner a mano")))))))</f>
        <v/>
      </c>
      <c r="BE279" s="429" t="s">
        <v>118</v>
      </c>
      <c r="BF279" s="290"/>
      <c r="BG279" s="290"/>
      <c r="BH279" s="290"/>
      <c r="BI279" s="290"/>
    </row>
    <row r="280" spans="1:61" ht="16.149999999999999" customHeight="1">
      <c r="A280" s="514"/>
      <c r="B280" s="450" t="s">
        <v>330</v>
      </c>
      <c r="C280" s="3">
        <f>+$C$278+$G$279</f>
        <v>36991.85</v>
      </c>
      <c r="D280" s="83"/>
      <c r="E280" s="4"/>
      <c r="F280" s="4">
        <f>IF(C280&gt;0,VLOOKUP(C280,'ALIGNMENT TRACK'!$A$1:$K$81,9,1))</f>
        <v>0</v>
      </c>
      <c r="G280" s="6"/>
      <c r="H280" s="449"/>
      <c r="I280" s="4"/>
      <c r="J280" s="3"/>
      <c r="K280" s="449"/>
      <c r="L280" s="449" t="s">
        <v>153</v>
      </c>
      <c r="M280" s="449" t="str">
        <f>IF(L280="","",
IF(AX280="PT",VLOOKUP(L280,Foundation_Calc!$V$79:$X$113,VLOOKUP(AX280,Foundation_Calc!$I$10:$J$13,2,FALSE),0),
IF(AX280="K",VLOOKUP(L280,Foundation_Calc!$V$117:$X$151,VLOOKUP(AX280,Foundation_Calc!$I$10:$J$13,2,FALSE),0),"")))</f>
        <v>C3RT</v>
      </c>
      <c r="N280" s="449" t="s">
        <v>124</v>
      </c>
      <c r="O280" s="449"/>
      <c r="P280" s="449"/>
      <c r="Q280" s="4"/>
      <c r="R280" s="6"/>
      <c r="S280" s="6"/>
      <c r="T280" s="4">
        <v>-35</v>
      </c>
      <c r="U280" s="4"/>
      <c r="V280" s="4"/>
      <c r="W280" s="9">
        <v>1.4</v>
      </c>
      <c r="X280" s="9"/>
      <c r="Y280" s="9"/>
      <c r="Z280" s="9"/>
      <c r="AA280" s="9"/>
      <c r="AB280" s="9"/>
      <c r="AC280" s="449" t="str">
        <f t="shared" si="37"/>
        <v>PHQ</v>
      </c>
      <c r="AD280" s="449"/>
      <c r="AE280" s="449"/>
      <c r="AF280" s="4"/>
      <c r="AG280" s="83"/>
      <c r="AH280" s="4"/>
      <c r="AI280" s="4"/>
      <c r="AJ280" s="449"/>
      <c r="AK280" s="449"/>
      <c r="AL280" s="449"/>
      <c r="AM280" s="449" t="s">
        <v>126</v>
      </c>
      <c r="AN280" s="10">
        <v>5.5</v>
      </c>
      <c r="AO280" s="9"/>
      <c r="AP280" s="9"/>
      <c r="AQ280" s="9"/>
      <c r="AR280" s="9"/>
      <c r="AS280" s="9"/>
      <c r="AT280" s="9">
        <f>+ab($T$280,$T$278,$T$282,$G$279,$G$281,-1*$F$280,1200)</f>
        <v>-7.9217688487470204</v>
      </c>
      <c r="AU280" s="428"/>
      <c r="AV280" s="428"/>
      <c r="AW280" s="449" t="str">
        <f>IF(C280&gt;0,VLOOKUP(C280,Foundation_Calc!$A$2:$C$13,3,1),
IF(J280&gt;0,VLOOKUP(J280,Foundation_Calc!$A$2:$C$13,3,1),""))</f>
        <v>Multi Soil</v>
      </c>
      <c r="AX280" s="449" t="str">
        <f>IF(C280&gt;0,VLOOKUP(C280,Foundation_Calc!$E$2:$G$33,3,1),
IF(J280&gt;0,VLOOKUP(J280,Foundation_Calc!$E$2:$G$33,3,1),""))</f>
        <v>K</v>
      </c>
      <c r="AY280" s="10">
        <f>IF(L280="","",
IF(AX280="PT",VLOOKUP(L280,Foundation_Calc!$K$79:$R$113,VLOOKUP(AW280,Foundation_Calc!$I$2:$J$8,2,FALSE),0),
IF(AX280="K",VLOOKUP(L280,Foundation_Calc!$K$117:$R$151,VLOOKUP(AW280,Foundation_Calc!$I$2:$J$8,2,FALSE),0),"")))</f>
        <v>4</v>
      </c>
      <c r="AZ280" s="10" t="str">
        <f>IF(K280="","",
IF(AX280="PT",VLOOKUP(K280,Foundation_Calc!$K$79:$R$113,VLOOKUP(AW280,Foundation_Calc!$I$2:$J$8,2,FALSE),0),
IF(AX280="K",VLOOKUP(K280,Foundation_Calc!$K$117:$R$151,VLOOKUP(AW280,Foundation_Calc!$I$2:$J$8,2,FALSE),0),"")))</f>
        <v/>
      </c>
      <c r="BA280" s="495" t="str">
        <f t="shared" si="34"/>
        <v>ü</v>
      </c>
      <c r="BB280" s="495" t="str">
        <f t="shared" si="35"/>
        <v/>
      </c>
      <c r="BC280" s="495" t="str">
        <f t="shared" si="36"/>
        <v/>
      </c>
      <c r="BD280" s="513" t="str">
        <f>IF(AND(L280="",H280=""),"",
IF(H280="",Pole_Calc!A$9,
IF(H280="MP",Pole_Calc!A$10,
IF(H280="AnMP",Pole_Calc!A$11,
IF(H280="A",Pole_Calc!A$12,
IF(H280="S/A",Pole_Calc!A$13,
IF(H280="A/S",Pole_Calc!A$14,"Poner a mano")))))))</f>
        <v>App.7-V11I-P9.5.1.1</v>
      </c>
      <c r="BE280" s="429" t="s">
        <v>118</v>
      </c>
      <c r="BF280" s="289"/>
      <c r="BG280" s="289"/>
      <c r="BH280" s="290"/>
      <c r="BI280" s="289"/>
    </row>
    <row r="281" spans="1:61" ht="16.149999999999999" customHeight="1">
      <c r="A281" s="514"/>
      <c r="B281" s="450"/>
      <c r="C281" s="3"/>
      <c r="D281" s="83"/>
      <c r="E281" s="4"/>
      <c r="F281" s="4"/>
      <c r="G281" s="6">
        <v>58</v>
      </c>
      <c r="H281" s="449"/>
      <c r="I281" s="4"/>
      <c r="J281" s="3"/>
      <c r="K281" s="449"/>
      <c r="L281" s="449"/>
      <c r="M281" s="449" t="str">
        <f>IF(L281="","",
IF(AX281="PT",VLOOKUP(L281,Foundation_Calc!$V$79:$X$113,VLOOKUP(AX281,Foundation_Calc!$I$10:$J$13,2,FALSE),0),
IF(AX281="K",VLOOKUP(L281,Foundation_Calc!$V$117:$X$151,VLOOKUP(AX281,Foundation_Calc!$I$10:$J$13,2,FALSE),0),"")))</f>
        <v/>
      </c>
      <c r="N281" s="449"/>
      <c r="O281" s="449"/>
      <c r="P281" s="449"/>
      <c r="Q281" s="4"/>
      <c r="R281" s="6"/>
      <c r="S281" s="6"/>
      <c r="T281" s="4"/>
      <c r="U281" s="4"/>
      <c r="V281" s="4"/>
      <c r="W281" s="9"/>
      <c r="X281" s="9"/>
      <c r="Y281" s="9"/>
      <c r="Z281" s="9"/>
      <c r="AA281" s="9"/>
      <c r="AB281" s="9"/>
      <c r="AC281" s="449" t="str">
        <f t="shared" si="37"/>
        <v/>
      </c>
      <c r="AD281" s="449"/>
      <c r="AE281" s="449"/>
      <c r="AF281" s="4"/>
      <c r="AG281" s="83"/>
      <c r="AH281" s="4"/>
      <c r="AI281" s="4"/>
      <c r="AJ281" s="449"/>
      <c r="AK281" s="449"/>
      <c r="AL281" s="449"/>
      <c r="AM281" s="449"/>
      <c r="AN281" s="10"/>
      <c r="AO281" s="9"/>
      <c r="AP281" s="9"/>
      <c r="AQ281" s="9">
        <f>+FL_2($T$282,$T$280,$G$281,1200,9.28,-1*$F$282)</f>
        <v>-0.41936333972413781</v>
      </c>
      <c r="AR281" s="9"/>
      <c r="AS281" s="9"/>
      <c r="AT281" s="9"/>
      <c r="AU281" s="428"/>
      <c r="AV281" s="428"/>
      <c r="AW281" s="449" t="str">
        <f>IF(C281&gt;0,VLOOKUP(C281,Foundation_Calc!$A$2:$C$13,3,1),
IF(J281&gt;0,VLOOKUP(J281,Foundation_Calc!$A$2:$C$13,3,1),""))</f>
        <v/>
      </c>
      <c r="AX281" s="449" t="str">
        <f>IF(C281&gt;0,VLOOKUP(C281,Foundation_Calc!$E$2:$G$33,3,1),
IF(J281&gt;0,VLOOKUP(J281,Foundation_Calc!$E$2:$G$33,3,1),""))</f>
        <v/>
      </c>
      <c r="AY281" s="10" t="str">
        <f>IF(L281="","",
IF(AX281="PT",VLOOKUP(L281,Foundation_Calc!$K$79:$R$113,VLOOKUP(AW281,Foundation_Calc!$I$2:$J$8,2,FALSE),0),
IF(AX281="K",VLOOKUP(L281,Foundation_Calc!$K$117:$R$151,VLOOKUP(AW281,Foundation_Calc!$I$2:$J$8,2,FALSE),0),"")))</f>
        <v/>
      </c>
      <c r="AZ281" s="10" t="str">
        <f>IF(K281="","",
IF(AX281="PT",VLOOKUP(K281,Foundation_Calc!$K$79:$R$113,VLOOKUP(AW281,Foundation_Calc!$I$2:$J$8,2,FALSE),0),
IF(AX281="K",VLOOKUP(K281,Foundation_Calc!$K$117:$R$151,VLOOKUP(AW281,Foundation_Calc!$I$2:$J$8,2,FALSE),0),"")))</f>
        <v/>
      </c>
      <c r="BA281" s="495" t="str">
        <f t="shared" si="34"/>
        <v/>
      </c>
      <c r="BB281" s="495" t="str">
        <f t="shared" si="35"/>
        <v/>
      </c>
      <c r="BC281" s="495" t="str">
        <f t="shared" si="36"/>
        <v/>
      </c>
      <c r="BD281" s="513" t="str">
        <f>IF(AND(L281="",H281=""),"",
IF(H281="",Pole_Calc!A$9,
IF(H281="MP",Pole_Calc!A$10,
IF(H281="AnMP",Pole_Calc!A$11,
IF(H281="A",Pole_Calc!A$12,
IF(H281="S/A",Pole_Calc!A$13,
IF(H281="A/S",Pole_Calc!A$14,"Poner a mano")))))))</f>
        <v/>
      </c>
      <c r="BE281" s="429" t="s">
        <v>118</v>
      </c>
      <c r="BF281" s="290"/>
      <c r="BG281" s="290"/>
      <c r="BH281" s="290"/>
      <c r="BI281" s="290"/>
    </row>
    <row r="282" spans="1:61" ht="16.149999999999999" customHeight="1">
      <c r="A282" s="514"/>
      <c r="B282" s="450" t="s">
        <v>331</v>
      </c>
      <c r="C282" s="3">
        <f>+$C$280+$G$281</f>
        <v>37049.85</v>
      </c>
      <c r="D282" s="83"/>
      <c r="E282" s="4"/>
      <c r="F282" s="4">
        <f>IF(C282&gt;0,VLOOKUP(C282,'ALIGNMENT TRACK'!$A$1:$K$81,9,1))</f>
        <v>0</v>
      </c>
      <c r="G282" s="6"/>
      <c r="H282" s="449"/>
      <c r="I282" s="4"/>
      <c r="J282" s="3"/>
      <c r="K282" s="449"/>
      <c r="L282" s="449" t="s">
        <v>153</v>
      </c>
      <c r="M282" s="449" t="str">
        <f>IF(L282="","",
IF(AX282="PT",VLOOKUP(L282,Foundation_Calc!$V$79:$X$113,VLOOKUP(AX282,Foundation_Calc!$I$10:$J$13,2,FALSE),0),
IF(AX282="K",VLOOKUP(L282,Foundation_Calc!$V$117:$X$151,VLOOKUP(AX282,Foundation_Calc!$I$10:$J$13,2,FALSE),0),"")))</f>
        <v>C3R</v>
      </c>
      <c r="N282" s="449" t="s">
        <v>134</v>
      </c>
      <c r="O282" s="449"/>
      <c r="P282" s="449"/>
      <c r="Q282" s="4"/>
      <c r="R282" s="6"/>
      <c r="S282" s="6"/>
      <c r="T282" s="4">
        <v>35</v>
      </c>
      <c r="U282" s="4"/>
      <c r="V282" s="4"/>
      <c r="W282" s="9">
        <v>1.4</v>
      </c>
      <c r="X282" s="9"/>
      <c r="Y282" s="9"/>
      <c r="Z282" s="9"/>
      <c r="AA282" s="9"/>
      <c r="AB282" s="9"/>
      <c r="AC282" s="449" t="str">
        <f t="shared" si="37"/>
        <v>PHQ</v>
      </c>
      <c r="AD282" s="449"/>
      <c r="AE282" s="449"/>
      <c r="AF282" s="4"/>
      <c r="AG282" s="83"/>
      <c r="AH282" s="4"/>
      <c r="AI282" s="4"/>
      <c r="AJ282" s="449"/>
      <c r="AK282" s="449"/>
      <c r="AL282" s="449"/>
      <c r="AM282" s="449" t="s">
        <v>126</v>
      </c>
      <c r="AN282" s="10">
        <v>5.5</v>
      </c>
      <c r="AO282" s="9"/>
      <c r="AP282" s="9"/>
      <c r="AQ282" s="9"/>
      <c r="AR282" s="9"/>
      <c r="AS282" s="9"/>
      <c r="AT282" s="9">
        <f>+ab($T$282,$T$280,$T$284,$G$281,$G$283,-1*$F$282,1200)</f>
        <v>7.6922123920196848</v>
      </c>
      <c r="AU282" s="428"/>
      <c r="AV282" s="428"/>
      <c r="AW282" s="449" t="str">
        <f>IF(C282&gt;0,VLOOKUP(C282,Foundation_Calc!$A$2:$C$13,3,1),
IF(J282&gt;0,VLOOKUP(J282,Foundation_Calc!$A$2:$C$13,3,1),""))</f>
        <v>Multi Soil</v>
      </c>
      <c r="AX282" s="449" t="str">
        <f>IF(C282&gt;0,VLOOKUP(C282,Foundation_Calc!$E$2:$G$33,3,1),
IF(J282&gt;0,VLOOKUP(J282,Foundation_Calc!$E$2:$G$33,3,1),""))</f>
        <v>PT</v>
      </c>
      <c r="AY282" s="10">
        <f>IF(L282="","",
IF(AX282="PT",VLOOKUP(L282,Foundation_Calc!$K$79:$R$113,VLOOKUP(AW282,Foundation_Calc!$I$2:$J$8,2,FALSE),0),
IF(AX282="K",VLOOKUP(L282,Foundation_Calc!$K$117:$R$151,VLOOKUP(AW282,Foundation_Calc!$I$2:$J$8,2,FALSE),0),"")))</f>
        <v>3.5</v>
      </c>
      <c r="AZ282" s="10" t="str">
        <f>IF(K282="","",
IF(AX282="PT",VLOOKUP(K282,Foundation_Calc!$K$79:$R$113,VLOOKUP(AW282,Foundation_Calc!$I$2:$J$8,2,FALSE),0),
IF(AX282="K",VLOOKUP(K282,Foundation_Calc!$K$117:$R$151,VLOOKUP(AW282,Foundation_Calc!$I$2:$J$8,2,FALSE),0),"")))</f>
        <v/>
      </c>
      <c r="BA282" s="495" t="str">
        <f t="shared" si="34"/>
        <v>ü</v>
      </c>
      <c r="BB282" s="495" t="str">
        <f t="shared" si="35"/>
        <v/>
      </c>
      <c r="BC282" s="495" t="str">
        <f t="shared" si="36"/>
        <v/>
      </c>
      <c r="BD282" s="513" t="str">
        <f>IF(AND(L282="",H282=""),"",
IF(H282="",Pole_Calc!A$9,
IF(H282="MP",Pole_Calc!A$10,
IF(H282="AnMP",Pole_Calc!A$11,
IF(H282="A",Pole_Calc!A$12,
IF(H282="S/A",Pole_Calc!A$13,
IF(H282="A/S",Pole_Calc!A$14,"Poner a mano")))))))</f>
        <v>App.7-V11I-P9.5.1.1</v>
      </c>
      <c r="BE282" s="429" t="s">
        <v>118</v>
      </c>
      <c r="BF282" s="289"/>
      <c r="BG282" s="289"/>
      <c r="BH282" s="290"/>
      <c r="BI282" s="289"/>
    </row>
    <row r="283" spans="1:61" ht="16.149999999999999" customHeight="1">
      <c r="A283" s="514"/>
      <c r="B283" s="450"/>
      <c r="C283" s="3"/>
      <c r="D283" s="83"/>
      <c r="E283" s="4"/>
      <c r="F283" s="4"/>
      <c r="G283" s="6">
        <v>55</v>
      </c>
      <c r="H283" s="449"/>
      <c r="I283" s="4"/>
      <c r="J283" s="3"/>
      <c r="K283" s="449"/>
      <c r="L283" s="449"/>
      <c r="M283" s="449" t="str">
        <f>IF(L283="","",
IF(AX283="PT",VLOOKUP(L283,Foundation_Calc!$V$79:$X$113,VLOOKUP(AX283,Foundation_Calc!$I$10:$J$13,2,FALSE),0),
IF(AX283="K",VLOOKUP(L283,Foundation_Calc!$V$117:$X$151,VLOOKUP(AX283,Foundation_Calc!$I$10:$J$13,2,FALSE),0),"")))</f>
        <v/>
      </c>
      <c r="N283" s="449"/>
      <c r="O283" s="449"/>
      <c r="P283" s="449"/>
      <c r="Q283" s="4"/>
      <c r="R283" s="6"/>
      <c r="S283" s="6"/>
      <c r="T283" s="4"/>
      <c r="U283" s="4"/>
      <c r="V283" s="4"/>
      <c r="W283" s="9"/>
      <c r="X283" s="9"/>
      <c r="Y283" s="9"/>
      <c r="Z283" s="9"/>
      <c r="AA283" s="9"/>
      <c r="AB283" s="9"/>
      <c r="AC283" s="449" t="str">
        <f t="shared" si="37"/>
        <v/>
      </c>
      <c r="AD283" s="449"/>
      <c r="AE283" s="449"/>
      <c r="AF283" s="4"/>
      <c r="AG283" s="83"/>
      <c r="AH283" s="4"/>
      <c r="AI283" s="4"/>
      <c r="AJ283" s="449"/>
      <c r="AK283" s="449"/>
      <c r="AL283" s="449"/>
      <c r="AM283" s="449"/>
      <c r="AN283" s="10"/>
      <c r="AO283" s="9"/>
      <c r="AP283" s="9"/>
      <c r="AQ283" s="9">
        <f>+FL_1($T$284,$T$282,$G$283,1200,9.28,-1*$F$284)</f>
        <v>0.39714735709090898</v>
      </c>
      <c r="AR283" s="9"/>
      <c r="AS283" s="9"/>
      <c r="AT283" s="9"/>
      <c r="AU283" s="428"/>
      <c r="AV283" s="428"/>
      <c r="AW283" s="449" t="str">
        <f>IF(C283&gt;0,VLOOKUP(C283,Foundation_Calc!$A$2:$C$13,3,1),
IF(J283&gt;0,VLOOKUP(J283,Foundation_Calc!$A$2:$C$13,3,1),""))</f>
        <v/>
      </c>
      <c r="AX283" s="449" t="str">
        <f>IF(C283&gt;0,VLOOKUP(C283,Foundation_Calc!$E$2:$G$33,3,1),
IF(J283&gt;0,VLOOKUP(J283,Foundation_Calc!$E$2:$G$33,3,1),""))</f>
        <v/>
      </c>
      <c r="AY283" s="10" t="str">
        <f>IF(L283="","",
IF(AX283="PT",VLOOKUP(L283,Foundation_Calc!$K$79:$R$113,VLOOKUP(AW283,Foundation_Calc!$I$2:$J$8,2,FALSE),0),
IF(AX283="K",VLOOKUP(L283,Foundation_Calc!$K$117:$R$151,VLOOKUP(AW283,Foundation_Calc!$I$2:$J$8,2,FALSE),0),"")))</f>
        <v/>
      </c>
      <c r="AZ283" s="10" t="str">
        <f>IF(K283="","",
IF(AX283="PT",VLOOKUP(K283,Foundation_Calc!$K$79:$R$113,VLOOKUP(AW283,Foundation_Calc!$I$2:$J$8,2,FALSE),0),
IF(AX283="K",VLOOKUP(K283,Foundation_Calc!$K$117:$R$151,VLOOKUP(AW283,Foundation_Calc!$I$2:$J$8,2,FALSE),0),"")))</f>
        <v/>
      </c>
      <c r="BA283" s="495" t="str">
        <f t="shared" si="34"/>
        <v/>
      </c>
      <c r="BB283" s="495" t="str">
        <f t="shared" si="35"/>
        <v/>
      </c>
      <c r="BC283" s="495" t="str">
        <f t="shared" si="36"/>
        <v/>
      </c>
      <c r="BD283" s="513" t="str">
        <f>IF(AND(L283="",H283=""),"",
IF(H283="",Pole_Calc!A$9,
IF(H283="MP",Pole_Calc!A$10,
IF(H283="AnMP",Pole_Calc!A$11,
IF(H283="A",Pole_Calc!A$12,
IF(H283="S/A",Pole_Calc!A$13,
IF(H283="A/S",Pole_Calc!A$14,"Poner a mano")))))))</f>
        <v/>
      </c>
      <c r="BE283" s="429" t="s">
        <v>118</v>
      </c>
      <c r="BF283" s="290"/>
      <c r="BG283" s="290"/>
      <c r="BH283" s="290"/>
      <c r="BI283" s="290"/>
    </row>
    <row r="284" spans="1:61" ht="16.149999999999999" customHeight="1">
      <c r="A284" s="518"/>
      <c r="B284" s="450" t="s">
        <v>332</v>
      </c>
      <c r="C284" s="3">
        <f>+$C$282+$G$283</f>
        <v>37104.85</v>
      </c>
      <c r="D284" s="83"/>
      <c r="E284" s="4"/>
      <c r="F284" s="4">
        <f>IF(C284&gt;0,VLOOKUP(C284,'ALIGNMENT TRACK'!$A$1:$K$81,9,1))</f>
        <v>0</v>
      </c>
      <c r="G284" s="6"/>
      <c r="H284" s="449"/>
      <c r="I284" s="4"/>
      <c r="J284" s="3"/>
      <c r="K284" s="449"/>
      <c r="L284" s="449" t="s">
        <v>153</v>
      </c>
      <c r="M284" s="449" t="str">
        <f>IF(L284="","",
IF(AX284="PT",VLOOKUP(L284,Foundation_Calc!$V$79:$X$113,VLOOKUP(AX284,Foundation_Calc!$I$10:$J$13,2,FALSE),0),
IF(AX284="K",VLOOKUP(L284,Foundation_Calc!$V$117:$X$151,VLOOKUP(AX284,Foundation_Calc!$I$10:$J$13,2,FALSE),0),"")))</f>
        <v>C3R</v>
      </c>
      <c r="N284" s="449" t="s">
        <v>124</v>
      </c>
      <c r="O284" s="449"/>
      <c r="P284" s="449"/>
      <c r="Q284" s="4"/>
      <c r="R284" s="6"/>
      <c r="S284" s="6"/>
      <c r="T284" s="4">
        <v>-35</v>
      </c>
      <c r="U284" s="4"/>
      <c r="V284" s="4"/>
      <c r="W284" s="9">
        <v>1.4</v>
      </c>
      <c r="X284" s="9"/>
      <c r="Y284" s="9"/>
      <c r="Z284" s="9"/>
      <c r="AA284" s="9"/>
      <c r="AB284" s="9"/>
      <c r="AC284" s="449" t="str">
        <f t="shared" si="37"/>
        <v>PHQ</v>
      </c>
      <c r="AD284" s="449"/>
      <c r="AE284" s="449"/>
      <c r="AF284" s="4"/>
      <c r="AG284" s="83"/>
      <c r="AH284" s="4"/>
      <c r="AI284" s="4"/>
      <c r="AJ284" s="449"/>
      <c r="AK284" s="449"/>
      <c r="AL284" s="449"/>
      <c r="AM284" s="449" t="s">
        <v>126</v>
      </c>
      <c r="AN284" s="10">
        <v>5.5</v>
      </c>
      <c r="AO284" s="9"/>
      <c r="AP284" s="9"/>
      <c r="AQ284" s="9"/>
      <c r="AR284" s="9"/>
      <c r="AS284" s="9"/>
      <c r="AT284" s="9">
        <f>+ab($T$284,$T$282,$T$286,$G$283,$G$285,-1*$F$284,1200)</f>
        <v>-7.495600280563588</v>
      </c>
      <c r="AU284" s="428"/>
      <c r="AV284" s="428"/>
      <c r="AW284" s="449" t="str">
        <f>IF(C284&gt;0,VLOOKUP(C284,Foundation_Calc!$A$2:$C$13,3,1),
IF(J284&gt;0,VLOOKUP(J284,Foundation_Calc!$A$2:$C$13,3,1),""))</f>
        <v>Multi Soil</v>
      </c>
      <c r="AX284" s="449" t="str">
        <f>IF(C284&gt;0,VLOOKUP(C284,Foundation_Calc!$E$2:$G$33,3,1),
IF(J284&gt;0,VLOOKUP(J284,Foundation_Calc!$E$2:$G$33,3,1),""))</f>
        <v>PT</v>
      </c>
      <c r="AY284" s="10">
        <f>IF(L284="","",
IF(AX284="PT",VLOOKUP(L284,Foundation_Calc!$K$79:$R$113,VLOOKUP(AW284,Foundation_Calc!$I$2:$J$8,2,FALSE),0),
IF(AX284="K",VLOOKUP(L284,Foundation_Calc!$K$117:$R$151,VLOOKUP(AW284,Foundation_Calc!$I$2:$J$8,2,FALSE),0),"")))</f>
        <v>3.5</v>
      </c>
      <c r="AZ284" s="10" t="str">
        <f>IF(K284="","",
IF(AX284="PT",VLOOKUP(K284,Foundation_Calc!$K$79:$R$113,VLOOKUP(AW284,Foundation_Calc!$I$2:$J$8,2,FALSE),0),
IF(AX284="K",VLOOKUP(K284,Foundation_Calc!$K$117:$R$151,VLOOKUP(AW284,Foundation_Calc!$I$2:$J$8,2,FALSE),0),"")))</f>
        <v/>
      </c>
      <c r="BA284" s="495" t="str">
        <f t="shared" si="34"/>
        <v>ü</v>
      </c>
      <c r="BB284" s="495" t="str">
        <f t="shared" si="35"/>
        <v/>
      </c>
      <c r="BC284" s="495" t="str">
        <f t="shared" si="36"/>
        <v/>
      </c>
      <c r="BD284" s="513" t="str">
        <f>IF(AND(L284="",H284=""),"",
IF(H284="",Pole_Calc!A$9,
IF(H284="MP",Pole_Calc!A$10,
IF(H284="AnMP",Pole_Calc!A$11,
IF(H284="A",Pole_Calc!A$12,
IF(H284="S/A",Pole_Calc!A$13,
IF(H284="A/S",Pole_Calc!A$14,"Poner a mano")))))))</f>
        <v>App.7-V11I-P9.5.1.1</v>
      </c>
      <c r="BE284" s="429" t="s">
        <v>118</v>
      </c>
      <c r="BF284" s="289"/>
      <c r="BG284" s="289"/>
      <c r="BH284" s="290"/>
      <c r="BI284" s="289"/>
    </row>
    <row r="285" spans="1:61" ht="16.149999999999999" customHeight="1">
      <c r="A285" s="514"/>
      <c r="B285" s="450"/>
      <c r="C285" s="3"/>
      <c r="D285" s="83"/>
      <c r="E285" s="4"/>
      <c r="F285" s="4"/>
      <c r="G285" s="6">
        <v>55</v>
      </c>
      <c r="H285" s="449"/>
      <c r="I285" s="4"/>
      <c r="J285" s="3">
        <f>C286-7.5</f>
        <v>37152.35</v>
      </c>
      <c r="K285" s="449" t="s">
        <v>117</v>
      </c>
      <c r="L285" s="449"/>
      <c r="M285" s="449" t="str">
        <f>IF(L285="","",
IF(AX285="PT",VLOOKUP(L285,Foundation_Calc!$V$79:$X$113,VLOOKUP(AX285,Foundation_Calc!$I$10:$J$13,2,FALSE),0),
IF(AX285="K",VLOOKUP(L285,Foundation_Calc!$V$117:$X$151,VLOOKUP(AX285,Foundation_Calc!$I$10:$J$13,2,FALSE),0),"")))</f>
        <v/>
      </c>
      <c r="N285" s="449"/>
      <c r="O285" s="449"/>
      <c r="P285" s="449"/>
      <c r="Q285" s="4"/>
      <c r="R285" s="6"/>
      <c r="S285" s="6"/>
      <c r="T285" s="4"/>
      <c r="U285" s="4"/>
      <c r="V285" s="4"/>
      <c r="W285" s="9"/>
      <c r="X285" s="9"/>
      <c r="Y285" s="9"/>
      <c r="Z285" s="9"/>
      <c r="AA285" s="9"/>
      <c r="AB285" s="9"/>
      <c r="AC285" s="449" t="str">
        <f t="shared" si="37"/>
        <v/>
      </c>
      <c r="AD285" s="449"/>
      <c r="AE285" s="449"/>
      <c r="AF285" s="4"/>
      <c r="AG285" s="83"/>
      <c r="AH285" s="4"/>
      <c r="AI285" s="4"/>
      <c r="AJ285" s="449"/>
      <c r="AK285" s="449"/>
      <c r="AL285" s="449"/>
      <c r="AM285" s="449"/>
      <c r="AN285" s="10"/>
      <c r="AO285" s="9"/>
      <c r="AP285" s="9"/>
      <c r="AQ285" s="9">
        <f>+FL_2($T$286,$T$284,$G$285,1200,9.28,-1*$F$286)</f>
        <v>-0.43811372550774963</v>
      </c>
      <c r="AR285" s="9"/>
      <c r="AS285" s="9"/>
      <c r="AT285" s="9"/>
      <c r="AU285" s="428"/>
      <c r="AV285" s="428"/>
      <c r="AW285" s="449" t="str">
        <f>IF(C285&gt;0,VLOOKUP(C285,Foundation_Calc!$A$2:$C$13,3,1),
IF(J285&gt;0,VLOOKUP(J285,Foundation_Calc!$A$2:$C$13,3,1),""))</f>
        <v>Multi Soil</v>
      </c>
      <c r="AX285" s="449" t="str">
        <f>IF(C285&gt;0,VLOOKUP(C285,Foundation_Calc!$E$2:$G$33,3,1),
IF(J285&gt;0,VLOOKUP(J285,Foundation_Calc!$E$2:$G$33,3,1),""))</f>
        <v>PT</v>
      </c>
      <c r="AY285" s="10" t="str">
        <f>IF(L285="","",
IF(AX285="PT",VLOOKUP(L285,Foundation_Calc!$K$79:$R$113,VLOOKUP(AW285,Foundation_Calc!$I$2:$J$8,2,FALSE),0),
IF(AX285="K",VLOOKUP(L285,Foundation_Calc!$K$117:$R$151,VLOOKUP(AW285,Foundation_Calc!$I$2:$J$8,2,FALSE),0),"")))</f>
        <v/>
      </c>
      <c r="AZ285" s="10">
        <f>IF(K285="","",
IF(AX285="PT",VLOOKUP(K285,Foundation_Calc!$K$79:$R$113,VLOOKUP(AW285,Foundation_Calc!$I$2:$J$8,2,FALSE),0),
IF(AX285="K",VLOOKUP(K285,Foundation_Calc!$K$117:$R$151,VLOOKUP(AW285,Foundation_Calc!$I$2:$J$8,2,FALSE),0),"")))</f>
        <v>3.9</v>
      </c>
      <c r="BA285" s="495" t="str">
        <f t="shared" si="34"/>
        <v/>
      </c>
      <c r="BB285" s="495" t="str">
        <f t="shared" si="35"/>
        <v>ü</v>
      </c>
      <c r="BC285" s="495" t="str">
        <f t="shared" si="36"/>
        <v/>
      </c>
      <c r="BD285" s="513" t="str">
        <f>IF(AND(L285="",H285=""),"",
IF(H285="",Pole_Calc!A$9,
IF(H285="MP",Pole_Calc!A$10,
IF(H285="AnMP",Pole_Calc!A$11,
IF(H285="A",Pole_Calc!A$12,
IF(H285="S/A",Pole_Calc!A$13,
IF(H285="A/S",Pole_Calc!A$14,"Poner a mano")))))))</f>
        <v/>
      </c>
      <c r="BE285" s="429" t="s">
        <v>118</v>
      </c>
      <c r="BF285" s="290"/>
      <c r="BG285" s="290"/>
      <c r="BH285" s="290"/>
      <c r="BI285" s="290"/>
    </row>
    <row r="286" spans="1:61" ht="16.149999999999999" customHeight="1">
      <c r="A286" s="514"/>
      <c r="B286" s="450" t="s">
        <v>333</v>
      </c>
      <c r="C286" s="3">
        <f>+$C$284+$G$285</f>
        <v>37159.85</v>
      </c>
      <c r="D286" s="83"/>
      <c r="E286" s="4"/>
      <c r="F286" s="4">
        <f>-(438^2)/(C286-37130.22)</f>
        <v>-6474.6540668247371</v>
      </c>
      <c r="G286" s="6"/>
      <c r="H286" s="449" t="s">
        <v>121</v>
      </c>
      <c r="I286" s="4" t="s">
        <v>122</v>
      </c>
      <c r="J286" s="3"/>
      <c r="K286" s="449"/>
      <c r="L286" s="449" t="s">
        <v>151</v>
      </c>
      <c r="M286" s="449" t="str">
        <f>IF(L286="","",
IF(AX286="PT",VLOOKUP(L286,Foundation_Calc!$V$79:$X$113,VLOOKUP(AX286,Foundation_Calc!$I$10:$J$13,2,FALSE),0),
IF(AX286="K",VLOOKUP(L286,Foundation_Calc!$V$117:$X$151,VLOOKUP(AX286,Foundation_Calc!$I$10:$J$13,2,FALSE),0),"")))</f>
        <v>C4R</v>
      </c>
      <c r="N286" s="449" t="s">
        <v>134</v>
      </c>
      <c r="O286" s="449"/>
      <c r="P286" s="449"/>
      <c r="Q286" s="4"/>
      <c r="R286" s="6"/>
      <c r="S286" s="6"/>
      <c r="T286" s="4">
        <v>35</v>
      </c>
      <c r="U286" s="4"/>
      <c r="V286" s="4"/>
      <c r="W286" s="9">
        <v>1.4</v>
      </c>
      <c r="X286" s="9"/>
      <c r="Y286" s="9"/>
      <c r="Z286" s="9"/>
      <c r="AA286" s="9"/>
      <c r="AB286" s="9"/>
      <c r="AC286" s="449" t="str">
        <f t="shared" si="37"/>
        <v>PHQ</v>
      </c>
      <c r="AD286" s="449"/>
      <c r="AE286" s="449"/>
      <c r="AF286" s="4"/>
      <c r="AG286" s="83"/>
      <c r="AH286" s="4"/>
      <c r="AI286" s="4"/>
      <c r="AJ286" s="449"/>
      <c r="AK286" s="449"/>
      <c r="AL286" s="449"/>
      <c r="AM286" s="449" t="s">
        <v>126</v>
      </c>
      <c r="AN286" s="10">
        <v>5.5</v>
      </c>
      <c r="AO286" s="9"/>
      <c r="AP286" s="9"/>
      <c r="AQ286" s="9"/>
      <c r="AR286" s="9"/>
      <c r="AS286" s="9"/>
      <c r="AT286" s="9">
        <f>+ab($T$286,$T$284,$U$288,$G$285,$G$287,-1*$F$286,1200)</f>
        <v>7.3861996232073741</v>
      </c>
      <c r="AU286" s="428"/>
      <c r="AV286" s="428"/>
      <c r="AW286" s="449" t="str">
        <f>IF(C286&gt;0,VLOOKUP(C286,Foundation_Calc!$A$2:$C$13,3,1),
IF(J286&gt;0,VLOOKUP(J286,Foundation_Calc!$A$2:$C$13,3,1),""))</f>
        <v>Multi Soil</v>
      </c>
      <c r="AX286" s="449" t="str">
        <f>IF(C286&gt;0,VLOOKUP(C286,Foundation_Calc!$E$2:$G$33,3,1),
IF(J286&gt;0,VLOOKUP(J286,Foundation_Calc!$E$2:$G$33,3,1),""))</f>
        <v>PT</v>
      </c>
      <c r="AY286" s="10">
        <f>IF(L286="","",
IF(AX286="PT",VLOOKUP(L286,Foundation_Calc!$K$79:$R$113,VLOOKUP(AW286,Foundation_Calc!$I$2:$J$8,2,FALSE),0),
IF(AX286="K",VLOOKUP(L286,Foundation_Calc!$K$117:$R$151,VLOOKUP(AW286,Foundation_Calc!$I$2:$J$8,2,FALSE),0),"")))</f>
        <v>3.5</v>
      </c>
      <c r="AZ286" s="10" t="str">
        <f>IF(K286="","",
IF(AX286="PT",VLOOKUP(K286,Foundation_Calc!$K$79:$R$113,VLOOKUP(AW286,Foundation_Calc!$I$2:$J$8,2,FALSE),0),
IF(AX286="K",VLOOKUP(K286,Foundation_Calc!$K$117:$R$151,VLOOKUP(AW286,Foundation_Calc!$I$2:$J$8,2,FALSE),0),"")))</f>
        <v/>
      </c>
      <c r="BA286" s="495" t="str">
        <f t="shared" si="34"/>
        <v>ü</v>
      </c>
      <c r="BB286" s="495" t="str">
        <f t="shared" si="35"/>
        <v/>
      </c>
      <c r="BC286" s="495" t="str">
        <f t="shared" si="36"/>
        <v/>
      </c>
      <c r="BD286" s="513" t="str">
        <f>IF(AND(L286="",H286=""),"",
IF(H286="",Pole_Calc!A$9,
IF(H286="MP",Pole_Calc!A$10,
IF(H286="AnMP",Pole_Calc!A$11,
IF(H286="A",Pole_Calc!A$12,
IF(H286="S/A",Pole_Calc!A$13,
IF(H286="A/S",Pole_Calc!A$14,"Poner a mano")))))))</f>
        <v>App.7-V11I-P9.5.1.6</v>
      </c>
      <c r="BE286" s="429" t="s">
        <v>118</v>
      </c>
      <c r="BF286" s="289"/>
      <c r="BG286" s="289"/>
      <c r="BH286" s="290"/>
      <c r="BI286" s="289"/>
    </row>
    <row r="287" spans="1:61" ht="16.149999999999999" customHeight="1">
      <c r="A287" s="514"/>
      <c r="B287" s="450"/>
      <c r="C287" s="3"/>
      <c r="D287" s="83"/>
      <c r="E287" s="4"/>
      <c r="F287" s="4"/>
      <c r="G287" s="6">
        <v>50</v>
      </c>
      <c r="H287" s="449"/>
      <c r="I287" s="4"/>
      <c r="J287" s="3"/>
      <c r="K287" s="449"/>
      <c r="L287" s="449"/>
      <c r="M287" s="449" t="str">
        <f>IF(L287="","",
IF(AX287="PT",VLOOKUP(L287,Foundation_Calc!$V$79:$X$113,VLOOKUP(AX287,Foundation_Calc!$I$10:$J$13,2,FALSE),0),
IF(AX287="K",VLOOKUP(L287,Foundation_Calc!$V$117:$X$151,VLOOKUP(AX287,Foundation_Calc!$I$10:$J$13,2,FALSE),0),"")))</f>
        <v/>
      </c>
      <c r="N287" s="449"/>
      <c r="O287" s="449"/>
      <c r="P287" s="449"/>
      <c r="Q287" s="4"/>
      <c r="R287" s="6"/>
      <c r="S287" s="6"/>
      <c r="T287" s="4"/>
      <c r="U287" s="4"/>
      <c r="V287" s="4"/>
      <c r="W287" s="9"/>
      <c r="X287" s="9"/>
      <c r="Y287" s="9"/>
      <c r="Z287" s="9"/>
      <c r="AA287" s="9"/>
      <c r="AB287" s="9"/>
      <c r="AC287" s="449" t="str">
        <f t="shared" si="37"/>
        <v/>
      </c>
      <c r="AD287" s="449"/>
      <c r="AE287" s="449"/>
      <c r="AF287" s="4"/>
      <c r="AG287" s="83"/>
      <c r="AH287" s="4"/>
      <c r="AI287" s="4"/>
      <c r="AJ287" s="449"/>
      <c r="AK287" s="449"/>
      <c r="AL287" s="449"/>
      <c r="AM287" s="449"/>
      <c r="AN287" s="10"/>
      <c r="AO287" s="9"/>
      <c r="AP287" s="9"/>
      <c r="AQ287" s="9">
        <f>+FL_1($U$288,$T$286,$G$287,1200,9.28,-1*$F$288)</f>
        <v>0.3718447024828046</v>
      </c>
      <c r="AR287" s="9"/>
      <c r="AS287" s="9"/>
      <c r="AT287" s="9"/>
      <c r="AU287" s="428"/>
      <c r="AV287" s="428"/>
      <c r="AW287" s="449" t="str">
        <f>IF(C287&gt;0,VLOOKUP(C287,Foundation_Calc!$A$2:$C$13,3,1),
IF(J287&gt;0,VLOOKUP(J287,Foundation_Calc!$A$2:$C$13,3,1),""))</f>
        <v/>
      </c>
      <c r="AX287" s="449" t="str">
        <f>IF(C287&gt;0,VLOOKUP(C287,Foundation_Calc!$E$2:$G$33,3,1),
IF(J287&gt;0,VLOOKUP(J287,Foundation_Calc!$E$2:$G$33,3,1),""))</f>
        <v/>
      </c>
      <c r="AY287" s="10" t="str">
        <f>IF(L287="","",
IF(AX287="PT",VLOOKUP(L287,Foundation_Calc!$K$79:$R$113,VLOOKUP(AW287,Foundation_Calc!$I$2:$J$8,2,FALSE),0),
IF(AX287="K",VLOOKUP(L287,Foundation_Calc!$K$117:$R$151,VLOOKUP(AW287,Foundation_Calc!$I$2:$J$8,2,FALSE),0),"")))</f>
        <v/>
      </c>
      <c r="AZ287" s="10" t="str">
        <f>IF(K287="","",
IF(AX287="PT",VLOOKUP(K287,Foundation_Calc!$K$79:$R$113,VLOOKUP(AW287,Foundation_Calc!$I$2:$J$8,2,FALSE),0),
IF(AX287="K",VLOOKUP(K287,Foundation_Calc!$K$117:$R$151,VLOOKUP(AW287,Foundation_Calc!$I$2:$J$8,2,FALSE),0),"")))</f>
        <v/>
      </c>
      <c r="BA287" s="495" t="str">
        <f t="shared" si="34"/>
        <v/>
      </c>
      <c r="BB287" s="495" t="str">
        <f t="shared" si="35"/>
        <v/>
      </c>
      <c r="BC287" s="495" t="str">
        <f t="shared" si="36"/>
        <v/>
      </c>
      <c r="BD287" s="513" t="str">
        <f>IF(AND(L287="",H287=""),"",
IF(H287="",Pole_Calc!A$9,
IF(H287="MP",Pole_Calc!A$10,
IF(H287="AnMP",Pole_Calc!A$11,
IF(H287="A",Pole_Calc!A$12,
IF(H287="S/A",Pole_Calc!A$13,
IF(H287="A/S",Pole_Calc!A$14,"Poner a mano")))))))</f>
        <v/>
      </c>
      <c r="BE287" s="429" t="s">
        <v>118</v>
      </c>
      <c r="BF287" s="290"/>
      <c r="BG287" s="290"/>
      <c r="BH287" s="290"/>
      <c r="BI287" s="290"/>
    </row>
    <row r="288" spans="1:61" ht="16.149999999999999" customHeight="1">
      <c r="A288" s="514"/>
      <c r="B288" s="450" t="s">
        <v>334</v>
      </c>
      <c r="C288" s="3">
        <f>+$C$286+$G$287</f>
        <v>37209.85</v>
      </c>
      <c r="D288" s="83"/>
      <c r="E288" s="4"/>
      <c r="F288" s="4">
        <f>-(438^2)/(C288-37130.22)</f>
        <v>-2409.1925153837287</v>
      </c>
      <c r="G288" s="6"/>
      <c r="H288" s="449" t="s">
        <v>131</v>
      </c>
      <c r="I288" s="4"/>
      <c r="J288" s="3"/>
      <c r="K288" s="449"/>
      <c r="L288" s="449" t="s">
        <v>183</v>
      </c>
      <c r="M288" s="449" t="str">
        <f>IF(L288="","",
IF(AX288="PT",VLOOKUP(L288,Foundation_Calc!$V$79:$X$113,VLOOKUP(AX288,Foundation_Calc!$I$10:$J$13,2,FALSE),0),
IF(AX288="K",VLOOKUP(L288,Foundation_Calc!$V$117:$X$151,VLOOKUP(AX288,Foundation_Calc!$I$10:$J$13,2,FALSE),0),"")))</f>
        <v>2C3R</v>
      </c>
      <c r="N288" s="449" t="s">
        <v>133</v>
      </c>
      <c r="O288" s="449" t="s">
        <v>134</v>
      </c>
      <c r="P288" s="449"/>
      <c r="Q288" s="4"/>
      <c r="R288" s="6"/>
      <c r="S288" s="6"/>
      <c r="T288" s="4">
        <v>30</v>
      </c>
      <c r="U288" s="4">
        <v>10</v>
      </c>
      <c r="V288" s="4"/>
      <c r="W288" s="9">
        <v>1.4</v>
      </c>
      <c r="X288" s="9">
        <v>2.2999999999999998</v>
      </c>
      <c r="Y288" s="9"/>
      <c r="Z288" s="9">
        <v>0.45</v>
      </c>
      <c r="AA288" s="9"/>
      <c r="AB288" s="9"/>
      <c r="AC288" s="449"/>
      <c r="AD288" s="449"/>
      <c r="AE288" s="449"/>
      <c r="AF288" s="4"/>
      <c r="AG288" s="83"/>
      <c r="AH288" s="4"/>
      <c r="AI288" s="4"/>
      <c r="AJ288" s="449"/>
      <c r="AK288" s="449"/>
      <c r="AL288" s="449"/>
      <c r="AM288" s="449" t="s">
        <v>126</v>
      </c>
      <c r="AN288" s="10">
        <v>5.5</v>
      </c>
      <c r="AO288" s="9"/>
      <c r="AP288" s="9"/>
      <c r="AQ288" s="9"/>
      <c r="AR288" s="9"/>
      <c r="AS288" s="9"/>
      <c r="AT288" s="9">
        <f>+ab($U$288,$T$286,$U$290,$G$287,$G$289,-1*$F$288,1200)</f>
        <v>12.002004947079099</v>
      </c>
      <c r="AU288" s="428"/>
      <c r="AV288" s="428"/>
      <c r="AW288" s="449" t="str">
        <f>IF(C288&gt;0,VLOOKUP(C288,Foundation_Calc!$A$2:$C$13,3,1),
IF(J288&gt;0,VLOOKUP(J288,Foundation_Calc!$A$2:$C$13,3,1),""))</f>
        <v>Multi Soil</v>
      </c>
      <c r="AX288" s="449" t="str">
        <f>IF(C288&gt;0,VLOOKUP(C288,Foundation_Calc!$E$2:$G$33,3,1),
IF(J288&gt;0,VLOOKUP(J288,Foundation_Calc!$E$2:$G$33,3,1),""))</f>
        <v>PT</v>
      </c>
      <c r="AY288" s="10">
        <f>IF(L288="","",
IF(AX288="PT",VLOOKUP(L288,Foundation_Calc!$K$79:$R$113,VLOOKUP(AW288,Foundation_Calc!$I$2:$J$8,2,FALSE),0),
IF(AX288="K",VLOOKUP(L288,Foundation_Calc!$K$117:$R$151,VLOOKUP(AW288,Foundation_Calc!$I$2:$J$8,2,FALSE),0),"")))</f>
        <v>3.7</v>
      </c>
      <c r="AZ288" s="10" t="str">
        <f>IF(K288="","",
IF(AX288="PT",VLOOKUP(K288,Foundation_Calc!$K$79:$R$113,VLOOKUP(AW288,Foundation_Calc!$I$2:$J$8,2,FALSE),0),
IF(AX288="K",VLOOKUP(K288,Foundation_Calc!$K$117:$R$151,VLOOKUP(AW288,Foundation_Calc!$I$2:$J$8,2,FALSE),0),"")))</f>
        <v/>
      </c>
      <c r="BA288" s="495" t="str">
        <f t="shared" si="34"/>
        <v>ü</v>
      </c>
      <c r="BB288" s="495" t="str">
        <f t="shared" si="35"/>
        <v/>
      </c>
      <c r="BC288" s="495" t="str">
        <f t="shared" si="36"/>
        <v/>
      </c>
      <c r="BD288" s="513" t="str">
        <f>IF(AND(L288="",H288=""),"",
IF(H288="",Pole_Calc!A$9,
IF(H288="MP",Pole_Calc!A$10,
IF(H288="AnMP",Pole_Calc!A$11,
IF(H288="A",Pole_Calc!A$12,
IF(H288="S/A",Pole_Calc!A$13,
IF(H288="A/S",Pole_Calc!A$14,"Poner a mano")))))))</f>
        <v>App.7-V11I-P9.5.1.5</v>
      </c>
      <c r="BE288" s="429" t="s">
        <v>118</v>
      </c>
      <c r="BF288" s="289"/>
      <c r="BG288" s="289"/>
      <c r="BH288" s="290"/>
      <c r="BI288" s="289"/>
    </row>
    <row r="289" spans="1:61" ht="16.149999999999999" customHeight="1">
      <c r="A289" s="514"/>
      <c r="B289" s="450"/>
      <c r="C289" s="3"/>
      <c r="D289" s="83"/>
      <c r="E289" s="4"/>
      <c r="F289" s="4"/>
      <c r="G289" s="6">
        <v>50</v>
      </c>
      <c r="H289" s="449"/>
      <c r="I289" s="4"/>
      <c r="J289" s="3"/>
      <c r="K289" s="449"/>
      <c r="L289" s="449"/>
      <c r="M289" s="449" t="str">
        <f>IF(L289="","",
IF(AX289="PT",VLOOKUP(L289,Foundation_Calc!$V$79:$X$113,VLOOKUP(AX289,Foundation_Calc!$I$10:$J$13,2,FALSE),0),
IF(AX289="K",VLOOKUP(L289,Foundation_Calc!$V$117:$X$151,VLOOKUP(AX289,Foundation_Calc!$I$10:$J$13,2,FALSE),0),"")))</f>
        <v/>
      </c>
      <c r="N289" s="449"/>
      <c r="O289" s="449"/>
      <c r="P289" s="449"/>
      <c r="Q289" s="4"/>
      <c r="R289" s="6"/>
      <c r="S289" s="6"/>
      <c r="T289" s="4"/>
      <c r="U289" s="4"/>
      <c r="V289" s="4"/>
      <c r="W289" s="9"/>
      <c r="X289" s="9"/>
      <c r="Y289" s="9"/>
      <c r="Z289" s="9"/>
      <c r="AA289" s="9"/>
      <c r="AB289" s="9"/>
      <c r="AC289" s="449" t="str">
        <f t="shared" si="37"/>
        <v/>
      </c>
      <c r="AD289" s="449"/>
      <c r="AE289" s="449"/>
      <c r="AF289" s="4"/>
      <c r="AG289" s="83"/>
      <c r="AH289" s="4"/>
      <c r="AI289" s="4"/>
      <c r="AJ289" s="449"/>
      <c r="AK289" s="449"/>
      <c r="AL289" s="449"/>
      <c r="AM289" s="449"/>
      <c r="AN289" s="10"/>
      <c r="AO289" s="9"/>
      <c r="AP289" s="9"/>
      <c r="AQ289" s="9">
        <f>+FL_1($U$290,$U$288,$G$289,1200,9.28,-1*$F$290)</f>
        <v>0.13049370654627335</v>
      </c>
      <c r="AR289" s="9"/>
      <c r="AS289" s="9"/>
      <c r="AT289" s="9"/>
      <c r="AU289" s="428"/>
      <c r="AV289" s="428"/>
      <c r="AW289" s="449" t="str">
        <f>IF(C289&gt;0,VLOOKUP(C289,Foundation_Calc!$A$2:$C$13,3,1),
IF(J289&gt;0,VLOOKUP(J289,Foundation_Calc!$A$2:$C$13,3,1),""))</f>
        <v/>
      </c>
      <c r="AX289" s="449" t="str">
        <f>IF(C289&gt;0,VLOOKUP(C289,Foundation_Calc!$E$2:$G$33,3,1),
IF(J289&gt;0,VLOOKUP(J289,Foundation_Calc!$E$2:$G$33,3,1),""))</f>
        <v/>
      </c>
      <c r="AY289" s="10" t="str">
        <f>IF(L289="","",
IF(AX289="PT",VLOOKUP(L289,Foundation_Calc!$K$79:$R$113,VLOOKUP(AW289,Foundation_Calc!$I$2:$J$8,2,FALSE),0),
IF(AX289="K",VLOOKUP(L289,Foundation_Calc!$K$117:$R$151,VLOOKUP(AW289,Foundation_Calc!$I$2:$J$8,2,FALSE),0),"")))</f>
        <v/>
      </c>
      <c r="AZ289" s="10" t="str">
        <f>IF(K289="","",
IF(AX289="PT",VLOOKUP(K289,Foundation_Calc!$K$79:$R$113,VLOOKUP(AW289,Foundation_Calc!$I$2:$J$8,2,FALSE),0),
IF(AX289="K",VLOOKUP(K289,Foundation_Calc!$K$117:$R$151,VLOOKUP(AW289,Foundation_Calc!$I$2:$J$8,2,FALSE),0),"")))</f>
        <v/>
      </c>
      <c r="BA289" s="495" t="str">
        <f t="shared" ref="BA289:BA354" si="38">IF(AY289="","",IF(AY289&gt;0,"ü",""))</f>
        <v/>
      </c>
      <c r="BB289" s="495" t="str">
        <f t="shared" ref="BB289:BB354" si="39">IF(AZ289="","",IF(AZ289&gt;0,"ü",""))</f>
        <v/>
      </c>
      <c r="BC289" s="495" t="str">
        <f t="shared" ref="BC289:BC354" si="40">IF(M289="","",IF(M289="U.S.","ü",IF(M289="U.S. N.D.","ü","")))</f>
        <v/>
      </c>
      <c r="BD289" s="513" t="str">
        <f>IF(AND(L289="",H289=""),"",
IF(H289="",Pole_Calc!A$9,
IF(H289="MP",Pole_Calc!A$10,
IF(H289="AnMP",Pole_Calc!A$11,
IF(H289="A",Pole_Calc!A$12,
IF(H289="S/A",Pole_Calc!A$13,
IF(H289="A/S",Pole_Calc!A$14,"Poner a mano")))))))</f>
        <v/>
      </c>
      <c r="BE289" s="429" t="s">
        <v>118</v>
      </c>
      <c r="BF289" s="290"/>
      <c r="BG289" s="290"/>
      <c r="BH289" s="290"/>
      <c r="BI289" s="290"/>
    </row>
    <row r="290" spans="1:61" ht="16.149999999999999" customHeight="1">
      <c r="A290" s="514"/>
      <c r="B290" s="450" t="s">
        <v>335</v>
      </c>
      <c r="C290" s="3">
        <f>+$C$288+$G$289</f>
        <v>37259.85</v>
      </c>
      <c r="D290" s="83"/>
      <c r="E290" s="4"/>
      <c r="F290" s="4">
        <f>-(438^2)/(C290-37130.22)</f>
        <v>-1479.9352001851723</v>
      </c>
      <c r="G290" s="6"/>
      <c r="H290" s="449" t="s">
        <v>131</v>
      </c>
      <c r="I290" s="4"/>
      <c r="J290" s="3"/>
      <c r="K290" s="449"/>
      <c r="L290" s="449" t="s">
        <v>183</v>
      </c>
      <c r="M290" s="449" t="str">
        <f>IF(L290="","",
IF(AX290="PT",VLOOKUP(L290,Foundation_Calc!$V$79:$X$113,VLOOKUP(AX290,Foundation_Calc!$I$10:$J$13,2,FALSE),0),
IF(AX290="K",VLOOKUP(L290,Foundation_Calc!$V$117:$X$151,VLOOKUP(AX290,Foundation_Calc!$I$10:$J$13,2,FALSE),0),"")))</f>
        <v>2C3R</v>
      </c>
      <c r="N290" s="449" t="s">
        <v>134</v>
      </c>
      <c r="O290" s="449" t="s">
        <v>133</v>
      </c>
      <c r="P290" s="449"/>
      <c r="Q290" s="4"/>
      <c r="R290" s="6"/>
      <c r="S290" s="6"/>
      <c r="T290" s="4">
        <v>30</v>
      </c>
      <c r="U290" s="4">
        <v>10</v>
      </c>
      <c r="V290" s="4"/>
      <c r="W290" s="9">
        <v>1.4</v>
      </c>
      <c r="X290" s="9">
        <v>2.2999999999999998</v>
      </c>
      <c r="Y290" s="9"/>
      <c r="Z290" s="9"/>
      <c r="AA290" s="9">
        <v>0.45</v>
      </c>
      <c r="AB290" s="9"/>
      <c r="AC290" s="449" t="str">
        <f t="shared" si="37"/>
        <v>PHQ</v>
      </c>
      <c r="AD290" s="449"/>
      <c r="AE290" s="449"/>
      <c r="AF290" s="4"/>
      <c r="AG290" s="83"/>
      <c r="AH290" s="4"/>
      <c r="AI290" s="4"/>
      <c r="AJ290" s="449"/>
      <c r="AK290" s="449"/>
      <c r="AL290" s="449"/>
      <c r="AM290" s="449" t="s">
        <v>126</v>
      </c>
      <c r="AN290" s="10">
        <v>5.5</v>
      </c>
      <c r="AO290" s="9"/>
      <c r="AP290" s="9"/>
      <c r="AQ290" s="9"/>
      <c r="AR290" s="9"/>
      <c r="AS290" s="9"/>
      <c r="AT290" s="9">
        <f>+ab($T$290,$T$288,$T$292,$G$289,$G$291,-1*$F$290,1200)</f>
        <v>5.6612782004376605</v>
      </c>
      <c r="AU290" s="428"/>
      <c r="AV290" s="428"/>
      <c r="AW290" s="449" t="str">
        <f>IF(C290&gt;0,VLOOKUP(C290,Foundation_Calc!$A$2:$C$13,3,1),
IF(J290&gt;0,VLOOKUP(J290,Foundation_Calc!$A$2:$C$13,3,1),""))</f>
        <v>Multi Soil</v>
      </c>
      <c r="AX290" s="449" t="str">
        <f>IF(C290&gt;0,VLOOKUP(C290,Foundation_Calc!$E$2:$G$33,3,1),
IF(J290&gt;0,VLOOKUP(J290,Foundation_Calc!$E$2:$G$33,3,1),""))</f>
        <v>PT</v>
      </c>
      <c r="AY290" s="10">
        <f>IF(L290="","",
IF(AX290="PT",VLOOKUP(L290,Foundation_Calc!$K$79:$R$113,VLOOKUP(AW290,Foundation_Calc!$I$2:$J$8,2,FALSE),0),
IF(AX290="K",VLOOKUP(L290,Foundation_Calc!$K$117:$R$151,VLOOKUP(AW290,Foundation_Calc!$I$2:$J$8,2,FALSE),0),"")))</f>
        <v>3.7</v>
      </c>
      <c r="AZ290" s="10" t="str">
        <f>IF(K290="","",
IF(AX290="PT",VLOOKUP(K290,Foundation_Calc!$K$79:$R$113,VLOOKUP(AW290,Foundation_Calc!$I$2:$J$8,2,FALSE),0),
IF(AX290="K",VLOOKUP(K290,Foundation_Calc!$K$117:$R$151,VLOOKUP(AW290,Foundation_Calc!$I$2:$J$8,2,FALSE),0),"")))</f>
        <v/>
      </c>
      <c r="BA290" s="495" t="str">
        <f t="shared" si="38"/>
        <v>ü</v>
      </c>
      <c r="BB290" s="495" t="str">
        <f t="shared" si="39"/>
        <v/>
      </c>
      <c r="BC290" s="495" t="str">
        <f t="shared" si="40"/>
        <v/>
      </c>
      <c r="BD290" s="513" t="str">
        <f>IF(AND(L290="",H290=""),"",
IF(H290="",Pole_Calc!A$9,
IF(H290="MP",Pole_Calc!A$10,
IF(H290="AnMP",Pole_Calc!A$11,
IF(H290="A",Pole_Calc!A$12,
IF(H290="S/A",Pole_Calc!A$13,
IF(H290="A/S",Pole_Calc!A$14,"Poner a mano")))))))</f>
        <v>App.7-V11I-P9.5.1.5</v>
      </c>
      <c r="BE290" s="429" t="s">
        <v>118</v>
      </c>
      <c r="BF290" s="289"/>
      <c r="BG290" s="289"/>
      <c r="BH290" s="290"/>
      <c r="BI290" s="289"/>
    </row>
    <row r="291" spans="1:61" ht="16.149999999999999" customHeight="1">
      <c r="A291" s="514"/>
      <c r="B291" s="450"/>
      <c r="C291" s="3"/>
      <c r="D291" s="83"/>
      <c r="E291" s="4"/>
      <c r="F291" s="4"/>
      <c r="G291" s="6">
        <v>50</v>
      </c>
      <c r="H291" s="449"/>
      <c r="I291" s="4"/>
      <c r="J291" s="3"/>
      <c r="K291" s="449"/>
      <c r="L291" s="449"/>
      <c r="M291" s="449" t="str">
        <f>IF(L291="","",
IF(AX291="PT",VLOOKUP(L291,Foundation_Calc!$V$79:$X$113,VLOOKUP(AX291,Foundation_Calc!$I$10:$J$13,2,FALSE),0),
IF(AX291="K",VLOOKUP(L291,Foundation_Calc!$V$117:$X$151,VLOOKUP(AX291,Foundation_Calc!$I$10:$J$13,2,FALSE),0),"")))</f>
        <v/>
      </c>
      <c r="N291" s="449"/>
      <c r="O291" s="449"/>
      <c r="P291" s="449"/>
      <c r="Q291" s="4"/>
      <c r="R291" s="6"/>
      <c r="S291" s="6"/>
      <c r="T291" s="4"/>
      <c r="U291" s="4"/>
      <c r="V291" s="4"/>
      <c r="W291" s="9"/>
      <c r="X291" s="9"/>
      <c r="Y291" s="9"/>
      <c r="Z291" s="9"/>
      <c r="AA291" s="9"/>
      <c r="AB291" s="9"/>
      <c r="AC291" s="449" t="str">
        <f t="shared" si="37"/>
        <v/>
      </c>
      <c r="AD291" s="449"/>
      <c r="AE291" s="449"/>
      <c r="AF291" s="4"/>
      <c r="AG291" s="83"/>
      <c r="AH291" s="4"/>
      <c r="AI291" s="4"/>
      <c r="AJ291" s="449"/>
      <c r="AK291" s="449"/>
      <c r="AL291" s="449"/>
      <c r="AM291" s="449"/>
      <c r="AN291" s="10"/>
      <c r="AO291" s="9"/>
      <c r="AP291" s="9"/>
      <c r="AQ291" s="9">
        <f>+FL_1($T$292,$T$290,$G$291,1200,9.28,-1*$F$292)</f>
        <v>0.30001500298189332</v>
      </c>
      <c r="AR291" s="9"/>
      <c r="AS291" s="9"/>
      <c r="AT291" s="9"/>
      <c r="AU291" s="428"/>
      <c r="AV291" s="428"/>
      <c r="AW291" s="449" t="str">
        <f>IF(C291&gt;0,VLOOKUP(C291,Foundation_Calc!$A$2:$C$13,3,1),
IF(J291&gt;0,VLOOKUP(J291,Foundation_Calc!$A$2:$C$13,3,1),""))</f>
        <v/>
      </c>
      <c r="AX291" s="449" t="str">
        <f>IF(C291&gt;0,VLOOKUP(C291,Foundation_Calc!$E$2:$G$33,3,1),
IF(J291&gt;0,VLOOKUP(J291,Foundation_Calc!$E$2:$G$33,3,1),""))</f>
        <v/>
      </c>
      <c r="AY291" s="10" t="str">
        <f>IF(L291="","",
IF(AX291="PT",VLOOKUP(L291,Foundation_Calc!$K$79:$R$113,VLOOKUP(AW291,Foundation_Calc!$I$2:$J$8,2,FALSE),0),
IF(AX291="K",VLOOKUP(L291,Foundation_Calc!$K$117:$R$151,VLOOKUP(AW291,Foundation_Calc!$I$2:$J$8,2,FALSE),0),"")))</f>
        <v/>
      </c>
      <c r="AZ291" s="10" t="str">
        <f>IF(K291="","",
IF(AX291="PT",VLOOKUP(K291,Foundation_Calc!$K$79:$R$113,VLOOKUP(AW291,Foundation_Calc!$I$2:$J$8,2,FALSE),0),
IF(AX291="K",VLOOKUP(K291,Foundation_Calc!$K$117:$R$151,VLOOKUP(AW291,Foundation_Calc!$I$2:$J$8,2,FALSE),0),"")))</f>
        <v/>
      </c>
      <c r="BA291" s="495" t="str">
        <f t="shared" si="38"/>
        <v/>
      </c>
      <c r="BB291" s="495" t="str">
        <f t="shared" si="39"/>
        <v/>
      </c>
      <c r="BC291" s="495" t="str">
        <f t="shared" si="40"/>
        <v/>
      </c>
      <c r="BD291" s="513" t="str">
        <f>IF(AND(L291="",H291=""),"",
IF(H291="",Pole_Calc!A$9,
IF(H291="MP",Pole_Calc!A$10,
IF(H291="AnMP",Pole_Calc!A$11,
IF(H291="A",Pole_Calc!A$12,
IF(H291="S/A",Pole_Calc!A$13,
IF(H291="A/S",Pole_Calc!A$14,"Poner a mano")))))))</f>
        <v/>
      </c>
      <c r="BE291" s="429" t="s">
        <v>118</v>
      </c>
      <c r="BF291" s="290"/>
      <c r="BG291" s="290"/>
      <c r="BH291" s="290"/>
      <c r="BI291" s="290"/>
    </row>
    <row r="292" spans="1:61" ht="16.149999999999999" customHeight="1">
      <c r="A292" s="514"/>
      <c r="B292" s="450" t="s">
        <v>336</v>
      </c>
      <c r="C292" s="3">
        <f>+$C$290+$G$291-0.6</f>
        <v>37309.25</v>
      </c>
      <c r="D292" s="83"/>
      <c r="E292" s="4"/>
      <c r="F292" s="4">
        <f>IF(C292&gt;0,VLOOKUP(C292,'ALIGNMENT TRACK'!$A$1:$K$81,9,1))</f>
        <v>-1200</v>
      </c>
      <c r="G292" s="6"/>
      <c r="H292" s="449" t="s">
        <v>121</v>
      </c>
      <c r="I292" s="4" t="s">
        <v>122</v>
      </c>
      <c r="J292" s="3"/>
      <c r="K292" s="449"/>
      <c r="L292" s="449" t="s">
        <v>181</v>
      </c>
      <c r="M292" s="449" t="str">
        <f>IF(L292="","",
IF(AX292="PT",VLOOKUP(L292,Foundation_Calc!$V$79:$X$113,VLOOKUP(AX292,Foundation_Calc!$I$10:$J$13,2,FALSE),0),
IF(AX292="K",VLOOKUP(L292,Foundation_Calc!$V$117:$X$151,VLOOKUP(AX292,Foundation_Calc!$I$10:$J$13,2,FALSE),0),"")))</f>
        <v>C5R</v>
      </c>
      <c r="N292" s="449" t="s">
        <v>134</v>
      </c>
      <c r="O292" s="449"/>
      <c r="P292" s="449"/>
      <c r="Q292" s="4"/>
      <c r="R292" s="6"/>
      <c r="S292" s="6"/>
      <c r="T292" s="4">
        <v>30</v>
      </c>
      <c r="U292" s="4"/>
      <c r="V292" s="4"/>
      <c r="W292" s="9">
        <v>1.4</v>
      </c>
      <c r="X292" s="9"/>
      <c r="Y292" s="9"/>
      <c r="Z292" s="9"/>
      <c r="AA292" s="9"/>
      <c r="AB292" s="9"/>
      <c r="AC292" s="449" t="str">
        <f t="shared" si="37"/>
        <v>PHC</v>
      </c>
      <c r="AD292" s="449"/>
      <c r="AE292" s="449"/>
      <c r="AF292" s="4"/>
      <c r="AG292" s="83"/>
      <c r="AH292" s="4"/>
      <c r="AI292" s="4"/>
      <c r="AJ292" s="449"/>
      <c r="AK292" s="449"/>
      <c r="AL292" s="449"/>
      <c r="AM292" s="449" t="s">
        <v>126</v>
      </c>
      <c r="AN292" s="10">
        <v>5.5</v>
      </c>
      <c r="AO292" s="9"/>
      <c r="AP292" s="9"/>
      <c r="AQ292" s="9"/>
      <c r="AR292" s="9"/>
      <c r="AS292" s="9"/>
      <c r="AT292" s="9">
        <f>+ab($T$292,$T$290,$T$294,$G$291,$G$293,-1*$F$292,1200)</f>
        <v>4.595543798028058</v>
      </c>
      <c r="AU292" s="428"/>
      <c r="AV292" s="428"/>
      <c r="AW292" s="449" t="str">
        <f>IF(C292&gt;0,VLOOKUP(C292,Foundation_Calc!$A$2:$C$13,3,1),
IF(J292&gt;0,VLOOKUP(J292,Foundation_Calc!$A$2:$C$13,3,1),""))</f>
        <v>Multi Soil</v>
      </c>
      <c r="AX292" s="449" t="str">
        <f>IF(C292&gt;0,VLOOKUP(C292,Foundation_Calc!$E$2:$G$33,3,1),
IF(J292&gt;0,VLOOKUP(J292,Foundation_Calc!$E$2:$G$33,3,1),""))</f>
        <v>PT</v>
      </c>
      <c r="AY292" s="10">
        <f>IF(L292="","",
IF(AX292="PT",VLOOKUP(L292,Foundation_Calc!$K$79:$R$113,VLOOKUP(AW292,Foundation_Calc!$I$2:$J$8,2,FALSE),0),
IF(AX292="K",VLOOKUP(L292,Foundation_Calc!$K$117:$R$151,VLOOKUP(AW292,Foundation_Calc!$I$2:$J$8,2,FALSE),0),"")))</f>
        <v>3.5</v>
      </c>
      <c r="AZ292" s="10" t="str">
        <f>IF(K292="","",
IF(AX292="PT",VLOOKUP(K292,Foundation_Calc!$K$79:$R$113,VLOOKUP(AW292,Foundation_Calc!$I$2:$J$8,2,FALSE),0),
IF(AX292="K",VLOOKUP(K292,Foundation_Calc!$K$117:$R$151,VLOOKUP(AW292,Foundation_Calc!$I$2:$J$8,2,FALSE),0),"")))</f>
        <v/>
      </c>
      <c r="BA292" s="495" t="str">
        <f t="shared" si="38"/>
        <v>ü</v>
      </c>
      <c r="BB292" s="495" t="str">
        <f t="shared" si="39"/>
        <v/>
      </c>
      <c r="BC292" s="495" t="str">
        <f t="shared" si="40"/>
        <v/>
      </c>
      <c r="BD292" s="513" t="str">
        <f>IF(AND(L292="",H292=""),"",
IF(H292="",Pole_Calc!A$9,
IF(H292="MP",Pole_Calc!A$10,
IF(H292="AnMP",Pole_Calc!A$11,
IF(H292="A",Pole_Calc!A$12,
IF(H292="S/A",Pole_Calc!A$13,
IF(H292="A/S",Pole_Calc!A$14,"Poner a mano")))))))</f>
        <v>App.7-V11I-P9.5.1.6</v>
      </c>
      <c r="BE292" s="429" t="s">
        <v>118</v>
      </c>
      <c r="BF292" s="289"/>
      <c r="BG292" s="289"/>
      <c r="BH292" s="290"/>
      <c r="BI292" s="289"/>
    </row>
    <row r="293" spans="1:61" ht="16.149999999999999" customHeight="1">
      <c r="A293" s="514"/>
      <c r="B293" s="450"/>
      <c r="C293" s="3"/>
      <c r="D293" s="83"/>
      <c r="E293" s="4"/>
      <c r="F293" s="4"/>
      <c r="G293" s="6">
        <v>50</v>
      </c>
      <c r="H293" s="449"/>
      <c r="I293" s="4"/>
      <c r="J293" s="3">
        <f>C292+7.5</f>
        <v>37316.75</v>
      </c>
      <c r="K293" s="449" t="s">
        <v>117</v>
      </c>
      <c r="L293" s="449"/>
      <c r="M293" s="449" t="str">
        <f>IF(L293="","",
IF(AX293="PT",VLOOKUP(L293,Foundation_Calc!$V$79:$X$113,VLOOKUP(AX293,Foundation_Calc!$I$10:$J$13,2,FALSE),0),
IF(AX293="K",VLOOKUP(L293,Foundation_Calc!$V$117:$X$151,VLOOKUP(AX293,Foundation_Calc!$I$10:$J$13,2,FALSE),0),"")))</f>
        <v/>
      </c>
      <c r="N293" s="449"/>
      <c r="O293" s="449"/>
      <c r="P293" s="449"/>
      <c r="Q293" s="4"/>
      <c r="R293" s="6"/>
      <c r="S293" s="6"/>
      <c r="T293" s="4"/>
      <c r="U293" s="4"/>
      <c r="V293" s="4"/>
      <c r="W293" s="9"/>
      <c r="X293" s="9"/>
      <c r="Y293" s="9"/>
      <c r="Z293" s="9"/>
      <c r="AA293" s="9"/>
      <c r="AB293" s="9"/>
      <c r="AC293" s="449" t="str">
        <f t="shared" si="37"/>
        <v/>
      </c>
      <c r="AD293" s="449"/>
      <c r="AE293" s="449"/>
      <c r="AF293" s="4"/>
      <c r="AG293" s="83"/>
      <c r="AH293" s="4"/>
      <c r="AI293" s="4"/>
      <c r="AJ293" s="449"/>
      <c r="AK293" s="449"/>
      <c r="AL293" s="449"/>
      <c r="AM293" s="449"/>
      <c r="AN293" s="10"/>
      <c r="AO293" s="9"/>
      <c r="AP293" s="9"/>
      <c r="AQ293" s="9">
        <f>+FL_1($T$294,$T$292,$G$293,1200,9.28,-1*$F$294)</f>
        <v>0.30001500298189332</v>
      </c>
      <c r="AR293" s="9"/>
      <c r="AS293" s="9"/>
      <c r="AT293" s="9"/>
      <c r="AU293" s="428"/>
      <c r="AV293" s="428"/>
      <c r="AW293" s="449" t="str">
        <f>IF(C293&gt;0,VLOOKUP(C293,Foundation_Calc!$A$2:$C$13,3,1),
IF(J293&gt;0,VLOOKUP(J293,Foundation_Calc!$A$2:$C$13,3,1),""))</f>
        <v>Multi Soil</v>
      </c>
      <c r="AX293" s="449" t="str">
        <f>IF(C293&gt;0,VLOOKUP(C293,Foundation_Calc!$E$2:$G$33,3,1),
IF(J293&gt;0,VLOOKUP(J293,Foundation_Calc!$E$2:$G$33,3,1),""))</f>
        <v>PT</v>
      </c>
      <c r="AY293" s="10" t="str">
        <f>IF(L293="","",
IF(AX293="PT",VLOOKUP(L293,Foundation_Calc!$K$79:$R$113,VLOOKUP(AW293,Foundation_Calc!$I$2:$J$8,2,FALSE),0),
IF(AX293="K",VLOOKUP(L293,Foundation_Calc!$K$117:$R$151,VLOOKUP(AW293,Foundation_Calc!$I$2:$J$8,2,FALSE),0),"")))</f>
        <v/>
      </c>
      <c r="AZ293" s="10">
        <f>IF(K293="","",
IF(AX293="PT",VLOOKUP(K293,Foundation_Calc!$K$79:$R$113,VLOOKUP(AW293,Foundation_Calc!$I$2:$J$8,2,FALSE),0),
IF(AX293="K",VLOOKUP(K293,Foundation_Calc!$K$117:$R$151,VLOOKUP(AW293,Foundation_Calc!$I$2:$J$8,2,FALSE),0),"")))</f>
        <v>3.9</v>
      </c>
      <c r="BA293" s="495" t="str">
        <f t="shared" si="38"/>
        <v/>
      </c>
      <c r="BB293" s="495" t="str">
        <f t="shared" si="39"/>
        <v>ü</v>
      </c>
      <c r="BC293" s="495" t="str">
        <f t="shared" si="40"/>
        <v/>
      </c>
      <c r="BD293" s="513" t="str">
        <f>IF(AND(L293="",H293=""),"",
IF(H293="",Pole_Calc!A$9,
IF(H293="MP",Pole_Calc!A$10,
IF(H293="AnMP",Pole_Calc!A$11,
IF(H293="A",Pole_Calc!A$12,
IF(H293="S/A",Pole_Calc!A$13,
IF(H293="A/S",Pole_Calc!A$14,"Poner a mano")))))))</f>
        <v/>
      </c>
      <c r="BE293" s="429" t="s">
        <v>118</v>
      </c>
      <c r="BF293" s="290"/>
      <c r="BG293" s="290"/>
      <c r="BH293" s="290"/>
      <c r="BI293" s="290"/>
    </row>
    <row r="294" spans="1:61" ht="16.149999999999999" customHeight="1">
      <c r="A294" s="514"/>
      <c r="B294" s="450" t="s">
        <v>337</v>
      </c>
      <c r="C294" s="3">
        <f>+$C$292+$G$293</f>
        <v>37359.25</v>
      </c>
      <c r="D294" s="83"/>
      <c r="E294" s="4"/>
      <c r="F294" s="4">
        <f>IF(C294&gt;0,VLOOKUP(C294,'ALIGNMENT TRACK'!$A$1:$K$81,9,1))</f>
        <v>-1200</v>
      </c>
      <c r="G294" s="6"/>
      <c r="H294" s="449"/>
      <c r="I294" s="4"/>
      <c r="J294" s="3"/>
      <c r="K294" s="449"/>
      <c r="L294" s="449" t="s">
        <v>158</v>
      </c>
      <c r="M294" s="449" t="str">
        <f>IF(L294="","",
IF(AX294="PT",VLOOKUP(L294,Foundation_Calc!$V$79:$X$113,VLOOKUP(AX294,Foundation_Calc!$I$10:$J$13,2,FALSE),0),
IF(AX294="K",VLOOKUP(L294,Foundation_Calc!$V$117:$X$151,VLOOKUP(AX294,Foundation_Calc!$I$10:$J$13,2,FALSE),0),"")))</f>
        <v>C4R</v>
      </c>
      <c r="N294" s="449" t="s">
        <v>134</v>
      </c>
      <c r="O294" s="449"/>
      <c r="P294" s="449"/>
      <c r="Q294" s="4"/>
      <c r="R294" s="6"/>
      <c r="S294" s="6"/>
      <c r="T294" s="4">
        <v>30</v>
      </c>
      <c r="U294" s="4"/>
      <c r="V294" s="4"/>
      <c r="W294" s="9">
        <v>1.4</v>
      </c>
      <c r="X294" s="9"/>
      <c r="Y294" s="9"/>
      <c r="Z294" s="9"/>
      <c r="AA294" s="9"/>
      <c r="AB294" s="9"/>
      <c r="AC294" s="449" t="str">
        <f t="shared" si="37"/>
        <v>PHC</v>
      </c>
      <c r="AD294" s="449"/>
      <c r="AE294" s="449"/>
      <c r="AF294" s="4"/>
      <c r="AG294" s="83"/>
      <c r="AH294" s="4"/>
      <c r="AI294" s="4"/>
      <c r="AJ294" s="449"/>
      <c r="AK294" s="449"/>
      <c r="AL294" s="449"/>
      <c r="AM294" s="449" t="s">
        <v>126</v>
      </c>
      <c r="AN294" s="10">
        <v>5.5</v>
      </c>
      <c r="AO294" s="9"/>
      <c r="AP294" s="9"/>
      <c r="AQ294" s="9"/>
      <c r="AR294" s="9"/>
      <c r="AS294" s="9"/>
      <c r="AT294" s="9">
        <f>+ab($T$294,$T$292,$T$296,$G$293,$G$295,-1*$F$294,1200)</f>
        <v>4.903069961948848</v>
      </c>
      <c r="AU294" s="428"/>
      <c r="AV294" s="428"/>
      <c r="AW294" s="449" t="str">
        <f>IF(C294&gt;0,VLOOKUP(C294,Foundation_Calc!$A$2:$C$13,3,1),
IF(J294&gt;0,VLOOKUP(J294,Foundation_Calc!$A$2:$C$13,3,1),""))</f>
        <v>Multi Soil</v>
      </c>
      <c r="AX294" s="449" t="str">
        <f>IF(C294&gt;0,VLOOKUP(C294,Foundation_Calc!$E$2:$G$33,3,1),
IF(J294&gt;0,VLOOKUP(J294,Foundation_Calc!$E$2:$G$33,3,1),""))</f>
        <v>PT</v>
      </c>
      <c r="AY294" s="10">
        <f>IF(L294="","",
IF(AX294="PT",VLOOKUP(L294,Foundation_Calc!$K$79:$R$113,VLOOKUP(AW294,Foundation_Calc!$I$2:$J$8,2,FALSE),0),
IF(AX294="K",VLOOKUP(L294,Foundation_Calc!$K$117:$R$151,VLOOKUP(AW294,Foundation_Calc!$I$2:$J$8,2,FALSE),0),"")))</f>
        <v>3.5</v>
      </c>
      <c r="AZ294" s="10" t="str">
        <f>IF(K294="","",
IF(AX294="PT",VLOOKUP(K294,Foundation_Calc!$K$79:$R$113,VLOOKUP(AW294,Foundation_Calc!$I$2:$J$8,2,FALSE),0),
IF(AX294="K",VLOOKUP(K294,Foundation_Calc!$K$117:$R$151,VLOOKUP(AW294,Foundation_Calc!$I$2:$J$8,2,FALSE),0),"")))</f>
        <v/>
      </c>
      <c r="BA294" s="495" t="str">
        <f t="shared" si="38"/>
        <v>ü</v>
      </c>
      <c r="BB294" s="495" t="str">
        <f t="shared" si="39"/>
        <v/>
      </c>
      <c r="BC294" s="495" t="str">
        <f t="shared" si="40"/>
        <v/>
      </c>
      <c r="BD294" s="513" t="str">
        <f>IF(AND(L294="",H294=""),"",
IF(H294="",Pole_Calc!A$9,
IF(H294="MP",Pole_Calc!A$10,
IF(H294="AnMP",Pole_Calc!A$11,
IF(H294="A",Pole_Calc!A$12,
IF(H294="S/A",Pole_Calc!A$13,
IF(H294="A/S",Pole_Calc!A$14,"Poner a mano")))))))</f>
        <v>App.7-V11I-P9.5.1.1</v>
      </c>
      <c r="BE294" s="429" t="s">
        <v>118</v>
      </c>
      <c r="BF294" s="289"/>
      <c r="BG294" s="289"/>
      <c r="BH294" s="290"/>
      <c r="BI294" s="289"/>
    </row>
    <row r="295" spans="1:61" ht="16.149999999999999" customHeight="1">
      <c r="A295" s="514"/>
      <c r="B295" s="450"/>
      <c r="C295" s="3"/>
      <c r="D295" s="83"/>
      <c r="E295" s="4"/>
      <c r="F295" s="4"/>
      <c r="G295" s="6">
        <v>43.7</v>
      </c>
      <c r="H295" s="449"/>
      <c r="I295" s="4"/>
      <c r="J295" s="3"/>
      <c r="K295" s="449"/>
      <c r="L295" s="449"/>
      <c r="M295" s="449" t="str">
        <f>IF(L295="","",
IF(AX295="PT",VLOOKUP(L295,Foundation_Calc!$V$79:$X$113,VLOOKUP(AX295,Foundation_Calc!$I$10:$J$13,2,FALSE),0),
IF(AX295="K",VLOOKUP(L295,Foundation_Calc!$V$117:$X$151,VLOOKUP(AX295,Foundation_Calc!$I$10:$J$13,2,FALSE),0),"")))</f>
        <v/>
      </c>
      <c r="N295" s="449"/>
      <c r="O295" s="449"/>
      <c r="P295" s="449"/>
      <c r="Q295" s="4"/>
      <c r="R295" s="6"/>
      <c r="S295" s="6"/>
      <c r="T295" s="4"/>
      <c r="U295" s="4"/>
      <c r="V295" s="4"/>
      <c r="W295" s="9"/>
      <c r="X295" s="9"/>
      <c r="Y295" s="9"/>
      <c r="Z295" s="9"/>
      <c r="AA295" s="9"/>
      <c r="AB295" s="9"/>
      <c r="AC295" s="449" t="str">
        <f t="shared" si="37"/>
        <v/>
      </c>
      <c r="AD295" s="449"/>
      <c r="AE295" s="449"/>
      <c r="AF295" s="4"/>
      <c r="AG295" s="83"/>
      <c r="AH295" s="4"/>
      <c r="AI295" s="4"/>
      <c r="AJ295" s="449"/>
      <c r="AK295" s="449"/>
      <c r="AL295" s="449"/>
      <c r="AM295" s="449"/>
      <c r="AN295" s="10"/>
      <c r="AO295" s="9"/>
      <c r="AP295" s="9"/>
      <c r="AQ295" s="9">
        <f>+FL_1($T$296,$T$294,$G$295,1200,9.28,-1*$F$296)</f>
        <v>0.30001311298616995</v>
      </c>
      <c r="AR295" s="9"/>
      <c r="AS295" s="9"/>
      <c r="AT295" s="9"/>
      <c r="AU295" s="428"/>
      <c r="AV295" s="428"/>
      <c r="AW295" s="449" t="str">
        <f>IF(C295&gt;0,VLOOKUP(C295,Foundation_Calc!$A$2:$C$13,3,1),
IF(J295&gt;0,VLOOKUP(J295,Foundation_Calc!$A$2:$C$13,3,1),""))</f>
        <v/>
      </c>
      <c r="AX295" s="449" t="str">
        <f>IF(C295&gt;0,VLOOKUP(C295,Foundation_Calc!$E$2:$G$33,3,1),
IF(J295&gt;0,VLOOKUP(J295,Foundation_Calc!$E$2:$G$33,3,1),""))</f>
        <v/>
      </c>
      <c r="AY295" s="10" t="str">
        <f>IF(L295="","",
IF(AX295="PT",VLOOKUP(L295,Foundation_Calc!$K$79:$R$113,VLOOKUP(AW295,Foundation_Calc!$I$2:$J$8,2,FALSE),0),
IF(AX295="K",VLOOKUP(L295,Foundation_Calc!$K$117:$R$151,VLOOKUP(AW295,Foundation_Calc!$I$2:$J$8,2,FALSE),0),"")))</f>
        <v/>
      </c>
      <c r="AZ295" s="10" t="str">
        <f>IF(K295="","",
IF(AX295="PT",VLOOKUP(K295,Foundation_Calc!$K$79:$R$113,VLOOKUP(AW295,Foundation_Calc!$I$2:$J$8,2,FALSE),0),
IF(AX295="K",VLOOKUP(K295,Foundation_Calc!$K$117:$R$151,VLOOKUP(AW295,Foundation_Calc!$I$2:$J$8,2,FALSE),0),"")))</f>
        <v/>
      </c>
      <c r="BA295" s="495" t="str">
        <f t="shared" si="38"/>
        <v/>
      </c>
      <c r="BB295" s="495" t="str">
        <f t="shared" si="39"/>
        <v/>
      </c>
      <c r="BC295" s="495" t="str">
        <f t="shared" si="40"/>
        <v/>
      </c>
      <c r="BD295" s="513" t="str">
        <f>IF(AND(L295="",H295=""),"",
IF(H295="",Pole_Calc!A$9,
IF(H295="MP",Pole_Calc!A$10,
IF(H295="AnMP",Pole_Calc!A$11,
IF(H295="A",Pole_Calc!A$12,
IF(H295="S/A",Pole_Calc!A$13,
IF(H295="A/S",Pole_Calc!A$14,"Poner a mano")))))))</f>
        <v/>
      </c>
      <c r="BE295" s="429" t="s">
        <v>118</v>
      </c>
      <c r="BF295" s="290"/>
      <c r="BG295" s="290"/>
      <c r="BH295" s="290"/>
      <c r="BI295" s="290"/>
    </row>
    <row r="296" spans="1:61" ht="16.149999999999999" customHeight="1">
      <c r="A296" s="514"/>
      <c r="B296" s="450" t="s">
        <v>338</v>
      </c>
      <c r="C296" s="3">
        <f>+$C$294+$G$295</f>
        <v>37402.949999999997</v>
      </c>
      <c r="D296" s="83"/>
      <c r="E296" s="4"/>
      <c r="F296" s="4">
        <f>IF(C296&gt;0,VLOOKUP(C296,'ALIGNMENT TRACK'!$A$1:$K$81,9,1))</f>
        <v>-1200</v>
      </c>
      <c r="G296" s="6"/>
      <c r="H296" s="449"/>
      <c r="I296" s="4"/>
      <c r="J296" s="3"/>
      <c r="K296" s="449"/>
      <c r="L296" s="449" t="s">
        <v>158</v>
      </c>
      <c r="M296" s="449" t="str">
        <f>IF(L296="","",
IF(AX296="PT",VLOOKUP(L296,Foundation_Calc!$V$79:$X$113,VLOOKUP(AX296,Foundation_Calc!$I$10:$J$13,2,FALSE),0),
IF(AX296="K",VLOOKUP(L296,Foundation_Calc!$V$117:$X$151,VLOOKUP(AX296,Foundation_Calc!$I$10:$J$13,2,FALSE),0),"")))</f>
        <v>C4R</v>
      </c>
      <c r="N296" s="449" t="s">
        <v>134</v>
      </c>
      <c r="O296" s="449"/>
      <c r="P296" s="449"/>
      <c r="Q296" s="4"/>
      <c r="R296" s="6"/>
      <c r="S296" s="6"/>
      <c r="T296" s="4">
        <v>30</v>
      </c>
      <c r="U296" s="4"/>
      <c r="V296" s="4"/>
      <c r="W296" s="9">
        <v>1.4</v>
      </c>
      <c r="X296" s="9"/>
      <c r="Y296" s="9"/>
      <c r="Z296" s="9"/>
      <c r="AA296" s="9"/>
      <c r="AB296" s="9"/>
      <c r="AC296" s="449" t="str">
        <f t="shared" si="37"/>
        <v>PHC</v>
      </c>
      <c r="AD296" s="449"/>
      <c r="AE296" s="449"/>
      <c r="AF296" s="4"/>
      <c r="AG296" s="83"/>
      <c r="AH296" s="4"/>
      <c r="AI296" s="4"/>
      <c r="AJ296" s="449"/>
      <c r="AK296" s="449"/>
      <c r="AL296" s="449"/>
      <c r="AM296" s="449" t="s">
        <v>126</v>
      </c>
      <c r="AN296" s="10">
        <v>5.5</v>
      </c>
      <c r="AO296" s="9"/>
      <c r="AP296" s="9"/>
      <c r="AQ296" s="9"/>
      <c r="AR296" s="9"/>
      <c r="AS296" s="9"/>
      <c r="AT296" s="9">
        <f>+ab($T$296,$T$294,$T$298,$G$295,$G$297,-1*$F$296,1200)</f>
        <v>4.8874977865320783</v>
      </c>
      <c r="AU296" s="428"/>
      <c r="AV296" s="428"/>
      <c r="AW296" s="449" t="str">
        <f>IF(C296&gt;0,VLOOKUP(C296,Foundation_Calc!$A$2:$C$13,3,1),
IF(J296&gt;0,VLOOKUP(J296,Foundation_Calc!$A$2:$C$13,3,1),""))</f>
        <v>Multi Soil</v>
      </c>
      <c r="AX296" s="449" t="str">
        <f>IF(C296&gt;0,VLOOKUP(C296,Foundation_Calc!$E$2:$G$33,3,1),
IF(J296&gt;0,VLOOKUP(J296,Foundation_Calc!$E$2:$G$33,3,1),""))</f>
        <v>PT</v>
      </c>
      <c r="AY296" s="10">
        <f>IF(L296="","",
IF(AX296="PT",VLOOKUP(L296,Foundation_Calc!$K$79:$R$113,VLOOKUP(AW296,Foundation_Calc!$I$2:$J$8,2,FALSE),0),
IF(AX296="K",VLOOKUP(L296,Foundation_Calc!$K$117:$R$151,VLOOKUP(AW296,Foundation_Calc!$I$2:$J$8,2,FALSE),0),"")))</f>
        <v>3.5</v>
      </c>
      <c r="AZ296" s="10" t="str">
        <f>IF(K296="","",
IF(AX296="PT",VLOOKUP(K296,Foundation_Calc!$K$79:$R$113,VLOOKUP(AW296,Foundation_Calc!$I$2:$J$8,2,FALSE),0),
IF(AX296="K",VLOOKUP(K296,Foundation_Calc!$K$117:$R$151,VLOOKUP(AW296,Foundation_Calc!$I$2:$J$8,2,FALSE),0),"")))</f>
        <v/>
      </c>
      <c r="BA296" s="495" t="str">
        <f t="shared" si="38"/>
        <v>ü</v>
      </c>
      <c r="BB296" s="495" t="str">
        <f t="shared" si="39"/>
        <v/>
      </c>
      <c r="BC296" s="495" t="str">
        <f t="shared" si="40"/>
        <v/>
      </c>
      <c r="BD296" s="513" t="str">
        <f>IF(AND(L296="",H296=""),"",
IF(H296="",Pole_Calc!A$9,
IF(H296="MP",Pole_Calc!A$10,
IF(H296="AnMP",Pole_Calc!A$11,
IF(H296="A",Pole_Calc!A$12,
IF(H296="S/A",Pole_Calc!A$13,
IF(H296="A/S",Pole_Calc!A$14,"Poner a mano")))))))</f>
        <v>App.7-V11I-P9.5.1.1</v>
      </c>
      <c r="BE296" s="429" t="s">
        <v>118</v>
      </c>
      <c r="BF296" s="289"/>
      <c r="BG296" s="289"/>
      <c r="BH296" s="290"/>
      <c r="BI296" s="289"/>
    </row>
    <row r="297" spans="1:61" ht="16.149999999999999" customHeight="1">
      <c r="A297" s="696" t="s">
        <v>339</v>
      </c>
      <c r="B297" s="697"/>
      <c r="C297" s="698"/>
      <c r="D297" s="699"/>
      <c r="E297" s="700"/>
      <c r="F297" s="700"/>
      <c r="G297" s="701">
        <v>50.3</v>
      </c>
      <c r="H297" s="702"/>
      <c r="I297" s="700"/>
      <c r="J297" s="698">
        <f>C298-7.5</f>
        <v>37445.75</v>
      </c>
      <c r="K297" s="702" t="s">
        <v>166</v>
      </c>
      <c r="L297" s="702"/>
      <c r="M297" s="702" t="str">
        <f>IF(L297="","",
IF(AX297="PT",VLOOKUP(L297,Foundation_Calc!$V$79:$X$113,VLOOKUP(AX297,Foundation_Calc!$I$10:$J$13,2,FALSE),0),
IF(AX297="K",VLOOKUP(L297,Foundation_Calc!$V$117:$X$151,VLOOKUP(AX297,Foundation_Calc!$I$10:$J$13,2,FALSE),0),"")))</f>
        <v/>
      </c>
      <c r="N297" s="702"/>
      <c r="O297" s="702"/>
      <c r="P297" s="702"/>
      <c r="Q297" s="700"/>
      <c r="R297" s="701"/>
      <c r="S297" s="701"/>
      <c r="T297" s="700"/>
      <c r="U297" s="700"/>
      <c r="V297" s="700"/>
      <c r="W297" s="703"/>
      <c r="X297" s="703"/>
      <c r="Y297" s="703"/>
      <c r="Z297" s="703"/>
      <c r="AA297" s="703"/>
      <c r="AB297" s="703"/>
      <c r="AC297" s="702" t="str">
        <f t="shared" si="37"/>
        <v/>
      </c>
      <c r="AD297" s="702"/>
      <c r="AE297" s="702"/>
      <c r="AF297" s="700"/>
      <c r="AG297" s="699"/>
      <c r="AH297" s="700"/>
      <c r="AI297" s="700"/>
      <c r="AJ297" s="702"/>
      <c r="AK297" s="702"/>
      <c r="AL297" s="702"/>
      <c r="AM297" s="702"/>
      <c r="AN297" s="704"/>
      <c r="AO297" s="703"/>
      <c r="AP297" s="703"/>
      <c r="AQ297" s="703">
        <f>+FL_1($T$298,$T$296,$G$297,1200,9.28,-1*$F$298)</f>
        <v>0.30001509298163564</v>
      </c>
      <c r="AR297" s="703"/>
      <c r="AS297" s="703"/>
      <c r="AT297" s="703"/>
      <c r="AU297" s="705"/>
      <c r="AV297" s="705"/>
      <c r="AW297" s="702" t="str">
        <f>IF(C297&gt;0,VLOOKUP(C297,Foundation_Calc!$A$2:$C$13,3,1),
IF(J297&gt;0,VLOOKUP(J297,Foundation_Calc!$A$2:$C$13,3,1),""))</f>
        <v>Multi Soil</v>
      </c>
      <c r="AX297" s="702" t="str">
        <f>IF(C297&gt;0,VLOOKUP(C297,Foundation_Calc!$E$2:$G$33,3,1),
IF(J297&gt;0,VLOOKUP(J297,Foundation_Calc!$E$2:$G$33,3,1),""))</f>
        <v>PT</v>
      </c>
      <c r="AY297" s="704" t="str">
        <f>IF(L297="","",
IF(AX297="PT",VLOOKUP(L297,Foundation_Calc!$K$79:$R$113,VLOOKUP(AW297,Foundation_Calc!$I$2:$J$8,2,FALSE),0),
IF(AX297="K",VLOOKUP(L297,Foundation_Calc!$K$117:$R$151,VLOOKUP(AW297,Foundation_Calc!$I$2:$J$8,2,FALSE),0),"")))</f>
        <v/>
      </c>
      <c r="AZ297" s="704">
        <f>IF(K297="","",
IF(AX297="PT",VLOOKUP(K297,Foundation_Calc!$K$79:$R$113,VLOOKUP(AW297,Foundation_Calc!$I$2:$J$8,2,FALSE),0),
IF(AX297="K",VLOOKUP(K297,Foundation_Calc!$K$117:$R$151,VLOOKUP(AW297,Foundation_Calc!$I$2:$J$8,2,FALSE),0),"")))</f>
        <v>2.8</v>
      </c>
      <c r="BA297" s="495" t="str">
        <f t="shared" si="38"/>
        <v/>
      </c>
      <c r="BB297" s="495" t="str">
        <f t="shared" si="39"/>
        <v>ü</v>
      </c>
      <c r="BC297" s="495" t="str">
        <f t="shared" si="40"/>
        <v/>
      </c>
      <c r="BD297" s="513" t="str">
        <f>IF(AND(L297="",H297=""),"",
IF(H297="",Pole_Calc!A$9,
IF(H297="MP",Pole_Calc!A$10,
IF(H297="AnMP",Pole_Calc!A$11,
IF(H297="A",Pole_Calc!A$12,
IF(H297="S/A",Pole_Calc!A$13,
IF(H297="A/S",Pole_Calc!A$14,"Poner a mano")))))))</f>
        <v/>
      </c>
      <c r="BE297" s="429" t="s">
        <v>118</v>
      </c>
      <c r="BF297" s="290"/>
      <c r="BG297" s="290"/>
      <c r="BH297" s="290"/>
      <c r="BI297" s="290"/>
    </row>
    <row r="298" spans="1:61" ht="16.149999999999999" customHeight="1">
      <c r="A298" s="514"/>
      <c r="B298" s="450" t="s">
        <v>340</v>
      </c>
      <c r="C298" s="3">
        <f>+$C$296+$G$297</f>
        <v>37453.25</v>
      </c>
      <c r="D298" s="83"/>
      <c r="E298" s="4"/>
      <c r="F298" s="4">
        <f>IF(C298&gt;0,VLOOKUP(C298,'ALIGNMENT TRACK'!$A$1:$K$81,9,1))</f>
        <v>-1200</v>
      </c>
      <c r="G298" s="6"/>
      <c r="H298" s="449" t="s">
        <v>168</v>
      </c>
      <c r="I298" s="4"/>
      <c r="J298" s="3"/>
      <c r="K298" s="449"/>
      <c r="L298" s="449" t="s">
        <v>158</v>
      </c>
      <c r="M298" s="449" t="str">
        <f>IF(L298="","",
IF(AX298="PT",VLOOKUP(L298,Foundation_Calc!$V$79:$X$113,VLOOKUP(AX298,Foundation_Calc!$I$10:$J$13,2,FALSE),0),
IF(AX298="K",VLOOKUP(L298,Foundation_Calc!$V$117:$X$151,VLOOKUP(AX298,Foundation_Calc!$I$10:$J$13,2,FALSE),0),"")))</f>
        <v>C4R</v>
      </c>
      <c r="N298" s="449" t="s">
        <v>134</v>
      </c>
      <c r="O298" s="449"/>
      <c r="P298" s="449"/>
      <c r="Q298" s="4"/>
      <c r="R298" s="6"/>
      <c r="S298" s="6"/>
      <c r="T298" s="4">
        <v>30</v>
      </c>
      <c r="U298" s="4"/>
      <c r="V298" s="4"/>
      <c r="W298" s="9">
        <v>1.4</v>
      </c>
      <c r="X298" s="9"/>
      <c r="Y298" s="9"/>
      <c r="Z298" s="9"/>
      <c r="AA298" s="9"/>
      <c r="AB298" s="9"/>
      <c r="AC298" s="449" t="str">
        <f t="shared" si="37"/>
        <v>PHC</v>
      </c>
      <c r="AD298" s="449"/>
      <c r="AE298" s="449"/>
      <c r="AF298" s="4"/>
      <c r="AG298" s="83"/>
      <c r="AH298" s="4"/>
      <c r="AI298" s="4"/>
      <c r="AJ298" s="449"/>
      <c r="AK298" s="449"/>
      <c r="AL298" s="449"/>
      <c r="AM298" s="449" t="s">
        <v>126</v>
      </c>
      <c r="AN298" s="10">
        <v>5.5</v>
      </c>
      <c r="AO298" s="9"/>
      <c r="AP298" s="9"/>
      <c r="AQ298" s="9"/>
      <c r="AR298" s="9"/>
      <c r="AS298" s="9"/>
      <c r="AT298" s="9">
        <f>+ab($T$298,$T$296,-$T$300,$G$297,$G$299,-1*$F$298,1200)</f>
        <v>4.9397928580711463</v>
      </c>
      <c r="AU298" s="428"/>
      <c r="AV298" s="428"/>
      <c r="AW298" s="449" t="str">
        <f>IF(C298&gt;0,VLOOKUP(C298,Foundation_Calc!$A$2:$C$13,3,1),
IF(J298&gt;0,VLOOKUP(J298,Foundation_Calc!$A$2:$C$13,3,1),""))</f>
        <v>Multi Soil</v>
      </c>
      <c r="AX298" s="449" t="str">
        <f>IF(C298&gt;0,VLOOKUP(C298,Foundation_Calc!$E$2:$G$33,3,1),
IF(J298&gt;0,VLOOKUP(J298,Foundation_Calc!$E$2:$G$33,3,1),""))</f>
        <v>PT</v>
      </c>
      <c r="AY298" s="10">
        <f>IF(L298="","",
IF(AX298="PT",VLOOKUP(L298,Foundation_Calc!$K$79:$R$113,VLOOKUP(AW298,Foundation_Calc!$I$2:$J$8,2,FALSE),0),
IF(AX298="K",VLOOKUP(L298,Foundation_Calc!$K$117:$R$151,VLOOKUP(AW298,Foundation_Calc!$I$2:$J$8,2,FALSE),0),"")))</f>
        <v>3.5</v>
      </c>
      <c r="AZ298" s="10" t="str">
        <f>IF(K298="","",
IF(AX298="PT",VLOOKUP(K298,Foundation_Calc!$K$79:$R$113,VLOOKUP(AW298,Foundation_Calc!$I$2:$J$8,2,FALSE),0),
IF(AX298="K",VLOOKUP(K298,Foundation_Calc!$K$117:$R$151,VLOOKUP(AW298,Foundation_Calc!$I$2:$J$8,2,FALSE),0),"")))</f>
        <v/>
      </c>
      <c r="BA298" s="495" t="str">
        <f t="shared" si="38"/>
        <v>ü</v>
      </c>
      <c r="BB298" s="495" t="str">
        <f t="shared" si="39"/>
        <v/>
      </c>
      <c r="BC298" s="495" t="str">
        <f t="shared" si="40"/>
        <v/>
      </c>
      <c r="BD298" s="513" t="str">
        <f>IF(AND(L298="",H298=""),"",
IF(H298="",Pole_Calc!A$9,
IF(H298="MP",Pole_Calc!A$10,
IF(H298="AnMP",Pole_Calc!A$11,
IF(H298="A",Pole_Calc!A$12,
IF(H298="S/A",Pole_Calc!A$13,
IF(H298="A/S",Pole_Calc!A$14,"Poner a mano")))))))</f>
        <v>App.7-V11I-P9.5.1.3</v>
      </c>
      <c r="BE298" s="429" t="s">
        <v>118</v>
      </c>
      <c r="BF298" s="289"/>
      <c r="BG298" s="289"/>
      <c r="BH298" s="290"/>
      <c r="BI298" s="289"/>
    </row>
    <row r="299" spans="1:61" ht="16.149999999999999" customHeight="1">
      <c r="A299" s="696" t="s">
        <v>341</v>
      </c>
      <c r="B299" s="697"/>
      <c r="C299" s="698"/>
      <c r="D299" s="699"/>
      <c r="E299" s="700"/>
      <c r="F299" s="700"/>
      <c r="G299" s="701">
        <v>42.7</v>
      </c>
      <c r="H299" s="702"/>
      <c r="I299" s="700">
        <f>SUM(G287:G299)</f>
        <v>336.7</v>
      </c>
      <c r="J299" s="698"/>
      <c r="K299" s="702"/>
      <c r="L299" s="702"/>
      <c r="M299" s="702" t="str">
        <f>IF(L299="","",
IF(AX299="PT",VLOOKUP(L299,Foundation_Calc!$V$79:$X$113,VLOOKUP(AX299,Foundation_Calc!$I$10:$J$13,2,FALSE),0),
IF(AX299="K",VLOOKUP(L299,Foundation_Calc!$V$117:$X$151,VLOOKUP(AX299,Foundation_Calc!$I$10:$J$13,2,FALSE),0),"")))</f>
        <v/>
      </c>
      <c r="N299" s="702"/>
      <c r="O299" s="702"/>
      <c r="P299" s="702"/>
      <c r="Q299" s="700"/>
      <c r="R299" s="701"/>
      <c r="S299" s="701"/>
      <c r="T299" s="700"/>
      <c r="U299" s="700"/>
      <c r="V299" s="700"/>
      <c r="W299" s="703"/>
      <c r="X299" s="703"/>
      <c r="Y299" s="703"/>
      <c r="Z299" s="703"/>
      <c r="AA299" s="703"/>
      <c r="AB299" s="703"/>
      <c r="AC299" s="702" t="str">
        <f t="shared" si="37"/>
        <v/>
      </c>
      <c r="AD299" s="702"/>
      <c r="AE299" s="702"/>
      <c r="AF299" s="700"/>
      <c r="AG299" s="699"/>
      <c r="AH299" s="700"/>
      <c r="AI299" s="700"/>
      <c r="AJ299" s="702"/>
      <c r="AK299" s="702"/>
      <c r="AL299" s="702"/>
      <c r="AM299" s="702"/>
      <c r="AN299" s="704"/>
      <c r="AO299" s="703"/>
      <c r="AP299" s="703"/>
      <c r="AQ299" s="703">
        <f>+FL_1(-$T$300,$T$298,$G$299,1200,9.28,-1*$F$300)</f>
        <v>0.3</v>
      </c>
      <c r="AR299" s="703"/>
      <c r="AS299" s="703"/>
      <c r="AT299" s="703"/>
      <c r="AU299" s="705"/>
      <c r="AV299" s="705"/>
      <c r="AW299" s="702" t="str">
        <f>IF(C299&gt;0,VLOOKUP(C299,Foundation_Calc!$A$2:$C$13,3,1),
IF(J299&gt;0,VLOOKUP(J299,Foundation_Calc!$A$2:$C$13,3,1),""))</f>
        <v/>
      </c>
      <c r="AX299" s="702" t="str">
        <f>IF(C299&gt;0,VLOOKUP(C299,Foundation_Calc!$E$2:$G$33,3,1),
IF(J299&gt;0,VLOOKUP(J299,Foundation_Calc!$E$2:$G$33,3,1),""))</f>
        <v/>
      </c>
      <c r="AY299" s="704" t="str">
        <f>IF(L299="","",
IF(AX299="PT",VLOOKUP(L299,Foundation_Calc!$K$79:$R$113,VLOOKUP(AW299,Foundation_Calc!$I$2:$J$8,2,FALSE),0),
IF(AX299="K",VLOOKUP(L299,Foundation_Calc!$K$117:$R$151,VLOOKUP(AW299,Foundation_Calc!$I$2:$J$8,2,FALSE),0),"")))</f>
        <v/>
      </c>
      <c r="AZ299" s="704" t="str">
        <f>IF(K299="","",
IF(AX299="PT",VLOOKUP(K299,Foundation_Calc!$K$79:$R$113,VLOOKUP(AW299,Foundation_Calc!$I$2:$J$8,2,FALSE),0),
IF(AX299="K",VLOOKUP(K299,Foundation_Calc!$K$117:$R$151,VLOOKUP(AW299,Foundation_Calc!$I$2:$J$8,2,FALSE),0),"")))</f>
        <v/>
      </c>
      <c r="BA299" s="495" t="str">
        <f t="shared" si="38"/>
        <v/>
      </c>
      <c r="BB299" s="495" t="str">
        <f t="shared" si="39"/>
        <v/>
      </c>
      <c r="BC299" s="495" t="str">
        <f t="shared" si="40"/>
        <v/>
      </c>
      <c r="BD299" s="513" t="str">
        <f>IF(AND(L299="",H299=""),"",
IF(H299="",Pole_Calc!A$9,
IF(H299="MP",Pole_Calc!A$10,
IF(H299="AnMP",Pole_Calc!A$11,
IF(H299="A",Pole_Calc!A$12,
IF(H299="S/A",Pole_Calc!A$13,
IF(H299="A/S",Pole_Calc!A$14,"Poner a mano")))))))</f>
        <v/>
      </c>
      <c r="BE299" s="429" t="s">
        <v>118</v>
      </c>
      <c r="BF299" s="290"/>
      <c r="BG299" s="290"/>
      <c r="BH299" s="290"/>
      <c r="BI299" s="290"/>
    </row>
    <row r="300" spans="1:61" ht="16.149999999999999" customHeight="1">
      <c r="A300" s="514"/>
      <c r="B300" s="450" t="s">
        <v>342</v>
      </c>
      <c r="C300" s="3">
        <f>+$C$298+$G$299</f>
        <v>37495.949999999997</v>
      </c>
      <c r="D300" s="83"/>
      <c r="E300" s="4"/>
      <c r="F300" s="4">
        <f>IF(C300&gt;0,VLOOKUP(C300,'ALIGNMENT TRACK'!$A$1:$K$81,9,1))</f>
        <v>-1200</v>
      </c>
      <c r="G300" s="6"/>
      <c r="H300" s="449" t="s">
        <v>171</v>
      </c>
      <c r="I300" s="4"/>
      <c r="J300" s="3"/>
      <c r="K300" s="449"/>
      <c r="L300" s="449" t="s">
        <v>201</v>
      </c>
      <c r="M300" s="449" t="s">
        <v>201</v>
      </c>
      <c r="N300" s="449" t="s">
        <v>343</v>
      </c>
      <c r="O300" s="449"/>
      <c r="P300" s="449"/>
      <c r="Q300" s="4"/>
      <c r="R300" s="6"/>
      <c r="S300" s="6"/>
      <c r="T300" s="4">
        <v>-30</v>
      </c>
      <c r="U300" s="4"/>
      <c r="V300" s="4"/>
      <c r="W300" s="572">
        <v>1.1000000000000001</v>
      </c>
      <c r="X300" s="9"/>
      <c r="Y300" s="9"/>
      <c r="Z300" s="9"/>
      <c r="AA300" s="9"/>
      <c r="AB300" s="9"/>
      <c r="AC300" s="449" t="str">
        <f t="shared" si="37"/>
        <v>PHQ</v>
      </c>
      <c r="AD300" s="449"/>
      <c r="AE300" s="449"/>
      <c r="AF300" s="4"/>
      <c r="AG300" s="83"/>
      <c r="AH300" s="4"/>
      <c r="AI300" s="4"/>
      <c r="AJ300" s="449"/>
      <c r="AK300" s="449" t="s">
        <v>344</v>
      </c>
      <c r="AL300" s="449"/>
      <c r="AM300" s="449" t="s">
        <v>345</v>
      </c>
      <c r="AN300" s="10">
        <v>5.5</v>
      </c>
      <c r="AO300" s="9"/>
      <c r="AP300" s="9"/>
      <c r="AQ300" s="9"/>
      <c r="AR300" s="9"/>
      <c r="AS300" s="9"/>
      <c r="AT300" s="9">
        <f>+ab(-$T$300,$T$298,$T$302,$G$299,$G$301,-1*$F$300,1200)</f>
        <v>5.5447319694249924</v>
      </c>
      <c r="AU300" s="428"/>
      <c r="AV300" s="428"/>
      <c r="AW300" s="449"/>
      <c r="AX300" s="449"/>
      <c r="AY300" s="10" t="str">
        <f>IF(L300="","",
IF(AX300="PT",VLOOKUP(L300,Foundation_Calc!$K$79:$R$113,VLOOKUP(AW300,Foundation_Calc!$I$2:$J$8,2,FALSE),0),
IF(AX300="K",VLOOKUP(L300,Foundation_Calc!$K$117:$R$151,VLOOKUP(AW300,Foundation_Calc!$I$2:$J$8,2,FALSE),0),"")))</f>
        <v/>
      </c>
      <c r="AZ300" s="10" t="str">
        <f>IF(K300="","",
IF(AX300="PT",VLOOKUP(K300,Foundation_Calc!$K$79:$R$113,VLOOKUP(AW300,Foundation_Calc!$I$2:$J$8,2,FALSE),0),
IF(AX300="K",VLOOKUP(K300,Foundation_Calc!$K$117:$R$151,VLOOKUP(AW300,Foundation_Calc!$I$2:$J$8,2,FALSE),0),"")))</f>
        <v/>
      </c>
      <c r="BA300" s="495" t="str">
        <f t="shared" si="38"/>
        <v/>
      </c>
      <c r="BB300" s="495" t="str">
        <f t="shared" si="39"/>
        <v/>
      </c>
      <c r="BC300" s="495" t="str">
        <f t="shared" si="40"/>
        <v/>
      </c>
      <c r="BD300" s="513"/>
      <c r="BE300" s="429" t="s">
        <v>118</v>
      </c>
      <c r="BF300" s="289"/>
      <c r="BG300" s="289"/>
      <c r="BH300" s="290"/>
      <c r="BI300" s="289"/>
    </row>
    <row r="301" spans="1:61" ht="16.149999999999999" customHeight="1">
      <c r="A301" s="514"/>
      <c r="B301" s="450"/>
      <c r="C301" s="3"/>
      <c r="D301" s="83"/>
      <c r="E301" s="4"/>
      <c r="F301" s="4"/>
      <c r="G301" s="6">
        <v>40.1</v>
      </c>
      <c r="H301" s="449"/>
      <c r="I301" s="4">
        <f>SUM(G301:G315)</f>
        <v>353.4</v>
      </c>
      <c r="J301" s="3"/>
      <c r="K301" s="449"/>
      <c r="L301" s="449"/>
      <c r="M301" s="449" t="str">
        <f>IF(L301="","",
IF(AX301="PT",VLOOKUP(L301,Foundation_Calc!$V$79:$X$113,VLOOKUP(AX301,Foundation_Calc!$I$10:$J$13,2,FALSE),0),
IF(AX301="K",VLOOKUP(L301,Foundation_Calc!$V$117:$X$151,VLOOKUP(AX301,Foundation_Calc!$I$10:$J$13,2,FALSE),0),"")))</f>
        <v/>
      </c>
      <c r="N301" s="449"/>
      <c r="O301" s="449"/>
      <c r="P301" s="449"/>
      <c r="Q301" s="4"/>
      <c r="R301" s="6"/>
      <c r="S301" s="6"/>
      <c r="T301" s="4"/>
      <c r="U301" s="4"/>
      <c r="V301" s="4"/>
      <c r="W301" s="572"/>
      <c r="X301" s="9"/>
      <c r="Y301" s="9"/>
      <c r="Z301" s="9"/>
      <c r="AA301" s="9"/>
      <c r="AB301" s="9"/>
      <c r="AC301" s="449" t="str">
        <f t="shared" si="37"/>
        <v/>
      </c>
      <c r="AD301" s="449"/>
      <c r="AE301" s="449"/>
      <c r="AF301" s="4"/>
      <c r="AG301" s="83"/>
      <c r="AH301" s="4"/>
      <c r="AI301" s="4"/>
      <c r="AJ301" s="449"/>
      <c r="AK301" s="449"/>
      <c r="AL301" s="449"/>
      <c r="AM301" s="449"/>
      <c r="AN301" s="10"/>
      <c r="AO301" s="9"/>
      <c r="AP301" s="9"/>
      <c r="AQ301" s="9">
        <f>+FL_1($T$302,-$T$300,$G$301,1200,9.28,-1*$F$302)</f>
        <v>0.3</v>
      </c>
      <c r="AR301" s="9"/>
      <c r="AS301" s="9"/>
      <c r="AT301" s="9"/>
      <c r="AU301" s="428"/>
      <c r="AV301" s="428"/>
      <c r="AW301" s="449" t="str">
        <f>IF(C301&gt;0,VLOOKUP(C301,Foundation_Calc!$A$2:$C$13,3,1),
IF(J301&gt;0,VLOOKUP(J301,Foundation_Calc!$A$2:$C$13,3,1),""))</f>
        <v/>
      </c>
      <c r="AX301" s="449" t="str">
        <f>IF(C301&gt;0,VLOOKUP(C301,Foundation_Calc!$E$2:$G$33,3,1),
IF(J301&gt;0,VLOOKUP(J301,Foundation_Calc!$E$2:$G$33,3,1),""))</f>
        <v/>
      </c>
      <c r="AY301" s="10" t="str">
        <f>IF(L301="","",
IF(AX301="PT",VLOOKUP(L301,Foundation_Calc!$K$79:$R$113,VLOOKUP(AW301,Foundation_Calc!$I$2:$J$8,2,FALSE),0),
IF(AX301="K",VLOOKUP(L301,Foundation_Calc!$K$117:$R$151,VLOOKUP(AW301,Foundation_Calc!$I$2:$J$8,2,FALSE),0),"")))</f>
        <v/>
      </c>
      <c r="AZ301" s="10" t="str">
        <f>IF(K301="","",
IF(AX301="PT",VLOOKUP(K301,Foundation_Calc!$K$79:$R$113,VLOOKUP(AW301,Foundation_Calc!$I$2:$J$8,2,FALSE),0),
IF(AX301="K",VLOOKUP(K301,Foundation_Calc!$K$117:$R$151,VLOOKUP(AW301,Foundation_Calc!$I$2:$J$8,2,FALSE),0),"")))</f>
        <v/>
      </c>
      <c r="BA301" s="495" t="str">
        <f t="shared" si="38"/>
        <v/>
      </c>
      <c r="BB301" s="495" t="str">
        <f t="shared" si="39"/>
        <v/>
      </c>
      <c r="BC301" s="495" t="str">
        <f t="shared" si="40"/>
        <v/>
      </c>
      <c r="BD301" s="513" t="str">
        <f>IF(AND(L301="",H301=""),"",
IF(H301="",Pole_Calc!A$9,
IF(H301="MP",Pole_Calc!A$10,
IF(H301="AnMP",Pole_Calc!A$11,
IF(H301="A",Pole_Calc!A$12,
IF(H301="S/A",Pole_Calc!A$13,
IF(H301="A/S",Pole_Calc!A$14,"Poner a mano")))))))</f>
        <v/>
      </c>
      <c r="BE301" s="429" t="s">
        <v>118</v>
      </c>
      <c r="BF301" s="290"/>
      <c r="BG301" s="290"/>
      <c r="BH301" s="290"/>
      <c r="BI301" s="290"/>
    </row>
    <row r="302" spans="1:61" ht="16.149999999999999" customHeight="1">
      <c r="A302" s="514"/>
      <c r="B302" s="450" t="s">
        <v>346</v>
      </c>
      <c r="C302" s="3">
        <f>+$C$300+$G$301</f>
        <v>37536.049999999996</v>
      </c>
      <c r="D302" s="83"/>
      <c r="E302" s="4"/>
      <c r="F302" s="4">
        <f>IF(C302&gt;0,VLOOKUP(C302,'ALIGNMENT TRACK'!$A$1:$K$81,9,1))</f>
        <v>-1200</v>
      </c>
      <c r="G302" s="6"/>
      <c r="H302" s="449" t="s">
        <v>168</v>
      </c>
      <c r="I302" s="4"/>
      <c r="J302" s="3"/>
      <c r="K302" s="449"/>
      <c r="L302" s="449" t="s">
        <v>158</v>
      </c>
      <c r="M302" s="449" t="str">
        <f>IF(L302="","",
IF(AX302="PT",VLOOKUP(L302,Foundation_Calc!$V$79:$X$113,VLOOKUP(AX302,Foundation_Calc!$I$10:$J$13,2,FALSE),0),
IF(AX302="K",VLOOKUP(L302,Foundation_Calc!$V$117:$X$151,VLOOKUP(AX302,Foundation_Calc!$I$10:$J$13,2,FALSE),0),"")))</f>
        <v>C4R</v>
      </c>
      <c r="N302" s="449" t="s">
        <v>134</v>
      </c>
      <c r="O302" s="449"/>
      <c r="P302" s="449"/>
      <c r="Q302" s="4"/>
      <c r="R302" s="6"/>
      <c r="S302" s="6"/>
      <c r="T302" s="4">
        <v>30</v>
      </c>
      <c r="U302" s="4"/>
      <c r="V302" s="4"/>
      <c r="W302" s="572">
        <v>0.9</v>
      </c>
      <c r="X302" s="9"/>
      <c r="Y302" s="9"/>
      <c r="Z302" s="9"/>
      <c r="AA302" s="9"/>
      <c r="AB302" s="9"/>
      <c r="AC302" s="449" t="str">
        <f t="shared" si="37"/>
        <v>PHQ</v>
      </c>
      <c r="AD302" s="449"/>
      <c r="AE302" s="449"/>
      <c r="AF302" s="4"/>
      <c r="AG302" s="83"/>
      <c r="AH302" s="4"/>
      <c r="AI302" s="4"/>
      <c r="AJ302" s="449"/>
      <c r="AK302" s="449"/>
      <c r="AL302" s="449"/>
      <c r="AM302" s="449" t="s">
        <v>126</v>
      </c>
      <c r="AN302" s="10">
        <v>5.5</v>
      </c>
      <c r="AO302" s="9"/>
      <c r="AP302" s="9"/>
      <c r="AQ302" s="9"/>
      <c r="AR302" s="9"/>
      <c r="AS302" s="9"/>
      <c r="AT302" s="9">
        <f>+ab($T$302,-$T$300,$T$304,$G$301,$G$303,-1*$F$302,1200)</f>
        <v>5.55807350376414</v>
      </c>
      <c r="AU302" s="428"/>
      <c r="AV302" s="428"/>
      <c r="AW302" s="449" t="str">
        <f>IF(C302&gt;0,VLOOKUP(C302,Foundation_Calc!$A$2:$C$13,3,1),
IF(J302&gt;0,VLOOKUP(J302,Foundation_Calc!$A$2:$C$13,3,1),""))</f>
        <v>Multi Soil</v>
      </c>
      <c r="AX302" s="449" t="str">
        <f>IF(C302&gt;0,VLOOKUP(C302,Foundation_Calc!$E$2:$G$33,3,1),
IF(J302&gt;0,VLOOKUP(J302,Foundation_Calc!$E$2:$G$33,3,1),""))</f>
        <v>PT</v>
      </c>
      <c r="AY302" s="10">
        <f>IF(L302="","",
IF(AX302="PT",VLOOKUP(L302,Foundation_Calc!$K$79:$R$113,VLOOKUP(AW302,Foundation_Calc!$I$2:$J$8,2,FALSE),0),
IF(AX302="K",VLOOKUP(L302,Foundation_Calc!$K$117:$R$151,VLOOKUP(AW302,Foundation_Calc!$I$2:$J$8,2,FALSE),0),"")))</f>
        <v>3.5</v>
      </c>
      <c r="AZ302" s="10" t="str">
        <f>IF(K302="","",
IF(AX302="PT",VLOOKUP(K302,Foundation_Calc!$K$79:$R$113,VLOOKUP(AW302,Foundation_Calc!$I$2:$J$8,2,FALSE),0),
IF(AX302="K",VLOOKUP(K302,Foundation_Calc!$K$117:$R$151,VLOOKUP(AW302,Foundation_Calc!$I$2:$J$8,2,FALSE),0),"")))</f>
        <v/>
      </c>
      <c r="BA302" s="495" t="str">
        <f t="shared" si="38"/>
        <v>ü</v>
      </c>
      <c r="BB302" s="495" t="str">
        <f t="shared" si="39"/>
        <v/>
      </c>
      <c r="BC302" s="495" t="str">
        <f t="shared" si="40"/>
        <v/>
      </c>
      <c r="BD302" s="513" t="str">
        <f>IF(AND(L302="",H302=""),"",
IF(H302="",Pole_Calc!A$9,
IF(H302="MP",Pole_Calc!A$10,
IF(H302="AnMP",Pole_Calc!A$11,
IF(H302="A",Pole_Calc!A$12,
IF(H302="S/A",Pole_Calc!A$13,
IF(H302="A/S",Pole_Calc!A$14,"Poner a mano")))))))</f>
        <v>App.7-V11I-P9.5.1.3</v>
      </c>
      <c r="BE302" s="429" t="s">
        <v>118</v>
      </c>
      <c r="BF302" s="289"/>
      <c r="BG302" s="289"/>
      <c r="BH302" s="290"/>
      <c r="BI302" s="289"/>
    </row>
    <row r="303" spans="1:61" ht="16.149999999999999" customHeight="1">
      <c r="A303" s="514" t="s">
        <v>199</v>
      </c>
      <c r="B303" s="450"/>
      <c r="C303" s="3"/>
      <c r="D303" s="83"/>
      <c r="E303" s="4"/>
      <c r="F303" s="4"/>
      <c r="G303" s="6">
        <v>42.5</v>
      </c>
      <c r="H303" s="449"/>
      <c r="I303" s="4"/>
      <c r="J303" s="3">
        <f>C302+7.5</f>
        <v>37543.549999999996</v>
      </c>
      <c r="K303" s="449" t="s">
        <v>166</v>
      </c>
      <c r="L303" s="449"/>
      <c r="M303" s="449" t="str">
        <f>IF(L303="","",
IF(AX303="PT",VLOOKUP(L303,Foundation_Calc!$V$79:$X$113,VLOOKUP(AX303,Foundation_Calc!$I$10:$J$13,2,FALSE),0),
IF(AX303="K",VLOOKUP(L303,Foundation_Calc!$V$117:$X$151,VLOOKUP(AX303,Foundation_Calc!$I$10:$J$13,2,FALSE),0),"")))</f>
        <v/>
      </c>
      <c r="N303" s="449"/>
      <c r="O303" s="449"/>
      <c r="P303" s="449"/>
      <c r="Q303" s="4"/>
      <c r="R303" s="6"/>
      <c r="S303" s="6"/>
      <c r="T303" s="4"/>
      <c r="U303" s="4"/>
      <c r="V303" s="4"/>
      <c r="W303" s="572"/>
      <c r="X303" s="9"/>
      <c r="Y303" s="9"/>
      <c r="Z303" s="9"/>
      <c r="AA303" s="9"/>
      <c r="AB303" s="9"/>
      <c r="AC303" s="449" t="str">
        <f t="shared" si="37"/>
        <v/>
      </c>
      <c r="AD303" s="449"/>
      <c r="AE303" s="449"/>
      <c r="AF303" s="4"/>
      <c r="AG303" s="83"/>
      <c r="AH303" s="4"/>
      <c r="AI303" s="4"/>
      <c r="AJ303" s="449"/>
      <c r="AK303" s="449"/>
      <c r="AL303" s="449"/>
      <c r="AM303" s="449"/>
      <c r="AN303" s="10"/>
      <c r="AO303" s="9"/>
      <c r="AP303" s="9"/>
      <c r="AQ303" s="9">
        <f>+FL_1($T$304,$T$302,$G$303,1200,9.28,-1*$F$304)</f>
        <v>0.3</v>
      </c>
      <c r="AR303" s="9"/>
      <c r="AS303" s="9"/>
      <c r="AT303" s="9"/>
      <c r="AU303" s="428"/>
      <c r="AV303" s="428"/>
      <c r="AW303" s="449" t="str">
        <f>IF(C303&gt;0,VLOOKUP(C303,Foundation_Calc!$A$2:$C$13,3,1),
IF(J303&gt;0,VLOOKUP(J303,Foundation_Calc!$A$2:$C$13,3,1),""))</f>
        <v>Multi Soil</v>
      </c>
      <c r="AX303" s="449" t="str">
        <f>IF(C303&gt;0,VLOOKUP(C303,Foundation_Calc!$E$2:$G$33,3,1),
IF(J303&gt;0,VLOOKUP(J303,Foundation_Calc!$E$2:$G$33,3,1),""))</f>
        <v>PT</v>
      </c>
      <c r="AY303" s="10" t="str">
        <f>IF(L303="","",
IF(AX303="PT",VLOOKUP(L303,Foundation_Calc!$K$79:$R$113,VLOOKUP(AW303,Foundation_Calc!$I$2:$J$8,2,FALSE),0),
IF(AX303="K",VLOOKUP(L303,Foundation_Calc!$K$117:$R$151,VLOOKUP(AW303,Foundation_Calc!$I$2:$J$8,2,FALSE),0),"")))</f>
        <v/>
      </c>
      <c r="AZ303" s="10">
        <f>IF(K303="","",
IF(AX303="PT",VLOOKUP(K303,Foundation_Calc!$K$79:$R$113,VLOOKUP(AW303,Foundation_Calc!$I$2:$J$8,2,FALSE),0),
IF(AX303="K",VLOOKUP(K303,Foundation_Calc!$K$117:$R$151,VLOOKUP(AW303,Foundation_Calc!$I$2:$J$8,2,FALSE),0),"")))</f>
        <v>2.8</v>
      </c>
      <c r="BA303" s="495" t="str">
        <f t="shared" si="38"/>
        <v/>
      </c>
      <c r="BB303" s="495" t="str">
        <f t="shared" si="39"/>
        <v>ü</v>
      </c>
      <c r="BC303" s="495" t="str">
        <f t="shared" si="40"/>
        <v/>
      </c>
      <c r="BD303" s="513" t="str">
        <f>IF(AND(L303="",H303=""),"",
IF(H303="",Pole_Calc!A$9,
IF(H303="MP",Pole_Calc!A$10,
IF(H303="AnMP",Pole_Calc!A$11,
IF(H303="A",Pole_Calc!A$12,
IF(H303="S/A",Pole_Calc!A$13,
IF(H303="A/S",Pole_Calc!A$14,"Poner a mano")))))))</f>
        <v/>
      </c>
      <c r="BE303" s="429" t="s">
        <v>118</v>
      </c>
      <c r="BF303" s="290"/>
      <c r="BG303" s="290"/>
      <c r="BH303" s="290"/>
      <c r="BI303" s="290"/>
    </row>
    <row r="304" spans="1:61" ht="16.149999999999999" customHeight="1">
      <c r="A304" s="706" t="s">
        <v>199</v>
      </c>
      <c r="B304" s="536" t="s">
        <v>347</v>
      </c>
      <c r="C304" s="537">
        <f>+$C$302+$G$303+0.1</f>
        <v>37578.649999999994</v>
      </c>
      <c r="D304" s="538"/>
      <c r="E304" s="539"/>
      <c r="F304" s="539">
        <f>IF(C304&gt;0,VLOOKUP(C304,'ALIGNMENT TRACK'!$A$1:$K$81,9,1))</f>
        <v>-1200</v>
      </c>
      <c r="G304" s="540"/>
      <c r="H304" s="541"/>
      <c r="I304" s="539"/>
      <c r="J304" s="537"/>
      <c r="K304" s="541"/>
      <c r="L304" s="541" t="s">
        <v>158</v>
      </c>
      <c r="M304" s="541" t="str">
        <f>IF(L304="","",
IF(AX304="PT",VLOOKUP(L304,Foundation_Calc!$V$79:$X$113,VLOOKUP(AX304,Foundation_Calc!$I$10:$J$13,2,FALSE),0),
IF(AX304="K",VLOOKUP(L304,Foundation_Calc!$V$117:$X$151,VLOOKUP(AX304,Foundation_Calc!$I$10:$J$13,2,FALSE),0),"")))</f>
        <v>C4R</v>
      </c>
      <c r="N304" s="541" t="s">
        <v>134</v>
      </c>
      <c r="O304" s="541"/>
      <c r="P304" s="541"/>
      <c r="Q304" s="539"/>
      <c r="R304" s="540"/>
      <c r="S304" s="540"/>
      <c r="T304" s="539">
        <v>30</v>
      </c>
      <c r="U304" s="539"/>
      <c r="V304" s="539"/>
      <c r="W304" s="579">
        <v>0.9</v>
      </c>
      <c r="X304" s="542"/>
      <c r="Y304" s="542"/>
      <c r="Z304" s="542"/>
      <c r="AA304" s="542"/>
      <c r="AB304" s="542"/>
      <c r="AC304" s="541" t="str">
        <f t="shared" si="37"/>
        <v>PHQ</v>
      </c>
      <c r="AD304" s="541"/>
      <c r="AE304" s="541"/>
      <c r="AF304" s="539"/>
      <c r="AG304" s="538"/>
      <c r="AH304" s="539"/>
      <c r="AI304" s="539"/>
      <c r="AJ304" s="541"/>
      <c r="AK304" s="541"/>
      <c r="AL304" s="541"/>
      <c r="AM304" s="541" t="s">
        <v>126</v>
      </c>
      <c r="AN304" s="543">
        <v>5.5</v>
      </c>
      <c r="AO304" s="542"/>
      <c r="AP304" s="542"/>
      <c r="AQ304" s="542"/>
      <c r="AR304" s="542"/>
      <c r="AS304" s="542"/>
      <c r="AT304" s="542">
        <f>+ab($T$304,$T$302,$T$306,$G$303,$G$305,-1*$F$304,1200)</f>
        <v>6.0770083732867812</v>
      </c>
      <c r="AU304" s="544"/>
      <c r="AV304" s="544"/>
      <c r="AW304" s="541" t="str">
        <f>IF(C304&gt;0,VLOOKUP(C304,Foundation_Calc!$A$2:$C$13,3,1),
IF(J304&gt;0,VLOOKUP(J304,Foundation_Calc!$A$2:$C$13,3,1),""))</f>
        <v>Multi Soil</v>
      </c>
      <c r="AX304" s="541" t="str">
        <f>IF(C304&gt;0,VLOOKUP(C304,Foundation_Calc!$E$2:$G$33,3,1),
IF(J304&gt;0,VLOOKUP(J304,Foundation_Calc!$E$2:$G$33,3,1),""))</f>
        <v>PT</v>
      </c>
      <c r="AY304" s="543">
        <f>IF(L304="","",
IF(AX304="PT",VLOOKUP(L304,Foundation_Calc!$K$79:$R$113,VLOOKUP(AW304,Foundation_Calc!$I$2:$J$8,2,FALSE),0),
IF(AX304="K",VLOOKUP(L304,Foundation_Calc!$K$117:$R$151,VLOOKUP(AW304,Foundation_Calc!$I$2:$J$8,2,FALSE),0),"")))</f>
        <v>3.5</v>
      </c>
      <c r="AZ304" s="543" t="str">
        <f>IF(K304="","",
IF(AX304="PT",VLOOKUP(K304,Foundation_Calc!$K$79:$R$113,VLOOKUP(AW304,Foundation_Calc!$I$2:$J$8,2,FALSE),0),
IF(AX304="K",VLOOKUP(K304,Foundation_Calc!$K$117:$R$151,VLOOKUP(AW304,Foundation_Calc!$I$2:$J$8,2,FALSE),0),"")))</f>
        <v/>
      </c>
      <c r="BA304" s="550" t="str">
        <f t="shared" si="38"/>
        <v>ü</v>
      </c>
      <c r="BB304" s="550" t="str">
        <f t="shared" si="39"/>
        <v/>
      </c>
      <c r="BC304" s="550" t="str">
        <f t="shared" si="40"/>
        <v/>
      </c>
      <c r="BD304" s="516" t="str">
        <f>IF(AND(L304="",H304=""),"",
IF(H304="",Pole_Calc!A$9,
IF(H304="MP",Pole_Calc!A$10,
IF(H304="AnMP",Pole_Calc!A$11,
IF(H304="A",Pole_Calc!A$12,
IF(H304="S/A",Pole_Calc!A$13,
IF(H304="A/S",Pole_Calc!A$14,"Poner a mano")))))))</f>
        <v>App.7-V11I-P9.5.1.1</v>
      </c>
      <c r="BE304" s="429" t="s">
        <v>118</v>
      </c>
      <c r="BF304" s="289"/>
      <c r="BG304" s="289"/>
      <c r="BH304" s="290"/>
      <c r="BI304" s="289"/>
    </row>
    <row r="305" spans="1:61" ht="16.149999999999999" customHeight="1">
      <c r="A305" s="514" t="s">
        <v>199</v>
      </c>
      <c r="B305" s="450"/>
      <c r="C305" s="3"/>
      <c r="D305" s="83"/>
      <c r="E305" s="4"/>
      <c r="F305" s="4"/>
      <c r="G305" s="6">
        <v>33</v>
      </c>
      <c r="H305" s="449"/>
      <c r="I305" s="4"/>
      <c r="J305" s="3"/>
      <c r="K305" s="449"/>
      <c r="L305" s="449"/>
      <c r="M305" s="449" t="str">
        <f>IF(L305="","",
IF(AX305="PT",VLOOKUP(L305,Foundation_Calc!$V$79:$X$113,VLOOKUP(AX305,Foundation_Calc!$I$10:$J$13,2,FALSE),0),
IF(AX305="K",VLOOKUP(L305,Foundation_Calc!$V$117:$X$151,VLOOKUP(AX305,Foundation_Calc!$I$10:$J$13,2,FALSE),0),"")))</f>
        <v/>
      </c>
      <c r="N305" s="449"/>
      <c r="O305" s="449"/>
      <c r="P305" s="449"/>
      <c r="Q305" s="4"/>
      <c r="R305" s="6"/>
      <c r="S305" s="6"/>
      <c r="T305" s="4"/>
      <c r="U305" s="4"/>
      <c r="V305" s="4"/>
      <c r="W305" s="572"/>
      <c r="X305" s="9"/>
      <c r="Y305" s="9"/>
      <c r="Z305" s="9"/>
      <c r="AA305" s="9"/>
      <c r="AB305" s="9"/>
      <c r="AC305" s="449" t="str">
        <f t="shared" si="37"/>
        <v/>
      </c>
      <c r="AD305" s="449"/>
      <c r="AE305" s="449"/>
      <c r="AF305" s="4"/>
      <c r="AG305" s="83"/>
      <c r="AH305" s="4"/>
      <c r="AI305" s="4"/>
      <c r="AJ305" s="449"/>
      <c r="AK305" s="449"/>
      <c r="AL305" s="449"/>
      <c r="AM305" s="449"/>
      <c r="AN305" s="10"/>
      <c r="AO305" s="9"/>
      <c r="AP305" s="9"/>
      <c r="AQ305" s="9">
        <f>+FL_1($T$306,$T$304,$G$305,1200,9.28,-1*$F$306)</f>
        <v>0.3</v>
      </c>
      <c r="AR305" s="9"/>
      <c r="AS305" s="9"/>
      <c r="AT305" s="9"/>
      <c r="AU305" s="428"/>
      <c r="AV305" s="428"/>
      <c r="AW305" s="449" t="str">
        <f>IF(C305&gt;0,VLOOKUP(C305,Foundation_Calc!$A$2:$C$13,3,1),
IF(J305&gt;0,VLOOKUP(J305,Foundation_Calc!$A$2:$C$13,3,1),""))</f>
        <v/>
      </c>
      <c r="AX305" s="449" t="str">
        <f>IF(C305&gt;0,VLOOKUP(C305,Foundation_Calc!$E$2:$G$33,3,1),
IF(J305&gt;0,VLOOKUP(J305,Foundation_Calc!$E$2:$G$33,3,1),""))</f>
        <v/>
      </c>
      <c r="AY305" s="10" t="str">
        <f>IF(L305="","",
IF(AX305="PT",VLOOKUP(L305,Foundation_Calc!$K$79:$R$113,VLOOKUP(AW305,Foundation_Calc!$I$2:$J$8,2,FALSE),0),
IF(AX305="K",VLOOKUP(L305,Foundation_Calc!$K$117:$R$151,VLOOKUP(AW305,Foundation_Calc!$I$2:$J$8,2,FALSE),0),"")))</f>
        <v/>
      </c>
      <c r="AZ305" s="10" t="str">
        <f>IF(K305="","",
IF(AX305="PT",VLOOKUP(K305,Foundation_Calc!$K$79:$R$113,VLOOKUP(AW305,Foundation_Calc!$I$2:$J$8,2,FALSE),0),
IF(AX305="K",VLOOKUP(K305,Foundation_Calc!$K$117:$R$151,VLOOKUP(AW305,Foundation_Calc!$I$2:$J$8,2,FALSE),0),"")))</f>
        <v/>
      </c>
      <c r="BA305" s="495" t="str">
        <f t="shared" si="38"/>
        <v/>
      </c>
      <c r="BB305" s="495" t="str">
        <f t="shared" si="39"/>
        <v/>
      </c>
      <c r="BC305" s="495" t="str">
        <f t="shared" si="40"/>
        <v/>
      </c>
      <c r="BD305" s="513" t="str">
        <f>IF(AND(L305="",H305=""),"",
IF(H305="",Pole_Calc!A$9,
IF(H305="MP",Pole_Calc!A$10,
IF(H305="AnMP",Pole_Calc!A$11,
IF(H305="A",Pole_Calc!A$12,
IF(H305="S/A",Pole_Calc!A$13,
IF(H305="A/S",Pole_Calc!A$14,"Poner a mano")))))))</f>
        <v/>
      </c>
      <c r="BE305" s="429" t="s">
        <v>118</v>
      </c>
      <c r="BF305" s="290"/>
      <c r="BG305" s="290"/>
      <c r="BH305" s="290"/>
      <c r="BI305" s="290"/>
    </row>
    <row r="306" spans="1:61" ht="16.149999999999999" customHeight="1">
      <c r="A306" s="514"/>
      <c r="B306" s="450" t="s">
        <v>348</v>
      </c>
      <c r="C306" s="3">
        <f>+$C$304+$G$305</f>
        <v>37611.649999999994</v>
      </c>
      <c r="D306" s="83"/>
      <c r="E306" s="4"/>
      <c r="F306" s="4">
        <f>IF(C306&gt;0,VLOOKUP(C306,'ALIGNMENT TRACK'!$A$1:$K$81,9,1))</f>
        <v>-1200</v>
      </c>
      <c r="G306" s="6"/>
      <c r="H306" s="449"/>
      <c r="I306" s="4"/>
      <c r="J306" s="3"/>
      <c r="K306" s="449"/>
      <c r="L306" s="449" t="s">
        <v>158</v>
      </c>
      <c r="M306" s="449" t="str">
        <f>IF(L306="","",
IF(AX306="PT",VLOOKUP(L306,Foundation_Calc!$V$79:$X$113,VLOOKUP(AX306,Foundation_Calc!$I$10:$J$13,2,FALSE),0),
IF(AX306="K",VLOOKUP(L306,Foundation_Calc!$V$117:$X$151,VLOOKUP(AX306,Foundation_Calc!$I$10:$J$13,2,FALSE),0),"")))</f>
        <v>C4R</v>
      </c>
      <c r="N306" s="449" t="s">
        <v>134</v>
      </c>
      <c r="O306" s="449"/>
      <c r="P306" s="449"/>
      <c r="Q306" s="4"/>
      <c r="R306" s="6"/>
      <c r="S306" s="6"/>
      <c r="T306" s="4">
        <v>30</v>
      </c>
      <c r="U306" s="4"/>
      <c r="V306" s="4"/>
      <c r="W306" s="572">
        <v>0.9</v>
      </c>
      <c r="X306" s="9"/>
      <c r="Y306" s="9"/>
      <c r="Z306" s="9"/>
      <c r="AA306" s="9"/>
      <c r="AB306" s="9"/>
      <c r="AC306" s="449" t="str">
        <f t="shared" si="37"/>
        <v>PHQ</v>
      </c>
      <c r="AD306" s="449"/>
      <c r="AE306" s="449"/>
      <c r="AF306" s="4"/>
      <c r="AG306" s="83"/>
      <c r="AH306" s="4"/>
      <c r="AI306" s="4"/>
      <c r="AJ306" s="449"/>
      <c r="AK306" s="449"/>
      <c r="AL306" s="449"/>
      <c r="AM306" s="449" t="s">
        <v>126</v>
      </c>
      <c r="AN306" s="10">
        <v>5.5</v>
      </c>
      <c r="AO306" s="9"/>
      <c r="AP306" s="9"/>
      <c r="AQ306" s="9"/>
      <c r="AR306" s="9"/>
      <c r="AS306" s="9"/>
      <c r="AT306" s="9">
        <f>+ab($T$306,$T$304,$T$308,$G$305,$G$307,-1*$F$306,1200)</f>
        <v>5.9441570496964182</v>
      </c>
      <c r="AU306" s="428"/>
      <c r="AV306" s="428"/>
      <c r="AW306" s="449" t="str">
        <f>IF(C306&gt;0,VLOOKUP(C306,Foundation_Calc!$A$2:$C$13,3,1),
IF(J306&gt;0,VLOOKUP(J306,Foundation_Calc!$A$2:$C$13,3,1),""))</f>
        <v>Multi Soil</v>
      </c>
      <c r="AX306" s="449" t="str">
        <f>IF(C306&gt;0,VLOOKUP(C306,Foundation_Calc!$E$2:$G$33,3,1),
IF(J306&gt;0,VLOOKUP(J306,Foundation_Calc!$E$2:$G$33,3,1),""))</f>
        <v>PT</v>
      </c>
      <c r="AY306" s="10">
        <f>IF(L306="","",
IF(AX306="PT",VLOOKUP(L306,Foundation_Calc!$K$79:$R$113,VLOOKUP(AW306,Foundation_Calc!$I$2:$J$8,2,FALSE),0),
IF(AX306="K",VLOOKUP(L306,Foundation_Calc!$K$117:$R$151,VLOOKUP(AW306,Foundation_Calc!$I$2:$J$8,2,FALSE),0),"")))</f>
        <v>3.5</v>
      </c>
      <c r="AZ306" s="10" t="str">
        <f>IF(K306="","",
IF(AX306="PT",VLOOKUP(K306,Foundation_Calc!$K$79:$R$113,VLOOKUP(AW306,Foundation_Calc!$I$2:$J$8,2,FALSE),0),
IF(AX306="K",VLOOKUP(K306,Foundation_Calc!$K$117:$R$151,VLOOKUP(AW306,Foundation_Calc!$I$2:$J$8,2,FALSE),0),"")))</f>
        <v/>
      </c>
      <c r="BA306" s="495" t="str">
        <f t="shared" si="38"/>
        <v>ü</v>
      </c>
      <c r="BB306" s="495" t="str">
        <f t="shared" si="39"/>
        <v/>
      </c>
      <c r="BC306" s="495" t="str">
        <f t="shared" si="40"/>
        <v/>
      </c>
      <c r="BD306" s="513" t="str">
        <f>IF(AND(L306="",H306=""),"",
IF(H306="",Pole_Calc!A$9,
IF(H306="MP",Pole_Calc!A$10,
IF(H306="AnMP",Pole_Calc!A$11,
IF(H306="A",Pole_Calc!A$12,
IF(H306="S/A",Pole_Calc!A$13,
IF(H306="A/S",Pole_Calc!A$14,"Poner a mano")))))))</f>
        <v>App.7-V11I-P9.5.1.1</v>
      </c>
      <c r="BE306" s="429" t="s">
        <v>118</v>
      </c>
      <c r="BF306" s="289"/>
      <c r="BG306" s="289"/>
      <c r="BH306" s="290"/>
      <c r="BI306" s="289"/>
    </row>
    <row r="307" spans="1:61" ht="16.149999999999999" customHeight="1">
      <c r="A307" s="696" t="s">
        <v>349</v>
      </c>
      <c r="B307" s="697"/>
      <c r="C307" s="698"/>
      <c r="D307" s="699"/>
      <c r="E307" s="700"/>
      <c r="F307" s="700"/>
      <c r="G307" s="701">
        <v>44.2</v>
      </c>
      <c r="H307" s="702"/>
      <c r="I307" s="700"/>
      <c r="J307" s="698"/>
      <c r="K307" s="702"/>
      <c r="L307" s="702"/>
      <c r="M307" s="702" t="str">
        <f>IF(L307="","",
IF(AX307="PT",VLOOKUP(L307,Foundation_Calc!$V$79:$X$113,VLOOKUP(AX307,Foundation_Calc!$I$10:$J$13,2,FALSE),0),
IF(AX307="K",VLOOKUP(L307,Foundation_Calc!$V$117:$X$151,VLOOKUP(AX307,Foundation_Calc!$I$10:$J$13,2,FALSE),0),"")))</f>
        <v/>
      </c>
      <c r="N307" s="702"/>
      <c r="O307" s="702"/>
      <c r="P307" s="702"/>
      <c r="Q307" s="700"/>
      <c r="R307" s="701"/>
      <c r="S307" s="701"/>
      <c r="T307" s="700"/>
      <c r="U307" s="700"/>
      <c r="V307" s="700"/>
      <c r="W307" s="707"/>
      <c r="X307" s="703"/>
      <c r="Y307" s="703"/>
      <c r="Z307" s="703"/>
      <c r="AA307" s="703"/>
      <c r="AB307" s="703"/>
      <c r="AC307" s="702" t="str">
        <f t="shared" si="37"/>
        <v/>
      </c>
      <c r="AD307" s="702"/>
      <c r="AE307" s="702"/>
      <c r="AF307" s="700"/>
      <c r="AG307" s="699"/>
      <c r="AH307" s="700"/>
      <c r="AI307" s="700"/>
      <c r="AJ307" s="702"/>
      <c r="AK307" s="702"/>
      <c r="AL307" s="702"/>
      <c r="AM307" s="702"/>
      <c r="AN307" s="704"/>
      <c r="AO307" s="703"/>
      <c r="AP307" s="703"/>
      <c r="AQ307" s="703">
        <f>+FL_1($T$308,$T$306,$G$307,1200,9.28,-1*$F$308)</f>
        <v>0.30001326298596748</v>
      </c>
      <c r="AR307" s="703"/>
      <c r="AS307" s="703"/>
      <c r="AT307" s="703"/>
      <c r="AU307" s="705"/>
      <c r="AV307" s="705"/>
      <c r="AW307" s="702" t="str">
        <f>IF(C307&gt;0,VLOOKUP(C307,Foundation_Calc!$A$2:$C$13,3,1),
IF(J307&gt;0,VLOOKUP(J307,Foundation_Calc!$A$2:$C$13,3,1),""))</f>
        <v/>
      </c>
      <c r="AX307" s="702" t="str">
        <f>IF(C307&gt;0,VLOOKUP(C307,Foundation_Calc!$E$2:$G$33,3,1),
IF(J307&gt;0,VLOOKUP(J307,Foundation_Calc!$E$2:$G$33,3,1),""))</f>
        <v/>
      </c>
      <c r="AY307" s="704" t="str">
        <f>IF(L307="","",
IF(AX307="PT",VLOOKUP(L307,Foundation_Calc!$K$79:$R$113,VLOOKUP(AW307,Foundation_Calc!$I$2:$J$8,2,FALSE),0),
IF(AX307="K",VLOOKUP(L307,Foundation_Calc!$K$117:$R$151,VLOOKUP(AW307,Foundation_Calc!$I$2:$J$8,2,FALSE),0),"")))</f>
        <v/>
      </c>
      <c r="AZ307" s="704" t="str">
        <f>IF(K307="","",
IF(AX307="PT",VLOOKUP(K307,Foundation_Calc!$K$79:$R$113,VLOOKUP(AW307,Foundation_Calc!$I$2:$J$8,2,FALSE),0),
IF(AX307="K",VLOOKUP(K307,Foundation_Calc!$K$117:$R$151,VLOOKUP(AW307,Foundation_Calc!$I$2:$J$8,2,FALSE),0),"")))</f>
        <v/>
      </c>
      <c r="BA307" s="495" t="str">
        <f t="shared" si="38"/>
        <v/>
      </c>
      <c r="BB307" s="495" t="str">
        <f t="shared" si="39"/>
        <v/>
      </c>
      <c r="BC307" s="495" t="str">
        <f t="shared" si="40"/>
        <v/>
      </c>
      <c r="BD307" s="513" t="str">
        <f>IF(AND(L307="",H307=""),"",
IF(H307="",Pole_Calc!A$9,
IF(H307="MP",Pole_Calc!A$10,
IF(H307="AnMP",Pole_Calc!A$11,
IF(H307="A",Pole_Calc!A$12,
IF(H307="S/A",Pole_Calc!A$13,
IF(H307="A/S",Pole_Calc!A$14,"Poner a mano")))))))</f>
        <v/>
      </c>
      <c r="BE307" s="429" t="s">
        <v>118</v>
      </c>
      <c r="BF307" s="290"/>
      <c r="BG307" s="290"/>
      <c r="BH307" s="290"/>
      <c r="BI307" s="290"/>
    </row>
    <row r="308" spans="1:61" ht="16.149999999999999" customHeight="1">
      <c r="A308" s="514"/>
      <c r="B308" s="450" t="s">
        <v>350</v>
      </c>
      <c r="C308" s="3">
        <f>+$C$306+$G$307</f>
        <v>37655.849999999991</v>
      </c>
      <c r="D308" s="83"/>
      <c r="E308" s="4"/>
      <c r="F308" s="4">
        <f>IF(C308&gt;0,VLOOKUP(C308,'ALIGNMENT TRACK'!$A$1:$K$81,9,1))</f>
        <v>-1200</v>
      </c>
      <c r="G308" s="6"/>
      <c r="H308" s="449"/>
      <c r="I308" s="4"/>
      <c r="J308" s="3"/>
      <c r="K308" s="449"/>
      <c r="L308" s="449" t="s">
        <v>158</v>
      </c>
      <c r="M308" s="449" t="str">
        <f>IF(L308="","",
IF(AX308="PT",VLOOKUP(L308,Foundation_Calc!$V$79:$X$113,VLOOKUP(AX308,Foundation_Calc!$I$10:$J$13,2,FALSE),0),
IF(AX308="K",VLOOKUP(L308,Foundation_Calc!$V$117:$X$151,VLOOKUP(AX308,Foundation_Calc!$I$10:$J$13,2,FALSE),0),"")))</f>
        <v>C4R</v>
      </c>
      <c r="N308" s="449" t="s">
        <v>134</v>
      </c>
      <c r="O308" s="449"/>
      <c r="P308" s="449"/>
      <c r="Q308" s="4"/>
      <c r="R308" s="6"/>
      <c r="S308" s="6"/>
      <c r="T308" s="4">
        <v>30</v>
      </c>
      <c r="U308" s="4"/>
      <c r="V308" s="4"/>
      <c r="W308" s="572">
        <v>1.1000000000000001</v>
      </c>
      <c r="X308" s="9"/>
      <c r="Y308" s="9"/>
      <c r="Z308" s="9"/>
      <c r="AA308" s="9"/>
      <c r="AB308" s="9"/>
      <c r="AC308" s="449" t="str">
        <f t="shared" si="37"/>
        <v>PHC</v>
      </c>
      <c r="AD308" s="449"/>
      <c r="AE308" s="449"/>
      <c r="AF308" s="4"/>
      <c r="AG308" s="83"/>
      <c r="AH308" s="4"/>
      <c r="AI308" s="4"/>
      <c r="AJ308" s="449"/>
      <c r="AK308" s="449"/>
      <c r="AL308" s="449"/>
      <c r="AM308" s="449" t="s">
        <v>126</v>
      </c>
      <c r="AN308" s="10">
        <v>5.5</v>
      </c>
      <c r="AO308" s="9"/>
      <c r="AP308" s="9"/>
      <c r="AQ308" s="9"/>
      <c r="AR308" s="9"/>
      <c r="AS308" s="9"/>
      <c r="AT308" s="9">
        <f>+ab($T$308,$T$306,$T$310,$G$307,$G$309,-1*$F$308,1200)</f>
        <v>4.9824395670518777</v>
      </c>
      <c r="AU308" s="428"/>
      <c r="AV308" s="428"/>
      <c r="AW308" s="449" t="str">
        <f>IF(C308&gt;0,VLOOKUP(C308,Foundation_Calc!$A$2:$C$13,3,1),
IF(J308&gt;0,VLOOKUP(J308,Foundation_Calc!$A$2:$C$13,3,1),""))</f>
        <v>Multi Soil</v>
      </c>
      <c r="AX308" s="449" t="str">
        <f>IF(C308&gt;0,VLOOKUP(C308,Foundation_Calc!$E$2:$G$33,3,1),
IF(J308&gt;0,VLOOKUP(J308,Foundation_Calc!$E$2:$G$33,3,1),""))</f>
        <v>PT</v>
      </c>
      <c r="AY308" s="10">
        <f>IF(L308="","",
IF(AX308="PT",VLOOKUP(L308,Foundation_Calc!$K$79:$R$113,VLOOKUP(AW308,Foundation_Calc!$I$2:$J$8,2,FALSE),0),
IF(AX308="K",VLOOKUP(L308,Foundation_Calc!$K$117:$R$151,VLOOKUP(AW308,Foundation_Calc!$I$2:$J$8,2,FALSE),0),"")))</f>
        <v>3.5</v>
      </c>
      <c r="AZ308" s="10" t="str">
        <f>IF(K308="","",
IF(AX308="PT",VLOOKUP(K308,Foundation_Calc!$K$79:$R$113,VLOOKUP(AW308,Foundation_Calc!$I$2:$J$8,2,FALSE),0),
IF(AX308="K",VLOOKUP(K308,Foundation_Calc!$K$117:$R$151,VLOOKUP(AW308,Foundation_Calc!$I$2:$J$8,2,FALSE),0),"")))</f>
        <v/>
      </c>
      <c r="BA308" s="495" t="str">
        <f t="shared" si="38"/>
        <v>ü</v>
      </c>
      <c r="BB308" s="495" t="str">
        <f t="shared" si="39"/>
        <v/>
      </c>
      <c r="BC308" s="495" t="str">
        <f t="shared" si="40"/>
        <v/>
      </c>
      <c r="BD308" s="513" t="str">
        <f>IF(AND(L308="",H308=""),"",
IF(H308="",Pole_Calc!A$9,
IF(H308="MP",Pole_Calc!A$10,
IF(H308="AnMP",Pole_Calc!A$11,
IF(H308="A",Pole_Calc!A$12,
IF(H308="S/A",Pole_Calc!A$13,
IF(H308="A/S",Pole_Calc!A$14,"Poner a mano")))))))</f>
        <v>App.7-V11I-P9.5.1.1</v>
      </c>
      <c r="BE308" s="429" t="s">
        <v>118</v>
      </c>
      <c r="BF308" s="289"/>
      <c r="BG308" s="289"/>
      <c r="BH308" s="290"/>
      <c r="BI308" s="289"/>
    </row>
    <row r="309" spans="1:61" ht="16.149999999999999" customHeight="1">
      <c r="A309" s="685" t="s">
        <v>305</v>
      </c>
      <c r="B309" s="686"/>
      <c r="C309" s="687"/>
      <c r="D309" s="688"/>
      <c r="E309" s="689"/>
      <c r="F309" s="689"/>
      <c r="G309" s="690">
        <v>48</v>
      </c>
      <c r="H309" s="691"/>
      <c r="I309" s="689"/>
      <c r="J309" s="687">
        <f>C310-7.5</f>
        <v>37697.349999999991</v>
      </c>
      <c r="K309" s="691" t="s">
        <v>117</v>
      </c>
      <c r="L309" s="691"/>
      <c r="M309" s="691" t="str">
        <f>IF(L309="","",
IF(AX309="PT",VLOOKUP(L309,Foundation_Calc!$V$79:$X$113,VLOOKUP(AX309,Foundation_Calc!$I$10:$J$13,2,FALSE),0),
IF(AX309="K",VLOOKUP(L309,Foundation_Calc!$V$117:$X$151,VLOOKUP(AX309,Foundation_Calc!$I$10:$J$13,2,FALSE),0),"")))</f>
        <v/>
      </c>
      <c r="N309" s="691"/>
      <c r="O309" s="691"/>
      <c r="P309" s="691"/>
      <c r="Q309" s="689"/>
      <c r="R309" s="690"/>
      <c r="S309" s="690"/>
      <c r="T309" s="689"/>
      <c r="U309" s="689"/>
      <c r="V309" s="689"/>
      <c r="W309" s="692"/>
      <c r="X309" s="692"/>
      <c r="Y309" s="692"/>
      <c r="Z309" s="692"/>
      <c r="AA309" s="692"/>
      <c r="AB309" s="692"/>
      <c r="AC309" s="691" t="str">
        <f t="shared" si="37"/>
        <v/>
      </c>
      <c r="AD309" s="691"/>
      <c r="AE309" s="691"/>
      <c r="AF309" s="689"/>
      <c r="AG309" s="688"/>
      <c r="AH309" s="689"/>
      <c r="AI309" s="689"/>
      <c r="AJ309" s="691"/>
      <c r="AK309" s="691"/>
      <c r="AL309" s="691"/>
      <c r="AM309" s="691"/>
      <c r="AN309" s="693"/>
      <c r="AO309" s="692"/>
      <c r="AP309" s="692"/>
      <c r="AQ309" s="692">
        <f>+FL_1($T$310,$T$308,$G$309,1200,9.28,-1*$F$310)</f>
        <v>0.3177585336619092</v>
      </c>
      <c r="AR309" s="692"/>
      <c r="AS309" s="692"/>
      <c r="AT309" s="692"/>
      <c r="AU309" s="694"/>
      <c r="AV309" s="694"/>
      <c r="AW309" s="691" t="str">
        <f>IF(C309&gt;0,VLOOKUP(C309,Foundation_Calc!$A$2:$C$13,3,1),
IF(J309&gt;0,VLOOKUP(J309,Foundation_Calc!$A$2:$C$13,3,1),""))</f>
        <v>Multi Soil</v>
      </c>
      <c r="AX309" s="691" t="str">
        <f>IF(C309&gt;0,VLOOKUP(C309,Foundation_Calc!$E$2:$G$33,3,1),
IF(J309&gt;0,VLOOKUP(J309,Foundation_Calc!$E$2:$G$33,3,1),""))</f>
        <v>PT</v>
      </c>
      <c r="AY309" s="693" t="str">
        <f>IF(L309="","",
IF(AX309="PT",VLOOKUP(L309,Foundation_Calc!$K$79:$R$113,VLOOKUP(AW309,Foundation_Calc!$I$2:$J$8,2,FALSE),0),
IF(AX309="K",VLOOKUP(L309,Foundation_Calc!$K$117:$R$151,VLOOKUP(AW309,Foundation_Calc!$I$2:$J$8,2,FALSE),0),"")))</f>
        <v/>
      </c>
      <c r="AZ309" s="693">
        <f>IF(K309="","",
IF(AX309="PT",VLOOKUP(K309,Foundation_Calc!$K$79:$R$113,VLOOKUP(AW309,Foundation_Calc!$I$2:$J$8,2,FALSE),0),
IF(AX309="K",VLOOKUP(K309,Foundation_Calc!$K$117:$R$151,VLOOKUP(AW309,Foundation_Calc!$I$2:$J$8,2,FALSE),0),"")))</f>
        <v>3.9</v>
      </c>
      <c r="BA309" s="495" t="str">
        <f t="shared" si="38"/>
        <v/>
      </c>
      <c r="BB309" s="495" t="str">
        <f t="shared" si="39"/>
        <v>ü</v>
      </c>
      <c r="BC309" s="495" t="str">
        <f t="shared" si="40"/>
        <v/>
      </c>
      <c r="BD309" s="513" t="str">
        <f>IF(AND(L309="",H309=""),"",
IF(H309="",Pole_Calc!A$9,
IF(H309="MP",Pole_Calc!A$10,
IF(H309="AnMP",Pole_Calc!A$11,
IF(H309="A",Pole_Calc!A$12,
IF(H309="S/A",Pole_Calc!A$13,
IF(H309="A/S",Pole_Calc!A$14,"Poner a mano")))))))</f>
        <v/>
      </c>
      <c r="BE309" s="429" t="s">
        <v>118</v>
      </c>
      <c r="BF309" s="290"/>
      <c r="BG309" s="290"/>
      <c r="BH309" s="290"/>
      <c r="BI309" s="290"/>
    </row>
    <row r="310" spans="1:61" ht="16.149999999999999" customHeight="1">
      <c r="A310" s="514"/>
      <c r="B310" s="450" t="s">
        <v>351</v>
      </c>
      <c r="C310" s="3">
        <f>+$C$308+$G$309+1</f>
        <v>37704.849999999991</v>
      </c>
      <c r="D310" s="83"/>
      <c r="E310" s="4"/>
      <c r="F310" s="4">
        <f>(438^2)/(C310-37841.37)</f>
        <v>-1405.244652798008</v>
      </c>
      <c r="G310" s="6"/>
      <c r="H310" s="449" t="s">
        <v>121</v>
      </c>
      <c r="I310" s="4" t="s">
        <v>122</v>
      </c>
      <c r="J310" s="3"/>
      <c r="K310" s="449"/>
      <c r="L310" s="449" t="s">
        <v>181</v>
      </c>
      <c r="M310" s="449" t="str">
        <f>IF(L310="","",
IF(AX310="PT",VLOOKUP(L310,Foundation_Calc!$V$79:$X$113,VLOOKUP(AX310,Foundation_Calc!$I$10:$J$13,2,FALSE),0),
IF(AX310="K",VLOOKUP(L310,Foundation_Calc!$V$117:$X$151,VLOOKUP(AX310,Foundation_Calc!$I$10:$J$13,2,FALSE),0),"")))</f>
        <v>C5R</v>
      </c>
      <c r="N310" s="449" t="s">
        <v>134</v>
      </c>
      <c r="O310" s="449"/>
      <c r="P310" s="449"/>
      <c r="Q310" s="4"/>
      <c r="R310" s="6"/>
      <c r="S310" s="6"/>
      <c r="T310" s="4">
        <v>30</v>
      </c>
      <c r="U310" s="4"/>
      <c r="V310" s="4"/>
      <c r="W310" s="9">
        <v>1.4</v>
      </c>
      <c r="X310" s="9"/>
      <c r="Y310" s="9"/>
      <c r="Z310" s="9"/>
      <c r="AA310" s="9"/>
      <c r="AB310" s="9"/>
      <c r="AC310" s="449" t="str">
        <f t="shared" si="37"/>
        <v>PHC</v>
      </c>
      <c r="AD310" s="449"/>
      <c r="AE310" s="449"/>
      <c r="AF310" s="4"/>
      <c r="AG310" s="83"/>
      <c r="AH310" s="4"/>
      <c r="AI310" s="4"/>
      <c r="AJ310" s="449"/>
      <c r="AK310" s="449"/>
      <c r="AL310" s="449"/>
      <c r="AM310" s="449" t="s">
        <v>126</v>
      </c>
      <c r="AN310" s="10">
        <v>5.5</v>
      </c>
      <c r="AO310" s="9"/>
      <c r="AP310" s="9"/>
      <c r="AQ310" s="9"/>
      <c r="AR310" s="9"/>
      <c r="AS310" s="9"/>
      <c r="AT310" s="9">
        <f>+ab($T$310,$T$308,$U$312,$G$309,$G$311,-1*$F$310,1200)</f>
        <v>4.9908839108782228</v>
      </c>
      <c r="AU310" s="428"/>
      <c r="AV310" s="428"/>
      <c r="AW310" s="449" t="str">
        <f>IF(C310&gt;0,VLOOKUP(C310,Foundation_Calc!$A$2:$C$13,3,1),
IF(J310&gt;0,VLOOKUP(J310,Foundation_Calc!$A$2:$C$13,3,1),""))</f>
        <v>Multi Soil</v>
      </c>
      <c r="AX310" s="449" t="str">
        <f>IF(C310&gt;0,VLOOKUP(C310,Foundation_Calc!$E$2:$G$33,3,1),
IF(J310&gt;0,VLOOKUP(J310,Foundation_Calc!$E$2:$G$33,3,1),""))</f>
        <v>PT</v>
      </c>
      <c r="AY310" s="10">
        <f>IF(L310="","",
IF(AX310="PT",VLOOKUP(L310,Foundation_Calc!$K$79:$R$113,VLOOKUP(AW310,Foundation_Calc!$I$2:$J$8,2,FALSE),0),
IF(AX310="K",VLOOKUP(L310,Foundation_Calc!$K$117:$R$151,VLOOKUP(AW310,Foundation_Calc!$I$2:$J$8,2,FALSE),0),"")))</f>
        <v>3.5</v>
      </c>
      <c r="AZ310" s="10" t="str">
        <f>IF(K310="","",
IF(AX310="PT",VLOOKUP(K310,Foundation_Calc!$K$79:$R$113,VLOOKUP(AW310,Foundation_Calc!$I$2:$J$8,2,FALSE),0),
IF(AX310="K",VLOOKUP(K310,Foundation_Calc!$K$117:$R$151,VLOOKUP(AW310,Foundation_Calc!$I$2:$J$8,2,FALSE),0),"")))</f>
        <v/>
      </c>
      <c r="BA310" s="495" t="str">
        <f t="shared" si="38"/>
        <v>ü</v>
      </c>
      <c r="BB310" s="495" t="str">
        <f t="shared" si="39"/>
        <v/>
      </c>
      <c r="BC310" s="495" t="str">
        <f t="shared" si="40"/>
        <v/>
      </c>
      <c r="BD310" s="513" t="str">
        <f>IF(AND(L310="",H310=""),"",
IF(H310="",Pole_Calc!A$9,
IF(H310="MP",Pole_Calc!A$10,
IF(H310="AnMP",Pole_Calc!A$11,
IF(H310="A",Pole_Calc!A$12,
IF(H310="S/A",Pole_Calc!A$13,
IF(H310="A/S",Pole_Calc!A$14,"Poner a mano")))))))</f>
        <v>App.7-V11I-P9.5.1.6</v>
      </c>
      <c r="BE310" s="429" t="s">
        <v>118</v>
      </c>
      <c r="BF310" s="289"/>
      <c r="BG310" s="289"/>
      <c r="BH310" s="290"/>
      <c r="BI310" s="289"/>
    </row>
    <row r="311" spans="1:61" ht="16.149999999999999" customHeight="1">
      <c r="A311" s="514"/>
      <c r="B311" s="450"/>
      <c r="C311" s="3"/>
      <c r="D311" s="83"/>
      <c r="E311" s="4"/>
      <c r="F311" s="4"/>
      <c r="G311" s="6">
        <v>48.1</v>
      </c>
      <c r="H311" s="449"/>
      <c r="I311" s="4"/>
      <c r="J311" s="3"/>
      <c r="K311" s="449"/>
      <c r="L311" s="449"/>
      <c r="M311" s="449" t="str">
        <f>IF(L311="","",
IF(AX311="PT",VLOOKUP(L311,Foundation_Calc!$V$79:$X$113,VLOOKUP(AX311,Foundation_Calc!$I$10:$J$13,2,FALSE),0),
IF(AX311="K",VLOOKUP(L311,Foundation_Calc!$V$117:$X$151,VLOOKUP(AX311,Foundation_Calc!$I$10:$J$13,2,FALSE),0),"")))</f>
        <v/>
      </c>
      <c r="N311" s="449"/>
      <c r="O311" s="449"/>
      <c r="P311" s="449"/>
      <c r="Q311" s="4"/>
      <c r="R311" s="6"/>
      <c r="S311" s="6"/>
      <c r="T311" s="4"/>
      <c r="U311" s="4"/>
      <c r="V311" s="4"/>
      <c r="W311" s="9"/>
      <c r="X311" s="9"/>
      <c r="Y311" s="9"/>
      <c r="Z311" s="9"/>
      <c r="AA311" s="9"/>
      <c r="AB311" s="9"/>
      <c r="AC311" s="449" t="str">
        <f t="shared" si="37"/>
        <v/>
      </c>
      <c r="AD311" s="449"/>
      <c r="AE311" s="449"/>
      <c r="AF311" s="4"/>
      <c r="AG311" s="83"/>
      <c r="AH311" s="4"/>
      <c r="AI311" s="4"/>
      <c r="AJ311" s="449"/>
      <c r="AK311" s="449"/>
      <c r="AL311" s="449"/>
      <c r="AM311" s="449"/>
      <c r="AN311" s="10"/>
      <c r="AO311" s="9"/>
      <c r="AP311" s="9"/>
      <c r="AQ311" s="9">
        <f>+FL_1($U$312,$T$310,$G$311,1200,9.28,-1*$F$312)</f>
        <v>0.31802338081573761</v>
      </c>
      <c r="AR311" s="9"/>
      <c r="AS311" s="9"/>
      <c r="AT311" s="9"/>
      <c r="AU311" s="428"/>
      <c r="AV311" s="428"/>
      <c r="AW311" s="449" t="str">
        <f>IF(C311&gt;0,VLOOKUP(C311,Foundation_Calc!$A$2:$C$13,3,1),
IF(J311&gt;0,VLOOKUP(J311,Foundation_Calc!$A$2:$C$13,3,1),""))</f>
        <v/>
      </c>
      <c r="AX311" s="449" t="str">
        <f>IF(C311&gt;0,VLOOKUP(C311,Foundation_Calc!$E$2:$G$33,3,1),
IF(J311&gt;0,VLOOKUP(J311,Foundation_Calc!$E$2:$G$33,3,1),""))</f>
        <v/>
      </c>
      <c r="AY311" s="10" t="str">
        <f>IF(L311="","",
IF(AX311="PT",VLOOKUP(L311,Foundation_Calc!$K$79:$R$113,VLOOKUP(AW311,Foundation_Calc!$I$2:$J$8,2,FALSE),0),
IF(AX311="K",VLOOKUP(L311,Foundation_Calc!$K$117:$R$151,VLOOKUP(AW311,Foundation_Calc!$I$2:$J$8,2,FALSE),0),"")))</f>
        <v/>
      </c>
      <c r="AZ311" s="10" t="str">
        <f>IF(K311="","",
IF(AX311="PT",VLOOKUP(K311,Foundation_Calc!$K$79:$R$113,VLOOKUP(AW311,Foundation_Calc!$I$2:$J$8,2,FALSE),0),
IF(AX311="K",VLOOKUP(K311,Foundation_Calc!$K$117:$R$151,VLOOKUP(AW311,Foundation_Calc!$I$2:$J$8,2,FALSE),0),"")))</f>
        <v/>
      </c>
      <c r="BA311" s="495" t="str">
        <f t="shared" si="38"/>
        <v/>
      </c>
      <c r="BB311" s="495" t="str">
        <f t="shared" si="39"/>
        <v/>
      </c>
      <c r="BC311" s="495" t="str">
        <f t="shared" si="40"/>
        <v/>
      </c>
      <c r="BD311" s="513" t="str">
        <f>IF(AND(L311="",H311=""),"",
IF(H311="",Pole_Calc!A$9,
IF(H311="MP",Pole_Calc!A$10,
IF(H311="AnMP",Pole_Calc!A$11,
IF(H311="A",Pole_Calc!A$12,
IF(H311="S/A",Pole_Calc!A$13,
IF(H311="A/S",Pole_Calc!A$14,"Poner a mano")))))))</f>
        <v/>
      </c>
      <c r="BE311" s="429" t="s">
        <v>118</v>
      </c>
      <c r="BF311" s="290"/>
      <c r="BG311" s="290"/>
      <c r="BH311" s="290"/>
      <c r="BI311" s="290"/>
    </row>
    <row r="312" spans="1:61" ht="16.149999999999999" customHeight="1">
      <c r="A312" s="514"/>
      <c r="B312" s="450" t="s">
        <v>352</v>
      </c>
      <c r="C312" s="3">
        <f>+$C$310+$G$311</f>
        <v>37752.94999999999</v>
      </c>
      <c r="D312" s="83"/>
      <c r="E312" s="4"/>
      <c r="F312" s="4">
        <f>(438^2)/(C312-37841.37)</f>
        <v>-2169.6901153582021</v>
      </c>
      <c r="G312" s="6"/>
      <c r="H312" s="449" t="s">
        <v>131</v>
      </c>
      <c r="I312" s="4"/>
      <c r="J312" s="3"/>
      <c r="K312" s="449"/>
      <c r="L312" s="449" t="s">
        <v>183</v>
      </c>
      <c r="M312" s="449" t="str">
        <f>IF(L312="","",
IF(AX312="PT",VLOOKUP(L312,Foundation_Calc!$V$79:$X$113,VLOOKUP(AX312,Foundation_Calc!$I$10:$J$13,2,FALSE),0),
IF(AX312="K",VLOOKUP(L312,Foundation_Calc!$V$117:$X$151,VLOOKUP(AX312,Foundation_Calc!$I$10:$J$13,2,FALSE),0),"")))</f>
        <v>2C3R</v>
      </c>
      <c r="N312" s="449" t="s">
        <v>133</v>
      </c>
      <c r="O312" s="449" t="s">
        <v>134</v>
      </c>
      <c r="P312" s="449"/>
      <c r="Q312" s="4"/>
      <c r="R312" s="6"/>
      <c r="S312" s="6"/>
      <c r="T312" s="4">
        <v>30</v>
      </c>
      <c r="U312" s="4">
        <v>10</v>
      </c>
      <c r="V312" s="4"/>
      <c r="W312" s="9">
        <v>1.4</v>
      </c>
      <c r="X312" s="9">
        <v>2.2999999999999998</v>
      </c>
      <c r="Y312" s="9"/>
      <c r="Z312" s="9">
        <v>0.45</v>
      </c>
      <c r="AA312" s="9"/>
      <c r="AB312" s="9"/>
      <c r="AC312" s="449" t="str">
        <f t="shared" si="37"/>
        <v>PH</v>
      </c>
      <c r="AD312" s="449"/>
      <c r="AE312" s="449"/>
      <c r="AF312" s="4"/>
      <c r="AG312" s="83"/>
      <c r="AH312" s="4"/>
      <c r="AI312" s="4"/>
      <c r="AJ312" s="449"/>
      <c r="AK312" s="449"/>
      <c r="AL312" s="449"/>
      <c r="AM312" s="449" t="s">
        <v>126</v>
      </c>
      <c r="AN312" s="10">
        <v>5.5</v>
      </c>
      <c r="AO312" s="9"/>
      <c r="AP312" s="9"/>
      <c r="AQ312" s="9"/>
      <c r="AR312" s="9"/>
      <c r="AS312" s="9"/>
      <c r="AT312" s="9">
        <f>+ab($U$312,$T$310,$U$314,$G$311,$G$313,-1*$F$312,1200)</f>
        <v>9.5166790921444377</v>
      </c>
      <c r="AU312" s="428"/>
      <c r="AV312" s="428"/>
      <c r="AW312" s="449" t="str">
        <f>IF(C312&gt;0,VLOOKUP(C312,Foundation_Calc!$A$2:$C$13,3,1),
IF(J312&gt;0,VLOOKUP(J312,Foundation_Calc!$A$2:$C$13,3,1),""))</f>
        <v>Multi Soil</v>
      </c>
      <c r="AX312" s="449" t="str">
        <f>IF(C312&gt;0,VLOOKUP(C312,Foundation_Calc!$E$2:$G$33,3,1),
IF(J312&gt;0,VLOOKUP(J312,Foundation_Calc!$E$2:$G$33,3,1),""))</f>
        <v>PT</v>
      </c>
      <c r="AY312" s="10">
        <f>IF(L312="","",
IF(AX312="PT",VLOOKUP(L312,Foundation_Calc!$K$79:$R$113,VLOOKUP(AW312,Foundation_Calc!$I$2:$J$8,2,FALSE),0),
IF(AX312="K",VLOOKUP(L312,Foundation_Calc!$K$117:$R$151,VLOOKUP(AW312,Foundation_Calc!$I$2:$J$8,2,FALSE),0),"")))</f>
        <v>3.7</v>
      </c>
      <c r="AZ312" s="10" t="str">
        <f>IF(K312="","",
IF(AX312="PT",VLOOKUP(K312,Foundation_Calc!$K$79:$R$113,VLOOKUP(AW312,Foundation_Calc!$I$2:$J$8,2,FALSE),0),
IF(AX312="K",VLOOKUP(K312,Foundation_Calc!$K$117:$R$151,VLOOKUP(AW312,Foundation_Calc!$I$2:$J$8,2,FALSE),0),"")))</f>
        <v/>
      </c>
      <c r="BA312" s="495" t="str">
        <f t="shared" si="38"/>
        <v>ü</v>
      </c>
      <c r="BB312" s="495" t="str">
        <f t="shared" si="39"/>
        <v/>
      </c>
      <c r="BC312" s="495" t="str">
        <f t="shared" si="40"/>
        <v/>
      </c>
      <c r="BD312" s="513" t="str">
        <f>IF(AND(L312="",H312=""),"",
IF(H312="",Pole_Calc!A$9,
IF(H312="MP",Pole_Calc!A$10,
IF(H312="AnMP",Pole_Calc!A$11,
IF(H312="A",Pole_Calc!A$12,
IF(H312="S/A",Pole_Calc!A$13,
IF(H312="A/S",Pole_Calc!A$14,"Poner a mano")))))))</f>
        <v>App.7-V11I-P9.5.1.5</v>
      </c>
      <c r="BE312" s="429" t="s">
        <v>118</v>
      </c>
      <c r="BF312" s="289"/>
      <c r="BG312" s="289"/>
      <c r="BH312" s="290"/>
      <c r="BI312" s="289"/>
    </row>
    <row r="313" spans="1:61" ht="16.149999999999999" customHeight="1">
      <c r="A313" s="514"/>
      <c r="B313" s="450"/>
      <c r="C313" s="3"/>
      <c r="D313" s="83"/>
      <c r="E313" s="4"/>
      <c r="F313" s="4"/>
      <c r="G313" s="6">
        <v>47.5</v>
      </c>
      <c r="H313" s="449"/>
      <c r="I313" s="4"/>
      <c r="J313" s="3"/>
      <c r="K313" s="449"/>
      <c r="L313" s="449"/>
      <c r="M313" s="449" t="str">
        <f>IF(L313="","",
IF(AX313="PT",VLOOKUP(L313,Foundation_Calc!$V$79:$X$113,VLOOKUP(AX313,Foundation_Calc!$I$10:$J$13,2,FALSE),0),
IF(AX313="K",VLOOKUP(L313,Foundation_Calc!$V$117:$X$151,VLOOKUP(AX313,Foundation_Calc!$I$10:$J$13,2,FALSE),0),"")))</f>
        <v/>
      </c>
      <c r="N313" s="449"/>
      <c r="O313" s="449"/>
      <c r="P313" s="449"/>
      <c r="Q313" s="4"/>
      <c r="R313" s="6"/>
      <c r="S313" s="6"/>
      <c r="T313" s="4"/>
      <c r="U313" s="4"/>
      <c r="V313" s="4"/>
      <c r="W313" s="9"/>
      <c r="X313" s="9"/>
      <c r="Y313" s="9"/>
      <c r="Z313" s="9"/>
      <c r="AA313" s="9"/>
      <c r="AB313" s="9"/>
      <c r="AC313" s="449" t="str">
        <f t="shared" si="37"/>
        <v/>
      </c>
      <c r="AD313" s="449"/>
      <c r="AE313" s="449"/>
      <c r="AF313" s="4"/>
      <c r="AG313" s="83"/>
      <c r="AH313" s="4"/>
      <c r="AI313" s="4"/>
      <c r="AJ313" s="449"/>
      <c r="AK313" s="449"/>
      <c r="AL313" s="449"/>
      <c r="AM313" s="449"/>
      <c r="AN313" s="10"/>
      <c r="AO313" s="9"/>
      <c r="AP313" s="9"/>
      <c r="AQ313" s="9">
        <f>+FL_1($U$314,$U$312,$G$313,1200,9.28,-1*$F$314)</f>
        <v>0.211904026138517</v>
      </c>
      <c r="AR313" s="9"/>
      <c r="AS313" s="9"/>
      <c r="AT313" s="9"/>
      <c r="AU313" s="428"/>
      <c r="AV313" s="428"/>
      <c r="AW313" s="449" t="str">
        <f>IF(C313&gt;0,VLOOKUP(C313,Foundation_Calc!$A$2:$C$13,3,1),
IF(J313&gt;0,VLOOKUP(J313,Foundation_Calc!$A$2:$C$13,3,1),""))</f>
        <v/>
      </c>
      <c r="AX313" s="449" t="str">
        <f>IF(C313&gt;0,VLOOKUP(C313,Foundation_Calc!$E$2:$G$33,3,1),
IF(J313&gt;0,VLOOKUP(J313,Foundation_Calc!$E$2:$G$33,3,1),""))</f>
        <v/>
      </c>
      <c r="AY313" s="10" t="str">
        <f>IF(L313="","",
IF(AX313="PT",VLOOKUP(L313,Foundation_Calc!$K$79:$R$113,VLOOKUP(AW313,Foundation_Calc!$I$2:$J$8,2,FALSE),0),
IF(AX313="K",VLOOKUP(L313,Foundation_Calc!$K$117:$R$151,VLOOKUP(AW313,Foundation_Calc!$I$2:$J$8,2,FALSE),0),"")))</f>
        <v/>
      </c>
      <c r="AZ313" s="10" t="str">
        <f>IF(K313="","",
IF(AX313="PT",VLOOKUP(K313,Foundation_Calc!$K$79:$R$113,VLOOKUP(AW313,Foundation_Calc!$I$2:$J$8,2,FALSE),0),
IF(AX313="K",VLOOKUP(K313,Foundation_Calc!$K$117:$R$151,VLOOKUP(AW313,Foundation_Calc!$I$2:$J$8,2,FALSE),0),"")))</f>
        <v/>
      </c>
      <c r="BA313" s="495" t="str">
        <f t="shared" si="38"/>
        <v/>
      </c>
      <c r="BB313" s="495" t="str">
        <f t="shared" si="39"/>
        <v/>
      </c>
      <c r="BC313" s="495" t="str">
        <f t="shared" si="40"/>
        <v/>
      </c>
      <c r="BD313" s="513" t="str">
        <f>IF(AND(L313="",H313=""),"",
IF(H313="",Pole_Calc!A$9,
IF(H313="MP",Pole_Calc!A$10,
IF(H313="AnMP",Pole_Calc!A$11,
IF(H313="A",Pole_Calc!A$12,
IF(H313="S/A",Pole_Calc!A$13,
IF(H313="A/S",Pole_Calc!A$14,"Poner a mano")))))))</f>
        <v/>
      </c>
      <c r="BE313" s="429" t="s">
        <v>118</v>
      </c>
      <c r="BF313" s="290"/>
      <c r="BG313" s="290"/>
      <c r="BH313" s="290"/>
      <c r="BI313" s="290"/>
    </row>
    <row r="314" spans="1:61" ht="16.149999999999999" customHeight="1">
      <c r="A314" s="514"/>
      <c r="B314" s="450" t="s">
        <v>353</v>
      </c>
      <c r="C314" s="3">
        <f>+$C$312+$G$313</f>
        <v>37800.44999999999</v>
      </c>
      <c r="D314" s="83"/>
      <c r="E314" s="4"/>
      <c r="F314" s="4">
        <f>(438^2)/(C314-37841.37)</f>
        <v>-4688.2697947199404</v>
      </c>
      <c r="G314" s="6"/>
      <c r="H314" s="449" t="s">
        <v>131</v>
      </c>
      <c r="I314" s="4"/>
      <c r="J314" s="3"/>
      <c r="K314" s="449"/>
      <c r="L314" s="449" t="s">
        <v>183</v>
      </c>
      <c r="M314" s="449" t="str">
        <f>IF(L314="","",
IF(AX314="PT",VLOOKUP(L314,Foundation_Calc!$V$79:$X$113,VLOOKUP(AX314,Foundation_Calc!$I$10:$J$13,2,FALSE),0),
IF(AX314="K",VLOOKUP(L314,Foundation_Calc!$V$117:$X$151,VLOOKUP(AX314,Foundation_Calc!$I$10:$J$13,2,FALSE),0),"")))</f>
        <v>2C3R</v>
      </c>
      <c r="N314" s="449" t="s">
        <v>134</v>
      </c>
      <c r="O314" s="449" t="s">
        <v>133</v>
      </c>
      <c r="P314" s="449"/>
      <c r="Q314" s="4"/>
      <c r="R314" s="6"/>
      <c r="S314" s="6"/>
      <c r="T314" s="4">
        <v>20</v>
      </c>
      <c r="U314" s="4">
        <v>0</v>
      </c>
      <c r="V314" s="4"/>
      <c r="W314" s="9">
        <v>1.4</v>
      </c>
      <c r="X314" s="9">
        <v>2.2999999999999998</v>
      </c>
      <c r="Y314" s="9"/>
      <c r="Z314" s="9"/>
      <c r="AA314" s="9">
        <v>0.45</v>
      </c>
      <c r="AB314" s="9"/>
      <c r="AC314" s="449" t="str">
        <f t="shared" si="37"/>
        <v>PH</v>
      </c>
      <c r="AD314" s="449"/>
      <c r="AE314" s="449"/>
      <c r="AF314" s="4"/>
      <c r="AG314" s="83"/>
      <c r="AH314" s="4"/>
      <c r="AI314" s="4"/>
      <c r="AJ314" s="449"/>
      <c r="AK314" s="449"/>
      <c r="AL314" s="449"/>
      <c r="AM314" s="449" t="s">
        <v>126</v>
      </c>
      <c r="AN314" s="10">
        <v>5.5</v>
      </c>
      <c r="AO314" s="9"/>
      <c r="AP314" s="9"/>
      <c r="AQ314" s="9"/>
      <c r="AR314" s="9"/>
      <c r="AS314" s="9"/>
      <c r="AT314" s="9">
        <f>+ab($T$314,$T$312,$T$316,$G$313,$G$315,-1*$F$314,1200)</f>
        <v>9.8480759645664548</v>
      </c>
      <c r="AU314" s="428"/>
      <c r="AV314" s="428"/>
      <c r="AW314" s="449" t="str">
        <f>IF(C314&gt;0,VLOOKUP(C314,Foundation_Calc!$A$2:$C$13,3,1),
IF(J314&gt;0,VLOOKUP(J314,Foundation_Calc!$A$2:$C$13,3,1),""))</f>
        <v>Multi Soil</v>
      </c>
      <c r="AX314" s="449" t="str">
        <f>IF(C314&gt;0,VLOOKUP(C314,Foundation_Calc!$E$2:$G$33,3,1),
IF(J314&gt;0,VLOOKUP(J314,Foundation_Calc!$E$2:$G$33,3,1),""))</f>
        <v>PT</v>
      </c>
      <c r="AY314" s="10">
        <f>IF(L314="","",
IF(AX314="PT",VLOOKUP(L314,Foundation_Calc!$K$79:$R$113,VLOOKUP(AW314,Foundation_Calc!$I$2:$J$8,2,FALSE),0),
IF(AX314="K",VLOOKUP(L314,Foundation_Calc!$K$117:$R$151,VLOOKUP(AW314,Foundation_Calc!$I$2:$J$8,2,FALSE),0),"")))</f>
        <v>3.7</v>
      </c>
      <c r="AZ314" s="10" t="str">
        <f>IF(K314="","",
IF(AX314="PT",VLOOKUP(K314,Foundation_Calc!$K$79:$R$113,VLOOKUP(AW314,Foundation_Calc!$I$2:$J$8,2,FALSE),0),
IF(AX314="K",VLOOKUP(K314,Foundation_Calc!$K$117:$R$151,VLOOKUP(AW314,Foundation_Calc!$I$2:$J$8,2,FALSE),0),"")))</f>
        <v/>
      </c>
      <c r="BA314" s="495" t="str">
        <f t="shared" si="38"/>
        <v>ü</v>
      </c>
      <c r="BB314" s="495" t="str">
        <f t="shared" si="39"/>
        <v/>
      </c>
      <c r="BC314" s="495" t="str">
        <f t="shared" si="40"/>
        <v/>
      </c>
      <c r="BD314" s="513" t="str">
        <f>IF(AND(L314="",H314=""),"",
IF(H314="",Pole_Calc!A$9,
IF(H314="MP",Pole_Calc!A$10,
IF(H314="AnMP",Pole_Calc!A$11,
IF(H314="A",Pole_Calc!A$12,
IF(H314="S/A",Pole_Calc!A$13,
IF(H314="A/S",Pole_Calc!A$14,"Poner a mano")))))))</f>
        <v>App.7-V11I-P9.5.1.5</v>
      </c>
      <c r="BE314" s="429" t="s">
        <v>118</v>
      </c>
      <c r="BF314" s="289"/>
      <c r="BG314" s="289"/>
      <c r="BH314" s="290"/>
      <c r="BI314" s="289"/>
    </row>
    <row r="315" spans="1:61" ht="16.149999999999999" customHeight="1">
      <c r="A315" s="514"/>
      <c r="B315" s="450"/>
      <c r="C315" s="3"/>
      <c r="D315" s="83"/>
      <c r="E315" s="4"/>
      <c r="F315" s="4"/>
      <c r="G315" s="6">
        <v>50</v>
      </c>
      <c r="H315" s="449"/>
      <c r="I315" s="4"/>
      <c r="J315" s="3"/>
      <c r="K315" s="449"/>
      <c r="L315" s="449"/>
      <c r="M315" s="449" t="str">
        <f>IF(L315="","",
IF(AX315="PT",VLOOKUP(L315,Foundation_Calc!$V$79:$X$113,VLOOKUP(AX315,Foundation_Calc!$I$10:$J$13,2,FALSE),0),
IF(AX315="K",VLOOKUP(L315,Foundation_Calc!$V$117:$X$151,VLOOKUP(AX315,Foundation_Calc!$I$10:$J$13,2,FALSE),0),"")))</f>
        <v/>
      </c>
      <c r="N315" s="449"/>
      <c r="O315" s="449"/>
      <c r="P315" s="449"/>
      <c r="Q315" s="4"/>
      <c r="R315" s="6"/>
      <c r="S315" s="6"/>
      <c r="T315" s="4"/>
      <c r="U315" s="4"/>
      <c r="V315" s="4"/>
      <c r="W315" s="572"/>
      <c r="X315" s="9"/>
      <c r="Y315" s="9"/>
      <c r="Z315" s="9"/>
      <c r="AA315" s="9"/>
      <c r="AB315" s="9"/>
      <c r="AC315" s="449" t="str">
        <f t="shared" si="37"/>
        <v/>
      </c>
      <c r="AD315" s="449"/>
      <c r="AE315" s="449"/>
      <c r="AF315" s="4"/>
      <c r="AG315" s="83"/>
      <c r="AH315" s="4"/>
      <c r="AI315" s="4"/>
      <c r="AJ315" s="449"/>
      <c r="AK315" s="449"/>
      <c r="AL315" s="449"/>
      <c r="AM315" s="449"/>
      <c r="AN315" s="10"/>
      <c r="AO315" s="9"/>
      <c r="AP315" s="9"/>
      <c r="AQ315" s="9">
        <f>+FL_2($T$316,$T$314,$G$315,1200,9.28,-1*$F$316)</f>
        <v>-0.39489941866666661</v>
      </c>
      <c r="AR315" s="9"/>
      <c r="AS315" s="9"/>
      <c r="AT315" s="9"/>
      <c r="AU315" s="428"/>
      <c r="AV315" s="428"/>
      <c r="AW315" s="449" t="str">
        <f>IF(C315&gt;0,VLOOKUP(C315,Foundation_Calc!$A$2:$C$13,3,1),
IF(J315&gt;0,VLOOKUP(J315,Foundation_Calc!$A$2:$C$13,3,1),""))</f>
        <v/>
      </c>
      <c r="AX315" s="449" t="str">
        <f>IF(C315&gt;0,VLOOKUP(C315,Foundation_Calc!$E$2:$G$33,3,1),
IF(J315&gt;0,VLOOKUP(J315,Foundation_Calc!$E$2:$G$33,3,1),""))</f>
        <v/>
      </c>
      <c r="AY315" s="10" t="str">
        <f>IF(L315="","",
IF(AX315="PT",VLOOKUP(L315,Foundation_Calc!$K$79:$R$113,VLOOKUP(AW315,Foundation_Calc!$I$2:$J$8,2,FALSE),0),
IF(AX315="K",VLOOKUP(L315,Foundation_Calc!$K$117:$R$151,VLOOKUP(AW315,Foundation_Calc!$I$2:$J$8,2,FALSE),0),"")))</f>
        <v/>
      </c>
      <c r="AZ315" s="10" t="str">
        <f>IF(K315="","",
IF(AX315="PT",VLOOKUP(K315,Foundation_Calc!$K$79:$R$113,VLOOKUP(AW315,Foundation_Calc!$I$2:$J$8,2,FALSE),0),
IF(AX315="K",VLOOKUP(K315,Foundation_Calc!$K$117:$R$151,VLOOKUP(AW315,Foundation_Calc!$I$2:$J$8,2,FALSE),0),"")))</f>
        <v/>
      </c>
      <c r="BA315" s="495" t="str">
        <f t="shared" si="38"/>
        <v/>
      </c>
      <c r="BB315" s="495" t="str">
        <f t="shared" si="39"/>
        <v/>
      </c>
      <c r="BC315" s="495" t="str">
        <f t="shared" si="40"/>
        <v/>
      </c>
      <c r="BD315" s="513" t="str">
        <f>IF(AND(L315="",H315=""),"",
IF(H315="",Pole_Calc!A$9,
IF(H315="MP",Pole_Calc!A$10,
IF(H315="AnMP",Pole_Calc!A$11,
IF(H315="A",Pole_Calc!A$12,
IF(H315="S/A",Pole_Calc!A$13,
IF(H315="A/S",Pole_Calc!A$14,"Poner a mano")))))))</f>
        <v/>
      </c>
      <c r="BE315" s="429" t="s">
        <v>118</v>
      </c>
      <c r="BF315" s="290"/>
      <c r="BG315" s="290"/>
      <c r="BH315" s="290"/>
      <c r="BI315" s="290"/>
    </row>
    <row r="316" spans="1:61" ht="16.149999999999999" customHeight="1">
      <c r="A316" s="514"/>
      <c r="B316" s="450" t="s">
        <v>354</v>
      </c>
      <c r="C316" s="3">
        <f>+$C$314+$G$315-0.8</f>
        <v>37849.649999999987</v>
      </c>
      <c r="D316" s="83"/>
      <c r="E316" s="4"/>
      <c r="F316" s="4">
        <f>IF(C316&gt;0,VLOOKUP(C316,'ALIGNMENT TRACK'!$A$1:$K$81,9,1))</f>
        <v>0</v>
      </c>
      <c r="G316" s="6"/>
      <c r="H316" s="449" t="s">
        <v>121</v>
      </c>
      <c r="I316" s="4" t="s">
        <v>122</v>
      </c>
      <c r="J316" s="3"/>
      <c r="K316" s="449"/>
      <c r="L316" s="449" t="s">
        <v>151</v>
      </c>
      <c r="M316" s="449" t="str">
        <f>IF(L316="","",
IF(AX316="PT",VLOOKUP(L316,Foundation_Calc!$V$79:$X$113,VLOOKUP(AX316,Foundation_Calc!$I$10:$J$13,2,FALSE),0),
IF(AX316="K",VLOOKUP(L316,Foundation_Calc!$V$117:$X$151,VLOOKUP(AX316,Foundation_Calc!$I$10:$J$13,2,FALSE),0),"")))</f>
        <v>C4R</v>
      </c>
      <c r="N316" s="449" t="s">
        <v>124</v>
      </c>
      <c r="O316" s="449"/>
      <c r="P316" s="449"/>
      <c r="Q316" s="4"/>
      <c r="R316" s="6"/>
      <c r="S316" s="6"/>
      <c r="T316" s="4">
        <v>-35</v>
      </c>
      <c r="U316" s="4"/>
      <c r="V316" s="4"/>
      <c r="W316" s="9">
        <v>1.4</v>
      </c>
      <c r="X316" s="9"/>
      <c r="Y316" s="9"/>
      <c r="Z316" s="9"/>
      <c r="AA316" s="9"/>
      <c r="AB316" s="9"/>
      <c r="AC316" s="449" t="str">
        <f t="shared" si="37"/>
        <v>PHQ</v>
      </c>
      <c r="AD316" s="449"/>
      <c r="AE316" s="449"/>
      <c r="AF316" s="4"/>
      <c r="AG316" s="83"/>
      <c r="AH316" s="4"/>
      <c r="AI316" s="4"/>
      <c r="AJ316" s="449"/>
      <c r="AK316" s="449"/>
      <c r="AL316" s="449"/>
      <c r="AM316" s="449" t="s">
        <v>126</v>
      </c>
      <c r="AN316" s="10">
        <v>5.5</v>
      </c>
      <c r="AO316" s="9"/>
      <c r="AP316" s="9"/>
      <c r="AQ316" s="9"/>
      <c r="AR316" s="9"/>
      <c r="AS316" s="9"/>
      <c r="AT316" s="9">
        <f>+ab($T$316,$T$314,$T$318,$G$315,$G$317,-1*$F$316,1200)</f>
        <v>-7.6302911312210604</v>
      </c>
      <c r="AU316" s="428"/>
      <c r="AV316" s="428"/>
      <c r="AW316" s="449" t="str">
        <f>IF(C316&gt;0,VLOOKUP(C316,Foundation_Calc!$A$2:$C$13,3,1),
IF(J316&gt;0,VLOOKUP(J316,Foundation_Calc!$A$2:$C$13,3,1),""))</f>
        <v>Multi Soil</v>
      </c>
      <c r="AX316" s="449" t="str">
        <f>IF(C316&gt;0,VLOOKUP(C316,Foundation_Calc!$E$2:$G$33,3,1),
IF(J316&gt;0,VLOOKUP(J316,Foundation_Calc!$E$2:$G$33,3,1),""))</f>
        <v>PT</v>
      </c>
      <c r="AY316" s="10">
        <f>IF(L316="","",
IF(AX316="PT",VLOOKUP(L316,Foundation_Calc!$K$79:$R$113,VLOOKUP(AW316,Foundation_Calc!$I$2:$J$8,2,FALSE),0),
IF(AX316="K",VLOOKUP(L316,Foundation_Calc!$K$117:$R$151,VLOOKUP(AW316,Foundation_Calc!$I$2:$J$8,2,FALSE),0),"")))</f>
        <v>3.5</v>
      </c>
      <c r="AZ316" s="10" t="str">
        <f>IF(K316="","",
IF(AX316="PT",VLOOKUP(K316,Foundation_Calc!$K$79:$R$113,VLOOKUP(AW316,Foundation_Calc!$I$2:$J$8,2,FALSE),0),
IF(AX316="K",VLOOKUP(K316,Foundation_Calc!$K$117:$R$151,VLOOKUP(AW316,Foundation_Calc!$I$2:$J$8,2,FALSE),0),"")))</f>
        <v/>
      </c>
      <c r="BA316" s="495" t="str">
        <f t="shared" si="38"/>
        <v>ü</v>
      </c>
      <c r="BB316" s="495" t="str">
        <f t="shared" si="39"/>
        <v/>
      </c>
      <c r="BC316" s="495" t="str">
        <f t="shared" si="40"/>
        <v/>
      </c>
      <c r="BD316" s="513" t="str">
        <f>IF(AND(L316="",H316=""),"",
IF(H316="",Pole_Calc!A$9,
IF(H316="MP",Pole_Calc!A$10,
IF(H316="AnMP",Pole_Calc!A$11,
IF(H316="A",Pole_Calc!A$12,
IF(H316="S/A",Pole_Calc!A$13,
IF(H316="A/S",Pole_Calc!A$14,"Poner a mano")))))))</f>
        <v>App.7-V11I-P9.5.1.6</v>
      </c>
      <c r="BE316" s="429" t="s">
        <v>118</v>
      </c>
      <c r="BF316" s="289"/>
      <c r="BG316" s="289"/>
      <c r="BH316" s="290"/>
      <c r="BI316" s="289"/>
    </row>
    <row r="317" spans="1:61" ht="16.149999999999999" customHeight="1">
      <c r="A317" s="514"/>
      <c r="B317" s="450"/>
      <c r="C317" s="3"/>
      <c r="D317" s="83"/>
      <c r="E317" s="4"/>
      <c r="F317" s="4"/>
      <c r="G317" s="6">
        <v>50</v>
      </c>
      <c r="H317" s="449"/>
      <c r="I317" s="4"/>
      <c r="J317" s="3">
        <f>C316+7.5</f>
        <v>37857.149999999987</v>
      </c>
      <c r="K317" s="449" t="s">
        <v>117</v>
      </c>
      <c r="L317" s="449"/>
      <c r="M317" s="449" t="str">
        <f>IF(L317="","",
IF(AX317="PT",VLOOKUP(L317,Foundation_Calc!$V$79:$X$113,VLOOKUP(AX317,Foundation_Calc!$I$10:$J$13,2,FALSE),0),
IF(AX317="K",VLOOKUP(L317,Foundation_Calc!$V$117:$X$151,VLOOKUP(AX317,Foundation_Calc!$I$10:$J$13,2,FALSE),0),"")))</f>
        <v/>
      </c>
      <c r="N317" s="449"/>
      <c r="O317" s="449"/>
      <c r="P317" s="449"/>
      <c r="Q317" s="4"/>
      <c r="R317" s="6"/>
      <c r="S317" s="6"/>
      <c r="T317" s="4"/>
      <c r="U317" s="4"/>
      <c r="V317" s="4"/>
      <c r="W317" s="9"/>
      <c r="X317" s="9"/>
      <c r="Y317" s="9"/>
      <c r="Z317" s="9"/>
      <c r="AA317" s="9"/>
      <c r="AB317" s="9"/>
      <c r="AC317" s="449" t="str">
        <f t="shared" si="37"/>
        <v/>
      </c>
      <c r="AD317" s="449"/>
      <c r="AE317" s="449"/>
      <c r="AF317" s="4"/>
      <c r="AG317" s="83"/>
      <c r="AH317" s="4"/>
      <c r="AI317" s="4"/>
      <c r="AJ317" s="449"/>
      <c r="AK317" s="449"/>
      <c r="AL317" s="449"/>
      <c r="AM317" s="449"/>
      <c r="AN317" s="10"/>
      <c r="AO317" s="9"/>
      <c r="AP317" s="9"/>
      <c r="AQ317" s="9">
        <f>+FL_1($T$318,$T$316,$G$317,1200,9.28,-1*$F$318)</f>
        <v>0.36839079999999996</v>
      </c>
      <c r="AR317" s="9"/>
      <c r="AS317" s="9"/>
      <c r="AT317" s="9"/>
      <c r="AU317" s="428"/>
      <c r="AV317" s="428"/>
      <c r="AW317" s="449" t="str">
        <f>IF(C317&gt;0,VLOOKUP(C317,Foundation_Calc!$A$2:$C$13,3,1),
IF(J317&gt;0,VLOOKUP(J317,Foundation_Calc!$A$2:$C$13,3,1),""))</f>
        <v>Multi Soil</v>
      </c>
      <c r="AX317" s="449" t="str">
        <f>IF(C317&gt;0,VLOOKUP(C317,Foundation_Calc!$E$2:$G$33,3,1),
IF(J317&gt;0,VLOOKUP(J317,Foundation_Calc!$E$2:$G$33,3,1),""))</f>
        <v>PT</v>
      </c>
      <c r="AY317" s="10" t="str">
        <f>IF(L317="","",
IF(AX317="PT",VLOOKUP(L317,Foundation_Calc!$K$79:$R$113,VLOOKUP(AW317,Foundation_Calc!$I$2:$J$8,2,FALSE),0),
IF(AX317="K",VLOOKUP(L317,Foundation_Calc!$K$117:$R$151,VLOOKUP(AW317,Foundation_Calc!$I$2:$J$8,2,FALSE),0),"")))</f>
        <v/>
      </c>
      <c r="AZ317" s="10">
        <f>IF(K317="","",
IF(AX317="PT",VLOOKUP(K317,Foundation_Calc!$K$79:$R$113,VLOOKUP(AW317,Foundation_Calc!$I$2:$J$8,2,FALSE),0),
IF(AX317="K",VLOOKUP(K317,Foundation_Calc!$K$117:$R$151,VLOOKUP(AW317,Foundation_Calc!$I$2:$J$8,2,FALSE),0),"")))</f>
        <v>3.9</v>
      </c>
      <c r="BA317" s="495" t="str">
        <f t="shared" si="38"/>
        <v/>
      </c>
      <c r="BB317" s="495" t="str">
        <f t="shared" si="39"/>
        <v>ü</v>
      </c>
      <c r="BC317" s="495" t="str">
        <f t="shared" si="40"/>
        <v/>
      </c>
      <c r="BD317" s="513" t="str">
        <f>IF(AND(L317="",H317=""),"",
IF(H317="",Pole_Calc!A$9,
IF(H317="MP",Pole_Calc!A$10,
IF(H317="AnMP",Pole_Calc!A$11,
IF(H317="A",Pole_Calc!A$12,
IF(H317="S/A",Pole_Calc!A$13,
IF(H317="A/S",Pole_Calc!A$14,"Poner a mano")))))))</f>
        <v/>
      </c>
      <c r="BE317" s="429" t="s">
        <v>118</v>
      </c>
      <c r="BF317" s="290"/>
      <c r="BG317" s="290"/>
      <c r="BH317" s="290"/>
      <c r="BI317" s="290"/>
    </row>
    <row r="318" spans="1:61" ht="16.149999999999999" customHeight="1">
      <c r="A318" s="514"/>
      <c r="B318" s="450" t="s">
        <v>355</v>
      </c>
      <c r="C318" s="3">
        <f>+$C$316+$G$317</f>
        <v>37899.649999999987</v>
      </c>
      <c r="D318" s="83"/>
      <c r="E318" s="4"/>
      <c r="F318" s="4">
        <f>IF(C318&gt;0,VLOOKUP(C318,'ALIGNMENT TRACK'!$A$1:$K$81,9,1))</f>
        <v>0</v>
      </c>
      <c r="G318" s="6"/>
      <c r="H318" s="449"/>
      <c r="I318" s="4"/>
      <c r="J318" s="3"/>
      <c r="K318" s="449"/>
      <c r="L318" s="449" t="s">
        <v>153</v>
      </c>
      <c r="M318" s="449" t="str">
        <f>IF(L318="","",
IF(AX318="PT",VLOOKUP(L318,Foundation_Calc!$V$79:$X$113,VLOOKUP(AX318,Foundation_Calc!$I$10:$J$13,2,FALSE),0),
IF(AX318="K",VLOOKUP(L318,Foundation_Calc!$V$117:$X$151,VLOOKUP(AX318,Foundation_Calc!$I$10:$J$13,2,FALSE),0),"")))</f>
        <v>C3R</v>
      </c>
      <c r="N318" s="449" t="s">
        <v>134</v>
      </c>
      <c r="O318" s="449"/>
      <c r="P318" s="449"/>
      <c r="Q318" s="4"/>
      <c r="R318" s="6"/>
      <c r="S318" s="6"/>
      <c r="T318" s="4">
        <v>35</v>
      </c>
      <c r="U318" s="4"/>
      <c r="V318" s="4"/>
      <c r="W318" s="9">
        <v>1.4</v>
      </c>
      <c r="X318" s="9"/>
      <c r="Y318" s="9"/>
      <c r="Z318" s="9"/>
      <c r="AA318" s="9"/>
      <c r="AB318" s="9"/>
      <c r="AC318" s="449" t="str">
        <f t="shared" si="37"/>
        <v>PHQ</v>
      </c>
      <c r="AD318" s="449"/>
      <c r="AE318" s="449"/>
      <c r="AF318" s="4"/>
      <c r="AG318" s="83"/>
      <c r="AH318" s="4"/>
      <c r="AI318" s="4"/>
      <c r="AJ318" s="449"/>
      <c r="AK318" s="449"/>
      <c r="AL318" s="449"/>
      <c r="AM318" s="449" t="s">
        <v>126</v>
      </c>
      <c r="AN318" s="10">
        <v>5.5</v>
      </c>
      <c r="AO318" s="9"/>
      <c r="AP318" s="9"/>
      <c r="AQ318" s="9"/>
      <c r="AR318" s="9"/>
      <c r="AS318" s="9"/>
      <c r="AT318" s="9">
        <f>+ab($T$318,$T$316,$T$320,$G$317,$G$319,-1*$F$318,1200)</f>
        <v>7.1424146886693025</v>
      </c>
      <c r="AU318" s="428"/>
      <c r="AV318" s="428"/>
      <c r="AW318" s="449" t="str">
        <f>IF(C318&gt;0,VLOOKUP(C318,Foundation_Calc!$A$2:$C$13,3,1),
IF(J318&gt;0,VLOOKUP(J318,Foundation_Calc!$A$2:$C$13,3,1),""))</f>
        <v>Multi Soil</v>
      </c>
      <c r="AX318" s="449" t="str">
        <f>IF(C318&gt;0,VLOOKUP(C318,Foundation_Calc!$E$2:$G$33,3,1),
IF(J318&gt;0,VLOOKUP(J318,Foundation_Calc!$E$2:$G$33,3,1),""))</f>
        <v>PT</v>
      </c>
      <c r="AY318" s="10">
        <f>IF(L318="","",
IF(AX318="PT",VLOOKUP(L318,Foundation_Calc!$K$79:$R$113,VLOOKUP(AW318,Foundation_Calc!$I$2:$J$8,2,FALSE),0),
IF(AX318="K",VLOOKUP(L318,Foundation_Calc!$K$117:$R$151,VLOOKUP(AW318,Foundation_Calc!$I$2:$J$8,2,FALSE),0),"")))</f>
        <v>3.5</v>
      </c>
      <c r="AZ318" s="10" t="str">
        <f>IF(K318="","",
IF(AX318="PT",VLOOKUP(K318,Foundation_Calc!$K$79:$R$113,VLOOKUP(AW318,Foundation_Calc!$I$2:$J$8,2,FALSE),0),
IF(AX318="K",VLOOKUP(K318,Foundation_Calc!$K$117:$R$151,VLOOKUP(AW318,Foundation_Calc!$I$2:$J$8,2,FALSE),0),"")))</f>
        <v/>
      </c>
      <c r="BA318" s="495" t="str">
        <f t="shared" si="38"/>
        <v>ü</v>
      </c>
      <c r="BB318" s="495" t="str">
        <f t="shared" si="39"/>
        <v/>
      </c>
      <c r="BC318" s="495" t="str">
        <f t="shared" si="40"/>
        <v/>
      </c>
      <c r="BD318" s="513" t="str">
        <f>IF(AND(L318="",H318=""),"",
IF(H318="",Pole_Calc!A$9,
IF(H318="MP",Pole_Calc!A$10,
IF(H318="AnMP",Pole_Calc!A$11,
IF(H318="A",Pole_Calc!A$12,
IF(H318="S/A",Pole_Calc!A$13,
IF(H318="A/S",Pole_Calc!A$14,"Poner a mano")))))))</f>
        <v>App.7-V11I-P9.5.1.1</v>
      </c>
      <c r="BE318" s="429" t="s">
        <v>118</v>
      </c>
      <c r="BF318" s="289"/>
      <c r="BG318" s="289"/>
      <c r="BH318" s="290"/>
      <c r="BI318" s="289"/>
    </row>
    <row r="319" spans="1:61" ht="16.149999999999999" customHeight="1">
      <c r="A319" s="514"/>
      <c r="B319" s="450"/>
      <c r="C319" s="3"/>
      <c r="D319" s="83"/>
      <c r="E319" s="4"/>
      <c r="F319" s="4"/>
      <c r="G319" s="6">
        <v>55</v>
      </c>
      <c r="H319" s="449"/>
      <c r="I319" s="4"/>
      <c r="J319" s="3"/>
      <c r="K319" s="449"/>
      <c r="L319" s="449"/>
      <c r="M319" s="449" t="str">
        <f>IF(L319="","",
IF(AX319="PT",VLOOKUP(L319,Foundation_Calc!$V$79:$X$113,VLOOKUP(AX319,Foundation_Calc!$I$10:$J$13,2,FALSE),0),
IF(AX319="K",VLOOKUP(L319,Foundation_Calc!$V$117:$X$151,VLOOKUP(AX319,Foundation_Calc!$I$10:$J$13,2,FALSE),0),"")))</f>
        <v/>
      </c>
      <c r="N319" s="449"/>
      <c r="O319" s="449"/>
      <c r="P319" s="449"/>
      <c r="Q319" s="4"/>
      <c r="R319" s="6"/>
      <c r="S319" s="6"/>
      <c r="T319" s="4"/>
      <c r="U319" s="4"/>
      <c r="V319" s="4"/>
      <c r="W319" s="9"/>
      <c r="X319" s="9"/>
      <c r="Y319" s="9"/>
      <c r="Z319" s="9"/>
      <c r="AA319" s="9"/>
      <c r="AB319" s="9"/>
      <c r="AC319" s="449" t="str">
        <f t="shared" si="37"/>
        <v/>
      </c>
      <c r="AD319" s="449"/>
      <c r="AE319" s="449"/>
      <c r="AF319" s="4"/>
      <c r="AG319" s="83"/>
      <c r="AH319" s="4"/>
      <c r="AI319" s="4"/>
      <c r="AJ319" s="449"/>
      <c r="AK319" s="449"/>
      <c r="AL319" s="449"/>
      <c r="AM319" s="449"/>
      <c r="AN319" s="10"/>
      <c r="AO319" s="9"/>
      <c r="AP319" s="9"/>
      <c r="AQ319" s="9">
        <f>+FL_1($T$320,$T$318,$G$319,1200,9.28,-1*$F$320)</f>
        <v>0.39714735709090898</v>
      </c>
      <c r="AR319" s="9"/>
      <c r="AS319" s="9"/>
      <c r="AT319" s="9"/>
      <c r="AU319" s="428"/>
      <c r="AV319" s="428"/>
      <c r="AW319" s="449" t="str">
        <f>IF(C319&gt;0,VLOOKUP(C319,Foundation_Calc!$A$2:$C$13,3,1),
IF(J319&gt;0,VLOOKUP(J319,Foundation_Calc!$A$2:$C$13,3,1),""))</f>
        <v/>
      </c>
      <c r="AX319" s="449" t="str">
        <f>IF(C319&gt;0,VLOOKUP(C319,Foundation_Calc!$E$2:$G$33,3,1),
IF(J319&gt;0,VLOOKUP(J319,Foundation_Calc!$E$2:$G$33,3,1),""))</f>
        <v/>
      </c>
      <c r="AY319" s="10" t="str">
        <f>IF(L319="","",
IF(AX319="PT",VLOOKUP(L319,Foundation_Calc!$K$79:$R$113,VLOOKUP(AW319,Foundation_Calc!$I$2:$J$8,2,FALSE),0),
IF(AX319="K",VLOOKUP(L319,Foundation_Calc!$K$117:$R$151,VLOOKUP(AW319,Foundation_Calc!$I$2:$J$8,2,FALSE),0),"")))</f>
        <v/>
      </c>
      <c r="AZ319" s="10" t="str">
        <f>IF(K319="","",
IF(AX319="PT",VLOOKUP(K319,Foundation_Calc!$K$79:$R$113,VLOOKUP(AW319,Foundation_Calc!$I$2:$J$8,2,FALSE),0),
IF(AX319="K",VLOOKUP(K319,Foundation_Calc!$K$117:$R$151,VLOOKUP(AW319,Foundation_Calc!$I$2:$J$8,2,FALSE),0),"")))</f>
        <v/>
      </c>
      <c r="BA319" s="495" t="str">
        <f t="shared" si="38"/>
        <v/>
      </c>
      <c r="BB319" s="495" t="str">
        <f t="shared" si="39"/>
        <v/>
      </c>
      <c r="BC319" s="495" t="str">
        <f t="shared" si="40"/>
        <v/>
      </c>
      <c r="BD319" s="513" t="str">
        <f>IF(AND(L319="",H319=""),"",
IF(H319="",Pole_Calc!A$9,
IF(H319="MP",Pole_Calc!A$10,
IF(H319="AnMP",Pole_Calc!A$11,
IF(H319="A",Pole_Calc!A$12,
IF(H319="S/A",Pole_Calc!A$13,
IF(H319="A/S",Pole_Calc!A$14,"Poner a mano")))))))</f>
        <v/>
      </c>
      <c r="BE319" s="429" t="s">
        <v>118</v>
      </c>
      <c r="BF319" s="290"/>
      <c r="BG319" s="290"/>
      <c r="BH319" s="290"/>
      <c r="BI319" s="290"/>
    </row>
    <row r="320" spans="1:61" ht="16.149999999999999" customHeight="1">
      <c r="A320" s="514"/>
      <c r="B320" s="450" t="s">
        <v>356</v>
      </c>
      <c r="C320" s="3">
        <f>+$C$318+$G$319</f>
        <v>37954.649999999987</v>
      </c>
      <c r="D320" s="83"/>
      <c r="E320" s="4"/>
      <c r="F320" s="4">
        <f>IF(C320&gt;0,VLOOKUP(C320,'ALIGNMENT TRACK'!$A$1:$K$81,9,1))</f>
        <v>0</v>
      </c>
      <c r="G320" s="6"/>
      <c r="H320" s="449"/>
      <c r="I320" s="4"/>
      <c r="J320" s="3"/>
      <c r="K320" s="449"/>
      <c r="L320" s="449" t="s">
        <v>153</v>
      </c>
      <c r="M320" s="449" t="str">
        <f>IF(L320="","",
IF(AX320="PT",VLOOKUP(L320,Foundation_Calc!$V$79:$X$113,VLOOKUP(AX320,Foundation_Calc!$I$10:$J$13,2,FALSE),0),
IF(AX320="K",VLOOKUP(L320,Foundation_Calc!$V$117:$X$151,VLOOKUP(AX320,Foundation_Calc!$I$10:$J$13,2,FALSE),0),"")))</f>
        <v>C3R</v>
      </c>
      <c r="N320" s="449" t="s">
        <v>124</v>
      </c>
      <c r="O320" s="449"/>
      <c r="P320" s="449"/>
      <c r="Q320" s="4"/>
      <c r="R320" s="6"/>
      <c r="S320" s="6"/>
      <c r="T320" s="4">
        <v>-35</v>
      </c>
      <c r="U320" s="4"/>
      <c r="V320" s="4"/>
      <c r="W320" s="9">
        <v>1.4</v>
      </c>
      <c r="X320" s="9"/>
      <c r="Y320" s="9"/>
      <c r="Z320" s="9"/>
      <c r="AA320" s="9"/>
      <c r="AB320" s="9"/>
      <c r="AC320" s="449" t="str">
        <f t="shared" si="37"/>
        <v>PHQ</v>
      </c>
      <c r="AD320" s="449"/>
      <c r="AE320" s="449"/>
      <c r="AF320" s="4"/>
      <c r="AG320" s="83"/>
      <c r="AH320" s="4"/>
      <c r="AI320" s="4"/>
      <c r="AJ320" s="449"/>
      <c r="AK320" s="449"/>
      <c r="AL320" s="449"/>
      <c r="AM320" s="449" t="s">
        <v>126</v>
      </c>
      <c r="AN320" s="10">
        <v>5.5</v>
      </c>
      <c r="AO320" s="9"/>
      <c r="AP320" s="9"/>
      <c r="AQ320" s="9"/>
      <c r="AR320" s="9"/>
      <c r="AS320" s="9"/>
      <c r="AT320" s="9">
        <f>+ab($T$320,$T$318,$T$322,$G$319,$G$321,-1*$F$320,1200)</f>
        <v>-7.495600280563588</v>
      </c>
      <c r="AU320" s="428"/>
      <c r="AV320" s="428"/>
      <c r="AW320" s="449" t="str">
        <f>IF(C320&gt;0,VLOOKUP(C320,Foundation_Calc!$A$2:$C$13,3,1),
IF(J320&gt;0,VLOOKUP(J320,Foundation_Calc!$A$2:$C$13,3,1),""))</f>
        <v>Multi Soil</v>
      </c>
      <c r="AX320" s="449" t="str">
        <f>IF(C320&gt;0,VLOOKUP(C320,Foundation_Calc!$E$2:$G$33,3,1),
IF(J320&gt;0,VLOOKUP(J320,Foundation_Calc!$E$2:$G$33,3,1),""))</f>
        <v>PT</v>
      </c>
      <c r="AY320" s="10">
        <f>IF(L320="","",
IF(AX320="PT",VLOOKUP(L320,Foundation_Calc!$K$79:$R$113,VLOOKUP(AW320,Foundation_Calc!$I$2:$J$8,2,FALSE),0),
IF(AX320="K",VLOOKUP(L320,Foundation_Calc!$K$117:$R$151,VLOOKUP(AW320,Foundation_Calc!$I$2:$J$8,2,FALSE),0),"")))</f>
        <v>3.5</v>
      </c>
      <c r="AZ320" s="10" t="str">
        <f>IF(K320="","",
IF(AX320="PT",VLOOKUP(K320,Foundation_Calc!$K$79:$R$113,VLOOKUP(AW320,Foundation_Calc!$I$2:$J$8,2,FALSE),0),
IF(AX320="K",VLOOKUP(K320,Foundation_Calc!$K$117:$R$151,VLOOKUP(AW320,Foundation_Calc!$I$2:$J$8,2,FALSE),0),"")))</f>
        <v/>
      </c>
      <c r="BA320" s="495" t="str">
        <f t="shared" si="38"/>
        <v>ü</v>
      </c>
      <c r="BB320" s="495" t="str">
        <f t="shared" si="39"/>
        <v/>
      </c>
      <c r="BC320" s="495" t="str">
        <f t="shared" si="40"/>
        <v/>
      </c>
      <c r="BD320" s="513" t="str">
        <f>IF(AND(L320="",H320=""),"",
IF(H320="",Pole_Calc!A$9,
IF(H320="MP",Pole_Calc!A$10,
IF(H320="AnMP",Pole_Calc!A$11,
IF(H320="A",Pole_Calc!A$12,
IF(H320="S/A",Pole_Calc!A$13,
IF(H320="A/S",Pole_Calc!A$14,"Poner a mano")))))))</f>
        <v>App.7-V11I-P9.5.1.1</v>
      </c>
      <c r="BE320" s="429" t="s">
        <v>118</v>
      </c>
      <c r="BF320" s="289"/>
      <c r="BG320" s="289"/>
      <c r="BH320" s="290"/>
      <c r="BI320" s="289"/>
    </row>
    <row r="321" spans="1:61" ht="16.149999999999999" customHeight="1">
      <c r="A321" s="514"/>
      <c r="B321" s="450"/>
      <c r="C321" s="3"/>
      <c r="D321" s="83"/>
      <c r="E321" s="4"/>
      <c r="F321" s="4"/>
      <c r="G321" s="6">
        <v>55</v>
      </c>
      <c r="H321" s="449"/>
      <c r="I321" s="4"/>
      <c r="J321" s="3"/>
      <c r="K321" s="449"/>
      <c r="L321" s="449"/>
      <c r="M321" s="449" t="str">
        <f>IF(L321="","",
IF(AX321="PT",VLOOKUP(L321,Foundation_Calc!$V$79:$X$113,VLOOKUP(AX321,Foundation_Calc!$I$10:$J$13,2,FALSE),0),
IF(AX321="K",VLOOKUP(L321,Foundation_Calc!$V$117:$X$151,VLOOKUP(AX321,Foundation_Calc!$I$10:$J$13,2,FALSE),0),"")))</f>
        <v/>
      </c>
      <c r="N321" s="449"/>
      <c r="O321" s="449"/>
      <c r="P321" s="449"/>
      <c r="Q321" s="4"/>
      <c r="R321" s="6"/>
      <c r="S321" s="6"/>
      <c r="T321" s="4"/>
      <c r="U321" s="4"/>
      <c r="V321" s="4"/>
      <c r="W321" s="9"/>
      <c r="X321" s="9"/>
      <c r="Y321" s="9"/>
      <c r="Z321" s="9"/>
      <c r="AA321" s="9"/>
      <c r="AB321" s="9"/>
      <c r="AC321" s="449" t="str">
        <f t="shared" si="37"/>
        <v/>
      </c>
      <c r="AD321" s="449"/>
      <c r="AE321" s="449"/>
      <c r="AF321" s="4"/>
      <c r="AG321" s="83"/>
      <c r="AH321" s="4"/>
      <c r="AI321" s="4"/>
      <c r="AJ321" s="449"/>
      <c r="AK321" s="449"/>
      <c r="AL321" s="449"/>
      <c r="AM321" s="449"/>
      <c r="AN321" s="10"/>
      <c r="AO321" s="9"/>
      <c r="AP321" s="9"/>
      <c r="AQ321" s="9">
        <f>+FL_2($T$322,$T$320,$G$321,1200,9.28,-1*$F$322)</f>
        <v>-0.39714735709090898</v>
      </c>
      <c r="AR321" s="9"/>
      <c r="AS321" s="9"/>
      <c r="AT321" s="9"/>
      <c r="AU321" s="428"/>
      <c r="AV321" s="428"/>
      <c r="AW321" s="449" t="str">
        <f>IF(C321&gt;0,VLOOKUP(C321,Foundation_Calc!$A$2:$C$13,3,1),
IF(J321&gt;0,VLOOKUP(J321,Foundation_Calc!$A$2:$C$13,3,1),""))</f>
        <v/>
      </c>
      <c r="AX321" s="449" t="str">
        <f>IF(C321&gt;0,VLOOKUP(C321,Foundation_Calc!$E$2:$G$33,3,1),
IF(J321&gt;0,VLOOKUP(J321,Foundation_Calc!$E$2:$G$33,3,1),""))</f>
        <v/>
      </c>
      <c r="AY321" s="10" t="str">
        <f>IF(L321="","",
IF(AX321="PT",VLOOKUP(L321,Foundation_Calc!$K$79:$R$113,VLOOKUP(AW321,Foundation_Calc!$I$2:$J$8,2,FALSE),0),
IF(AX321="K",VLOOKUP(L321,Foundation_Calc!$K$117:$R$151,VLOOKUP(AW321,Foundation_Calc!$I$2:$J$8,2,FALSE),0),"")))</f>
        <v/>
      </c>
      <c r="AZ321" s="10" t="str">
        <f>IF(K321="","",
IF(AX321="PT",VLOOKUP(K321,Foundation_Calc!$K$79:$R$113,VLOOKUP(AW321,Foundation_Calc!$I$2:$J$8,2,FALSE),0),
IF(AX321="K",VLOOKUP(K321,Foundation_Calc!$K$117:$R$151,VLOOKUP(AW321,Foundation_Calc!$I$2:$J$8,2,FALSE),0),"")))</f>
        <v/>
      </c>
      <c r="BA321" s="495"/>
      <c r="BB321" s="495"/>
      <c r="BC321" s="495"/>
      <c r="BD321" s="513" t="str">
        <f>IF(AND(L321="",H321=""),"",
IF(H321="",Pole_Calc!A$9,
IF(H321="MP",Pole_Calc!A$10,
IF(H321="AnMP",Pole_Calc!A$11,
IF(H321="A",Pole_Calc!A$12,
IF(H321="S/A",Pole_Calc!A$13,
IF(H321="A/S",Pole_Calc!A$14,"Poner a mano")))))))</f>
        <v/>
      </c>
      <c r="BE321" s="429" t="s">
        <v>118</v>
      </c>
      <c r="BF321" s="290"/>
      <c r="BG321" s="290"/>
      <c r="BH321" s="290"/>
      <c r="BI321" s="290"/>
    </row>
    <row r="322" spans="1:61" ht="16.149999999999999" customHeight="1">
      <c r="A322" s="514"/>
      <c r="B322" s="450" t="s">
        <v>357</v>
      </c>
      <c r="C322" s="3">
        <f>+$C$320+$G$321</f>
        <v>38009.649999999987</v>
      </c>
      <c r="D322" s="83"/>
      <c r="E322" s="4"/>
      <c r="F322" s="4">
        <f>IF(C322&gt;0,VLOOKUP(C322,'ALIGNMENT TRACK'!$A$1:$K$81,9,1))</f>
        <v>0</v>
      </c>
      <c r="G322" s="6"/>
      <c r="H322" s="449"/>
      <c r="I322" s="4"/>
      <c r="J322" s="3"/>
      <c r="K322" s="449"/>
      <c r="L322" s="449" t="s">
        <v>153</v>
      </c>
      <c r="M322" s="449" t="str">
        <f>IF(L322="","",
IF(AX322="PT",VLOOKUP(L322,Foundation_Calc!$V$79:$X$113,VLOOKUP(AX322,Foundation_Calc!$I$10:$J$13,2,FALSE),0),
IF(AX322="K",VLOOKUP(L322,Foundation_Calc!$V$117:$X$151,VLOOKUP(AX322,Foundation_Calc!$I$10:$J$13,2,FALSE),0),"")))</f>
        <v>C3R</v>
      </c>
      <c r="N322" s="449" t="s">
        <v>134</v>
      </c>
      <c r="O322" s="449"/>
      <c r="P322" s="449"/>
      <c r="Q322" s="4"/>
      <c r="R322" s="6"/>
      <c r="S322" s="6"/>
      <c r="T322" s="4">
        <v>35</v>
      </c>
      <c r="U322" s="4"/>
      <c r="V322" s="4"/>
      <c r="W322" s="9">
        <v>1.4</v>
      </c>
      <c r="X322" s="9"/>
      <c r="Y322" s="9"/>
      <c r="Z322" s="9"/>
      <c r="AA322" s="9"/>
      <c r="AB322" s="9"/>
      <c r="AC322" s="449" t="str">
        <f t="shared" si="37"/>
        <v>PH</v>
      </c>
      <c r="AD322" s="449"/>
      <c r="AE322" s="449"/>
      <c r="AF322" s="4"/>
      <c r="AG322" s="83"/>
      <c r="AH322" s="4"/>
      <c r="AI322" s="4"/>
      <c r="AJ322" s="449"/>
      <c r="AK322" s="449"/>
      <c r="AL322" s="449"/>
      <c r="AM322" s="449" t="s">
        <v>126</v>
      </c>
      <c r="AN322" s="10">
        <v>5.5</v>
      </c>
      <c r="AO322" s="9"/>
      <c r="AP322" s="9"/>
      <c r="AQ322" s="9"/>
      <c r="AR322" s="9"/>
      <c r="AS322" s="9"/>
      <c r="AT322" s="9">
        <f>+ab($T$322,$T$320,$T$324,$G$321,$G$323,-1*$F$322,1200)</f>
        <v>12.021652240817875</v>
      </c>
      <c r="AU322" s="428"/>
      <c r="AV322" s="428"/>
      <c r="AW322" s="449" t="str">
        <f>IF(C322&gt;0,VLOOKUP(C322,Foundation_Calc!$A$2:$C$13,3,1),
IF(J322&gt;0,VLOOKUP(J322,Foundation_Calc!$A$2:$C$13,3,1),""))</f>
        <v>Multi Soil</v>
      </c>
      <c r="AX322" s="449" t="str">
        <f>IF(C322&gt;0,VLOOKUP(C322,Foundation_Calc!$E$2:$G$33,3,1),
IF(J322&gt;0,VLOOKUP(J322,Foundation_Calc!$E$2:$G$33,3,1),""))</f>
        <v>PT</v>
      </c>
      <c r="AY322" s="10">
        <f>IF(L322="","",
IF(AX322="PT",VLOOKUP(L322,Foundation_Calc!$K$79:$R$113,VLOOKUP(AW322,Foundation_Calc!$I$2:$J$8,2,FALSE),0),
IF(AX322="K",VLOOKUP(L322,Foundation_Calc!$K$117:$R$151,VLOOKUP(AW322,Foundation_Calc!$I$2:$J$8,2,FALSE),0),"")))</f>
        <v>3.5</v>
      </c>
      <c r="AZ322" s="10" t="str">
        <f>IF(K322="","",
IF(AX322="PT",VLOOKUP(K322,Foundation_Calc!$K$79:$R$113,VLOOKUP(AW322,Foundation_Calc!$I$2:$J$8,2,FALSE),0),
IF(AX322="K",VLOOKUP(K322,Foundation_Calc!$K$117:$R$151,VLOOKUP(AW322,Foundation_Calc!$I$2:$J$8,2,FALSE),0),"")))</f>
        <v/>
      </c>
      <c r="BA322" s="495"/>
      <c r="BB322" s="495"/>
      <c r="BC322" s="495"/>
      <c r="BD322" s="513" t="str">
        <f>IF(AND(L322="",H322=""),"",
IF(H322="",Pole_Calc!A$9,
IF(H322="MP",Pole_Calc!A$10,
IF(H322="AnMP",Pole_Calc!A$11,
IF(H322="A",Pole_Calc!A$12,
IF(H322="S/A",Pole_Calc!A$13,
IF(H322="A/S",Pole_Calc!A$14,"Poner a mano")))))))</f>
        <v>App.7-V11I-P9.5.1.1</v>
      </c>
      <c r="BE322" s="429" t="s">
        <v>118</v>
      </c>
      <c r="BF322" s="289"/>
      <c r="BG322" s="289"/>
      <c r="BH322" s="290"/>
      <c r="BI322" s="289"/>
    </row>
    <row r="323" spans="1:61" ht="16.149999999999999" customHeight="1">
      <c r="A323" s="514"/>
      <c r="B323" s="450"/>
      <c r="C323" s="3"/>
      <c r="D323" s="83"/>
      <c r="E323" s="4"/>
      <c r="F323" s="4"/>
      <c r="G323" s="6">
        <v>50</v>
      </c>
      <c r="H323" s="449"/>
      <c r="I323" s="4"/>
      <c r="J323" s="3"/>
      <c r="K323" s="449"/>
      <c r="L323" s="449"/>
      <c r="M323" s="449" t="str">
        <f>IF(L323="","",
IF(AX323="PT",VLOOKUP(L323,Foundation_Calc!$V$79:$X$113,VLOOKUP(AX323,Foundation_Calc!$I$10:$J$13,2,FALSE),0),
IF(AX323="K",VLOOKUP(L323,Foundation_Calc!$V$117:$X$151,VLOOKUP(AX323,Foundation_Calc!$I$10:$J$13,2,FALSE),0),"")))</f>
        <v/>
      </c>
      <c r="N323" s="449"/>
      <c r="O323" s="449"/>
      <c r="P323" s="449"/>
      <c r="Q323" s="4"/>
      <c r="R323" s="6"/>
      <c r="S323" s="6"/>
      <c r="T323" s="4"/>
      <c r="U323" s="4"/>
      <c r="V323" s="4"/>
      <c r="W323" s="9"/>
      <c r="X323" s="9"/>
      <c r="Y323" s="9"/>
      <c r="Z323" s="9"/>
      <c r="AA323" s="9"/>
      <c r="AB323" s="9"/>
      <c r="AC323" s="449" t="str">
        <f t="shared" ref="AC323:AC386" si="41">IF(OR(AT323&gt;8,AT323&lt;-8),"PH",
IF(OR(AT323&gt;5,AT323&lt;-5),"PHQ",
IF(OR(AT323&gt;1,AT323&lt;-1),
"PHC","")))</f>
        <v/>
      </c>
      <c r="AD323" s="449"/>
      <c r="AE323" s="449"/>
      <c r="AF323" s="4"/>
      <c r="AG323" s="83"/>
      <c r="AH323" s="4"/>
      <c r="AI323" s="4"/>
      <c r="AJ323" s="449"/>
      <c r="AK323" s="449"/>
      <c r="AL323" s="449"/>
      <c r="AM323" s="449"/>
      <c r="AN323" s="10"/>
      <c r="AO323" s="9"/>
      <c r="AP323" s="9"/>
      <c r="AQ323" s="9">
        <f>+FL_1($T$324,$T$322,$G$323,1200,9.28,-1*$F$324)</f>
        <v>0.45184390176541755</v>
      </c>
      <c r="AR323" s="9"/>
      <c r="AS323" s="9"/>
      <c r="AT323" s="9"/>
      <c r="AU323" s="428"/>
      <c r="AV323" s="428"/>
      <c r="AW323" s="449" t="str">
        <f>IF(C323&gt;0,VLOOKUP(C323,Foundation_Calc!$A$2:$C$13,3,1),
IF(J323&gt;0,VLOOKUP(J323,Foundation_Calc!$A$2:$C$13,3,1),""))</f>
        <v/>
      </c>
      <c r="AX323" s="449" t="str">
        <f>IF(C323&gt;0,VLOOKUP(C323,Foundation_Calc!$E$2:$G$33,3,1),
IF(J323&gt;0,VLOOKUP(J323,Foundation_Calc!$E$2:$G$33,3,1),""))</f>
        <v/>
      </c>
      <c r="AY323" s="10" t="str">
        <f>IF(L323="","",
IF(AX323="PT",VLOOKUP(L323,Foundation_Calc!$K$79:$R$113,VLOOKUP(AW323,Foundation_Calc!$I$2:$J$8,2,FALSE),0),
IF(AX323="K",VLOOKUP(L323,Foundation_Calc!$K$117:$R$151,VLOOKUP(AW323,Foundation_Calc!$I$2:$J$8,2,FALSE),0),"")))</f>
        <v/>
      </c>
      <c r="AZ323" s="10" t="str">
        <f>IF(K323="","",
IF(AX323="PT",VLOOKUP(K323,Foundation_Calc!$K$79:$R$113,VLOOKUP(AW323,Foundation_Calc!$I$2:$J$8,2,FALSE),0),
IF(AX323="K",VLOOKUP(K323,Foundation_Calc!$K$117:$R$151,VLOOKUP(AW323,Foundation_Calc!$I$2:$J$8,2,FALSE),0),"")))</f>
        <v/>
      </c>
      <c r="BA323" s="495" t="str">
        <f t="shared" si="38"/>
        <v/>
      </c>
      <c r="BB323" s="495" t="str">
        <f t="shared" si="39"/>
        <v/>
      </c>
      <c r="BC323" s="495" t="str">
        <f t="shared" si="40"/>
        <v/>
      </c>
      <c r="BD323" s="513" t="str">
        <f>IF(AND(L323="",H323=""),"",
IF(H323="",Pole_Calc!A$9,
IF(H323="MP",Pole_Calc!A$10,
IF(H323="AnMP",Pole_Calc!A$11,
IF(H323="A",Pole_Calc!A$12,
IF(H323="S/A",Pole_Calc!A$13,
IF(H323="A/S",Pole_Calc!A$14,"Poner a mano")))))))</f>
        <v/>
      </c>
      <c r="BE323" s="429" t="s">
        <v>118</v>
      </c>
      <c r="BF323" s="290"/>
      <c r="BG323" s="290"/>
      <c r="BH323" s="290"/>
      <c r="BI323" s="290"/>
    </row>
    <row r="324" spans="1:61" ht="16.149999999999999" customHeight="1">
      <c r="A324" s="514"/>
      <c r="B324" s="450" t="s">
        <v>358</v>
      </c>
      <c r="C324" s="3">
        <f>+$C$322+$G$323</f>
        <v>38059.649999999987</v>
      </c>
      <c r="D324" s="83"/>
      <c r="E324" s="4"/>
      <c r="F324" s="4">
        <f>-(346^2)/(C324-38031.62)</f>
        <v>-4270.9953621144177</v>
      </c>
      <c r="G324" s="6"/>
      <c r="H324" s="449"/>
      <c r="I324" s="4"/>
      <c r="J324" s="3"/>
      <c r="K324" s="449"/>
      <c r="L324" s="449" t="s">
        <v>153</v>
      </c>
      <c r="M324" s="449" t="str">
        <f>IF(L324="","",
IF(AX324="PT",VLOOKUP(L324,Foundation_Calc!$V$79:$X$113,VLOOKUP(AX324,Foundation_Calc!$I$10:$J$13,2,FALSE),0),
IF(AX324="K",VLOOKUP(L324,Foundation_Calc!$V$117:$X$151,VLOOKUP(AX324,Foundation_Calc!$I$10:$J$13,2,FALSE),0),"")))</f>
        <v>C3R</v>
      </c>
      <c r="N324" s="449" t="s">
        <v>134</v>
      </c>
      <c r="O324" s="449"/>
      <c r="P324" s="449"/>
      <c r="Q324" s="4"/>
      <c r="R324" s="6"/>
      <c r="S324" s="6"/>
      <c r="T324" s="4">
        <v>20</v>
      </c>
      <c r="U324" s="4"/>
      <c r="V324" s="4"/>
      <c r="W324" s="9">
        <v>1.4</v>
      </c>
      <c r="X324" s="9"/>
      <c r="Y324" s="9"/>
      <c r="Z324" s="9"/>
      <c r="AA324" s="9"/>
      <c r="AB324" s="9"/>
      <c r="AC324" s="449" t="str">
        <f t="shared" si="41"/>
        <v>PH</v>
      </c>
      <c r="AD324" s="449"/>
      <c r="AE324" s="449"/>
      <c r="AF324" s="4"/>
      <c r="AG324" s="83"/>
      <c r="AH324" s="4"/>
      <c r="AI324" s="4"/>
      <c r="AJ324" s="449"/>
      <c r="AK324" s="449"/>
      <c r="AL324" s="449"/>
      <c r="AM324" s="449" t="s">
        <v>126</v>
      </c>
      <c r="AN324" s="10">
        <v>5.5</v>
      </c>
      <c r="AO324" s="9"/>
      <c r="AP324" s="9"/>
      <c r="AQ324" s="9"/>
      <c r="AR324" s="9"/>
      <c r="AS324" s="9"/>
      <c r="AT324" s="9">
        <f>+ab($T$324,$T$322,$T$326,$G$323,$G$325,-1*$F$324,1200)</f>
        <v>27.662352624703349</v>
      </c>
      <c r="AU324" s="428"/>
      <c r="AV324" s="428"/>
      <c r="AW324" s="449" t="str">
        <f>IF(C324&gt;0,VLOOKUP(C324,Foundation_Calc!$A$2:$C$13,3,1),
IF(J324&gt;0,VLOOKUP(J324,Foundation_Calc!$A$2:$C$13,3,1),""))</f>
        <v>Multi Soil</v>
      </c>
      <c r="AX324" s="449" t="str">
        <f>IF(C324&gt;0,VLOOKUP(C324,Foundation_Calc!$E$2:$G$33,3,1),
IF(J324&gt;0,VLOOKUP(J324,Foundation_Calc!$E$2:$G$33,3,1),""))</f>
        <v>PT</v>
      </c>
      <c r="AY324" s="10">
        <f>IF(L324="","",
IF(AX324="PT",VLOOKUP(L324,Foundation_Calc!$K$79:$R$113,VLOOKUP(AW324,Foundation_Calc!$I$2:$J$8,2,FALSE),0),
IF(AX324="K",VLOOKUP(L324,Foundation_Calc!$K$117:$R$151,VLOOKUP(AW324,Foundation_Calc!$I$2:$J$8,2,FALSE),0),"")))</f>
        <v>3.5</v>
      </c>
      <c r="AZ324" s="10" t="str">
        <f>IF(K324="","",
IF(AX324="PT",VLOOKUP(K324,Foundation_Calc!$K$79:$R$113,VLOOKUP(AW324,Foundation_Calc!$I$2:$J$8,2,FALSE),0),
IF(AX324="K",VLOOKUP(K324,Foundation_Calc!$K$117:$R$151,VLOOKUP(AW324,Foundation_Calc!$I$2:$J$8,2,FALSE),0),"")))</f>
        <v/>
      </c>
      <c r="BA324" s="495" t="str">
        <f t="shared" si="38"/>
        <v>ü</v>
      </c>
      <c r="BB324" s="495" t="str">
        <f t="shared" si="39"/>
        <v/>
      </c>
      <c r="BC324" s="495" t="str">
        <f t="shared" si="40"/>
        <v/>
      </c>
      <c r="BD324" s="513" t="str">
        <f>IF(AND(L324="",H324=""),"",
IF(H324="",Pole_Calc!A$9,
IF(H324="MP",Pole_Calc!A$10,
IF(H324="AnMP",Pole_Calc!A$11,
IF(H324="A",Pole_Calc!A$12,
IF(H324="S/A",Pole_Calc!A$13,
IF(H324="A/S",Pole_Calc!A$14,"Poner a mano")))))))</f>
        <v>App.7-V11I-P9.5.1.1</v>
      </c>
      <c r="BE324" s="429" t="s">
        <v>118</v>
      </c>
      <c r="BF324" s="289"/>
      <c r="BG324" s="289"/>
      <c r="BH324" s="290"/>
      <c r="BI324" s="289"/>
    </row>
    <row r="325" spans="1:61" ht="16.149999999999999" customHeight="1">
      <c r="A325" s="514"/>
      <c r="B325" s="450"/>
      <c r="C325" s="3"/>
      <c r="D325" s="83"/>
      <c r="E325" s="4"/>
      <c r="F325" s="4"/>
      <c r="G325" s="6">
        <v>48</v>
      </c>
      <c r="H325" s="449"/>
      <c r="I325" s="4"/>
      <c r="J325" s="3">
        <f>C326-7.5</f>
        <v>38100.149999999987</v>
      </c>
      <c r="K325" s="449" t="s">
        <v>166</v>
      </c>
      <c r="L325" s="449"/>
      <c r="M325" s="449" t="str">
        <f>IF(L325="","",
IF(AX325="PT",VLOOKUP(L325,Foundation_Calc!$V$79:$X$113,VLOOKUP(AX325,Foundation_Calc!$I$10:$J$13,2,FALSE),0),
IF(AX325="K",VLOOKUP(L325,Foundation_Calc!$V$117:$X$151,VLOOKUP(AX325,Foundation_Calc!$I$10:$J$13,2,FALSE),0),"")))</f>
        <v/>
      </c>
      <c r="N325" s="449"/>
      <c r="O325" s="449"/>
      <c r="P325" s="449"/>
      <c r="Q325" s="4"/>
      <c r="R325" s="6"/>
      <c r="S325" s="6"/>
      <c r="T325" s="4"/>
      <c r="U325" s="4"/>
      <c r="V325" s="4"/>
      <c r="W325" s="9"/>
      <c r="X325" s="9"/>
      <c r="Y325" s="9"/>
      <c r="Z325" s="9"/>
      <c r="AA325" s="9"/>
      <c r="AB325" s="9"/>
      <c r="AC325" s="449" t="str">
        <f t="shared" si="41"/>
        <v/>
      </c>
      <c r="AD325" s="449"/>
      <c r="AE325" s="449"/>
      <c r="AF325" s="4"/>
      <c r="AG325" s="83"/>
      <c r="AH325" s="4"/>
      <c r="AI325" s="4"/>
      <c r="AJ325" s="449"/>
      <c r="AK325" s="449"/>
      <c r="AL325" s="449"/>
      <c r="AM325" s="449"/>
      <c r="AN325" s="10"/>
      <c r="AO325" s="9"/>
      <c r="AP325" s="9"/>
      <c r="AQ325" s="9">
        <f>+FL_1($T$326,$T$324,$G$325,1200,9.28,-1*$F$326)</f>
        <v>0.30550877931176701</v>
      </c>
      <c r="AR325" s="9"/>
      <c r="AS325" s="9"/>
      <c r="AT325" s="9"/>
      <c r="AU325" s="428"/>
      <c r="AV325" s="428"/>
      <c r="AW325" s="449" t="str">
        <f>IF(C325&gt;0,VLOOKUP(C325,Foundation_Calc!$A$2:$C$13,3,1),
IF(J325&gt;0,VLOOKUP(J325,Foundation_Calc!$A$2:$C$13,3,1),""))</f>
        <v>Multi Soil</v>
      </c>
      <c r="AX325" s="449" t="str">
        <f>IF(C325&gt;0,VLOOKUP(C325,Foundation_Calc!$E$2:$G$33,3,1),
IF(J325&gt;0,VLOOKUP(J325,Foundation_Calc!$E$2:$G$33,3,1),""))</f>
        <v>PT</v>
      </c>
      <c r="AY325" s="10" t="str">
        <f>IF(L325="","",
IF(AX325="PT",VLOOKUP(L325,Foundation_Calc!$K$79:$R$113,VLOOKUP(AW325,Foundation_Calc!$I$2:$J$8,2,FALSE),0),
IF(AX325="K",VLOOKUP(L325,Foundation_Calc!$K$117:$R$151,VLOOKUP(AW325,Foundation_Calc!$I$2:$J$8,2,FALSE),0),"")))</f>
        <v/>
      </c>
      <c r="AZ325" s="10">
        <f>IF(K325="","",
IF(AX325="PT",VLOOKUP(K325,Foundation_Calc!$K$79:$R$113,VLOOKUP(AW325,Foundation_Calc!$I$2:$J$8,2,FALSE),0),
IF(AX325="K",VLOOKUP(K325,Foundation_Calc!$K$117:$R$151,VLOOKUP(AW325,Foundation_Calc!$I$2:$J$8,2,FALSE),0),"")))</f>
        <v>2.8</v>
      </c>
      <c r="BA325" s="495" t="str">
        <f t="shared" si="38"/>
        <v/>
      </c>
      <c r="BB325" s="495" t="str">
        <f t="shared" si="39"/>
        <v>ü</v>
      </c>
      <c r="BC325" s="495" t="str">
        <f t="shared" si="40"/>
        <v/>
      </c>
      <c r="BD325" s="513" t="str">
        <f>IF(AND(L325="",H325=""),"",
IF(H325="",Pole_Calc!A$9,
IF(H325="MP",Pole_Calc!A$10,
IF(H325="AnMP",Pole_Calc!A$11,
IF(H325="A",Pole_Calc!A$12,
IF(H325="S/A",Pole_Calc!A$13,
IF(H325="A/S",Pole_Calc!A$14,"Poner a mano")))))))</f>
        <v/>
      </c>
      <c r="BE325" s="429" t="s">
        <v>118</v>
      </c>
      <c r="BF325" s="290"/>
      <c r="BG325" s="290"/>
      <c r="BH325" s="290"/>
      <c r="BI325" s="290"/>
    </row>
    <row r="326" spans="1:61" ht="16.149999999999999" customHeight="1">
      <c r="A326" s="607"/>
      <c r="B326" s="536" t="s">
        <v>359</v>
      </c>
      <c r="C326" s="537">
        <f>+$C$324+$G$325</f>
        <v>38107.649999999987</v>
      </c>
      <c r="D326" s="538"/>
      <c r="E326" s="539"/>
      <c r="F326" s="539">
        <f>-(346^2)/(C326-38031.62)</f>
        <v>-1574.5889780353116</v>
      </c>
      <c r="G326" s="540"/>
      <c r="H326" s="541" t="s">
        <v>168</v>
      </c>
      <c r="I326" s="539"/>
      <c r="J326" s="537"/>
      <c r="K326" s="541"/>
      <c r="L326" s="541" t="s">
        <v>158</v>
      </c>
      <c r="M326" s="541" t="str">
        <f>IF(L326="","",
IF(AX326="PT",VLOOKUP(L326,Foundation_Calc!$V$79:$X$113,VLOOKUP(AX326,Foundation_Calc!$I$10:$J$13,2,FALSE),0),
IF(AX326="K",VLOOKUP(L326,Foundation_Calc!$V$117:$X$151,VLOOKUP(AX326,Foundation_Calc!$I$10:$J$13,2,FALSE),0),"")))</f>
        <v>C4R</v>
      </c>
      <c r="N326" s="541" t="s">
        <v>134</v>
      </c>
      <c r="O326" s="541"/>
      <c r="P326" s="541"/>
      <c r="Q326" s="539"/>
      <c r="R326" s="540"/>
      <c r="S326" s="540"/>
      <c r="T326" s="539">
        <v>30</v>
      </c>
      <c r="U326" s="539"/>
      <c r="V326" s="539"/>
      <c r="W326" s="542">
        <v>1.4</v>
      </c>
      <c r="X326" s="542"/>
      <c r="Y326" s="542"/>
      <c r="Z326" s="542"/>
      <c r="AA326" s="542"/>
      <c r="AB326" s="542"/>
      <c r="AC326" s="541" t="str">
        <f t="shared" si="41"/>
        <v>PHQ</v>
      </c>
      <c r="AD326" s="541"/>
      <c r="AE326" s="541"/>
      <c r="AF326" s="539"/>
      <c r="AG326" s="538"/>
      <c r="AH326" s="539"/>
      <c r="AI326" s="539"/>
      <c r="AJ326" s="541"/>
      <c r="AK326" s="541"/>
      <c r="AL326" s="541"/>
      <c r="AM326" s="541" t="s">
        <v>126</v>
      </c>
      <c r="AN326" s="543">
        <v>5.5</v>
      </c>
      <c r="AO326" s="542"/>
      <c r="AP326" s="542"/>
      <c r="AQ326" s="542"/>
      <c r="AR326" s="542"/>
      <c r="AS326" s="542"/>
      <c r="AT326" s="542">
        <f>+ab($T$326,$T$324,$T$328,$G$325,$G$327,-1*$F$326,1200)</f>
        <v>5.871515727933847</v>
      </c>
      <c r="AU326" s="544"/>
      <c r="AV326" s="544"/>
      <c r="AW326" s="541" t="str">
        <f>IF(C326&gt;0,VLOOKUP(C326,Foundation_Calc!$A$2:$C$13,3,1),
IF(J326&gt;0,VLOOKUP(J326,Foundation_Calc!$A$2:$C$13,3,1),""))</f>
        <v>Multi Soil</v>
      </c>
      <c r="AX326" s="541" t="str">
        <f>IF(C326&gt;0,VLOOKUP(C326,Foundation_Calc!$E$2:$G$33,3,1),
IF(J326&gt;0,VLOOKUP(J326,Foundation_Calc!$E$2:$G$33,3,1),""))</f>
        <v>PT</v>
      </c>
      <c r="AY326" s="543">
        <f>IF(L326="","",
IF(AX326="PT",VLOOKUP(L326,Foundation_Calc!$K$79:$R$113,VLOOKUP(AW326,Foundation_Calc!$I$2:$J$8,2,FALSE),0),
IF(AX326="K",VLOOKUP(L326,Foundation_Calc!$K$117:$R$151,VLOOKUP(AW326,Foundation_Calc!$I$2:$J$8,2,FALSE),0),"")))</f>
        <v>3.5</v>
      </c>
      <c r="AZ326" s="543" t="str">
        <f>IF(K326="","",
IF(AX326="PT",VLOOKUP(K326,Foundation_Calc!$K$79:$R$113,VLOOKUP(AW326,Foundation_Calc!$I$2:$J$8,2,FALSE),0),
IF(AX326="K",VLOOKUP(K326,Foundation_Calc!$K$117:$R$151,VLOOKUP(AW326,Foundation_Calc!$I$2:$J$8,2,FALSE),0),"")))</f>
        <v/>
      </c>
      <c r="BA326" s="550" t="str">
        <f t="shared" si="38"/>
        <v>ü</v>
      </c>
      <c r="BB326" s="550" t="str">
        <f t="shared" si="39"/>
        <v/>
      </c>
      <c r="BC326" s="550" t="str">
        <f t="shared" si="40"/>
        <v/>
      </c>
      <c r="BD326" s="516" t="str">
        <f>IF(AND(L326="",H326=""),"",
IF(H326="",Pole_Calc!A$9,
IF(H326="MP",Pole_Calc!A$10,
IF(H326="AnMP",Pole_Calc!A$11,
IF(H326="A",Pole_Calc!A$12,
IF(H326="S/A",Pole_Calc!A$13,
IF(H326="A/S",Pole_Calc!A$14,"Poner a mano")))))))</f>
        <v>App.7-V11I-P9.5.1.3</v>
      </c>
      <c r="BE326" s="429" t="s">
        <v>118</v>
      </c>
      <c r="BF326" s="289"/>
      <c r="BG326" s="289"/>
      <c r="BH326" s="290"/>
      <c r="BI326" s="289"/>
    </row>
    <row r="327" spans="1:61" ht="16.149999999999999" customHeight="1">
      <c r="A327" s="514"/>
      <c r="B327" s="450"/>
      <c r="C327" s="3"/>
      <c r="D327" s="83"/>
      <c r="E327" s="4"/>
      <c r="F327" s="4"/>
      <c r="G327" s="6">
        <v>48</v>
      </c>
      <c r="H327" s="449"/>
      <c r="I327" s="4">
        <f>SUM(G311:G327)</f>
        <v>451.6</v>
      </c>
      <c r="J327" s="3"/>
      <c r="K327" s="449"/>
      <c r="L327" s="449"/>
      <c r="M327" s="449" t="str">
        <f>IF(L327="","",
IF(AX327="PT",VLOOKUP(L327,Foundation_Calc!$V$79:$X$113,VLOOKUP(AX327,Foundation_Calc!$I$10:$J$13,2,FALSE),0),
IF(AX327="K",VLOOKUP(L327,Foundation_Calc!$V$117:$X$151,VLOOKUP(AX327,Foundation_Calc!$I$10:$J$13,2,FALSE),0),"")))</f>
        <v/>
      </c>
      <c r="N327" s="449"/>
      <c r="O327" s="449"/>
      <c r="P327" s="449"/>
      <c r="Q327" s="4"/>
      <c r="R327" s="6"/>
      <c r="S327" s="6"/>
      <c r="T327" s="4"/>
      <c r="U327" s="4"/>
      <c r="V327" s="4"/>
      <c r="W327" s="572"/>
      <c r="X327" s="9"/>
      <c r="Y327" s="9"/>
      <c r="Z327" s="9"/>
      <c r="AA327" s="9"/>
      <c r="AB327" s="9"/>
      <c r="AC327" s="449" t="str">
        <f t="shared" si="41"/>
        <v/>
      </c>
      <c r="AD327" s="449"/>
      <c r="AE327" s="449"/>
      <c r="AF327" s="4"/>
      <c r="AG327" s="83"/>
      <c r="AH327" s="4"/>
      <c r="AI327" s="4"/>
      <c r="AJ327" s="449"/>
      <c r="AK327" s="449"/>
      <c r="AL327" s="449"/>
      <c r="AM327" s="449"/>
      <c r="AN327" s="10"/>
      <c r="AO327" s="9"/>
      <c r="AP327" s="9"/>
      <c r="AQ327" s="9">
        <f>+FL_1($T$328,$T$326,$G$327,1200,9.28,-1*$F$328)</f>
        <v>0.30005441130447724</v>
      </c>
      <c r="AR327" s="9"/>
      <c r="AS327" s="9"/>
      <c r="AT327" s="9"/>
      <c r="AU327" s="428"/>
      <c r="AV327" s="428"/>
      <c r="AW327" s="449" t="str">
        <f>IF(C327&gt;0,VLOOKUP(C327,Foundation_Calc!$A$2:$C$13,3,1),
IF(J327&gt;0,VLOOKUP(J327,Foundation_Calc!$A$2:$C$13,3,1),""))</f>
        <v/>
      </c>
      <c r="AX327" s="449" t="str">
        <f>IF(C327&gt;0,VLOOKUP(C327,Foundation_Calc!$E$2:$G$33,3,1),
IF(J327&gt;0,VLOOKUP(J327,Foundation_Calc!$E$2:$G$33,3,1),""))</f>
        <v/>
      </c>
      <c r="AY327" s="10" t="str">
        <f>IF(L327="","",
IF(AX327="PT",VLOOKUP(L327,Foundation_Calc!$K$79:$R$113,VLOOKUP(AW327,Foundation_Calc!$I$2:$J$8,2,FALSE),0),
IF(AX327="K",VLOOKUP(L327,Foundation_Calc!$K$117:$R$151,VLOOKUP(AW327,Foundation_Calc!$I$2:$J$8,2,FALSE),0),"")))</f>
        <v/>
      </c>
      <c r="AZ327" s="10" t="str">
        <f>IF(K327="","",
IF(AX327="PT",VLOOKUP(K327,Foundation_Calc!$K$79:$R$113,VLOOKUP(AW327,Foundation_Calc!$I$2:$J$8,2,FALSE),0),
IF(AX327="K",VLOOKUP(K327,Foundation_Calc!$K$117:$R$151,VLOOKUP(AW327,Foundation_Calc!$I$2:$J$8,2,FALSE),0),"")))</f>
        <v/>
      </c>
      <c r="BA327" s="495" t="str">
        <f t="shared" si="38"/>
        <v/>
      </c>
      <c r="BB327" s="495" t="str">
        <f t="shared" si="39"/>
        <v/>
      </c>
      <c r="BC327" s="495" t="str">
        <f t="shared" si="40"/>
        <v/>
      </c>
      <c r="BD327" s="513" t="str">
        <f>IF(AND(L327="",H327=""),"",
IF(H327="",Pole_Calc!A$9,
IF(H327="MP",Pole_Calc!A$10,
IF(H327="AnMP",Pole_Calc!A$11,
IF(H327="A",Pole_Calc!A$12,
IF(H327="S/A",Pole_Calc!A$13,
IF(H327="A/S",Pole_Calc!A$14,"Poner a mano")))))))</f>
        <v/>
      </c>
      <c r="BE327" s="429" t="s">
        <v>118</v>
      </c>
      <c r="BF327" s="290"/>
      <c r="BG327" s="290"/>
      <c r="BH327" s="290"/>
      <c r="BI327" s="290"/>
    </row>
    <row r="328" spans="1:61" ht="16.149999999999999" customHeight="1">
      <c r="A328" s="514"/>
      <c r="B328" s="450" t="s">
        <v>360</v>
      </c>
      <c r="C328" s="3">
        <f>+$C$326+$G$327</f>
        <v>38155.649999999987</v>
      </c>
      <c r="D328" s="83"/>
      <c r="E328" s="4"/>
      <c r="F328" s="4">
        <f>IF(C328&gt;0,VLOOKUP(C328,'ALIGNMENT TRACK'!$A$1:$K$81,9,1))</f>
        <v>-1000</v>
      </c>
      <c r="G328" s="6"/>
      <c r="H328" s="449" t="s">
        <v>171</v>
      </c>
      <c r="I328" s="4"/>
      <c r="J328" s="3"/>
      <c r="K328" s="449"/>
      <c r="L328" s="541" t="s">
        <v>158</v>
      </c>
      <c r="M328" s="449" t="str">
        <f>IF(L328="","",
IF(AX328="PT",VLOOKUP(L328,Foundation_Calc!$V$79:$X$113,VLOOKUP(AX328,Foundation_Calc!$I$10:$J$13,2,FALSE),0),
IF(AX328="K",VLOOKUP(L328,Foundation_Calc!$V$117:$X$151,VLOOKUP(AX328,Foundation_Calc!$I$10:$J$13,2,FALSE),0),"")))</f>
        <v>C4R</v>
      </c>
      <c r="N328" s="449" t="s">
        <v>134</v>
      </c>
      <c r="O328" s="449"/>
      <c r="P328" s="449"/>
      <c r="Q328" s="4"/>
      <c r="R328" s="6"/>
      <c r="S328" s="6"/>
      <c r="T328" s="4">
        <v>30</v>
      </c>
      <c r="U328" s="4"/>
      <c r="V328" s="4"/>
      <c r="W328" s="9">
        <v>1.4</v>
      </c>
      <c r="X328" s="9"/>
      <c r="Y328" s="9"/>
      <c r="Z328" s="9"/>
      <c r="AA328" s="9"/>
      <c r="AB328" s="9"/>
      <c r="AC328" s="449" t="str">
        <f t="shared" si="41"/>
        <v>PHC</v>
      </c>
      <c r="AD328" s="449"/>
      <c r="AE328" s="449"/>
      <c r="AF328" s="4"/>
      <c r="AG328" s="83"/>
      <c r="AH328" s="4"/>
      <c r="AI328" s="4"/>
      <c r="AJ328" s="449"/>
      <c r="AK328" s="449"/>
      <c r="AL328" s="449"/>
      <c r="AM328" s="449" t="s">
        <v>126</v>
      </c>
      <c r="AN328" s="10">
        <v>5.5</v>
      </c>
      <c r="AO328" s="9"/>
      <c r="AP328" s="9"/>
      <c r="AQ328" s="9"/>
      <c r="AR328" s="9"/>
      <c r="AS328" s="9"/>
      <c r="AT328" s="9">
        <f>+ab($T$328,$T$326,$T$330,$G$327,$G$329,-1*$F$328,1200)</f>
        <v>3.9912951206966776</v>
      </c>
      <c r="AU328" s="428"/>
      <c r="AV328" s="428"/>
      <c r="AW328" s="449" t="str">
        <f>IF(C328&gt;0,VLOOKUP(C328,Foundation_Calc!$A$2:$C$13,3,1),
IF(J328&gt;0,VLOOKUP(J328,Foundation_Calc!$A$2:$C$13,3,1),""))</f>
        <v>Multi Soil</v>
      </c>
      <c r="AX328" s="449" t="str">
        <f>IF(C328&gt;0,VLOOKUP(C328,Foundation_Calc!$E$2:$G$33,3,1),
IF(J328&gt;0,VLOOKUP(J328,Foundation_Calc!$E$2:$G$33,3,1),""))</f>
        <v>PT</v>
      </c>
      <c r="AY328" s="10">
        <f>IF(L328="","",
IF(AX328="PT",VLOOKUP(L328,Foundation_Calc!$K$79:$R$113,VLOOKUP(AW328,Foundation_Calc!$I$2:$J$8,2,FALSE),0),
IF(AX328="K",VLOOKUP(L328,Foundation_Calc!$K$117:$R$151,VLOOKUP(AW328,Foundation_Calc!$I$2:$J$8,2,FALSE),0),"")))</f>
        <v>3.5</v>
      </c>
      <c r="AZ328" s="10" t="str">
        <f>IF(K328="","",
IF(AX328="PT",VLOOKUP(K328,Foundation_Calc!$K$79:$R$113,VLOOKUP(AW328,Foundation_Calc!$I$2:$J$8,2,FALSE),0),
IF(AX328="K",VLOOKUP(K328,Foundation_Calc!$K$117:$R$151,VLOOKUP(AW328,Foundation_Calc!$I$2:$J$8,2,FALSE),0),"")))</f>
        <v/>
      </c>
      <c r="BA328" s="495" t="str">
        <f t="shared" si="38"/>
        <v>ü</v>
      </c>
      <c r="BB328" s="495" t="str">
        <f t="shared" si="39"/>
        <v/>
      </c>
      <c r="BC328" s="495" t="str">
        <f t="shared" si="40"/>
        <v/>
      </c>
      <c r="BD328" s="513" t="str">
        <f>IF(AND(L328="",H328=""),"",
IF(H328="",Pole_Calc!A$9,
IF(H328="MP",Pole_Calc!A$10,
IF(H328="AnMP",Pole_Calc!A$11,
IF(H328="A",Pole_Calc!A$12,
IF(H328="S/A",Pole_Calc!A$13,
IF(H328="A/S",Pole_Calc!A$14,"Poner a mano")))))))</f>
        <v>App.7-V11I-P9.5.1.2</v>
      </c>
      <c r="BE328" s="429" t="s">
        <v>118</v>
      </c>
      <c r="BF328" s="289"/>
      <c r="BG328" s="289"/>
      <c r="BH328" s="290"/>
      <c r="BI328" s="289"/>
    </row>
    <row r="329" spans="1:61" ht="16.149999999999999" customHeight="1">
      <c r="A329" s="514"/>
      <c r="B329" s="450"/>
      <c r="C329" s="3"/>
      <c r="D329" s="83"/>
      <c r="E329" s="4"/>
      <c r="F329" s="4"/>
      <c r="G329" s="6">
        <v>48</v>
      </c>
      <c r="H329" s="449"/>
      <c r="I329" s="4">
        <f>SUM(G329:G353)-10</f>
        <v>523</v>
      </c>
      <c r="J329" s="3"/>
      <c r="K329" s="449"/>
      <c r="L329" s="449"/>
      <c r="M329" s="449" t="str">
        <f>IF(L329="","",
IF(AX329="PT",VLOOKUP(L329,Foundation_Calc!$V$79:$X$113,VLOOKUP(AX329,Foundation_Calc!$I$10:$J$13,2,FALSE),0),
IF(AX329="K",VLOOKUP(L329,Foundation_Calc!$V$117:$X$151,VLOOKUP(AX329,Foundation_Calc!$I$10:$J$13,2,FALSE),0),"")))</f>
        <v/>
      </c>
      <c r="N329" s="449"/>
      <c r="O329" s="449"/>
      <c r="P329" s="449"/>
      <c r="Q329" s="4"/>
      <c r="R329" s="6"/>
      <c r="S329" s="6"/>
      <c r="T329" s="4"/>
      <c r="U329" s="4"/>
      <c r="V329" s="4"/>
      <c r="W329" s="9"/>
      <c r="X329" s="9"/>
      <c r="Y329" s="9"/>
      <c r="Z329" s="9"/>
      <c r="AA329" s="9"/>
      <c r="AB329" s="9"/>
      <c r="AC329" s="449" t="str">
        <f t="shared" si="41"/>
        <v/>
      </c>
      <c r="AD329" s="449"/>
      <c r="AE329" s="449"/>
      <c r="AF329" s="4"/>
      <c r="AG329" s="83"/>
      <c r="AH329" s="4"/>
      <c r="AI329" s="4"/>
      <c r="AJ329" s="449"/>
      <c r="AK329" s="449"/>
      <c r="AL329" s="449"/>
      <c r="AM329" s="449"/>
      <c r="AN329" s="10"/>
      <c r="AO329" s="9"/>
      <c r="AP329" s="9"/>
      <c r="AQ329" s="9">
        <f>+FL_1($T$330,$T$328,$G$329,1200,9.28,-1*$F$330)</f>
        <v>0.30005441130447724</v>
      </c>
      <c r="AR329" s="9"/>
      <c r="AS329" s="9"/>
      <c r="AT329" s="9"/>
      <c r="AU329" s="428"/>
      <c r="AV329" s="428"/>
      <c r="AW329" s="449" t="str">
        <f>IF(C329&gt;0,VLOOKUP(C329,Foundation_Calc!$A$2:$C$13,3,1),
IF(J329&gt;0,VLOOKUP(J329,Foundation_Calc!$A$2:$C$13,3,1),""))</f>
        <v/>
      </c>
      <c r="AX329" s="449" t="str">
        <f>IF(C329&gt;0,VLOOKUP(C329,Foundation_Calc!$E$2:$G$33,3,1),
IF(J329&gt;0,VLOOKUP(J329,Foundation_Calc!$E$2:$G$33,3,1),""))</f>
        <v/>
      </c>
      <c r="AY329" s="10" t="str">
        <f>IF(L329="","",
IF(AX329="PT",VLOOKUP(L329,Foundation_Calc!$K$79:$R$113,VLOOKUP(AW329,Foundation_Calc!$I$2:$J$8,2,FALSE),0),
IF(AX329="K",VLOOKUP(L329,Foundation_Calc!$K$117:$R$151,VLOOKUP(AW329,Foundation_Calc!$I$2:$J$8,2,FALSE),0),"")))</f>
        <v/>
      </c>
      <c r="AZ329" s="10" t="str">
        <f>IF(K329="","",
IF(AX329="PT",VLOOKUP(K329,Foundation_Calc!$K$79:$R$113,VLOOKUP(AW329,Foundation_Calc!$I$2:$J$8,2,FALSE),0),
IF(AX329="K",VLOOKUP(K329,Foundation_Calc!$K$117:$R$151,VLOOKUP(AW329,Foundation_Calc!$I$2:$J$8,2,FALSE),0),"")))</f>
        <v/>
      </c>
      <c r="BA329" s="495" t="str">
        <f t="shared" si="38"/>
        <v/>
      </c>
      <c r="BB329" s="495" t="str">
        <f t="shared" si="39"/>
        <v/>
      </c>
      <c r="BC329" s="495" t="str">
        <f t="shared" si="40"/>
        <v/>
      </c>
      <c r="BD329" s="513" t="str">
        <f>IF(AND(L329="",H329=""),"",
IF(H329="",Pole_Calc!A$9,
IF(H329="MP",Pole_Calc!A$10,
IF(H329="AnMP",Pole_Calc!A$11,
IF(H329="A",Pole_Calc!A$12,
IF(H329="S/A",Pole_Calc!A$13,
IF(H329="A/S",Pole_Calc!A$14,"Poner a mano")))))))</f>
        <v/>
      </c>
      <c r="BE329" s="429" t="s">
        <v>118</v>
      </c>
      <c r="BF329" s="290"/>
      <c r="BG329" s="290"/>
      <c r="BH329" s="290"/>
      <c r="BI329" s="290"/>
    </row>
    <row r="330" spans="1:61" ht="16.149999999999999" customHeight="1">
      <c r="A330" s="514"/>
      <c r="B330" s="450" t="s">
        <v>361</v>
      </c>
      <c r="C330" s="3">
        <f>+$C$328+$G$329</f>
        <v>38203.649999999987</v>
      </c>
      <c r="D330" s="83"/>
      <c r="E330" s="4"/>
      <c r="F330" s="4">
        <f>IF(C330&gt;0,VLOOKUP(C330,'ALIGNMENT TRACK'!$A$1:$K$81,9,1))</f>
        <v>-1000</v>
      </c>
      <c r="G330" s="6"/>
      <c r="H330" s="449" t="s">
        <v>168</v>
      </c>
      <c r="I330" s="4"/>
      <c r="J330" s="3"/>
      <c r="K330" s="449"/>
      <c r="L330" s="541" t="s">
        <v>158</v>
      </c>
      <c r="M330" s="449" t="str">
        <f>IF(L330="","",
IF(AX330="PT",VLOOKUP(L330,Foundation_Calc!$V$79:$X$113,VLOOKUP(AX330,Foundation_Calc!$I$10:$J$13,2,FALSE),0),
IF(AX330="K",VLOOKUP(L330,Foundation_Calc!$V$117:$X$151,VLOOKUP(AX330,Foundation_Calc!$I$10:$J$13,2,FALSE),0),"")))</f>
        <v>C4R</v>
      </c>
      <c r="N330" s="449" t="s">
        <v>134</v>
      </c>
      <c r="O330" s="449"/>
      <c r="P330" s="449"/>
      <c r="Q330" s="4"/>
      <c r="R330" s="6"/>
      <c r="S330" s="6"/>
      <c r="T330" s="4">
        <v>30</v>
      </c>
      <c r="U330" s="4"/>
      <c r="V330" s="4"/>
      <c r="W330" s="9">
        <v>1.4</v>
      </c>
      <c r="X330" s="9"/>
      <c r="Y330" s="9"/>
      <c r="Z330" s="9"/>
      <c r="AA330" s="9"/>
      <c r="AB330" s="9"/>
      <c r="AC330" s="449" t="str">
        <f t="shared" si="41"/>
        <v>PHC</v>
      </c>
      <c r="AD330" s="449"/>
      <c r="AE330" s="449"/>
      <c r="AF330" s="4"/>
      <c r="AG330" s="83"/>
      <c r="AH330" s="4"/>
      <c r="AI330" s="4"/>
      <c r="AJ330" s="449"/>
      <c r="AK330" s="449"/>
      <c r="AL330" s="449"/>
      <c r="AM330" s="449" t="s">
        <v>126</v>
      </c>
      <c r="AN330" s="10">
        <v>5.5</v>
      </c>
      <c r="AO330" s="9"/>
      <c r="AP330" s="9"/>
      <c r="AQ330" s="9"/>
      <c r="AR330" s="9"/>
      <c r="AS330" s="9"/>
      <c r="AT330" s="9">
        <f>+ab($T$330,$T$328,$T$332,$G$329,$G$331,-1*$F$330,1200)</f>
        <v>3.9912951206966776</v>
      </c>
      <c r="AU330" s="428"/>
      <c r="AV330" s="428"/>
      <c r="AW330" s="449" t="str">
        <f>IF(C330&gt;0,VLOOKUP(C330,Foundation_Calc!$A$2:$C$13,3,1),
IF(J330&gt;0,VLOOKUP(J330,Foundation_Calc!$A$2:$C$13,3,1),""))</f>
        <v>Multi Soil</v>
      </c>
      <c r="AX330" s="449" t="str">
        <f>IF(C330&gt;0,VLOOKUP(C330,Foundation_Calc!$E$2:$G$33,3,1),
IF(J330&gt;0,VLOOKUP(J330,Foundation_Calc!$E$2:$G$33,3,1),""))</f>
        <v>PT</v>
      </c>
      <c r="AY330" s="10">
        <f>IF(L330="","",
IF(AX330="PT",VLOOKUP(L330,Foundation_Calc!$K$79:$R$113,VLOOKUP(AW330,Foundation_Calc!$I$2:$J$8,2,FALSE),0),
IF(AX330="K",VLOOKUP(L330,Foundation_Calc!$K$117:$R$151,VLOOKUP(AW330,Foundation_Calc!$I$2:$J$8,2,FALSE),0),"")))</f>
        <v>3.5</v>
      </c>
      <c r="AZ330" s="10" t="str">
        <f>IF(K330="","",
IF(AX330="PT",VLOOKUP(K330,Foundation_Calc!$K$79:$R$113,VLOOKUP(AW330,Foundation_Calc!$I$2:$J$8,2,FALSE),0),
IF(AX330="K",VLOOKUP(K330,Foundation_Calc!$K$117:$R$151,VLOOKUP(AW330,Foundation_Calc!$I$2:$J$8,2,FALSE),0),"")))</f>
        <v/>
      </c>
      <c r="BA330" s="495" t="str">
        <f t="shared" si="38"/>
        <v>ü</v>
      </c>
      <c r="BB330" s="495" t="str">
        <f t="shared" si="39"/>
        <v/>
      </c>
      <c r="BC330" s="495" t="str">
        <f t="shared" si="40"/>
        <v/>
      </c>
      <c r="BD330" s="513" t="str">
        <f>IF(AND(L330="",H330=""),"",
IF(H330="",Pole_Calc!A$9,
IF(H330="MP",Pole_Calc!A$10,
IF(H330="AnMP",Pole_Calc!A$11,
IF(H330="A",Pole_Calc!A$12,
IF(H330="S/A",Pole_Calc!A$13,
IF(H330="A/S",Pole_Calc!A$14,"Poner a mano")))))))</f>
        <v>App.7-V11I-P9.5.1.3</v>
      </c>
      <c r="BE330" s="429" t="s">
        <v>118</v>
      </c>
      <c r="BF330" s="289"/>
      <c r="BG330" s="289"/>
      <c r="BH330" s="290"/>
      <c r="BI330" s="289"/>
    </row>
    <row r="331" spans="1:61" ht="16.149999999999999" customHeight="1">
      <c r="A331" s="514"/>
      <c r="B331" s="450"/>
      <c r="C331" s="3"/>
      <c r="D331" s="83"/>
      <c r="E331" s="4"/>
      <c r="F331" s="4"/>
      <c r="G331" s="6">
        <v>48</v>
      </c>
      <c r="H331" s="449"/>
      <c r="I331" s="4"/>
      <c r="J331" s="3">
        <f>C330+7.5</f>
        <v>38211.149999999987</v>
      </c>
      <c r="K331" s="449" t="s">
        <v>166</v>
      </c>
      <c r="L331" s="449"/>
      <c r="M331" s="449" t="str">
        <f>IF(L331="","",
IF(AX331="PT",VLOOKUP(L331,Foundation_Calc!$V$79:$X$113,VLOOKUP(AX331,Foundation_Calc!$I$10:$J$13,2,FALSE),0),
IF(AX331="K",VLOOKUP(L331,Foundation_Calc!$V$117:$X$151,VLOOKUP(AX331,Foundation_Calc!$I$10:$J$13,2,FALSE),0),"")))</f>
        <v/>
      </c>
      <c r="N331" s="449"/>
      <c r="O331" s="449"/>
      <c r="P331" s="449"/>
      <c r="Q331" s="4"/>
      <c r="R331" s="6"/>
      <c r="S331" s="6"/>
      <c r="T331" s="4"/>
      <c r="U331" s="4"/>
      <c r="V331" s="4"/>
      <c r="W331" s="9"/>
      <c r="X331" s="9"/>
      <c r="Y331" s="9"/>
      <c r="Z331" s="9"/>
      <c r="AA331" s="9"/>
      <c r="AB331" s="9"/>
      <c r="AC331" s="449" t="str">
        <f t="shared" si="41"/>
        <v/>
      </c>
      <c r="AD331" s="449"/>
      <c r="AE331" s="449"/>
      <c r="AF331" s="4"/>
      <c r="AG331" s="83"/>
      <c r="AH331" s="4"/>
      <c r="AI331" s="4"/>
      <c r="AJ331" s="449"/>
      <c r="AK331" s="449"/>
      <c r="AL331" s="449"/>
      <c r="AM331" s="449"/>
      <c r="AN331" s="10"/>
      <c r="AO331" s="9"/>
      <c r="AP331" s="9"/>
      <c r="AQ331" s="9">
        <f>+FL_1($T$332,$T$330,$G$331,1200,9.28,-1*$F$332)</f>
        <v>0.30005441130447724</v>
      </c>
      <c r="AR331" s="9"/>
      <c r="AS331" s="9"/>
      <c r="AT331" s="9"/>
      <c r="AU331" s="428"/>
      <c r="AV331" s="428"/>
      <c r="AW331" s="449" t="str">
        <f>IF(C331&gt;0,VLOOKUP(C331,Foundation_Calc!$A$2:$C$13,3,1),
IF(J331&gt;0,VLOOKUP(J331,Foundation_Calc!$A$2:$C$13,3,1),""))</f>
        <v>Multi Soil</v>
      </c>
      <c r="AX331" s="449" t="str">
        <f>IF(C331&gt;0,VLOOKUP(C331,Foundation_Calc!$E$2:$G$33,3,1),
IF(J331&gt;0,VLOOKUP(J331,Foundation_Calc!$E$2:$G$33,3,1),""))</f>
        <v>PT</v>
      </c>
      <c r="AY331" s="10" t="str">
        <f>IF(L331="","",
IF(AX331="PT",VLOOKUP(L331,Foundation_Calc!$K$79:$R$113,VLOOKUP(AW331,Foundation_Calc!$I$2:$J$8,2,FALSE),0),
IF(AX331="K",VLOOKUP(L331,Foundation_Calc!$K$117:$R$151,VLOOKUP(AW331,Foundation_Calc!$I$2:$J$8,2,FALSE),0),"")))</f>
        <v/>
      </c>
      <c r="AZ331" s="10">
        <f>IF(K331="","",
IF(AX331="PT",VLOOKUP(K331,Foundation_Calc!$K$79:$R$113,VLOOKUP(AW331,Foundation_Calc!$I$2:$J$8,2,FALSE),0),
IF(AX331="K",VLOOKUP(K331,Foundation_Calc!$K$117:$R$151,VLOOKUP(AW331,Foundation_Calc!$I$2:$J$8,2,FALSE),0),"")))</f>
        <v>2.8</v>
      </c>
      <c r="BA331" s="495" t="str">
        <f t="shared" si="38"/>
        <v/>
      </c>
      <c r="BB331" s="495" t="str">
        <f t="shared" si="39"/>
        <v>ü</v>
      </c>
      <c r="BC331" s="495" t="str">
        <f t="shared" si="40"/>
        <v/>
      </c>
      <c r="BD331" s="513" t="str">
        <f>IF(AND(L331="",H331=""),"",
IF(H331="",Pole_Calc!A$9,
IF(H331="MP",Pole_Calc!A$10,
IF(H331="AnMP",Pole_Calc!A$11,
IF(H331="A",Pole_Calc!A$12,
IF(H331="S/A",Pole_Calc!A$13,
IF(H331="A/S",Pole_Calc!A$14,"Poner a mano")))))))</f>
        <v/>
      </c>
      <c r="BE331" s="429" t="s">
        <v>118</v>
      </c>
      <c r="BF331" s="290"/>
      <c r="BG331" s="290"/>
      <c r="BH331" s="290"/>
      <c r="BI331" s="290"/>
    </row>
    <row r="332" spans="1:61" ht="16.149999999999999" customHeight="1">
      <c r="A332" s="514"/>
      <c r="B332" s="450" t="s">
        <v>362</v>
      </c>
      <c r="C332" s="3">
        <f>+$C$330+$G$331</f>
        <v>38251.649999999987</v>
      </c>
      <c r="D332" s="83"/>
      <c r="E332" s="4"/>
      <c r="F332" s="4">
        <f>IF(C332&gt;0,VLOOKUP(C332,'ALIGNMENT TRACK'!$A$1:$K$81,9,1))</f>
        <v>-1000</v>
      </c>
      <c r="G332" s="6"/>
      <c r="H332" s="449"/>
      <c r="I332" s="4"/>
      <c r="J332" s="3"/>
      <c r="K332" s="449"/>
      <c r="L332" s="541" t="s">
        <v>158</v>
      </c>
      <c r="M332" s="449" t="str">
        <f>IF(L332="","",
IF(AX332="PT",VLOOKUP(L332,Foundation_Calc!$V$79:$X$113,VLOOKUP(AX332,Foundation_Calc!$I$10:$J$13,2,FALSE),0),
IF(AX332="K",VLOOKUP(L332,Foundation_Calc!$V$117:$X$151,VLOOKUP(AX332,Foundation_Calc!$I$10:$J$13,2,FALSE),0),"")))</f>
        <v>C4R</v>
      </c>
      <c r="N332" s="449" t="s">
        <v>134</v>
      </c>
      <c r="O332" s="449"/>
      <c r="P332" s="449"/>
      <c r="Q332" s="4"/>
      <c r="R332" s="6"/>
      <c r="S332" s="6"/>
      <c r="T332" s="4">
        <v>30</v>
      </c>
      <c r="U332" s="4"/>
      <c r="V332" s="4"/>
      <c r="W332" s="9">
        <v>1.4</v>
      </c>
      <c r="X332" s="9"/>
      <c r="Y332" s="9"/>
      <c r="Z332" s="9"/>
      <c r="AA332" s="9"/>
      <c r="AB332" s="9"/>
      <c r="AC332" s="449" t="str">
        <f t="shared" si="41"/>
        <v>PHC</v>
      </c>
      <c r="AD332" s="449"/>
      <c r="AE332" s="449"/>
      <c r="AF332" s="4"/>
      <c r="AG332" s="83"/>
      <c r="AH332" s="4"/>
      <c r="AI332" s="4"/>
      <c r="AJ332" s="449"/>
      <c r="AK332" s="449"/>
      <c r="AL332" s="449"/>
      <c r="AM332" s="449" t="s">
        <v>126</v>
      </c>
      <c r="AN332" s="10">
        <v>5.5</v>
      </c>
      <c r="AO332" s="9"/>
      <c r="AP332" s="9"/>
      <c r="AQ332" s="9"/>
      <c r="AR332" s="9"/>
      <c r="AS332" s="9"/>
      <c r="AT332" s="9">
        <f>+ab($T$332,$T$330,$T$334,$G$331,$G$333,-1*$F$332,1200)</f>
        <v>3.9912951206966776</v>
      </c>
      <c r="AU332" s="428"/>
      <c r="AV332" s="428"/>
      <c r="AW332" s="449" t="str">
        <f>IF(C332&gt;0,VLOOKUP(C332,Foundation_Calc!$A$2:$C$13,3,1),
IF(J332&gt;0,VLOOKUP(J332,Foundation_Calc!$A$2:$C$13,3,1),""))</f>
        <v>Multi Soil</v>
      </c>
      <c r="AX332" s="449" t="str">
        <f>IF(C332&gt;0,VLOOKUP(C332,Foundation_Calc!$E$2:$G$33,3,1),
IF(J332&gt;0,VLOOKUP(J332,Foundation_Calc!$E$2:$G$33,3,1),""))</f>
        <v>PT</v>
      </c>
      <c r="AY332" s="10">
        <f>IF(L332="","",
IF(AX332="PT",VLOOKUP(L332,Foundation_Calc!$K$79:$R$113,VLOOKUP(AW332,Foundation_Calc!$I$2:$J$8,2,FALSE),0),
IF(AX332="K",VLOOKUP(L332,Foundation_Calc!$K$117:$R$151,VLOOKUP(AW332,Foundation_Calc!$I$2:$J$8,2,FALSE),0),"")))</f>
        <v>3.5</v>
      </c>
      <c r="AZ332" s="10" t="str">
        <f>IF(K332="","",
IF(AX332="PT",VLOOKUP(K332,Foundation_Calc!$K$79:$R$113,VLOOKUP(AW332,Foundation_Calc!$I$2:$J$8,2,FALSE),0),
IF(AX332="K",VLOOKUP(K332,Foundation_Calc!$K$117:$R$151,VLOOKUP(AW332,Foundation_Calc!$I$2:$J$8,2,FALSE),0),"")))</f>
        <v/>
      </c>
      <c r="BA332" s="495" t="str">
        <f t="shared" si="38"/>
        <v>ü</v>
      </c>
      <c r="BB332" s="495" t="str">
        <f t="shared" si="39"/>
        <v/>
      </c>
      <c r="BC332" s="495" t="str">
        <f t="shared" si="40"/>
        <v/>
      </c>
      <c r="BD332" s="513" t="str">
        <f>IF(AND(L332="",H332=""),"",
IF(H332="",Pole_Calc!A$9,
IF(H332="MP",Pole_Calc!A$10,
IF(H332="AnMP",Pole_Calc!A$11,
IF(H332="A",Pole_Calc!A$12,
IF(H332="S/A",Pole_Calc!A$13,
IF(H332="A/S",Pole_Calc!A$14,"Poner a mano")))))))</f>
        <v>App.7-V11I-P9.5.1.1</v>
      </c>
      <c r="BE332" s="429" t="s">
        <v>118</v>
      </c>
      <c r="BF332" s="289"/>
      <c r="BG332" s="289"/>
      <c r="BH332" s="290"/>
      <c r="BI332" s="289"/>
    </row>
    <row r="333" spans="1:61" ht="16.149999999999999" customHeight="1">
      <c r="A333" s="514"/>
      <c r="B333" s="450"/>
      <c r="C333" s="3"/>
      <c r="D333" s="83"/>
      <c r="E333" s="4"/>
      <c r="F333" s="4"/>
      <c r="G333" s="6">
        <v>48</v>
      </c>
      <c r="H333" s="449"/>
      <c r="I333" s="4"/>
      <c r="J333" s="3"/>
      <c r="K333" s="449"/>
      <c r="L333" s="449"/>
      <c r="M333" s="449" t="str">
        <f>IF(L333="","",
IF(AX333="PT",VLOOKUP(L333,Foundation_Calc!$V$79:$X$113,VLOOKUP(AX333,Foundation_Calc!$I$10:$J$13,2,FALSE),0),
IF(AX333="K",VLOOKUP(L333,Foundation_Calc!$V$117:$X$151,VLOOKUP(AX333,Foundation_Calc!$I$10:$J$13,2,FALSE),0),"")))</f>
        <v/>
      </c>
      <c r="N333" s="449"/>
      <c r="O333" s="449"/>
      <c r="P333" s="449"/>
      <c r="Q333" s="4"/>
      <c r="R333" s="6"/>
      <c r="S333" s="6"/>
      <c r="T333" s="4"/>
      <c r="U333" s="4"/>
      <c r="V333" s="4"/>
      <c r="W333" s="9"/>
      <c r="X333" s="9"/>
      <c r="Y333" s="9"/>
      <c r="Z333" s="9"/>
      <c r="AA333" s="9"/>
      <c r="AB333" s="9"/>
      <c r="AC333" s="449" t="str">
        <f t="shared" si="41"/>
        <v/>
      </c>
      <c r="AD333" s="449"/>
      <c r="AE333" s="449"/>
      <c r="AF333" s="4"/>
      <c r="AG333" s="83"/>
      <c r="AH333" s="4"/>
      <c r="AI333" s="4"/>
      <c r="AJ333" s="449"/>
      <c r="AK333" s="449"/>
      <c r="AL333" s="449"/>
      <c r="AM333" s="449"/>
      <c r="AN333" s="10"/>
      <c r="AO333" s="9"/>
      <c r="AP333" s="9"/>
      <c r="AQ333" s="9">
        <f>+FL_1($T$334,$T$332,$G$333,1200,9.28,-1*$F$334)</f>
        <v>0.30005441130447724</v>
      </c>
      <c r="AR333" s="9"/>
      <c r="AS333" s="9"/>
      <c r="AT333" s="9"/>
      <c r="AU333" s="428"/>
      <c r="AV333" s="428"/>
      <c r="AW333" s="449" t="str">
        <f>IF(C333&gt;0,VLOOKUP(C333,Foundation_Calc!$A$2:$C$13,3,1),
IF(J333&gt;0,VLOOKUP(J333,Foundation_Calc!$A$2:$C$13,3,1),""))</f>
        <v/>
      </c>
      <c r="AX333" s="449" t="str">
        <f>IF(C333&gt;0,VLOOKUP(C333,Foundation_Calc!$E$2:$G$33,3,1),
IF(J333&gt;0,VLOOKUP(J333,Foundation_Calc!$E$2:$G$33,3,1),""))</f>
        <v/>
      </c>
      <c r="AY333" s="10" t="str">
        <f>IF(L333="","",
IF(AX333="PT",VLOOKUP(L333,Foundation_Calc!$K$79:$R$113,VLOOKUP(AW333,Foundation_Calc!$I$2:$J$8,2,FALSE),0),
IF(AX333="K",VLOOKUP(L333,Foundation_Calc!$K$117:$R$151,VLOOKUP(AW333,Foundation_Calc!$I$2:$J$8,2,FALSE),0),"")))</f>
        <v/>
      </c>
      <c r="AZ333" s="10" t="str">
        <f>IF(K333="","",
IF(AX333="PT",VLOOKUP(K333,Foundation_Calc!$K$79:$R$113,VLOOKUP(AW333,Foundation_Calc!$I$2:$J$8,2,FALSE),0),
IF(AX333="K",VLOOKUP(K333,Foundation_Calc!$K$117:$R$151,VLOOKUP(AW333,Foundation_Calc!$I$2:$J$8,2,FALSE),0),"")))</f>
        <v/>
      </c>
      <c r="BA333" s="495" t="str">
        <f t="shared" si="38"/>
        <v/>
      </c>
      <c r="BB333" s="495" t="str">
        <f t="shared" si="39"/>
        <v/>
      </c>
      <c r="BC333" s="495" t="str">
        <f t="shared" si="40"/>
        <v/>
      </c>
      <c r="BD333" s="513" t="str">
        <f>IF(AND(L333="",H333=""),"",
IF(H333="",Pole_Calc!A$9,
IF(H333="MP",Pole_Calc!A$10,
IF(H333="AnMP",Pole_Calc!A$11,
IF(H333="A",Pole_Calc!A$12,
IF(H333="S/A",Pole_Calc!A$13,
IF(H333="A/S",Pole_Calc!A$14,"Poner a mano")))))))</f>
        <v/>
      </c>
      <c r="BE333" s="429" t="s">
        <v>118</v>
      </c>
      <c r="BF333" s="290"/>
      <c r="BG333" s="290"/>
      <c r="BH333" s="290"/>
      <c r="BI333" s="290"/>
    </row>
    <row r="334" spans="1:61" ht="16.149999999999999" customHeight="1">
      <c r="A334" s="514"/>
      <c r="B334" s="450" t="s">
        <v>363</v>
      </c>
      <c r="C334" s="3">
        <f>+$C$332+$G$333</f>
        <v>38299.649999999987</v>
      </c>
      <c r="D334" s="83"/>
      <c r="E334" s="4"/>
      <c r="F334" s="4">
        <f>IF(C334&gt;0,VLOOKUP(C334,'ALIGNMENT TRACK'!$A$1:$K$81,9,1))</f>
        <v>-1000</v>
      </c>
      <c r="G334" s="6"/>
      <c r="H334" s="449"/>
      <c r="I334" s="4"/>
      <c r="J334" s="3"/>
      <c r="K334" s="449"/>
      <c r="L334" s="541" t="s">
        <v>158</v>
      </c>
      <c r="M334" s="449" t="str">
        <f>IF(L334="","",
IF(AX334="PT",VLOOKUP(L334,Foundation_Calc!$V$79:$X$113,VLOOKUP(AX334,Foundation_Calc!$I$10:$J$13,2,FALSE),0),
IF(AX334="K",VLOOKUP(L334,Foundation_Calc!$V$117:$X$151,VLOOKUP(AX334,Foundation_Calc!$I$10:$J$13,2,FALSE),0),"")))</f>
        <v>C4R</v>
      </c>
      <c r="N334" s="449" t="s">
        <v>134</v>
      </c>
      <c r="O334" s="449"/>
      <c r="P334" s="449"/>
      <c r="Q334" s="4"/>
      <c r="R334" s="6"/>
      <c r="S334" s="6"/>
      <c r="T334" s="4">
        <v>30</v>
      </c>
      <c r="U334" s="4"/>
      <c r="V334" s="4"/>
      <c r="W334" s="9">
        <v>1.4</v>
      </c>
      <c r="X334" s="9"/>
      <c r="Y334" s="9"/>
      <c r="Z334" s="9"/>
      <c r="AA334" s="9"/>
      <c r="AB334" s="9"/>
      <c r="AC334" s="449" t="str">
        <f t="shared" si="41"/>
        <v>PHC</v>
      </c>
      <c r="AD334" s="449"/>
      <c r="AE334" s="449"/>
      <c r="AF334" s="4"/>
      <c r="AG334" s="83"/>
      <c r="AH334" s="4"/>
      <c r="AI334" s="4"/>
      <c r="AJ334" s="449"/>
      <c r="AK334" s="449"/>
      <c r="AL334" s="449"/>
      <c r="AM334" s="449" t="s">
        <v>126</v>
      </c>
      <c r="AN334" s="10">
        <v>5.5</v>
      </c>
      <c r="AO334" s="9"/>
      <c r="AP334" s="9"/>
      <c r="AQ334" s="9"/>
      <c r="AR334" s="9"/>
      <c r="AS334" s="9"/>
      <c r="AT334" s="9">
        <f>+ab($T$334,$T$332,$T$336,$G$333,$G$335,-1*$F$334,1200)</f>
        <v>3.9912951206966776</v>
      </c>
      <c r="AU334" s="428"/>
      <c r="AV334" s="428"/>
      <c r="AW334" s="449" t="str">
        <f>IF(C334&gt;0,VLOOKUP(C334,Foundation_Calc!$A$2:$C$13,3,1),
IF(J334&gt;0,VLOOKUP(J334,Foundation_Calc!$A$2:$C$13,3,1),""))</f>
        <v>Multi Soil</v>
      </c>
      <c r="AX334" s="449" t="str">
        <f>IF(C334&gt;0,VLOOKUP(C334,Foundation_Calc!$E$2:$G$33,3,1),
IF(J334&gt;0,VLOOKUP(J334,Foundation_Calc!$E$2:$G$33,3,1),""))</f>
        <v>PT</v>
      </c>
      <c r="AY334" s="10">
        <f>IF(L334="","",
IF(AX334="PT",VLOOKUP(L334,Foundation_Calc!$K$79:$R$113,VLOOKUP(AW334,Foundation_Calc!$I$2:$J$8,2,FALSE),0),
IF(AX334="K",VLOOKUP(L334,Foundation_Calc!$K$117:$R$151,VLOOKUP(AW334,Foundation_Calc!$I$2:$J$8,2,FALSE),0),"")))</f>
        <v>3.5</v>
      </c>
      <c r="AZ334" s="10" t="str">
        <f>IF(K334="","",
IF(AX334="PT",VLOOKUP(K334,Foundation_Calc!$K$79:$R$113,VLOOKUP(AW334,Foundation_Calc!$I$2:$J$8,2,FALSE),0),
IF(AX334="K",VLOOKUP(K334,Foundation_Calc!$K$117:$R$151,VLOOKUP(AW334,Foundation_Calc!$I$2:$J$8,2,FALSE),0),"")))</f>
        <v/>
      </c>
      <c r="BA334" s="495" t="str">
        <f t="shared" si="38"/>
        <v>ü</v>
      </c>
      <c r="BB334" s="495" t="str">
        <f t="shared" si="39"/>
        <v/>
      </c>
      <c r="BC334" s="495" t="str">
        <f t="shared" si="40"/>
        <v/>
      </c>
      <c r="BD334" s="513" t="str">
        <f>IF(AND(L334="",H334=""),"",
IF(H334="",Pole_Calc!A$9,
IF(H334="MP",Pole_Calc!A$10,
IF(H334="AnMP",Pole_Calc!A$11,
IF(H334="A",Pole_Calc!A$12,
IF(H334="S/A",Pole_Calc!A$13,
IF(H334="A/S",Pole_Calc!A$14,"Poner a mano")))))))</f>
        <v>App.7-V11I-P9.5.1.1</v>
      </c>
      <c r="BE334" s="429" t="s">
        <v>118</v>
      </c>
      <c r="BF334" s="289"/>
      <c r="BG334" s="289"/>
      <c r="BH334" s="290"/>
      <c r="BI334" s="289"/>
    </row>
    <row r="335" spans="1:61" ht="16.149999999999999" customHeight="1">
      <c r="A335" s="514"/>
      <c r="B335" s="450"/>
      <c r="C335" s="3"/>
      <c r="D335" s="83"/>
      <c r="E335" s="4"/>
      <c r="F335" s="4"/>
      <c r="G335" s="6">
        <v>48</v>
      </c>
      <c r="H335" s="449"/>
      <c r="I335" s="4"/>
      <c r="J335" s="3"/>
      <c r="K335" s="449"/>
      <c r="L335" s="449"/>
      <c r="M335" s="449" t="str">
        <f>IF(L335="","",
IF(AX335="PT",VLOOKUP(L335,Foundation_Calc!$V$79:$X$113,VLOOKUP(AX335,Foundation_Calc!$I$10:$J$13,2,FALSE),0),
IF(AX335="K",VLOOKUP(L335,Foundation_Calc!$V$117:$X$151,VLOOKUP(AX335,Foundation_Calc!$I$10:$J$13,2,FALSE),0),"")))</f>
        <v/>
      </c>
      <c r="N335" s="449"/>
      <c r="O335" s="449"/>
      <c r="P335" s="449"/>
      <c r="Q335" s="4"/>
      <c r="R335" s="6"/>
      <c r="S335" s="6"/>
      <c r="T335" s="4"/>
      <c r="U335" s="4"/>
      <c r="V335" s="4"/>
      <c r="W335" s="9"/>
      <c r="X335" s="9"/>
      <c r="Y335" s="9"/>
      <c r="Z335" s="9"/>
      <c r="AA335" s="9"/>
      <c r="AB335" s="9"/>
      <c r="AC335" s="449" t="str">
        <f t="shared" si="41"/>
        <v/>
      </c>
      <c r="AD335" s="449"/>
      <c r="AE335" s="449"/>
      <c r="AF335" s="4"/>
      <c r="AG335" s="83"/>
      <c r="AH335" s="4"/>
      <c r="AI335" s="4"/>
      <c r="AJ335" s="449"/>
      <c r="AK335" s="449"/>
      <c r="AL335" s="449"/>
      <c r="AM335" s="449"/>
      <c r="AN335" s="10"/>
      <c r="AO335" s="9"/>
      <c r="AP335" s="9"/>
      <c r="AQ335" s="9">
        <f>+FL_1($T$336,$T$334,$G$335,1200,9.28,-1*$F$336)</f>
        <v>0.30005441130447724</v>
      </c>
      <c r="AR335" s="9"/>
      <c r="AS335" s="9"/>
      <c r="AT335" s="9"/>
      <c r="AU335" s="428"/>
      <c r="AV335" s="428"/>
      <c r="AW335" s="449" t="str">
        <f>IF(C335&gt;0,VLOOKUP(C335,Foundation_Calc!$A$2:$C$13,3,1),
IF(J335&gt;0,VLOOKUP(J335,Foundation_Calc!$A$2:$C$13,3,1),""))</f>
        <v/>
      </c>
      <c r="AX335" s="449" t="str">
        <f>IF(C335&gt;0,VLOOKUP(C335,Foundation_Calc!$E$2:$G$33,3,1),
IF(J335&gt;0,VLOOKUP(J335,Foundation_Calc!$E$2:$G$33,3,1),""))</f>
        <v/>
      </c>
      <c r="AY335" s="10" t="str">
        <f>IF(L335="","",
IF(AX335="PT",VLOOKUP(L335,Foundation_Calc!$K$79:$R$113,VLOOKUP(AW335,Foundation_Calc!$I$2:$J$8,2,FALSE),0),
IF(AX335="K",VLOOKUP(L335,Foundation_Calc!$K$117:$R$151,VLOOKUP(AW335,Foundation_Calc!$I$2:$J$8,2,FALSE),0),"")))</f>
        <v/>
      </c>
      <c r="AZ335" s="10" t="str">
        <f>IF(K335="","",
IF(AX335="PT",VLOOKUP(K335,Foundation_Calc!$K$79:$R$113,VLOOKUP(AW335,Foundation_Calc!$I$2:$J$8,2,FALSE),0),
IF(AX335="K",VLOOKUP(K335,Foundation_Calc!$K$117:$R$151,VLOOKUP(AW335,Foundation_Calc!$I$2:$J$8,2,FALSE),0),"")))</f>
        <v/>
      </c>
      <c r="BA335" s="497" t="str">
        <f t="shared" si="38"/>
        <v/>
      </c>
      <c r="BB335" s="497" t="str">
        <f t="shared" si="39"/>
        <v/>
      </c>
      <c r="BC335" s="497" t="str">
        <f t="shared" si="40"/>
        <v/>
      </c>
      <c r="BD335" s="513" t="str">
        <f>IF(AND(L335="",H335=""),"",
IF(H335="",Pole_Calc!A$9,
IF(H335="MP",Pole_Calc!A$10,
IF(H335="AnMP",Pole_Calc!A$11,
IF(H335="A",Pole_Calc!A$12,
IF(H335="S/A",Pole_Calc!A$13,
IF(H335="A/S",Pole_Calc!A$14,"Poner a mano")))))))</f>
        <v/>
      </c>
      <c r="BE335" s="429" t="s">
        <v>118</v>
      </c>
      <c r="BF335" s="290"/>
      <c r="BG335" s="290"/>
      <c r="BH335" s="290"/>
      <c r="BI335" s="290"/>
    </row>
    <row r="336" spans="1:61" ht="16.149999999999999" customHeight="1">
      <c r="A336" s="514"/>
      <c r="B336" s="450" t="s">
        <v>364</v>
      </c>
      <c r="C336" s="3">
        <f>+$C$334+$G$335</f>
        <v>38347.649999999987</v>
      </c>
      <c r="D336" s="83"/>
      <c r="E336" s="4"/>
      <c r="F336" s="4">
        <f>IF(C336&gt;0,VLOOKUP(C336,'ALIGNMENT TRACK'!$A$1:$K$81,9,1))</f>
        <v>-1000</v>
      </c>
      <c r="G336" s="6"/>
      <c r="H336" s="449"/>
      <c r="I336" s="4"/>
      <c r="J336" s="3"/>
      <c r="K336" s="449"/>
      <c r="L336" s="541" t="s">
        <v>158</v>
      </c>
      <c r="M336" s="449" t="str">
        <f>IF(L336="","",
IF(AX336="PT",VLOOKUP(L336,Foundation_Calc!$V$79:$X$113,VLOOKUP(AX336,Foundation_Calc!$I$10:$J$13,2,FALSE),0),
IF(AX336="K",VLOOKUP(L336,Foundation_Calc!$V$117:$X$151,VLOOKUP(AX336,Foundation_Calc!$I$10:$J$13,2,FALSE),0),"")))</f>
        <v>C4R</v>
      </c>
      <c r="N336" s="449" t="s">
        <v>134</v>
      </c>
      <c r="O336" s="449"/>
      <c r="P336" s="449"/>
      <c r="Q336" s="4"/>
      <c r="R336" s="6"/>
      <c r="S336" s="6"/>
      <c r="T336" s="4">
        <v>30</v>
      </c>
      <c r="U336" s="4"/>
      <c r="V336" s="4"/>
      <c r="W336" s="9">
        <v>1.4</v>
      </c>
      <c r="X336" s="9"/>
      <c r="Y336" s="9"/>
      <c r="Z336" s="9"/>
      <c r="AA336" s="9"/>
      <c r="AB336" s="9"/>
      <c r="AC336" s="449" t="str">
        <f t="shared" si="41"/>
        <v>PHC</v>
      </c>
      <c r="AD336" s="449"/>
      <c r="AE336" s="449"/>
      <c r="AF336" s="4"/>
      <c r="AG336" s="83"/>
      <c r="AH336" s="4"/>
      <c r="AI336" s="4"/>
      <c r="AJ336" s="449"/>
      <c r="AK336" s="449"/>
      <c r="AL336" s="449"/>
      <c r="AM336" s="449" t="s">
        <v>126</v>
      </c>
      <c r="AN336" s="10">
        <v>5.5</v>
      </c>
      <c r="AO336" s="9"/>
      <c r="AP336" s="9"/>
      <c r="AQ336" s="9"/>
      <c r="AR336" s="9"/>
      <c r="AS336" s="9"/>
      <c r="AT336" s="9">
        <f>+ab($T$336,$T$334,$T$338,$G$335,$G$337,-1*$F$336,1200)</f>
        <v>3.9912951206966776</v>
      </c>
      <c r="AU336" s="428"/>
      <c r="AV336" s="428"/>
      <c r="AW336" s="449" t="str">
        <f>IF(C336&gt;0,VLOOKUP(C336,Foundation_Calc!$A$2:$C$13,3,1),
IF(J336&gt;0,VLOOKUP(J336,Foundation_Calc!$A$2:$C$13,3,1),""))</f>
        <v>Multi Soil</v>
      </c>
      <c r="AX336" s="449" t="str">
        <f>IF(C336&gt;0,VLOOKUP(C336,Foundation_Calc!$E$2:$G$33,3,1),
IF(J336&gt;0,VLOOKUP(J336,Foundation_Calc!$E$2:$G$33,3,1),""))</f>
        <v>PT</v>
      </c>
      <c r="AY336" s="10">
        <f>IF(L336="","",
IF(AX336="PT",VLOOKUP(L336,Foundation_Calc!$K$79:$R$113,VLOOKUP(AW336,Foundation_Calc!$I$2:$J$8,2,FALSE),0),
IF(AX336="K",VLOOKUP(L336,Foundation_Calc!$K$117:$R$151,VLOOKUP(AW336,Foundation_Calc!$I$2:$J$8,2,FALSE),0),"")))</f>
        <v>3.5</v>
      </c>
      <c r="AZ336" s="10" t="str">
        <f>IF(K336="","",
IF(AX336="PT",VLOOKUP(K336,Foundation_Calc!$K$79:$R$113,VLOOKUP(AW336,Foundation_Calc!$I$2:$J$8,2,FALSE),0),
IF(AX336="K",VLOOKUP(K336,Foundation_Calc!$K$117:$R$151,VLOOKUP(AW336,Foundation_Calc!$I$2:$J$8,2,FALSE),0),"")))</f>
        <v/>
      </c>
      <c r="BA336" s="495" t="str">
        <f t="shared" si="38"/>
        <v>ü</v>
      </c>
      <c r="BB336" s="495" t="str">
        <f t="shared" si="39"/>
        <v/>
      </c>
      <c r="BC336" s="495" t="str">
        <f t="shared" si="40"/>
        <v/>
      </c>
      <c r="BD336" s="513" t="str">
        <f>IF(AND(L336="",H336=""),"",
IF(H336="",Pole_Calc!A$9,
IF(H336="MP",Pole_Calc!A$10,
IF(H336="AnMP",Pole_Calc!A$11,
IF(H336="A",Pole_Calc!A$12,
IF(H336="S/A",Pole_Calc!A$13,
IF(H336="A/S",Pole_Calc!A$14,"Poner a mano")))))))</f>
        <v>App.7-V11I-P9.5.1.1</v>
      </c>
      <c r="BE336" s="429" t="s">
        <v>118</v>
      </c>
      <c r="BF336" s="289"/>
      <c r="BG336" s="289"/>
      <c r="BH336" s="290"/>
      <c r="BI336" s="289"/>
    </row>
    <row r="337" spans="1:61" ht="16.149999999999999" customHeight="1">
      <c r="A337" s="514"/>
      <c r="B337" s="450"/>
      <c r="C337" s="3"/>
      <c r="D337" s="83"/>
      <c r="E337" s="4"/>
      <c r="F337" s="4"/>
      <c r="G337" s="6">
        <v>48</v>
      </c>
      <c r="H337" s="449"/>
      <c r="I337" s="4"/>
      <c r="J337" s="3"/>
      <c r="K337" s="449"/>
      <c r="L337" s="449"/>
      <c r="M337" s="449" t="str">
        <f>IF(L337="","",
IF(AX337="PT",VLOOKUP(L337,Foundation_Calc!$V$79:$X$113,VLOOKUP(AX337,Foundation_Calc!$I$10:$J$13,2,FALSE),0),
IF(AX337="K",VLOOKUP(L337,Foundation_Calc!$V$117:$X$151,VLOOKUP(AX337,Foundation_Calc!$I$10:$J$13,2,FALSE),0),"")))</f>
        <v/>
      </c>
      <c r="N337" s="449"/>
      <c r="O337" s="449"/>
      <c r="P337" s="449"/>
      <c r="Q337" s="4"/>
      <c r="R337" s="6"/>
      <c r="S337" s="6"/>
      <c r="T337" s="4"/>
      <c r="U337" s="4"/>
      <c r="V337" s="4"/>
      <c r="W337" s="9"/>
      <c r="X337" s="9"/>
      <c r="Y337" s="9"/>
      <c r="Z337" s="9"/>
      <c r="AA337" s="9"/>
      <c r="AB337" s="9"/>
      <c r="AC337" s="449" t="str">
        <f t="shared" si="41"/>
        <v/>
      </c>
      <c r="AD337" s="449"/>
      <c r="AE337" s="449"/>
      <c r="AF337" s="4"/>
      <c r="AG337" s="83"/>
      <c r="AH337" s="4"/>
      <c r="AI337" s="4"/>
      <c r="AJ337" s="449"/>
      <c r="AK337" s="449"/>
      <c r="AL337" s="449"/>
      <c r="AM337" s="449"/>
      <c r="AN337" s="10"/>
      <c r="AO337" s="9"/>
      <c r="AP337" s="9"/>
      <c r="AQ337" s="9">
        <f>+FL_1($T$338,$T$336,$G$337,1200,9.28,-1*$F$338)</f>
        <v>0.30005441130447724</v>
      </c>
      <c r="AR337" s="9"/>
      <c r="AS337" s="9"/>
      <c r="AT337" s="9"/>
      <c r="AU337" s="428"/>
      <c r="AV337" s="428"/>
      <c r="AW337" s="449" t="str">
        <f>IF(C337&gt;0,VLOOKUP(C337,Foundation_Calc!$A$2:$C$13,3,1),
IF(J337&gt;0,VLOOKUP(J337,Foundation_Calc!$A$2:$C$13,3,1),""))</f>
        <v/>
      </c>
      <c r="AX337" s="449" t="str">
        <f>IF(C337&gt;0,VLOOKUP(C337,Foundation_Calc!$E$2:$G$33,3,1),
IF(J337&gt;0,VLOOKUP(J337,Foundation_Calc!$E$2:$G$33,3,1),""))</f>
        <v/>
      </c>
      <c r="AY337" s="10" t="str">
        <f>IF(L337="","",
IF(AX337="PT",VLOOKUP(L337,Foundation_Calc!$K$79:$R$113,VLOOKUP(AW337,Foundation_Calc!$I$2:$J$8,2,FALSE),0),
IF(AX337="K",VLOOKUP(L337,Foundation_Calc!$K$117:$R$151,VLOOKUP(AW337,Foundation_Calc!$I$2:$J$8,2,FALSE),0),"")))</f>
        <v/>
      </c>
      <c r="AZ337" s="10" t="str">
        <f>IF(K337="","",
IF(AX337="PT",VLOOKUP(K337,Foundation_Calc!$K$79:$R$113,VLOOKUP(AW337,Foundation_Calc!$I$2:$J$8,2,FALSE),0),
IF(AX337="K",VLOOKUP(K337,Foundation_Calc!$K$117:$R$151,VLOOKUP(AW337,Foundation_Calc!$I$2:$J$8,2,FALSE),0),"")))</f>
        <v/>
      </c>
      <c r="BA337" s="495" t="str">
        <f t="shared" si="38"/>
        <v/>
      </c>
      <c r="BB337" s="495" t="str">
        <f t="shared" si="39"/>
        <v/>
      </c>
      <c r="BC337" s="495" t="str">
        <f t="shared" si="40"/>
        <v/>
      </c>
      <c r="BD337" s="513" t="str">
        <f>IF(AND(L337="",H337=""),"",
IF(H337="",Pole_Calc!A$9,
IF(H337="MP",Pole_Calc!A$10,
IF(H337="AnMP",Pole_Calc!A$11,
IF(H337="A",Pole_Calc!A$12,
IF(H337="S/A",Pole_Calc!A$13,
IF(H337="A/S",Pole_Calc!A$14,"Poner a mano")))))))</f>
        <v/>
      </c>
      <c r="BE337" s="429" t="s">
        <v>118</v>
      </c>
      <c r="BF337" s="290"/>
      <c r="BG337" s="290"/>
      <c r="BH337" s="290"/>
      <c r="BI337" s="290"/>
    </row>
    <row r="338" spans="1:61" ht="16.149999999999999" customHeight="1">
      <c r="A338" s="514"/>
      <c r="B338" s="450" t="s">
        <v>365</v>
      </c>
      <c r="C338" s="3">
        <f>+$C$336+$G$337</f>
        <v>38395.649999999987</v>
      </c>
      <c r="D338" s="83"/>
      <c r="E338" s="4"/>
      <c r="F338" s="4">
        <f>IF(C338&gt;0,VLOOKUP(C338,'ALIGNMENT TRACK'!$A$1:$K$81,9,1))</f>
        <v>-1000</v>
      </c>
      <c r="G338" s="6"/>
      <c r="H338" s="449"/>
      <c r="I338" s="4"/>
      <c r="J338" s="3"/>
      <c r="K338" s="449"/>
      <c r="L338" s="541" t="s">
        <v>158</v>
      </c>
      <c r="M338" s="449" t="str">
        <f>IF(L338="","",
IF(AX338="PT",VLOOKUP(L338,Foundation_Calc!$V$79:$X$113,VLOOKUP(AX338,Foundation_Calc!$I$10:$J$13,2,FALSE),0),
IF(AX338="K",VLOOKUP(L338,Foundation_Calc!$V$117:$X$151,VLOOKUP(AX338,Foundation_Calc!$I$10:$J$13,2,FALSE),0),"")))</f>
        <v>C4R</v>
      </c>
      <c r="N338" s="449" t="s">
        <v>134</v>
      </c>
      <c r="O338" s="449"/>
      <c r="P338" s="449"/>
      <c r="Q338" s="4"/>
      <c r="R338" s="6"/>
      <c r="S338" s="6"/>
      <c r="T338" s="4">
        <v>30</v>
      </c>
      <c r="U338" s="4"/>
      <c r="V338" s="4"/>
      <c r="W338" s="9">
        <v>1.4</v>
      </c>
      <c r="X338" s="9"/>
      <c r="Y338" s="9"/>
      <c r="Z338" s="9"/>
      <c r="AA338" s="9"/>
      <c r="AB338" s="9"/>
      <c r="AC338" s="449" t="str">
        <f t="shared" si="41"/>
        <v>PHC</v>
      </c>
      <c r="AD338" s="449"/>
      <c r="AE338" s="449"/>
      <c r="AF338" s="4"/>
      <c r="AG338" s="83"/>
      <c r="AH338" s="4"/>
      <c r="AI338" s="4"/>
      <c r="AJ338" s="449"/>
      <c r="AK338" s="449"/>
      <c r="AL338" s="449"/>
      <c r="AM338" s="449" t="s">
        <v>126</v>
      </c>
      <c r="AN338" s="10">
        <v>5.5</v>
      </c>
      <c r="AO338" s="9"/>
      <c r="AP338" s="9"/>
      <c r="AQ338" s="9"/>
      <c r="AR338" s="9"/>
      <c r="AS338" s="9"/>
      <c r="AT338" s="9">
        <f>+ab($T$338,$T$336,$T$340,$G$337,$G$339,-1*$F$338,1200)</f>
        <v>4.0795374582575583</v>
      </c>
      <c r="AU338" s="428"/>
      <c r="AV338" s="428"/>
      <c r="AW338" s="449" t="str">
        <f>IF(C338&gt;0,VLOOKUP(C338,Foundation_Calc!$A$2:$C$13,3,1),
IF(J338&gt;0,VLOOKUP(J338,Foundation_Calc!$A$2:$C$13,3,1),""))</f>
        <v>Multi Soil</v>
      </c>
      <c r="AX338" s="449" t="str">
        <f>IF(C338&gt;0,VLOOKUP(C338,Foundation_Calc!$E$2:$G$33,3,1),
IF(J338&gt;0,VLOOKUP(J338,Foundation_Calc!$E$2:$G$33,3,1),""))</f>
        <v>PT</v>
      </c>
      <c r="AY338" s="10">
        <f>IF(L338="","",
IF(AX338="PT",VLOOKUP(L338,Foundation_Calc!$K$79:$R$113,VLOOKUP(AW338,Foundation_Calc!$I$2:$J$8,2,FALSE),0),
IF(AX338="K",VLOOKUP(L338,Foundation_Calc!$K$117:$R$151,VLOOKUP(AW338,Foundation_Calc!$I$2:$J$8,2,FALSE),0),"")))</f>
        <v>3.5</v>
      </c>
      <c r="AZ338" s="10" t="str">
        <f>IF(K338="","",
IF(AX338="PT",VLOOKUP(K338,Foundation_Calc!$K$79:$R$113,VLOOKUP(AW338,Foundation_Calc!$I$2:$J$8,2,FALSE),0),
IF(AX338="K",VLOOKUP(K338,Foundation_Calc!$K$117:$R$151,VLOOKUP(AW338,Foundation_Calc!$I$2:$J$8,2,FALSE),0),"")))</f>
        <v/>
      </c>
      <c r="BA338" s="495" t="str">
        <f t="shared" si="38"/>
        <v>ü</v>
      </c>
      <c r="BB338" s="495" t="str">
        <f t="shared" si="39"/>
        <v/>
      </c>
      <c r="BC338" s="495" t="str">
        <f t="shared" si="40"/>
        <v/>
      </c>
      <c r="BD338" s="513" t="str">
        <f>IF(AND(L338="",H338=""),"",
IF(H338="",Pole_Calc!A$9,
IF(H338="MP",Pole_Calc!A$10,
IF(H338="AnMP",Pole_Calc!A$11,
IF(H338="A",Pole_Calc!A$12,
IF(H338="S/A",Pole_Calc!A$13,
IF(H338="A/S",Pole_Calc!A$14,"Poner a mano")))))))</f>
        <v>App.7-V11I-P9.5.1.1</v>
      </c>
      <c r="BE338" s="429" t="s">
        <v>118</v>
      </c>
      <c r="BF338" s="289"/>
      <c r="BG338" s="289"/>
      <c r="BH338" s="290"/>
      <c r="BI338" s="289"/>
    </row>
    <row r="339" spans="1:61" ht="16.149999999999999" customHeight="1">
      <c r="A339" s="514" t="s">
        <v>366</v>
      </c>
      <c r="B339" s="450"/>
      <c r="C339" s="3"/>
      <c r="D339" s="83"/>
      <c r="E339" s="4"/>
      <c r="F339" s="4"/>
      <c r="G339" s="6">
        <v>48</v>
      </c>
      <c r="H339" s="449"/>
      <c r="I339" s="4"/>
      <c r="J339" s="3">
        <f>C340-7.5</f>
        <v>38436.149999999987</v>
      </c>
      <c r="K339" s="449" t="s">
        <v>117</v>
      </c>
      <c r="L339" s="449"/>
      <c r="M339" s="449" t="str">
        <f>IF(L339="","",
IF(AX339="PT",VLOOKUP(L339,Foundation_Calc!$V$79:$X$113,VLOOKUP(AX339,Foundation_Calc!$I$10:$J$13,2,FALSE),0),
IF(AX339="K",VLOOKUP(L339,Foundation_Calc!$V$117:$X$151,VLOOKUP(AX339,Foundation_Calc!$I$10:$J$13,2,FALSE),0),"")))</f>
        <v/>
      </c>
      <c r="N339" s="449"/>
      <c r="O339" s="449"/>
      <c r="P339" s="449"/>
      <c r="Q339" s="4"/>
      <c r="R339" s="6"/>
      <c r="S339" s="6"/>
      <c r="T339" s="4"/>
      <c r="U339" s="4"/>
      <c r="V339" s="4"/>
      <c r="W339" s="9"/>
      <c r="X339" s="9"/>
      <c r="Y339" s="9"/>
      <c r="Z339" s="9"/>
      <c r="AA339" s="9"/>
      <c r="AB339" s="9"/>
      <c r="AC339" s="449" t="str">
        <f t="shared" si="41"/>
        <v/>
      </c>
      <c r="AD339" s="449"/>
      <c r="AE339" s="449"/>
      <c r="AF339" s="4"/>
      <c r="AG339" s="83"/>
      <c r="AH339" s="4"/>
      <c r="AI339" s="4"/>
      <c r="AJ339" s="449"/>
      <c r="AK339" s="449"/>
      <c r="AL339" s="449"/>
      <c r="AM339" s="449"/>
      <c r="AN339" s="10"/>
      <c r="AO339" s="9"/>
      <c r="AP339" s="9"/>
      <c r="AQ339" s="9">
        <f>+FL_1($T$340,$T$338,$G$339,1200,9.28,-1*$F$340)</f>
        <v>0.3500185169753976</v>
      </c>
      <c r="AR339" s="9"/>
      <c r="AS339" s="9"/>
      <c r="AT339" s="9"/>
      <c r="AU339" s="428"/>
      <c r="AV339" s="428"/>
      <c r="AW339" s="449" t="str">
        <f>IF(C339&gt;0,VLOOKUP(C339,Foundation_Calc!$A$2:$C$13,3,1),
IF(J339&gt;0,VLOOKUP(J339,Foundation_Calc!$A$2:$C$13,3,1),""))</f>
        <v>Multi Soil</v>
      </c>
      <c r="AX339" s="449" t="str">
        <f>IF(C339&gt;0,VLOOKUP(C339,Foundation_Calc!$E$2:$G$33,3,1),
IF(J339&gt;0,VLOOKUP(J339,Foundation_Calc!$E$2:$G$33,3,1),""))</f>
        <v>PT</v>
      </c>
      <c r="AY339" s="10" t="str">
        <f>IF(L339="","",
IF(AX339="PT",VLOOKUP(L339,Foundation_Calc!$K$79:$R$113,VLOOKUP(AW339,Foundation_Calc!$I$2:$J$8,2,FALSE),0),
IF(AX339="K",VLOOKUP(L339,Foundation_Calc!$K$117:$R$151,VLOOKUP(AW339,Foundation_Calc!$I$2:$J$8,2,FALSE),0),"")))</f>
        <v/>
      </c>
      <c r="AZ339" s="10">
        <f>IF(K339="","",
IF(AX339="PT",VLOOKUP(K339,Foundation_Calc!$K$79:$R$113,VLOOKUP(AW339,Foundation_Calc!$I$2:$J$8,2,FALSE),0),
IF(AX339="K",VLOOKUP(K339,Foundation_Calc!$K$117:$R$151,VLOOKUP(AW339,Foundation_Calc!$I$2:$J$8,2,FALSE),0),"")))</f>
        <v>3.9</v>
      </c>
      <c r="BA339" s="495" t="str">
        <f t="shared" si="38"/>
        <v/>
      </c>
      <c r="BB339" s="495" t="str">
        <f t="shared" si="39"/>
        <v>ü</v>
      </c>
      <c r="BC339" s="495" t="str">
        <f t="shared" si="40"/>
        <v/>
      </c>
      <c r="BD339" s="513" t="str">
        <f>IF(AND(L339="",H339=""),"",
IF(H339="",Pole_Calc!A$9,
IF(H339="MP",Pole_Calc!A$10,
IF(H339="AnMP",Pole_Calc!A$11,
IF(H339="A",Pole_Calc!A$12,
IF(H339="S/A",Pole_Calc!A$13,
IF(H339="A/S",Pole_Calc!A$14,"Poner a mano")))))))</f>
        <v/>
      </c>
      <c r="BE339" s="429" t="s">
        <v>118</v>
      </c>
      <c r="BF339" s="290"/>
      <c r="BG339" s="290"/>
      <c r="BH339" s="290"/>
      <c r="BI339" s="290"/>
    </row>
    <row r="340" spans="1:61" ht="16.149999999999999" customHeight="1">
      <c r="A340" s="514" t="s">
        <v>367</v>
      </c>
      <c r="B340" s="450" t="s">
        <v>368</v>
      </c>
      <c r="C340" s="3">
        <f>+$C$338+$G$339</f>
        <v>38443.649999999987</v>
      </c>
      <c r="D340" s="83"/>
      <c r="E340" s="4"/>
      <c r="F340" s="4">
        <f>(346^2)/(C340-38530.83)</f>
        <v>-1373.2048635005692</v>
      </c>
      <c r="G340" s="6"/>
      <c r="H340" s="449" t="s">
        <v>121</v>
      </c>
      <c r="I340" s="4" t="s">
        <v>122</v>
      </c>
      <c r="J340" s="3"/>
      <c r="K340" s="449"/>
      <c r="L340" s="449" t="s">
        <v>181</v>
      </c>
      <c r="M340" s="449" t="str">
        <f>IF(L340="","",
IF(AX340="PT",VLOOKUP(L340,Foundation_Calc!$V$79:$X$113,VLOOKUP(AX340,Foundation_Calc!$I$10:$J$13,2,FALSE),0),
IF(AX340="K",VLOOKUP(L340,Foundation_Calc!$V$117:$X$151,VLOOKUP(AX340,Foundation_Calc!$I$10:$J$13,2,FALSE),0),"")))</f>
        <v>C5R</v>
      </c>
      <c r="N340" s="449" t="s">
        <v>134</v>
      </c>
      <c r="O340" s="449"/>
      <c r="P340" s="449"/>
      <c r="Q340" s="4"/>
      <c r="R340" s="6"/>
      <c r="S340" s="6"/>
      <c r="T340" s="4">
        <v>35</v>
      </c>
      <c r="U340" s="4"/>
      <c r="V340" s="4"/>
      <c r="W340" s="9">
        <v>1.4</v>
      </c>
      <c r="X340" s="9"/>
      <c r="Y340" s="9"/>
      <c r="Z340" s="9"/>
      <c r="AA340" s="9"/>
      <c r="AB340" s="9"/>
      <c r="AC340" s="449" t="str">
        <f t="shared" si="41"/>
        <v>PHC</v>
      </c>
      <c r="AD340" s="449"/>
      <c r="AE340" s="449"/>
      <c r="AF340" s="4"/>
      <c r="AG340" s="83"/>
      <c r="AH340" s="4"/>
      <c r="AI340" s="4"/>
      <c r="AJ340" s="449"/>
      <c r="AK340" s="449"/>
      <c r="AL340" s="449"/>
      <c r="AM340" s="449" t="s">
        <v>126</v>
      </c>
      <c r="AN340" s="10">
        <v>5.5</v>
      </c>
      <c r="AO340" s="9"/>
      <c r="AP340" s="9"/>
      <c r="AQ340" s="9"/>
      <c r="AR340" s="9"/>
      <c r="AS340" s="9"/>
      <c r="AT340" s="9">
        <f>+ab($T$340,$T$338,$T$342,$G$339,$G$341,-1*$F$340,1200)</f>
        <v>4.3387644306737467</v>
      </c>
      <c r="AU340" s="428"/>
      <c r="AV340" s="428"/>
      <c r="AW340" s="449" t="str">
        <f>IF(C340&gt;0,VLOOKUP(C340,Foundation_Calc!$A$2:$C$13,3,1),
IF(J340&gt;0,VLOOKUP(J340,Foundation_Calc!$A$2:$C$13,3,1),""))</f>
        <v>Multi Soil</v>
      </c>
      <c r="AX340" s="449" t="str">
        <f>IF(C340&gt;0,VLOOKUP(C340,Foundation_Calc!$E$2:$G$33,3,1),
IF(J340&gt;0,VLOOKUP(J340,Foundation_Calc!$E$2:$G$33,3,1),""))</f>
        <v>PT</v>
      </c>
      <c r="AY340" s="10">
        <f>IF(L340="","",
IF(AX340="PT",VLOOKUP(L340,Foundation_Calc!$K$79:$R$113,VLOOKUP(AW340,Foundation_Calc!$I$2:$J$8,2,FALSE),0),
IF(AX340="K",VLOOKUP(L340,Foundation_Calc!$K$117:$R$151,VLOOKUP(AW340,Foundation_Calc!$I$2:$J$8,2,FALSE),0),"")))</f>
        <v>3.5</v>
      </c>
      <c r="AZ340" s="10" t="str">
        <f>IF(K340="","",
IF(AX340="PT",VLOOKUP(K340,Foundation_Calc!$K$79:$R$113,VLOOKUP(AW340,Foundation_Calc!$I$2:$J$8,2,FALSE),0),
IF(AX340="K",VLOOKUP(K340,Foundation_Calc!$K$117:$R$151,VLOOKUP(AW340,Foundation_Calc!$I$2:$J$8,2,FALSE),0),"")))</f>
        <v/>
      </c>
      <c r="BA340" s="495" t="str">
        <f t="shared" si="38"/>
        <v>ü</v>
      </c>
      <c r="BB340" s="495" t="str">
        <f t="shared" si="39"/>
        <v/>
      </c>
      <c r="BC340" s="495" t="str">
        <f t="shared" si="40"/>
        <v/>
      </c>
      <c r="BD340" s="513" t="str">
        <f>IF(AND(L340="",H340=""),"",
IF(H340="",Pole_Calc!A$9,
IF(H340="MP",Pole_Calc!A$10,
IF(H340="AnMP",Pole_Calc!A$11,
IF(H340="A",Pole_Calc!A$12,
IF(H340="S/A",Pole_Calc!A$13,
IF(H340="A/S",Pole_Calc!A$14,"Poner a mano")))))))</f>
        <v>App.7-V11I-P9.5.1.6</v>
      </c>
      <c r="BE340" s="429" t="s">
        <v>118</v>
      </c>
      <c r="BF340" s="289"/>
      <c r="BG340" s="289"/>
      <c r="BH340" s="290"/>
      <c r="BI340" s="289"/>
    </row>
    <row r="341" spans="1:61" ht="16.149999999999999" customHeight="1">
      <c r="A341" s="514"/>
      <c r="B341" s="450"/>
      <c r="C341" s="3"/>
      <c r="D341" s="83"/>
      <c r="E341" s="4"/>
      <c r="F341" s="4"/>
      <c r="G341" s="6">
        <v>47</v>
      </c>
      <c r="H341" s="449"/>
      <c r="I341" s="4"/>
      <c r="J341" s="3"/>
      <c r="K341" s="449"/>
      <c r="L341" s="449"/>
      <c r="M341" s="449" t="str">
        <f>IF(L341="","",
IF(AX341="PT",VLOOKUP(L341,Foundation_Calc!$V$79:$X$113,VLOOKUP(AX341,Foundation_Calc!$I$10:$J$13,2,FALSE),0),
IF(AX341="K",VLOOKUP(L341,Foundation_Calc!$V$117:$X$151,VLOOKUP(AX341,Foundation_Calc!$I$10:$J$13,2,FALSE),0),"")))</f>
        <v/>
      </c>
      <c r="N341" s="449"/>
      <c r="O341" s="449"/>
      <c r="P341" s="449"/>
      <c r="Q341" s="4"/>
      <c r="R341" s="6"/>
      <c r="S341" s="6"/>
      <c r="T341" s="4"/>
      <c r="U341" s="4"/>
      <c r="V341" s="4"/>
      <c r="W341" s="572"/>
      <c r="X341" s="9"/>
      <c r="Y341" s="9"/>
      <c r="Z341" s="9"/>
      <c r="AA341" s="9"/>
      <c r="AB341" s="9"/>
      <c r="AC341" s="449" t="str">
        <f t="shared" si="41"/>
        <v/>
      </c>
      <c r="AD341" s="449"/>
      <c r="AE341" s="449"/>
      <c r="AF341" s="4"/>
      <c r="AG341" s="83"/>
      <c r="AH341" s="4"/>
      <c r="AI341" s="4"/>
      <c r="AJ341" s="449"/>
      <c r="AK341" s="449"/>
      <c r="AL341" s="449"/>
      <c r="AM341" s="449"/>
      <c r="AN341" s="10"/>
      <c r="AO341" s="9"/>
      <c r="AP341" s="9"/>
      <c r="AQ341" s="9">
        <f>+FL_2($U$342,$T$340,$G$341,1200,9.28,-1*$F$342)</f>
        <v>-0.32969122394732631</v>
      </c>
      <c r="AR341" s="9"/>
      <c r="AS341" s="9"/>
      <c r="AT341" s="9"/>
      <c r="AU341" s="428"/>
      <c r="AV341" s="428"/>
      <c r="AW341" s="449" t="str">
        <f>IF(C341&gt;0,VLOOKUP(C341,Foundation_Calc!$A$2:$C$13,3,1),
IF(J341&gt;0,VLOOKUP(J341,Foundation_Calc!$A$2:$C$13,3,1),""))</f>
        <v/>
      </c>
      <c r="AX341" s="449" t="str">
        <f>IF(C341&gt;0,VLOOKUP(C341,Foundation_Calc!$E$2:$G$33,3,1),
IF(J341&gt;0,VLOOKUP(J341,Foundation_Calc!$E$2:$G$33,3,1),""))</f>
        <v/>
      </c>
      <c r="AY341" s="10" t="str">
        <f>IF(L341="","",
IF(AX341="PT",VLOOKUP(L341,Foundation_Calc!$K$79:$R$113,VLOOKUP(AW341,Foundation_Calc!$I$2:$J$8,2,FALSE),0),
IF(AX341="K",VLOOKUP(L341,Foundation_Calc!$K$117:$R$151,VLOOKUP(AW341,Foundation_Calc!$I$2:$J$8,2,FALSE),0),"")))</f>
        <v/>
      </c>
      <c r="AZ341" s="10" t="str">
        <f>IF(K341="","",
IF(AX341="PT",VLOOKUP(K341,Foundation_Calc!$K$79:$R$113,VLOOKUP(AW341,Foundation_Calc!$I$2:$J$8,2,FALSE),0),
IF(AX341="K",VLOOKUP(K341,Foundation_Calc!$K$117:$R$151,VLOOKUP(AW341,Foundation_Calc!$I$2:$J$8,2,FALSE),0),"")))</f>
        <v/>
      </c>
      <c r="BA341" s="495" t="str">
        <f t="shared" si="38"/>
        <v/>
      </c>
      <c r="BB341" s="495" t="str">
        <f t="shared" si="39"/>
        <v/>
      </c>
      <c r="BC341" s="495" t="str">
        <f t="shared" si="40"/>
        <v/>
      </c>
      <c r="BD341" s="513" t="str">
        <f>IF(AND(L341="",H341=""),"",
IF(H341="",Pole_Calc!A$9,
IF(H341="MP",Pole_Calc!A$10,
IF(H341="AnMP",Pole_Calc!A$11,
IF(H341="A",Pole_Calc!A$12,
IF(H341="S/A",Pole_Calc!A$13,
IF(H341="A/S",Pole_Calc!A$14,"Poner a mano")))))))</f>
        <v/>
      </c>
      <c r="BE341" s="429" t="s">
        <v>118</v>
      </c>
      <c r="BF341" s="290"/>
      <c r="BG341" s="290"/>
      <c r="BH341" s="290"/>
      <c r="BI341" s="290"/>
    </row>
    <row r="342" spans="1:61" ht="16.149999999999999" customHeight="1">
      <c r="A342" s="514" t="s">
        <v>234</v>
      </c>
      <c r="B342" s="450" t="s">
        <v>369</v>
      </c>
      <c r="C342" s="3">
        <f>+$C$340+$G$341</f>
        <v>38490.649999999987</v>
      </c>
      <c r="D342" s="83"/>
      <c r="E342" s="4"/>
      <c r="F342" s="4">
        <f>(346^2)/(C342-38530.83)</f>
        <v>-2979.4922847176649</v>
      </c>
      <c r="G342" s="6"/>
      <c r="H342" s="449" t="s">
        <v>131</v>
      </c>
      <c r="I342" s="4"/>
      <c r="J342" s="3"/>
      <c r="K342" s="449"/>
      <c r="L342" s="449" t="s">
        <v>298</v>
      </c>
      <c r="M342" s="449" t="str">
        <f>IF(L342="","",
IF(AX342="PT",VLOOKUP(L342,Foundation_Calc!$V$79:$X$113,VLOOKUP(AX342,Foundation_Calc!$I$10:$J$13,2,FALSE),0),
IF(AX342="K",VLOOKUP(L342,Foundation_Calc!$V$117:$X$151,VLOOKUP(AX342,Foundation_Calc!$I$10:$J$13,2,FALSE),0),"")))</f>
        <v>2C3R</v>
      </c>
      <c r="N342" s="449" t="s">
        <v>133</v>
      </c>
      <c r="O342" s="449" t="s">
        <v>124</v>
      </c>
      <c r="P342" s="449"/>
      <c r="Q342" s="4"/>
      <c r="R342" s="6"/>
      <c r="S342" s="6"/>
      <c r="T342" s="4">
        <v>-5</v>
      </c>
      <c r="U342" s="4">
        <v>-25</v>
      </c>
      <c r="V342" s="4"/>
      <c r="W342" s="9">
        <v>1.4</v>
      </c>
      <c r="X342" s="9">
        <v>2.2999999999999998</v>
      </c>
      <c r="Y342" s="9"/>
      <c r="Z342" s="9">
        <v>0.55000000000000004</v>
      </c>
      <c r="AA342" s="9"/>
      <c r="AB342" s="9"/>
      <c r="AC342" s="449"/>
      <c r="AD342" s="449"/>
      <c r="AE342" s="449"/>
      <c r="AF342" s="4"/>
      <c r="AG342" s="83"/>
      <c r="AH342" s="4"/>
      <c r="AI342" s="4"/>
      <c r="AJ342" s="449"/>
      <c r="AK342" s="449"/>
      <c r="AL342" s="449"/>
      <c r="AM342" s="449" t="s">
        <v>126</v>
      </c>
      <c r="AN342" s="10">
        <v>5.5</v>
      </c>
      <c r="AO342" s="9"/>
      <c r="AP342" s="9"/>
      <c r="AQ342" s="9"/>
      <c r="AR342" s="9"/>
      <c r="AS342" s="9"/>
      <c r="AT342" s="9">
        <f>+ab($U$342,$T$340,$U$346,$G$341,$G$343,-1*$F$342,1200)</f>
        <v>-31.32911117500668</v>
      </c>
      <c r="AU342" s="428"/>
      <c r="AV342" s="428"/>
      <c r="AW342" s="449" t="str">
        <f>IF(C342&gt;0,VLOOKUP(C342,Foundation_Calc!$A$2:$C$13,3,1),
IF(J342&gt;0,VLOOKUP(J342,Foundation_Calc!$A$2:$C$13,3,1),""))</f>
        <v>Multi Soil</v>
      </c>
      <c r="AX342" s="449" t="str">
        <f>IF(C342&gt;0,VLOOKUP(C342,Foundation_Calc!$E$2:$G$33,3,1),
IF(J342&gt;0,VLOOKUP(J342,Foundation_Calc!$E$2:$G$33,3,1),""))</f>
        <v>PT</v>
      </c>
      <c r="AY342" s="10">
        <f>IF(L342="","",
IF(AX342="PT",VLOOKUP(L342,Foundation_Calc!$K$79:$R$113,VLOOKUP(AW342,Foundation_Calc!$I$2:$J$8,2,FALSE),0),
IF(AX342="K",VLOOKUP(L342,Foundation_Calc!$K$117:$R$151,VLOOKUP(AW342,Foundation_Calc!$I$2:$J$8,2,FALSE),0),"")))</f>
        <v>4</v>
      </c>
      <c r="AZ342" s="10" t="str">
        <f>IF(K342="","",
IF(AX342="PT",VLOOKUP(K342,Foundation_Calc!$K$79:$R$113,VLOOKUP(AW342,Foundation_Calc!$I$2:$J$8,2,FALSE),0),
IF(AX342="K",VLOOKUP(K342,Foundation_Calc!$K$117:$R$151,VLOOKUP(AW342,Foundation_Calc!$I$2:$J$8,2,FALSE),0),"")))</f>
        <v/>
      </c>
      <c r="BA342" s="495" t="str">
        <f t="shared" si="38"/>
        <v>ü</v>
      </c>
      <c r="BB342" s="495" t="str">
        <f t="shared" si="39"/>
        <v/>
      </c>
      <c r="BC342" s="495" t="str">
        <f t="shared" si="40"/>
        <v/>
      </c>
      <c r="BD342" s="513" t="str">
        <f>IF(AND(L342="",H342=""),"",
IF(H342="",Pole_Calc!A$9,
IF(H342="MP",Pole_Calc!A$10,
IF(H342="AnMP",Pole_Calc!A$11,
IF(H342="A",Pole_Calc!A$12,
IF(H342="S/A",Pole_Calc!A$13,
IF(H342="A/S",Pole_Calc!A$14,"Poner a mano")))))))</f>
        <v>App.7-V11I-P9.5.1.5</v>
      </c>
      <c r="BE342" s="429" t="s">
        <v>118</v>
      </c>
      <c r="BF342" s="289"/>
      <c r="BG342" s="289"/>
      <c r="BH342" s="290"/>
      <c r="BI342" s="289"/>
    </row>
    <row r="343" spans="1:61" ht="16.149999999999999" customHeight="1">
      <c r="A343" s="514" t="s">
        <v>370</v>
      </c>
      <c r="B343" s="450"/>
      <c r="C343" s="3"/>
      <c r="D343" s="83"/>
      <c r="E343" s="4"/>
      <c r="F343" s="4"/>
      <c r="G343" s="6">
        <v>47</v>
      </c>
      <c r="H343" s="449"/>
      <c r="I343" s="4"/>
      <c r="J343" s="3"/>
      <c r="K343" s="449"/>
      <c r="L343" s="449"/>
      <c r="M343" s="449" t="str">
        <f>IF(L343="","",
IF(AX343="PT",VLOOKUP(L343,Foundation_Calc!$V$79:$X$113,VLOOKUP(AX343,Foundation_Calc!$I$10:$J$13,2,FALSE),0),
IF(AX343="K",VLOOKUP(L343,Foundation_Calc!$V$117:$X$151,VLOOKUP(AX343,Foundation_Calc!$I$10:$J$13,2,FALSE),0),"")))</f>
        <v/>
      </c>
      <c r="N343" s="449"/>
      <c r="O343" s="449"/>
      <c r="P343" s="449"/>
      <c r="Q343" s="4"/>
      <c r="R343" s="6"/>
      <c r="S343" s="6"/>
      <c r="T343" s="4"/>
      <c r="U343" s="4"/>
      <c r="V343" s="4"/>
      <c r="W343" s="572"/>
      <c r="X343" s="9"/>
      <c r="Y343" s="9"/>
      <c r="Z343" s="9"/>
      <c r="AA343" s="9"/>
      <c r="AB343" s="9"/>
      <c r="AC343" s="449" t="str">
        <f t="shared" si="41"/>
        <v/>
      </c>
      <c r="AD343" s="449"/>
      <c r="AE343" s="449"/>
      <c r="AF343" s="4"/>
      <c r="AG343" s="83"/>
      <c r="AH343" s="4"/>
      <c r="AI343" s="4"/>
      <c r="AJ343" s="449"/>
      <c r="AK343" s="449"/>
      <c r="AL343" s="449"/>
      <c r="AM343" s="449"/>
      <c r="AN343" s="10"/>
      <c r="AO343" s="9"/>
      <c r="AP343" s="9"/>
      <c r="AQ343" s="9"/>
      <c r="AR343" s="9"/>
      <c r="AS343" s="9"/>
      <c r="AT343" s="9"/>
      <c r="AU343" s="428"/>
      <c r="AV343" s="428"/>
      <c r="AW343" s="449" t="str">
        <f>IF(C343&gt;0,VLOOKUP(C343,Foundation_Calc!$A$2:$C$13,3,1),
IF(J343&gt;0,VLOOKUP(J343,Foundation_Calc!$A$2:$C$13,3,1),""))</f>
        <v/>
      </c>
      <c r="AX343" s="449" t="str">
        <f>IF(C343&gt;0,VLOOKUP(C343,Foundation_Calc!$E$2:$G$33,3,1),
IF(J343&gt;0,VLOOKUP(J343,Foundation_Calc!$E$2:$G$33,3,1),""))</f>
        <v/>
      </c>
      <c r="AY343" s="10" t="str">
        <f>IF(L343="","",
IF(AX343="PT",VLOOKUP(L343,Foundation_Calc!$K$79:$R$113,VLOOKUP(AW343,Foundation_Calc!$I$2:$J$8,2,FALSE),0),
IF(AX343="K",VLOOKUP(L343,Foundation_Calc!$K$117:$R$151,VLOOKUP(AW343,Foundation_Calc!$I$2:$J$8,2,FALSE),0),"")))</f>
        <v/>
      </c>
      <c r="AZ343" s="10" t="str">
        <f>IF(K343="","",
IF(AX343="PT",VLOOKUP(K343,Foundation_Calc!$K$79:$R$113,VLOOKUP(AW343,Foundation_Calc!$I$2:$J$8,2,FALSE),0),
IF(AX343="K",VLOOKUP(K343,Foundation_Calc!$K$117:$R$151,VLOOKUP(AW343,Foundation_Calc!$I$2:$J$8,2,FALSE),0),"")))</f>
        <v/>
      </c>
      <c r="BA343" s="495" t="str">
        <f t="shared" si="38"/>
        <v/>
      </c>
      <c r="BB343" s="495" t="str">
        <f t="shared" si="39"/>
        <v/>
      </c>
      <c r="BC343" s="495" t="str">
        <f t="shared" si="40"/>
        <v/>
      </c>
      <c r="BD343" s="513" t="str">
        <f>IF(AND(L343="",H343=""),"",
IF(H343="",Pole_Calc!A$9,
IF(H343="MP",Pole_Calc!A$10,
IF(H343="AnMP",Pole_Calc!A$11,
IF(H343="A",Pole_Calc!A$12,
IF(H343="S/A",Pole_Calc!A$13,
IF(H343="A/S",Pole_Calc!A$14,"Poner a mano")))))))</f>
        <v/>
      </c>
      <c r="BE343" s="429" t="s">
        <v>118</v>
      </c>
      <c r="BF343" s="290"/>
      <c r="BG343" s="290"/>
      <c r="BH343" s="290"/>
      <c r="BI343" s="290"/>
    </row>
    <row r="344" spans="1:61" ht="16.149999999999999" hidden="1" customHeight="1">
      <c r="A344" s="514"/>
      <c r="B344" s="450" t="s">
        <v>371</v>
      </c>
      <c r="C344" s="3">
        <f>C346-G345</f>
        <v>38532.649999999987</v>
      </c>
      <c r="D344" s="83"/>
      <c r="E344" s="4"/>
      <c r="F344" s="4">
        <f>IF(C344&gt;0,VLOOKUP(C344,'ALIGNMENT TRACK'!$A$1:$K$81,9,1))</f>
        <v>0</v>
      </c>
      <c r="G344" s="6"/>
      <c r="H344" s="449"/>
      <c r="I344" s="4"/>
      <c r="J344" s="3"/>
      <c r="K344" s="449"/>
      <c r="L344" s="449" t="s">
        <v>123</v>
      </c>
      <c r="M344" s="449" t="str">
        <f>IF(L344="","",
IF(AX344="PT",VLOOKUP(L344,Foundation_Calc!$V$79:$X$113,VLOOKUP(AX344,Foundation_Calc!$I$10:$J$13,2,FALSE),0),
IF(AX344="K",VLOOKUP(L344,Foundation_Calc!$V$117:$X$151,VLOOKUP(AX344,Foundation_Calc!$I$10:$J$13,2,FALSE),0),"")))</f>
        <v>C9R</v>
      </c>
      <c r="N344" s="449"/>
      <c r="O344" s="449"/>
      <c r="P344" s="449"/>
      <c r="Q344" s="4"/>
      <c r="R344" s="6"/>
      <c r="S344" s="6"/>
      <c r="T344" s="4"/>
      <c r="U344" s="4"/>
      <c r="V344" s="4"/>
      <c r="W344" s="572"/>
      <c r="X344" s="9"/>
      <c r="Y344" s="9"/>
      <c r="Z344" s="9"/>
      <c r="AA344" s="9"/>
      <c r="AB344" s="9"/>
      <c r="AC344" s="449" t="str">
        <f t="shared" si="41"/>
        <v/>
      </c>
      <c r="AD344" s="449"/>
      <c r="AE344" s="449"/>
      <c r="AF344" s="4"/>
      <c r="AG344" s="83"/>
      <c r="AH344" s="4"/>
      <c r="AI344" s="4"/>
      <c r="AJ344" s="449"/>
      <c r="AK344" s="449"/>
      <c r="AL344" s="449"/>
      <c r="AM344" s="449" t="s">
        <v>126</v>
      </c>
      <c r="AN344" s="10">
        <v>5.5</v>
      </c>
      <c r="AO344" s="9"/>
      <c r="AP344" s="9"/>
      <c r="AQ344" s="9"/>
      <c r="AR344" s="9"/>
      <c r="AS344" s="9"/>
      <c r="AT344" s="9"/>
      <c r="AU344" s="428"/>
      <c r="AV344" s="428"/>
      <c r="AW344" s="449" t="str">
        <f>IF(C344&gt;0,VLOOKUP(C344,Foundation_Calc!$A$2:$C$13,3,1),
IF(J344&gt;0,VLOOKUP(J344,Foundation_Calc!$A$2:$C$13,3,1),""))</f>
        <v>Multi Soil</v>
      </c>
      <c r="AX344" s="449" t="str">
        <f>IF(C344&gt;0,VLOOKUP(C344,Foundation_Calc!$E$2:$G$33,3,1),
IF(J344&gt;0,VLOOKUP(J344,Foundation_Calc!$E$2:$G$33,3,1),""))</f>
        <v>PT</v>
      </c>
      <c r="AY344" s="10">
        <f>IF(L344="","",
IF(AX344="PT",VLOOKUP(L344,Foundation_Calc!$K$79:$R$113,VLOOKUP(AW344,Foundation_Calc!$I$2:$J$8,2,FALSE),0),
IF(AX344="K",VLOOKUP(L344,Foundation_Calc!$K$117:$R$151,VLOOKUP(AW344,Foundation_Calc!$I$2:$J$8,2,FALSE),0),"")))</f>
        <v>4.4000000000000004</v>
      </c>
      <c r="AZ344" s="10" t="str">
        <f>IF(K344="","",
IF(AX344="PT",VLOOKUP(K344,Foundation_Calc!$K$79:$R$113,VLOOKUP(AW344,Foundation_Calc!$I$2:$J$8,2,FALSE),0),
IF(AX344="K",VLOOKUP(K344,Foundation_Calc!$K$117:$R$151,VLOOKUP(AW344,Foundation_Calc!$I$2:$J$8,2,FALSE),0),"")))</f>
        <v/>
      </c>
      <c r="BA344" s="495" t="str">
        <f t="shared" si="38"/>
        <v>ü</v>
      </c>
      <c r="BB344" s="495" t="str">
        <f t="shared" si="39"/>
        <v/>
      </c>
      <c r="BC344" s="495" t="str">
        <f t="shared" si="40"/>
        <v/>
      </c>
      <c r="BD344" s="513" t="str">
        <f>Pole_Calc!A$322</f>
        <v>App.8-V08H-10.7.4.1</v>
      </c>
      <c r="BE344" s="429" t="s">
        <v>118</v>
      </c>
      <c r="BF344" s="289"/>
      <c r="BG344" s="289"/>
      <c r="BH344" s="290"/>
      <c r="BI344" s="289"/>
    </row>
    <row r="345" spans="1:61" ht="16.149999999999999" hidden="1" customHeight="1">
      <c r="A345" s="514"/>
      <c r="B345" s="450"/>
      <c r="C345" s="3"/>
      <c r="D345" s="83"/>
      <c r="E345" s="4"/>
      <c r="F345" s="4"/>
      <c r="G345" s="6">
        <v>5</v>
      </c>
      <c r="H345" s="449"/>
      <c r="I345" s="4"/>
      <c r="J345" s="3"/>
      <c r="K345" s="449"/>
      <c r="L345" s="449"/>
      <c r="M345" s="449" t="str">
        <f>IF(L345="","",
IF(AX345="PT",VLOOKUP(L345,Foundation_Calc!$V$79:$X$113,VLOOKUP(AX345,Foundation_Calc!$I$10:$J$13,2,FALSE),0),
IF(AX345="K",VLOOKUP(L345,Foundation_Calc!$V$117:$X$151,VLOOKUP(AX345,Foundation_Calc!$I$10:$J$13,2,FALSE),0),"")))</f>
        <v/>
      </c>
      <c r="N345" s="449"/>
      <c r="O345" s="449"/>
      <c r="P345" s="449"/>
      <c r="Q345" s="4"/>
      <c r="R345" s="6"/>
      <c r="S345" s="6"/>
      <c r="T345" s="4"/>
      <c r="U345" s="4"/>
      <c r="V345" s="4"/>
      <c r="W345" s="572"/>
      <c r="X345" s="9"/>
      <c r="Y345" s="9"/>
      <c r="Z345" s="9"/>
      <c r="AA345" s="9"/>
      <c r="AB345" s="9"/>
      <c r="AC345" s="449" t="str">
        <f t="shared" si="41"/>
        <v/>
      </c>
      <c r="AD345" s="449"/>
      <c r="AE345" s="449"/>
      <c r="AF345" s="4"/>
      <c r="AG345" s="83"/>
      <c r="AH345" s="4"/>
      <c r="AI345" s="4"/>
      <c r="AJ345" s="449"/>
      <c r="AK345" s="449"/>
      <c r="AL345" s="449"/>
      <c r="AM345" s="449"/>
      <c r="AN345" s="10"/>
      <c r="AO345" s="9"/>
      <c r="AP345" s="9"/>
      <c r="AQ345" s="9">
        <f>+FL_1($T$346,$T$342,$G$345,1200,9.28,-1*$F$346)</f>
        <v>0.34999999999999981</v>
      </c>
      <c r="AR345" s="9"/>
      <c r="AS345" s="9"/>
      <c r="AT345" s="9"/>
      <c r="AU345" s="428"/>
      <c r="AV345" s="428"/>
      <c r="AW345" s="449" t="str">
        <f>IF(C345&gt;0,VLOOKUP(C345,Foundation_Calc!$A$2:$C$13,3,1),
IF(J345&gt;0,VLOOKUP(J345,Foundation_Calc!$A$2:$C$13,3,1),""))</f>
        <v/>
      </c>
      <c r="AX345" s="449" t="str">
        <f>IF(C345&gt;0,VLOOKUP(C345,Foundation_Calc!$E$2:$G$33,3,1),
IF(J345&gt;0,VLOOKUP(J345,Foundation_Calc!$E$2:$G$33,3,1),""))</f>
        <v/>
      </c>
      <c r="AY345" s="10" t="str">
        <f>IF(L345="","",
IF(AX345="PT",VLOOKUP(L345,Foundation_Calc!$K$79:$R$113,VLOOKUP(AW345,Foundation_Calc!$I$2:$J$8,2,FALSE),0),
IF(AX345="K",VLOOKUP(L345,Foundation_Calc!$K$117:$R$151,VLOOKUP(AW345,Foundation_Calc!$I$2:$J$8,2,FALSE),0),"")))</f>
        <v/>
      </c>
      <c r="AZ345" s="10" t="str">
        <f>IF(K345="","",
IF(AX345="PT",VLOOKUP(K345,Foundation_Calc!$K$79:$R$113,VLOOKUP(AW345,Foundation_Calc!$I$2:$J$8,2,FALSE),0),
IF(AX345="K",VLOOKUP(K345,Foundation_Calc!$K$117:$R$151,VLOOKUP(AW345,Foundation_Calc!$I$2:$J$8,2,FALSE),0),"")))</f>
        <v/>
      </c>
      <c r="BA345" s="495" t="str">
        <f t="shared" si="38"/>
        <v/>
      </c>
      <c r="BB345" s="495" t="str">
        <f t="shared" si="39"/>
        <v/>
      </c>
      <c r="BC345" s="495" t="str">
        <f t="shared" si="40"/>
        <v/>
      </c>
      <c r="BD345" s="513" t="str">
        <f>IF(AND(L345="",H345=""),"",
IF(H345="",Pole_Calc!A$9,
IF(H345="MP",Pole_Calc!A$10,
IF(H345="AnMP",Pole_Calc!A$11,
IF(H345="A",Pole_Calc!A$12,
IF(H345="S/A",Pole_Calc!A$13,
IF(H345="A/S",Pole_Calc!A$14,"Poner a mano")))))))</f>
        <v/>
      </c>
      <c r="BE345" s="429" t="s">
        <v>118</v>
      </c>
      <c r="BF345" s="290"/>
      <c r="BG345" s="290"/>
      <c r="BH345" s="290"/>
      <c r="BI345" s="290"/>
    </row>
    <row r="346" spans="1:61" ht="16.149999999999999" customHeight="1">
      <c r="A346" s="514"/>
      <c r="B346" s="450" t="s">
        <v>372</v>
      </c>
      <c r="C346" s="3">
        <f>+$C$342+$G$343</f>
        <v>38537.649999999987</v>
      </c>
      <c r="D346" s="83"/>
      <c r="E346" s="4"/>
      <c r="F346" s="4">
        <f>IF(C346&gt;0,VLOOKUP(C346,'ALIGNMENT TRACK'!$A$1:$K$81,9,1))</f>
        <v>0</v>
      </c>
      <c r="G346" s="6"/>
      <c r="H346" s="449" t="s">
        <v>114</v>
      </c>
      <c r="I346" s="4"/>
      <c r="J346" s="3"/>
      <c r="K346" s="449"/>
      <c r="L346" s="449" t="s">
        <v>158</v>
      </c>
      <c r="M346" s="449" t="str">
        <f>IF(L346="","",
IF(AX346="PT",VLOOKUP(L346,Foundation_Calc!$V$79:$X$113,VLOOKUP(AX346,Foundation_Calc!$I$10:$J$13,2,FALSE),0),
IF(AX346="K",VLOOKUP(L346,Foundation_Calc!$V$117:$X$151,VLOOKUP(AX346,Foundation_Calc!$I$10:$J$13,2,FALSE),0),"")))</f>
        <v>C4R</v>
      </c>
      <c r="N346" s="449" t="s">
        <v>134</v>
      </c>
      <c r="O346" s="449" t="s">
        <v>134</v>
      </c>
      <c r="P346" s="449"/>
      <c r="Q346" s="4"/>
      <c r="R346" s="6"/>
      <c r="S346" s="6"/>
      <c r="T346" s="4">
        <v>35</v>
      </c>
      <c r="U346" s="4">
        <v>15</v>
      </c>
      <c r="V346" s="4"/>
      <c r="W346" s="9">
        <v>1.4</v>
      </c>
      <c r="X346" s="9">
        <v>2.2999999999999998</v>
      </c>
      <c r="Y346" s="9"/>
      <c r="Z346" s="9">
        <v>0.15</v>
      </c>
      <c r="AA346" s="9"/>
      <c r="AB346" s="9"/>
      <c r="AC346" s="449" t="str">
        <f t="shared" si="41"/>
        <v>PHC</v>
      </c>
      <c r="AD346" s="449"/>
      <c r="AE346" s="449"/>
      <c r="AF346" s="4"/>
      <c r="AG346" s="83"/>
      <c r="AH346" s="4"/>
      <c r="AI346" s="4"/>
      <c r="AJ346" s="449"/>
      <c r="AK346" s="449"/>
      <c r="AL346" s="449"/>
      <c r="AM346" s="449" t="s">
        <v>126</v>
      </c>
      <c r="AN346" s="10">
        <v>5.5</v>
      </c>
      <c r="AO346" s="9"/>
      <c r="AP346" s="9"/>
      <c r="AQ346" s="9"/>
      <c r="AR346" s="9"/>
      <c r="AS346" s="9"/>
      <c r="AT346" s="9">
        <f>+ab($T$346,$T$342,$T$348,$G$345,$G$347,-1*$F$346,1200)</f>
        <v>2.1161622890169323</v>
      </c>
      <c r="AU346" s="428"/>
      <c r="AV346" s="428"/>
      <c r="AW346" s="449" t="str">
        <f>IF(C346&gt;0,VLOOKUP(C346,Foundation_Calc!$A$2:$C$13,3,1),
IF(J346&gt;0,VLOOKUP(J346,Foundation_Calc!$A$2:$C$13,3,1),""))</f>
        <v>Multi Soil</v>
      </c>
      <c r="AX346" s="449" t="str">
        <f>IF(C346&gt;0,VLOOKUP(C346,Foundation_Calc!$E$2:$G$33,3,1),
IF(J346&gt;0,VLOOKUP(J346,Foundation_Calc!$E$2:$G$33,3,1),""))</f>
        <v>PT</v>
      </c>
      <c r="AY346" s="10">
        <f>IF(L346="","",
IF(AX346="PT",VLOOKUP(L346,Foundation_Calc!$K$79:$R$113,VLOOKUP(AW346,Foundation_Calc!$I$2:$J$8,2,FALSE),0),
IF(AX346="K",VLOOKUP(L346,Foundation_Calc!$K$117:$R$151,VLOOKUP(AW346,Foundation_Calc!$I$2:$J$8,2,FALSE),0),"")))</f>
        <v>3.5</v>
      </c>
      <c r="AZ346" s="10" t="str">
        <f>IF(K346="","",
IF(AX346="PT",VLOOKUP(K346,Foundation_Calc!$K$79:$R$113,VLOOKUP(AW346,Foundation_Calc!$I$2:$J$8,2,FALSE),0),
IF(AX346="K",VLOOKUP(K346,Foundation_Calc!$K$117:$R$151,VLOOKUP(AW346,Foundation_Calc!$I$2:$J$8,2,FALSE),0),"")))</f>
        <v/>
      </c>
      <c r="BA346" s="495" t="str">
        <f t="shared" si="38"/>
        <v>ü</v>
      </c>
      <c r="BB346" s="495" t="str">
        <f t="shared" si="39"/>
        <v/>
      </c>
      <c r="BC346" s="495" t="str">
        <f t="shared" si="40"/>
        <v/>
      </c>
      <c r="BD346" s="513" t="str">
        <f>IF(AND(L346="",H346=""),"",
IF(H346="",Pole_Calc!A$9,
IF(H346="MP",Pole_Calc!A$10,
IF(H346="AnMP",Pole_Calc!A$11,
IF(H346="A",Pole_Calc!A$12,
IF(H346="S/A",Pole_Calc!A$13,
IF(H346="A/S",Pole_Calc!A$14,"Poner a mano")))))))</f>
        <v>App.7-V11I-P9.5.1.4</v>
      </c>
      <c r="BE346" s="429" t="s">
        <v>118</v>
      </c>
      <c r="BF346" s="289"/>
      <c r="BG346" s="289"/>
      <c r="BH346" s="290"/>
      <c r="BI346" s="289"/>
    </row>
    <row r="347" spans="1:61" ht="16.149999999999999" customHeight="1">
      <c r="A347" s="514" t="s">
        <v>169</v>
      </c>
      <c r="B347" s="450"/>
      <c r="C347" s="3"/>
      <c r="D347" s="83"/>
      <c r="E347" s="4"/>
      <c r="F347" s="4"/>
      <c r="G347" s="6">
        <v>47</v>
      </c>
      <c r="H347" s="449"/>
      <c r="I347" s="4"/>
      <c r="J347" s="3"/>
      <c r="K347" s="449"/>
      <c r="L347" s="449"/>
      <c r="M347" s="449" t="str">
        <f>IF(L347="","",
IF(AX347="PT",VLOOKUP(L347,Foundation_Calc!$V$79:$X$113,VLOOKUP(AX347,Foundation_Calc!$I$10:$J$13,2,FALSE),0),
IF(AX347="K",VLOOKUP(L347,Foundation_Calc!$V$117:$X$151,VLOOKUP(AX347,Foundation_Calc!$I$10:$J$13,2,FALSE),0),"")))</f>
        <v/>
      </c>
      <c r="N347" s="449"/>
      <c r="O347" s="449"/>
      <c r="P347" s="449"/>
      <c r="Q347" s="4"/>
      <c r="R347" s="6"/>
      <c r="S347" s="6"/>
      <c r="T347" s="4"/>
      <c r="U347" s="4"/>
      <c r="V347" s="4"/>
      <c r="W347" s="572"/>
      <c r="X347" s="9"/>
      <c r="Y347" s="9"/>
      <c r="Z347" s="9"/>
      <c r="AA347" s="9"/>
      <c r="AB347" s="9"/>
      <c r="AC347" s="449" t="str">
        <f t="shared" si="41"/>
        <v/>
      </c>
      <c r="AD347" s="449"/>
      <c r="AE347" s="449"/>
      <c r="AF347" s="4"/>
      <c r="AG347" s="83"/>
      <c r="AH347" s="4"/>
      <c r="AI347" s="4"/>
      <c r="AJ347" s="449"/>
      <c r="AK347" s="449"/>
      <c r="AL347" s="449"/>
      <c r="AM347" s="449"/>
      <c r="AN347" s="10"/>
      <c r="AO347" s="9"/>
      <c r="AP347" s="9"/>
      <c r="AQ347" s="9">
        <f>+FL_1($T$348,$T$346,$G$347,1200,9.28,-1*$F$348)</f>
        <v>0.38670910672340431</v>
      </c>
      <c r="AR347" s="9"/>
      <c r="AS347" s="9"/>
      <c r="AT347" s="9"/>
      <c r="AU347" s="428"/>
      <c r="AV347" s="428"/>
      <c r="AW347" s="449" t="str">
        <f>IF(C347&gt;0,VLOOKUP(C347,Foundation_Calc!$A$2:$C$13,3,1),
IF(J347&gt;0,VLOOKUP(J347,Foundation_Calc!$A$2:$C$13,3,1),""))</f>
        <v/>
      </c>
      <c r="AX347" s="449" t="str">
        <f>IF(C347&gt;0,VLOOKUP(C347,Foundation_Calc!$E$2:$G$33,3,1),
IF(J347&gt;0,VLOOKUP(J347,Foundation_Calc!$E$2:$G$33,3,1),""))</f>
        <v/>
      </c>
      <c r="AY347" s="10" t="str">
        <f>IF(L347="","",
IF(AX347="PT",VLOOKUP(L347,Foundation_Calc!$K$79:$R$113,VLOOKUP(AW347,Foundation_Calc!$I$2:$J$8,2,FALSE),0),
IF(AX347="K",VLOOKUP(L347,Foundation_Calc!$K$117:$R$151,VLOOKUP(AW347,Foundation_Calc!$I$2:$J$8,2,FALSE),0),"")))</f>
        <v/>
      </c>
      <c r="AZ347" s="10" t="str">
        <f>IF(K347="","",
IF(AX347="PT",VLOOKUP(K347,Foundation_Calc!$K$79:$R$113,VLOOKUP(AW347,Foundation_Calc!$I$2:$J$8,2,FALSE),0),
IF(AX347="K",VLOOKUP(K347,Foundation_Calc!$K$117:$R$151,VLOOKUP(AW347,Foundation_Calc!$I$2:$J$8,2,FALSE),0),"")))</f>
        <v/>
      </c>
      <c r="BA347" s="495" t="str">
        <f t="shared" si="38"/>
        <v/>
      </c>
      <c r="BB347" s="495" t="str">
        <f t="shared" si="39"/>
        <v/>
      </c>
      <c r="BC347" s="495" t="str">
        <f t="shared" si="40"/>
        <v/>
      </c>
      <c r="BD347" s="513" t="str">
        <f>IF(AND(L347="",H347=""),"",
IF(H347="",Pole_Calc!A$9,
IF(H347="MP",Pole_Calc!A$10,
IF(H347="AnMP",Pole_Calc!A$11,
IF(H347="A",Pole_Calc!A$12,
IF(H347="S/A",Pole_Calc!A$13,
IF(H347="A/S",Pole_Calc!A$14,"Poner a mano")))))))</f>
        <v/>
      </c>
      <c r="BE347" s="429" t="s">
        <v>118</v>
      </c>
      <c r="BF347" s="290"/>
      <c r="BG347" s="290"/>
      <c r="BH347" s="290"/>
      <c r="BI347" s="290"/>
    </row>
    <row r="348" spans="1:61" ht="17.45" customHeight="1">
      <c r="A348" s="514"/>
      <c r="B348" s="450" t="s">
        <v>373</v>
      </c>
      <c r="C348" s="3">
        <f>+$C$346+$G$347</f>
        <v>38584.649999999987</v>
      </c>
      <c r="D348" s="83"/>
      <c r="E348" s="4"/>
      <c r="F348" s="4">
        <f>IF(C348&gt;0,VLOOKUP(C348,'ALIGNMENT TRACK'!$A$1:$K$81,9,1))</f>
        <v>0</v>
      </c>
      <c r="G348" s="6"/>
      <c r="H348" s="449" t="s">
        <v>114</v>
      </c>
      <c r="I348" s="4"/>
      <c r="J348" s="3"/>
      <c r="K348" s="449"/>
      <c r="L348" s="449" t="s">
        <v>158</v>
      </c>
      <c r="M348" s="449" t="str">
        <f>IF(L348="","",
IF(AX348="PT",VLOOKUP(L348,Foundation_Calc!$V$79:$X$113,VLOOKUP(AX348,Foundation_Calc!$I$10:$J$13,2,FALSE),0),
IF(AX348="K",VLOOKUP(L348,Foundation_Calc!$V$117:$X$151,VLOOKUP(AX348,Foundation_Calc!$I$10:$J$13,2,FALSE),0),"")))</f>
        <v>C4R</v>
      </c>
      <c r="N348" s="449" t="s">
        <v>124</v>
      </c>
      <c r="O348" s="449" t="s">
        <v>124</v>
      </c>
      <c r="P348" s="449"/>
      <c r="Q348" s="4"/>
      <c r="R348" s="6"/>
      <c r="S348" s="6"/>
      <c r="T348" s="4">
        <v>-15</v>
      </c>
      <c r="U348" s="4">
        <v>-35</v>
      </c>
      <c r="V348" s="4"/>
      <c r="W348" s="9">
        <v>1.4</v>
      </c>
      <c r="X348" s="9">
        <v>2.2999999999999998</v>
      </c>
      <c r="Y348" s="9"/>
      <c r="Z348" s="9"/>
      <c r="AA348" s="9">
        <v>0.15</v>
      </c>
      <c r="AB348" s="9"/>
      <c r="AC348" s="449" t="str">
        <f t="shared" si="41"/>
        <v>PH</v>
      </c>
      <c r="AD348" s="449"/>
      <c r="AE348" s="449"/>
      <c r="AF348" s="4"/>
      <c r="AG348" s="83"/>
      <c r="AH348" s="4"/>
      <c r="AI348" s="4"/>
      <c r="AJ348" s="449"/>
      <c r="AK348" s="449"/>
      <c r="AL348" s="449"/>
      <c r="AM348" s="449" t="s">
        <v>126</v>
      </c>
      <c r="AN348" s="10">
        <v>5.5</v>
      </c>
      <c r="AO348" s="9"/>
      <c r="AP348" s="9"/>
      <c r="AQ348" s="9"/>
      <c r="AR348" s="9"/>
      <c r="AS348" s="9"/>
      <c r="AT348" s="9">
        <f>+ab($T$348,$T$346,$T$352,$G$347,$G$351,-1*$F$348,1200)</f>
        <v>-9.9207382327436928</v>
      </c>
      <c r="AU348" s="428"/>
      <c r="AV348" s="428"/>
      <c r="AW348" s="449" t="str">
        <f>IF(C348&gt;0,VLOOKUP(C348,Foundation_Calc!$A$2:$C$13,3,1),
IF(J348&gt;0,VLOOKUP(J348,Foundation_Calc!$A$2:$C$13,3,1),""))</f>
        <v>Multi Soil</v>
      </c>
      <c r="AX348" s="449" t="str">
        <f>IF(C348&gt;0,VLOOKUP(C348,Foundation_Calc!$E$2:$G$33,3,1),
IF(J348&gt;0,VLOOKUP(J348,Foundation_Calc!$E$2:$G$33,3,1),""))</f>
        <v>PT</v>
      </c>
      <c r="AY348" s="10">
        <f>IF(L348="","",
IF(AX348="PT",VLOOKUP(L348,Foundation_Calc!$K$79:$R$113,VLOOKUP(AW348,Foundation_Calc!$I$2:$J$8,2,FALSE),0),
IF(AX348="K",VLOOKUP(L348,Foundation_Calc!$K$117:$R$151,VLOOKUP(AW348,Foundation_Calc!$I$2:$J$8,2,FALSE),0),"")))</f>
        <v>3.5</v>
      </c>
      <c r="AZ348" s="10" t="str">
        <f>IF(K348="","",
IF(AX348="PT",VLOOKUP(K348,Foundation_Calc!$K$79:$R$113,VLOOKUP(AW348,Foundation_Calc!$I$2:$J$8,2,FALSE),0),
IF(AX348="K",VLOOKUP(K348,Foundation_Calc!$K$117:$R$151,VLOOKUP(AW348,Foundation_Calc!$I$2:$J$8,2,FALSE),0),"")))</f>
        <v/>
      </c>
      <c r="BA348" s="495" t="str">
        <f t="shared" si="38"/>
        <v>ü</v>
      </c>
      <c r="BB348" s="495" t="str">
        <f t="shared" si="39"/>
        <v/>
      </c>
      <c r="BC348" s="495" t="str">
        <f t="shared" si="40"/>
        <v/>
      </c>
      <c r="BD348" s="513" t="str">
        <f>IF(AND(L348="",H348=""),"",
IF(H348="",Pole_Calc!A$9,
IF(H348="MP",Pole_Calc!A$10,
IF(H348="AnMP",Pole_Calc!A$11,
IF(H348="A",Pole_Calc!A$12,
IF(H348="S/A",Pole_Calc!A$13,
IF(H348="A/S",Pole_Calc!A$14,"Poner a mano")))))))</f>
        <v>App.7-V11I-P9.5.1.4</v>
      </c>
      <c r="BE348" s="429" t="s">
        <v>118</v>
      </c>
      <c r="BF348" s="289"/>
      <c r="BG348" s="289"/>
      <c r="BH348" s="290"/>
      <c r="BI348" s="289"/>
    </row>
    <row r="349" spans="1:61" ht="17.45" hidden="1" customHeight="1">
      <c r="A349" s="514"/>
      <c r="B349" s="450"/>
      <c r="C349" s="3"/>
      <c r="D349" s="83"/>
      <c r="E349" s="4"/>
      <c r="F349" s="4"/>
      <c r="G349" s="6">
        <v>5</v>
      </c>
      <c r="H349" s="449"/>
      <c r="I349" s="4"/>
      <c r="J349" s="3"/>
      <c r="K349" s="449"/>
      <c r="L349" s="449"/>
      <c r="M349" s="449" t="str">
        <f>IF(L349="","",
IF(AX349="PT",VLOOKUP(L349,Foundation_Calc!$V$79:$X$113,VLOOKUP(AX349,Foundation_Calc!$I$10:$J$13,2,FALSE),0),
IF(AX349="K",VLOOKUP(L349,Foundation_Calc!$V$117:$X$151,VLOOKUP(AX349,Foundation_Calc!$I$10:$J$13,2,FALSE),0),"")))</f>
        <v/>
      </c>
      <c r="N349" s="449"/>
      <c r="O349" s="449"/>
      <c r="P349" s="449"/>
      <c r="Q349" s="4"/>
      <c r="R349" s="6"/>
      <c r="S349" s="6"/>
      <c r="T349" s="4"/>
      <c r="U349" s="4"/>
      <c r="V349" s="4"/>
      <c r="W349" s="572"/>
      <c r="X349" s="9"/>
      <c r="Y349" s="9"/>
      <c r="Z349" s="9"/>
      <c r="AA349" s="9"/>
      <c r="AB349" s="9"/>
      <c r="AC349" s="449" t="str">
        <f t="shared" si="41"/>
        <v/>
      </c>
      <c r="AD349" s="449"/>
      <c r="AE349" s="449"/>
      <c r="AF349" s="4"/>
      <c r="AG349" s="83"/>
      <c r="AH349" s="4"/>
      <c r="AI349" s="4"/>
      <c r="AJ349" s="449"/>
      <c r="AK349" s="449"/>
      <c r="AL349" s="449"/>
      <c r="AM349" s="449"/>
      <c r="AN349" s="10"/>
      <c r="AO349" s="9"/>
      <c r="AP349" s="9"/>
      <c r="AQ349" s="9"/>
      <c r="AR349" s="9"/>
      <c r="AS349" s="9"/>
      <c r="AT349" s="9"/>
      <c r="AU349" s="428"/>
      <c r="AV349" s="428"/>
      <c r="AW349" s="449" t="str">
        <f>IF(C349&gt;0,VLOOKUP(C349,Foundation_Calc!$A$2:$C$13,3,1),
IF(J349&gt;0,VLOOKUP(J349,Foundation_Calc!$A$2:$C$13,3,1),""))</f>
        <v/>
      </c>
      <c r="AX349" s="449" t="str">
        <f>IF(C349&gt;0,VLOOKUP(C349,Foundation_Calc!$E$2:$G$33,3,1),
IF(J349&gt;0,VLOOKUP(J349,Foundation_Calc!$E$2:$G$33,3,1),""))</f>
        <v/>
      </c>
      <c r="AY349" s="10" t="str">
        <f>IF(L349="","",
IF(AX349="PT",VLOOKUP(L349,Foundation_Calc!$K$79:$R$113,VLOOKUP(AW349,Foundation_Calc!$I$2:$J$8,2,FALSE),0),
IF(AX349="K",VLOOKUP(L349,Foundation_Calc!$K$117:$R$151,VLOOKUP(AW349,Foundation_Calc!$I$2:$J$8,2,FALSE),0),"")))</f>
        <v/>
      </c>
      <c r="AZ349" s="10" t="str">
        <f>IF(K349="","",
IF(AX349="PT",VLOOKUP(K349,Foundation_Calc!$K$79:$R$113,VLOOKUP(AW349,Foundation_Calc!$I$2:$J$8,2,FALSE),0),
IF(AX349="K",VLOOKUP(K349,Foundation_Calc!$K$117:$R$151,VLOOKUP(AW349,Foundation_Calc!$I$2:$J$8,2,FALSE),0),"")))</f>
        <v/>
      </c>
      <c r="BA349" s="495" t="str">
        <f t="shared" si="38"/>
        <v/>
      </c>
      <c r="BB349" s="495" t="str">
        <f t="shared" si="39"/>
        <v/>
      </c>
      <c r="BC349" s="495" t="str">
        <f t="shared" si="40"/>
        <v/>
      </c>
      <c r="BD349" s="513" t="str">
        <f>IF(AND(L349="",H349=""),"",
IF(H349="",Pole_Calc!A$9,
IF(H349="MP",Pole_Calc!A$10,
IF(H349="AnMP",Pole_Calc!A$11,
IF(H349="A",Pole_Calc!A$12,
IF(H349="S/A",Pole_Calc!A$13,
IF(H349="A/S",Pole_Calc!A$14,"Poner a mano")))))))</f>
        <v/>
      </c>
      <c r="BE349" s="429" t="s">
        <v>118</v>
      </c>
      <c r="BF349" s="290"/>
      <c r="BG349" s="290"/>
      <c r="BH349" s="290"/>
      <c r="BI349" s="290"/>
    </row>
    <row r="350" spans="1:61" ht="17.45" hidden="1" customHeight="1">
      <c r="A350" s="514"/>
      <c r="B350" s="450" t="s">
        <v>374</v>
      </c>
      <c r="C350" s="3">
        <f>+$C$348+$G$349</f>
        <v>38589.649999999987</v>
      </c>
      <c r="D350" s="83"/>
      <c r="E350" s="4"/>
      <c r="F350" s="4">
        <f>IF(C350&gt;0,VLOOKUP(C350,'ALIGNMENT TRACK'!$A$1:$K$81,9,1))</f>
        <v>0</v>
      </c>
      <c r="G350" s="6"/>
      <c r="H350" s="449"/>
      <c r="I350" s="4"/>
      <c r="J350" s="3"/>
      <c r="K350" s="449"/>
      <c r="L350" s="449" t="s">
        <v>123</v>
      </c>
      <c r="M350" s="449" t="str">
        <f>IF(L350="","",
IF(AX350="PT",VLOOKUP(L350,Foundation_Calc!$V$79:$X$113,VLOOKUP(AX350,Foundation_Calc!$I$10:$J$13,2,FALSE),0),
IF(AX350="K",VLOOKUP(L350,Foundation_Calc!$V$117:$X$151,VLOOKUP(AX350,Foundation_Calc!$I$10:$J$13,2,FALSE),0),"")))</f>
        <v>C9R</v>
      </c>
      <c r="N350" s="449"/>
      <c r="O350" s="449"/>
      <c r="P350" s="449"/>
      <c r="Q350" s="4"/>
      <c r="R350" s="6"/>
      <c r="S350" s="6"/>
      <c r="T350" s="4"/>
      <c r="U350" s="4"/>
      <c r="V350" s="4"/>
      <c r="W350" s="572"/>
      <c r="X350" s="9"/>
      <c r="Y350" s="9"/>
      <c r="Z350" s="9"/>
      <c r="AA350" s="9"/>
      <c r="AB350" s="9"/>
      <c r="AC350" s="449" t="str">
        <f t="shared" si="41"/>
        <v/>
      </c>
      <c r="AD350" s="449"/>
      <c r="AE350" s="449"/>
      <c r="AF350" s="4"/>
      <c r="AG350" s="83"/>
      <c r="AH350" s="4"/>
      <c r="AI350" s="4"/>
      <c r="AJ350" s="449"/>
      <c r="AK350" s="449"/>
      <c r="AL350" s="449"/>
      <c r="AM350" s="449" t="s">
        <v>126</v>
      </c>
      <c r="AN350" s="10">
        <v>5.5</v>
      </c>
      <c r="AO350" s="9"/>
      <c r="AP350" s="9"/>
      <c r="AQ350" s="9"/>
      <c r="AR350" s="9"/>
      <c r="AS350" s="9"/>
      <c r="AT350" s="9"/>
      <c r="AU350" s="428"/>
      <c r="AV350" s="428"/>
      <c r="AW350" s="449" t="str">
        <f>IF(C350&gt;0,VLOOKUP(C350,Foundation_Calc!$A$2:$C$13,3,1),
IF(J350&gt;0,VLOOKUP(J350,Foundation_Calc!$A$2:$C$13,3,1),""))</f>
        <v>Multi Soil</v>
      </c>
      <c r="AX350" s="449" t="str">
        <f>IF(C350&gt;0,VLOOKUP(C350,Foundation_Calc!$E$2:$G$33,3,1),
IF(J350&gt;0,VLOOKUP(J350,Foundation_Calc!$E$2:$G$33,3,1),""))</f>
        <v>PT</v>
      </c>
      <c r="AY350" s="10">
        <f>IF(L350="","",
IF(AX350="PT",VLOOKUP(L350,Foundation_Calc!$K$79:$R$113,VLOOKUP(AW350,Foundation_Calc!$I$2:$J$8,2,FALSE),0),
IF(AX350="K",VLOOKUP(L350,Foundation_Calc!$K$117:$R$151,VLOOKUP(AW350,Foundation_Calc!$I$2:$J$8,2,FALSE),0),"")))</f>
        <v>4.4000000000000004</v>
      </c>
      <c r="AZ350" s="10" t="str">
        <f>IF(K350="","",
IF(AX350="PT",VLOOKUP(K350,Foundation_Calc!$K$79:$R$113,VLOOKUP(AW350,Foundation_Calc!$I$2:$J$8,2,FALSE),0),
IF(AX350="K",VLOOKUP(K350,Foundation_Calc!$K$117:$R$151,VLOOKUP(AW350,Foundation_Calc!$I$2:$J$8,2,FALSE),0),"")))</f>
        <v/>
      </c>
      <c r="BA350" s="497" t="str">
        <f t="shared" si="38"/>
        <v>ü</v>
      </c>
      <c r="BB350" s="497" t="str">
        <f t="shared" si="39"/>
        <v/>
      </c>
      <c r="BC350" s="497" t="str">
        <f t="shared" si="40"/>
        <v/>
      </c>
      <c r="BD350" s="513" t="str">
        <f>Pole_Calc!A$322</f>
        <v>App.8-V08H-10.7.4.1</v>
      </c>
      <c r="BE350" s="429" t="s">
        <v>118</v>
      </c>
      <c r="BF350" s="289"/>
      <c r="BG350" s="289"/>
      <c r="BH350" s="290"/>
      <c r="BI350" s="289"/>
    </row>
    <row r="351" spans="1:61" ht="17.45" customHeight="1">
      <c r="A351" s="514"/>
      <c r="B351" s="450"/>
      <c r="C351" s="3"/>
      <c r="D351" s="83"/>
      <c r="E351" s="4"/>
      <c r="F351" s="4"/>
      <c r="G351" s="6">
        <v>47</v>
      </c>
      <c r="H351" s="449"/>
      <c r="I351" s="4"/>
      <c r="J351" s="3"/>
      <c r="K351" s="449"/>
      <c r="L351" s="449"/>
      <c r="M351" s="449" t="str">
        <f>IF(L351="","",
IF(AX351="PT",VLOOKUP(L351,Foundation_Calc!$V$79:$X$113,VLOOKUP(AX351,Foundation_Calc!$I$10:$J$13,2,FALSE),0),
IF(AX351="K",VLOOKUP(L351,Foundation_Calc!$V$117:$X$151,VLOOKUP(AX351,Foundation_Calc!$I$10:$J$13,2,FALSE),0),"")))</f>
        <v/>
      </c>
      <c r="N351" s="449"/>
      <c r="O351" s="449"/>
      <c r="P351" s="561"/>
      <c r="Q351" s="4"/>
      <c r="R351" s="6"/>
      <c r="S351" s="6"/>
      <c r="T351" s="4"/>
      <c r="U351" s="4"/>
      <c r="V351" s="4"/>
      <c r="W351" s="572"/>
      <c r="X351" s="9"/>
      <c r="Y351" s="9"/>
      <c r="Z351" s="9"/>
      <c r="AA351" s="9"/>
      <c r="AB351" s="9"/>
      <c r="AC351" s="449" t="str">
        <f t="shared" si="41"/>
        <v/>
      </c>
      <c r="AD351" s="449"/>
      <c r="AE351" s="449"/>
      <c r="AF351" s="4"/>
      <c r="AG351" s="83"/>
      <c r="AH351" s="4"/>
      <c r="AI351" s="4"/>
      <c r="AJ351" s="449"/>
      <c r="AK351" s="449"/>
      <c r="AL351" s="449"/>
      <c r="AM351" s="449"/>
      <c r="AN351" s="10"/>
      <c r="AO351" s="9"/>
      <c r="AP351" s="9"/>
      <c r="AQ351" s="9">
        <f>+FL_1($T$352,$T$348,$G$351,1200,9.28,-1*$F$352)</f>
        <v>0.33627568863593171</v>
      </c>
      <c r="AR351" s="9"/>
      <c r="AS351" s="9"/>
      <c r="AT351" s="9"/>
      <c r="AU351" s="428"/>
      <c r="AV351" s="428"/>
      <c r="AW351" s="449" t="str">
        <f>IF(C351&gt;0,VLOOKUP(C351,Foundation_Calc!$A$2:$C$13,3,1),
IF(J351&gt;0,VLOOKUP(J351,Foundation_Calc!$A$2:$C$13,3,1),""))</f>
        <v/>
      </c>
      <c r="AX351" s="449" t="str">
        <f>IF(C351&gt;0,VLOOKUP(C351,Foundation_Calc!$E$2:$G$33,3,1),
IF(J351&gt;0,VLOOKUP(J351,Foundation_Calc!$E$2:$G$33,3,1),""))</f>
        <v/>
      </c>
      <c r="AY351" s="10" t="str">
        <f>IF(L351="","",
IF(AX351="PT",VLOOKUP(L351,Foundation_Calc!$K$79:$R$113,VLOOKUP(AW351,Foundation_Calc!$I$2:$J$8,2,FALSE),0),
IF(AX351="K",VLOOKUP(L351,Foundation_Calc!$K$117:$R$151,VLOOKUP(AW351,Foundation_Calc!$I$2:$J$8,2,FALSE),0),"")))</f>
        <v/>
      </c>
      <c r="AZ351" s="10" t="str">
        <f>IF(K351="","",
IF(AX351="PT",VLOOKUP(K351,Foundation_Calc!$K$79:$R$113,VLOOKUP(AW351,Foundation_Calc!$I$2:$J$8,2,FALSE),0),
IF(AX351="K",VLOOKUP(K351,Foundation_Calc!$K$117:$R$151,VLOOKUP(AW351,Foundation_Calc!$I$2:$J$8,2,FALSE),0),"")))</f>
        <v/>
      </c>
      <c r="BA351" s="495" t="str">
        <f t="shared" si="38"/>
        <v/>
      </c>
      <c r="BB351" s="495" t="str">
        <f t="shared" si="39"/>
        <v/>
      </c>
      <c r="BC351" s="495" t="str">
        <f t="shared" si="40"/>
        <v/>
      </c>
      <c r="BD351" s="513" t="str">
        <f>IF(AND(L351="",H351=""),"",
IF(H351="",Pole_Calc!A$9,
IF(H351="MP",Pole_Calc!A$10,
IF(H351="AnMP",Pole_Calc!A$11,
IF(H351="A",Pole_Calc!A$12,
IF(H351="S/A",Pole_Calc!A$13,
IF(H351="A/S",Pole_Calc!A$14,"Poner a mano")))))))</f>
        <v/>
      </c>
      <c r="BE351" s="429" t="s">
        <v>118</v>
      </c>
      <c r="BF351" s="290"/>
      <c r="BG351" s="290"/>
      <c r="BH351" s="290"/>
      <c r="BI351" s="290"/>
    </row>
    <row r="352" spans="1:61" ht="17.45" customHeight="1">
      <c r="A352" s="514"/>
      <c r="B352" s="450" t="s">
        <v>375</v>
      </c>
      <c r="C352" s="3">
        <f>+$C$348+$G$351</f>
        <v>38631.649999999987</v>
      </c>
      <c r="D352" s="83"/>
      <c r="E352" s="4"/>
      <c r="F352" s="4">
        <f>(346^2)/(C352-38617.77)</f>
        <v>8625.0720461156598</v>
      </c>
      <c r="G352" s="6"/>
      <c r="H352" s="449" t="s">
        <v>131</v>
      </c>
      <c r="I352" s="4"/>
      <c r="J352" s="3"/>
      <c r="K352" s="449"/>
      <c r="L352" s="449" t="s">
        <v>183</v>
      </c>
      <c r="M352" s="449" t="str">
        <f>IF(L352="","",
IF(AX352="PT",VLOOKUP(L352,Foundation_Calc!$V$79:$X$113,VLOOKUP(AX352,Foundation_Calc!$I$10:$J$13,2,FALSE),0),
IF(AX352="K",VLOOKUP(L352,Foundation_Calc!$V$117:$X$151,VLOOKUP(AX352,Foundation_Calc!$I$10:$J$13,2,FALSE),0),"")))</f>
        <v>2C3R</v>
      </c>
      <c r="N352" s="449" t="s">
        <v>134</v>
      </c>
      <c r="O352" s="449" t="s">
        <v>133</v>
      </c>
      <c r="P352" s="449"/>
      <c r="Q352" s="4"/>
      <c r="R352" s="6"/>
      <c r="S352" s="6"/>
      <c r="T352" s="4">
        <v>25</v>
      </c>
      <c r="U352" s="4">
        <v>5</v>
      </c>
      <c r="V352" s="4"/>
      <c r="W352" s="9">
        <v>1.4</v>
      </c>
      <c r="X352" s="9">
        <v>2.2999999999999998</v>
      </c>
      <c r="Y352" s="9"/>
      <c r="Z352" s="9"/>
      <c r="AA352" s="9">
        <v>0.55000000000000004</v>
      </c>
      <c r="AB352" s="9"/>
      <c r="AC352" s="449" t="str">
        <f t="shared" si="41"/>
        <v>PH</v>
      </c>
      <c r="AD352" s="449"/>
      <c r="AE352" s="449"/>
      <c r="AF352" s="4"/>
      <c r="AG352" s="83"/>
      <c r="AH352" s="4"/>
      <c r="AI352" s="4"/>
      <c r="AJ352" s="449"/>
      <c r="AK352" s="449"/>
      <c r="AL352" s="449"/>
      <c r="AM352" s="449" t="s">
        <v>126</v>
      </c>
      <c r="AN352" s="10">
        <v>5.5</v>
      </c>
      <c r="AO352" s="9"/>
      <c r="AP352" s="9"/>
      <c r="AQ352" s="9"/>
      <c r="AR352" s="9"/>
      <c r="AS352" s="9"/>
      <c r="AT352" s="9">
        <f>+ab($T$352,$T$348,$T$354,$G$351,$G$353,-1*$F$352,1200)</f>
        <v>12.781419114988077</v>
      </c>
      <c r="AU352" s="428"/>
      <c r="AV352" s="428"/>
      <c r="AW352" s="449" t="str">
        <f>IF(C352&gt;0,VLOOKUP(C352,Foundation_Calc!$A$2:$C$13,3,1),
IF(J352&gt;0,VLOOKUP(J352,Foundation_Calc!$A$2:$C$13,3,1),""))</f>
        <v>Multi Soil</v>
      </c>
      <c r="AX352" s="449" t="str">
        <f>IF(C352&gt;0,VLOOKUP(C352,Foundation_Calc!$E$2:$G$33,3,1),
IF(J352&gt;0,VLOOKUP(J352,Foundation_Calc!$E$2:$G$33,3,1),""))</f>
        <v>PT</v>
      </c>
      <c r="AY352" s="10">
        <f>IF(L352="","",
IF(AX352="PT",VLOOKUP(L352,Foundation_Calc!$K$79:$R$113,VLOOKUP(AW352,Foundation_Calc!$I$2:$J$8,2,FALSE),0),
IF(AX352="K",VLOOKUP(L352,Foundation_Calc!$K$117:$R$151,VLOOKUP(AW352,Foundation_Calc!$I$2:$J$8,2,FALSE),0),"")))</f>
        <v>3.7</v>
      </c>
      <c r="AZ352" s="10" t="str">
        <f>IF(K352="","",
IF(AX352="PT",VLOOKUP(K352,Foundation_Calc!$K$79:$R$113,VLOOKUP(AW352,Foundation_Calc!$I$2:$J$8,2,FALSE),0),
IF(AX352="K",VLOOKUP(K352,Foundation_Calc!$K$117:$R$151,VLOOKUP(AW352,Foundation_Calc!$I$2:$J$8,2,FALSE),0),"")))</f>
        <v/>
      </c>
      <c r="BA352" s="495" t="str">
        <f t="shared" si="38"/>
        <v>ü</v>
      </c>
      <c r="BB352" s="495" t="str">
        <f t="shared" si="39"/>
        <v/>
      </c>
      <c r="BC352" s="495" t="str">
        <f t="shared" si="40"/>
        <v/>
      </c>
      <c r="BD352" s="513" t="str">
        <f>IF(AND(L352="",H352=""),"",
IF(H352="",Pole_Calc!A$9,
IF(H352="MP",Pole_Calc!A$10,
IF(H352="AnMP",Pole_Calc!A$11,
IF(H352="A",Pole_Calc!A$12,
IF(H352="S/A",Pole_Calc!A$13,
IF(H352="A/S",Pole_Calc!A$14,"Poner a mano")))))))</f>
        <v>App.7-V11I-P9.5.1.5</v>
      </c>
      <c r="BE352" s="429" t="s">
        <v>118</v>
      </c>
      <c r="BF352" s="289"/>
      <c r="BG352" s="289"/>
      <c r="BH352" s="290"/>
      <c r="BI352" s="289"/>
    </row>
    <row r="353" spans="1:61" ht="17.45" customHeight="1">
      <c r="A353" s="607"/>
      <c r="B353" s="536"/>
      <c r="C353" s="537"/>
      <c r="D353" s="538"/>
      <c r="E353" s="539"/>
      <c r="F353" s="539"/>
      <c r="G353" s="540">
        <v>47</v>
      </c>
      <c r="H353" s="547"/>
      <c r="I353" s="539"/>
      <c r="J353" s="537"/>
      <c r="K353" s="541"/>
      <c r="L353" s="449"/>
      <c r="M353" s="541" t="str">
        <f>IF(L353="","",
IF(AX353="PT",VLOOKUP(L353,Foundation_Calc!$V$79:$X$113,VLOOKUP(AX353,Foundation_Calc!$I$10:$J$13,2,FALSE),0),
IF(AX353="K",VLOOKUP(L353,Foundation_Calc!$V$117:$X$151,VLOOKUP(AX353,Foundation_Calc!$I$10:$J$13,2,FALSE),0),"")))</f>
        <v/>
      </c>
      <c r="N353" s="541"/>
      <c r="O353" s="541"/>
      <c r="P353" s="562"/>
      <c r="Q353" s="539"/>
      <c r="R353" s="540"/>
      <c r="S353" s="540"/>
      <c r="T353" s="539"/>
      <c r="U353" s="539"/>
      <c r="V353" s="539"/>
      <c r="W353" s="579"/>
      <c r="X353" s="542"/>
      <c r="Y353" s="542"/>
      <c r="Z353" s="542"/>
      <c r="AA353" s="542"/>
      <c r="AB353" s="542"/>
      <c r="AC353" s="541" t="str">
        <f t="shared" si="41"/>
        <v/>
      </c>
      <c r="AD353" s="541"/>
      <c r="AE353" s="541"/>
      <c r="AF353" s="539"/>
      <c r="AG353" s="538"/>
      <c r="AH353" s="539"/>
      <c r="AI353" s="539"/>
      <c r="AJ353" s="541"/>
      <c r="AK353" s="541"/>
      <c r="AL353" s="541"/>
      <c r="AM353" s="541"/>
      <c r="AN353" s="543"/>
      <c r="AO353" s="542"/>
      <c r="AP353" s="542"/>
      <c r="AQ353" s="542">
        <f>+FL_1($T$354,$T$352,$G$353,1200,9.28,-1*$F$354)</f>
        <v>0.38572991450246485</v>
      </c>
      <c r="AR353" s="542"/>
      <c r="AS353" s="542"/>
      <c r="AT353" s="542"/>
      <c r="AU353" s="544"/>
      <c r="AV353" s="544"/>
      <c r="AW353" s="541" t="str">
        <f>IF(C353&gt;0,VLOOKUP(C353,Foundation_Calc!$A$2:$C$13,3,1),
IF(J353&gt;0,VLOOKUP(J353,Foundation_Calc!$A$2:$C$13,3,1),""))</f>
        <v/>
      </c>
      <c r="AX353" s="541" t="str">
        <f>IF(C353&gt;0,VLOOKUP(C353,Foundation_Calc!$E$2:$G$33,3,1),
IF(J353&gt;0,VLOOKUP(J353,Foundation_Calc!$E$2:$G$33,3,1),""))</f>
        <v/>
      </c>
      <c r="AY353" s="543" t="str">
        <f>IF(L353="","",
IF(AX353="PT",VLOOKUP(L353,Foundation_Calc!$K$79:$R$113,VLOOKUP(AW353,Foundation_Calc!$I$2:$J$8,2,FALSE),0),
IF(AX353="K",VLOOKUP(L353,Foundation_Calc!$K$117:$R$151,VLOOKUP(AW353,Foundation_Calc!$I$2:$J$8,2,FALSE),0),"")))</f>
        <v/>
      </c>
      <c r="AZ353" s="543" t="str">
        <f>IF(K353="","",
IF(AX353="PT",VLOOKUP(K353,Foundation_Calc!$K$79:$R$113,VLOOKUP(AW353,Foundation_Calc!$I$2:$J$8,2,FALSE),0),
IF(AX353="K",VLOOKUP(K353,Foundation_Calc!$K$117:$R$151,VLOOKUP(AW353,Foundation_Calc!$I$2:$J$8,2,FALSE),0),"")))</f>
        <v/>
      </c>
      <c r="BA353" s="550" t="str">
        <f t="shared" si="38"/>
        <v/>
      </c>
      <c r="BB353" s="550" t="str">
        <f t="shared" si="39"/>
        <v/>
      </c>
      <c r="BC353" s="550" t="str">
        <f t="shared" si="40"/>
        <v/>
      </c>
      <c r="BD353" s="516" t="str">
        <f>IF(AND(L353="",H353=""),"",
IF(H353="",Pole_Calc!A$9,
IF(H353="MP",Pole_Calc!A$10,
IF(H353="AnMP",Pole_Calc!A$11,
IF(H353="A",Pole_Calc!A$12,
IF(H353="S/A",Pole_Calc!A$13,
IF(H353="A/S",Pole_Calc!A$14,"Poner a mano")))))))</f>
        <v/>
      </c>
      <c r="BE353" s="429" t="s">
        <v>118</v>
      </c>
      <c r="BF353" s="290"/>
      <c r="BG353" s="290"/>
      <c r="BH353" s="290"/>
      <c r="BI353" s="290"/>
    </row>
    <row r="354" spans="1:61" ht="17.45" customHeight="1">
      <c r="A354" s="514" t="s">
        <v>367</v>
      </c>
      <c r="B354" s="450" t="s">
        <v>376</v>
      </c>
      <c r="C354" s="3">
        <f>+$C$352+$G$353+1.71</f>
        <v>38680.359999999986</v>
      </c>
      <c r="D354" s="83"/>
      <c r="E354" s="4"/>
      <c r="F354" s="4">
        <f>(346^2)/(C354-38617.77)</f>
        <v>1912.7017095385941</v>
      </c>
      <c r="G354" s="6"/>
      <c r="H354" s="449" t="s">
        <v>121</v>
      </c>
      <c r="I354" s="4" t="s">
        <v>122</v>
      </c>
      <c r="J354" s="3"/>
      <c r="K354" s="449"/>
      <c r="L354" s="449" t="s">
        <v>181</v>
      </c>
      <c r="M354" s="449" t="str">
        <f>IF(L354="","",
IF(AX354="PT",VLOOKUP(L354,Foundation_Calc!$V$79:$X$113,VLOOKUP(AX354,Foundation_Calc!$I$10:$J$13,2,FALSE),0),
IF(AX354="K",VLOOKUP(L354,Foundation_Calc!$V$117:$X$151,VLOOKUP(AX354,Foundation_Calc!$I$10:$J$13,2,FALSE),0),"")))</f>
        <v>C5R</v>
      </c>
      <c r="N354" s="449" t="s">
        <v>124</v>
      </c>
      <c r="O354" s="449"/>
      <c r="P354" s="449"/>
      <c r="Q354" s="4"/>
      <c r="R354" s="6"/>
      <c r="S354" s="6"/>
      <c r="T354" s="4">
        <v>-30</v>
      </c>
      <c r="U354" s="4"/>
      <c r="V354" s="4"/>
      <c r="W354" s="9"/>
      <c r="X354" s="9"/>
      <c r="Y354" s="9"/>
      <c r="Z354" s="9"/>
      <c r="AA354" s="9"/>
      <c r="AB354" s="9"/>
      <c r="AC354" s="449" t="str">
        <f t="shared" si="41"/>
        <v>PHQ</v>
      </c>
      <c r="AD354" s="449"/>
      <c r="AE354" s="449"/>
      <c r="AF354" s="4"/>
      <c r="AG354" s="83"/>
      <c r="AH354" s="4"/>
      <c r="AI354" s="4"/>
      <c r="AJ354" s="449"/>
      <c r="AK354" s="449"/>
      <c r="AL354" s="449"/>
      <c r="AM354" s="449" t="s">
        <v>126</v>
      </c>
      <c r="AN354" s="10">
        <v>5.5</v>
      </c>
      <c r="AO354" s="9"/>
      <c r="AP354" s="9"/>
      <c r="AQ354" s="9"/>
      <c r="AR354" s="9"/>
      <c r="AS354" s="9"/>
      <c r="AT354" s="9">
        <f>+ab($T$354,$T$352,$T$356,$G$353,$G$355,-1*$F$354,1200)</f>
        <v>-5.3517265942057879</v>
      </c>
      <c r="AU354" s="428"/>
      <c r="AV354" s="428"/>
      <c r="AW354" s="449" t="str">
        <f>IF(C354&gt;0,VLOOKUP(C354,Foundation_Calc!$A$2:$C$13,3,1),
IF(J354&gt;0,VLOOKUP(J354,Foundation_Calc!$A$2:$C$13,3,1),""))</f>
        <v>Multi Soil</v>
      </c>
      <c r="AX354" s="449" t="str">
        <f>IF(C354&gt;0,VLOOKUP(C354,Foundation_Calc!$E$2:$G$33,3,1),
IF(J354&gt;0,VLOOKUP(J354,Foundation_Calc!$E$2:$G$33,3,1),""))</f>
        <v>PT</v>
      </c>
      <c r="AY354" s="10">
        <f>IF(L354="","",
IF(AX354="PT",VLOOKUP(L354,Foundation_Calc!$K$79:$R$113,VLOOKUP(AW354,Foundation_Calc!$I$2:$J$8,2,FALSE),0),
IF(AX354="K",VLOOKUP(L354,Foundation_Calc!$K$117:$R$151,VLOOKUP(AW354,Foundation_Calc!$I$2:$J$8,2,FALSE),0),"")))</f>
        <v>3.5</v>
      </c>
      <c r="AZ354" s="10" t="str">
        <f>IF(K354="","",
IF(AX354="PT",VLOOKUP(K354,Foundation_Calc!$K$79:$R$113,VLOOKUP(AW354,Foundation_Calc!$I$2:$J$8,2,FALSE),0),
IF(AX354="K",VLOOKUP(K354,Foundation_Calc!$K$117:$R$151,VLOOKUP(AW354,Foundation_Calc!$I$2:$J$8,2,FALSE),0),"")))</f>
        <v/>
      </c>
      <c r="BA354" s="495" t="str">
        <f t="shared" si="38"/>
        <v>ü</v>
      </c>
      <c r="BB354" s="495" t="str">
        <f t="shared" si="39"/>
        <v/>
      </c>
      <c r="BC354" s="495" t="str">
        <f t="shared" si="40"/>
        <v/>
      </c>
      <c r="BD354" s="513" t="str">
        <f>IF(AND(L354="",H354=""),"",
IF(H354="",Pole_Calc!A$9,
IF(H354="MP",Pole_Calc!A$10,
IF(H354="AnMP",Pole_Calc!A$11,
IF(H354="A",Pole_Calc!A$12,
IF(H354="S/A",Pole_Calc!A$13,
IF(H354="A/S",Pole_Calc!A$14,"Poner a mano")))))))</f>
        <v>App.7-V11I-P9.5.1.6</v>
      </c>
      <c r="BE354" s="429" t="s">
        <v>118</v>
      </c>
      <c r="BF354" s="289"/>
      <c r="BG354" s="289"/>
      <c r="BH354" s="290"/>
      <c r="BI354" s="289"/>
    </row>
    <row r="355" spans="1:61" ht="17.45" customHeight="1">
      <c r="A355" s="514" t="s">
        <v>366</v>
      </c>
      <c r="B355" s="450"/>
      <c r="C355" s="3"/>
      <c r="D355" s="83"/>
      <c r="E355" s="4"/>
      <c r="F355" s="4"/>
      <c r="G355" s="6">
        <v>45</v>
      </c>
      <c r="H355" s="449"/>
      <c r="I355" s="4"/>
      <c r="J355" s="3">
        <f>C354+7.5</f>
        <v>38687.859999999986</v>
      </c>
      <c r="K355" s="449" t="s">
        <v>117</v>
      </c>
      <c r="L355" s="449"/>
      <c r="M355" s="449" t="str">
        <f>IF(L355="","",
IF(AX355="PT",VLOOKUP(L355,Foundation_Calc!$V$79:$X$113,VLOOKUP(AX355,Foundation_Calc!$I$10:$J$13,2,FALSE),0),
IF(AX355="K",VLOOKUP(L355,Foundation_Calc!$V$117:$X$151,VLOOKUP(AX355,Foundation_Calc!$I$10:$J$13,2,FALSE),0),"")))</f>
        <v/>
      </c>
      <c r="N355" s="449"/>
      <c r="O355" s="449"/>
      <c r="P355" s="449"/>
      <c r="Q355" s="4"/>
      <c r="R355" s="6"/>
      <c r="S355" s="6"/>
      <c r="T355" s="4"/>
      <c r="U355" s="4"/>
      <c r="V355" s="4"/>
      <c r="W355" s="9"/>
      <c r="X355" s="9"/>
      <c r="Y355" s="9"/>
      <c r="Z355" s="9"/>
      <c r="AA355" s="9"/>
      <c r="AB355" s="9"/>
      <c r="AC355" s="449" t="str">
        <f t="shared" si="41"/>
        <v/>
      </c>
      <c r="AD355" s="449"/>
      <c r="AE355" s="449"/>
      <c r="AF355" s="4"/>
      <c r="AG355" s="83"/>
      <c r="AH355" s="4"/>
      <c r="AI355" s="4"/>
      <c r="AJ355" s="449"/>
      <c r="AK355" s="449"/>
      <c r="AL355" s="449"/>
      <c r="AM355" s="449"/>
      <c r="AN355" s="10"/>
      <c r="AO355" s="9"/>
      <c r="AP355" s="9"/>
      <c r="AQ355" s="9">
        <f>+FL_2($T$356,$T$354,$G$355,1200,9.28,-1*$F$356)</f>
        <v>-0.30002821606365138</v>
      </c>
      <c r="AR355" s="9"/>
      <c r="AS355" s="9"/>
      <c r="AT355" s="9"/>
      <c r="AU355" s="428"/>
      <c r="AV355" s="428"/>
      <c r="AW355" s="449" t="str">
        <f>IF(C355&gt;0,VLOOKUP(C355,Foundation_Calc!$A$2:$C$13,3,1),
IF(J355&gt;0,VLOOKUP(J355,Foundation_Calc!$A$2:$C$13,3,1),""))</f>
        <v>Multi Soil</v>
      </c>
      <c r="AX355" s="449" t="str">
        <f>IF(C355&gt;0,VLOOKUP(C355,Foundation_Calc!$E$2:$G$33,3,1),
IF(J355&gt;0,VLOOKUP(J355,Foundation_Calc!$E$2:$G$33,3,1),""))</f>
        <v>PT</v>
      </c>
      <c r="AY355" s="10" t="str">
        <f>IF(L355="","",
IF(AX355="PT",VLOOKUP(L355,Foundation_Calc!$K$79:$R$113,VLOOKUP(AW355,Foundation_Calc!$I$2:$J$8,2,FALSE),0),
IF(AX355="K",VLOOKUP(L355,Foundation_Calc!$K$117:$R$151,VLOOKUP(AW355,Foundation_Calc!$I$2:$J$8,2,FALSE),0),"")))</f>
        <v/>
      </c>
      <c r="AZ355" s="10">
        <f>IF(K355="","",
IF(AX355="PT",VLOOKUP(K355,Foundation_Calc!$K$79:$R$113,VLOOKUP(AW355,Foundation_Calc!$I$2:$J$8,2,FALSE),0),
IF(AX355="K",VLOOKUP(K355,Foundation_Calc!$K$117:$R$151,VLOOKUP(AW355,Foundation_Calc!$I$2:$J$8,2,FALSE),0),"")))</f>
        <v>3.9</v>
      </c>
      <c r="BA355" s="495" t="str">
        <f t="shared" ref="BA355:BA405" si="42">IF(AY355="","",IF(AY355&gt;0,"ü",""))</f>
        <v/>
      </c>
      <c r="BB355" s="495" t="str">
        <f t="shared" ref="BB355:BB405" si="43">IF(AZ355="","",IF(AZ355&gt;0,"ü",""))</f>
        <v>ü</v>
      </c>
      <c r="BC355" s="495" t="str">
        <f t="shared" ref="BC355:BC405" si="44">IF(M355="","",IF(M355="U.S.","ü",IF(M355="U.S. N.D.","ü","")))</f>
        <v/>
      </c>
      <c r="BD355" s="513" t="str">
        <f>IF(AND(L355="",H355=""),"",
IF(H355="",Pole_Calc!A$9,
IF(H355="MP",Pole_Calc!A$10,
IF(H355="AnMP",Pole_Calc!A$11,
IF(H355="A",Pole_Calc!A$12,
IF(H355="S/A",Pole_Calc!A$13,
IF(H355="A/S",Pole_Calc!A$14,"Poner a mano")))))))</f>
        <v/>
      </c>
      <c r="BE355" s="429" t="s">
        <v>118</v>
      </c>
      <c r="BF355" s="290"/>
      <c r="BG355" s="290"/>
      <c r="BH355" s="290"/>
      <c r="BI355" s="290"/>
    </row>
    <row r="356" spans="1:61" ht="17.45" customHeight="1">
      <c r="A356" s="514"/>
      <c r="B356" s="450" t="s">
        <v>377</v>
      </c>
      <c r="C356" s="3">
        <f>+$C$354+$G$355</f>
        <v>38725.359999999986</v>
      </c>
      <c r="D356" s="83"/>
      <c r="E356" s="4"/>
      <c r="F356" s="4">
        <f>(346^2)/(C356-38617.77)</f>
        <v>1112.7056417883816</v>
      </c>
      <c r="G356" s="6"/>
      <c r="H356" s="449"/>
      <c r="I356" s="4"/>
      <c r="J356" s="3"/>
      <c r="K356" s="449"/>
      <c r="L356" s="449" t="s">
        <v>158</v>
      </c>
      <c r="M356" s="449" t="str">
        <f>IF(L356="","",
IF(AX356="PT",VLOOKUP(L356,Foundation_Calc!$V$79:$X$113,VLOOKUP(AX356,Foundation_Calc!$I$10:$J$13,2,FALSE),0),
IF(AX356="K",VLOOKUP(L356,Foundation_Calc!$V$117:$X$151,VLOOKUP(AX356,Foundation_Calc!$I$10:$J$13,2,FALSE),0),"")))</f>
        <v>C4R</v>
      </c>
      <c r="N356" s="449" t="s">
        <v>124</v>
      </c>
      <c r="O356" s="449"/>
      <c r="P356" s="449"/>
      <c r="Q356" s="4"/>
      <c r="R356" s="6"/>
      <c r="S356" s="6"/>
      <c r="T356" s="4">
        <v>-30</v>
      </c>
      <c r="U356" s="4"/>
      <c r="V356" s="4"/>
      <c r="W356" s="9">
        <v>1.4</v>
      </c>
      <c r="X356" s="9"/>
      <c r="Y356" s="9"/>
      <c r="Z356" s="9"/>
      <c r="AA356" s="9"/>
      <c r="AB356" s="9"/>
      <c r="AC356" s="449" t="str">
        <f t="shared" si="41"/>
        <v>PHC</v>
      </c>
      <c r="AD356" s="449"/>
      <c r="AE356" s="449"/>
      <c r="AF356" s="4"/>
      <c r="AG356" s="83"/>
      <c r="AH356" s="4"/>
      <c r="AI356" s="4"/>
      <c r="AJ356" s="449"/>
      <c r="AK356" s="449"/>
      <c r="AL356" s="449"/>
      <c r="AM356" s="449" t="s">
        <v>126</v>
      </c>
      <c r="AN356" s="10">
        <v>5.5</v>
      </c>
      <c r="AO356" s="9"/>
      <c r="AP356" s="9"/>
      <c r="AQ356" s="9"/>
      <c r="AR356" s="9"/>
      <c r="AS356" s="9"/>
      <c r="AT356" s="9">
        <f>+ab($T$356,$T$354,$T$358,$G$355,$G$357,-1*$F$356,1200)</f>
        <v>-4.5820359072771213</v>
      </c>
      <c r="AU356" s="428"/>
      <c r="AV356" s="428"/>
      <c r="AW356" s="449" t="str">
        <f>IF(C356&gt;0,VLOOKUP(C356,Foundation_Calc!$A$2:$C$13,3,1),
IF(J356&gt;0,VLOOKUP(J356,Foundation_Calc!$A$2:$C$13,3,1),""))</f>
        <v>Multi Soil</v>
      </c>
      <c r="AX356" s="449" t="str">
        <f>IF(C356&gt;0,VLOOKUP(C356,Foundation_Calc!$E$2:$G$33,3,1),
IF(J356&gt;0,VLOOKUP(J356,Foundation_Calc!$E$2:$G$33,3,1),""))</f>
        <v>PT</v>
      </c>
      <c r="AY356" s="10">
        <f>IF(L356="","",
IF(AX356="PT",VLOOKUP(L356,Foundation_Calc!$K$79:$R$113,VLOOKUP(AW356,Foundation_Calc!$I$2:$J$8,2,FALSE),0),
IF(AX356="K",VLOOKUP(L356,Foundation_Calc!$K$117:$R$151,VLOOKUP(AW356,Foundation_Calc!$I$2:$J$8,2,FALSE),0),"")))</f>
        <v>3.5</v>
      </c>
      <c r="AZ356" s="10" t="str">
        <f>IF(K356="","",
IF(AX356="PT",VLOOKUP(K356,Foundation_Calc!$K$79:$R$113,VLOOKUP(AW356,Foundation_Calc!$I$2:$J$8,2,FALSE),0),
IF(AX356="K",VLOOKUP(K356,Foundation_Calc!$K$117:$R$151,VLOOKUP(AW356,Foundation_Calc!$I$2:$J$8,2,FALSE),0),"")))</f>
        <v/>
      </c>
      <c r="BA356" s="495" t="str">
        <f t="shared" si="42"/>
        <v>ü</v>
      </c>
      <c r="BB356" s="495" t="str">
        <f t="shared" si="43"/>
        <v/>
      </c>
      <c r="BC356" s="495" t="str">
        <f t="shared" si="44"/>
        <v/>
      </c>
      <c r="BD356" s="513" t="str">
        <f>IF(AND(L356="",H356=""),"",
IF(H356="",Pole_Calc!A$9,
IF(H356="MP",Pole_Calc!A$10,
IF(H356="AnMP",Pole_Calc!A$11,
IF(H356="A",Pole_Calc!A$12,
IF(H356="S/A",Pole_Calc!A$13,
IF(H356="A/S",Pole_Calc!A$14,"Poner a mano")))))))</f>
        <v>App.7-V11I-P9.5.1.1</v>
      </c>
      <c r="BE356" s="429" t="s">
        <v>118</v>
      </c>
      <c r="BF356" s="289"/>
      <c r="BG356" s="289"/>
      <c r="BH356" s="290"/>
      <c r="BI356" s="289"/>
    </row>
    <row r="357" spans="1:61" ht="17.45" customHeight="1">
      <c r="A357" s="514"/>
      <c r="B357" s="450"/>
      <c r="C357" s="3"/>
      <c r="D357" s="83"/>
      <c r="E357" s="4"/>
      <c r="F357" s="4"/>
      <c r="G357" s="6">
        <v>48</v>
      </c>
      <c r="H357" s="448"/>
      <c r="I357" s="4"/>
      <c r="J357" s="3"/>
      <c r="K357" s="449"/>
      <c r="L357" s="449"/>
      <c r="M357" s="449" t="str">
        <f>IF(L357="","",
IF(AX357="PT",VLOOKUP(L357,Foundation_Calc!$V$79:$X$113,VLOOKUP(AX357,Foundation_Calc!$I$10:$J$13,2,FALSE),0),
IF(AX357="K",VLOOKUP(L357,Foundation_Calc!$V$117:$X$151,VLOOKUP(AX357,Foundation_Calc!$I$10:$J$13,2,FALSE),0),"")))</f>
        <v/>
      </c>
      <c r="N357" s="449"/>
      <c r="O357" s="449"/>
      <c r="P357" s="449"/>
      <c r="Q357" s="4"/>
      <c r="R357" s="6"/>
      <c r="S357" s="6"/>
      <c r="T357" s="4"/>
      <c r="U357" s="4"/>
      <c r="V357" s="4"/>
      <c r="W357" s="9"/>
      <c r="X357" s="9"/>
      <c r="Y357" s="9"/>
      <c r="Z357" s="9"/>
      <c r="AA357" s="9"/>
      <c r="AB357" s="9"/>
      <c r="AC357" s="449" t="str">
        <f t="shared" si="41"/>
        <v/>
      </c>
      <c r="AD357" s="449"/>
      <c r="AE357" s="449"/>
      <c r="AF357" s="4"/>
      <c r="AG357" s="83"/>
      <c r="AH357" s="4"/>
      <c r="AI357" s="4"/>
      <c r="AJ357" s="449"/>
      <c r="AK357" s="449"/>
      <c r="AL357" s="449"/>
      <c r="AM357" s="449"/>
      <c r="AN357" s="10"/>
      <c r="AO357" s="9"/>
      <c r="AP357" s="9"/>
      <c r="AQ357" s="9">
        <f>+FL_2($T$358,$T$356,$G$357,1200,9.28,-1*$F$358)</f>
        <v>-0.30005441130447724</v>
      </c>
      <c r="AR357" s="9"/>
      <c r="AS357" s="9"/>
      <c r="AT357" s="9"/>
      <c r="AU357" s="428"/>
      <c r="AV357" s="428"/>
      <c r="AW357" s="449" t="str">
        <f>IF(C357&gt;0,VLOOKUP(C357,Foundation_Calc!$A$2:$C$13,3,1),
IF(J357&gt;0,VLOOKUP(J357,Foundation_Calc!$A$2:$C$13,3,1),""))</f>
        <v/>
      </c>
      <c r="AX357" s="449" t="str">
        <f>IF(C357&gt;0,VLOOKUP(C357,Foundation_Calc!$E$2:$G$33,3,1),
IF(J357&gt;0,VLOOKUP(J357,Foundation_Calc!$E$2:$G$33,3,1),""))</f>
        <v/>
      </c>
      <c r="AY357" s="10" t="str">
        <f>IF(L357="","",
IF(AX357="PT",VLOOKUP(L357,Foundation_Calc!$K$79:$R$113,VLOOKUP(AW357,Foundation_Calc!$I$2:$J$8,2,FALSE),0),
IF(AX357="K",VLOOKUP(L357,Foundation_Calc!$K$117:$R$151,VLOOKUP(AW357,Foundation_Calc!$I$2:$J$8,2,FALSE),0),"")))</f>
        <v/>
      </c>
      <c r="AZ357" s="10" t="str">
        <f>IF(K357="","",
IF(AX357="PT",VLOOKUP(K357,Foundation_Calc!$K$79:$R$113,VLOOKUP(AW357,Foundation_Calc!$I$2:$J$8,2,FALSE),0),
IF(AX357="K",VLOOKUP(K357,Foundation_Calc!$K$117:$R$151,VLOOKUP(AW357,Foundation_Calc!$I$2:$J$8,2,FALSE),0),"")))</f>
        <v/>
      </c>
      <c r="BA357" s="495" t="str">
        <f t="shared" si="42"/>
        <v/>
      </c>
      <c r="BB357" s="495" t="str">
        <f t="shared" si="43"/>
        <v/>
      </c>
      <c r="BC357" s="495" t="str">
        <f t="shared" si="44"/>
        <v/>
      </c>
      <c r="BD357" s="513" t="str">
        <f>IF(AND(L357="",H357=""),"",
IF(H357="",Pole_Calc!A$9,
IF(H357="MP",Pole_Calc!A$10,
IF(H357="AnMP",Pole_Calc!A$11,
IF(H357="A",Pole_Calc!A$12,
IF(H357="S/A",Pole_Calc!A$13,
IF(H357="A/S",Pole_Calc!A$14,"Poner a mano")))))))</f>
        <v/>
      </c>
      <c r="BE357" s="429" t="s">
        <v>118</v>
      </c>
      <c r="BF357" s="290"/>
      <c r="BG357" s="290"/>
      <c r="BH357" s="290"/>
      <c r="BI357" s="290"/>
    </row>
    <row r="358" spans="1:61" ht="17.45" customHeight="1">
      <c r="A358" s="514"/>
      <c r="B358" s="450" t="s">
        <v>378</v>
      </c>
      <c r="C358" s="3">
        <f>+$C$356+$G$357</f>
        <v>38773.359999999986</v>
      </c>
      <c r="D358" s="83"/>
      <c r="E358" s="4"/>
      <c r="F358" s="4">
        <f>IF(C358&gt;0,VLOOKUP(C358,'ALIGNMENT TRACK'!$A$1:$K$81,9,1))</f>
        <v>1000</v>
      </c>
      <c r="G358" s="6"/>
      <c r="H358" s="449"/>
      <c r="I358" s="4"/>
      <c r="J358" s="3"/>
      <c r="K358" s="449"/>
      <c r="L358" s="449" t="s">
        <v>158</v>
      </c>
      <c r="M358" s="449" t="str">
        <f>IF(L358="","",
IF(AX358="PT",VLOOKUP(L358,Foundation_Calc!$V$79:$X$113,VLOOKUP(AX358,Foundation_Calc!$I$10:$J$13,2,FALSE),0),
IF(AX358="K",VLOOKUP(L358,Foundation_Calc!$V$117:$X$151,VLOOKUP(AX358,Foundation_Calc!$I$10:$J$13,2,FALSE),0),"")))</f>
        <v>C4R</v>
      </c>
      <c r="N358" s="449" t="s">
        <v>124</v>
      </c>
      <c r="O358" s="449"/>
      <c r="P358" s="449"/>
      <c r="Q358" s="4"/>
      <c r="R358" s="6"/>
      <c r="S358" s="6"/>
      <c r="T358" s="4">
        <v>-30</v>
      </c>
      <c r="U358" s="4"/>
      <c r="V358" s="4"/>
      <c r="W358" s="9">
        <v>1.4</v>
      </c>
      <c r="X358" s="9"/>
      <c r="Y358" s="9"/>
      <c r="Z358" s="9"/>
      <c r="AA358" s="9"/>
      <c r="AB358" s="9"/>
      <c r="AC358" s="449" t="str">
        <f t="shared" si="41"/>
        <v>PHC</v>
      </c>
      <c r="AD358" s="449"/>
      <c r="AE358" s="449"/>
      <c r="AF358" s="4"/>
      <c r="AG358" s="83"/>
      <c r="AH358" s="4"/>
      <c r="AI358" s="4"/>
      <c r="AJ358" s="449"/>
      <c r="AK358" s="449"/>
      <c r="AL358" s="449"/>
      <c r="AM358" s="449" t="s">
        <v>126</v>
      </c>
      <c r="AN358" s="10">
        <v>5.5</v>
      </c>
      <c r="AO358" s="9"/>
      <c r="AP358" s="9"/>
      <c r="AQ358" s="9"/>
      <c r="AR358" s="9"/>
      <c r="AS358" s="9"/>
      <c r="AT358" s="9">
        <f>+ab($T$358,$T$356,$T$360,$G$357,$G$359,-1*$F$358,1200)</f>
        <v>-3.9912951206966776</v>
      </c>
      <c r="AU358" s="428"/>
      <c r="AV358" s="428"/>
      <c r="AW358" s="449" t="str">
        <f>IF(C358&gt;0,VLOOKUP(C358,Foundation_Calc!$A$2:$C$13,3,1),
IF(J358&gt;0,VLOOKUP(J358,Foundation_Calc!$A$2:$C$13,3,1),""))</f>
        <v>Multi Soil</v>
      </c>
      <c r="AX358" s="449" t="str">
        <f>IF(C358&gt;0,VLOOKUP(C358,Foundation_Calc!$E$2:$G$33,3,1),
IF(J358&gt;0,VLOOKUP(J358,Foundation_Calc!$E$2:$G$33,3,1),""))</f>
        <v>PT</v>
      </c>
      <c r="AY358" s="10">
        <f>IF(L358="","",
IF(AX358="PT",VLOOKUP(L358,Foundation_Calc!$K$79:$R$113,VLOOKUP(AW358,Foundation_Calc!$I$2:$J$8,2,FALSE),0),
IF(AX358="K",VLOOKUP(L358,Foundation_Calc!$K$117:$R$151,VLOOKUP(AW358,Foundation_Calc!$I$2:$J$8,2,FALSE),0),"")))</f>
        <v>3.5</v>
      </c>
      <c r="AZ358" s="10" t="str">
        <f>IF(K358="","",
IF(AX358="PT",VLOOKUP(K358,Foundation_Calc!$K$79:$R$113,VLOOKUP(AW358,Foundation_Calc!$I$2:$J$8,2,FALSE),0),
IF(AX358="K",VLOOKUP(K358,Foundation_Calc!$K$117:$R$151,VLOOKUP(AW358,Foundation_Calc!$I$2:$J$8,2,FALSE),0),"")))</f>
        <v/>
      </c>
      <c r="BA358" s="495" t="str">
        <f t="shared" si="42"/>
        <v>ü</v>
      </c>
      <c r="BB358" s="495" t="str">
        <f t="shared" si="43"/>
        <v/>
      </c>
      <c r="BC358" s="495" t="str">
        <f t="shared" si="44"/>
        <v/>
      </c>
      <c r="BD358" s="513" t="str">
        <f>IF(AND(L358="",H358=""),"",
IF(H358="",Pole_Calc!A$9,
IF(H358="MP",Pole_Calc!A$10,
IF(H358="AnMP",Pole_Calc!A$11,
IF(H358="A",Pole_Calc!A$12,
IF(H358="S/A",Pole_Calc!A$13,
IF(H358="A/S",Pole_Calc!A$14,"Poner a mano")))))))</f>
        <v>App.7-V11I-P9.5.1.1</v>
      </c>
      <c r="BE358" s="429" t="s">
        <v>118</v>
      </c>
      <c r="BF358" s="289"/>
      <c r="BG358" s="289"/>
      <c r="BH358" s="290"/>
      <c r="BI358" s="289"/>
    </row>
    <row r="359" spans="1:61" ht="17.45" customHeight="1">
      <c r="A359" s="514"/>
      <c r="B359" s="450"/>
      <c r="C359" s="3"/>
      <c r="D359" s="83"/>
      <c r="E359" s="4"/>
      <c r="F359" s="4"/>
      <c r="G359" s="6">
        <v>48</v>
      </c>
      <c r="H359" s="449"/>
      <c r="I359" s="4"/>
      <c r="J359" s="3">
        <f>C360-7.5</f>
        <v>38813.859999999986</v>
      </c>
      <c r="K359" s="449" t="s">
        <v>166</v>
      </c>
      <c r="L359" s="449"/>
      <c r="M359" s="449" t="str">
        <f>IF(L359="","",
IF(AX359="PT",VLOOKUP(L359,Foundation_Calc!$V$79:$X$113,VLOOKUP(AX359,Foundation_Calc!$I$10:$J$13,2,FALSE),0),
IF(AX359="K",VLOOKUP(L359,Foundation_Calc!$V$117:$X$151,VLOOKUP(AX359,Foundation_Calc!$I$10:$J$13,2,FALSE),0),"")))</f>
        <v/>
      </c>
      <c r="N359" s="449"/>
      <c r="O359" s="449"/>
      <c r="P359" s="449"/>
      <c r="Q359" s="4"/>
      <c r="R359" s="6"/>
      <c r="S359" s="6"/>
      <c r="T359" s="4"/>
      <c r="U359" s="4"/>
      <c r="V359" s="4"/>
      <c r="W359" s="9"/>
      <c r="X359" s="9"/>
      <c r="Y359" s="9"/>
      <c r="Z359" s="9"/>
      <c r="AA359" s="9"/>
      <c r="AB359" s="9"/>
      <c r="AC359" s="449" t="str">
        <f t="shared" si="41"/>
        <v/>
      </c>
      <c r="AD359" s="449"/>
      <c r="AE359" s="449"/>
      <c r="AF359" s="4"/>
      <c r="AG359" s="83"/>
      <c r="AH359" s="4"/>
      <c r="AI359" s="4"/>
      <c r="AJ359" s="449"/>
      <c r="AK359" s="449"/>
      <c r="AL359" s="449"/>
      <c r="AM359" s="449"/>
      <c r="AN359" s="10"/>
      <c r="AO359" s="9"/>
      <c r="AP359" s="9"/>
      <c r="AQ359" s="9">
        <f>+FL_2($T$360,$T$358,$G$359,1200,9.28,-1*$F$360)</f>
        <v>-0.30005441130447724</v>
      </c>
      <c r="AR359" s="9"/>
      <c r="AS359" s="9"/>
      <c r="AT359" s="9"/>
      <c r="AU359" s="428"/>
      <c r="AV359" s="428"/>
      <c r="AW359" s="449" t="str">
        <f>IF(C359&gt;0,VLOOKUP(C359,Foundation_Calc!$A$2:$C$13,3,1),
IF(J359&gt;0,VLOOKUP(J359,Foundation_Calc!$A$2:$C$13,3,1),""))</f>
        <v>Multi Soil</v>
      </c>
      <c r="AX359" s="449" t="str">
        <f>IF(C359&gt;0,VLOOKUP(C359,Foundation_Calc!$E$2:$G$33,3,1),
IF(J359&gt;0,VLOOKUP(J359,Foundation_Calc!$E$2:$G$33,3,1),""))</f>
        <v>PT</v>
      </c>
      <c r="AY359" s="10" t="str">
        <f>IF(L359="","",
IF(AX359="PT",VLOOKUP(L359,Foundation_Calc!$K$79:$R$113,VLOOKUP(AW359,Foundation_Calc!$I$2:$J$8,2,FALSE),0),
IF(AX359="K",VLOOKUP(L359,Foundation_Calc!$K$117:$R$151,VLOOKUP(AW359,Foundation_Calc!$I$2:$J$8,2,FALSE),0),"")))</f>
        <v/>
      </c>
      <c r="AZ359" s="10">
        <f>IF(K359="","",
IF(AX359="PT",VLOOKUP(K359,Foundation_Calc!$K$79:$R$113,VLOOKUP(AW359,Foundation_Calc!$I$2:$J$8,2,FALSE),0),
IF(AX359="K",VLOOKUP(K359,Foundation_Calc!$K$117:$R$151,VLOOKUP(AW359,Foundation_Calc!$I$2:$J$8,2,FALSE),0),"")))</f>
        <v>2.8</v>
      </c>
      <c r="BA359" s="495" t="str">
        <f t="shared" si="42"/>
        <v/>
      </c>
      <c r="BB359" s="495" t="str">
        <f t="shared" si="43"/>
        <v>ü</v>
      </c>
      <c r="BC359" s="495" t="str">
        <f t="shared" si="44"/>
        <v/>
      </c>
      <c r="BD359" s="513" t="str">
        <f>IF(AND(L359="",H359=""),"",
IF(H359="",Pole_Calc!A$9,
IF(H359="MP",Pole_Calc!A$10,
IF(H359="AnMP",Pole_Calc!A$11,
IF(H359="A",Pole_Calc!A$12,
IF(H359="S/A",Pole_Calc!A$13,
IF(H359="A/S",Pole_Calc!A$14,"Poner a mano")))))))</f>
        <v/>
      </c>
      <c r="BE359" s="429" t="s">
        <v>118</v>
      </c>
      <c r="BF359" s="290"/>
      <c r="BG359" s="290"/>
      <c r="BH359" s="290"/>
      <c r="BI359" s="290"/>
    </row>
    <row r="360" spans="1:61" ht="17.45" customHeight="1">
      <c r="A360" s="514"/>
      <c r="B360" s="450" t="s">
        <v>379</v>
      </c>
      <c r="C360" s="3">
        <f>+$C$358+$G$359</f>
        <v>38821.359999999986</v>
      </c>
      <c r="D360" s="83"/>
      <c r="E360" s="4"/>
      <c r="F360" s="4">
        <f>IF(C360&gt;0,VLOOKUP(C360,'ALIGNMENT TRACK'!$A$1:$K$81,9,1))</f>
        <v>1000</v>
      </c>
      <c r="G360" s="6"/>
      <c r="H360" s="449" t="s">
        <v>168</v>
      </c>
      <c r="I360" s="4">
        <f>SUM(G341:G361)-10</f>
        <v>424</v>
      </c>
      <c r="J360" s="3"/>
      <c r="K360" s="449"/>
      <c r="L360" s="449" t="s">
        <v>158</v>
      </c>
      <c r="M360" s="449" t="str">
        <f>IF(L360="","",
IF(AX360="PT",VLOOKUP(L360,Foundation_Calc!$V$79:$X$113,VLOOKUP(AX360,Foundation_Calc!$I$10:$J$13,2,FALSE),0),
IF(AX360="K",VLOOKUP(L360,Foundation_Calc!$V$117:$X$151,VLOOKUP(AX360,Foundation_Calc!$I$10:$J$13,2,FALSE),0),"")))</f>
        <v>C4R</v>
      </c>
      <c r="N360" s="449" t="s">
        <v>124</v>
      </c>
      <c r="O360" s="449"/>
      <c r="P360" s="449"/>
      <c r="Q360" s="4"/>
      <c r="R360" s="6"/>
      <c r="S360" s="6"/>
      <c r="T360" s="4">
        <v>-30</v>
      </c>
      <c r="U360" s="4"/>
      <c r="V360" s="4"/>
      <c r="W360" s="9">
        <v>1.4</v>
      </c>
      <c r="X360" s="9"/>
      <c r="Y360" s="9"/>
      <c r="Z360" s="9"/>
      <c r="AA360" s="9"/>
      <c r="AB360" s="9"/>
      <c r="AC360" s="449" t="str">
        <f t="shared" si="41"/>
        <v>PHC</v>
      </c>
      <c r="AD360" s="449"/>
      <c r="AE360" s="449"/>
      <c r="AF360" s="4"/>
      <c r="AG360" s="83"/>
      <c r="AH360" s="4"/>
      <c r="AI360" s="4"/>
      <c r="AJ360" s="449"/>
      <c r="AK360" s="449"/>
      <c r="AL360" s="449"/>
      <c r="AM360" s="449" t="s">
        <v>126</v>
      </c>
      <c r="AN360" s="10">
        <v>5.5</v>
      </c>
      <c r="AO360" s="9"/>
      <c r="AP360" s="9"/>
      <c r="AQ360" s="9"/>
      <c r="AR360" s="9"/>
      <c r="AS360" s="9"/>
      <c r="AT360" s="9">
        <f>+ab($T$360,$T$358,$T$362,$G$359,$G$361,-1*$F$360,1200)</f>
        <v>-3.9912951206966776</v>
      </c>
      <c r="AU360" s="428"/>
      <c r="AV360" s="428"/>
      <c r="AW360" s="449" t="str">
        <f>IF(C360&gt;0,VLOOKUP(C360,Foundation_Calc!$A$2:$C$13,3,1),
IF(J360&gt;0,VLOOKUP(J360,Foundation_Calc!$A$2:$C$13,3,1),""))</f>
        <v>Multi Soil</v>
      </c>
      <c r="AX360" s="449" t="str">
        <f>IF(C360&gt;0,VLOOKUP(C360,Foundation_Calc!$E$2:$G$33,3,1),
IF(J360&gt;0,VLOOKUP(J360,Foundation_Calc!$E$2:$G$33,3,1),""))</f>
        <v>PT</v>
      </c>
      <c r="AY360" s="10">
        <f>IF(L360="","",
IF(AX360="PT",VLOOKUP(L360,Foundation_Calc!$K$79:$R$113,VLOOKUP(AW360,Foundation_Calc!$I$2:$J$8,2,FALSE),0),
IF(AX360="K",VLOOKUP(L360,Foundation_Calc!$K$117:$R$151,VLOOKUP(AW360,Foundation_Calc!$I$2:$J$8,2,FALSE),0),"")))</f>
        <v>3.5</v>
      </c>
      <c r="AZ360" s="10" t="str">
        <f>IF(K360="","",
IF(AX360="PT",VLOOKUP(K360,Foundation_Calc!$K$79:$R$113,VLOOKUP(AW360,Foundation_Calc!$I$2:$J$8,2,FALSE),0),
IF(AX360="K",VLOOKUP(K360,Foundation_Calc!$K$117:$R$151,VLOOKUP(AW360,Foundation_Calc!$I$2:$J$8,2,FALSE),0),"")))</f>
        <v/>
      </c>
      <c r="BA360" s="495" t="str">
        <f t="shared" si="42"/>
        <v>ü</v>
      </c>
      <c r="BB360" s="495" t="str">
        <f t="shared" si="43"/>
        <v/>
      </c>
      <c r="BC360" s="495" t="str">
        <f t="shared" si="44"/>
        <v/>
      </c>
      <c r="BD360" s="513" t="str">
        <f>IF(AND(L360="",H360=""),"",
IF(H360="",Pole_Calc!A$9,
IF(H360="MP",Pole_Calc!A$10,
IF(H360="AnMP",Pole_Calc!A$11,
IF(H360="A",Pole_Calc!A$12,
IF(H360="S/A",Pole_Calc!A$13,
IF(H360="A/S",Pole_Calc!A$14,"Poner a mano")))))))</f>
        <v>App.7-V11I-P9.5.1.3</v>
      </c>
      <c r="BE360" s="429" t="s">
        <v>118</v>
      </c>
      <c r="BF360" s="289"/>
      <c r="BG360" s="289"/>
      <c r="BH360" s="290"/>
      <c r="BI360" s="289"/>
    </row>
    <row r="361" spans="1:61" ht="17.45" customHeight="1">
      <c r="A361" s="514"/>
      <c r="B361" s="450"/>
      <c r="C361" s="3"/>
      <c r="D361" s="83"/>
      <c r="E361" s="4"/>
      <c r="F361" s="4"/>
      <c r="G361" s="6">
        <v>48</v>
      </c>
      <c r="H361" s="449"/>
      <c r="I361" s="4" t="s">
        <v>195</v>
      </c>
      <c r="J361" s="3">
        <f>C362-7.5</f>
        <v>38861.859999999986</v>
      </c>
      <c r="K361" s="449" t="s">
        <v>166</v>
      </c>
      <c r="L361" s="449"/>
      <c r="M361" s="449" t="str">
        <f>IF(L361="","",
IF(AX361="PT",VLOOKUP(L361,Foundation_Calc!$V$79:$X$113,VLOOKUP(AX361,Foundation_Calc!$I$10:$J$13,2,FALSE),0),
IF(AX361="K",VLOOKUP(L361,Foundation_Calc!$V$117:$X$151,VLOOKUP(AX361,Foundation_Calc!$I$10:$J$13,2,FALSE),0),"")))</f>
        <v/>
      </c>
      <c r="N361" s="449"/>
      <c r="O361" s="449"/>
      <c r="P361" s="449"/>
      <c r="Q361" s="4"/>
      <c r="R361" s="6"/>
      <c r="S361" s="6"/>
      <c r="T361" s="4"/>
      <c r="U361" s="4"/>
      <c r="V361" s="4"/>
      <c r="W361" s="9"/>
      <c r="X361" s="9"/>
      <c r="Y361" s="9"/>
      <c r="Z361" s="9"/>
      <c r="AA361" s="9"/>
      <c r="AB361" s="9"/>
      <c r="AC361" s="449" t="str">
        <f t="shared" si="41"/>
        <v/>
      </c>
      <c r="AD361" s="449"/>
      <c r="AE361" s="449"/>
      <c r="AF361" s="4"/>
      <c r="AG361" s="83"/>
      <c r="AH361" s="4"/>
      <c r="AI361" s="4"/>
      <c r="AJ361" s="449"/>
      <c r="AK361" s="449"/>
      <c r="AL361" s="449"/>
      <c r="AM361" s="449"/>
      <c r="AN361" s="10"/>
      <c r="AO361" s="9"/>
      <c r="AP361" s="9"/>
      <c r="AQ361" s="9">
        <f>+FL_2($T$362,$T$360,$G$361,1200,9.28,-1*$F$362)</f>
        <v>-0.30005441130447724</v>
      </c>
      <c r="AR361" s="9"/>
      <c r="AS361" s="9"/>
      <c r="AT361" s="9"/>
      <c r="AU361" s="428"/>
      <c r="AV361" s="428"/>
      <c r="AW361" s="449" t="str">
        <f>IF(C361&gt;0,VLOOKUP(C361,Foundation_Calc!$A$2:$C$13,3,1),
IF(J361&gt;0,VLOOKUP(J361,Foundation_Calc!$A$2:$C$13,3,1),""))</f>
        <v>Multi Soil</v>
      </c>
      <c r="AX361" s="449" t="str">
        <f>IF(C361&gt;0,VLOOKUP(C361,Foundation_Calc!$E$2:$G$33,3,1),
IF(J361&gt;0,VLOOKUP(J361,Foundation_Calc!$E$2:$G$33,3,1),""))</f>
        <v>PT</v>
      </c>
      <c r="AY361" s="10" t="str">
        <f>IF(L361="","",
IF(AX361="PT",VLOOKUP(L361,Foundation_Calc!$K$79:$R$113,VLOOKUP(AW361,Foundation_Calc!$I$2:$J$8,2,FALSE),0),
IF(AX361="K",VLOOKUP(L361,Foundation_Calc!$K$117:$R$151,VLOOKUP(AW361,Foundation_Calc!$I$2:$J$8,2,FALSE),0),"")))</f>
        <v/>
      </c>
      <c r="AZ361" s="10">
        <f>IF(K361="","",
IF(AX361="PT",VLOOKUP(K361,Foundation_Calc!$K$79:$R$113,VLOOKUP(AW361,Foundation_Calc!$I$2:$J$8,2,FALSE),0),
IF(AX361="K",VLOOKUP(K361,Foundation_Calc!$K$117:$R$151,VLOOKUP(AW361,Foundation_Calc!$I$2:$J$8,2,FALSE),0),"")))</f>
        <v>2.8</v>
      </c>
      <c r="BA361" s="495" t="str">
        <f t="shared" si="42"/>
        <v/>
      </c>
      <c r="BB361" s="495" t="str">
        <f t="shared" si="43"/>
        <v>ü</v>
      </c>
      <c r="BC361" s="495" t="str">
        <f t="shared" si="44"/>
        <v/>
      </c>
      <c r="BD361" s="513" t="str">
        <f>IF(AND(L361="",H361=""),"",
IF(H361="",Pole_Calc!A$9,
IF(H361="MP",Pole_Calc!A$10,
IF(H361="AnMP",Pole_Calc!A$11,
IF(H361="A",Pole_Calc!A$12,
IF(H361="S/A",Pole_Calc!A$13,
IF(H361="A/S",Pole_Calc!A$14,"Poner a mano")))))))</f>
        <v/>
      </c>
      <c r="BE361" s="429" t="s">
        <v>118</v>
      </c>
      <c r="BF361" s="290"/>
      <c r="BG361" s="290"/>
      <c r="BH361" s="290"/>
      <c r="BI361" s="290"/>
    </row>
    <row r="362" spans="1:61" ht="17.45" customHeight="1">
      <c r="A362" s="514"/>
      <c r="B362" s="450" t="s">
        <v>380</v>
      </c>
      <c r="C362" s="3">
        <f>+$C$360+$G$361</f>
        <v>38869.359999999986</v>
      </c>
      <c r="D362" s="83"/>
      <c r="E362" s="4"/>
      <c r="F362" s="4">
        <f>IF(C362&gt;0,VLOOKUP(C362,'ALIGNMENT TRACK'!$A$1:$K$81,9,1))</f>
        <v>1000</v>
      </c>
      <c r="G362" s="6"/>
      <c r="H362" s="449" t="s">
        <v>171</v>
      </c>
      <c r="I362" s="4"/>
      <c r="J362" s="3"/>
      <c r="K362" s="449"/>
      <c r="L362" s="449" t="s">
        <v>158</v>
      </c>
      <c r="M362" s="449" t="str">
        <f>IF(L362="","",
IF(AX362="PT",VLOOKUP(L362,Foundation_Calc!$V$79:$X$113,VLOOKUP(AX362,Foundation_Calc!$I$10:$J$13,2,FALSE),0),
IF(AX362="K",VLOOKUP(L362,Foundation_Calc!$V$117:$X$151,VLOOKUP(AX362,Foundation_Calc!$I$10:$J$13,2,FALSE),0),"")))</f>
        <v>C4R</v>
      </c>
      <c r="N362" s="449" t="s">
        <v>124</v>
      </c>
      <c r="O362" s="449"/>
      <c r="P362" s="449"/>
      <c r="Q362" s="4"/>
      <c r="R362" s="6"/>
      <c r="S362" s="6"/>
      <c r="T362" s="4">
        <v>-30</v>
      </c>
      <c r="U362" s="4"/>
      <c r="V362" s="4"/>
      <c r="W362" s="9">
        <v>1.4</v>
      </c>
      <c r="X362" s="9"/>
      <c r="Y362" s="9"/>
      <c r="Z362" s="9"/>
      <c r="AA362" s="9"/>
      <c r="AB362" s="9"/>
      <c r="AC362" s="449" t="str">
        <f t="shared" si="41"/>
        <v>PHC</v>
      </c>
      <c r="AD362" s="449"/>
      <c r="AE362" s="449"/>
      <c r="AF362" s="4"/>
      <c r="AG362" s="83"/>
      <c r="AH362" s="4"/>
      <c r="AI362" s="4"/>
      <c r="AJ362" s="449"/>
      <c r="AK362" s="449"/>
      <c r="AL362" s="449"/>
      <c r="AM362" s="449" t="s">
        <v>126</v>
      </c>
      <c r="AN362" s="10">
        <v>5.5</v>
      </c>
      <c r="AO362" s="9"/>
      <c r="AP362" s="9"/>
      <c r="AQ362" s="9"/>
      <c r="AR362" s="9"/>
      <c r="AS362" s="9"/>
      <c r="AT362" s="9">
        <f>+ab($T$362,$T$360,$T$364,$G$361,$G$363,-1*$F$362,1200)</f>
        <v>-3.9912951206966776</v>
      </c>
      <c r="AU362" s="428"/>
      <c r="AV362" s="428"/>
      <c r="AW362" s="449" t="str">
        <f>IF(C362&gt;0,VLOOKUP(C362,Foundation_Calc!$A$2:$C$13,3,1),
IF(J362&gt;0,VLOOKUP(J362,Foundation_Calc!$A$2:$C$13,3,1),""))</f>
        <v>Multi Soil</v>
      </c>
      <c r="AX362" s="449" t="str">
        <f>IF(C362&gt;0,VLOOKUP(C362,Foundation_Calc!$E$2:$G$33,3,1),
IF(J362&gt;0,VLOOKUP(J362,Foundation_Calc!$E$2:$G$33,3,1),""))</f>
        <v>PT</v>
      </c>
      <c r="AY362" s="10">
        <f>IF(L362="","",
IF(AX362="PT",VLOOKUP(L362,Foundation_Calc!$K$79:$R$113,VLOOKUP(AW362,Foundation_Calc!$I$2:$J$8,2,FALSE),0),
IF(AX362="K",VLOOKUP(L362,Foundation_Calc!$K$117:$R$151,VLOOKUP(AW362,Foundation_Calc!$I$2:$J$8,2,FALSE),0),"")))</f>
        <v>3.5</v>
      </c>
      <c r="AZ362" s="10" t="str">
        <f>IF(K362="","",
IF(AX362="PT",VLOOKUP(K362,Foundation_Calc!$K$79:$R$113,VLOOKUP(AW362,Foundation_Calc!$I$2:$J$8,2,FALSE),0),
IF(AX362="K",VLOOKUP(K362,Foundation_Calc!$K$117:$R$151,VLOOKUP(AW362,Foundation_Calc!$I$2:$J$8,2,FALSE),0),"")))</f>
        <v/>
      </c>
      <c r="BA362" s="495" t="str">
        <f t="shared" si="42"/>
        <v>ü</v>
      </c>
      <c r="BB362" s="495" t="str">
        <f t="shared" si="43"/>
        <v/>
      </c>
      <c r="BC362" s="495" t="str">
        <f t="shared" si="44"/>
        <v/>
      </c>
      <c r="BD362" s="513" t="str">
        <f>IF(AND(L362="",H362=""),"",
IF(H362="",Pole_Calc!A$9,
IF(H362="MP",Pole_Calc!A$10,
IF(H362="AnMP",Pole_Calc!A$11,
IF(H362="A",Pole_Calc!A$12,
IF(H362="S/A",Pole_Calc!A$13,
IF(H362="A/S",Pole_Calc!A$14,"Poner a mano")))))))</f>
        <v>App.7-V11I-P9.5.1.2</v>
      </c>
      <c r="BE362" s="429" t="s">
        <v>118</v>
      </c>
      <c r="BF362" s="289"/>
      <c r="BG362" s="289"/>
      <c r="BH362" s="290"/>
      <c r="BI362" s="289"/>
    </row>
    <row r="363" spans="1:61" ht="16.149999999999999" customHeight="1">
      <c r="A363" s="514"/>
      <c r="B363" s="450"/>
      <c r="C363" s="3"/>
      <c r="D363" s="83"/>
      <c r="E363" s="4"/>
      <c r="F363" s="4"/>
      <c r="G363" s="6">
        <v>48</v>
      </c>
      <c r="H363" s="449"/>
      <c r="I363" s="4" t="s">
        <v>195</v>
      </c>
      <c r="J363" s="3">
        <f>C362+7.5</f>
        <v>38876.859999999986</v>
      </c>
      <c r="K363" s="449" t="s">
        <v>166</v>
      </c>
      <c r="L363" s="449"/>
      <c r="M363" s="449" t="str">
        <f>IF(L363="","",
IF(AX363="PT",VLOOKUP(L363,Foundation_Calc!$V$79:$X$113,VLOOKUP(AX363,Foundation_Calc!$I$10:$J$13,2,FALSE),0),
IF(AX363="K",VLOOKUP(L363,Foundation_Calc!$V$117:$X$151,VLOOKUP(AX363,Foundation_Calc!$I$10:$J$13,2,FALSE),0),"")))</f>
        <v/>
      </c>
      <c r="N363" s="449"/>
      <c r="O363" s="449"/>
      <c r="P363" s="449"/>
      <c r="Q363" s="4"/>
      <c r="R363" s="6"/>
      <c r="S363" s="6"/>
      <c r="T363" s="4"/>
      <c r="U363" s="4"/>
      <c r="V363" s="4"/>
      <c r="W363" s="9"/>
      <c r="X363" s="9"/>
      <c r="Y363" s="9"/>
      <c r="Z363" s="9"/>
      <c r="AA363" s="9"/>
      <c r="AB363" s="9"/>
      <c r="AC363" s="449" t="str">
        <f t="shared" si="41"/>
        <v/>
      </c>
      <c r="AD363" s="449"/>
      <c r="AE363" s="449"/>
      <c r="AF363" s="4"/>
      <c r="AG363" s="83"/>
      <c r="AH363" s="4"/>
      <c r="AI363" s="4"/>
      <c r="AJ363" s="449"/>
      <c r="AK363" s="449"/>
      <c r="AL363" s="449"/>
      <c r="AM363" s="449"/>
      <c r="AN363" s="10"/>
      <c r="AO363" s="9"/>
      <c r="AP363" s="9"/>
      <c r="AQ363" s="9">
        <f>+FL_2($T$364,$T$362,$G$363,1200,9.28,-1*$F$364)</f>
        <v>-0.30005441130447724</v>
      </c>
      <c r="AR363" s="9"/>
      <c r="AS363" s="9"/>
      <c r="AT363" s="9"/>
      <c r="AU363" s="428"/>
      <c r="AV363" s="428"/>
      <c r="AW363" s="449" t="str">
        <f>IF(C363&gt;0,VLOOKUP(C363,Foundation_Calc!$A$2:$C$13,3,1),
IF(J363&gt;0,VLOOKUP(J363,Foundation_Calc!$A$2:$C$13,3,1),""))</f>
        <v>Multi Soil</v>
      </c>
      <c r="AX363" s="449" t="str">
        <f>IF(C363&gt;0,VLOOKUP(C363,Foundation_Calc!$E$2:$G$33,3,1),
IF(J363&gt;0,VLOOKUP(J363,Foundation_Calc!$E$2:$G$33,3,1),""))</f>
        <v>PT</v>
      </c>
      <c r="AY363" s="10" t="str">
        <f>IF(L363="","",
IF(AX363="PT",VLOOKUP(L363,Foundation_Calc!$K$79:$R$113,VLOOKUP(AW363,Foundation_Calc!$I$2:$J$8,2,FALSE),0),
IF(AX363="K",VLOOKUP(L363,Foundation_Calc!$K$117:$R$151,VLOOKUP(AW363,Foundation_Calc!$I$2:$J$8,2,FALSE),0),"")))</f>
        <v/>
      </c>
      <c r="AZ363" s="10">
        <f>IF(K363="","",
IF(AX363="PT",VLOOKUP(K363,Foundation_Calc!$K$79:$R$113,VLOOKUP(AW363,Foundation_Calc!$I$2:$J$8,2,FALSE),0),
IF(AX363="K",VLOOKUP(K363,Foundation_Calc!$K$117:$R$151,VLOOKUP(AW363,Foundation_Calc!$I$2:$J$8,2,FALSE),0),"")))</f>
        <v>2.8</v>
      </c>
      <c r="BA363" s="495" t="str">
        <f t="shared" si="42"/>
        <v/>
      </c>
      <c r="BB363" s="495" t="str">
        <f t="shared" si="43"/>
        <v>ü</v>
      </c>
      <c r="BC363" s="495" t="str">
        <f t="shared" si="44"/>
        <v/>
      </c>
      <c r="BD363" s="513" t="str">
        <f>IF(AND(L363="",H363=""),"",
IF(H363="",Pole_Calc!A$9,
IF(H363="MP",Pole_Calc!A$10,
IF(H363="AnMP",Pole_Calc!A$11,
IF(H363="A",Pole_Calc!A$12,
IF(H363="S/A",Pole_Calc!A$13,
IF(H363="A/S",Pole_Calc!A$14,"Poner a mano")))))))</f>
        <v/>
      </c>
      <c r="BE363" s="429" t="s">
        <v>118</v>
      </c>
      <c r="BF363" s="290"/>
      <c r="BG363" s="290"/>
      <c r="BH363" s="290"/>
      <c r="BI363" s="290"/>
    </row>
    <row r="364" spans="1:61" ht="16.149999999999999" customHeight="1">
      <c r="A364" s="514"/>
      <c r="B364" s="450" t="s">
        <v>381</v>
      </c>
      <c r="C364" s="3">
        <f>+$C$362+$G$363</f>
        <v>38917.359999999986</v>
      </c>
      <c r="D364" s="83"/>
      <c r="E364" s="4"/>
      <c r="F364" s="4">
        <f>IF(C364&gt;0,VLOOKUP(C364,'ALIGNMENT TRACK'!$A$1:$K$81,9,1))</f>
        <v>1000</v>
      </c>
      <c r="G364" s="6"/>
      <c r="H364" s="449" t="s">
        <v>168</v>
      </c>
      <c r="I364" s="4">
        <f>SUM(G363:G375)</f>
        <v>308</v>
      </c>
      <c r="J364" s="3"/>
      <c r="K364" s="449"/>
      <c r="L364" s="449" t="s">
        <v>158</v>
      </c>
      <c r="M364" s="449" t="str">
        <f>IF(L364="","",
IF(AX364="PT",VLOOKUP(L364,Foundation_Calc!$V$79:$X$113,VLOOKUP(AX364,Foundation_Calc!$I$10:$J$13,2,FALSE),0),
IF(AX364="K",VLOOKUP(L364,Foundation_Calc!$V$117:$X$151,VLOOKUP(AX364,Foundation_Calc!$I$10:$J$13,2,FALSE),0),"")))</f>
        <v>C4R</v>
      </c>
      <c r="N364" s="449" t="s">
        <v>124</v>
      </c>
      <c r="O364" s="449"/>
      <c r="P364" s="449"/>
      <c r="Q364" s="4"/>
      <c r="R364" s="6"/>
      <c r="S364" s="6"/>
      <c r="T364" s="4">
        <v>-30</v>
      </c>
      <c r="U364" s="4"/>
      <c r="V364" s="4"/>
      <c r="W364" s="9">
        <v>1.4</v>
      </c>
      <c r="X364" s="9"/>
      <c r="Y364" s="9"/>
      <c r="Z364" s="9"/>
      <c r="AA364" s="9"/>
      <c r="AB364" s="9"/>
      <c r="AC364" s="449" t="str">
        <f t="shared" si="41"/>
        <v>PHC</v>
      </c>
      <c r="AD364" s="449"/>
      <c r="AE364" s="449"/>
      <c r="AF364" s="4"/>
      <c r="AG364" s="83"/>
      <c r="AH364" s="4"/>
      <c r="AI364" s="4"/>
      <c r="AJ364" s="449"/>
      <c r="AK364" s="449"/>
      <c r="AL364" s="449"/>
      <c r="AM364" s="449" t="s">
        <v>126</v>
      </c>
      <c r="AN364" s="10">
        <v>5.5</v>
      </c>
      <c r="AO364" s="9"/>
      <c r="AP364" s="9"/>
      <c r="AQ364" s="9"/>
      <c r="AR364" s="9"/>
      <c r="AS364" s="9"/>
      <c r="AT364" s="9">
        <f>+ab($T$364,$T$362,$T$366,$G$363,$G$365,-1*$F$364,1200)</f>
        <v>-4.0331708223239371</v>
      </c>
      <c r="AU364" s="428"/>
      <c r="AV364" s="428"/>
      <c r="AW364" s="449" t="str">
        <f>IF(C364&gt;0,VLOOKUP(C364,Foundation_Calc!$A$2:$C$13,3,1),
IF(J364&gt;0,VLOOKUP(J364,Foundation_Calc!$A$2:$C$13,3,1),""))</f>
        <v>Multi Soil</v>
      </c>
      <c r="AX364" s="449" t="str">
        <f>IF(C364&gt;0,VLOOKUP(C364,Foundation_Calc!$E$2:$G$33,3,1),
IF(J364&gt;0,VLOOKUP(J364,Foundation_Calc!$E$2:$G$33,3,1),""))</f>
        <v>PT</v>
      </c>
      <c r="AY364" s="10">
        <f>IF(L364="","",
IF(AX364="PT",VLOOKUP(L364,Foundation_Calc!$K$79:$R$113,VLOOKUP(AW364,Foundation_Calc!$I$2:$J$8,2,FALSE),0),
IF(AX364="K",VLOOKUP(L364,Foundation_Calc!$K$117:$R$151,VLOOKUP(AW364,Foundation_Calc!$I$2:$J$8,2,FALSE),0),"")))</f>
        <v>3.5</v>
      </c>
      <c r="AZ364" s="10" t="str">
        <f>IF(K364="","",
IF(AX364="PT",VLOOKUP(K364,Foundation_Calc!$K$79:$R$113,VLOOKUP(AW364,Foundation_Calc!$I$2:$J$8,2,FALSE),0),
IF(AX364="K",VLOOKUP(K364,Foundation_Calc!$K$117:$R$151,VLOOKUP(AW364,Foundation_Calc!$I$2:$J$8,2,FALSE),0),"")))</f>
        <v/>
      </c>
      <c r="BA364" s="495" t="str">
        <f t="shared" si="42"/>
        <v>ü</v>
      </c>
      <c r="BB364" s="495" t="str">
        <f t="shared" si="43"/>
        <v/>
      </c>
      <c r="BC364" s="495" t="str">
        <f t="shared" si="44"/>
        <v/>
      </c>
      <c r="BD364" s="513" t="str">
        <f>IF(AND(L364="",H364=""),"",
IF(H364="",Pole_Calc!A$9,
IF(H364="MP",Pole_Calc!A$10,
IF(H364="AnMP",Pole_Calc!A$11,
IF(H364="A",Pole_Calc!A$12,
IF(H364="S/A",Pole_Calc!A$13,
IF(H364="A/S",Pole_Calc!A$14,"Poner a mano")))))))</f>
        <v>App.7-V11I-P9.5.1.3</v>
      </c>
      <c r="BE364" s="429" t="s">
        <v>118</v>
      </c>
      <c r="BF364" s="289"/>
      <c r="BG364" s="289"/>
      <c r="BH364" s="290"/>
      <c r="BI364" s="289"/>
    </row>
    <row r="365" spans="1:61" ht="16.149999999999999" customHeight="1">
      <c r="A365" s="514" t="s">
        <v>169</v>
      </c>
      <c r="B365" s="450"/>
      <c r="C365" s="3"/>
      <c r="D365" s="83"/>
      <c r="E365" s="4"/>
      <c r="F365" s="4"/>
      <c r="G365" s="6">
        <v>47</v>
      </c>
      <c r="H365" s="449"/>
      <c r="I365" s="4"/>
      <c r="J365" s="3">
        <f>C364+7.5</f>
        <v>38924.859999999986</v>
      </c>
      <c r="K365" s="449" t="s">
        <v>166</v>
      </c>
      <c r="L365" s="449"/>
      <c r="M365" s="449" t="str">
        <f>IF(L365="","",
IF(AX365="PT",VLOOKUP(L365,Foundation_Calc!$V$79:$X$113,VLOOKUP(AX365,Foundation_Calc!$I$10:$J$13,2,FALSE),0),
IF(AX365="K",VLOOKUP(L365,Foundation_Calc!$V$117:$X$151,VLOOKUP(AX365,Foundation_Calc!$I$10:$J$13,2,FALSE),0),"")))</f>
        <v/>
      </c>
      <c r="N365" s="449"/>
      <c r="O365" s="449"/>
      <c r="P365" s="449"/>
      <c r="Q365" s="4"/>
      <c r="R365" s="6"/>
      <c r="S365" s="6"/>
      <c r="T365" s="4"/>
      <c r="U365" s="4"/>
      <c r="V365" s="4"/>
      <c r="W365" s="9"/>
      <c r="X365" s="9"/>
      <c r="Y365" s="9"/>
      <c r="Z365" s="9"/>
      <c r="AA365" s="9"/>
      <c r="AB365" s="9"/>
      <c r="AC365" s="449" t="str">
        <f t="shared" si="41"/>
        <v/>
      </c>
      <c r="AD365" s="449"/>
      <c r="AE365" s="449"/>
      <c r="AF365" s="4"/>
      <c r="AG365" s="83"/>
      <c r="AH365" s="4"/>
      <c r="AI365" s="4"/>
      <c r="AJ365" s="449"/>
      <c r="AK365" s="449"/>
      <c r="AL365" s="449"/>
      <c r="AM365" s="449"/>
      <c r="AN365" s="10"/>
      <c r="AO365" s="9"/>
      <c r="AP365" s="9"/>
      <c r="AQ365" s="9">
        <f>+FL_2($T$366,$T$364,$G$365,1200,9.28,-1*$F$366)</f>
        <v>-0.30005327797240311</v>
      </c>
      <c r="AR365" s="9"/>
      <c r="AS365" s="9"/>
      <c r="AT365" s="9"/>
      <c r="AU365" s="428"/>
      <c r="AV365" s="428"/>
      <c r="AW365" s="449" t="str">
        <f>IF(C365&gt;0,VLOOKUP(C365,Foundation_Calc!$A$2:$C$13,3,1),
IF(J365&gt;0,VLOOKUP(J365,Foundation_Calc!$A$2:$C$13,3,1),""))</f>
        <v>Multi Soil</v>
      </c>
      <c r="AX365" s="449" t="str">
        <f>IF(C365&gt;0,VLOOKUP(C365,Foundation_Calc!$E$2:$G$33,3,1),
IF(J365&gt;0,VLOOKUP(J365,Foundation_Calc!$E$2:$G$33,3,1),""))</f>
        <v>PT</v>
      </c>
      <c r="AY365" s="10" t="str">
        <f>IF(L365="","",
IF(AX365="PT",VLOOKUP(L365,Foundation_Calc!$K$79:$R$113,VLOOKUP(AW365,Foundation_Calc!$I$2:$J$8,2,FALSE),0),
IF(AX365="K",VLOOKUP(L365,Foundation_Calc!$K$117:$R$151,VLOOKUP(AW365,Foundation_Calc!$I$2:$J$8,2,FALSE),0),"")))</f>
        <v/>
      </c>
      <c r="AZ365" s="10">
        <f>IF(K365="","",
IF(AX365="PT",VLOOKUP(K365,Foundation_Calc!$K$79:$R$113,VLOOKUP(AW365,Foundation_Calc!$I$2:$J$8,2,FALSE),0),
IF(AX365="K",VLOOKUP(K365,Foundation_Calc!$K$117:$R$151,VLOOKUP(AW365,Foundation_Calc!$I$2:$J$8,2,FALSE),0),"")))</f>
        <v>2.8</v>
      </c>
      <c r="BA365" s="495" t="str">
        <f t="shared" si="42"/>
        <v/>
      </c>
      <c r="BB365" s="495" t="str">
        <f t="shared" si="43"/>
        <v>ü</v>
      </c>
      <c r="BC365" s="495" t="str">
        <f t="shared" si="44"/>
        <v/>
      </c>
      <c r="BD365" s="513" t="str">
        <f>IF(AND(L365="",H365=""),"",
IF(H365="",Pole_Calc!A$9,
IF(H365="MP",Pole_Calc!A$10,
IF(H365="AnMP",Pole_Calc!A$11,
IF(H365="A",Pole_Calc!A$12,
IF(H365="S/A",Pole_Calc!A$13,
IF(H365="A/S",Pole_Calc!A$14,"Poner a mano")))))))</f>
        <v/>
      </c>
      <c r="BE365" s="429" t="s">
        <v>118</v>
      </c>
      <c r="BF365" s="290"/>
      <c r="BG365" s="290"/>
      <c r="BH365" s="290"/>
      <c r="BI365" s="290"/>
    </row>
    <row r="366" spans="1:61" ht="16.149999999999999" customHeight="1">
      <c r="A366" s="514"/>
      <c r="B366" s="450" t="s">
        <v>382</v>
      </c>
      <c r="C366" s="3">
        <f>+$C$364+$G$365</f>
        <v>38964.359999999986</v>
      </c>
      <c r="D366" s="83"/>
      <c r="E366" s="4"/>
      <c r="F366" s="4">
        <f>IF(C366&gt;0,VLOOKUP(C366,'ALIGNMENT TRACK'!$A$1:$K$81,9,1))</f>
        <v>1000</v>
      </c>
      <c r="G366" s="6"/>
      <c r="H366" s="449"/>
      <c r="I366" s="4"/>
      <c r="J366" s="3"/>
      <c r="K366" s="449"/>
      <c r="L366" s="449" t="s">
        <v>158</v>
      </c>
      <c r="M366" s="449" t="str">
        <f>IF(L366="","",
IF(AX366="PT",VLOOKUP(L366,Foundation_Calc!$V$79:$X$113,VLOOKUP(AX366,Foundation_Calc!$I$10:$J$13,2,FALSE),0),
IF(AX366="K",VLOOKUP(L366,Foundation_Calc!$V$117:$X$151,VLOOKUP(AX366,Foundation_Calc!$I$10:$J$13,2,FALSE),0),"")))</f>
        <v>C4R</v>
      </c>
      <c r="N366" s="449" t="s">
        <v>124</v>
      </c>
      <c r="O366" s="449"/>
      <c r="P366" s="449"/>
      <c r="Q366" s="4"/>
      <c r="R366" s="6"/>
      <c r="S366" s="6"/>
      <c r="T366" s="4">
        <v>-30</v>
      </c>
      <c r="U366" s="4"/>
      <c r="V366" s="4"/>
      <c r="W366" s="9">
        <v>1.4</v>
      </c>
      <c r="X366" s="9"/>
      <c r="Y366" s="9"/>
      <c r="Z366" s="9"/>
      <c r="AA366" s="9"/>
      <c r="AB366" s="9"/>
      <c r="AC366" s="449" t="str">
        <f t="shared" si="41"/>
        <v>PHC</v>
      </c>
      <c r="AD366" s="449"/>
      <c r="AE366" s="449"/>
      <c r="AF366" s="4"/>
      <c r="AG366" s="83"/>
      <c r="AH366" s="4"/>
      <c r="AI366" s="4"/>
      <c r="AJ366" s="449"/>
      <c r="AK366" s="449"/>
      <c r="AL366" s="449"/>
      <c r="AM366" s="449" t="s">
        <v>126</v>
      </c>
      <c r="AN366" s="10">
        <v>5.5</v>
      </c>
      <c r="AO366" s="9"/>
      <c r="AP366" s="9"/>
      <c r="AQ366" s="9"/>
      <c r="AR366" s="9"/>
      <c r="AS366" s="9"/>
      <c r="AT366" s="9">
        <f>+ab($T$366,$T$364,$T$368,$G$365,$G$367,-1*$F$366,1200)</f>
        <v>-4.5058098388855239</v>
      </c>
      <c r="AU366" s="428"/>
      <c r="AV366" s="428"/>
      <c r="AW366" s="449" t="str">
        <f>IF(C366&gt;0,VLOOKUP(C366,Foundation_Calc!$A$2:$C$13,3,1),
IF(J366&gt;0,VLOOKUP(J366,Foundation_Calc!$A$2:$C$13,3,1),""))</f>
        <v>Multi Soil</v>
      </c>
      <c r="AX366" s="449" t="str">
        <f>IF(C366&gt;0,VLOOKUP(C366,Foundation_Calc!$E$2:$G$33,3,1),
IF(J366&gt;0,VLOOKUP(J366,Foundation_Calc!$E$2:$G$33,3,1),""))</f>
        <v>PT</v>
      </c>
      <c r="AY366" s="10">
        <f>IF(L366="","",
IF(AX366="PT",VLOOKUP(L366,Foundation_Calc!$K$79:$R$113,VLOOKUP(AW366,Foundation_Calc!$I$2:$J$8,2,FALSE),0),
IF(AX366="K",VLOOKUP(L366,Foundation_Calc!$K$117:$R$151,VLOOKUP(AW366,Foundation_Calc!$I$2:$J$8,2,FALSE),0),"")))</f>
        <v>3.5</v>
      </c>
      <c r="AZ366" s="10" t="str">
        <f>IF(K366="","",
IF(AX366="PT",VLOOKUP(K366,Foundation_Calc!$K$79:$R$113,VLOOKUP(AW366,Foundation_Calc!$I$2:$J$8,2,FALSE),0),
IF(AX366="K",VLOOKUP(K366,Foundation_Calc!$K$117:$R$151,VLOOKUP(AW366,Foundation_Calc!$I$2:$J$8,2,FALSE),0),"")))</f>
        <v/>
      </c>
      <c r="BA366" s="495" t="str">
        <f t="shared" si="42"/>
        <v>ü</v>
      </c>
      <c r="BB366" s="495" t="str">
        <f t="shared" si="43"/>
        <v/>
      </c>
      <c r="BC366" s="495" t="str">
        <f t="shared" si="44"/>
        <v/>
      </c>
      <c r="BD366" s="513" t="str">
        <f>IF(AND(L366="",H366=""),"",
IF(H366="",Pole_Calc!A$9,
IF(H366="MP",Pole_Calc!A$10,
IF(H366="AnMP",Pole_Calc!A$11,
IF(H366="A",Pole_Calc!A$12,
IF(H366="S/A",Pole_Calc!A$13,
IF(H366="A/S",Pole_Calc!A$14,"Poner a mano")))))))</f>
        <v>App.7-V11I-P9.5.1.1</v>
      </c>
      <c r="BE366" s="429" t="s">
        <v>118</v>
      </c>
      <c r="BF366" s="289"/>
      <c r="BG366" s="289"/>
      <c r="BH366" s="290"/>
      <c r="BI366" s="289"/>
    </row>
    <row r="367" spans="1:61" ht="16.149999999999999" customHeight="1">
      <c r="A367" s="514"/>
      <c r="B367" s="450"/>
      <c r="C367" s="3"/>
      <c r="D367" s="83"/>
      <c r="E367" s="4"/>
      <c r="F367" s="4"/>
      <c r="G367" s="6">
        <v>38</v>
      </c>
      <c r="H367" s="449"/>
      <c r="I367" s="4"/>
      <c r="J367" s="3"/>
      <c r="K367" s="449"/>
      <c r="L367" s="449"/>
      <c r="M367" s="449" t="str">
        <f>IF(L367="","",
IF(AX367="PT",VLOOKUP(L367,Foundation_Calc!$V$79:$X$113,VLOOKUP(AX367,Foundation_Calc!$I$10:$J$13,2,FALSE),0),
IF(AX367="K",VLOOKUP(L367,Foundation_Calc!$V$117:$X$151,VLOOKUP(AX367,Foundation_Calc!$I$10:$J$13,2,FALSE),0),"")))</f>
        <v/>
      </c>
      <c r="N367" s="449"/>
      <c r="O367" s="449"/>
      <c r="P367" s="449"/>
      <c r="Q367" s="4"/>
      <c r="R367" s="6"/>
      <c r="S367" s="6"/>
      <c r="T367" s="4"/>
      <c r="U367" s="4"/>
      <c r="V367" s="4"/>
      <c r="W367" s="9"/>
      <c r="X367" s="9"/>
      <c r="Y367" s="9"/>
      <c r="Z367" s="9"/>
      <c r="AA367" s="9"/>
      <c r="AB367" s="9"/>
      <c r="AC367" s="449" t="str">
        <f t="shared" si="41"/>
        <v/>
      </c>
      <c r="AD367" s="449"/>
      <c r="AE367" s="449"/>
      <c r="AF367" s="4"/>
      <c r="AG367" s="83"/>
      <c r="AH367" s="4"/>
      <c r="AI367" s="4"/>
      <c r="AJ367" s="449"/>
      <c r="AK367" s="449"/>
      <c r="AL367" s="449"/>
      <c r="AM367" s="449"/>
      <c r="AN367" s="10"/>
      <c r="AO367" s="9"/>
      <c r="AP367" s="9"/>
      <c r="AQ367" s="9">
        <f>+FL_2($T$368,$T$366,$G$367,1200,9.28,-1*$F$368)</f>
        <v>-0.3</v>
      </c>
      <c r="AR367" s="9"/>
      <c r="AS367" s="9"/>
      <c r="AT367" s="9"/>
      <c r="AU367" s="428"/>
      <c r="AV367" s="428"/>
      <c r="AW367" s="449" t="str">
        <f>IF(C367&gt;0,VLOOKUP(C367,Foundation_Calc!$A$2:$C$13,3,1),
IF(J367&gt;0,VLOOKUP(J367,Foundation_Calc!$A$2:$C$13,3,1),""))</f>
        <v/>
      </c>
      <c r="AX367" s="449" t="str">
        <f>IF(C367&gt;0,VLOOKUP(C367,Foundation_Calc!$E$2:$G$33,3,1),
IF(J367&gt;0,VLOOKUP(J367,Foundation_Calc!$E$2:$G$33,3,1),""))</f>
        <v/>
      </c>
      <c r="AY367" s="10" t="str">
        <f>IF(L367="","",
IF(AX367="PT",VLOOKUP(L367,Foundation_Calc!$K$79:$R$113,VLOOKUP(AW367,Foundation_Calc!$I$2:$J$8,2,FALSE),0),
IF(AX367="K",VLOOKUP(L367,Foundation_Calc!$K$117:$R$151,VLOOKUP(AW367,Foundation_Calc!$I$2:$J$8,2,FALSE),0),"")))</f>
        <v/>
      </c>
      <c r="AZ367" s="10" t="str">
        <f>IF(K367="","",
IF(AX367="PT",VLOOKUP(K367,Foundation_Calc!$K$79:$R$113,VLOOKUP(AW367,Foundation_Calc!$I$2:$J$8,2,FALSE),0),
IF(AX367="K",VLOOKUP(K367,Foundation_Calc!$K$117:$R$151,VLOOKUP(AW367,Foundation_Calc!$I$2:$J$8,2,FALSE),0),"")))</f>
        <v/>
      </c>
      <c r="BA367" s="495" t="str">
        <f t="shared" si="42"/>
        <v/>
      </c>
      <c r="BB367" s="495" t="str">
        <f t="shared" si="43"/>
        <v/>
      </c>
      <c r="BC367" s="495" t="str">
        <f t="shared" si="44"/>
        <v/>
      </c>
      <c r="BD367" s="513" t="str">
        <f>IF(AND(L367="",H367=""),"",
IF(H367="",Pole_Calc!A$9,
IF(H367="MP",Pole_Calc!A$10,
IF(H367="AnMP",Pole_Calc!A$11,
IF(H367="A",Pole_Calc!A$12,
IF(H367="S/A",Pole_Calc!A$13,
IF(H367="A/S",Pole_Calc!A$14,"Poner a mano")))))))</f>
        <v/>
      </c>
      <c r="BE367" s="429" t="s">
        <v>118</v>
      </c>
      <c r="BF367" s="290"/>
      <c r="BG367" s="290"/>
      <c r="BH367" s="290"/>
      <c r="BI367" s="290"/>
    </row>
    <row r="368" spans="1:61" ht="16.149999999999999" customHeight="1">
      <c r="A368" s="514"/>
      <c r="B368" s="450" t="s">
        <v>383</v>
      </c>
      <c r="C368" s="3">
        <f>+$C$366+$G$367</f>
        <v>39002.359999999986</v>
      </c>
      <c r="D368" s="83"/>
      <c r="E368" s="4"/>
      <c r="F368" s="4">
        <f>-(346^2)/(C368-39118.76)</f>
        <v>1028.4879725084497</v>
      </c>
      <c r="G368" s="6"/>
      <c r="H368" s="449"/>
      <c r="I368" s="4"/>
      <c r="J368" s="3"/>
      <c r="K368" s="449"/>
      <c r="L368" s="449" t="s">
        <v>158</v>
      </c>
      <c r="M368" s="449" t="str">
        <f>IF(L368="","",
IF(AX368="PT",VLOOKUP(L368,Foundation_Calc!$V$79:$X$113,VLOOKUP(AX368,Foundation_Calc!$I$10:$J$13,2,FALSE),0),
IF(AX368="K",VLOOKUP(L368,Foundation_Calc!$V$117:$X$151,VLOOKUP(AX368,Foundation_Calc!$I$10:$J$13,2,FALSE),0),"")))</f>
        <v>C4RT</v>
      </c>
      <c r="N368" s="449" t="s">
        <v>124</v>
      </c>
      <c r="O368" s="449"/>
      <c r="P368" s="449"/>
      <c r="Q368" s="4"/>
      <c r="R368" s="6"/>
      <c r="S368" s="6"/>
      <c r="T368" s="4">
        <v>-30</v>
      </c>
      <c r="U368" s="4"/>
      <c r="V368" s="4"/>
      <c r="W368" s="9">
        <v>1.4</v>
      </c>
      <c r="X368" s="9"/>
      <c r="Y368" s="9"/>
      <c r="Z368" s="9"/>
      <c r="AA368" s="9"/>
      <c r="AB368" s="9"/>
      <c r="AC368" s="449" t="str">
        <f t="shared" si="41"/>
        <v>PHQ</v>
      </c>
      <c r="AD368" s="449"/>
      <c r="AE368" s="449"/>
      <c r="AF368" s="4"/>
      <c r="AG368" s="83"/>
      <c r="AH368" s="4"/>
      <c r="AI368" s="4"/>
      <c r="AJ368" s="449"/>
      <c r="AK368" s="449"/>
      <c r="AL368" s="449"/>
      <c r="AM368" s="449" t="s">
        <v>126</v>
      </c>
      <c r="AN368" s="10">
        <v>5.5</v>
      </c>
      <c r="AO368" s="9"/>
      <c r="AP368" s="9"/>
      <c r="AQ368" s="9"/>
      <c r="AR368" s="9"/>
      <c r="AS368" s="9"/>
      <c r="AT368" s="9">
        <f>+ab($T$368,$T$366,$T$370,$G$367,$G$369,-1*$F$368,1200)</f>
        <v>-5.0473973537089822</v>
      </c>
      <c r="AU368" s="428"/>
      <c r="AV368" s="428"/>
      <c r="AW368" s="449" t="str">
        <f>IF(C368&gt;0,VLOOKUP(C368,Foundation_Calc!$A$2:$C$13,3,1),
IF(J368&gt;0,VLOOKUP(J368,Foundation_Calc!$A$2:$C$13,3,1),""))</f>
        <v>Multi Soil</v>
      </c>
      <c r="AX368" s="449" t="str">
        <f>IF(C368&gt;0,VLOOKUP(C368,Foundation_Calc!$E$2:$G$33,3,1),
IF(J368&gt;0,VLOOKUP(J368,Foundation_Calc!$E$2:$G$33,3,1),""))</f>
        <v>K</v>
      </c>
      <c r="AY368" s="10">
        <f>IF(L368="","",
IF(AX368="PT",VLOOKUP(L368,Foundation_Calc!$K$79:$R$113,VLOOKUP(AW368,Foundation_Calc!$I$2:$J$8,2,FALSE),0),
IF(AX368="K",VLOOKUP(L368,Foundation_Calc!$K$117:$R$151,VLOOKUP(AW368,Foundation_Calc!$I$2:$J$8,2,FALSE),0),"")))</f>
        <v>4.2</v>
      </c>
      <c r="AZ368" s="10" t="str">
        <f>IF(K368="","",
IF(AX368="PT",VLOOKUP(K368,Foundation_Calc!$K$79:$R$113,VLOOKUP(AW368,Foundation_Calc!$I$2:$J$8,2,FALSE),0),
IF(AX368="K",VLOOKUP(K368,Foundation_Calc!$K$117:$R$151,VLOOKUP(AW368,Foundation_Calc!$I$2:$J$8,2,FALSE),0),"")))</f>
        <v/>
      </c>
      <c r="BA368" s="495" t="str">
        <f t="shared" si="42"/>
        <v>ü</v>
      </c>
      <c r="BB368" s="495" t="str">
        <f t="shared" si="43"/>
        <v/>
      </c>
      <c r="BC368" s="495" t="str">
        <f t="shared" si="44"/>
        <v/>
      </c>
      <c r="BD368" s="513" t="str">
        <f>IF(AND(L368="",H368=""),"",
IF(H368="",Pole_Calc!A$9,
IF(H368="MP",Pole_Calc!A$10,
IF(H368="AnMP",Pole_Calc!A$11,
IF(H368="A",Pole_Calc!A$12,
IF(H368="S/A",Pole_Calc!A$13,
IF(H368="A/S",Pole_Calc!A$14,"Poner a mano")))))))</f>
        <v>App.7-V11I-P9.5.1.1</v>
      </c>
      <c r="BE368" s="429" t="s">
        <v>118</v>
      </c>
      <c r="BF368" s="289"/>
      <c r="BG368" s="289"/>
      <c r="BH368" s="290"/>
      <c r="BI368" s="289"/>
    </row>
    <row r="369" spans="1:61" ht="16.149999999999999" customHeight="1">
      <c r="A369" s="514"/>
      <c r="B369" s="450"/>
      <c r="C369" s="3"/>
      <c r="D369" s="83"/>
      <c r="E369" s="4"/>
      <c r="F369" s="4"/>
      <c r="G369" s="6">
        <v>40</v>
      </c>
      <c r="H369" s="449"/>
      <c r="I369" s="4"/>
      <c r="J369" s="3">
        <f>C370-7.5</f>
        <v>39034.859999999986</v>
      </c>
      <c r="K369" s="449" t="s">
        <v>315</v>
      </c>
      <c r="L369" s="449"/>
      <c r="M369" s="449" t="str">
        <f>IF(L369="","",
IF(AX369="PT",VLOOKUP(L369,Foundation_Calc!$V$79:$X$113,VLOOKUP(AX369,Foundation_Calc!$I$10:$J$13,2,FALSE),0),
IF(AX369="K",VLOOKUP(L369,Foundation_Calc!$V$117:$X$151,VLOOKUP(AX369,Foundation_Calc!$I$10:$J$13,2,FALSE),0),"")))</f>
        <v/>
      </c>
      <c r="N369" s="449"/>
      <c r="O369" s="449"/>
      <c r="P369" s="449"/>
      <c r="Q369" s="4"/>
      <c r="R369" s="6"/>
      <c r="S369" s="6"/>
      <c r="T369" s="4"/>
      <c r="U369" s="4"/>
      <c r="V369" s="4"/>
      <c r="W369" s="9"/>
      <c r="X369" s="9"/>
      <c r="Y369" s="9"/>
      <c r="Z369" s="9"/>
      <c r="AA369" s="9"/>
      <c r="AB369" s="9"/>
      <c r="AC369" s="449" t="str">
        <f t="shared" si="41"/>
        <v/>
      </c>
      <c r="AD369" s="449"/>
      <c r="AE369" s="449"/>
      <c r="AF369" s="4"/>
      <c r="AG369" s="83"/>
      <c r="AH369" s="4"/>
      <c r="AI369" s="4"/>
      <c r="AJ369" s="449"/>
      <c r="AK369" s="449"/>
      <c r="AL369" s="449"/>
      <c r="AM369" s="449"/>
      <c r="AN369" s="10"/>
      <c r="AO369" s="9"/>
      <c r="AP369" s="9"/>
      <c r="AQ369" s="9">
        <f>+FL_2($T$370,$T$368,$G$369,1200,9.28,-1*$F$370)</f>
        <v>-0.32702606424837055</v>
      </c>
      <c r="AR369" s="9"/>
      <c r="AS369" s="9"/>
      <c r="AT369" s="9"/>
      <c r="AU369" s="428"/>
      <c r="AV369" s="428"/>
      <c r="AW369" s="449" t="str">
        <f>IF(C369&gt;0,VLOOKUP(C369,Foundation_Calc!$A$2:$C$13,3,1),
IF(J369&gt;0,VLOOKUP(J369,Foundation_Calc!$A$2:$C$13,3,1),""))</f>
        <v>Multi Soil</v>
      </c>
      <c r="AX369" s="449" t="str">
        <f>IF(C369&gt;0,VLOOKUP(C369,Foundation_Calc!$E$2:$G$33,3,1),
IF(J369&gt;0,VLOOKUP(J369,Foundation_Calc!$E$2:$G$33,3,1),""))</f>
        <v>K</v>
      </c>
      <c r="AY369" s="10" t="str">
        <f>IF(L369="","",
IF(AX369="PT",VLOOKUP(L369,Foundation_Calc!$K$79:$R$113,VLOOKUP(AW369,Foundation_Calc!$I$2:$J$8,2,FALSE),0),
IF(AX369="K",VLOOKUP(L369,Foundation_Calc!$K$117:$R$151,VLOOKUP(AW369,Foundation_Calc!$I$2:$J$8,2,FALSE),0),"")))</f>
        <v/>
      </c>
      <c r="AZ369" s="10">
        <f>IF(K369="","",
IF(AX369="PT",VLOOKUP(K369,Foundation_Calc!$K$79:$R$113,VLOOKUP(AW369,Foundation_Calc!$I$2:$J$8,2,FALSE),0),
IF(AX369="K",VLOOKUP(K369,Foundation_Calc!$K$117:$R$151,VLOOKUP(AW369,Foundation_Calc!$I$2:$J$8,2,FALSE),0),"")))</f>
        <v>3.9</v>
      </c>
      <c r="BA369" s="495" t="str">
        <f t="shared" si="42"/>
        <v/>
      </c>
      <c r="BB369" s="495" t="str">
        <f t="shared" si="43"/>
        <v>ü</v>
      </c>
      <c r="BC369" s="495" t="str">
        <f t="shared" si="44"/>
        <v/>
      </c>
      <c r="BD369" s="513" t="str">
        <f>IF(AND(L369="",H369=""),"",
IF(H369="",Pole_Calc!A$9,
IF(H369="MP",Pole_Calc!A$10,
IF(H369="AnMP",Pole_Calc!A$11,
IF(H369="A",Pole_Calc!A$12,
IF(H369="S/A",Pole_Calc!A$13,
IF(H369="A/S",Pole_Calc!A$14,"Poner a mano")))))))</f>
        <v/>
      </c>
      <c r="BE369" s="429" t="s">
        <v>118</v>
      </c>
      <c r="BF369" s="290"/>
      <c r="BG369" s="290"/>
      <c r="BH369" s="290"/>
      <c r="BI369" s="290"/>
    </row>
    <row r="370" spans="1:61" ht="16.149999999999999" customHeight="1">
      <c r="A370" s="514"/>
      <c r="B370" s="450" t="s">
        <v>384</v>
      </c>
      <c r="C370" s="3">
        <f>+$C$368+$G$369</f>
        <v>39042.359999999986</v>
      </c>
      <c r="D370" s="83"/>
      <c r="E370" s="4"/>
      <c r="F370" s="4">
        <f>-(346^2)/(C370-39118.76)</f>
        <v>1566.9633507850119</v>
      </c>
      <c r="G370" s="6"/>
      <c r="H370" s="449" t="s">
        <v>121</v>
      </c>
      <c r="I370" s="4" t="s">
        <v>122</v>
      </c>
      <c r="J370" s="3"/>
      <c r="K370" s="449"/>
      <c r="L370" s="449" t="s">
        <v>181</v>
      </c>
      <c r="M370" s="449" t="str">
        <f>IF(L370="","",
IF(AX370="PT",VLOOKUP(L370,Foundation_Calc!$V$79:$X$113,VLOOKUP(AX370,Foundation_Calc!$I$10:$J$13,2,FALSE),0),
IF(AX370="K",VLOOKUP(L370,Foundation_Calc!$V$117:$X$151,VLOOKUP(AX370,Foundation_Calc!$I$10:$J$13,2,FALSE),0),"")))</f>
        <v>C5RT</v>
      </c>
      <c r="N370" s="449" t="s">
        <v>124</v>
      </c>
      <c r="O370" s="449"/>
      <c r="P370" s="449"/>
      <c r="Q370" s="4"/>
      <c r="R370" s="6"/>
      <c r="S370" s="6"/>
      <c r="T370" s="4">
        <v>-30</v>
      </c>
      <c r="U370" s="4"/>
      <c r="V370" s="4"/>
      <c r="W370" s="9">
        <v>1.4</v>
      </c>
      <c r="X370" s="9"/>
      <c r="Y370" s="9"/>
      <c r="Z370" s="9"/>
      <c r="AA370" s="9"/>
      <c r="AB370" s="9"/>
      <c r="AC370" s="449" t="str">
        <f t="shared" si="41"/>
        <v>PHQ</v>
      </c>
      <c r="AD370" s="449"/>
      <c r="AE370" s="449"/>
      <c r="AF370" s="4"/>
      <c r="AG370" s="83"/>
      <c r="AH370" s="4"/>
      <c r="AI370" s="4"/>
      <c r="AJ370" s="449"/>
      <c r="AK370" s="449"/>
      <c r="AL370" s="449"/>
      <c r="AM370" s="449" t="s">
        <v>126</v>
      </c>
      <c r="AN370" s="10">
        <v>5.5</v>
      </c>
      <c r="AO370" s="9"/>
      <c r="AP370" s="9"/>
      <c r="AQ370" s="9"/>
      <c r="AR370" s="9"/>
      <c r="AS370" s="9"/>
      <c r="AT370" s="9">
        <f>+ab($T$370,$T$368,$U$372,$G$369,$G$371,-1*$F$370,1200)</f>
        <v>-6.8143745470757588</v>
      </c>
      <c r="AU370" s="428"/>
      <c r="AV370" s="428"/>
      <c r="AW370" s="449" t="str">
        <f>IF(C370&gt;0,VLOOKUP(C370,Foundation_Calc!$A$2:$C$13,3,1),
IF(J370&gt;0,VLOOKUP(J370,Foundation_Calc!$A$2:$C$13,3,1),""))</f>
        <v>Multi Soil</v>
      </c>
      <c r="AX370" s="449" t="str">
        <f>IF(C370&gt;0,VLOOKUP(C370,Foundation_Calc!$E$2:$G$33,3,1),
IF(J370&gt;0,VLOOKUP(J370,Foundation_Calc!$E$2:$G$33,3,1),""))</f>
        <v>K</v>
      </c>
      <c r="AY370" s="10">
        <f>IF(L370="","",
IF(AX370="PT",VLOOKUP(L370,Foundation_Calc!$K$79:$R$113,VLOOKUP(AW370,Foundation_Calc!$I$2:$J$8,2,FALSE),0),
IF(AX370="K",VLOOKUP(L370,Foundation_Calc!$K$117:$R$151,VLOOKUP(AW370,Foundation_Calc!$I$2:$J$8,2,FALSE),0),"")))</f>
        <v>4</v>
      </c>
      <c r="AZ370" s="10" t="str">
        <f>IF(K370="","",
IF(AX370="PT",VLOOKUP(K370,Foundation_Calc!$K$79:$R$113,VLOOKUP(AW370,Foundation_Calc!$I$2:$J$8,2,FALSE),0),
IF(AX370="K",VLOOKUP(K370,Foundation_Calc!$K$117:$R$151,VLOOKUP(AW370,Foundation_Calc!$I$2:$J$8,2,FALSE),0),"")))</f>
        <v/>
      </c>
      <c r="BA370" s="495" t="str">
        <f t="shared" si="42"/>
        <v>ü</v>
      </c>
      <c r="BB370" s="495" t="str">
        <f t="shared" si="43"/>
        <v/>
      </c>
      <c r="BC370" s="495" t="str">
        <f t="shared" si="44"/>
        <v/>
      </c>
      <c r="BD370" s="513" t="str">
        <f>IF(AND(L370="",H370=""),"",
IF(H370="",Pole_Calc!A$9,
IF(H370="MP",Pole_Calc!A$10,
IF(H370="AnMP",Pole_Calc!A$11,
IF(H370="A",Pole_Calc!A$12,
IF(H370="S/A",Pole_Calc!A$13,
IF(H370="A/S",Pole_Calc!A$14,"Poner a mano")))))))</f>
        <v>App.7-V11I-P9.5.1.6</v>
      </c>
      <c r="BE370" s="429" t="s">
        <v>118</v>
      </c>
      <c r="BF370" s="289"/>
      <c r="BG370" s="289"/>
      <c r="BH370" s="290"/>
      <c r="BI370" s="289"/>
    </row>
    <row r="371" spans="1:61" ht="16.149999999999999" customHeight="1">
      <c r="A371" s="514"/>
      <c r="B371" s="450"/>
      <c r="C371" s="3"/>
      <c r="D371" s="83"/>
      <c r="E371" s="4"/>
      <c r="F371" s="4"/>
      <c r="G371" s="6">
        <v>40</v>
      </c>
      <c r="H371" s="449"/>
      <c r="I371" s="4"/>
      <c r="J371" s="3"/>
      <c r="K371" s="449"/>
      <c r="L371" s="449"/>
      <c r="M371" s="449" t="str">
        <f>IF(L371="","",
IF(AX371="PT",VLOOKUP(L371,Foundation_Calc!$V$79:$X$113,VLOOKUP(AX371,Foundation_Calc!$I$10:$J$13,2,FALSE),0),
IF(AX371="K",VLOOKUP(L371,Foundation_Calc!$V$117:$X$151,VLOOKUP(AX371,Foundation_Calc!$I$10:$J$13,2,FALSE),0),"")))</f>
        <v/>
      </c>
      <c r="N371" s="449"/>
      <c r="O371" s="449"/>
      <c r="P371" s="449"/>
      <c r="Q371" s="4"/>
      <c r="R371" s="6"/>
      <c r="S371" s="6"/>
      <c r="T371" s="4"/>
      <c r="U371" s="4"/>
      <c r="V371" s="4"/>
      <c r="W371" s="9"/>
      <c r="X371" s="9"/>
      <c r="Y371" s="9"/>
      <c r="Z371" s="9"/>
      <c r="AA371" s="9"/>
      <c r="AB371" s="9"/>
      <c r="AC371" s="449" t="str">
        <f t="shared" si="41"/>
        <v/>
      </c>
      <c r="AD371" s="449"/>
      <c r="AE371" s="449"/>
      <c r="AF371" s="4"/>
      <c r="AG371" s="83"/>
      <c r="AH371" s="4"/>
      <c r="AI371" s="4"/>
      <c r="AJ371" s="449"/>
      <c r="AK371" s="449"/>
      <c r="AL371" s="449"/>
      <c r="AM371" s="449"/>
      <c r="AN371" s="10"/>
      <c r="AO371" s="9"/>
      <c r="AP371" s="9"/>
      <c r="AQ371" s="9">
        <f>+FL_2($U$372,$T$370,$G$371,1200,9.28,-1*$F$372)</f>
        <v>-0.35051472635083752</v>
      </c>
      <c r="AR371" s="9"/>
      <c r="AS371" s="9"/>
      <c r="AT371" s="9"/>
      <c r="AU371" s="428"/>
      <c r="AV371" s="428"/>
      <c r="AW371" s="449" t="str">
        <f>IF(C371&gt;0,VLOOKUP(C371,Foundation_Calc!$A$2:$C$13,3,1),
IF(J371&gt;0,VLOOKUP(J371,Foundation_Calc!$A$2:$C$13,3,1),""))</f>
        <v/>
      </c>
      <c r="AX371" s="449" t="str">
        <f>IF(C371&gt;0,VLOOKUP(C371,Foundation_Calc!$E$2:$G$33,3,1),
IF(J371&gt;0,VLOOKUP(J371,Foundation_Calc!$E$2:$G$33,3,1),""))</f>
        <v/>
      </c>
      <c r="AY371" s="10" t="str">
        <f>IF(L371="","",
IF(AX371="PT",VLOOKUP(L371,Foundation_Calc!$K$79:$R$113,VLOOKUP(AW371,Foundation_Calc!$I$2:$J$8,2,FALSE),0),
IF(AX371="K",VLOOKUP(L371,Foundation_Calc!$K$117:$R$151,VLOOKUP(AW371,Foundation_Calc!$I$2:$J$8,2,FALSE),0),"")))</f>
        <v/>
      </c>
      <c r="AZ371" s="10" t="str">
        <f>IF(K371="","",
IF(AX371="PT",VLOOKUP(K371,Foundation_Calc!$K$79:$R$113,VLOOKUP(AW371,Foundation_Calc!$I$2:$J$8,2,FALSE),0),
IF(AX371="K",VLOOKUP(K371,Foundation_Calc!$K$117:$R$151,VLOOKUP(AW371,Foundation_Calc!$I$2:$J$8,2,FALSE),0),"")))</f>
        <v/>
      </c>
      <c r="BA371" s="495" t="str">
        <f t="shared" si="42"/>
        <v/>
      </c>
      <c r="BB371" s="495" t="str">
        <f t="shared" si="43"/>
        <v/>
      </c>
      <c r="BC371" s="495" t="str">
        <f t="shared" si="44"/>
        <v/>
      </c>
      <c r="BD371" s="513" t="str">
        <f>IF(AND(L371="",H371=""),"",
IF(H371="",Pole_Calc!A$9,
IF(H371="MP",Pole_Calc!A$10,
IF(H371="AnMP",Pole_Calc!A$11,
IF(H371="A",Pole_Calc!A$12,
IF(H371="S/A",Pole_Calc!A$13,
IF(H371="A/S",Pole_Calc!A$14,"Poner a mano")))))))</f>
        <v/>
      </c>
      <c r="BE371" s="429" t="s">
        <v>118</v>
      </c>
      <c r="BF371" s="290"/>
      <c r="BG371" s="290"/>
      <c r="BH371" s="290"/>
      <c r="BI371" s="290"/>
    </row>
    <row r="372" spans="1:61" ht="16.149999999999999" customHeight="1">
      <c r="A372" s="514"/>
      <c r="B372" s="450" t="s">
        <v>385</v>
      </c>
      <c r="C372" s="3">
        <f>+$C$370+$G$371</f>
        <v>39082.359999999986</v>
      </c>
      <c r="D372" s="83"/>
      <c r="E372" s="4"/>
      <c r="F372" s="4">
        <f>-(346^2)/(C372-39118.76)</f>
        <v>3288.9010988996524</v>
      </c>
      <c r="G372" s="6"/>
      <c r="H372" s="449" t="s">
        <v>131</v>
      </c>
      <c r="I372" s="4"/>
      <c r="J372" s="3"/>
      <c r="K372" s="449"/>
      <c r="L372" s="449" t="s">
        <v>183</v>
      </c>
      <c r="M372" s="449" t="str">
        <f>IF(L372="","",
IF(AX372="PT",VLOOKUP(L372,Foundation_Calc!$V$79:$X$113,VLOOKUP(AX372,Foundation_Calc!$I$10:$J$13,2,FALSE),0),
IF(AX372="K",VLOOKUP(L372,Foundation_Calc!$V$117:$X$151,VLOOKUP(AX372,Foundation_Calc!$I$10:$J$13,2,FALSE),0),"")))</f>
        <v>2C3RT</v>
      </c>
      <c r="N372" s="449" t="s">
        <v>133</v>
      </c>
      <c r="O372" s="449" t="s">
        <v>124</v>
      </c>
      <c r="P372" s="449"/>
      <c r="Q372" s="4"/>
      <c r="R372" s="6"/>
      <c r="S372" s="6"/>
      <c r="T372" s="4">
        <v>0</v>
      </c>
      <c r="U372" s="4">
        <v>-20</v>
      </c>
      <c r="V372" s="4"/>
      <c r="W372" s="9">
        <v>1.4</v>
      </c>
      <c r="X372" s="9">
        <v>2.2999999999999998</v>
      </c>
      <c r="Y372" s="9"/>
      <c r="Z372" s="9">
        <v>0.4</v>
      </c>
      <c r="AA372" s="9"/>
      <c r="AB372" s="9"/>
      <c r="AD372" s="449"/>
      <c r="AE372" s="449"/>
      <c r="AF372" s="4"/>
      <c r="AG372" s="83"/>
      <c r="AH372" s="4"/>
      <c r="AI372" s="4"/>
      <c r="AJ372" s="449"/>
      <c r="AK372" s="449"/>
      <c r="AL372" s="449"/>
      <c r="AM372" s="449" t="s">
        <v>126</v>
      </c>
      <c r="AN372" s="10">
        <v>5.5</v>
      </c>
      <c r="AO372" s="9"/>
      <c r="AP372" s="9"/>
      <c r="AQ372" s="9"/>
      <c r="AR372" s="9"/>
      <c r="AS372" s="9"/>
      <c r="AT372" s="9">
        <f>+ab($U$372,$T$370,$U$374,$G$371,$G$373,-1*$F$372,1200)</f>
        <v>-10.426885463382408</v>
      </c>
      <c r="AU372" s="428"/>
      <c r="AV372" s="428"/>
      <c r="AW372" s="449" t="str">
        <f>IF(C372&gt;0,VLOOKUP(C372,Foundation_Calc!$A$2:$C$13,3,1),
IF(J372&gt;0,VLOOKUP(J372,Foundation_Calc!$A$2:$C$13,3,1),""))</f>
        <v>Multi Soil</v>
      </c>
      <c r="AX372" s="449" t="str">
        <f>IF(C372&gt;0,VLOOKUP(C372,Foundation_Calc!$E$2:$G$33,3,1),
IF(J372&gt;0,VLOOKUP(J372,Foundation_Calc!$E$2:$G$33,3,1),""))</f>
        <v>K</v>
      </c>
      <c r="AY372" s="10">
        <f>IF(L372="","",
IF(AX372="PT",VLOOKUP(L372,Foundation_Calc!$K$79:$R$113,VLOOKUP(AW372,Foundation_Calc!$I$2:$J$8,2,FALSE),0),
IF(AX372="K",VLOOKUP(L372,Foundation_Calc!$K$117:$R$151,VLOOKUP(AW372,Foundation_Calc!$I$2:$J$8,2,FALSE),0),"")))</f>
        <v>4.5</v>
      </c>
      <c r="AZ372" s="10" t="str">
        <f>IF(K372="","",
IF(AX372="PT",VLOOKUP(K372,Foundation_Calc!$K$79:$R$113,VLOOKUP(AW372,Foundation_Calc!$I$2:$J$8,2,FALSE),0),
IF(AX372="K",VLOOKUP(K372,Foundation_Calc!$K$117:$R$151,VLOOKUP(AW372,Foundation_Calc!$I$2:$J$8,2,FALSE),0),"")))</f>
        <v/>
      </c>
      <c r="BA372" s="495" t="str">
        <f t="shared" si="42"/>
        <v>ü</v>
      </c>
      <c r="BB372" s="495" t="str">
        <f t="shared" si="43"/>
        <v/>
      </c>
      <c r="BC372" s="495" t="str">
        <f t="shared" si="44"/>
        <v/>
      </c>
      <c r="BD372" s="513" t="str">
        <f>IF(AND(L372="",H372=""),"",
IF(H372="",Pole_Calc!A$9,
IF(H372="MP",Pole_Calc!A$10,
IF(H372="AnMP",Pole_Calc!A$11,
IF(H372="A",Pole_Calc!A$12,
IF(H372="S/A",Pole_Calc!A$13,
IF(H372="A/S",Pole_Calc!A$14,"Poner a mano")))))))</f>
        <v>App.7-V11I-P9.5.1.5</v>
      </c>
      <c r="BE372" s="429" t="s">
        <v>118</v>
      </c>
      <c r="BF372" s="289"/>
      <c r="BG372" s="289"/>
      <c r="BH372" s="290"/>
      <c r="BI372" s="289"/>
    </row>
    <row r="373" spans="1:61" ht="16.149999999999999" customHeight="1">
      <c r="A373" s="518"/>
      <c r="B373" s="450"/>
      <c r="C373" s="3"/>
      <c r="D373" s="83"/>
      <c r="E373" s="4"/>
      <c r="F373" s="4"/>
      <c r="G373" s="6">
        <v>45</v>
      </c>
      <c r="H373" s="449"/>
      <c r="I373" s="4"/>
      <c r="J373" s="3"/>
      <c r="K373" s="449"/>
      <c r="L373" s="449"/>
      <c r="M373" s="449" t="str">
        <f>IF(L373="","",
IF(AX373="PT",VLOOKUP(L373,Foundation_Calc!$V$79:$X$113,VLOOKUP(AX373,Foundation_Calc!$I$10:$J$13,2,FALSE),0),
IF(AX373="K",VLOOKUP(L373,Foundation_Calc!$V$117:$X$151,VLOOKUP(AX373,Foundation_Calc!$I$10:$J$13,2,FALSE),0),"")))</f>
        <v/>
      </c>
      <c r="N373" s="449"/>
      <c r="O373" s="449"/>
      <c r="P373" s="449"/>
      <c r="Q373" s="4"/>
      <c r="R373" s="6"/>
      <c r="S373" s="6"/>
      <c r="T373" s="4"/>
      <c r="U373" s="4"/>
      <c r="V373" s="4"/>
      <c r="W373" s="9"/>
      <c r="X373" s="9"/>
      <c r="Y373" s="9"/>
      <c r="Z373" s="9"/>
      <c r="AA373" s="9"/>
      <c r="AB373" s="9"/>
      <c r="AC373" s="449" t="str">
        <f t="shared" si="41"/>
        <v/>
      </c>
      <c r="AD373" s="449"/>
      <c r="AE373" s="449"/>
      <c r="AF373" s="4"/>
      <c r="AG373" s="83"/>
      <c r="AH373" s="4"/>
      <c r="AI373" s="4"/>
      <c r="AJ373" s="449"/>
      <c r="AK373" s="449"/>
      <c r="AL373" s="449"/>
      <c r="AM373" s="449"/>
      <c r="AN373" s="10"/>
      <c r="AO373" s="9"/>
      <c r="AP373" s="9"/>
      <c r="AQ373" s="9">
        <f>+FL_1($T$374,$U$372,$G$373,1200,9.28,-1*$F$374)</f>
        <v>0.36733364444444438</v>
      </c>
      <c r="AR373" s="9"/>
      <c r="AS373" s="9"/>
      <c r="AT373" s="9"/>
      <c r="AU373" s="428"/>
      <c r="AV373" s="428"/>
      <c r="AW373" s="449" t="str">
        <f>IF(C373&gt;0,VLOOKUP(C373,Foundation_Calc!$A$2:$C$13,3,1),
IF(J373&gt;0,VLOOKUP(J373,Foundation_Calc!$A$2:$C$13,3,1),""))</f>
        <v/>
      </c>
      <c r="AX373" s="449" t="str">
        <f>IF(C373&gt;0,VLOOKUP(C373,Foundation_Calc!$E$2:$G$33,3,1),
IF(J373&gt;0,VLOOKUP(J373,Foundation_Calc!$E$2:$G$33,3,1),""))</f>
        <v/>
      </c>
      <c r="AY373" s="10" t="str">
        <f>IF(L373="","",
IF(AX373="PT",VLOOKUP(L373,Foundation_Calc!$K$79:$R$113,VLOOKUP(AW373,Foundation_Calc!$I$2:$J$8,2,FALSE),0),
IF(AX373="K",VLOOKUP(L373,Foundation_Calc!$K$117:$R$151,VLOOKUP(AW373,Foundation_Calc!$I$2:$J$8,2,FALSE),0),"")))</f>
        <v/>
      </c>
      <c r="AZ373" s="10" t="str">
        <f>IF(K373="","",
IF(AX373="PT",VLOOKUP(K373,Foundation_Calc!$K$79:$R$113,VLOOKUP(AW373,Foundation_Calc!$I$2:$J$8,2,FALSE),0),
IF(AX373="K",VLOOKUP(K373,Foundation_Calc!$K$117:$R$151,VLOOKUP(AW373,Foundation_Calc!$I$2:$J$8,2,FALSE),0),"")))</f>
        <v/>
      </c>
      <c r="BA373" s="495" t="str">
        <f t="shared" si="42"/>
        <v/>
      </c>
      <c r="BB373" s="495" t="str">
        <f t="shared" si="43"/>
        <v/>
      </c>
      <c r="BC373" s="495" t="str">
        <f t="shared" si="44"/>
        <v/>
      </c>
      <c r="BD373" s="513" t="str">
        <f>IF(AND(L373="",H373=""),"",
IF(H373="",Pole_Calc!A$9,
IF(H373="MP",Pole_Calc!A$10,
IF(H373="AnMP",Pole_Calc!A$11,
IF(H373="A",Pole_Calc!A$12,
IF(H373="S/A",Pole_Calc!A$13,
IF(H373="A/S",Pole_Calc!A$14,"Poner a mano")))))))</f>
        <v/>
      </c>
      <c r="BE373" s="429" t="s">
        <v>118</v>
      </c>
      <c r="BF373" s="290"/>
      <c r="BG373" s="290"/>
      <c r="BH373" s="290"/>
      <c r="BI373" s="290"/>
    </row>
    <row r="374" spans="1:61" ht="16.149999999999999" customHeight="1">
      <c r="A374" s="514"/>
      <c r="B374" s="450" t="s">
        <v>386</v>
      </c>
      <c r="C374" s="3">
        <f>+$C$372+$G$373</f>
        <v>39127.359999999986</v>
      </c>
      <c r="D374" s="83"/>
      <c r="E374" s="4"/>
      <c r="F374" s="4">
        <f>IF(C374&gt;0,VLOOKUP(C374,'ALIGNMENT TRACK'!$A$1:$K$81,9,1))</f>
        <v>0</v>
      </c>
      <c r="G374" s="6"/>
      <c r="H374" s="449" t="s">
        <v>131</v>
      </c>
      <c r="I374" s="4"/>
      <c r="J374" s="3"/>
      <c r="K374" s="449"/>
      <c r="L374" s="449" t="s">
        <v>183</v>
      </c>
      <c r="M374" s="449" t="str">
        <f>IF(L374="","",
IF(AX374="PT",VLOOKUP(L374,Foundation_Calc!$V$79:$X$113,VLOOKUP(AX374,Foundation_Calc!$I$10:$J$13,2,FALSE),0),
IF(AX374="K",VLOOKUP(L374,Foundation_Calc!$V$117:$X$151,VLOOKUP(AX374,Foundation_Calc!$I$10:$J$13,2,FALSE),0),"")))</f>
        <v>2C3RT</v>
      </c>
      <c r="N374" s="449" t="s">
        <v>134</v>
      </c>
      <c r="O374" s="449" t="s">
        <v>133</v>
      </c>
      <c r="P374" s="449"/>
      <c r="Q374" s="4"/>
      <c r="R374" s="6"/>
      <c r="S374" s="6"/>
      <c r="T374" s="4">
        <v>35</v>
      </c>
      <c r="U374" s="4">
        <v>15</v>
      </c>
      <c r="V374" s="4"/>
      <c r="W374" s="9">
        <v>1.4</v>
      </c>
      <c r="X374" s="9">
        <v>2.2999999999999998</v>
      </c>
      <c r="Y374" s="9"/>
      <c r="Z374" s="9"/>
      <c r="AA374" s="9">
        <v>0.4</v>
      </c>
      <c r="AB374" s="9"/>
      <c r="AC374" s="449" t="str">
        <f t="shared" si="41"/>
        <v>PH</v>
      </c>
      <c r="AD374" s="449"/>
      <c r="AE374" s="449"/>
      <c r="AF374" s="4"/>
      <c r="AG374" s="83"/>
      <c r="AH374" s="4"/>
      <c r="AI374" s="4"/>
      <c r="AJ374" s="449"/>
      <c r="AK374" s="449"/>
      <c r="AL374" s="449"/>
      <c r="AM374" s="449" t="s">
        <v>126</v>
      </c>
      <c r="AN374" s="10">
        <v>5.5</v>
      </c>
      <c r="AO374" s="9"/>
      <c r="AP374" s="9"/>
      <c r="AQ374" s="9"/>
      <c r="AR374" s="9"/>
      <c r="AS374" s="9"/>
      <c r="AT374" s="9">
        <f>+ab($T$374,$T$372,$T$376,$G$373,$G$375,-1*$F$374,1200)</f>
        <v>8.7428829342769721</v>
      </c>
      <c r="AU374" s="428"/>
      <c r="AV374" s="428"/>
      <c r="AW374" s="449" t="str">
        <f>IF(C374&gt;0,VLOOKUP(C374,Foundation_Calc!$A$2:$C$13,3,1),
IF(J374&gt;0,VLOOKUP(J374,Foundation_Calc!$A$2:$C$13,3,1),""))</f>
        <v>Multi Soil</v>
      </c>
      <c r="AX374" s="449" t="str">
        <f>IF(C374&gt;0,VLOOKUP(C374,Foundation_Calc!$E$2:$G$33,3,1),
IF(J374&gt;0,VLOOKUP(J374,Foundation_Calc!$E$2:$G$33,3,1),""))</f>
        <v>K</v>
      </c>
      <c r="AY374" s="10">
        <f>IF(L374="","",
IF(AX374="PT",VLOOKUP(L374,Foundation_Calc!$K$79:$R$113,VLOOKUP(AW374,Foundation_Calc!$I$2:$J$8,2,FALSE),0),
IF(AX374="K",VLOOKUP(L374,Foundation_Calc!$K$117:$R$151,VLOOKUP(AW374,Foundation_Calc!$I$2:$J$8,2,FALSE),0),"")))</f>
        <v>4.5</v>
      </c>
      <c r="AZ374" s="10" t="str">
        <f>IF(K374="","",
IF(AX374="PT",VLOOKUP(K374,Foundation_Calc!$K$79:$R$113,VLOOKUP(AW374,Foundation_Calc!$I$2:$J$8,2,FALSE),0),
IF(AX374="K",VLOOKUP(K374,Foundation_Calc!$K$117:$R$151,VLOOKUP(AW374,Foundation_Calc!$I$2:$J$8,2,FALSE),0),"")))</f>
        <v/>
      </c>
      <c r="BA374" s="495" t="str">
        <f t="shared" si="42"/>
        <v>ü</v>
      </c>
      <c r="BB374" s="495" t="str">
        <f t="shared" si="43"/>
        <v/>
      </c>
      <c r="BC374" s="495" t="str">
        <f t="shared" si="44"/>
        <v/>
      </c>
      <c r="BD374" s="513" t="str">
        <f>IF(AND(L374="",H374=""),"",
IF(H374="",Pole_Calc!A$9,
IF(H374="MP",Pole_Calc!A$10,
IF(H374="AnMP",Pole_Calc!A$11,
IF(H374="A",Pole_Calc!A$12,
IF(H374="S/A",Pole_Calc!A$13,
IF(H374="A/S",Pole_Calc!A$14,"Poner a mano")))))))</f>
        <v>App.7-V11I-P9.5.1.5</v>
      </c>
      <c r="BE374" s="429" t="s">
        <v>118</v>
      </c>
      <c r="BF374" s="289"/>
      <c r="BG374" s="289"/>
      <c r="BH374" s="290"/>
      <c r="BI374" s="289"/>
    </row>
    <row r="375" spans="1:61" ht="16.149999999999999" customHeight="1">
      <c r="A375" s="514"/>
      <c r="B375" s="450"/>
      <c r="C375" s="3"/>
      <c r="D375" s="83"/>
      <c r="E375" s="4"/>
      <c r="F375" s="4"/>
      <c r="G375" s="6">
        <v>50</v>
      </c>
      <c r="H375" s="449"/>
      <c r="I375" s="4"/>
      <c r="J375" s="3"/>
      <c r="K375" s="449"/>
      <c r="L375" s="449"/>
      <c r="M375" s="449" t="str">
        <f>IF(L375="","",
IF(AX375="PT",VLOOKUP(L375,Foundation_Calc!$V$79:$X$113,VLOOKUP(AX375,Foundation_Calc!$I$10:$J$13,2,FALSE),0),
IF(AX375="K",VLOOKUP(L375,Foundation_Calc!$V$117:$X$151,VLOOKUP(AX375,Foundation_Calc!$I$10:$J$13,2,FALSE),0),"")))</f>
        <v/>
      </c>
      <c r="N375" s="449"/>
      <c r="O375" s="449"/>
      <c r="P375" s="449"/>
      <c r="Q375" s="4"/>
      <c r="R375" s="6"/>
      <c r="S375" s="6"/>
      <c r="T375" s="4"/>
      <c r="U375" s="4"/>
      <c r="V375" s="4"/>
      <c r="W375" s="9"/>
      <c r="X375" s="9"/>
      <c r="Y375" s="9"/>
      <c r="Z375" s="9"/>
      <c r="AA375" s="9"/>
      <c r="AB375" s="9"/>
      <c r="AC375" s="449" t="str">
        <f t="shared" si="41"/>
        <v/>
      </c>
      <c r="AD375" s="449"/>
      <c r="AE375" s="449"/>
      <c r="AF375" s="4"/>
      <c r="AG375" s="83"/>
      <c r="AH375" s="4"/>
      <c r="AI375" s="4"/>
      <c r="AJ375" s="449"/>
      <c r="AK375" s="449"/>
      <c r="AL375" s="449"/>
      <c r="AM375" s="449"/>
      <c r="AN375" s="10"/>
      <c r="AO375" s="9"/>
      <c r="AP375" s="9"/>
      <c r="AQ375" s="9">
        <f>+FL_2($T$376,$T$374,$G$375,1200,9.28,-1*$F$376)</f>
        <v>-0.36839079999999996</v>
      </c>
      <c r="AR375" s="9"/>
      <c r="AS375" s="9"/>
      <c r="AT375" s="9"/>
      <c r="AU375" s="428"/>
      <c r="AV375" s="428"/>
      <c r="AW375" s="449" t="str">
        <f>IF(C375&gt;0,VLOOKUP(C375,Foundation_Calc!$A$2:$C$13,3,1),
IF(J375&gt;0,VLOOKUP(J375,Foundation_Calc!$A$2:$C$13,3,1),""))</f>
        <v/>
      </c>
      <c r="AX375" s="449" t="str">
        <f>IF(C375&gt;0,VLOOKUP(C375,Foundation_Calc!$E$2:$G$33,3,1),
IF(J375&gt;0,VLOOKUP(J375,Foundation_Calc!$E$2:$G$33,3,1),""))</f>
        <v/>
      </c>
      <c r="AY375" s="10" t="str">
        <f>IF(L375="","",
IF(AX375="PT",VLOOKUP(L375,Foundation_Calc!$K$79:$R$113,VLOOKUP(AW375,Foundation_Calc!$I$2:$J$8,2,FALSE),0),
IF(AX375="K",VLOOKUP(L375,Foundation_Calc!$K$117:$R$151,VLOOKUP(AW375,Foundation_Calc!$I$2:$J$8,2,FALSE),0),"")))</f>
        <v/>
      </c>
      <c r="AZ375" s="10" t="str">
        <f>IF(K375="","",
IF(AX375="PT",VLOOKUP(K375,Foundation_Calc!$K$79:$R$113,VLOOKUP(AW375,Foundation_Calc!$I$2:$J$8,2,FALSE),0),
IF(AX375="K",VLOOKUP(K375,Foundation_Calc!$K$117:$R$151,VLOOKUP(AW375,Foundation_Calc!$I$2:$J$8,2,FALSE),0),"")))</f>
        <v/>
      </c>
      <c r="BA375" s="495" t="str">
        <f t="shared" si="42"/>
        <v/>
      </c>
      <c r="BB375" s="495" t="str">
        <f t="shared" si="43"/>
        <v/>
      </c>
      <c r="BC375" s="495" t="str">
        <f t="shared" si="44"/>
        <v/>
      </c>
      <c r="BD375" s="513" t="str">
        <f>IF(AND(L375="",H375=""),"",
IF(H375="",Pole_Calc!A$9,
IF(H375="MP",Pole_Calc!A$10,
IF(H375="AnMP",Pole_Calc!A$11,
IF(H375="A",Pole_Calc!A$12,
IF(H375="S/A",Pole_Calc!A$13,
IF(H375="A/S",Pole_Calc!A$14,"Poner a mano")))))))</f>
        <v/>
      </c>
      <c r="BE375" s="429" t="s">
        <v>118</v>
      </c>
      <c r="BF375" s="290"/>
      <c r="BG375" s="290"/>
      <c r="BH375" s="290"/>
      <c r="BI375" s="290"/>
    </row>
    <row r="376" spans="1:61" ht="16.149999999999999" customHeight="1">
      <c r="A376" s="514"/>
      <c r="B376" s="450" t="s">
        <v>387</v>
      </c>
      <c r="C376" s="3">
        <f>+$C$374+$G$375</f>
        <v>39177.359999999986</v>
      </c>
      <c r="D376" s="83"/>
      <c r="E376" s="4"/>
      <c r="F376" s="4">
        <f>IF(C376&gt;0,VLOOKUP(C376,'ALIGNMENT TRACK'!$A$1:$K$81,9,1))</f>
        <v>0</v>
      </c>
      <c r="G376" s="6"/>
      <c r="H376" s="449" t="s">
        <v>121</v>
      </c>
      <c r="I376" s="4" t="s">
        <v>122</v>
      </c>
      <c r="J376" s="3"/>
      <c r="K376" s="449"/>
      <c r="L376" s="449" t="s">
        <v>151</v>
      </c>
      <c r="M376" s="449" t="str">
        <f>IF(L376="","",
IF(AX376="PT",VLOOKUP(L376,Foundation_Calc!$V$79:$X$113,VLOOKUP(AX376,Foundation_Calc!$I$10:$J$13,2,FALSE),0),
IF(AX376="K",VLOOKUP(L376,Foundation_Calc!$V$117:$X$151,VLOOKUP(AX376,Foundation_Calc!$I$10:$J$13,2,FALSE),0),"")))</f>
        <v>C4RT</v>
      </c>
      <c r="N376" s="449" t="s">
        <v>124</v>
      </c>
      <c r="O376" s="449"/>
      <c r="P376" s="449"/>
      <c r="Q376" s="4"/>
      <c r="R376" s="6"/>
      <c r="S376" s="6"/>
      <c r="T376" s="4">
        <v>-35</v>
      </c>
      <c r="U376" s="4"/>
      <c r="V376" s="4"/>
      <c r="W376" s="9">
        <v>1.4</v>
      </c>
      <c r="X376" s="9"/>
      <c r="Y376" s="9"/>
      <c r="Z376" s="9"/>
      <c r="AA376" s="9"/>
      <c r="AB376" s="9"/>
      <c r="AC376" s="449" t="str">
        <f t="shared" si="41"/>
        <v>PHQ</v>
      </c>
      <c r="AD376" s="449"/>
      <c r="AE376" s="449"/>
      <c r="AF376" s="4"/>
      <c r="AG376" s="83"/>
      <c r="AH376" s="4"/>
      <c r="AI376" s="4"/>
      <c r="AJ376" s="449"/>
      <c r="AK376" s="449"/>
      <c r="AL376" s="449"/>
      <c r="AM376" s="449" t="s">
        <v>126</v>
      </c>
      <c r="AN376" s="10">
        <v>5.5</v>
      </c>
      <c r="AO376" s="9"/>
      <c r="AP376" s="9"/>
      <c r="AQ376" s="9"/>
      <c r="AR376" s="9"/>
      <c r="AS376" s="9"/>
      <c r="AT376" s="9">
        <f>+ab($T$376,$T$374,$T$378,$G$375,$G$377,-1*$F$376,1200)</f>
        <v>-7.1424424584170572</v>
      </c>
      <c r="AU376" s="428"/>
      <c r="AV376" s="428"/>
      <c r="AW376" s="449" t="str">
        <f>IF(C376&gt;0,VLOOKUP(C376,Foundation_Calc!$A$2:$C$13,3,1),
IF(J376&gt;0,VLOOKUP(J376,Foundation_Calc!$A$2:$C$13,3,1),""))</f>
        <v>Multi Soil</v>
      </c>
      <c r="AX376" s="449" t="str">
        <f>IF(C376&gt;0,VLOOKUP(C376,Foundation_Calc!$E$2:$G$33,3,1),
IF(J376&gt;0,VLOOKUP(J376,Foundation_Calc!$E$2:$G$33,3,1),""))</f>
        <v>K</v>
      </c>
      <c r="AY376" s="10">
        <f>IF(L376="","",
IF(AX376="PT",VLOOKUP(L376,Foundation_Calc!$K$79:$R$113,VLOOKUP(AW376,Foundation_Calc!$I$2:$J$8,2,FALSE),0),
IF(AX376="K",VLOOKUP(L376,Foundation_Calc!$K$117:$R$151,VLOOKUP(AW376,Foundation_Calc!$I$2:$J$8,2,FALSE),0),"")))</f>
        <v>4.2</v>
      </c>
      <c r="AZ376" s="10" t="str">
        <f>IF(K376="","",
IF(AX376="PT",VLOOKUP(K376,Foundation_Calc!$K$79:$R$113,VLOOKUP(AW376,Foundation_Calc!$I$2:$J$8,2,FALSE),0),
IF(AX376="K",VLOOKUP(K376,Foundation_Calc!$K$117:$R$151,VLOOKUP(AW376,Foundation_Calc!$I$2:$J$8,2,FALSE),0),"")))</f>
        <v/>
      </c>
      <c r="BA376" s="495" t="str">
        <f t="shared" si="42"/>
        <v>ü</v>
      </c>
      <c r="BB376" s="495" t="str">
        <f t="shared" si="43"/>
        <v/>
      </c>
      <c r="BC376" s="495" t="str">
        <f t="shared" si="44"/>
        <v/>
      </c>
      <c r="BD376" s="513" t="str">
        <f>IF(AND(L376="",H376=""),"",
IF(H376="",Pole_Calc!A$9,
IF(H376="MP",Pole_Calc!A$10,
IF(H376="AnMP",Pole_Calc!A$11,
IF(H376="A",Pole_Calc!A$12,
IF(H376="S/A",Pole_Calc!A$13,
IF(H376="A/S",Pole_Calc!A$14,"Poner a mano")))))))</f>
        <v>App.7-V11I-P9.5.1.6</v>
      </c>
      <c r="BE376" s="429" t="s">
        <v>118</v>
      </c>
      <c r="BF376" s="289"/>
      <c r="BG376" s="289"/>
      <c r="BH376" s="290"/>
      <c r="BI376" s="289"/>
    </row>
    <row r="377" spans="1:61" ht="16.149999999999999" customHeight="1">
      <c r="A377" s="514"/>
      <c r="B377" s="450"/>
      <c r="C377" s="3"/>
      <c r="D377" s="83"/>
      <c r="E377" s="4"/>
      <c r="F377" s="4"/>
      <c r="G377" s="6">
        <v>55</v>
      </c>
      <c r="H377" s="449"/>
      <c r="I377" s="4"/>
      <c r="J377" s="3">
        <f>C376+7.5</f>
        <v>39184.859999999986</v>
      </c>
      <c r="K377" s="449" t="s">
        <v>315</v>
      </c>
      <c r="L377" s="449"/>
      <c r="M377" s="449" t="str">
        <f>IF(L377="","",
IF(AX377="PT",VLOOKUP(L377,Foundation_Calc!$V$79:$X$113,VLOOKUP(AX377,Foundation_Calc!$I$10:$J$13,2,FALSE),0),
IF(AX377="K",VLOOKUP(L377,Foundation_Calc!$V$117:$X$151,VLOOKUP(AX377,Foundation_Calc!$I$10:$J$13,2,FALSE),0),"")))</f>
        <v/>
      </c>
      <c r="N377" s="449"/>
      <c r="O377" s="449"/>
      <c r="P377" s="449"/>
      <c r="Q377" s="4"/>
      <c r="R377" s="6"/>
      <c r="S377" s="6"/>
      <c r="T377" s="4"/>
      <c r="U377" s="4"/>
      <c r="V377" s="4"/>
      <c r="W377" s="9"/>
      <c r="X377" s="9"/>
      <c r="Y377" s="9"/>
      <c r="Z377" s="9"/>
      <c r="AA377" s="9"/>
      <c r="AB377" s="9"/>
      <c r="AC377" s="449" t="str">
        <f t="shared" si="41"/>
        <v/>
      </c>
      <c r="AD377" s="449"/>
      <c r="AE377" s="449"/>
      <c r="AF377" s="4"/>
      <c r="AG377" s="83"/>
      <c r="AH377" s="4"/>
      <c r="AI377" s="4"/>
      <c r="AJ377" s="449"/>
      <c r="AK377" s="449"/>
      <c r="AL377" s="449"/>
      <c r="AM377" s="449"/>
      <c r="AN377" s="10"/>
      <c r="AO377" s="9"/>
      <c r="AP377" s="9"/>
      <c r="AQ377" s="9">
        <f>+FL_2($T$378,$T$376,$G$377,1200,9.28,-1*$F$378)</f>
        <v>-0.39714735709090898</v>
      </c>
      <c r="AR377" s="9"/>
      <c r="AS377" s="9"/>
      <c r="AT377" s="9"/>
      <c r="AU377" s="428"/>
      <c r="AV377" s="428"/>
      <c r="AW377" s="449" t="str">
        <f>IF(C377&gt;0,VLOOKUP(C377,Foundation_Calc!$A$2:$C$13,3,1),
IF(J377&gt;0,VLOOKUP(J377,Foundation_Calc!$A$2:$C$13,3,1),""))</f>
        <v>Multi Soil</v>
      </c>
      <c r="AX377" s="449" t="str">
        <f>IF(C377&gt;0,VLOOKUP(C377,Foundation_Calc!$E$2:$G$33,3,1),
IF(J377&gt;0,VLOOKUP(J377,Foundation_Calc!$E$2:$G$33,3,1),""))</f>
        <v>K</v>
      </c>
      <c r="AY377" s="10" t="str">
        <f>IF(L377="","",
IF(AX377="PT",VLOOKUP(L377,Foundation_Calc!$K$79:$R$113,VLOOKUP(AW377,Foundation_Calc!$I$2:$J$8,2,FALSE),0),
IF(AX377="K",VLOOKUP(L377,Foundation_Calc!$K$117:$R$151,VLOOKUP(AW377,Foundation_Calc!$I$2:$J$8,2,FALSE),0),"")))</f>
        <v/>
      </c>
      <c r="AZ377" s="10">
        <f>IF(K377="","",
IF(AX377="PT",VLOOKUP(K377,Foundation_Calc!$K$79:$R$113,VLOOKUP(AW377,Foundation_Calc!$I$2:$J$8,2,FALSE),0),
IF(AX377="K",VLOOKUP(K377,Foundation_Calc!$K$117:$R$151,VLOOKUP(AW377,Foundation_Calc!$I$2:$J$8,2,FALSE),0),"")))</f>
        <v>3.9</v>
      </c>
      <c r="BA377" s="495" t="str">
        <f t="shared" si="42"/>
        <v/>
      </c>
      <c r="BB377" s="495" t="str">
        <f t="shared" si="43"/>
        <v>ü</v>
      </c>
      <c r="BC377" s="495" t="str">
        <f t="shared" si="44"/>
        <v/>
      </c>
      <c r="BD377" s="513" t="str">
        <f>IF(AND(L377="",H377=""),"",
IF(H377="",Pole_Calc!A$9,
IF(H377="MP",Pole_Calc!A$10,
IF(H377="AnMP",Pole_Calc!A$11,
IF(H377="A",Pole_Calc!A$12,
IF(H377="S/A",Pole_Calc!A$13,
IF(H377="A/S",Pole_Calc!A$14,"Poner a mano")))))))</f>
        <v/>
      </c>
      <c r="BE377" s="429" t="s">
        <v>118</v>
      </c>
      <c r="BF377" s="290"/>
      <c r="BG377" s="290"/>
      <c r="BH377" s="290"/>
      <c r="BI377" s="290"/>
    </row>
    <row r="378" spans="1:61" ht="16.149999999999999" customHeight="1">
      <c r="A378" s="514"/>
      <c r="B378" s="450" t="s">
        <v>388</v>
      </c>
      <c r="C378" s="3">
        <f>+$C$376+$G$377</f>
        <v>39232.359999999986</v>
      </c>
      <c r="D378" s="83"/>
      <c r="E378" s="4"/>
      <c r="F378" s="4">
        <f>IF(C378&gt;0,VLOOKUP(C378,'ALIGNMENT TRACK'!$A$1:$K$81,9,1))</f>
        <v>0</v>
      </c>
      <c r="G378" s="6"/>
      <c r="H378" s="449"/>
      <c r="I378" s="4"/>
      <c r="J378" s="3"/>
      <c r="K378" s="449"/>
      <c r="L378" s="449" t="s">
        <v>153</v>
      </c>
      <c r="M378" s="449" t="str">
        <f>IF(L378="","",
IF(AX378="PT",VLOOKUP(L378,Foundation_Calc!$V$79:$X$113,VLOOKUP(AX378,Foundation_Calc!$I$10:$J$13,2,FALSE),0),
IF(AX378="K",VLOOKUP(L378,Foundation_Calc!$V$117:$X$151,VLOOKUP(AX378,Foundation_Calc!$I$10:$J$13,2,FALSE),0),"")))</f>
        <v>C3RT</v>
      </c>
      <c r="N378" s="449" t="s">
        <v>134</v>
      </c>
      <c r="O378" s="449"/>
      <c r="P378" s="449"/>
      <c r="Q378" s="4"/>
      <c r="R378" s="6"/>
      <c r="S378" s="6"/>
      <c r="T378" s="4">
        <v>35</v>
      </c>
      <c r="U378" s="4"/>
      <c r="V378" s="4"/>
      <c r="W378" s="9">
        <v>1.4</v>
      </c>
      <c r="X378" s="9"/>
      <c r="Y378" s="9"/>
      <c r="Z378" s="9"/>
      <c r="AA378" s="9"/>
      <c r="AB378" s="9"/>
      <c r="AC378" s="449" t="str">
        <f t="shared" si="41"/>
        <v>PHQ</v>
      </c>
      <c r="AD378" s="449"/>
      <c r="AE378" s="449"/>
      <c r="AF378" s="4"/>
      <c r="AG378" s="83"/>
      <c r="AH378" s="4"/>
      <c r="AI378" s="4"/>
      <c r="AJ378" s="449"/>
      <c r="AK378" s="449"/>
      <c r="AL378" s="449"/>
      <c r="AM378" s="449" t="s">
        <v>126</v>
      </c>
      <c r="AN378" s="10">
        <v>5.5</v>
      </c>
      <c r="AO378" s="9"/>
      <c r="AP378" s="9"/>
      <c r="AQ378" s="9"/>
      <c r="AR378" s="9"/>
      <c r="AS378" s="9"/>
      <c r="AT378" s="9">
        <f>+ab($T$378,$T$376,$T$380,$G$377,$G$379,-1*$F$378,1200)</f>
        <v>7.4955682572493121</v>
      </c>
      <c r="AU378" s="428"/>
      <c r="AV378" s="428"/>
      <c r="AW378" s="449" t="str">
        <f>IF(C378&gt;0,VLOOKUP(C378,Foundation_Calc!$A$2:$C$13,3,1),
IF(J378&gt;0,VLOOKUP(J378,Foundation_Calc!$A$2:$C$13,3,1),""))</f>
        <v>Multi Soil</v>
      </c>
      <c r="AX378" s="449" t="str">
        <f>IF(C378&gt;0,VLOOKUP(C378,Foundation_Calc!$E$2:$G$33,3,1),
IF(J378&gt;0,VLOOKUP(J378,Foundation_Calc!$E$2:$G$33,3,1),""))</f>
        <v>K</v>
      </c>
      <c r="AY378" s="10">
        <f>IF(L378="","",
IF(AX378="PT",VLOOKUP(L378,Foundation_Calc!$K$79:$R$113,VLOOKUP(AW378,Foundation_Calc!$I$2:$J$8,2,FALSE),0),
IF(AX378="K",VLOOKUP(L378,Foundation_Calc!$K$117:$R$151,VLOOKUP(AW378,Foundation_Calc!$I$2:$J$8,2,FALSE),0),"")))</f>
        <v>4</v>
      </c>
      <c r="AZ378" s="10" t="str">
        <f>IF(K378="","",
IF(AX378="PT",VLOOKUP(K378,Foundation_Calc!$K$79:$R$113,VLOOKUP(AW378,Foundation_Calc!$I$2:$J$8,2,FALSE),0),
IF(AX378="K",VLOOKUP(K378,Foundation_Calc!$K$117:$R$151,VLOOKUP(AW378,Foundation_Calc!$I$2:$J$8,2,FALSE),0),"")))</f>
        <v/>
      </c>
      <c r="BA378" s="495" t="str">
        <f t="shared" si="42"/>
        <v>ü</v>
      </c>
      <c r="BB378" s="495" t="str">
        <f t="shared" si="43"/>
        <v/>
      </c>
      <c r="BC378" s="495" t="str">
        <f t="shared" si="44"/>
        <v/>
      </c>
      <c r="BD378" s="513" t="str">
        <f>IF(AND(L378="",H378=""),"",
IF(H378="",Pole_Calc!A$9,
IF(H378="MP",Pole_Calc!A$10,
IF(H378="AnMP",Pole_Calc!A$11,
IF(H378="A",Pole_Calc!A$12,
IF(H378="S/A",Pole_Calc!A$13,
IF(H378="A/S",Pole_Calc!A$14,"Poner a mano")))))))</f>
        <v>App.7-V11I-P9.5.1.1</v>
      </c>
      <c r="BE378" s="429" t="s">
        <v>118</v>
      </c>
      <c r="BF378" s="289"/>
      <c r="BG378" s="289"/>
      <c r="BH378" s="290"/>
      <c r="BI378" s="289"/>
    </row>
    <row r="379" spans="1:61" ht="16.149999999999999" customHeight="1">
      <c r="A379" s="514"/>
      <c r="B379" s="450"/>
      <c r="C379" s="3"/>
      <c r="D379" s="83"/>
      <c r="E379" s="4"/>
      <c r="F379" s="4"/>
      <c r="G379" s="6">
        <v>55</v>
      </c>
      <c r="H379" s="449"/>
      <c r="I379" s="4"/>
      <c r="J379" s="3"/>
      <c r="K379" s="449"/>
      <c r="L379" s="449"/>
      <c r="M379" s="449" t="str">
        <f>IF(L379="","",
IF(AX379="PT",VLOOKUP(L379,Foundation_Calc!$V$79:$X$113,VLOOKUP(AX379,Foundation_Calc!$I$10:$J$13,2,FALSE),0),
IF(AX379="K",VLOOKUP(L379,Foundation_Calc!$V$117:$X$151,VLOOKUP(AX379,Foundation_Calc!$I$10:$J$13,2,FALSE),0),"")))</f>
        <v/>
      </c>
      <c r="N379" s="449"/>
      <c r="O379" s="449"/>
      <c r="P379" s="449"/>
      <c r="Q379" s="4"/>
      <c r="R379" s="6"/>
      <c r="S379" s="6"/>
      <c r="T379" s="4"/>
      <c r="U379" s="4"/>
      <c r="V379" s="4"/>
      <c r="W379" s="9"/>
      <c r="X379" s="9"/>
      <c r="Y379" s="9"/>
      <c r="Z379" s="9"/>
      <c r="AA379" s="9"/>
      <c r="AB379" s="9"/>
      <c r="AC379" s="449" t="str">
        <f t="shared" si="41"/>
        <v/>
      </c>
      <c r="AD379" s="449"/>
      <c r="AE379" s="449"/>
      <c r="AF379" s="4"/>
      <c r="AG379" s="83"/>
      <c r="AH379" s="4"/>
      <c r="AI379" s="4"/>
      <c r="AJ379" s="449"/>
      <c r="AK379" s="449"/>
      <c r="AL379" s="449"/>
      <c r="AM379" s="449"/>
      <c r="AN379" s="10"/>
      <c r="AO379" s="9"/>
      <c r="AP379" s="9"/>
      <c r="AQ379" s="9">
        <f>+FL_1($T$380,$T$378,$G$379,1200,9.28,-1*$F$380)</f>
        <v>0.39714735709090898</v>
      </c>
      <c r="AR379" s="9"/>
      <c r="AS379" s="9"/>
      <c r="AT379" s="9"/>
      <c r="AU379" s="428"/>
      <c r="AV379" s="428"/>
      <c r="AW379" s="449" t="str">
        <f>IF(C379&gt;0,VLOOKUP(C379,Foundation_Calc!$A$2:$C$13,3,1),
IF(J379&gt;0,VLOOKUP(J379,Foundation_Calc!$A$2:$C$13,3,1),""))</f>
        <v/>
      </c>
      <c r="AX379" s="449" t="str">
        <f>IF(C379&gt;0,VLOOKUP(C379,Foundation_Calc!$E$2:$G$33,3,1),
IF(J379&gt;0,VLOOKUP(J379,Foundation_Calc!$E$2:$G$33,3,1),""))</f>
        <v/>
      </c>
      <c r="AY379" s="10" t="str">
        <f>IF(L379="","",
IF(AX379="PT",VLOOKUP(L379,Foundation_Calc!$K$79:$R$113,VLOOKUP(AW379,Foundation_Calc!$I$2:$J$8,2,FALSE),0),
IF(AX379="K",VLOOKUP(L379,Foundation_Calc!$K$117:$R$151,VLOOKUP(AW379,Foundation_Calc!$I$2:$J$8,2,FALSE),0),"")))</f>
        <v/>
      </c>
      <c r="AZ379" s="10" t="str">
        <f>IF(K379="","",
IF(AX379="PT",VLOOKUP(K379,Foundation_Calc!$K$79:$R$113,VLOOKUP(AW379,Foundation_Calc!$I$2:$J$8,2,FALSE),0),
IF(AX379="K",VLOOKUP(K379,Foundation_Calc!$K$117:$R$151,VLOOKUP(AW379,Foundation_Calc!$I$2:$J$8,2,FALSE),0),"")))</f>
        <v/>
      </c>
      <c r="BA379" s="495" t="str">
        <f t="shared" si="42"/>
        <v/>
      </c>
      <c r="BB379" s="495" t="str">
        <f t="shared" si="43"/>
        <v/>
      </c>
      <c r="BC379" s="495" t="str">
        <f t="shared" si="44"/>
        <v/>
      </c>
      <c r="BD379" s="513" t="str">
        <f>IF(AND(L379="",H379=""),"",
IF(H379="",Pole_Calc!A$9,
IF(H379="MP",Pole_Calc!A$10,
IF(H379="AnMP",Pole_Calc!A$11,
IF(H379="A",Pole_Calc!A$12,
IF(H379="S/A",Pole_Calc!A$13,
IF(H379="A/S",Pole_Calc!A$14,"Poner a mano")))))))</f>
        <v/>
      </c>
      <c r="BE379" s="429" t="s">
        <v>118</v>
      </c>
      <c r="BF379" s="290"/>
      <c r="BG379" s="290"/>
      <c r="BH379" s="290"/>
      <c r="BI379" s="290"/>
    </row>
    <row r="380" spans="1:61" ht="16.149999999999999" customHeight="1">
      <c r="A380" s="514"/>
      <c r="B380" s="450" t="s">
        <v>389</v>
      </c>
      <c r="C380" s="3">
        <f>+$C$378+$G$379</f>
        <v>39287.359999999986</v>
      </c>
      <c r="D380" s="83"/>
      <c r="E380" s="4"/>
      <c r="F380" s="4">
        <f>IF(C380&gt;0,VLOOKUP(C380,'ALIGNMENT TRACK'!$A$1:$K$81,9,1))</f>
        <v>0</v>
      </c>
      <c r="G380" s="6"/>
      <c r="H380" s="449"/>
      <c r="I380" s="4"/>
      <c r="J380" s="3"/>
      <c r="K380" s="449"/>
      <c r="L380" s="449" t="s">
        <v>153</v>
      </c>
      <c r="M380" s="449" t="str">
        <f>IF(L380="","",
IF(AX380="PT",VLOOKUP(L380,Foundation_Calc!$V$79:$X$113,VLOOKUP(AX380,Foundation_Calc!$I$10:$J$13,2,FALSE),0),
IF(AX380="K",VLOOKUP(L380,Foundation_Calc!$V$117:$X$151,VLOOKUP(AX380,Foundation_Calc!$I$10:$J$13,2,FALSE),0),"")))</f>
        <v>C3RT</v>
      </c>
      <c r="N380" s="449" t="s">
        <v>124</v>
      </c>
      <c r="O380" s="449"/>
      <c r="P380" s="449"/>
      <c r="Q380" s="4"/>
      <c r="R380" s="6"/>
      <c r="S380" s="6"/>
      <c r="T380" s="4">
        <v>-35</v>
      </c>
      <c r="U380" s="4"/>
      <c r="V380" s="4"/>
      <c r="W380" s="9">
        <v>1.4</v>
      </c>
      <c r="X380" s="9"/>
      <c r="Y380" s="9"/>
      <c r="Z380" s="9"/>
      <c r="AA380" s="9"/>
      <c r="AB380" s="9"/>
      <c r="AC380" s="449" t="str">
        <f t="shared" si="41"/>
        <v>PHQ</v>
      </c>
      <c r="AD380" s="449"/>
      <c r="AE380" s="449"/>
      <c r="AF380" s="4"/>
      <c r="AG380" s="83"/>
      <c r="AH380" s="4"/>
      <c r="AI380" s="4"/>
      <c r="AJ380" s="449"/>
      <c r="AK380" s="449"/>
      <c r="AL380" s="449"/>
      <c r="AM380" s="449" t="s">
        <v>126</v>
      </c>
      <c r="AN380" s="10">
        <v>5.5</v>
      </c>
      <c r="AO380" s="9"/>
      <c r="AP380" s="9"/>
      <c r="AQ380" s="9"/>
      <c r="AR380" s="9"/>
      <c r="AS380" s="9"/>
      <c r="AT380" s="9">
        <f>+ab($T$380,$T$378,$T$382,$G$379,$G$381,-1*$F$380,1200)</f>
        <v>-7.1424424584170572</v>
      </c>
      <c r="AU380" s="428"/>
      <c r="AV380" s="428"/>
      <c r="AW380" s="449" t="str">
        <f>IF(C380&gt;0,VLOOKUP(C380,Foundation_Calc!$A$2:$C$13,3,1),
IF(J380&gt;0,VLOOKUP(J380,Foundation_Calc!$A$2:$C$13,3,1),""))</f>
        <v>Multi Soil</v>
      </c>
      <c r="AX380" s="449" t="str">
        <f>IF(C380&gt;0,VLOOKUP(C380,Foundation_Calc!$E$2:$G$33,3,1),
IF(J380&gt;0,VLOOKUP(J380,Foundation_Calc!$E$2:$G$33,3,1),""))</f>
        <v>K</v>
      </c>
      <c r="AY380" s="10">
        <f>IF(L380="","",
IF(AX380="PT",VLOOKUP(L380,Foundation_Calc!$K$79:$R$113,VLOOKUP(AW380,Foundation_Calc!$I$2:$J$8,2,FALSE),0),
IF(AX380="K",VLOOKUP(L380,Foundation_Calc!$K$117:$R$151,VLOOKUP(AW380,Foundation_Calc!$I$2:$J$8,2,FALSE),0),"")))</f>
        <v>4</v>
      </c>
      <c r="AZ380" s="10" t="str">
        <f>IF(K380="","",
IF(AX380="PT",VLOOKUP(K380,Foundation_Calc!$K$79:$R$113,VLOOKUP(AW380,Foundation_Calc!$I$2:$J$8,2,FALSE),0),
IF(AX380="K",VLOOKUP(K380,Foundation_Calc!$K$117:$R$151,VLOOKUP(AW380,Foundation_Calc!$I$2:$J$8,2,FALSE),0),"")))</f>
        <v/>
      </c>
      <c r="BA380" s="495" t="str">
        <f t="shared" si="42"/>
        <v>ü</v>
      </c>
      <c r="BB380" s="495" t="str">
        <f t="shared" si="43"/>
        <v/>
      </c>
      <c r="BC380" s="495" t="str">
        <f t="shared" si="44"/>
        <v/>
      </c>
      <c r="BD380" s="513" t="str">
        <f>IF(AND(L380="",H380=""),"",
IF(H380="",Pole_Calc!A$9,
IF(H380="MP",Pole_Calc!A$10,
IF(H380="AnMP",Pole_Calc!A$11,
IF(H380="A",Pole_Calc!A$12,
IF(H380="S/A",Pole_Calc!A$13,
IF(H380="A/S",Pole_Calc!A$14,"Poner a mano")))))))</f>
        <v>App.7-V11I-P9.5.1.1</v>
      </c>
      <c r="BE380" s="429" t="s">
        <v>118</v>
      </c>
      <c r="BF380" s="289"/>
      <c r="BG380" s="289"/>
      <c r="BH380" s="290"/>
      <c r="BI380" s="289"/>
    </row>
    <row r="381" spans="1:61" ht="16.149999999999999" customHeight="1">
      <c r="A381" s="514"/>
      <c r="B381" s="450"/>
      <c r="C381" s="3"/>
      <c r="D381" s="83"/>
      <c r="E381" s="4"/>
      <c r="F381" s="4"/>
      <c r="G381" s="6">
        <v>50</v>
      </c>
      <c r="H381" s="449"/>
      <c r="I381" s="4"/>
      <c r="J381" s="3"/>
      <c r="K381" s="449"/>
      <c r="L381" s="449"/>
      <c r="M381" s="449" t="str">
        <f>IF(L381="","",
IF(AX381="PT",VLOOKUP(L381,Foundation_Calc!$V$79:$X$113,VLOOKUP(AX381,Foundation_Calc!$I$10:$J$13,2,FALSE),0),
IF(AX381="K",VLOOKUP(L381,Foundation_Calc!$V$117:$X$151,VLOOKUP(AX381,Foundation_Calc!$I$10:$J$13,2,FALSE),0),"")))</f>
        <v/>
      </c>
      <c r="N381" s="449"/>
      <c r="O381" s="449"/>
      <c r="P381" s="449"/>
      <c r="Q381" s="4"/>
      <c r="R381" s="6"/>
      <c r="S381" s="6"/>
      <c r="T381" s="4"/>
      <c r="U381" s="4"/>
      <c r="V381" s="4"/>
      <c r="W381" s="9"/>
      <c r="X381" s="9"/>
      <c r="Y381" s="9"/>
      <c r="Z381" s="9"/>
      <c r="AA381" s="9"/>
      <c r="AB381" s="9"/>
      <c r="AC381" s="449" t="str">
        <f t="shared" si="41"/>
        <v/>
      </c>
      <c r="AD381" s="449"/>
      <c r="AE381" s="449"/>
      <c r="AF381" s="4"/>
      <c r="AG381" s="83"/>
      <c r="AH381" s="4"/>
      <c r="AI381" s="4"/>
      <c r="AJ381" s="449"/>
      <c r="AK381" s="449"/>
      <c r="AL381" s="449"/>
      <c r="AM381" s="449"/>
      <c r="AN381" s="10"/>
      <c r="AO381" s="9"/>
      <c r="AP381" s="9"/>
      <c r="AQ381" s="9">
        <f>+FL_1($T$382,$T$380,$G$381,1200,9.28,-1*$F$382)</f>
        <v>0.36839079999999996</v>
      </c>
      <c r="AR381" s="9"/>
      <c r="AS381" s="9"/>
      <c r="AT381" s="9"/>
      <c r="AU381" s="428"/>
      <c r="AV381" s="428"/>
      <c r="AW381" s="449" t="str">
        <f>IF(C381&gt;0,VLOOKUP(C381,Foundation_Calc!$A$2:$C$13,3,1),
IF(J381&gt;0,VLOOKUP(J381,Foundation_Calc!$A$2:$C$13,3,1),""))</f>
        <v/>
      </c>
      <c r="AX381" s="449" t="str">
        <f>IF(C381&gt;0,VLOOKUP(C381,Foundation_Calc!$E$2:$G$33,3,1),
IF(J381&gt;0,VLOOKUP(J381,Foundation_Calc!$E$2:$G$33,3,1),""))</f>
        <v/>
      </c>
      <c r="AY381" s="10" t="str">
        <f>IF(L381="","",
IF(AX381="PT",VLOOKUP(L381,Foundation_Calc!$K$79:$R$113,VLOOKUP(AW381,Foundation_Calc!$I$2:$J$8,2,FALSE),0),
IF(AX381="K",VLOOKUP(L381,Foundation_Calc!$K$117:$R$151,VLOOKUP(AW381,Foundation_Calc!$I$2:$J$8,2,FALSE),0),"")))</f>
        <v/>
      </c>
      <c r="AZ381" s="10" t="str">
        <f>IF(K381="","",
IF(AX381="PT",VLOOKUP(K381,Foundation_Calc!$K$79:$R$113,VLOOKUP(AW381,Foundation_Calc!$I$2:$J$8,2,FALSE),0),
IF(AX381="K",VLOOKUP(K381,Foundation_Calc!$K$117:$R$151,VLOOKUP(AW381,Foundation_Calc!$I$2:$J$8,2,FALSE),0),"")))</f>
        <v/>
      </c>
      <c r="BA381" s="495" t="str">
        <f t="shared" si="42"/>
        <v/>
      </c>
      <c r="BB381" s="495" t="str">
        <f t="shared" si="43"/>
        <v/>
      </c>
      <c r="BC381" s="495" t="str">
        <f t="shared" si="44"/>
        <v/>
      </c>
      <c r="BD381" s="513" t="str">
        <f>IF(AND(L381="",H381=""),"",
IF(H381="",Pole_Calc!A$9,
IF(H381="MP",Pole_Calc!A$10,
IF(H381="AnMP",Pole_Calc!A$11,
IF(H381="A",Pole_Calc!A$12,
IF(H381="S/A",Pole_Calc!A$13,
IF(H381="A/S",Pole_Calc!A$14,"Poner a mano")))))))</f>
        <v/>
      </c>
      <c r="BE381" s="429" t="s">
        <v>118</v>
      </c>
      <c r="BF381" s="290"/>
      <c r="BG381" s="290"/>
      <c r="BH381" s="290"/>
      <c r="BI381" s="290"/>
    </row>
    <row r="382" spans="1:61" ht="16.149999999999999" customHeight="1">
      <c r="A382" s="514"/>
      <c r="B382" s="450" t="s">
        <v>390</v>
      </c>
      <c r="C382" s="3">
        <f>+$C$380+$G$381</f>
        <v>39337.359999999986</v>
      </c>
      <c r="D382" s="83"/>
      <c r="E382" s="4"/>
      <c r="F382" s="4">
        <f>IF(C382&gt;0,VLOOKUP(C382,'ALIGNMENT TRACK'!$A$1:$K$81,9,1))</f>
        <v>0</v>
      </c>
      <c r="G382" s="6"/>
      <c r="H382" s="449"/>
      <c r="I382" s="4"/>
      <c r="J382" s="3"/>
      <c r="K382" s="449"/>
      <c r="L382" s="449" t="s">
        <v>153</v>
      </c>
      <c r="M382" s="449" t="str">
        <f>IF(L382="","",
IF(AX382="PT",VLOOKUP(L382,Foundation_Calc!$V$79:$X$113,VLOOKUP(AX382,Foundation_Calc!$I$10:$J$13,2,FALSE),0),
IF(AX382="K",VLOOKUP(L382,Foundation_Calc!$V$117:$X$151,VLOOKUP(AX382,Foundation_Calc!$I$10:$J$13,2,FALSE),0),"")))</f>
        <v>C3R</v>
      </c>
      <c r="N382" s="449" t="s">
        <v>134</v>
      </c>
      <c r="O382" s="449"/>
      <c r="P382" s="449"/>
      <c r="Q382" s="4"/>
      <c r="R382" s="6"/>
      <c r="S382" s="6"/>
      <c r="T382" s="4">
        <v>35</v>
      </c>
      <c r="U382" s="4"/>
      <c r="V382" s="4"/>
      <c r="W382" s="9">
        <v>1.4</v>
      </c>
      <c r="X382" s="9"/>
      <c r="Y382" s="9"/>
      <c r="Z382" s="9"/>
      <c r="AA382" s="9"/>
      <c r="AB382" s="9"/>
      <c r="AC382" s="449" t="str">
        <f t="shared" si="41"/>
        <v>PH</v>
      </c>
      <c r="AD382" s="449"/>
      <c r="AE382" s="449"/>
      <c r="AF382" s="4"/>
      <c r="AG382" s="83"/>
      <c r="AH382" s="4"/>
      <c r="AI382" s="4"/>
      <c r="AJ382" s="449"/>
      <c r="AK382" s="449"/>
      <c r="AL382" s="449"/>
      <c r="AM382" s="449" t="s">
        <v>126</v>
      </c>
      <c r="AN382" s="10">
        <v>5.5</v>
      </c>
      <c r="AO382" s="9"/>
      <c r="AP382" s="9"/>
      <c r="AQ382" s="9"/>
      <c r="AR382" s="9"/>
      <c r="AS382" s="9"/>
      <c r="AT382" s="9">
        <f>+ab($T$382,$T$380,$T$384,$G$381,$G$383,-1*$F$382,1200)</f>
        <v>10.841293152597236</v>
      </c>
      <c r="AU382" s="428"/>
      <c r="AV382" s="428"/>
      <c r="AW382" s="449" t="str">
        <f>IF(C382&gt;0,VLOOKUP(C382,Foundation_Calc!$A$2:$C$13,3,1),
IF(J382&gt;0,VLOOKUP(J382,Foundation_Calc!$A$2:$C$13,3,1),""))</f>
        <v>Multi Soil</v>
      </c>
      <c r="AX382" s="449" t="str">
        <f>IF(C382&gt;0,VLOOKUP(C382,Foundation_Calc!$E$2:$G$33,3,1),
IF(J382&gt;0,VLOOKUP(J382,Foundation_Calc!$E$2:$G$33,3,1),""))</f>
        <v>PT</v>
      </c>
      <c r="AY382" s="10">
        <f>IF(L382="","",
IF(AX382="PT",VLOOKUP(L382,Foundation_Calc!$K$79:$R$113,VLOOKUP(AW382,Foundation_Calc!$I$2:$J$8,2,FALSE),0),
IF(AX382="K",VLOOKUP(L382,Foundation_Calc!$K$117:$R$151,VLOOKUP(AW382,Foundation_Calc!$I$2:$J$8,2,FALSE),0),"")))</f>
        <v>3.5</v>
      </c>
      <c r="AZ382" s="10" t="str">
        <f>IF(K382="","",
IF(AX382="PT",VLOOKUP(K382,Foundation_Calc!$K$79:$R$113,VLOOKUP(AW382,Foundation_Calc!$I$2:$J$8,2,FALSE),0),
IF(AX382="K",VLOOKUP(K382,Foundation_Calc!$K$117:$R$151,VLOOKUP(AW382,Foundation_Calc!$I$2:$J$8,2,FALSE),0),"")))</f>
        <v/>
      </c>
      <c r="BA382" s="495" t="str">
        <f t="shared" si="42"/>
        <v>ü</v>
      </c>
      <c r="BB382" s="495" t="str">
        <f t="shared" si="43"/>
        <v/>
      </c>
      <c r="BC382" s="495" t="str">
        <f t="shared" si="44"/>
        <v/>
      </c>
      <c r="BD382" s="513" t="str">
        <f>IF(AND(L382="",H382=""),"",
IF(H382="",Pole_Calc!A$9,
IF(H382="MP",Pole_Calc!A$10,
IF(H382="AnMP",Pole_Calc!A$11,
IF(H382="A",Pole_Calc!A$12,
IF(H382="S/A",Pole_Calc!A$13,
IF(H382="A/S",Pole_Calc!A$14,"Poner a mano")))))))</f>
        <v>App.7-V11I-P9.5.1.1</v>
      </c>
      <c r="BE382" s="429" t="s">
        <v>118</v>
      </c>
      <c r="BF382" s="289"/>
      <c r="BG382" s="289"/>
      <c r="BH382" s="290"/>
      <c r="BI382" s="289"/>
    </row>
    <row r="383" spans="1:61" ht="16.149999999999999" customHeight="1">
      <c r="A383" s="514"/>
      <c r="B383" s="450"/>
      <c r="C383" s="3"/>
      <c r="D383" s="83"/>
      <c r="E383" s="4"/>
      <c r="F383" s="4"/>
      <c r="G383" s="6">
        <v>43</v>
      </c>
      <c r="H383" s="449"/>
      <c r="I383" s="4"/>
      <c r="J383" s="3"/>
      <c r="K383" s="449"/>
      <c r="L383" s="449"/>
      <c r="M383" s="449" t="str">
        <f>IF(L383="","",
IF(AX383="PT",VLOOKUP(L383,Foundation_Calc!$V$79:$X$113,VLOOKUP(AX383,Foundation_Calc!$I$10:$J$13,2,FALSE),0),
IF(AX383="K",VLOOKUP(L383,Foundation_Calc!$V$117:$X$151,VLOOKUP(AX383,Foundation_Calc!$I$10:$J$13,2,FALSE),0),"")))</f>
        <v/>
      </c>
      <c r="N383" s="449"/>
      <c r="O383" s="449"/>
      <c r="P383" s="449"/>
      <c r="Q383" s="4"/>
      <c r="R383" s="6"/>
      <c r="S383" s="6"/>
      <c r="T383" s="4"/>
      <c r="U383" s="4"/>
      <c r="V383" s="4"/>
      <c r="W383" s="9"/>
      <c r="X383" s="9"/>
      <c r="Y383" s="9"/>
      <c r="Z383" s="9"/>
      <c r="AA383" s="9"/>
      <c r="AB383" s="9"/>
      <c r="AC383" s="449" t="str">
        <f t="shared" si="41"/>
        <v/>
      </c>
      <c r="AD383" s="449"/>
      <c r="AE383" s="449"/>
      <c r="AF383" s="4"/>
      <c r="AG383" s="83"/>
      <c r="AH383" s="4"/>
      <c r="AI383" s="4"/>
      <c r="AJ383" s="449"/>
      <c r="AK383" s="449"/>
      <c r="AL383" s="449"/>
      <c r="AM383" s="449"/>
      <c r="AN383" s="10"/>
      <c r="AO383" s="9"/>
      <c r="AP383" s="9"/>
      <c r="AQ383" s="9">
        <f>+FL_1($T$384,$T$382,$G$383,1200,9.28,-1*$F$384)</f>
        <v>0.40817280809362616</v>
      </c>
      <c r="AR383" s="9"/>
      <c r="AS383" s="9"/>
      <c r="AT383" s="9"/>
      <c r="AU383" s="428"/>
      <c r="AV383" s="428"/>
      <c r="AW383" s="449" t="str">
        <f>IF(C383&gt;0,VLOOKUP(C383,Foundation_Calc!$A$2:$C$13,3,1),
IF(J383&gt;0,VLOOKUP(J383,Foundation_Calc!$A$2:$C$13,3,1),""))</f>
        <v/>
      </c>
      <c r="AX383" s="449" t="str">
        <f>IF(C383&gt;0,VLOOKUP(C383,Foundation_Calc!$E$2:$G$33,3,1),
IF(J383&gt;0,VLOOKUP(J383,Foundation_Calc!$E$2:$G$33,3,1),""))</f>
        <v/>
      </c>
      <c r="AY383" s="10" t="str">
        <f>IF(L383="","",
IF(AX383="PT",VLOOKUP(L383,Foundation_Calc!$K$79:$R$113,VLOOKUP(AW383,Foundation_Calc!$I$2:$J$8,2,FALSE),0),
IF(AX383="K",VLOOKUP(L383,Foundation_Calc!$K$117:$R$151,VLOOKUP(AW383,Foundation_Calc!$I$2:$J$8,2,FALSE),0),"")))</f>
        <v/>
      </c>
      <c r="AZ383" s="10" t="str">
        <f>IF(K383="","",
IF(AX383="PT",VLOOKUP(K383,Foundation_Calc!$K$79:$R$113,VLOOKUP(AW383,Foundation_Calc!$I$2:$J$8,2,FALSE),0),
IF(AX383="K",VLOOKUP(K383,Foundation_Calc!$K$117:$R$151,VLOOKUP(AW383,Foundation_Calc!$I$2:$J$8,2,FALSE),0),"")))</f>
        <v/>
      </c>
      <c r="BA383" s="495" t="str">
        <f t="shared" si="42"/>
        <v/>
      </c>
      <c r="BB383" s="495" t="str">
        <f t="shared" si="43"/>
        <v/>
      </c>
      <c r="BC383" s="495" t="str">
        <f t="shared" si="44"/>
        <v/>
      </c>
      <c r="BD383" s="513" t="str">
        <f>IF(AND(L383="",H383=""),"",
IF(H383="",Pole_Calc!A$9,
IF(H383="MP",Pole_Calc!A$10,
IF(H383="AnMP",Pole_Calc!A$11,
IF(H383="A",Pole_Calc!A$12,
IF(H383="S/A",Pole_Calc!A$13,
IF(H383="A/S",Pole_Calc!A$14,"Poner a mano")))))))</f>
        <v/>
      </c>
      <c r="BE383" s="429" t="s">
        <v>118</v>
      </c>
      <c r="BF383" s="290"/>
      <c r="BG383" s="290"/>
      <c r="BH383" s="290"/>
      <c r="BI383" s="290"/>
    </row>
    <row r="384" spans="1:61" ht="16.149999999999999" customHeight="1">
      <c r="B384" s="450" t="s">
        <v>391</v>
      </c>
      <c r="C384" s="3">
        <f>+$C$382+$G$383</f>
        <v>39380.359999999986</v>
      </c>
      <c r="D384" s="83"/>
      <c r="E384" s="4"/>
      <c r="F384" s="4">
        <f>-(342^2)/(C384-39351.45)</f>
        <v>-4045.7973019731839</v>
      </c>
      <c r="G384" s="6"/>
      <c r="H384" s="449"/>
      <c r="I384" s="4"/>
      <c r="J384" s="3"/>
      <c r="K384" s="449"/>
      <c r="L384" s="449" t="s">
        <v>153</v>
      </c>
      <c r="M384" s="449" t="str">
        <f>IF(L384="","",
IF(AX384="PT",VLOOKUP(L384,Foundation_Calc!$V$79:$X$113,VLOOKUP(AX384,Foundation_Calc!$I$10:$J$13,2,FALSE),0),
IF(AX384="K",VLOOKUP(L384,Foundation_Calc!$V$117:$X$151,VLOOKUP(AX384,Foundation_Calc!$I$10:$J$13,2,FALSE),0),"")))</f>
        <v>C3R</v>
      </c>
      <c r="N384" s="449" t="s">
        <v>134</v>
      </c>
      <c r="O384" s="449"/>
      <c r="P384" s="449"/>
      <c r="Q384" s="4"/>
      <c r="R384" s="6"/>
      <c r="S384" s="6"/>
      <c r="T384" s="4">
        <v>20</v>
      </c>
      <c r="U384" s="4"/>
      <c r="V384" s="4"/>
      <c r="W384" s="9">
        <v>1.4</v>
      </c>
      <c r="X384" s="9"/>
      <c r="Y384" s="9"/>
      <c r="Z384" s="9"/>
      <c r="AA384" s="9"/>
      <c r="AB384" s="9"/>
      <c r="AC384" s="449" t="str">
        <f t="shared" si="41"/>
        <v>PH</v>
      </c>
      <c r="AD384" s="449"/>
      <c r="AE384" s="449"/>
      <c r="AF384" s="4"/>
      <c r="AG384" s="83"/>
      <c r="AH384" s="4"/>
      <c r="AI384" s="4"/>
      <c r="AJ384" s="449"/>
      <c r="AK384" s="449"/>
      <c r="AL384" s="449"/>
      <c r="AM384" s="449" t="s">
        <v>126</v>
      </c>
      <c r="AN384" s="10">
        <v>5.5</v>
      </c>
      <c r="AO384" s="9"/>
      <c r="AP384" s="9"/>
      <c r="AQ384" s="9"/>
      <c r="AR384" s="9"/>
      <c r="AS384" s="9"/>
      <c r="AT384" s="9">
        <f>+ab($T$384,$T$382,$T$386,$G$383,$G$385,-1*$F$384,1200)</f>
        <v>32.961272544766416</v>
      </c>
      <c r="AU384" s="428"/>
      <c r="AV384" s="428"/>
      <c r="AW384" s="449" t="str">
        <f>IF(C384&gt;0,VLOOKUP(C384,Foundation_Calc!$A$2:$C$13,3,1),
IF(J384&gt;0,VLOOKUP(J384,Foundation_Calc!$A$2:$C$13,3,1),""))</f>
        <v>Multi Soil</v>
      </c>
      <c r="AX384" s="449" t="str">
        <f>IF(C384&gt;0,VLOOKUP(C384,Foundation_Calc!$E$2:$G$33,3,1),
IF(J384&gt;0,VLOOKUP(J384,Foundation_Calc!$E$2:$G$33,3,1),""))</f>
        <v>PT</v>
      </c>
      <c r="AY384" s="10">
        <f>IF(L384="","",
IF(AX384="PT",VLOOKUP(L384,Foundation_Calc!$K$79:$R$113,VLOOKUP(AW384,Foundation_Calc!$I$2:$J$8,2,FALSE),0),
IF(AX384="K",VLOOKUP(L384,Foundation_Calc!$K$117:$R$151,VLOOKUP(AW384,Foundation_Calc!$I$2:$J$8,2,FALSE),0),"")))</f>
        <v>3.5</v>
      </c>
      <c r="AZ384" s="10" t="str">
        <f>IF(K384="","",
IF(AX384="PT",VLOOKUP(K384,Foundation_Calc!$K$79:$R$113,VLOOKUP(AW384,Foundation_Calc!$I$2:$J$8,2,FALSE),0),
IF(AX384="K",VLOOKUP(K384,Foundation_Calc!$K$117:$R$151,VLOOKUP(AW384,Foundation_Calc!$I$2:$J$8,2,FALSE),0),"")))</f>
        <v/>
      </c>
      <c r="BA384" s="495" t="str">
        <f t="shared" si="42"/>
        <v>ü</v>
      </c>
      <c r="BB384" s="495" t="str">
        <f t="shared" si="43"/>
        <v/>
      </c>
      <c r="BC384" s="495" t="str">
        <f t="shared" si="44"/>
        <v/>
      </c>
      <c r="BD384" s="513" t="str">
        <f>IF(AND(L384="",H384=""),"",
IF(H384="",Pole_Calc!A$9,
IF(H384="MP",Pole_Calc!A$10,
IF(H384="AnMP",Pole_Calc!A$11,
IF(H384="A",Pole_Calc!A$12,
IF(H384="S/A",Pole_Calc!A$13,
IF(H384="A/S",Pole_Calc!A$14,"Poner a mano")))))))</f>
        <v>App.7-V11I-P9.5.1.1</v>
      </c>
      <c r="BE384" s="429" t="s">
        <v>118</v>
      </c>
      <c r="BF384" s="289"/>
      <c r="BG384" s="289"/>
      <c r="BH384" s="290"/>
      <c r="BI384" s="289"/>
    </row>
    <row r="385" spans="1:61" ht="16.149999999999999" customHeight="1">
      <c r="A385" s="708" t="s">
        <v>392</v>
      </c>
      <c r="B385" s="697"/>
      <c r="C385" s="698"/>
      <c r="D385" s="699"/>
      <c r="E385" s="700"/>
      <c r="F385" s="700"/>
      <c r="G385" s="701">
        <v>45</v>
      </c>
      <c r="H385" s="702"/>
      <c r="I385" s="700"/>
      <c r="J385" s="698">
        <f>C386-7.5</f>
        <v>39417.859999999986</v>
      </c>
      <c r="K385" s="702" t="s">
        <v>166</v>
      </c>
      <c r="L385" s="702"/>
      <c r="M385" s="702" t="str">
        <f>IF(L385="","",
IF(AX385="PT",VLOOKUP(L385,Foundation_Calc!$V$79:$X$113,VLOOKUP(AX385,Foundation_Calc!$I$10:$J$13,2,FALSE),0),
IF(AX385="K",VLOOKUP(L385,Foundation_Calc!$V$117:$X$151,VLOOKUP(AX385,Foundation_Calc!$I$10:$J$13,2,FALSE),0),"")))</f>
        <v/>
      </c>
      <c r="N385" s="702"/>
      <c r="O385" s="702"/>
      <c r="P385" s="702"/>
      <c r="Q385" s="700"/>
      <c r="R385" s="701"/>
      <c r="S385" s="701"/>
      <c r="T385" s="700"/>
      <c r="U385" s="700"/>
      <c r="V385" s="700"/>
      <c r="W385" s="703"/>
      <c r="X385" s="703"/>
      <c r="Y385" s="703"/>
      <c r="Z385" s="703"/>
      <c r="AA385" s="703"/>
      <c r="AB385" s="703"/>
      <c r="AC385" s="702" t="str">
        <f t="shared" si="41"/>
        <v/>
      </c>
      <c r="AD385" s="702"/>
      <c r="AE385" s="702"/>
      <c r="AF385" s="700"/>
      <c r="AG385" s="699"/>
      <c r="AH385" s="700"/>
      <c r="AI385" s="700"/>
      <c r="AJ385" s="702"/>
      <c r="AK385" s="702"/>
      <c r="AL385" s="702"/>
      <c r="AM385" s="702"/>
      <c r="AN385" s="704"/>
      <c r="AO385" s="703"/>
      <c r="AP385" s="703"/>
      <c r="AQ385" s="703">
        <f>+FL_1($T$386,$T$384,$G$385,1200,9.28,-1*$F$386)</f>
        <v>0.30325564160117596</v>
      </c>
      <c r="AR385" s="703"/>
      <c r="AS385" s="703"/>
      <c r="AT385" s="703"/>
      <c r="AU385" s="705"/>
      <c r="AV385" s="705"/>
      <c r="AW385" s="702" t="str">
        <f>IF(C385&gt;0,VLOOKUP(C385,Foundation_Calc!$A$2:$C$13,3,1),
IF(J385&gt;0,VLOOKUP(J385,Foundation_Calc!$A$2:$C$13,3,1),""))</f>
        <v>Multi Soil</v>
      </c>
      <c r="AX385" s="702" t="str">
        <f>IF(C385&gt;0,VLOOKUP(C385,Foundation_Calc!$E$2:$G$33,3,1),
IF(J385&gt;0,VLOOKUP(J385,Foundation_Calc!$E$2:$G$33,3,1),""))</f>
        <v>PT</v>
      </c>
      <c r="AY385" s="704" t="str">
        <f>IF(L385="","",
IF(AX385="PT",VLOOKUP(L385,Foundation_Calc!$K$79:$R$113,VLOOKUP(AW385,Foundation_Calc!$I$2:$J$8,2,FALSE),0),
IF(AX385="K",VLOOKUP(L385,Foundation_Calc!$K$117:$R$151,VLOOKUP(AW385,Foundation_Calc!$I$2:$J$8,2,FALSE),0),"")))</f>
        <v/>
      </c>
      <c r="AZ385" s="704">
        <f>IF(K385="","",
IF(AX385="PT",VLOOKUP(K385,Foundation_Calc!$K$79:$R$113,VLOOKUP(AW385,Foundation_Calc!$I$2:$J$8,2,FALSE),0),
IF(AX385="K",VLOOKUP(K385,Foundation_Calc!$K$117:$R$151,VLOOKUP(AW385,Foundation_Calc!$I$2:$J$8,2,FALSE),0),"")))</f>
        <v>2.8</v>
      </c>
      <c r="BA385" s="495" t="str">
        <f t="shared" si="42"/>
        <v/>
      </c>
      <c r="BB385" s="495" t="str">
        <f t="shared" si="43"/>
        <v>ü</v>
      </c>
      <c r="BC385" s="495" t="str">
        <f t="shared" si="44"/>
        <v/>
      </c>
      <c r="BD385" s="513" t="str">
        <f>IF(AND(L385="",H385=""),"",
IF(H385="",Pole_Calc!A$9,
IF(H385="MP",Pole_Calc!A$10,
IF(H385="AnMP",Pole_Calc!A$11,
IF(H385="A",Pole_Calc!A$12,
IF(H385="S/A",Pole_Calc!A$13,
IF(H385="A/S",Pole_Calc!A$14,"Poner a mano")))))))</f>
        <v/>
      </c>
      <c r="BE385" s="429" t="s">
        <v>118</v>
      </c>
      <c r="BF385" s="290"/>
      <c r="BG385" s="290"/>
      <c r="BH385" s="290"/>
      <c r="BI385" s="290"/>
    </row>
    <row r="386" spans="1:61" ht="16.149999999999999" customHeight="1">
      <c r="A386" s="708" t="s">
        <v>393</v>
      </c>
      <c r="B386" s="697" t="s">
        <v>394</v>
      </c>
      <c r="C386" s="698">
        <f>+$C$384+$G$385</f>
        <v>39425.359999999986</v>
      </c>
      <c r="D386" s="699"/>
      <c r="E386" s="700"/>
      <c r="F386" s="700">
        <f>-(342^2)/(C386-39351.45)</f>
        <v>-1582.5192802058923</v>
      </c>
      <c r="G386" s="701"/>
      <c r="H386" s="702" t="s">
        <v>168</v>
      </c>
      <c r="I386" s="700"/>
      <c r="J386" s="698"/>
      <c r="K386" s="702"/>
      <c r="L386" s="702" t="s">
        <v>158</v>
      </c>
      <c r="M386" s="702" t="str">
        <f>IF(L386="","",
IF(AX386="PT",VLOOKUP(L386,Foundation_Calc!$V$79:$X$113,VLOOKUP(AX386,Foundation_Calc!$I$10:$J$13,2,FALSE),0),
IF(AX386="K",VLOOKUP(L386,Foundation_Calc!$V$117:$X$151,VLOOKUP(AX386,Foundation_Calc!$I$10:$J$13,2,FALSE),0),"")))</f>
        <v>C4R</v>
      </c>
      <c r="N386" s="702" t="s">
        <v>134</v>
      </c>
      <c r="O386" s="702"/>
      <c r="P386" s="702"/>
      <c r="Q386" s="700"/>
      <c r="R386" s="701"/>
      <c r="S386" s="701"/>
      <c r="T386" s="700">
        <v>30</v>
      </c>
      <c r="U386" s="700"/>
      <c r="V386" s="700"/>
      <c r="W386" s="703">
        <v>1.4</v>
      </c>
      <c r="X386" s="703"/>
      <c r="Y386" s="703"/>
      <c r="Z386" s="703"/>
      <c r="AA386" s="703"/>
      <c r="AB386" s="703"/>
      <c r="AC386" s="702" t="str">
        <f t="shared" si="41"/>
        <v>PHQ</v>
      </c>
      <c r="AD386" s="702"/>
      <c r="AE386" s="702"/>
      <c r="AF386" s="700"/>
      <c r="AG386" s="699"/>
      <c r="AH386" s="700"/>
      <c r="AI386" s="700"/>
      <c r="AJ386" s="702"/>
      <c r="AK386" s="702"/>
      <c r="AL386" s="702"/>
      <c r="AM386" s="702" t="s">
        <v>126</v>
      </c>
      <c r="AN386" s="704">
        <v>5.5</v>
      </c>
      <c r="AO386" s="703"/>
      <c r="AP386" s="703"/>
      <c r="AQ386" s="703"/>
      <c r="AR386" s="703"/>
      <c r="AS386" s="703"/>
      <c r="AT386" s="703">
        <f>+ab($T$386,$T$384,$T$388,$G$385,$G$387,-1*$F$386,1200)</f>
        <v>6.3645770522825904</v>
      </c>
      <c r="AU386" s="705"/>
      <c r="AV386" s="705"/>
      <c r="AW386" s="702" t="str">
        <f>IF(C386&gt;0,VLOOKUP(C386,Foundation_Calc!$A$2:$C$13,3,1),
IF(J386&gt;0,VLOOKUP(J386,Foundation_Calc!$A$2:$C$13,3,1),""))</f>
        <v>Multi Soil</v>
      </c>
      <c r="AX386" s="702" t="str">
        <f>IF(C386&gt;0,VLOOKUP(C386,Foundation_Calc!$E$2:$G$33,3,1),
IF(J386&gt;0,VLOOKUP(J386,Foundation_Calc!$E$2:$G$33,3,1),""))</f>
        <v>PT</v>
      </c>
      <c r="AY386" s="704">
        <f>IF(L386="","",
IF(AX386="PT",VLOOKUP(L386,Foundation_Calc!$K$79:$R$113,VLOOKUP(AW386,Foundation_Calc!$I$2:$J$8,2,FALSE),0),
IF(AX386="K",VLOOKUP(L386,Foundation_Calc!$K$117:$R$151,VLOOKUP(AW386,Foundation_Calc!$I$2:$J$8,2,FALSE),0),"")))</f>
        <v>3.5</v>
      </c>
      <c r="AZ386" s="704" t="str">
        <f>IF(K386="","",
IF(AX386="PT",VLOOKUP(K386,Foundation_Calc!$K$79:$R$113,VLOOKUP(AW386,Foundation_Calc!$I$2:$J$8,2,FALSE),0),
IF(AX386="K",VLOOKUP(K386,Foundation_Calc!$K$117:$R$151,VLOOKUP(AW386,Foundation_Calc!$I$2:$J$8,2,FALSE),0),"")))</f>
        <v/>
      </c>
      <c r="BA386" s="495" t="str">
        <f t="shared" si="42"/>
        <v>ü</v>
      </c>
      <c r="BB386" s="495" t="str">
        <f t="shared" si="43"/>
        <v/>
      </c>
      <c r="BC386" s="495" t="str">
        <f t="shared" si="44"/>
        <v/>
      </c>
      <c r="BD386" s="513" t="str">
        <f>IF(AND(L386="",H386=""),"",
IF(H386="",Pole_Calc!A$9,
IF(H386="MP",Pole_Calc!A$10,
IF(H386="AnMP",Pole_Calc!A$11,
IF(H386="A",Pole_Calc!A$12,
IF(H386="S/A",Pole_Calc!A$13,
IF(H386="A/S",Pole_Calc!A$14,"Poner a mano")))))))</f>
        <v>App.7-V11I-P9.5.1.3</v>
      </c>
      <c r="BE386" s="429" t="s">
        <v>118</v>
      </c>
      <c r="BF386" s="289"/>
      <c r="BG386" s="289"/>
      <c r="BH386" s="290"/>
      <c r="BI386" s="289"/>
    </row>
    <row r="387" spans="1:61" ht="16.149999999999999" customHeight="1">
      <c r="A387" s="696"/>
      <c r="B387" s="697"/>
      <c r="C387" s="698"/>
      <c r="D387" s="699"/>
      <c r="E387" s="700"/>
      <c r="F387" s="700"/>
      <c r="G387" s="701">
        <v>43</v>
      </c>
      <c r="H387" s="702"/>
      <c r="I387" s="700">
        <f>SUM(G371:G387)</f>
        <v>426</v>
      </c>
      <c r="J387" s="698"/>
      <c r="K387" s="702"/>
      <c r="L387" s="702"/>
      <c r="M387" s="702" t="str">
        <f>IF(L387="","",
IF(AX387="PT",VLOOKUP(L387,Foundation_Calc!$V$79:$X$113,VLOOKUP(AX387,Foundation_Calc!$I$10:$J$13,2,FALSE),0),
IF(AX387="K",VLOOKUP(L387,Foundation_Calc!$V$117:$X$151,VLOOKUP(AX387,Foundation_Calc!$I$10:$J$13,2,FALSE),0),"")))</f>
        <v/>
      </c>
      <c r="N387" s="702"/>
      <c r="O387" s="702"/>
      <c r="P387" s="702"/>
      <c r="Q387" s="700"/>
      <c r="R387" s="701"/>
      <c r="S387" s="701"/>
      <c r="T387" s="700"/>
      <c r="U387" s="700"/>
      <c r="V387" s="700"/>
      <c r="W387" s="703"/>
      <c r="X387" s="703"/>
      <c r="Y387" s="703"/>
      <c r="Z387" s="703"/>
      <c r="AA387" s="703"/>
      <c r="AB387" s="703"/>
      <c r="AC387" s="702" t="str">
        <f t="shared" ref="AC387:AC450" si="45">IF(OR(AT387&gt;8,AT387&lt;-8),"PH",
IF(OR(AT387&gt;5,AT387&lt;-5),"PHQ",
IF(OR(AT387&gt;1,AT387&lt;-1),
"PHC","")))</f>
        <v/>
      </c>
      <c r="AD387" s="702"/>
      <c r="AE387" s="702"/>
      <c r="AF387" s="700"/>
      <c r="AG387" s="699"/>
      <c r="AH387" s="700"/>
      <c r="AI387" s="700"/>
      <c r="AJ387" s="702"/>
      <c r="AK387" s="702"/>
      <c r="AL387" s="702"/>
      <c r="AM387" s="702"/>
      <c r="AN387" s="704"/>
      <c r="AO387" s="703"/>
      <c r="AP387" s="703"/>
      <c r="AQ387" s="703">
        <f>+FL_1($T$388,$T$386,$G$387,1200,9.28,-1*$F$388)</f>
        <v>0.3</v>
      </c>
      <c r="AR387" s="703"/>
      <c r="AS387" s="703"/>
      <c r="AT387" s="703"/>
      <c r="AU387" s="705"/>
      <c r="AV387" s="705"/>
      <c r="AW387" s="702" t="str">
        <f>IF(C387&gt;0,VLOOKUP(C387,Foundation_Calc!$A$2:$C$13,3,1),
IF(J387&gt;0,VLOOKUP(J387,Foundation_Calc!$A$2:$C$13,3,1),""))</f>
        <v/>
      </c>
      <c r="AX387" s="702" t="str">
        <f>IF(C387&gt;0,VLOOKUP(C387,Foundation_Calc!$E$2:$G$33,3,1),
IF(J387&gt;0,VLOOKUP(J387,Foundation_Calc!$E$2:$G$33,3,1),""))</f>
        <v/>
      </c>
      <c r="AY387" s="704" t="str">
        <f>IF(L387="","",
IF(AX387="PT",VLOOKUP(L387,Foundation_Calc!$K$79:$R$113,VLOOKUP(AW387,Foundation_Calc!$I$2:$J$8,2,FALSE),0),
IF(AX387="K",VLOOKUP(L387,Foundation_Calc!$K$117:$R$151,VLOOKUP(AW387,Foundation_Calc!$I$2:$J$8,2,FALSE),0),"")))</f>
        <v/>
      </c>
      <c r="AZ387" s="704" t="str">
        <f>IF(K387="","",
IF(AX387="PT",VLOOKUP(K387,Foundation_Calc!$K$79:$R$113,VLOOKUP(AW387,Foundation_Calc!$I$2:$J$8,2,FALSE),0),
IF(AX387="K",VLOOKUP(K387,Foundation_Calc!$K$117:$R$151,VLOOKUP(AW387,Foundation_Calc!$I$2:$J$8,2,FALSE),0),"")))</f>
        <v/>
      </c>
      <c r="BA387" s="495" t="str">
        <f t="shared" si="42"/>
        <v/>
      </c>
      <c r="BB387" s="495" t="str">
        <f t="shared" si="43"/>
        <v/>
      </c>
      <c r="BC387" s="495" t="str">
        <f t="shared" si="44"/>
        <v/>
      </c>
      <c r="BD387" s="513" t="str">
        <f>IF(AND(L387="",H387=""),"",
IF(H387="",Pole_Calc!A$9,
IF(H387="MP",Pole_Calc!A$10,
IF(H387="AnMP",Pole_Calc!A$11,
IF(H387="A",Pole_Calc!A$12,
IF(H387="S/A",Pole_Calc!A$13,
IF(H387="A/S",Pole_Calc!A$14,"Poner a mano")))))))</f>
        <v/>
      </c>
      <c r="BE387" s="429" t="s">
        <v>118</v>
      </c>
      <c r="BF387" s="290"/>
      <c r="BG387" s="290"/>
      <c r="BH387" s="290"/>
      <c r="BI387" s="290"/>
    </row>
    <row r="388" spans="1:61" ht="16.149999999999999" customHeight="1">
      <c r="A388" s="696"/>
      <c r="B388" s="697" t="s">
        <v>395</v>
      </c>
      <c r="C388" s="698">
        <f>+$C$386+$G$387</f>
        <v>39468.359999999986</v>
      </c>
      <c r="D388" s="699"/>
      <c r="E388" s="700"/>
      <c r="F388" s="700">
        <f>-(342^2)/(C388-39351.45)</f>
        <v>-1000.4618937645288</v>
      </c>
      <c r="G388" s="701"/>
      <c r="H388" s="702" t="s">
        <v>171</v>
      </c>
      <c r="I388" s="700"/>
      <c r="J388" s="698"/>
      <c r="K388" s="702"/>
      <c r="L388" s="702" t="s">
        <v>158</v>
      </c>
      <c r="M388" s="702" t="s">
        <v>396</v>
      </c>
      <c r="N388" s="702" t="s">
        <v>134</v>
      </c>
      <c r="O388" s="702"/>
      <c r="P388" s="702"/>
      <c r="Q388" s="700"/>
      <c r="R388" s="701"/>
      <c r="S388" s="701"/>
      <c r="T388" s="700">
        <v>30</v>
      </c>
      <c r="U388" s="700"/>
      <c r="V388" s="700"/>
      <c r="W388" s="703">
        <v>1.4</v>
      </c>
      <c r="X388" s="703"/>
      <c r="Y388" s="703"/>
      <c r="Z388" s="703"/>
      <c r="AA388" s="703"/>
      <c r="AB388" s="703"/>
      <c r="AC388" s="702" t="str">
        <f t="shared" si="45"/>
        <v>PHC</v>
      </c>
      <c r="AD388" s="702"/>
      <c r="AE388" s="702"/>
      <c r="AF388" s="700"/>
      <c r="AG388" s="699"/>
      <c r="AH388" s="700"/>
      <c r="AI388" s="700"/>
      <c r="AJ388" s="702"/>
      <c r="AK388" s="702"/>
      <c r="AL388" s="702"/>
      <c r="AM388" s="702" t="s">
        <v>126</v>
      </c>
      <c r="AN388" s="704">
        <v>5.5</v>
      </c>
      <c r="AO388" s="703"/>
      <c r="AP388" s="703"/>
      <c r="AQ388" s="703"/>
      <c r="AR388" s="703"/>
      <c r="AS388" s="703"/>
      <c r="AT388" s="703">
        <f>+ab($T$388,$T$386,$T$390,$G$387,$G$389,-1*$F$388,1200)</f>
        <v>4.4556775412790373</v>
      </c>
      <c r="AU388" s="705"/>
      <c r="AV388" s="705"/>
      <c r="AW388" s="702" t="str">
        <f>IF(C388&gt;0,VLOOKUP(C388,Foundation_Calc!$A$2:$C$13,3,1),
IF(J388&gt;0,VLOOKUP(J388,Foundation_Calc!$A$2:$C$13,3,1),""))</f>
        <v>Multi Soil</v>
      </c>
      <c r="AX388" s="702" t="str">
        <f>IF(C388&gt;0,VLOOKUP(C388,Foundation_Calc!$E$2:$G$33,3,1),
IF(J388&gt;0,VLOOKUP(J388,Foundation_Calc!$E$2:$G$33,3,1),""))</f>
        <v>PT</v>
      </c>
      <c r="AY388" s="704">
        <f>IF(L388="","",
IF(AX388="PT",VLOOKUP(L388,Foundation_Calc!$K$79:$R$113,VLOOKUP(AW388,Foundation_Calc!$I$2:$J$8,2,FALSE),0),
IF(AX388="K",VLOOKUP(L388,Foundation_Calc!$K$117:$R$151,VLOOKUP(AW388,Foundation_Calc!$I$2:$J$8,2,FALSE),0),"")))</f>
        <v>3.5</v>
      </c>
      <c r="AZ388" s="704" t="str">
        <f>IF(K388="","",
IF(AX388="PT",VLOOKUP(K388,Foundation_Calc!$K$79:$R$113,VLOOKUP(AW388,Foundation_Calc!$I$2:$J$8,2,FALSE),0),
IF(AX388="K",VLOOKUP(K388,Foundation_Calc!$K$117:$R$151,VLOOKUP(AW388,Foundation_Calc!$I$2:$J$8,2,FALSE),0),"")))</f>
        <v/>
      </c>
      <c r="BA388" s="495" t="str">
        <f t="shared" si="42"/>
        <v>ü</v>
      </c>
      <c r="BB388" s="495" t="str">
        <f t="shared" si="43"/>
        <v/>
      </c>
      <c r="BC388" s="495" t="str">
        <f t="shared" si="44"/>
        <v/>
      </c>
      <c r="BD388" s="513" t="str">
        <f>IF(AND(L388="",H388=""),"",
IF(H388="",Pole_Calc!A$9,
IF(H388="MP",Pole_Calc!A$10,
IF(H388="AnMP",Pole_Calc!A$11,
IF(H388="A",Pole_Calc!A$12,
IF(H388="S/A",Pole_Calc!A$13,
IF(H388="A/S",Pole_Calc!A$14,"Poner a mano")))))))</f>
        <v>App.7-V11I-P9.5.1.2</v>
      </c>
      <c r="BE388" s="429" t="s">
        <v>118</v>
      </c>
      <c r="BF388" s="289"/>
      <c r="BG388" s="289"/>
      <c r="BH388" s="290"/>
      <c r="BI388" s="289"/>
    </row>
    <row r="389" spans="1:61" ht="16.149999999999999" customHeight="1">
      <c r="A389" s="696"/>
      <c r="B389" s="697"/>
      <c r="C389" s="698"/>
      <c r="D389" s="699"/>
      <c r="E389" s="700"/>
      <c r="F389" s="700"/>
      <c r="G389" s="701">
        <v>43</v>
      </c>
      <c r="H389" s="702"/>
      <c r="I389" s="700">
        <f>SUM(G389:G409)</f>
        <v>498</v>
      </c>
      <c r="J389" s="698"/>
      <c r="K389" s="702"/>
      <c r="L389" s="702"/>
      <c r="M389" s="702" t="str">
        <f>IF(L389="","",
IF(AX389="PT",VLOOKUP(L389,Foundation_Calc!$V$79:$X$113,VLOOKUP(AX389,Foundation_Calc!$I$10:$J$13,2,FALSE),0),
IF(AX389="K",VLOOKUP(L389,Foundation_Calc!$V$117:$X$151,VLOOKUP(AX389,Foundation_Calc!$I$10:$J$13,2,FALSE),0),"")))</f>
        <v/>
      </c>
      <c r="N389" s="702"/>
      <c r="O389" s="702"/>
      <c r="P389" s="702"/>
      <c r="Q389" s="700"/>
      <c r="R389" s="701"/>
      <c r="S389" s="701"/>
      <c r="T389" s="700"/>
      <c r="U389" s="700"/>
      <c r="V389" s="700"/>
      <c r="W389" s="703"/>
      <c r="X389" s="703"/>
      <c r="Y389" s="703"/>
      <c r="Z389" s="703"/>
      <c r="AA389" s="703"/>
      <c r="AB389" s="703"/>
      <c r="AC389" s="702" t="str">
        <f t="shared" si="45"/>
        <v/>
      </c>
      <c r="AD389" s="702"/>
      <c r="AE389" s="702"/>
      <c r="AF389" s="700"/>
      <c r="AG389" s="699"/>
      <c r="AH389" s="700"/>
      <c r="AI389" s="700"/>
      <c r="AJ389" s="702"/>
      <c r="AK389" s="702"/>
      <c r="AL389" s="702"/>
      <c r="AM389" s="702"/>
      <c r="AN389" s="704"/>
      <c r="AO389" s="703"/>
      <c r="AP389" s="703"/>
      <c r="AQ389" s="703">
        <f>+FL_1($T$390,$T$388,$G$389,1200,9.28,-1*$F$390)</f>
        <v>0.3</v>
      </c>
      <c r="AR389" s="703"/>
      <c r="AS389" s="703"/>
      <c r="AT389" s="703"/>
      <c r="AU389" s="705"/>
      <c r="AV389" s="705"/>
      <c r="AW389" s="702" t="str">
        <f>IF(C389&gt;0,VLOOKUP(C389,Foundation_Calc!$A$2:$C$13,3,1),
IF(J389&gt;0,VLOOKUP(J389,Foundation_Calc!$A$2:$C$13,3,1),""))</f>
        <v/>
      </c>
      <c r="AX389" s="702" t="str">
        <f>IF(C389&gt;0,VLOOKUP(C389,Foundation_Calc!$E$2:$G$33,3,1),
IF(J389&gt;0,VLOOKUP(J389,Foundation_Calc!$E$2:$G$33,3,1),""))</f>
        <v/>
      </c>
      <c r="AY389" s="704" t="str">
        <f>IF(L389="","",
IF(AX389="PT",VLOOKUP(L389,Foundation_Calc!$K$79:$R$113,VLOOKUP(AW389,Foundation_Calc!$I$2:$J$8,2,FALSE),0),
IF(AX389="K",VLOOKUP(L389,Foundation_Calc!$K$117:$R$151,VLOOKUP(AW389,Foundation_Calc!$I$2:$J$8,2,FALSE),0),"")))</f>
        <v/>
      </c>
      <c r="AZ389" s="704" t="str">
        <f>IF(K389="","",
IF(AX389="PT",VLOOKUP(K389,Foundation_Calc!$K$79:$R$113,VLOOKUP(AW389,Foundation_Calc!$I$2:$J$8,2,FALSE),0),
IF(AX389="K",VLOOKUP(K389,Foundation_Calc!$K$117:$R$151,VLOOKUP(AW389,Foundation_Calc!$I$2:$J$8,2,FALSE),0),"")))</f>
        <v/>
      </c>
      <c r="BA389" s="495" t="str">
        <f t="shared" si="42"/>
        <v/>
      </c>
      <c r="BB389" s="495" t="str">
        <f t="shared" si="43"/>
        <v/>
      </c>
      <c r="BC389" s="495" t="str">
        <f t="shared" si="44"/>
        <v/>
      </c>
      <c r="BD389" s="513" t="str">
        <f>IF(AND(L389="",H389=""),"",
IF(H389="",Pole_Calc!A$9,
IF(H389="MP",Pole_Calc!A$10,
IF(H389="AnMP",Pole_Calc!A$11,
IF(H389="A",Pole_Calc!A$12,
IF(H389="S/A",Pole_Calc!A$13,
IF(H389="A/S",Pole_Calc!A$14,"Poner a mano")))))))</f>
        <v/>
      </c>
      <c r="BE389" s="429" t="s">
        <v>118</v>
      </c>
      <c r="BF389" s="290"/>
      <c r="BG389" s="290"/>
      <c r="BH389" s="290"/>
      <c r="BI389" s="290"/>
    </row>
    <row r="390" spans="1:61" ht="16.149999999999999" customHeight="1">
      <c r="A390" s="696"/>
      <c r="B390" s="720" t="s">
        <v>397</v>
      </c>
      <c r="C390" s="698">
        <f>+$C$388+$G$389</f>
        <v>39511.359999999986</v>
      </c>
      <c r="D390" s="699"/>
      <c r="E390" s="700"/>
      <c r="F390" s="700">
        <f>IF(C390&gt;0,VLOOKUP(C390,'ALIGNMENT TRACK'!$A$1:$K$81,9,1))</f>
        <v>-900</v>
      </c>
      <c r="G390" s="701"/>
      <c r="H390" s="702" t="s">
        <v>168</v>
      </c>
      <c r="I390" s="700"/>
      <c r="J390" s="698"/>
      <c r="K390" s="702"/>
      <c r="L390" s="702" t="s">
        <v>398</v>
      </c>
      <c r="M390" s="702" t="s">
        <v>399</v>
      </c>
      <c r="N390" s="702" t="s">
        <v>134</v>
      </c>
      <c r="O390" s="702"/>
      <c r="P390" s="702"/>
      <c r="Q390" s="700"/>
      <c r="R390" s="701"/>
      <c r="S390" s="701"/>
      <c r="T390" s="700">
        <v>30</v>
      </c>
      <c r="U390" s="700"/>
      <c r="V390" s="700"/>
      <c r="W390" s="703">
        <v>1.4</v>
      </c>
      <c r="X390" s="703"/>
      <c r="Y390" s="703"/>
      <c r="Z390" s="703"/>
      <c r="AA390" s="703"/>
      <c r="AB390" s="703"/>
      <c r="AC390" s="702" t="str">
        <f t="shared" si="45"/>
        <v>PHC</v>
      </c>
      <c r="AD390" s="702"/>
      <c r="AE390" s="702"/>
      <c r="AF390" s="700"/>
      <c r="AG390" s="699"/>
      <c r="AH390" s="700"/>
      <c r="AI390" s="700"/>
      <c r="AJ390" s="702"/>
      <c r="AK390" s="702"/>
      <c r="AL390" s="702"/>
      <c r="AM390" s="702" t="s">
        <v>126</v>
      </c>
      <c r="AN390" s="704">
        <v>5.5</v>
      </c>
      <c r="AO390" s="703"/>
      <c r="AP390" s="703"/>
      <c r="AQ390" s="703"/>
      <c r="AR390" s="703"/>
      <c r="AS390" s="703"/>
      <c r="AT390" s="703">
        <f>+ab($T$390,$T$388,$T$392,$G$389,$G$391,-1*$F$390,1200)</f>
        <v>4.0097988670160589</v>
      </c>
      <c r="AU390" s="705"/>
      <c r="AV390" s="705"/>
      <c r="AW390" s="702" t="str">
        <f>IF(C390&gt;0,VLOOKUP(C390,Foundation_Calc!$A$2:$C$13,3,1),
IF(J390&gt;0,VLOOKUP(J390,Foundation_Calc!$A$2:$C$13,3,1),""))</f>
        <v>Multi Soil</v>
      </c>
      <c r="AX390" s="702" t="str">
        <f>IF(C390&gt;0,VLOOKUP(C390,Foundation_Calc!$E$2:$G$33,3,1),
IF(J390&gt;0,VLOOKUP(J390,Foundation_Calc!$E$2:$G$33,3,1),""))</f>
        <v>PT</v>
      </c>
      <c r="AY390" s="704">
        <f>IF(L390="","",
IF(AX390="PT",VLOOKUP(L390,Foundation_Calc!$K$79:$R$113,VLOOKUP(AW390,Foundation_Calc!$I$2:$J$8,2,FALSE),0),
IF(AX390="K",VLOOKUP(L390,Foundation_Calc!$K$117:$R$151,VLOOKUP(AW390,Foundation_Calc!$I$2:$J$8,2,FALSE),0),"")))</f>
        <v>3.5</v>
      </c>
      <c r="AZ390" s="704" t="str">
        <f>IF(K390="","",
IF(AX390="PT",VLOOKUP(K390,Foundation_Calc!$K$79:$R$113,VLOOKUP(AW390,Foundation_Calc!$I$2:$J$8,2,FALSE),0),
IF(AX390="K",VLOOKUP(K390,Foundation_Calc!$K$117:$R$151,VLOOKUP(AW390,Foundation_Calc!$I$2:$J$8,2,FALSE),0),"")))</f>
        <v/>
      </c>
      <c r="BA390" s="495" t="str">
        <f t="shared" si="42"/>
        <v>ü</v>
      </c>
      <c r="BB390" s="495" t="str">
        <f t="shared" si="43"/>
        <v/>
      </c>
      <c r="BC390" s="495" t="str">
        <f t="shared" si="44"/>
        <v/>
      </c>
      <c r="BD390" s="513" t="str">
        <f>IF(AND(L390="",H390=""),"",
IF(H390="",Pole_Calc!A$9,
IF(H390="MP",Pole_Calc!A$10,
IF(H390="AnMP",Pole_Calc!A$11,
IF(H390="A",Pole_Calc!A$12,
IF(H390="S/A",Pole_Calc!A$13,
IF(H390="A/S",Pole_Calc!A$14,"Poner a mano")))))))</f>
        <v>App.7-V11I-P9.5.1.3</v>
      </c>
      <c r="BE390" s="429" t="s">
        <v>118</v>
      </c>
      <c r="BF390" s="289"/>
      <c r="BG390" s="289"/>
      <c r="BH390" s="290"/>
      <c r="BI390" s="289"/>
    </row>
    <row r="391" spans="1:61" ht="16.149999999999999" customHeight="1">
      <c r="A391" s="708"/>
      <c r="B391" s="697"/>
      <c r="C391" s="698"/>
      <c r="D391" s="699"/>
      <c r="E391" s="700"/>
      <c r="F391" s="700"/>
      <c r="G391" s="701">
        <v>43</v>
      </c>
      <c r="H391" s="702"/>
      <c r="I391" s="700"/>
      <c r="J391" s="698">
        <f>C390+7.5</f>
        <v>39518.859999999986</v>
      </c>
      <c r="K391" s="702" t="s">
        <v>166</v>
      </c>
      <c r="L391" s="702"/>
      <c r="M391" s="702" t="str">
        <f>IF(L391="","",
IF(AX391="PT",VLOOKUP(L391,Foundation_Calc!$V$79:$X$113,VLOOKUP(AX391,Foundation_Calc!$I$10:$J$13,2,FALSE),0),
IF(AX391="K",VLOOKUP(L391,Foundation_Calc!$V$117:$X$151,VLOOKUP(AX391,Foundation_Calc!$I$10:$J$13,2,FALSE),0),"")))</f>
        <v/>
      </c>
      <c r="N391" s="702"/>
      <c r="O391" s="702"/>
      <c r="P391" s="702"/>
      <c r="Q391" s="700"/>
      <c r="R391" s="701"/>
      <c r="S391" s="701"/>
      <c r="T391" s="700"/>
      <c r="U391" s="700"/>
      <c r="V391" s="700"/>
      <c r="W391" s="703"/>
      <c r="X391" s="703"/>
      <c r="Y391" s="703"/>
      <c r="Z391" s="703"/>
      <c r="AA391" s="703"/>
      <c r="AB391" s="703"/>
      <c r="AC391" s="702" t="str">
        <f t="shared" si="45"/>
        <v/>
      </c>
      <c r="AD391" s="702"/>
      <c r="AE391" s="702"/>
      <c r="AF391" s="700"/>
      <c r="AG391" s="699"/>
      <c r="AH391" s="700"/>
      <c r="AI391" s="700"/>
      <c r="AJ391" s="702"/>
      <c r="AK391" s="702"/>
      <c r="AL391" s="702"/>
      <c r="AM391" s="702"/>
      <c r="AN391" s="704"/>
      <c r="AO391" s="703"/>
      <c r="AP391" s="703"/>
      <c r="AQ391" s="703">
        <f>+FL_1($T$392,$T$390,$G$391,1200,9.28,-1*$F$392)</f>
        <v>0.3</v>
      </c>
      <c r="AR391" s="703"/>
      <c r="AS391" s="703"/>
      <c r="AT391" s="703"/>
      <c r="AU391" s="705"/>
      <c r="AV391" s="705"/>
      <c r="AW391" s="702" t="str">
        <f>IF(C391&gt;0,VLOOKUP(C391,Foundation_Calc!$A$2:$C$13,3,1),
IF(J391&gt;0,VLOOKUP(J391,Foundation_Calc!$A$2:$C$13,3,1),""))</f>
        <v>Multi Soil</v>
      </c>
      <c r="AX391" s="702" t="str">
        <f>IF(C391&gt;0,VLOOKUP(C391,Foundation_Calc!$E$2:$G$33,3,1),
IF(J391&gt;0,VLOOKUP(J391,Foundation_Calc!$E$2:$G$33,3,1),""))</f>
        <v>PT</v>
      </c>
      <c r="AY391" s="704" t="str">
        <f>IF(L391="","",
IF(AX391="PT",VLOOKUP(L391,Foundation_Calc!$K$79:$R$113,VLOOKUP(AW391,Foundation_Calc!$I$2:$J$8,2,FALSE),0),
IF(AX391="K",VLOOKUP(L391,Foundation_Calc!$K$117:$R$151,VLOOKUP(AW391,Foundation_Calc!$I$2:$J$8,2,FALSE),0),"")))</f>
        <v/>
      </c>
      <c r="AZ391" s="704">
        <f>IF(K391="","",
IF(AX391="PT",VLOOKUP(K391,Foundation_Calc!$K$79:$R$113,VLOOKUP(AW391,Foundation_Calc!$I$2:$J$8,2,FALSE),0),
IF(AX391="K",VLOOKUP(K391,Foundation_Calc!$K$117:$R$151,VLOOKUP(AW391,Foundation_Calc!$I$2:$J$8,2,FALSE),0),"")))</f>
        <v>2.8</v>
      </c>
      <c r="BA391" s="495" t="str">
        <f t="shared" si="42"/>
        <v/>
      </c>
      <c r="BB391" s="495" t="str">
        <f t="shared" si="43"/>
        <v>ü</v>
      </c>
      <c r="BC391" s="495" t="str">
        <f t="shared" si="44"/>
        <v/>
      </c>
      <c r="BD391" s="513" t="str">
        <f>IF(AND(L391="",H391=""),"",
IF(H391="",Pole_Calc!A$9,
IF(H391="MP",Pole_Calc!A$10,
IF(H391="AnMP",Pole_Calc!A$11,
IF(H391="A",Pole_Calc!A$12,
IF(H391="S/A",Pole_Calc!A$13,
IF(H391="A/S",Pole_Calc!A$14,"Poner a mano")))))))</f>
        <v/>
      </c>
      <c r="BE391" s="429" t="s">
        <v>118</v>
      </c>
      <c r="BF391" s="290"/>
      <c r="BG391" s="290"/>
      <c r="BH391" s="290"/>
      <c r="BI391" s="290"/>
    </row>
    <row r="392" spans="1:61" ht="16.149999999999999" customHeight="1">
      <c r="A392" s="696"/>
      <c r="B392" s="720" t="s">
        <v>400</v>
      </c>
      <c r="C392" s="698">
        <f>+$C$390+$G$391</f>
        <v>39554.359999999986</v>
      </c>
      <c r="D392" s="699"/>
      <c r="E392" s="700"/>
      <c r="F392" s="700">
        <f>IF(C392&gt;0,VLOOKUP(C392,'ALIGNMENT TRACK'!$A$1:$K$81,9,1))</f>
        <v>-900</v>
      </c>
      <c r="G392" s="701"/>
      <c r="H392" s="702"/>
      <c r="I392" s="700"/>
      <c r="J392" s="698"/>
      <c r="K392" s="702"/>
      <c r="L392" s="702" t="s">
        <v>158</v>
      </c>
      <c r="M392" s="702" t="s">
        <v>396</v>
      </c>
      <c r="N392" s="702" t="s">
        <v>134</v>
      </c>
      <c r="O392" s="702"/>
      <c r="P392" s="702"/>
      <c r="Q392" s="700"/>
      <c r="R392" s="701"/>
      <c r="S392" s="701"/>
      <c r="T392" s="700">
        <v>30</v>
      </c>
      <c r="U392" s="700"/>
      <c r="V392" s="700"/>
      <c r="W392" s="703">
        <v>1.4</v>
      </c>
      <c r="X392" s="703"/>
      <c r="Y392" s="703"/>
      <c r="Z392" s="703"/>
      <c r="AA392" s="703"/>
      <c r="AB392" s="703"/>
      <c r="AC392" s="702" t="str">
        <f t="shared" si="45"/>
        <v>PHC</v>
      </c>
      <c r="AD392" s="702"/>
      <c r="AE392" s="702"/>
      <c r="AF392" s="700"/>
      <c r="AG392" s="699"/>
      <c r="AH392" s="700"/>
      <c r="AI392" s="700"/>
      <c r="AJ392" s="702"/>
      <c r="AK392" s="702"/>
      <c r="AL392" s="702"/>
      <c r="AM392" s="702" t="s">
        <v>126</v>
      </c>
      <c r="AN392" s="704">
        <v>5.5</v>
      </c>
      <c r="AO392" s="703"/>
      <c r="AP392" s="703"/>
      <c r="AQ392" s="703"/>
      <c r="AR392" s="703"/>
      <c r="AS392" s="703"/>
      <c r="AT392" s="703">
        <f>+ab($T$392,$T$390,$T$394,$G$391,$G$393,-1*$F$392,1200)</f>
        <v>4.0097988670160589</v>
      </c>
      <c r="AU392" s="705"/>
      <c r="AV392" s="705"/>
      <c r="AW392" s="702" t="str">
        <f>IF(C392&gt;0,VLOOKUP(C392,Foundation_Calc!$A$2:$C$13,3,1),
IF(J392&gt;0,VLOOKUP(J392,Foundation_Calc!$A$2:$C$13,3,1),""))</f>
        <v>Multi Soil</v>
      </c>
      <c r="AX392" s="702" t="str">
        <f>IF(C392&gt;0,VLOOKUP(C392,Foundation_Calc!$E$2:$G$33,3,1),
IF(J392&gt;0,VLOOKUP(J392,Foundation_Calc!$E$2:$G$33,3,1),""))</f>
        <v>PT</v>
      </c>
      <c r="AY392" s="704">
        <f>IF(L392="","",
IF(AX392="PT",VLOOKUP(L392,Foundation_Calc!$K$79:$R$113,VLOOKUP(AW392,Foundation_Calc!$I$2:$J$8,2,FALSE),0),
IF(AX392="K",VLOOKUP(L392,Foundation_Calc!$K$117:$R$151,VLOOKUP(AW392,Foundation_Calc!$I$2:$J$8,2,FALSE),0),"")))</f>
        <v>3.5</v>
      </c>
      <c r="AZ392" s="704" t="str">
        <f>IF(K392="","",
IF(AX392="PT",VLOOKUP(K392,Foundation_Calc!$K$79:$R$113,VLOOKUP(AW392,Foundation_Calc!$I$2:$J$8,2,FALSE),0),
IF(AX392="K",VLOOKUP(K392,Foundation_Calc!$K$117:$R$151,VLOOKUP(AW392,Foundation_Calc!$I$2:$J$8,2,FALSE),0),"")))</f>
        <v/>
      </c>
      <c r="BA392" s="496" t="str">
        <f t="shared" si="42"/>
        <v>ü</v>
      </c>
      <c r="BB392" s="496" t="str">
        <f t="shared" si="43"/>
        <v/>
      </c>
      <c r="BC392" s="496" t="str">
        <f t="shared" si="44"/>
        <v/>
      </c>
      <c r="BD392" s="513" t="str">
        <f>IF(AND(L392="",H392=""),"",
IF(H392="",Pole_Calc!A$9,
IF(H392="MP",Pole_Calc!A$10,
IF(H392="AnMP",Pole_Calc!A$11,
IF(H392="A",Pole_Calc!A$12,
IF(H392="S/A",Pole_Calc!A$13,
IF(H392="A/S",Pole_Calc!A$14,"Poner a mano")))))))</f>
        <v>App.7-V11I-P9.5.1.1</v>
      </c>
      <c r="BE392" s="429" t="s">
        <v>118</v>
      </c>
      <c r="BF392" s="289"/>
      <c r="BG392" s="289"/>
      <c r="BH392" s="290"/>
      <c r="BI392" s="289"/>
    </row>
    <row r="393" spans="1:61" ht="16.149999999999999" customHeight="1">
      <c r="A393" s="696"/>
      <c r="B393" s="697"/>
      <c r="C393" s="698"/>
      <c r="D393" s="699"/>
      <c r="E393" s="700"/>
      <c r="F393" s="700"/>
      <c r="G393" s="701">
        <v>43</v>
      </c>
      <c r="H393" s="702"/>
      <c r="I393" s="700"/>
      <c r="J393" s="698"/>
      <c r="K393" s="702"/>
      <c r="L393" s="702"/>
      <c r="M393" s="702" t="str">
        <f>IF(L393="","",
IF(AX393="PT",VLOOKUP(L393,Foundation_Calc!$V$79:$X$113,VLOOKUP(AX393,Foundation_Calc!$I$10:$J$13,2,FALSE),0),
IF(AX393="K",VLOOKUP(L393,Foundation_Calc!$V$117:$X$151,VLOOKUP(AX393,Foundation_Calc!$I$10:$J$13,2,FALSE),0),"")))</f>
        <v/>
      </c>
      <c r="N393" s="702"/>
      <c r="O393" s="702"/>
      <c r="P393" s="702"/>
      <c r="Q393" s="700"/>
      <c r="R393" s="701"/>
      <c r="S393" s="701"/>
      <c r="T393" s="700"/>
      <c r="U393" s="700"/>
      <c r="V393" s="700"/>
      <c r="W393" s="703"/>
      <c r="X393" s="703"/>
      <c r="Y393" s="703"/>
      <c r="Z393" s="703"/>
      <c r="AA393" s="703"/>
      <c r="AB393" s="703"/>
      <c r="AC393" s="702" t="str">
        <f t="shared" si="45"/>
        <v/>
      </c>
      <c r="AD393" s="702"/>
      <c r="AE393" s="702"/>
      <c r="AF393" s="700"/>
      <c r="AG393" s="699"/>
      <c r="AH393" s="700"/>
      <c r="AI393" s="700"/>
      <c r="AJ393" s="702"/>
      <c r="AK393" s="702"/>
      <c r="AL393" s="702"/>
      <c r="AM393" s="702"/>
      <c r="AN393" s="704"/>
      <c r="AO393" s="703"/>
      <c r="AP393" s="703"/>
      <c r="AQ393" s="703">
        <f>+FL_1($T$394,$T$392,$G$393,1200,9.28,-1*$F$394)</f>
        <v>0.3</v>
      </c>
      <c r="AR393" s="703"/>
      <c r="AS393" s="703"/>
      <c r="AT393" s="703"/>
      <c r="AU393" s="705"/>
      <c r="AV393" s="705"/>
      <c r="AW393" s="702" t="str">
        <f>IF(C393&gt;0,VLOOKUP(C393,Foundation_Calc!$A$2:$C$13,3,1),
IF(J393&gt;0,VLOOKUP(J393,Foundation_Calc!$A$2:$C$13,3,1),""))</f>
        <v/>
      </c>
      <c r="AX393" s="702" t="str">
        <f>IF(C393&gt;0,VLOOKUP(C393,Foundation_Calc!$E$2:$G$33,3,1),
IF(J393&gt;0,VLOOKUP(J393,Foundation_Calc!$E$2:$G$33,3,1),""))</f>
        <v/>
      </c>
      <c r="AY393" s="704" t="str">
        <f>IF(L393="","",
IF(AX393="PT",VLOOKUP(L393,Foundation_Calc!$K$79:$R$113,VLOOKUP(AW393,Foundation_Calc!$I$2:$J$8,2,FALSE),0),
IF(AX393="K",VLOOKUP(L393,Foundation_Calc!$K$117:$R$151,VLOOKUP(AW393,Foundation_Calc!$I$2:$J$8,2,FALSE),0),"")))</f>
        <v/>
      </c>
      <c r="AZ393" s="704" t="str">
        <f>IF(K393="","",
IF(AX393="PT",VLOOKUP(K393,Foundation_Calc!$K$79:$R$113,VLOOKUP(AW393,Foundation_Calc!$I$2:$J$8,2,FALSE),0),
IF(AX393="K",VLOOKUP(K393,Foundation_Calc!$K$117:$R$151,VLOOKUP(AW393,Foundation_Calc!$I$2:$J$8,2,FALSE),0),"")))</f>
        <v/>
      </c>
      <c r="BA393" s="495" t="str">
        <f t="shared" si="42"/>
        <v/>
      </c>
      <c r="BB393" s="495" t="str">
        <f t="shared" si="43"/>
        <v/>
      </c>
      <c r="BC393" s="495" t="str">
        <f t="shared" si="44"/>
        <v/>
      </c>
      <c r="BD393" s="513" t="str">
        <f>IF(AND(L393="",H393=""),"",
IF(H393="",Pole_Calc!A$9,
IF(H393="MP",Pole_Calc!A$10,
IF(H393="AnMP",Pole_Calc!A$11,
IF(H393="A",Pole_Calc!A$12,
IF(H393="S/A",Pole_Calc!A$13,
IF(H393="A/S",Pole_Calc!A$14,"Poner a mano")))))))</f>
        <v/>
      </c>
      <c r="BE393" s="429" t="s">
        <v>118</v>
      </c>
      <c r="BF393" s="290"/>
      <c r="BG393" s="290"/>
      <c r="BH393" s="290"/>
      <c r="BI393" s="290"/>
    </row>
    <row r="394" spans="1:61" ht="16.149999999999999" customHeight="1">
      <c r="A394" s="696"/>
      <c r="B394" s="720" t="s">
        <v>401</v>
      </c>
      <c r="C394" s="698">
        <f>+$C$392+$G$393</f>
        <v>39597.359999999986</v>
      </c>
      <c r="D394" s="699"/>
      <c r="E394" s="700"/>
      <c r="F394" s="700">
        <f>IF(C394&gt;0,VLOOKUP(C394,'ALIGNMENT TRACK'!$A$1:$K$81,9,1))</f>
        <v>-900</v>
      </c>
      <c r="G394" s="701"/>
      <c r="H394" s="702"/>
      <c r="I394" s="700"/>
      <c r="J394" s="698"/>
      <c r="K394" s="702"/>
      <c r="L394" s="702" t="s">
        <v>158</v>
      </c>
      <c r="M394" s="702" t="s">
        <v>396</v>
      </c>
      <c r="N394" s="702" t="s">
        <v>134</v>
      </c>
      <c r="O394" s="702"/>
      <c r="P394" s="702"/>
      <c r="Q394" s="700"/>
      <c r="R394" s="701"/>
      <c r="S394" s="701"/>
      <c r="T394" s="700">
        <v>30</v>
      </c>
      <c r="U394" s="700"/>
      <c r="V394" s="700"/>
      <c r="W394" s="703">
        <v>1.4</v>
      </c>
      <c r="X394" s="703"/>
      <c r="Y394" s="703"/>
      <c r="Z394" s="703"/>
      <c r="AA394" s="703"/>
      <c r="AB394" s="703"/>
      <c r="AC394" s="702" t="str">
        <f t="shared" si="45"/>
        <v>PHC</v>
      </c>
      <c r="AD394" s="702"/>
      <c r="AE394" s="702"/>
      <c r="AF394" s="700"/>
      <c r="AG394" s="699"/>
      <c r="AH394" s="700"/>
      <c r="AI394" s="700"/>
      <c r="AJ394" s="702"/>
      <c r="AK394" s="702"/>
      <c r="AL394" s="702"/>
      <c r="AM394" s="702" t="s">
        <v>126</v>
      </c>
      <c r="AN394" s="704">
        <v>5.5</v>
      </c>
      <c r="AO394" s="703"/>
      <c r="AP394" s="703"/>
      <c r="AQ394" s="703"/>
      <c r="AR394" s="703"/>
      <c r="AS394" s="703"/>
      <c r="AT394" s="703">
        <f>+ab($T$394,$T$392,$T$396,$G$393,$G$395,-1*$F$394,1200)</f>
        <v>3.9189543277395984</v>
      </c>
      <c r="AU394" s="705"/>
      <c r="AV394" s="705"/>
      <c r="AW394" s="702" t="str">
        <f>IF(C394&gt;0,VLOOKUP(C394,Foundation_Calc!$A$2:$C$13,3,1),
IF(J394&gt;0,VLOOKUP(J394,Foundation_Calc!$A$2:$C$13,3,1),""))</f>
        <v>Multi Soil</v>
      </c>
      <c r="AX394" s="702" t="str">
        <f>IF(C394&gt;0,VLOOKUP(C394,Foundation_Calc!$E$2:$G$33,3,1),
IF(J394&gt;0,VLOOKUP(J394,Foundation_Calc!$E$2:$G$33,3,1),""))</f>
        <v>PT</v>
      </c>
      <c r="AY394" s="704">
        <f>IF(L394="","",
IF(AX394="PT",VLOOKUP(L394,Foundation_Calc!$K$79:$R$113,VLOOKUP(AW394,Foundation_Calc!$I$2:$J$8,2,FALSE),0),
IF(AX394="K",VLOOKUP(L394,Foundation_Calc!$K$117:$R$151,VLOOKUP(AW394,Foundation_Calc!$I$2:$J$8,2,FALSE),0),"")))</f>
        <v>3.5</v>
      </c>
      <c r="AZ394" s="704" t="str">
        <f>IF(K394="","",
IF(AX394="PT",VLOOKUP(K394,Foundation_Calc!$K$79:$R$113,VLOOKUP(AW394,Foundation_Calc!$I$2:$J$8,2,FALSE),0),
IF(AX394="K",VLOOKUP(K394,Foundation_Calc!$K$117:$R$151,VLOOKUP(AW394,Foundation_Calc!$I$2:$J$8,2,FALSE),0),"")))</f>
        <v/>
      </c>
      <c r="BA394" s="495" t="str">
        <f t="shared" si="42"/>
        <v>ü</v>
      </c>
      <c r="BB394" s="495" t="str">
        <f t="shared" si="43"/>
        <v/>
      </c>
      <c r="BC394" s="495" t="str">
        <f t="shared" si="44"/>
        <v/>
      </c>
      <c r="BD394" s="513" t="str">
        <f>IF(AND(L394="",H394=""),"",
IF(H394="",Pole_Calc!A$9,
IF(H394="MP",Pole_Calc!A$10,
IF(H394="AnMP",Pole_Calc!A$11,
IF(H394="A",Pole_Calc!A$12,
IF(H394="S/A",Pole_Calc!A$13,
IF(H394="A/S",Pole_Calc!A$14,"Poner a mano")))))))</f>
        <v>App.7-V11I-P9.5.1.1</v>
      </c>
      <c r="BE394" s="429" t="s">
        <v>118</v>
      </c>
      <c r="BF394" s="289"/>
      <c r="BG394" s="289"/>
      <c r="BH394" s="290"/>
      <c r="BI394" s="289"/>
    </row>
    <row r="395" spans="1:61" ht="16.149999999999999" customHeight="1">
      <c r="A395" s="696"/>
      <c r="B395" s="697"/>
      <c r="C395" s="698"/>
      <c r="D395" s="699"/>
      <c r="E395" s="700"/>
      <c r="F395" s="700"/>
      <c r="G395" s="701">
        <v>45</v>
      </c>
      <c r="H395" s="702"/>
      <c r="I395" s="700"/>
      <c r="J395" s="698"/>
      <c r="K395" s="702"/>
      <c r="L395" s="702"/>
      <c r="M395" s="702" t="str">
        <f>IF(L395="","",
IF(AX395="PT",VLOOKUP(L395,Foundation_Calc!$V$79:$X$113,VLOOKUP(AX395,Foundation_Calc!$I$10:$J$13,2,FALSE),0),
IF(AX395="K",VLOOKUP(L395,Foundation_Calc!$V$117:$X$151,VLOOKUP(AX395,Foundation_Calc!$I$10:$J$13,2,FALSE),0),"")))</f>
        <v/>
      </c>
      <c r="N395" s="702"/>
      <c r="O395" s="702"/>
      <c r="P395" s="702"/>
      <c r="Q395" s="700"/>
      <c r="R395" s="701"/>
      <c r="S395" s="701"/>
      <c r="T395" s="700"/>
      <c r="U395" s="700"/>
      <c r="V395" s="700"/>
      <c r="W395" s="703"/>
      <c r="X395" s="703"/>
      <c r="Y395" s="703"/>
      <c r="Z395" s="703"/>
      <c r="AA395" s="703"/>
      <c r="AB395" s="703"/>
      <c r="AC395" s="702" t="str">
        <f t="shared" si="45"/>
        <v/>
      </c>
      <c r="AD395" s="702"/>
      <c r="AE395" s="702"/>
      <c r="AF395" s="700"/>
      <c r="AG395" s="699"/>
      <c r="AH395" s="700"/>
      <c r="AI395" s="700"/>
      <c r="AJ395" s="702"/>
      <c r="AK395" s="702"/>
      <c r="AL395" s="702"/>
      <c r="AM395" s="702"/>
      <c r="AN395" s="704"/>
      <c r="AO395" s="703"/>
      <c r="AP395" s="703"/>
      <c r="AQ395" s="703">
        <f>+FL_1($T$396,$T$394,$G$395,1200,9.28,-1*$F$396)</f>
        <v>0.30007601685417717</v>
      </c>
      <c r="AR395" s="703"/>
      <c r="AS395" s="703"/>
      <c r="AT395" s="703"/>
      <c r="AU395" s="705"/>
      <c r="AV395" s="705"/>
      <c r="AW395" s="702" t="str">
        <f>IF(C395&gt;0,VLOOKUP(C395,Foundation_Calc!$A$2:$C$13,3,1),
IF(J395&gt;0,VLOOKUP(J395,Foundation_Calc!$A$2:$C$13,3,1),""))</f>
        <v/>
      </c>
      <c r="AX395" s="702" t="str">
        <f>IF(C395&gt;0,VLOOKUP(C395,Foundation_Calc!$E$2:$G$33,3,1),
IF(J395&gt;0,VLOOKUP(J395,Foundation_Calc!$E$2:$G$33,3,1),""))</f>
        <v/>
      </c>
      <c r="AY395" s="704" t="str">
        <f>IF(L395="","",
IF(AX395="PT",VLOOKUP(L395,Foundation_Calc!$K$79:$R$113,VLOOKUP(AW395,Foundation_Calc!$I$2:$J$8,2,FALSE),0),
IF(AX395="K",VLOOKUP(L395,Foundation_Calc!$K$117:$R$151,VLOOKUP(AW395,Foundation_Calc!$I$2:$J$8,2,FALSE),0),"")))</f>
        <v/>
      </c>
      <c r="AZ395" s="704" t="str">
        <f>IF(K395="","",
IF(AX395="PT",VLOOKUP(K395,Foundation_Calc!$K$79:$R$113,VLOOKUP(AW395,Foundation_Calc!$I$2:$J$8,2,FALSE),0),
IF(AX395="K",VLOOKUP(K395,Foundation_Calc!$K$117:$R$151,VLOOKUP(AW395,Foundation_Calc!$I$2:$J$8,2,FALSE),0),"")))</f>
        <v/>
      </c>
      <c r="BA395" s="495" t="str">
        <f t="shared" si="42"/>
        <v/>
      </c>
      <c r="BB395" s="495" t="str">
        <f t="shared" si="43"/>
        <v/>
      </c>
      <c r="BC395" s="495" t="str">
        <f t="shared" si="44"/>
        <v/>
      </c>
      <c r="BD395" s="513" t="str">
        <f>IF(AND(L395="",H395=""),"",
IF(H395="",Pole_Calc!A$9,
IF(H395="MP",Pole_Calc!A$10,
IF(H395="AnMP",Pole_Calc!A$11,
IF(H395="A",Pole_Calc!A$12,
IF(H395="S/A",Pole_Calc!A$13,
IF(H395="A/S",Pole_Calc!A$14,"Poner a mano")))))))</f>
        <v/>
      </c>
      <c r="BE395" s="429" t="s">
        <v>118</v>
      </c>
      <c r="BF395" s="290"/>
      <c r="BG395" s="290"/>
      <c r="BH395" s="290"/>
      <c r="BI395" s="290"/>
    </row>
    <row r="396" spans="1:61" ht="16.149999999999999" customHeight="1">
      <c r="A396" s="696"/>
      <c r="B396" s="720" t="s">
        <v>402</v>
      </c>
      <c r="C396" s="698">
        <f>+$C$394+$G$395</f>
        <v>39642.359999999986</v>
      </c>
      <c r="D396" s="699"/>
      <c r="E396" s="700"/>
      <c r="F396" s="700">
        <f>IF(C396&gt;0,VLOOKUP(C396,'ALIGNMENT TRACK'!$A$1:$K$81,9,1))</f>
        <v>-900</v>
      </c>
      <c r="G396" s="701"/>
      <c r="H396" s="702"/>
      <c r="I396" s="700"/>
      <c r="J396" s="698"/>
      <c r="K396" s="702"/>
      <c r="L396" s="702" t="s">
        <v>158</v>
      </c>
      <c r="M396" s="702" t="s">
        <v>396</v>
      </c>
      <c r="N396" s="702" t="s">
        <v>134</v>
      </c>
      <c r="O396" s="702"/>
      <c r="P396" s="702"/>
      <c r="Q396" s="700"/>
      <c r="R396" s="701"/>
      <c r="S396" s="701"/>
      <c r="T396" s="700">
        <v>30</v>
      </c>
      <c r="U396" s="700"/>
      <c r="V396" s="700"/>
      <c r="W396" s="703">
        <v>1.4</v>
      </c>
      <c r="X396" s="703"/>
      <c r="Y396" s="703"/>
      <c r="Z396" s="703"/>
      <c r="AA396" s="703"/>
      <c r="AB396" s="703"/>
      <c r="AC396" s="702" t="str">
        <f t="shared" si="45"/>
        <v>PHC</v>
      </c>
      <c r="AD396" s="702"/>
      <c r="AE396" s="702"/>
      <c r="AF396" s="700"/>
      <c r="AG396" s="699"/>
      <c r="AH396" s="700"/>
      <c r="AI396" s="700"/>
      <c r="AJ396" s="702"/>
      <c r="AK396" s="702"/>
      <c r="AL396" s="702"/>
      <c r="AM396" s="702" t="s">
        <v>126</v>
      </c>
      <c r="AN396" s="704">
        <v>5.5</v>
      </c>
      <c r="AO396" s="703"/>
      <c r="AP396" s="703"/>
      <c r="AQ396" s="703"/>
      <c r="AR396" s="703"/>
      <c r="AS396" s="703"/>
      <c r="AT396" s="703">
        <f>+ab($T$396,$T$394,$T$398,$G$395,$G$397,-1*$F$396,1200)</f>
        <v>3.8321288746804383</v>
      </c>
      <c r="AU396" s="705"/>
      <c r="AV396" s="705"/>
      <c r="AW396" s="702" t="str">
        <f>IF(C396&gt;0,VLOOKUP(C396,Foundation_Calc!$A$2:$C$13,3,1),
IF(J396&gt;0,VLOOKUP(J396,Foundation_Calc!$A$2:$C$13,3,1),""))</f>
        <v>Multi Soil</v>
      </c>
      <c r="AX396" s="702" t="str">
        <f>IF(C396&gt;0,VLOOKUP(C396,Foundation_Calc!$E$2:$G$33,3,1),
IF(J396&gt;0,VLOOKUP(J396,Foundation_Calc!$E$2:$G$33,3,1),""))</f>
        <v>PT</v>
      </c>
      <c r="AY396" s="704">
        <f>IF(L396="","",
IF(AX396="PT",VLOOKUP(L396,Foundation_Calc!$K$79:$R$113,VLOOKUP(AW396,Foundation_Calc!$I$2:$J$8,2,FALSE),0),
IF(AX396="K",VLOOKUP(L396,Foundation_Calc!$K$117:$R$151,VLOOKUP(AW396,Foundation_Calc!$I$2:$J$8,2,FALSE),0),"")))</f>
        <v>3.5</v>
      </c>
      <c r="AZ396" s="704" t="str">
        <f>IF(K396="","",
IF(AX396="PT",VLOOKUP(K396,Foundation_Calc!$K$79:$R$113,VLOOKUP(AW396,Foundation_Calc!$I$2:$J$8,2,FALSE),0),
IF(AX396="K",VLOOKUP(K396,Foundation_Calc!$K$117:$R$151,VLOOKUP(AW396,Foundation_Calc!$I$2:$J$8,2,FALSE),0),"")))</f>
        <v/>
      </c>
      <c r="BA396" s="495" t="str">
        <f t="shared" si="42"/>
        <v>ü</v>
      </c>
      <c r="BB396" s="495" t="str">
        <f t="shared" si="43"/>
        <v/>
      </c>
      <c r="BC396" s="495" t="str">
        <f t="shared" si="44"/>
        <v/>
      </c>
      <c r="BD396" s="513" t="str">
        <f>IF(AND(L396="",H396=""),"",
IF(H396="",Pole_Calc!A$9,
IF(H396="MP",Pole_Calc!A$10,
IF(H396="AnMP",Pole_Calc!A$11,
IF(H396="A",Pole_Calc!A$12,
IF(H396="S/A",Pole_Calc!A$13,
IF(H396="A/S",Pole_Calc!A$14,"Poner a mano")))))))</f>
        <v>App.7-V11I-P9.5.1.1</v>
      </c>
      <c r="BE396" s="429" t="s">
        <v>118</v>
      </c>
      <c r="BF396" s="289"/>
      <c r="BG396" s="289"/>
      <c r="BH396" s="290"/>
      <c r="BI396" s="289"/>
    </row>
    <row r="397" spans="1:61" ht="16.149999999999999" customHeight="1">
      <c r="A397" s="696"/>
      <c r="B397" s="697"/>
      <c r="C397" s="698"/>
      <c r="D397" s="699"/>
      <c r="E397" s="700"/>
      <c r="F397" s="700"/>
      <c r="G397" s="701">
        <v>45</v>
      </c>
      <c r="H397" s="702"/>
      <c r="I397" s="700"/>
      <c r="J397" s="698"/>
      <c r="K397" s="702"/>
      <c r="L397" s="702"/>
      <c r="M397" s="702" t="str">
        <f>IF(L397="","",
IF(AX397="PT",VLOOKUP(L397,Foundation_Calc!$V$79:$X$113,VLOOKUP(AX397,Foundation_Calc!$I$10:$J$13,2,FALSE),0),
IF(AX397="K",VLOOKUP(L397,Foundation_Calc!$V$117:$X$151,VLOOKUP(AX397,Foundation_Calc!$I$10:$J$13,2,FALSE),0),"")))</f>
        <v/>
      </c>
      <c r="N397" s="702"/>
      <c r="O397" s="702"/>
      <c r="P397" s="702"/>
      <c r="Q397" s="700"/>
      <c r="R397" s="701"/>
      <c r="S397" s="701"/>
      <c r="T397" s="700"/>
      <c r="U397" s="700"/>
      <c r="V397" s="700"/>
      <c r="W397" s="703"/>
      <c r="X397" s="703"/>
      <c r="Y397" s="703"/>
      <c r="Z397" s="703"/>
      <c r="AA397" s="703"/>
      <c r="AB397" s="703"/>
      <c r="AC397" s="702" t="str">
        <f t="shared" si="45"/>
        <v/>
      </c>
      <c r="AD397" s="702"/>
      <c r="AE397" s="702"/>
      <c r="AF397" s="700"/>
      <c r="AG397" s="699"/>
      <c r="AH397" s="700"/>
      <c r="AI397" s="700"/>
      <c r="AJ397" s="702"/>
      <c r="AK397" s="702"/>
      <c r="AL397" s="702"/>
      <c r="AM397" s="702"/>
      <c r="AN397" s="704"/>
      <c r="AO397" s="703"/>
      <c r="AP397" s="703"/>
      <c r="AQ397" s="703">
        <f>+FL_1($T$398,$T$396,$G$397,1200,9.28,-1*$F$398)</f>
        <v>0.30007601685417717</v>
      </c>
      <c r="AR397" s="703"/>
      <c r="AS397" s="703"/>
      <c r="AT397" s="703"/>
      <c r="AU397" s="705"/>
      <c r="AV397" s="705"/>
      <c r="AW397" s="702" t="str">
        <f>IF(C397&gt;0,VLOOKUP(C397,Foundation_Calc!$A$2:$C$13,3,1),
IF(J397&gt;0,VLOOKUP(J397,Foundation_Calc!$A$2:$C$13,3,1),""))</f>
        <v/>
      </c>
      <c r="AX397" s="702" t="str">
        <f>IF(C397&gt;0,VLOOKUP(C397,Foundation_Calc!$E$2:$G$33,3,1),
IF(J397&gt;0,VLOOKUP(J397,Foundation_Calc!$E$2:$G$33,3,1),""))</f>
        <v/>
      </c>
      <c r="AY397" s="704" t="str">
        <f>IF(L397="","",
IF(AX397="PT",VLOOKUP(L397,Foundation_Calc!$K$79:$R$113,VLOOKUP(AW397,Foundation_Calc!$I$2:$J$8,2,FALSE),0),
IF(AX397="K",VLOOKUP(L397,Foundation_Calc!$K$117:$R$151,VLOOKUP(AW397,Foundation_Calc!$I$2:$J$8,2,FALSE),0),"")))</f>
        <v/>
      </c>
      <c r="AZ397" s="704" t="str">
        <f>IF(K397="","",
IF(AX397="PT",VLOOKUP(K397,Foundation_Calc!$K$79:$R$113,VLOOKUP(AW397,Foundation_Calc!$I$2:$J$8,2,FALSE),0),
IF(AX397="K",VLOOKUP(K397,Foundation_Calc!$K$117:$R$151,VLOOKUP(AW397,Foundation_Calc!$I$2:$J$8,2,FALSE),0),"")))</f>
        <v/>
      </c>
      <c r="BA397" s="495" t="str">
        <f t="shared" si="42"/>
        <v/>
      </c>
      <c r="BB397" s="495" t="str">
        <f t="shared" si="43"/>
        <v/>
      </c>
      <c r="BC397" s="495" t="str">
        <f t="shared" si="44"/>
        <v/>
      </c>
      <c r="BD397" s="513" t="str">
        <f>IF(AND(L397="",H397=""),"",
IF(H397="",Pole_Calc!A$9,
IF(H397="MP",Pole_Calc!A$10,
IF(H397="AnMP",Pole_Calc!A$11,
IF(H397="A",Pole_Calc!A$12,
IF(H397="S/A",Pole_Calc!A$13,
IF(H397="A/S",Pole_Calc!A$14,"Poner a mano")))))))</f>
        <v/>
      </c>
      <c r="BE397" s="429" t="s">
        <v>118</v>
      </c>
      <c r="BF397" s="290"/>
      <c r="BG397" s="290"/>
      <c r="BH397" s="290"/>
      <c r="BI397" s="290"/>
    </row>
    <row r="398" spans="1:61" ht="16.149999999999999" customHeight="1">
      <c r="A398" s="708"/>
      <c r="B398" s="720" t="s">
        <v>403</v>
      </c>
      <c r="C398" s="698">
        <f>+$C$396+$G$397</f>
        <v>39687.359999999986</v>
      </c>
      <c r="D398" s="699"/>
      <c r="E398" s="700"/>
      <c r="F398" s="700">
        <f>IF(C398&gt;0,VLOOKUP(C398,'ALIGNMENT TRACK'!$A$1:$K$81,9,1))</f>
        <v>-900</v>
      </c>
      <c r="G398" s="701"/>
      <c r="H398" s="702"/>
      <c r="I398" s="700"/>
      <c r="J398" s="698"/>
      <c r="K398" s="702"/>
      <c r="L398" s="702" t="s">
        <v>158</v>
      </c>
      <c r="M398" s="702" t="s">
        <v>396</v>
      </c>
      <c r="N398" s="702" t="s">
        <v>134</v>
      </c>
      <c r="O398" s="702"/>
      <c r="P398" s="702"/>
      <c r="Q398" s="700"/>
      <c r="R398" s="701"/>
      <c r="S398" s="701"/>
      <c r="T398" s="700">
        <v>30</v>
      </c>
      <c r="U398" s="700"/>
      <c r="V398" s="700"/>
      <c r="W398" s="703">
        <v>1.4</v>
      </c>
      <c r="X398" s="703"/>
      <c r="Y398" s="703"/>
      <c r="Z398" s="703"/>
      <c r="AA398" s="703"/>
      <c r="AB398" s="703"/>
      <c r="AC398" s="702" t="str">
        <f t="shared" si="45"/>
        <v>PHC</v>
      </c>
      <c r="AD398" s="702"/>
      <c r="AE398" s="702"/>
      <c r="AF398" s="700"/>
      <c r="AG398" s="699"/>
      <c r="AH398" s="700"/>
      <c r="AI398" s="700"/>
      <c r="AJ398" s="702"/>
      <c r="AK398" s="702"/>
      <c r="AL398" s="702"/>
      <c r="AM398" s="702" t="s">
        <v>126</v>
      </c>
      <c r="AN398" s="704">
        <v>5.5</v>
      </c>
      <c r="AO398" s="703"/>
      <c r="AP398" s="703"/>
      <c r="AQ398" s="703"/>
      <c r="AR398" s="703"/>
      <c r="AS398" s="703"/>
      <c r="AT398" s="703">
        <f>+ab($T$398,$T$396,$T$400,$G$397,$G$399,-1*$F$398,1200)</f>
        <v>3.9189543277395984</v>
      </c>
      <c r="AU398" s="705"/>
      <c r="AV398" s="705"/>
      <c r="AW398" s="702" t="str">
        <f>IF(C398&gt;0,VLOOKUP(C398,Foundation_Calc!$A$2:$C$13,3,1),
IF(J398&gt;0,VLOOKUP(J398,Foundation_Calc!$A$2:$C$13,3,1),""))</f>
        <v>Multi Soil</v>
      </c>
      <c r="AX398" s="702" t="str">
        <f>IF(C398&gt;0,VLOOKUP(C398,Foundation_Calc!$E$2:$G$33,3,1),
IF(J398&gt;0,VLOOKUP(J398,Foundation_Calc!$E$2:$G$33,3,1),""))</f>
        <v>PT</v>
      </c>
      <c r="AY398" s="704">
        <f>IF(L398="","",
IF(AX398="PT",VLOOKUP(L398,Foundation_Calc!$K$79:$R$113,VLOOKUP(AW398,Foundation_Calc!$I$2:$J$8,2,FALSE),0),
IF(AX398="K",VLOOKUP(L398,Foundation_Calc!$K$117:$R$151,VLOOKUP(AW398,Foundation_Calc!$I$2:$J$8,2,FALSE),0),"")))</f>
        <v>3.5</v>
      </c>
      <c r="AZ398" s="704" t="str">
        <f>IF(K398="","",
IF(AX398="PT",VLOOKUP(K398,Foundation_Calc!$K$79:$R$113,VLOOKUP(AW398,Foundation_Calc!$I$2:$J$8,2,FALSE),0),
IF(AX398="K",VLOOKUP(K398,Foundation_Calc!$K$117:$R$151,VLOOKUP(AW398,Foundation_Calc!$I$2:$J$8,2,FALSE),0),"")))</f>
        <v/>
      </c>
      <c r="BA398" s="495" t="str">
        <f t="shared" si="42"/>
        <v>ü</v>
      </c>
      <c r="BB398" s="495" t="str">
        <f t="shared" si="43"/>
        <v/>
      </c>
      <c r="BC398" s="495" t="str">
        <f t="shared" si="44"/>
        <v/>
      </c>
      <c r="BD398" s="513" t="str">
        <f>IF(AND(L398="",H398=""),"",
IF(H398="",Pole_Calc!A$9,
IF(H398="MP",Pole_Calc!A$10,
IF(H398="AnMP",Pole_Calc!A$11,
IF(H398="A",Pole_Calc!A$12,
IF(H398="S/A",Pole_Calc!A$13,
IF(H398="A/S",Pole_Calc!A$14,"Poner a mano")))))))</f>
        <v>App.7-V11I-P9.5.1.1</v>
      </c>
      <c r="BE398" s="429" t="s">
        <v>118</v>
      </c>
      <c r="BF398" s="289"/>
      <c r="BG398" s="289"/>
      <c r="BH398" s="290"/>
      <c r="BI398" s="289"/>
    </row>
    <row r="399" spans="1:61" ht="16.149999999999999" customHeight="1">
      <c r="A399" s="708"/>
      <c r="B399" s="697"/>
      <c r="C399" s="698"/>
      <c r="D399" s="699"/>
      <c r="E399" s="700"/>
      <c r="F399" s="700"/>
      <c r="G399" s="701">
        <v>43</v>
      </c>
      <c r="H399" s="702"/>
      <c r="I399" s="700"/>
      <c r="J399" s="698"/>
      <c r="K399" s="702"/>
      <c r="L399" s="702"/>
      <c r="M399" s="702" t="str">
        <f>IF(L399="","",
IF(AX399="PT",VLOOKUP(L399,Foundation_Calc!$V$79:$X$113,VLOOKUP(AX399,Foundation_Calc!$I$10:$J$13,2,FALSE),0),
IF(AX399="K",VLOOKUP(L399,Foundation_Calc!$V$117:$X$151,VLOOKUP(AX399,Foundation_Calc!$I$10:$J$13,2,FALSE),0),"")))</f>
        <v/>
      </c>
      <c r="N399" s="702"/>
      <c r="O399" s="702"/>
      <c r="P399" s="702"/>
      <c r="Q399" s="700"/>
      <c r="R399" s="701"/>
      <c r="S399" s="701"/>
      <c r="T399" s="700"/>
      <c r="U399" s="700"/>
      <c r="V399" s="700"/>
      <c r="W399" s="703"/>
      <c r="X399" s="703"/>
      <c r="Y399" s="703"/>
      <c r="Z399" s="703"/>
      <c r="AA399" s="703"/>
      <c r="AB399" s="703"/>
      <c r="AC399" s="702" t="str">
        <f t="shared" si="45"/>
        <v/>
      </c>
      <c r="AD399" s="702"/>
      <c r="AE399" s="702"/>
      <c r="AF399" s="700"/>
      <c r="AG399" s="699"/>
      <c r="AH399" s="700"/>
      <c r="AI399" s="700"/>
      <c r="AJ399" s="702"/>
      <c r="AK399" s="702"/>
      <c r="AL399" s="702"/>
      <c r="AM399" s="702"/>
      <c r="AN399" s="704"/>
      <c r="AO399" s="703"/>
      <c r="AP399" s="703"/>
      <c r="AQ399" s="703">
        <f>+FL_1($T$400,$T$398,$G$399,1200,9.28,-1*$F$400)</f>
        <v>0.3</v>
      </c>
      <c r="AR399" s="703"/>
      <c r="AS399" s="703"/>
      <c r="AT399" s="703"/>
      <c r="AU399" s="705"/>
      <c r="AV399" s="705"/>
      <c r="AW399" s="702" t="str">
        <f>IF(C399&gt;0,VLOOKUP(C399,Foundation_Calc!$A$2:$C$13,3,1),
IF(J399&gt;0,VLOOKUP(J399,Foundation_Calc!$A$2:$C$13,3,1),""))</f>
        <v/>
      </c>
      <c r="AX399" s="702" t="str">
        <f>IF(C399&gt;0,VLOOKUP(C399,Foundation_Calc!$E$2:$G$33,3,1),
IF(J399&gt;0,VLOOKUP(J399,Foundation_Calc!$E$2:$G$33,3,1),""))</f>
        <v/>
      </c>
      <c r="AY399" s="704" t="str">
        <f>IF(L399="","",
IF(AX399="PT",VLOOKUP(L399,Foundation_Calc!$K$79:$R$113,VLOOKUP(AW399,Foundation_Calc!$I$2:$J$8,2,FALSE),0),
IF(AX399="K",VLOOKUP(L399,Foundation_Calc!$K$117:$R$151,VLOOKUP(AW399,Foundation_Calc!$I$2:$J$8,2,FALSE),0),"")))</f>
        <v/>
      </c>
      <c r="AZ399" s="704" t="str">
        <f>IF(K399="","",
IF(AX399="PT",VLOOKUP(K399,Foundation_Calc!$K$79:$R$113,VLOOKUP(AW399,Foundation_Calc!$I$2:$J$8,2,FALSE),0),
IF(AX399="K",VLOOKUP(K399,Foundation_Calc!$K$117:$R$151,VLOOKUP(AW399,Foundation_Calc!$I$2:$J$8,2,FALSE),0),"")))</f>
        <v/>
      </c>
      <c r="BA399" s="495" t="str">
        <f t="shared" si="42"/>
        <v/>
      </c>
      <c r="BB399" s="495" t="str">
        <f t="shared" si="43"/>
        <v/>
      </c>
      <c r="BC399" s="495" t="str">
        <f t="shared" si="44"/>
        <v/>
      </c>
      <c r="BD399" s="513" t="str">
        <f>IF(AND(L399="",H399=""),"",
IF(H399="",Pole_Calc!A$9,
IF(H399="MP",Pole_Calc!A$10,
IF(H399="AnMP",Pole_Calc!A$11,
IF(H399="A",Pole_Calc!A$12,
IF(H399="S/A",Pole_Calc!A$13,
IF(H399="A/S",Pole_Calc!A$14,"Poner a mano")))))))</f>
        <v/>
      </c>
      <c r="BE399" s="429" t="s">
        <v>118</v>
      </c>
      <c r="BF399" s="290"/>
      <c r="BG399" s="290"/>
      <c r="BH399" s="290"/>
      <c r="BI399" s="290"/>
    </row>
    <row r="400" spans="1:61" ht="16.149999999999999" customHeight="1">
      <c r="A400" s="696"/>
      <c r="B400" s="720" t="s">
        <v>404</v>
      </c>
      <c r="C400" s="698">
        <f>+$C$398+$G$399</f>
        <v>39730.359999999986</v>
      </c>
      <c r="D400" s="699"/>
      <c r="E400" s="700"/>
      <c r="F400" s="700">
        <f>IF(C400&gt;0,VLOOKUP(C400,'ALIGNMENT TRACK'!$A$1:$K$81,9,1))</f>
        <v>-900</v>
      </c>
      <c r="G400" s="701"/>
      <c r="H400" s="702"/>
      <c r="I400" s="700"/>
      <c r="J400" s="698"/>
      <c r="K400" s="702"/>
      <c r="L400" s="702" t="s">
        <v>158</v>
      </c>
      <c r="M400" s="702" t="s">
        <v>396</v>
      </c>
      <c r="N400" s="702" t="s">
        <v>134</v>
      </c>
      <c r="O400" s="702"/>
      <c r="P400" s="702"/>
      <c r="Q400" s="700"/>
      <c r="R400" s="701"/>
      <c r="S400" s="701"/>
      <c r="T400" s="700">
        <v>30</v>
      </c>
      <c r="U400" s="700"/>
      <c r="V400" s="700"/>
      <c r="W400" s="703">
        <v>1.4</v>
      </c>
      <c r="X400" s="703"/>
      <c r="Y400" s="703"/>
      <c r="Z400" s="703"/>
      <c r="AA400" s="703"/>
      <c r="AB400" s="703"/>
      <c r="AC400" s="702" t="str">
        <f t="shared" si="45"/>
        <v>PHC</v>
      </c>
      <c r="AD400" s="702"/>
      <c r="AE400" s="702"/>
      <c r="AF400" s="700"/>
      <c r="AG400" s="699"/>
      <c r="AH400" s="700"/>
      <c r="AI400" s="700"/>
      <c r="AJ400" s="702"/>
      <c r="AK400" s="702"/>
      <c r="AL400" s="702"/>
      <c r="AM400" s="702" t="s">
        <v>126</v>
      </c>
      <c r="AN400" s="704">
        <v>5.5</v>
      </c>
      <c r="AO400" s="703"/>
      <c r="AP400" s="703"/>
      <c r="AQ400" s="703"/>
      <c r="AR400" s="703"/>
      <c r="AS400" s="703"/>
      <c r="AT400" s="703">
        <f>+ab($T$400,$T$398,$T$402,$G$399,$G$401,-1*$F$400,1200)</f>
        <v>4.0097988670160589</v>
      </c>
      <c r="AU400" s="705"/>
      <c r="AV400" s="705"/>
      <c r="AW400" s="702" t="str">
        <f>IF(C400&gt;0,VLOOKUP(C400,Foundation_Calc!$A$2:$C$13,3,1),
IF(J400&gt;0,VLOOKUP(J400,Foundation_Calc!$A$2:$C$13,3,1),""))</f>
        <v>Multi Soil</v>
      </c>
      <c r="AX400" s="702" t="str">
        <f>IF(C400&gt;0,VLOOKUP(C400,Foundation_Calc!$E$2:$G$33,3,1),
IF(J400&gt;0,VLOOKUP(J400,Foundation_Calc!$E$2:$G$33,3,1),""))</f>
        <v>PT</v>
      </c>
      <c r="AY400" s="704">
        <f>IF(L400="","",
IF(AX400="PT",VLOOKUP(L400,Foundation_Calc!$K$79:$R$113,VLOOKUP(AW400,Foundation_Calc!$I$2:$J$8,2,FALSE),0),
IF(AX400="K",VLOOKUP(L400,Foundation_Calc!$K$117:$R$151,VLOOKUP(AW400,Foundation_Calc!$I$2:$J$8,2,FALSE),0),"")))</f>
        <v>3.5</v>
      </c>
      <c r="AZ400" s="704" t="str">
        <f>IF(K400="","",
IF(AX400="PT",VLOOKUP(K400,Foundation_Calc!$K$79:$R$113,VLOOKUP(AW400,Foundation_Calc!$I$2:$J$8,2,FALSE),0),
IF(AX400="K",VLOOKUP(K400,Foundation_Calc!$K$117:$R$151,VLOOKUP(AW400,Foundation_Calc!$I$2:$J$8,2,FALSE),0),"")))</f>
        <v/>
      </c>
      <c r="BA400" s="495" t="str">
        <f t="shared" si="42"/>
        <v>ü</v>
      </c>
      <c r="BB400" s="495" t="str">
        <f t="shared" si="43"/>
        <v/>
      </c>
      <c r="BC400" s="495" t="str">
        <f t="shared" si="44"/>
        <v/>
      </c>
      <c r="BD400" s="513" t="str">
        <f>IF(AND(L400="",H400=""),"",
IF(H400="",Pole_Calc!A$9,
IF(H400="MP",Pole_Calc!A$10,
IF(H400="AnMP",Pole_Calc!A$11,
IF(H400="A",Pole_Calc!A$12,
IF(H400="S/A",Pole_Calc!A$13,
IF(H400="A/S",Pole_Calc!A$14,"Poner a mano")))))))</f>
        <v>App.7-V11I-P9.5.1.1</v>
      </c>
      <c r="BE400" s="429" t="s">
        <v>118</v>
      </c>
      <c r="BF400" s="289"/>
      <c r="BG400" s="289"/>
      <c r="BH400" s="290"/>
      <c r="BI400" s="289"/>
    </row>
    <row r="401" spans="1:61" ht="16.149999999999999" customHeight="1">
      <c r="A401" s="696"/>
      <c r="B401" s="697"/>
      <c r="C401" s="698"/>
      <c r="D401" s="699"/>
      <c r="E401" s="700"/>
      <c r="F401" s="700"/>
      <c r="G401" s="701">
        <v>43</v>
      </c>
      <c r="H401" s="702"/>
      <c r="I401" s="700"/>
      <c r="J401" s="698"/>
      <c r="K401" s="702"/>
      <c r="L401" s="702"/>
      <c r="M401" s="702" t="str">
        <f>IF(L401="","",
IF(AX401="PT",VLOOKUP(L401,Foundation_Calc!$V$79:$X$113,VLOOKUP(AX401,Foundation_Calc!$I$10:$J$13,2,FALSE),0),
IF(AX401="K",VLOOKUP(L401,Foundation_Calc!$V$117:$X$151,VLOOKUP(AX401,Foundation_Calc!$I$10:$J$13,2,FALSE),0),"")))</f>
        <v/>
      </c>
      <c r="N401" s="702"/>
      <c r="O401" s="702"/>
      <c r="P401" s="702"/>
      <c r="Q401" s="700"/>
      <c r="R401" s="701"/>
      <c r="S401" s="701"/>
      <c r="T401" s="700"/>
      <c r="U401" s="700"/>
      <c r="V401" s="700"/>
      <c r="W401" s="703"/>
      <c r="X401" s="703"/>
      <c r="Y401" s="703"/>
      <c r="Z401" s="703"/>
      <c r="AA401" s="703"/>
      <c r="AB401" s="703"/>
      <c r="AC401" s="702" t="str">
        <f t="shared" si="45"/>
        <v/>
      </c>
      <c r="AD401" s="702"/>
      <c r="AE401" s="702"/>
      <c r="AF401" s="700"/>
      <c r="AG401" s="699"/>
      <c r="AH401" s="700"/>
      <c r="AI401" s="700"/>
      <c r="AJ401" s="702"/>
      <c r="AK401" s="702"/>
      <c r="AL401" s="702"/>
      <c r="AM401" s="702"/>
      <c r="AN401" s="704"/>
      <c r="AO401" s="703"/>
      <c r="AP401" s="703"/>
      <c r="AQ401" s="703">
        <f>+FL_1($T$402,$T$400,$G$401,1200,9.28,-1*$F$402)</f>
        <v>0.3</v>
      </c>
      <c r="AR401" s="703"/>
      <c r="AS401" s="703"/>
      <c r="AT401" s="703"/>
      <c r="AU401" s="705"/>
      <c r="AV401" s="705"/>
      <c r="AW401" s="702" t="str">
        <f>IF(C401&gt;0,VLOOKUP(C401,Foundation_Calc!$A$2:$C$13,3,1),
IF(J401&gt;0,VLOOKUP(J401,Foundation_Calc!$A$2:$C$13,3,1),""))</f>
        <v/>
      </c>
      <c r="AX401" s="702" t="str">
        <f>IF(C401&gt;0,VLOOKUP(C401,Foundation_Calc!$E$2:$G$33,3,1),
IF(J401&gt;0,VLOOKUP(J401,Foundation_Calc!$E$2:$G$33,3,1),""))</f>
        <v/>
      </c>
      <c r="AY401" s="704" t="str">
        <f>IF(L401="","",
IF(AX401="PT",VLOOKUP(L401,Foundation_Calc!$K$79:$R$113,VLOOKUP(AW401,Foundation_Calc!$I$2:$J$8,2,FALSE),0),
IF(AX401="K",VLOOKUP(L401,Foundation_Calc!$K$117:$R$151,VLOOKUP(AW401,Foundation_Calc!$I$2:$J$8,2,FALSE),0),"")))</f>
        <v/>
      </c>
      <c r="AZ401" s="704" t="str">
        <f>IF(K401="","",
IF(AX401="PT",VLOOKUP(K401,Foundation_Calc!$K$79:$R$113,VLOOKUP(AW401,Foundation_Calc!$I$2:$J$8,2,FALSE),0),
IF(AX401="K",VLOOKUP(K401,Foundation_Calc!$K$117:$R$151,VLOOKUP(AW401,Foundation_Calc!$I$2:$J$8,2,FALSE),0),"")))</f>
        <v/>
      </c>
      <c r="BA401" s="495" t="str">
        <f t="shared" si="42"/>
        <v/>
      </c>
      <c r="BB401" s="495" t="str">
        <f t="shared" si="43"/>
        <v/>
      </c>
      <c r="BC401" s="495" t="str">
        <f t="shared" si="44"/>
        <v/>
      </c>
      <c r="BD401" s="513" t="str">
        <f>IF(AND(L401="",H401=""),"",
IF(H401="",Pole_Calc!A$9,
IF(H401="MP",Pole_Calc!A$10,
IF(H401="AnMP",Pole_Calc!A$11,
IF(H401="A",Pole_Calc!A$12,
IF(H401="S/A",Pole_Calc!A$13,
IF(H401="A/S",Pole_Calc!A$14,"Poner a mano")))))))</f>
        <v/>
      </c>
      <c r="BE401" s="429" t="s">
        <v>118</v>
      </c>
      <c r="BF401" s="290"/>
      <c r="BG401" s="290"/>
      <c r="BH401" s="290"/>
      <c r="BI401" s="290"/>
    </row>
    <row r="402" spans="1:61" ht="16.149999999999999" customHeight="1">
      <c r="A402" s="696"/>
      <c r="B402" s="720" t="s">
        <v>405</v>
      </c>
      <c r="C402" s="698">
        <f>+$C$400+$G$401</f>
        <v>39773.359999999986</v>
      </c>
      <c r="D402" s="699"/>
      <c r="E402" s="700"/>
      <c r="F402" s="700">
        <f>(342^2)/(C402-39890.43)</f>
        <v>-999.09455881084614</v>
      </c>
      <c r="G402" s="701"/>
      <c r="H402" s="702"/>
      <c r="I402" s="700"/>
      <c r="J402" s="698"/>
      <c r="K402" s="702"/>
      <c r="L402" s="702" t="s">
        <v>158</v>
      </c>
      <c r="M402" s="702" t="s">
        <v>396</v>
      </c>
      <c r="N402" s="702" t="s">
        <v>134</v>
      </c>
      <c r="O402" s="702"/>
      <c r="P402" s="702"/>
      <c r="Q402" s="700"/>
      <c r="R402" s="701"/>
      <c r="S402" s="701"/>
      <c r="T402" s="700">
        <v>30</v>
      </c>
      <c r="U402" s="700"/>
      <c r="V402" s="700"/>
      <c r="W402" s="703">
        <v>1.4</v>
      </c>
      <c r="X402" s="703"/>
      <c r="Y402" s="703"/>
      <c r="Z402" s="703"/>
      <c r="AA402" s="703"/>
      <c r="AB402" s="703"/>
      <c r="AC402" s="702" t="str">
        <f t="shared" si="45"/>
        <v>PHC</v>
      </c>
      <c r="AD402" s="702"/>
      <c r="AE402" s="702"/>
      <c r="AF402" s="700"/>
      <c r="AG402" s="699"/>
      <c r="AH402" s="700"/>
      <c r="AI402" s="700"/>
      <c r="AJ402" s="702"/>
      <c r="AK402" s="702"/>
      <c r="AL402" s="702"/>
      <c r="AM402" s="702" t="s">
        <v>126</v>
      </c>
      <c r="AN402" s="704">
        <v>5.5</v>
      </c>
      <c r="AO402" s="703"/>
      <c r="AP402" s="703"/>
      <c r="AQ402" s="703"/>
      <c r="AR402" s="703"/>
      <c r="AS402" s="703"/>
      <c r="AT402" s="703">
        <f>+ab($T$402,$T$400,$T$404,$G$401,$G$403,-1*$F$402,1200)</f>
        <v>4.449612422368725</v>
      </c>
      <c r="AU402" s="705"/>
      <c r="AV402" s="705"/>
      <c r="AW402" s="702" t="str">
        <f>IF(C402&gt;0,VLOOKUP(C402,Foundation_Calc!$A$2:$C$13,3,1),
IF(J402&gt;0,VLOOKUP(J402,Foundation_Calc!$A$2:$C$13,3,1),""))</f>
        <v>Multi Soil</v>
      </c>
      <c r="AX402" s="702" t="str">
        <f>IF(C402&gt;0,VLOOKUP(C402,Foundation_Calc!$E$2:$G$33,3,1),
IF(J402&gt;0,VLOOKUP(J402,Foundation_Calc!$E$2:$G$33,3,1),""))</f>
        <v>PT</v>
      </c>
      <c r="AY402" s="704">
        <f>IF(L402="","",
IF(AX402="PT",VLOOKUP(L402,Foundation_Calc!$K$79:$R$113,VLOOKUP(AW402,Foundation_Calc!$I$2:$J$8,2,FALSE),0),
IF(AX402="K",VLOOKUP(L402,Foundation_Calc!$K$117:$R$151,VLOOKUP(AW402,Foundation_Calc!$I$2:$J$8,2,FALSE),0),"")))</f>
        <v>3.5</v>
      </c>
      <c r="AZ402" s="704" t="str">
        <f>IF(K402="","",
IF(AX402="PT",VLOOKUP(K402,Foundation_Calc!$K$79:$R$113,VLOOKUP(AW402,Foundation_Calc!$I$2:$J$8,2,FALSE),0),
IF(AX402="K",VLOOKUP(K402,Foundation_Calc!$K$117:$R$151,VLOOKUP(AW402,Foundation_Calc!$I$2:$J$8,2,FALSE),0),"")))</f>
        <v/>
      </c>
      <c r="BA402" s="495" t="str">
        <f t="shared" si="42"/>
        <v>ü</v>
      </c>
      <c r="BB402" s="495" t="str">
        <f t="shared" si="43"/>
        <v/>
      </c>
      <c r="BC402" s="495" t="str">
        <f t="shared" si="44"/>
        <v/>
      </c>
      <c r="BD402" s="513" t="str">
        <f>IF(AND(L402="",H402=""),"",
IF(H402="",Pole_Calc!A$9,
IF(H402="MP",Pole_Calc!A$10,
IF(H402="AnMP",Pole_Calc!A$11,
IF(H402="A",Pole_Calc!A$12,
IF(H402="S/A",Pole_Calc!A$13,
IF(H402="A/S",Pole_Calc!A$14,"Poner a mano")))))))</f>
        <v>App.7-V11I-P9.5.1.1</v>
      </c>
      <c r="BE402" s="429" t="s">
        <v>118</v>
      </c>
      <c r="BF402" s="289"/>
      <c r="BG402" s="289"/>
      <c r="BH402" s="290"/>
      <c r="BI402" s="289"/>
    </row>
    <row r="403" spans="1:61" ht="16.149999999999999" customHeight="1">
      <c r="A403" s="696"/>
      <c r="B403" s="697"/>
      <c r="C403" s="698"/>
      <c r="D403" s="699"/>
      <c r="E403" s="700"/>
      <c r="F403" s="700"/>
      <c r="G403" s="701">
        <v>43</v>
      </c>
      <c r="H403" s="702"/>
      <c r="I403" s="700"/>
      <c r="J403" s="698">
        <f>C404-7.5</f>
        <v>39808.859999999986</v>
      </c>
      <c r="K403" s="702" t="s">
        <v>117</v>
      </c>
      <c r="L403" s="702"/>
      <c r="M403" s="702" t="str">
        <f>IF(L403="","",
IF(AX403="PT",VLOOKUP(L403,Foundation_Calc!$V$79:$X$113,VLOOKUP(AX403,Foundation_Calc!$I$10:$J$13,2,FALSE),0),
IF(AX403="K",VLOOKUP(L403,Foundation_Calc!$V$117:$X$151,VLOOKUP(AX403,Foundation_Calc!$I$10:$J$13,2,FALSE),0),"")))</f>
        <v/>
      </c>
      <c r="N403" s="702"/>
      <c r="O403" s="702"/>
      <c r="P403" s="702"/>
      <c r="Q403" s="700"/>
      <c r="R403" s="701"/>
      <c r="S403" s="701"/>
      <c r="T403" s="700"/>
      <c r="U403" s="700"/>
      <c r="V403" s="700"/>
      <c r="W403" s="703"/>
      <c r="X403" s="703"/>
      <c r="Y403" s="703"/>
      <c r="Z403" s="703"/>
      <c r="AA403" s="703"/>
      <c r="AB403" s="703"/>
      <c r="AC403" s="702" t="str">
        <f t="shared" si="45"/>
        <v/>
      </c>
      <c r="AD403" s="702"/>
      <c r="AE403" s="702"/>
      <c r="AF403" s="700"/>
      <c r="AG403" s="699"/>
      <c r="AH403" s="700"/>
      <c r="AI403" s="700"/>
      <c r="AJ403" s="702"/>
      <c r="AK403" s="702"/>
      <c r="AL403" s="702"/>
      <c r="AM403" s="702"/>
      <c r="AN403" s="704"/>
      <c r="AO403" s="703"/>
      <c r="AP403" s="703"/>
      <c r="AQ403" s="703">
        <f>+FL_1($T$404,$T$402,$G$403,1200,9.28,-1*$F$404)</f>
        <v>0.33236494363174912</v>
      </c>
      <c r="AR403" s="703"/>
      <c r="AS403" s="703"/>
      <c r="AT403" s="703"/>
      <c r="AU403" s="705"/>
      <c r="AV403" s="705"/>
      <c r="AW403" s="702" t="str">
        <f>IF(C403&gt;0,VLOOKUP(C403,Foundation_Calc!$A$2:$C$13,3,1),
IF(J403&gt;0,VLOOKUP(J403,Foundation_Calc!$A$2:$C$13,3,1),""))</f>
        <v>Multi Soil</v>
      </c>
      <c r="AX403" s="702" t="str">
        <f>IF(C403&gt;0,VLOOKUP(C403,Foundation_Calc!$E$2:$G$33,3,1),
IF(J403&gt;0,VLOOKUP(J403,Foundation_Calc!$E$2:$G$33,3,1),""))</f>
        <v>PT</v>
      </c>
      <c r="AY403" s="704" t="str">
        <f>IF(L403="","",
IF(AX403="PT",VLOOKUP(L403,Foundation_Calc!$K$79:$R$113,VLOOKUP(AW403,Foundation_Calc!$I$2:$J$8,2,FALSE),0),
IF(AX403="K",VLOOKUP(L403,Foundation_Calc!$K$117:$R$151,VLOOKUP(AW403,Foundation_Calc!$I$2:$J$8,2,FALSE),0),"")))</f>
        <v/>
      </c>
      <c r="AZ403" s="704">
        <f>IF(K403="","",
IF(AX403="PT",VLOOKUP(K403,Foundation_Calc!$K$79:$R$113,VLOOKUP(AW403,Foundation_Calc!$I$2:$J$8,2,FALSE),0),
IF(AX403="K",VLOOKUP(K403,Foundation_Calc!$K$117:$R$151,VLOOKUP(AW403,Foundation_Calc!$I$2:$J$8,2,FALSE),0),"")))</f>
        <v>3.9</v>
      </c>
      <c r="BA403" s="495" t="str">
        <f t="shared" si="42"/>
        <v/>
      </c>
      <c r="BB403" s="495" t="str">
        <f t="shared" si="43"/>
        <v>ü</v>
      </c>
      <c r="BC403" s="495" t="str">
        <f t="shared" si="44"/>
        <v/>
      </c>
      <c r="BD403" s="513" t="str">
        <f>IF(AND(L403="",H403=""),"",
IF(H403="",Pole_Calc!A$9,
IF(H403="MP",Pole_Calc!A$10,
IF(H403="AnMP",Pole_Calc!A$11,
IF(H403="A",Pole_Calc!A$12,
IF(H403="S/A",Pole_Calc!A$13,
IF(H403="A/S",Pole_Calc!A$14,"Poner a mano")))))))</f>
        <v/>
      </c>
      <c r="BE403" s="429" t="s">
        <v>118</v>
      </c>
      <c r="BF403" s="290"/>
      <c r="BG403" s="290"/>
      <c r="BH403" s="290"/>
      <c r="BI403" s="290"/>
    </row>
    <row r="404" spans="1:61" ht="16.149999999999999" customHeight="1">
      <c r="A404" s="696"/>
      <c r="B404" s="720" t="s">
        <v>406</v>
      </c>
      <c r="C404" s="698">
        <f>+$C$402+$G$403</f>
        <v>39816.359999999986</v>
      </c>
      <c r="D404" s="699"/>
      <c r="E404" s="700"/>
      <c r="F404" s="700">
        <f>(342^2)/(C404-39890.43)</f>
        <v>-1579.1008505464761</v>
      </c>
      <c r="G404" s="701"/>
      <c r="H404" s="702" t="s">
        <v>121</v>
      </c>
      <c r="I404" s="700" t="s">
        <v>122</v>
      </c>
      <c r="J404" s="698"/>
      <c r="K404" s="702"/>
      <c r="L404" s="702" t="s">
        <v>181</v>
      </c>
      <c r="M404" s="702" t="s">
        <v>399</v>
      </c>
      <c r="N404" s="702" t="s">
        <v>134</v>
      </c>
      <c r="O404" s="702"/>
      <c r="P404" s="702"/>
      <c r="Q404" s="700"/>
      <c r="R404" s="701"/>
      <c r="S404" s="701"/>
      <c r="T404" s="700">
        <v>30</v>
      </c>
      <c r="U404" s="700"/>
      <c r="V404" s="700"/>
      <c r="W404" s="703">
        <v>1.4</v>
      </c>
      <c r="X404" s="703"/>
      <c r="Y404" s="703"/>
      <c r="Z404" s="703"/>
      <c r="AA404" s="703"/>
      <c r="AB404" s="703"/>
      <c r="AC404" s="702" t="str">
        <f t="shared" si="45"/>
        <v>PHC</v>
      </c>
      <c r="AD404" s="702"/>
      <c r="AE404" s="702"/>
      <c r="AF404" s="700"/>
      <c r="AG404" s="699"/>
      <c r="AH404" s="700"/>
      <c r="AI404" s="700"/>
      <c r="AJ404" s="702"/>
      <c r="AK404" s="702"/>
      <c r="AL404" s="702"/>
      <c r="AM404" s="702" t="s">
        <v>126</v>
      </c>
      <c r="AN404" s="704">
        <v>5.5</v>
      </c>
      <c r="AO404" s="703"/>
      <c r="AP404" s="703"/>
      <c r="AQ404" s="703"/>
      <c r="AR404" s="703"/>
      <c r="AS404" s="703"/>
      <c r="AT404" s="703">
        <f>+ab($T$404,$T$402,$U$406,$G$403,$G$405,-1*$F$404,1200)</f>
        <v>4.6476743444804232</v>
      </c>
      <c r="AU404" s="705"/>
      <c r="AV404" s="705"/>
      <c r="AW404" s="702" t="str">
        <f>IF(C404&gt;0,VLOOKUP(C404,Foundation_Calc!$A$2:$C$13,3,1),
IF(J404&gt;0,VLOOKUP(J404,Foundation_Calc!$A$2:$C$13,3,1),""))</f>
        <v>Multi Soil</v>
      </c>
      <c r="AX404" s="702" t="str">
        <f>IF(C404&gt;0,VLOOKUP(C404,Foundation_Calc!$E$2:$G$33,3,1),
IF(J404&gt;0,VLOOKUP(J404,Foundation_Calc!$E$2:$G$33,3,1),""))</f>
        <v>PT</v>
      </c>
      <c r="AY404" s="704">
        <f>IF(L404="","",
IF(AX404="PT",VLOOKUP(L404,Foundation_Calc!$K$79:$R$113,VLOOKUP(AW404,Foundation_Calc!$I$2:$J$8,2,FALSE),0),
IF(AX404="K",VLOOKUP(L404,Foundation_Calc!$K$117:$R$151,VLOOKUP(AW404,Foundation_Calc!$I$2:$J$8,2,FALSE),0),"")))</f>
        <v>3.5</v>
      </c>
      <c r="AZ404" s="704" t="str">
        <f>IF(K404="","",
IF(AX404="PT",VLOOKUP(K404,Foundation_Calc!$K$79:$R$113,VLOOKUP(AW404,Foundation_Calc!$I$2:$J$8,2,FALSE),0),
IF(AX404="K",VLOOKUP(K404,Foundation_Calc!$K$117:$R$151,VLOOKUP(AW404,Foundation_Calc!$I$2:$J$8,2,FALSE),0),"")))</f>
        <v/>
      </c>
      <c r="BA404" s="495" t="str">
        <f t="shared" si="42"/>
        <v>ü</v>
      </c>
      <c r="BB404" s="495" t="str">
        <f t="shared" si="43"/>
        <v/>
      </c>
      <c r="BC404" s="495" t="str">
        <f t="shared" si="44"/>
        <v/>
      </c>
      <c r="BD404" s="513" t="str">
        <f>IF(AND(L404="",H404=""),"",
IF(H404="",Pole_Calc!A$9,
IF(H404="MP",Pole_Calc!A$10,
IF(H404="AnMP",Pole_Calc!A$11,
IF(H404="A",Pole_Calc!A$12,
IF(H404="S/A",Pole_Calc!A$13,
IF(H404="A/S",Pole_Calc!A$14,"Poner a mano")))))))</f>
        <v>App.7-V11I-P9.5.1.6</v>
      </c>
      <c r="BE404" s="429" t="s">
        <v>118</v>
      </c>
      <c r="BF404" s="289"/>
      <c r="BG404" s="289"/>
      <c r="BH404" s="290"/>
      <c r="BI404" s="289"/>
    </row>
    <row r="405" spans="1:61" ht="16.149999999999999" customHeight="1">
      <c r="A405" s="696"/>
      <c r="B405" s="697"/>
      <c r="C405" s="698"/>
      <c r="D405" s="699"/>
      <c r="E405" s="700"/>
      <c r="F405" s="700"/>
      <c r="G405" s="701">
        <v>45</v>
      </c>
      <c r="H405" s="702"/>
      <c r="I405" s="700"/>
      <c r="J405" s="698"/>
      <c r="K405" s="702"/>
      <c r="L405" s="702"/>
      <c r="M405" s="702" t="str">
        <f>IF(L405="","",
IF(AX405="PT",VLOOKUP(L405,Foundation_Calc!$V$79:$X$113,VLOOKUP(AX405,Foundation_Calc!$I$10:$J$13,2,FALSE),0),
IF(AX405="K",VLOOKUP(L405,Foundation_Calc!$V$117:$X$151,VLOOKUP(AX405,Foundation_Calc!$I$10:$J$13,2,FALSE),0),"")))</f>
        <v/>
      </c>
      <c r="N405" s="702"/>
      <c r="O405" s="702"/>
      <c r="P405" s="702"/>
      <c r="Q405" s="700"/>
      <c r="R405" s="701"/>
      <c r="S405" s="701"/>
      <c r="T405" s="700"/>
      <c r="U405" s="700"/>
      <c r="V405" s="700"/>
      <c r="W405" s="703"/>
      <c r="X405" s="703"/>
      <c r="Y405" s="703"/>
      <c r="Z405" s="703"/>
      <c r="AA405" s="703"/>
      <c r="AB405" s="703"/>
      <c r="AC405" s="702" t="str">
        <f t="shared" si="45"/>
        <v/>
      </c>
      <c r="AD405" s="702"/>
      <c r="AE405" s="702"/>
      <c r="AF405" s="700"/>
      <c r="AG405" s="699"/>
      <c r="AH405" s="700"/>
      <c r="AI405" s="700"/>
      <c r="AJ405" s="702"/>
      <c r="AK405" s="702"/>
      <c r="AL405" s="702"/>
      <c r="AM405" s="702"/>
      <c r="AN405" s="704"/>
      <c r="AO405" s="703"/>
      <c r="AP405" s="703"/>
      <c r="AQ405" s="703">
        <f>+FL_2($U$406,$T$404,$G$405,1200,9.28,-1*$F$406)</f>
        <v>-0.34564777843082867</v>
      </c>
      <c r="AR405" s="703"/>
      <c r="AS405" s="703"/>
      <c r="AT405" s="703"/>
      <c r="AU405" s="705"/>
      <c r="AV405" s="705"/>
      <c r="AW405" s="702" t="str">
        <f>IF(C405&gt;0,VLOOKUP(C405,Foundation_Calc!$A$2:$C$13,3,1),
IF(J405&gt;0,VLOOKUP(J405,Foundation_Calc!$A$2:$C$13,3,1),""))</f>
        <v/>
      </c>
      <c r="AX405" s="702" t="str">
        <f>IF(C405&gt;0,VLOOKUP(C405,Foundation_Calc!$E$2:$G$33,3,1),
IF(J405&gt;0,VLOOKUP(J405,Foundation_Calc!$E$2:$G$33,3,1),""))</f>
        <v/>
      </c>
      <c r="AY405" s="704" t="str">
        <f>IF(L405="","",
IF(AX405="PT",VLOOKUP(L405,Foundation_Calc!$K$79:$R$113,VLOOKUP(AW405,Foundation_Calc!$I$2:$J$8,2,FALSE),0),
IF(AX405="K",VLOOKUP(L405,Foundation_Calc!$K$117:$R$151,VLOOKUP(AW405,Foundation_Calc!$I$2:$J$8,2,FALSE),0),"")))</f>
        <v/>
      </c>
      <c r="AZ405" s="704" t="str">
        <f>IF(K405="","",
IF(AX405="PT",VLOOKUP(K405,Foundation_Calc!$K$79:$R$113,VLOOKUP(AW405,Foundation_Calc!$I$2:$J$8,2,FALSE),0),
IF(AX405="K",VLOOKUP(K405,Foundation_Calc!$K$117:$R$151,VLOOKUP(AW405,Foundation_Calc!$I$2:$J$8,2,FALSE),0),"")))</f>
        <v/>
      </c>
      <c r="BA405" s="495" t="str">
        <f t="shared" si="42"/>
        <v/>
      </c>
      <c r="BB405" s="495" t="str">
        <f t="shared" si="43"/>
        <v/>
      </c>
      <c r="BC405" s="495" t="str">
        <f t="shared" si="44"/>
        <v/>
      </c>
      <c r="BD405" s="513" t="str">
        <f>IF(AND(L405="",H405=""),"",
IF(H405="",Pole_Calc!A$9,
IF(H405="MP",Pole_Calc!A$10,
IF(H405="AnMP",Pole_Calc!A$11,
IF(H405="A",Pole_Calc!A$12,
IF(H405="S/A",Pole_Calc!A$13,
IF(H405="A/S",Pole_Calc!A$14,"Poner a mano")))))))</f>
        <v/>
      </c>
      <c r="BE405" s="429" t="s">
        <v>118</v>
      </c>
      <c r="BF405" s="290"/>
      <c r="BG405" s="290"/>
      <c r="BH405" s="290"/>
      <c r="BI405" s="290"/>
    </row>
    <row r="406" spans="1:61" ht="16.149999999999999" customHeight="1">
      <c r="A406" s="696" t="s">
        <v>407</v>
      </c>
      <c r="B406" s="720" t="s">
        <v>408</v>
      </c>
      <c r="C406" s="698">
        <f>+$C$404+$G$405</f>
        <v>39861.359999999986</v>
      </c>
      <c r="D406" s="699"/>
      <c r="E406" s="700"/>
      <c r="F406" s="700">
        <f>(342^2)/(C406-39890.43)</f>
        <v>-4023.5294117627323</v>
      </c>
      <c r="G406" s="701"/>
      <c r="H406" s="702" t="s">
        <v>131</v>
      </c>
      <c r="I406" s="700" t="s">
        <v>132</v>
      </c>
      <c r="J406" s="698"/>
      <c r="K406" s="702"/>
      <c r="L406" s="702" t="s">
        <v>298</v>
      </c>
      <c r="M406" s="702" t="s">
        <v>409</v>
      </c>
      <c r="N406" s="702" t="s">
        <v>133</v>
      </c>
      <c r="O406" s="702" t="s">
        <v>124</v>
      </c>
      <c r="P406" s="702"/>
      <c r="Q406" s="700"/>
      <c r="R406" s="701"/>
      <c r="S406" s="701"/>
      <c r="T406" s="700">
        <v>15</v>
      </c>
      <c r="U406" s="700">
        <v>-30</v>
      </c>
      <c r="V406" s="700"/>
      <c r="W406" s="703">
        <v>1.4</v>
      </c>
      <c r="X406" s="703">
        <v>2</v>
      </c>
      <c r="Y406" s="703"/>
      <c r="Z406" s="703">
        <v>0.4</v>
      </c>
      <c r="AA406" s="703"/>
      <c r="AB406" s="703"/>
      <c r="AC406" s="702"/>
      <c r="AD406" s="702"/>
      <c r="AE406" s="702"/>
      <c r="AF406" s="700"/>
      <c r="AG406" s="699"/>
      <c r="AH406" s="700"/>
      <c r="AI406" s="700"/>
      <c r="AJ406" s="702" t="s">
        <v>233</v>
      </c>
      <c r="AK406" s="702"/>
      <c r="AL406" s="702"/>
      <c r="AM406" s="702" t="s">
        <v>126</v>
      </c>
      <c r="AN406" s="704">
        <v>5.5</v>
      </c>
      <c r="AO406" s="703"/>
      <c r="AP406" s="703"/>
      <c r="AQ406" s="703"/>
      <c r="AR406" s="703"/>
      <c r="AS406" s="703"/>
      <c r="AT406" s="703">
        <f>+ab($U$406,$T$404,$T$408,$G$405,$G$407,-1*$F$406,1200)</f>
        <v>-12.206127063134653</v>
      </c>
      <c r="AU406" s="705"/>
      <c r="AV406" s="705"/>
      <c r="AW406" s="702" t="str">
        <f>IF(C406&gt;0,VLOOKUP(C406,Foundation_Calc!$A$2:$C$13,3,1),
IF(J406&gt;0,VLOOKUP(J406,Foundation_Calc!$A$2:$C$13,3,1),""))</f>
        <v>Multi Soil</v>
      </c>
      <c r="AX406" s="702" t="str">
        <f>IF(C406&gt;0,VLOOKUP(C406,Foundation_Calc!$E$2:$G$33,3,1),
IF(J406&gt;0,VLOOKUP(J406,Foundation_Calc!$E$2:$G$33,3,1),""))</f>
        <v>PT</v>
      </c>
      <c r="AY406" s="704">
        <f>IF(L406="","",
IF(AX406="PT",VLOOKUP(L406,Foundation_Calc!$K$79:$R$113,VLOOKUP(AW406,Foundation_Calc!$I$2:$J$8,2,FALSE),0),
IF(AX406="K",VLOOKUP(L406,Foundation_Calc!$K$117:$R$151,VLOOKUP(AW406,Foundation_Calc!$I$2:$J$8,2,FALSE),0),"")))</f>
        <v>4</v>
      </c>
      <c r="AZ406" s="704" t="str">
        <f>IF(K406="","",
IF(AX406="PT",VLOOKUP(K406,Foundation_Calc!$K$79:$R$113,VLOOKUP(AW406,Foundation_Calc!$I$2:$J$8,2,FALSE),0),
IF(AX406="K",VLOOKUP(K406,Foundation_Calc!$K$117:$R$151,VLOOKUP(AW406,Foundation_Calc!$I$2:$J$8,2,FALSE),0),"")))</f>
        <v/>
      </c>
      <c r="BA406" s="496" t="str">
        <f t="shared" ref="BA406:BA418" si="46">IF(AY406="","",IF(AY406&gt;0,"ü",""))</f>
        <v>ü</v>
      </c>
      <c r="BB406" s="496" t="str">
        <f t="shared" ref="BB406:BB418" si="47">IF(AZ406="","",IF(AZ406&gt;0,"ü",""))</f>
        <v/>
      </c>
      <c r="BC406" s="496" t="str">
        <f t="shared" ref="BC406:BC418" si="48">IF(M406="","",IF(M406="U.S.","ü",IF(M406="U.S. N.D.","ü","")))</f>
        <v/>
      </c>
      <c r="BD406" s="513" t="str">
        <f>IF(AND(L406="",H406=""),"",
IF(H406="",Pole_Calc!A$9,
IF(H406="MP",Pole_Calc!A$10,
IF(H406="AnMP",Pole_Calc!A$11,
IF(H406="A",Pole_Calc!A$12,
IF(H406="S/A",Pole_Calc!A$13,
IF(H406="A/S",Pole_Calc!A$14,"Poner a mano")))))))</f>
        <v>App.7-V11I-P9.5.1.5</v>
      </c>
      <c r="BE406" s="429" t="s">
        <v>118</v>
      </c>
      <c r="BF406" s="289"/>
      <c r="BG406" s="289"/>
      <c r="BH406" s="290"/>
      <c r="BI406" s="289"/>
    </row>
    <row r="407" spans="1:61" ht="16.149999999999999" customHeight="1">
      <c r="A407" s="696"/>
      <c r="B407" s="697"/>
      <c r="C407" s="698"/>
      <c r="D407" s="699"/>
      <c r="E407" s="700"/>
      <c r="F407" s="700"/>
      <c r="G407" s="701">
        <v>45</v>
      </c>
      <c r="H407" s="702"/>
      <c r="I407" s="700"/>
      <c r="J407" s="698"/>
      <c r="K407" s="702"/>
      <c r="L407" s="702"/>
      <c r="M407" s="702" t="str">
        <f>IF(L407="","",
IF(AX407="PT",VLOOKUP(L407,Foundation_Calc!$V$79:$X$113,VLOOKUP(AX407,Foundation_Calc!$I$10:$J$13,2,FALSE),0),
IF(AX407="K",VLOOKUP(L407,Foundation_Calc!$V$117:$X$151,VLOOKUP(AX407,Foundation_Calc!$I$10:$J$13,2,FALSE),0),"")))</f>
        <v/>
      </c>
      <c r="N407" s="702"/>
      <c r="O407" s="702"/>
      <c r="P407" s="702"/>
      <c r="Q407" s="700"/>
      <c r="R407" s="701"/>
      <c r="S407" s="701"/>
      <c r="T407" s="700"/>
      <c r="U407" s="700"/>
      <c r="V407" s="700"/>
      <c r="W407" s="703"/>
      <c r="X407" s="703"/>
      <c r="Y407" s="703"/>
      <c r="Z407" s="703"/>
      <c r="AA407" s="703"/>
      <c r="AB407" s="703"/>
      <c r="AC407" s="702" t="str">
        <f t="shared" si="45"/>
        <v/>
      </c>
      <c r="AD407" s="702"/>
      <c r="AE407" s="702"/>
      <c r="AF407" s="700"/>
      <c r="AG407" s="699"/>
      <c r="AH407" s="700"/>
      <c r="AI407" s="700"/>
      <c r="AJ407" s="702"/>
      <c r="AK407" s="702"/>
      <c r="AL407" s="702"/>
      <c r="AM407" s="702"/>
      <c r="AN407" s="704"/>
      <c r="AO407" s="703"/>
      <c r="AP407" s="703"/>
      <c r="AQ407" s="703">
        <f>+FL_1($T$408,$U$406,$G$407,1200,9.28,-1*$F$408)</f>
        <v>0.31069252800000002</v>
      </c>
      <c r="AR407" s="703"/>
      <c r="AS407" s="703"/>
      <c r="AT407" s="703"/>
      <c r="AU407" s="705"/>
      <c r="AV407" s="705"/>
      <c r="AW407" s="702" t="str">
        <f>IF(C407&gt;0,VLOOKUP(C407,Foundation_Calc!$A$2:$C$13,3,1),
IF(J407&gt;0,VLOOKUP(J407,Foundation_Calc!$A$2:$C$13,3,1),""))</f>
        <v/>
      </c>
      <c r="AX407" s="702" t="str">
        <f>IF(C407&gt;0,VLOOKUP(C407,Foundation_Calc!$E$2:$G$33,3,1),
IF(J407&gt;0,VLOOKUP(J407,Foundation_Calc!$E$2:$G$33,3,1),""))</f>
        <v/>
      </c>
      <c r="AY407" s="704" t="str">
        <f>IF(L407="","",
IF(AX407="PT",VLOOKUP(L407,Foundation_Calc!$K$79:$R$113,VLOOKUP(AW407,Foundation_Calc!$I$2:$J$8,2,FALSE),0),
IF(AX407="K",VLOOKUP(L407,Foundation_Calc!$K$117:$R$151,VLOOKUP(AW407,Foundation_Calc!$I$2:$J$8,2,FALSE),0),"")))</f>
        <v/>
      </c>
      <c r="AZ407" s="704" t="str">
        <f>IF(K407="","",
IF(AX407="PT",VLOOKUP(K407,Foundation_Calc!$K$79:$R$113,VLOOKUP(AW407,Foundation_Calc!$I$2:$J$8,2,FALSE),0),
IF(AX407="K",VLOOKUP(K407,Foundation_Calc!$K$117:$R$151,VLOOKUP(AW407,Foundation_Calc!$I$2:$J$8,2,FALSE),0),"")))</f>
        <v/>
      </c>
      <c r="BA407" s="495" t="str">
        <f t="shared" si="46"/>
        <v/>
      </c>
      <c r="BB407" s="495" t="str">
        <f t="shared" si="47"/>
        <v/>
      </c>
      <c r="BC407" s="495" t="str">
        <f t="shared" si="48"/>
        <v/>
      </c>
      <c r="BD407" s="513" t="str">
        <f>IF(AND(L407="",H407=""),"",
IF(H407="",Pole_Calc!A$9,
IF(H407="MP",Pole_Calc!A$10,
IF(H407="AnMP",Pole_Calc!A$11,
IF(H407="A",Pole_Calc!A$12,
IF(H407="S/A",Pole_Calc!A$13,
IF(H407="A/S",Pole_Calc!A$14,"Poner a mano")))))))</f>
        <v/>
      </c>
      <c r="BE407" s="429" t="s">
        <v>118</v>
      </c>
      <c r="BF407" s="290"/>
      <c r="BG407" s="290"/>
      <c r="BH407" s="290"/>
      <c r="BI407" s="290"/>
    </row>
    <row r="408" spans="1:61" ht="15.75" customHeight="1">
      <c r="A408" s="696"/>
      <c r="B408" s="720" t="s">
        <v>410</v>
      </c>
      <c r="C408" s="698">
        <f>+$C$406+$G$407</f>
        <v>39906.359999999986</v>
      </c>
      <c r="D408" s="699"/>
      <c r="E408" s="700"/>
      <c r="F408" s="700">
        <f>IF(C408&gt;0,VLOOKUP(C408,'ALIGNMENT TRACK'!$A$1:$K$81,9,1))</f>
        <v>0</v>
      </c>
      <c r="G408" s="701"/>
      <c r="H408" s="702" t="s">
        <v>230</v>
      </c>
      <c r="I408" s="700" t="s">
        <v>122</v>
      </c>
      <c r="J408" s="698"/>
      <c r="K408" s="702"/>
      <c r="L408" s="702" t="s">
        <v>206</v>
      </c>
      <c r="M408" s="702" t="s">
        <v>411</v>
      </c>
      <c r="N408" s="702" t="s">
        <v>134</v>
      </c>
      <c r="O408" s="702" t="s">
        <v>133</v>
      </c>
      <c r="P408" s="702"/>
      <c r="Q408" s="700"/>
      <c r="R408" s="701"/>
      <c r="S408" s="701"/>
      <c r="T408" s="700">
        <v>30</v>
      </c>
      <c r="U408" s="700">
        <v>-15</v>
      </c>
      <c r="V408" s="700"/>
      <c r="W408" s="703">
        <v>1.4</v>
      </c>
      <c r="X408" s="703">
        <v>2</v>
      </c>
      <c r="Y408" s="703"/>
      <c r="Z408" s="703"/>
      <c r="AA408" s="703">
        <v>0.4</v>
      </c>
      <c r="AB408" s="703"/>
      <c r="AC408" s="702" t="str">
        <f t="shared" si="45"/>
        <v>PH</v>
      </c>
      <c r="AD408" s="702"/>
      <c r="AE408" s="702"/>
      <c r="AF408" s="700"/>
      <c r="AG408" s="699"/>
      <c r="AH408" s="700"/>
      <c r="AI408" s="700"/>
      <c r="AJ408" s="702"/>
      <c r="AK408" s="702"/>
      <c r="AL408" s="702"/>
      <c r="AM408" s="702" t="s">
        <v>126</v>
      </c>
      <c r="AN408" s="704">
        <v>5.5</v>
      </c>
      <c r="AO408" s="703"/>
      <c r="AP408" s="703"/>
      <c r="AQ408" s="703"/>
      <c r="AR408" s="703"/>
      <c r="AS408" s="703"/>
      <c r="AT408" s="703">
        <f>+ab($T$408,$U$406,$U$410,$G$407,$G$409,-1*$F$408,1200)</f>
        <v>13.301103302333463</v>
      </c>
      <c r="AU408" s="705"/>
      <c r="AV408" s="705"/>
      <c r="AW408" s="702" t="str">
        <f>IF(C408&gt;0,VLOOKUP(C408,Foundation_Calc!$A$2:$C$13,3,1),
IF(J408&gt;0,VLOOKUP(J408,Foundation_Calc!$A$2:$C$13,3,1),""))</f>
        <v>Multi Soil</v>
      </c>
      <c r="AX408" s="702" t="str">
        <f>IF(C408&gt;0,VLOOKUP(C408,Foundation_Calc!$E$2:$G$33,3,1),
IF(J408&gt;0,VLOOKUP(J408,Foundation_Calc!$E$2:$G$33,3,1),""))</f>
        <v>PT</v>
      </c>
      <c r="AY408" s="704">
        <f>IF(L408="","",
IF(AX408="PT",VLOOKUP(L408,Foundation_Calc!$K$79:$R$113,VLOOKUP(AW408,Foundation_Calc!$I$2:$J$8,2,FALSE),0),
IF(AX408="K",VLOOKUP(L408,Foundation_Calc!$K$117:$R$151,VLOOKUP(AW408,Foundation_Calc!$I$2:$J$8,2,FALSE),0),"")))</f>
        <v>4</v>
      </c>
      <c r="AZ408" s="704" t="str">
        <f>IF(K408="","",
IF(AX408="PT",VLOOKUP(K408,Foundation_Calc!$K$79:$R$113,VLOOKUP(AW408,Foundation_Calc!$I$2:$J$8,2,FALSE),0),
IF(AX408="K",VLOOKUP(K408,Foundation_Calc!$K$117:$R$151,VLOOKUP(AW408,Foundation_Calc!$I$2:$J$8,2,FALSE),0),"")))</f>
        <v/>
      </c>
      <c r="BA408" s="495" t="str">
        <f t="shared" si="46"/>
        <v>ü</v>
      </c>
      <c r="BB408" s="495" t="str">
        <f t="shared" si="47"/>
        <v/>
      </c>
      <c r="BC408" s="495" t="str">
        <f t="shared" si="48"/>
        <v/>
      </c>
      <c r="BD408" s="513" t="str">
        <f>Pole_Calc!A$168</f>
        <v>App.7-V11I-P9.5.15.3</v>
      </c>
      <c r="BE408" s="429" t="s">
        <v>118</v>
      </c>
      <c r="BF408" s="289"/>
      <c r="BG408" s="289"/>
      <c r="BH408" s="290"/>
      <c r="BI408" s="289"/>
    </row>
    <row r="409" spans="1:61" ht="15.75" customHeight="1">
      <c r="A409" s="696"/>
      <c r="B409" s="697"/>
      <c r="C409" s="698"/>
      <c r="D409" s="699"/>
      <c r="E409" s="700"/>
      <c r="F409" s="700"/>
      <c r="G409" s="701">
        <v>60</v>
      </c>
      <c r="H409" s="702"/>
      <c r="I409" s="700">
        <v>250</v>
      </c>
      <c r="J409" s="698"/>
      <c r="K409" s="702"/>
      <c r="L409" s="702"/>
      <c r="M409" s="702" t="str">
        <f>IF(L409="","",
IF(AX409="PT",VLOOKUP(L409,Foundation_Calc!$V$79:$X$113,VLOOKUP(AX409,Foundation_Calc!$I$10:$J$13,2,FALSE),0),
IF(AX409="K",VLOOKUP(L409,Foundation_Calc!$V$117:$X$151,VLOOKUP(AX409,Foundation_Calc!$I$10:$J$13,2,FALSE),0),"")))</f>
        <v/>
      </c>
      <c r="N409" s="702"/>
      <c r="O409" s="702"/>
      <c r="P409" s="702"/>
      <c r="Q409" s="700"/>
      <c r="R409" s="701"/>
      <c r="S409" s="701"/>
      <c r="T409" s="700"/>
      <c r="U409" s="700"/>
      <c r="V409" s="700"/>
      <c r="W409" s="703"/>
      <c r="X409" s="703"/>
      <c r="Y409" s="703"/>
      <c r="Z409" s="703"/>
      <c r="AA409" s="703"/>
      <c r="AB409" s="703"/>
      <c r="AC409" s="702" t="str">
        <f t="shared" si="45"/>
        <v/>
      </c>
      <c r="AD409" s="702"/>
      <c r="AE409" s="702"/>
      <c r="AF409" s="700"/>
      <c r="AG409" s="699"/>
      <c r="AH409" s="700"/>
      <c r="AI409" s="700"/>
      <c r="AJ409" s="702"/>
      <c r="AK409" s="702"/>
      <c r="AL409" s="702"/>
      <c r="AM409" s="702"/>
      <c r="AN409" s="704"/>
      <c r="AO409" s="703"/>
      <c r="AP409" s="703"/>
      <c r="AQ409" s="703">
        <f>+FL_2($U$410,$T$408,$G$409,1200,9.28,-1*$F$410)</f>
        <v>-7.3448991999999991E-2</v>
      </c>
      <c r="AR409" s="703"/>
      <c r="AS409" s="703"/>
      <c r="AT409" s="703"/>
      <c r="AU409" s="705"/>
      <c r="AV409" s="705"/>
      <c r="AW409" s="702" t="str">
        <f>IF(C409&gt;0,VLOOKUP(C409,Foundation_Calc!$A$2:$C$13,3,1),
IF(J409&gt;0,VLOOKUP(J409,Foundation_Calc!$A$2:$C$13,3,1),""))</f>
        <v/>
      </c>
      <c r="AX409" s="702" t="str">
        <f>IF(C409&gt;0,VLOOKUP(C409,Foundation_Calc!$E$2:$G$33,3,1),
IF(J409&gt;0,VLOOKUP(J409,Foundation_Calc!$E$2:$G$33,3,1),""))</f>
        <v/>
      </c>
      <c r="AY409" s="704" t="str">
        <f>IF(L409="","",
IF(AX409="PT",VLOOKUP(L409,Foundation_Calc!$K$79:$R$113,VLOOKUP(AW409,Foundation_Calc!$I$2:$J$8,2,FALSE),0),
IF(AX409="K",VLOOKUP(L409,Foundation_Calc!$K$117:$R$151,VLOOKUP(AW409,Foundation_Calc!$I$2:$J$8,2,FALSE),0),"")))</f>
        <v/>
      </c>
      <c r="AZ409" s="704" t="str">
        <f>IF(K409="","",
IF(AX409="PT",VLOOKUP(K409,Foundation_Calc!$K$79:$R$113,VLOOKUP(AW409,Foundation_Calc!$I$2:$J$8,2,FALSE),0),
IF(AX409="K",VLOOKUP(K409,Foundation_Calc!$K$117:$R$151,VLOOKUP(AW409,Foundation_Calc!$I$2:$J$8,2,FALSE),0),"")))</f>
        <v/>
      </c>
      <c r="BA409" s="495" t="str">
        <f t="shared" si="46"/>
        <v/>
      </c>
      <c r="BB409" s="495" t="str">
        <f t="shared" si="47"/>
        <v/>
      </c>
      <c r="BC409" s="495" t="str">
        <f t="shared" si="48"/>
        <v/>
      </c>
      <c r="BD409" s="513" t="str">
        <f>IF(AND(L409="",H409=""),"",
IF(H409="",Pole_Calc!A$9,
IF(H409="MP",Pole_Calc!A$10,
IF(H409="AnMP",Pole_Calc!A$11,
IF(H409="A",Pole_Calc!A$12,
IF(H409="S/A",Pole_Calc!A$13,
IF(H409="A/S",Pole_Calc!A$14,"Poner a mano")))))))</f>
        <v/>
      </c>
      <c r="BE409" s="429" t="s">
        <v>118</v>
      </c>
      <c r="BF409" s="290"/>
      <c r="BG409" s="290"/>
      <c r="BH409" s="290"/>
      <c r="BI409" s="290"/>
    </row>
    <row r="410" spans="1:61" ht="15.75" customHeight="1">
      <c r="A410" s="708"/>
      <c r="B410" s="720" t="s">
        <v>412</v>
      </c>
      <c r="C410" s="698">
        <f>+$C$408+$G$409</f>
        <v>39966.359999999986</v>
      </c>
      <c r="D410" s="699"/>
      <c r="E410" s="700"/>
      <c r="F410" s="700">
        <f>IF(C410&gt;0,VLOOKUP(C410,'ALIGNMENT TRACK'!$A$1:$K$81,9,1))</f>
        <v>0</v>
      </c>
      <c r="G410" s="701"/>
      <c r="H410" s="702" t="s">
        <v>236</v>
      </c>
      <c r="I410" s="700" t="s">
        <v>122</v>
      </c>
      <c r="J410" s="698"/>
      <c r="K410" s="702"/>
      <c r="L410" s="702" t="s">
        <v>206</v>
      </c>
      <c r="M410" s="702" t="str">
        <f>IF(L410="","",
IF(AX410="PT",VLOOKUP(L410,Foundation_Calc!$V$79:$X$113,VLOOKUP(AX410,Foundation_Calc!$I$10:$J$13,2,FALSE),0),
IF(AX410="K",VLOOKUP(L410,Foundation_Calc!$V$117:$X$151,VLOOKUP(AX410,Foundation_Calc!$I$10:$J$13,2,FALSE),0),"")))</f>
        <v>2C4R</v>
      </c>
      <c r="N410" s="737" t="s">
        <v>133</v>
      </c>
      <c r="O410" s="702" t="s">
        <v>134</v>
      </c>
      <c r="P410" s="702"/>
      <c r="Q410" s="700"/>
      <c r="R410" s="701"/>
      <c r="S410" s="701"/>
      <c r="T410" s="700">
        <v>80</v>
      </c>
      <c r="U410" s="700">
        <v>25</v>
      </c>
      <c r="V410" s="700"/>
      <c r="W410" s="703">
        <v>1.4</v>
      </c>
      <c r="X410" s="703">
        <v>2</v>
      </c>
      <c r="Y410" s="703"/>
      <c r="Z410" s="703">
        <v>0.55000000000000004</v>
      </c>
      <c r="AA410" s="703"/>
      <c r="AB410" s="703"/>
      <c r="AC410" s="702"/>
      <c r="AD410" s="702"/>
      <c r="AE410" s="702"/>
      <c r="AF410" s="700"/>
      <c r="AG410" s="699"/>
      <c r="AH410" s="700"/>
      <c r="AI410" s="700"/>
      <c r="AJ410" s="702"/>
      <c r="AK410" s="702"/>
      <c r="AL410" s="702"/>
      <c r="AM410" s="702" t="s">
        <v>126</v>
      </c>
      <c r="AN410" s="704">
        <v>5.5</v>
      </c>
      <c r="AO410" s="703"/>
      <c r="AP410" s="703"/>
      <c r="AQ410" s="703"/>
      <c r="AR410" s="703"/>
      <c r="AS410" s="703"/>
      <c r="AT410" s="703">
        <f>+ab($U$410,$T$408,$U$412,$G$409,$G$411,-1*$F$410,1200)</f>
        <v>-76.028236367784444</v>
      </c>
      <c r="AU410" s="705"/>
      <c r="AV410" s="705"/>
      <c r="AW410" s="702" t="str">
        <f>IF(C410&gt;0,VLOOKUP(C410,Foundation_Calc!$A$2:$C$13,3,1),
IF(J410&gt;0,VLOOKUP(J410,Foundation_Calc!$A$2:$C$13,3,1),""))</f>
        <v>Multi Soil</v>
      </c>
      <c r="AX410" s="702" t="str">
        <f>IF(C410&gt;0,VLOOKUP(C410,Foundation_Calc!$E$2:$G$33,3,1),
IF(J410&gt;0,VLOOKUP(J410,Foundation_Calc!$E$2:$G$33,3,1),""))</f>
        <v>PT</v>
      </c>
      <c r="AY410" s="704">
        <f>IF(L410="","",
IF(AX410="PT",VLOOKUP(L410,Foundation_Calc!$K$79:$R$113,VLOOKUP(AW410,Foundation_Calc!$I$2:$J$8,2,FALSE),0),
IF(AX410="K",VLOOKUP(L410,Foundation_Calc!$K$117:$R$151,VLOOKUP(AW410,Foundation_Calc!$I$2:$J$8,2,FALSE),0),"")))</f>
        <v>4</v>
      </c>
      <c r="AZ410" s="704" t="str">
        <f>IF(K410="","",
IF(AX410="PT",VLOOKUP(K410,Foundation_Calc!$K$79:$R$113,VLOOKUP(AW410,Foundation_Calc!$I$2:$J$8,2,FALSE),0),
IF(AX410="K",VLOOKUP(K410,Foundation_Calc!$K$117:$R$151,VLOOKUP(AW410,Foundation_Calc!$I$2:$J$8,2,FALSE),0),"")))</f>
        <v/>
      </c>
      <c r="BA410" s="495" t="str">
        <f t="shared" si="46"/>
        <v>ü</v>
      </c>
      <c r="BB410" s="495" t="str">
        <f t="shared" si="47"/>
        <v/>
      </c>
      <c r="BC410" s="495" t="str">
        <f t="shared" si="48"/>
        <v/>
      </c>
      <c r="BD410" s="513" t="str">
        <f>Pole_Calc!A$168</f>
        <v>App.7-V11I-P9.5.15.3</v>
      </c>
      <c r="BE410" s="429" t="s">
        <v>118</v>
      </c>
      <c r="BF410" s="289"/>
      <c r="BG410" s="289"/>
      <c r="BH410" s="290"/>
      <c r="BI410" s="289"/>
    </row>
    <row r="411" spans="1:61" ht="15.75" customHeight="1">
      <c r="A411" s="708"/>
      <c r="B411" s="697"/>
      <c r="C411" s="698"/>
      <c r="D411" s="699"/>
      <c r="E411" s="700"/>
      <c r="F411" s="700"/>
      <c r="G411" s="701">
        <v>52.5</v>
      </c>
      <c r="H411" s="702"/>
      <c r="I411" s="700"/>
      <c r="J411" s="698"/>
      <c r="K411" s="702"/>
      <c r="L411" s="702"/>
      <c r="M411" s="702" t="str">
        <f>IF(L411="","",
IF(AX411="PT",VLOOKUP(L411,Foundation_Calc!$V$79:$X$113,VLOOKUP(AX411,Foundation_Calc!$I$10:$J$13,2,FALSE),0),
IF(AX411="K",VLOOKUP(L411,Foundation_Calc!$V$117:$X$151,VLOOKUP(AX411,Foundation_Calc!$I$10:$J$13,2,FALSE),0),"")))</f>
        <v/>
      </c>
      <c r="N411" s="702"/>
      <c r="O411" s="702"/>
      <c r="P411" s="702"/>
      <c r="Q411" s="700"/>
      <c r="R411" s="701"/>
      <c r="S411" s="701"/>
      <c r="T411" s="700"/>
      <c r="U411" s="700"/>
      <c r="V411" s="700"/>
      <c r="W411" s="703"/>
      <c r="X411" s="703"/>
      <c r="Y411" s="703"/>
      <c r="Z411" s="703"/>
      <c r="AA411" s="703"/>
      <c r="AB411" s="703"/>
      <c r="AC411" s="702" t="str">
        <f t="shared" si="45"/>
        <v/>
      </c>
      <c r="AD411" s="702"/>
      <c r="AE411" s="702"/>
      <c r="AF411" s="700"/>
      <c r="AG411" s="699"/>
      <c r="AH411" s="700"/>
      <c r="AI411" s="700"/>
      <c r="AJ411" s="702"/>
      <c r="AK411" s="702"/>
      <c r="AL411" s="702"/>
      <c r="AM411" s="702"/>
      <c r="AN411" s="704"/>
      <c r="AO411" s="703"/>
      <c r="AP411" s="703"/>
      <c r="AQ411" s="703">
        <f>+FL_2($U$412,$U$410,$G$411,1200,9.28,-1*$F$412)</f>
        <v>-1.643749999999998E-2</v>
      </c>
      <c r="AR411" s="703"/>
      <c r="AS411" s="703"/>
      <c r="AT411" s="703"/>
      <c r="AU411" s="705"/>
      <c r="AV411" s="705"/>
      <c r="AW411" s="702" t="str">
        <f>IF(C411&gt;0,VLOOKUP(C411,Foundation_Calc!$A$2:$C$13,3,1),
IF(J411&gt;0,VLOOKUP(J411,Foundation_Calc!$A$2:$C$13,3,1),""))</f>
        <v/>
      </c>
      <c r="AX411" s="702" t="str">
        <f>IF(C411&gt;0,VLOOKUP(C411,Foundation_Calc!$E$2:$G$33,3,1),
IF(J411&gt;0,VLOOKUP(J411,Foundation_Calc!$E$2:$G$33,3,1),""))</f>
        <v/>
      </c>
      <c r="AY411" s="704" t="str">
        <f>IF(L411="","",
IF(AX411="PT",VLOOKUP(L411,Foundation_Calc!$K$79:$R$113,VLOOKUP(AW411,Foundation_Calc!$I$2:$J$8,2,FALSE),0),
IF(AX411="K",VLOOKUP(L411,Foundation_Calc!$K$117:$R$151,VLOOKUP(AW411,Foundation_Calc!$I$2:$J$8,2,FALSE),0),"")))</f>
        <v/>
      </c>
      <c r="AZ411" s="704" t="str">
        <f>IF(K411="","",
IF(AX411="PT",VLOOKUP(K411,Foundation_Calc!$K$79:$R$113,VLOOKUP(AW411,Foundation_Calc!$I$2:$J$8,2,FALSE),0),
IF(AX411="K",VLOOKUP(K411,Foundation_Calc!$K$117:$R$151,VLOOKUP(AW411,Foundation_Calc!$I$2:$J$8,2,FALSE),0),"")))</f>
        <v/>
      </c>
      <c r="BA411" s="495" t="str">
        <f t="shared" si="46"/>
        <v/>
      </c>
      <c r="BB411" s="495" t="str">
        <f t="shared" si="47"/>
        <v/>
      </c>
      <c r="BC411" s="495" t="str">
        <f t="shared" si="48"/>
        <v/>
      </c>
      <c r="BD411" s="513" t="str">
        <f>IF(AND(L411="",H411=""),"",
IF(H411="",Pole_Calc!A$9,
IF(H411="MP",Pole_Calc!A$10,
IF(H411="AnMP",Pole_Calc!A$11,
IF(H411="A",Pole_Calc!A$12,
IF(H411="S/A",Pole_Calc!A$13,
IF(H411="A/S",Pole_Calc!A$14,"Poner a mano")))))))</f>
        <v/>
      </c>
      <c r="BE411" s="429" t="s">
        <v>118</v>
      </c>
      <c r="BF411" s="290"/>
      <c r="BG411" s="290"/>
      <c r="BH411" s="290"/>
      <c r="BI411" s="290"/>
    </row>
    <row r="412" spans="1:61" ht="15.75" customHeight="1">
      <c r="A412" s="514" t="s">
        <v>413</v>
      </c>
      <c r="B412" s="720" t="s">
        <v>414</v>
      </c>
      <c r="C412" s="3">
        <f>+$C$410+$G$411</f>
        <v>40018.859999999986</v>
      </c>
      <c r="D412" s="83"/>
      <c r="E412" s="4"/>
      <c r="F412" s="4">
        <f>IF(C412&gt;0,VLOOKUP(C412,'ALIGNMENT TRACK'!$A$1:$K$81,9,1))</f>
        <v>0</v>
      </c>
      <c r="G412" s="6"/>
      <c r="H412" s="449" t="s">
        <v>415</v>
      </c>
      <c r="I412" s="4"/>
      <c r="J412" s="3"/>
      <c r="K412" s="449"/>
      <c r="L412" s="449" t="s">
        <v>183</v>
      </c>
      <c r="M412" s="449" t="s">
        <v>409</v>
      </c>
      <c r="N412" s="554" t="s">
        <v>124</v>
      </c>
      <c r="O412" s="449" t="s">
        <v>134</v>
      </c>
      <c r="P412" s="449"/>
      <c r="Q412" s="4"/>
      <c r="R412" s="6"/>
      <c r="S412" s="6"/>
      <c r="T412" s="4">
        <v>80</v>
      </c>
      <c r="U412" s="4">
        <v>25</v>
      </c>
      <c r="V412" s="4"/>
      <c r="W412" s="9">
        <v>1.4</v>
      </c>
      <c r="X412" s="9">
        <v>2</v>
      </c>
      <c r="Y412" s="9"/>
      <c r="Z412" s="9"/>
      <c r="AA412" s="9"/>
      <c r="AB412" s="9"/>
      <c r="AC412" s="449" t="str">
        <f t="shared" si="45"/>
        <v>PH</v>
      </c>
      <c r="AD412" s="449"/>
      <c r="AE412" s="449"/>
      <c r="AF412" s="4"/>
      <c r="AG412" s="83"/>
      <c r="AH412" s="4"/>
      <c r="AI412" s="4"/>
      <c r="AJ412" s="449" t="s">
        <v>239</v>
      </c>
      <c r="AK412" s="449"/>
      <c r="AL412" s="449"/>
      <c r="AM412" s="449" t="s">
        <v>126</v>
      </c>
      <c r="AN412" s="10">
        <v>5.5</v>
      </c>
      <c r="AO412" s="9"/>
      <c r="AP412" s="9"/>
      <c r="AQ412" s="9"/>
      <c r="AR412" s="9"/>
      <c r="AS412" s="9"/>
      <c r="AT412" s="9">
        <f>+ab($U$412,$U$410,$T$414,$G$411,$G$413,-1*$F$412,1200)</f>
        <v>13.919534968454657</v>
      </c>
      <c r="AU412" s="428"/>
      <c r="AV412" s="428"/>
      <c r="AW412" s="449" t="str">
        <f>IF(C412&gt;0,VLOOKUP(C412,Foundation_Calc!$A$2:$C$13,3,1),
IF(J412&gt;0,VLOOKUP(J412,Foundation_Calc!$A$2:$C$13,3,1),""))</f>
        <v>Multi Soil</v>
      </c>
      <c r="AX412" s="449" t="str">
        <f>IF(C412&gt;0,VLOOKUP(C412,Foundation_Calc!$E$2:$G$33,3,1),
IF(J412&gt;0,VLOOKUP(J412,Foundation_Calc!$E$2:$G$33,3,1),""))</f>
        <v>PT</v>
      </c>
      <c r="AY412" s="10">
        <f>IF(L412="","",
IF(AX412="PT",VLOOKUP(L412,Foundation_Calc!$K$79:$R$113,VLOOKUP(AW412,Foundation_Calc!$I$2:$J$8,2,FALSE),0),
IF(AX412="K",VLOOKUP(L412,Foundation_Calc!$K$117:$R$151,VLOOKUP(AW412,Foundation_Calc!$I$2:$J$8,2,FALSE),0),"")))</f>
        <v>3.7</v>
      </c>
      <c r="AZ412" s="10" t="str">
        <f>IF(K412="","",
IF(AX412="PT",VLOOKUP(K412,Foundation_Calc!$K$79:$R$113,VLOOKUP(AW412,Foundation_Calc!$I$2:$J$8,2,FALSE),0),
IF(AX412="K",VLOOKUP(K412,Foundation_Calc!$K$117:$R$151,VLOOKUP(AW412,Foundation_Calc!$I$2:$J$8,2,FALSE),0),"")))</f>
        <v/>
      </c>
      <c r="BA412" s="495" t="str">
        <f t="shared" si="46"/>
        <v>ü</v>
      </c>
      <c r="BB412" s="495" t="str">
        <f t="shared" si="47"/>
        <v/>
      </c>
      <c r="BC412" s="495" t="str">
        <f t="shared" si="48"/>
        <v/>
      </c>
      <c r="BD412" s="513" t="str">
        <f>Pole_Calc!A$113</f>
        <v>App.7-V11I-P9.5.11.1</v>
      </c>
      <c r="BE412" s="429" t="s">
        <v>118</v>
      </c>
      <c r="BF412" s="289"/>
      <c r="BG412" s="289"/>
      <c r="BH412" s="290"/>
      <c r="BI412" s="289"/>
    </row>
    <row r="413" spans="1:61" ht="15.75" customHeight="1">
      <c r="A413" s="696"/>
      <c r="B413" s="697"/>
      <c r="C413" s="698"/>
      <c r="D413" s="699"/>
      <c r="E413" s="700"/>
      <c r="F413" s="700"/>
      <c r="G413" s="701">
        <v>44.4</v>
      </c>
      <c r="H413" s="702"/>
      <c r="I413" s="700"/>
      <c r="J413" s="698"/>
      <c r="K413" s="702"/>
      <c r="L413" s="702"/>
      <c r="M413" s="702" t="str">
        <f>IF(L413="","",
IF(AX413="PT",VLOOKUP(L413,Foundation_Calc!$V$79:$X$113,VLOOKUP(AX413,Foundation_Calc!$I$10:$J$13,2,FALSE),0),
IF(AX413="K",VLOOKUP(L413,Foundation_Calc!$V$117:$X$151,VLOOKUP(AX413,Foundation_Calc!$I$10:$J$13,2,FALSE),0),"")))</f>
        <v/>
      </c>
      <c r="N413" s="702"/>
      <c r="O413" s="702"/>
      <c r="P413" s="702"/>
      <c r="Q413" s="700"/>
      <c r="R413" s="701"/>
      <c r="S413" s="701"/>
      <c r="T413" s="700"/>
      <c r="U413" s="700"/>
      <c r="V413" s="700"/>
      <c r="W413" s="703"/>
      <c r="X413" s="703"/>
      <c r="Y413" s="703"/>
      <c r="Z413" s="703"/>
      <c r="AA413" s="703"/>
      <c r="AB413" s="703"/>
      <c r="AC413" s="702" t="str">
        <f t="shared" si="45"/>
        <v/>
      </c>
      <c r="AD413" s="702"/>
      <c r="AE413" s="702"/>
      <c r="AF413" s="700"/>
      <c r="AG413" s="699"/>
      <c r="AH413" s="700"/>
      <c r="AI413" s="700"/>
      <c r="AJ413" s="702"/>
      <c r="AK413" s="702"/>
      <c r="AL413" s="702"/>
      <c r="AM413" s="702"/>
      <c r="AN413" s="704"/>
      <c r="AO413" s="703"/>
      <c r="AP413" s="703"/>
      <c r="AQ413" s="703">
        <f>+FL_2($T$414,$U$412,$G$413,1200,9.28,-1*$F$414)</f>
        <v>-0.35863486641441439</v>
      </c>
      <c r="AR413" s="703"/>
      <c r="AS413" s="703"/>
      <c r="AT413" s="703"/>
      <c r="AU413" s="705"/>
      <c r="AV413" s="705"/>
      <c r="AW413" s="702" t="str">
        <f>IF(C413&gt;0,VLOOKUP(C413,Foundation_Calc!$A$2:$C$13,3,1),
IF(J413&gt;0,VLOOKUP(J413,Foundation_Calc!$A$2:$C$13,3,1),""))</f>
        <v/>
      </c>
      <c r="AX413" s="702" t="str">
        <f>IF(C413&gt;0,VLOOKUP(C413,Foundation_Calc!$E$2:$G$33,3,1),
IF(J413&gt;0,VLOOKUP(J413,Foundation_Calc!$E$2:$G$33,3,1),""))</f>
        <v/>
      </c>
      <c r="AY413" s="704" t="str">
        <f>IF(L413="","",
IF(AX413="PT",VLOOKUP(L413,Foundation_Calc!$K$79:$R$113,VLOOKUP(AW413,Foundation_Calc!$I$2:$J$8,2,FALSE),0),
IF(AX413="K",VLOOKUP(L413,Foundation_Calc!$K$117:$R$151,VLOOKUP(AW413,Foundation_Calc!$I$2:$J$8,2,FALSE),0),"")))</f>
        <v/>
      </c>
      <c r="AZ413" s="704" t="str">
        <f>IF(K413="","",
IF(AX413="PT",VLOOKUP(K413,Foundation_Calc!$K$79:$R$113,VLOOKUP(AW413,Foundation_Calc!$I$2:$J$8,2,FALSE),0),
IF(AX413="K",VLOOKUP(K413,Foundation_Calc!$K$117:$R$151,VLOOKUP(AW413,Foundation_Calc!$I$2:$J$8,2,FALSE),0),"")))</f>
        <v/>
      </c>
      <c r="BA413" s="495" t="str">
        <f t="shared" si="46"/>
        <v/>
      </c>
      <c r="BB413" s="495" t="str">
        <f t="shared" si="47"/>
        <v/>
      </c>
      <c r="BC413" s="495" t="str">
        <f t="shared" si="48"/>
        <v/>
      </c>
      <c r="BD413" s="513" t="str">
        <f>IF(AND(L413="",H413=""),"",
IF(H413="",Pole_Calc!A$9,
IF(H413="MP",Pole_Calc!A$10,
IF(H413="AnMP",Pole_Calc!A$11,
IF(H413="A",Pole_Calc!A$12,
IF(H413="S/A",Pole_Calc!A$13,
IF(H413="A/S",Pole_Calc!A$14,"Poner a mano")))))))</f>
        <v/>
      </c>
      <c r="BE413" s="429" t="s">
        <v>118</v>
      </c>
      <c r="BF413" s="290"/>
      <c r="BG413" s="290"/>
      <c r="BH413" s="290"/>
      <c r="BI413" s="290"/>
    </row>
    <row r="414" spans="1:61" ht="15.75" customHeight="1">
      <c r="A414" s="696"/>
      <c r="B414" s="720" t="s">
        <v>416</v>
      </c>
      <c r="C414" s="698">
        <f>+$C$412+$G$413-1.8</f>
        <v>40061.459999999985</v>
      </c>
      <c r="D414" s="699"/>
      <c r="E414" s="700"/>
      <c r="F414" s="700">
        <f>IF(C414&gt;0,VLOOKUP(C414,'ALIGNMENT TRACK'!$A$1:$K$81,9,1))</f>
        <v>0</v>
      </c>
      <c r="G414" s="701"/>
      <c r="H414" s="702"/>
      <c r="I414" s="700"/>
      <c r="J414" s="698"/>
      <c r="K414" s="702"/>
      <c r="L414" s="702" t="s">
        <v>153</v>
      </c>
      <c r="M414" s="702" t="s">
        <v>417</v>
      </c>
      <c r="N414" s="702" t="s">
        <v>124</v>
      </c>
      <c r="O414" s="702"/>
      <c r="P414" s="702"/>
      <c r="Q414" s="700"/>
      <c r="R414" s="701"/>
      <c r="S414" s="701"/>
      <c r="T414" s="700">
        <v>-35</v>
      </c>
      <c r="U414" s="700"/>
      <c r="V414" s="700"/>
      <c r="W414" s="703">
        <v>1.4</v>
      </c>
      <c r="X414" s="703"/>
      <c r="Y414" s="703"/>
      <c r="Z414" s="703"/>
      <c r="AA414" s="703"/>
      <c r="AB414" s="703"/>
      <c r="AC414" s="702" t="str">
        <f t="shared" si="45"/>
        <v>PHQ</v>
      </c>
      <c r="AD414" s="702"/>
      <c r="AE414" s="702"/>
      <c r="AF414" s="700"/>
      <c r="AG414" s="699"/>
      <c r="AH414" s="700"/>
      <c r="AI414" s="700"/>
      <c r="AJ414" s="702"/>
      <c r="AK414" s="702"/>
      <c r="AL414" s="702"/>
      <c r="AM414" s="702" t="s">
        <v>126</v>
      </c>
      <c r="AN414" s="704">
        <v>5.5</v>
      </c>
      <c r="AO414" s="703"/>
      <c r="AP414" s="703"/>
      <c r="AQ414" s="703"/>
      <c r="AR414" s="703"/>
      <c r="AS414" s="703"/>
      <c r="AT414" s="703">
        <f>+ab($T$414,$U$412,$T$416,$G$413,$G$415,-1*$F$414,1200)</f>
        <v>-6.9403540505209858</v>
      </c>
      <c r="AU414" s="705"/>
      <c r="AV414" s="705"/>
      <c r="AW414" s="702" t="str">
        <f>IF(C414&gt;0,VLOOKUP(C414,Foundation_Calc!$A$2:$C$13,3,1),
IF(J414&gt;0,VLOOKUP(J414,Foundation_Calc!$A$2:$C$13,3,1),""))</f>
        <v>Multi Soil</v>
      </c>
      <c r="AX414" s="702" t="str">
        <f>IF(C414&gt;0,VLOOKUP(C414,Foundation_Calc!$E$2:$G$33,3,1),
IF(J414&gt;0,VLOOKUP(J414,Foundation_Calc!$E$2:$G$33,3,1),""))</f>
        <v>PT</v>
      </c>
      <c r="AY414" s="704">
        <f>IF(L414="","",
IF(AX414="PT",VLOOKUP(L414,Foundation_Calc!$K$79:$R$113,VLOOKUP(AW414,Foundation_Calc!$I$2:$J$8,2,FALSE),0),
IF(AX414="K",VLOOKUP(L414,Foundation_Calc!$K$117:$R$151,VLOOKUP(AW414,Foundation_Calc!$I$2:$J$8,2,FALSE),0),"")))</f>
        <v>3.5</v>
      </c>
      <c r="AZ414" s="704" t="str">
        <f>IF(K414="","",
IF(AX414="PT",VLOOKUP(K414,Foundation_Calc!$K$79:$R$113,VLOOKUP(AW414,Foundation_Calc!$I$2:$J$8,2,FALSE),0),
IF(AX414="K",VLOOKUP(K414,Foundation_Calc!$K$117:$R$151,VLOOKUP(AW414,Foundation_Calc!$I$2:$J$8,2,FALSE),0),"")))</f>
        <v/>
      </c>
      <c r="BA414" s="495" t="str">
        <f t="shared" si="46"/>
        <v>ü</v>
      </c>
      <c r="BB414" s="495" t="str">
        <f t="shared" si="47"/>
        <v/>
      </c>
      <c r="BC414" s="495" t="str">
        <f t="shared" si="48"/>
        <v/>
      </c>
      <c r="BD414" s="513" t="str">
        <f>IF(AND(L414="",H414=""),"",
IF(H414="",Pole_Calc!A$9,
IF(H414="MP",Pole_Calc!A$10,
IF(H414="AnMP",Pole_Calc!A$11,
IF(H414="A",Pole_Calc!A$12,
IF(H414="S/A",Pole_Calc!A$13,
IF(H414="A/S",Pole_Calc!A$14,"Poner a mano")))))))</f>
        <v>App.7-V11I-P9.5.1.1</v>
      </c>
      <c r="BE414" s="429" t="s">
        <v>118</v>
      </c>
      <c r="BF414" s="289"/>
      <c r="BG414" s="289"/>
      <c r="BH414" s="290"/>
      <c r="BI414" s="289"/>
    </row>
    <row r="415" spans="1:61" ht="15.75" customHeight="1">
      <c r="A415" s="685" t="s">
        <v>160</v>
      </c>
      <c r="B415" s="686"/>
      <c r="C415" s="687"/>
      <c r="D415" s="688"/>
      <c r="E415" s="689"/>
      <c r="F415" s="689"/>
      <c r="G415" s="690">
        <v>50</v>
      </c>
      <c r="H415" s="691"/>
      <c r="I415" s="689"/>
      <c r="J415" s="687"/>
      <c r="K415" s="691"/>
      <c r="L415" s="691"/>
      <c r="M415" s="691" t="str">
        <f>IF(L415="","",
IF(AX415="PT",VLOOKUP(L415,Foundation_Calc!$V$79:$X$113,VLOOKUP(AX415,Foundation_Calc!$I$10:$J$13,2,FALSE),0),
IF(AX415="K",VLOOKUP(L415,Foundation_Calc!$V$117:$X$151,VLOOKUP(AX415,Foundation_Calc!$I$10:$J$13,2,FALSE),0),"")))</f>
        <v/>
      </c>
      <c r="N415" s="691"/>
      <c r="O415" s="691"/>
      <c r="P415" s="691"/>
      <c r="Q415" s="689"/>
      <c r="R415" s="690"/>
      <c r="S415" s="690"/>
      <c r="T415" s="689"/>
      <c r="U415" s="689"/>
      <c r="V415" s="689"/>
      <c r="W415" s="692"/>
      <c r="X415" s="692"/>
      <c r="Y415" s="692"/>
      <c r="Z415" s="692"/>
      <c r="AA415" s="692"/>
      <c r="AB415" s="692"/>
      <c r="AC415" s="691" t="str">
        <f t="shared" si="45"/>
        <v/>
      </c>
      <c r="AD415" s="691"/>
      <c r="AE415" s="691"/>
      <c r="AF415" s="689"/>
      <c r="AG415" s="688"/>
      <c r="AH415" s="689"/>
      <c r="AI415" s="689"/>
      <c r="AJ415" s="691"/>
      <c r="AK415" s="691"/>
      <c r="AL415" s="691"/>
      <c r="AM415" s="691"/>
      <c r="AN415" s="693"/>
      <c r="AO415" s="692"/>
      <c r="AP415" s="692"/>
      <c r="AQ415" s="692">
        <f>+FL_1($T$416,$T$414,$G$415,1200,9.28,-1*$F$416)</f>
        <v>0.36839079999999996</v>
      </c>
      <c r="AR415" s="692"/>
      <c r="AS415" s="692"/>
      <c r="AT415" s="692"/>
      <c r="AU415" s="694"/>
      <c r="AV415" s="694"/>
      <c r="AW415" s="691" t="str">
        <f>IF(C415&gt;0,VLOOKUP(C415,Foundation_Calc!$A$2:$C$13,3,1),
IF(J415&gt;0,VLOOKUP(J415,Foundation_Calc!$A$2:$C$13,3,1),""))</f>
        <v/>
      </c>
      <c r="AX415" s="691" t="str">
        <f>IF(C415&gt;0,VLOOKUP(C415,Foundation_Calc!$E$2:$G$33,3,1),
IF(J415&gt;0,VLOOKUP(J415,Foundation_Calc!$E$2:$G$33,3,1),""))</f>
        <v/>
      </c>
      <c r="AY415" s="693" t="str">
        <f>IF(L415="","",
IF(AX415="PT",VLOOKUP(L415,Foundation_Calc!$K$79:$R$113,VLOOKUP(AW415,Foundation_Calc!$I$2:$J$8,2,FALSE),0),
IF(AX415="K",VLOOKUP(L415,Foundation_Calc!$K$117:$R$151,VLOOKUP(AW415,Foundation_Calc!$I$2:$J$8,2,FALSE),0),"")))</f>
        <v/>
      </c>
      <c r="AZ415" s="693" t="str">
        <f>IF(K415="","",
IF(AX415="PT",VLOOKUP(K415,Foundation_Calc!$K$79:$R$113,VLOOKUP(AW415,Foundation_Calc!$I$2:$J$8,2,FALSE),0),
IF(AX415="K",VLOOKUP(K415,Foundation_Calc!$K$117:$R$151,VLOOKUP(AW415,Foundation_Calc!$I$2:$J$8,2,FALSE),0),"")))</f>
        <v/>
      </c>
      <c r="BA415" s="495" t="str">
        <f t="shared" si="46"/>
        <v/>
      </c>
      <c r="BB415" s="495" t="str">
        <f t="shared" si="47"/>
        <v/>
      </c>
      <c r="BC415" s="495" t="str">
        <f t="shared" si="48"/>
        <v/>
      </c>
      <c r="BD415" s="513" t="str">
        <f>IF(AND(L415="",H415=""),"",
IF(H415="",Pole_Calc!A$9,
IF(H415="MP",Pole_Calc!A$10,
IF(H415="AnMP",Pole_Calc!A$11,
IF(H415="A",Pole_Calc!A$12,
IF(H415="S/A",Pole_Calc!A$13,
IF(H415="A/S",Pole_Calc!A$14,"Poner a mano")))))))</f>
        <v/>
      </c>
      <c r="BE415" s="429" t="s">
        <v>118</v>
      </c>
      <c r="BF415" s="290"/>
      <c r="BG415" s="290"/>
      <c r="BH415" s="290"/>
      <c r="BI415" s="290"/>
    </row>
    <row r="416" spans="1:61" ht="15.75" customHeight="1">
      <c r="A416" s="708"/>
      <c r="B416" s="720" t="s">
        <v>418</v>
      </c>
      <c r="C416" s="698">
        <f>+$C$414+$G$415</f>
        <v>40111.459999999985</v>
      </c>
      <c r="D416" s="699"/>
      <c r="E416" s="700"/>
      <c r="F416" s="700">
        <f>IF(C416&gt;0,VLOOKUP(C416,'ALIGNMENT TRACK'!$A$1:$K$81,9,1))</f>
        <v>0</v>
      </c>
      <c r="G416" s="701"/>
      <c r="H416" s="702"/>
      <c r="I416" s="700"/>
      <c r="J416" s="698"/>
      <c r="K416" s="702"/>
      <c r="L416" s="702" t="s">
        <v>153</v>
      </c>
      <c r="M416" s="702" t="s">
        <v>417</v>
      </c>
      <c r="N416" s="702" t="s">
        <v>134</v>
      </c>
      <c r="O416" s="702"/>
      <c r="P416" s="702"/>
      <c r="Q416" s="700"/>
      <c r="R416" s="701"/>
      <c r="S416" s="701"/>
      <c r="T416" s="700">
        <v>35</v>
      </c>
      <c r="U416" s="700"/>
      <c r="V416" s="700"/>
      <c r="W416" s="703">
        <v>1.4</v>
      </c>
      <c r="X416" s="703"/>
      <c r="Y416" s="703"/>
      <c r="Z416" s="703"/>
      <c r="AA416" s="703"/>
      <c r="AB416" s="703"/>
      <c r="AC416" s="702" t="str">
        <f t="shared" si="45"/>
        <v>PHQ</v>
      </c>
      <c r="AD416" s="702"/>
      <c r="AE416" s="702"/>
      <c r="AF416" s="700"/>
      <c r="AG416" s="699"/>
      <c r="AH416" s="700"/>
      <c r="AI416" s="700"/>
      <c r="AJ416" s="702"/>
      <c r="AK416" s="702"/>
      <c r="AL416" s="702"/>
      <c r="AM416" s="702" t="s">
        <v>126</v>
      </c>
      <c r="AN416" s="704">
        <v>5.5</v>
      </c>
      <c r="AO416" s="703"/>
      <c r="AP416" s="703"/>
      <c r="AQ416" s="703"/>
      <c r="AR416" s="703"/>
      <c r="AS416" s="703"/>
      <c r="AT416" s="703">
        <f>+ab($T$416,$T$414,$T$418,$G$415,$G$417,-1*$F$416,1200)</f>
        <v>6.0690214289301956</v>
      </c>
      <c r="AU416" s="705"/>
      <c r="AV416" s="705"/>
      <c r="AW416" s="702" t="str">
        <f>IF(C416&gt;0,VLOOKUP(C416,Foundation_Calc!$A$2:$C$13,3,1),
IF(J416&gt;0,VLOOKUP(J416,Foundation_Calc!$A$2:$C$13,3,1),""))</f>
        <v>Multi Soil</v>
      </c>
      <c r="AX416" s="702" t="str">
        <f>IF(C416&gt;0,VLOOKUP(C416,Foundation_Calc!$E$2:$G$33,3,1),
IF(J416&gt;0,VLOOKUP(J416,Foundation_Calc!$E$2:$G$33,3,1),""))</f>
        <v>PT</v>
      </c>
      <c r="AY416" s="704">
        <f>IF(L416="","",
IF(AX416="PT",VLOOKUP(L416,Foundation_Calc!$K$79:$R$113,VLOOKUP(AW416,Foundation_Calc!$I$2:$J$8,2,FALSE),0),
IF(AX416="K",VLOOKUP(L416,Foundation_Calc!$K$117:$R$151,VLOOKUP(AW416,Foundation_Calc!$I$2:$J$8,2,FALSE),0),"")))</f>
        <v>3.5</v>
      </c>
      <c r="AZ416" s="704" t="str">
        <f>IF(K416="","",
IF(AX416="PT",VLOOKUP(K416,Foundation_Calc!$K$79:$R$113,VLOOKUP(AW416,Foundation_Calc!$I$2:$J$8,2,FALSE),0),
IF(AX416="K",VLOOKUP(K416,Foundation_Calc!$K$117:$R$151,VLOOKUP(AW416,Foundation_Calc!$I$2:$J$8,2,FALSE),0),"")))</f>
        <v/>
      </c>
      <c r="BA416" s="495" t="str">
        <f t="shared" si="46"/>
        <v>ü</v>
      </c>
      <c r="BB416" s="495" t="str">
        <f t="shared" si="47"/>
        <v/>
      </c>
      <c r="BC416" s="495" t="str">
        <f t="shared" si="48"/>
        <v/>
      </c>
      <c r="BD416" s="513" t="str">
        <f>IF(AND(L416="",H416=""),"",
IF(H416="",Pole_Calc!A$9,
IF(H416="MP",Pole_Calc!A$10,
IF(H416="AnMP",Pole_Calc!A$11,
IF(H416="A",Pole_Calc!A$12,
IF(H416="S/A",Pole_Calc!A$13,
IF(H416="A/S",Pole_Calc!A$14,"Poner a mano")))))))</f>
        <v>App.7-V11I-P9.5.1.1</v>
      </c>
      <c r="BE416" s="429" t="s">
        <v>118</v>
      </c>
      <c r="BF416" s="289"/>
      <c r="BG416" s="289"/>
      <c r="BH416" s="290"/>
      <c r="BI416" s="289"/>
    </row>
    <row r="417" spans="1:61" ht="15.75" customHeight="1">
      <c r="A417" s="708"/>
      <c r="B417" s="697"/>
      <c r="C417" s="698"/>
      <c r="D417" s="699"/>
      <c r="E417" s="700"/>
      <c r="F417" s="700"/>
      <c r="G417" s="701">
        <v>40</v>
      </c>
      <c r="H417" s="702"/>
      <c r="I417" s="700"/>
      <c r="J417" s="698"/>
      <c r="K417" s="702"/>
      <c r="L417" s="702"/>
      <c r="M417" s="702" t="str">
        <f>IF(L417="","",
IF(AX417="PT",VLOOKUP(L417,Foundation_Calc!$V$79:$X$113,VLOOKUP(AX417,Foundation_Calc!$I$10:$J$13,2,FALSE),0),
IF(AX417="K",VLOOKUP(L417,Foundation_Calc!$V$117:$X$151,VLOOKUP(AX417,Foundation_Calc!$I$10:$J$13,2,FALSE),0),"")))</f>
        <v/>
      </c>
      <c r="N417" s="702"/>
      <c r="O417" s="702"/>
      <c r="P417" s="702"/>
      <c r="Q417" s="700"/>
      <c r="R417" s="701"/>
      <c r="S417" s="701"/>
      <c r="T417" s="700"/>
      <c r="U417" s="700"/>
      <c r="V417" s="700"/>
      <c r="W417" s="703"/>
      <c r="X417" s="703"/>
      <c r="Y417" s="703"/>
      <c r="Z417" s="703"/>
      <c r="AA417" s="703"/>
      <c r="AB417" s="703"/>
      <c r="AC417" s="702" t="str">
        <f t="shared" si="45"/>
        <v/>
      </c>
      <c r="AD417" s="702"/>
      <c r="AE417" s="702"/>
      <c r="AF417" s="700"/>
      <c r="AG417" s="699"/>
      <c r="AH417" s="700"/>
      <c r="AI417" s="700"/>
      <c r="AJ417" s="702"/>
      <c r="AK417" s="702"/>
      <c r="AL417" s="702"/>
      <c r="AM417" s="702"/>
      <c r="AN417" s="704"/>
      <c r="AO417" s="703"/>
      <c r="AP417" s="703"/>
      <c r="AQ417" s="703">
        <f>+FL_1($T$418,$T$416,$G$417,1200,9.28,-1*$F$418)</f>
        <v>0.35000000000000125</v>
      </c>
      <c r="AR417" s="703"/>
      <c r="AS417" s="703"/>
      <c r="AT417" s="703"/>
      <c r="AU417" s="705"/>
      <c r="AV417" s="705"/>
      <c r="AW417" s="702" t="str">
        <f>IF(C417&gt;0,VLOOKUP(C417,Foundation_Calc!$A$2:$C$13,3,1),
IF(J417&gt;0,VLOOKUP(J417,Foundation_Calc!$A$2:$C$13,3,1),""))</f>
        <v/>
      </c>
      <c r="AX417" s="702" t="str">
        <f>IF(C417&gt;0,VLOOKUP(C417,Foundation_Calc!$E$2:$G$33,3,1),
IF(J417&gt;0,VLOOKUP(J417,Foundation_Calc!$E$2:$G$33,3,1),""))</f>
        <v/>
      </c>
      <c r="AY417" s="704" t="str">
        <f>IF(L417="","",
IF(AX417="PT",VLOOKUP(L417,Foundation_Calc!$K$79:$R$113,VLOOKUP(AW417,Foundation_Calc!$I$2:$J$8,2,FALSE),0),
IF(AX417="K",VLOOKUP(L417,Foundation_Calc!$K$117:$R$151,VLOOKUP(AW417,Foundation_Calc!$I$2:$J$8,2,FALSE),0),"")))</f>
        <v/>
      </c>
      <c r="AZ417" s="704" t="str">
        <f>IF(K417="","",
IF(AX417="PT",VLOOKUP(K417,Foundation_Calc!$K$79:$R$113,VLOOKUP(AW417,Foundation_Calc!$I$2:$J$8,2,FALSE),0),
IF(AX417="K",VLOOKUP(K417,Foundation_Calc!$K$117:$R$151,VLOOKUP(AW417,Foundation_Calc!$I$2:$J$8,2,FALSE),0),"")))</f>
        <v/>
      </c>
      <c r="BA417" s="495" t="str">
        <f t="shared" si="46"/>
        <v/>
      </c>
      <c r="BB417" s="495" t="str">
        <f t="shared" si="47"/>
        <v/>
      </c>
      <c r="BC417" s="495" t="str">
        <f t="shared" si="48"/>
        <v/>
      </c>
      <c r="BD417" s="513" t="str">
        <f>IF(AND(L417="",H417=""),"",
IF(H417="",Pole_Calc!A$9,
IF(H417="MP",Pole_Calc!A$10,
IF(H417="AnMP",Pole_Calc!A$11,
IF(H417="A",Pole_Calc!A$12,
IF(H417="S/A",Pole_Calc!A$13,
IF(H417="A/S",Pole_Calc!A$14,"Poner a mano")))))))</f>
        <v/>
      </c>
      <c r="BE417" s="429" t="s">
        <v>118</v>
      </c>
      <c r="BF417" s="290"/>
      <c r="BG417" s="290"/>
      <c r="BH417" s="290"/>
      <c r="BI417" s="290"/>
    </row>
    <row r="418" spans="1:61" ht="15.75" customHeight="1">
      <c r="A418" s="696"/>
      <c r="B418" s="720" t="s">
        <v>419</v>
      </c>
      <c r="C418" s="698">
        <f>+$C$416+$G$417</f>
        <v>40151.459999999985</v>
      </c>
      <c r="D418" s="699"/>
      <c r="E418" s="700"/>
      <c r="F418" s="700">
        <f>IF(C418&gt;0,VLOOKUP(C418,'ALIGNMENT TRACK'!$A$1:$K$81,9,1))</f>
        <v>0</v>
      </c>
      <c r="G418" s="701"/>
      <c r="H418" s="702"/>
      <c r="I418" s="700"/>
      <c r="J418" s="698"/>
      <c r="K418" s="702"/>
      <c r="L418" s="702" t="s">
        <v>153</v>
      </c>
      <c r="M418" s="702" t="s">
        <v>417</v>
      </c>
      <c r="N418" s="702" t="s">
        <v>124</v>
      </c>
      <c r="O418" s="702"/>
      <c r="P418" s="702"/>
      <c r="Q418" s="700"/>
      <c r="R418" s="701"/>
      <c r="S418" s="701"/>
      <c r="T418" s="700">
        <v>-35</v>
      </c>
      <c r="U418" s="700"/>
      <c r="V418" s="700"/>
      <c r="W418" s="703">
        <v>1.4</v>
      </c>
      <c r="X418" s="703"/>
      <c r="Y418" s="703"/>
      <c r="Z418" s="703"/>
      <c r="AA418" s="703"/>
      <c r="AB418" s="703"/>
      <c r="AC418" s="702" t="str">
        <f t="shared" si="45"/>
        <v>PH</v>
      </c>
      <c r="AD418" s="702"/>
      <c r="AE418" s="702"/>
      <c r="AF418" s="700"/>
      <c r="AG418" s="699"/>
      <c r="AH418" s="700"/>
      <c r="AI418" s="700"/>
      <c r="AJ418" s="702"/>
      <c r="AK418" s="702"/>
      <c r="AL418" s="702"/>
      <c r="AM418" s="702" t="s">
        <v>126</v>
      </c>
      <c r="AN418" s="704">
        <v>5.5</v>
      </c>
      <c r="AO418" s="703"/>
      <c r="AP418" s="703"/>
      <c r="AQ418" s="703"/>
      <c r="AR418" s="703"/>
      <c r="AS418" s="703"/>
      <c r="AT418" s="703">
        <f>+ab($T$418,$T$416,$T$420,$G$417,$G$419,-1*$F$418,1200)</f>
        <v>-8.9565835881188853</v>
      </c>
      <c r="AU418" s="705"/>
      <c r="AV418" s="705"/>
      <c r="AW418" s="702" t="str">
        <f>IF(C418&gt;0,VLOOKUP(C418,Foundation_Calc!$A$2:$C$13,3,1),
IF(J418&gt;0,VLOOKUP(J418,Foundation_Calc!$A$2:$C$13,3,1),""))</f>
        <v>Multi Soil</v>
      </c>
      <c r="AX418" s="702" t="str">
        <f>IF(C418&gt;0,VLOOKUP(C418,Foundation_Calc!$E$2:$G$33,3,1),
IF(J418&gt;0,VLOOKUP(J418,Foundation_Calc!$E$2:$G$33,3,1),""))</f>
        <v>PT</v>
      </c>
      <c r="AY418" s="704">
        <f>IF(L418="","",
IF(AX418="PT",VLOOKUP(L418,Foundation_Calc!$K$79:$R$113,VLOOKUP(AW418,Foundation_Calc!$I$2:$J$8,2,FALSE),0),
IF(AX418="K",VLOOKUP(L418,Foundation_Calc!$K$117:$R$151,VLOOKUP(AW418,Foundation_Calc!$I$2:$J$8,2,FALSE),0),"")))</f>
        <v>3.5</v>
      </c>
      <c r="AZ418" s="704" t="str">
        <f>IF(K418="","",
IF(AX418="PT",VLOOKUP(K418,Foundation_Calc!$K$79:$R$113,VLOOKUP(AW418,Foundation_Calc!$I$2:$J$8,2,FALSE),0),
IF(AX418="K",VLOOKUP(K418,Foundation_Calc!$K$117:$R$151,VLOOKUP(AW418,Foundation_Calc!$I$2:$J$8,2,FALSE),0),"")))</f>
        <v/>
      </c>
      <c r="BA418" s="495" t="str">
        <f t="shared" si="46"/>
        <v>ü</v>
      </c>
      <c r="BB418" s="495" t="str">
        <f t="shared" si="47"/>
        <v/>
      </c>
      <c r="BC418" s="495" t="str">
        <f t="shared" si="48"/>
        <v/>
      </c>
      <c r="BD418" s="513" t="str">
        <f>IF(AND(L418="",H418=""),"",
IF(H418="",Pole_Calc!A$9,
IF(H418="MP",Pole_Calc!A$10,
IF(H418="AnMP",Pole_Calc!A$11,
IF(H418="A",Pole_Calc!A$12,
IF(H418="S/A",Pole_Calc!A$13,
IF(H418="A/S",Pole_Calc!A$14,"Poner a mano")))))))</f>
        <v>App.7-V11I-P9.5.1.1</v>
      </c>
      <c r="BE418" s="429" t="s">
        <v>118</v>
      </c>
      <c r="BF418" s="289"/>
      <c r="BG418" s="289"/>
      <c r="BH418" s="290"/>
      <c r="BI418" s="289"/>
    </row>
    <row r="419" spans="1:61" ht="15.75" customHeight="1">
      <c r="A419" s="709"/>
      <c r="B419" s="710"/>
      <c r="C419" s="711"/>
      <c r="D419" s="712"/>
      <c r="E419" s="713"/>
      <c r="F419" s="713"/>
      <c r="G419" s="714">
        <v>40</v>
      </c>
      <c r="H419" s="715"/>
      <c r="I419" s="713"/>
      <c r="J419" s="711"/>
      <c r="K419" s="715"/>
      <c r="L419" s="715"/>
      <c r="M419" s="715" t="str">
        <f>IF(L419="","",
IF(AX419="PT",VLOOKUP(L419,Foundation_Calc!$V$79:$X$113,VLOOKUP(AX419,Foundation_Calc!$I$10:$J$13,2,FALSE),0),
IF(AX419="K",VLOOKUP(L419,Foundation_Calc!$V$117:$X$151,VLOOKUP(AX419,Foundation_Calc!$I$10:$J$13,2,FALSE),0),"")))</f>
        <v/>
      </c>
      <c r="N419" s="715"/>
      <c r="O419" s="715"/>
      <c r="P419" s="715"/>
      <c r="Q419" s="713"/>
      <c r="R419" s="714"/>
      <c r="S419" s="714"/>
      <c r="T419" s="713"/>
      <c r="U419" s="713"/>
      <c r="V419" s="713"/>
      <c r="W419" s="716"/>
      <c r="X419" s="716"/>
      <c r="Y419" s="716"/>
      <c r="Z419" s="716"/>
      <c r="AA419" s="716"/>
      <c r="AB419" s="716"/>
      <c r="AC419" s="715" t="str">
        <f t="shared" si="45"/>
        <v/>
      </c>
      <c r="AD419" s="715"/>
      <c r="AE419" s="715"/>
      <c r="AF419" s="713"/>
      <c r="AG419" s="712"/>
      <c r="AH419" s="713"/>
      <c r="AI419" s="713"/>
      <c r="AJ419" s="715"/>
      <c r="AK419" s="715"/>
      <c r="AL419" s="715"/>
      <c r="AM419" s="715"/>
      <c r="AN419" s="717"/>
      <c r="AO419" s="716"/>
      <c r="AP419" s="716"/>
      <c r="AQ419" s="716">
        <f>+FL_2($T$420,$T$418,$G$419,1200,9.28,-1*$F$420)</f>
        <v>-0.38217263469318968</v>
      </c>
      <c r="AR419" s="716"/>
      <c r="AS419" s="716"/>
      <c r="AT419" s="716"/>
      <c r="AU419" s="718"/>
      <c r="AV419" s="718"/>
      <c r="AW419" s="715" t="str">
        <f>IF(C419&gt;0,VLOOKUP(C419,Foundation_Calc!$A$2:$C$13,3,1),
IF(J419&gt;0,VLOOKUP(J419,Foundation_Calc!$A$2:$C$13,3,1),""))</f>
        <v/>
      </c>
      <c r="AX419" s="715" t="str">
        <f>IF(C419&gt;0,VLOOKUP(C419,Foundation_Calc!$E$2:$G$33,3,1),
IF(J419&gt;0,VLOOKUP(J419,Foundation_Calc!$E$2:$G$33,3,1),""))</f>
        <v/>
      </c>
      <c r="AY419" s="717" t="str">
        <f>IF(L419="","",
IF(AX419="PT",VLOOKUP(L419,Foundation_Calc!$K$79:$R$113,VLOOKUP(AW419,Foundation_Calc!$I$2:$J$8,2,FALSE),0),
IF(AX419="K",VLOOKUP(L419,Foundation_Calc!$K$117:$R$151,VLOOKUP(AW419,Foundation_Calc!$I$2:$J$8,2,FALSE),0),"")))</f>
        <v/>
      </c>
      <c r="AZ419" s="717" t="str">
        <f>IF(K419="","",
IF(AX419="PT",VLOOKUP(K419,Foundation_Calc!$K$79:$R$113,VLOOKUP(AW419,Foundation_Calc!$I$2:$J$8,2,FALSE),0),
IF(AX419="K",VLOOKUP(K419,Foundation_Calc!$K$117:$R$151,VLOOKUP(AW419,Foundation_Calc!$I$2:$J$8,2,FALSE),0),"")))</f>
        <v/>
      </c>
      <c r="BA419" s="550" t="str">
        <f t="shared" ref="BA419:BA435" si="49">IF(AY419="","",IF(AY419&gt;0,"ü",""))</f>
        <v/>
      </c>
      <c r="BB419" s="550" t="str">
        <f t="shared" ref="BB419:BB435" si="50">IF(AZ419="","",IF(AZ419&gt;0,"ü",""))</f>
        <v/>
      </c>
      <c r="BC419" s="550" t="str">
        <f t="shared" ref="BC419:BC435" si="51">IF(M419="","",IF(M419="U.S.","ü",IF(M419="U.S. N.D.","ü","")))</f>
        <v/>
      </c>
      <c r="BD419" s="516" t="str">
        <f>IF(AND(L419="",H419=""),"",
IF(H419="",Pole_Calc!A$9,
IF(H419="MP",Pole_Calc!A$10,
IF(H419="AnMP",Pole_Calc!A$11,
IF(H419="A",Pole_Calc!A$12,
IF(H419="S/A",Pole_Calc!A$13,
IF(H419="A/S",Pole_Calc!A$14,"Poner a mano")))))))</f>
        <v/>
      </c>
      <c r="BE419" s="429" t="s">
        <v>118</v>
      </c>
      <c r="BF419" s="290"/>
      <c r="BG419" s="290"/>
      <c r="BH419" s="290"/>
      <c r="BI419" s="290"/>
    </row>
    <row r="420" spans="1:61" ht="15.75" customHeight="1">
      <c r="A420" s="696"/>
      <c r="B420" s="720" t="s">
        <v>420</v>
      </c>
      <c r="C420" s="698">
        <f>+$C$418+$G$419</f>
        <v>40191.459999999985</v>
      </c>
      <c r="D420" s="699"/>
      <c r="E420" s="700"/>
      <c r="F420" s="700">
        <f>(323^2)/(C420-40158.7)</f>
        <v>3184.6459096471262</v>
      </c>
      <c r="G420" s="701"/>
      <c r="H420" s="702"/>
      <c r="I420" s="700"/>
      <c r="J420" s="698"/>
      <c r="K420" s="702"/>
      <c r="L420" s="702" t="s">
        <v>153</v>
      </c>
      <c r="M420" s="702" t="s">
        <v>417</v>
      </c>
      <c r="N420" s="702" t="s">
        <v>124</v>
      </c>
      <c r="O420" s="702"/>
      <c r="P420" s="702"/>
      <c r="Q420" s="700"/>
      <c r="R420" s="701"/>
      <c r="S420" s="701"/>
      <c r="T420" s="700">
        <v>-20</v>
      </c>
      <c r="U420" s="700"/>
      <c r="V420" s="700"/>
      <c r="W420" s="703">
        <v>1.4</v>
      </c>
      <c r="X420" s="703"/>
      <c r="Y420" s="703"/>
      <c r="Z420" s="703"/>
      <c r="AA420" s="703"/>
      <c r="AB420" s="703"/>
      <c r="AC420" s="702" t="str">
        <f t="shared" si="45"/>
        <v>PH</v>
      </c>
      <c r="AD420" s="702"/>
      <c r="AE420" s="702"/>
      <c r="AF420" s="700"/>
      <c r="AG420" s="699"/>
      <c r="AH420" s="700"/>
      <c r="AI420" s="700"/>
      <c r="AJ420" s="702"/>
      <c r="AK420" s="702"/>
      <c r="AL420" s="702"/>
      <c r="AM420" s="702" t="s">
        <v>126</v>
      </c>
      <c r="AN420" s="704">
        <v>5.5</v>
      </c>
      <c r="AO420" s="703"/>
      <c r="AP420" s="703"/>
      <c r="AQ420" s="703"/>
      <c r="AR420" s="703"/>
      <c r="AS420" s="703"/>
      <c r="AT420" s="703">
        <f>+ab($T$420,$T$418,$T$422,$G$419,$G$421,-1*$F$420,1200)</f>
        <v>-27.471786821471262</v>
      </c>
      <c r="AU420" s="705"/>
      <c r="AV420" s="705"/>
      <c r="AW420" s="702" t="str">
        <f>IF(C420&gt;0,VLOOKUP(C420,Foundation_Calc!$A$2:$C$13,3,1),
IF(J420&gt;0,VLOOKUP(J420,Foundation_Calc!$A$2:$C$13,3,1),""))</f>
        <v>Multi Soil</v>
      </c>
      <c r="AX420" s="702" t="str">
        <f>IF(C420&gt;0,VLOOKUP(C420,Foundation_Calc!$E$2:$G$33,3,1),
IF(J420&gt;0,VLOOKUP(J420,Foundation_Calc!$E$2:$G$33,3,1),""))</f>
        <v>PT</v>
      </c>
      <c r="AY420" s="704">
        <f>IF(L420="","",
IF(AX420="PT",VLOOKUP(L420,Foundation_Calc!$K$79:$R$113,VLOOKUP(AW420,Foundation_Calc!$I$2:$J$8,2,FALSE),0),
IF(AX420="K",VLOOKUP(L420,Foundation_Calc!$K$117:$R$151,VLOOKUP(AW420,Foundation_Calc!$I$2:$J$8,2,FALSE),0),"")))</f>
        <v>3.5</v>
      </c>
      <c r="AZ420" s="704" t="str">
        <f>IF(K420="","",
IF(AX420="PT",VLOOKUP(K420,Foundation_Calc!$K$79:$R$113,VLOOKUP(AW420,Foundation_Calc!$I$2:$J$8,2,FALSE),0),
IF(AX420="K",VLOOKUP(K420,Foundation_Calc!$K$117:$R$151,VLOOKUP(AW420,Foundation_Calc!$I$2:$J$8,2,FALSE),0),"")))</f>
        <v/>
      </c>
      <c r="BA420" s="495" t="str">
        <f t="shared" si="49"/>
        <v>ü</v>
      </c>
      <c r="BB420" s="495" t="str">
        <f t="shared" si="50"/>
        <v/>
      </c>
      <c r="BC420" s="495" t="str">
        <f t="shared" si="51"/>
        <v/>
      </c>
      <c r="BD420" s="513" t="str">
        <f>IF(AND(L420="",H420=""),"",
IF(H420="",Pole_Calc!A$9,
IF(H420="MP",Pole_Calc!A$10,
IF(H420="AnMP",Pole_Calc!A$11,
IF(H420="A",Pole_Calc!A$12,
IF(H420="S/A",Pole_Calc!A$13,
IF(H420="A/S",Pole_Calc!A$14,"Poner a mano")))))))</f>
        <v>App.7-V11I-P9.5.1.1</v>
      </c>
      <c r="BE420" s="429" t="s">
        <v>118</v>
      </c>
      <c r="BF420" s="289"/>
      <c r="BG420" s="289"/>
      <c r="BH420" s="290"/>
      <c r="BI420" s="289"/>
    </row>
    <row r="421" spans="1:61" ht="15.75" customHeight="1">
      <c r="A421" s="696"/>
      <c r="B421" s="697"/>
      <c r="C421" s="698"/>
      <c r="D421" s="699"/>
      <c r="E421" s="700"/>
      <c r="F421" s="700"/>
      <c r="G421" s="701">
        <v>40.6</v>
      </c>
      <c r="H421" s="702"/>
      <c r="I421" s="700"/>
      <c r="J421" s="698"/>
      <c r="K421" s="702"/>
      <c r="L421" s="702"/>
      <c r="M421" s="702" t="str">
        <f>IF(L421="","",
IF(AX421="PT",VLOOKUP(L421,Foundation_Calc!$V$79:$X$113,VLOOKUP(AX421,Foundation_Calc!$I$10:$J$13,2,FALSE),0),
IF(AX421="K",VLOOKUP(L421,Foundation_Calc!$V$117:$X$151,VLOOKUP(AX421,Foundation_Calc!$I$10:$J$13,2,FALSE),0),"")))</f>
        <v/>
      </c>
      <c r="N421" s="702"/>
      <c r="O421" s="702"/>
      <c r="P421" s="702"/>
      <c r="Q421" s="700"/>
      <c r="R421" s="701"/>
      <c r="S421" s="701"/>
      <c r="T421" s="700"/>
      <c r="U421" s="700"/>
      <c r="V421" s="700"/>
      <c r="W421" s="703"/>
      <c r="X421" s="703"/>
      <c r="Y421" s="703"/>
      <c r="Z421" s="703"/>
      <c r="AA421" s="703"/>
      <c r="AB421" s="703"/>
      <c r="AC421" s="702" t="str">
        <f t="shared" si="45"/>
        <v/>
      </c>
      <c r="AD421" s="702"/>
      <c r="AE421" s="702"/>
      <c r="AF421" s="700"/>
      <c r="AG421" s="699"/>
      <c r="AH421" s="700"/>
      <c r="AI421" s="700"/>
      <c r="AJ421" s="702"/>
      <c r="AK421" s="702"/>
      <c r="AL421" s="702"/>
      <c r="AM421" s="702"/>
      <c r="AN421" s="704"/>
      <c r="AO421" s="703"/>
      <c r="AP421" s="703"/>
      <c r="AQ421" s="703">
        <f>+FL_2($T$422,$T$420,$G$421,1200,9.28,-1*$F$422)</f>
        <v>-0.3</v>
      </c>
      <c r="AR421" s="703"/>
      <c r="AS421" s="703"/>
      <c r="AT421" s="703"/>
      <c r="AU421" s="705"/>
      <c r="AV421" s="705"/>
      <c r="AW421" s="702" t="str">
        <f>IF(C421&gt;0,VLOOKUP(C421,Foundation_Calc!$A$2:$C$13,3,1),
IF(J421&gt;0,VLOOKUP(J421,Foundation_Calc!$A$2:$C$13,3,1),""))</f>
        <v/>
      </c>
      <c r="AX421" s="702" t="str">
        <f>IF(C421&gt;0,VLOOKUP(C421,Foundation_Calc!$E$2:$G$33,3,1),
IF(J421&gt;0,VLOOKUP(J421,Foundation_Calc!$E$2:$G$33,3,1),""))</f>
        <v/>
      </c>
      <c r="AY421" s="704" t="str">
        <f>IF(L421="","",
IF(AX421="PT",VLOOKUP(L421,Foundation_Calc!$K$79:$R$113,VLOOKUP(AW421,Foundation_Calc!$I$2:$J$8,2,FALSE),0),
IF(AX421="K",VLOOKUP(L421,Foundation_Calc!$K$117:$R$151,VLOOKUP(AW421,Foundation_Calc!$I$2:$J$8,2,FALSE),0),"")))</f>
        <v/>
      </c>
      <c r="AZ421" s="704" t="str">
        <f>IF(K421="","",
IF(AX421="PT",VLOOKUP(K421,Foundation_Calc!$K$79:$R$113,VLOOKUP(AW421,Foundation_Calc!$I$2:$J$8,2,FALSE),0),
IF(AX421="K",VLOOKUP(K421,Foundation_Calc!$K$117:$R$151,VLOOKUP(AW421,Foundation_Calc!$I$2:$J$8,2,FALSE),0),"")))</f>
        <v/>
      </c>
      <c r="BA421" s="495" t="str">
        <f t="shared" si="49"/>
        <v/>
      </c>
      <c r="BB421" s="495" t="str">
        <f t="shared" si="50"/>
        <v/>
      </c>
      <c r="BC421" s="495" t="str">
        <f t="shared" si="51"/>
        <v/>
      </c>
      <c r="BD421" s="513" t="str">
        <f>IF(AND(L421="",H421=""),"",
IF(H421="",Pole_Calc!A$9,
IF(H421="MP",Pole_Calc!A$10,
IF(H421="AnMP",Pole_Calc!A$11,
IF(H421="A",Pole_Calc!A$12,
IF(H421="S/A",Pole_Calc!A$13,
IF(H421="A/S",Pole_Calc!A$14,"Poner a mano")))))))</f>
        <v/>
      </c>
      <c r="BE421" s="429" t="s">
        <v>118</v>
      </c>
      <c r="BF421" s="290"/>
      <c r="BG421" s="290"/>
      <c r="BH421" s="290"/>
      <c r="BI421" s="290"/>
    </row>
    <row r="422" spans="1:61" ht="15.75" customHeight="1">
      <c r="A422" s="696"/>
      <c r="B422" s="720" t="s">
        <v>421</v>
      </c>
      <c r="C422" s="698">
        <f>+$C$420+$G$421</f>
        <v>40232.059999999983</v>
      </c>
      <c r="D422" s="699"/>
      <c r="E422" s="700"/>
      <c r="F422" s="700">
        <f>(323^2)/(C422-40158.7)</f>
        <v>1422.1510359871847</v>
      </c>
      <c r="G422" s="701"/>
      <c r="H422" s="702"/>
      <c r="I422" s="700"/>
      <c r="J422" s="698"/>
      <c r="K422" s="702"/>
      <c r="L422" s="702" t="s">
        <v>158</v>
      </c>
      <c r="M422" s="702" t="s">
        <v>396</v>
      </c>
      <c r="N422" s="702" t="s">
        <v>124</v>
      </c>
      <c r="O422" s="702"/>
      <c r="P422" s="702"/>
      <c r="Q422" s="700"/>
      <c r="R422" s="701"/>
      <c r="S422" s="701"/>
      <c r="T422" s="700">
        <v>-30</v>
      </c>
      <c r="U422" s="700"/>
      <c r="V422" s="700"/>
      <c r="W422" s="703">
        <v>1.4</v>
      </c>
      <c r="X422" s="703"/>
      <c r="Y422" s="703"/>
      <c r="Z422" s="703"/>
      <c r="AA422" s="703"/>
      <c r="AB422" s="703"/>
      <c r="AC422" s="702" t="str">
        <f t="shared" si="45"/>
        <v>PHQ</v>
      </c>
      <c r="AD422" s="702"/>
      <c r="AE422" s="702"/>
      <c r="AF422" s="700"/>
      <c r="AG422" s="699"/>
      <c r="AH422" s="700"/>
      <c r="AI422" s="700"/>
      <c r="AJ422" s="702"/>
      <c r="AK422" s="702"/>
      <c r="AL422" s="702"/>
      <c r="AM422" s="702" t="s">
        <v>126</v>
      </c>
      <c r="AN422" s="704">
        <v>5.5</v>
      </c>
      <c r="AO422" s="703"/>
      <c r="AP422" s="703"/>
      <c r="AQ422" s="703"/>
      <c r="AR422" s="703"/>
      <c r="AS422" s="703"/>
      <c r="AT422" s="703">
        <f>+ab($T$422,$T$420,$T$424,$G$421,$G$423,-1*$F$422,1200)</f>
        <v>-6.2058160995214271</v>
      </c>
      <c r="AU422" s="705"/>
      <c r="AV422" s="705"/>
      <c r="AW422" s="702" t="str">
        <f>IF(C422&gt;0,VLOOKUP(C422,Foundation_Calc!$A$2:$C$13,3,1),
IF(J422&gt;0,VLOOKUP(J422,Foundation_Calc!$A$2:$C$13,3,1),""))</f>
        <v>Multi Soil</v>
      </c>
      <c r="AX422" s="702" t="str">
        <f>IF(C422&gt;0,VLOOKUP(C422,Foundation_Calc!$E$2:$G$33,3,1),
IF(J422&gt;0,VLOOKUP(J422,Foundation_Calc!$E$2:$G$33,3,1),""))</f>
        <v>PT</v>
      </c>
      <c r="AY422" s="704">
        <f>IF(L422="","",
IF(AX422="PT",VLOOKUP(L422,Foundation_Calc!$K$79:$R$113,VLOOKUP(AW422,Foundation_Calc!$I$2:$J$8,2,FALSE),0),
IF(AX422="K",VLOOKUP(L422,Foundation_Calc!$K$117:$R$151,VLOOKUP(AW422,Foundation_Calc!$I$2:$J$8,2,FALSE),0),"")))</f>
        <v>3.5</v>
      </c>
      <c r="AZ422" s="704" t="str">
        <f>IF(K422="","",
IF(AX422="PT",VLOOKUP(K422,Foundation_Calc!$K$79:$R$113,VLOOKUP(AW422,Foundation_Calc!$I$2:$J$8,2,FALSE),0),
IF(AX422="K",VLOOKUP(K422,Foundation_Calc!$K$117:$R$151,VLOOKUP(AW422,Foundation_Calc!$I$2:$J$8,2,FALSE),0),"")))</f>
        <v/>
      </c>
      <c r="BA422" s="495" t="str">
        <f t="shared" si="49"/>
        <v>ü</v>
      </c>
      <c r="BB422" s="495" t="str">
        <f t="shared" si="50"/>
        <v/>
      </c>
      <c r="BC422" s="495" t="str">
        <f t="shared" si="51"/>
        <v/>
      </c>
      <c r="BD422" s="513" t="str">
        <f>IF(AND(L422="",H422=""),"",
IF(H422="",Pole_Calc!A$9,
IF(H422="MP",Pole_Calc!A$10,
IF(H422="AnMP",Pole_Calc!A$11,
IF(H422="A",Pole_Calc!A$12,
IF(H422="S/A",Pole_Calc!A$13,
IF(H422="A/S",Pole_Calc!A$14,"Poner a mano")))))))</f>
        <v>App.7-V11I-P9.5.1.1</v>
      </c>
      <c r="BE422" s="429" t="s">
        <v>118</v>
      </c>
      <c r="BF422" s="289"/>
      <c r="BG422" s="289"/>
      <c r="BH422" s="290"/>
      <c r="BI422" s="289"/>
    </row>
    <row r="423" spans="1:61" ht="15.75" customHeight="1">
      <c r="A423" s="708"/>
      <c r="B423" s="697"/>
      <c r="C423" s="698"/>
      <c r="D423" s="699"/>
      <c r="E423" s="700"/>
      <c r="F423" s="700"/>
      <c r="G423" s="701">
        <v>40</v>
      </c>
      <c r="H423" s="702"/>
      <c r="I423" s="700"/>
      <c r="J423" s="698"/>
      <c r="K423" s="702"/>
      <c r="L423" s="702"/>
      <c r="M423" s="702" t="str">
        <f>IF(L423="","",
IF(AX423="PT",VLOOKUP(L423,Foundation_Calc!$V$79:$X$113,VLOOKUP(AX423,Foundation_Calc!$I$10:$J$13,2,FALSE),0),
IF(AX423="K",VLOOKUP(L423,Foundation_Calc!$V$117:$X$151,VLOOKUP(AX423,Foundation_Calc!$I$10:$J$13,2,FALSE),0),"")))</f>
        <v/>
      </c>
      <c r="N423" s="702"/>
      <c r="O423" s="702"/>
      <c r="P423" s="702"/>
      <c r="Q423" s="700"/>
      <c r="R423" s="701"/>
      <c r="S423" s="701"/>
      <c r="T423" s="700"/>
      <c r="U423" s="700"/>
      <c r="V423" s="700"/>
      <c r="W423" s="703"/>
      <c r="X423" s="703"/>
      <c r="Y423" s="703"/>
      <c r="Z423" s="703"/>
      <c r="AA423" s="703"/>
      <c r="AB423" s="703"/>
      <c r="AC423" s="702" t="str">
        <f t="shared" si="45"/>
        <v/>
      </c>
      <c r="AD423" s="702"/>
      <c r="AE423" s="702"/>
      <c r="AF423" s="700"/>
      <c r="AG423" s="699"/>
      <c r="AH423" s="700"/>
      <c r="AI423" s="700"/>
      <c r="AJ423" s="702"/>
      <c r="AK423" s="702"/>
      <c r="AL423" s="702"/>
      <c r="AM423" s="702"/>
      <c r="AN423" s="704"/>
      <c r="AO423" s="703"/>
      <c r="AP423" s="703"/>
      <c r="AQ423" s="703">
        <f>+FL_2($T$424,$T$422,$G$423,1200,9.28,-1*$F$424)</f>
        <v>-0.3</v>
      </c>
      <c r="AR423" s="703"/>
      <c r="AS423" s="703"/>
      <c r="AT423" s="703"/>
      <c r="AU423" s="705"/>
      <c r="AV423" s="705"/>
      <c r="AW423" s="702" t="str">
        <f>IF(C423&gt;0,VLOOKUP(C423,Foundation_Calc!$A$2:$C$13,3,1),
IF(J423&gt;0,VLOOKUP(J423,Foundation_Calc!$A$2:$C$13,3,1),""))</f>
        <v/>
      </c>
      <c r="AX423" s="702" t="str">
        <f>IF(C423&gt;0,VLOOKUP(C423,Foundation_Calc!$E$2:$G$33,3,1),
IF(J423&gt;0,VLOOKUP(J423,Foundation_Calc!$E$2:$G$33,3,1),""))</f>
        <v/>
      </c>
      <c r="AY423" s="704" t="str">
        <f>IF(L423="","",
IF(AX423="PT",VLOOKUP(L423,Foundation_Calc!$K$79:$R$113,VLOOKUP(AW423,Foundation_Calc!$I$2:$J$8,2,FALSE),0),
IF(AX423="K",VLOOKUP(L423,Foundation_Calc!$K$117:$R$151,VLOOKUP(AW423,Foundation_Calc!$I$2:$J$8,2,FALSE),0),"")))</f>
        <v/>
      </c>
      <c r="AZ423" s="704" t="str">
        <f>IF(K423="","",
IF(AX423="PT",VLOOKUP(K423,Foundation_Calc!$K$79:$R$113,VLOOKUP(AW423,Foundation_Calc!$I$2:$J$8,2,FALSE),0),
IF(AX423="K",VLOOKUP(K423,Foundation_Calc!$K$117:$R$151,VLOOKUP(AW423,Foundation_Calc!$I$2:$J$8,2,FALSE),0),"")))</f>
        <v/>
      </c>
      <c r="BA423" s="495" t="str">
        <f t="shared" si="49"/>
        <v/>
      </c>
      <c r="BB423" s="495" t="str">
        <f t="shared" si="50"/>
        <v/>
      </c>
      <c r="BC423" s="495" t="str">
        <f t="shared" si="51"/>
        <v/>
      </c>
      <c r="BD423" s="513" t="str">
        <f>IF(AND(L423="",H423=""),"",
IF(H423="",Pole_Calc!A$9,
IF(H423="MP",Pole_Calc!A$10,
IF(H423="AnMP",Pole_Calc!A$11,
IF(H423="A",Pole_Calc!A$12,
IF(H423="S/A",Pole_Calc!A$13,
IF(H423="A/S",Pole_Calc!A$14,"Poner a mano")))))))</f>
        <v/>
      </c>
      <c r="BE423" s="429" t="s">
        <v>118</v>
      </c>
      <c r="BF423" s="290"/>
      <c r="BG423" s="290"/>
      <c r="BH423" s="290"/>
      <c r="BI423" s="290"/>
    </row>
    <row r="424" spans="1:61" ht="15.75" customHeight="1">
      <c r="A424" s="696"/>
      <c r="B424" s="720" t="s">
        <v>422</v>
      </c>
      <c r="C424" s="698">
        <f>+$C$422+$G$423</f>
        <v>40272.059999999983</v>
      </c>
      <c r="D424" s="699"/>
      <c r="E424" s="700"/>
      <c r="F424" s="700">
        <f>(323^2)/(C424-40158.7)</f>
        <v>920.33345095283039</v>
      </c>
      <c r="G424" s="701"/>
      <c r="H424" s="702"/>
      <c r="I424" s="700"/>
      <c r="J424" s="698"/>
      <c r="K424" s="702"/>
      <c r="L424" s="702" t="s">
        <v>158</v>
      </c>
      <c r="M424" s="702" t="s">
        <v>396</v>
      </c>
      <c r="N424" s="702" t="s">
        <v>124</v>
      </c>
      <c r="O424" s="702"/>
      <c r="P424" s="702"/>
      <c r="Q424" s="700"/>
      <c r="R424" s="701"/>
      <c r="S424" s="701"/>
      <c r="T424" s="700">
        <v>-30</v>
      </c>
      <c r="U424" s="700"/>
      <c r="V424" s="700"/>
      <c r="W424" s="703">
        <v>1.4</v>
      </c>
      <c r="X424" s="703"/>
      <c r="Y424" s="703"/>
      <c r="Z424" s="703"/>
      <c r="AA424" s="703"/>
      <c r="AB424" s="703"/>
      <c r="AC424" s="702" t="str">
        <f t="shared" si="45"/>
        <v>PHC</v>
      </c>
      <c r="AD424" s="702"/>
      <c r="AE424" s="702"/>
      <c r="AF424" s="700"/>
      <c r="AG424" s="699"/>
      <c r="AH424" s="700"/>
      <c r="AI424" s="700"/>
      <c r="AJ424" s="702"/>
      <c r="AK424" s="702"/>
      <c r="AL424" s="702"/>
      <c r="AM424" s="702" t="s">
        <v>126</v>
      </c>
      <c r="AN424" s="704">
        <v>5.5</v>
      </c>
      <c r="AO424" s="703"/>
      <c r="AP424" s="703"/>
      <c r="AQ424" s="703"/>
      <c r="AR424" s="703"/>
      <c r="AS424" s="703"/>
      <c r="AT424" s="703">
        <f>+ab($T$424,$T$422,$T$426,$G$423,$G$425,-1*$F$424,1200)</f>
        <v>-4.4064229042920466</v>
      </c>
      <c r="AU424" s="705"/>
      <c r="AV424" s="705"/>
      <c r="AW424" s="702" t="str">
        <f>IF(C424&gt;0,VLOOKUP(C424,Foundation_Calc!$A$2:$C$13,3,1),
IF(J424&gt;0,VLOOKUP(J424,Foundation_Calc!$A$2:$C$13,3,1),""))</f>
        <v>Multi Soil</v>
      </c>
      <c r="AX424" s="702" t="str">
        <f>IF(C424&gt;0,VLOOKUP(C424,Foundation_Calc!$E$2:$G$33,3,1),
IF(J424&gt;0,VLOOKUP(J424,Foundation_Calc!$E$2:$G$33,3,1),""))</f>
        <v>PT</v>
      </c>
      <c r="AY424" s="704">
        <f>IF(L424="","",
IF(AX424="PT",VLOOKUP(L424,Foundation_Calc!$K$79:$R$113,VLOOKUP(AW424,Foundation_Calc!$I$2:$J$8,2,FALSE),0),
IF(AX424="K",VLOOKUP(L424,Foundation_Calc!$K$117:$R$151,VLOOKUP(AW424,Foundation_Calc!$I$2:$J$8,2,FALSE),0),"")))</f>
        <v>3.5</v>
      </c>
      <c r="AZ424" s="704" t="str">
        <f>IF(K424="","",
IF(AX424="PT",VLOOKUP(K424,Foundation_Calc!$K$79:$R$113,VLOOKUP(AW424,Foundation_Calc!$I$2:$J$8,2,FALSE),0),
IF(AX424="K",VLOOKUP(K424,Foundation_Calc!$K$117:$R$151,VLOOKUP(AW424,Foundation_Calc!$I$2:$J$8,2,FALSE),0),"")))</f>
        <v/>
      </c>
      <c r="BA424" s="495" t="str">
        <f t="shared" si="49"/>
        <v>ü</v>
      </c>
      <c r="BB424" s="495" t="str">
        <f t="shared" si="50"/>
        <v/>
      </c>
      <c r="BC424" s="495" t="str">
        <f t="shared" si="51"/>
        <v/>
      </c>
      <c r="BD424" s="513" t="str">
        <f>IF(AND(L424="",H424=""),"",
IF(H424="",Pole_Calc!A$9,
IF(H424="MP",Pole_Calc!A$10,
IF(H424="AnMP",Pole_Calc!A$11,
IF(H424="A",Pole_Calc!A$12,
IF(H424="S/A",Pole_Calc!A$13,
IF(H424="A/S",Pole_Calc!A$14,"Poner a mano")))))))</f>
        <v>App.7-V11I-P9.5.1.1</v>
      </c>
      <c r="BE424" s="429" t="s">
        <v>118</v>
      </c>
      <c r="BF424" s="289"/>
      <c r="BG424" s="289"/>
      <c r="BH424" s="290"/>
      <c r="BI424" s="289"/>
    </row>
    <row r="425" spans="1:61" ht="15.75" customHeight="1">
      <c r="A425" s="696"/>
      <c r="B425" s="697"/>
      <c r="C425" s="698"/>
      <c r="D425" s="699"/>
      <c r="E425" s="700"/>
      <c r="F425" s="700"/>
      <c r="G425" s="701">
        <v>40</v>
      </c>
      <c r="H425" s="702"/>
      <c r="I425" s="700"/>
      <c r="J425" s="698">
        <f>C426-7.5</f>
        <v>40303.559999999983</v>
      </c>
      <c r="K425" s="702" t="s">
        <v>166</v>
      </c>
      <c r="L425" s="702"/>
      <c r="M425" s="702" t="str">
        <f>IF(L425="","",
IF(AX425="PT",VLOOKUP(L425,Foundation_Calc!$V$79:$X$113,VLOOKUP(AX425,Foundation_Calc!$I$10:$J$13,2,FALSE),0),
IF(AX425="K",VLOOKUP(L425,Foundation_Calc!$V$117:$X$151,VLOOKUP(AX425,Foundation_Calc!$I$10:$J$13,2,FALSE),0),"")))</f>
        <v/>
      </c>
      <c r="N425" s="719"/>
      <c r="O425" s="702"/>
      <c r="P425" s="719"/>
      <c r="Q425" s="700"/>
      <c r="R425" s="701"/>
      <c r="S425" s="701"/>
      <c r="T425" s="700"/>
      <c r="U425" s="700"/>
      <c r="V425" s="700"/>
      <c r="W425" s="703"/>
      <c r="X425" s="703"/>
      <c r="Y425" s="703"/>
      <c r="Z425" s="703"/>
      <c r="AA425" s="703"/>
      <c r="AB425" s="703"/>
      <c r="AC425" s="702" t="str">
        <f t="shared" si="45"/>
        <v/>
      </c>
      <c r="AD425" s="702"/>
      <c r="AE425" s="702"/>
      <c r="AF425" s="700"/>
      <c r="AG425" s="699"/>
      <c r="AH425" s="700"/>
      <c r="AI425" s="700"/>
      <c r="AJ425" s="702"/>
      <c r="AK425" s="702"/>
      <c r="AL425" s="702"/>
      <c r="AM425" s="702"/>
      <c r="AN425" s="704"/>
      <c r="AO425" s="703"/>
      <c r="AP425" s="703"/>
      <c r="AQ425" s="703">
        <f>+FL_2($T$426,$T$424,$G$425,1200,9.28,-1*$F$426)</f>
        <v>-0.3</v>
      </c>
      <c r="AR425" s="703"/>
      <c r="AS425" s="703"/>
      <c r="AT425" s="703"/>
      <c r="AU425" s="705"/>
      <c r="AV425" s="705"/>
      <c r="AW425" s="702" t="str">
        <f>IF(C425&gt;0,VLOOKUP(C425,Foundation_Calc!$A$2:$C$13,3,1),
IF(J425&gt;0,VLOOKUP(J425,Foundation_Calc!$A$2:$C$13,3,1),""))</f>
        <v>Multi Soil</v>
      </c>
      <c r="AX425" s="702" t="str">
        <f>IF(C425&gt;0,VLOOKUP(C425,Foundation_Calc!$E$2:$G$33,3,1),
IF(J425&gt;0,VLOOKUP(J425,Foundation_Calc!$E$2:$G$33,3,1),""))</f>
        <v>PT</v>
      </c>
      <c r="AY425" s="704" t="str">
        <f>IF(L425="","",
IF(AX425="PT",VLOOKUP(L425,Foundation_Calc!$K$79:$R$113,VLOOKUP(AW425,Foundation_Calc!$I$2:$J$8,2,FALSE),0),
IF(AX425="K",VLOOKUP(L425,Foundation_Calc!$K$117:$R$151,VLOOKUP(AW425,Foundation_Calc!$I$2:$J$8,2,FALSE),0),"")))</f>
        <v/>
      </c>
      <c r="AZ425" s="704">
        <f>IF(K425="","",
IF(AX425="PT",VLOOKUP(K425,Foundation_Calc!$K$79:$R$113,VLOOKUP(AW425,Foundation_Calc!$I$2:$J$8,2,FALSE),0),
IF(AX425="K",VLOOKUP(K425,Foundation_Calc!$K$117:$R$151,VLOOKUP(AW425,Foundation_Calc!$I$2:$J$8,2,FALSE),0),"")))</f>
        <v>2.8</v>
      </c>
      <c r="BA425" s="495" t="str">
        <f t="shared" si="49"/>
        <v/>
      </c>
      <c r="BB425" s="495" t="str">
        <f t="shared" si="50"/>
        <v>ü</v>
      </c>
      <c r="BC425" s="495" t="str">
        <f t="shared" si="51"/>
        <v/>
      </c>
      <c r="BD425" s="513" t="str">
        <f>IF(AND(L425="",H425=""),"",
IF(H425="",Pole_Calc!A$9,
IF(H425="MP",Pole_Calc!A$10,
IF(H425="AnMP",Pole_Calc!A$11,
IF(H425="A",Pole_Calc!A$12,
IF(H425="S/A",Pole_Calc!A$13,
IF(H425="A/S",Pole_Calc!A$14,"Poner a mano")))))))</f>
        <v/>
      </c>
      <c r="BE425" s="429" t="s">
        <v>118</v>
      </c>
      <c r="BF425" s="290"/>
      <c r="BG425" s="290"/>
      <c r="BH425" s="290"/>
      <c r="BI425" s="290"/>
    </row>
    <row r="426" spans="1:61" ht="15.75" customHeight="1">
      <c r="A426" s="696"/>
      <c r="B426" s="720" t="s">
        <v>423</v>
      </c>
      <c r="C426" s="698">
        <f>+$C$424+$G$425-1</f>
        <v>40311.059999999983</v>
      </c>
      <c r="D426" s="699"/>
      <c r="E426" s="700"/>
      <c r="F426" s="700">
        <f>IF(C426&gt;0,VLOOKUP(C426,'ALIGNMENT TRACK'!$A$1:$K$81,9,1))</f>
        <v>804</v>
      </c>
      <c r="G426" s="701"/>
      <c r="H426" s="702" t="s">
        <v>168</v>
      </c>
      <c r="I426" s="700"/>
      <c r="J426" s="698"/>
      <c r="K426" s="702"/>
      <c r="L426" s="702" t="s">
        <v>398</v>
      </c>
      <c r="M426" s="702" t="s">
        <v>399</v>
      </c>
      <c r="N426" s="702" t="s">
        <v>124</v>
      </c>
      <c r="O426" s="702"/>
      <c r="P426" s="702"/>
      <c r="Q426" s="700"/>
      <c r="R426" s="701"/>
      <c r="S426" s="701"/>
      <c r="T426" s="700">
        <v>-30</v>
      </c>
      <c r="U426" s="700"/>
      <c r="V426" s="700"/>
      <c r="W426" s="703">
        <v>1.4</v>
      </c>
      <c r="X426" s="703"/>
      <c r="Y426" s="703"/>
      <c r="Z426" s="703"/>
      <c r="AA426" s="703"/>
      <c r="AB426" s="703"/>
      <c r="AC426" s="702" t="str">
        <f t="shared" si="45"/>
        <v>PHC</v>
      </c>
      <c r="AD426" s="702"/>
      <c r="AE426" s="702"/>
      <c r="AF426" s="700"/>
      <c r="AG426" s="699"/>
      <c r="AH426" s="700"/>
      <c r="AI426" s="700"/>
      <c r="AJ426" s="702"/>
      <c r="AK426" s="702"/>
      <c r="AL426" s="702"/>
      <c r="AM426" s="702" t="s">
        <v>126</v>
      </c>
      <c r="AN426" s="704">
        <v>5.5</v>
      </c>
      <c r="AO426" s="703"/>
      <c r="AP426" s="703"/>
      <c r="AQ426" s="703"/>
      <c r="AR426" s="703"/>
      <c r="AS426" s="703"/>
      <c r="AT426" s="703">
        <f>+ab($T$426,$T$424,$T$428,$G$425,$G$427,-1*$F$426,1200)</f>
        <v>-3.8038263799140442</v>
      </c>
      <c r="AU426" s="705"/>
      <c r="AV426" s="705"/>
      <c r="AW426" s="702" t="str">
        <f>IF(C426&gt;0,VLOOKUP(C426,Foundation_Calc!$A$2:$C$13,3,1),
IF(J426&gt;0,VLOOKUP(J426,Foundation_Calc!$A$2:$C$13,3,1),""))</f>
        <v>Multi Soil</v>
      </c>
      <c r="AX426" s="702" t="str">
        <f>IF(C426&gt;0,VLOOKUP(C426,Foundation_Calc!$E$2:$G$33,3,1),
IF(J426&gt;0,VLOOKUP(J426,Foundation_Calc!$E$2:$G$33,3,1),""))</f>
        <v>PT</v>
      </c>
      <c r="AY426" s="704">
        <f>IF(L426="","",
IF(AX426="PT",VLOOKUP(L426,Foundation_Calc!$K$79:$R$113,VLOOKUP(AW426,Foundation_Calc!$I$2:$J$8,2,FALSE),0),
IF(AX426="K",VLOOKUP(L426,Foundation_Calc!$K$117:$R$151,VLOOKUP(AW426,Foundation_Calc!$I$2:$J$8,2,FALSE),0),"")))</f>
        <v>3.5</v>
      </c>
      <c r="AZ426" s="704" t="str">
        <f>IF(K426="","",
IF(AX426="PT",VLOOKUP(K426,Foundation_Calc!$K$79:$R$113,VLOOKUP(AW426,Foundation_Calc!$I$2:$J$8,2,FALSE),0),
IF(AX426="K",VLOOKUP(K426,Foundation_Calc!$K$117:$R$151,VLOOKUP(AW426,Foundation_Calc!$I$2:$J$8,2,FALSE),0),"")))</f>
        <v/>
      </c>
      <c r="BA426" s="495" t="str">
        <f t="shared" si="49"/>
        <v>ü</v>
      </c>
      <c r="BB426" s="495" t="str">
        <f t="shared" si="50"/>
        <v/>
      </c>
      <c r="BC426" s="495" t="str">
        <f t="shared" si="51"/>
        <v/>
      </c>
      <c r="BD426" s="513" t="str">
        <f>IF(AND(L426="",H426=""),"",
IF(H426="",Pole_Calc!A$9,
IF(H426="MP",Pole_Calc!A$10,
IF(H426="AnMP",Pole_Calc!A$11,
IF(H426="A",Pole_Calc!A$12,
IF(H426="S/A",Pole_Calc!A$13,
IF(H426="A/S",Pole_Calc!A$14,"Poner a mano")))))))</f>
        <v>App.7-V11I-P9.5.1.3</v>
      </c>
      <c r="BE426" s="429" t="s">
        <v>118</v>
      </c>
      <c r="BF426" s="289"/>
      <c r="BG426" s="289"/>
      <c r="BH426" s="290"/>
      <c r="BI426" s="289"/>
    </row>
    <row r="427" spans="1:61" ht="15.75" customHeight="1">
      <c r="A427" s="696"/>
      <c r="B427" s="697"/>
      <c r="C427" s="698"/>
      <c r="D427" s="699"/>
      <c r="E427" s="700"/>
      <c r="F427" s="700"/>
      <c r="G427" s="701">
        <v>41</v>
      </c>
      <c r="H427" s="702"/>
      <c r="I427" s="700">
        <f>SUM(G405:G427)</f>
        <v>538.5</v>
      </c>
      <c r="J427" s="698"/>
      <c r="K427" s="702"/>
      <c r="L427" s="702"/>
      <c r="M427" s="702" t="str">
        <f>IF(L427="","",
IF(AX427="PT",VLOOKUP(L427,Foundation_Calc!$V$79:$X$113,VLOOKUP(AX427,Foundation_Calc!$I$10:$J$13,2,FALSE),0),
IF(AX427="K",VLOOKUP(L427,Foundation_Calc!$V$117:$X$151,VLOOKUP(AX427,Foundation_Calc!$I$10:$J$13,2,FALSE),0),"")))</f>
        <v/>
      </c>
      <c r="N427" s="719"/>
      <c r="O427" s="702"/>
      <c r="P427" s="719"/>
      <c r="Q427" s="700"/>
      <c r="R427" s="701"/>
      <c r="S427" s="701"/>
      <c r="T427" s="700"/>
      <c r="U427" s="700"/>
      <c r="V427" s="700"/>
      <c r="W427" s="703"/>
      <c r="X427" s="703"/>
      <c r="Y427" s="703"/>
      <c r="Z427" s="703"/>
      <c r="AA427" s="703"/>
      <c r="AB427" s="703"/>
      <c r="AC427" s="702" t="str">
        <f t="shared" si="45"/>
        <v/>
      </c>
      <c r="AD427" s="702"/>
      <c r="AE427" s="702"/>
      <c r="AF427" s="700"/>
      <c r="AG427" s="699"/>
      <c r="AH427" s="700"/>
      <c r="AI427" s="700"/>
      <c r="AJ427" s="702"/>
      <c r="AK427" s="702"/>
      <c r="AL427" s="702"/>
      <c r="AM427" s="702"/>
      <c r="AN427" s="704"/>
      <c r="AO427" s="703"/>
      <c r="AP427" s="703"/>
      <c r="AQ427" s="703">
        <f>+FL_2($T$428,$T$426,$G$427,1200,9.28,-1*$F$428)</f>
        <v>-0.3</v>
      </c>
      <c r="AR427" s="703"/>
      <c r="AS427" s="703"/>
      <c r="AT427" s="703"/>
      <c r="AU427" s="705"/>
      <c r="AV427" s="705"/>
      <c r="AW427" s="702" t="str">
        <f>IF(C427&gt;0,VLOOKUP(C427,Foundation_Calc!$A$2:$C$13,3,1),
IF(J427&gt;0,VLOOKUP(J427,Foundation_Calc!$A$2:$C$13,3,1),""))</f>
        <v/>
      </c>
      <c r="AX427" s="702" t="str">
        <f>IF(C427&gt;0,VLOOKUP(C427,Foundation_Calc!$E$2:$G$33,3,1),
IF(J427&gt;0,VLOOKUP(J427,Foundation_Calc!$E$2:$G$33,3,1),""))</f>
        <v/>
      </c>
      <c r="AY427" s="704" t="str">
        <f>IF(L427="","",
IF(AX427="PT",VLOOKUP(L427,Foundation_Calc!$K$79:$R$113,VLOOKUP(AW427,Foundation_Calc!$I$2:$J$8,2,FALSE),0),
IF(AX427="K",VLOOKUP(L427,Foundation_Calc!$K$117:$R$151,VLOOKUP(AW427,Foundation_Calc!$I$2:$J$8,2,FALSE),0),"")))</f>
        <v/>
      </c>
      <c r="AZ427" s="704" t="str">
        <f>IF(K427="","",
IF(AX427="PT",VLOOKUP(K427,Foundation_Calc!$K$79:$R$113,VLOOKUP(AW427,Foundation_Calc!$I$2:$J$8,2,FALSE),0),
IF(AX427="K",VLOOKUP(K427,Foundation_Calc!$K$117:$R$151,VLOOKUP(AW427,Foundation_Calc!$I$2:$J$8,2,FALSE),0),"")))</f>
        <v/>
      </c>
      <c r="BA427" s="495" t="str">
        <f t="shared" si="49"/>
        <v/>
      </c>
      <c r="BB427" s="495" t="str">
        <f t="shared" si="50"/>
        <v/>
      </c>
      <c r="BC427" s="495" t="str">
        <f t="shared" si="51"/>
        <v/>
      </c>
      <c r="BD427" s="513" t="str">
        <f>IF(AND(L427="",H427=""),"",
IF(H427="",Pole_Calc!A$9,
IF(H427="MP",Pole_Calc!A$10,
IF(H427="AnMP",Pole_Calc!A$11,
IF(H427="A",Pole_Calc!A$12,
IF(H427="S/A",Pole_Calc!A$13,
IF(H427="A/S",Pole_Calc!A$14,"Poner a mano")))))))</f>
        <v/>
      </c>
      <c r="BE427" s="429" t="s">
        <v>118</v>
      </c>
      <c r="BF427" s="290"/>
      <c r="BG427" s="290"/>
      <c r="BH427" s="290"/>
      <c r="BI427" s="290"/>
    </row>
    <row r="428" spans="1:61" ht="15.75" customHeight="1">
      <c r="A428" s="708"/>
      <c r="B428" s="697" t="s">
        <v>424</v>
      </c>
      <c r="C428" s="698">
        <f>+$C$426+$G$427</f>
        <v>40352.059999999983</v>
      </c>
      <c r="D428" s="699"/>
      <c r="E428" s="700"/>
      <c r="F428" s="700">
        <f>IF(C428&gt;0,VLOOKUP(C428,'ALIGNMENT TRACK'!$A$1:$K$81,9,1))</f>
        <v>804</v>
      </c>
      <c r="G428" s="701"/>
      <c r="H428" s="702" t="s">
        <v>171</v>
      </c>
      <c r="I428" s="700"/>
      <c r="J428" s="698"/>
      <c r="K428" s="702"/>
      <c r="L428" s="702" t="s">
        <v>158</v>
      </c>
      <c r="M428" s="702" t="str">
        <f>IF(L428="","",
IF(AX428="PT",VLOOKUP(L428,Foundation_Calc!$V$79:$X$113,VLOOKUP(AX428,Foundation_Calc!$I$10:$J$13,2,FALSE),0),
IF(AX428="K",VLOOKUP(L428,Foundation_Calc!$V$117:$X$151,VLOOKUP(AX428,Foundation_Calc!$I$10:$J$13,2,FALSE),0),"")))</f>
        <v>C4R</v>
      </c>
      <c r="N428" s="702" t="s">
        <v>124</v>
      </c>
      <c r="O428" s="702"/>
      <c r="P428" s="702"/>
      <c r="Q428" s="700"/>
      <c r="R428" s="701"/>
      <c r="S428" s="701"/>
      <c r="T428" s="700">
        <v>-30</v>
      </c>
      <c r="U428" s="700"/>
      <c r="V428" s="700"/>
      <c r="W428" s="703">
        <v>1.4</v>
      </c>
      <c r="X428" s="703"/>
      <c r="Y428" s="703"/>
      <c r="Z428" s="703"/>
      <c r="AA428" s="703"/>
      <c r="AB428" s="703"/>
      <c r="AC428" s="702" t="str">
        <f t="shared" si="45"/>
        <v>PHC</v>
      </c>
      <c r="AD428" s="702"/>
      <c r="AE428" s="702"/>
      <c r="AF428" s="700"/>
      <c r="AG428" s="699"/>
      <c r="AH428" s="700"/>
      <c r="AI428" s="700"/>
      <c r="AJ428" s="702"/>
      <c r="AK428" s="702"/>
      <c r="AL428" s="702"/>
      <c r="AM428" s="702" t="s">
        <v>126</v>
      </c>
      <c r="AN428" s="704">
        <v>5.5</v>
      </c>
      <c r="AO428" s="703"/>
      <c r="AP428" s="703"/>
      <c r="AQ428" s="703"/>
      <c r="AR428" s="703"/>
      <c r="AS428" s="703"/>
      <c r="AT428" s="703">
        <f>+ab($T$428,$T$426,$T$430,$G$427,$G$429,-1*$F$428,1200)</f>
        <v>-3.6683532252610638</v>
      </c>
      <c r="AU428" s="705"/>
      <c r="AV428" s="705"/>
      <c r="AW428" s="702" t="str">
        <f>IF(C428&gt;0,VLOOKUP(C428,Foundation_Calc!$A$2:$C$13,3,1),
IF(J428&gt;0,VLOOKUP(J428,Foundation_Calc!$A$2:$C$13,3,1),""))</f>
        <v>Multi Soil</v>
      </c>
      <c r="AX428" s="702" t="str">
        <f>IF(C428&gt;0,VLOOKUP(C428,Foundation_Calc!$E$2:$G$33,3,1),
IF(J428&gt;0,VLOOKUP(J428,Foundation_Calc!$E$2:$G$33,3,1),""))</f>
        <v>PT</v>
      </c>
      <c r="AY428" s="704">
        <f>IF(L428="","",
IF(AX428="PT",VLOOKUP(L428,Foundation_Calc!$K$79:$R$113,VLOOKUP(AW428,Foundation_Calc!$I$2:$J$8,2,FALSE),0),
IF(AX428="K",VLOOKUP(L428,Foundation_Calc!$K$117:$R$151,VLOOKUP(AW428,Foundation_Calc!$I$2:$J$8,2,FALSE),0),"")))</f>
        <v>3.5</v>
      </c>
      <c r="AZ428" s="704" t="str">
        <f>IF(K428="","",
IF(AX428="PT",VLOOKUP(K428,Foundation_Calc!$K$79:$R$113,VLOOKUP(AW428,Foundation_Calc!$I$2:$J$8,2,FALSE),0),
IF(AX428="K",VLOOKUP(K428,Foundation_Calc!$K$117:$R$151,VLOOKUP(AW428,Foundation_Calc!$I$2:$J$8,2,FALSE),0),"")))</f>
        <v/>
      </c>
      <c r="BA428" s="495" t="str">
        <f t="shared" si="49"/>
        <v>ü</v>
      </c>
      <c r="BB428" s="495" t="str">
        <f t="shared" si="50"/>
        <v/>
      </c>
      <c r="BC428" s="495" t="str">
        <f t="shared" si="51"/>
        <v/>
      </c>
      <c r="BD428" s="513" t="str">
        <f>IF(AND(L428="",H428=""),"",
IF(H428="",Pole_Calc!A$9,
IF(H428="MP",Pole_Calc!A$10,
IF(H428="AnMP",Pole_Calc!A$11,
IF(H428="A",Pole_Calc!A$12,
IF(H428="S/A",Pole_Calc!A$13,
IF(H428="A/S",Pole_Calc!A$14,"Poner a mano")))))))</f>
        <v>App.7-V11I-P9.5.1.2</v>
      </c>
      <c r="BE428" s="429" t="s">
        <v>118</v>
      </c>
      <c r="BF428" s="289"/>
      <c r="BG428" s="289"/>
      <c r="BH428" s="290"/>
      <c r="BI428" s="289"/>
    </row>
    <row r="429" spans="1:61" ht="15.75" customHeight="1">
      <c r="A429" s="708"/>
      <c r="B429" s="697"/>
      <c r="C429" s="698"/>
      <c r="D429" s="699"/>
      <c r="E429" s="700"/>
      <c r="F429" s="700"/>
      <c r="G429" s="701">
        <v>43</v>
      </c>
      <c r="H429" s="702"/>
      <c r="I429" s="700">
        <f>SUM(G429:G451)</f>
        <v>477</v>
      </c>
      <c r="J429" s="698"/>
      <c r="K429" s="702"/>
      <c r="L429" s="702"/>
      <c r="M429" s="702" t="str">
        <f>IF(L429="","",
IF(AX429="PT",VLOOKUP(L429,Foundation_Calc!$V$79:$X$113,VLOOKUP(AX429,Foundation_Calc!$I$10:$J$13,2,FALSE),0),
IF(AX429="K",VLOOKUP(L429,Foundation_Calc!$V$117:$X$151,VLOOKUP(AX429,Foundation_Calc!$I$10:$J$13,2,FALSE),0),"")))</f>
        <v/>
      </c>
      <c r="N429" s="702"/>
      <c r="O429" s="702"/>
      <c r="P429" s="702"/>
      <c r="Q429" s="700"/>
      <c r="R429" s="701"/>
      <c r="S429" s="701"/>
      <c r="T429" s="700"/>
      <c r="U429" s="700"/>
      <c r="V429" s="700"/>
      <c r="W429" s="703"/>
      <c r="X429" s="703"/>
      <c r="Y429" s="703"/>
      <c r="Z429" s="703"/>
      <c r="AA429" s="703"/>
      <c r="AB429" s="703"/>
      <c r="AC429" s="702" t="str">
        <f t="shared" si="45"/>
        <v/>
      </c>
      <c r="AD429" s="702"/>
      <c r="AE429" s="702"/>
      <c r="AF429" s="700"/>
      <c r="AG429" s="699"/>
      <c r="AH429" s="700"/>
      <c r="AI429" s="700"/>
      <c r="AJ429" s="702"/>
      <c r="AK429" s="702"/>
      <c r="AL429" s="702"/>
      <c r="AM429" s="702"/>
      <c r="AN429" s="704"/>
      <c r="AO429" s="703"/>
      <c r="AP429" s="703"/>
      <c r="AQ429" s="703">
        <f>+FL_2($T$430,$T$428,$G$429,1200,9.28,-1*$F$430)</f>
        <v>-0.3</v>
      </c>
      <c r="AR429" s="703"/>
      <c r="AS429" s="703"/>
      <c r="AT429" s="703"/>
      <c r="AU429" s="705"/>
      <c r="AV429" s="705"/>
      <c r="AW429" s="702" t="str">
        <f>IF(C429&gt;0,VLOOKUP(C429,Foundation_Calc!$A$2:$C$13,3,1),
IF(J429&gt;0,VLOOKUP(J429,Foundation_Calc!$A$2:$C$13,3,1),""))</f>
        <v/>
      </c>
      <c r="AX429" s="702" t="str">
        <f>IF(C429&gt;0,VLOOKUP(C429,Foundation_Calc!$E$2:$G$33,3,1),
IF(J429&gt;0,VLOOKUP(J429,Foundation_Calc!$E$2:$G$33,3,1),""))</f>
        <v/>
      </c>
      <c r="AY429" s="704" t="str">
        <f>IF(L429="","",
IF(AX429="PT",VLOOKUP(L429,Foundation_Calc!$K$79:$R$113,VLOOKUP(AW429,Foundation_Calc!$I$2:$J$8,2,FALSE),0),
IF(AX429="K",VLOOKUP(L429,Foundation_Calc!$K$117:$R$151,VLOOKUP(AW429,Foundation_Calc!$I$2:$J$8,2,FALSE),0),"")))</f>
        <v/>
      </c>
      <c r="AZ429" s="704" t="str">
        <f>IF(K429="","",
IF(AX429="PT",VLOOKUP(K429,Foundation_Calc!$K$79:$R$113,VLOOKUP(AW429,Foundation_Calc!$I$2:$J$8,2,FALSE),0),
IF(AX429="K",VLOOKUP(K429,Foundation_Calc!$K$117:$R$151,VLOOKUP(AW429,Foundation_Calc!$I$2:$J$8,2,FALSE),0),"")))</f>
        <v/>
      </c>
      <c r="BA429" s="495" t="str">
        <f t="shared" si="49"/>
        <v/>
      </c>
      <c r="BB429" s="495" t="str">
        <f t="shared" si="50"/>
        <v/>
      </c>
      <c r="BC429" s="495" t="str">
        <f t="shared" si="51"/>
        <v/>
      </c>
      <c r="BD429" s="513" t="str">
        <f>IF(AND(L429="",H429=""),"",
IF(H429="",Pole_Calc!A$9,
IF(H429="MP",Pole_Calc!A$10,
IF(H429="AnMP",Pole_Calc!A$11,
IF(H429="A",Pole_Calc!A$12,
IF(H429="S/A",Pole_Calc!A$13,
IF(H429="A/S",Pole_Calc!A$14,"Poner a mano")))))))</f>
        <v/>
      </c>
      <c r="BE429" s="429" t="s">
        <v>118</v>
      </c>
      <c r="BF429" s="290"/>
      <c r="BG429" s="290"/>
      <c r="BH429" s="290"/>
      <c r="BI429" s="290"/>
    </row>
    <row r="430" spans="1:61" ht="15.75" customHeight="1">
      <c r="A430" s="696"/>
      <c r="B430" s="697" t="s">
        <v>425</v>
      </c>
      <c r="C430" s="698">
        <f>+$C$428+$G$429</f>
        <v>40395.059999999983</v>
      </c>
      <c r="D430" s="699"/>
      <c r="E430" s="700"/>
      <c r="F430" s="700">
        <f>IF(C430&gt;0,VLOOKUP(C430,'ALIGNMENT TRACK'!$A$1:$K$81,9,1))</f>
        <v>804</v>
      </c>
      <c r="G430" s="701"/>
      <c r="H430" s="702" t="s">
        <v>168</v>
      </c>
      <c r="I430" s="700"/>
      <c r="J430" s="698"/>
      <c r="K430" s="702"/>
      <c r="L430" s="702" t="s">
        <v>398</v>
      </c>
      <c r="M430" s="702" t="str">
        <f>IF(L430="","",
IF(AX430="PT",VLOOKUP(L430,Foundation_Calc!$V$79:$X$113,VLOOKUP(AX430,Foundation_Calc!$I$10:$J$13,2,FALSE),0),
IF(AX430="K",VLOOKUP(L430,Foundation_Calc!$V$117:$X$151,VLOOKUP(AX430,Foundation_Calc!$I$10:$J$13,2,FALSE),0),"")))</f>
        <v>C5R</v>
      </c>
      <c r="N430" s="702" t="s">
        <v>124</v>
      </c>
      <c r="O430" s="702"/>
      <c r="P430" s="702"/>
      <c r="Q430" s="700"/>
      <c r="R430" s="701"/>
      <c r="S430" s="701"/>
      <c r="T430" s="700">
        <v>-30</v>
      </c>
      <c r="U430" s="700"/>
      <c r="V430" s="700"/>
      <c r="W430" s="703">
        <v>1.4</v>
      </c>
      <c r="X430" s="703"/>
      <c r="Y430" s="703"/>
      <c r="Z430" s="703"/>
      <c r="AA430" s="703"/>
      <c r="AB430" s="703"/>
      <c r="AC430" s="702" t="str">
        <f t="shared" si="45"/>
        <v>PHC</v>
      </c>
      <c r="AD430" s="702"/>
      <c r="AE430" s="702"/>
      <c r="AF430" s="700"/>
      <c r="AG430" s="699"/>
      <c r="AH430" s="700"/>
      <c r="AI430" s="700"/>
      <c r="AJ430" s="702"/>
      <c r="AK430" s="702"/>
      <c r="AL430" s="702"/>
      <c r="AM430" s="702" t="s">
        <v>126</v>
      </c>
      <c r="AN430" s="704">
        <f>AN428-0.06</f>
        <v>5.44</v>
      </c>
      <c r="AO430" s="703"/>
      <c r="AP430" s="703"/>
      <c r="AQ430" s="703"/>
      <c r="AR430" s="703"/>
      <c r="AS430" s="703"/>
      <c r="AT430" s="703">
        <f>+ab($T$430,$T$428,$T$432,$G$429,$G$431,-1*$F$430,1200)</f>
        <v>-3.7124273869792317</v>
      </c>
      <c r="AU430" s="705"/>
      <c r="AV430" s="705"/>
      <c r="AW430" s="702" t="str">
        <f>IF(C430&gt;0,VLOOKUP(C430,Foundation_Calc!$A$2:$C$13,3,1),
IF(J430&gt;0,VLOOKUP(J430,Foundation_Calc!$A$2:$C$13,3,1),""))</f>
        <v>Multi Soil</v>
      </c>
      <c r="AX430" s="702" t="str">
        <f>IF(C430&gt;0,VLOOKUP(C430,Foundation_Calc!$E$2:$G$33,3,1),
IF(J430&gt;0,VLOOKUP(J430,Foundation_Calc!$E$2:$G$33,3,1),""))</f>
        <v>PT</v>
      </c>
      <c r="AY430" s="704">
        <f>IF(L430="","",
IF(AX430="PT",VLOOKUP(L430,Foundation_Calc!$K$79:$R$113,VLOOKUP(AW430,Foundation_Calc!$I$2:$J$8,2,FALSE),0),
IF(AX430="K",VLOOKUP(L430,Foundation_Calc!$K$117:$R$151,VLOOKUP(AW430,Foundation_Calc!$I$2:$J$8,2,FALSE),0),"")))</f>
        <v>3.5</v>
      </c>
      <c r="AZ430" s="704" t="str">
        <f>IF(K430="","",
IF(AX430="PT",VLOOKUP(K430,Foundation_Calc!$K$79:$R$113,VLOOKUP(AW430,Foundation_Calc!$I$2:$J$8,2,FALSE),0),
IF(AX430="K",VLOOKUP(K430,Foundation_Calc!$K$117:$R$151,VLOOKUP(AW430,Foundation_Calc!$I$2:$J$8,2,FALSE),0),"")))</f>
        <v/>
      </c>
      <c r="BA430" s="495" t="str">
        <f t="shared" si="49"/>
        <v>ü</v>
      </c>
      <c r="BB430" s="495" t="str">
        <f t="shared" si="50"/>
        <v/>
      </c>
      <c r="BC430" s="495" t="str">
        <f t="shared" si="51"/>
        <v/>
      </c>
      <c r="BD430" s="513" t="str">
        <f>IF(AND(L430="",H430=""),"",
IF(H430="",Pole_Calc!A$9,
IF(H430="MP",Pole_Calc!A$10,
IF(H430="AnMP",Pole_Calc!A$11,
IF(H430="A",Pole_Calc!A$12,
IF(H430="S/A",Pole_Calc!A$13,
IF(H430="A/S",Pole_Calc!A$14,"Poner a mano")))))))</f>
        <v>App.7-V11I-P9.5.1.3</v>
      </c>
      <c r="BE430" s="429" t="s">
        <v>118</v>
      </c>
      <c r="BF430" s="289"/>
      <c r="BG430" s="289"/>
      <c r="BH430" s="290"/>
      <c r="BI430" s="289"/>
    </row>
    <row r="431" spans="1:61" ht="15.75" customHeight="1">
      <c r="A431" s="696"/>
      <c r="B431" s="697"/>
      <c r="C431" s="698"/>
      <c r="D431" s="699"/>
      <c r="E431" s="700"/>
      <c r="F431" s="700"/>
      <c r="G431" s="701">
        <v>40</v>
      </c>
      <c r="H431" s="702"/>
      <c r="I431" s="700"/>
      <c r="J431" s="698">
        <f>C430+7.5</f>
        <v>40402.559999999983</v>
      </c>
      <c r="K431" s="702" t="s">
        <v>166</v>
      </c>
      <c r="L431" s="702"/>
      <c r="M431" s="702" t="str">
        <f>IF(L431="","",
IF(AX431="PT",VLOOKUP(L431,Foundation_Calc!$V$79:$X$113,VLOOKUP(AX431,Foundation_Calc!$I$10:$J$13,2,FALSE),0),
IF(AX431="K",VLOOKUP(L431,Foundation_Calc!$V$117:$X$151,VLOOKUP(AX431,Foundation_Calc!$I$10:$J$13,2,FALSE),0),"")))</f>
        <v/>
      </c>
      <c r="N431" s="702"/>
      <c r="O431" s="702"/>
      <c r="P431" s="702"/>
      <c r="Q431" s="700"/>
      <c r="R431" s="701"/>
      <c r="S431" s="701"/>
      <c r="T431" s="700"/>
      <c r="U431" s="700"/>
      <c r="V431" s="700"/>
      <c r="W431" s="703"/>
      <c r="X431" s="703"/>
      <c r="Y431" s="703"/>
      <c r="Z431" s="703"/>
      <c r="AA431" s="703"/>
      <c r="AB431" s="703"/>
      <c r="AC431" s="702" t="str">
        <f t="shared" si="45"/>
        <v/>
      </c>
      <c r="AD431" s="702"/>
      <c r="AE431" s="702"/>
      <c r="AF431" s="700"/>
      <c r="AG431" s="699"/>
      <c r="AH431" s="700"/>
      <c r="AI431" s="700"/>
      <c r="AJ431" s="702"/>
      <c r="AK431" s="702"/>
      <c r="AL431" s="702"/>
      <c r="AM431" s="702"/>
      <c r="AN431" s="704"/>
      <c r="AO431" s="703"/>
      <c r="AP431" s="703"/>
      <c r="AQ431" s="703">
        <f>+FL_2($T$432,$T$430,$G$431,1200,9.28,-1*$F$432)</f>
        <v>-0.3</v>
      </c>
      <c r="AR431" s="703"/>
      <c r="AS431" s="703"/>
      <c r="AT431" s="703"/>
      <c r="AU431" s="705"/>
      <c r="AV431" s="705"/>
      <c r="AW431" s="702" t="str">
        <f>IF(C431&gt;0,VLOOKUP(C431,Foundation_Calc!$A$2:$C$13,3,1),
IF(J431&gt;0,VLOOKUP(J431,Foundation_Calc!$A$2:$C$13,3,1),""))</f>
        <v>Multi Soil</v>
      </c>
      <c r="AX431" s="702" t="str">
        <f>IF(C431&gt;0,VLOOKUP(C431,Foundation_Calc!$E$2:$G$33,3,1),
IF(J431&gt;0,VLOOKUP(J431,Foundation_Calc!$E$2:$G$33,3,1),""))</f>
        <v>PT</v>
      </c>
      <c r="AY431" s="704" t="str">
        <f>IF(L431="","",
IF(AX431="PT",VLOOKUP(L431,Foundation_Calc!$K$79:$R$113,VLOOKUP(AW431,Foundation_Calc!$I$2:$J$8,2,FALSE),0),
IF(AX431="K",VLOOKUP(L431,Foundation_Calc!$K$117:$R$151,VLOOKUP(AW431,Foundation_Calc!$I$2:$J$8,2,FALSE),0),"")))</f>
        <v/>
      </c>
      <c r="AZ431" s="704">
        <f>IF(K431="","",
IF(AX431="PT",VLOOKUP(K431,Foundation_Calc!$K$79:$R$113,VLOOKUP(AW431,Foundation_Calc!$I$2:$J$8,2,FALSE),0),
IF(AX431="K",VLOOKUP(K431,Foundation_Calc!$K$117:$R$151,VLOOKUP(AW431,Foundation_Calc!$I$2:$J$8,2,FALSE),0),"")))</f>
        <v>2.8</v>
      </c>
      <c r="BA431" s="495" t="str">
        <f t="shared" si="49"/>
        <v/>
      </c>
      <c r="BB431" s="495" t="str">
        <f t="shared" si="50"/>
        <v>ü</v>
      </c>
      <c r="BC431" s="495" t="str">
        <f t="shared" si="51"/>
        <v/>
      </c>
      <c r="BD431" s="513" t="str">
        <f>IF(AND(L431="",H431=""),"",
IF(H431="",Pole_Calc!A$9,
IF(H431="MP",Pole_Calc!A$10,
IF(H431="AnMP",Pole_Calc!A$11,
IF(H431="A",Pole_Calc!A$12,
IF(H431="S/A",Pole_Calc!A$13,
IF(H431="A/S",Pole_Calc!A$14,"Poner a mano")))))))</f>
        <v/>
      </c>
      <c r="BE431" s="429" t="s">
        <v>118</v>
      </c>
      <c r="BF431" s="290"/>
      <c r="BG431" s="290"/>
      <c r="BH431" s="290"/>
      <c r="BI431" s="290"/>
    </row>
    <row r="432" spans="1:61" ht="15.75" customHeight="1">
      <c r="A432" s="696"/>
      <c r="B432" s="697" t="s">
        <v>426</v>
      </c>
      <c r="C432" s="698">
        <f>+$C$430+$G$431</f>
        <v>40435.059999999983</v>
      </c>
      <c r="D432" s="699"/>
      <c r="E432" s="700"/>
      <c r="F432" s="700">
        <f>IF(C432&gt;0,VLOOKUP(C432,'ALIGNMENT TRACK'!$A$1:$K$81,9,1))</f>
        <v>804</v>
      </c>
      <c r="G432" s="701"/>
      <c r="H432" s="702"/>
      <c r="I432" s="700"/>
      <c r="J432" s="698"/>
      <c r="K432" s="702"/>
      <c r="L432" s="702" t="s">
        <v>158</v>
      </c>
      <c r="M432" s="702" t="str">
        <f>IF(L432="","",
IF(AX432="PT",VLOOKUP(L432,Foundation_Calc!$V$79:$X$113,VLOOKUP(AX432,Foundation_Calc!$I$10:$J$13,2,FALSE),0),
IF(AX432="K",VLOOKUP(L432,Foundation_Calc!$V$117:$X$151,VLOOKUP(AX432,Foundation_Calc!$I$10:$J$13,2,FALSE),0),"")))</f>
        <v>C4R</v>
      </c>
      <c r="N432" s="702" t="s">
        <v>124</v>
      </c>
      <c r="O432" s="702"/>
      <c r="P432" s="702"/>
      <c r="Q432" s="700"/>
      <c r="R432" s="701"/>
      <c r="S432" s="701"/>
      <c r="T432" s="700">
        <v>-30</v>
      </c>
      <c r="U432" s="700"/>
      <c r="V432" s="700"/>
      <c r="W432" s="707">
        <v>1.2</v>
      </c>
      <c r="X432" s="703"/>
      <c r="Y432" s="703"/>
      <c r="Z432" s="703"/>
      <c r="AA432" s="703"/>
      <c r="AB432" s="703"/>
      <c r="AC432" s="702" t="str">
        <f t="shared" si="45"/>
        <v>PHC</v>
      </c>
      <c r="AD432" s="702"/>
      <c r="AE432" s="702"/>
      <c r="AF432" s="700"/>
      <c r="AG432" s="699"/>
      <c r="AH432" s="700"/>
      <c r="AI432" s="700"/>
      <c r="AJ432" s="702"/>
      <c r="AK432" s="702"/>
      <c r="AL432" s="702"/>
      <c r="AM432" s="702" t="s">
        <v>126</v>
      </c>
      <c r="AN432" s="704">
        <f>AN430-0.08</f>
        <v>5.36</v>
      </c>
      <c r="AO432" s="703"/>
      <c r="AP432" s="703"/>
      <c r="AQ432" s="703"/>
      <c r="AR432" s="703"/>
      <c r="AS432" s="703"/>
      <c r="AT432" s="703">
        <f>+ab($T$432,$T$430,$T$434,$G$431,$G$433,-1*$F$432,1200)</f>
        <v>-4.3993823271596471</v>
      </c>
      <c r="AU432" s="705"/>
      <c r="AV432" s="705"/>
      <c r="AW432" s="702" t="str">
        <f>IF(C432&gt;0,VLOOKUP(C432,Foundation_Calc!$A$2:$C$13,3,1),
IF(J432&gt;0,VLOOKUP(J432,Foundation_Calc!$A$2:$C$13,3,1),""))</f>
        <v>Multi Soil</v>
      </c>
      <c r="AX432" s="702" t="str">
        <f>IF(C432&gt;0,VLOOKUP(C432,Foundation_Calc!$E$2:$G$33,3,1),
IF(J432&gt;0,VLOOKUP(J432,Foundation_Calc!$E$2:$G$33,3,1),""))</f>
        <v>PT</v>
      </c>
      <c r="AY432" s="704">
        <f>IF(L432="","",
IF(AX432="PT",VLOOKUP(L432,Foundation_Calc!$K$79:$R$113,VLOOKUP(AW432,Foundation_Calc!$I$2:$J$8,2,FALSE),0),
IF(AX432="K",VLOOKUP(L432,Foundation_Calc!$K$117:$R$151,VLOOKUP(AW432,Foundation_Calc!$I$2:$J$8,2,FALSE),0),"")))</f>
        <v>3.5</v>
      </c>
      <c r="AZ432" s="704" t="str">
        <f>IF(K432="","",
IF(AX432="PT",VLOOKUP(K432,Foundation_Calc!$K$79:$R$113,VLOOKUP(AW432,Foundation_Calc!$I$2:$J$8,2,FALSE),0),
IF(AX432="K",VLOOKUP(K432,Foundation_Calc!$K$117:$R$151,VLOOKUP(AW432,Foundation_Calc!$I$2:$J$8,2,FALSE),0),"")))</f>
        <v/>
      </c>
      <c r="BA432" s="495" t="str">
        <f t="shared" si="49"/>
        <v>ü</v>
      </c>
      <c r="BB432" s="495" t="str">
        <f t="shared" si="50"/>
        <v/>
      </c>
      <c r="BC432" s="495" t="str">
        <f t="shared" si="51"/>
        <v/>
      </c>
      <c r="BD432" s="513" t="str">
        <f>IF(AND(L432="",H432=""),"",
IF(H432="",Pole_Calc!A$9,
IF(H432="MP",Pole_Calc!A$10,
IF(H432="AnMP",Pole_Calc!A$11,
IF(H432="A",Pole_Calc!A$12,
IF(H432="S/A",Pole_Calc!A$13,
IF(H432="A/S",Pole_Calc!A$14,"Poner a mano")))))))</f>
        <v>App.7-V11I-P9.5.1.1</v>
      </c>
      <c r="BE432" s="429" t="s">
        <v>118</v>
      </c>
      <c r="BF432" s="289"/>
      <c r="BG432" s="289"/>
      <c r="BH432" s="290"/>
      <c r="BI432" s="289"/>
    </row>
    <row r="433" spans="1:61" ht="15.75" customHeight="1">
      <c r="A433" s="696"/>
      <c r="B433" s="697"/>
      <c r="C433" s="698"/>
      <c r="D433" s="699"/>
      <c r="E433" s="700"/>
      <c r="F433" s="700"/>
      <c r="G433" s="701">
        <v>30</v>
      </c>
      <c r="H433" s="702"/>
      <c r="I433" s="700"/>
      <c r="J433" s="698"/>
      <c r="K433" s="702"/>
      <c r="L433" s="702"/>
      <c r="M433" s="702" t="str">
        <f>IF(L433="","",
IF(AX433="PT",VLOOKUP(L433,Foundation_Calc!$V$79:$X$113,VLOOKUP(AX433,Foundation_Calc!$I$10:$J$13,2,FALSE),0),
IF(AX433="K",VLOOKUP(L433,Foundation_Calc!$V$117:$X$151,VLOOKUP(AX433,Foundation_Calc!$I$10:$J$13,2,FALSE),0),"")))</f>
        <v/>
      </c>
      <c r="N433" s="702"/>
      <c r="O433" s="702"/>
      <c r="P433" s="702"/>
      <c r="Q433" s="700"/>
      <c r="R433" s="701"/>
      <c r="S433" s="701"/>
      <c r="T433" s="700"/>
      <c r="U433" s="700"/>
      <c r="V433" s="700"/>
      <c r="W433" s="707"/>
      <c r="X433" s="703"/>
      <c r="Y433" s="703"/>
      <c r="Z433" s="703"/>
      <c r="AA433" s="703"/>
      <c r="AB433" s="703"/>
      <c r="AC433" s="702" t="str">
        <f t="shared" si="45"/>
        <v/>
      </c>
      <c r="AD433" s="702"/>
      <c r="AE433" s="702"/>
      <c r="AF433" s="700"/>
      <c r="AG433" s="699"/>
      <c r="AH433" s="700"/>
      <c r="AI433" s="700"/>
      <c r="AJ433" s="702"/>
      <c r="AK433" s="702"/>
      <c r="AL433" s="702"/>
      <c r="AM433" s="702"/>
      <c r="AN433" s="704"/>
      <c r="AO433" s="703"/>
      <c r="AP433" s="703"/>
      <c r="AQ433" s="703">
        <f>+FL_2($T$434,$T$432,$G$433,1200,9.28,-1*$F$434)</f>
        <v>-0.30000000000000004</v>
      </c>
      <c r="AR433" s="703"/>
      <c r="AS433" s="703"/>
      <c r="AT433" s="703"/>
      <c r="AU433" s="705"/>
      <c r="AV433" s="705"/>
      <c r="AW433" s="702" t="str">
        <f>IF(C433&gt;0,VLOOKUP(C433,Foundation_Calc!$A$2:$C$13,3,1),
IF(J433&gt;0,VLOOKUP(J433,Foundation_Calc!$A$2:$C$13,3,1),""))</f>
        <v/>
      </c>
      <c r="AX433" s="702" t="str">
        <f>IF(C433&gt;0,VLOOKUP(C433,Foundation_Calc!$E$2:$G$33,3,1),
IF(J433&gt;0,VLOOKUP(J433,Foundation_Calc!$E$2:$G$33,3,1),""))</f>
        <v/>
      </c>
      <c r="AY433" s="704" t="str">
        <f>IF(L433="","",
IF(AX433="PT",VLOOKUP(L433,Foundation_Calc!$K$79:$R$113,VLOOKUP(AW433,Foundation_Calc!$I$2:$J$8,2,FALSE),0),
IF(AX433="K",VLOOKUP(L433,Foundation_Calc!$K$117:$R$151,VLOOKUP(AW433,Foundation_Calc!$I$2:$J$8,2,FALSE),0),"")))</f>
        <v/>
      </c>
      <c r="AZ433" s="704" t="str">
        <f>IF(K433="","",
IF(AX433="PT",VLOOKUP(K433,Foundation_Calc!$K$79:$R$113,VLOOKUP(AW433,Foundation_Calc!$I$2:$J$8,2,FALSE),0),
IF(AX433="K",VLOOKUP(K433,Foundation_Calc!$K$117:$R$151,VLOOKUP(AW433,Foundation_Calc!$I$2:$J$8,2,FALSE),0),"")))</f>
        <v/>
      </c>
      <c r="BA433" s="495" t="str">
        <f t="shared" si="49"/>
        <v/>
      </c>
      <c r="BB433" s="495" t="str">
        <f t="shared" si="50"/>
        <v/>
      </c>
      <c r="BC433" s="495" t="str">
        <f t="shared" si="51"/>
        <v/>
      </c>
      <c r="BD433" s="513" t="str">
        <f>IF(AND(L433="",H433=""),"",
IF(H433="",Pole_Calc!A$9,
IF(H433="MP",Pole_Calc!A$10,
IF(H433="AnMP",Pole_Calc!A$11,
IF(H433="A",Pole_Calc!A$12,
IF(H433="S/A",Pole_Calc!A$13,
IF(H433="A/S",Pole_Calc!A$14,"Poner a mano")))))))</f>
        <v/>
      </c>
      <c r="BE433" s="429" t="s">
        <v>118</v>
      </c>
      <c r="BF433" s="290"/>
      <c r="BG433" s="290"/>
      <c r="BH433" s="290"/>
      <c r="BI433" s="290"/>
    </row>
    <row r="434" spans="1:61" ht="15.75" customHeight="1">
      <c r="A434" s="708"/>
      <c r="B434" s="697" t="s">
        <v>427</v>
      </c>
      <c r="C434" s="698">
        <f>+$C$432+$G$433</f>
        <v>40465.059999999983</v>
      </c>
      <c r="D434" s="699"/>
      <c r="E434" s="700"/>
      <c r="F434" s="700">
        <f>IF(C434&gt;0,VLOOKUP(C434,'ALIGNMENT TRACK'!$A$1:$K$81,9,1))</f>
        <v>804</v>
      </c>
      <c r="G434" s="701"/>
      <c r="H434" s="702"/>
      <c r="I434" s="700"/>
      <c r="J434" s="698"/>
      <c r="K434" s="702"/>
      <c r="L434" s="702" t="s">
        <v>158</v>
      </c>
      <c r="M434" s="702" t="str">
        <f>IF(L434="","",
IF(AX434="PT",VLOOKUP(L434,Foundation_Calc!$V$79:$X$113,VLOOKUP(AX434,Foundation_Calc!$I$10:$J$13,2,FALSE),0),
IF(AX434="K",VLOOKUP(L434,Foundation_Calc!$V$117:$X$151,VLOOKUP(AX434,Foundation_Calc!$I$10:$J$13,2,FALSE),0),"")))</f>
        <v>C4R</v>
      </c>
      <c r="N434" s="702" t="s">
        <v>124</v>
      </c>
      <c r="O434" s="702"/>
      <c r="P434" s="702"/>
      <c r="Q434" s="700"/>
      <c r="R434" s="701"/>
      <c r="S434" s="701"/>
      <c r="T434" s="700">
        <v>-30</v>
      </c>
      <c r="U434" s="700"/>
      <c r="V434" s="700"/>
      <c r="W434" s="707">
        <v>1</v>
      </c>
      <c r="X434" s="703"/>
      <c r="Y434" s="703"/>
      <c r="Z434" s="703"/>
      <c r="AA434" s="703"/>
      <c r="AB434" s="703"/>
      <c r="AC434" s="702" t="str">
        <f t="shared" si="45"/>
        <v>PHC</v>
      </c>
      <c r="AD434" s="702"/>
      <c r="AE434" s="702"/>
      <c r="AF434" s="700"/>
      <c r="AG434" s="699"/>
      <c r="AH434" s="700"/>
      <c r="AI434" s="700"/>
      <c r="AJ434" s="702"/>
      <c r="AK434" s="702"/>
      <c r="AL434" s="702"/>
      <c r="AM434" s="702" t="s">
        <v>126</v>
      </c>
      <c r="AN434" s="704">
        <f>AN436+0.08</f>
        <v>5.29</v>
      </c>
      <c r="AO434" s="703"/>
      <c r="AP434" s="703"/>
      <c r="AQ434" s="703"/>
      <c r="AR434" s="703"/>
      <c r="AS434" s="703"/>
      <c r="AT434" s="703">
        <f>+ab($T$434,$T$432,$T$436,$G$433,$G$435,-1*$F$434,1200)</f>
        <v>-4.3993823271596471</v>
      </c>
      <c r="AU434" s="705"/>
      <c r="AV434" s="705"/>
      <c r="AW434" s="702" t="str">
        <f>IF(C434&gt;0,VLOOKUP(C434,Foundation_Calc!$A$2:$C$13,3,1),
IF(J434&gt;0,VLOOKUP(J434,Foundation_Calc!$A$2:$C$13,3,1),""))</f>
        <v>Multi Soil</v>
      </c>
      <c r="AX434" s="702" t="str">
        <f>IF(C434&gt;0,VLOOKUP(C434,Foundation_Calc!$E$2:$G$33,3,1),
IF(J434&gt;0,VLOOKUP(J434,Foundation_Calc!$E$2:$G$33,3,1),""))</f>
        <v>PT</v>
      </c>
      <c r="AY434" s="704">
        <f>IF(L434="","",
IF(AX434="PT",VLOOKUP(L434,Foundation_Calc!$K$79:$R$113,VLOOKUP(AW434,Foundation_Calc!$I$2:$J$8,2,FALSE),0),
IF(AX434="K",VLOOKUP(L434,Foundation_Calc!$K$117:$R$151,VLOOKUP(AW434,Foundation_Calc!$I$2:$J$8,2,FALSE),0),"")))</f>
        <v>3.5</v>
      </c>
      <c r="AZ434" s="704" t="str">
        <f>IF(K434="","",
IF(AX434="PT",VLOOKUP(K434,Foundation_Calc!$K$79:$R$113,VLOOKUP(AW434,Foundation_Calc!$I$2:$J$8,2,FALSE),0),
IF(AX434="K",VLOOKUP(K434,Foundation_Calc!$K$117:$R$151,VLOOKUP(AW434,Foundation_Calc!$I$2:$J$8,2,FALSE),0),"")))</f>
        <v/>
      </c>
      <c r="BA434" s="495" t="str">
        <f t="shared" si="49"/>
        <v>ü</v>
      </c>
      <c r="BB434" s="495" t="str">
        <f t="shared" si="50"/>
        <v/>
      </c>
      <c r="BC434" s="495" t="str">
        <f t="shared" si="51"/>
        <v/>
      </c>
      <c r="BD434" s="513" t="str">
        <f>IF(AND(L434="",H434=""),"",
IF(H434="",Pole_Calc!A$9,
IF(H434="MP",Pole_Calc!A$10,
IF(H434="AnMP",Pole_Calc!A$11,
IF(H434="A",Pole_Calc!A$12,
IF(H434="S/A",Pole_Calc!A$13,
IF(H434="A/S",Pole_Calc!A$14,"Poner a mano")))))))</f>
        <v>App.7-V11I-P9.5.1.1</v>
      </c>
      <c r="BE434" s="429" t="s">
        <v>118</v>
      </c>
      <c r="BF434" s="289"/>
      <c r="BG434" s="289"/>
      <c r="BH434" s="290"/>
      <c r="BI434" s="289"/>
    </row>
    <row r="435" spans="1:61" ht="15.75" customHeight="1">
      <c r="A435" s="708"/>
      <c r="B435" s="697"/>
      <c r="C435" s="698"/>
      <c r="D435" s="699"/>
      <c r="E435" s="700"/>
      <c r="F435" s="700"/>
      <c r="G435" s="701">
        <v>40</v>
      </c>
      <c r="H435" s="702"/>
      <c r="I435" s="700"/>
      <c r="J435" s="698"/>
      <c r="K435" s="702"/>
      <c r="L435" s="702"/>
      <c r="M435" s="702" t="str">
        <f>IF(L435="","",
IF(AX435="PT",VLOOKUP(L435,Foundation_Calc!$V$79:$X$113,VLOOKUP(AX435,Foundation_Calc!$I$10:$J$13,2,FALSE),0),
IF(AX435="K",VLOOKUP(L435,Foundation_Calc!$V$117:$X$151,VLOOKUP(AX435,Foundation_Calc!$I$10:$J$13,2,FALSE),0),"")))</f>
        <v/>
      </c>
      <c r="N435" s="702"/>
      <c r="O435" s="702"/>
      <c r="P435" s="702"/>
      <c r="Q435" s="700"/>
      <c r="R435" s="701"/>
      <c r="S435" s="701"/>
      <c r="T435" s="700"/>
      <c r="U435" s="700"/>
      <c r="V435" s="700"/>
      <c r="W435" s="707"/>
      <c r="X435" s="703"/>
      <c r="Y435" s="703"/>
      <c r="Z435" s="703"/>
      <c r="AA435" s="703"/>
      <c r="AB435" s="703"/>
      <c r="AC435" s="702" t="str">
        <f t="shared" si="45"/>
        <v/>
      </c>
      <c r="AD435" s="702"/>
      <c r="AE435" s="702"/>
      <c r="AF435" s="700"/>
      <c r="AG435" s="699"/>
      <c r="AH435" s="700"/>
      <c r="AI435" s="700"/>
      <c r="AJ435" s="702"/>
      <c r="AK435" s="702"/>
      <c r="AL435" s="702"/>
      <c r="AM435" s="702"/>
      <c r="AN435" s="704"/>
      <c r="AO435" s="703"/>
      <c r="AP435" s="703"/>
      <c r="AQ435" s="703">
        <f>+FL_2($T$436,$T$434,$G$435,1200,9.28,-1*$F$436)</f>
        <v>-0.3</v>
      </c>
      <c r="AR435" s="703"/>
      <c r="AS435" s="703"/>
      <c r="AT435" s="703"/>
      <c r="AU435" s="705"/>
      <c r="AV435" s="705"/>
      <c r="AW435" s="702" t="str">
        <f>IF(C435&gt;0,VLOOKUP(C435,Foundation_Calc!$A$2:$C$13,3,1),
IF(J435&gt;0,VLOOKUP(J435,Foundation_Calc!$A$2:$C$13,3,1),""))</f>
        <v/>
      </c>
      <c r="AX435" s="702" t="str">
        <f>IF(C435&gt;0,VLOOKUP(C435,Foundation_Calc!$E$2:$G$33,3,1),
IF(J435&gt;0,VLOOKUP(J435,Foundation_Calc!$E$2:$G$33,3,1),""))</f>
        <v/>
      </c>
      <c r="AY435" s="704" t="str">
        <f>IF(L435="","",
IF(AX435="PT",VLOOKUP(L435,Foundation_Calc!$K$79:$R$113,VLOOKUP(AW435,Foundation_Calc!$I$2:$J$8,2,FALSE),0),
IF(AX435="K",VLOOKUP(L435,Foundation_Calc!$K$117:$R$151,VLOOKUP(AW435,Foundation_Calc!$I$2:$J$8,2,FALSE),0),"")))</f>
        <v/>
      </c>
      <c r="AZ435" s="704" t="str">
        <f>IF(K435="","",
IF(AX435="PT",VLOOKUP(K435,Foundation_Calc!$K$79:$R$113,VLOOKUP(AW435,Foundation_Calc!$I$2:$J$8,2,FALSE),0),
IF(AX435="K",VLOOKUP(K435,Foundation_Calc!$K$117:$R$151,VLOOKUP(AW435,Foundation_Calc!$I$2:$J$8,2,FALSE),0),"")))</f>
        <v/>
      </c>
      <c r="BA435" s="495" t="str">
        <f t="shared" si="49"/>
        <v/>
      </c>
      <c r="BB435" s="495" t="str">
        <f t="shared" si="50"/>
        <v/>
      </c>
      <c r="BC435" s="495" t="str">
        <f t="shared" si="51"/>
        <v/>
      </c>
      <c r="BD435" s="513" t="str">
        <f>IF(AND(L435="",H435=""),"",
IF(H435="",Pole_Calc!A$9,
IF(H435="MP",Pole_Calc!A$10,
IF(H435="AnMP",Pole_Calc!A$11,
IF(H435="A",Pole_Calc!A$12,
IF(H435="S/A",Pole_Calc!A$13,
IF(H435="A/S",Pole_Calc!A$14,"Poner a mano")))))))</f>
        <v/>
      </c>
      <c r="BE435" s="429" t="s">
        <v>118</v>
      </c>
      <c r="BF435" s="290"/>
      <c r="BG435" s="290"/>
      <c r="BH435" s="290"/>
      <c r="BI435" s="290"/>
    </row>
    <row r="436" spans="1:61" ht="15.75" customHeight="1">
      <c r="A436" s="696"/>
      <c r="B436" s="697" t="s">
        <v>428</v>
      </c>
      <c r="C436" s="698">
        <f>+$C$434+$G$435</f>
        <v>40505.059999999983</v>
      </c>
      <c r="D436" s="699"/>
      <c r="E436" s="700"/>
      <c r="F436" s="700">
        <f>IF(C436&gt;0,VLOOKUP(C436,'ALIGNMENT TRACK'!$A$1:$K$81,9,1))</f>
        <v>804</v>
      </c>
      <c r="G436" s="701"/>
      <c r="H436" s="702"/>
      <c r="I436" s="700"/>
      <c r="J436" s="698"/>
      <c r="K436" s="702"/>
      <c r="L436" s="702" t="s">
        <v>158</v>
      </c>
      <c r="M436" s="702" t="str">
        <f>IF(L436="","",
IF(AX436="PT",VLOOKUP(L436,Foundation_Calc!$V$79:$X$113,VLOOKUP(AX436,Foundation_Calc!$I$10:$J$13,2,FALSE),0),
IF(AX436="K",VLOOKUP(L436,Foundation_Calc!$V$117:$X$151,VLOOKUP(AX436,Foundation_Calc!$I$10:$J$13,2,FALSE),0),"")))</f>
        <v>C4R</v>
      </c>
      <c r="N436" s="702" t="s">
        <v>124</v>
      </c>
      <c r="O436" s="702"/>
      <c r="P436" s="702"/>
      <c r="Q436" s="700"/>
      <c r="R436" s="701"/>
      <c r="S436" s="701"/>
      <c r="T436" s="700">
        <v>-30</v>
      </c>
      <c r="U436" s="700"/>
      <c r="V436" s="700"/>
      <c r="W436" s="707">
        <v>0.8</v>
      </c>
      <c r="X436" s="703"/>
      <c r="Y436" s="703"/>
      <c r="Z436" s="703"/>
      <c r="AA436" s="703"/>
      <c r="AB436" s="703"/>
      <c r="AC436" s="702" t="str">
        <f t="shared" si="45"/>
        <v>PHC</v>
      </c>
      <c r="AD436" s="702"/>
      <c r="AE436" s="702"/>
      <c r="AF436" s="700"/>
      <c r="AG436" s="699"/>
      <c r="AH436" s="700"/>
      <c r="AI436" s="700"/>
      <c r="AJ436" s="702"/>
      <c r="AK436" s="702"/>
      <c r="AL436" s="702"/>
      <c r="AM436" s="702" t="s">
        <v>126</v>
      </c>
      <c r="AN436" s="704">
        <f>AN438+0.06</f>
        <v>5.21</v>
      </c>
      <c r="AO436" s="703"/>
      <c r="AP436" s="703"/>
      <c r="AQ436" s="703"/>
      <c r="AR436" s="703"/>
      <c r="AS436" s="703"/>
      <c r="AT436" s="703">
        <f>+ab($T$436,$T$434,$T$438,$G$435,$G$437,-1*$F$436,1200)</f>
        <v>-3.7124273869792317</v>
      </c>
      <c r="AU436" s="705"/>
      <c r="AV436" s="705"/>
      <c r="AW436" s="702" t="str">
        <f>IF(C436&gt;0,VLOOKUP(C436,Foundation_Calc!$A$2:$C$13,3,1),
IF(J436&gt;0,VLOOKUP(J436,Foundation_Calc!$A$2:$C$13,3,1),""))</f>
        <v>Multi Soil</v>
      </c>
      <c r="AX436" s="702" t="str">
        <f>IF(C436&gt;0,VLOOKUP(C436,Foundation_Calc!$E$2:$G$33,3,1),
IF(J436&gt;0,VLOOKUP(J436,Foundation_Calc!$E$2:$G$33,3,1),""))</f>
        <v>PT</v>
      </c>
      <c r="AY436" s="704">
        <f>IF(L436="","",
IF(AX436="PT",VLOOKUP(L436,Foundation_Calc!$K$79:$R$113,VLOOKUP(AW436,Foundation_Calc!$I$2:$J$8,2,FALSE),0),
IF(AX436="K",VLOOKUP(L436,Foundation_Calc!$K$117:$R$151,VLOOKUP(AW436,Foundation_Calc!$I$2:$J$8,2,FALSE),0),"")))</f>
        <v>3.5</v>
      </c>
      <c r="AZ436" s="704" t="str">
        <f>IF(K436="","",
IF(AX436="PT",VLOOKUP(K436,Foundation_Calc!$K$79:$R$113,VLOOKUP(AW436,Foundation_Calc!$I$2:$J$8,2,FALSE),0),
IF(AX436="K",VLOOKUP(K436,Foundation_Calc!$K$117:$R$151,VLOOKUP(AW436,Foundation_Calc!$I$2:$J$8,2,FALSE),0),"")))</f>
        <v/>
      </c>
      <c r="BA436" s="495" t="str">
        <f t="shared" ref="BA436:BA448" si="52">IF(AY436="","",IF(AY436&gt;0,"ü",""))</f>
        <v>ü</v>
      </c>
      <c r="BB436" s="495" t="str">
        <f t="shared" ref="BB436:BB448" si="53">IF(AZ436="","",IF(AZ436&gt;0,"ü",""))</f>
        <v/>
      </c>
      <c r="BC436" s="495" t="str">
        <f t="shared" ref="BC436:BC448" si="54">IF(M436="","",IF(M436="U.S.","ü",IF(M436="U.S. N.D.","ü","")))</f>
        <v/>
      </c>
      <c r="BD436" s="513" t="str">
        <f>IF(AND(L436="",H436=""),"",
IF(H436="",Pole_Calc!A$9,
IF(H436="MP",Pole_Calc!A$10,
IF(H436="AnMP",Pole_Calc!A$11,
IF(H436="A",Pole_Calc!A$12,
IF(H436="S/A",Pole_Calc!A$13,
IF(H436="A/S",Pole_Calc!A$14,"Poner a mano")))))))</f>
        <v>App.7-V11I-P9.5.1.1</v>
      </c>
      <c r="BE436" s="429" t="s">
        <v>118</v>
      </c>
      <c r="BF436" s="289"/>
      <c r="BG436" s="289"/>
      <c r="BH436" s="290"/>
      <c r="BI436" s="289"/>
    </row>
    <row r="437" spans="1:61" ht="15.75" customHeight="1">
      <c r="A437" s="696"/>
      <c r="B437" s="697"/>
      <c r="C437" s="698"/>
      <c r="D437" s="699"/>
      <c r="E437" s="700"/>
      <c r="F437" s="700"/>
      <c r="G437" s="701">
        <v>43</v>
      </c>
      <c r="H437" s="702"/>
      <c r="I437" s="700"/>
      <c r="J437" s="698"/>
      <c r="K437" s="702"/>
      <c r="L437" s="702"/>
      <c r="M437" s="702" t="str">
        <f>IF(L437="","",
IF(AX437="PT",VLOOKUP(L437,Foundation_Calc!$V$79:$X$113,VLOOKUP(AX437,Foundation_Calc!$I$10:$J$13,2,FALSE),0),
IF(AX437="K",VLOOKUP(L437,Foundation_Calc!$V$117:$X$151,VLOOKUP(AX437,Foundation_Calc!$I$10:$J$13,2,FALSE),0),"")))</f>
        <v/>
      </c>
      <c r="N437" s="702"/>
      <c r="O437" s="702"/>
      <c r="P437" s="702"/>
      <c r="Q437" s="700"/>
      <c r="R437" s="701"/>
      <c r="S437" s="701"/>
      <c r="T437" s="700"/>
      <c r="U437" s="700"/>
      <c r="V437" s="700"/>
      <c r="W437" s="707"/>
      <c r="X437" s="703"/>
      <c r="Y437" s="703"/>
      <c r="Z437" s="703"/>
      <c r="AA437" s="703"/>
      <c r="AB437" s="703"/>
      <c r="AC437" s="702" t="str">
        <f t="shared" si="45"/>
        <v/>
      </c>
      <c r="AD437" s="702"/>
      <c r="AE437" s="702"/>
      <c r="AF437" s="700"/>
      <c r="AG437" s="699"/>
      <c r="AH437" s="700"/>
      <c r="AI437" s="700"/>
      <c r="AJ437" s="702"/>
      <c r="AK437" s="702"/>
      <c r="AL437" s="702"/>
      <c r="AM437" s="702"/>
      <c r="AN437" s="704"/>
      <c r="AO437" s="703"/>
      <c r="AP437" s="703"/>
      <c r="AQ437" s="703">
        <f>+FL_2($T$438,$T$436,$G$437,1200,9.28,-1*$F$438)</f>
        <v>-0.3</v>
      </c>
      <c r="AR437" s="703"/>
      <c r="AS437" s="703"/>
      <c r="AT437" s="703"/>
      <c r="AU437" s="705"/>
      <c r="AV437" s="705"/>
      <c r="AW437" s="702" t="str">
        <f>IF(C437&gt;0,VLOOKUP(C437,Foundation_Calc!$A$2:$C$13,3,1),
IF(J437&gt;0,VLOOKUP(J437,Foundation_Calc!$A$2:$C$13,3,1),""))</f>
        <v/>
      </c>
      <c r="AX437" s="702" t="str">
        <f>IF(C437&gt;0,VLOOKUP(C437,Foundation_Calc!$E$2:$G$33,3,1),
IF(J437&gt;0,VLOOKUP(J437,Foundation_Calc!$E$2:$G$33,3,1),""))</f>
        <v/>
      </c>
      <c r="AY437" s="704" t="str">
        <f>IF(L437="","",
IF(AX437="PT",VLOOKUP(L437,Foundation_Calc!$K$79:$R$113,VLOOKUP(AW437,Foundation_Calc!$I$2:$J$8,2,FALSE),0),
IF(AX437="K",VLOOKUP(L437,Foundation_Calc!$K$117:$R$151,VLOOKUP(AW437,Foundation_Calc!$I$2:$J$8,2,FALSE),0),"")))</f>
        <v/>
      </c>
      <c r="AZ437" s="704" t="str">
        <f>IF(K437="","",
IF(AX437="PT",VLOOKUP(K437,Foundation_Calc!$K$79:$R$113,VLOOKUP(AW437,Foundation_Calc!$I$2:$J$8,2,FALSE),0),
IF(AX437="K",VLOOKUP(K437,Foundation_Calc!$K$117:$R$151,VLOOKUP(AW437,Foundation_Calc!$I$2:$J$8,2,FALSE),0),"")))</f>
        <v/>
      </c>
      <c r="BA437" s="495" t="str">
        <f t="shared" si="52"/>
        <v/>
      </c>
      <c r="BB437" s="495" t="str">
        <f t="shared" si="53"/>
        <v/>
      </c>
      <c r="BC437" s="495" t="str">
        <f t="shared" si="54"/>
        <v/>
      </c>
      <c r="BD437" s="513" t="str">
        <f>IF(AND(L437="",H437=""),"",
IF(H437="",Pole_Calc!A$9,
IF(H437="MP",Pole_Calc!A$10,
IF(H437="AnMP",Pole_Calc!A$11,
IF(H437="A",Pole_Calc!A$12,
IF(H437="S/A",Pole_Calc!A$13,
IF(H437="A/S",Pole_Calc!A$14,"Poner a mano")))))))</f>
        <v/>
      </c>
      <c r="BE437" s="429" t="s">
        <v>118</v>
      </c>
      <c r="BF437" s="290"/>
      <c r="BG437" s="290"/>
      <c r="BH437" s="290"/>
      <c r="BI437" s="290"/>
    </row>
    <row r="438" spans="1:61" ht="15.75" customHeight="1">
      <c r="A438" s="696"/>
      <c r="B438" s="697" t="s">
        <v>429</v>
      </c>
      <c r="C438" s="698">
        <f>+$C$436+$G$437</f>
        <v>40548.059999999983</v>
      </c>
      <c r="D438" s="699"/>
      <c r="E438" s="700"/>
      <c r="F438" s="700">
        <f>IF(C438&gt;0,VLOOKUP(C438,'ALIGNMENT TRACK'!$A$1:$K$81,9,1))</f>
        <v>804</v>
      </c>
      <c r="G438" s="701"/>
      <c r="H438" s="702"/>
      <c r="I438" s="700"/>
      <c r="J438" s="698"/>
      <c r="K438" s="702"/>
      <c r="L438" s="702" t="s">
        <v>158</v>
      </c>
      <c r="M438" s="702" t="str">
        <f>IF(L438="","",
IF(AX438="PT",VLOOKUP(L438,Foundation_Calc!$V$79:$X$113,VLOOKUP(AX438,Foundation_Calc!$I$10:$J$13,2,FALSE),0),
IF(AX438="K",VLOOKUP(L438,Foundation_Calc!$V$117:$X$151,VLOOKUP(AX438,Foundation_Calc!$I$10:$J$13,2,FALSE),0),"")))</f>
        <v>C4R</v>
      </c>
      <c r="N438" s="702" t="s">
        <v>124</v>
      </c>
      <c r="O438" s="702"/>
      <c r="P438" s="702"/>
      <c r="Q438" s="700"/>
      <c r="R438" s="701"/>
      <c r="S438" s="701"/>
      <c r="T438" s="700">
        <v>-30</v>
      </c>
      <c r="U438" s="700"/>
      <c r="V438" s="700"/>
      <c r="W438" s="707">
        <v>0.6</v>
      </c>
      <c r="X438" s="703"/>
      <c r="Y438" s="703"/>
      <c r="Z438" s="703"/>
      <c r="AA438" s="703"/>
      <c r="AB438" s="703"/>
      <c r="AC438" s="702" t="str">
        <f t="shared" si="45"/>
        <v>PHC</v>
      </c>
      <c r="AD438" s="702"/>
      <c r="AE438" s="702"/>
      <c r="AF438" s="700"/>
      <c r="AG438" s="699"/>
      <c r="AH438" s="700"/>
      <c r="AI438" s="700"/>
      <c r="AJ438" s="702"/>
      <c r="AK438" s="702"/>
      <c r="AL438" s="702"/>
      <c r="AM438" s="702" t="s">
        <v>126</v>
      </c>
      <c r="AN438" s="704">
        <v>5.15</v>
      </c>
      <c r="AO438" s="703"/>
      <c r="AP438" s="703"/>
      <c r="AQ438" s="703"/>
      <c r="AR438" s="703"/>
      <c r="AS438" s="703"/>
      <c r="AT438" s="703">
        <f>+ab($T$438,$T$436,$T$440,$G$437,$G$439,-1*$F$438,1200)</f>
        <v>-3.7124273869792317</v>
      </c>
      <c r="AU438" s="705"/>
      <c r="AV438" s="705"/>
      <c r="AW438" s="702" t="str">
        <f>IF(C438&gt;0,VLOOKUP(C438,Foundation_Calc!$A$2:$C$13,3,1),
IF(J438&gt;0,VLOOKUP(J438,Foundation_Calc!$A$2:$C$13,3,1),""))</f>
        <v>Multi Soil</v>
      </c>
      <c r="AX438" s="702" t="str">
        <f>IF(C438&gt;0,VLOOKUP(C438,Foundation_Calc!$E$2:$G$33,3,1),
IF(J438&gt;0,VLOOKUP(J438,Foundation_Calc!$E$2:$G$33,3,1),""))</f>
        <v>PT</v>
      </c>
      <c r="AY438" s="704">
        <f>IF(L438="","",
IF(AX438="PT",VLOOKUP(L438,Foundation_Calc!$K$79:$R$113,VLOOKUP(AW438,Foundation_Calc!$I$2:$J$8,2,FALSE),0),
IF(AX438="K",VLOOKUP(L438,Foundation_Calc!$K$117:$R$151,VLOOKUP(AW438,Foundation_Calc!$I$2:$J$8,2,FALSE),0),"")))</f>
        <v>3.5</v>
      </c>
      <c r="AZ438" s="704" t="str">
        <f>IF(K438="","",
IF(AX438="PT",VLOOKUP(K438,Foundation_Calc!$K$79:$R$113,VLOOKUP(AW438,Foundation_Calc!$I$2:$J$8,2,FALSE),0),
IF(AX438="K",VLOOKUP(K438,Foundation_Calc!$K$117:$R$151,VLOOKUP(AW438,Foundation_Calc!$I$2:$J$8,2,FALSE),0),"")))</f>
        <v/>
      </c>
      <c r="BA438" s="495" t="str">
        <f t="shared" si="52"/>
        <v>ü</v>
      </c>
      <c r="BB438" s="495" t="str">
        <f t="shared" si="53"/>
        <v/>
      </c>
      <c r="BC438" s="495" t="str">
        <f t="shared" si="54"/>
        <v/>
      </c>
      <c r="BD438" s="513" t="str">
        <f>IF(AND(L438="",H438=""),"",
IF(H438="",Pole_Calc!A$9,
IF(H438="MP",Pole_Calc!A$10,
IF(H438="AnMP",Pole_Calc!A$11,
IF(H438="A",Pole_Calc!A$12,
IF(H438="S/A",Pole_Calc!A$13,
IF(H438="A/S",Pole_Calc!A$14,"Poner a mano")))))))</f>
        <v>App.7-V11I-P9.5.1.1</v>
      </c>
      <c r="BE438" s="429" t="s">
        <v>118</v>
      </c>
      <c r="BF438" s="289"/>
      <c r="BG438" s="289"/>
      <c r="BH438" s="290"/>
      <c r="BI438" s="289"/>
    </row>
    <row r="439" spans="1:61" ht="15.75" customHeight="1">
      <c r="A439" s="514" t="s">
        <v>430</v>
      </c>
      <c r="B439" s="450"/>
      <c r="C439" s="3"/>
      <c r="D439" s="83"/>
      <c r="E439" s="4"/>
      <c r="F439" s="4"/>
      <c r="G439" s="6">
        <v>40</v>
      </c>
      <c r="H439" s="449"/>
      <c r="I439" s="4"/>
      <c r="J439" s="3"/>
      <c r="K439" s="449"/>
      <c r="L439" s="449"/>
      <c r="M439" s="449" t="str">
        <f>IF(L439="","",
IF(AX439="PT",VLOOKUP(L439,Foundation_Calc!$V$79:$X$113,VLOOKUP(AX439,Foundation_Calc!$I$10:$J$13,2,FALSE),0),
IF(AX439="K",VLOOKUP(L439,Foundation_Calc!$V$117:$X$151,VLOOKUP(AX439,Foundation_Calc!$I$10:$J$13,2,FALSE),0),"")))</f>
        <v/>
      </c>
      <c r="N439" s="449"/>
      <c r="O439" s="449"/>
      <c r="P439" s="449"/>
      <c r="Q439" s="4"/>
      <c r="R439" s="6"/>
      <c r="S439" s="6"/>
      <c r="T439" s="4"/>
      <c r="U439" s="4"/>
      <c r="V439" s="4"/>
      <c r="W439" s="572"/>
      <c r="X439" s="9"/>
      <c r="Y439" s="9"/>
      <c r="Z439" s="9"/>
      <c r="AA439" s="9"/>
      <c r="AB439" s="9"/>
      <c r="AC439" s="449" t="str">
        <f t="shared" si="45"/>
        <v/>
      </c>
      <c r="AD439" s="449"/>
      <c r="AE439" s="449"/>
      <c r="AF439" s="4"/>
      <c r="AG439" s="83"/>
      <c r="AH439" s="4"/>
      <c r="AI439" s="4"/>
      <c r="AJ439" s="449"/>
      <c r="AK439" s="449"/>
      <c r="AL439" s="449"/>
      <c r="AM439" s="449"/>
      <c r="AN439" s="10"/>
      <c r="AO439" s="9"/>
      <c r="AP439" s="9"/>
      <c r="AQ439" s="9">
        <f>+FL_2($T$440,$T$438,$G$439,1200,9.28,-1*$F$440)</f>
        <v>-0.3</v>
      </c>
      <c r="AR439" s="9"/>
      <c r="AS439" s="9"/>
      <c r="AT439" s="9"/>
      <c r="AU439" s="428"/>
      <c r="AV439" s="428"/>
      <c r="AW439" s="449" t="str">
        <f>IF(C439&gt;0,VLOOKUP(C439,Foundation_Calc!$A$2:$C$13,3,1),
IF(J439&gt;0,VLOOKUP(J439,Foundation_Calc!$A$2:$C$13,3,1),""))</f>
        <v/>
      </c>
      <c r="AX439" s="449" t="str">
        <f>IF(C439&gt;0,VLOOKUP(C439,Foundation_Calc!$E$2:$G$33,3,1),
IF(J439&gt;0,VLOOKUP(J439,Foundation_Calc!$E$2:$G$33,3,1),""))</f>
        <v/>
      </c>
      <c r="AY439" s="10" t="str">
        <f>IF(L439="","",
IF(AX439="PT",VLOOKUP(L439,Foundation_Calc!$K$79:$R$113,VLOOKUP(AW439,Foundation_Calc!$I$2:$J$8,2,FALSE),0),
IF(AX439="K",VLOOKUP(L439,Foundation_Calc!$K$117:$R$151,VLOOKUP(AW439,Foundation_Calc!$I$2:$J$8,2,FALSE),0),"")))</f>
        <v/>
      </c>
      <c r="AZ439" s="10" t="str">
        <f>IF(K439="","",
IF(AX439="PT",VLOOKUP(K439,Foundation_Calc!$K$79:$R$113,VLOOKUP(AW439,Foundation_Calc!$I$2:$J$8,2,FALSE),0),
IF(AX439="K",VLOOKUP(K439,Foundation_Calc!$K$117:$R$151,VLOOKUP(AW439,Foundation_Calc!$I$2:$J$8,2,FALSE),0),"")))</f>
        <v/>
      </c>
      <c r="BA439" s="495" t="str">
        <f t="shared" si="52"/>
        <v/>
      </c>
      <c r="BB439" s="495" t="str">
        <f t="shared" si="53"/>
        <v/>
      </c>
      <c r="BC439" s="495" t="str">
        <f t="shared" si="54"/>
        <v/>
      </c>
      <c r="BD439" s="513" t="str">
        <f>IF(AND(L439="",H439=""),"",
IF(H439="",Pole_Calc!A$9,
IF(H439="MP",Pole_Calc!A$10,
IF(H439="AnMP",Pole_Calc!A$11,
IF(H439="A",Pole_Calc!A$12,
IF(H439="S/A",Pole_Calc!A$13,
IF(H439="A/S",Pole_Calc!A$14,"Poner a mano")))))))</f>
        <v/>
      </c>
      <c r="BE439" s="429" t="s">
        <v>118</v>
      </c>
      <c r="BF439" s="290"/>
      <c r="BG439" s="290"/>
      <c r="BH439" s="290"/>
      <c r="BI439" s="290"/>
    </row>
    <row r="440" spans="1:61" ht="15.75" customHeight="1">
      <c r="A440" s="696"/>
      <c r="B440" s="697" t="s">
        <v>431</v>
      </c>
      <c r="C440" s="698">
        <f>+$C$438+$G$439</f>
        <v>40588.059999999983</v>
      </c>
      <c r="D440" s="699"/>
      <c r="E440" s="700"/>
      <c r="F440" s="700">
        <f>IF(C440&gt;0,VLOOKUP(C440,'ALIGNMENT TRACK'!$A$1:$K$81,9,1))</f>
        <v>804</v>
      </c>
      <c r="G440" s="701"/>
      <c r="H440" s="702"/>
      <c r="I440" s="700"/>
      <c r="J440" s="698"/>
      <c r="K440" s="702"/>
      <c r="L440" s="702" t="s">
        <v>158</v>
      </c>
      <c r="M440" s="702" t="str">
        <f>IF(L440="","",
IF(AX440="PT",VLOOKUP(L440,Foundation_Calc!$V$79:$X$113,VLOOKUP(AX440,Foundation_Calc!$I$10:$J$13,2,FALSE),0),
IF(AX440="K",VLOOKUP(L440,Foundation_Calc!$V$117:$X$151,VLOOKUP(AX440,Foundation_Calc!$I$10:$J$13,2,FALSE),0),"")))</f>
        <v>C4R</v>
      </c>
      <c r="N440" s="702" t="s">
        <v>124</v>
      </c>
      <c r="O440" s="702"/>
      <c r="P440" s="702"/>
      <c r="Q440" s="700"/>
      <c r="R440" s="701"/>
      <c r="S440" s="701"/>
      <c r="T440" s="700">
        <v>-30</v>
      </c>
      <c r="U440" s="700"/>
      <c r="V440" s="700"/>
      <c r="W440" s="707">
        <v>0.6</v>
      </c>
      <c r="X440" s="703"/>
      <c r="Y440" s="703"/>
      <c r="Z440" s="703"/>
      <c r="AA440" s="703"/>
      <c r="AB440" s="703"/>
      <c r="AC440" s="702" t="str">
        <f t="shared" si="45"/>
        <v>PHC</v>
      </c>
      <c r="AD440" s="702"/>
      <c r="AE440" s="702"/>
      <c r="AF440" s="700"/>
      <c r="AG440" s="699"/>
      <c r="AH440" s="700"/>
      <c r="AI440" s="700"/>
      <c r="AJ440" s="702"/>
      <c r="AK440" s="702"/>
      <c r="AL440" s="702"/>
      <c r="AM440" s="702" t="s">
        <v>126</v>
      </c>
      <c r="AN440" s="704">
        <v>5.15</v>
      </c>
      <c r="AO440" s="703"/>
      <c r="AP440" s="703"/>
      <c r="AQ440" s="703"/>
      <c r="AR440" s="703"/>
      <c r="AS440" s="703"/>
      <c r="AT440" s="703">
        <f>+ab($T$440,$T$438,$T$442,$G$439,$G$441,-1*$F$440,1200)</f>
        <v>-4.277637308713123</v>
      </c>
      <c r="AU440" s="705"/>
      <c r="AV440" s="705"/>
      <c r="AW440" s="702" t="str">
        <f>IF(C440&gt;0,VLOOKUP(C440,Foundation_Calc!$A$2:$C$13,3,1),
IF(J440&gt;0,VLOOKUP(J440,Foundation_Calc!$A$2:$C$13,3,1),""))</f>
        <v>Multi Soil</v>
      </c>
      <c r="AX440" s="702" t="str">
        <f>IF(C440&gt;0,VLOOKUP(C440,Foundation_Calc!$E$2:$G$33,3,1),
IF(J440&gt;0,VLOOKUP(J440,Foundation_Calc!$E$2:$G$33,3,1),""))</f>
        <v>PT</v>
      </c>
      <c r="AY440" s="704">
        <f>IF(L440="","",
IF(AX440="PT",VLOOKUP(L440,Foundation_Calc!$K$79:$R$113,VLOOKUP(AW440,Foundation_Calc!$I$2:$J$8,2,FALSE),0),
IF(AX440="K",VLOOKUP(L440,Foundation_Calc!$K$117:$R$151,VLOOKUP(AW440,Foundation_Calc!$I$2:$J$8,2,FALSE),0),"")))</f>
        <v>3.5</v>
      </c>
      <c r="AZ440" s="704" t="str">
        <f>IF(K440="","",
IF(AX440="PT",VLOOKUP(K440,Foundation_Calc!$K$79:$R$113,VLOOKUP(AW440,Foundation_Calc!$I$2:$J$8,2,FALSE),0),
IF(AX440="K",VLOOKUP(K440,Foundation_Calc!$K$117:$R$151,VLOOKUP(AW440,Foundation_Calc!$I$2:$J$8,2,FALSE),0),"")))</f>
        <v/>
      </c>
      <c r="BA440" s="495" t="str">
        <f t="shared" si="52"/>
        <v>ü</v>
      </c>
      <c r="BB440" s="495" t="str">
        <f t="shared" si="53"/>
        <v/>
      </c>
      <c r="BC440" s="495" t="str">
        <f t="shared" si="54"/>
        <v/>
      </c>
      <c r="BD440" s="513" t="str">
        <f>IF(AND(L440="",H440=""),"",
IF(H440="",Pole_Calc!A$9,
IF(H440="MP",Pole_Calc!A$10,
IF(H440="AnMP",Pole_Calc!A$11,
IF(H440="A",Pole_Calc!A$12,
IF(H440="S/A",Pole_Calc!A$13,
IF(H440="A/S",Pole_Calc!A$14,"Poner a mano")))))))</f>
        <v>App.7-V11I-P9.5.1.1</v>
      </c>
      <c r="BE440" s="429" t="s">
        <v>118</v>
      </c>
      <c r="BF440" s="289"/>
      <c r="BG440" s="289"/>
      <c r="BH440" s="290"/>
      <c r="BI440" s="289"/>
    </row>
    <row r="441" spans="1:61" ht="15.75" customHeight="1">
      <c r="A441" s="696"/>
      <c r="B441" s="697"/>
      <c r="C441" s="698"/>
      <c r="D441" s="699"/>
      <c r="E441" s="700"/>
      <c r="F441" s="700"/>
      <c r="G441" s="701">
        <v>32</v>
      </c>
      <c r="H441" s="702"/>
      <c r="I441" s="700"/>
      <c r="J441" s="698"/>
      <c r="K441" s="702"/>
      <c r="L441" s="702"/>
      <c r="M441" s="702" t="str">
        <f>IF(L441="","",
IF(AX441="PT",VLOOKUP(L441,Foundation_Calc!$V$79:$X$113,VLOOKUP(AX441,Foundation_Calc!$I$10:$J$13,2,FALSE),0),
IF(AX441="K",VLOOKUP(L441,Foundation_Calc!$V$117:$X$151,VLOOKUP(AX441,Foundation_Calc!$I$10:$J$13,2,FALSE),0),"")))</f>
        <v/>
      </c>
      <c r="N441" s="702"/>
      <c r="O441" s="702"/>
      <c r="P441" s="702"/>
      <c r="Q441" s="700"/>
      <c r="R441" s="701"/>
      <c r="S441" s="701"/>
      <c r="T441" s="700"/>
      <c r="U441" s="700"/>
      <c r="V441" s="700"/>
      <c r="W441" s="707"/>
      <c r="X441" s="703"/>
      <c r="Y441" s="703"/>
      <c r="Z441" s="703"/>
      <c r="AA441" s="703"/>
      <c r="AB441" s="703"/>
      <c r="AC441" s="702" t="str">
        <f t="shared" si="45"/>
        <v/>
      </c>
      <c r="AD441" s="702"/>
      <c r="AE441" s="702"/>
      <c r="AF441" s="700"/>
      <c r="AG441" s="699"/>
      <c r="AH441" s="700"/>
      <c r="AI441" s="700"/>
      <c r="AJ441" s="702"/>
      <c r="AK441" s="702"/>
      <c r="AL441" s="702"/>
      <c r="AM441" s="702"/>
      <c r="AN441" s="704"/>
      <c r="AO441" s="703"/>
      <c r="AP441" s="703"/>
      <c r="AQ441" s="703">
        <f>+FL_2($T$442,$T$440,$G$441,1200,9.28,-1*$F$442)</f>
        <v>-0.30000000000008642</v>
      </c>
      <c r="AR441" s="703"/>
      <c r="AS441" s="703"/>
      <c r="AT441" s="703"/>
      <c r="AU441" s="705"/>
      <c r="AV441" s="705"/>
      <c r="AW441" s="702" t="str">
        <f>IF(C441&gt;0,VLOOKUP(C441,Foundation_Calc!$A$2:$C$13,3,1),
IF(J441&gt;0,VLOOKUP(J441,Foundation_Calc!$A$2:$C$13,3,1),""))</f>
        <v/>
      </c>
      <c r="AX441" s="702" t="str">
        <f>IF(C441&gt;0,VLOOKUP(C441,Foundation_Calc!$E$2:$G$33,3,1),
IF(J441&gt;0,VLOOKUP(J441,Foundation_Calc!$E$2:$G$33,3,1),""))</f>
        <v/>
      </c>
      <c r="AY441" s="704" t="str">
        <f>IF(L441="","",
IF(AX441="PT",VLOOKUP(L441,Foundation_Calc!$K$79:$R$113,VLOOKUP(AW441,Foundation_Calc!$I$2:$J$8,2,FALSE),0),
IF(AX441="K",VLOOKUP(L441,Foundation_Calc!$K$117:$R$151,VLOOKUP(AW441,Foundation_Calc!$I$2:$J$8,2,FALSE),0),"")))</f>
        <v/>
      </c>
      <c r="AZ441" s="704" t="str">
        <f>IF(K441="","",
IF(AX441="PT",VLOOKUP(K441,Foundation_Calc!$K$79:$R$113,VLOOKUP(AW441,Foundation_Calc!$I$2:$J$8,2,FALSE),0),
IF(AX441="K",VLOOKUP(K441,Foundation_Calc!$K$117:$R$151,VLOOKUP(AW441,Foundation_Calc!$I$2:$J$8,2,FALSE),0),"")))</f>
        <v/>
      </c>
      <c r="BA441" s="495" t="str">
        <f t="shared" si="52"/>
        <v/>
      </c>
      <c r="BB441" s="495" t="str">
        <f t="shared" si="53"/>
        <v/>
      </c>
      <c r="BC441" s="495" t="str">
        <f t="shared" si="54"/>
        <v/>
      </c>
      <c r="BD441" s="513" t="str">
        <f>IF(AND(L441="",H441=""),"",
IF(H441="",Pole_Calc!A$9,
IF(H441="MP",Pole_Calc!A$10,
IF(H441="AnMP",Pole_Calc!A$11,
IF(H441="A",Pole_Calc!A$12,
IF(H441="S/A",Pole_Calc!A$13,
IF(H441="A/S",Pole_Calc!A$14,"Poner a mano")))))))</f>
        <v/>
      </c>
      <c r="BE441" s="429" t="s">
        <v>118</v>
      </c>
      <c r="BF441" s="290"/>
      <c r="BG441" s="290"/>
      <c r="BH441" s="290"/>
      <c r="BI441" s="290"/>
    </row>
    <row r="442" spans="1:61" ht="15.75" customHeight="1">
      <c r="A442" s="696"/>
      <c r="B442" s="697" t="s">
        <v>432</v>
      </c>
      <c r="C442" s="698">
        <f>+$C$440+$G$441-1.5</f>
        <v>40618.559999999983</v>
      </c>
      <c r="D442" s="699"/>
      <c r="E442" s="700"/>
      <c r="F442" s="700">
        <f>IF(C442&gt;0,VLOOKUP(C442,'ALIGNMENT TRACK'!$A$1:$K$81,9,1))</f>
        <v>804</v>
      </c>
      <c r="G442" s="701"/>
      <c r="H442" s="702"/>
      <c r="I442" s="700"/>
      <c r="J442" s="698"/>
      <c r="K442" s="702"/>
      <c r="L442" s="702" t="s">
        <v>158</v>
      </c>
      <c r="M442" s="702" t="str">
        <f>IF(L442="","",
IF(AX442="PT",VLOOKUP(L442,Foundation_Calc!$V$79:$X$113,VLOOKUP(AX442,Foundation_Calc!$I$10:$J$13,2,FALSE),0),
IF(AX442="K",VLOOKUP(L442,Foundation_Calc!$V$117:$X$151,VLOOKUP(AX442,Foundation_Calc!$I$10:$J$13,2,FALSE),0),"")))</f>
        <v>C4R</v>
      </c>
      <c r="N442" s="702" t="s">
        <v>124</v>
      </c>
      <c r="O442" s="702"/>
      <c r="P442" s="702"/>
      <c r="Q442" s="700"/>
      <c r="R442" s="701"/>
      <c r="S442" s="701"/>
      <c r="T442" s="700">
        <v>-30</v>
      </c>
      <c r="U442" s="700"/>
      <c r="V442" s="700"/>
      <c r="W442" s="707">
        <v>0.8</v>
      </c>
      <c r="X442" s="703"/>
      <c r="Y442" s="703"/>
      <c r="Z442" s="703"/>
      <c r="AA442" s="703"/>
      <c r="AB442" s="703"/>
      <c r="AC442" s="702" t="str">
        <f t="shared" si="45"/>
        <v>PHC</v>
      </c>
      <c r="AD442" s="702"/>
      <c r="AE442" s="702"/>
      <c r="AF442" s="700"/>
      <c r="AG442" s="699"/>
      <c r="AH442" s="700"/>
      <c r="AI442" s="700"/>
      <c r="AJ442" s="702"/>
      <c r="AK442" s="702"/>
      <c r="AL442" s="702"/>
      <c r="AM442" s="702" t="s">
        <v>126</v>
      </c>
      <c r="AN442" s="704">
        <f>AN440+0.04</f>
        <v>5.19</v>
      </c>
      <c r="AO442" s="703"/>
      <c r="AP442" s="703"/>
      <c r="AQ442" s="703"/>
      <c r="AR442" s="703"/>
      <c r="AS442" s="703"/>
      <c r="AT442" s="703">
        <f>+ab($T$442,$T$440,$T$444,$G$441,$G$443,-1*$F$442,1200)</f>
        <v>-4.277637308713123</v>
      </c>
      <c r="AU442" s="705"/>
      <c r="AV442" s="705"/>
      <c r="AW442" s="702" t="str">
        <f>IF(C442&gt;0,VLOOKUP(C442,Foundation_Calc!$A$2:$C$13,3,1),
IF(J442&gt;0,VLOOKUP(J442,Foundation_Calc!$A$2:$C$13,3,1),""))</f>
        <v>Multi Soil</v>
      </c>
      <c r="AX442" s="702" t="str">
        <f>IF(C442&gt;0,VLOOKUP(C442,Foundation_Calc!$E$2:$G$33,3,1),
IF(J442&gt;0,VLOOKUP(J442,Foundation_Calc!$E$2:$G$33,3,1),""))</f>
        <v>PT</v>
      </c>
      <c r="AY442" s="704">
        <f>IF(L442="","",
IF(AX442="PT",VLOOKUP(L442,Foundation_Calc!$K$79:$R$113,VLOOKUP(AW442,Foundation_Calc!$I$2:$J$8,2,FALSE),0),
IF(AX442="K",VLOOKUP(L442,Foundation_Calc!$K$117:$R$151,VLOOKUP(AW442,Foundation_Calc!$I$2:$J$8,2,FALSE),0),"")))</f>
        <v>3.5</v>
      </c>
      <c r="AZ442" s="704" t="str">
        <f>IF(K442="","",
IF(AX442="PT",VLOOKUP(K442,Foundation_Calc!$K$79:$R$113,VLOOKUP(AW442,Foundation_Calc!$I$2:$J$8,2,FALSE),0),
IF(AX442="K",VLOOKUP(K442,Foundation_Calc!$K$117:$R$151,VLOOKUP(AW442,Foundation_Calc!$I$2:$J$8,2,FALSE),0),"")))</f>
        <v/>
      </c>
      <c r="BA442" s="495" t="str">
        <f t="shared" si="52"/>
        <v>ü</v>
      </c>
      <c r="BB442" s="495" t="str">
        <f t="shared" si="53"/>
        <v/>
      </c>
      <c r="BC442" s="495" t="str">
        <f t="shared" si="54"/>
        <v/>
      </c>
      <c r="BD442" s="513" t="str">
        <f>IF(AND(L442="",H442=""),"",
IF(H442="",Pole_Calc!A$9,
IF(H442="MP",Pole_Calc!A$10,
IF(H442="AnMP",Pole_Calc!A$11,
IF(H442="A",Pole_Calc!A$12,
IF(H442="S/A",Pole_Calc!A$13,
IF(H442="A/S",Pole_Calc!A$14,"Poner a mano")))))))</f>
        <v>App.7-V11I-P9.5.1.1</v>
      </c>
      <c r="BE442" s="429" t="s">
        <v>118</v>
      </c>
      <c r="BF442" s="289"/>
      <c r="BG442" s="289"/>
      <c r="BH442" s="290"/>
      <c r="BI442" s="289"/>
    </row>
    <row r="443" spans="1:61" ht="15.75" customHeight="1">
      <c r="A443" s="708" t="s">
        <v>433</v>
      </c>
      <c r="B443" s="697"/>
      <c r="C443" s="698"/>
      <c r="D443" s="699"/>
      <c r="E443" s="700"/>
      <c r="F443" s="700"/>
      <c r="G443" s="701">
        <v>40</v>
      </c>
      <c r="H443" s="702"/>
      <c r="I443" s="700"/>
      <c r="J443" s="698"/>
      <c r="K443" s="702"/>
      <c r="L443" s="702"/>
      <c r="M443" s="702" t="str">
        <f>IF(L443="","",
IF(AX443="PT",VLOOKUP(L443,Foundation_Calc!$V$79:$X$113,VLOOKUP(AX443,Foundation_Calc!$I$10:$J$13,2,FALSE),0),
IF(AX443="K",VLOOKUP(L443,Foundation_Calc!$V$117:$X$151,VLOOKUP(AX443,Foundation_Calc!$I$10:$J$13,2,FALSE),0),"")))</f>
        <v/>
      </c>
      <c r="N443" s="702"/>
      <c r="O443" s="702"/>
      <c r="P443" s="702"/>
      <c r="Q443" s="700"/>
      <c r="R443" s="701"/>
      <c r="S443" s="701"/>
      <c r="T443" s="700"/>
      <c r="U443" s="700"/>
      <c r="V443" s="700"/>
      <c r="W443" s="707"/>
      <c r="X443" s="703"/>
      <c r="Y443" s="703"/>
      <c r="Z443" s="703"/>
      <c r="AA443" s="703"/>
      <c r="AB443" s="703"/>
      <c r="AC443" s="702" t="str">
        <f t="shared" si="45"/>
        <v/>
      </c>
      <c r="AD443" s="702"/>
      <c r="AE443" s="702"/>
      <c r="AF443" s="700"/>
      <c r="AG443" s="699"/>
      <c r="AH443" s="700"/>
      <c r="AI443" s="700"/>
      <c r="AJ443" s="702"/>
      <c r="AK443" s="702"/>
      <c r="AL443" s="702"/>
      <c r="AM443" s="702"/>
      <c r="AN443" s="704"/>
      <c r="AO443" s="703"/>
      <c r="AP443" s="703"/>
      <c r="AQ443" s="703">
        <f>+FL_2($T$444,$T$442,$G$443,1200,9.28,-1*$F$444)</f>
        <v>-0.3</v>
      </c>
      <c r="AR443" s="703"/>
      <c r="AS443" s="703"/>
      <c r="AT443" s="703"/>
      <c r="AU443" s="705"/>
      <c r="AV443" s="705"/>
      <c r="AW443" s="702" t="str">
        <f>IF(C443&gt;0,VLOOKUP(C443,Foundation_Calc!$A$2:$C$13,3,1),
IF(J443&gt;0,VLOOKUP(J443,Foundation_Calc!$A$2:$C$13,3,1),""))</f>
        <v/>
      </c>
      <c r="AX443" s="702" t="str">
        <f>IF(C443&gt;0,VLOOKUP(C443,Foundation_Calc!$E$2:$G$33,3,1),
IF(J443&gt;0,VLOOKUP(J443,Foundation_Calc!$E$2:$G$33,3,1),""))</f>
        <v/>
      </c>
      <c r="AY443" s="704" t="str">
        <f>IF(L443="","",
IF(AX443="PT",VLOOKUP(L443,Foundation_Calc!$K$79:$R$113,VLOOKUP(AW443,Foundation_Calc!$I$2:$J$8,2,FALSE),0),
IF(AX443="K",VLOOKUP(L443,Foundation_Calc!$K$117:$R$151,VLOOKUP(AW443,Foundation_Calc!$I$2:$J$8,2,FALSE),0),"")))</f>
        <v/>
      </c>
      <c r="AZ443" s="704" t="str">
        <f>IF(K443="","",
IF(AX443="PT",VLOOKUP(K443,Foundation_Calc!$K$79:$R$113,VLOOKUP(AW443,Foundation_Calc!$I$2:$J$8,2,FALSE),0),
IF(AX443="K",VLOOKUP(K443,Foundation_Calc!$K$117:$R$151,VLOOKUP(AW443,Foundation_Calc!$I$2:$J$8,2,FALSE),0),"")))</f>
        <v/>
      </c>
      <c r="BA443" s="495" t="str">
        <f t="shared" si="52"/>
        <v/>
      </c>
      <c r="BB443" s="495" t="str">
        <f t="shared" si="53"/>
        <v/>
      </c>
      <c r="BC443" s="495" t="str">
        <f t="shared" si="54"/>
        <v/>
      </c>
      <c r="BD443" s="513" t="str">
        <f>IF(AND(L443="",H443=""),"",
IF(H443="",Pole_Calc!A$9,
IF(H443="MP",Pole_Calc!A$10,
IF(H443="AnMP",Pole_Calc!A$11,
IF(H443="A",Pole_Calc!A$12,
IF(H443="S/A",Pole_Calc!A$13,
IF(H443="A/S",Pole_Calc!A$14,"Poner a mano")))))))</f>
        <v/>
      </c>
      <c r="BE443" s="429" t="s">
        <v>118</v>
      </c>
      <c r="BF443" s="290"/>
      <c r="BG443" s="290"/>
      <c r="BH443" s="290"/>
      <c r="BI443" s="290"/>
    </row>
    <row r="444" spans="1:61" ht="15.75" customHeight="1">
      <c r="A444" s="708" t="s">
        <v>434</v>
      </c>
      <c r="B444" s="697" t="s">
        <v>435</v>
      </c>
      <c r="C444" s="698">
        <f>+$C$442+$G$443</f>
        <v>40658.559999999983</v>
      </c>
      <c r="D444" s="699"/>
      <c r="E444" s="700"/>
      <c r="F444" s="700">
        <f>IF(C444&gt;0,VLOOKUP(C444,'ALIGNMENT TRACK'!$A$1:$K$81,9,1))</f>
        <v>804</v>
      </c>
      <c r="G444" s="701"/>
      <c r="H444" s="702"/>
      <c r="I444" s="700"/>
      <c r="J444" s="698"/>
      <c r="K444" s="702"/>
      <c r="L444" s="702" t="s">
        <v>158</v>
      </c>
      <c r="M444" s="702" t="str">
        <f>IF(L444="","",
IF(AX444="PT",VLOOKUP(L444,Foundation_Calc!$V$79:$X$113,VLOOKUP(AX444,Foundation_Calc!$I$10:$J$13,2,FALSE),0),
IF(AX444="K",VLOOKUP(L444,Foundation_Calc!$V$117:$X$151,VLOOKUP(AX444,Foundation_Calc!$I$10:$J$13,2,FALSE),0),"")))</f>
        <v>C4R</v>
      </c>
      <c r="N444" s="702" t="s">
        <v>124</v>
      </c>
      <c r="O444" s="702"/>
      <c r="P444" s="702"/>
      <c r="Q444" s="700"/>
      <c r="R444" s="701"/>
      <c r="S444" s="701"/>
      <c r="T444" s="700">
        <v>-30</v>
      </c>
      <c r="U444" s="700"/>
      <c r="V444" s="700"/>
      <c r="W444" s="707">
        <v>1</v>
      </c>
      <c r="X444" s="703"/>
      <c r="Y444" s="703"/>
      <c r="Z444" s="703"/>
      <c r="AA444" s="703"/>
      <c r="AB444" s="703"/>
      <c r="AC444" s="702" t="str">
        <f t="shared" si="45"/>
        <v>PHC</v>
      </c>
      <c r="AD444" s="702"/>
      <c r="AE444" s="702"/>
      <c r="AF444" s="700"/>
      <c r="AG444" s="699"/>
      <c r="AH444" s="700"/>
      <c r="AI444" s="700"/>
      <c r="AJ444" s="702"/>
      <c r="AK444" s="702"/>
      <c r="AL444" s="702"/>
      <c r="AM444" s="702" t="s">
        <v>126</v>
      </c>
      <c r="AN444" s="704">
        <f>AN442+0.08</f>
        <v>5.2700000000000005</v>
      </c>
      <c r="AO444" s="703"/>
      <c r="AP444" s="703"/>
      <c r="AQ444" s="703"/>
      <c r="AR444" s="703"/>
      <c r="AS444" s="703"/>
      <c r="AT444" s="703">
        <f>+ab($T$444,$T$442,$T$446,$G$443,$G$445,-1*$F$444,1200)</f>
        <v>-3.625311906765901</v>
      </c>
      <c r="AU444" s="705"/>
      <c r="AV444" s="705"/>
      <c r="AW444" s="702" t="str">
        <f>IF(C444&gt;0,VLOOKUP(C444,Foundation_Calc!$A$2:$C$13,3,1),
IF(J444&gt;0,VLOOKUP(J444,Foundation_Calc!$A$2:$C$13,3,1),""))</f>
        <v>Multi Soil</v>
      </c>
      <c r="AX444" s="702" t="str">
        <f>IF(C444&gt;0,VLOOKUP(C444,Foundation_Calc!$E$2:$G$33,3,1),
IF(J444&gt;0,VLOOKUP(J444,Foundation_Calc!$E$2:$G$33,3,1),""))</f>
        <v>PT</v>
      </c>
      <c r="AY444" s="704">
        <f>IF(L444="","",
IF(AX444="PT",VLOOKUP(L444,Foundation_Calc!$K$79:$R$113,VLOOKUP(AW444,Foundation_Calc!$I$2:$J$8,2,FALSE),0),
IF(AX444="K",VLOOKUP(L444,Foundation_Calc!$K$117:$R$151,VLOOKUP(AW444,Foundation_Calc!$I$2:$J$8,2,FALSE),0),"")))</f>
        <v>3.5</v>
      </c>
      <c r="AZ444" s="704" t="str">
        <f>IF(K444="","",
IF(AX444="PT",VLOOKUP(K444,Foundation_Calc!$K$79:$R$113,VLOOKUP(AW444,Foundation_Calc!$I$2:$J$8,2,FALSE),0),
IF(AX444="K",VLOOKUP(K444,Foundation_Calc!$K$117:$R$151,VLOOKUP(AW444,Foundation_Calc!$I$2:$J$8,2,FALSE),0),"")))</f>
        <v/>
      </c>
      <c r="BA444" s="495" t="str">
        <f t="shared" si="52"/>
        <v>ü</v>
      </c>
      <c r="BB444" s="495" t="str">
        <f t="shared" si="53"/>
        <v/>
      </c>
      <c r="BC444" s="495" t="str">
        <f t="shared" si="54"/>
        <v/>
      </c>
      <c r="BD444" s="513" t="str">
        <f>IF(AND(L444="",H444=""),"",
IF(H444="",Pole_Calc!A$9,
IF(H444="MP",Pole_Calc!A$10,
IF(H444="AnMP",Pole_Calc!A$11,
IF(H444="A",Pole_Calc!A$12,
IF(H444="S/A",Pole_Calc!A$13,
IF(H444="A/S",Pole_Calc!A$14,"Poner a mano")))))))</f>
        <v>App.7-V11I-P9.5.1.1</v>
      </c>
      <c r="BE444" s="429" t="s">
        <v>118</v>
      </c>
      <c r="BF444" s="289"/>
      <c r="BG444" s="289"/>
      <c r="BH444" s="290"/>
      <c r="BI444" s="289"/>
    </row>
    <row r="445" spans="1:61" ht="15.75" customHeight="1">
      <c r="A445" s="514"/>
      <c r="B445" s="450"/>
      <c r="C445" s="3"/>
      <c r="D445" s="83"/>
      <c r="E445" s="4"/>
      <c r="F445" s="4"/>
      <c r="G445" s="6">
        <v>45</v>
      </c>
      <c r="H445" s="449"/>
      <c r="I445" s="4"/>
      <c r="J445" s="3">
        <f>C446-7.5</f>
        <v>40696.059999999983</v>
      </c>
      <c r="K445" s="449" t="s">
        <v>117</v>
      </c>
      <c r="L445" s="449"/>
      <c r="M445" s="449" t="str">
        <f>IF(L445="","",
IF(AX445="PT",VLOOKUP(L445,Foundation_Calc!$V$79:$X$113,VLOOKUP(AX445,Foundation_Calc!$I$10:$J$13,2,FALSE),0),
IF(AX445="K",VLOOKUP(L445,Foundation_Calc!$V$117:$X$151,VLOOKUP(AX445,Foundation_Calc!$I$10:$J$13,2,FALSE),0),"")))</f>
        <v/>
      </c>
      <c r="N445" s="449"/>
      <c r="O445" s="449"/>
      <c r="P445" s="449"/>
      <c r="Q445" s="4"/>
      <c r="R445" s="6"/>
      <c r="S445" s="6"/>
      <c r="T445" s="4"/>
      <c r="U445" s="4"/>
      <c r="V445" s="4"/>
      <c r="W445" s="572"/>
      <c r="X445" s="9"/>
      <c r="Y445" s="9"/>
      <c r="Z445" s="9"/>
      <c r="AA445" s="9"/>
      <c r="AB445" s="9"/>
      <c r="AC445" s="449" t="str">
        <f t="shared" si="45"/>
        <v/>
      </c>
      <c r="AD445" s="449"/>
      <c r="AE445" s="449"/>
      <c r="AF445" s="4"/>
      <c r="AG445" s="83"/>
      <c r="AH445" s="4"/>
      <c r="AI445" s="4"/>
      <c r="AJ445" s="449"/>
      <c r="AK445" s="449"/>
      <c r="AL445" s="449"/>
      <c r="AM445" s="449"/>
      <c r="AN445" s="10"/>
      <c r="AO445" s="9"/>
      <c r="AP445" s="9"/>
      <c r="AQ445" s="9">
        <f>+FL_2($T$446,$T$444,$G$445,1200,9.28,-1*$F$446)</f>
        <v>-0.30010587421998003</v>
      </c>
      <c r="AR445" s="9"/>
      <c r="AS445" s="9"/>
      <c r="AT445" s="9"/>
      <c r="AU445" s="428"/>
      <c r="AV445" s="428"/>
      <c r="AW445" s="449" t="str">
        <f>IF(C445&gt;0,VLOOKUP(C445,Foundation_Calc!$A$2:$C$13,3,1),
IF(J445&gt;0,VLOOKUP(J445,Foundation_Calc!$A$2:$C$13,3,1),""))</f>
        <v>Multi Soil</v>
      </c>
      <c r="AX445" s="449" t="str">
        <f>IF(C445&gt;0,VLOOKUP(C445,Foundation_Calc!$E$2:$G$33,3,1),
IF(J445&gt;0,VLOOKUP(J445,Foundation_Calc!$E$2:$G$33,3,1),""))</f>
        <v>PT</v>
      </c>
      <c r="AY445" s="10" t="str">
        <f>IF(L445="","",
IF(AX445="PT",VLOOKUP(L445,Foundation_Calc!$K$79:$R$113,VLOOKUP(AW445,Foundation_Calc!$I$2:$J$8,2,FALSE),0),
IF(AX445="K",VLOOKUP(L445,Foundation_Calc!$K$117:$R$151,VLOOKUP(AW445,Foundation_Calc!$I$2:$J$8,2,FALSE),0),"")))</f>
        <v/>
      </c>
      <c r="AZ445" s="10">
        <f>IF(K445="","",
IF(AX445="PT",VLOOKUP(K445,Foundation_Calc!$K$79:$R$113,VLOOKUP(AW445,Foundation_Calc!$I$2:$J$8,2,FALSE),0),
IF(AX445="K",VLOOKUP(K445,Foundation_Calc!$K$117:$R$151,VLOOKUP(AW445,Foundation_Calc!$I$2:$J$8,2,FALSE),0),"")))</f>
        <v>3.9</v>
      </c>
      <c r="BA445" s="495" t="str">
        <f t="shared" si="52"/>
        <v/>
      </c>
      <c r="BB445" s="495" t="str">
        <f t="shared" si="53"/>
        <v>ü</v>
      </c>
      <c r="BC445" s="495" t="str">
        <f t="shared" si="54"/>
        <v/>
      </c>
      <c r="BD445" s="513" t="str">
        <f>IF(AND(L445="",H445=""),"",
IF(H445="",Pole_Calc!A$9,
IF(H445="MP",Pole_Calc!A$10,
IF(H445="AnMP",Pole_Calc!A$11,
IF(H445="A",Pole_Calc!A$12,
IF(H445="S/A",Pole_Calc!A$13,
IF(H445="A/S",Pole_Calc!A$14,"Poner a mano")))))))</f>
        <v/>
      </c>
      <c r="BE445" s="429" t="s">
        <v>118</v>
      </c>
      <c r="BF445" s="290"/>
      <c r="BG445" s="290"/>
      <c r="BH445" s="290"/>
      <c r="BI445" s="290"/>
    </row>
    <row r="446" spans="1:61" ht="15.75" customHeight="1">
      <c r="A446" s="514"/>
      <c r="B446" s="450" t="s">
        <v>436</v>
      </c>
      <c r="C446" s="3">
        <f>+$C$444+$G$445</f>
        <v>40703.559999999983</v>
      </c>
      <c r="D446" s="83"/>
      <c r="E446" s="4"/>
      <c r="F446" s="4">
        <f>IF(C446&gt;0,VLOOKUP(C446,'ALIGNMENT TRACK'!$A$1:$K$81,9,1))</f>
        <v>804</v>
      </c>
      <c r="G446" s="6"/>
      <c r="H446" s="449" t="s">
        <v>121</v>
      </c>
      <c r="I446" s="4" t="s">
        <v>122</v>
      </c>
      <c r="J446" s="3"/>
      <c r="K446" s="449"/>
      <c r="L446" s="449" t="s">
        <v>181</v>
      </c>
      <c r="M446" s="449" t="str">
        <f>IF(L446="","",
IF(AX446="PT",VLOOKUP(L446,Foundation_Calc!$V$79:$X$113,VLOOKUP(AX446,Foundation_Calc!$I$10:$J$13,2,FALSE),0),
IF(AX446="K",VLOOKUP(L446,Foundation_Calc!$V$117:$X$151,VLOOKUP(AX446,Foundation_Calc!$I$10:$J$13,2,FALSE),0),"")))</f>
        <v>C5R</v>
      </c>
      <c r="N446" s="449" t="s">
        <v>124</v>
      </c>
      <c r="O446" s="449"/>
      <c r="P446" s="449"/>
      <c r="Q446" s="4"/>
      <c r="R446" s="6"/>
      <c r="S446" s="6"/>
      <c r="T446" s="4">
        <v>-30</v>
      </c>
      <c r="U446" s="4"/>
      <c r="V446" s="4"/>
      <c r="W446" s="572">
        <v>1.2</v>
      </c>
      <c r="X446" s="9"/>
      <c r="Y446" s="9"/>
      <c r="Z446" s="9"/>
      <c r="AA446" s="9"/>
      <c r="AB446" s="9"/>
      <c r="AC446" s="449" t="str">
        <f t="shared" si="45"/>
        <v>PHC</v>
      </c>
      <c r="AD446" s="449"/>
      <c r="AE446" s="449"/>
      <c r="AF446" s="4"/>
      <c r="AG446" s="83"/>
      <c r="AH446" s="4"/>
      <c r="AI446" s="4"/>
      <c r="AJ446" s="449"/>
      <c r="AK446" s="449"/>
      <c r="AL446" s="449"/>
      <c r="AM446" s="449" t="s">
        <v>126</v>
      </c>
      <c r="AN446" s="10">
        <f>AN448-0.08</f>
        <v>5.36</v>
      </c>
      <c r="AO446" s="9"/>
      <c r="AP446" s="9"/>
      <c r="AQ446" s="9"/>
      <c r="AR446" s="9"/>
      <c r="AS446" s="9"/>
      <c r="AT446" s="9">
        <f>+ab($T$446,$T$444,$U$448,$G$445,$G$447,-1*$F$446,1200)</f>
        <v>-3.6683532252610638</v>
      </c>
      <c r="AU446" s="428"/>
      <c r="AV446" s="428"/>
      <c r="AW446" s="449" t="str">
        <f>IF(C446&gt;0,VLOOKUP(C446,Foundation_Calc!$A$2:$C$13,3,1),
IF(J446&gt;0,VLOOKUP(J446,Foundation_Calc!$A$2:$C$13,3,1),""))</f>
        <v>Multi Soil</v>
      </c>
      <c r="AX446" s="449" t="str">
        <f>IF(C446&gt;0,VLOOKUP(C446,Foundation_Calc!$E$2:$G$33,3,1),
IF(J446&gt;0,VLOOKUP(J446,Foundation_Calc!$E$2:$G$33,3,1),""))</f>
        <v>PT</v>
      </c>
      <c r="AY446" s="10">
        <f>IF(L446="","",
IF(AX446="PT",VLOOKUP(L446,Foundation_Calc!$K$79:$R$113,VLOOKUP(AW446,Foundation_Calc!$I$2:$J$8,2,FALSE),0),
IF(AX446="K",VLOOKUP(L446,Foundation_Calc!$K$117:$R$151,VLOOKUP(AW446,Foundation_Calc!$I$2:$J$8,2,FALSE),0),"")))</f>
        <v>3.5</v>
      </c>
      <c r="AZ446" s="10" t="str">
        <f>IF(K446="","",
IF(AX446="PT",VLOOKUP(K446,Foundation_Calc!$K$79:$R$113,VLOOKUP(AW446,Foundation_Calc!$I$2:$J$8,2,FALSE),0),
IF(AX446="K",VLOOKUP(K446,Foundation_Calc!$K$117:$R$151,VLOOKUP(AW446,Foundation_Calc!$I$2:$J$8,2,FALSE),0),"")))</f>
        <v/>
      </c>
      <c r="BA446" s="495" t="str">
        <f t="shared" si="52"/>
        <v>ü</v>
      </c>
      <c r="BB446" s="495" t="str">
        <f t="shared" si="53"/>
        <v/>
      </c>
      <c r="BC446" s="495" t="str">
        <f t="shared" si="54"/>
        <v/>
      </c>
      <c r="BD446" s="513" t="str">
        <f>IF(AND(L446="",H446=""),"",
IF(H446="",Pole_Calc!A$9,
IF(H446="MP",Pole_Calc!A$10,
IF(H446="AnMP",Pole_Calc!A$11,
IF(H446="A",Pole_Calc!A$12,
IF(H446="S/A",Pole_Calc!A$13,
IF(H446="A/S",Pole_Calc!A$14,"Poner a mano")))))))</f>
        <v>App.7-V11I-P9.5.1.6</v>
      </c>
      <c r="BE446" s="429" t="s">
        <v>118</v>
      </c>
      <c r="BF446" s="289"/>
      <c r="BG446" s="289"/>
      <c r="BH446" s="290"/>
      <c r="BI446" s="289"/>
    </row>
    <row r="447" spans="1:61" ht="15.75" customHeight="1">
      <c r="A447" s="685" t="s">
        <v>160</v>
      </c>
      <c r="B447" s="686"/>
      <c r="C447" s="687"/>
      <c r="D447" s="688"/>
      <c r="E447" s="689"/>
      <c r="F447" s="689"/>
      <c r="G447" s="690">
        <v>39</v>
      </c>
      <c r="H447" s="691"/>
      <c r="I447" s="689" t="s">
        <v>195</v>
      </c>
      <c r="J447" s="687">
        <f>C448-7.5</f>
        <v>40734.159999999982</v>
      </c>
      <c r="K447" s="691" t="s">
        <v>166</v>
      </c>
      <c r="L447" s="691"/>
      <c r="M447" s="691" t="str">
        <f>IF(L447="","",
IF(AX447="PT",VLOOKUP(L447,Foundation_Calc!$V$79:$X$113,VLOOKUP(AX447,Foundation_Calc!$I$10:$J$13,2,FALSE),0),
IF(AX447="K",VLOOKUP(L447,Foundation_Calc!$V$117:$X$151,VLOOKUP(AX447,Foundation_Calc!$I$10:$J$13,2,FALSE),0),"")))</f>
        <v/>
      </c>
      <c r="N447" s="691"/>
      <c r="O447" s="691"/>
      <c r="P447" s="691"/>
      <c r="Q447" s="689"/>
      <c r="R447" s="690"/>
      <c r="S447" s="690"/>
      <c r="T447" s="689"/>
      <c r="U447" s="689"/>
      <c r="V447" s="689"/>
      <c r="W447" s="692"/>
      <c r="X447" s="692"/>
      <c r="Y447" s="692"/>
      <c r="Z447" s="692"/>
      <c r="AA447" s="692"/>
      <c r="AB447" s="692"/>
      <c r="AC447" s="691" t="str">
        <f t="shared" si="45"/>
        <v/>
      </c>
      <c r="AD447" s="691"/>
      <c r="AE447" s="691"/>
      <c r="AF447" s="689"/>
      <c r="AG447" s="688"/>
      <c r="AH447" s="689"/>
      <c r="AI447" s="689"/>
      <c r="AJ447" s="691"/>
      <c r="AK447" s="691"/>
      <c r="AL447" s="691"/>
      <c r="AM447" s="691"/>
      <c r="AN447" s="693"/>
      <c r="AO447" s="692"/>
      <c r="AP447" s="692"/>
      <c r="AQ447" s="692">
        <f>+FL_2($U$448,$T$446,$G$447,1200,9.28,-1*$F$448)</f>
        <v>-0.3</v>
      </c>
      <c r="AR447" s="692"/>
      <c r="AS447" s="692"/>
      <c r="AT447" s="692"/>
      <c r="AU447" s="694"/>
      <c r="AV447" s="694"/>
      <c r="AW447" s="691" t="str">
        <f>IF(C447&gt;0,VLOOKUP(C447,Foundation_Calc!$A$2:$C$13,3,1),
IF(J447&gt;0,VLOOKUP(J447,Foundation_Calc!$A$2:$C$13,3,1),""))</f>
        <v>Multi Soil</v>
      </c>
      <c r="AX447" s="691" t="str">
        <f>IF(C447&gt;0,VLOOKUP(C447,Foundation_Calc!$E$2:$G$33,3,1),
IF(J447&gt;0,VLOOKUP(J447,Foundation_Calc!$E$2:$G$33,3,1),""))</f>
        <v>PT</v>
      </c>
      <c r="AY447" s="693" t="str">
        <f>IF(L447="","",
IF(AX447="PT",VLOOKUP(L447,Foundation_Calc!$K$79:$R$113,VLOOKUP(AW447,Foundation_Calc!$I$2:$J$8,2,FALSE),0),
IF(AX447="K",VLOOKUP(L447,Foundation_Calc!$K$117:$R$151,VLOOKUP(AW447,Foundation_Calc!$I$2:$J$8,2,FALSE),0),"")))</f>
        <v/>
      </c>
      <c r="AZ447" s="693">
        <f>IF(K447="","",
IF(AX447="PT",VLOOKUP(K447,Foundation_Calc!$K$79:$R$113,VLOOKUP(AW447,Foundation_Calc!$I$2:$J$8,2,FALSE),0),
IF(AX447="K",VLOOKUP(K447,Foundation_Calc!$K$117:$R$151,VLOOKUP(AW447,Foundation_Calc!$I$2:$J$8,2,FALSE),0),"")))</f>
        <v>2.8</v>
      </c>
      <c r="BA447" s="495" t="str">
        <f t="shared" si="52"/>
        <v/>
      </c>
      <c r="BB447" s="495" t="str">
        <f t="shared" si="53"/>
        <v>ü</v>
      </c>
      <c r="BC447" s="495" t="str">
        <f t="shared" si="54"/>
        <v/>
      </c>
      <c r="BD447" s="513" t="str">
        <f>IF(AND(L447="",H447=""),"",
IF(H447="",Pole_Calc!A$9,
IF(H447="MP",Pole_Calc!A$10,
IF(H447="AnMP",Pole_Calc!A$11,
IF(H447="A",Pole_Calc!A$12,
IF(H447="S/A",Pole_Calc!A$13,
IF(H447="A/S",Pole_Calc!A$14,"Poner a mano")))))))</f>
        <v/>
      </c>
      <c r="BE447" s="429" t="s">
        <v>118</v>
      </c>
      <c r="BF447" s="290"/>
      <c r="BG447" s="290"/>
      <c r="BH447" s="290"/>
      <c r="BI447" s="290"/>
    </row>
    <row r="448" spans="1:61" ht="15.75" customHeight="1">
      <c r="A448" s="514"/>
      <c r="B448" s="450" t="s">
        <v>437</v>
      </c>
      <c r="C448" s="3">
        <f>+$C$446+$G$447-0.9</f>
        <v>40741.659999999982</v>
      </c>
      <c r="D448" s="83"/>
      <c r="E448" s="4"/>
      <c r="F448" s="4">
        <f>-(323^2)/(C448-40837.68)</f>
        <v>1086.5340554049133</v>
      </c>
      <c r="G448" s="6"/>
      <c r="H448" s="449" t="s">
        <v>131</v>
      </c>
      <c r="I448" s="4"/>
      <c r="J448" s="3"/>
      <c r="K448" s="449"/>
      <c r="L448" s="449" t="s">
        <v>183</v>
      </c>
      <c r="M448" s="449" t="str">
        <f>IF(L448="","",
IF(AX448="PT",VLOOKUP(L448,Foundation_Calc!$V$79:$X$113,VLOOKUP(AX448,Foundation_Calc!$I$10:$J$13,2,FALSE),0),
IF(AX448="K",VLOOKUP(L448,Foundation_Calc!$V$117:$X$151,VLOOKUP(AX448,Foundation_Calc!$I$10:$J$13,2,FALSE),0),"")))</f>
        <v>2C3R</v>
      </c>
      <c r="N448" s="449" t="s">
        <v>133</v>
      </c>
      <c r="O448" s="449" t="s">
        <v>124</v>
      </c>
      <c r="P448" s="449"/>
      <c r="Q448" s="4"/>
      <c r="R448" s="6"/>
      <c r="S448" s="6"/>
      <c r="T448" s="4">
        <v>15</v>
      </c>
      <c r="U448" s="4">
        <v>-30</v>
      </c>
      <c r="V448" s="4"/>
      <c r="W448" s="9">
        <v>1.2</v>
      </c>
      <c r="X448" s="9">
        <v>1.8</v>
      </c>
      <c r="Y448" s="9"/>
      <c r="Z448" s="9">
        <v>0.4</v>
      </c>
      <c r="AA448" s="9"/>
      <c r="AB448" s="9"/>
      <c r="AC448" s="449"/>
      <c r="AD448" s="449"/>
      <c r="AE448" s="449"/>
      <c r="AF448" s="4"/>
      <c r="AG448" s="83"/>
      <c r="AH448" s="4"/>
      <c r="AI448" s="4"/>
      <c r="AJ448" s="449"/>
      <c r="AK448" s="449"/>
      <c r="AL448" s="449"/>
      <c r="AM448" s="449" t="s">
        <v>126</v>
      </c>
      <c r="AN448" s="10">
        <f>AN450-0.06</f>
        <v>5.44</v>
      </c>
      <c r="AO448" s="9"/>
      <c r="AP448" s="9"/>
      <c r="AQ448" s="9"/>
      <c r="AR448" s="9"/>
      <c r="AS448" s="9"/>
      <c r="AT448" s="9">
        <f>+ab($U$448,$T$446,$U$450,$G$447,$G$449,-1*$F$448,1200)</f>
        <v>-5.0976590312136256</v>
      </c>
      <c r="AU448" s="428"/>
      <c r="AV448" s="428"/>
      <c r="AW448" s="449" t="str">
        <f>IF(C448&gt;0,VLOOKUP(C448,Foundation_Calc!$A$2:$C$13,3,1),
IF(J448&gt;0,VLOOKUP(J448,Foundation_Calc!$A$2:$C$13,3,1),""))</f>
        <v>Multi Soil</v>
      </c>
      <c r="AX448" s="449" t="str">
        <f>IF(C448&gt;0,VLOOKUP(C448,Foundation_Calc!$E$2:$G$33,3,1),
IF(J448&gt;0,VLOOKUP(J448,Foundation_Calc!$E$2:$G$33,3,1),""))</f>
        <v>PT</v>
      </c>
      <c r="AY448" s="10">
        <f>IF(L448="","",
IF(AX448="PT",VLOOKUP(L448,Foundation_Calc!$K$79:$R$113,VLOOKUP(AW448,Foundation_Calc!$I$2:$J$8,2,FALSE),0),
IF(AX448="K",VLOOKUP(L448,Foundation_Calc!$K$117:$R$151,VLOOKUP(AW448,Foundation_Calc!$I$2:$J$8,2,FALSE),0),"")))</f>
        <v>3.7</v>
      </c>
      <c r="AZ448" s="10" t="str">
        <f>IF(K448="","",
IF(AX448="PT",VLOOKUP(K448,Foundation_Calc!$K$79:$R$113,VLOOKUP(AW448,Foundation_Calc!$I$2:$J$8,2,FALSE),0),
IF(AX448="K",VLOOKUP(K448,Foundation_Calc!$K$117:$R$151,VLOOKUP(AW448,Foundation_Calc!$I$2:$J$8,2,FALSE),0),"")))</f>
        <v/>
      </c>
      <c r="BA448" s="495" t="str">
        <f t="shared" si="52"/>
        <v>ü</v>
      </c>
      <c r="BB448" s="495" t="str">
        <f t="shared" si="53"/>
        <v/>
      </c>
      <c r="BC448" s="495" t="str">
        <f t="shared" si="54"/>
        <v/>
      </c>
      <c r="BD448" s="513" t="str">
        <f>IF(AND(L448="",H448=""),"",
IF(H448="",Pole_Calc!A$9,
IF(H448="MP",Pole_Calc!A$10,
IF(H448="AnMP",Pole_Calc!A$11,
IF(H448="A",Pole_Calc!A$12,
IF(H448="S/A",Pole_Calc!A$13,
IF(H448="A/S",Pole_Calc!A$14,"Poner a mano")))))))</f>
        <v>App.7-V11I-P9.5.1.5</v>
      </c>
      <c r="BE448" s="429" t="s">
        <v>118</v>
      </c>
      <c r="BF448" s="289"/>
      <c r="BG448" s="289"/>
      <c r="BH448" s="290"/>
      <c r="BI448" s="289"/>
    </row>
    <row r="449" spans="1:61" ht="15.75" customHeight="1">
      <c r="A449" s="514" t="s">
        <v>438</v>
      </c>
      <c r="B449" s="450"/>
      <c r="C449" s="3"/>
      <c r="D449" s="83"/>
      <c r="E449" s="4"/>
      <c r="F449" s="4"/>
      <c r="G449" s="6">
        <v>45</v>
      </c>
      <c r="H449" s="449"/>
      <c r="I449" s="4" t="s">
        <v>195</v>
      </c>
      <c r="J449" s="3">
        <f>C448+7.5</f>
        <v>40749.159999999982</v>
      </c>
      <c r="K449" s="449" t="s">
        <v>166</v>
      </c>
      <c r="L449" s="449"/>
      <c r="M449" s="449" t="str">
        <f>IF(L449="","",
IF(AX449="PT",VLOOKUP(L449,Foundation_Calc!$V$79:$X$113,VLOOKUP(AX449,Foundation_Calc!$I$10:$J$13,2,FALSE),0),
IF(AX449="K",VLOOKUP(L449,Foundation_Calc!$V$117:$X$151,VLOOKUP(AX449,Foundation_Calc!$I$10:$J$13,2,FALSE),0),"")))</f>
        <v/>
      </c>
      <c r="N449" s="449"/>
      <c r="O449" s="449"/>
      <c r="P449" s="449"/>
      <c r="Q449" s="4"/>
      <c r="R449" s="6"/>
      <c r="S449" s="6"/>
      <c r="T449" s="4"/>
      <c r="U449" s="4"/>
      <c r="V449" s="4"/>
      <c r="W449" s="9"/>
      <c r="X449" s="9"/>
      <c r="Y449" s="9"/>
      <c r="Z449" s="9"/>
      <c r="AA449" s="9"/>
      <c r="AB449" s="9"/>
      <c r="AC449" s="449" t="str">
        <f t="shared" si="45"/>
        <v/>
      </c>
      <c r="AD449" s="449"/>
      <c r="AE449" s="449"/>
      <c r="AF449" s="4"/>
      <c r="AG449" s="83"/>
      <c r="AH449" s="4"/>
      <c r="AI449" s="4"/>
      <c r="AJ449" s="449"/>
      <c r="AK449" s="449"/>
      <c r="AL449" s="449"/>
      <c r="AM449" s="449"/>
      <c r="AN449" s="10"/>
      <c r="AO449" s="9"/>
      <c r="AP449" s="9"/>
      <c r="AQ449" s="9">
        <f>+FL_2($T$450,$U$448,$G$449,1200,9.28,-1*$F$450)</f>
        <v>-0.30002490639734281</v>
      </c>
      <c r="AR449" s="9"/>
      <c r="AS449" s="9"/>
      <c r="AT449" s="9"/>
      <c r="AU449" s="428"/>
      <c r="AV449" s="428"/>
      <c r="AW449" s="449" t="str">
        <f>IF(C449&gt;0,VLOOKUP(C449,Foundation_Calc!$A$2:$C$13,3,1),
IF(J449&gt;0,VLOOKUP(J449,Foundation_Calc!$A$2:$C$13,3,1),""))</f>
        <v>Multi Soil</v>
      </c>
      <c r="AX449" s="449" t="str">
        <f>IF(C449&gt;0,VLOOKUP(C449,Foundation_Calc!$E$2:$G$33,3,1),
IF(J449&gt;0,VLOOKUP(J449,Foundation_Calc!$E$2:$G$33,3,1),""))</f>
        <v>PT</v>
      </c>
      <c r="AY449" s="10" t="str">
        <f>IF(L449="","",
IF(AX449="PT",VLOOKUP(L449,Foundation_Calc!$K$79:$R$113,VLOOKUP(AW449,Foundation_Calc!$I$2:$J$8,2,FALSE),0),
IF(AX449="K",VLOOKUP(L449,Foundation_Calc!$K$117:$R$151,VLOOKUP(AW449,Foundation_Calc!$I$2:$J$8,2,FALSE),0),"")))</f>
        <v/>
      </c>
      <c r="AZ449" s="10">
        <f>IF(K449="","",
IF(AX449="PT",VLOOKUP(K449,Foundation_Calc!$K$79:$R$113,VLOOKUP(AW449,Foundation_Calc!$I$2:$J$8,2,FALSE),0),
IF(AX449="K",VLOOKUP(K449,Foundation_Calc!$K$117:$R$151,VLOOKUP(AW449,Foundation_Calc!$I$2:$J$8,2,FALSE),0),"")))</f>
        <v>2.8</v>
      </c>
      <c r="BA449" s="495"/>
      <c r="BB449" s="495"/>
      <c r="BC449" s="495"/>
      <c r="BD449" s="513" t="str">
        <f>IF(AND(L449="",H449=""),"",
IF(H449="",Pole_Calc!A$9,
IF(H449="MP",Pole_Calc!A$10,
IF(H449="AnMP",Pole_Calc!A$11,
IF(H449="A",Pole_Calc!A$12,
IF(H449="S/A",Pole_Calc!A$13,
IF(H449="A/S",Pole_Calc!A$14,"Poner a mano")))))))</f>
        <v/>
      </c>
      <c r="BE449" s="429" t="s">
        <v>118</v>
      </c>
      <c r="BF449" s="290"/>
      <c r="BG449" s="290"/>
      <c r="BH449" s="290"/>
      <c r="BI449" s="290"/>
    </row>
    <row r="450" spans="1:61" ht="15.75" customHeight="1">
      <c r="A450" s="721" t="s">
        <v>439</v>
      </c>
      <c r="B450" s="722" t="s">
        <v>440</v>
      </c>
      <c r="C450" s="723">
        <f>+$C$448+$G$449</f>
        <v>40786.659999999982</v>
      </c>
      <c r="D450" s="724"/>
      <c r="E450" s="725"/>
      <c r="F450" s="725">
        <f>-(323^2)/(C450-40837.68)</f>
        <v>2044.8647589173247</v>
      </c>
      <c r="G450" s="726"/>
      <c r="H450" s="727" t="s">
        <v>131</v>
      </c>
      <c r="I450" s="725" t="s">
        <v>132</v>
      </c>
      <c r="J450" s="723"/>
      <c r="K450" s="727"/>
      <c r="L450" s="727" t="s">
        <v>232</v>
      </c>
      <c r="M450" s="727" t="str">
        <f>IF(L450="","",
IF(AX450="PT",VLOOKUP(L450,Foundation_Calc!$V$79:$X$113,VLOOKUP(AX450,Foundation_Calc!$I$10:$J$13,2,FALSE),0),
IF(AX450="K",VLOOKUP(L450,Foundation_Calc!$V$117:$X$151,VLOOKUP(AX450,Foundation_Calc!$I$10:$J$13,2,FALSE),0),"")))</f>
        <v>C5R</v>
      </c>
      <c r="N450" s="727" t="s">
        <v>134</v>
      </c>
      <c r="O450" s="727" t="s">
        <v>133</v>
      </c>
      <c r="P450" s="727"/>
      <c r="Q450" s="725"/>
      <c r="R450" s="726"/>
      <c r="S450" s="726"/>
      <c r="T450" s="725">
        <v>10</v>
      </c>
      <c r="U450" s="725">
        <v>-35</v>
      </c>
      <c r="V450" s="725"/>
      <c r="W450" s="728">
        <v>1.4</v>
      </c>
      <c r="X450" s="728">
        <v>2</v>
      </c>
      <c r="Y450" s="728"/>
      <c r="Z450" s="728"/>
      <c r="AA450" s="728">
        <v>0.4</v>
      </c>
      <c r="AB450" s="728"/>
      <c r="AC450" s="727" t="str">
        <f t="shared" si="45"/>
        <v>PH</v>
      </c>
      <c r="AD450" s="727"/>
      <c r="AE450" s="727"/>
      <c r="AF450" s="725"/>
      <c r="AG450" s="724"/>
      <c r="AH450" s="725"/>
      <c r="AI450" s="725"/>
      <c r="AJ450" s="727" t="s">
        <v>441</v>
      </c>
      <c r="AK450" s="727"/>
      <c r="AL450" s="727" t="s">
        <v>241</v>
      </c>
      <c r="AM450" s="727" t="s">
        <v>126</v>
      </c>
      <c r="AN450" s="729">
        <v>5.5</v>
      </c>
      <c r="AO450" s="728"/>
      <c r="AP450" s="728"/>
      <c r="AQ450" s="728"/>
      <c r="AR450" s="728"/>
      <c r="AS450" s="728"/>
      <c r="AT450" s="728">
        <f>+ab($T$450,$T$448,$T$452,$G$449,$G$451,-1*$F$450,1200)</f>
        <v>-15.72525482096365</v>
      </c>
      <c r="AU450" s="730"/>
      <c r="AV450" s="730"/>
      <c r="AW450" s="727" t="str">
        <f>IF(C450&gt;0,VLOOKUP(C450,Foundation_Calc!$A$2:$C$13,3,1),
IF(J450&gt;0,VLOOKUP(J450,Foundation_Calc!$A$2:$C$13,3,1),""))</f>
        <v>Multi Soil</v>
      </c>
      <c r="AX450" s="727" t="str">
        <f>IF(C450&gt;0,VLOOKUP(C450,Foundation_Calc!$E$2:$G$33,3,1),
IF(J450&gt;0,VLOOKUP(J450,Foundation_Calc!$E$2:$G$33,3,1),""))</f>
        <v>PT</v>
      </c>
      <c r="AY450" s="729">
        <f>IF(L450="","",
IF(AX450="PT",VLOOKUP(L450,Foundation_Calc!$K$79:$R$113,VLOOKUP(AW450,Foundation_Calc!$I$2:$J$8,2,FALSE),0),
IF(AX450="K",VLOOKUP(L450,Foundation_Calc!$K$117:$R$151,VLOOKUP(AW450,Foundation_Calc!$I$2:$J$8,2,FALSE),0),"")))</f>
        <v>3.5</v>
      </c>
      <c r="AZ450" s="729" t="str">
        <f>IF(K450="","",
IF(AX450="PT",VLOOKUP(K450,Foundation_Calc!$K$79:$R$113,VLOOKUP(AW450,Foundation_Calc!$I$2:$J$8,2,FALSE),0),
IF(AX450="K",VLOOKUP(K450,Foundation_Calc!$K$117:$R$151,VLOOKUP(AW450,Foundation_Calc!$I$2:$J$8,2,FALSE),0),"")))</f>
        <v/>
      </c>
      <c r="BA450" s="495"/>
      <c r="BB450" s="495"/>
      <c r="BC450" s="495"/>
      <c r="BD450" s="513" t="str">
        <f>Pole_Calc!A$251</f>
        <v>App.8-V08H-P10.3</v>
      </c>
      <c r="BE450" s="429" t="s">
        <v>118</v>
      </c>
      <c r="BF450" s="289"/>
      <c r="BG450" s="289"/>
      <c r="BH450" s="290"/>
      <c r="BI450" s="289"/>
    </row>
    <row r="451" spans="1:61" ht="15.75" customHeight="1">
      <c r="A451" s="517" t="s">
        <v>442</v>
      </c>
      <c r="B451" s="450"/>
      <c r="C451" s="3"/>
      <c r="D451" s="83"/>
      <c r="E451" s="4"/>
      <c r="F451" s="4"/>
      <c r="G451" s="6">
        <v>40</v>
      </c>
      <c r="H451" s="449"/>
      <c r="I451" s="4"/>
      <c r="J451" s="3"/>
      <c r="K451" s="449"/>
      <c r="L451" s="449"/>
      <c r="M451" s="449" t="str">
        <f>IF(L451="","",
IF(AX451="PT",VLOOKUP(L451,Foundation_Calc!$V$79:$X$113,VLOOKUP(AX451,Foundation_Calc!$I$10:$J$13,2,FALSE),0),
IF(AX451="K",VLOOKUP(L451,Foundation_Calc!$V$117:$X$151,VLOOKUP(AX451,Foundation_Calc!$I$10:$J$13,2,FALSE),0),"")))</f>
        <v/>
      </c>
      <c r="N451" s="449"/>
      <c r="O451" s="449"/>
      <c r="P451" s="449"/>
      <c r="Q451" s="4"/>
      <c r="R451" s="6"/>
      <c r="S451" s="6"/>
      <c r="T451" s="4"/>
      <c r="U451" s="4"/>
      <c r="V451" s="4"/>
      <c r="W451" s="9"/>
      <c r="X451" s="9"/>
      <c r="Y451" s="9"/>
      <c r="Z451" s="9"/>
      <c r="AA451" s="9"/>
      <c r="AB451" s="9"/>
      <c r="AC451" s="449" t="str">
        <f t="shared" ref="AC451:AC514" si="55">IF(OR(AT451&gt;8,AT451&lt;-8),"PH",
IF(OR(AT451&gt;5,AT451&lt;-5),"PHQ",
IF(OR(AT451&gt;1,AT451&lt;-1),
"PHC","")))</f>
        <v/>
      </c>
      <c r="AD451" s="449"/>
      <c r="AE451" s="449"/>
      <c r="AF451" s="4"/>
      <c r="AG451" s="83"/>
      <c r="AH451" s="4"/>
      <c r="AI451" s="4"/>
      <c r="AJ451" s="449"/>
      <c r="AK451" s="449"/>
      <c r="AL451" s="449"/>
      <c r="AM451" s="449"/>
      <c r="AN451" s="10"/>
      <c r="AO451" s="9"/>
      <c r="AP451" s="9"/>
      <c r="AQ451" s="9">
        <f>+FL_2($T$452,$T$450,$G$451,1200,9.28,-1*$F$452)</f>
        <v>-0.30842444371695177</v>
      </c>
      <c r="AR451" s="9"/>
      <c r="AS451" s="9"/>
      <c r="AT451" s="9"/>
      <c r="AU451" s="428"/>
      <c r="AV451" s="428"/>
      <c r="AW451" s="449" t="str">
        <f>IF(C451&gt;0,VLOOKUP(C451,Foundation_Calc!$A$2:$C$13,3,1),
IF(J451&gt;0,VLOOKUP(J451,Foundation_Calc!$A$2:$C$13,3,1),""))</f>
        <v/>
      </c>
      <c r="AX451" s="449" t="str">
        <f>IF(C451&gt;0,VLOOKUP(C451,Foundation_Calc!$E$2:$G$33,3,1),
IF(J451&gt;0,VLOOKUP(J451,Foundation_Calc!$E$2:$G$33,3,1),""))</f>
        <v/>
      </c>
      <c r="AY451" s="10" t="str">
        <f>IF(L451="","",
IF(AX451="PT",VLOOKUP(L451,Foundation_Calc!$K$79:$R$113,VLOOKUP(AW451,Foundation_Calc!$I$2:$J$8,2,FALSE),0),
IF(AX451="K",VLOOKUP(L451,Foundation_Calc!$K$117:$R$151,VLOOKUP(AW451,Foundation_Calc!$I$2:$J$8,2,FALSE),0),"")))</f>
        <v/>
      </c>
      <c r="AZ451" s="10" t="str">
        <f>IF(K451="","",
IF(AX451="PT",VLOOKUP(K451,Foundation_Calc!$K$79:$R$113,VLOOKUP(AW451,Foundation_Calc!$I$2:$J$8,2,FALSE),0),
IF(AX451="K",VLOOKUP(K451,Foundation_Calc!$K$117:$R$151,VLOOKUP(AW451,Foundation_Calc!$I$2:$J$8,2,FALSE),0),"")))</f>
        <v/>
      </c>
      <c r="BA451" s="495"/>
      <c r="BB451" s="495"/>
      <c r="BC451" s="495"/>
      <c r="BD451" s="513" t="str">
        <f>IF(AND(L451="",H451=""),"",
IF(H451="",Pole_Calc!A$9,
IF(H451="MP",Pole_Calc!A$10,
IF(H451="AnMP",Pole_Calc!A$11,
IF(H451="A",Pole_Calc!A$12,
IF(H451="S/A",Pole_Calc!A$13,
IF(H451="A/S",Pole_Calc!A$14,"Poner a mano")))))))</f>
        <v/>
      </c>
      <c r="BE451" s="429" t="s">
        <v>118</v>
      </c>
      <c r="BF451" s="290"/>
      <c r="BG451" s="290"/>
      <c r="BH451" s="290"/>
      <c r="BI451" s="290"/>
    </row>
    <row r="452" spans="1:61" ht="15.75" customHeight="1">
      <c r="A452" s="517" t="s">
        <v>442</v>
      </c>
      <c r="B452" s="450" t="s">
        <v>443</v>
      </c>
      <c r="C452" s="3">
        <f>+$C$450+$G$451</f>
        <v>40826.659999999982</v>
      </c>
      <c r="D452" s="83"/>
      <c r="E452" s="4"/>
      <c r="F452" s="4">
        <f>-(323^2)/(C452-40837.68)</f>
        <v>9467.2413792943426</v>
      </c>
      <c r="G452" s="6"/>
      <c r="H452" s="449" t="s">
        <v>121</v>
      </c>
      <c r="I452" s="4" t="s">
        <v>122</v>
      </c>
      <c r="J452" s="3"/>
      <c r="K452" s="449"/>
      <c r="L452" s="449" t="s">
        <v>232</v>
      </c>
      <c r="M452" s="449" t="str">
        <f>IF(L452="","",
IF(AX452="PT",VLOOKUP(L452,Foundation_Calc!$V$79:$X$113,VLOOKUP(AX452,Foundation_Calc!$I$10:$J$13,2,FALSE),0),
IF(AX452="K",VLOOKUP(L452,Foundation_Calc!$V$117:$X$151,VLOOKUP(AX452,Foundation_Calc!$I$10:$J$13,2,FALSE),0),"")))</f>
        <v>C5R</v>
      </c>
      <c r="N452" s="449" t="s">
        <v>124</v>
      </c>
      <c r="O452" s="449"/>
      <c r="P452" s="449"/>
      <c r="Q452" s="4"/>
      <c r="R452" s="6"/>
      <c r="S452" s="6"/>
      <c r="T452" s="4">
        <v>-30</v>
      </c>
      <c r="U452" s="4"/>
      <c r="V452" s="4"/>
      <c r="W452" s="9">
        <v>1.4</v>
      </c>
      <c r="X452" s="9"/>
      <c r="Y452" s="9"/>
      <c r="Z452" s="9"/>
      <c r="AA452" s="9"/>
      <c r="AB452" s="9"/>
      <c r="AC452" s="449" t="str">
        <f t="shared" si="55"/>
        <v>PHQ</v>
      </c>
      <c r="AD452" s="449"/>
      <c r="AE452" s="449"/>
      <c r="AF452" s="4"/>
      <c r="AG452" s="83"/>
      <c r="AH452" s="4"/>
      <c r="AI452" s="4"/>
      <c r="AJ452" s="449"/>
      <c r="AK452" s="449"/>
      <c r="AL452" s="449" t="s">
        <v>241</v>
      </c>
      <c r="AM452" s="449" t="s">
        <v>126</v>
      </c>
      <c r="AN452" s="10">
        <v>5.5</v>
      </c>
      <c r="AO452" s="9"/>
      <c r="AP452" s="9"/>
      <c r="AQ452" s="9"/>
      <c r="AR452" s="9"/>
      <c r="AS452" s="9"/>
      <c r="AT452" s="9">
        <f>+ab($T$452,$T$450,$T$454,$G$451,$G$453,-1*$F$452,1200)</f>
        <v>-6.5375042346833325</v>
      </c>
      <c r="AU452" s="428"/>
      <c r="AV452" s="428"/>
      <c r="AW452" s="449" t="str">
        <f>IF(C452&gt;0,VLOOKUP(C452,Foundation_Calc!$A$2:$C$13,3,1),
IF(J452&gt;0,VLOOKUP(J452,Foundation_Calc!$A$2:$C$13,3,1),""))</f>
        <v>Multi Soil</v>
      </c>
      <c r="AX452" s="449" t="str">
        <f>IF(C452&gt;0,VLOOKUP(C452,Foundation_Calc!$E$2:$G$33,3,1),
IF(J452&gt;0,VLOOKUP(J452,Foundation_Calc!$E$2:$G$33,3,1),""))</f>
        <v>PT</v>
      </c>
      <c r="AY452" s="10">
        <f>IF(L452="","",
IF(AX452="PT",VLOOKUP(L452,Foundation_Calc!$K$79:$R$113,VLOOKUP(AW452,Foundation_Calc!$I$2:$J$8,2,FALSE),0),
IF(AX452="K",VLOOKUP(L452,Foundation_Calc!$K$117:$R$151,VLOOKUP(AW452,Foundation_Calc!$I$2:$J$8,2,FALSE),0),"")))</f>
        <v>3.5</v>
      </c>
      <c r="AZ452" s="10" t="str">
        <f>IF(K452="","",
IF(AX452="PT",VLOOKUP(K452,Foundation_Calc!$K$79:$R$113,VLOOKUP(AW452,Foundation_Calc!$I$2:$J$8,2,FALSE),0),
IF(AX452="K",VLOOKUP(K452,Foundation_Calc!$K$117:$R$151,VLOOKUP(AW452,Foundation_Calc!$I$2:$J$8,2,FALSE),0),"")))</f>
        <v/>
      </c>
      <c r="BA452" s="495"/>
      <c r="BB452" s="495"/>
      <c r="BC452" s="495"/>
      <c r="BD452" s="513" t="str">
        <f>Pole_Calc!A$251</f>
        <v>App.8-V08H-P10.3</v>
      </c>
      <c r="BE452" s="429" t="s">
        <v>118</v>
      </c>
      <c r="BF452" s="289"/>
      <c r="BG452" s="289"/>
      <c r="BH452" s="290"/>
      <c r="BI452" s="289"/>
    </row>
    <row r="453" spans="1:61" ht="15.75" customHeight="1">
      <c r="A453" s="517" t="s">
        <v>442</v>
      </c>
      <c r="B453" s="450"/>
      <c r="C453" s="3"/>
      <c r="D453" s="83"/>
      <c r="E453" s="4"/>
      <c r="F453" s="4"/>
      <c r="G453" s="6">
        <v>40</v>
      </c>
      <c r="H453" s="449"/>
      <c r="I453" s="4"/>
      <c r="J453" s="3">
        <f>C452+7.5</f>
        <v>40834.159999999982</v>
      </c>
      <c r="K453" s="449" t="s">
        <v>117</v>
      </c>
      <c r="L453" s="449"/>
      <c r="M453" s="449" t="str">
        <f>IF(L453="","",
IF(AX453="PT",VLOOKUP(L453,Foundation_Calc!$V$79:$X$113,VLOOKUP(AX453,Foundation_Calc!$I$10:$J$13,2,FALSE),0),
IF(AX453="K",VLOOKUP(L453,Foundation_Calc!$V$117:$X$151,VLOOKUP(AX453,Foundation_Calc!$I$10:$J$13,2,FALSE),0),"")))</f>
        <v/>
      </c>
      <c r="N453" s="449"/>
      <c r="O453" s="449"/>
      <c r="P453" s="449"/>
      <c r="Q453" s="4"/>
      <c r="R453" s="6"/>
      <c r="S453" s="6"/>
      <c r="T453" s="4"/>
      <c r="U453" s="4"/>
      <c r="V453" s="4"/>
      <c r="W453" s="9"/>
      <c r="X453" s="9"/>
      <c r="Y453" s="9"/>
      <c r="Z453" s="9"/>
      <c r="AA453" s="9"/>
      <c r="AB453" s="9"/>
      <c r="AC453" s="449" t="str">
        <f t="shared" si="55"/>
        <v/>
      </c>
      <c r="AD453" s="449"/>
      <c r="AE453" s="449"/>
      <c r="AF453" s="4"/>
      <c r="AG453" s="83"/>
      <c r="AH453" s="4"/>
      <c r="AI453" s="4"/>
      <c r="AJ453" s="449"/>
      <c r="AK453" s="449"/>
      <c r="AL453" s="449"/>
      <c r="AM453" s="449"/>
      <c r="AN453" s="10"/>
      <c r="AO453" s="9"/>
      <c r="AP453" s="9"/>
      <c r="AQ453" s="9">
        <f>+FL_1($T$454,$T$452,$G$453,1200,9.28,-1*$F$454)</f>
        <v>0.30014079999999999</v>
      </c>
      <c r="AR453" s="9"/>
      <c r="AS453" s="9"/>
      <c r="AT453" s="9"/>
      <c r="AU453" s="428"/>
      <c r="AV453" s="428"/>
      <c r="AW453" s="449" t="str">
        <f>IF(C453&gt;0,VLOOKUP(C453,Foundation_Calc!$A$2:$C$13,3,1),
IF(J453&gt;0,VLOOKUP(J453,Foundation_Calc!$A$2:$C$13,3,1),""))</f>
        <v>Multi Soil</v>
      </c>
      <c r="AX453" s="449" t="str">
        <f>IF(C453&gt;0,VLOOKUP(C453,Foundation_Calc!$E$2:$G$33,3,1),
IF(J453&gt;0,VLOOKUP(J453,Foundation_Calc!$E$2:$G$33,3,1),""))</f>
        <v>PT</v>
      </c>
      <c r="AY453" s="10" t="str">
        <f>IF(L453="","",
IF(AX453="PT",VLOOKUP(L453,Foundation_Calc!$K$79:$R$113,VLOOKUP(AW453,Foundation_Calc!$I$2:$J$8,2,FALSE),0),
IF(AX453="K",VLOOKUP(L453,Foundation_Calc!$K$117:$R$151,VLOOKUP(AW453,Foundation_Calc!$I$2:$J$8,2,FALSE),0),"")))</f>
        <v/>
      </c>
      <c r="AZ453" s="10">
        <f>IF(K453="","",
IF(AX453="PT",VLOOKUP(K453,Foundation_Calc!$K$79:$R$113,VLOOKUP(AW453,Foundation_Calc!$I$2:$J$8,2,FALSE),0),
IF(AX453="K",VLOOKUP(K453,Foundation_Calc!$K$117:$R$151,VLOOKUP(AW453,Foundation_Calc!$I$2:$J$8,2,FALSE),0),"")))</f>
        <v>3.9</v>
      </c>
      <c r="BA453" s="495"/>
      <c r="BB453" s="495"/>
      <c r="BC453" s="495"/>
      <c r="BD453" s="513" t="str">
        <f>IF(AND(L453="",H453=""),"",
IF(H453="",Pole_Calc!A$9,
IF(H453="MP",Pole_Calc!A$10,
IF(H453="AnMP",Pole_Calc!A$11,
IF(H453="A",Pole_Calc!A$12,
IF(H453="S/A",Pole_Calc!A$13,
IF(H453="A/S",Pole_Calc!A$14,"Poner a mano")))))))</f>
        <v/>
      </c>
      <c r="BE453" s="429" t="s">
        <v>118</v>
      </c>
      <c r="BF453" s="290"/>
      <c r="BG453" s="290"/>
      <c r="BH453" s="290"/>
      <c r="BI453" s="290"/>
    </row>
    <row r="454" spans="1:61" ht="15.75" customHeight="1">
      <c r="A454" s="517" t="s">
        <v>442</v>
      </c>
      <c r="B454" s="450" t="s">
        <v>444</v>
      </c>
      <c r="C454" s="3">
        <f>+$C$452+$G$453-0.02</f>
        <v>40866.639999999985</v>
      </c>
      <c r="D454" s="83"/>
      <c r="E454" s="4"/>
      <c r="F454" s="4">
        <f>IF(C454&gt;0,VLOOKUP(C454,'ALIGNMENT TRACK'!$A$1:$K$81,9,1))</f>
        <v>0</v>
      </c>
      <c r="G454" s="6"/>
      <c r="H454" s="449"/>
      <c r="I454" s="4"/>
      <c r="J454" s="3"/>
      <c r="K454" s="449"/>
      <c r="L454" s="449" t="s">
        <v>268</v>
      </c>
      <c r="M454" s="449" t="str">
        <f>IF(L454="","",
IF(AX454="PT",VLOOKUP(L454,Foundation_Calc!$V$79:$X$113,VLOOKUP(AX454,Foundation_Calc!$I$10:$J$13,2,FALSE),0),
IF(AX454="K",VLOOKUP(L454,Foundation_Calc!$V$117:$X$151,VLOOKUP(AX454,Foundation_Calc!$I$10:$J$13,2,FALSE),0),"")))</f>
        <v>C7R</v>
      </c>
      <c r="N454" s="449" t="s">
        <v>134</v>
      </c>
      <c r="O454" s="449"/>
      <c r="P454" s="449"/>
      <c r="Q454" s="4"/>
      <c r="R454" s="6"/>
      <c r="S454" s="6"/>
      <c r="T454" s="4">
        <v>30</v>
      </c>
      <c r="U454" s="4"/>
      <c r="V454" s="4"/>
      <c r="W454" s="9">
        <v>1.4</v>
      </c>
      <c r="X454" s="9"/>
      <c r="Y454" s="9"/>
      <c r="Z454" s="9"/>
      <c r="AA454" s="9"/>
      <c r="AB454" s="9"/>
      <c r="AC454" s="449" t="str">
        <f t="shared" si="55"/>
        <v>PHQ</v>
      </c>
      <c r="AD454" s="449"/>
      <c r="AE454" s="449"/>
      <c r="AF454" s="4"/>
      <c r="AG454" s="83"/>
      <c r="AH454" s="4"/>
      <c r="AI454" s="4"/>
      <c r="AJ454" s="449"/>
      <c r="AK454" s="449"/>
      <c r="AL454" s="449" t="s">
        <v>269</v>
      </c>
      <c r="AM454" s="449" t="s">
        <v>126</v>
      </c>
      <c r="AN454" s="10">
        <v>5.5</v>
      </c>
      <c r="AO454" s="9"/>
      <c r="AP454" s="9"/>
      <c r="AQ454" s="9"/>
      <c r="AR454" s="9"/>
      <c r="AS454" s="9"/>
      <c r="AT454" s="9">
        <f>+ab($T$454,$T$452,$T$456,$G$453,$G$455,-1*$F$454,1200)</f>
        <v>6.2162970351224835</v>
      </c>
      <c r="AU454" s="428"/>
      <c r="AV454" s="428"/>
      <c r="AW454" s="449" t="str">
        <f>IF(C454&gt;0,VLOOKUP(C454,Foundation_Calc!$A$2:$C$13,3,1),
IF(J454&gt;0,VLOOKUP(J454,Foundation_Calc!$A$2:$C$13,3,1),""))</f>
        <v>Multi Soil</v>
      </c>
      <c r="AX454" s="449" t="str">
        <f>IF(C454&gt;0,VLOOKUP(C454,Foundation_Calc!$E$2:$G$33,3,1),
IF(J454&gt;0,VLOOKUP(J454,Foundation_Calc!$E$2:$G$33,3,1),""))</f>
        <v>PT</v>
      </c>
      <c r="AY454" s="10">
        <f>IF(L454="","",
IF(AX454="PT",VLOOKUP(L454,Foundation_Calc!$K$79:$R$113,VLOOKUP(AW454,Foundation_Calc!$I$2:$J$8,2,FALSE),0),
IF(AX454="K",VLOOKUP(L454,Foundation_Calc!$K$117:$R$151,VLOOKUP(AW454,Foundation_Calc!$I$2:$J$8,2,FALSE),0),"")))</f>
        <v>4</v>
      </c>
      <c r="AZ454" s="10" t="str">
        <f>IF(K454="","",
IF(AX454="PT",VLOOKUP(K454,Foundation_Calc!$K$79:$R$113,VLOOKUP(AW454,Foundation_Calc!$I$2:$J$8,2,FALSE),0),
IF(AX454="K",VLOOKUP(K454,Foundation_Calc!$K$117:$R$151,VLOOKUP(AW454,Foundation_Calc!$I$2:$J$8,2,FALSE),0),"")))</f>
        <v/>
      </c>
      <c r="BA454" s="495"/>
      <c r="BB454" s="495"/>
      <c r="BC454" s="495"/>
      <c r="BD454" s="513" t="str">
        <f>Pole_Calc!A$251</f>
        <v>App.8-V08H-P10.3</v>
      </c>
      <c r="BE454" s="429" t="s">
        <v>118</v>
      </c>
      <c r="BF454" s="289"/>
      <c r="BG454" s="289"/>
      <c r="BH454" s="290"/>
      <c r="BI454" s="289"/>
    </row>
    <row r="455" spans="1:61" ht="15.75" customHeight="1">
      <c r="A455" s="517" t="s">
        <v>442</v>
      </c>
      <c r="B455" s="450"/>
      <c r="C455" s="3"/>
      <c r="D455" s="83"/>
      <c r="E455" s="4"/>
      <c r="F455" s="4"/>
      <c r="G455" s="6">
        <v>38.1</v>
      </c>
      <c r="H455" s="449"/>
      <c r="I455" s="4"/>
      <c r="J455" s="3"/>
      <c r="K455" s="449"/>
      <c r="L455" s="449"/>
      <c r="M455" s="449" t="str">
        <f>IF(L455="","",
IF(AX455="PT",VLOOKUP(L455,Foundation_Calc!$V$79:$X$113,VLOOKUP(AX455,Foundation_Calc!$I$10:$J$13,2,FALSE),0),
IF(AX455="K",VLOOKUP(L455,Foundation_Calc!$V$117:$X$151,VLOOKUP(AX455,Foundation_Calc!$I$10:$J$13,2,FALSE),0),"")))</f>
        <v/>
      </c>
      <c r="N455" s="449"/>
      <c r="O455" s="449"/>
      <c r="P455" s="449"/>
      <c r="Q455" s="4"/>
      <c r="R455" s="6"/>
      <c r="S455" s="6"/>
      <c r="T455" s="4"/>
      <c r="U455" s="4"/>
      <c r="V455" s="4"/>
      <c r="W455" s="9"/>
      <c r="X455" s="9"/>
      <c r="Y455" s="9"/>
      <c r="Z455" s="9"/>
      <c r="AA455" s="9"/>
      <c r="AB455" s="9"/>
      <c r="AC455" s="449" t="str">
        <f t="shared" si="55"/>
        <v/>
      </c>
      <c r="AD455" s="449"/>
      <c r="AE455" s="449"/>
      <c r="AF455" s="4"/>
      <c r="AG455" s="83"/>
      <c r="AH455" s="4"/>
      <c r="AI455" s="4"/>
      <c r="AJ455" s="449"/>
      <c r="AK455" s="449"/>
      <c r="AL455" s="449"/>
      <c r="AM455" s="449"/>
      <c r="AN455" s="10"/>
      <c r="AO455" s="9"/>
      <c r="AP455" s="9"/>
      <c r="AQ455" s="9">
        <f>+FL_1($T$456,$T$454,$G$455,1200,9.28,-1*$F$456)</f>
        <v>0.30000000000000093</v>
      </c>
      <c r="AR455" s="9"/>
      <c r="AS455" s="9"/>
      <c r="AT455" s="9"/>
      <c r="AU455" s="428"/>
      <c r="AV455" s="428"/>
      <c r="AW455" s="449" t="str">
        <f>IF(C455&gt;0,VLOOKUP(C455,Foundation_Calc!$A$2:$C$13,3,1),
IF(J455&gt;0,VLOOKUP(J455,Foundation_Calc!$A$2:$C$13,3,1),""))</f>
        <v/>
      </c>
      <c r="AX455" s="449" t="str">
        <f>IF(C455&gt;0,VLOOKUP(C455,Foundation_Calc!$E$2:$G$33,3,1),
IF(J455&gt;0,VLOOKUP(J455,Foundation_Calc!$E$2:$G$33,3,1),""))</f>
        <v/>
      </c>
      <c r="AY455" s="10" t="str">
        <f>IF(L455="","",
IF(AX455="PT",VLOOKUP(L455,Foundation_Calc!$K$79:$R$113,VLOOKUP(AW455,Foundation_Calc!$I$2:$J$8,2,FALSE),0),
IF(AX455="K",VLOOKUP(L455,Foundation_Calc!$K$117:$R$151,VLOOKUP(AW455,Foundation_Calc!$I$2:$J$8,2,FALSE),0),"")))</f>
        <v/>
      </c>
      <c r="AZ455" s="10" t="str">
        <f>IF(K455="","",
IF(AX455="PT",VLOOKUP(K455,Foundation_Calc!$K$79:$R$113,VLOOKUP(AW455,Foundation_Calc!$I$2:$J$8,2,FALSE),0),
IF(AX455="K",VLOOKUP(K455,Foundation_Calc!$K$117:$R$151,VLOOKUP(AW455,Foundation_Calc!$I$2:$J$8,2,FALSE),0),"")))</f>
        <v/>
      </c>
      <c r="BA455" s="495"/>
      <c r="BB455" s="495"/>
      <c r="BC455" s="495"/>
      <c r="BD455" s="513" t="str">
        <f>IF(AND(L455="",H455=""),"",
IF(H455="",Pole_Calc!A$9,
IF(H455="MP",Pole_Calc!A$10,
IF(H455="AnMP",Pole_Calc!A$11,
IF(H455="A",Pole_Calc!A$12,
IF(H455="S/A",Pole_Calc!A$13,
IF(H455="A/S",Pole_Calc!A$14,"Poner a mano")))))))</f>
        <v/>
      </c>
      <c r="BE455" s="429" t="s">
        <v>118</v>
      </c>
      <c r="BF455" s="290"/>
      <c r="BG455" s="290"/>
      <c r="BH455" s="290"/>
      <c r="BI455" s="290"/>
    </row>
    <row r="456" spans="1:61" ht="15.75" customHeight="1">
      <c r="A456" s="721" t="s">
        <v>445</v>
      </c>
      <c r="B456" s="722" t="s">
        <v>446</v>
      </c>
      <c r="C456" s="723">
        <f>+$C$454+$G$455</f>
        <v>40904.739999999983</v>
      </c>
      <c r="D456" s="724"/>
      <c r="E456" s="725"/>
      <c r="F456" s="725">
        <f>IF(C456&gt;0,VLOOKUP(C456,'ALIGNMENT TRACK'!$A$1:$K$81,9,1))</f>
        <v>0</v>
      </c>
      <c r="G456" s="726"/>
      <c r="H456" s="727"/>
      <c r="I456" s="725"/>
      <c r="J456" s="723"/>
      <c r="K456" s="727"/>
      <c r="L456" s="727" t="s">
        <v>232</v>
      </c>
      <c r="M456" s="727" t="str">
        <f>IF(L456="","",
IF(AX456="PT",VLOOKUP(L456,Foundation_Calc!$V$79:$X$113,VLOOKUP(AX456,Foundation_Calc!$I$10:$J$13,2,FALSE),0),
IF(AX456="K",VLOOKUP(L456,Foundation_Calc!$V$117:$X$151,VLOOKUP(AX456,Foundation_Calc!$I$10:$J$13,2,FALSE),0),"")))</f>
        <v>C5R</v>
      </c>
      <c r="N456" s="727" t="s">
        <v>124</v>
      </c>
      <c r="O456" s="727"/>
      <c r="P456" s="727"/>
      <c r="Q456" s="725"/>
      <c r="R456" s="726"/>
      <c r="S456" s="726"/>
      <c r="T456" s="725">
        <v>-30</v>
      </c>
      <c r="U456" s="725"/>
      <c r="V456" s="725"/>
      <c r="W456" s="728">
        <v>1.4</v>
      </c>
      <c r="X456" s="728"/>
      <c r="Y456" s="728"/>
      <c r="Z456" s="728"/>
      <c r="AA456" s="728"/>
      <c r="AB456" s="728"/>
      <c r="AC456" s="727" t="str">
        <f t="shared" si="55"/>
        <v>PHQ</v>
      </c>
      <c r="AD456" s="727"/>
      <c r="AE456" s="727"/>
      <c r="AF456" s="725"/>
      <c r="AG456" s="724"/>
      <c r="AH456" s="725"/>
      <c r="AI456" s="725"/>
      <c r="AJ456" s="727" t="s">
        <v>251</v>
      </c>
      <c r="AK456" s="727"/>
      <c r="AL456" s="727" t="s">
        <v>241</v>
      </c>
      <c r="AM456" s="727" t="s">
        <v>126</v>
      </c>
      <c r="AN456" s="729">
        <v>5.5</v>
      </c>
      <c r="AO456" s="728"/>
      <c r="AP456" s="728"/>
      <c r="AQ456" s="728"/>
      <c r="AR456" s="728"/>
      <c r="AS456" s="728"/>
      <c r="AT456" s="728">
        <f>+ab($T$456,$T$454,$T$458,$G$455,$G$457,-1*$F$456,1200)</f>
        <v>-5.0946532651805789</v>
      </c>
      <c r="AU456" s="730"/>
      <c r="AV456" s="730"/>
      <c r="AW456" s="727" t="str">
        <f>IF(C456&gt;0,VLOOKUP(C456,Foundation_Calc!$A$2:$C$13,3,1),
IF(J456&gt;0,VLOOKUP(J456,Foundation_Calc!$A$2:$C$13,3,1),""))</f>
        <v>Multi Soil</v>
      </c>
      <c r="AX456" s="727" t="str">
        <f>IF(C456&gt;0,VLOOKUP(C456,Foundation_Calc!$E$2:$G$33,3,1),
IF(J456&gt;0,VLOOKUP(J456,Foundation_Calc!$E$2:$G$33,3,1),""))</f>
        <v>PT</v>
      </c>
      <c r="AY456" s="729">
        <f>IF(L456="","",
IF(AX456="PT",VLOOKUP(L456,Foundation_Calc!$K$79:$R$113,VLOOKUP(AW456,Foundation_Calc!$I$2:$J$8,2,FALSE),0),
IF(AX456="K",VLOOKUP(L456,Foundation_Calc!$K$117:$R$151,VLOOKUP(AW456,Foundation_Calc!$I$2:$J$8,2,FALSE),0),"")))</f>
        <v>3.5</v>
      </c>
      <c r="AZ456" s="729" t="str">
        <f>IF(K456="","",
IF(AX456="PT",VLOOKUP(K456,Foundation_Calc!$K$79:$R$113,VLOOKUP(AW456,Foundation_Calc!$I$2:$J$8,2,FALSE),0),
IF(AX456="K",VLOOKUP(K456,Foundation_Calc!$K$117:$R$151,VLOOKUP(AW456,Foundation_Calc!$I$2:$J$8,2,FALSE),0),"")))</f>
        <v/>
      </c>
      <c r="BA456" s="495"/>
      <c r="BB456" s="495"/>
      <c r="BC456" s="495"/>
      <c r="BD456" s="513" t="str">
        <f>Pole_Calc!A$251</f>
        <v>App.8-V08H-P10.3</v>
      </c>
      <c r="BE456" s="429" t="s">
        <v>118</v>
      </c>
      <c r="BF456" s="289"/>
      <c r="BG456" s="289"/>
      <c r="BH456" s="290"/>
      <c r="BI456" s="289"/>
    </row>
    <row r="457" spans="1:61" ht="15.75" customHeight="1">
      <c r="A457" s="517" t="s">
        <v>442</v>
      </c>
      <c r="B457" s="450"/>
      <c r="C457" s="3"/>
      <c r="D457" s="83"/>
      <c r="E457" s="4"/>
      <c r="F457" s="4"/>
      <c r="G457" s="6">
        <v>27.5</v>
      </c>
      <c r="H457" s="449"/>
      <c r="I457" s="4"/>
      <c r="J457" s="3"/>
      <c r="K457" s="449"/>
      <c r="L457" s="449"/>
      <c r="M457" s="449" t="str">
        <f>IF(L457="","",
IF(AX457="PT",VLOOKUP(L457,Foundation_Calc!$V$79:$X$113,VLOOKUP(AX457,Foundation_Calc!$I$10:$J$13,2,FALSE),0),
IF(AX457="K",VLOOKUP(L457,Foundation_Calc!$V$117:$X$151,VLOOKUP(AX457,Foundation_Calc!$I$10:$J$13,2,FALSE),0),"")))</f>
        <v/>
      </c>
      <c r="N457" s="449"/>
      <c r="O457" s="449"/>
      <c r="P457" s="449"/>
      <c r="Q457" s="4"/>
      <c r="R457" s="6"/>
      <c r="S457" s="6"/>
      <c r="T457" s="4"/>
      <c r="U457" s="4"/>
      <c r="V457" s="4"/>
      <c r="W457" s="9"/>
      <c r="X457" s="9"/>
      <c r="Y457" s="9"/>
      <c r="Z457" s="9"/>
      <c r="AA457" s="9"/>
      <c r="AB457" s="9"/>
      <c r="AC457" s="449" t="str">
        <f t="shared" si="55"/>
        <v/>
      </c>
      <c r="AD457" s="449"/>
      <c r="AE457" s="449"/>
      <c r="AF457" s="4"/>
      <c r="AG457" s="83"/>
      <c r="AH457" s="4"/>
      <c r="AI457" s="4"/>
      <c r="AJ457" s="449"/>
      <c r="AK457" s="449"/>
      <c r="AL457" s="449"/>
      <c r="AM457" s="449"/>
      <c r="AN457" s="10"/>
      <c r="AO457" s="9"/>
      <c r="AP457" s="9"/>
      <c r="AQ457" s="9">
        <f>+FL_2($T$458,$T$456,$G$457,1200,9.28,-1*$F$458)</f>
        <v>-0.30000000000001675</v>
      </c>
      <c r="AR457" s="9"/>
      <c r="AS457" s="9"/>
      <c r="AT457" s="9"/>
      <c r="AU457" s="428"/>
      <c r="AV457" s="428"/>
      <c r="AW457" s="449" t="str">
        <f>IF(C457&gt;0,VLOOKUP(C457,Foundation_Calc!$A$2:$C$13,3,1),
IF(J457&gt;0,VLOOKUP(J457,Foundation_Calc!$A$2:$C$13,3,1),""))</f>
        <v/>
      </c>
      <c r="AX457" s="449" t="str">
        <f>IF(C457&gt;0,VLOOKUP(C457,Foundation_Calc!$E$2:$G$33,3,1),
IF(J457&gt;0,VLOOKUP(J457,Foundation_Calc!$E$2:$G$33,3,1),""))</f>
        <v/>
      </c>
      <c r="AY457" s="10" t="str">
        <f>IF(L457="","",
IF(AX457="PT",VLOOKUP(L457,Foundation_Calc!$K$79:$R$113,VLOOKUP(AW457,Foundation_Calc!$I$2:$J$8,2,FALSE),0),
IF(AX457="K",VLOOKUP(L457,Foundation_Calc!$K$117:$R$151,VLOOKUP(AW457,Foundation_Calc!$I$2:$J$8,2,FALSE),0),"")))</f>
        <v/>
      </c>
      <c r="AZ457" s="10" t="str">
        <f>IF(K457="","",
IF(AX457="PT",VLOOKUP(K457,Foundation_Calc!$K$79:$R$113,VLOOKUP(AW457,Foundation_Calc!$I$2:$J$8,2,FALSE),0),
IF(AX457="K",VLOOKUP(K457,Foundation_Calc!$K$117:$R$151,VLOOKUP(AW457,Foundation_Calc!$I$2:$J$8,2,FALSE),0),"")))</f>
        <v/>
      </c>
      <c r="BA457" s="495"/>
      <c r="BB457" s="495"/>
      <c r="BC457" s="495"/>
      <c r="BD457" s="513" t="str">
        <f>IF(AND(L457="",H457=""),"",
IF(H457="",Pole_Calc!A$9,
IF(H457="MP",Pole_Calc!A$10,
IF(H457="AnMP",Pole_Calc!A$11,
IF(H457="A",Pole_Calc!A$12,
IF(H457="S/A",Pole_Calc!A$13,
IF(H457="A/S",Pole_Calc!A$14,"Poner a mano")))))))</f>
        <v/>
      </c>
      <c r="BE457" s="429" t="s">
        <v>118</v>
      </c>
      <c r="BF457" s="290"/>
      <c r="BG457" s="290"/>
      <c r="BH457" s="290"/>
      <c r="BI457" s="290"/>
    </row>
    <row r="458" spans="1:61" ht="15.75" customHeight="1">
      <c r="A458" s="517" t="s">
        <v>442</v>
      </c>
      <c r="B458" s="450" t="s">
        <v>447</v>
      </c>
      <c r="C458" s="3">
        <f>+$C$456+$G$457</f>
        <v>40932.239999999983</v>
      </c>
      <c r="D458" s="83"/>
      <c r="E458" s="4"/>
      <c r="F458" s="4">
        <f>IF(C458&gt;0,VLOOKUP(C458,'ALIGNMENT TRACK'!$A$1:$K$81,9,1))</f>
        <v>0</v>
      </c>
      <c r="G458" s="6"/>
      <c r="H458" s="449"/>
      <c r="I458" s="4"/>
      <c r="J458" s="3"/>
      <c r="K458" s="449"/>
      <c r="L458" s="449" t="s">
        <v>232</v>
      </c>
      <c r="M458" s="449" t="str">
        <f>IF(L458="","",
IF(AX458="PT",VLOOKUP(L458,Foundation_Calc!$V$79:$X$113,VLOOKUP(AX458,Foundation_Calc!$I$10:$J$13,2,FALSE),0),
IF(AX458="K",VLOOKUP(L458,Foundation_Calc!$V$117:$X$151,VLOOKUP(AX458,Foundation_Calc!$I$10:$J$13,2,FALSE),0),"")))</f>
        <v>C5R</v>
      </c>
      <c r="N458" s="449" t="s">
        <v>134</v>
      </c>
      <c r="O458" s="449"/>
      <c r="P458" s="449"/>
      <c r="Q458" s="4"/>
      <c r="R458" s="6"/>
      <c r="S458" s="6"/>
      <c r="T458" s="4">
        <v>30</v>
      </c>
      <c r="U458" s="4"/>
      <c r="V458" s="4"/>
      <c r="W458" s="542">
        <v>1.4</v>
      </c>
      <c r="X458" s="9"/>
      <c r="Y458" s="9"/>
      <c r="Z458" s="9"/>
      <c r="AA458" s="9"/>
      <c r="AB458" s="9"/>
      <c r="AC458" s="449" t="str">
        <f t="shared" si="55"/>
        <v>PHC</v>
      </c>
      <c r="AD458" s="449"/>
      <c r="AE458" s="449"/>
      <c r="AF458" s="4"/>
      <c r="AG458" s="83"/>
      <c r="AH458" s="4"/>
      <c r="AI458" s="4"/>
      <c r="AJ458" s="449"/>
      <c r="AK458" s="449"/>
      <c r="AL458" s="449" t="s">
        <v>241</v>
      </c>
      <c r="AM458" s="449" t="s">
        <v>126</v>
      </c>
      <c r="AN458" s="10">
        <v>5.5</v>
      </c>
      <c r="AO458" s="9"/>
      <c r="AP458" s="9"/>
      <c r="AQ458" s="9"/>
      <c r="AR458" s="9"/>
      <c r="AS458" s="9"/>
      <c r="AT458" s="9">
        <f>+ab($T$458,$T$456,$T$460,$G$457,$G$459,-1*$F$458,1200)</f>
        <v>4.7463818319693338</v>
      </c>
      <c r="AU458" s="428"/>
      <c r="AV458" s="428"/>
      <c r="AW458" s="449" t="str">
        <f>IF(C458&gt;0,VLOOKUP(C458,Foundation_Calc!$A$2:$C$13,3,1),
IF(J458&gt;0,VLOOKUP(J458,Foundation_Calc!$A$2:$C$13,3,1),""))</f>
        <v>Multi Soil</v>
      </c>
      <c r="AX458" s="449" t="str">
        <f>IF(C458&gt;0,VLOOKUP(C458,Foundation_Calc!$E$2:$G$33,3,1),
IF(J458&gt;0,VLOOKUP(J458,Foundation_Calc!$E$2:$G$33,3,1),""))</f>
        <v>PT</v>
      </c>
      <c r="AY458" s="10">
        <f>IF(L458="","",
IF(AX458="PT",VLOOKUP(L458,Foundation_Calc!$K$79:$R$113,VLOOKUP(AW458,Foundation_Calc!$I$2:$J$8,2,FALSE),0),
IF(AX458="K",VLOOKUP(L458,Foundation_Calc!$K$117:$R$151,VLOOKUP(AW458,Foundation_Calc!$I$2:$J$8,2,FALSE),0),"")))</f>
        <v>3.5</v>
      </c>
      <c r="AZ458" s="10" t="str">
        <f>IF(K458="","",
IF(AX458="PT",VLOOKUP(K458,Foundation_Calc!$K$79:$R$113,VLOOKUP(AW458,Foundation_Calc!$I$2:$J$8,2,FALSE),0),
IF(AX458="K",VLOOKUP(K458,Foundation_Calc!$K$117:$R$151,VLOOKUP(AW458,Foundation_Calc!$I$2:$J$8,2,FALSE),0),"")))</f>
        <v/>
      </c>
      <c r="BA458" s="495"/>
      <c r="BB458" s="495"/>
      <c r="BC458" s="495"/>
      <c r="BD458" s="513" t="str">
        <f>Pole_Calc!A$251</f>
        <v>App.8-V08H-P10.3</v>
      </c>
      <c r="BE458" s="429" t="s">
        <v>118</v>
      </c>
      <c r="BF458" s="289"/>
      <c r="BG458" s="289"/>
      <c r="BH458" s="290"/>
      <c r="BI458" s="289"/>
    </row>
    <row r="459" spans="1:61" ht="15.75" customHeight="1">
      <c r="A459" s="732" t="s">
        <v>448</v>
      </c>
      <c r="B459" s="722"/>
      <c r="C459" s="723"/>
      <c r="D459" s="724"/>
      <c r="E459" s="725"/>
      <c r="F459" s="725"/>
      <c r="G459" s="726">
        <v>27</v>
      </c>
      <c r="H459" s="727"/>
      <c r="I459" s="725"/>
      <c r="J459" s="723"/>
      <c r="K459" s="727"/>
      <c r="L459" s="727"/>
      <c r="M459" s="727" t="str">
        <f>IF(L459="","",
IF(AX459="PT",VLOOKUP(L459,Foundation_Calc!$V$79:$X$113,VLOOKUP(AX459,Foundation_Calc!$I$10:$J$13,2,FALSE),0),
IF(AX459="K",VLOOKUP(L459,Foundation_Calc!$V$117:$X$151,VLOOKUP(AX459,Foundation_Calc!$I$10:$J$13,2,FALSE),0),"")))</f>
        <v/>
      </c>
      <c r="N459" s="727"/>
      <c r="O459" s="727"/>
      <c r="P459" s="727"/>
      <c r="Q459" s="725"/>
      <c r="R459" s="726"/>
      <c r="S459" s="726"/>
      <c r="T459" s="725"/>
      <c r="U459" s="725"/>
      <c r="V459" s="725"/>
      <c r="W459" s="728"/>
      <c r="X459" s="728"/>
      <c r="Y459" s="728"/>
      <c r="Z459" s="728"/>
      <c r="AA459" s="728"/>
      <c r="AB459" s="728"/>
      <c r="AC459" s="727" t="str">
        <f t="shared" si="55"/>
        <v/>
      </c>
      <c r="AD459" s="727"/>
      <c r="AE459" s="727"/>
      <c r="AF459" s="725"/>
      <c r="AG459" s="724"/>
      <c r="AH459" s="725"/>
      <c r="AI459" s="725"/>
      <c r="AJ459" s="727"/>
      <c r="AK459" s="727"/>
      <c r="AL459" s="727"/>
      <c r="AM459" s="727"/>
      <c r="AN459" s="729"/>
      <c r="AO459" s="728"/>
      <c r="AP459" s="728"/>
      <c r="AQ459" s="728">
        <f>+FL_1($T$460,$T$458,$G$459,1200,9.28,-1*$F$460)</f>
        <v>0.30000000000001142</v>
      </c>
      <c r="AR459" s="728"/>
      <c r="AS459" s="728"/>
      <c r="AT459" s="728"/>
      <c r="AU459" s="730"/>
      <c r="AV459" s="730"/>
      <c r="AW459" s="727" t="str">
        <f>IF(C459&gt;0,VLOOKUP(C459,Foundation_Calc!$A$2:$C$13,3,1),
IF(J459&gt;0,VLOOKUP(J459,Foundation_Calc!$A$2:$C$13,3,1),""))</f>
        <v/>
      </c>
      <c r="AX459" s="727" t="str">
        <f>IF(C459&gt;0,VLOOKUP(C459,Foundation_Calc!$E$2:$G$33,3,1),
IF(J459&gt;0,VLOOKUP(J459,Foundation_Calc!$E$2:$G$33,3,1),""))</f>
        <v/>
      </c>
      <c r="AY459" s="729" t="str">
        <f>IF(L459="","",
IF(AX459="PT",VLOOKUP(L459,Foundation_Calc!$K$79:$R$113,VLOOKUP(AW459,Foundation_Calc!$I$2:$J$8,2,FALSE),0),
IF(AX459="K",VLOOKUP(L459,Foundation_Calc!$K$117:$R$151,VLOOKUP(AW459,Foundation_Calc!$I$2:$J$8,2,FALSE),0),"")))</f>
        <v/>
      </c>
      <c r="AZ459" s="729" t="str">
        <f>IF(K459="","",
IF(AX459="PT",VLOOKUP(K459,Foundation_Calc!$K$79:$R$113,VLOOKUP(AW459,Foundation_Calc!$I$2:$J$8,2,FALSE),0),
IF(AX459="K",VLOOKUP(K459,Foundation_Calc!$K$117:$R$151,VLOOKUP(AW459,Foundation_Calc!$I$2:$J$8,2,FALSE),0),"")))</f>
        <v/>
      </c>
      <c r="BA459" s="495"/>
      <c r="BB459" s="495"/>
      <c r="BC459" s="495"/>
      <c r="BD459" s="513" t="str">
        <f>IF(AND(L459="",H459=""),"",
IF(H459="",Pole_Calc!A$9,
IF(H459="MP",Pole_Calc!A$10,
IF(H459="AnMP",Pole_Calc!A$11,
IF(H459="A",Pole_Calc!A$12,
IF(H459="S/A",Pole_Calc!A$13,
IF(H459="A/S",Pole_Calc!A$14,"Poner a mano")))))))</f>
        <v/>
      </c>
      <c r="BE459" s="429" t="s">
        <v>118</v>
      </c>
      <c r="BF459" s="290"/>
      <c r="BG459" s="290"/>
      <c r="BH459" s="290"/>
      <c r="BI459" s="290"/>
    </row>
    <row r="460" spans="1:61" ht="15.75" customHeight="1">
      <c r="A460" s="518" t="s">
        <v>438</v>
      </c>
      <c r="B460" s="450" t="s">
        <v>449</v>
      </c>
      <c r="C460" s="3">
        <f>+$C$458+$G$459</f>
        <v>40959.239999999983</v>
      </c>
      <c r="D460" s="83"/>
      <c r="E460" s="4"/>
      <c r="F460" s="4">
        <f>IF(C460&gt;0,VLOOKUP(C460,'ALIGNMENT TRACK'!$A$1:$K$81,9,1))</f>
        <v>0</v>
      </c>
      <c r="G460" s="6"/>
      <c r="H460" s="449"/>
      <c r="I460" s="4"/>
      <c r="J460" s="3"/>
      <c r="K460" s="449"/>
      <c r="L460" s="449" t="s">
        <v>250</v>
      </c>
      <c r="M460" s="449" t="s">
        <v>450</v>
      </c>
      <c r="N460" s="449" t="s">
        <v>343</v>
      </c>
      <c r="O460" s="449"/>
      <c r="P460" s="449"/>
      <c r="Q460" s="4"/>
      <c r="R460" s="6"/>
      <c r="S460" s="6"/>
      <c r="T460" s="4">
        <v>-20</v>
      </c>
      <c r="U460" s="4"/>
      <c r="V460" s="4"/>
      <c r="W460" s="542">
        <v>1.4</v>
      </c>
      <c r="X460" s="9"/>
      <c r="Y460" s="9"/>
      <c r="Z460" s="9"/>
      <c r="AA460" s="9"/>
      <c r="AB460" s="9"/>
      <c r="AC460" s="449" t="str">
        <f t="shared" si="55"/>
        <v>PHQ</v>
      </c>
      <c r="AD460" s="449"/>
      <c r="AE460" s="449"/>
      <c r="AF460" s="4"/>
      <c r="AG460" s="83"/>
      <c r="AH460" s="4"/>
      <c r="AI460" s="4"/>
      <c r="AJ460" s="449"/>
      <c r="AK460" s="449" t="s">
        <v>451</v>
      </c>
      <c r="AL460" s="449" t="s">
        <v>252</v>
      </c>
      <c r="AM460" s="449" t="s">
        <v>203</v>
      </c>
      <c r="AN460" s="10">
        <v>5.5</v>
      </c>
      <c r="AO460" s="9"/>
      <c r="AP460" s="9"/>
      <c r="AQ460" s="9"/>
      <c r="AR460" s="9"/>
      <c r="AS460" s="9"/>
      <c r="AT460" s="9">
        <f>+ab($T$460,$T$458,$T$462,$G$459,$G$461,-1*$F$460,1200)</f>
        <v>-6.0024859174480749</v>
      </c>
      <c r="AU460" s="428"/>
      <c r="AV460" s="428"/>
      <c r="AW460" s="449"/>
      <c r="AX460" s="449"/>
      <c r="AY460" s="10" t="str">
        <f>IF(L460="","",
IF(AX460="PT",VLOOKUP(L460,Foundation_Calc!$K$79:$R$113,VLOOKUP(AW460,Foundation_Calc!$I$2:$J$8,2,FALSE),0),
IF(AX460="K",VLOOKUP(L460,Foundation_Calc!$K$117:$R$151,VLOOKUP(AW460,Foundation_Calc!$I$2:$J$8,2,FALSE),0),"")))</f>
        <v/>
      </c>
      <c r="AZ460" s="10" t="str">
        <f>IF(K460="","",
IF(AX460="PT",VLOOKUP(K460,Foundation_Calc!$K$79:$R$113,VLOOKUP(AW460,Foundation_Calc!$I$2:$J$8,2,FALSE),0),
IF(AX460="K",VLOOKUP(K460,Foundation_Calc!$K$117:$R$151,VLOOKUP(AW460,Foundation_Calc!$I$2:$J$8,2,FALSE),0),"")))</f>
        <v/>
      </c>
      <c r="BA460" s="495"/>
      <c r="BB460" s="495"/>
      <c r="BC460" s="495"/>
      <c r="BD460" s="513" t="str">
        <f>Pole_Calc!A$251</f>
        <v>App.8-V08H-P10.3</v>
      </c>
      <c r="BE460" s="429" t="s">
        <v>118</v>
      </c>
      <c r="BF460" s="289"/>
      <c r="BG460" s="289"/>
      <c r="BH460" s="290"/>
      <c r="BI460" s="289"/>
    </row>
    <row r="461" spans="1:61" ht="15.75" customHeight="1">
      <c r="A461" s="517" t="s">
        <v>442</v>
      </c>
      <c r="B461" s="450"/>
      <c r="C461" s="3"/>
      <c r="D461" s="83"/>
      <c r="E461" s="4"/>
      <c r="F461" s="4"/>
      <c r="G461" s="6">
        <v>30</v>
      </c>
      <c r="H461" s="449"/>
      <c r="I461" s="4"/>
      <c r="J461" s="3"/>
      <c r="K461" s="449"/>
      <c r="L461" s="449"/>
      <c r="M461" s="449" t="str">
        <f>IF(L461="","",
IF(AX461="PT",VLOOKUP(L461,Foundation_Calc!$V$79:$X$113,VLOOKUP(AX461,Foundation_Calc!$I$10:$J$13,2,FALSE),0),
IF(AX461="K",VLOOKUP(L461,Foundation_Calc!$V$117:$X$151,VLOOKUP(AX461,Foundation_Calc!$I$10:$J$13,2,FALSE),0),"")))</f>
        <v/>
      </c>
      <c r="N461" s="449"/>
      <c r="O461" s="449"/>
      <c r="P461" s="449"/>
      <c r="Q461" s="4"/>
      <c r="R461" s="6"/>
      <c r="S461" s="6"/>
      <c r="T461" s="4"/>
      <c r="U461" s="4"/>
      <c r="V461" s="4"/>
      <c r="W461" s="9"/>
      <c r="X461" s="572"/>
      <c r="Y461" s="9"/>
      <c r="Z461" s="9"/>
      <c r="AA461" s="9"/>
      <c r="AB461" s="9"/>
      <c r="AC461" s="449" t="str">
        <f t="shared" si="55"/>
        <v/>
      </c>
      <c r="AD461" s="449"/>
      <c r="AE461" s="449"/>
      <c r="AF461" s="4"/>
      <c r="AG461" s="83"/>
      <c r="AH461" s="4"/>
      <c r="AI461" s="4"/>
      <c r="AJ461" s="449"/>
      <c r="AK461" s="449"/>
      <c r="AL461" s="449"/>
      <c r="AM461" s="449"/>
      <c r="AN461" s="10"/>
      <c r="AO461" s="9"/>
      <c r="AP461" s="9"/>
      <c r="AQ461" s="9">
        <f>+FL_2($T$462,$T$460,$G$461,1200,9.28,-1*$F$462)</f>
        <v>-0.20000000000000334</v>
      </c>
      <c r="AR461" s="9"/>
      <c r="AS461" s="9"/>
      <c r="AT461" s="9"/>
      <c r="AU461" s="428"/>
      <c r="AV461" s="428"/>
      <c r="AW461" s="449"/>
      <c r="AX461" s="449"/>
      <c r="AY461" s="10" t="str">
        <f>IF(L461="","",
IF(AX461="PT",VLOOKUP(L461,Foundation_Calc!$K$79:$R$113,VLOOKUP(AW461,Foundation_Calc!$I$2:$J$8,2,FALSE),0),
IF(AX461="K",VLOOKUP(L461,Foundation_Calc!$K$117:$R$151,VLOOKUP(AW461,Foundation_Calc!$I$2:$J$8,2,FALSE),0),"")))</f>
        <v/>
      </c>
      <c r="AZ461" s="10" t="str">
        <f>IF(K461="","",
IF(AX461="PT",VLOOKUP(K461,Foundation_Calc!$K$79:$R$113,VLOOKUP(AW461,Foundation_Calc!$I$2:$J$8,2,FALSE),0),
IF(AX461="K",VLOOKUP(K461,Foundation_Calc!$K$117:$R$151,VLOOKUP(AW461,Foundation_Calc!$I$2:$J$8,2,FALSE),0),"")))</f>
        <v/>
      </c>
      <c r="BA461" s="495"/>
      <c r="BB461" s="495"/>
      <c r="BC461" s="495"/>
      <c r="BD461" s="513"/>
      <c r="BE461" s="429" t="s">
        <v>118</v>
      </c>
      <c r="BF461" s="290"/>
      <c r="BG461" s="290"/>
      <c r="BH461" s="290"/>
      <c r="BI461" s="290"/>
    </row>
    <row r="462" spans="1:61" ht="15.75" customHeight="1">
      <c r="A462" s="517" t="s">
        <v>442</v>
      </c>
      <c r="B462" s="450" t="s">
        <v>452</v>
      </c>
      <c r="C462" s="3">
        <f>+$C$460+$G$461</f>
        <v>40989.239999999983</v>
      </c>
      <c r="D462" s="83"/>
      <c r="E462" s="4"/>
      <c r="F462" s="4">
        <f>IF(C462&gt;0,VLOOKUP(C462,'ALIGNMENT TRACK'!$A$1:$K$81,9,1))</f>
        <v>0</v>
      </c>
      <c r="G462" s="6"/>
      <c r="H462" s="449"/>
      <c r="I462" s="4"/>
      <c r="J462" s="3"/>
      <c r="K462" s="449"/>
      <c r="L462" s="449" t="s">
        <v>268</v>
      </c>
      <c r="M462" s="449" t="s">
        <v>450</v>
      </c>
      <c r="N462" s="449" t="s">
        <v>453</v>
      </c>
      <c r="O462" s="449"/>
      <c r="P462" s="449"/>
      <c r="Q462" s="4"/>
      <c r="R462" s="6"/>
      <c r="S462" s="6"/>
      <c r="T462" s="4">
        <v>20</v>
      </c>
      <c r="U462" s="4"/>
      <c r="V462" s="4"/>
      <c r="W462" s="542">
        <v>1.4</v>
      </c>
      <c r="X462" s="572"/>
      <c r="Y462" s="9"/>
      <c r="Z462" s="9"/>
      <c r="AA462" s="9"/>
      <c r="AB462" s="9"/>
      <c r="AC462" s="449" t="str">
        <f t="shared" si="55"/>
        <v>PH</v>
      </c>
      <c r="AD462" s="449"/>
      <c r="AE462" s="449"/>
      <c r="AF462" s="4"/>
      <c r="AG462" s="83"/>
      <c r="AH462" s="4"/>
      <c r="AI462" s="4"/>
      <c r="AJ462" s="449"/>
      <c r="AK462" s="449" t="s">
        <v>451</v>
      </c>
      <c r="AL462" s="449" t="s">
        <v>269</v>
      </c>
      <c r="AM462" s="449" t="s">
        <v>203</v>
      </c>
      <c r="AN462" s="10">
        <v>5.5</v>
      </c>
      <c r="AO462" s="9"/>
      <c r="AP462" s="9"/>
      <c r="AQ462" s="9"/>
      <c r="AR462" s="9"/>
      <c r="AS462" s="9"/>
      <c r="AT462" s="9">
        <f>+ab($T$462,$T$460,$T$464,$G$461,$G$463,-1*$F$462,1200)</f>
        <v>8.7096762302355923</v>
      </c>
      <c r="AU462" s="428"/>
      <c r="AV462" s="428"/>
      <c r="AW462" s="449"/>
      <c r="AX462" s="449"/>
      <c r="AY462" s="10" t="str">
        <f>IF(L462="","",
IF(AX462="PT",VLOOKUP(L462,Foundation_Calc!$K$79:$R$113,VLOOKUP(AW462,Foundation_Calc!$I$2:$J$8,2,FALSE),0),
IF(AX462="K",VLOOKUP(L462,Foundation_Calc!$K$117:$R$151,VLOOKUP(AW462,Foundation_Calc!$I$2:$J$8,2,FALSE),0),"")))</f>
        <v/>
      </c>
      <c r="AZ462" s="10" t="str">
        <f>IF(K462="","",
IF(AX462="PT",VLOOKUP(K462,Foundation_Calc!$K$79:$R$113,VLOOKUP(AW462,Foundation_Calc!$I$2:$J$8,2,FALSE),0),
IF(AX462="K",VLOOKUP(K462,Foundation_Calc!$K$117:$R$151,VLOOKUP(AW462,Foundation_Calc!$I$2:$J$8,2,FALSE),0),"")))</f>
        <v/>
      </c>
      <c r="BA462" s="495"/>
      <c r="BB462" s="495"/>
      <c r="BC462" s="495"/>
      <c r="BD462" s="513" t="str">
        <f>Pole_Calc!A$251</f>
        <v>App.8-V08H-P10.3</v>
      </c>
      <c r="BE462" s="429" t="s">
        <v>118</v>
      </c>
      <c r="BF462" s="289"/>
      <c r="BG462" s="289"/>
      <c r="BH462" s="290"/>
      <c r="BI462" s="289"/>
    </row>
    <row r="463" spans="1:61" ht="15.75" customHeight="1">
      <c r="A463" s="517" t="s">
        <v>442</v>
      </c>
      <c r="B463" s="450"/>
      <c r="C463" s="3"/>
      <c r="D463" s="83"/>
      <c r="E463" s="4"/>
      <c r="F463" s="4"/>
      <c r="G463" s="6">
        <v>46.9</v>
      </c>
      <c r="H463" s="449"/>
      <c r="I463" s="4"/>
      <c r="J463" s="3"/>
      <c r="K463" s="449"/>
      <c r="L463" s="449"/>
      <c r="M463" s="449" t="str">
        <f>IF(L463="","",
IF(AX463="PT",VLOOKUP(L463,Foundation_Calc!$V$79:$X$113,VLOOKUP(AX463,Foundation_Calc!$I$10:$J$13,2,FALSE),0),
IF(AX463="K",VLOOKUP(L463,Foundation_Calc!$V$117:$X$151,VLOOKUP(AX463,Foundation_Calc!$I$10:$J$13,2,FALSE),0),"")))</f>
        <v/>
      </c>
      <c r="N463" s="449"/>
      <c r="O463" s="575"/>
      <c r="P463" s="449"/>
      <c r="Q463" s="4"/>
      <c r="R463" s="6"/>
      <c r="S463" s="6"/>
      <c r="T463" s="4"/>
      <c r="U463" s="4"/>
      <c r="V463" s="4"/>
      <c r="W463" s="9"/>
      <c r="X463" s="572"/>
      <c r="Y463" s="9"/>
      <c r="Z463" s="9"/>
      <c r="AA463" s="9"/>
      <c r="AB463" s="9"/>
      <c r="AC463" s="449" t="str">
        <f t="shared" si="55"/>
        <v/>
      </c>
      <c r="AD463" s="449"/>
      <c r="AE463" s="449"/>
      <c r="AF463" s="4"/>
      <c r="AG463" s="83"/>
      <c r="AH463" s="4"/>
      <c r="AI463" s="4"/>
      <c r="AJ463" s="449"/>
      <c r="AK463" s="449"/>
      <c r="AL463" s="449"/>
      <c r="AM463" s="449"/>
      <c r="AN463" s="10"/>
      <c r="AO463" s="9"/>
      <c r="AP463" s="9"/>
      <c r="AQ463" s="9">
        <f>+FL_2($T$464,$T$462,$G$463,1200,9.28,-1*$F$464)</f>
        <v>-0.25965924666950957</v>
      </c>
      <c r="AR463" s="9"/>
      <c r="AS463" s="9"/>
      <c r="AT463" s="9"/>
      <c r="AU463" s="428"/>
      <c r="AV463" s="428"/>
      <c r="AW463" s="449"/>
      <c r="AX463" s="449"/>
      <c r="AY463" s="10" t="str">
        <f>IF(L463="","",
IF(AX463="PT",VLOOKUP(L463,Foundation_Calc!$K$79:$R$113,VLOOKUP(AW463,Foundation_Calc!$I$2:$J$8,2,FALSE),0),
IF(AX463="K",VLOOKUP(L463,Foundation_Calc!$K$117:$R$151,VLOOKUP(AW463,Foundation_Calc!$I$2:$J$8,2,FALSE),0),"")))</f>
        <v/>
      </c>
      <c r="AZ463" s="10" t="str">
        <f>IF(K463="","",
IF(AX463="PT",VLOOKUP(K463,Foundation_Calc!$K$79:$R$113,VLOOKUP(AW463,Foundation_Calc!$I$2:$J$8,2,FALSE),0),
IF(AX463="K",VLOOKUP(K463,Foundation_Calc!$K$117:$R$151,VLOOKUP(AW463,Foundation_Calc!$I$2:$J$8,2,FALSE),0),"")))</f>
        <v/>
      </c>
      <c r="BA463" s="495"/>
      <c r="BB463" s="495"/>
      <c r="BC463" s="495"/>
      <c r="BD463" s="513" t="str">
        <f>IF(AND(L463="",H463=""),"",
IF(H463="",Pole_Calc!A$9,
IF(H463="MP",Pole_Calc!A$10,
IF(H463="AnMP",Pole_Calc!A$11,
IF(H463="A",Pole_Calc!A$12,
IF(H463="S/A",Pole_Calc!A$13,
IF(H463="A/S",Pole_Calc!A$14,"Poner a mano")))))))</f>
        <v/>
      </c>
      <c r="BE463" s="429" t="s">
        <v>118</v>
      </c>
      <c r="BF463" s="290"/>
      <c r="BG463" s="290"/>
      <c r="BH463" s="290"/>
      <c r="BI463" s="290"/>
    </row>
    <row r="464" spans="1:61" ht="15.75" customHeight="1">
      <c r="A464" s="731" t="s">
        <v>442</v>
      </c>
      <c r="B464" s="536" t="s">
        <v>454</v>
      </c>
      <c r="C464" s="537">
        <f>+$C$462+$G$463</f>
        <v>41036.139999999985</v>
      </c>
      <c r="D464" s="538"/>
      <c r="E464" s="539"/>
      <c r="F464" s="539">
        <f>IF(C464&gt;0,VLOOKUP(C464,'ALIGNMENT TRACK'!$A$1:$K$81,9,1))</f>
        <v>0</v>
      </c>
      <c r="G464" s="540"/>
      <c r="H464" s="541"/>
      <c r="I464" s="539"/>
      <c r="J464" s="537"/>
      <c r="K464" s="541"/>
      <c r="L464" s="541" t="s">
        <v>455</v>
      </c>
      <c r="M464" s="541" t="s">
        <v>450</v>
      </c>
      <c r="N464" s="541" t="s">
        <v>343</v>
      </c>
      <c r="O464" s="541"/>
      <c r="P464" s="541"/>
      <c r="Q464" s="539"/>
      <c r="R464" s="540"/>
      <c r="S464" s="540"/>
      <c r="T464" s="539">
        <v>-20</v>
      </c>
      <c r="U464" s="539"/>
      <c r="V464" s="539"/>
      <c r="W464" s="579">
        <v>1.2</v>
      </c>
      <c r="X464" s="579"/>
      <c r="Y464" s="542"/>
      <c r="Z464" s="542"/>
      <c r="AA464" s="542"/>
      <c r="AB464" s="542"/>
      <c r="AC464" s="541" t="str">
        <f t="shared" si="55"/>
        <v>PH</v>
      </c>
      <c r="AD464" s="541"/>
      <c r="AE464" s="541"/>
      <c r="AF464" s="539"/>
      <c r="AG464" s="538"/>
      <c r="AH464" s="539"/>
      <c r="AI464" s="539"/>
      <c r="AJ464" s="541"/>
      <c r="AK464" s="541" t="s">
        <v>451</v>
      </c>
      <c r="AL464" s="541" t="s">
        <v>456</v>
      </c>
      <c r="AM464" s="449" t="s">
        <v>203</v>
      </c>
      <c r="AN464" s="543">
        <v>5.5</v>
      </c>
      <c r="AO464" s="542"/>
      <c r="AP464" s="542"/>
      <c r="AQ464" s="542"/>
      <c r="AR464" s="542"/>
      <c r="AS464" s="542"/>
      <c r="AT464" s="542">
        <f>+ab($T$464,$T$462,$T$466,$G$463,$G$465,-1*$F$464,1200)</f>
        <v>-11.561361643302678</v>
      </c>
      <c r="AU464" s="544"/>
      <c r="AV464" s="544"/>
      <c r="AW464" s="541"/>
      <c r="AX464" s="541"/>
      <c r="AY464" s="543" t="str">
        <f>IF(L464="","",
IF(AX464="PT",VLOOKUP(L464,Foundation_Calc!$K$79:$R$113,VLOOKUP(AW464,Foundation_Calc!$I$2:$J$8,2,FALSE),0),
IF(AX464="K",VLOOKUP(L464,Foundation_Calc!$K$117:$R$151,VLOOKUP(AW464,Foundation_Calc!$I$2:$J$8,2,FALSE),0),"")))</f>
        <v/>
      </c>
      <c r="AZ464" s="543" t="str">
        <f>IF(K464="","",
IF(AX464="PT",VLOOKUP(K464,Foundation_Calc!$K$79:$R$113,VLOOKUP(AW464,Foundation_Calc!$I$2:$J$8,2,FALSE),0),
IF(AX464="K",VLOOKUP(K464,Foundation_Calc!$K$117:$R$151,VLOOKUP(AW464,Foundation_Calc!$I$2:$J$8,2,FALSE),0),"")))</f>
        <v/>
      </c>
      <c r="BA464" s="550"/>
      <c r="BB464" s="550"/>
      <c r="BC464" s="550"/>
      <c r="BD464" s="513" t="str">
        <f>Pole_Calc!A$251</f>
        <v>App.8-V08H-P10.3</v>
      </c>
      <c r="BE464" s="429" t="s">
        <v>118</v>
      </c>
      <c r="BF464" s="289"/>
      <c r="BG464" s="289"/>
      <c r="BH464" s="290"/>
      <c r="BI464" s="289"/>
    </row>
    <row r="465" spans="1:61" ht="15.75" customHeight="1">
      <c r="A465" s="517" t="s">
        <v>442</v>
      </c>
      <c r="B465" s="450"/>
      <c r="C465" s="3"/>
      <c r="D465" s="83"/>
      <c r="E465" s="4"/>
      <c r="F465" s="4"/>
      <c r="G465" s="6">
        <v>51</v>
      </c>
      <c r="H465" s="449"/>
      <c r="I465" s="4"/>
      <c r="J465" s="3"/>
      <c r="K465" s="449"/>
      <c r="L465" s="449"/>
      <c r="M465" s="449" t="str">
        <f>IF(L465="","",
IF(AX465="PT",VLOOKUP(L465,Foundation_Calc!$V$79:$X$113,VLOOKUP(AX465,Foundation_Calc!$I$10:$J$13,2,FALSE),0),
IF(AX465="K",VLOOKUP(L465,Foundation_Calc!$V$117:$X$151,VLOOKUP(AX465,Foundation_Calc!$I$10:$J$13,2,FALSE),0),"")))</f>
        <v/>
      </c>
      <c r="N465" s="449"/>
      <c r="O465" s="449"/>
      <c r="P465" s="575"/>
      <c r="Q465" s="4"/>
      <c r="R465" s="6"/>
      <c r="S465" s="6"/>
      <c r="T465" s="4"/>
      <c r="U465" s="4"/>
      <c r="V465" s="4"/>
      <c r="W465" s="572"/>
      <c r="X465" s="572"/>
      <c r="Y465" s="9"/>
      <c r="Z465" s="9"/>
      <c r="AA465" s="9"/>
      <c r="AB465" s="9"/>
      <c r="AC465" s="449" t="str">
        <f t="shared" si="55"/>
        <v/>
      </c>
      <c r="AD465" s="449"/>
      <c r="AE465" s="449"/>
      <c r="AF465" s="4"/>
      <c r="AG465" s="83"/>
      <c r="AH465" s="4"/>
      <c r="AI465" s="4"/>
      <c r="AJ465" s="449"/>
      <c r="AK465" s="449"/>
      <c r="AL465" s="449"/>
      <c r="AM465" s="449"/>
      <c r="AN465" s="10"/>
      <c r="AO465" s="9"/>
      <c r="AP465" s="9"/>
      <c r="AQ465" s="9">
        <f>+FL_2($T$466,$T$464,$G$465,1200,9.28,-1*$F$466)</f>
        <v>-0.29120249976470591</v>
      </c>
      <c r="AR465" s="9"/>
      <c r="AS465" s="9"/>
      <c r="AT465" s="9"/>
      <c r="AU465" s="428"/>
      <c r="AV465" s="428"/>
      <c r="AW465" s="449"/>
      <c r="AX465" s="449"/>
      <c r="AY465" s="10" t="str">
        <f>IF(L465="","",
IF(AX465="PT",VLOOKUP(L465,Foundation_Calc!$K$79:$R$113,VLOOKUP(AW465,Foundation_Calc!$I$2:$J$8,2,FALSE),0),
IF(AX465="K",VLOOKUP(L465,Foundation_Calc!$K$117:$R$151,VLOOKUP(AW465,Foundation_Calc!$I$2:$J$8,2,FALSE),0),"")))</f>
        <v/>
      </c>
      <c r="AZ465" s="10" t="str">
        <f>IF(K465="","",
IF(AX465="PT",VLOOKUP(K465,Foundation_Calc!$K$79:$R$113,VLOOKUP(AW465,Foundation_Calc!$I$2:$J$8,2,FALSE),0),
IF(AX465="K",VLOOKUP(K465,Foundation_Calc!$K$117:$R$151,VLOOKUP(AW465,Foundation_Calc!$I$2:$J$8,2,FALSE),0),"")))</f>
        <v/>
      </c>
      <c r="BA465" s="495"/>
      <c r="BB465" s="495"/>
      <c r="BC465" s="495"/>
      <c r="BD465" s="513" t="str">
        <f>IF(AND(L465="",H465=""),"",
IF(H465="",Pole_Calc!A$9,
IF(H465="MP",Pole_Calc!A$10,
IF(H465="AnMP",Pole_Calc!A$11,
IF(H465="A",Pole_Calc!A$12,
IF(H465="S/A",Pole_Calc!A$13,
IF(H465="A/S",Pole_Calc!A$14,"Poner a mano")))))))</f>
        <v/>
      </c>
      <c r="BE465" s="429" t="s">
        <v>118</v>
      </c>
      <c r="BF465" s="290"/>
      <c r="BG465" s="290"/>
      <c r="BH465" s="290"/>
      <c r="BI465" s="290"/>
    </row>
    <row r="466" spans="1:61" ht="15.75" customHeight="1">
      <c r="A466" s="517" t="s">
        <v>442</v>
      </c>
      <c r="B466" s="450" t="s">
        <v>457</v>
      </c>
      <c r="C466" s="3">
        <f>+$C$464+$G$465</f>
        <v>41087.139999999985</v>
      </c>
      <c r="D466" s="83"/>
      <c r="E466" s="4"/>
      <c r="F466" s="4">
        <f>IF(C466&gt;0,VLOOKUP(C466,'ALIGNMENT TRACK'!$A$1:$K$81,9,1))</f>
        <v>0</v>
      </c>
      <c r="G466" s="6"/>
      <c r="H466" s="449"/>
      <c r="I466" s="4"/>
      <c r="J466" s="3"/>
      <c r="K466" s="449"/>
      <c r="L466" s="449" t="s">
        <v>455</v>
      </c>
      <c r="M466" s="449" t="s">
        <v>450</v>
      </c>
      <c r="N466" s="449" t="s">
        <v>453</v>
      </c>
      <c r="O466" s="449"/>
      <c r="P466" s="449"/>
      <c r="Q466" s="4"/>
      <c r="R466" s="6"/>
      <c r="S466" s="6"/>
      <c r="T466" s="4">
        <v>20</v>
      </c>
      <c r="U466" s="4"/>
      <c r="V466" s="4"/>
      <c r="W466" s="572">
        <v>1.1000000000000001</v>
      </c>
      <c r="X466" s="572"/>
      <c r="Y466" s="9"/>
      <c r="Z466" s="9"/>
      <c r="AA466" s="9"/>
      <c r="AB466" s="9"/>
      <c r="AC466" s="449" t="str">
        <f t="shared" si="55"/>
        <v>PH</v>
      </c>
      <c r="AD466" s="449"/>
      <c r="AE466" s="449"/>
      <c r="AF466" s="4"/>
      <c r="AG466" s="83"/>
      <c r="AH466" s="4"/>
      <c r="AI466" s="4"/>
      <c r="AJ466" s="449"/>
      <c r="AK466" s="449" t="s">
        <v>451</v>
      </c>
      <c r="AL466" s="449" t="s">
        <v>456</v>
      </c>
      <c r="AM466" s="449" t="s">
        <v>203</v>
      </c>
      <c r="AN466" s="10">
        <v>5.5</v>
      </c>
      <c r="AO466" s="9"/>
      <c r="AP466" s="9"/>
      <c r="AQ466" s="9"/>
      <c r="AR466" s="9"/>
      <c r="AS466" s="9"/>
      <c r="AT466" s="9">
        <f>+ab($T$466,$T$464,$T$468,$G$465,$G$467,-1*$F$466,1200)</f>
        <v>12.997351583327822</v>
      </c>
      <c r="AU466" s="428"/>
      <c r="AV466" s="428"/>
      <c r="AW466" s="449"/>
      <c r="AX466" s="449"/>
      <c r="AY466" s="10" t="str">
        <f>IF(L466="","",
IF(AX466="PT",VLOOKUP(L466,Foundation_Calc!$K$79:$R$113,VLOOKUP(AW466,Foundation_Calc!$I$2:$J$8,2,FALSE),0),
IF(AX466="K",VLOOKUP(L466,Foundation_Calc!$K$117:$R$151,VLOOKUP(AW466,Foundation_Calc!$I$2:$J$8,2,FALSE),0),"")))</f>
        <v/>
      </c>
      <c r="AZ466" s="10" t="str">
        <f>IF(K466="","",
IF(AX466="PT",VLOOKUP(K466,Foundation_Calc!$K$79:$R$113,VLOOKUP(AW466,Foundation_Calc!$I$2:$J$8,2,FALSE),0),
IF(AX466="K",VLOOKUP(K466,Foundation_Calc!$K$117:$R$151,VLOOKUP(AW466,Foundation_Calc!$I$2:$J$8,2,FALSE),0),"")))</f>
        <v/>
      </c>
      <c r="BA466" s="495"/>
      <c r="BB466" s="495"/>
      <c r="BC466" s="495"/>
      <c r="BD466" s="513" t="str">
        <f>Pole_Calc!A$251</f>
        <v>App.8-V08H-P10.3</v>
      </c>
      <c r="BE466" s="429" t="s">
        <v>118</v>
      </c>
      <c r="BF466" s="289"/>
      <c r="BG466" s="289"/>
      <c r="BH466" s="290"/>
      <c r="BI466" s="289"/>
    </row>
    <row r="467" spans="1:61" ht="15.75" customHeight="1">
      <c r="A467" s="517" t="s">
        <v>442</v>
      </c>
      <c r="B467" s="450"/>
      <c r="C467" s="3"/>
      <c r="D467" s="83"/>
      <c r="E467" s="4"/>
      <c r="F467" s="4"/>
      <c r="G467" s="6">
        <v>60</v>
      </c>
      <c r="H467" s="449"/>
      <c r="I467" s="4"/>
      <c r="J467" s="3"/>
      <c r="K467" s="449"/>
      <c r="L467" s="449"/>
      <c r="M467" s="449" t="str">
        <f>IF(L467="","",
IF(AX467="PT",VLOOKUP(L467,Foundation_Calc!$V$79:$X$113,VLOOKUP(AX467,Foundation_Calc!$I$10:$J$13,2,FALSE),0),
IF(AX467="K",VLOOKUP(L467,Foundation_Calc!$V$117:$X$151,VLOOKUP(AX467,Foundation_Calc!$I$10:$J$13,2,FALSE),0),"")))</f>
        <v/>
      </c>
      <c r="N467" s="449"/>
      <c r="O467" s="449"/>
      <c r="P467" s="449"/>
      <c r="Q467" s="4"/>
      <c r="R467" s="6"/>
      <c r="S467" s="6"/>
      <c r="T467" s="4"/>
      <c r="U467" s="4"/>
      <c r="V467" s="4"/>
      <c r="W467" s="572"/>
      <c r="X467" s="572"/>
      <c r="Y467" s="9"/>
      <c r="Z467" s="9"/>
      <c r="AA467" s="9"/>
      <c r="AB467" s="9"/>
      <c r="AC467" s="449" t="str">
        <f t="shared" si="55"/>
        <v/>
      </c>
      <c r="AD467" s="449"/>
      <c r="AE467" s="449"/>
      <c r="AF467" s="4"/>
      <c r="AG467" s="83"/>
      <c r="AH467" s="4"/>
      <c r="AI467" s="4"/>
      <c r="AJ467" s="449"/>
      <c r="AK467" s="449"/>
      <c r="AL467" s="449"/>
      <c r="AM467" s="449"/>
      <c r="AN467" s="10"/>
      <c r="AO467" s="9"/>
      <c r="AP467" s="9"/>
      <c r="AQ467" s="9">
        <f>+FL_2($T$468,$T$466,$G$467,1200,9.28,-1*$F$468)</f>
        <v>-0.37673563199999993</v>
      </c>
      <c r="AR467" s="9"/>
      <c r="AS467" s="9"/>
      <c r="AT467" s="9"/>
      <c r="AU467" s="428"/>
      <c r="AV467" s="428"/>
      <c r="AW467" s="449"/>
      <c r="AX467" s="449"/>
      <c r="AY467" s="10" t="str">
        <f>IF(L467="","",
IF(AX467="PT",VLOOKUP(L467,Foundation_Calc!$K$79:$R$113,VLOOKUP(AW467,Foundation_Calc!$I$2:$J$8,2,FALSE),0),
IF(AX467="K",VLOOKUP(L467,Foundation_Calc!$K$117:$R$151,VLOOKUP(AW467,Foundation_Calc!$I$2:$J$8,2,FALSE),0),"")))</f>
        <v/>
      </c>
      <c r="AZ467" s="10" t="str">
        <f>IF(K467="","",
IF(AX467="PT",VLOOKUP(K467,Foundation_Calc!$K$79:$R$113,VLOOKUP(AW467,Foundation_Calc!$I$2:$J$8,2,FALSE),0),
IF(AX467="K",VLOOKUP(K467,Foundation_Calc!$K$117:$R$151,VLOOKUP(AW467,Foundation_Calc!$I$2:$J$8,2,FALSE),0),"")))</f>
        <v/>
      </c>
      <c r="BA467" s="495"/>
      <c r="BB467" s="495"/>
      <c r="BC467" s="495"/>
      <c r="BD467" s="513"/>
      <c r="BE467" s="429" t="s">
        <v>118</v>
      </c>
      <c r="BF467" s="290"/>
      <c r="BG467" s="290"/>
      <c r="BH467" s="290"/>
      <c r="BI467" s="290"/>
    </row>
    <row r="468" spans="1:61" ht="15.75" customHeight="1">
      <c r="A468" s="731" t="s">
        <v>442</v>
      </c>
      <c r="B468" s="536" t="s">
        <v>458</v>
      </c>
      <c r="C468" s="537">
        <f>+$C$466+$G$467</f>
        <v>41147.139999999985</v>
      </c>
      <c r="D468" s="538"/>
      <c r="E468" s="539"/>
      <c r="F468" s="539">
        <f>IF(C468&gt;0,VLOOKUP(C468,'ALIGNMENT TRACK'!$A$1:$K$81,9,1))</f>
        <v>0</v>
      </c>
      <c r="G468" s="540"/>
      <c r="H468" s="541"/>
      <c r="I468" s="539"/>
      <c r="J468" s="537"/>
      <c r="K468" s="541"/>
      <c r="L468" s="449" t="s">
        <v>455</v>
      </c>
      <c r="M468" s="449" t="s">
        <v>450</v>
      </c>
      <c r="N468" s="449" t="s">
        <v>343</v>
      </c>
      <c r="O468" s="449"/>
      <c r="P468" s="449"/>
      <c r="Q468" s="4"/>
      <c r="R468" s="6"/>
      <c r="S468" s="6"/>
      <c r="T468" s="4">
        <v>-20</v>
      </c>
      <c r="U468" s="4"/>
      <c r="V468" s="4"/>
      <c r="W468" s="572">
        <v>0.9</v>
      </c>
      <c r="X468" s="572"/>
      <c r="Y468" s="9"/>
      <c r="Z468" s="9"/>
      <c r="AA468" s="9"/>
      <c r="AB468" s="9"/>
      <c r="AC468" s="449" t="str">
        <f t="shared" si="55"/>
        <v>PH</v>
      </c>
      <c r="AD468" s="449"/>
      <c r="AE468" s="449"/>
      <c r="AF468" s="4"/>
      <c r="AG468" s="83"/>
      <c r="AH468" s="4"/>
      <c r="AI468" s="4"/>
      <c r="AJ468" s="449"/>
      <c r="AK468" s="449" t="s">
        <v>451</v>
      </c>
      <c r="AL468" s="449" t="s">
        <v>456</v>
      </c>
      <c r="AM468" s="449" t="s">
        <v>203</v>
      </c>
      <c r="AN468" s="543">
        <v>5.5</v>
      </c>
      <c r="AO468" s="542"/>
      <c r="AP468" s="542"/>
      <c r="AQ468" s="542"/>
      <c r="AR468" s="542"/>
      <c r="AS468" s="542"/>
      <c r="AT468" s="542">
        <f>+ab($T$468,$T$466,-$T$470,$G$467,$G$469,-1*$F$468,1200)</f>
        <v>-14.100289961004529</v>
      </c>
      <c r="AU468" s="544"/>
      <c r="AV468" s="544"/>
      <c r="AW468" s="541"/>
      <c r="AX468" s="541"/>
      <c r="AY468" s="543" t="str">
        <f>IF(L468="","",
IF(AX468="PT",VLOOKUP(L468,Foundation_Calc!$K$79:$R$113,VLOOKUP(AW468,Foundation_Calc!$I$2:$J$8,2,FALSE),0),
IF(AX468="K",VLOOKUP(L468,Foundation_Calc!$K$117:$R$151,VLOOKUP(AW468,Foundation_Calc!$I$2:$J$8,2,FALSE),0),"")))</f>
        <v/>
      </c>
      <c r="AZ468" s="543" t="str">
        <f>IF(K468="","",
IF(AX468="PT",VLOOKUP(K468,Foundation_Calc!$K$79:$R$113,VLOOKUP(AW468,Foundation_Calc!$I$2:$J$8,2,FALSE),0),
IF(AX468="K",VLOOKUP(K468,Foundation_Calc!$K$117:$R$151,VLOOKUP(AW468,Foundation_Calc!$I$2:$J$8,2,FALSE),0),"")))</f>
        <v/>
      </c>
      <c r="BA468" s="550"/>
      <c r="BB468" s="550"/>
      <c r="BC468" s="550"/>
      <c r="BD468" s="513" t="str">
        <f>Pole_Calc!A$251</f>
        <v>App.8-V08H-P10.3</v>
      </c>
      <c r="BE468" s="429" t="s">
        <v>118</v>
      </c>
      <c r="BF468" s="289"/>
      <c r="BG468" s="289"/>
      <c r="BH468" s="290"/>
      <c r="BI468" s="289"/>
    </row>
    <row r="469" spans="1:61" ht="15.75" customHeight="1">
      <c r="A469" s="514" t="s">
        <v>430</v>
      </c>
      <c r="B469" s="450"/>
      <c r="C469" s="3"/>
      <c r="D469" s="83"/>
      <c r="E469" s="4"/>
      <c r="F469" s="4"/>
      <c r="G469" s="6">
        <v>60</v>
      </c>
      <c r="H469" s="449"/>
      <c r="I469" s="4"/>
      <c r="J469" s="3"/>
      <c r="K469" s="449"/>
      <c r="L469" s="449"/>
      <c r="M469" s="449" t="str">
        <f>IF(L469="","",
IF(AX469="PT",VLOOKUP(L469,Foundation_Calc!$V$79:$X$113,VLOOKUP(AX469,Foundation_Calc!$I$10:$J$13,2,FALSE),0),
IF(AX469="K",VLOOKUP(L469,Foundation_Calc!$V$117:$X$151,VLOOKUP(AX469,Foundation_Calc!$I$10:$J$13,2,FALSE),0),"")))</f>
        <v/>
      </c>
      <c r="N469" s="449"/>
      <c r="O469" s="449"/>
      <c r="P469" s="449"/>
      <c r="Q469" s="4"/>
      <c r="R469" s="6"/>
      <c r="S469" s="6"/>
      <c r="T469" s="4"/>
      <c r="U469" s="4"/>
      <c r="V469" s="4"/>
      <c r="W469" s="572"/>
      <c r="X469" s="572"/>
      <c r="Y469" s="9"/>
      <c r="Z469" s="9"/>
      <c r="AA469" s="9"/>
      <c r="AB469" s="9"/>
      <c r="AC469" s="449" t="str">
        <f t="shared" si="55"/>
        <v/>
      </c>
      <c r="AD469" s="449"/>
      <c r="AE469" s="449"/>
      <c r="AF469" s="4"/>
      <c r="AG469" s="83"/>
      <c r="AH469" s="4"/>
      <c r="AI469" s="4"/>
      <c r="AJ469" s="449"/>
      <c r="AK469" s="449"/>
      <c r="AL469" s="449"/>
      <c r="AM469" s="449"/>
      <c r="AN469" s="10"/>
      <c r="AO469" s="9"/>
      <c r="AP469" s="9"/>
      <c r="AQ469" s="9">
        <f>+FL_2(-$T$470,$T$468,$G$469,1200,9.28,-1*$F$470)</f>
        <v>-0.37673563199999993</v>
      </c>
      <c r="AR469" s="9"/>
      <c r="AS469" s="9"/>
      <c r="AT469" s="9"/>
      <c r="AU469" s="428"/>
      <c r="AV469" s="428"/>
      <c r="AW469" s="449"/>
      <c r="AX469" s="449"/>
      <c r="AY469" s="10" t="str">
        <f>IF(L469="","",
IF(AX469="PT",VLOOKUP(L469,Foundation_Calc!$K$79:$R$113,VLOOKUP(AW469,Foundation_Calc!$I$2:$J$8,2,FALSE),0),
IF(AX469="K",VLOOKUP(L469,Foundation_Calc!$K$117:$R$151,VLOOKUP(AW469,Foundation_Calc!$I$2:$J$8,2,FALSE),0),"")))</f>
        <v/>
      </c>
      <c r="AZ469" s="10" t="str">
        <f>IF(K469="","",
IF(AX469="PT",VLOOKUP(K469,Foundation_Calc!$K$79:$R$113,VLOOKUP(AW469,Foundation_Calc!$I$2:$J$8,2,FALSE),0),
IF(AX469="K",VLOOKUP(K469,Foundation_Calc!$K$117:$R$151,VLOOKUP(AW469,Foundation_Calc!$I$2:$J$8,2,FALSE),0),"")))</f>
        <v/>
      </c>
      <c r="BA469" s="495"/>
      <c r="BB469" s="495"/>
      <c r="BC469" s="495"/>
      <c r="BD469" s="513" t="str">
        <f>IF(AND(L469="",H469=""),"",
IF(H469="",Pole_Calc!A$9,
IF(H469="MP",Pole_Calc!A$10,
IF(H469="AnMP",Pole_Calc!A$11,
IF(H469="A",Pole_Calc!A$12,
IF(H469="S/A",Pole_Calc!A$13,
IF(H469="A/S",Pole_Calc!A$14,"Poner a mano")))))))</f>
        <v/>
      </c>
      <c r="BE469" s="429" t="s">
        <v>118</v>
      </c>
      <c r="BF469" s="290"/>
      <c r="BG469" s="290"/>
      <c r="BH469" s="290"/>
      <c r="BI469" s="290"/>
    </row>
    <row r="470" spans="1:61" ht="15.75" customHeight="1">
      <c r="A470" s="514" t="s">
        <v>438</v>
      </c>
      <c r="B470" s="720" t="s">
        <v>459</v>
      </c>
      <c r="C470" s="3">
        <f>+$C$468+$G$469</f>
        <v>41207.139999999985</v>
      </c>
      <c r="D470" s="83"/>
      <c r="E470" s="4"/>
      <c r="F470" s="4">
        <f>IF(C470&gt;0,VLOOKUP(C470,'ALIGNMENT TRACK'!$A$1:$K$81,9,1))</f>
        <v>0</v>
      </c>
      <c r="G470" s="6"/>
      <c r="H470" s="449" t="s">
        <v>460</v>
      </c>
      <c r="I470" s="4"/>
      <c r="J470" s="3"/>
      <c r="K470" s="449"/>
      <c r="L470" s="449" t="s">
        <v>247</v>
      </c>
      <c r="M470" s="449" t="s">
        <v>450</v>
      </c>
      <c r="N470" s="553" t="s">
        <v>343</v>
      </c>
      <c r="O470" s="449"/>
      <c r="P470" s="449"/>
      <c r="Q470" s="4"/>
      <c r="R470" s="6"/>
      <c r="S470" s="6"/>
      <c r="T470" s="4">
        <v>-20</v>
      </c>
      <c r="U470" s="4"/>
      <c r="V470" s="4"/>
      <c r="W470" s="572">
        <v>0.9</v>
      </c>
      <c r="X470" s="9"/>
      <c r="Y470" s="9"/>
      <c r="Z470" s="9"/>
      <c r="AA470" s="9"/>
      <c r="AB470" s="9"/>
      <c r="AC470" s="449" t="str">
        <f t="shared" si="55"/>
        <v>PH</v>
      </c>
      <c r="AD470" s="449"/>
      <c r="AE470" s="449"/>
      <c r="AF470" s="4"/>
      <c r="AG470" s="83"/>
      <c r="AH470" s="4"/>
      <c r="AI470" s="4"/>
      <c r="AJ470" s="449"/>
      <c r="AK470" s="449" t="s">
        <v>451</v>
      </c>
      <c r="AL470" s="449" t="s">
        <v>456</v>
      </c>
      <c r="AM470" s="449" t="s">
        <v>126</v>
      </c>
      <c r="AN470" s="10">
        <v>5.5</v>
      </c>
      <c r="AO470" s="9"/>
      <c r="AP470" s="9"/>
      <c r="AQ470" s="9"/>
      <c r="AR470" s="9"/>
      <c r="AS470" s="9"/>
      <c r="AT470" s="9">
        <f>+ab(-$T$470,$T$468,$T$472,$G$469,$G$471,-1*$F$470,1200)</f>
        <v>13.194150491117416</v>
      </c>
      <c r="AU470" s="428"/>
      <c r="AV470" s="428"/>
      <c r="AW470" s="449"/>
      <c r="AX470" s="449"/>
      <c r="AY470" s="10" t="str">
        <f>IF(L470="","",
IF(AX470="PT",VLOOKUP(L470,Foundation_Calc!$K$79:$R$113,VLOOKUP(AW470,Foundation_Calc!$I$2:$J$8,2,FALSE),0),
IF(AX470="K",VLOOKUP(L470,Foundation_Calc!$K$117:$R$151,VLOOKUP(AW470,Foundation_Calc!$I$2:$J$8,2,FALSE),0),"")))</f>
        <v/>
      </c>
      <c r="AZ470" s="10" t="str">
        <f>IF(K470="","",
IF(AX470="PT",VLOOKUP(K470,Foundation_Calc!$K$79:$R$113,VLOOKUP(AW470,Foundation_Calc!$I$2:$J$8,2,FALSE),0),
IF(AX470="K",VLOOKUP(K470,Foundation_Calc!$K$117:$R$151,VLOOKUP(AW470,Foundation_Calc!$I$2:$J$8,2,FALSE),0),"")))</f>
        <v/>
      </c>
      <c r="BA470" s="495"/>
      <c r="BB470" s="495"/>
      <c r="BC470" s="495"/>
      <c r="BD470" s="513" t="str">
        <f>Pole_Calc!A$251</f>
        <v>App.8-V08H-P10.3</v>
      </c>
      <c r="BE470" s="429" t="s">
        <v>118</v>
      </c>
      <c r="BF470" s="289"/>
      <c r="BG470" s="289"/>
      <c r="BH470" s="290"/>
      <c r="BI470" s="289"/>
    </row>
    <row r="471" spans="1:61" ht="15.75" customHeight="1">
      <c r="A471" s="514"/>
      <c r="B471" s="450"/>
      <c r="C471" s="3"/>
      <c r="D471" s="83"/>
      <c r="E471" s="4"/>
      <c r="F471" s="4"/>
      <c r="G471" s="6">
        <v>52.5</v>
      </c>
      <c r="H471" s="449"/>
      <c r="I471" s="4">
        <f>SUM(G447:G471)</f>
        <v>557</v>
      </c>
      <c r="J471" s="3"/>
      <c r="K471" s="449"/>
      <c r="L471" s="449"/>
      <c r="M471" s="449" t="str">
        <f>IF(L471="","",
IF(AX471="PT",VLOOKUP(L471,Foundation_Calc!$V$79:$X$113,VLOOKUP(AX471,Foundation_Calc!$I$10:$J$13,2,FALSE),0),
IF(AX471="K",VLOOKUP(L471,Foundation_Calc!$V$117:$X$151,VLOOKUP(AX471,Foundation_Calc!$I$10:$J$13,2,FALSE),0),"")))</f>
        <v/>
      </c>
      <c r="N471" s="449"/>
      <c r="O471" s="449"/>
      <c r="P471" s="449"/>
      <c r="Q471" s="4"/>
      <c r="R471" s="6"/>
      <c r="S471" s="6"/>
      <c r="T471" s="4"/>
      <c r="U471" s="4"/>
      <c r="V471" s="4"/>
      <c r="W471" s="572"/>
      <c r="X471" s="9"/>
      <c r="Y471" s="9"/>
      <c r="Z471" s="9"/>
      <c r="AA471" s="9"/>
      <c r="AB471" s="9"/>
      <c r="AC471" s="449" t="str">
        <f t="shared" si="55"/>
        <v/>
      </c>
      <c r="AD471" s="449"/>
      <c r="AE471" s="449"/>
      <c r="AF471" s="4"/>
      <c r="AG471" s="83"/>
      <c r="AH471" s="4"/>
      <c r="AI471" s="4"/>
      <c r="AJ471" s="449"/>
      <c r="AK471" s="449"/>
      <c r="AL471" s="449"/>
      <c r="AM471" s="449"/>
      <c r="AN471" s="10"/>
      <c r="AO471" s="9"/>
      <c r="AP471" s="9"/>
      <c r="AQ471" s="9">
        <f>+FL_2(-$T$472,$T$470,$G$471,1200,9.28,-1*$F$472)</f>
        <v>-0.30396975238095242</v>
      </c>
      <c r="AR471" s="9"/>
      <c r="AS471" s="9"/>
      <c r="AT471" s="9"/>
      <c r="AU471" s="428"/>
      <c r="AV471" s="428"/>
      <c r="AW471" s="449"/>
      <c r="AX471" s="449"/>
      <c r="AY471" s="10" t="str">
        <f>IF(L471="","",
IF(AX471="PT",VLOOKUP(L471,Foundation_Calc!$K$79:$R$113,VLOOKUP(AW471,Foundation_Calc!$I$2:$J$8,2,FALSE),0),
IF(AX471="K",VLOOKUP(L471,Foundation_Calc!$K$117:$R$151,VLOOKUP(AW471,Foundation_Calc!$I$2:$J$8,2,FALSE),0),"")))</f>
        <v/>
      </c>
      <c r="AZ471" s="10" t="str">
        <f>IF(K471="","",
IF(AX471="PT",VLOOKUP(K471,Foundation_Calc!$K$79:$R$113,VLOOKUP(AW471,Foundation_Calc!$I$2:$J$8,2,FALSE),0),
IF(AX471="K",VLOOKUP(K471,Foundation_Calc!$K$117:$R$151,VLOOKUP(AW471,Foundation_Calc!$I$2:$J$8,2,FALSE),0),"")))</f>
        <v/>
      </c>
      <c r="BA471" s="495"/>
      <c r="BB471" s="495"/>
      <c r="BC471" s="495"/>
      <c r="BD471" s="513" t="str">
        <f>IF(AND(L471="",H471=""),"",
IF(H471="",Pole_Calc!A$9,
IF(H471="MP",Pole_Calc!A$10,
IF(H471="AnMP",Pole_Calc!A$11,
IF(H471="A",Pole_Calc!A$12,
IF(H471="S/A",Pole_Calc!A$13,
IF(H471="A/S",Pole_Calc!A$14,"Poner a mano")))))))</f>
        <v/>
      </c>
      <c r="BE471" s="429" t="s">
        <v>118</v>
      </c>
      <c r="BF471" s="290"/>
      <c r="BG471" s="290"/>
      <c r="BH471" s="290"/>
      <c r="BI471" s="290"/>
    </row>
    <row r="472" spans="1:61" ht="15.75" customHeight="1">
      <c r="A472" s="514"/>
      <c r="B472" s="720" t="s">
        <v>461</v>
      </c>
      <c r="C472" s="3">
        <f>+$C$470+$G$471</f>
        <v>41259.639999999985</v>
      </c>
      <c r="D472" s="83"/>
      <c r="E472" s="4"/>
      <c r="F472" s="4">
        <f>IF(C472&gt;0,VLOOKUP(C472,'ALIGNMENT TRACK'!$A$1:$K$81,9,1))</f>
        <v>0</v>
      </c>
      <c r="G472" s="6"/>
      <c r="H472" s="449" t="s">
        <v>171</v>
      </c>
      <c r="I472" s="4"/>
      <c r="J472" s="3"/>
      <c r="K472" s="449"/>
      <c r="L472" s="449" t="s">
        <v>455</v>
      </c>
      <c r="M472" s="449" t="s">
        <v>450</v>
      </c>
      <c r="N472" s="449" t="s">
        <v>124</v>
      </c>
      <c r="O472" s="449"/>
      <c r="P472" s="449"/>
      <c r="Q472" s="4"/>
      <c r="R472" s="6"/>
      <c r="S472" s="6"/>
      <c r="T472" s="4">
        <v>-20</v>
      </c>
      <c r="U472" s="4"/>
      <c r="V472" s="4"/>
      <c r="W472" s="572">
        <v>1.1000000000000001</v>
      </c>
      <c r="X472" s="9"/>
      <c r="Y472" s="9"/>
      <c r="Z472" s="9"/>
      <c r="AA472" s="9"/>
      <c r="AB472" s="9"/>
      <c r="AC472" s="449" t="str">
        <f t="shared" si="55"/>
        <v>PH</v>
      </c>
      <c r="AD472" s="449"/>
      <c r="AE472" s="449"/>
      <c r="AF472" s="4"/>
      <c r="AG472" s="83"/>
      <c r="AH472" s="4"/>
      <c r="AI472" s="4"/>
      <c r="AJ472" s="449"/>
      <c r="AK472" s="449"/>
      <c r="AL472" s="449" t="s">
        <v>456</v>
      </c>
      <c r="AM472" s="449" t="s">
        <v>126</v>
      </c>
      <c r="AN472" s="10">
        <v>5.5</v>
      </c>
      <c r="AO472" s="9"/>
      <c r="AP472" s="9"/>
      <c r="AQ472" s="9"/>
      <c r="AR472" s="9"/>
      <c r="AS472" s="9"/>
      <c r="AT472" s="9">
        <f>+ab($T$472,-$T$470,$T$474,$G$471,$G$473,-1*$F$472,1200)</f>
        <v>-10.997227470180052</v>
      </c>
      <c r="AU472" s="428"/>
      <c r="AV472" s="428"/>
      <c r="AW472" s="449"/>
      <c r="AX472" s="449"/>
      <c r="AY472" s="10" t="str">
        <f>IF(L472="","",
IF(AX472="PT",VLOOKUP(L472,Foundation_Calc!$K$79:$R$113,VLOOKUP(AW472,Foundation_Calc!$I$2:$J$8,2,FALSE),0),
IF(AX472="K",VLOOKUP(L472,Foundation_Calc!$K$117:$R$151,VLOOKUP(AW472,Foundation_Calc!$I$2:$J$8,2,FALSE),0),"")))</f>
        <v/>
      </c>
      <c r="AZ472" s="10" t="str">
        <f>IF(K472="","",
IF(AX472="PT",VLOOKUP(K472,Foundation_Calc!$K$79:$R$113,VLOOKUP(AW472,Foundation_Calc!$I$2:$J$8,2,FALSE),0),
IF(AX472="K",VLOOKUP(K472,Foundation_Calc!$K$117:$R$151,VLOOKUP(AW472,Foundation_Calc!$I$2:$J$8,2,FALSE),0),"")))</f>
        <v/>
      </c>
      <c r="BA472" s="495"/>
      <c r="BB472" s="495"/>
      <c r="BC472" s="495"/>
      <c r="BD472" s="513" t="str">
        <f>Pole_Calc!A$251</f>
        <v>App.8-V08H-P10.3</v>
      </c>
      <c r="BE472" s="429" t="s">
        <v>118</v>
      </c>
      <c r="BF472" s="289"/>
      <c r="BG472" s="289"/>
      <c r="BH472" s="290"/>
      <c r="BI472" s="289"/>
    </row>
    <row r="473" spans="1:61" ht="15.75" customHeight="1">
      <c r="A473" s="514"/>
      <c r="B473" s="450"/>
      <c r="C473" s="3"/>
      <c r="D473" s="83"/>
      <c r="E473" s="4"/>
      <c r="F473" s="4"/>
      <c r="G473" s="6">
        <v>52</v>
      </c>
      <c r="H473" s="449"/>
      <c r="I473" s="4">
        <f>SUM(G473:G493)</f>
        <v>513</v>
      </c>
      <c r="J473" s="3"/>
      <c r="K473" s="449"/>
      <c r="L473" s="449"/>
      <c r="M473" s="449" t="str">
        <f>IF(L473="","",
IF(AX473="PT",VLOOKUP(L473,Foundation_Calc!$V$79:$X$113,VLOOKUP(AX473,Foundation_Calc!$I$10:$J$13,2,FALSE),0),
IF(AX473="K",VLOOKUP(L473,Foundation_Calc!$V$117:$X$151,VLOOKUP(AX473,Foundation_Calc!$I$10:$J$13,2,FALSE),0),"")))</f>
        <v/>
      </c>
      <c r="N473" s="449"/>
      <c r="O473" s="449"/>
      <c r="P473" s="449"/>
      <c r="Q473" s="4"/>
      <c r="R473" s="6"/>
      <c r="S473" s="6"/>
      <c r="T473" s="4"/>
      <c r="U473" s="4"/>
      <c r="V473" s="4"/>
      <c r="W473" s="572"/>
      <c r="X473" s="9"/>
      <c r="Y473" s="9"/>
      <c r="Z473" s="9"/>
      <c r="AA473" s="9"/>
      <c r="AB473" s="9"/>
      <c r="AC473" s="449" t="str">
        <f t="shared" si="55"/>
        <v/>
      </c>
      <c r="AD473" s="449"/>
      <c r="AE473" s="449"/>
      <c r="AF473" s="4"/>
      <c r="AG473" s="83"/>
      <c r="AH473" s="4"/>
      <c r="AI473" s="4"/>
      <c r="AJ473" s="449"/>
      <c r="AK473" s="449"/>
      <c r="AL473" s="449"/>
      <c r="AM473" s="449"/>
      <c r="AN473" s="10"/>
      <c r="AO473" s="9"/>
      <c r="AP473" s="9"/>
      <c r="AQ473" s="9">
        <f>+FL_1($T$474,$T$472,$G$473,1200,9.28,-1*$F$474)</f>
        <v>0.37116400276923073</v>
      </c>
      <c r="AR473" s="9"/>
      <c r="AS473" s="9"/>
      <c r="AT473" s="9"/>
      <c r="AU473" s="428"/>
      <c r="AV473" s="428"/>
      <c r="AW473" s="449"/>
      <c r="AX473" s="449"/>
      <c r="AY473" s="10" t="str">
        <f>IF(L473="","",
IF(AX473="PT",VLOOKUP(L473,Foundation_Calc!$K$79:$R$113,VLOOKUP(AW473,Foundation_Calc!$I$2:$J$8,2,FALSE),0),
IF(AX473="K",VLOOKUP(L473,Foundation_Calc!$K$117:$R$151,VLOOKUP(AW473,Foundation_Calc!$I$2:$J$8,2,FALSE),0),"")))</f>
        <v/>
      </c>
      <c r="AZ473" s="10" t="str">
        <f>IF(K473="","",
IF(AX473="PT",VLOOKUP(K473,Foundation_Calc!$K$79:$R$113,VLOOKUP(AW473,Foundation_Calc!$I$2:$J$8,2,FALSE),0),
IF(AX473="K",VLOOKUP(K473,Foundation_Calc!$K$117:$R$151,VLOOKUP(AW473,Foundation_Calc!$I$2:$J$8,2,FALSE),0),"")))</f>
        <v/>
      </c>
      <c r="BA473" s="495"/>
      <c r="BB473" s="495"/>
      <c r="BC473" s="495"/>
      <c r="BD473" s="513" t="str">
        <f>IF(AND(L473="",H473=""),"",
IF(H473="",Pole_Calc!A$9,
IF(H473="MP",Pole_Calc!A$10,
IF(H473="AnMP",Pole_Calc!A$11,
IF(H473="A",Pole_Calc!A$12,
IF(H473="S/A",Pole_Calc!A$13,
IF(H473="A/S",Pole_Calc!A$14,"Poner a mano")))))))</f>
        <v/>
      </c>
      <c r="BE473" s="429" t="s">
        <v>118</v>
      </c>
      <c r="BF473" s="290"/>
      <c r="BG473" s="290"/>
      <c r="BH473" s="290"/>
      <c r="BI473" s="290"/>
    </row>
    <row r="474" spans="1:61" ht="15.75" customHeight="1">
      <c r="A474" s="514"/>
      <c r="B474" s="720" t="s">
        <v>462</v>
      </c>
      <c r="C474" s="3">
        <f>+$C$472+$G$473</f>
        <v>41311.639999999985</v>
      </c>
      <c r="D474" s="83"/>
      <c r="E474" s="4"/>
      <c r="F474" s="4">
        <f>IF(C474&gt;0,VLOOKUP(C474,'ALIGNMENT TRACK'!$A$1:$K$81,9,1))</f>
        <v>0</v>
      </c>
      <c r="G474" s="6"/>
      <c r="H474" s="449" t="s">
        <v>168</v>
      </c>
      <c r="I474" s="4"/>
      <c r="J474" s="3"/>
      <c r="K474" s="449"/>
      <c r="L474" s="449" t="s">
        <v>455</v>
      </c>
      <c r="M474" s="449" t="s">
        <v>450</v>
      </c>
      <c r="N474" s="449" t="s">
        <v>134</v>
      </c>
      <c r="O474" s="449"/>
      <c r="P474" s="449"/>
      <c r="Q474" s="4"/>
      <c r="R474" s="6"/>
      <c r="S474" s="6"/>
      <c r="T474" s="4">
        <v>30</v>
      </c>
      <c r="U474" s="4"/>
      <c r="V474" s="4"/>
      <c r="W474" s="572">
        <v>1.2</v>
      </c>
      <c r="X474" s="9"/>
      <c r="Y474" s="9"/>
      <c r="Z474" s="9"/>
      <c r="AA474" s="9"/>
      <c r="AB474" s="9"/>
      <c r="AC474" s="449" t="str">
        <f t="shared" si="55"/>
        <v>PH</v>
      </c>
      <c r="AD474" s="449"/>
      <c r="AE474" s="449"/>
      <c r="AF474" s="4"/>
      <c r="AG474" s="83"/>
      <c r="AH474" s="4"/>
      <c r="AI474" s="4"/>
      <c r="AJ474" s="449"/>
      <c r="AK474" s="449"/>
      <c r="AL474" s="449" t="s">
        <v>456</v>
      </c>
      <c r="AM474" s="449" t="s">
        <v>126</v>
      </c>
      <c r="AN474" s="10">
        <v>5.5</v>
      </c>
      <c r="AO474" s="9"/>
      <c r="AP474" s="9"/>
      <c r="AQ474" s="9"/>
      <c r="AR474" s="9"/>
      <c r="AS474" s="9"/>
      <c r="AT474" s="9">
        <f>+ab($T$474,$T$472,$T$476,$G$473,$G$475,-1*$F$474,1200)</f>
        <v>8.6114312917983824</v>
      </c>
      <c r="AU474" s="428"/>
      <c r="AV474" s="428"/>
      <c r="AW474" s="449"/>
      <c r="AX474" s="449"/>
      <c r="AY474" s="10" t="str">
        <f>IF(L474="","",
IF(AX474="PT",VLOOKUP(L474,Foundation_Calc!$K$79:$R$113,VLOOKUP(AW474,Foundation_Calc!$I$2:$J$8,2,FALSE),0),
IF(AX474="K",VLOOKUP(L474,Foundation_Calc!$K$117:$R$151,VLOOKUP(AW474,Foundation_Calc!$I$2:$J$8,2,FALSE),0),"")))</f>
        <v/>
      </c>
      <c r="AZ474" s="10" t="str">
        <f>IF(K474="","",
IF(AX474="PT",VLOOKUP(K474,Foundation_Calc!$K$79:$R$113,VLOOKUP(AW474,Foundation_Calc!$I$2:$J$8,2,FALSE),0),
IF(AX474="K",VLOOKUP(K474,Foundation_Calc!$K$117:$R$151,VLOOKUP(AW474,Foundation_Calc!$I$2:$J$8,2,FALSE),0),"")))</f>
        <v/>
      </c>
      <c r="BA474" s="495"/>
      <c r="BB474" s="495"/>
      <c r="BC474" s="495"/>
      <c r="BD474" s="513" t="str">
        <f>Pole_Calc!A$251</f>
        <v>App.8-V08H-P10.3</v>
      </c>
      <c r="BE474" s="429" t="s">
        <v>118</v>
      </c>
      <c r="BF474" s="289"/>
      <c r="BG474" s="289"/>
      <c r="BH474" s="290"/>
      <c r="BI474" s="289"/>
    </row>
    <row r="475" spans="1:61" ht="15.75" customHeight="1">
      <c r="A475" s="514"/>
      <c r="B475" s="450"/>
      <c r="C475" s="3"/>
      <c r="D475" s="83"/>
      <c r="E475" s="4"/>
      <c r="F475" s="4"/>
      <c r="G475" s="6">
        <v>52</v>
      </c>
      <c r="H475" s="449"/>
      <c r="I475" s="4"/>
      <c r="J475" s="3"/>
      <c r="K475" s="449"/>
      <c r="L475" s="449"/>
      <c r="M475" s="449" t="str">
        <f>IF(L475="","",
IF(AX475="PT",VLOOKUP(L475,Foundation_Calc!$V$79:$X$113,VLOOKUP(AX475,Foundation_Calc!$I$10:$J$13,2,FALSE),0),
IF(AX475="K",VLOOKUP(L475,Foundation_Calc!$V$117:$X$151,VLOOKUP(AX475,Foundation_Calc!$I$10:$J$13,2,FALSE),0),"")))</f>
        <v/>
      </c>
      <c r="N475" s="449"/>
      <c r="O475" s="449"/>
      <c r="P475" s="449"/>
      <c r="Q475" s="4"/>
      <c r="R475" s="6"/>
      <c r="S475" s="6"/>
      <c r="T475" s="4"/>
      <c r="U475" s="4"/>
      <c r="V475" s="4"/>
      <c r="W475" s="572"/>
      <c r="X475" s="9"/>
      <c r="Y475" s="9"/>
      <c r="Z475" s="9"/>
      <c r="AA475" s="9"/>
      <c r="AB475" s="9"/>
      <c r="AC475" s="449" t="str">
        <f t="shared" si="55"/>
        <v/>
      </c>
      <c r="AD475" s="449"/>
      <c r="AE475" s="449"/>
      <c r="AF475" s="4"/>
      <c r="AG475" s="83"/>
      <c r="AH475" s="4"/>
      <c r="AI475" s="4"/>
      <c r="AJ475" s="449"/>
      <c r="AK475" s="449"/>
      <c r="AL475" s="449"/>
      <c r="AM475" s="449"/>
      <c r="AN475" s="10"/>
      <c r="AO475" s="9"/>
      <c r="AP475" s="9"/>
      <c r="AQ475" s="9">
        <f>+FL_2($T$476,$T$474,$G$475,1200,9.28,-1*$F$476)</f>
        <v>-0.387410368</v>
      </c>
      <c r="AR475" s="9"/>
      <c r="AS475" s="9"/>
      <c r="AT475" s="9"/>
      <c r="AU475" s="428"/>
      <c r="AV475" s="428"/>
      <c r="AW475" s="449"/>
      <c r="AX475" s="449"/>
      <c r="AY475" s="10" t="str">
        <f>IF(L475="","",
IF(AX475="PT",VLOOKUP(L475,Foundation_Calc!$K$79:$R$113,VLOOKUP(AW475,Foundation_Calc!$I$2:$J$8,2,FALSE),0),
IF(AX475="K",VLOOKUP(L475,Foundation_Calc!$K$117:$R$151,VLOOKUP(AW475,Foundation_Calc!$I$2:$J$8,2,FALSE),0),"")))</f>
        <v/>
      </c>
      <c r="AZ475" s="10" t="str">
        <f>IF(K475="","",
IF(AX475="PT",VLOOKUP(K475,Foundation_Calc!$K$79:$R$113,VLOOKUP(AW475,Foundation_Calc!$I$2:$J$8,2,FALSE),0),
IF(AX475="K",VLOOKUP(K475,Foundation_Calc!$K$117:$R$151,VLOOKUP(AW475,Foundation_Calc!$I$2:$J$8,2,FALSE),0),"")))</f>
        <v/>
      </c>
      <c r="BA475" s="495"/>
      <c r="BB475" s="495"/>
      <c r="BC475" s="495"/>
      <c r="BD475" s="513" t="str">
        <f>IF(AND(L475="",H475=""),"",
IF(H475="",Pole_Calc!A$9,
IF(H475="MP",Pole_Calc!A$10,
IF(H475="AnMP",Pole_Calc!A$11,
IF(H475="A",Pole_Calc!A$12,
IF(H475="S/A",Pole_Calc!A$13,
IF(H475="A/S",Pole_Calc!A$14,"Poner a mano")))))))</f>
        <v/>
      </c>
      <c r="BE475" s="429" t="s">
        <v>118</v>
      </c>
      <c r="BF475" s="290"/>
      <c r="BG475" s="290"/>
      <c r="BH475" s="290"/>
      <c r="BI475" s="290"/>
    </row>
    <row r="476" spans="1:61" ht="15.75" customHeight="1">
      <c r="A476" s="518"/>
      <c r="B476" s="720" t="s">
        <v>463</v>
      </c>
      <c r="C476" s="3">
        <f>+$C$474+$G$475</f>
        <v>41363.639999999985</v>
      </c>
      <c r="D476" s="83"/>
      <c r="E476" s="4"/>
      <c r="F476" s="4">
        <f>IF(C476&gt;0,VLOOKUP(C476,'ALIGNMENT TRACK'!$A$1:$K$81,9,1))</f>
        <v>0</v>
      </c>
      <c r="G476" s="6"/>
      <c r="H476" s="449"/>
      <c r="I476" s="4"/>
      <c r="J476" s="3"/>
      <c r="K476" s="449"/>
      <c r="L476" s="449" t="s">
        <v>153</v>
      </c>
      <c r="M476" s="449" t="s">
        <v>450</v>
      </c>
      <c r="N476" s="449" t="s">
        <v>124</v>
      </c>
      <c r="O476" s="449"/>
      <c r="P476" s="449"/>
      <c r="Q476" s="4"/>
      <c r="R476" s="6"/>
      <c r="S476" s="6"/>
      <c r="T476" s="4">
        <v>-35</v>
      </c>
      <c r="U476" s="4"/>
      <c r="V476" s="4"/>
      <c r="W476" s="9">
        <v>1.4</v>
      </c>
      <c r="X476" s="9"/>
      <c r="Y476" s="9"/>
      <c r="Z476" s="9"/>
      <c r="AA476" s="9"/>
      <c r="AB476" s="9"/>
      <c r="AC476" s="449" t="str">
        <f t="shared" si="55"/>
        <v>PHQ</v>
      </c>
      <c r="AD476" s="449"/>
      <c r="AE476" s="449"/>
      <c r="AF476" s="4"/>
      <c r="AG476" s="83"/>
      <c r="AH476" s="4"/>
      <c r="AI476" s="4"/>
      <c r="AJ476" s="449"/>
      <c r="AK476" s="449"/>
      <c r="AL476" s="449"/>
      <c r="AM476" s="449" t="s">
        <v>126</v>
      </c>
      <c r="AN476" s="10">
        <v>5.5</v>
      </c>
      <c r="AO476" s="9"/>
      <c r="AP476" s="9"/>
      <c r="AQ476" s="9"/>
      <c r="AR476" s="9"/>
      <c r="AS476" s="9"/>
      <c r="AT476" s="9">
        <f>+ab($T$476,$T$474,$T$478,$G$475,$G$477,-1*$F$476,1200)</f>
        <v>-7.2030574134079854</v>
      </c>
      <c r="AU476" s="428"/>
      <c r="AV476" s="428"/>
      <c r="AW476" s="449"/>
      <c r="AX476" s="449"/>
      <c r="AY476" s="10" t="str">
        <f>IF(L476="","",
IF(AX476="PT",VLOOKUP(L476,Foundation_Calc!$K$79:$R$113,VLOOKUP(AW476,Foundation_Calc!$I$2:$J$8,2,FALSE),0),
IF(AX476="K",VLOOKUP(L476,Foundation_Calc!$K$117:$R$151,VLOOKUP(AW476,Foundation_Calc!$I$2:$J$8,2,FALSE),0),"")))</f>
        <v/>
      </c>
      <c r="AZ476" s="10" t="str">
        <f>IF(K476="","",
IF(AX476="PT",VLOOKUP(K476,Foundation_Calc!$K$79:$R$113,VLOOKUP(AW476,Foundation_Calc!$I$2:$J$8,2,FALSE),0),
IF(AX476="K",VLOOKUP(K476,Foundation_Calc!$K$117:$R$151,VLOOKUP(AW476,Foundation_Calc!$I$2:$J$8,2,FALSE),0),"")))</f>
        <v/>
      </c>
      <c r="BA476" s="495"/>
      <c r="BB476" s="495"/>
      <c r="BC476" s="495"/>
      <c r="BD476" s="513" t="str">
        <f>IF(AND(L476="",H476=""),"",
IF(H476="",Pole_Calc!A$9,
IF(H476="MP",Pole_Calc!A$10,
IF(H476="AnMP",Pole_Calc!A$11,
IF(H476="A",Pole_Calc!A$12,
IF(H476="S/A",Pole_Calc!A$13,
IF(H476="A/S",Pole_Calc!A$14,"Poner a mano")))))))</f>
        <v>App.7-V11I-P9.5.1.1</v>
      </c>
      <c r="BE476" s="429" t="s">
        <v>118</v>
      </c>
      <c r="BF476" s="289"/>
      <c r="BG476" s="289"/>
      <c r="BH476" s="290"/>
      <c r="BI476" s="289"/>
    </row>
    <row r="477" spans="1:61" ht="15.75" customHeight="1">
      <c r="A477" s="518"/>
      <c r="B477" s="450"/>
      <c r="C477" s="3"/>
      <c r="D477" s="83"/>
      <c r="E477" s="4"/>
      <c r="F477" s="4"/>
      <c r="G477" s="6">
        <v>50</v>
      </c>
      <c r="H477" s="449"/>
      <c r="I477" s="4"/>
      <c r="J477" s="3"/>
      <c r="K477" s="449"/>
      <c r="L477" s="449"/>
      <c r="M477" s="449" t="str">
        <f>IF(L477="","",
IF(AX477="PT",VLOOKUP(L477,Foundation_Calc!$V$79:$X$113,VLOOKUP(AX477,Foundation_Calc!$I$10:$J$13,2,FALSE),0),
IF(AX477="K",VLOOKUP(L477,Foundation_Calc!$V$117:$X$151,VLOOKUP(AX477,Foundation_Calc!$I$10:$J$13,2,FALSE),0),"")))</f>
        <v/>
      </c>
      <c r="N477" s="449"/>
      <c r="O477" s="449"/>
      <c r="P477" s="449"/>
      <c r="Q477" s="4"/>
      <c r="R477" s="6"/>
      <c r="S477" s="6"/>
      <c r="T477" s="4"/>
      <c r="U477" s="4"/>
      <c r="V477" s="4"/>
      <c r="W477" s="9"/>
      <c r="X477" s="9"/>
      <c r="Y477" s="9"/>
      <c r="Z477" s="9"/>
      <c r="AA477" s="9"/>
      <c r="AB477" s="9"/>
      <c r="AC477" s="449" t="str">
        <f t="shared" si="55"/>
        <v/>
      </c>
      <c r="AD477" s="449"/>
      <c r="AE477" s="449"/>
      <c r="AF477" s="4"/>
      <c r="AG477" s="83"/>
      <c r="AH477" s="4"/>
      <c r="AI477" s="4"/>
      <c r="AJ477" s="449"/>
      <c r="AK477" s="449"/>
      <c r="AL477" s="449"/>
      <c r="AM477" s="449"/>
      <c r="AN477" s="10"/>
      <c r="AO477" s="9"/>
      <c r="AP477" s="9"/>
      <c r="AQ477" s="9">
        <f>+FL_1($T$478,$T$476,$G$477,1200,9.28,-1*$F$478)</f>
        <v>0.36839079999999996</v>
      </c>
      <c r="AR477" s="9"/>
      <c r="AS477" s="9"/>
      <c r="AT477" s="9"/>
      <c r="AU477" s="428"/>
      <c r="AV477" s="428"/>
      <c r="AW477" s="449"/>
      <c r="AX477" s="449"/>
      <c r="AY477" s="10" t="str">
        <f>IF(L477="","",
IF(AX477="PT",VLOOKUP(L477,Foundation_Calc!$K$79:$R$113,VLOOKUP(AW477,Foundation_Calc!$I$2:$J$8,2,FALSE),0),
IF(AX477="K",VLOOKUP(L477,Foundation_Calc!$K$117:$R$151,VLOOKUP(AW477,Foundation_Calc!$I$2:$J$8,2,FALSE),0),"")))</f>
        <v/>
      </c>
      <c r="AZ477" s="10" t="str">
        <f>IF(K477="","",
IF(AX477="PT",VLOOKUP(K477,Foundation_Calc!$K$79:$R$113,VLOOKUP(AW477,Foundation_Calc!$I$2:$J$8,2,FALSE),0),
IF(AX477="K",VLOOKUP(K477,Foundation_Calc!$K$117:$R$151,VLOOKUP(AW477,Foundation_Calc!$I$2:$J$8,2,FALSE),0),"")))</f>
        <v/>
      </c>
      <c r="BA477" s="495"/>
      <c r="BB477" s="495"/>
      <c r="BC477" s="495"/>
      <c r="BD477" s="513" t="str">
        <f>IF(AND(L477="",H477=""),"",
IF(H477="",Pole_Calc!A$9,
IF(H477="MP",Pole_Calc!A$10,
IF(H477="AnMP",Pole_Calc!A$11,
IF(H477="A",Pole_Calc!A$12,
IF(H477="S/A",Pole_Calc!A$13,
IF(H477="A/S",Pole_Calc!A$14,"Poner a mano")))))))</f>
        <v/>
      </c>
      <c r="BE477" s="429" t="s">
        <v>118</v>
      </c>
      <c r="BF477" s="290"/>
      <c r="BG477" s="290"/>
      <c r="BH477" s="290"/>
      <c r="BI477" s="290"/>
    </row>
    <row r="478" spans="1:61" ht="15.75" customHeight="1">
      <c r="A478" s="514"/>
      <c r="B478" s="720" t="s">
        <v>464</v>
      </c>
      <c r="C478" s="3">
        <f>+$C$476+$G$477</f>
        <v>41413.639999999985</v>
      </c>
      <c r="D478" s="83"/>
      <c r="E478" s="4"/>
      <c r="F478" s="4">
        <f>IF(C478&gt;0,VLOOKUP(C478,'ALIGNMENT TRACK'!$A$1:$K$81,9,1))</f>
        <v>0</v>
      </c>
      <c r="G478" s="6"/>
      <c r="H478" s="449"/>
      <c r="I478" s="4"/>
      <c r="J478" s="3"/>
      <c r="K478" s="449"/>
      <c r="L478" s="449" t="s">
        <v>455</v>
      </c>
      <c r="M478" s="449" t="s">
        <v>450</v>
      </c>
      <c r="N478" s="449" t="s">
        <v>134</v>
      </c>
      <c r="O478" s="449"/>
      <c r="P478" s="449"/>
      <c r="Q478" s="4"/>
      <c r="R478" s="6"/>
      <c r="S478" s="6"/>
      <c r="T478" s="4">
        <v>35</v>
      </c>
      <c r="U478" s="4"/>
      <c r="V478" s="4"/>
      <c r="W478" s="9">
        <v>1.4</v>
      </c>
      <c r="X478" s="9"/>
      <c r="Y478" s="9"/>
      <c r="Z478" s="9"/>
      <c r="AA478" s="9"/>
      <c r="AB478" s="9"/>
      <c r="AC478" s="449" t="str">
        <f t="shared" si="55"/>
        <v>PHQ</v>
      </c>
      <c r="AD478" s="449"/>
      <c r="AE478" s="449"/>
      <c r="AF478" s="4"/>
      <c r="AG478" s="83"/>
      <c r="AH478" s="4"/>
      <c r="AI478" s="4"/>
      <c r="AJ478" s="449"/>
      <c r="AK478" s="449"/>
      <c r="AL478" s="449" t="s">
        <v>456</v>
      </c>
      <c r="AM478" s="449" t="s">
        <v>126</v>
      </c>
      <c r="AN478" s="10">
        <v>5.5</v>
      </c>
      <c r="AO478" s="9"/>
      <c r="AP478" s="9"/>
      <c r="AQ478" s="9"/>
      <c r="AR478" s="9"/>
      <c r="AS478" s="9"/>
      <c r="AT478" s="9">
        <f>+ab($T$478,$T$476,$T$480,$G$477,$G$479,-1*$F$478,1200)</f>
        <v>6.0690214289301956</v>
      </c>
      <c r="AU478" s="428"/>
      <c r="AV478" s="428"/>
      <c r="AW478" s="449"/>
      <c r="AX478" s="449"/>
      <c r="AY478" s="10" t="str">
        <f>IF(L478="","",
IF(AX478="PT",VLOOKUP(L478,Foundation_Calc!$K$79:$R$113,VLOOKUP(AW478,Foundation_Calc!$I$2:$J$8,2,FALSE),0),
IF(AX478="K",VLOOKUP(L478,Foundation_Calc!$K$117:$R$151,VLOOKUP(AW478,Foundation_Calc!$I$2:$J$8,2,FALSE),0),"")))</f>
        <v/>
      </c>
      <c r="AZ478" s="10" t="str">
        <f>IF(K478="","",
IF(AX478="PT",VLOOKUP(K478,Foundation_Calc!$K$79:$R$113,VLOOKUP(AW478,Foundation_Calc!$I$2:$J$8,2,FALSE),0),
IF(AX478="K",VLOOKUP(K478,Foundation_Calc!$K$117:$R$151,VLOOKUP(AW478,Foundation_Calc!$I$2:$J$8,2,FALSE),0),"")))</f>
        <v/>
      </c>
      <c r="BA478" s="495"/>
      <c r="BB478" s="495"/>
      <c r="BC478" s="495"/>
      <c r="BD478" s="513" t="str">
        <f>Pole_Calc!A$251</f>
        <v>App.8-V08H-P10.3</v>
      </c>
      <c r="BE478" s="429" t="s">
        <v>118</v>
      </c>
      <c r="BF478" s="289"/>
      <c r="BG478" s="289"/>
      <c r="BH478" s="290"/>
      <c r="BI478" s="289"/>
    </row>
    <row r="479" spans="1:61" ht="15.75" customHeight="1">
      <c r="A479" s="514"/>
      <c r="B479" s="450"/>
      <c r="C479" s="3"/>
      <c r="D479" s="83"/>
      <c r="E479" s="4"/>
      <c r="F479" s="4"/>
      <c r="G479" s="6">
        <v>40</v>
      </c>
      <c r="H479" s="449"/>
      <c r="I479" s="4" t="s">
        <v>195</v>
      </c>
      <c r="J479" s="3"/>
      <c r="K479" s="449"/>
      <c r="L479" s="449"/>
      <c r="M479" s="449" t="str">
        <f>IF(L479="","",
IF(AX479="PT",VLOOKUP(L479,Foundation_Calc!$V$79:$X$113,VLOOKUP(AX479,Foundation_Calc!$I$10:$J$13,2,FALSE),0),
IF(AX479="K",VLOOKUP(L479,Foundation_Calc!$V$117:$X$151,VLOOKUP(AX479,Foundation_Calc!$I$10:$J$13,2,FALSE),0),"")))</f>
        <v/>
      </c>
      <c r="N479" s="449"/>
      <c r="O479" s="449"/>
      <c r="P479" s="449"/>
      <c r="Q479" s="4"/>
      <c r="R479" s="6"/>
      <c r="S479" s="6"/>
      <c r="T479" s="4"/>
      <c r="U479" s="4"/>
      <c r="V479" s="4"/>
      <c r="W479" s="9"/>
      <c r="X479" s="9"/>
      <c r="Y479" s="9"/>
      <c r="Z479" s="9"/>
      <c r="AA479" s="9"/>
      <c r="AB479" s="9"/>
      <c r="AC479" s="449" t="str">
        <f t="shared" si="55"/>
        <v/>
      </c>
      <c r="AD479" s="449"/>
      <c r="AE479" s="449"/>
      <c r="AF479" s="4"/>
      <c r="AG479" s="83"/>
      <c r="AH479" s="4"/>
      <c r="AI479" s="4"/>
      <c r="AJ479" s="449"/>
      <c r="AK479" s="449"/>
      <c r="AL479" s="449"/>
      <c r="AM479" s="449"/>
      <c r="AN479" s="10"/>
      <c r="AO479" s="9"/>
      <c r="AP479" s="9"/>
      <c r="AQ479" s="9">
        <f>+FL_1($T$480,$T$478,$G$479,1200,9.28,-1*$F$480)</f>
        <v>0.35000000000000125</v>
      </c>
      <c r="AR479" s="9"/>
      <c r="AS479" s="9"/>
      <c r="AT479" s="9"/>
      <c r="AU479" s="428"/>
      <c r="AV479" s="428"/>
      <c r="AW479" s="449" t="str">
        <f>IF(C479&gt;0,VLOOKUP(C479,Foundation_Calc!$A$2:$C$13,3,1),
IF(J479&gt;0,VLOOKUP(J479,Foundation_Calc!$A$2:$C$13,3,1),""))</f>
        <v/>
      </c>
      <c r="AX479" s="449" t="str">
        <f>IF(C479&gt;0,VLOOKUP(C479,Foundation_Calc!$E$2:$G$33,3,1),
IF(J479&gt;0,VLOOKUP(J479,Foundation_Calc!$E$2:$G$33,3,1),""))</f>
        <v/>
      </c>
      <c r="AY479" s="10" t="str">
        <f>IF(L479="","",
IF(AX479="PT",VLOOKUP(L479,Foundation_Calc!$K$79:$R$113,VLOOKUP(AW479,Foundation_Calc!$I$2:$J$8,2,FALSE),0),
IF(AX479="K",VLOOKUP(L479,Foundation_Calc!$K$117:$R$151,VLOOKUP(AW479,Foundation_Calc!$I$2:$J$8,2,FALSE),0),"")))</f>
        <v/>
      </c>
      <c r="AZ479" s="10" t="str">
        <f>IF(K479="","",
IF(AX479="PT",VLOOKUP(K479,Foundation_Calc!$K$79:$R$113,VLOOKUP(AW479,Foundation_Calc!$I$2:$J$8,2,FALSE),0),
IF(AX479="K",VLOOKUP(K479,Foundation_Calc!$K$117:$R$151,VLOOKUP(AW479,Foundation_Calc!$I$2:$J$8,2,FALSE),0),"")))</f>
        <v/>
      </c>
      <c r="BA479" s="495" t="str">
        <f t="shared" ref="BA479" si="56">IF(AY479="","",IF(AY479&gt;0,"ü",""))</f>
        <v/>
      </c>
      <c r="BB479" s="495" t="str">
        <f t="shared" ref="BB479" si="57">IF(AZ479="","",IF(AZ479&gt;0,"ü",""))</f>
        <v/>
      </c>
      <c r="BC479" s="495" t="str">
        <f t="shared" ref="BC479" si="58">IF(M479="","",IF(M479="U.S.","ü",IF(M479="U.S. N.D.","ü","")))</f>
        <v/>
      </c>
      <c r="BD479" s="513" t="str">
        <f>IF(AND(L479="",H479=""),"",
IF(H479="",Pole_Calc!A$9,
IF(H479="MP",Pole_Calc!A$10,
IF(H479="AnMP",Pole_Calc!A$11,
IF(H479="A",Pole_Calc!A$12,
IF(H479="S/A",Pole_Calc!A$13,
IF(H479="A/S",Pole_Calc!A$14,"Poner a mano")))))))</f>
        <v/>
      </c>
      <c r="BE479" s="429" t="s">
        <v>118</v>
      </c>
      <c r="BF479" s="290"/>
      <c r="BG479" s="290"/>
      <c r="BH479" s="290"/>
      <c r="BI479" s="290"/>
    </row>
    <row r="480" spans="1:61" ht="15.75" customHeight="1">
      <c r="A480" s="514"/>
      <c r="B480" s="450" t="s">
        <v>465</v>
      </c>
      <c r="C480" s="3">
        <f>+$C$478+$G$479</f>
        <v>41453.639999999985</v>
      </c>
      <c r="D480" s="83"/>
      <c r="E480" s="4"/>
      <c r="F480" s="4">
        <f>IF(C480&gt;0,VLOOKUP(C480,'ALIGNMENT TRACK'!$A$1:$K$81,9,1))</f>
        <v>0</v>
      </c>
      <c r="G480" s="6"/>
      <c r="H480" s="449"/>
      <c r="I480" s="4"/>
      <c r="J480" s="3"/>
      <c r="K480" s="449"/>
      <c r="L480" s="449" t="s">
        <v>250</v>
      </c>
      <c r="M480" s="449" t="str">
        <f>IF(L480="","",
IF(AX480="PT",VLOOKUP(L480,Foundation_Calc!$V$79:$X$113,VLOOKUP(AX480,Foundation_Calc!$I$10:$J$13,2,FALSE),0),
IF(AX480="K",VLOOKUP(L480,Foundation_Calc!$V$117:$X$151,VLOOKUP(AX480,Foundation_Calc!$I$10:$J$13,2,FALSE),0),"")))</f>
        <v>2C4R</v>
      </c>
      <c r="N480" s="449" t="s">
        <v>124</v>
      </c>
      <c r="O480" s="449"/>
      <c r="P480" s="449"/>
      <c r="Q480" s="4"/>
      <c r="R480" s="6"/>
      <c r="S480" s="6"/>
      <c r="T480" s="4">
        <v>-35</v>
      </c>
      <c r="U480" s="4"/>
      <c r="V480" s="4"/>
      <c r="W480" s="9">
        <v>1.4</v>
      </c>
      <c r="X480" s="9"/>
      <c r="Y480" s="9"/>
      <c r="Z480" s="9"/>
      <c r="AA480" s="9"/>
      <c r="AB480" s="9"/>
      <c r="AC480" s="449" t="str">
        <f t="shared" si="55"/>
        <v>PHQ</v>
      </c>
      <c r="AD480" s="449"/>
      <c r="AE480" s="449"/>
      <c r="AF480" s="4"/>
      <c r="AG480" s="83"/>
      <c r="AH480" s="4"/>
      <c r="AI480" s="4"/>
      <c r="AJ480" s="449"/>
      <c r="AK480" s="449"/>
      <c r="AL480" s="449" t="s">
        <v>252</v>
      </c>
      <c r="AM480" s="449" t="s">
        <v>126</v>
      </c>
      <c r="AN480" s="10">
        <v>5.5</v>
      </c>
      <c r="AO480" s="9"/>
      <c r="AP480" s="9"/>
      <c r="AQ480" s="9"/>
      <c r="AR480" s="9"/>
      <c r="AS480" s="9"/>
      <c r="AT480" s="9">
        <f>+ab($T$480,$T$478,$T$482,$G$479,$G$481,-1*$F$480,1200)</f>
        <v>-5.4455600636204267</v>
      </c>
      <c r="AU480" s="428"/>
      <c r="AV480" s="428"/>
      <c r="AW480" s="449" t="str">
        <f>IF(C480&gt;0,VLOOKUP(C480,Foundation_Calc!$A$2:$C$13,3,1),
IF(J480&gt;0,VLOOKUP(J480,Foundation_Calc!$A$2:$C$13,3,1),""))</f>
        <v>Multi Soil</v>
      </c>
      <c r="AX480" s="449" t="str">
        <f>IF(C480&gt;0,VLOOKUP(C480,Foundation_Calc!$E$2:$G$33,3,1),
IF(J480&gt;0,VLOOKUP(J480,Foundation_Calc!$E$2:$G$33,3,1),""))</f>
        <v>PT</v>
      </c>
      <c r="AY480" s="10">
        <f>IF(L480="","",
IF(AX480="PT",VLOOKUP(L480,Foundation_Calc!$K$79:$R$113,VLOOKUP(AW480,Foundation_Calc!$I$2:$J$8,2,FALSE),0),
IF(AX480="K",VLOOKUP(L480,Foundation_Calc!$K$117:$R$151,VLOOKUP(AW480,Foundation_Calc!$I$2:$J$8,2,FALSE),0),"")))</f>
        <v>5.6</v>
      </c>
      <c r="AZ480" s="10" t="str">
        <f>IF(K480="","",
IF(AX480="PT",VLOOKUP(K480,Foundation_Calc!$K$79:$R$113,VLOOKUP(AW480,Foundation_Calc!$I$2:$J$8,2,FALSE),0),
IF(AX480="K",VLOOKUP(K480,Foundation_Calc!$K$117:$R$151,VLOOKUP(AW480,Foundation_Calc!$I$2:$J$8,2,FALSE),0),"")))</f>
        <v/>
      </c>
      <c r="BA480" s="495" t="str">
        <f t="shared" ref="BA480:BA533" si="59">IF(AY480="","",IF(AY480&gt;0,"ü",""))</f>
        <v>ü</v>
      </c>
      <c r="BB480" s="495" t="str">
        <f t="shared" ref="BB480:BB533" si="60">IF(AZ480="","",IF(AZ480&gt;0,"ü",""))</f>
        <v/>
      </c>
      <c r="BC480" s="495" t="str">
        <f t="shared" ref="BC480:BC533" si="61">IF(M480="","",IF(M480="U.S.","ü",IF(M480="U.S. N.D.","ü","")))</f>
        <v/>
      </c>
      <c r="BD480" s="513" t="str">
        <f>Pole_Calc!A$251</f>
        <v>App.8-V08H-P10.3</v>
      </c>
      <c r="BE480" s="429" t="s">
        <v>118</v>
      </c>
      <c r="BF480" s="289"/>
      <c r="BG480" s="289"/>
      <c r="BH480" s="290"/>
      <c r="BI480" s="289"/>
    </row>
    <row r="481" spans="1:61" ht="15.75" customHeight="1">
      <c r="A481" s="514"/>
      <c r="B481" s="450"/>
      <c r="C481" s="3"/>
      <c r="D481" s="83"/>
      <c r="E481" s="4"/>
      <c r="F481" s="4"/>
      <c r="G481" s="6">
        <v>39.700000000000003</v>
      </c>
      <c r="H481" s="449"/>
      <c r="I481" s="4" t="s">
        <v>195</v>
      </c>
      <c r="J481" s="3"/>
      <c r="K481" s="449"/>
      <c r="L481" s="449"/>
      <c r="M481" s="449" t="str">
        <f>IF(L481="","",
IF(AX481="PT",VLOOKUP(L481,Foundation_Calc!$V$79:$X$113,VLOOKUP(AX481,Foundation_Calc!$I$10:$J$13,2,FALSE),0),
IF(AX481="K",VLOOKUP(L481,Foundation_Calc!$V$117:$X$151,VLOOKUP(AX481,Foundation_Calc!$I$10:$J$13,2,FALSE),0),"")))</f>
        <v/>
      </c>
      <c r="N481" s="449"/>
      <c r="O481" s="449"/>
      <c r="P481" s="449"/>
      <c r="Q481" s="4"/>
      <c r="R481" s="6"/>
      <c r="S481" s="6"/>
      <c r="T481" s="4"/>
      <c r="U481" s="4"/>
      <c r="V481" s="4"/>
      <c r="W481" s="572"/>
      <c r="X481" s="9"/>
      <c r="Y481" s="9"/>
      <c r="Z481" s="9"/>
      <c r="AA481" s="9"/>
      <c r="AB481" s="9"/>
      <c r="AC481" s="449" t="str">
        <f t="shared" si="55"/>
        <v/>
      </c>
      <c r="AD481" s="449"/>
      <c r="AE481" s="449"/>
      <c r="AF481" s="4"/>
      <c r="AG481" s="83"/>
      <c r="AH481" s="4"/>
      <c r="AI481" s="4"/>
      <c r="AJ481" s="449"/>
      <c r="AK481" s="449"/>
      <c r="AL481" s="449"/>
      <c r="AM481" s="449"/>
      <c r="AN481" s="10"/>
      <c r="AO481" s="9"/>
      <c r="AP481" s="9"/>
      <c r="AQ481" s="9">
        <f>+FL_2($T$482,$T$480,$G$481,1200,9.28,-1*$F$482)</f>
        <v>-0.35000000000000159</v>
      </c>
      <c r="AR481" s="9"/>
      <c r="AS481" s="9"/>
      <c r="AT481" s="9"/>
      <c r="AU481" s="428"/>
      <c r="AV481" s="428"/>
      <c r="AW481" s="449" t="str">
        <f>IF(C481&gt;0,VLOOKUP(C481,Foundation_Calc!$A$2:$C$13,3,1),
IF(J481&gt;0,VLOOKUP(J481,Foundation_Calc!$A$2:$C$13,3,1),""))</f>
        <v/>
      </c>
      <c r="AX481" s="449" t="str">
        <f>IF(C481&gt;0,VLOOKUP(C481,Foundation_Calc!$E$2:$G$33,3,1),
IF(J481&gt;0,VLOOKUP(J481,Foundation_Calc!$E$2:$G$33,3,1),""))</f>
        <v/>
      </c>
      <c r="AY481" s="10" t="str">
        <f>IF(L481="","",
IF(AX481="PT",VLOOKUP(L481,Foundation_Calc!$K$79:$R$113,VLOOKUP(AW481,Foundation_Calc!$I$2:$J$8,2,FALSE),0),
IF(AX481="K",VLOOKUP(L481,Foundation_Calc!$K$117:$R$151,VLOOKUP(AW481,Foundation_Calc!$I$2:$J$8,2,FALSE),0),"")))</f>
        <v/>
      </c>
      <c r="AZ481" s="10" t="str">
        <f>IF(K481="","",
IF(AX481="PT",VLOOKUP(K481,Foundation_Calc!$K$79:$R$113,VLOOKUP(AW481,Foundation_Calc!$I$2:$J$8,2,FALSE),0),
IF(AX481="K",VLOOKUP(K481,Foundation_Calc!$K$117:$R$151,VLOOKUP(AW481,Foundation_Calc!$I$2:$J$8,2,FALSE),0),"")))</f>
        <v/>
      </c>
      <c r="BA481" s="495" t="str">
        <f t="shared" si="59"/>
        <v/>
      </c>
      <c r="BB481" s="495" t="str">
        <f t="shared" si="60"/>
        <v/>
      </c>
      <c r="BC481" s="495" t="str">
        <f t="shared" si="61"/>
        <v/>
      </c>
      <c r="BD481" s="513" t="str">
        <f>IF(AND(L481="",H481=""),"",
IF(H481="",Pole_Calc!A$9,
IF(H481="MP",Pole_Calc!A$10,
IF(H481="AnMP",Pole_Calc!A$11,
IF(H481="A",Pole_Calc!A$12,
IF(H481="S/A",Pole_Calc!A$13,
IF(H481="A/S",Pole_Calc!A$14,"Poner a mano")))))))</f>
        <v/>
      </c>
      <c r="BE481" s="429" t="s">
        <v>118</v>
      </c>
      <c r="BF481" s="290"/>
      <c r="BG481" s="290"/>
      <c r="BH481" s="290"/>
      <c r="BI481" s="290"/>
    </row>
    <row r="482" spans="1:61" ht="15.75" customHeight="1">
      <c r="A482" s="518"/>
      <c r="B482" s="450" t="s">
        <v>466</v>
      </c>
      <c r="C482" s="3">
        <f>+$C$480+$G$481</f>
        <v>41493.339999999982</v>
      </c>
      <c r="D482" s="83"/>
      <c r="E482" s="4"/>
      <c r="F482" s="4">
        <f>IF(C482&gt;0,VLOOKUP(C482,'ALIGNMENT TRACK'!$A$1:$K$81,9,1))</f>
        <v>0</v>
      </c>
      <c r="G482" s="6"/>
      <c r="H482" s="449"/>
      <c r="I482" s="4"/>
      <c r="J482" s="3"/>
      <c r="K482" s="449"/>
      <c r="L482" s="449" t="s">
        <v>232</v>
      </c>
      <c r="M482" s="449" t="str">
        <f>IF(L482="","",
IF(AX482="PT",VLOOKUP(L482,Foundation_Calc!$V$79:$X$113,VLOOKUP(AX482,Foundation_Calc!$I$10:$J$13,2,FALSE),0),
IF(AX482="K",VLOOKUP(L482,Foundation_Calc!$V$117:$X$151,VLOOKUP(AX482,Foundation_Calc!$I$10:$J$13,2,FALSE),0),"")))</f>
        <v>C5R</v>
      </c>
      <c r="N482" s="449" t="s">
        <v>134</v>
      </c>
      <c r="O482" s="449"/>
      <c r="P482" s="449"/>
      <c r="Q482" s="4"/>
      <c r="R482" s="6"/>
      <c r="S482" s="6"/>
      <c r="T482" s="4">
        <v>35</v>
      </c>
      <c r="U482" s="4"/>
      <c r="V482" s="4"/>
      <c r="W482" s="572">
        <v>1.2</v>
      </c>
      <c r="X482" s="9"/>
      <c r="Y482" s="9"/>
      <c r="Z482" s="9"/>
      <c r="AA482" s="9"/>
      <c r="AB482" s="9"/>
      <c r="AC482" s="449" t="str">
        <f t="shared" si="55"/>
        <v>PHQ</v>
      </c>
      <c r="AD482" s="449"/>
      <c r="AE482" s="449"/>
      <c r="AF482" s="4"/>
      <c r="AG482" s="83"/>
      <c r="AH482" s="4"/>
      <c r="AI482" s="4"/>
      <c r="AJ482" s="449"/>
      <c r="AK482" s="449"/>
      <c r="AL482" s="449" t="s">
        <v>241</v>
      </c>
      <c r="AM482" s="449" t="s">
        <v>126</v>
      </c>
      <c r="AN482" s="10">
        <v>5.5</v>
      </c>
      <c r="AO482" s="9"/>
      <c r="AP482" s="9"/>
      <c r="AQ482" s="9"/>
      <c r="AR482" s="9"/>
      <c r="AS482" s="9"/>
      <c r="AT482" s="9">
        <f>+ab($T$482,$T$480,$T$484,$G$481,$G$483,-1*$F$482,1200)</f>
        <v>6.5363682306444266</v>
      </c>
      <c r="AU482" s="428"/>
      <c r="AV482" s="428"/>
      <c r="AW482" s="449" t="str">
        <f>IF(C482&gt;0,VLOOKUP(C482,Foundation_Calc!$A$2:$C$13,3,1),
IF(J482&gt;0,VLOOKUP(J482,Foundation_Calc!$A$2:$C$13,3,1),""))</f>
        <v>Multi Soil</v>
      </c>
      <c r="AX482" s="449" t="str">
        <f>IF(C482&gt;0,VLOOKUP(C482,Foundation_Calc!$E$2:$G$33,3,1),
IF(J482&gt;0,VLOOKUP(J482,Foundation_Calc!$E$2:$G$33,3,1),""))</f>
        <v>PT</v>
      </c>
      <c r="AY482" s="10">
        <f>IF(L482="","",
IF(AX482="PT",VLOOKUP(L482,Foundation_Calc!$K$79:$R$113,VLOOKUP(AW482,Foundation_Calc!$I$2:$J$8,2,FALSE),0),
IF(AX482="K",VLOOKUP(L482,Foundation_Calc!$K$117:$R$151,VLOOKUP(AW482,Foundation_Calc!$I$2:$J$8,2,FALSE),0),"")))</f>
        <v>3.5</v>
      </c>
      <c r="AZ482" s="10" t="str">
        <f>IF(K482="","",
IF(AX482="PT",VLOOKUP(K482,Foundation_Calc!$K$79:$R$113,VLOOKUP(AW482,Foundation_Calc!$I$2:$J$8,2,FALSE),0),
IF(AX482="K",VLOOKUP(K482,Foundation_Calc!$K$117:$R$151,VLOOKUP(AW482,Foundation_Calc!$I$2:$J$8,2,FALSE),0),"")))</f>
        <v/>
      </c>
      <c r="BA482" s="495" t="str">
        <f t="shared" si="59"/>
        <v>ü</v>
      </c>
      <c r="BB482" s="495" t="str">
        <f t="shared" si="60"/>
        <v/>
      </c>
      <c r="BC482" s="495" t="str">
        <f t="shared" si="61"/>
        <v/>
      </c>
      <c r="BD482" s="513" t="str">
        <f>Pole_Calc!A$251</f>
        <v>App.8-V08H-P10.3</v>
      </c>
      <c r="BE482" s="429" t="s">
        <v>118</v>
      </c>
      <c r="BF482" s="289"/>
      <c r="BG482" s="289"/>
      <c r="BH482" s="290"/>
      <c r="BI482" s="289"/>
    </row>
    <row r="483" spans="1:61" ht="15.75" customHeight="1">
      <c r="A483" s="518"/>
      <c r="B483" s="450"/>
      <c r="C483" s="3"/>
      <c r="D483" s="83"/>
      <c r="E483" s="4"/>
      <c r="F483" s="4"/>
      <c r="G483" s="6">
        <v>38.799999999999997</v>
      </c>
      <c r="H483" s="449"/>
      <c r="I483" s="4"/>
      <c r="J483" s="3">
        <f>C484-7.5</f>
        <v>41524.639999999985</v>
      </c>
      <c r="K483" s="449" t="s">
        <v>117</v>
      </c>
      <c r="L483" s="449"/>
      <c r="M483" s="449" t="str">
        <f>IF(L483="","",
IF(AX483="PT",VLOOKUP(L483,Foundation_Calc!$V$79:$X$113,VLOOKUP(AX483,Foundation_Calc!$I$10:$J$13,2,FALSE),0),
IF(AX483="K",VLOOKUP(L483,Foundation_Calc!$V$117:$X$151,VLOOKUP(AX483,Foundation_Calc!$I$10:$J$13,2,FALSE),0),"")))</f>
        <v/>
      </c>
      <c r="N483" s="449"/>
      <c r="O483" s="449"/>
      <c r="P483" s="449"/>
      <c r="Q483" s="4"/>
      <c r="R483" s="6"/>
      <c r="S483" s="6"/>
      <c r="T483" s="4"/>
      <c r="U483" s="4"/>
      <c r="V483" s="4"/>
      <c r="W483" s="572"/>
      <c r="X483" s="9"/>
      <c r="Y483" s="9"/>
      <c r="Z483" s="9"/>
      <c r="AA483" s="9"/>
      <c r="AB483" s="9"/>
      <c r="AC483" s="449" t="str">
        <f t="shared" si="55"/>
        <v/>
      </c>
      <c r="AD483" s="449"/>
      <c r="AE483" s="449"/>
      <c r="AF483" s="4"/>
      <c r="AG483" s="83"/>
      <c r="AH483" s="4"/>
      <c r="AI483" s="4"/>
      <c r="AJ483" s="449"/>
      <c r="AK483" s="449"/>
      <c r="AL483" s="449"/>
      <c r="AM483" s="449"/>
      <c r="AN483" s="10"/>
      <c r="AO483" s="9"/>
      <c r="AP483" s="9"/>
      <c r="AQ483" s="9">
        <f>+FL_1($T$484,$T$482,$G$483,1200,9.28,-1*$F$484)</f>
        <v>0.35749493883161509</v>
      </c>
      <c r="AR483" s="9"/>
      <c r="AS483" s="9"/>
      <c r="AT483" s="9"/>
      <c r="AU483" s="428"/>
      <c r="AV483" s="428"/>
      <c r="AW483" s="449" t="str">
        <f>IF(C483&gt;0,VLOOKUP(C483,Foundation_Calc!$A$2:$C$13,3,1),
IF(J483&gt;0,VLOOKUP(J483,Foundation_Calc!$A$2:$C$13,3,1),""))</f>
        <v>Multi Soil</v>
      </c>
      <c r="AX483" s="449" t="str">
        <f>IF(C483&gt;0,VLOOKUP(C483,Foundation_Calc!$E$2:$G$33,3,1),
IF(J483&gt;0,VLOOKUP(J483,Foundation_Calc!$E$2:$G$33,3,1),""))</f>
        <v>PT</v>
      </c>
      <c r="AY483" s="10" t="str">
        <f>IF(L483="","",
IF(AX483="PT",VLOOKUP(L483,Foundation_Calc!$K$79:$R$113,VLOOKUP(AW483,Foundation_Calc!$I$2:$J$8,2,FALSE),0),
IF(AX483="K",VLOOKUP(L483,Foundation_Calc!$K$117:$R$151,VLOOKUP(AW483,Foundation_Calc!$I$2:$J$8,2,FALSE),0),"")))</f>
        <v/>
      </c>
      <c r="AZ483" s="10">
        <f>IF(K483="","",
IF(AX483="PT",VLOOKUP(K483,Foundation_Calc!$K$79:$R$113,VLOOKUP(AW483,Foundation_Calc!$I$2:$J$8,2,FALSE),0),
IF(AX483="K",VLOOKUP(K483,Foundation_Calc!$K$117:$R$151,VLOOKUP(AW483,Foundation_Calc!$I$2:$J$8,2,FALSE),0),"")))</f>
        <v>3.9</v>
      </c>
      <c r="BA483" s="495" t="str">
        <f t="shared" si="59"/>
        <v/>
      </c>
      <c r="BB483" s="495" t="str">
        <f t="shared" si="60"/>
        <v>ü</v>
      </c>
      <c r="BC483" s="495" t="str">
        <f t="shared" si="61"/>
        <v/>
      </c>
      <c r="BD483" s="513" t="str">
        <f>IF(AND(L483="",H483=""),"",
IF(H483="",Pole_Calc!A$9,
IF(H483="MP",Pole_Calc!A$10,
IF(H483="AnMP",Pole_Calc!A$11,
IF(H483="A",Pole_Calc!A$12,
IF(H483="S/A",Pole_Calc!A$13,
IF(H483="A/S",Pole_Calc!A$14,"Poner a mano")))))))</f>
        <v/>
      </c>
      <c r="BE483" s="429" t="s">
        <v>118</v>
      </c>
      <c r="BF483" s="290"/>
      <c r="BG483" s="290"/>
      <c r="BH483" s="290"/>
      <c r="BI483" s="290"/>
    </row>
    <row r="484" spans="1:61" ht="15.75" customHeight="1">
      <c r="A484" s="514"/>
      <c r="B484" s="450" t="s">
        <v>467</v>
      </c>
      <c r="C484" s="3">
        <f>+$C$482+$G$483</f>
        <v>41532.139999999985</v>
      </c>
      <c r="D484" s="83"/>
      <c r="E484" s="4"/>
      <c r="F484" s="4">
        <f>IF(C484&gt;0,VLOOKUP(C484,'ALIGNMENT TRACK'!$A$1:$K$81,9,1))</f>
        <v>0</v>
      </c>
      <c r="G484" s="6"/>
      <c r="H484" s="449" t="s">
        <v>284</v>
      </c>
      <c r="I484" s="4" t="s">
        <v>162</v>
      </c>
      <c r="J484" s="3"/>
      <c r="K484" s="449"/>
      <c r="L484" s="449" t="s">
        <v>232</v>
      </c>
      <c r="M484" s="449" t="str">
        <f>IF(L484="","",
IF(AX484="PT",VLOOKUP(L484,Foundation_Calc!$V$79:$X$113,VLOOKUP(AX484,Foundation_Calc!$I$10:$J$13,2,FALSE),0),
IF(AX484="K",VLOOKUP(L484,Foundation_Calc!$V$117:$X$151,VLOOKUP(AX484,Foundation_Calc!$I$10:$J$13,2,FALSE),0),"")))</f>
        <v>C5R</v>
      </c>
      <c r="N484" s="449" t="s">
        <v>124</v>
      </c>
      <c r="O484" s="449"/>
      <c r="P484" s="449"/>
      <c r="Q484" s="4"/>
      <c r="R484" s="6"/>
      <c r="S484" s="6"/>
      <c r="T484" s="4">
        <v>-10</v>
      </c>
      <c r="U484" s="4"/>
      <c r="V484" s="4"/>
      <c r="W484" s="572">
        <v>1.1000000000000001</v>
      </c>
      <c r="X484" s="9"/>
      <c r="Y484" s="9"/>
      <c r="Z484" s="9"/>
      <c r="AA484" s="9"/>
      <c r="AB484" s="9"/>
      <c r="AC484" s="449" t="str">
        <f t="shared" si="55"/>
        <v>PH</v>
      </c>
      <c r="AD484" s="449"/>
      <c r="AE484" s="449"/>
      <c r="AF484" s="4"/>
      <c r="AG484" s="83"/>
      <c r="AH484" s="4"/>
      <c r="AI484" s="4"/>
      <c r="AJ484" s="449"/>
      <c r="AK484" s="449"/>
      <c r="AL484" s="449" t="s">
        <v>241</v>
      </c>
      <c r="AM484" s="449" t="s">
        <v>126</v>
      </c>
      <c r="AN484" s="10">
        <v>5.5</v>
      </c>
      <c r="AO484" s="9"/>
      <c r="AP484" s="9"/>
      <c r="AQ484" s="9"/>
      <c r="AR484" s="9"/>
      <c r="AS484" s="9"/>
      <c r="AT484" s="9">
        <f>+ab($T$484,$T$482,$U$486,$G$483,$G$485,-1*$F$484,1200)</f>
        <v>-19.243736298727583</v>
      </c>
      <c r="AU484" s="428"/>
      <c r="AV484" s="428"/>
      <c r="AW484" s="449" t="str">
        <f>IF(C484&gt;0,VLOOKUP(C484,Foundation_Calc!$A$2:$C$13,3,1),
IF(J484&gt;0,VLOOKUP(J484,Foundation_Calc!$A$2:$C$13,3,1),""))</f>
        <v>Multi Soil</v>
      </c>
      <c r="AX484" s="449" t="str">
        <f>IF(C484&gt;0,VLOOKUP(C484,Foundation_Calc!$E$2:$G$33,3,1),
IF(J484&gt;0,VLOOKUP(J484,Foundation_Calc!$E$2:$G$33,3,1),""))</f>
        <v>PT</v>
      </c>
      <c r="AY484" s="10">
        <f>IF(L484="","",
IF(AX484="PT",VLOOKUP(L484,Foundation_Calc!$K$79:$R$113,VLOOKUP(AW484,Foundation_Calc!$I$2:$J$8,2,FALSE),0),
IF(AX484="K",VLOOKUP(L484,Foundation_Calc!$K$117:$R$151,VLOOKUP(AW484,Foundation_Calc!$I$2:$J$8,2,FALSE),0),"")))</f>
        <v>3.5</v>
      </c>
      <c r="AZ484" s="10" t="str">
        <f>IF(K484="","",
IF(AX484="PT",VLOOKUP(K484,Foundation_Calc!$K$79:$R$113,VLOOKUP(AW484,Foundation_Calc!$I$2:$J$8,2,FALSE),0),
IF(AX484="K",VLOOKUP(K484,Foundation_Calc!$K$117:$R$151,VLOOKUP(AW484,Foundation_Calc!$I$2:$J$8,2,FALSE),0),"")))</f>
        <v/>
      </c>
      <c r="BA484" s="495" t="str">
        <f t="shared" si="59"/>
        <v>ü</v>
      </c>
      <c r="BB484" s="495" t="str">
        <f t="shared" si="60"/>
        <v/>
      </c>
      <c r="BC484" s="495" t="str">
        <f t="shared" si="61"/>
        <v/>
      </c>
      <c r="BD484" s="513" t="str">
        <f>Pole_Calc!A$251</f>
        <v>App.8-V08H-P10.3</v>
      </c>
      <c r="BE484" s="429" t="s">
        <v>118</v>
      </c>
      <c r="BF484" s="289"/>
      <c r="BG484" s="289"/>
      <c r="BH484" s="290"/>
      <c r="BI484" s="289"/>
    </row>
    <row r="485" spans="1:61" ht="15.75" customHeight="1">
      <c r="A485" s="514"/>
      <c r="B485" s="450"/>
      <c r="C485" s="3"/>
      <c r="D485" s="83"/>
      <c r="E485" s="4"/>
      <c r="F485" s="4"/>
      <c r="G485" s="6">
        <v>49.9</v>
      </c>
      <c r="H485" s="449"/>
      <c r="I485" s="4"/>
      <c r="J485" s="3"/>
      <c r="K485" s="449"/>
      <c r="L485" s="449"/>
      <c r="M485" s="449" t="str">
        <f>IF(L485="","",
IF(AX485="PT",VLOOKUP(L485,Foundation_Calc!$V$79:$X$113,VLOOKUP(AX485,Foundation_Calc!$I$10:$J$13,2,FALSE),0),
IF(AX485="K",VLOOKUP(L485,Foundation_Calc!$V$117:$X$151,VLOOKUP(AX485,Foundation_Calc!$I$10:$J$13,2,FALSE),0),"")))</f>
        <v/>
      </c>
      <c r="N485" s="449"/>
      <c r="O485" s="449"/>
      <c r="P485" s="449"/>
      <c r="Q485" s="4"/>
      <c r="R485" s="6"/>
      <c r="S485" s="6"/>
      <c r="T485" s="4"/>
      <c r="U485" s="4"/>
      <c r="V485" s="4"/>
      <c r="W485" s="572"/>
      <c r="X485" s="9"/>
      <c r="Y485" s="9"/>
      <c r="Z485" s="9"/>
      <c r="AA485" s="9"/>
      <c r="AB485" s="9"/>
      <c r="AC485" s="449" t="str">
        <f t="shared" si="55"/>
        <v/>
      </c>
      <c r="AD485" s="449"/>
      <c r="AE485" s="449"/>
      <c r="AF485" s="4"/>
      <c r="AG485" s="83"/>
      <c r="AH485" s="4"/>
      <c r="AI485" s="4"/>
      <c r="AJ485" s="449"/>
      <c r="AK485" s="449"/>
      <c r="AL485" s="449"/>
      <c r="AM485" s="449"/>
      <c r="AN485" s="10"/>
      <c r="AO485" s="9"/>
      <c r="AP485" s="9"/>
      <c r="AQ485" s="9">
        <f>+FL_2($U$486,$T$484,$G$485,1200,9.28,-1*$F$486)</f>
        <v>-0.39329754876152301</v>
      </c>
      <c r="AR485" s="9"/>
      <c r="AS485" s="9"/>
      <c r="AT485" s="9"/>
      <c r="AU485" s="428"/>
      <c r="AV485" s="428"/>
      <c r="AW485" s="449" t="str">
        <f>IF(C485&gt;0,VLOOKUP(C485,Foundation_Calc!$A$2:$C$13,3,1),
IF(J485&gt;0,VLOOKUP(J485,Foundation_Calc!$A$2:$C$13,3,1),""))</f>
        <v/>
      </c>
      <c r="AX485" s="449" t="str">
        <f>IF(C485&gt;0,VLOOKUP(C485,Foundation_Calc!$E$2:$G$33,3,1),
IF(J485&gt;0,VLOOKUP(J485,Foundation_Calc!$E$2:$G$33,3,1),""))</f>
        <v/>
      </c>
      <c r="AY485" s="10" t="str">
        <f>IF(L485="","",
IF(AX485="PT",VLOOKUP(L485,Foundation_Calc!$K$79:$R$113,VLOOKUP(AW485,Foundation_Calc!$I$2:$J$8,2,FALSE),0),
IF(AX485="K",VLOOKUP(L485,Foundation_Calc!$K$117:$R$151,VLOOKUP(AW485,Foundation_Calc!$I$2:$J$8,2,FALSE),0),"")))</f>
        <v/>
      </c>
      <c r="AZ485" s="10" t="str">
        <f>IF(K485="","",
IF(AX485="PT",VLOOKUP(K485,Foundation_Calc!$K$79:$R$113,VLOOKUP(AW485,Foundation_Calc!$I$2:$J$8,2,FALSE),0),
IF(AX485="K",VLOOKUP(K485,Foundation_Calc!$K$117:$R$151,VLOOKUP(AW485,Foundation_Calc!$I$2:$J$8,2,FALSE),0),"")))</f>
        <v/>
      </c>
      <c r="BA485" s="495" t="str">
        <f t="shared" si="59"/>
        <v/>
      </c>
      <c r="BB485" s="495" t="str">
        <f t="shared" si="60"/>
        <v/>
      </c>
      <c r="BC485" s="495" t="str">
        <f t="shared" si="61"/>
        <v/>
      </c>
      <c r="BD485" s="513" t="str">
        <f>IF(AND(L485="",H485=""),"",
IF(H485="",Pole_Calc!A$9,
IF(H485="MP",Pole_Calc!A$10,
IF(H485="AnMP",Pole_Calc!A$11,
IF(H485="A",Pole_Calc!A$12,
IF(H485="S/A",Pole_Calc!A$13,
IF(H485="A/S",Pole_Calc!A$14,"Poner a mano")))))))</f>
        <v/>
      </c>
      <c r="BE485" s="429" t="s">
        <v>118</v>
      </c>
      <c r="BF485" s="290"/>
      <c r="BG485" s="290"/>
      <c r="BH485" s="290"/>
      <c r="BI485" s="290"/>
    </row>
    <row r="486" spans="1:61" ht="15.75" customHeight="1">
      <c r="A486" s="514"/>
      <c r="B486" s="450" t="s">
        <v>468</v>
      </c>
      <c r="C486" s="3">
        <f>+$C$484+$G$485</f>
        <v>41582.039999999986</v>
      </c>
      <c r="D486" s="83"/>
      <c r="E486" s="4"/>
      <c r="F486" s="4">
        <f>IF(C486&gt;0,VLOOKUP(C486,'ALIGNMENT TRACK'!$A$1:$K$81,9,1))</f>
        <v>0</v>
      </c>
      <c r="G486" s="6"/>
      <c r="H486" s="449" t="s">
        <v>131</v>
      </c>
      <c r="I486" s="4"/>
      <c r="J486" s="3"/>
      <c r="K486" s="449"/>
      <c r="L486" s="449" t="s">
        <v>232</v>
      </c>
      <c r="M486" s="449" t="str">
        <f>IF(L486="","",
IF(AX486="PT",VLOOKUP(L486,Foundation_Calc!$V$79:$X$113,VLOOKUP(AX486,Foundation_Calc!$I$10:$J$13,2,FALSE),0),
IF(AX486="K",VLOOKUP(L486,Foundation_Calc!$V$117:$X$151,VLOOKUP(AX486,Foundation_Calc!$I$10:$J$13,2,FALSE),0),"")))</f>
        <v>C5R</v>
      </c>
      <c r="N486" s="554" t="s">
        <v>133</v>
      </c>
      <c r="O486" s="449" t="s">
        <v>134</v>
      </c>
      <c r="P486" s="449"/>
      <c r="Q486" s="4"/>
      <c r="R486" s="6"/>
      <c r="S486" s="6"/>
      <c r="T486" s="4">
        <v>-55</v>
      </c>
      <c r="U486" s="4">
        <v>-20</v>
      </c>
      <c r="V486" s="4"/>
      <c r="W486" s="572">
        <v>0.9</v>
      </c>
      <c r="X486" s="572">
        <v>0.8</v>
      </c>
      <c r="Y486" s="9"/>
      <c r="Z486" s="9">
        <v>0.35</v>
      </c>
      <c r="AA486" s="9"/>
      <c r="AB486" s="9"/>
      <c r="AC486" s="449"/>
      <c r="AD486" s="449"/>
      <c r="AE486" s="449"/>
      <c r="AF486" s="4"/>
      <c r="AG486" s="83"/>
      <c r="AH486" s="4"/>
      <c r="AI486" s="4"/>
      <c r="AJ486" s="449"/>
      <c r="AK486" s="449"/>
      <c r="AL486" s="449" t="s">
        <v>241</v>
      </c>
      <c r="AM486" s="449" t="s">
        <v>126</v>
      </c>
      <c r="AN486" s="10">
        <v>5.5</v>
      </c>
      <c r="AO486" s="9"/>
      <c r="AP486" s="9"/>
      <c r="AQ486" s="9"/>
      <c r="AR486" s="9"/>
      <c r="AS486" s="9"/>
      <c r="AT486" s="9">
        <f>+ab($U$486,$T$484,$U$488,$G$485,$G$487,-1*$F$486,1200)</f>
        <v>-12.705757142138962</v>
      </c>
      <c r="AU486" s="428"/>
      <c r="AV486" s="428"/>
      <c r="AW486" s="449" t="str">
        <f>IF(C486&gt;0,VLOOKUP(C486,Foundation_Calc!$A$2:$C$13,3,1),
IF(J486&gt;0,VLOOKUP(J486,Foundation_Calc!$A$2:$C$13,3,1),""))</f>
        <v>Multi Soil</v>
      </c>
      <c r="AX486" s="449" t="str">
        <f>IF(C486&gt;0,VLOOKUP(C486,Foundation_Calc!$E$2:$G$33,3,1),
IF(J486&gt;0,VLOOKUP(J486,Foundation_Calc!$E$2:$G$33,3,1),""))</f>
        <v>PT</v>
      </c>
      <c r="AY486" s="10">
        <f>IF(L486="","",
IF(AX486="PT",VLOOKUP(L486,Foundation_Calc!$K$79:$R$113,VLOOKUP(AW486,Foundation_Calc!$I$2:$J$8,2,FALSE),0),
IF(AX486="K",VLOOKUP(L486,Foundation_Calc!$K$117:$R$151,VLOOKUP(AW486,Foundation_Calc!$I$2:$J$8,2,FALSE),0),"")))</f>
        <v>3.5</v>
      </c>
      <c r="AZ486" s="10" t="str">
        <f>IF(K486="","",
IF(AX486="PT",VLOOKUP(K486,Foundation_Calc!$K$79:$R$113,VLOOKUP(AW486,Foundation_Calc!$I$2:$J$8,2,FALSE),0),
IF(AX486="K",VLOOKUP(K486,Foundation_Calc!$K$117:$R$151,VLOOKUP(AW486,Foundation_Calc!$I$2:$J$8,2,FALSE),0),"")))</f>
        <v/>
      </c>
      <c r="BA486" s="495" t="str">
        <f t="shared" si="59"/>
        <v>ü</v>
      </c>
      <c r="BB486" s="495" t="str">
        <f t="shared" si="60"/>
        <v/>
      </c>
      <c r="BC486" s="495" t="str">
        <f t="shared" si="61"/>
        <v/>
      </c>
      <c r="BD486" s="513" t="str">
        <f>Pole_Calc!A$251</f>
        <v>App.8-V08H-P10.3</v>
      </c>
      <c r="BE486" s="429" t="s">
        <v>118</v>
      </c>
      <c r="BF486" s="289"/>
      <c r="BG486" s="289"/>
      <c r="BH486" s="290"/>
      <c r="BI486" s="289"/>
    </row>
    <row r="487" spans="1:61" ht="15.75" customHeight="1">
      <c r="A487" s="514" t="s">
        <v>469</v>
      </c>
      <c r="B487" s="450"/>
      <c r="C487" s="3"/>
      <c r="D487" s="83"/>
      <c r="E487" s="4"/>
      <c r="F487" s="4"/>
      <c r="G487" s="6">
        <v>42.8</v>
      </c>
      <c r="H487" s="449"/>
      <c r="I487" s="4"/>
      <c r="J487" s="3">
        <f>C488-9.5</f>
        <v>41615.339999999989</v>
      </c>
      <c r="K487" s="449" t="s">
        <v>117</v>
      </c>
      <c r="L487" s="449"/>
      <c r="M487" s="449" t="str">
        <f>IF(L487="","",
IF(AX487="PT",VLOOKUP(L487,Foundation_Calc!$V$79:$X$113,VLOOKUP(AX487,Foundation_Calc!$I$10:$J$13,2,FALSE),0),
IF(AX487="K",VLOOKUP(L487,Foundation_Calc!$V$117:$X$151,VLOOKUP(AX487,Foundation_Calc!$I$10:$J$13,2,FALSE),0),"")))</f>
        <v/>
      </c>
      <c r="N487" s="449"/>
      <c r="O487" s="449"/>
      <c r="P487" s="449"/>
      <c r="Q487" s="4"/>
      <c r="R487" s="6"/>
      <c r="S487" s="6"/>
      <c r="T487" s="4"/>
      <c r="U487" s="4"/>
      <c r="V487" s="4"/>
      <c r="W487" s="572"/>
      <c r="X487" s="572"/>
      <c r="Y487" s="9"/>
      <c r="Z487" s="9"/>
      <c r="AA487" s="9"/>
      <c r="AB487" s="9"/>
      <c r="AC487" s="449" t="str">
        <f t="shared" si="55"/>
        <v/>
      </c>
      <c r="AD487" s="449"/>
      <c r="AE487" s="449"/>
      <c r="AF487" s="4"/>
      <c r="AG487" s="83"/>
      <c r="AH487" s="4"/>
      <c r="AI487" s="4"/>
      <c r="AJ487" s="449"/>
      <c r="AK487" s="449"/>
      <c r="AL487" s="449"/>
      <c r="AM487" s="449"/>
      <c r="AN487" s="10"/>
      <c r="AO487" s="9"/>
      <c r="AP487" s="9"/>
      <c r="AQ487" s="9">
        <f>+FL_2($U$488,$U$486,$G$487,1200,9.28,-1*$F$488)</f>
        <v>-0.20884586502180694</v>
      </c>
      <c r="AR487" s="9"/>
      <c r="AS487" s="9"/>
      <c r="AT487" s="9"/>
      <c r="AU487" s="428"/>
      <c r="AV487" s="428"/>
      <c r="AW487" s="449" t="str">
        <f>IF(C487&gt;0,VLOOKUP(C487,Foundation_Calc!$A$2:$C$13,3,1),
IF(J487&gt;0,VLOOKUP(J487,Foundation_Calc!$A$2:$C$13,3,1),""))</f>
        <v>Multi Soil</v>
      </c>
      <c r="AX487" s="449" t="str">
        <f>IF(C487&gt;0,VLOOKUP(C487,Foundation_Calc!$E$2:$G$33,3,1),
IF(J487&gt;0,VLOOKUP(J487,Foundation_Calc!$E$2:$G$33,3,1),""))</f>
        <v>PT</v>
      </c>
      <c r="AY487" s="10" t="str">
        <f>IF(L487="","",
IF(AX487="PT",VLOOKUP(L487,Foundation_Calc!$K$79:$R$113,VLOOKUP(AW487,Foundation_Calc!$I$2:$J$8,2,FALSE),0),
IF(AX487="K",VLOOKUP(L487,Foundation_Calc!$K$117:$R$151,VLOOKUP(AW487,Foundation_Calc!$I$2:$J$8,2,FALSE),0),"")))</f>
        <v/>
      </c>
      <c r="AZ487" s="10">
        <f>IF(K487="","",
IF(AX487="PT",VLOOKUP(K487,Foundation_Calc!$K$79:$R$113,VLOOKUP(AW487,Foundation_Calc!$I$2:$J$8,2,FALSE),0),
IF(AX487="K",VLOOKUP(K487,Foundation_Calc!$K$117:$R$151,VLOOKUP(AW487,Foundation_Calc!$I$2:$J$8,2,FALSE),0),"")))</f>
        <v>3.9</v>
      </c>
      <c r="BA487" s="495" t="str">
        <f t="shared" si="59"/>
        <v/>
      </c>
      <c r="BB487" s="495" t="str">
        <f t="shared" si="60"/>
        <v>ü</v>
      </c>
      <c r="BC487" s="495" t="str">
        <f t="shared" si="61"/>
        <v/>
      </c>
      <c r="BD487" s="513" t="str">
        <f>IF(AND(L487="",H487=""),"",
IF(H487="",Pole_Calc!A$9,
IF(H487="MP",Pole_Calc!A$10,
IF(H487="AnMP",Pole_Calc!A$11,
IF(H487="A",Pole_Calc!A$12,
IF(H487="S/A",Pole_Calc!A$13,
IF(H487="A/S",Pole_Calc!A$14,"Poner a mano")))))))</f>
        <v/>
      </c>
      <c r="BE487" s="429" t="s">
        <v>118</v>
      </c>
      <c r="BF487" s="290"/>
      <c r="BG487" s="290"/>
      <c r="BH487" s="290"/>
      <c r="BI487" s="290"/>
    </row>
    <row r="488" spans="1:61" ht="15.75" customHeight="1">
      <c r="A488" s="518"/>
      <c r="B488" s="450" t="s">
        <v>470</v>
      </c>
      <c r="C488" s="3">
        <f>+$C$486+$G$487</f>
        <v>41624.839999999989</v>
      </c>
      <c r="D488" s="83"/>
      <c r="E488" s="4"/>
      <c r="F488" s="4">
        <f>IF(C488&gt;0,VLOOKUP(C488,'ALIGNMENT TRACK'!$A$1:$K$81,9,1))</f>
        <v>0</v>
      </c>
      <c r="G488" s="6"/>
      <c r="H488" s="449" t="s">
        <v>471</v>
      </c>
      <c r="I488" s="4" t="s">
        <v>162</v>
      </c>
      <c r="J488" s="3"/>
      <c r="K488" s="449"/>
      <c r="L488" s="449" t="s">
        <v>232</v>
      </c>
      <c r="M488" s="449" t="str">
        <f>IF(L488="","",
IF(AX488="PT",VLOOKUP(L488,Foundation_Calc!$V$79:$X$113,VLOOKUP(AX488,Foundation_Calc!$I$10:$J$13,2,FALSE),0),
IF(AX488="K",VLOOKUP(L488,Foundation_Calc!$V$117:$X$151,VLOOKUP(AX488,Foundation_Calc!$I$10:$J$13,2,FALSE),0),"")))</f>
        <v>C5R</v>
      </c>
      <c r="N488" s="554" t="s">
        <v>124</v>
      </c>
      <c r="O488" s="449" t="s">
        <v>134</v>
      </c>
      <c r="P488" s="449"/>
      <c r="Q488" s="4"/>
      <c r="R488" s="6"/>
      <c r="S488" s="6"/>
      <c r="T488" s="4">
        <v>20</v>
      </c>
      <c r="U488" s="4">
        <v>35</v>
      </c>
      <c r="V488" s="4"/>
      <c r="W488" s="572">
        <v>0.9</v>
      </c>
      <c r="X488" s="572">
        <v>0.8</v>
      </c>
      <c r="Y488" s="9"/>
      <c r="Z488" s="9"/>
      <c r="AA488" s="9"/>
      <c r="AB488" s="9"/>
      <c r="AC488" s="449" t="str">
        <f t="shared" si="55"/>
        <v>PHQ</v>
      </c>
      <c r="AD488" s="449"/>
      <c r="AE488" s="449"/>
      <c r="AF488" s="4"/>
      <c r="AG488" s="83"/>
      <c r="AH488" s="4"/>
      <c r="AI488" s="4"/>
      <c r="AJ488" s="449" t="s">
        <v>239</v>
      </c>
      <c r="AK488" s="449"/>
      <c r="AL488" s="449" t="s">
        <v>241</v>
      </c>
      <c r="AM488" s="449" t="s">
        <v>126</v>
      </c>
      <c r="AN488" s="10">
        <v>5.5</v>
      </c>
      <c r="AO488" s="9"/>
      <c r="AP488" s="9"/>
      <c r="AQ488" s="9"/>
      <c r="AR488" s="9"/>
      <c r="AS488" s="9"/>
      <c r="AT488" s="9">
        <f>+ab($U$488,$U$486,$U$490,$G$487,$G$489,-1*$F$488,1200)</f>
        <v>7.3746956167225282</v>
      </c>
      <c r="AU488" s="428"/>
      <c r="AV488" s="428"/>
      <c r="AW488" s="449" t="str">
        <f>IF(C488&gt;0,VLOOKUP(C488,Foundation_Calc!$A$2:$C$13,3,1),
IF(J488&gt;0,VLOOKUP(J488,Foundation_Calc!$A$2:$C$13,3,1),""))</f>
        <v>Multi Soil</v>
      </c>
      <c r="AX488" s="449" t="str">
        <f>IF(C488&gt;0,VLOOKUP(C488,Foundation_Calc!$E$2:$G$33,3,1),
IF(J488&gt;0,VLOOKUP(J488,Foundation_Calc!$E$2:$G$33,3,1),""))</f>
        <v>PT</v>
      </c>
      <c r="AY488" s="10">
        <f>IF(L488="","",
IF(AX488="PT",VLOOKUP(L488,Foundation_Calc!$K$79:$R$113,VLOOKUP(AW488,Foundation_Calc!$I$2:$J$8,2,FALSE),0),
IF(AX488="K",VLOOKUP(L488,Foundation_Calc!$K$117:$R$151,VLOOKUP(AW488,Foundation_Calc!$I$2:$J$8,2,FALSE),0),"")))</f>
        <v>3.5</v>
      </c>
      <c r="AZ488" s="10" t="str">
        <f>IF(K488="","",
IF(AX488="PT",VLOOKUP(K488,Foundation_Calc!$K$79:$R$113,VLOOKUP(AW488,Foundation_Calc!$I$2:$J$8,2,FALSE),0),
IF(AX488="K",VLOOKUP(K488,Foundation_Calc!$K$117:$R$151,VLOOKUP(AW488,Foundation_Calc!$I$2:$J$8,2,FALSE),0),"")))</f>
        <v/>
      </c>
      <c r="BA488" s="495" t="str">
        <f t="shared" si="59"/>
        <v>ü</v>
      </c>
      <c r="BB488" s="495" t="str">
        <f t="shared" si="60"/>
        <v/>
      </c>
      <c r="BC488" s="495" t="str">
        <f t="shared" si="61"/>
        <v/>
      </c>
      <c r="BD488" s="513" t="str">
        <f>Pole_Calc!A$251</f>
        <v>App.8-V08H-P10.3</v>
      </c>
      <c r="BE488" s="429" t="s">
        <v>118</v>
      </c>
      <c r="BF488" s="289"/>
      <c r="BG488" s="289"/>
      <c r="BH488" s="290"/>
      <c r="BI488" s="289"/>
    </row>
    <row r="489" spans="1:61" ht="15.75" customHeight="1">
      <c r="A489" s="518"/>
      <c r="B489" s="450"/>
      <c r="C489" s="3"/>
      <c r="D489" s="83"/>
      <c r="E489" s="4"/>
      <c r="F489" s="4"/>
      <c r="G489" s="6">
        <v>49.9</v>
      </c>
      <c r="H489" s="449"/>
      <c r="I489" s="4"/>
      <c r="J489" s="3"/>
      <c r="K489" s="449"/>
      <c r="L489" s="449"/>
      <c r="M489" s="449" t="str">
        <f>IF(L489="","",
IF(AX489="PT",VLOOKUP(L489,Foundation_Calc!$V$79:$X$113,VLOOKUP(AX489,Foundation_Calc!$I$10:$J$13,2,FALSE),0),
IF(AX489="K",VLOOKUP(L489,Foundation_Calc!$V$117:$X$151,VLOOKUP(AX489,Foundation_Calc!$I$10:$J$13,2,FALSE),0),"")))</f>
        <v/>
      </c>
      <c r="N489" s="449"/>
      <c r="O489" s="449"/>
      <c r="P489" s="449"/>
      <c r="Q489" s="4"/>
      <c r="R489" s="6"/>
      <c r="S489" s="6"/>
      <c r="T489" s="4"/>
      <c r="U489" s="4"/>
      <c r="V489" s="4"/>
      <c r="W489" s="572"/>
      <c r="X489" s="572"/>
      <c r="Y489" s="9"/>
      <c r="Z489" s="9"/>
      <c r="AA489" s="9"/>
      <c r="AB489" s="9"/>
      <c r="AC489" s="449" t="str">
        <f t="shared" si="55"/>
        <v/>
      </c>
      <c r="AD489" s="449"/>
      <c r="AE489" s="449"/>
      <c r="AF489" s="4"/>
      <c r="AG489" s="83"/>
      <c r="AH489" s="4"/>
      <c r="AI489" s="4"/>
      <c r="AJ489" s="449"/>
      <c r="AK489" s="449"/>
      <c r="AL489" s="449"/>
      <c r="AM489" s="449"/>
      <c r="AN489" s="10"/>
      <c r="AO489" s="9"/>
      <c r="AP489" s="9"/>
      <c r="AQ489" s="9">
        <f>+FL_1($U$490,$U$488,$G$489,1200,9.28,-1*$F$490)</f>
        <v>0.37540658543486966</v>
      </c>
      <c r="AR489" s="9"/>
      <c r="AS489" s="9"/>
      <c r="AT489" s="9"/>
      <c r="AU489" s="428"/>
      <c r="AV489" s="428"/>
      <c r="AW489" s="449" t="str">
        <f>IF(C489&gt;0,VLOOKUP(C489,Foundation_Calc!$A$2:$C$13,3,1),
IF(J489&gt;0,VLOOKUP(J489,Foundation_Calc!$A$2:$C$13,3,1),""))</f>
        <v/>
      </c>
      <c r="AX489" s="449" t="str">
        <f>IF(C489&gt;0,VLOOKUP(C489,Foundation_Calc!$E$2:$G$33,3,1),
IF(J489&gt;0,VLOOKUP(J489,Foundation_Calc!$E$2:$G$33,3,1),""))</f>
        <v/>
      </c>
      <c r="AY489" s="10" t="str">
        <f>IF(L489="","",
IF(AX489="PT",VLOOKUP(L489,Foundation_Calc!$K$79:$R$113,VLOOKUP(AW489,Foundation_Calc!$I$2:$J$8,2,FALSE),0),
IF(AX489="K",VLOOKUP(L489,Foundation_Calc!$K$117:$R$151,VLOOKUP(AW489,Foundation_Calc!$I$2:$J$8,2,FALSE),0),"")))</f>
        <v/>
      </c>
      <c r="AZ489" s="10" t="str">
        <f>IF(K489="","",
IF(AX489="PT",VLOOKUP(K489,Foundation_Calc!$K$79:$R$113,VLOOKUP(AW489,Foundation_Calc!$I$2:$J$8,2,FALSE),0),
IF(AX489="K",VLOOKUP(K489,Foundation_Calc!$K$117:$R$151,VLOOKUP(AW489,Foundation_Calc!$I$2:$J$8,2,FALSE),0),"")))</f>
        <v/>
      </c>
      <c r="BA489" s="495" t="str">
        <f t="shared" si="59"/>
        <v/>
      </c>
      <c r="BB489" s="495" t="str">
        <f t="shared" si="60"/>
        <v/>
      </c>
      <c r="BC489" s="495" t="str">
        <f t="shared" si="61"/>
        <v/>
      </c>
      <c r="BD489" s="513" t="str">
        <f>IF(AND(L489="",H489=""),"",
IF(H489="",Pole_Calc!A$9,
IF(H489="MP",Pole_Calc!A$10,
IF(H489="AnMP",Pole_Calc!A$11,
IF(H489="A",Pole_Calc!A$12,
IF(H489="S/A",Pole_Calc!A$13,
IF(H489="A/S",Pole_Calc!A$14,"Poner a mano")))))))</f>
        <v/>
      </c>
      <c r="BE489" s="429" t="s">
        <v>118</v>
      </c>
      <c r="BF489" s="290"/>
      <c r="BG489" s="290"/>
      <c r="BH489" s="290"/>
      <c r="BI489" s="290"/>
    </row>
    <row r="490" spans="1:61" ht="15.75" customHeight="1">
      <c r="A490" s="514" t="s">
        <v>472</v>
      </c>
      <c r="B490" s="450" t="s">
        <v>473</v>
      </c>
      <c r="C490" s="3">
        <f>+$C$488+$G$489</f>
        <v>41674.739999999991</v>
      </c>
      <c r="D490" s="83"/>
      <c r="E490" s="4"/>
      <c r="F490" s="4">
        <f>IF(C490&gt;0,VLOOKUP(C490,'ALIGNMENT TRACK'!$A$1:$K$81,9,1))</f>
        <v>0</v>
      </c>
      <c r="G490" s="6"/>
      <c r="H490" s="449" t="s">
        <v>131</v>
      </c>
      <c r="I490" s="4" t="s">
        <v>132</v>
      </c>
      <c r="J490" s="3"/>
      <c r="K490" s="449"/>
      <c r="L490" s="449" t="s">
        <v>232</v>
      </c>
      <c r="M490" s="449" t="str">
        <f>IF(L490="","",
IF(AX490="PT",VLOOKUP(L490,Foundation_Calc!$V$79:$X$113,VLOOKUP(AX490,Foundation_Calc!$I$10:$J$13,2,FALSE),0),
IF(AX490="K",VLOOKUP(L490,Foundation_Calc!$V$117:$X$151,VLOOKUP(AX490,Foundation_Calc!$I$10:$J$13,2,FALSE),0),"")))</f>
        <v>C5R</v>
      </c>
      <c r="N490" s="449" t="s">
        <v>133</v>
      </c>
      <c r="O490" s="449" t="s">
        <v>124</v>
      </c>
      <c r="P490" s="449"/>
      <c r="Q490" s="4"/>
      <c r="R490" s="6"/>
      <c r="S490" s="6"/>
      <c r="T490" s="4">
        <v>15</v>
      </c>
      <c r="U490" s="4">
        <v>-30</v>
      </c>
      <c r="V490" s="4"/>
      <c r="W490" s="572">
        <v>1</v>
      </c>
      <c r="X490" s="572">
        <v>1.4</v>
      </c>
      <c r="Y490" s="9"/>
      <c r="Z490" s="9">
        <v>0.4</v>
      </c>
      <c r="AA490" s="9"/>
      <c r="AB490" s="9"/>
      <c r="AC490" s="449"/>
      <c r="AD490" s="449"/>
      <c r="AE490" s="449"/>
      <c r="AF490" s="4"/>
      <c r="AG490" s="83"/>
      <c r="AH490" s="4"/>
      <c r="AI490" s="4"/>
      <c r="AJ490" s="449" t="s">
        <v>441</v>
      </c>
      <c r="AK490" s="449"/>
      <c r="AL490" s="449" t="s">
        <v>241</v>
      </c>
      <c r="AM490" s="449" t="s">
        <v>126</v>
      </c>
      <c r="AN490" s="10">
        <v>5.5</v>
      </c>
      <c r="AO490" s="9"/>
      <c r="AP490" s="9"/>
      <c r="AQ490" s="9"/>
      <c r="AR490" s="9"/>
      <c r="AS490" s="9"/>
      <c r="AT490" s="9">
        <f>+ab($U$490,$U$488,$T$492,$G$489,$G$491,-1*$F$490,1200)</f>
        <v>-8.174839577113115</v>
      </c>
      <c r="AU490" s="428"/>
      <c r="AV490" s="428"/>
      <c r="AW490" s="449" t="str">
        <f>IF(C490&gt;0,VLOOKUP(C490,Foundation_Calc!$A$2:$C$13,3,1),
IF(J490&gt;0,VLOOKUP(J490,Foundation_Calc!$A$2:$C$13,3,1),""))</f>
        <v>Multi Soil</v>
      </c>
      <c r="AX490" s="449" t="str">
        <f>IF(C490&gt;0,VLOOKUP(C490,Foundation_Calc!$E$2:$G$33,3,1),
IF(J490&gt;0,VLOOKUP(J490,Foundation_Calc!$E$2:$G$33,3,1),""))</f>
        <v>PT</v>
      </c>
      <c r="AY490" s="10">
        <f>IF(L490="","",
IF(AX490="PT",VLOOKUP(L490,Foundation_Calc!$K$79:$R$113,VLOOKUP(AW490,Foundation_Calc!$I$2:$J$8,2,FALSE),0),
IF(AX490="K",VLOOKUP(L490,Foundation_Calc!$K$117:$R$151,VLOOKUP(AW490,Foundation_Calc!$I$2:$J$8,2,FALSE),0),"")))</f>
        <v>3.5</v>
      </c>
      <c r="AZ490" s="10" t="str">
        <f>IF(K490="","",
IF(AX490="PT",VLOOKUP(K490,Foundation_Calc!$K$79:$R$113,VLOOKUP(AW490,Foundation_Calc!$I$2:$J$8,2,FALSE),0),
IF(AX490="K",VLOOKUP(K490,Foundation_Calc!$K$117:$R$151,VLOOKUP(AW490,Foundation_Calc!$I$2:$J$8,2,FALSE),0),"")))</f>
        <v/>
      </c>
      <c r="BA490" s="495" t="str">
        <f t="shared" si="59"/>
        <v>ü</v>
      </c>
      <c r="BB490" s="495" t="str">
        <f t="shared" si="60"/>
        <v/>
      </c>
      <c r="BC490" s="495" t="str">
        <f t="shared" si="61"/>
        <v/>
      </c>
      <c r="BD490" s="513" t="str">
        <f>Pole_Calc!A$251</f>
        <v>App.8-V08H-P10.3</v>
      </c>
      <c r="BE490" s="429" t="s">
        <v>118</v>
      </c>
      <c r="BF490" s="289"/>
      <c r="BG490" s="289"/>
      <c r="BH490" s="290"/>
      <c r="BI490" s="289"/>
    </row>
    <row r="491" spans="1:61" ht="15.75" customHeight="1">
      <c r="A491" s="514"/>
      <c r="B491" s="450"/>
      <c r="C491" s="3"/>
      <c r="D491" s="83"/>
      <c r="E491" s="4"/>
      <c r="F491" s="4"/>
      <c r="G491" s="6">
        <v>48.6</v>
      </c>
      <c r="H491" s="449"/>
      <c r="I491" s="4"/>
      <c r="J491" s="3"/>
      <c r="K491" s="449"/>
      <c r="L491" s="449"/>
      <c r="M491" s="449" t="str">
        <f>IF(L491="","",
IF(AX491="PT",VLOOKUP(L491,Foundation_Calc!$V$79:$X$113,VLOOKUP(AX491,Foundation_Calc!$I$10:$J$13,2,FALSE),0),
IF(AX491="K",VLOOKUP(L491,Foundation_Calc!$V$117:$X$151,VLOOKUP(AX491,Foundation_Calc!$I$10:$J$13,2,FALSE),0),"")))</f>
        <v/>
      </c>
      <c r="N491" s="449"/>
      <c r="O491" s="449"/>
      <c r="P491" s="449"/>
      <c r="Q491" s="4"/>
      <c r="R491" s="6"/>
      <c r="S491" s="6"/>
      <c r="T491" s="4"/>
      <c r="U491" s="4"/>
      <c r="V491" s="4"/>
      <c r="W491" s="572"/>
      <c r="X491" s="572"/>
      <c r="Y491" s="9"/>
      <c r="Z491" s="9"/>
      <c r="AA491" s="9"/>
      <c r="AB491" s="9"/>
      <c r="AC491" s="449" t="str">
        <f t="shared" si="55"/>
        <v/>
      </c>
      <c r="AD491" s="449"/>
      <c r="AE491" s="449"/>
      <c r="AF491" s="4"/>
      <c r="AG491" s="83"/>
      <c r="AH491" s="4"/>
      <c r="AI491" s="4"/>
      <c r="AJ491" s="449"/>
      <c r="AK491" s="449"/>
      <c r="AL491" s="449"/>
      <c r="AM491" s="449"/>
      <c r="AN491" s="10"/>
      <c r="AO491" s="9"/>
      <c r="AP491" s="9"/>
      <c r="AQ491" s="9">
        <f>+FL_2($T$492,$U$490,$G$491,1200,9.28,-1*$F$492)</f>
        <v>-0.34675660905349787</v>
      </c>
      <c r="AR491" s="9"/>
      <c r="AS491" s="9"/>
      <c r="AT491" s="9"/>
      <c r="AU491" s="428"/>
      <c r="AV491" s="428"/>
      <c r="AW491" s="449" t="str">
        <f>IF(C491&gt;0,VLOOKUP(C491,Foundation_Calc!$A$2:$C$13,3,1),
IF(J491&gt;0,VLOOKUP(J491,Foundation_Calc!$A$2:$C$13,3,1),""))</f>
        <v/>
      </c>
      <c r="AX491" s="449" t="str">
        <f>IF(C491&gt;0,VLOOKUP(C491,Foundation_Calc!$E$2:$G$33,3,1),
IF(J491&gt;0,VLOOKUP(J491,Foundation_Calc!$E$2:$G$33,3,1),""))</f>
        <v/>
      </c>
      <c r="AY491" s="10" t="str">
        <f>IF(L491="","",
IF(AX491="PT",VLOOKUP(L491,Foundation_Calc!$K$79:$R$113,VLOOKUP(AW491,Foundation_Calc!$I$2:$J$8,2,FALSE),0),
IF(AX491="K",VLOOKUP(L491,Foundation_Calc!$K$117:$R$151,VLOOKUP(AW491,Foundation_Calc!$I$2:$J$8,2,FALSE),0),"")))</f>
        <v/>
      </c>
      <c r="AZ491" s="10" t="str">
        <f>IF(K491="","",
IF(AX491="PT",VLOOKUP(K491,Foundation_Calc!$K$79:$R$113,VLOOKUP(AW491,Foundation_Calc!$I$2:$J$8,2,FALSE),0),
IF(AX491="K",VLOOKUP(K491,Foundation_Calc!$K$117:$R$151,VLOOKUP(AW491,Foundation_Calc!$I$2:$J$8,2,FALSE),0),"")))</f>
        <v/>
      </c>
      <c r="BA491" s="495" t="str">
        <f t="shared" si="59"/>
        <v/>
      </c>
      <c r="BB491" s="495" t="str">
        <f t="shared" si="60"/>
        <v/>
      </c>
      <c r="BC491" s="495" t="str">
        <f t="shared" si="61"/>
        <v/>
      </c>
      <c r="BD491" s="513" t="str">
        <f>IF(AND(L491="",H491=""),"",
IF(H491="",Pole_Calc!A$9,
IF(H491="MP",Pole_Calc!A$10,
IF(H491="AnMP",Pole_Calc!A$11,
IF(H491="A",Pole_Calc!A$12,
IF(H491="S/A",Pole_Calc!A$13,
IF(H491="A/S",Pole_Calc!A$14,"Poner a mano")))))))</f>
        <v/>
      </c>
      <c r="BE491" s="429" t="s">
        <v>118</v>
      </c>
      <c r="BF491" s="290"/>
      <c r="BG491" s="290"/>
      <c r="BH491" s="290"/>
      <c r="BI491" s="290"/>
    </row>
    <row r="492" spans="1:61" ht="15.75" customHeight="1">
      <c r="A492" s="514"/>
      <c r="B492" s="450" t="s">
        <v>474</v>
      </c>
      <c r="C492" s="3">
        <f>+$C$490+$G$491</f>
        <v>41723.339999999989</v>
      </c>
      <c r="D492" s="83"/>
      <c r="E492" s="4"/>
      <c r="F492" s="4">
        <f>IF(C492&gt;0,VLOOKUP(C492,'ALIGNMENT TRACK'!$A$1:$K$81,9,1))</f>
        <v>0</v>
      </c>
      <c r="G492" s="6"/>
      <c r="H492" s="449" t="s">
        <v>131</v>
      </c>
      <c r="I492" s="4"/>
      <c r="J492" s="3"/>
      <c r="K492" s="449"/>
      <c r="L492" s="449" t="s">
        <v>232</v>
      </c>
      <c r="M492" s="449" t="str">
        <f>IF(L492="","",
IF(AX492="PT",VLOOKUP(L492,Foundation_Calc!$V$79:$X$113,VLOOKUP(AX492,Foundation_Calc!$I$10:$J$13,2,FALSE),0),
IF(AX492="K",VLOOKUP(L492,Foundation_Calc!$V$117:$X$151,VLOOKUP(AX492,Foundation_Calc!$I$10:$J$13,2,FALSE),0),"")))</f>
        <v>C5R</v>
      </c>
      <c r="N492" s="449" t="s">
        <v>134</v>
      </c>
      <c r="O492" s="449" t="s">
        <v>133</v>
      </c>
      <c r="P492" s="449"/>
      <c r="Q492" s="4"/>
      <c r="R492" s="6"/>
      <c r="S492" s="6"/>
      <c r="T492" s="4">
        <v>20</v>
      </c>
      <c r="U492" s="4">
        <v>-25</v>
      </c>
      <c r="V492" s="4"/>
      <c r="W492" s="572">
        <v>1.2</v>
      </c>
      <c r="X492" s="572">
        <v>1.6</v>
      </c>
      <c r="Y492" s="9"/>
      <c r="Z492" s="9"/>
      <c r="AA492" s="9">
        <v>0.4</v>
      </c>
      <c r="AB492" s="9"/>
      <c r="AC492" s="449" t="str">
        <f t="shared" si="55"/>
        <v>PH</v>
      </c>
      <c r="AD492" s="449"/>
      <c r="AE492" s="449"/>
      <c r="AF492" s="4"/>
      <c r="AG492" s="83"/>
      <c r="AH492" s="4"/>
      <c r="AI492" s="4"/>
      <c r="AJ492" s="449"/>
      <c r="AK492" s="449"/>
      <c r="AL492" s="449" t="s">
        <v>241</v>
      </c>
      <c r="AM492" s="449" t="s">
        <v>126</v>
      </c>
      <c r="AN492" s="10">
        <v>5.5</v>
      </c>
      <c r="AO492" s="9"/>
      <c r="AP492" s="9"/>
      <c r="AQ492" s="9"/>
      <c r="AR492" s="9"/>
      <c r="AS492" s="9"/>
      <c r="AT492" s="9">
        <f>+ab($T$492,$U$490,$T$494,$G$491,$G$493,-1*$F$492,1200)</f>
        <v>24.808198642351428</v>
      </c>
      <c r="AU492" s="428"/>
      <c r="AV492" s="428"/>
      <c r="AW492" s="449" t="str">
        <f>IF(C492&gt;0,VLOOKUP(C492,Foundation_Calc!$A$2:$C$13,3,1),
IF(J492&gt;0,VLOOKUP(J492,Foundation_Calc!$A$2:$C$13,3,1),""))</f>
        <v>Multi Soil</v>
      </c>
      <c r="AX492" s="449" t="str">
        <f>IF(C492&gt;0,VLOOKUP(C492,Foundation_Calc!$E$2:$G$33,3,1),
IF(J492&gt;0,VLOOKUP(J492,Foundation_Calc!$E$2:$G$33,3,1),""))</f>
        <v>PT</v>
      </c>
      <c r="AY492" s="10">
        <f>IF(L492="","",
IF(AX492="PT",VLOOKUP(L492,Foundation_Calc!$K$79:$R$113,VLOOKUP(AW492,Foundation_Calc!$I$2:$J$8,2,FALSE),0),
IF(AX492="K",VLOOKUP(L492,Foundation_Calc!$K$117:$R$151,VLOOKUP(AW492,Foundation_Calc!$I$2:$J$8,2,FALSE),0),"")))</f>
        <v>3.5</v>
      </c>
      <c r="AZ492" s="10" t="str">
        <f>IF(K492="","",
IF(AX492="PT",VLOOKUP(K492,Foundation_Calc!$K$79:$R$113,VLOOKUP(AW492,Foundation_Calc!$I$2:$J$8,2,FALSE),0),
IF(AX492="K",VLOOKUP(K492,Foundation_Calc!$K$117:$R$151,VLOOKUP(AW492,Foundation_Calc!$I$2:$J$8,2,FALSE),0),"")))</f>
        <v/>
      </c>
      <c r="BA492" s="495" t="str">
        <f t="shared" si="59"/>
        <v>ü</v>
      </c>
      <c r="BB492" s="495" t="str">
        <f t="shared" si="60"/>
        <v/>
      </c>
      <c r="BC492" s="495" t="str">
        <f t="shared" si="61"/>
        <v/>
      </c>
      <c r="BD492" s="513" t="str">
        <f>Pole_Calc!A$251</f>
        <v>App.8-V08H-P10.3</v>
      </c>
      <c r="BE492" s="429" t="s">
        <v>118</v>
      </c>
      <c r="BF492" s="289"/>
      <c r="BG492" s="289"/>
      <c r="BH492" s="290"/>
      <c r="BI492" s="289"/>
    </row>
    <row r="493" spans="1:61" ht="15.75" customHeight="1">
      <c r="A493" s="514"/>
      <c r="B493" s="450"/>
      <c r="C493" s="3"/>
      <c r="D493" s="83"/>
      <c r="E493" s="4"/>
      <c r="F493" s="4"/>
      <c r="G493" s="6">
        <v>49.3</v>
      </c>
      <c r="H493" s="449"/>
      <c r="I493" s="4"/>
      <c r="J493" s="3"/>
      <c r="K493" s="449"/>
      <c r="L493" s="449"/>
      <c r="M493" s="449" t="str">
        <f>IF(L493="","",
IF(AX493="PT",VLOOKUP(L493,Foundation_Calc!$V$79:$X$113,VLOOKUP(AX493,Foundation_Calc!$I$10:$J$13,2,FALSE),0),
IF(AX493="K",VLOOKUP(L493,Foundation_Calc!$V$117:$X$151,VLOOKUP(AX493,Foundation_Calc!$I$10:$J$13,2,FALSE),0),"")))</f>
        <v/>
      </c>
      <c r="N493" s="449"/>
      <c r="O493" s="449"/>
      <c r="P493" s="449"/>
      <c r="Q493" s="4"/>
      <c r="R493" s="6"/>
      <c r="S493" s="6"/>
      <c r="T493" s="4"/>
      <c r="U493" s="4"/>
      <c r="V493" s="4"/>
      <c r="W493" s="9"/>
      <c r="X493" s="9"/>
      <c r="Y493" s="9"/>
      <c r="Z493" s="9"/>
      <c r="AA493" s="9"/>
      <c r="AB493" s="9"/>
      <c r="AC493" s="449" t="str">
        <f t="shared" si="55"/>
        <v/>
      </c>
      <c r="AD493" s="449"/>
      <c r="AE493" s="449"/>
      <c r="AF493" s="4"/>
      <c r="AG493" s="83"/>
      <c r="AH493" s="4"/>
      <c r="AI493" s="4"/>
      <c r="AJ493" s="449"/>
      <c r="AK493" s="449"/>
      <c r="AL493" s="449"/>
      <c r="AM493" s="449"/>
      <c r="AN493" s="10"/>
      <c r="AO493" s="9"/>
      <c r="AP493" s="9"/>
      <c r="AQ493" s="9">
        <f>+FL_1($T$494,$T$492,$G$493,1200,9.28,-1*$F$494)</f>
        <v>0.51593274231778219</v>
      </c>
      <c r="AR493" s="9"/>
      <c r="AS493" s="9"/>
      <c r="AT493" s="9"/>
      <c r="AU493" s="428"/>
      <c r="AV493" s="428"/>
      <c r="AW493" s="449" t="str">
        <f>IF(C493&gt;0,VLOOKUP(C493,Foundation_Calc!$A$2:$C$13,3,1),
IF(J493&gt;0,VLOOKUP(J493,Foundation_Calc!$A$2:$C$13,3,1),""))</f>
        <v/>
      </c>
      <c r="AX493" s="449" t="str">
        <f>IF(C493&gt;0,VLOOKUP(C493,Foundation_Calc!$E$2:$G$33,3,1),
IF(J493&gt;0,VLOOKUP(J493,Foundation_Calc!$E$2:$G$33,3,1),""))</f>
        <v/>
      </c>
      <c r="AY493" s="10" t="str">
        <f>IF(L493="","",
IF(AX493="PT",VLOOKUP(L493,Foundation_Calc!$K$79:$R$113,VLOOKUP(AW493,Foundation_Calc!$I$2:$J$8,2,FALSE),0),
IF(AX493="K",VLOOKUP(L493,Foundation_Calc!$K$117:$R$151,VLOOKUP(AW493,Foundation_Calc!$I$2:$J$8,2,FALSE),0),"")))</f>
        <v/>
      </c>
      <c r="AZ493" s="10" t="str">
        <f>IF(K493="","",
IF(AX493="PT",VLOOKUP(K493,Foundation_Calc!$K$79:$R$113,VLOOKUP(AW493,Foundation_Calc!$I$2:$J$8,2,FALSE),0),
IF(AX493="K",VLOOKUP(K493,Foundation_Calc!$K$117:$R$151,VLOOKUP(AW493,Foundation_Calc!$I$2:$J$8,2,FALSE),0),"")))</f>
        <v/>
      </c>
      <c r="BA493" s="495" t="str">
        <f t="shared" si="59"/>
        <v/>
      </c>
      <c r="BB493" s="495" t="str">
        <f t="shared" si="60"/>
        <v/>
      </c>
      <c r="BC493" s="495" t="str">
        <f t="shared" si="61"/>
        <v/>
      </c>
      <c r="BD493" s="513" t="str">
        <f>IF(AND(L493="",H493=""),"",
IF(H493="",Pole_Calc!A$9,
IF(H493="MP",Pole_Calc!A$10,
IF(H493="AnMP",Pole_Calc!A$11,
IF(H493="A",Pole_Calc!A$12,
IF(H493="S/A",Pole_Calc!A$13,
IF(H493="A/S",Pole_Calc!A$14,"Poner a mano")))))))</f>
        <v/>
      </c>
      <c r="BE493" s="429" t="s">
        <v>118</v>
      </c>
      <c r="BF493" s="290"/>
      <c r="BG493" s="290"/>
      <c r="BH493" s="290"/>
      <c r="BI493" s="290"/>
    </row>
    <row r="494" spans="1:61" ht="15.75" customHeight="1">
      <c r="A494" s="518"/>
      <c r="B494" s="450" t="s">
        <v>475</v>
      </c>
      <c r="C494" s="3">
        <f>+$C$492+$G$493</f>
        <v>41772.639999999992</v>
      </c>
      <c r="D494" s="83"/>
      <c r="E494" s="4"/>
      <c r="F494" s="4">
        <f>IF(C494&gt;0,VLOOKUP(C494,'ALIGNMENT TRACK'!$A$1:$K$81,9,1))</f>
        <v>0</v>
      </c>
      <c r="G494" s="6"/>
      <c r="H494" s="449" t="s">
        <v>292</v>
      </c>
      <c r="I494" s="4" t="s">
        <v>122</v>
      </c>
      <c r="J494" s="3">
        <f>C494+7.5</f>
        <v>41780.139999999992</v>
      </c>
      <c r="K494" s="449" t="s">
        <v>117</v>
      </c>
      <c r="L494" s="449" t="s">
        <v>232</v>
      </c>
      <c r="M494" s="449" t="str">
        <f>IF(L494="","",
IF(AX494="PT",VLOOKUP(L494,Foundation_Calc!$V$79:$X$113,VLOOKUP(AX494,Foundation_Calc!$I$10:$J$13,2,FALSE),0),
IF(AX494="K",VLOOKUP(L494,Foundation_Calc!$V$117:$X$151,VLOOKUP(AX494,Foundation_Calc!$I$10:$J$13,2,FALSE),0),"")))</f>
        <v>C5R</v>
      </c>
      <c r="N494" s="449" t="s">
        <v>134</v>
      </c>
      <c r="O494" s="554" t="s">
        <v>124</v>
      </c>
      <c r="P494" s="449"/>
      <c r="Q494" s="4"/>
      <c r="R494" s="6"/>
      <c r="S494" s="6"/>
      <c r="T494" s="4">
        <v>35</v>
      </c>
      <c r="U494" s="4">
        <v>20</v>
      </c>
      <c r="V494" s="4"/>
      <c r="W494" s="9">
        <v>1.4</v>
      </c>
      <c r="X494" s="9">
        <v>2</v>
      </c>
      <c r="Y494" s="9"/>
      <c r="Z494" s="9"/>
      <c r="AA494" s="9"/>
      <c r="AB494" s="9"/>
      <c r="AC494" s="449" t="str">
        <f t="shared" si="55"/>
        <v>PH</v>
      </c>
      <c r="AD494" s="449"/>
      <c r="AE494" s="449"/>
      <c r="AF494" s="4"/>
      <c r="AG494" s="83"/>
      <c r="AH494" s="4"/>
      <c r="AI494" s="4"/>
      <c r="AJ494" s="449" t="s">
        <v>239</v>
      </c>
      <c r="AK494" s="449"/>
      <c r="AL494" s="449" t="s">
        <v>241</v>
      </c>
      <c r="AM494" s="449" t="s">
        <v>126</v>
      </c>
      <c r="AN494" s="10">
        <v>5.5</v>
      </c>
      <c r="AO494" s="9"/>
      <c r="AP494" s="9"/>
      <c r="AQ494" s="9"/>
      <c r="AR494" s="9"/>
      <c r="AS494" s="9"/>
      <c r="AT494" s="9">
        <f>+ab($T$494,$T$492,$T$496,$G$493,$G$495,-1*$F$494,1200)</f>
        <v>14.40154767675137</v>
      </c>
      <c r="AU494" s="428"/>
      <c r="AV494" s="428"/>
      <c r="AW494" s="449" t="str">
        <f>IF(C494&gt;0,VLOOKUP(C494,Foundation_Calc!$A$2:$C$13,3,1),
IF(J494&gt;0,VLOOKUP(J494,Foundation_Calc!$A$2:$C$13,3,1),""))</f>
        <v>Multi Soil</v>
      </c>
      <c r="AX494" s="449" t="str">
        <f>IF(C494&gt;0,VLOOKUP(C494,Foundation_Calc!$E$2:$G$33,3,1),
IF(J494&gt;0,VLOOKUP(J494,Foundation_Calc!$E$2:$G$33,3,1),""))</f>
        <v>PT</v>
      </c>
      <c r="AY494" s="10">
        <f>IF(L494="","",
IF(AX494="PT",VLOOKUP(L494,Foundation_Calc!$K$79:$R$113,VLOOKUP(AW494,Foundation_Calc!$I$2:$J$8,2,FALSE),0),
IF(AX494="K",VLOOKUP(L494,Foundation_Calc!$K$117:$R$151,VLOOKUP(AW494,Foundation_Calc!$I$2:$J$8,2,FALSE),0),"")))</f>
        <v>3.5</v>
      </c>
      <c r="AZ494" s="10">
        <f>IF(K494="","",
IF(AX494="PT",VLOOKUP(K494,Foundation_Calc!$K$79:$R$113,VLOOKUP(AW494,Foundation_Calc!$I$2:$J$8,2,FALSE),0),
IF(AX494="K",VLOOKUP(K494,Foundation_Calc!$K$117:$R$151,VLOOKUP(AW494,Foundation_Calc!$I$2:$J$8,2,FALSE),0),"")))</f>
        <v>3.9</v>
      </c>
      <c r="BA494" s="495" t="str">
        <f t="shared" si="59"/>
        <v>ü</v>
      </c>
      <c r="BB494" s="495" t="str">
        <f t="shared" si="60"/>
        <v>ü</v>
      </c>
      <c r="BC494" s="495" t="str">
        <f t="shared" si="61"/>
        <v/>
      </c>
      <c r="BD494" s="513" t="str">
        <f>Pole_Calc!A$16</f>
        <v>App.7-V11I-P9.5.1.8</v>
      </c>
      <c r="BE494" s="429" t="s">
        <v>118</v>
      </c>
      <c r="BF494" s="289"/>
      <c r="BG494" s="289"/>
      <c r="BH494" s="290"/>
      <c r="BI494" s="289"/>
    </row>
    <row r="495" spans="1:61" ht="15.75" customHeight="1">
      <c r="A495" s="518"/>
      <c r="B495" s="450"/>
      <c r="C495" s="3"/>
      <c r="D495" s="83"/>
      <c r="E495" s="4"/>
      <c r="F495" s="4"/>
      <c r="G495" s="6">
        <v>55</v>
      </c>
      <c r="H495" s="449"/>
      <c r="I495" s="4"/>
      <c r="J495" s="3"/>
      <c r="K495" s="449"/>
      <c r="L495" s="449"/>
      <c r="M495" s="449" t="str">
        <f>IF(L495="","",
IF(AX495="PT",VLOOKUP(L495,Foundation_Calc!$V$79:$X$113,VLOOKUP(AX495,Foundation_Calc!$I$10:$J$13,2,FALSE),0),
IF(AX495="K",VLOOKUP(L495,Foundation_Calc!$V$117:$X$151,VLOOKUP(AX495,Foundation_Calc!$I$10:$J$13,2,FALSE),0),"")))</f>
        <v/>
      </c>
      <c r="N495" s="449"/>
      <c r="O495" s="449"/>
      <c r="P495" s="449"/>
      <c r="Q495" s="4"/>
      <c r="R495" s="6"/>
      <c r="S495" s="6"/>
      <c r="T495" s="4"/>
      <c r="U495" s="4"/>
      <c r="V495" s="4"/>
      <c r="W495" s="9"/>
      <c r="X495" s="9"/>
      <c r="Y495" s="9"/>
      <c r="Z495" s="9"/>
      <c r="AA495" s="9"/>
      <c r="AB495" s="9"/>
      <c r="AC495" s="449" t="str">
        <f t="shared" si="55"/>
        <v/>
      </c>
      <c r="AD495" s="449"/>
      <c r="AE495" s="449"/>
      <c r="AF495" s="4"/>
      <c r="AG495" s="83"/>
      <c r="AH495" s="4"/>
      <c r="AI495" s="4"/>
      <c r="AJ495" s="449"/>
      <c r="AK495" s="449"/>
      <c r="AL495" s="449"/>
      <c r="AM495" s="449"/>
      <c r="AN495" s="10"/>
      <c r="AO495" s="9"/>
      <c r="AP495" s="9"/>
      <c r="AQ495" s="9">
        <f>+FL_1($T$496,$T$494,$G$495,1200,9.28,-1*$F$496)</f>
        <v>0.43207183866666654</v>
      </c>
      <c r="AR495" s="9"/>
      <c r="AS495" s="9"/>
      <c r="AT495" s="9"/>
      <c r="AU495" s="428"/>
      <c r="AV495" s="428"/>
      <c r="AW495" s="449" t="str">
        <f>IF(C495&gt;0,VLOOKUP(C495,Foundation_Calc!$A$2:$C$13,3,1),
IF(J495&gt;0,VLOOKUP(J495,Foundation_Calc!$A$2:$C$13,3,1),""))</f>
        <v/>
      </c>
      <c r="AX495" s="449" t="str">
        <f>IF(C495&gt;0,VLOOKUP(C495,Foundation_Calc!$E$2:$G$33,3,1),
IF(J495&gt;0,VLOOKUP(J495,Foundation_Calc!$E$2:$G$33,3,1),""))</f>
        <v/>
      </c>
      <c r="AY495" s="10" t="str">
        <f>IF(L495="","",
IF(AX495="PT",VLOOKUP(L495,Foundation_Calc!$K$79:$R$113,VLOOKUP(AW495,Foundation_Calc!$I$2:$J$8,2,FALSE),0),
IF(AX495="K",VLOOKUP(L495,Foundation_Calc!$K$117:$R$151,VLOOKUP(AW495,Foundation_Calc!$I$2:$J$8,2,FALSE),0),"")))</f>
        <v/>
      </c>
      <c r="AZ495" s="10" t="str">
        <f>IF(K495="","",
IF(AX495="PT",VLOOKUP(K495,Foundation_Calc!$K$79:$R$113,VLOOKUP(AW495,Foundation_Calc!$I$2:$J$8,2,FALSE),0),
IF(AX495="K",VLOOKUP(K495,Foundation_Calc!$K$117:$R$151,VLOOKUP(AW495,Foundation_Calc!$I$2:$J$8,2,FALSE),0),"")))</f>
        <v/>
      </c>
      <c r="BA495" s="495" t="str">
        <f t="shared" si="59"/>
        <v/>
      </c>
      <c r="BB495" s="495" t="str">
        <f t="shared" si="60"/>
        <v/>
      </c>
      <c r="BC495" s="495" t="str">
        <f t="shared" si="61"/>
        <v/>
      </c>
      <c r="BD495" s="513" t="str">
        <f>IF(AND(L495="",H495=""),"",
IF(H495="",Pole_Calc!A$9,
IF(H495="MP",Pole_Calc!A$10,
IF(H495="AnMP",Pole_Calc!A$11,
IF(H495="A",Pole_Calc!A$12,
IF(H495="S/A",Pole_Calc!A$13,
IF(H495="A/S",Pole_Calc!A$14,"Poner a mano")))))))</f>
        <v/>
      </c>
      <c r="BE495" s="429" t="s">
        <v>118</v>
      </c>
      <c r="BF495" s="290"/>
      <c r="BG495" s="290"/>
      <c r="BH495" s="290"/>
      <c r="BI495" s="290"/>
    </row>
    <row r="496" spans="1:61" ht="15.75" customHeight="1">
      <c r="A496" s="514"/>
      <c r="B496" s="450" t="s">
        <v>476</v>
      </c>
      <c r="C496" s="3">
        <f>+$C$494+$G$495</f>
        <v>41827.639999999992</v>
      </c>
      <c r="D496" s="83"/>
      <c r="E496" s="4"/>
      <c r="F496" s="4">
        <f>IF(C496&gt;0,VLOOKUP(C496,'ALIGNMENT TRACK'!$A$1:$K$81,9,1))</f>
        <v>0</v>
      </c>
      <c r="G496" s="6"/>
      <c r="H496" s="449" t="s">
        <v>236</v>
      </c>
      <c r="I496" s="4" t="s">
        <v>122</v>
      </c>
      <c r="J496" s="3"/>
      <c r="K496" s="449"/>
      <c r="L496" s="449" t="s">
        <v>206</v>
      </c>
      <c r="M496" s="449" t="str">
        <f>IF(L496="","",
IF(AX496="PT",VLOOKUP(L496,Foundation_Calc!$V$79:$X$113,VLOOKUP(AX496,Foundation_Calc!$I$10:$J$13,2,FALSE),0),
IF(AX496="K",VLOOKUP(L496,Foundation_Calc!$V$117:$X$151,VLOOKUP(AX496,Foundation_Calc!$I$10:$J$13,2,FALSE),0),"")))</f>
        <v>2C4R</v>
      </c>
      <c r="N496" s="449" t="s">
        <v>124</v>
      </c>
      <c r="O496" s="554" t="s">
        <v>133</v>
      </c>
      <c r="P496" s="449"/>
      <c r="Q496" s="4"/>
      <c r="R496" s="6"/>
      <c r="S496" s="6"/>
      <c r="T496" s="4">
        <v>-20</v>
      </c>
      <c r="U496" s="4">
        <v>-55</v>
      </c>
      <c r="V496" s="4"/>
      <c r="W496" s="9">
        <v>1.4</v>
      </c>
      <c r="X496" s="9">
        <v>2</v>
      </c>
      <c r="Y496" s="9"/>
      <c r="Z496" s="9"/>
      <c r="AA496" s="9">
        <v>0.4</v>
      </c>
      <c r="AB496" s="9"/>
      <c r="AC496" s="449" t="str">
        <f t="shared" si="55"/>
        <v>PH</v>
      </c>
      <c r="AD496" s="449"/>
      <c r="AE496" s="449"/>
      <c r="AF496" s="4"/>
      <c r="AG496" s="83"/>
      <c r="AH496" s="4"/>
      <c r="AI496" s="4"/>
      <c r="AJ496" s="449"/>
      <c r="AK496" s="449"/>
      <c r="AL496" s="449"/>
      <c r="AM496" s="449" t="s">
        <v>126</v>
      </c>
      <c r="AN496" s="10">
        <v>5.5</v>
      </c>
      <c r="AO496" s="9"/>
      <c r="AP496" s="9"/>
      <c r="AQ496" s="9"/>
      <c r="AR496" s="9"/>
      <c r="AS496" s="9"/>
      <c r="AT496" s="9">
        <f>+ab($T$496,$T$494,$U$498,$G$495,$G$497,-1*$F$496,1200)</f>
        <v>-11.856922781714003</v>
      </c>
      <c r="AU496" s="428"/>
      <c r="AV496" s="428"/>
      <c r="AW496" s="449" t="str">
        <f>IF(C496&gt;0,VLOOKUP(C496,Foundation_Calc!$A$2:$C$13,3,1),
IF(J496&gt;0,VLOOKUP(J496,Foundation_Calc!$A$2:$C$13,3,1),""))</f>
        <v>Multi Soil</v>
      </c>
      <c r="AX496" s="449" t="str">
        <f>IF(C496&gt;0,VLOOKUP(C496,Foundation_Calc!$E$2:$G$33,3,1),
IF(J496&gt;0,VLOOKUP(J496,Foundation_Calc!$E$2:$G$33,3,1),""))</f>
        <v>PT</v>
      </c>
      <c r="AY496" s="10">
        <f>IF(L496="","",
IF(AX496="PT",VLOOKUP(L496,Foundation_Calc!$K$79:$R$113,VLOOKUP(AW496,Foundation_Calc!$I$2:$J$8,2,FALSE),0),
IF(AX496="K",VLOOKUP(L496,Foundation_Calc!$K$117:$R$151,VLOOKUP(AW496,Foundation_Calc!$I$2:$J$8,2,FALSE),0),"")))</f>
        <v>4</v>
      </c>
      <c r="AZ496" s="10" t="str">
        <f>IF(K496="","",
IF(AX496="PT",VLOOKUP(K496,Foundation_Calc!$K$79:$R$113,VLOOKUP(AW496,Foundation_Calc!$I$2:$J$8,2,FALSE),0),
IF(AX496="K",VLOOKUP(K496,Foundation_Calc!$K$117:$R$151,VLOOKUP(AW496,Foundation_Calc!$I$2:$J$8,2,FALSE),0),"")))</f>
        <v/>
      </c>
      <c r="BA496" s="495" t="str">
        <f t="shared" si="59"/>
        <v>ü</v>
      </c>
      <c r="BB496" s="495" t="str">
        <f t="shared" si="60"/>
        <v/>
      </c>
      <c r="BC496" s="495" t="str">
        <f t="shared" si="61"/>
        <v/>
      </c>
      <c r="BD496" s="513" t="str">
        <f>Pole_Calc!A$168</f>
        <v>App.7-V11I-P9.5.15.3</v>
      </c>
      <c r="BE496" s="429" t="s">
        <v>118</v>
      </c>
      <c r="BF496" s="289"/>
      <c r="BG496" s="289"/>
      <c r="BH496" s="290"/>
      <c r="BI496" s="289"/>
    </row>
    <row r="497" spans="1:61" ht="15.75" customHeight="1">
      <c r="A497" s="514"/>
      <c r="B497" s="450"/>
      <c r="C497" s="3"/>
      <c r="D497" s="83"/>
      <c r="E497" s="4"/>
      <c r="F497" s="4"/>
      <c r="G497" s="6">
        <v>50.4</v>
      </c>
      <c r="H497" s="449"/>
      <c r="I497" s="4"/>
      <c r="J497" s="3"/>
      <c r="K497" s="449"/>
      <c r="L497" s="449"/>
      <c r="M497" s="449" t="str">
        <f>IF(L497="","",
IF(AX497="PT",VLOOKUP(L497,Foundation_Calc!$V$79:$X$113,VLOOKUP(AX497,Foundation_Calc!$I$10:$J$13,2,FALSE),0),
IF(AX497="K",VLOOKUP(L497,Foundation_Calc!$V$117:$X$151,VLOOKUP(AX497,Foundation_Calc!$I$10:$J$13,2,FALSE),0),"")))</f>
        <v/>
      </c>
      <c r="N497" s="449"/>
      <c r="O497" s="449"/>
      <c r="P497" s="449"/>
      <c r="Q497" s="4"/>
      <c r="R497" s="6"/>
      <c r="S497" s="6"/>
      <c r="T497" s="4"/>
      <c r="U497" s="4"/>
      <c r="V497" s="4"/>
      <c r="W497" s="9"/>
      <c r="X497" s="9"/>
      <c r="Y497" s="9"/>
      <c r="Z497" s="9"/>
      <c r="AA497" s="9"/>
      <c r="AB497" s="9"/>
      <c r="AC497" s="449" t="str">
        <f t="shared" si="55"/>
        <v/>
      </c>
      <c r="AD497" s="449"/>
      <c r="AE497" s="449"/>
      <c r="AF497" s="4"/>
      <c r="AG497" s="83"/>
      <c r="AH497" s="4"/>
      <c r="AI497" s="4"/>
      <c r="AJ497" s="449"/>
      <c r="AK497" s="449"/>
      <c r="AL497" s="449"/>
      <c r="AM497" s="449"/>
      <c r="AN497" s="10"/>
      <c r="AO497" s="9"/>
      <c r="AP497" s="9"/>
      <c r="AQ497" s="9">
        <f>+FL_1($U$498,$T$496,$G$497,1200,9.28,-1*$F$498)</f>
        <v>0.21845666666666666</v>
      </c>
      <c r="AR497" s="9"/>
      <c r="AS497" s="9"/>
      <c r="AT497" s="9"/>
      <c r="AU497" s="428"/>
      <c r="AV497" s="428"/>
      <c r="AW497" s="449" t="str">
        <f>IF(C497&gt;0,VLOOKUP(C497,Foundation_Calc!$A$2:$C$13,3,1),
IF(J497&gt;0,VLOOKUP(J497,Foundation_Calc!$A$2:$C$13,3,1),""))</f>
        <v/>
      </c>
      <c r="AX497" s="449" t="str">
        <f>IF(C497&gt;0,VLOOKUP(C497,Foundation_Calc!$E$2:$G$33,3,1),
IF(J497&gt;0,VLOOKUP(J497,Foundation_Calc!$E$2:$G$33,3,1),""))</f>
        <v/>
      </c>
      <c r="AY497" s="10" t="str">
        <f>IF(L497="","",
IF(AX497="PT",VLOOKUP(L497,Foundation_Calc!$K$79:$R$113,VLOOKUP(AW497,Foundation_Calc!$I$2:$J$8,2,FALSE),0),
IF(AX497="K",VLOOKUP(L497,Foundation_Calc!$K$117:$R$151,VLOOKUP(AW497,Foundation_Calc!$I$2:$J$8,2,FALSE),0),"")))</f>
        <v/>
      </c>
      <c r="AZ497" s="10" t="str">
        <f>IF(K497="","",
IF(AX497="PT",VLOOKUP(K497,Foundation_Calc!$K$79:$R$113,VLOOKUP(AW497,Foundation_Calc!$I$2:$J$8,2,FALSE),0),
IF(AX497="K",VLOOKUP(K497,Foundation_Calc!$K$117:$R$151,VLOOKUP(AW497,Foundation_Calc!$I$2:$J$8,2,FALSE),0),"")))</f>
        <v/>
      </c>
      <c r="BA497" s="495" t="str">
        <f t="shared" si="59"/>
        <v/>
      </c>
      <c r="BB497" s="495" t="str">
        <f t="shared" si="60"/>
        <v/>
      </c>
      <c r="BC497" s="495" t="str">
        <f t="shared" si="61"/>
        <v/>
      </c>
      <c r="BD497" s="513" t="str">
        <f>IF(AND(L497="",H497=""),"",
IF(H497="",Pole_Calc!A$9,
IF(H497="MP",Pole_Calc!A$10,
IF(H497="AnMP",Pole_Calc!A$11,
IF(H497="A",Pole_Calc!A$12,
IF(H497="S/A",Pole_Calc!A$13,
IF(H497="A/S",Pole_Calc!A$14,"Poner a mano")))))))</f>
        <v/>
      </c>
      <c r="BE497" s="429" t="s">
        <v>118</v>
      </c>
      <c r="BF497" s="290"/>
      <c r="BG497" s="290"/>
      <c r="BH497" s="290"/>
      <c r="BI497" s="290"/>
    </row>
    <row r="498" spans="1:61" ht="15.75" customHeight="1">
      <c r="A498" s="514" t="s">
        <v>477</v>
      </c>
      <c r="B498" s="450" t="s">
        <v>478</v>
      </c>
      <c r="C498" s="3">
        <f>+$C$496+$G$497</f>
        <v>41878.039999999994</v>
      </c>
      <c r="D498" s="83"/>
      <c r="E498" s="4"/>
      <c r="F498" s="4">
        <f>IF(C498&gt;0,VLOOKUP(C498,'ALIGNMENT TRACK'!$A$1:$K$81,9,1))</f>
        <v>0</v>
      </c>
      <c r="G498" s="6"/>
      <c r="H498" s="449" t="s">
        <v>230</v>
      </c>
      <c r="I498" s="4" t="s">
        <v>479</v>
      </c>
      <c r="J498" s="3"/>
      <c r="K498" s="449"/>
      <c r="L498" s="449" t="s">
        <v>206</v>
      </c>
      <c r="M498" s="449" t="str">
        <f>IF(L498="","",
IF(AX498="PT",VLOOKUP(L498,Foundation_Calc!$V$79:$X$113,VLOOKUP(AX498,Foundation_Calc!$I$10:$J$13,2,FALSE),0),
IF(AX498="K",VLOOKUP(L498,Foundation_Calc!$V$117:$X$151,VLOOKUP(AX498,Foundation_Calc!$I$10:$J$13,2,FALSE),0),"")))</f>
        <v>2C4R</v>
      </c>
      <c r="N498" s="449" t="s">
        <v>133</v>
      </c>
      <c r="O498" s="449" t="s">
        <v>134</v>
      </c>
      <c r="P498" s="449"/>
      <c r="Q498" s="4"/>
      <c r="R498" s="6"/>
      <c r="S498" s="6"/>
      <c r="T498" s="4">
        <v>55</v>
      </c>
      <c r="U498" s="4">
        <v>10</v>
      </c>
      <c r="V498" s="4"/>
      <c r="W498" s="9">
        <v>1.4</v>
      </c>
      <c r="X498" s="9">
        <v>2.2999999999999998</v>
      </c>
      <c r="Y498" s="9"/>
      <c r="Z498" s="9">
        <v>0.5</v>
      </c>
      <c r="AA498" s="9"/>
      <c r="AB498" s="9"/>
      <c r="AC498" s="449"/>
      <c r="AD498" s="449"/>
      <c r="AE498" s="449"/>
      <c r="AF498" s="4"/>
      <c r="AG498" s="83"/>
      <c r="AH498" s="4"/>
      <c r="AI498" s="4"/>
      <c r="AJ498" s="449" t="s">
        <v>233</v>
      </c>
      <c r="AK498" s="449"/>
      <c r="AL498" s="449"/>
      <c r="AM498" s="449" t="s">
        <v>126</v>
      </c>
      <c r="AN498" s="10">
        <v>5.5</v>
      </c>
      <c r="AO498" s="9"/>
      <c r="AP498" s="9"/>
      <c r="AQ498" s="9"/>
      <c r="AR498" s="9"/>
      <c r="AS498" s="9"/>
      <c r="AT498" s="9">
        <f>+ab($U$498,$T$496,$T$500,$G$497,$G$499,-1*$F$498,1200)</f>
        <v>18.736402065761514</v>
      </c>
      <c r="AU498" s="428"/>
      <c r="AV498" s="428"/>
      <c r="AW498" s="449" t="str">
        <f>IF(C498&gt;0,VLOOKUP(C498,Foundation_Calc!$A$2:$C$13,3,1),
IF(J498&gt;0,VLOOKUP(J498,Foundation_Calc!$A$2:$C$13,3,1),""))</f>
        <v>Multi Soil</v>
      </c>
      <c r="AX498" s="449" t="str">
        <f>IF(C498&gt;0,VLOOKUP(C498,Foundation_Calc!$E$2:$G$33,3,1),
IF(J498&gt;0,VLOOKUP(J498,Foundation_Calc!$E$2:$G$33,3,1),""))</f>
        <v>PT</v>
      </c>
      <c r="AY498" s="10">
        <f>IF(L498="","",
IF(AX498="PT",VLOOKUP(L498,Foundation_Calc!$K$79:$R$113,VLOOKUP(AW498,Foundation_Calc!$I$2:$J$8,2,FALSE),0),
IF(AX498="K",VLOOKUP(L498,Foundation_Calc!$K$117:$R$151,VLOOKUP(AW498,Foundation_Calc!$I$2:$J$8,2,FALSE),0),"")))</f>
        <v>4</v>
      </c>
      <c r="AZ498" s="10" t="str">
        <f>IF(K498="","",
IF(AX498="PT",VLOOKUP(K498,Foundation_Calc!$K$79:$R$113,VLOOKUP(AW498,Foundation_Calc!$I$2:$J$8,2,FALSE),0),
IF(AX498="K",VLOOKUP(K498,Foundation_Calc!$K$117:$R$151,VLOOKUP(AW498,Foundation_Calc!$I$2:$J$8,2,FALSE),0),"")))</f>
        <v/>
      </c>
      <c r="BA498" s="495" t="str">
        <f t="shared" si="59"/>
        <v>ü</v>
      </c>
      <c r="BB498" s="495" t="str">
        <f t="shared" si="60"/>
        <v/>
      </c>
      <c r="BC498" s="495" t="str">
        <f t="shared" si="61"/>
        <v/>
      </c>
      <c r="BD498" s="513" t="str">
        <f>Pole_Calc!A$168</f>
        <v>App.7-V11I-P9.5.15.3</v>
      </c>
      <c r="BE498" s="429" t="s">
        <v>118</v>
      </c>
      <c r="BF498" s="289"/>
      <c r="BG498" s="289"/>
      <c r="BH498" s="290"/>
      <c r="BI498" s="289"/>
    </row>
    <row r="499" spans="1:61" ht="15.75" customHeight="1">
      <c r="A499" s="514"/>
      <c r="B499" s="450"/>
      <c r="C499" s="3"/>
      <c r="D499" s="83"/>
      <c r="E499" s="4"/>
      <c r="F499" s="4"/>
      <c r="G499" s="6">
        <v>51</v>
      </c>
      <c r="H499" s="449"/>
      <c r="I499" s="4"/>
      <c r="J499" s="3"/>
      <c r="K499" s="449"/>
      <c r="L499" s="449"/>
      <c r="M499" s="449" t="str">
        <f>IF(L499="","",
IF(AX499="PT",VLOOKUP(L499,Foundation_Calc!$V$79:$X$113,VLOOKUP(AX499,Foundation_Calc!$I$10:$J$13,2,FALSE),0),
IF(AX499="K",VLOOKUP(L499,Foundation_Calc!$V$117:$X$151,VLOOKUP(AX499,Foundation_Calc!$I$10:$J$13,2,FALSE),0),"")))</f>
        <v/>
      </c>
      <c r="N499" s="449"/>
      <c r="O499" s="449"/>
      <c r="P499" s="449"/>
      <c r="Q499" s="4"/>
      <c r="R499" s="6"/>
      <c r="S499" s="6"/>
      <c r="T499" s="4"/>
      <c r="U499" s="4"/>
      <c r="V499" s="4"/>
      <c r="W499" s="9"/>
      <c r="X499" s="9"/>
      <c r="Y499" s="9"/>
      <c r="Z499" s="9"/>
      <c r="AA499" s="9"/>
      <c r="AB499" s="9"/>
      <c r="AC499" s="449" t="str">
        <f t="shared" si="55"/>
        <v/>
      </c>
      <c r="AD499" s="449"/>
      <c r="AE499" s="449"/>
      <c r="AF499" s="4"/>
      <c r="AG499" s="83"/>
      <c r="AH499" s="4"/>
      <c r="AI499" s="4"/>
      <c r="AJ499" s="449"/>
      <c r="AK499" s="449"/>
      <c r="AL499" s="449"/>
      <c r="AM499" s="449"/>
      <c r="AN499" s="10"/>
      <c r="AO499" s="9"/>
      <c r="AP499" s="9"/>
      <c r="AQ499" s="9">
        <f>+FL_1($T$500,$U$498,$G$499,1200,9.28,-1*$F$500)</f>
        <v>0.26137312494117643</v>
      </c>
      <c r="AR499" s="9"/>
      <c r="AS499" s="9"/>
      <c r="AT499" s="9"/>
      <c r="AU499" s="428"/>
      <c r="AV499" s="428"/>
      <c r="AW499" s="449" t="str">
        <f>IF(C499&gt;0,VLOOKUP(C499,Foundation_Calc!$A$2:$C$13,3,1),
IF(J499&gt;0,VLOOKUP(J499,Foundation_Calc!$A$2:$C$13,3,1),""))</f>
        <v/>
      </c>
      <c r="AX499" s="449" t="str">
        <f>IF(C499&gt;0,VLOOKUP(C499,Foundation_Calc!$E$2:$G$33,3,1),
IF(J499&gt;0,VLOOKUP(J499,Foundation_Calc!$E$2:$G$33,3,1),""))</f>
        <v/>
      </c>
      <c r="AY499" s="10" t="str">
        <f>IF(L499="","",
IF(AX499="PT",VLOOKUP(L499,Foundation_Calc!$K$79:$R$113,VLOOKUP(AW499,Foundation_Calc!$I$2:$J$8,2,FALSE),0),
IF(AX499="K",VLOOKUP(L499,Foundation_Calc!$K$117:$R$151,VLOOKUP(AW499,Foundation_Calc!$I$2:$J$8,2,FALSE),0),"")))</f>
        <v/>
      </c>
      <c r="AZ499" s="10" t="str">
        <f>IF(K499="","",
IF(AX499="PT",VLOOKUP(K499,Foundation_Calc!$K$79:$R$113,VLOOKUP(AW499,Foundation_Calc!$I$2:$J$8,2,FALSE),0),
IF(AX499="K",VLOOKUP(K499,Foundation_Calc!$K$117:$R$151,VLOOKUP(AW499,Foundation_Calc!$I$2:$J$8,2,FALSE),0),"")))</f>
        <v/>
      </c>
      <c r="BA499" s="495" t="str">
        <f t="shared" si="59"/>
        <v/>
      </c>
      <c r="BB499" s="495" t="str">
        <f t="shared" si="60"/>
        <v/>
      </c>
      <c r="BC499" s="495" t="str">
        <f t="shared" si="61"/>
        <v/>
      </c>
      <c r="BD499" s="513" t="str">
        <f>IF(AND(L499="",H499=""),"",
IF(H499="",Pole_Calc!A$9,
IF(H499="MP",Pole_Calc!A$10,
IF(H499="AnMP",Pole_Calc!A$11,
IF(H499="A",Pole_Calc!A$12,
IF(H499="S/A",Pole_Calc!A$13,
IF(H499="A/S",Pole_Calc!A$14,"Poner a mano")))))))</f>
        <v/>
      </c>
      <c r="BE499" s="429" t="s">
        <v>118</v>
      </c>
      <c r="BF499" s="290"/>
      <c r="BG499" s="290"/>
      <c r="BH499" s="290"/>
      <c r="BI499" s="290"/>
    </row>
    <row r="500" spans="1:61" ht="15.75" customHeight="1">
      <c r="A500" s="518"/>
      <c r="B500" s="450" t="s">
        <v>480</v>
      </c>
      <c r="C500" s="3">
        <f>+$C$498+$G$499</f>
        <v>41929.039999999994</v>
      </c>
      <c r="D500" s="83"/>
      <c r="E500" s="4"/>
      <c r="F500" s="4">
        <f>IF(C500&gt;0,VLOOKUP(C500,'ALIGNMENT TRACK'!$A$1:$K$81,9,1))</f>
        <v>0</v>
      </c>
      <c r="G500" s="6"/>
      <c r="H500" s="449" t="s">
        <v>131</v>
      </c>
      <c r="I500" s="4"/>
      <c r="J500" s="3"/>
      <c r="K500" s="449"/>
      <c r="L500" s="449" t="s">
        <v>183</v>
      </c>
      <c r="M500" s="449" t="str">
        <f>IF(L500="","",
IF(AX500="PT",VLOOKUP(L500,Foundation_Calc!$V$79:$X$113,VLOOKUP(AX500,Foundation_Calc!$I$10:$J$13,2,FALSE),0),
IF(AX500="K",VLOOKUP(L500,Foundation_Calc!$V$117:$X$151,VLOOKUP(AX500,Foundation_Calc!$I$10:$J$13,2,FALSE),0),"")))</f>
        <v>2C3R</v>
      </c>
      <c r="N500" s="449" t="s">
        <v>124</v>
      </c>
      <c r="O500" s="449" t="s">
        <v>133</v>
      </c>
      <c r="P500" s="449"/>
      <c r="Q500" s="4"/>
      <c r="R500" s="6"/>
      <c r="S500" s="6"/>
      <c r="T500" s="4">
        <v>-10</v>
      </c>
      <c r="U500" s="4">
        <v>-55</v>
      </c>
      <c r="V500" s="4"/>
      <c r="W500" s="9">
        <v>1.4</v>
      </c>
      <c r="X500" s="9">
        <v>2.2999999999999998</v>
      </c>
      <c r="Y500" s="9"/>
      <c r="Z500" s="9"/>
      <c r="AA500" s="9">
        <v>0.5</v>
      </c>
      <c r="AB500" s="9"/>
      <c r="AC500" s="449" t="str">
        <f t="shared" si="55"/>
        <v>PH</v>
      </c>
      <c r="AD500" s="449"/>
      <c r="AE500" s="449"/>
      <c r="AF500" s="4"/>
      <c r="AG500" s="83"/>
      <c r="AH500" s="4"/>
      <c r="AI500" s="4"/>
      <c r="AJ500" s="449"/>
      <c r="AK500" s="449"/>
      <c r="AL500" s="449"/>
      <c r="AM500" s="449" t="s">
        <v>126</v>
      </c>
      <c r="AN500" s="10">
        <v>5.5</v>
      </c>
      <c r="AO500" s="9"/>
      <c r="AP500" s="9"/>
      <c r="AQ500" s="9"/>
      <c r="AR500" s="9"/>
      <c r="AS500" s="9"/>
      <c r="AT500" s="9">
        <f>+ab($T$500,$T$498,$T$502,$G$499,$G$501,-1*$F$500,1200)</f>
        <v>-9.6930081764422766</v>
      </c>
      <c r="AU500" s="428"/>
      <c r="AV500" s="428"/>
      <c r="AW500" s="449" t="str">
        <f>IF(C500&gt;0,VLOOKUP(C500,Foundation_Calc!$A$2:$C$13,3,1),
IF(J500&gt;0,VLOOKUP(J500,Foundation_Calc!$A$2:$C$13,3,1),""))</f>
        <v>Multi Soil</v>
      </c>
      <c r="AX500" s="449" t="str">
        <f>IF(C500&gt;0,VLOOKUP(C500,Foundation_Calc!$E$2:$G$33,3,1),
IF(J500&gt;0,VLOOKUP(J500,Foundation_Calc!$E$2:$G$33,3,1),""))</f>
        <v>PT</v>
      </c>
      <c r="AY500" s="10">
        <f>IF(L500="","",
IF(AX500="PT",VLOOKUP(L500,Foundation_Calc!$K$79:$R$113,VLOOKUP(AW500,Foundation_Calc!$I$2:$J$8,2,FALSE),0),
IF(AX500="K",VLOOKUP(L500,Foundation_Calc!$K$117:$R$151,VLOOKUP(AW500,Foundation_Calc!$I$2:$J$8,2,FALSE),0),"")))</f>
        <v>3.7</v>
      </c>
      <c r="AZ500" s="10" t="str">
        <f>IF(K500="","",
IF(AX500="PT",VLOOKUP(K500,Foundation_Calc!$K$79:$R$113,VLOOKUP(AW500,Foundation_Calc!$I$2:$J$8,2,FALSE),0),
IF(AX500="K",VLOOKUP(K500,Foundation_Calc!$K$117:$R$151,VLOOKUP(AW500,Foundation_Calc!$I$2:$J$8,2,FALSE),0),"")))</f>
        <v/>
      </c>
      <c r="BA500" s="495" t="str">
        <f t="shared" si="59"/>
        <v>ü</v>
      </c>
      <c r="BB500" s="495" t="str">
        <f t="shared" si="60"/>
        <v/>
      </c>
      <c r="BC500" s="495" t="str">
        <f t="shared" si="61"/>
        <v/>
      </c>
      <c r="BD500" s="513" t="str">
        <f>IF(AND(L500="",H500=""),"",
IF(H500="",Pole_Calc!A$9,
IF(H500="MP",Pole_Calc!A$10,
IF(H500="AnMP",Pole_Calc!A$11,
IF(H500="A",Pole_Calc!A$12,
IF(H500="S/A",Pole_Calc!A$13,
IF(H500="A/S",Pole_Calc!A$14,"Poner a mano")))))))</f>
        <v>App.7-V11I-P9.5.1.5</v>
      </c>
      <c r="BE500" s="429" t="s">
        <v>118</v>
      </c>
      <c r="BF500" s="289"/>
      <c r="BG500" s="289"/>
      <c r="BH500" s="290"/>
      <c r="BI500" s="289"/>
    </row>
    <row r="501" spans="1:61" ht="15.75" customHeight="1">
      <c r="A501" s="518"/>
      <c r="B501" s="450"/>
      <c r="C501" s="3"/>
      <c r="D501" s="83"/>
      <c r="E501" s="4"/>
      <c r="F501" s="4"/>
      <c r="G501" s="6">
        <v>51</v>
      </c>
      <c r="H501" s="449"/>
      <c r="I501" s="4">
        <f>SUM(G489:G501)</f>
        <v>355.20000000000005</v>
      </c>
      <c r="J501" s="3"/>
      <c r="K501" s="449"/>
      <c r="L501" s="449"/>
      <c r="M501" s="449" t="str">
        <f>IF(L501="","",
IF(AX501="PT",VLOOKUP(L501,Foundation_Calc!$V$79:$X$113,VLOOKUP(AX501,Foundation_Calc!$I$10:$J$13,2,FALSE),0),
IF(AX501="K",VLOOKUP(L501,Foundation_Calc!$V$117:$X$151,VLOOKUP(AX501,Foundation_Calc!$I$10:$J$13,2,FALSE),0),"")))</f>
        <v/>
      </c>
      <c r="N501" s="449"/>
      <c r="O501" s="449"/>
      <c r="P501" s="449"/>
      <c r="Q501" s="4"/>
      <c r="R501" s="6"/>
      <c r="S501" s="6"/>
      <c r="T501" s="4"/>
      <c r="U501" s="4"/>
      <c r="V501" s="4"/>
      <c r="W501" s="9"/>
      <c r="X501" s="9"/>
      <c r="Y501" s="9"/>
      <c r="Z501" s="9"/>
      <c r="AA501" s="9"/>
      <c r="AB501" s="9"/>
      <c r="AC501" s="449" t="str">
        <f t="shared" si="55"/>
        <v/>
      </c>
      <c r="AD501" s="449"/>
      <c r="AE501" s="449"/>
      <c r="AF501" s="4"/>
      <c r="AG501" s="83"/>
      <c r="AH501" s="4"/>
      <c r="AI501" s="4"/>
      <c r="AJ501" s="449"/>
      <c r="AK501" s="449"/>
      <c r="AL501" s="449"/>
      <c r="AM501" s="449"/>
      <c r="AN501" s="10"/>
      <c r="AO501" s="9"/>
      <c r="AP501" s="9"/>
      <c r="AQ501" s="9">
        <f>+FL_1($T$502,$T$500,$G$501,1200,9.28,-1*$F$502)</f>
        <v>0.35688081435294111</v>
      </c>
      <c r="AR501" s="9"/>
      <c r="AS501" s="9"/>
      <c r="AT501" s="9"/>
      <c r="AU501" s="428"/>
      <c r="AV501" s="428"/>
      <c r="AW501" s="449" t="str">
        <f>IF(C501&gt;0,VLOOKUP(C501,Foundation_Calc!$A$2:$C$13,3,1),
IF(J501&gt;0,VLOOKUP(J501,Foundation_Calc!$A$2:$C$13,3,1),""))</f>
        <v/>
      </c>
      <c r="AX501" s="449" t="str">
        <f>IF(C501&gt;0,VLOOKUP(C501,Foundation_Calc!$E$2:$G$33,3,1),
IF(J501&gt;0,VLOOKUP(J501,Foundation_Calc!$E$2:$G$33,3,1),""))</f>
        <v/>
      </c>
      <c r="AY501" s="10" t="str">
        <f>IF(L501="","",
IF(AX501="PT",VLOOKUP(L501,Foundation_Calc!$K$79:$R$113,VLOOKUP(AW501,Foundation_Calc!$I$2:$J$8,2,FALSE),0),
IF(AX501="K",VLOOKUP(L501,Foundation_Calc!$K$117:$R$151,VLOOKUP(AW501,Foundation_Calc!$I$2:$J$8,2,FALSE),0),"")))</f>
        <v/>
      </c>
      <c r="AZ501" s="10" t="str">
        <f>IF(K501="","",
IF(AX501="PT",VLOOKUP(K501,Foundation_Calc!$K$79:$R$113,VLOOKUP(AW501,Foundation_Calc!$I$2:$J$8,2,FALSE),0),
IF(AX501="K",VLOOKUP(K501,Foundation_Calc!$K$117:$R$151,VLOOKUP(AW501,Foundation_Calc!$I$2:$J$8,2,FALSE),0),"")))</f>
        <v/>
      </c>
      <c r="BA501" s="495" t="str">
        <f t="shared" si="59"/>
        <v/>
      </c>
      <c r="BB501" s="495" t="str">
        <f t="shared" si="60"/>
        <v/>
      </c>
      <c r="BC501" s="495" t="str">
        <f t="shared" si="61"/>
        <v/>
      </c>
      <c r="BD501" s="513" t="str">
        <f>IF(AND(L501="",H501=""),"",
IF(H501="",Pole_Calc!A$9,
IF(H501="MP",Pole_Calc!A$10,
IF(H501="AnMP",Pole_Calc!A$11,
IF(H501="A",Pole_Calc!A$12,
IF(H501="S/A",Pole_Calc!A$13,
IF(H501="A/S",Pole_Calc!A$14,"Poner a mano")))))))</f>
        <v/>
      </c>
      <c r="BE501" s="429" t="s">
        <v>118</v>
      </c>
      <c r="BF501" s="290"/>
      <c r="BG501" s="290"/>
      <c r="BH501" s="290"/>
      <c r="BI501" s="290"/>
    </row>
    <row r="502" spans="1:61" ht="15.75" customHeight="1">
      <c r="A502" s="514"/>
      <c r="B502" s="450" t="s">
        <v>481</v>
      </c>
      <c r="C502" s="3">
        <f>+$C$500+$G$501+0.04</f>
        <v>41980.079999999994</v>
      </c>
      <c r="D502" s="83"/>
      <c r="E502" s="4"/>
      <c r="F502" s="4">
        <f>IF(C502&gt;0,VLOOKUP(C502,'ALIGNMENT TRACK'!$A$1:$K$81,9,1))</f>
        <v>0</v>
      </c>
      <c r="G502" s="6"/>
      <c r="H502" s="449" t="s">
        <v>121</v>
      </c>
      <c r="I502" s="4" t="s">
        <v>122</v>
      </c>
      <c r="J502" s="3"/>
      <c r="K502" s="449"/>
      <c r="L502" s="449" t="s">
        <v>151</v>
      </c>
      <c r="M502" s="449" t="str">
        <f>IF(L502="","",
IF(AX502="PT",VLOOKUP(L502,Foundation_Calc!$V$79:$X$113,VLOOKUP(AX502,Foundation_Calc!$I$10:$J$13,2,FALSE),0),
IF(AX502="K",VLOOKUP(L502,Foundation_Calc!$V$117:$X$151,VLOOKUP(AX502,Foundation_Calc!$I$10:$J$13,2,FALSE),0),"")))</f>
        <v>C4R</v>
      </c>
      <c r="N502" s="449" t="s">
        <v>134</v>
      </c>
      <c r="O502" s="449"/>
      <c r="P502" s="449"/>
      <c r="Q502" s="4"/>
      <c r="R502" s="6"/>
      <c r="S502" s="6"/>
      <c r="T502" s="4">
        <v>25</v>
      </c>
      <c r="U502" s="4"/>
      <c r="V502" s="4"/>
      <c r="W502" s="9">
        <v>1.4</v>
      </c>
      <c r="X502" s="9"/>
      <c r="Y502" s="9"/>
      <c r="Z502" s="9"/>
      <c r="AA502" s="9"/>
      <c r="AB502" s="9"/>
      <c r="AC502" s="449" t="str">
        <f t="shared" si="55"/>
        <v>PH</v>
      </c>
      <c r="AD502" s="449"/>
      <c r="AE502" s="449"/>
      <c r="AF502" s="4"/>
      <c r="AG502" s="83"/>
      <c r="AH502" s="4"/>
      <c r="AI502" s="4"/>
      <c r="AJ502" s="449"/>
      <c r="AK502" s="449"/>
      <c r="AL502" s="449"/>
      <c r="AM502" s="449" t="s">
        <v>126</v>
      </c>
      <c r="AN502" s="10">
        <v>5.5</v>
      </c>
      <c r="AO502" s="9"/>
      <c r="AP502" s="9"/>
      <c r="AQ502" s="9"/>
      <c r="AR502" s="9"/>
      <c r="AS502" s="9"/>
      <c r="AT502" s="9">
        <f>+ab($T$502,$T$500,$T$504,$G$501,$G$503,-1*$F$502,1200)</f>
        <v>10.672372342512288</v>
      </c>
      <c r="AU502" s="428"/>
      <c r="AV502" s="428"/>
      <c r="AW502" s="449" t="str">
        <f>IF(C502&gt;0,VLOOKUP(C502,Foundation_Calc!$A$2:$C$13,3,1),
IF(J502&gt;0,VLOOKUP(J502,Foundation_Calc!$A$2:$C$13,3,1),""))</f>
        <v>Multi Soil</v>
      </c>
      <c r="AX502" s="449" t="str">
        <f>IF(C502&gt;0,VLOOKUP(C502,Foundation_Calc!$E$2:$G$33,3,1),
IF(J502&gt;0,VLOOKUP(J502,Foundation_Calc!$E$2:$G$33,3,1),""))</f>
        <v>PT</v>
      </c>
      <c r="AY502" s="10">
        <f>IF(L502="","",
IF(AX502="PT",VLOOKUP(L502,Foundation_Calc!$K$79:$R$113,VLOOKUP(AW502,Foundation_Calc!$I$2:$J$8,2,FALSE),0),
IF(AX502="K",VLOOKUP(L502,Foundation_Calc!$K$117:$R$151,VLOOKUP(AW502,Foundation_Calc!$I$2:$J$8,2,FALSE),0),"")))</f>
        <v>3.5</v>
      </c>
      <c r="AZ502" s="10" t="str">
        <f>IF(K502="","",
IF(AX502="PT",VLOOKUP(K502,Foundation_Calc!$K$79:$R$113,VLOOKUP(AW502,Foundation_Calc!$I$2:$J$8,2,FALSE),0),
IF(AX502="K",VLOOKUP(K502,Foundation_Calc!$K$117:$R$151,VLOOKUP(AW502,Foundation_Calc!$I$2:$J$8,2,FALSE),0),"")))</f>
        <v/>
      </c>
      <c r="BA502" s="495" t="str">
        <f t="shared" si="59"/>
        <v>ü</v>
      </c>
      <c r="BB502" s="495" t="str">
        <f t="shared" si="60"/>
        <v/>
      </c>
      <c r="BC502" s="495" t="str">
        <f t="shared" si="61"/>
        <v/>
      </c>
      <c r="BD502" s="513" t="str">
        <f>IF(AND(L502="",H502=""),"",
IF(H502="",Pole_Calc!A$9,
IF(H502="MP",Pole_Calc!A$10,
IF(H502="AnMP",Pole_Calc!A$11,
IF(H502="A",Pole_Calc!A$12,
IF(H502="S/A",Pole_Calc!A$13,
IF(H502="A/S",Pole_Calc!A$14,"Poner a mano")))))))</f>
        <v>App.7-V11I-P9.5.1.6</v>
      </c>
      <c r="BE502" s="429" t="s">
        <v>118</v>
      </c>
      <c r="BF502" s="289"/>
      <c r="BG502" s="289"/>
      <c r="BH502" s="290"/>
      <c r="BI502" s="289"/>
    </row>
    <row r="503" spans="1:61" ht="15.75" customHeight="1">
      <c r="A503" s="514"/>
      <c r="B503" s="450"/>
      <c r="C503" s="3"/>
      <c r="D503" s="83"/>
      <c r="E503" s="4"/>
      <c r="F503" s="4"/>
      <c r="G503" s="6">
        <v>55</v>
      </c>
      <c r="H503" s="449"/>
      <c r="I503" s="4"/>
      <c r="J503" s="3">
        <f>C502+7.5</f>
        <v>41987.579999999994</v>
      </c>
      <c r="K503" s="449" t="s">
        <v>117</v>
      </c>
      <c r="L503" s="449"/>
      <c r="M503" s="449" t="str">
        <f>IF(L503="","",
IF(AX503="PT",VLOOKUP(L503,Foundation_Calc!$V$79:$X$113,VLOOKUP(AX503,Foundation_Calc!$I$10:$J$13,2,FALSE),0),
IF(AX503="K",VLOOKUP(L503,Foundation_Calc!$V$117:$X$151,VLOOKUP(AX503,Foundation_Calc!$I$10:$J$13,2,FALSE),0),"")))</f>
        <v/>
      </c>
      <c r="N503" s="449"/>
      <c r="O503" s="449"/>
      <c r="P503" s="449"/>
      <c r="Q503" s="4"/>
      <c r="R503" s="6"/>
      <c r="S503" s="6"/>
      <c r="T503" s="4"/>
      <c r="U503" s="4"/>
      <c r="V503" s="4"/>
      <c r="W503" s="9"/>
      <c r="X503" s="9"/>
      <c r="Y503" s="9"/>
      <c r="Z503" s="9"/>
      <c r="AA503" s="9"/>
      <c r="AB503" s="9"/>
      <c r="AC503" s="449" t="str">
        <f t="shared" si="55"/>
        <v/>
      </c>
      <c r="AD503" s="449"/>
      <c r="AE503" s="449"/>
      <c r="AF503" s="4"/>
      <c r="AG503" s="83"/>
      <c r="AH503" s="4"/>
      <c r="AI503" s="4"/>
      <c r="AJ503" s="449"/>
      <c r="AK503" s="449"/>
      <c r="AL503" s="449"/>
      <c r="AM503" s="449"/>
      <c r="AN503" s="10"/>
      <c r="AO503" s="9"/>
      <c r="AP503" s="9"/>
      <c r="AQ503" s="9">
        <f>+FL_2($T$504,$T$502,$G$503,1200,9.28,-1*$F$504)</f>
        <v>-0.41936166072727271</v>
      </c>
      <c r="AR503" s="9"/>
      <c r="AS503" s="9"/>
      <c r="AT503" s="9"/>
      <c r="AU503" s="428"/>
      <c r="AV503" s="428"/>
      <c r="AW503" s="449" t="str">
        <f>IF(C503&gt;0,VLOOKUP(C503,Foundation_Calc!$A$2:$C$13,3,1),
IF(J503&gt;0,VLOOKUP(J503,Foundation_Calc!$A$2:$C$13,3,1),""))</f>
        <v>Multi Soil</v>
      </c>
      <c r="AX503" s="449" t="str">
        <f>IF(C503&gt;0,VLOOKUP(C503,Foundation_Calc!$E$2:$G$33,3,1),
IF(J503&gt;0,VLOOKUP(J503,Foundation_Calc!$E$2:$G$33,3,1),""))</f>
        <v>PT</v>
      </c>
      <c r="AY503" s="10" t="str">
        <f>IF(L503="","",
IF(AX503="PT",VLOOKUP(L503,Foundation_Calc!$K$79:$R$113,VLOOKUP(AW503,Foundation_Calc!$I$2:$J$8,2,FALSE),0),
IF(AX503="K",VLOOKUP(L503,Foundation_Calc!$K$117:$R$151,VLOOKUP(AW503,Foundation_Calc!$I$2:$J$8,2,FALSE),0),"")))</f>
        <v/>
      </c>
      <c r="AZ503" s="10">
        <f>IF(K503="","",
IF(AX503="PT",VLOOKUP(K503,Foundation_Calc!$K$79:$R$113,VLOOKUP(AW503,Foundation_Calc!$I$2:$J$8,2,FALSE),0),
IF(AX503="K",VLOOKUP(K503,Foundation_Calc!$K$117:$R$151,VLOOKUP(AW503,Foundation_Calc!$I$2:$J$8,2,FALSE),0),"")))</f>
        <v>3.9</v>
      </c>
      <c r="BA503" s="495" t="str">
        <f t="shared" si="59"/>
        <v/>
      </c>
      <c r="BB503" s="495" t="str">
        <f t="shared" si="60"/>
        <v>ü</v>
      </c>
      <c r="BC503" s="495" t="str">
        <f t="shared" si="61"/>
        <v/>
      </c>
      <c r="BD503" s="513" t="str">
        <f>IF(AND(L503="",H503=""),"",
IF(H503="",Pole_Calc!A$9,
IF(H503="MP",Pole_Calc!A$10,
IF(H503="AnMP",Pole_Calc!A$11,
IF(H503="A",Pole_Calc!A$12,
IF(H503="S/A",Pole_Calc!A$13,
IF(H503="A/S",Pole_Calc!A$14,"Poner a mano")))))))</f>
        <v/>
      </c>
      <c r="BE503" s="429" t="s">
        <v>118</v>
      </c>
      <c r="BF503" s="290"/>
      <c r="BG503" s="290"/>
      <c r="BH503" s="290"/>
      <c r="BI503" s="290"/>
    </row>
    <row r="504" spans="1:61" ht="15.75" customHeight="1">
      <c r="A504" s="514"/>
      <c r="B504" s="450" t="s">
        <v>482</v>
      </c>
      <c r="C504" s="3">
        <f>+$C$502+$G$503</f>
        <v>42035.079999999994</v>
      </c>
      <c r="D504" s="83"/>
      <c r="E504" s="4"/>
      <c r="F504" s="4">
        <f>IF(C504&gt;0,VLOOKUP(C504,'ALIGNMENT TRACK'!$A$1:$K$81,9,1))</f>
        <v>0</v>
      </c>
      <c r="G504" s="6"/>
      <c r="H504" s="449"/>
      <c r="I504" s="4"/>
      <c r="J504" s="3"/>
      <c r="K504" s="449"/>
      <c r="L504" s="449" t="s">
        <v>153</v>
      </c>
      <c r="M504" s="449" t="str">
        <f>IF(L504="","",
IF(AX504="PT",VLOOKUP(L504,Foundation_Calc!$V$79:$X$113,VLOOKUP(AX504,Foundation_Calc!$I$10:$J$13,2,FALSE),0),
IF(AX504="K",VLOOKUP(L504,Foundation_Calc!$V$117:$X$151,VLOOKUP(AX504,Foundation_Calc!$I$10:$J$13,2,FALSE),0),"")))</f>
        <v>C3R</v>
      </c>
      <c r="N504" s="449" t="s">
        <v>124</v>
      </c>
      <c r="O504" s="449"/>
      <c r="P504" s="449"/>
      <c r="Q504" s="4"/>
      <c r="R504" s="6"/>
      <c r="S504" s="6"/>
      <c r="T504" s="4">
        <v>-35</v>
      </c>
      <c r="U504" s="4"/>
      <c r="V504" s="4"/>
      <c r="W504" s="9">
        <v>1.4</v>
      </c>
      <c r="X504" s="9"/>
      <c r="Y504" s="9"/>
      <c r="Z504" s="9"/>
      <c r="AA504" s="9"/>
      <c r="AB504" s="9"/>
      <c r="AC504" s="449" t="str">
        <f t="shared" si="55"/>
        <v>PHQ</v>
      </c>
      <c r="AD504" s="449"/>
      <c r="AE504" s="449"/>
      <c r="AF504" s="4"/>
      <c r="AG504" s="83"/>
      <c r="AH504" s="4"/>
      <c r="AI504" s="4"/>
      <c r="AJ504" s="449"/>
      <c r="AK504" s="449"/>
      <c r="AL504" s="449"/>
      <c r="AM504" s="449" t="s">
        <v>126</v>
      </c>
      <c r="AN504" s="10">
        <v>5.5</v>
      </c>
      <c r="AO504" s="9"/>
      <c r="AP504" s="9"/>
      <c r="AQ504" s="9"/>
      <c r="AR504" s="9"/>
      <c r="AS504" s="9"/>
      <c r="AT504" s="9">
        <f>+ab($T$504,$T$502,$T$506,$G$503,$G$505,-1*$F$504,1200)</f>
        <v>-7.6578098574544606</v>
      </c>
      <c r="AU504" s="428"/>
      <c r="AV504" s="428"/>
      <c r="AW504" s="449" t="str">
        <f>IF(C504&gt;0,VLOOKUP(C504,Foundation_Calc!$A$2:$C$13,3,1),
IF(J504&gt;0,VLOOKUP(J504,Foundation_Calc!$A$2:$C$13,3,1),""))</f>
        <v>Multi Soil</v>
      </c>
      <c r="AX504" s="449" t="str">
        <f>IF(C504&gt;0,VLOOKUP(C504,Foundation_Calc!$E$2:$G$33,3,1),
IF(J504&gt;0,VLOOKUP(J504,Foundation_Calc!$E$2:$G$33,3,1),""))</f>
        <v>PT</v>
      </c>
      <c r="AY504" s="10">
        <f>IF(L504="","",
IF(AX504="PT",VLOOKUP(L504,Foundation_Calc!$K$79:$R$113,VLOOKUP(AW504,Foundation_Calc!$I$2:$J$8,2,FALSE),0),
IF(AX504="K",VLOOKUP(L504,Foundation_Calc!$K$117:$R$151,VLOOKUP(AW504,Foundation_Calc!$I$2:$J$8,2,FALSE),0),"")))</f>
        <v>3.5</v>
      </c>
      <c r="AZ504" s="10" t="str">
        <f>IF(K504="","",
IF(AX504="PT",VLOOKUP(K504,Foundation_Calc!$K$79:$R$113,VLOOKUP(AW504,Foundation_Calc!$I$2:$J$8,2,FALSE),0),
IF(AX504="K",VLOOKUP(K504,Foundation_Calc!$K$117:$R$151,VLOOKUP(AW504,Foundation_Calc!$I$2:$J$8,2,FALSE),0),"")))</f>
        <v/>
      </c>
      <c r="BA504" s="495" t="str">
        <f t="shared" si="59"/>
        <v>ü</v>
      </c>
      <c r="BB504" s="495" t="str">
        <f t="shared" si="60"/>
        <v/>
      </c>
      <c r="BC504" s="495" t="str">
        <f t="shared" si="61"/>
        <v/>
      </c>
      <c r="BD504" s="513" t="str">
        <f>IF(AND(L504="",H504=""),"",
IF(H504="",Pole_Calc!A$9,
IF(H504="MP",Pole_Calc!A$10,
IF(H504="AnMP",Pole_Calc!A$11,
IF(H504="A",Pole_Calc!A$12,
IF(H504="S/A",Pole_Calc!A$13,
IF(H504="A/S",Pole_Calc!A$14,"Poner a mano")))))))</f>
        <v>App.7-V11I-P9.5.1.1</v>
      </c>
      <c r="BE504" s="429" t="s">
        <v>118</v>
      </c>
      <c r="BF504" s="289"/>
      <c r="BG504" s="289"/>
      <c r="BH504" s="290"/>
      <c r="BI504" s="289"/>
    </row>
    <row r="505" spans="1:61" ht="15.75" customHeight="1">
      <c r="A505" s="514"/>
      <c r="B505" s="450"/>
      <c r="C505" s="3"/>
      <c r="D505" s="83"/>
      <c r="E505" s="4"/>
      <c r="F505" s="4"/>
      <c r="G505" s="6">
        <v>50</v>
      </c>
      <c r="H505" s="449"/>
      <c r="I505" s="4"/>
      <c r="J505" s="3"/>
      <c r="K505" s="449"/>
      <c r="L505" s="449"/>
      <c r="M505" s="449" t="str">
        <f>IF(L505="","",
IF(AX505="PT",VLOOKUP(L505,Foundation_Calc!$V$79:$X$113,VLOOKUP(AX505,Foundation_Calc!$I$10:$J$13,2,FALSE),0),
IF(AX505="K",VLOOKUP(L505,Foundation_Calc!$V$117:$X$151,VLOOKUP(AX505,Foundation_Calc!$I$10:$J$13,2,FALSE),0),"")))</f>
        <v/>
      </c>
      <c r="N505" s="449"/>
      <c r="O505" s="449"/>
      <c r="P505" s="449"/>
      <c r="Q505" s="4"/>
      <c r="R505" s="6"/>
      <c r="S505" s="6"/>
      <c r="T505" s="4"/>
      <c r="U505" s="4"/>
      <c r="V505" s="4"/>
      <c r="W505" s="9"/>
      <c r="X505" s="9"/>
      <c r="Y505" s="9"/>
      <c r="Z505" s="9"/>
      <c r="AA505" s="9"/>
      <c r="AB505" s="9"/>
      <c r="AC505" s="449" t="str">
        <f t="shared" si="55"/>
        <v/>
      </c>
      <c r="AD505" s="449"/>
      <c r="AE505" s="449"/>
      <c r="AF505" s="4"/>
      <c r="AG505" s="83"/>
      <c r="AH505" s="4"/>
      <c r="AI505" s="4"/>
      <c r="AJ505" s="449"/>
      <c r="AK505" s="449"/>
      <c r="AL505" s="449"/>
      <c r="AM505" s="449"/>
      <c r="AN505" s="10"/>
      <c r="AO505" s="9"/>
      <c r="AP505" s="9"/>
      <c r="AQ505" s="9">
        <f>+FL_1($T$506,$T$504,$G$505,1200,9.28,-1*$F$506)</f>
        <v>0.36839079999999996</v>
      </c>
      <c r="AR505" s="9"/>
      <c r="AS505" s="9"/>
      <c r="AT505" s="9"/>
      <c r="AU505" s="428"/>
      <c r="AV505" s="428"/>
      <c r="AW505" s="449" t="str">
        <f>IF(C505&gt;0,VLOOKUP(C505,Foundation_Calc!$A$2:$C$13,3,1),
IF(J505&gt;0,VLOOKUP(J505,Foundation_Calc!$A$2:$C$13,3,1),""))</f>
        <v/>
      </c>
      <c r="AX505" s="449" t="str">
        <f>IF(C505&gt;0,VLOOKUP(C505,Foundation_Calc!$E$2:$G$33,3,1),
IF(J505&gt;0,VLOOKUP(J505,Foundation_Calc!$E$2:$G$33,3,1),""))</f>
        <v/>
      </c>
      <c r="AY505" s="10" t="str">
        <f>IF(L505="","",
IF(AX505="PT",VLOOKUP(L505,Foundation_Calc!$K$79:$R$113,VLOOKUP(AW505,Foundation_Calc!$I$2:$J$8,2,FALSE),0),
IF(AX505="K",VLOOKUP(L505,Foundation_Calc!$K$117:$R$151,VLOOKUP(AW505,Foundation_Calc!$I$2:$J$8,2,FALSE),0),"")))</f>
        <v/>
      </c>
      <c r="AZ505" s="10" t="str">
        <f>IF(K505="","",
IF(AX505="PT",VLOOKUP(K505,Foundation_Calc!$K$79:$R$113,VLOOKUP(AW505,Foundation_Calc!$I$2:$J$8,2,FALSE),0),
IF(AX505="K",VLOOKUP(K505,Foundation_Calc!$K$117:$R$151,VLOOKUP(AW505,Foundation_Calc!$I$2:$J$8,2,FALSE),0),"")))</f>
        <v/>
      </c>
      <c r="BA505" s="495" t="str">
        <f t="shared" si="59"/>
        <v/>
      </c>
      <c r="BB505" s="495" t="str">
        <f t="shared" si="60"/>
        <v/>
      </c>
      <c r="BC505" s="495" t="str">
        <f t="shared" si="61"/>
        <v/>
      </c>
      <c r="BD505" s="513" t="str">
        <f>IF(AND(L505="",H505=""),"",
IF(H505="",Pole_Calc!A$9,
IF(H505="MP",Pole_Calc!A$10,
IF(H505="AnMP",Pole_Calc!A$11,
IF(H505="A",Pole_Calc!A$12,
IF(H505="S/A",Pole_Calc!A$13,
IF(H505="A/S",Pole_Calc!A$14,"Poner a mano")))))))</f>
        <v/>
      </c>
      <c r="BE505" s="429" t="s">
        <v>118</v>
      </c>
      <c r="BF505" s="290"/>
      <c r="BG505" s="290"/>
      <c r="BH505" s="290"/>
      <c r="BI505" s="290"/>
    </row>
    <row r="506" spans="1:61" ht="15.75" customHeight="1">
      <c r="A506" s="518"/>
      <c r="B506" s="450" t="s">
        <v>483</v>
      </c>
      <c r="C506" s="3">
        <f>+$C$504+$G$505</f>
        <v>42085.079999999994</v>
      </c>
      <c r="D506" s="83"/>
      <c r="E506" s="4"/>
      <c r="F506" s="4">
        <f>IF(C506&gt;0,VLOOKUP(C506,'ALIGNMENT TRACK'!$A$1:$K$81,9,1))</f>
        <v>0</v>
      </c>
      <c r="G506" s="6"/>
      <c r="H506" s="449"/>
      <c r="I506" s="4"/>
      <c r="J506" s="3"/>
      <c r="K506" s="449"/>
      <c r="L506" s="449" t="s">
        <v>153</v>
      </c>
      <c r="M506" s="449" t="str">
        <f>IF(L506="","",
IF(AX506="PT",VLOOKUP(L506,Foundation_Calc!$V$79:$X$113,VLOOKUP(AX506,Foundation_Calc!$I$10:$J$13,2,FALSE),0),
IF(AX506="K",VLOOKUP(L506,Foundation_Calc!$V$117:$X$151,VLOOKUP(AX506,Foundation_Calc!$I$10:$J$13,2,FALSE),0),"")))</f>
        <v>C3R</v>
      </c>
      <c r="N506" s="449" t="s">
        <v>134</v>
      </c>
      <c r="O506" s="449"/>
      <c r="P506" s="449"/>
      <c r="Q506" s="4"/>
      <c r="R506" s="6"/>
      <c r="S506" s="6"/>
      <c r="T506" s="4">
        <v>35</v>
      </c>
      <c r="U506" s="4"/>
      <c r="V506" s="4"/>
      <c r="W506" s="572">
        <v>1.2</v>
      </c>
      <c r="X506" s="9"/>
      <c r="Y506" s="9"/>
      <c r="Z506" s="9"/>
      <c r="AA506" s="9"/>
      <c r="AB506" s="9"/>
      <c r="AC506" s="449" t="str">
        <f t="shared" si="55"/>
        <v>PHQ</v>
      </c>
      <c r="AD506" s="449"/>
      <c r="AE506" s="449"/>
      <c r="AF506" s="4"/>
      <c r="AG506" s="83"/>
      <c r="AH506" s="4"/>
      <c r="AI506" s="4"/>
      <c r="AJ506" s="449"/>
      <c r="AK506" s="449"/>
      <c r="AL506" s="449"/>
      <c r="AM506" s="449" t="s">
        <v>126</v>
      </c>
      <c r="AN506" s="10">
        <v>5.5</v>
      </c>
      <c r="AO506" s="9"/>
      <c r="AP506" s="9"/>
      <c r="AQ506" s="9"/>
      <c r="AR506" s="9"/>
      <c r="AS506" s="9"/>
      <c r="AT506" s="9">
        <f>+ab($T$506,$T$504,$T$508,$G$505,$G$507,-1*$F$506,1200)</f>
        <v>6.820891075690624</v>
      </c>
      <c r="AU506" s="428"/>
      <c r="AV506" s="428"/>
      <c r="AW506" s="449" t="str">
        <f>IF(C506&gt;0,VLOOKUP(C506,Foundation_Calc!$A$2:$C$13,3,1),
IF(J506&gt;0,VLOOKUP(J506,Foundation_Calc!$A$2:$C$13,3,1),""))</f>
        <v>Multi Soil</v>
      </c>
      <c r="AX506" s="449" t="str">
        <f>IF(C506&gt;0,VLOOKUP(C506,Foundation_Calc!$E$2:$G$33,3,1),
IF(J506&gt;0,VLOOKUP(J506,Foundation_Calc!$E$2:$G$33,3,1),""))</f>
        <v>PT</v>
      </c>
      <c r="AY506" s="10">
        <f>IF(L506="","",
IF(AX506="PT",VLOOKUP(L506,Foundation_Calc!$K$79:$R$113,VLOOKUP(AW506,Foundation_Calc!$I$2:$J$8,2,FALSE),0),
IF(AX506="K",VLOOKUP(L506,Foundation_Calc!$K$117:$R$151,VLOOKUP(AW506,Foundation_Calc!$I$2:$J$8,2,FALSE),0),"")))</f>
        <v>3.5</v>
      </c>
      <c r="AZ506" s="10" t="str">
        <f>IF(K506="","",
IF(AX506="PT",VLOOKUP(K506,Foundation_Calc!$K$79:$R$113,VLOOKUP(AW506,Foundation_Calc!$I$2:$J$8,2,FALSE),0),
IF(AX506="K",VLOOKUP(K506,Foundation_Calc!$K$117:$R$151,VLOOKUP(AW506,Foundation_Calc!$I$2:$J$8,2,FALSE),0),"")))</f>
        <v/>
      </c>
      <c r="BA506" s="495" t="str">
        <f t="shared" si="59"/>
        <v>ü</v>
      </c>
      <c r="BB506" s="495" t="str">
        <f t="shared" si="60"/>
        <v/>
      </c>
      <c r="BC506" s="495" t="str">
        <f t="shared" si="61"/>
        <v/>
      </c>
      <c r="BD506" s="513" t="str">
        <f>IF(AND(L506="",H506=""),"",
IF(H506="",Pole_Calc!A$9,
IF(H506="MP",Pole_Calc!A$10,
IF(H506="AnMP",Pole_Calc!A$11,
IF(H506="A",Pole_Calc!A$12,
IF(H506="S/A",Pole_Calc!A$13,
IF(H506="A/S",Pole_Calc!A$14,"Poner a mano")))))))</f>
        <v>App.7-V11I-P9.5.1.1</v>
      </c>
      <c r="BE506" s="429" t="s">
        <v>118</v>
      </c>
      <c r="BF506" s="289"/>
      <c r="BG506" s="289"/>
      <c r="BH506" s="290"/>
      <c r="BI506" s="289"/>
    </row>
    <row r="507" spans="1:61" ht="15.75" customHeight="1">
      <c r="A507" s="518"/>
      <c r="B507" s="450"/>
      <c r="C507" s="3"/>
      <c r="D507" s="83"/>
      <c r="E507" s="4"/>
      <c r="F507" s="4"/>
      <c r="G507" s="6">
        <v>50</v>
      </c>
      <c r="H507" s="449"/>
      <c r="I507" s="4"/>
      <c r="J507" s="3"/>
      <c r="K507" s="449"/>
      <c r="L507" s="449"/>
      <c r="M507" s="449" t="str">
        <f>IF(L507="","",
IF(AX507="PT",VLOOKUP(L507,Foundation_Calc!$V$79:$X$113,VLOOKUP(AX507,Foundation_Calc!$I$10:$J$13,2,FALSE),0),
IF(AX507="K",VLOOKUP(L507,Foundation_Calc!$V$117:$X$151,VLOOKUP(AX507,Foundation_Calc!$I$10:$J$13,2,FALSE),0),"")))</f>
        <v/>
      </c>
      <c r="N507" s="449"/>
      <c r="O507" s="449"/>
      <c r="P507" s="449"/>
      <c r="Q507" s="4"/>
      <c r="R507" s="6"/>
      <c r="S507" s="6"/>
      <c r="T507" s="4"/>
      <c r="U507" s="4"/>
      <c r="V507" s="4"/>
      <c r="W507" s="572"/>
      <c r="X507" s="9"/>
      <c r="Y507" s="9"/>
      <c r="Z507" s="9"/>
      <c r="AA507" s="9"/>
      <c r="AB507" s="9"/>
      <c r="AC507" s="449" t="str">
        <f t="shared" si="55"/>
        <v/>
      </c>
      <c r="AD507" s="449"/>
      <c r="AE507" s="449"/>
      <c r="AF507" s="4"/>
      <c r="AG507" s="83"/>
      <c r="AH507" s="4"/>
      <c r="AI507" s="4"/>
      <c r="AJ507" s="449"/>
      <c r="AK507" s="449"/>
      <c r="AL507" s="449"/>
      <c r="AM507" s="449"/>
      <c r="AN507" s="10"/>
      <c r="AO507" s="9"/>
      <c r="AP507" s="9"/>
      <c r="AQ507" s="9">
        <f>+FL_2($T$508,$T$506,$G$507,1200,9.28,-1*$F$508)</f>
        <v>-0.36839079999999996</v>
      </c>
      <c r="AR507" s="9"/>
      <c r="AS507" s="9"/>
      <c r="AT507" s="9"/>
      <c r="AU507" s="428"/>
      <c r="AV507" s="428"/>
      <c r="AW507" s="449" t="str">
        <f>IF(C507&gt;0,VLOOKUP(C507,Foundation_Calc!$A$2:$C$13,3,1),
IF(J507&gt;0,VLOOKUP(J507,Foundation_Calc!$A$2:$C$13,3,1),""))</f>
        <v/>
      </c>
      <c r="AX507" s="449" t="str">
        <f>IF(C507&gt;0,VLOOKUP(C507,Foundation_Calc!$E$2:$G$33,3,1),
IF(J507&gt;0,VLOOKUP(J507,Foundation_Calc!$E$2:$G$33,3,1),""))</f>
        <v/>
      </c>
      <c r="AY507" s="10" t="str">
        <f>IF(L507="","",
IF(AX507="PT",VLOOKUP(L507,Foundation_Calc!$K$79:$R$113,VLOOKUP(AW507,Foundation_Calc!$I$2:$J$8,2,FALSE),0),
IF(AX507="K",VLOOKUP(L507,Foundation_Calc!$K$117:$R$151,VLOOKUP(AW507,Foundation_Calc!$I$2:$J$8,2,FALSE),0),"")))</f>
        <v/>
      </c>
      <c r="AZ507" s="10" t="str">
        <f>IF(K507="","",
IF(AX507="PT",VLOOKUP(K507,Foundation_Calc!$K$79:$R$113,VLOOKUP(AW507,Foundation_Calc!$I$2:$J$8,2,FALSE),0),
IF(AX507="K",VLOOKUP(K507,Foundation_Calc!$K$117:$R$151,VLOOKUP(AW507,Foundation_Calc!$I$2:$J$8,2,FALSE),0),"")))</f>
        <v/>
      </c>
      <c r="BA507" s="495" t="str">
        <f t="shared" si="59"/>
        <v/>
      </c>
      <c r="BB507" s="495" t="str">
        <f t="shared" si="60"/>
        <v/>
      </c>
      <c r="BC507" s="495" t="str">
        <f t="shared" si="61"/>
        <v/>
      </c>
      <c r="BD507" s="513" t="str">
        <f>IF(AND(L507="",H507=""),"",
IF(H507="",Pole_Calc!A$9,
IF(H507="MP",Pole_Calc!A$10,
IF(H507="AnMP",Pole_Calc!A$11,
IF(H507="A",Pole_Calc!A$12,
IF(H507="S/A",Pole_Calc!A$13,
IF(H507="A/S",Pole_Calc!A$14,"Poner a mano")))))))</f>
        <v/>
      </c>
      <c r="BE507" s="429" t="s">
        <v>118</v>
      </c>
      <c r="BF507" s="290"/>
      <c r="BG507" s="290"/>
      <c r="BH507" s="290"/>
      <c r="BI507" s="290"/>
    </row>
    <row r="508" spans="1:61" ht="15.75" customHeight="1">
      <c r="A508" s="514"/>
      <c r="B508" s="450" t="s">
        <v>484</v>
      </c>
      <c r="C508" s="3">
        <f>+$C$506+$G$507</f>
        <v>42135.079999999994</v>
      </c>
      <c r="D508" s="83"/>
      <c r="E508" s="4"/>
      <c r="F508" s="4">
        <f>IF(C508&gt;0,VLOOKUP(C508,'ALIGNMENT TRACK'!$A$1:$K$81,9,1))</f>
        <v>0</v>
      </c>
      <c r="G508" s="6"/>
      <c r="H508" s="449"/>
      <c r="I508" s="4"/>
      <c r="J508" s="3"/>
      <c r="K508" s="449"/>
      <c r="L508" s="449" t="s">
        <v>153</v>
      </c>
      <c r="M508" s="449" t="str">
        <f>IF(L508="","",
IF(AX508="PT",VLOOKUP(L508,Foundation_Calc!$V$79:$X$113,VLOOKUP(AX508,Foundation_Calc!$I$10:$J$13,2,FALSE),0),
IF(AX508="K",VLOOKUP(L508,Foundation_Calc!$V$117:$X$151,VLOOKUP(AX508,Foundation_Calc!$I$10:$J$13,2,FALSE),0),"")))</f>
        <v>C3R</v>
      </c>
      <c r="N508" s="449" t="s">
        <v>124</v>
      </c>
      <c r="O508" s="449"/>
      <c r="P508" s="449"/>
      <c r="Q508" s="4"/>
      <c r="R508" s="6"/>
      <c r="S508" s="6"/>
      <c r="T508" s="4">
        <v>-35</v>
      </c>
      <c r="U508" s="4"/>
      <c r="V508" s="4"/>
      <c r="W508" s="572">
        <v>1</v>
      </c>
      <c r="X508" s="9"/>
      <c r="Y508" s="9"/>
      <c r="Z508" s="9"/>
      <c r="AA508" s="9"/>
      <c r="AB508" s="9"/>
      <c r="AC508" s="449" t="str">
        <f t="shared" si="55"/>
        <v>PHQ</v>
      </c>
      <c r="AD508" s="449"/>
      <c r="AE508" s="449"/>
      <c r="AF508" s="4"/>
      <c r="AG508" s="83"/>
      <c r="AH508" s="4"/>
      <c r="AI508" s="4"/>
      <c r="AJ508" s="449"/>
      <c r="AK508" s="449"/>
      <c r="AL508" s="449"/>
      <c r="AM508" s="449" t="s">
        <v>126</v>
      </c>
      <c r="AN508" s="10">
        <v>5.5</v>
      </c>
      <c r="AO508" s="9"/>
      <c r="AP508" s="9"/>
      <c r="AQ508" s="9"/>
      <c r="AR508" s="9"/>
      <c r="AS508" s="9"/>
      <c r="AT508" s="9">
        <f>+ab($T$508,$T$506,$T$510,$G$507,$G$509,-1*$F$508,1200)</f>
        <v>-7.1424424584170572</v>
      </c>
      <c r="AU508" s="428"/>
      <c r="AV508" s="428"/>
      <c r="AW508" s="449" t="str">
        <f>IF(C508&gt;0,VLOOKUP(C508,Foundation_Calc!$A$2:$C$13,3,1),
IF(J508&gt;0,VLOOKUP(J508,Foundation_Calc!$A$2:$C$13,3,1),""))</f>
        <v>Multi Soil</v>
      </c>
      <c r="AX508" s="449" t="str">
        <f>IF(C508&gt;0,VLOOKUP(C508,Foundation_Calc!$E$2:$G$33,3,1),
IF(J508&gt;0,VLOOKUP(J508,Foundation_Calc!$E$2:$G$33,3,1),""))</f>
        <v>PT</v>
      </c>
      <c r="AY508" s="10">
        <f>IF(L508="","",
IF(AX508="PT",VLOOKUP(L508,Foundation_Calc!$K$79:$R$113,VLOOKUP(AW508,Foundation_Calc!$I$2:$J$8,2,FALSE),0),
IF(AX508="K",VLOOKUP(L508,Foundation_Calc!$K$117:$R$151,VLOOKUP(AW508,Foundation_Calc!$I$2:$J$8,2,FALSE),0),"")))</f>
        <v>3.5</v>
      </c>
      <c r="AZ508" s="10" t="str">
        <f>IF(K508="","",
IF(AX508="PT",VLOOKUP(K508,Foundation_Calc!$K$79:$R$113,VLOOKUP(AW508,Foundation_Calc!$I$2:$J$8,2,FALSE),0),
IF(AX508="K",VLOOKUP(K508,Foundation_Calc!$K$117:$R$151,VLOOKUP(AW508,Foundation_Calc!$I$2:$J$8,2,FALSE),0),"")))</f>
        <v/>
      </c>
      <c r="BA508" s="495" t="str">
        <f t="shared" si="59"/>
        <v>ü</v>
      </c>
      <c r="BB508" s="495" t="str">
        <f t="shared" si="60"/>
        <v/>
      </c>
      <c r="BC508" s="495" t="str">
        <f t="shared" si="61"/>
        <v/>
      </c>
      <c r="BD508" s="513" t="str">
        <f>IF(AND(L508="",H508=""),"",
IF(H508="",Pole_Calc!A$9,
IF(H508="MP",Pole_Calc!A$10,
IF(H508="AnMP",Pole_Calc!A$11,
IF(H508="A",Pole_Calc!A$12,
IF(H508="S/A",Pole_Calc!A$13,
IF(H508="A/S",Pole_Calc!A$14,"Poner a mano")))))))</f>
        <v>App.7-V11I-P9.5.1.1</v>
      </c>
      <c r="BE508" s="429" t="s">
        <v>118</v>
      </c>
      <c r="BF508" s="289"/>
      <c r="BG508" s="289"/>
      <c r="BH508" s="290"/>
      <c r="BI508" s="289"/>
    </row>
    <row r="509" spans="1:61" ht="15.75" customHeight="1">
      <c r="A509" s="514" t="s">
        <v>193</v>
      </c>
      <c r="B509" s="450"/>
      <c r="C509" s="3"/>
      <c r="D509" s="83"/>
      <c r="E509" s="4"/>
      <c r="F509" s="4"/>
      <c r="G509" s="6">
        <v>55</v>
      </c>
      <c r="H509" s="449"/>
      <c r="I509" s="4"/>
      <c r="J509" s="3">
        <f>C510-7.5</f>
        <v>42182.579999999994</v>
      </c>
      <c r="K509" s="449" t="s">
        <v>166</v>
      </c>
      <c r="L509" s="449"/>
      <c r="M509" s="449" t="str">
        <f>IF(L509="","",
IF(AX509="PT",VLOOKUP(L509,Foundation_Calc!$V$79:$X$113,VLOOKUP(AX509,Foundation_Calc!$I$10:$J$13,2,FALSE),0),
IF(AX509="K",VLOOKUP(L509,Foundation_Calc!$V$117:$X$151,VLOOKUP(AX509,Foundation_Calc!$I$10:$J$13,2,FALSE),0),"")))</f>
        <v/>
      </c>
      <c r="N509" s="449"/>
      <c r="O509" s="449"/>
      <c r="P509" s="449"/>
      <c r="Q509" s="4"/>
      <c r="R509" s="6"/>
      <c r="S509" s="6"/>
      <c r="T509" s="4"/>
      <c r="U509" s="4"/>
      <c r="V509" s="4"/>
      <c r="W509" s="572"/>
      <c r="X509" s="9"/>
      <c r="Y509" s="9"/>
      <c r="Z509" s="9"/>
      <c r="AA509" s="9"/>
      <c r="AB509" s="9"/>
      <c r="AC509" s="449" t="str">
        <f t="shared" si="55"/>
        <v/>
      </c>
      <c r="AD509" s="449"/>
      <c r="AE509" s="449"/>
      <c r="AF509" s="4"/>
      <c r="AG509" s="83"/>
      <c r="AH509" s="4"/>
      <c r="AI509" s="4"/>
      <c r="AJ509" s="449"/>
      <c r="AK509" s="449"/>
      <c r="AL509" s="449"/>
      <c r="AM509" s="449"/>
      <c r="AN509" s="10"/>
      <c r="AO509" s="9"/>
      <c r="AP509" s="9"/>
      <c r="AQ509" s="9">
        <f>+FL_2($T$510,$T$508,$G$509,1200,9.28,-1*$F$510)</f>
        <v>-0.39714735709090898</v>
      </c>
      <c r="AR509" s="9"/>
      <c r="AS509" s="9"/>
      <c r="AT509" s="9"/>
      <c r="AU509" s="428"/>
      <c r="AV509" s="428"/>
      <c r="AW509" s="449" t="str">
        <f>IF(C509&gt;0,VLOOKUP(C509,Foundation_Calc!$A$2:$C$13,3,1),
IF(J509&gt;0,VLOOKUP(J509,Foundation_Calc!$A$2:$C$13,3,1),""))</f>
        <v>Multi Soil</v>
      </c>
      <c r="AX509" s="449" t="str">
        <f>IF(C509&gt;0,VLOOKUP(C509,Foundation_Calc!$E$2:$G$33,3,1),
IF(J509&gt;0,VLOOKUP(J509,Foundation_Calc!$E$2:$G$33,3,1),""))</f>
        <v>PT</v>
      </c>
      <c r="AY509" s="10" t="str">
        <f>IF(L509="","",
IF(AX509="PT",VLOOKUP(L509,Foundation_Calc!$K$79:$R$113,VLOOKUP(AW509,Foundation_Calc!$I$2:$J$8,2,FALSE),0),
IF(AX509="K",VLOOKUP(L509,Foundation_Calc!$K$117:$R$151,VLOOKUP(AW509,Foundation_Calc!$I$2:$J$8,2,FALSE),0),"")))</f>
        <v/>
      </c>
      <c r="AZ509" s="10">
        <f>IF(K509="","",
IF(AX509="PT",VLOOKUP(K509,Foundation_Calc!$K$79:$R$113,VLOOKUP(AW509,Foundation_Calc!$I$2:$J$8,2,FALSE),0),
IF(AX509="K",VLOOKUP(K509,Foundation_Calc!$K$117:$R$151,VLOOKUP(AW509,Foundation_Calc!$I$2:$J$8,2,FALSE),0),"")))</f>
        <v>2.8</v>
      </c>
      <c r="BA509" s="495" t="str">
        <f t="shared" si="59"/>
        <v/>
      </c>
      <c r="BB509" s="495" t="str">
        <f t="shared" si="60"/>
        <v>ü</v>
      </c>
      <c r="BC509" s="495" t="str">
        <f t="shared" si="61"/>
        <v/>
      </c>
      <c r="BD509" s="513" t="str">
        <f>IF(AND(L509="",H509=""),"",
IF(H509="",Pole_Calc!A$9,
IF(H509="MP",Pole_Calc!A$10,
IF(H509="AnMP",Pole_Calc!A$11,
IF(H509="A",Pole_Calc!A$12,
IF(H509="S/A",Pole_Calc!A$13,
IF(H509="A/S",Pole_Calc!A$14,"Poner a mano")))))))</f>
        <v/>
      </c>
      <c r="BE509" s="429" t="s">
        <v>118</v>
      </c>
      <c r="BF509" s="290"/>
      <c r="BG509" s="290"/>
      <c r="BH509" s="290"/>
      <c r="BI509" s="290"/>
    </row>
    <row r="510" spans="1:61" ht="15.75" customHeight="1">
      <c r="A510" s="514"/>
      <c r="B510" s="450" t="s">
        <v>485</v>
      </c>
      <c r="C510" s="3">
        <f>+$C$508+$G$509</f>
        <v>42190.079999999994</v>
      </c>
      <c r="D510" s="83"/>
      <c r="E510" s="4"/>
      <c r="F510" s="4">
        <f>IF(C510&gt;0,VLOOKUP(C510,'ALIGNMENT TRACK'!$A$1:$K$81,9,1))</f>
        <v>0</v>
      </c>
      <c r="G510" s="6"/>
      <c r="H510" s="449" t="s">
        <v>168</v>
      </c>
      <c r="I510" s="4"/>
      <c r="J510" s="3"/>
      <c r="K510" s="449"/>
      <c r="L510" s="449" t="s">
        <v>158</v>
      </c>
      <c r="M510" s="449" t="str">
        <f>IF(L510="","",
IF(AX510="PT",VLOOKUP(L510,Foundation_Calc!$V$79:$X$113,VLOOKUP(AX510,Foundation_Calc!$I$10:$J$13,2,FALSE),0),
IF(AX510="K",VLOOKUP(L510,Foundation_Calc!$V$117:$X$151,VLOOKUP(AX510,Foundation_Calc!$I$10:$J$13,2,FALSE),0),"")))</f>
        <v>C4R</v>
      </c>
      <c r="N510" s="449" t="s">
        <v>134</v>
      </c>
      <c r="O510" s="449"/>
      <c r="P510" s="449"/>
      <c r="Q510" s="4"/>
      <c r="R510" s="6"/>
      <c r="S510" s="6"/>
      <c r="T510" s="4">
        <v>35</v>
      </c>
      <c r="U510" s="4"/>
      <c r="V510" s="4"/>
      <c r="W510" s="572">
        <v>1</v>
      </c>
      <c r="X510" s="9"/>
      <c r="Y510" s="9"/>
      <c r="Z510" s="9"/>
      <c r="AA510" s="9"/>
      <c r="AB510" s="9"/>
      <c r="AC510" s="449" t="str">
        <f t="shared" si="55"/>
        <v>PHQ</v>
      </c>
      <c r="AD510" s="449"/>
      <c r="AE510" s="449"/>
      <c r="AF510" s="4"/>
      <c r="AG510" s="83"/>
      <c r="AH510" s="4"/>
      <c r="AI510" s="4"/>
      <c r="AJ510" s="449"/>
      <c r="AK510" s="449"/>
      <c r="AL510" s="449"/>
      <c r="AM510" s="449" t="s">
        <v>126</v>
      </c>
      <c r="AN510" s="10">
        <v>5.5</v>
      </c>
      <c r="AO510" s="9"/>
      <c r="AP510" s="9"/>
      <c r="AQ510" s="9"/>
      <c r="AR510" s="9"/>
      <c r="AS510" s="9"/>
      <c r="AT510" s="9">
        <f>+ab($T$510,$T$508,$T$512,$G$509,$G$511,-1*$F$510,1200)</f>
        <v>7.1424146886693025</v>
      </c>
      <c r="AU510" s="428"/>
      <c r="AV510" s="428"/>
      <c r="AW510" s="449" t="str">
        <f>IF(C510&gt;0,VLOOKUP(C510,Foundation_Calc!$A$2:$C$13,3,1),
IF(J510&gt;0,VLOOKUP(J510,Foundation_Calc!$A$2:$C$13,3,1),""))</f>
        <v>Multi Soil</v>
      </c>
      <c r="AX510" s="449" t="str">
        <f>IF(C510&gt;0,VLOOKUP(C510,Foundation_Calc!$E$2:$G$33,3,1),
IF(J510&gt;0,VLOOKUP(J510,Foundation_Calc!$E$2:$G$33,3,1),""))</f>
        <v>PT</v>
      </c>
      <c r="AY510" s="10">
        <f>IF(L510="","",
IF(AX510="PT",VLOOKUP(L510,Foundation_Calc!$K$79:$R$113,VLOOKUP(AW510,Foundation_Calc!$I$2:$J$8,2,FALSE),0),
IF(AX510="K",VLOOKUP(L510,Foundation_Calc!$K$117:$R$151,VLOOKUP(AW510,Foundation_Calc!$I$2:$J$8,2,FALSE),0),"")))</f>
        <v>3.5</v>
      </c>
      <c r="AZ510" s="10" t="str">
        <f>IF(K510="","",
IF(AX510="PT",VLOOKUP(K510,Foundation_Calc!$K$79:$R$113,VLOOKUP(AW510,Foundation_Calc!$I$2:$J$8,2,FALSE),0),
IF(AX510="K",VLOOKUP(K510,Foundation_Calc!$K$117:$R$151,VLOOKUP(AW510,Foundation_Calc!$I$2:$J$8,2,FALSE),0),"")))</f>
        <v/>
      </c>
      <c r="BA510" s="495" t="str">
        <f t="shared" si="59"/>
        <v>ü</v>
      </c>
      <c r="BB510" s="495" t="str">
        <f t="shared" si="60"/>
        <v/>
      </c>
      <c r="BC510" s="495" t="str">
        <f t="shared" si="61"/>
        <v/>
      </c>
      <c r="BD510" s="513" t="str">
        <f>IF(AND(L510="",H510=""),"",
IF(H510="",Pole_Calc!A$9,
IF(H510="MP",Pole_Calc!A$10,
IF(H510="AnMP",Pole_Calc!A$11,
IF(H510="A",Pole_Calc!A$12,
IF(H510="S/A",Pole_Calc!A$13,
IF(H510="A/S",Pole_Calc!A$14,"Poner a mano")))))))</f>
        <v>App.7-V11I-P9.5.1.3</v>
      </c>
      <c r="BE510" s="429" t="s">
        <v>118</v>
      </c>
      <c r="BF510" s="289"/>
      <c r="BG510" s="289"/>
      <c r="BH510" s="290"/>
      <c r="BI510" s="289"/>
    </row>
    <row r="511" spans="1:61" ht="15.75" customHeight="1">
      <c r="A511" s="514"/>
      <c r="B511" s="450"/>
      <c r="C511" s="3"/>
      <c r="D511" s="83"/>
      <c r="E511" s="4"/>
      <c r="F511" s="4"/>
      <c r="G511" s="6">
        <v>50</v>
      </c>
      <c r="H511" s="449"/>
      <c r="I511" s="4">
        <f>SUM(G497:G511)</f>
        <v>412.4</v>
      </c>
      <c r="J511" s="3"/>
      <c r="K511" s="449"/>
      <c r="L511" s="449"/>
      <c r="M511" s="449" t="str">
        <f>IF(L511="","",
IF(AX511="PT",VLOOKUP(L511,Foundation_Calc!$V$79:$X$113,VLOOKUP(AX511,Foundation_Calc!$I$10:$J$13,2,FALSE),0),
IF(AX511="K",VLOOKUP(L511,Foundation_Calc!$V$117:$X$151,VLOOKUP(AX511,Foundation_Calc!$I$10:$J$13,2,FALSE),0),"")))</f>
        <v/>
      </c>
      <c r="N511" s="449"/>
      <c r="O511" s="449"/>
      <c r="P511" s="449"/>
      <c r="Q511" s="4"/>
      <c r="R511" s="6"/>
      <c r="S511" s="6"/>
      <c r="T511" s="4"/>
      <c r="U511" s="4"/>
      <c r="V511" s="4"/>
      <c r="W511" s="572"/>
      <c r="X511" s="9"/>
      <c r="Y511" s="9"/>
      <c r="Z511" s="9"/>
      <c r="AA511" s="9"/>
      <c r="AB511" s="9"/>
      <c r="AC511" s="449" t="str">
        <f t="shared" si="55"/>
        <v/>
      </c>
      <c r="AD511" s="449"/>
      <c r="AE511" s="449"/>
      <c r="AF511" s="4"/>
      <c r="AG511" s="83"/>
      <c r="AH511" s="4"/>
      <c r="AI511" s="4"/>
      <c r="AJ511" s="449"/>
      <c r="AK511" s="449"/>
      <c r="AL511" s="449"/>
      <c r="AM511" s="449"/>
      <c r="AN511" s="10"/>
      <c r="AO511" s="9"/>
      <c r="AP511" s="9"/>
      <c r="AQ511" s="9">
        <f>+FL_2($T$512,$T$510,$G$511,1200,9.28,-1*$F$512)</f>
        <v>-0.36839079999999996</v>
      </c>
      <c r="AR511" s="9"/>
      <c r="AS511" s="9"/>
      <c r="AT511" s="9"/>
      <c r="AU511" s="428"/>
      <c r="AV511" s="428"/>
      <c r="AW511" s="449" t="str">
        <f>IF(C511&gt;0,VLOOKUP(C511,Foundation_Calc!$A$2:$C$13,3,1),
IF(J511&gt;0,VLOOKUP(J511,Foundation_Calc!$A$2:$C$13,3,1),""))</f>
        <v/>
      </c>
      <c r="AX511" s="449" t="str">
        <f>IF(C511&gt;0,VLOOKUP(C511,Foundation_Calc!$E$2:$G$33,3,1),
IF(J511&gt;0,VLOOKUP(J511,Foundation_Calc!$E$2:$G$33,3,1),""))</f>
        <v/>
      </c>
      <c r="AY511" s="10" t="str">
        <f>IF(L511="","",
IF(AX511="PT",VLOOKUP(L511,Foundation_Calc!$K$79:$R$113,VLOOKUP(AW511,Foundation_Calc!$I$2:$J$8,2,FALSE),0),
IF(AX511="K",VLOOKUP(L511,Foundation_Calc!$K$117:$R$151,VLOOKUP(AW511,Foundation_Calc!$I$2:$J$8,2,FALSE),0),"")))</f>
        <v/>
      </c>
      <c r="AZ511" s="10" t="str">
        <f>IF(K511="","",
IF(AX511="PT",VLOOKUP(K511,Foundation_Calc!$K$79:$R$113,VLOOKUP(AW511,Foundation_Calc!$I$2:$J$8,2,FALSE),0),
IF(AX511="K",VLOOKUP(K511,Foundation_Calc!$K$117:$R$151,VLOOKUP(AW511,Foundation_Calc!$I$2:$J$8,2,FALSE),0),"")))</f>
        <v/>
      </c>
      <c r="BA511" s="495" t="str">
        <f t="shared" si="59"/>
        <v/>
      </c>
      <c r="BB511" s="495" t="str">
        <f t="shared" si="60"/>
        <v/>
      </c>
      <c r="BC511" s="495" t="str">
        <f t="shared" si="61"/>
        <v/>
      </c>
      <c r="BD511" s="513" t="str">
        <f>IF(AND(L511="",H511=""),"",
IF(H511="",Pole_Calc!A$9,
IF(H511="MP",Pole_Calc!A$10,
IF(H511="AnMP",Pole_Calc!A$11,
IF(H511="A",Pole_Calc!A$12,
IF(H511="S/A",Pole_Calc!A$13,
IF(H511="A/S",Pole_Calc!A$14,"Poner a mano")))))))</f>
        <v/>
      </c>
      <c r="BE511" s="429" t="s">
        <v>118</v>
      </c>
      <c r="BF511" s="290"/>
      <c r="BG511" s="290"/>
      <c r="BH511" s="290"/>
      <c r="BI511" s="290"/>
    </row>
    <row r="512" spans="1:61" ht="15.75" customHeight="1">
      <c r="A512" s="518"/>
      <c r="B512" s="450" t="s">
        <v>486</v>
      </c>
      <c r="C512" s="3">
        <f>+$C$510+$G$511</f>
        <v>42240.079999999994</v>
      </c>
      <c r="D512" s="83"/>
      <c r="E512" s="4"/>
      <c r="F512" s="4">
        <f>IF(C512&gt;0,VLOOKUP(C512,'ALIGNMENT TRACK'!$A$1:$K$81,9,1))</f>
        <v>0</v>
      </c>
      <c r="G512" s="6"/>
      <c r="H512" s="449" t="s">
        <v>171</v>
      </c>
      <c r="I512" s="4"/>
      <c r="J512" s="3"/>
      <c r="K512" s="449"/>
      <c r="L512" s="449" t="s">
        <v>153</v>
      </c>
      <c r="M512" s="449" t="str">
        <f>IF(L512="","",
IF(AX512="PT",VLOOKUP(L512,Foundation_Calc!$V$79:$X$113,VLOOKUP(AX512,Foundation_Calc!$I$10:$J$13,2,FALSE),0),
IF(AX512="K",VLOOKUP(L512,Foundation_Calc!$V$117:$X$151,VLOOKUP(AX512,Foundation_Calc!$I$10:$J$13,2,FALSE),0),"")))</f>
        <v>C3R</v>
      </c>
      <c r="N512" s="449" t="s">
        <v>124</v>
      </c>
      <c r="O512" s="449"/>
      <c r="P512" s="449"/>
      <c r="Q512" s="4"/>
      <c r="R512" s="6"/>
      <c r="S512" s="6"/>
      <c r="T512" s="4">
        <v>-35</v>
      </c>
      <c r="U512" s="4"/>
      <c r="V512" s="4"/>
      <c r="W512" s="572">
        <v>1.2</v>
      </c>
      <c r="X512" s="9"/>
      <c r="Y512" s="9"/>
      <c r="Z512" s="9"/>
      <c r="AA512" s="9"/>
      <c r="AB512" s="9"/>
      <c r="AC512" s="449" t="str">
        <f t="shared" si="55"/>
        <v>PHQ</v>
      </c>
      <c r="AD512" s="449"/>
      <c r="AE512" s="449"/>
      <c r="AF512" s="4"/>
      <c r="AG512" s="83"/>
      <c r="AH512" s="4"/>
      <c r="AI512" s="4"/>
      <c r="AJ512" s="449"/>
      <c r="AK512" s="449"/>
      <c r="AL512" s="449"/>
      <c r="AM512" s="449" t="s">
        <v>126</v>
      </c>
      <c r="AN512" s="10">
        <v>5.5</v>
      </c>
      <c r="AO512" s="9"/>
      <c r="AP512" s="9"/>
      <c r="AQ512" s="9"/>
      <c r="AR512" s="9"/>
      <c r="AS512" s="9"/>
      <c r="AT512" s="9">
        <f>+ab($T$512,$T$510,$T$514,$G$511,$G$513,-1*$F$512,1200)</f>
        <v>-6.8209152065487553</v>
      </c>
      <c r="AU512" s="428"/>
      <c r="AV512" s="428"/>
      <c r="AW512" s="449" t="str">
        <f>IF(C512&gt;0,VLOOKUP(C512,Foundation_Calc!$A$2:$C$13,3,1),
IF(J512&gt;0,VLOOKUP(J512,Foundation_Calc!$A$2:$C$13,3,1),""))</f>
        <v>Multi Soil</v>
      </c>
      <c r="AX512" s="449" t="str">
        <f>IF(C512&gt;0,VLOOKUP(C512,Foundation_Calc!$E$2:$G$33,3,1),
IF(J512&gt;0,VLOOKUP(J512,Foundation_Calc!$E$2:$G$33,3,1),""))</f>
        <v>PT</v>
      </c>
      <c r="AY512" s="10">
        <f>IF(L512="","",
IF(AX512="PT",VLOOKUP(L512,Foundation_Calc!$K$79:$R$113,VLOOKUP(AW512,Foundation_Calc!$I$2:$J$8,2,FALSE),0),
IF(AX512="K",VLOOKUP(L512,Foundation_Calc!$K$117:$R$151,VLOOKUP(AW512,Foundation_Calc!$I$2:$J$8,2,FALSE),0),"")))</f>
        <v>3.5</v>
      </c>
      <c r="AZ512" s="10" t="str">
        <f>IF(K512="","",
IF(AX512="PT",VLOOKUP(K512,Foundation_Calc!$K$79:$R$113,VLOOKUP(AW512,Foundation_Calc!$I$2:$J$8,2,FALSE),0),
IF(AX512="K",VLOOKUP(K512,Foundation_Calc!$K$117:$R$151,VLOOKUP(AW512,Foundation_Calc!$I$2:$J$8,2,FALSE),0),"")))</f>
        <v/>
      </c>
      <c r="BA512" s="495" t="str">
        <f t="shared" si="59"/>
        <v>ü</v>
      </c>
      <c r="BB512" s="495" t="str">
        <f t="shared" si="60"/>
        <v/>
      </c>
      <c r="BC512" s="495" t="str">
        <f t="shared" si="61"/>
        <v/>
      </c>
      <c r="BD512" s="513" t="str">
        <f>IF(AND(L512="",H512=""),"",
IF(H512="",Pole_Calc!A$9,
IF(H512="MP",Pole_Calc!A$10,
IF(H512="AnMP",Pole_Calc!A$11,
IF(H512="A",Pole_Calc!A$12,
IF(H512="S/A",Pole_Calc!A$13,
IF(H512="A/S",Pole_Calc!A$14,"Poner a mano")))))))</f>
        <v>App.7-V11I-P9.5.1.2</v>
      </c>
      <c r="BE512" s="429" t="s">
        <v>118</v>
      </c>
      <c r="BF512" s="289"/>
      <c r="BG512" s="289"/>
      <c r="BH512" s="290"/>
      <c r="BI512" s="289"/>
    </row>
    <row r="513" spans="1:61" ht="15.75" customHeight="1">
      <c r="A513" s="518"/>
      <c r="B513" s="450"/>
      <c r="C513" s="3"/>
      <c r="D513" s="83"/>
      <c r="E513" s="4"/>
      <c r="F513" s="4"/>
      <c r="G513" s="6">
        <v>50</v>
      </c>
      <c r="H513" s="449"/>
      <c r="I513" s="4">
        <f>SUM(G513:G527)</f>
        <v>428</v>
      </c>
      <c r="J513" s="3"/>
      <c r="K513" s="449"/>
      <c r="L513" s="449"/>
      <c r="M513" s="449" t="str">
        <f>IF(L513="","",
IF(AX513="PT",VLOOKUP(L513,Foundation_Calc!$V$79:$X$113,VLOOKUP(AX513,Foundation_Calc!$I$10:$J$13,2,FALSE),0),
IF(AX513="K",VLOOKUP(L513,Foundation_Calc!$V$117:$X$151,VLOOKUP(AX513,Foundation_Calc!$I$10:$J$13,2,FALSE),0),"")))</f>
        <v/>
      </c>
      <c r="N513" s="449"/>
      <c r="O513" s="449"/>
      <c r="P513" s="449"/>
      <c r="Q513" s="4"/>
      <c r="R513" s="6"/>
      <c r="S513" s="6"/>
      <c r="T513" s="4"/>
      <c r="U513" s="4"/>
      <c r="V513" s="4"/>
      <c r="W513" s="9"/>
      <c r="X513" s="9"/>
      <c r="Y513" s="9"/>
      <c r="Z513" s="9"/>
      <c r="AA513" s="9"/>
      <c r="AB513" s="9"/>
      <c r="AC513" s="449" t="str">
        <f t="shared" si="55"/>
        <v/>
      </c>
      <c r="AD513" s="449"/>
      <c r="AE513" s="449"/>
      <c r="AF513" s="4"/>
      <c r="AG513" s="83"/>
      <c r="AH513" s="4"/>
      <c r="AI513" s="4"/>
      <c r="AJ513" s="449"/>
      <c r="AK513" s="449"/>
      <c r="AL513" s="449"/>
      <c r="AM513" s="449"/>
      <c r="AN513" s="10"/>
      <c r="AO513" s="9"/>
      <c r="AP513" s="9"/>
      <c r="AQ513" s="9">
        <f>+FL_1($T$514,$T$512,$G$513,1200,9.28,-1*$F$514)</f>
        <v>0.36839079999999996</v>
      </c>
      <c r="AR513" s="9"/>
      <c r="AS513" s="9"/>
      <c r="AT513" s="9"/>
      <c r="AU513" s="428"/>
      <c r="AV513" s="428"/>
      <c r="AW513" s="449" t="str">
        <f>IF(C513&gt;0,VLOOKUP(C513,Foundation_Calc!$A$2:$C$13,3,1),
IF(J513&gt;0,VLOOKUP(J513,Foundation_Calc!$A$2:$C$13,3,1),""))</f>
        <v/>
      </c>
      <c r="AX513" s="449" t="str">
        <f>IF(C513&gt;0,VLOOKUP(C513,Foundation_Calc!$E$2:$G$33,3,1),
IF(J513&gt;0,VLOOKUP(J513,Foundation_Calc!$E$2:$G$33,3,1),""))</f>
        <v/>
      </c>
      <c r="AY513" s="10" t="str">
        <f>IF(L513="","",
IF(AX513="PT",VLOOKUP(L513,Foundation_Calc!$K$79:$R$113,VLOOKUP(AW513,Foundation_Calc!$I$2:$J$8,2,FALSE),0),
IF(AX513="K",VLOOKUP(L513,Foundation_Calc!$K$117:$R$151,VLOOKUP(AW513,Foundation_Calc!$I$2:$J$8,2,FALSE),0),"")))</f>
        <v/>
      </c>
      <c r="AZ513" s="10" t="str">
        <f>IF(K513="","",
IF(AX513="PT",VLOOKUP(K513,Foundation_Calc!$K$79:$R$113,VLOOKUP(AW513,Foundation_Calc!$I$2:$J$8,2,FALSE),0),
IF(AX513="K",VLOOKUP(K513,Foundation_Calc!$K$117:$R$151,VLOOKUP(AW513,Foundation_Calc!$I$2:$J$8,2,FALSE),0),"")))</f>
        <v/>
      </c>
      <c r="BA513" s="495" t="str">
        <f t="shared" si="59"/>
        <v/>
      </c>
      <c r="BB513" s="495" t="str">
        <f t="shared" si="60"/>
        <v/>
      </c>
      <c r="BC513" s="495" t="str">
        <f t="shared" si="61"/>
        <v/>
      </c>
      <c r="BD513" s="513" t="str">
        <f>IF(AND(L513="",H513=""),"",
IF(H513="",Pole_Calc!A$9,
IF(H513="MP",Pole_Calc!A$10,
IF(H513="AnMP",Pole_Calc!A$11,
IF(H513="A",Pole_Calc!A$12,
IF(H513="S/A",Pole_Calc!A$13,
IF(H513="A/S",Pole_Calc!A$14,"Poner a mano")))))))</f>
        <v/>
      </c>
      <c r="BE513" s="429" t="s">
        <v>118</v>
      </c>
      <c r="BF513" s="290"/>
      <c r="BG513" s="290"/>
      <c r="BH513" s="290"/>
      <c r="BI513" s="290"/>
    </row>
    <row r="514" spans="1:61" ht="15.75" customHeight="1">
      <c r="A514" s="514"/>
      <c r="B514" s="450" t="s">
        <v>487</v>
      </c>
      <c r="C514" s="3">
        <f>+$C$512+$G$513</f>
        <v>42290.079999999994</v>
      </c>
      <c r="D514" s="83"/>
      <c r="E514" s="4"/>
      <c r="F514" s="4">
        <f>IF(C514&gt;0,VLOOKUP(C514,'ALIGNMENT TRACK'!$A$1:$K$81,9,1))</f>
        <v>0</v>
      </c>
      <c r="G514" s="6"/>
      <c r="H514" s="449" t="s">
        <v>168</v>
      </c>
      <c r="I514" s="4"/>
      <c r="J514" s="3"/>
      <c r="K514" s="449"/>
      <c r="L514" s="449" t="s">
        <v>158</v>
      </c>
      <c r="M514" s="449" t="str">
        <f>IF(L514="","",
IF(AX514="PT",VLOOKUP(L514,Foundation_Calc!$V$79:$X$113,VLOOKUP(AX514,Foundation_Calc!$I$10:$J$13,2,FALSE),0),
IF(AX514="K",VLOOKUP(L514,Foundation_Calc!$V$117:$X$151,VLOOKUP(AX514,Foundation_Calc!$I$10:$J$13,2,FALSE),0),"")))</f>
        <v>C4R</v>
      </c>
      <c r="N514" s="449" t="s">
        <v>134</v>
      </c>
      <c r="O514" s="449"/>
      <c r="P514" s="449"/>
      <c r="Q514" s="4"/>
      <c r="R514" s="6"/>
      <c r="S514" s="6"/>
      <c r="T514" s="4">
        <v>35</v>
      </c>
      <c r="U514" s="4"/>
      <c r="V514" s="4"/>
      <c r="W514" s="9">
        <v>1.4</v>
      </c>
      <c r="X514" s="9"/>
      <c r="Y514" s="9"/>
      <c r="Z514" s="9"/>
      <c r="AA514" s="9"/>
      <c r="AB514" s="9"/>
      <c r="AC514" s="449" t="str">
        <f t="shared" si="55"/>
        <v>PHQ</v>
      </c>
      <c r="AD514" s="449"/>
      <c r="AE514" s="449"/>
      <c r="AF514" s="4"/>
      <c r="AG514" s="83"/>
      <c r="AH514" s="4"/>
      <c r="AI514" s="4"/>
      <c r="AJ514" s="449"/>
      <c r="AK514" s="449"/>
      <c r="AL514" s="449"/>
      <c r="AM514" s="449" t="s">
        <v>126</v>
      </c>
      <c r="AN514" s="10">
        <v>5.5</v>
      </c>
      <c r="AO514" s="9"/>
      <c r="AP514" s="9"/>
      <c r="AQ514" s="9"/>
      <c r="AR514" s="9"/>
      <c r="AS514" s="9"/>
      <c r="AT514" s="9">
        <f>+ab($T$514,$T$512,$T$516,$G$513,$G$515,-1*$F$514,1200)</f>
        <v>7.1424146886693025</v>
      </c>
      <c r="AU514" s="428"/>
      <c r="AV514" s="428"/>
      <c r="AW514" s="449" t="str">
        <f>IF(C514&gt;0,VLOOKUP(C514,Foundation_Calc!$A$2:$C$13,3,1),
IF(J514&gt;0,VLOOKUP(J514,Foundation_Calc!$A$2:$C$13,3,1),""))</f>
        <v>Multi Soil</v>
      </c>
      <c r="AX514" s="449" t="str">
        <f>IF(C514&gt;0,VLOOKUP(C514,Foundation_Calc!$E$2:$G$33,3,1),
IF(J514&gt;0,VLOOKUP(J514,Foundation_Calc!$E$2:$G$33,3,1),""))</f>
        <v>PT</v>
      </c>
      <c r="AY514" s="10">
        <f>IF(L514="","",
IF(AX514="PT",VLOOKUP(L514,Foundation_Calc!$K$79:$R$113,VLOOKUP(AW514,Foundation_Calc!$I$2:$J$8,2,FALSE),0),
IF(AX514="K",VLOOKUP(L514,Foundation_Calc!$K$117:$R$151,VLOOKUP(AW514,Foundation_Calc!$I$2:$J$8,2,FALSE),0),"")))</f>
        <v>3.5</v>
      </c>
      <c r="AZ514" s="10" t="str">
        <f>IF(K514="","",
IF(AX514="PT",VLOOKUP(K514,Foundation_Calc!$K$79:$R$113,VLOOKUP(AW514,Foundation_Calc!$I$2:$J$8,2,FALSE),0),
IF(AX514="K",VLOOKUP(K514,Foundation_Calc!$K$117:$R$151,VLOOKUP(AW514,Foundation_Calc!$I$2:$J$8,2,FALSE),0),"")))</f>
        <v/>
      </c>
      <c r="BA514" s="495" t="str">
        <f t="shared" si="59"/>
        <v>ü</v>
      </c>
      <c r="BB514" s="495" t="str">
        <f t="shared" si="60"/>
        <v/>
      </c>
      <c r="BC514" s="495" t="str">
        <f t="shared" si="61"/>
        <v/>
      </c>
      <c r="BD514" s="513" t="str">
        <f>IF(AND(L514="",H514=""),"",
IF(H514="",Pole_Calc!A$9,
IF(H514="MP",Pole_Calc!A$10,
IF(H514="AnMP",Pole_Calc!A$11,
IF(H514="A",Pole_Calc!A$12,
IF(H514="S/A",Pole_Calc!A$13,
IF(H514="A/S",Pole_Calc!A$14,"Poner a mano")))))))</f>
        <v>App.7-V11I-P9.5.1.3</v>
      </c>
      <c r="BE514" s="429" t="s">
        <v>118</v>
      </c>
      <c r="BF514" s="289"/>
      <c r="BG514" s="289"/>
      <c r="BH514" s="290"/>
      <c r="BI514" s="289"/>
    </row>
    <row r="515" spans="1:61" ht="15.75" customHeight="1">
      <c r="A515" s="514" t="s">
        <v>169</v>
      </c>
      <c r="B515" s="450"/>
      <c r="C515" s="3"/>
      <c r="D515" s="83"/>
      <c r="E515" s="4"/>
      <c r="F515" s="4"/>
      <c r="G515" s="6">
        <v>55</v>
      </c>
      <c r="H515" s="449"/>
      <c r="I515" s="4"/>
      <c r="J515" s="3">
        <f>C514+7.5</f>
        <v>42297.579999999994</v>
      </c>
      <c r="K515" s="449" t="s">
        <v>166</v>
      </c>
      <c r="L515" s="449"/>
      <c r="M515" s="449" t="str">
        <f>IF(L515="","",
IF(AX515="PT",VLOOKUP(L515,Foundation_Calc!$V$79:$X$113,VLOOKUP(AX515,Foundation_Calc!$I$10:$J$13,2,FALSE),0),
IF(AX515="K",VLOOKUP(L515,Foundation_Calc!$V$117:$X$151,VLOOKUP(AX515,Foundation_Calc!$I$10:$J$13,2,FALSE),0),"")))</f>
        <v/>
      </c>
      <c r="N515" s="449"/>
      <c r="O515" s="449"/>
      <c r="P515" s="449"/>
      <c r="Q515" s="4"/>
      <c r="R515" s="6"/>
      <c r="S515" s="6"/>
      <c r="T515" s="4"/>
      <c r="U515" s="4"/>
      <c r="V515" s="4"/>
      <c r="W515" s="9"/>
      <c r="X515" s="9"/>
      <c r="Y515" s="9"/>
      <c r="Z515" s="9"/>
      <c r="AA515" s="9"/>
      <c r="AB515" s="9"/>
      <c r="AC515" s="449" t="str">
        <f t="shared" ref="AC515:AC580" si="62">IF(OR(AT515&gt;8,AT515&lt;-8),"PH",
IF(OR(AT515&gt;5,AT515&lt;-5),"PHQ",
IF(OR(AT515&gt;1,AT515&lt;-1),
"PHC","")))</f>
        <v/>
      </c>
      <c r="AD515" s="449"/>
      <c r="AE515" s="449"/>
      <c r="AF515" s="4"/>
      <c r="AG515" s="83"/>
      <c r="AH515" s="4"/>
      <c r="AI515" s="4"/>
      <c r="AJ515" s="449"/>
      <c r="AK515" s="449"/>
      <c r="AL515" s="449"/>
      <c r="AM515" s="449"/>
      <c r="AN515" s="10"/>
      <c r="AO515" s="9"/>
      <c r="AP515" s="9"/>
      <c r="AQ515" s="9">
        <f>+FL_1($T$516,$T$514,$G$515,1200,9.28,-1*$F$516)</f>
        <v>0.39714735709090898</v>
      </c>
      <c r="AR515" s="9"/>
      <c r="AS515" s="9"/>
      <c r="AT515" s="9"/>
      <c r="AU515" s="428"/>
      <c r="AV515" s="428"/>
      <c r="AW515" s="449" t="str">
        <f>IF(C515&gt;0,VLOOKUP(C515,Foundation_Calc!$A$2:$C$13,3,1),
IF(J515&gt;0,VLOOKUP(J515,Foundation_Calc!$A$2:$C$13,3,1),""))</f>
        <v>Multi Soil</v>
      </c>
      <c r="AX515" s="449" t="str">
        <f>IF(C515&gt;0,VLOOKUP(C515,Foundation_Calc!$E$2:$G$33,3,1),
IF(J515&gt;0,VLOOKUP(J515,Foundation_Calc!$E$2:$G$33,3,1),""))</f>
        <v>PT</v>
      </c>
      <c r="AY515" s="10" t="str">
        <f>IF(L515="","",
IF(AX515="PT",VLOOKUP(L515,Foundation_Calc!$K$79:$R$113,VLOOKUP(AW515,Foundation_Calc!$I$2:$J$8,2,FALSE),0),
IF(AX515="K",VLOOKUP(L515,Foundation_Calc!$K$117:$R$151,VLOOKUP(AW515,Foundation_Calc!$I$2:$J$8,2,FALSE),0),"")))</f>
        <v/>
      </c>
      <c r="AZ515" s="10">
        <f>IF(K515="","",
IF(AX515="PT",VLOOKUP(K515,Foundation_Calc!$K$79:$R$113,VLOOKUP(AW515,Foundation_Calc!$I$2:$J$8,2,FALSE),0),
IF(AX515="K",VLOOKUP(K515,Foundation_Calc!$K$117:$R$151,VLOOKUP(AW515,Foundation_Calc!$I$2:$J$8,2,FALSE),0),"")))</f>
        <v>2.8</v>
      </c>
      <c r="BA515" s="495" t="str">
        <f t="shared" si="59"/>
        <v/>
      </c>
      <c r="BB515" s="495" t="str">
        <f t="shared" si="60"/>
        <v>ü</v>
      </c>
      <c r="BC515" s="495" t="str">
        <f t="shared" si="61"/>
        <v/>
      </c>
      <c r="BD515" s="513" t="str">
        <f>IF(AND(L515="",H515=""),"",
IF(H515="",Pole_Calc!A$9,
IF(H515="MP",Pole_Calc!A$10,
IF(H515="AnMP",Pole_Calc!A$11,
IF(H515="A",Pole_Calc!A$12,
IF(H515="S/A",Pole_Calc!A$13,
IF(H515="A/S",Pole_Calc!A$14,"Poner a mano")))))))</f>
        <v/>
      </c>
      <c r="BE515" s="429" t="s">
        <v>118</v>
      </c>
      <c r="BF515" s="290"/>
      <c r="BG515" s="290"/>
      <c r="BH515" s="290"/>
      <c r="BI515" s="290"/>
    </row>
    <row r="516" spans="1:61" ht="15.75" customHeight="1">
      <c r="A516" s="514"/>
      <c r="B516" s="450" t="s">
        <v>488</v>
      </c>
      <c r="C516" s="3">
        <f>+$C$514+$G$515</f>
        <v>42345.079999999994</v>
      </c>
      <c r="D516" s="83"/>
      <c r="E516" s="4"/>
      <c r="F516" s="4">
        <f>IF(C516&gt;0,VLOOKUP(C516,'ALIGNMENT TRACK'!$A$1:$K$81,9,1))</f>
        <v>0</v>
      </c>
      <c r="G516" s="6"/>
      <c r="H516" s="449"/>
      <c r="I516" s="4"/>
      <c r="J516" s="3"/>
      <c r="K516" s="449"/>
      <c r="L516" s="449" t="s">
        <v>153</v>
      </c>
      <c r="M516" s="449" t="str">
        <f>IF(L516="","",
IF(AX516="PT",VLOOKUP(L516,Foundation_Calc!$V$79:$X$113,VLOOKUP(AX516,Foundation_Calc!$I$10:$J$13,2,FALSE),0),
IF(AX516="K",VLOOKUP(L516,Foundation_Calc!$V$117:$X$151,VLOOKUP(AX516,Foundation_Calc!$I$10:$J$13,2,FALSE),0),"")))</f>
        <v>C3R</v>
      </c>
      <c r="N516" s="449" t="s">
        <v>124</v>
      </c>
      <c r="O516" s="449"/>
      <c r="P516" s="449"/>
      <c r="Q516" s="4"/>
      <c r="R516" s="6"/>
      <c r="S516" s="6"/>
      <c r="T516" s="4">
        <v>-35</v>
      </c>
      <c r="U516" s="4"/>
      <c r="V516" s="4"/>
      <c r="W516" s="9">
        <v>1.4</v>
      </c>
      <c r="X516" s="9"/>
      <c r="Y516" s="9"/>
      <c r="Z516" s="9"/>
      <c r="AA516" s="9"/>
      <c r="AB516" s="9"/>
      <c r="AC516" s="449" t="str">
        <f t="shared" si="62"/>
        <v>PHQ</v>
      </c>
      <c r="AD516" s="449"/>
      <c r="AE516" s="449"/>
      <c r="AF516" s="4"/>
      <c r="AG516" s="83"/>
      <c r="AH516" s="4"/>
      <c r="AI516" s="4"/>
      <c r="AJ516" s="449"/>
      <c r="AK516" s="449"/>
      <c r="AL516" s="449"/>
      <c r="AM516" s="449" t="s">
        <v>126</v>
      </c>
      <c r="AN516" s="10">
        <v>5.5</v>
      </c>
      <c r="AO516" s="9"/>
      <c r="AP516" s="9"/>
      <c r="AQ516" s="9"/>
      <c r="AR516" s="9"/>
      <c r="AS516" s="9"/>
      <c r="AT516" s="9">
        <f>+ab($T$516,$T$514,$T$518,$G$515,$G$517,-1*$F$516,1200)</f>
        <v>-7.1424424584170572</v>
      </c>
      <c r="AU516" s="428"/>
      <c r="AV516" s="428"/>
      <c r="AW516" s="449" t="str">
        <f>IF(C516&gt;0,VLOOKUP(C516,Foundation_Calc!$A$2:$C$13,3,1),
IF(J516&gt;0,VLOOKUP(J516,Foundation_Calc!$A$2:$C$13,3,1),""))</f>
        <v>Multi Soil</v>
      </c>
      <c r="AX516" s="449" t="str">
        <f>IF(C516&gt;0,VLOOKUP(C516,Foundation_Calc!$E$2:$G$33,3,1),
IF(J516&gt;0,VLOOKUP(J516,Foundation_Calc!$E$2:$G$33,3,1),""))</f>
        <v>PT</v>
      </c>
      <c r="AY516" s="10">
        <f>IF(L516="","",
IF(AX516="PT",VLOOKUP(L516,Foundation_Calc!$K$79:$R$113,VLOOKUP(AW516,Foundation_Calc!$I$2:$J$8,2,FALSE),0),
IF(AX516="K",VLOOKUP(L516,Foundation_Calc!$K$117:$R$151,VLOOKUP(AW516,Foundation_Calc!$I$2:$J$8,2,FALSE),0),"")))</f>
        <v>3.5</v>
      </c>
      <c r="AZ516" s="10" t="str">
        <f>IF(K516="","",
IF(AX516="PT",VLOOKUP(K516,Foundation_Calc!$K$79:$R$113,VLOOKUP(AW516,Foundation_Calc!$I$2:$J$8,2,FALSE),0),
IF(AX516="K",VLOOKUP(K516,Foundation_Calc!$K$117:$R$151,VLOOKUP(AW516,Foundation_Calc!$I$2:$J$8,2,FALSE),0),"")))</f>
        <v/>
      </c>
      <c r="BA516" s="495" t="str">
        <f t="shared" si="59"/>
        <v>ü</v>
      </c>
      <c r="BB516" s="495" t="str">
        <f t="shared" si="60"/>
        <v/>
      </c>
      <c r="BC516" s="495" t="str">
        <f t="shared" si="61"/>
        <v/>
      </c>
      <c r="BD516" s="513" t="str">
        <f>IF(AND(L516="",H516=""),"",
IF(H516="",Pole_Calc!A$9,
IF(H516="MP",Pole_Calc!A$10,
IF(H516="AnMP",Pole_Calc!A$11,
IF(H516="A",Pole_Calc!A$12,
IF(H516="S/A",Pole_Calc!A$13,
IF(H516="A/S",Pole_Calc!A$14,"Poner a mano")))))))</f>
        <v>App.7-V11I-P9.5.1.1</v>
      </c>
      <c r="BE516" s="429" t="s">
        <v>118</v>
      </c>
      <c r="BF516" s="289"/>
      <c r="BG516" s="289"/>
      <c r="BH516" s="290"/>
      <c r="BI516" s="289"/>
    </row>
    <row r="517" spans="1:61" ht="15.75" customHeight="1">
      <c r="A517" s="514"/>
      <c r="B517" s="450"/>
      <c r="C517" s="3"/>
      <c r="D517" s="83"/>
      <c r="E517" s="4"/>
      <c r="F517" s="4"/>
      <c r="G517" s="6">
        <v>50</v>
      </c>
      <c r="H517" s="449"/>
      <c r="I517" s="4"/>
      <c r="J517" s="3"/>
      <c r="K517" s="449"/>
      <c r="L517" s="449"/>
      <c r="M517" s="449" t="str">
        <f>IF(L517="","",
IF(AX517="PT",VLOOKUP(L517,Foundation_Calc!$V$79:$X$113,VLOOKUP(AX517,Foundation_Calc!$I$10:$J$13,2,FALSE),0),
IF(AX517="K",VLOOKUP(L517,Foundation_Calc!$V$117:$X$151,VLOOKUP(AX517,Foundation_Calc!$I$10:$J$13,2,FALSE),0),"")))</f>
        <v/>
      </c>
      <c r="N517" s="449"/>
      <c r="O517" s="449"/>
      <c r="P517" s="449"/>
      <c r="Q517" s="4"/>
      <c r="R517" s="6"/>
      <c r="S517" s="6"/>
      <c r="T517" s="4"/>
      <c r="U517" s="4"/>
      <c r="V517" s="4"/>
      <c r="W517" s="9"/>
      <c r="X517" s="9"/>
      <c r="Y517" s="9"/>
      <c r="Z517" s="9"/>
      <c r="AA517" s="9"/>
      <c r="AB517" s="9"/>
      <c r="AC517" s="449" t="str">
        <f t="shared" si="62"/>
        <v/>
      </c>
      <c r="AD517" s="449"/>
      <c r="AE517" s="449"/>
      <c r="AF517" s="4"/>
      <c r="AG517" s="83"/>
      <c r="AH517" s="4"/>
      <c r="AI517" s="4"/>
      <c r="AJ517" s="449"/>
      <c r="AK517" s="449"/>
      <c r="AL517" s="449"/>
      <c r="AM517" s="449"/>
      <c r="AN517" s="10"/>
      <c r="AO517" s="9"/>
      <c r="AP517" s="9"/>
      <c r="AQ517" s="9">
        <f>+FL_1($T$518,$T$516,$G$517,1200,9.28,-1*$F$518)</f>
        <v>0.36839079999999996</v>
      </c>
      <c r="AR517" s="9"/>
      <c r="AS517" s="9"/>
      <c r="AT517" s="9"/>
      <c r="AU517" s="428"/>
      <c r="AV517" s="428"/>
      <c r="AW517" s="449" t="str">
        <f>IF(C517&gt;0,VLOOKUP(C517,Foundation_Calc!$A$2:$C$13,3,1),
IF(J517&gt;0,VLOOKUP(J517,Foundation_Calc!$A$2:$C$13,3,1),""))</f>
        <v/>
      </c>
      <c r="AX517" s="449" t="str">
        <f>IF(C517&gt;0,VLOOKUP(C517,Foundation_Calc!$E$2:$G$33,3,1),
IF(J517&gt;0,VLOOKUP(J517,Foundation_Calc!$E$2:$G$33,3,1),""))</f>
        <v/>
      </c>
      <c r="AY517" s="10" t="str">
        <f>IF(L517="","",
IF(AX517="PT",VLOOKUP(L517,Foundation_Calc!$K$79:$R$113,VLOOKUP(AW517,Foundation_Calc!$I$2:$J$8,2,FALSE),0),
IF(AX517="K",VLOOKUP(L517,Foundation_Calc!$K$117:$R$151,VLOOKUP(AW517,Foundation_Calc!$I$2:$J$8,2,FALSE),0),"")))</f>
        <v/>
      </c>
      <c r="AZ517" s="10" t="str">
        <f>IF(K517="","",
IF(AX517="PT",VLOOKUP(K517,Foundation_Calc!$K$79:$R$113,VLOOKUP(AW517,Foundation_Calc!$I$2:$J$8,2,FALSE),0),
IF(AX517="K",VLOOKUP(K517,Foundation_Calc!$K$117:$R$151,VLOOKUP(AW517,Foundation_Calc!$I$2:$J$8,2,FALSE),0),"")))</f>
        <v/>
      </c>
      <c r="BA517" s="495" t="str">
        <f t="shared" si="59"/>
        <v/>
      </c>
      <c r="BB517" s="495" t="str">
        <f t="shared" si="60"/>
        <v/>
      </c>
      <c r="BC517" s="495" t="str">
        <f t="shared" si="61"/>
        <v/>
      </c>
      <c r="BD517" s="513" t="str">
        <f>IF(AND(L517="",H517=""),"",
IF(H517="",Pole_Calc!A$9,
IF(H517="MP",Pole_Calc!A$10,
IF(H517="AnMP",Pole_Calc!A$11,
IF(H517="A",Pole_Calc!A$12,
IF(H517="S/A",Pole_Calc!A$13,
IF(H517="A/S",Pole_Calc!A$14,"Poner a mano")))))))</f>
        <v/>
      </c>
      <c r="BE517" s="429" t="s">
        <v>118</v>
      </c>
      <c r="BF517" s="290"/>
      <c r="BG517" s="290"/>
      <c r="BH517" s="290"/>
      <c r="BI517" s="290"/>
    </row>
    <row r="518" spans="1:61" ht="15.75" customHeight="1">
      <c r="A518" s="518"/>
      <c r="B518" s="450" t="s">
        <v>489</v>
      </c>
      <c r="C518" s="3">
        <f>+$C$516+$G$517</f>
        <v>42395.079999999994</v>
      </c>
      <c r="D518" s="83"/>
      <c r="E518" s="4"/>
      <c r="F518" s="4">
        <f>IF(C518&gt;0,VLOOKUP(C518,'ALIGNMENT TRACK'!$A$1:$K$81,9,1))</f>
        <v>0</v>
      </c>
      <c r="G518" s="6"/>
      <c r="H518" s="449"/>
      <c r="I518" s="4"/>
      <c r="J518" s="3"/>
      <c r="K518" s="449"/>
      <c r="L518" s="449" t="s">
        <v>153</v>
      </c>
      <c r="M518" s="449" t="str">
        <f>IF(L518="","",
IF(AX518="PT",VLOOKUP(L518,Foundation_Calc!$V$79:$X$113,VLOOKUP(AX518,Foundation_Calc!$I$10:$J$13,2,FALSE),0),
IF(AX518="K",VLOOKUP(L518,Foundation_Calc!$V$117:$X$151,VLOOKUP(AX518,Foundation_Calc!$I$10:$J$13,2,FALSE),0),"")))</f>
        <v>C3R</v>
      </c>
      <c r="N518" s="449" t="s">
        <v>134</v>
      </c>
      <c r="O518" s="449"/>
      <c r="P518" s="449"/>
      <c r="Q518" s="4"/>
      <c r="R518" s="6"/>
      <c r="S518" s="6"/>
      <c r="T518" s="4">
        <v>35</v>
      </c>
      <c r="U518" s="4"/>
      <c r="V518" s="4"/>
      <c r="W518" s="9">
        <v>1.4</v>
      </c>
      <c r="X518" s="9"/>
      <c r="Y518" s="9"/>
      <c r="Z518" s="9"/>
      <c r="AA518" s="9"/>
      <c r="AB518" s="9"/>
      <c r="AC518" s="449" t="str">
        <f t="shared" si="62"/>
        <v>PHQ</v>
      </c>
      <c r="AD518" s="449"/>
      <c r="AE518" s="449"/>
      <c r="AF518" s="4"/>
      <c r="AG518" s="83"/>
      <c r="AH518" s="4"/>
      <c r="AI518" s="4"/>
      <c r="AJ518" s="449"/>
      <c r="AK518" s="449"/>
      <c r="AL518" s="449"/>
      <c r="AM518" s="449" t="s">
        <v>126</v>
      </c>
      <c r="AN518" s="10">
        <v>5.5</v>
      </c>
      <c r="AO518" s="9"/>
      <c r="AP518" s="9"/>
      <c r="AQ518" s="9"/>
      <c r="AR518" s="9"/>
      <c r="AS518" s="9"/>
      <c r="AT518" s="9">
        <f>+ab($T$518,$T$516,$T$520,$G$517,$G$519,-1*$F$518,1200)</f>
        <v>6.820891075690624</v>
      </c>
      <c r="AU518" s="428"/>
      <c r="AV518" s="428"/>
      <c r="AW518" s="449" t="str">
        <f>IF(C518&gt;0,VLOOKUP(C518,Foundation_Calc!$A$2:$C$13,3,1),
IF(J518&gt;0,VLOOKUP(J518,Foundation_Calc!$A$2:$C$13,3,1),""))</f>
        <v>Multi Soil</v>
      </c>
      <c r="AX518" s="449" t="str">
        <f>IF(C518&gt;0,VLOOKUP(C518,Foundation_Calc!$E$2:$G$33,3,1),
IF(J518&gt;0,VLOOKUP(J518,Foundation_Calc!$E$2:$G$33,3,1),""))</f>
        <v>PT</v>
      </c>
      <c r="AY518" s="10">
        <f>IF(L518="","",
IF(AX518="PT",VLOOKUP(L518,Foundation_Calc!$K$79:$R$113,VLOOKUP(AW518,Foundation_Calc!$I$2:$J$8,2,FALSE),0),
IF(AX518="K",VLOOKUP(L518,Foundation_Calc!$K$117:$R$151,VLOOKUP(AW518,Foundation_Calc!$I$2:$J$8,2,FALSE),0),"")))</f>
        <v>3.5</v>
      </c>
      <c r="AZ518" s="10" t="str">
        <f>IF(K518="","",
IF(AX518="PT",VLOOKUP(K518,Foundation_Calc!$K$79:$R$113,VLOOKUP(AW518,Foundation_Calc!$I$2:$J$8,2,FALSE),0),
IF(AX518="K",VLOOKUP(K518,Foundation_Calc!$K$117:$R$151,VLOOKUP(AW518,Foundation_Calc!$I$2:$J$8,2,FALSE),0),"")))</f>
        <v/>
      </c>
      <c r="BA518" s="495" t="str">
        <f t="shared" si="59"/>
        <v>ü</v>
      </c>
      <c r="BB518" s="495" t="str">
        <f t="shared" si="60"/>
        <v/>
      </c>
      <c r="BC518" s="495" t="str">
        <f t="shared" si="61"/>
        <v/>
      </c>
      <c r="BD518" s="513" t="str">
        <f>IF(AND(L518="",H518=""),"",
IF(H518="",Pole_Calc!A$9,
IF(H518="MP",Pole_Calc!A$10,
IF(H518="AnMP",Pole_Calc!A$11,
IF(H518="A",Pole_Calc!A$12,
IF(H518="S/A",Pole_Calc!A$13,
IF(H518="A/S",Pole_Calc!A$14,"Poner a mano")))))))</f>
        <v>App.7-V11I-P9.5.1.1</v>
      </c>
      <c r="BE518" s="429" t="s">
        <v>118</v>
      </c>
      <c r="BF518" s="289"/>
      <c r="BG518" s="289"/>
      <c r="BH518" s="290"/>
      <c r="BI518" s="289"/>
    </row>
    <row r="519" spans="1:61" ht="15.75" customHeight="1">
      <c r="A519" s="518"/>
      <c r="B519" s="450"/>
      <c r="C519" s="3"/>
      <c r="D519" s="83"/>
      <c r="E519" s="4"/>
      <c r="F519" s="4"/>
      <c r="G519" s="6">
        <v>50</v>
      </c>
      <c r="H519" s="449"/>
      <c r="I519" s="4"/>
      <c r="J519" s="3"/>
      <c r="K519" s="449"/>
      <c r="L519" s="449"/>
      <c r="M519" s="449" t="str">
        <f>IF(L519="","",
IF(AX519="PT",VLOOKUP(L519,Foundation_Calc!$V$79:$X$113,VLOOKUP(AX519,Foundation_Calc!$I$10:$J$13,2,FALSE),0),
IF(AX519="K",VLOOKUP(L519,Foundation_Calc!$V$117:$X$151,VLOOKUP(AX519,Foundation_Calc!$I$10:$J$13,2,FALSE),0),"")))</f>
        <v/>
      </c>
      <c r="N519" s="449"/>
      <c r="O519" s="449"/>
      <c r="P519" s="449"/>
      <c r="Q519" s="4"/>
      <c r="R519" s="6"/>
      <c r="S519" s="6"/>
      <c r="T519" s="4"/>
      <c r="U519" s="4"/>
      <c r="V519" s="4"/>
      <c r="W519" s="9"/>
      <c r="X519" s="9"/>
      <c r="Y519" s="9"/>
      <c r="Z519" s="9"/>
      <c r="AA519" s="9"/>
      <c r="AB519" s="9"/>
      <c r="AC519" s="449" t="str">
        <f t="shared" si="62"/>
        <v/>
      </c>
      <c r="AD519" s="449"/>
      <c r="AE519" s="449"/>
      <c r="AF519" s="4"/>
      <c r="AG519" s="83"/>
      <c r="AH519" s="4"/>
      <c r="AI519" s="4"/>
      <c r="AJ519" s="449"/>
      <c r="AK519" s="449"/>
      <c r="AL519" s="449"/>
      <c r="AM519" s="449"/>
      <c r="AN519" s="10"/>
      <c r="AO519" s="9"/>
      <c r="AP519" s="9"/>
      <c r="AQ519" s="9">
        <f>+FL_2($T$520,$T$518,$G$519,1200,9.28,-1*$F$520)</f>
        <v>-0.36839079999999996</v>
      </c>
      <c r="AR519" s="9"/>
      <c r="AS519" s="9"/>
      <c r="AT519" s="9"/>
      <c r="AU519" s="428"/>
      <c r="AV519" s="428"/>
      <c r="AW519" s="449" t="str">
        <f>IF(C519&gt;0,VLOOKUP(C519,Foundation_Calc!$A$2:$C$13,3,1),
IF(J519&gt;0,VLOOKUP(J519,Foundation_Calc!$A$2:$C$13,3,1),""))</f>
        <v/>
      </c>
      <c r="AX519" s="449" t="str">
        <f>IF(C519&gt;0,VLOOKUP(C519,Foundation_Calc!$E$2:$G$33,3,1),
IF(J519&gt;0,VLOOKUP(J519,Foundation_Calc!$E$2:$G$33,3,1),""))</f>
        <v/>
      </c>
      <c r="AY519" s="10" t="str">
        <f>IF(L519="","",
IF(AX519="PT",VLOOKUP(L519,Foundation_Calc!$K$79:$R$113,VLOOKUP(AW519,Foundation_Calc!$I$2:$J$8,2,FALSE),0),
IF(AX519="K",VLOOKUP(L519,Foundation_Calc!$K$117:$R$151,VLOOKUP(AW519,Foundation_Calc!$I$2:$J$8,2,FALSE),0),"")))</f>
        <v/>
      </c>
      <c r="AZ519" s="10" t="str">
        <f>IF(K519="","",
IF(AX519="PT",VLOOKUP(K519,Foundation_Calc!$K$79:$R$113,VLOOKUP(AW519,Foundation_Calc!$I$2:$J$8,2,FALSE),0),
IF(AX519="K",VLOOKUP(K519,Foundation_Calc!$K$117:$R$151,VLOOKUP(AW519,Foundation_Calc!$I$2:$J$8,2,FALSE),0),"")))</f>
        <v/>
      </c>
      <c r="BA519" s="495" t="str">
        <f t="shared" si="59"/>
        <v/>
      </c>
      <c r="BB519" s="495" t="str">
        <f t="shared" si="60"/>
        <v/>
      </c>
      <c r="BC519" s="495" t="str">
        <f t="shared" si="61"/>
        <v/>
      </c>
      <c r="BD519" s="513" t="str">
        <f>IF(AND(L519="",H519=""),"",
IF(H519="",Pole_Calc!A$9,
IF(H519="MP",Pole_Calc!A$10,
IF(H519="AnMP",Pole_Calc!A$11,
IF(H519="A",Pole_Calc!A$12,
IF(H519="S/A",Pole_Calc!A$13,
IF(H519="A/S",Pole_Calc!A$14,"Poner a mano")))))))</f>
        <v/>
      </c>
      <c r="BE519" s="429" t="s">
        <v>118</v>
      </c>
      <c r="BF519" s="290"/>
      <c r="BG519" s="290"/>
      <c r="BH519" s="290"/>
      <c r="BI519" s="290"/>
    </row>
    <row r="520" spans="1:61" ht="15.75" customHeight="1">
      <c r="A520" s="514"/>
      <c r="B520" s="450" t="s">
        <v>490</v>
      </c>
      <c r="C520" s="3">
        <f>+$C$518+$G$519</f>
        <v>42445.079999999994</v>
      </c>
      <c r="D520" s="83"/>
      <c r="E520" s="4"/>
      <c r="F520" s="4">
        <f>IF(C520&gt;0,VLOOKUP(C520,'ALIGNMENT TRACK'!$A$1:$K$81,9,1))</f>
        <v>0</v>
      </c>
      <c r="G520" s="6"/>
      <c r="H520" s="449"/>
      <c r="I520" s="4"/>
      <c r="J520" s="3"/>
      <c r="K520" s="449"/>
      <c r="L520" s="449" t="s">
        <v>153</v>
      </c>
      <c r="M520" s="449" t="str">
        <f>IF(L520="","",
IF(AX520="PT",VLOOKUP(L520,Foundation_Calc!$V$79:$X$113,VLOOKUP(AX520,Foundation_Calc!$I$10:$J$13,2,FALSE),0),
IF(AX520="K",VLOOKUP(L520,Foundation_Calc!$V$117:$X$151,VLOOKUP(AX520,Foundation_Calc!$I$10:$J$13,2,FALSE),0),"")))</f>
        <v>C3R</v>
      </c>
      <c r="N520" s="449" t="s">
        <v>124</v>
      </c>
      <c r="O520" s="449"/>
      <c r="P520" s="449"/>
      <c r="Q520" s="4"/>
      <c r="R520" s="6"/>
      <c r="S520" s="6"/>
      <c r="T520" s="4">
        <v>-35</v>
      </c>
      <c r="U520" s="4"/>
      <c r="V520" s="4"/>
      <c r="W520" s="9">
        <v>1.4</v>
      </c>
      <c r="X520" s="9"/>
      <c r="Y520" s="9"/>
      <c r="Z520" s="9"/>
      <c r="AA520" s="9"/>
      <c r="AB520" s="9"/>
      <c r="AC520" s="449" t="str">
        <f t="shared" si="62"/>
        <v>PHQ</v>
      </c>
      <c r="AD520" s="449"/>
      <c r="AE520" s="449"/>
      <c r="AF520" s="4"/>
      <c r="AG520" s="83"/>
      <c r="AH520" s="4"/>
      <c r="AI520" s="4"/>
      <c r="AJ520" s="449"/>
      <c r="AK520" s="449"/>
      <c r="AL520" s="449"/>
      <c r="AM520" s="449" t="s">
        <v>126</v>
      </c>
      <c r="AN520" s="10">
        <v>5.5</v>
      </c>
      <c r="AO520" s="9"/>
      <c r="AP520" s="9"/>
      <c r="AQ520" s="9"/>
      <c r="AR520" s="9"/>
      <c r="AS520" s="9"/>
      <c r="AT520" s="9">
        <f>+ab($T$520,$T$518,$T$522,$G$519,$G$521,-1*$F$520,1200)</f>
        <v>-7.1424424584170572</v>
      </c>
      <c r="AU520" s="428"/>
      <c r="AV520" s="428"/>
      <c r="AW520" s="449" t="str">
        <f>IF(C520&gt;0,VLOOKUP(C520,Foundation_Calc!$A$2:$C$13,3,1),
IF(J520&gt;0,VLOOKUP(J520,Foundation_Calc!$A$2:$C$13,3,1),""))</f>
        <v>Multi Soil</v>
      </c>
      <c r="AX520" s="449" t="str">
        <f>IF(C520&gt;0,VLOOKUP(C520,Foundation_Calc!$E$2:$G$33,3,1),
IF(J520&gt;0,VLOOKUP(J520,Foundation_Calc!$E$2:$G$33,3,1),""))</f>
        <v>PT</v>
      </c>
      <c r="AY520" s="10">
        <f>IF(L520="","",
IF(AX520="PT",VLOOKUP(L520,Foundation_Calc!$K$79:$R$113,VLOOKUP(AW520,Foundation_Calc!$I$2:$J$8,2,FALSE),0),
IF(AX520="K",VLOOKUP(L520,Foundation_Calc!$K$117:$R$151,VLOOKUP(AW520,Foundation_Calc!$I$2:$J$8,2,FALSE),0),"")))</f>
        <v>3.5</v>
      </c>
      <c r="AZ520" s="10" t="str">
        <f>IF(K520="","",
IF(AX520="PT",VLOOKUP(K520,Foundation_Calc!$K$79:$R$113,VLOOKUP(AW520,Foundation_Calc!$I$2:$J$8,2,FALSE),0),
IF(AX520="K",VLOOKUP(K520,Foundation_Calc!$K$117:$R$151,VLOOKUP(AW520,Foundation_Calc!$I$2:$J$8,2,FALSE),0),"")))</f>
        <v/>
      </c>
      <c r="BA520" s="495" t="str">
        <f t="shared" si="59"/>
        <v>ü</v>
      </c>
      <c r="BB520" s="495" t="str">
        <f t="shared" si="60"/>
        <v/>
      </c>
      <c r="BC520" s="495" t="str">
        <f t="shared" si="61"/>
        <v/>
      </c>
      <c r="BD520" s="513" t="str">
        <f>IF(AND(L520="",H520=""),"",
IF(H520="",Pole_Calc!A$9,
IF(H520="MP",Pole_Calc!A$10,
IF(H520="AnMP",Pole_Calc!A$11,
IF(H520="A",Pole_Calc!A$12,
IF(H520="S/A",Pole_Calc!A$13,
IF(H520="A/S",Pole_Calc!A$14,"Poner a mano")))))))</f>
        <v>App.7-V11I-P9.5.1.1</v>
      </c>
      <c r="BE520" s="429" t="s">
        <v>118</v>
      </c>
      <c r="BF520" s="289"/>
      <c r="BG520" s="289"/>
      <c r="BH520" s="290"/>
      <c r="BI520" s="289"/>
    </row>
    <row r="521" spans="1:61" ht="15.75" customHeight="1">
      <c r="A521" s="514"/>
      <c r="B521" s="450"/>
      <c r="C521" s="3"/>
      <c r="D521" s="83"/>
      <c r="E521" s="4"/>
      <c r="F521" s="4"/>
      <c r="G521" s="6">
        <v>55</v>
      </c>
      <c r="H521" s="449"/>
      <c r="I521" s="4"/>
      <c r="J521" s="3">
        <f>C522-7.5</f>
        <v>42492.579999999994</v>
      </c>
      <c r="K521" s="449" t="s">
        <v>117</v>
      </c>
      <c r="L521" s="449"/>
      <c r="M521" s="449" t="str">
        <f>IF(L521="","",
IF(AX521="PT",VLOOKUP(L521,Foundation_Calc!$V$79:$X$113,VLOOKUP(AX521,Foundation_Calc!$I$10:$J$13,2,FALSE),0),
IF(AX521="K",VLOOKUP(L521,Foundation_Calc!$V$117:$X$151,VLOOKUP(AX521,Foundation_Calc!$I$10:$J$13,2,FALSE),0),"")))</f>
        <v/>
      </c>
      <c r="N521" s="449"/>
      <c r="O521" s="449"/>
      <c r="P521" s="449"/>
      <c r="Q521" s="4"/>
      <c r="R521" s="6"/>
      <c r="S521" s="6"/>
      <c r="T521" s="4"/>
      <c r="U521" s="4"/>
      <c r="V521" s="4"/>
      <c r="W521" s="9"/>
      <c r="X521" s="9"/>
      <c r="Y521" s="9"/>
      <c r="Z521" s="9"/>
      <c r="AA521" s="9"/>
      <c r="AB521" s="9"/>
      <c r="AC521" s="449" t="str">
        <f t="shared" si="62"/>
        <v/>
      </c>
      <c r="AD521" s="449"/>
      <c r="AE521" s="449"/>
      <c r="AF521" s="4"/>
      <c r="AG521" s="83"/>
      <c r="AH521" s="4"/>
      <c r="AI521" s="4"/>
      <c r="AJ521" s="449"/>
      <c r="AK521" s="449"/>
      <c r="AL521" s="449"/>
      <c r="AM521" s="449"/>
      <c r="AN521" s="10"/>
      <c r="AO521" s="9"/>
      <c r="AP521" s="9"/>
      <c r="AQ521" s="9">
        <f>+FL_2($T$522,$T$520,$G$521,1200,9.28,-1*$F$522)</f>
        <v>-0.39714735709090898</v>
      </c>
      <c r="AR521" s="9"/>
      <c r="AS521" s="9"/>
      <c r="AT521" s="9"/>
      <c r="AU521" s="428"/>
      <c r="AV521" s="428"/>
      <c r="AW521" s="449" t="str">
        <f>IF(C521&gt;0,VLOOKUP(C521,Foundation_Calc!$A$2:$C$13,3,1),
IF(J521&gt;0,VLOOKUP(J521,Foundation_Calc!$A$2:$C$13,3,1),""))</f>
        <v>Multi Soil</v>
      </c>
      <c r="AX521" s="449" t="str">
        <f>IF(C521&gt;0,VLOOKUP(C521,Foundation_Calc!$E$2:$G$33,3,1),
IF(J521&gt;0,VLOOKUP(J521,Foundation_Calc!$E$2:$G$33,3,1),""))</f>
        <v>PT</v>
      </c>
      <c r="AY521" s="10" t="str">
        <f>IF(L521="","",
IF(AX521="PT",VLOOKUP(L521,Foundation_Calc!$K$79:$R$113,VLOOKUP(AW521,Foundation_Calc!$I$2:$J$8,2,FALSE),0),
IF(AX521="K",VLOOKUP(L521,Foundation_Calc!$K$117:$R$151,VLOOKUP(AW521,Foundation_Calc!$I$2:$J$8,2,FALSE),0),"")))</f>
        <v/>
      </c>
      <c r="AZ521" s="10">
        <f>IF(K521="","",
IF(AX521="PT",VLOOKUP(K521,Foundation_Calc!$K$79:$R$113,VLOOKUP(AW521,Foundation_Calc!$I$2:$J$8,2,FALSE),0),
IF(AX521="K",VLOOKUP(K521,Foundation_Calc!$K$117:$R$151,VLOOKUP(AW521,Foundation_Calc!$I$2:$J$8,2,FALSE),0),"")))</f>
        <v>3.9</v>
      </c>
      <c r="BA521" s="495" t="str">
        <f t="shared" si="59"/>
        <v/>
      </c>
      <c r="BB521" s="495" t="str">
        <f t="shared" si="60"/>
        <v>ü</v>
      </c>
      <c r="BC521" s="495" t="str">
        <f t="shared" si="61"/>
        <v/>
      </c>
      <c r="BD521" s="513" t="str">
        <f>IF(AND(L521="",H521=""),"",
IF(H521="",Pole_Calc!A$9,
IF(H521="MP",Pole_Calc!A$10,
IF(H521="AnMP",Pole_Calc!A$11,
IF(H521="A",Pole_Calc!A$12,
IF(H521="S/A",Pole_Calc!A$13,
IF(H521="A/S",Pole_Calc!A$14,"Poner a mano")))))))</f>
        <v/>
      </c>
      <c r="BE521" s="429" t="s">
        <v>118</v>
      </c>
      <c r="BF521" s="290"/>
      <c r="BG521" s="290"/>
      <c r="BH521" s="290"/>
      <c r="BI521" s="290"/>
    </row>
    <row r="522" spans="1:61" ht="15.75" customHeight="1">
      <c r="A522" s="514"/>
      <c r="B522" s="450" t="s">
        <v>491</v>
      </c>
      <c r="C522" s="3">
        <f>+$C$520+$G$521</f>
        <v>42500.079999999994</v>
      </c>
      <c r="D522" s="83"/>
      <c r="E522" s="4"/>
      <c r="F522" s="4">
        <f>IF(C522&gt;0,VLOOKUP(C522,'ALIGNMENT TRACK'!$A$1:$K$81,9,1))</f>
        <v>0</v>
      </c>
      <c r="G522" s="6"/>
      <c r="H522" s="449" t="s">
        <v>121</v>
      </c>
      <c r="I522" s="4" t="s">
        <v>122</v>
      </c>
      <c r="J522" s="3"/>
      <c r="K522" s="449"/>
      <c r="L522" s="449" t="s">
        <v>151</v>
      </c>
      <c r="M522" s="449" t="str">
        <f>IF(L522="","",
IF(AX522="PT",VLOOKUP(L522,Foundation_Calc!$V$79:$X$113,VLOOKUP(AX522,Foundation_Calc!$I$10:$J$13,2,FALSE),0),
IF(AX522="K",VLOOKUP(L522,Foundation_Calc!$V$117:$X$151,VLOOKUP(AX522,Foundation_Calc!$I$10:$J$13,2,FALSE),0),"")))</f>
        <v>C4R</v>
      </c>
      <c r="N522" s="449" t="s">
        <v>134</v>
      </c>
      <c r="O522" s="449"/>
      <c r="P522" s="449"/>
      <c r="Q522" s="4"/>
      <c r="R522" s="6"/>
      <c r="S522" s="6"/>
      <c r="T522" s="4">
        <v>35</v>
      </c>
      <c r="U522" s="4"/>
      <c r="V522" s="4"/>
      <c r="W522" s="9">
        <v>1.4</v>
      </c>
      <c r="X522" s="9"/>
      <c r="Y522" s="9"/>
      <c r="Z522" s="9"/>
      <c r="AA522" s="9"/>
      <c r="AB522" s="9"/>
      <c r="AC522" s="449" t="str">
        <f t="shared" si="62"/>
        <v>PHQ</v>
      </c>
      <c r="AD522" s="449"/>
      <c r="AE522" s="449"/>
      <c r="AF522" s="4"/>
      <c r="AG522" s="83"/>
      <c r="AH522" s="4"/>
      <c r="AI522" s="4"/>
      <c r="AJ522" s="449"/>
      <c r="AK522" s="449"/>
      <c r="AL522" s="449"/>
      <c r="AM522" s="449" t="s">
        <v>126</v>
      </c>
      <c r="AN522" s="10">
        <v>5.5</v>
      </c>
      <c r="AO522" s="9"/>
      <c r="AP522" s="9"/>
      <c r="AQ522" s="9"/>
      <c r="AR522" s="9"/>
      <c r="AS522" s="9"/>
      <c r="AT522" s="9">
        <f>+ab($T$522,$T$520,$U$524,$G$521,$G$523,-1*$F$522,1200)</f>
        <v>7.6922123920196848</v>
      </c>
      <c r="AU522" s="428"/>
      <c r="AV522" s="428"/>
      <c r="AW522" s="449" t="str">
        <f>IF(C522&gt;0,VLOOKUP(C522,Foundation_Calc!$A$2:$C$13,3,1),
IF(J522&gt;0,VLOOKUP(J522,Foundation_Calc!$A$2:$C$13,3,1),""))</f>
        <v>Multi Soil</v>
      </c>
      <c r="AX522" s="449" t="str">
        <f>IF(C522&gt;0,VLOOKUP(C522,Foundation_Calc!$E$2:$G$33,3,1),
IF(J522&gt;0,VLOOKUP(J522,Foundation_Calc!$E$2:$G$33,3,1),""))</f>
        <v>PT</v>
      </c>
      <c r="AY522" s="10">
        <f>IF(L522="","",
IF(AX522="PT",VLOOKUP(L522,Foundation_Calc!$K$79:$R$113,VLOOKUP(AW522,Foundation_Calc!$I$2:$J$8,2,FALSE),0),
IF(AX522="K",VLOOKUP(L522,Foundation_Calc!$K$117:$R$151,VLOOKUP(AW522,Foundation_Calc!$I$2:$J$8,2,FALSE),0),"")))</f>
        <v>3.5</v>
      </c>
      <c r="AZ522" s="10" t="str">
        <f>IF(K522="","",
IF(AX522="PT",VLOOKUP(K522,Foundation_Calc!$K$79:$R$113,VLOOKUP(AW522,Foundation_Calc!$I$2:$J$8,2,FALSE),0),
IF(AX522="K",VLOOKUP(K522,Foundation_Calc!$K$117:$R$151,VLOOKUP(AW522,Foundation_Calc!$I$2:$J$8,2,FALSE),0),"")))</f>
        <v/>
      </c>
      <c r="BA522" s="495" t="str">
        <f t="shared" si="59"/>
        <v>ü</v>
      </c>
      <c r="BB522" s="495" t="str">
        <f t="shared" si="60"/>
        <v/>
      </c>
      <c r="BC522" s="495" t="str">
        <f t="shared" si="61"/>
        <v/>
      </c>
      <c r="BD522" s="513" t="str">
        <f>IF(AND(L522="",H522=""),"",
IF(H522="",Pole_Calc!A$9,
IF(H522="MP",Pole_Calc!A$10,
IF(H522="AnMP",Pole_Calc!A$11,
IF(H522="A",Pole_Calc!A$12,
IF(H522="S/A",Pole_Calc!A$13,
IF(H522="A/S",Pole_Calc!A$14,"Poner a mano")))))))</f>
        <v>App.7-V11I-P9.5.1.6</v>
      </c>
      <c r="BE522" s="429" t="s">
        <v>118</v>
      </c>
      <c r="BF522" s="289"/>
      <c r="BG522" s="289"/>
      <c r="BH522" s="290"/>
      <c r="BI522" s="289"/>
    </row>
    <row r="523" spans="1:61" ht="15.75" customHeight="1">
      <c r="A523" s="514"/>
      <c r="B523" s="450"/>
      <c r="C523" s="3"/>
      <c r="D523" s="83"/>
      <c r="E523" s="4"/>
      <c r="F523" s="4"/>
      <c r="G523" s="6">
        <v>58</v>
      </c>
      <c r="H523" s="449"/>
      <c r="I523" s="4"/>
      <c r="J523" s="3"/>
      <c r="K523" s="449"/>
      <c r="L523" s="449"/>
      <c r="M523" s="449" t="str">
        <f>IF(L523="","",
IF(AX523="PT",VLOOKUP(L523,Foundation_Calc!$V$79:$X$113,VLOOKUP(AX523,Foundation_Calc!$I$10:$J$13,2,FALSE),0),
IF(AX523="K",VLOOKUP(L523,Foundation_Calc!$V$117:$X$151,VLOOKUP(AX523,Foundation_Calc!$I$10:$J$13,2,FALSE),0),"")))</f>
        <v/>
      </c>
      <c r="N523" s="449"/>
      <c r="O523" s="449"/>
      <c r="P523" s="449"/>
      <c r="Q523" s="4"/>
      <c r="R523" s="6"/>
      <c r="S523" s="6"/>
      <c r="T523" s="4"/>
      <c r="U523" s="4"/>
      <c r="V523" s="4"/>
      <c r="W523" s="9"/>
      <c r="X523" s="9"/>
      <c r="Y523" s="9"/>
      <c r="Z523" s="9"/>
      <c r="AA523" s="9"/>
      <c r="AB523" s="9"/>
      <c r="AC523" s="449" t="str">
        <f t="shared" si="62"/>
        <v/>
      </c>
      <c r="AD523" s="449"/>
      <c r="AE523" s="449"/>
      <c r="AF523" s="4"/>
      <c r="AG523" s="83"/>
      <c r="AH523" s="4"/>
      <c r="AI523" s="4"/>
      <c r="AJ523" s="449"/>
      <c r="AK523" s="449"/>
      <c r="AL523" s="449"/>
      <c r="AM523" s="449"/>
      <c r="AN523" s="10"/>
      <c r="AO523" s="9"/>
      <c r="AP523" s="9"/>
      <c r="AQ523" s="9">
        <f>+FL_2($U$524,$T$522,$G$523,1200,9.28,-1*$F$524)</f>
        <v>-0.41936333972413792</v>
      </c>
      <c r="AR523" s="9"/>
      <c r="AS523" s="9"/>
      <c r="AT523" s="9"/>
      <c r="AU523" s="428"/>
      <c r="AV523" s="428"/>
      <c r="AW523" s="449" t="str">
        <f>IF(C523&gt;0,VLOOKUP(C523,Foundation_Calc!$A$2:$C$13,3,1),
IF(J523&gt;0,VLOOKUP(J523,Foundation_Calc!$A$2:$C$13,3,1),""))</f>
        <v/>
      </c>
      <c r="AX523" s="449" t="str">
        <f>IF(C523&gt;0,VLOOKUP(C523,Foundation_Calc!$E$2:$G$33,3,1),
IF(J523&gt;0,VLOOKUP(J523,Foundation_Calc!$E$2:$G$33,3,1),""))</f>
        <v/>
      </c>
      <c r="AY523" s="10" t="str">
        <f>IF(L523="","",
IF(AX523="PT",VLOOKUP(L523,Foundation_Calc!$K$79:$R$113,VLOOKUP(AW523,Foundation_Calc!$I$2:$J$8,2,FALSE),0),
IF(AX523="K",VLOOKUP(L523,Foundation_Calc!$K$117:$R$151,VLOOKUP(AW523,Foundation_Calc!$I$2:$J$8,2,FALSE),0),"")))</f>
        <v/>
      </c>
      <c r="AZ523" s="10" t="str">
        <f>IF(K523="","",
IF(AX523="PT",VLOOKUP(K523,Foundation_Calc!$K$79:$R$113,VLOOKUP(AW523,Foundation_Calc!$I$2:$J$8,2,FALSE),0),
IF(AX523="K",VLOOKUP(K523,Foundation_Calc!$K$117:$R$151,VLOOKUP(AW523,Foundation_Calc!$I$2:$J$8,2,FALSE),0),"")))</f>
        <v/>
      </c>
      <c r="BA523" s="495" t="str">
        <f t="shared" si="59"/>
        <v/>
      </c>
      <c r="BB523" s="495" t="str">
        <f t="shared" si="60"/>
        <v/>
      </c>
      <c r="BC523" s="495" t="str">
        <f t="shared" si="61"/>
        <v/>
      </c>
      <c r="BD523" s="513" t="str">
        <f>IF(AND(L523="",H523=""),"",
IF(H523="",Pole_Calc!A$9,
IF(H523="MP",Pole_Calc!A$10,
IF(H523="AnMP",Pole_Calc!A$11,
IF(H523="A",Pole_Calc!A$12,
IF(H523="S/A",Pole_Calc!A$13,
IF(H523="A/S",Pole_Calc!A$14,"Poner a mano")))))))</f>
        <v/>
      </c>
      <c r="BE523" s="429" t="s">
        <v>118</v>
      </c>
      <c r="BF523" s="290"/>
      <c r="BG523" s="290"/>
      <c r="BH523" s="290"/>
      <c r="BI523" s="290"/>
    </row>
    <row r="524" spans="1:61" ht="15.75" customHeight="1">
      <c r="A524" s="518"/>
      <c r="B524" s="450" t="s">
        <v>492</v>
      </c>
      <c r="C524" s="3">
        <f>+$C$522+$G$523</f>
        <v>42558.079999999994</v>
      </c>
      <c r="D524" s="83"/>
      <c r="E524" s="4"/>
      <c r="F524" s="4">
        <f>IF(C524&gt;0,VLOOKUP(C524,'ALIGNMENT TRACK'!$A$1:$K$81,9,1))</f>
        <v>0</v>
      </c>
      <c r="G524" s="6"/>
      <c r="H524" s="449" t="s">
        <v>131</v>
      </c>
      <c r="I524" s="4"/>
      <c r="J524" s="3"/>
      <c r="K524" s="449"/>
      <c r="L524" s="449" t="s">
        <v>158</v>
      </c>
      <c r="M524" s="449" t="str">
        <f>IF(L524="","",
IF(AX524="PT",VLOOKUP(L524,Foundation_Calc!$V$79:$X$113,VLOOKUP(AX524,Foundation_Calc!$I$10:$J$13,2,FALSE),0),
IF(AX524="K",VLOOKUP(L524,Foundation_Calc!$V$117:$X$151,VLOOKUP(AX524,Foundation_Calc!$I$10:$J$13,2,FALSE),0),"")))</f>
        <v>C4R</v>
      </c>
      <c r="N524" s="449" t="s">
        <v>133</v>
      </c>
      <c r="O524" s="449" t="s">
        <v>124</v>
      </c>
      <c r="P524" s="449"/>
      <c r="Q524" s="4"/>
      <c r="R524" s="6"/>
      <c r="S524" s="6"/>
      <c r="T524" s="4">
        <v>-15</v>
      </c>
      <c r="U524" s="4">
        <v>-35</v>
      </c>
      <c r="V524" s="4"/>
      <c r="W524" s="9">
        <v>1.4</v>
      </c>
      <c r="X524" s="9">
        <v>2.2999999999999998</v>
      </c>
      <c r="Y524" s="9"/>
      <c r="Z524" s="9">
        <v>0.5</v>
      </c>
      <c r="AA524" s="9"/>
      <c r="AB524" s="9"/>
      <c r="AC524" s="449"/>
      <c r="AD524" s="449"/>
      <c r="AE524" s="449"/>
      <c r="AF524" s="4"/>
      <c r="AG524" s="83"/>
      <c r="AH524" s="4"/>
      <c r="AI524" s="4"/>
      <c r="AJ524" s="449"/>
      <c r="AK524" s="449"/>
      <c r="AL524" s="449"/>
      <c r="AM524" s="449" t="s">
        <v>126</v>
      </c>
      <c r="AN524" s="10">
        <v>5.5</v>
      </c>
      <c r="AO524" s="9"/>
      <c r="AP524" s="9"/>
      <c r="AQ524" s="9"/>
      <c r="AR524" s="9"/>
      <c r="AS524" s="9"/>
      <c r="AT524" s="9">
        <f>+ab($U$524,$T$522,$U$526,$G$523,$G$525,-1*$F$524,1200)</f>
        <v>-8.9941166408812094</v>
      </c>
      <c r="AU524" s="428"/>
      <c r="AV524" s="428"/>
      <c r="AW524" s="449" t="str">
        <f>IF(C524&gt;0,VLOOKUP(C524,Foundation_Calc!$A$2:$C$13,3,1),
IF(J524&gt;0,VLOOKUP(J524,Foundation_Calc!$A$2:$C$13,3,1),""))</f>
        <v>Multi Soil</v>
      </c>
      <c r="AX524" s="449" t="str">
        <f>IF(C524&gt;0,VLOOKUP(C524,Foundation_Calc!$E$2:$G$33,3,1),
IF(J524&gt;0,VLOOKUP(J524,Foundation_Calc!$E$2:$G$33,3,1),""))</f>
        <v>PT</v>
      </c>
      <c r="AY524" s="10">
        <f>IF(L524="","",
IF(AX524="PT",VLOOKUP(L524,Foundation_Calc!$K$79:$R$113,VLOOKUP(AW524,Foundation_Calc!$I$2:$J$8,2,FALSE),0),
IF(AX524="K",VLOOKUP(L524,Foundation_Calc!$K$117:$R$151,VLOOKUP(AW524,Foundation_Calc!$I$2:$J$8,2,FALSE),0),"")))</f>
        <v>3.5</v>
      </c>
      <c r="AZ524" s="10" t="str">
        <f>IF(K524="","",
IF(AX524="PT",VLOOKUP(K524,Foundation_Calc!$K$79:$R$113,VLOOKUP(AW524,Foundation_Calc!$I$2:$J$8,2,FALSE),0),
IF(AX524="K",VLOOKUP(K524,Foundation_Calc!$K$117:$R$151,VLOOKUP(AW524,Foundation_Calc!$I$2:$J$8,2,FALSE),0),"")))</f>
        <v/>
      </c>
      <c r="BA524" s="495" t="str">
        <f t="shared" si="59"/>
        <v>ü</v>
      </c>
      <c r="BB524" s="495" t="str">
        <f t="shared" si="60"/>
        <v/>
      </c>
      <c r="BC524" s="495" t="str">
        <f t="shared" si="61"/>
        <v/>
      </c>
      <c r="BD524" s="513" t="str">
        <f>IF(AND(L524="",H524=""),"",
IF(H524="",Pole_Calc!A$9,
IF(H524="MP",Pole_Calc!A$10,
IF(H524="AnMP",Pole_Calc!A$11,
IF(H524="A",Pole_Calc!A$12,
IF(H524="S/A",Pole_Calc!A$13,
IF(H524="A/S",Pole_Calc!A$14,"Poner a mano")))))))</f>
        <v>App.7-V11I-P9.5.1.5</v>
      </c>
      <c r="BE524" s="429" t="s">
        <v>118</v>
      </c>
      <c r="BF524" s="289"/>
      <c r="BG524" s="289"/>
      <c r="BH524" s="290"/>
      <c r="BI524" s="289"/>
    </row>
    <row r="525" spans="1:61" ht="15.75" customHeight="1">
      <c r="A525" s="518"/>
      <c r="B525" s="450"/>
      <c r="C525" s="3"/>
      <c r="D525" s="83"/>
      <c r="E525" s="4"/>
      <c r="F525" s="4"/>
      <c r="G525" s="6">
        <v>55</v>
      </c>
      <c r="H525" s="449"/>
      <c r="I525" s="4"/>
      <c r="J525" s="3"/>
      <c r="K525" s="449"/>
      <c r="L525" s="449"/>
      <c r="M525" s="449" t="str">
        <f>IF(L525="","",
IF(AX525="PT",VLOOKUP(L525,Foundation_Calc!$V$79:$X$113,VLOOKUP(AX525,Foundation_Calc!$I$10:$J$13,2,FALSE),0),
IF(AX525="K",VLOOKUP(L525,Foundation_Calc!$V$117:$X$151,VLOOKUP(AX525,Foundation_Calc!$I$10:$J$13,2,FALSE),0),"")))</f>
        <v/>
      </c>
      <c r="N525" s="449"/>
      <c r="O525" s="449"/>
      <c r="P525" s="449"/>
      <c r="Q525" s="4"/>
      <c r="R525" s="6"/>
      <c r="S525" s="6"/>
      <c r="T525" s="4"/>
      <c r="U525" s="4"/>
      <c r="V525" s="4"/>
      <c r="W525" s="9"/>
      <c r="X525" s="9"/>
      <c r="Y525" s="9"/>
      <c r="Z525" s="9"/>
      <c r="AA525" s="9"/>
      <c r="AB525" s="9"/>
      <c r="AC525" s="449" t="str">
        <f t="shared" si="62"/>
        <v/>
      </c>
      <c r="AD525" s="449"/>
      <c r="AE525" s="449"/>
      <c r="AF525" s="4"/>
      <c r="AG525" s="83"/>
      <c r="AH525" s="4"/>
      <c r="AI525" s="4"/>
      <c r="AJ525" s="449"/>
      <c r="AK525" s="449"/>
      <c r="AL525" s="449"/>
      <c r="AM525" s="449"/>
      <c r="AN525" s="10"/>
      <c r="AO525" s="9"/>
      <c r="AP525" s="9"/>
      <c r="AQ525" s="9">
        <f>+FL_2($T$526,$U$524,$G$525,1200,9.28,-1*$F$526)</f>
        <v>-0.39733503251528207</v>
      </c>
      <c r="AR525" s="9"/>
      <c r="AS525" s="9"/>
      <c r="AT525" s="9"/>
      <c r="AU525" s="428"/>
      <c r="AV525" s="428"/>
      <c r="AW525" s="449" t="str">
        <f>IF(C525&gt;0,VLOOKUP(C525,Foundation_Calc!$A$2:$C$13,3,1),
IF(J525&gt;0,VLOOKUP(J525,Foundation_Calc!$A$2:$C$13,3,1),""))</f>
        <v/>
      </c>
      <c r="AX525" s="449" t="str">
        <f>IF(C525&gt;0,VLOOKUP(C525,Foundation_Calc!$E$2:$G$33,3,1),
IF(J525&gt;0,VLOOKUP(J525,Foundation_Calc!$E$2:$G$33,3,1),""))</f>
        <v/>
      </c>
      <c r="AY525" s="10" t="str">
        <f>IF(L525="","",
IF(AX525="PT",VLOOKUP(L525,Foundation_Calc!$K$79:$R$113,VLOOKUP(AW525,Foundation_Calc!$I$2:$J$8,2,FALSE),0),
IF(AX525="K",VLOOKUP(L525,Foundation_Calc!$K$117:$R$151,VLOOKUP(AW525,Foundation_Calc!$I$2:$J$8,2,FALSE),0),"")))</f>
        <v/>
      </c>
      <c r="AZ525" s="10" t="str">
        <f>IF(K525="","",
IF(AX525="PT",VLOOKUP(K525,Foundation_Calc!$K$79:$R$113,VLOOKUP(AW525,Foundation_Calc!$I$2:$J$8,2,FALSE),0),
IF(AX525="K",VLOOKUP(K525,Foundation_Calc!$K$117:$R$151,VLOOKUP(AW525,Foundation_Calc!$I$2:$J$8,2,FALSE),0),"")))</f>
        <v/>
      </c>
      <c r="BA525" s="495" t="str">
        <f t="shared" si="59"/>
        <v/>
      </c>
      <c r="BB525" s="495" t="str">
        <f t="shared" si="60"/>
        <v/>
      </c>
      <c r="BC525" s="495" t="str">
        <f t="shared" si="61"/>
        <v/>
      </c>
      <c r="BD525" s="513" t="str">
        <f>IF(AND(L525="",H525=""),"",
IF(H525="",Pole_Calc!A$9,
IF(H525="MP",Pole_Calc!A$10,
IF(H525="AnMP",Pole_Calc!A$11,
IF(H525="A",Pole_Calc!A$12,
IF(H525="S/A",Pole_Calc!A$13,
IF(H525="A/S",Pole_Calc!A$14,"Poner a mano")))))))</f>
        <v/>
      </c>
      <c r="BE525" s="429" t="s">
        <v>118</v>
      </c>
      <c r="BF525" s="290"/>
      <c r="BG525" s="290"/>
      <c r="BH525" s="290"/>
      <c r="BI525" s="290"/>
    </row>
    <row r="526" spans="1:61" ht="15.75" customHeight="1">
      <c r="A526" s="514"/>
      <c r="B526" s="450" t="s">
        <v>493</v>
      </c>
      <c r="C526" s="3">
        <f>+$C$524+$G$525</f>
        <v>42613.079999999994</v>
      </c>
      <c r="D526" s="83"/>
      <c r="E526" s="4"/>
      <c r="F526" s="4">
        <f>(455^2)/(C526-42613.24)</f>
        <v>-1293906.2499717567</v>
      </c>
      <c r="G526" s="6"/>
      <c r="H526" s="449" t="s">
        <v>131</v>
      </c>
      <c r="I526" s="4"/>
      <c r="J526" s="3"/>
      <c r="K526" s="449"/>
      <c r="L526" s="449" t="s">
        <v>158</v>
      </c>
      <c r="M526" s="449" t="str">
        <f>IF(L526="","",
IF(AX526="PT",VLOOKUP(L526,Foundation_Calc!$V$79:$X$113,VLOOKUP(AX526,Foundation_Calc!$I$10:$J$13,2,FALSE),0),
IF(AX526="K",VLOOKUP(L526,Foundation_Calc!$V$117:$X$151,VLOOKUP(AX526,Foundation_Calc!$I$10:$J$13,2,FALSE),0),"")))</f>
        <v>C4R</v>
      </c>
      <c r="N526" s="449" t="s">
        <v>134</v>
      </c>
      <c r="O526" s="449" t="s">
        <v>133</v>
      </c>
      <c r="P526" s="449"/>
      <c r="Q526" s="4"/>
      <c r="R526" s="6"/>
      <c r="S526" s="6"/>
      <c r="T526" s="4">
        <v>35</v>
      </c>
      <c r="U526" s="4">
        <v>15</v>
      </c>
      <c r="V526" s="4"/>
      <c r="W526" s="9">
        <v>1.4</v>
      </c>
      <c r="X526" s="9">
        <v>2.2999999999999998</v>
      </c>
      <c r="Y526" s="9"/>
      <c r="Z526" s="9"/>
      <c r="AA526" s="9">
        <v>0.5</v>
      </c>
      <c r="AB526" s="9"/>
      <c r="AC526" s="449" t="str">
        <f t="shared" si="62"/>
        <v>PH</v>
      </c>
      <c r="AD526" s="449"/>
      <c r="AE526" s="449"/>
      <c r="AF526" s="4"/>
      <c r="AG526" s="83"/>
      <c r="AH526" s="4"/>
      <c r="AI526" s="4"/>
      <c r="AJ526" s="449"/>
      <c r="AK526" s="449"/>
      <c r="AL526" s="449"/>
      <c r="AM526" s="449" t="s">
        <v>126</v>
      </c>
      <c r="AN526" s="10">
        <v>5.5</v>
      </c>
      <c r="AO526" s="9"/>
      <c r="AP526" s="9"/>
      <c r="AQ526" s="9"/>
      <c r="AR526" s="9"/>
      <c r="AS526" s="9"/>
      <c r="AT526" s="9">
        <f>+ab($T$526,$T$524,$T$528,$G$525,$G$527,-1*$F$526,1200)</f>
        <v>9.928601518442262</v>
      </c>
      <c r="AU526" s="428"/>
      <c r="AV526" s="428"/>
      <c r="AW526" s="449" t="str">
        <f>IF(C526&gt;0,VLOOKUP(C526,Foundation_Calc!$A$2:$C$13,3,1),
IF(J526&gt;0,VLOOKUP(J526,Foundation_Calc!$A$2:$C$13,3,1),""))</f>
        <v>Multi Soil</v>
      </c>
      <c r="AX526" s="449" t="str">
        <f>IF(C526&gt;0,VLOOKUP(C526,Foundation_Calc!$E$2:$G$33,3,1),
IF(J526&gt;0,VLOOKUP(J526,Foundation_Calc!$E$2:$G$33,3,1),""))</f>
        <v>PT</v>
      </c>
      <c r="AY526" s="10">
        <f>IF(L526="","",
IF(AX526="PT",VLOOKUP(L526,Foundation_Calc!$K$79:$R$113,VLOOKUP(AW526,Foundation_Calc!$I$2:$J$8,2,FALSE),0),
IF(AX526="K",VLOOKUP(L526,Foundation_Calc!$K$117:$R$151,VLOOKUP(AW526,Foundation_Calc!$I$2:$J$8,2,FALSE),0),"")))</f>
        <v>3.5</v>
      </c>
      <c r="AZ526" s="10" t="str">
        <f>IF(K526="","",
IF(AX526="PT",VLOOKUP(K526,Foundation_Calc!$K$79:$R$113,VLOOKUP(AW526,Foundation_Calc!$I$2:$J$8,2,FALSE),0),
IF(AX526="K",VLOOKUP(K526,Foundation_Calc!$K$117:$R$151,VLOOKUP(AW526,Foundation_Calc!$I$2:$J$8,2,FALSE),0),"")))</f>
        <v/>
      </c>
      <c r="BA526" s="495" t="str">
        <f t="shared" si="59"/>
        <v>ü</v>
      </c>
      <c r="BB526" s="495" t="str">
        <f t="shared" si="60"/>
        <v/>
      </c>
      <c r="BC526" s="495" t="str">
        <f t="shared" si="61"/>
        <v/>
      </c>
      <c r="BD526" s="513" t="str">
        <f>IF(AND(L526="",H526=""),"",
IF(H526="",Pole_Calc!A$9,
IF(H526="MP",Pole_Calc!A$10,
IF(H526="AnMP",Pole_Calc!A$11,
IF(H526="A",Pole_Calc!A$12,
IF(H526="S/A",Pole_Calc!A$13,
IF(H526="A/S",Pole_Calc!A$14,"Poner a mano")))))))</f>
        <v>App.7-V11I-P9.5.1.5</v>
      </c>
      <c r="BE526" s="429" t="s">
        <v>118</v>
      </c>
      <c r="BF526" s="289"/>
      <c r="BG526" s="289"/>
      <c r="BH526" s="290"/>
      <c r="BI526" s="289"/>
    </row>
    <row r="527" spans="1:61" ht="15.75" customHeight="1">
      <c r="A527" s="514"/>
      <c r="B527" s="450"/>
      <c r="C527" s="3"/>
      <c r="D527" s="83"/>
      <c r="E527" s="4"/>
      <c r="F527" s="4"/>
      <c r="G527" s="6">
        <v>55</v>
      </c>
      <c r="H527" s="449"/>
      <c r="I527" s="4"/>
      <c r="J527" s="3"/>
      <c r="K527" s="449"/>
      <c r="L527" s="449"/>
      <c r="M527" s="449" t="str">
        <f>IF(L527="","",
IF(AX527="PT",VLOOKUP(L527,Foundation_Calc!$V$79:$X$113,VLOOKUP(AX527,Foundation_Calc!$I$10:$J$13,2,FALSE),0),
IF(AX527="K",VLOOKUP(L527,Foundation_Calc!$V$117:$X$151,VLOOKUP(AX527,Foundation_Calc!$I$10:$J$13,2,FALSE),0),"")))</f>
        <v/>
      </c>
      <c r="N527" s="449"/>
      <c r="O527" s="449"/>
      <c r="P527" s="449"/>
      <c r="Q527" s="4"/>
      <c r="R527" s="6"/>
      <c r="S527" s="6"/>
      <c r="T527" s="4"/>
      <c r="U527" s="4"/>
      <c r="V527" s="4"/>
      <c r="W527" s="9"/>
      <c r="X527" s="9"/>
      <c r="Y527" s="9"/>
      <c r="Z527" s="9"/>
      <c r="AA527" s="9"/>
      <c r="AB527" s="9"/>
      <c r="AC527" s="449" t="str">
        <f t="shared" si="62"/>
        <v/>
      </c>
      <c r="AD527" s="449"/>
      <c r="AE527" s="449"/>
      <c r="AF527" s="4"/>
      <c r="AG527" s="83"/>
      <c r="AH527" s="4"/>
      <c r="AI527" s="4"/>
      <c r="AJ527" s="449"/>
      <c r="AK527" s="449"/>
      <c r="AL527" s="449"/>
      <c r="AM527" s="449"/>
      <c r="AN527" s="10"/>
      <c r="AO527" s="9"/>
      <c r="AP527" s="9"/>
      <c r="AQ527" s="9">
        <f>+FL_1($T$528,$T$526,$G$527,1200,9.28,-1*$F$528)</f>
        <v>0.51569217685221025</v>
      </c>
      <c r="AR527" s="9"/>
      <c r="AS527" s="9"/>
      <c r="AT527" s="9"/>
      <c r="AU527" s="428"/>
      <c r="AV527" s="428"/>
      <c r="AW527" s="449" t="str">
        <f>IF(C527&gt;0,VLOOKUP(C527,Foundation_Calc!$A$2:$C$13,3,1),
IF(J527&gt;0,VLOOKUP(J527,Foundation_Calc!$A$2:$C$13,3,1),""))</f>
        <v/>
      </c>
      <c r="AX527" s="449" t="str">
        <f>IF(C527&gt;0,VLOOKUP(C527,Foundation_Calc!$E$2:$G$33,3,1),
IF(J527&gt;0,VLOOKUP(J527,Foundation_Calc!$E$2:$G$33,3,1),""))</f>
        <v/>
      </c>
      <c r="AY527" s="10" t="str">
        <f>IF(L527="","",
IF(AX527="PT",VLOOKUP(L527,Foundation_Calc!$K$79:$R$113,VLOOKUP(AW527,Foundation_Calc!$I$2:$J$8,2,FALSE),0),
IF(AX527="K",VLOOKUP(L527,Foundation_Calc!$K$117:$R$151,VLOOKUP(AW527,Foundation_Calc!$I$2:$J$8,2,FALSE),0),"")))</f>
        <v/>
      </c>
      <c r="AZ527" s="10" t="str">
        <f>IF(K527="","",
IF(AX527="PT",VLOOKUP(K527,Foundation_Calc!$K$79:$R$113,VLOOKUP(AW527,Foundation_Calc!$I$2:$J$8,2,FALSE),0),
IF(AX527="K",VLOOKUP(K527,Foundation_Calc!$K$117:$R$151,VLOOKUP(AW527,Foundation_Calc!$I$2:$J$8,2,FALSE),0),"")))</f>
        <v/>
      </c>
      <c r="BA527" s="495" t="str">
        <f t="shared" si="59"/>
        <v/>
      </c>
      <c r="BB527" s="495" t="str">
        <f t="shared" si="60"/>
        <v/>
      </c>
      <c r="BC527" s="495" t="str">
        <f t="shared" si="61"/>
        <v/>
      </c>
      <c r="BD527" s="513" t="str">
        <f>IF(AND(L527="",H527=""),"",
IF(H527="",Pole_Calc!A$9,
IF(H527="MP",Pole_Calc!A$10,
IF(H527="AnMP",Pole_Calc!A$11,
IF(H527="A",Pole_Calc!A$12,
IF(H527="S/A",Pole_Calc!A$13,
IF(H527="A/S",Pole_Calc!A$14,"Poner a mano")))))))</f>
        <v/>
      </c>
      <c r="BE527" s="429" t="s">
        <v>118</v>
      </c>
      <c r="BF527" s="290"/>
      <c r="BG527" s="290"/>
      <c r="BH527" s="290"/>
      <c r="BI527" s="290"/>
    </row>
    <row r="528" spans="1:61" ht="15.75" customHeight="1">
      <c r="A528" s="514"/>
      <c r="B528" s="450" t="s">
        <v>494</v>
      </c>
      <c r="C528" s="3">
        <f>+$C$526+$G$527-0.03</f>
        <v>42668.049999999996</v>
      </c>
      <c r="D528" s="83"/>
      <c r="E528" s="4"/>
      <c r="F528" s="4">
        <f>(455^2)/(C528-42613.24)</f>
        <v>3777.1392081738513</v>
      </c>
      <c r="G528" s="6"/>
      <c r="H528" s="449" t="s">
        <v>121</v>
      </c>
      <c r="I528" s="4" t="s">
        <v>122</v>
      </c>
      <c r="J528" s="3"/>
      <c r="K528" s="449"/>
      <c r="L528" s="449" t="s">
        <v>151</v>
      </c>
      <c r="M528" s="449" t="str">
        <f>IF(L528="","",
IF(AX528="PT",VLOOKUP(L528,Foundation_Calc!$V$79:$X$113,VLOOKUP(AX528,Foundation_Calc!$I$10:$J$13,2,FALSE),0),
IF(AX528="K",VLOOKUP(L528,Foundation_Calc!$V$117:$X$151,VLOOKUP(AX528,Foundation_Calc!$I$10:$J$13,2,FALSE),0),"")))</f>
        <v>C4R</v>
      </c>
      <c r="N528" s="449" t="s">
        <v>124</v>
      </c>
      <c r="O528" s="449"/>
      <c r="P528" s="449"/>
      <c r="Q528" s="4"/>
      <c r="R528" s="6"/>
      <c r="S528" s="6"/>
      <c r="T528" s="4">
        <v>-20</v>
      </c>
      <c r="U528" s="4"/>
      <c r="V528" s="4"/>
      <c r="W528" s="572">
        <v>1.2</v>
      </c>
      <c r="X528" s="9"/>
      <c r="Y528" s="9"/>
      <c r="Z528" s="9"/>
      <c r="AA528" s="9"/>
      <c r="AB528" s="9"/>
      <c r="AC528" s="449" t="str">
        <f t="shared" si="62"/>
        <v>PH</v>
      </c>
      <c r="AD528" s="449"/>
      <c r="AE528" s="449"/>
      <c r="AF528" s="4"/>
      <c r="AG528" s="83"/>
      <c r="AH528" s="4"/>
      <c r="AI528" s="4"/>
      <c r="AJ528" s="449"/>
      <c r="AK528" s="449"/>
      <c r="AL528" s="449"/>
      <c r="AM528" s="449" t="s">
        <v>126</v>
      </c>
      <c r="AN528" s="10">
        <v>5.5</v>
      </c>
      <c r="AO528" s="9"/>
      <c r="AP528" s="9"/>
      <c r="AQ528" s="9"/>
      <c r="AR528" s="9"/>
      <c r="AS528" s="9"/>
      <c r="AT528" s="9">
        <f>+ab($T$528,$T$526,$T$530,$G$527,$G$529,-1*$F$528,1200)</f>
        <v>-8.5000009239585683</v>
      </c>
      <c r="AU528" s="428"/>
      <c r="AV528" s="428"/>
      <c r="AW528" s="449" t="str">
        <f>IF(C528&gt;0,VLOOKUP(C528,Foundation_Calc!$A$2:$C$13,3,1),
IF(J528&gt;0,VLOOKUP(J528,Foundation_Calc!$A$2:$C$13,3,1),""))</f>
        <v>Multi Soil</v>
      </c>
      <c r="AX528" s="449" t="str">
        <f>IF(C528&gt;0,VLOOKUP(C528,Foundation_Calc!$E$2:$G$33,3,1),
IF(J528&gt;0,VLOOKUP(J528,Foundation_Calc!$E$2:$G$33,3,1),""))</f>
        <v>PT</v>
      </c>
      <c r="AY528" s="10">
        <f>IF(L528="","",
IF(AX528="PT",VLOOKUP(L528,Foundation_Calc!$K$79:$R$113,VLOOKUP(AW528,Foundation_Calc!$I$2:$J$8,2,FALSE),0),
IF(AX528="K",VLOOKUP(L528,Foundation_Calc!$K$117:$R$151,VLOOKUP(AW528,Foundation_Calc!$I$2:$J$8,2,FALSE),0),"")))</f>
        <v>3.5</v>
      </c>
      <c r="AZ528" s="10" t="str">
        <f>IF(K528="","",
IF(AX528="PT",VLOOKUP(K528,Foundation_Calc!$K$79:$R$113,VLOOKUP(AW528,Foundation_Calc!$I$2:$J$8,2,FALSE),0),
IF(AX528="K",VLOOKUP(K528,Foundation_Calc!$K$117:$R$151,VLOOKUP(AW528,Foundation_Calc!$I$2:$J$8,2,FALSE),0),"")))</f>
        <v/>
      </c>
      <c r="BA528" s="495" t="str">
        <f t="shared" si="59"/>
        <v>ü</v>
      </c>
      <c r="BB528" s="495" t="str">
        <f t="shared" si="60"/>
        <v/>
      </c>
      <c r="BC528" s="495" t="str">
        <f t="shared" si="61"/>
        <v/>
      </c>
      <c r="BD528" s="513" t="str">
        <f>IF(AND(L528="",H528=""),"",
IF(H528="",Pole_Calc!A$9,
IF(H528="MP",Pole_Calc!A$10,
IF(H528="AnMP",Pole_Calc!A$11,
IF(H528="A",Pole_Calc!A$12,
IF(H528="S/A",Pole_Calc!A$13,
IF(H528="A/S",Pole_Calc!A$14,"Poner a mano")))))))</f>
        <v>App.7-V11I-P9.5.1.6</v>
      </c>
      <c r="BE528" s="429" t="s">
        <v>118</v>
      </c>
      <c r="BF528" s="289"/>
      <c r="BG528" s="289"/>
      <c r="BH528" s="290"/>
      <c r="BI528" s="289"/>
    </row>
    <row r="529" spans="1:61" ht="15.75" customHeight="1">
      <c r="A529" s="514"/>
      <c r="B529" s="450"/>
      <c r="C529" s="3"/>
      <c r="D529" s="83"/>
      <c r="E529" s="4"/>
      <c r="F529" s="4"/>
      <c r="G529" s="6">
        <v>53</v>
      </c>
      <c r="H529" s="449"/>
      <c r="I529" s="4"/>
      <c r="J529" s="3">
        <f>C528+7.5</f>
        <v>42675.549999999996</v>
      </c>
      <c r="K529" s="449" t="s">
        <v>117</v>
      </c>
      <c r="L529" s="449"/>
      <c r="M529" s="449" t="str">
        <f>IF(L529="","",
IF(AX529="PT",VLOOKUP(L529,Foundation_Calc!$V$79:$X$113,VLOOKUP(AX529,Foundation_Calc!$I$10:$J$13,2,FALSE),0),
IF(AX529="K",VLOOKUP(L529,Foundation_Calc!$V$117:$X$151,VLOOKUP(AX529,Foundation_Calc!$I$10:$J$13,2,FALSE),0),"")))</f>
        <v/>
      </c>
      <c r="N529" s="449"/>
      <c r="O529" s="449"/>
      <c r="P529" s="449"/>
      <c r="Q529" s="4"/>
      <c r="R529" s="6"/>
      <c r="S529" s="6"/>
      <c r="T529" s="4"/>
      <c r="U529" s="4"/>
      <c r="V529" s="4"/>
      <c r="W529" s="572"/>
      <c r="X529" s="9"/>
      <c r="Y529" s="9"/>
      <c r="Z529" s="9"/>
      <c r="AA529" s="9"/>
      <c r="AB529" s="9"/>
      <c r="AC529" s="449" t="str">
        <f t="shared" si="62"/>
        <v/>
      </c>
      <c r="AD529" s="449"/>
      <c r="AE529" s="449"/>
      <c r="AF529" s="4"/>
      <c r="AG529" s="83"/>
      <c r="AH529" s="4"/>
      <c r="AI529" s="4"/>
      <c r="AJ529" s="449"/>
      <c r="AK529" s="449"/>
      <c r="AL529" s="449"/>
      <c r="AM529" s="449"/>
      <c r="AN529" s="10"/>
      <c r="AO529" s="9"/>
      <c r="AP529" s="9"/>
      <c r="AQ529" s="9">
        <f>+FL_2($T$530,$T$528,$G$529,1200,9.28,-1*$F$530)</f>
        <v>-0.37412667692766566</v>
      </c>
      <c r="AR529" s="9"/>
      <c r="AS529" s="9"/>
      <c r="AT529" s="9"/>
      <c r="AU529" s="428"/>
      <c r="AV529" s="428"/>
      <c r="AW529" s="449" t="str">
        <f>IF(C529&gt;0,VLOOKUP(C529,Foundation_Calc!$A$2:$C$13,3,1),
IF(J529&gt;0,VLOOKUP(J529,Foundation_Calc!$A$2:$C$13,3,1),""))</f>
        <v>Multi Soil</v>
      </c>
      <c r="AX529" s="449" t="str">
        <f>IF(C529&gt;0,VLOOKUP(C529,Foundation_Calc!$E$2:$G$33,3,1),
IF(J529&gt;0,VLOOKUP(J529,Foundation_Calc!$E$2:$G$33,3,1),""))</f>
        <v>PT</v>
      </c>
      <c r="AY529" s="10" t="str">
        <f>IF(L529="","",
IF(AX529="PT",VLOOKUP(L529,Foundation_Calc!$K$79:$R$113,VLOOKUP(AW529,Foundation_Calc!$I$2:$J$8,2,FALSE),0),
IF(AX529="K",VLOOKUP(L529,Foundation_Calc!$K$117:$R$151,VLOOKUP(AW529,Foundation_Calc!$I$2:$J$8,2,FALSE),0),"")))</f>
        <v/>
      </c>
      <c r="AZ529" s="10">
        <f>IF(K529="","",
IF(AX529="PT",VLOOKUP(K529,Foundation_Calc!$K$79:$R$113,VLOOKUP(AW529,Foundation_Calc!$I$2:$J$8,2,FALSE),0),
IF(AX529="K",VLOOKUP(K529,Foundation_Calc!$K$117:$R$151,VLOOKUP(AW529,Foundation_Calc!$I$2:$J$8,2,FALSE),0),"")))</f>
        <v>3.9</v>
      </c>
      <c r="BA529" s="495" t="str">
        <f t="shared" si="59"/>
        <v/>
      </c>
      <c r="BB529" s="495" t="str">
        <f t="shared" si="60"/>
        <v>ü</v>
      </c>
      <c r="BC529" s="495" t="str">
        <f t="shared" si="61"/>
        <v/>
      </c>
      <c r="BD529" s="513" t="str">
        <f>IF(AND(L529="",H529=""),"",
IF(H529="",Pole_Calc!A$9,
IF(H529="MP",Pole_Calc!A$10,
IF(H529="AnMP",Pole_Calc!A$11,
IF(H529="A",Pole_Calc!A$12,
IF(H529="S/A",Pole_Calc!A$13,
IF(H529="A/S",Pole_Calc!A$14,"Poner a mano")))))))</f>
        <v/>
      </c>
      <c r="BE529" s="429" t="s">
        <v>118</v>
      </c>
      <c r="BF529" s="290"/>
      <c r="BG529" s="290"/>
      <c r="BH529" s="290"/>
      <c r="BI529" s="290"/>
    </row>
    <row r="530" spans="1:61" ht="15.75" customHeight="1">
      <c r="A530" s="514"/>
      <c r="B530" s="450" t="s">
        <v>495</v>
      </c>
      <c r="C530" s="3">
        <f>+$C$528+$G$529</f>
        <v>42721.049999999996</v>
      </c>
      <c r="D530" s="83"/>
      <c r="E530" s="4"/>
      <c r="F530" s="4">
        <f>IF(C530&gt;0,VLOOKUP(C530,'ALIGNMENT TRACK'!$A$1:$K$81,9,1))</f>
        <v>2300</v>
      </c>
      <c r="G530" s="6"/>
      <c r="H530" s="449"/>
      <c r="I530" s="4"/>
      <c r="J530" s="3"/>
      <c r="K530" s="449"/>
      <c r="L530" s="449" t="s">
        <v>158</v>
      </c>
      <c r="M530" s="449" t="str">
        <f>IF(L530="","",
IF(AX530="PT",VLOOKUP(L530,Foundation_Calc!$V$79:$X$113,VLOOKUP(AX530,Foundation_Calc!$I$10:$J$13,2,FALSE),0),
IF(AX530="K",VLOOKUP(L530,Foundation_Calc!$V$117:$X$151,VLOOKUP(AX530,Foundation_Calc!$I$10:$J$13,2,FALSE),0),"")))</f>
        <v>C4R</v>
      </c>
      <c r="N530" s="449" t="s">
        <v>124</v>
      </c>
      <c r="O530" s="449"/>
      <c r="P530" s="449"/>
      <c r="Q530" s="4"/>
      <c r="R530" s="6"/>
      <c r="S530" s="6"/>
      <c r="T530" s="4">
        <v>-30</v>
      </c>
      <c r="U530" s="4"/>
      <c r="V530" s="4"/>
      <c r="W530" s="572">
        <v>1</v>
      </c>
      <c r="X530" s="9"/>
      <c r="Y530" s="9"/>
      <c r="Z530" s="9"/>
      <c r="AA530" s="9"/>
      <c r="AB530" s="9"/>
      <c r="AC530" s="449" t="str">
        <f t="shared" si="62"/>
        <v>PHQ</v>
      </c>
      <c r="AD530" s="449"/>
      <c r="AE530" s="449"/>
      <c r="AF530" s="4"/>
      <c r="AG530" s="83"/>
      <c r="AH530" s="4"/>
      <c r="AI530" s="4"/>
      <c r="AJ530" s="449"/>
      <c r="AK530" s="449"/>
      <c r="AL530" s="449"/>
      <c r="AM530" s="449" t="s">
        <v>126</v>
      </c>
      <c r="AN530" s="10">
        <v>5.5</v>
      </c>
      <c r="AO530" s="9"/>
      <c r="AP530" s="9"/>
      <c r="AQ530" s="9"/>
      <c r="AR530" s="9"/>
      <c r="AS530" s="9"/>
      <c r="AT530" s="9">
        <f>+ab($T$530,$T$528,$T$532,$G$529,$G$531,-1*$F$530,1200)</f>
        <v>-7.6513652435162012</v>
      </c>
      <c r="AU530" s="428"/>
      <c r="AV530" s="428"/>
      <c r="AW530" s="449" t="str">
        <f>IF(C530&gt;0,VLOOKUP(C530,Foundation_Calc!$A$2:$C$13,3,1),
IF(J530&gt;0,VLOOKUP(J530,Foundation_Calc!$A$2:$C$13,3,1),""))</f>
        <v>Multi Soil</v>
      </c>
      <c r="AX530" s="449" t="str">
        <f>IF(C530&gt;0,VLOOKUP(C530,Foundation_Calc!$E$2:$G$33,3,1),
IF(J530&gt;0,VLOOKUP(J530,Foundation_Calc!$E$2:$G$33,3,1),""))</f>
        <v>PT</v>
      </c>
      <c r="AY530" s="10">
        <f>IF(L530="","",
IF(AX530="PT",VLOOKUP(L530,Foundation_Calc!$K$79:$R$113,VLOOKUP(AW530,Foundation_Calc!$I$2:$J$8,2,FALSE),0),
IF(AX530="K",VLOOKUP(L530,Foundation_Calc!$K$117:$R$151,VLOOKUP(AW530,Foundation_Calc!$I$2:$J$8,2,FALSE),0),"")))</f>
        <v>3.5</v>
      </c>
      <c r="AZ530" s="10" t="str">
        <f>IF(K530="","",
IF(AX530="PT",VLOOKUP(K530,Foundation_Calc!$K$79:$R$113,VLOOKUP(AW530,Foundation_Calc!$I$2:$J$8,2,FALSE),0),
IF(AX530="K",VLOOKUP(K530,Foundation_Calc!$K$117:$R$151,VLOOKUP(AW530,Foundation_Calc!$I$2:$J$8,2,FALSE),0),"")))</f>
        <v/>
      </c>
      <c r="BA530" s="495" t="str">
        <f t="shared" si="59"/>
        <v>ü</v>
      </c>
      <c r="BB530" s="495" t="str">
        <f t="shared" si="60"/>
        <v/>
      </c>
      <c r="BC530" s="495" t="str">
        <f t="shared" si="61"/>
        <v/>
      </c>
      <c r="BD530" s="513" t="str">
        <f>IF(AND(L530="",H530=""),"",
IF(H530="",Pole_Calc!A$9,
IF(H530="MP",Pole_Calc!A$10,
IF(H530="AnMP",Pole_Calc!A$11,
IF(H530="A",Pole_Calc!A$12,
IF(H530="S/A",Pole_Calc!A$13,
IF(H530="A/S",Pole_Calc!A$14,"Poner a mano")))))))</f>
        <v>App.7-V11I-P9.5.1.1</v>
      </c>
      <c r="BE530" s="429" t="s">
        <v>118</v>
      </c>
      <c r="BF530" s="289"/>
      <c r="BG530" s="289"/>
      <c r="BH530" s="290"/>
      <c r="BI530" s="289"/>
    </row>
    <row r="531" spans="1:61" ht="15.75" customHeight="1">
      <c r="A531" s="514" t="s">
        <v>193</v>
      </c>
      <c r="B531" s="450"/>
      <c r="C531" s="3"/>
      <c r="D531" s="83"/>
      <c r="E531" s="4"/>
      <c r="F531" s="4"/>
      <c r="G531" s="6">
        <v>53</v>
      </c>
      <c r="H531" s="449"/>
      <c r="I531" s="4"/>
      <c r="J531" s="3"/>
      <c r="K531" s="449"/>
      <c r="L531" s="449"/>
      <c r="M531" s="449" t="str">
        <f>IF(L531="","",
IF(AX531="PT",VLOOKUP(L531,Foundation_Calc!$V$79:$X$113,VLOOKUP(AX531,Foundation_Calc!$I$10:$J$13,2,FALSE),0),
IF(AX531="K",VLOOKUP(L531,Foundation_Calc!$V$117:$X$151,VLOOKUP(AX531,Foundation_Calc!$I$10:$J$13,2,FALSE),0),"")))</f>
        <v/>
      </c>
      <c r="N531" s="449"/>
      <c r="O531" s="449"/>
      <c r="P531" s="449"/>
      <c r="Q531" s="4"/>
      <c r="R531" s="6"/>
      <c r="S531" s="6"/>
      <c r="T531" s="4"/>
      <c r="U531" s="4"/>
      <c r="V531" s="4"/>
      <c r="W531" s="572"/>
      <c r="X531" s="9"/>
      <c r="Y531" s="9"/>
      <c r="Z531" s="9"/>
      <c r="AA531" s="9"/>
      <c r="AB531" s="9"/>
      <c r="AC531" s="449" t="str">
        <f t="shared" si="62"/>
        <v/>
      </c>
      <c r="AD531" s="449"/>
      <c r="AE531" s="449"/>
      <c r="AF531" s="4"/>
      <c r="AG531" s="83"/>
      <c r="AH531" s="4"/>
      <c r="AI531" s="4"/>
      <c r="AJ531" s="449"/>
      <c r="AK531" s="449"/>
      <c r="AL531" s="449"/>
      <c r="AM531" s="449"/>
      <c r="AN531" s="10"/>
      <c r="AO531" s="9"/>
      <c r="AP531" s="9"/>
      <c r="AQ531" s="9">
        <f>+FL_2($T$532,$T$530,$G$531,1200,9.28,-1*$F$532)</f>
        <v>-0.43712115078263714</v>
      </c>
      <c r="AR531" s="9"/>
      <c r="AS531" s="9"/>
      <c r="AT531" s="9"/>
      <c r="AU531" s="428"/>
      <c r="AV531" s="428"/>
      <c r="AW531" s="449" t="str">
        <f>IF(C531&gt;0,VLOOKUP(C531,Foundation_Calc!$A$2:$C$13,3,1),
IF(J531&gt;0,VLOOKUP(J531,Foundation_Calc!$A$2:$C$13,3,1),""))</f>
        <v/>
      </c>
      <c r="AX531" s="449" t="str">
        <f>IF(C531&gt;0,VLOOKUP(C531,Foundation_Calc!$E$2:$G$33,3,1),
IF(J531&gt;0,VLOOKUP(J531,Foundation_Calc!$E$2:$G$33,3,1),""))</f>
        <v/>
      </c>
      <c r="AY531" s="10" t="str">
        <f>IF(L531="","",
IF(AX531="PT",VLOOKUP(L531,Foundation_Calc!$K$79:$R$113,VLOOKUP(AW531,Foundation_Calc!$I$2:$J$8,2,FALSE),0),
IF(AX531="K",VLOOKUP(L531,Foundation_Calc!$K$117:$R$151,VLOOKUP(AW531,Foundation_Calc!$I$2:$J$8,2,FALSE),0),"")))</f>
        <v/>
      </c>
      <c r="AZ531" s="10" t="str">
        <f>IF(K531="","",
IF(AX531="PT",VLOOKUP(K531,Foundation_Calc!$K$79:$R$113,VLOOKUP(AW531,Foundation_Calc!$I$2:$J$8,2,FALSE),0),
IF(AX531="K",VLOOKUP(K531,Foundation_Calc!$K$117:$R$151,VLOOKUP(AW531,Foundation_Calc!$I$2:$J$8,2,FALSE),0),"")))</f>
        <v/>
      </c>
      <c r="BA531" s="495" t="str">
        <f t="shared" si="59"/>
        <v/>
      </c>
      <c r="BB531" s="495" t="str">
        <f t="shared" si="60"/>
        <v/>
      </c>
      <c r="BC531" s="495" t="str">
        <f t="shared" si="61"/>
        <v/>
      </c>
      <c r="BD531" s="513" t="str">
        <f>IF(AND(L531="",H531=""),"",
IF(H531="",Pole_Calc!A$9,
IF(H531="MP",Pole_Calc!A$10,
IF(H531="AnMP",Pole_Calc!A$11,
IF(H531="A",Pole_Calc!A$12,
IF(H531="S/A",Pole_Calc!A$13,
IF(H531="A/S",Pole_Calc!A$14,"Poner a mano")))))))</f>
        <v/>
      </c>
      <c r="BE531" s="429" t="s">
        <v>118</v>
      </c>
      <c r="BF531" s="290"/>
      <c r="BG531" s="290"/>
      <c r="BH531" s="290"/>
      <c r="BI531" s="290"/>
    </row>
    <row r="532" spans="1:61" ht="15.75" customHeight="1">
      <c r="A532" s="514"/>
      <c r="B532" s="450" t="s">
        <v>496</v>
      </c>
      <c r="C532" s="3">
        <f>+$C$530+$G$531</f>
        <v>42774.049999999996</v>
      </c>
      <c r="D532" s="83"/>
      <c r="E532" s="4"/>
      <c r="F532" s="4">
        <f>-(455^2)/(C532-42853.3)</f>
        <v>2612.3028391164794</v>
      </c>
      <c r="G532" s="6"/>
      <c r="H532" s="449"/>
      <c r="I532" s="4"/>
      <c r="J532" s="3"/>
      <c r="K532" s="449"/>
      <c r="L532" s="449" t="s">
        <v>158</v>
      </c>
      <c r="M532" s="449" t="str">
        <f>IF(L532="","",
IF(AX532="PT",VLOOKUP(L532,Foundation_Calc!$V$79:$X$113,VLOOKUP(AX532,Foundation_Calc!$I$10:$J$13,2,FALSE),0),
IF(AX532="K",VLOOKUP(L532,Foundation_Calc!$V$117:$X$151,VLOOKUP(AX532,Foundation_Calc!$I$10:$J$13,2,FALSE),0),"")))</f>
        <v>C4R</v>
      </c>
      <c r="N532" s="449" t="s">
        <v>124</v>
      </c>
      <c r="O532" s="449"/>
      <c r="P532" s="449"/>
      <c r="Q532" s="4"/>
      <c r="R532" s="6"/>
      <c r="S532" s="6"/>
      <c r="T532" s="4">
        <v>-30</v>
      </c>
      <c r="U532" s="4"/>
      <c r="V532" s="4"/>
      <c r="W532" s="572">
        <v>1</v>
      </c>
      <c r="X532" s="9"/>
      <c r="Y532" s="9"/>
      <c r="Z532" s="9"/>
      <c r="AA532" s="9"/>
      <c r="AB532" s="9"/>
      <c r="AC532" s="449" t="str">
        <f t="shared" si="62"/>
        <v>PHQ</v>
      </c>
      <c r="AD532" s="449"/>
      <c r="AE532" s="449"/>
      <c r="AF532" s="4"/>
      <c r="AG532" s="83"/>
      <c r="AH532" s="4"/>
      <c r="AI532" s="4"/>
      <c r="AJ532" s="449"/>
      <c r="AK532" s="449"/>
      <c r="AL532" s="449"/>
      <c r="AM532" s="449" t="s">
        <v>126</v>
      </c>
      <c r="AN532" s="10">
        <v>5.5</v>
      </c>
      <c r="AO532" s="9"/>
      <c r="AP532" s="9"/>
      <c r="AQ532" s="9"/>
      <c r="AR532" s="9"/>
      <c r="AS532" s="9"/>
      <c r="AT532" s="9">
        <f>+ab($T$532,$T$530,$T$534,$G$531,$G$533,-1*$F$532,1200)</f>
        <v>-5.680489640327421</v>
      </c>
      <c r="AU532" s="428"/>
      <c r="AV532" s="428"/>
      <c r="AW532" s="449" t="str">
        <f>IF(C532&gt;0,VLOOKUP(C532,Foundation_Calc!$A$2:$C$13,3,1),
IF(J532&gt;0,VLOOKUP(J532,Foundation_Calc!$A$2:$C$13,3,1),""))</f>
        <v>Multi Soil</v>
      </c>
      <c r="AX532" s="449" t="str">
        <f>IF(C532&gt;0,VLOOKUP(C532,Foundation_Calc!$E$2:$G$33,3,1),
IF(J532&gt;0,VLOOKUP(J532,Foundation_Calc!$E$2:$G$33,3,1),""))</f>
        <v>PT</v>
      </c>
      <c r="AY532" s="10">
        <f>IF(L532="","",
IF(AX532="PT",VLOOKUP(L532,Foundation_Calc!$K$79:$R$113,VLOOKUP(AW532,Foundation_Calc!$I$2:$J$8,2,FALSE),0),
IF(AX532="K",VLOOKUP(L532,Foundation_Calc!$K$117:$R$151,VLOOKUP(AW532,Foundation_Calc!$I$2:$J$8,2,FALSE),0),"")))</f>
        <v>3.5</v>
      </c>
      <c r="AZ532" s="10" t="str">
        <f>IF(K532="","",
IF(AX532="PT",VLOOKUP(K532,Foundation_Calc!$K$79:$R$113,VLOOKUP(AW532,Foundation_Calc!$I$2:$J$8,2,FALSE),0),
IF(AX532="K",VLOOKUP(K532,Foundation_Calc!$K$117:$R$151,VLOOKUP(AW532,Foundation_Calc!$I$2:$J$8,2,FALSE),0),"")))</f>
        <v/>
      </c>
      <c r="BA532" s="495" t="str">
        <f t="shared" si="59"/>
        <v>ü</v>
      </c>
      <c r="BB532" s="495" t="str">
        <f t="shared" si="60"/>
        <v/>
      </c>
      <c r="BC532" s="495" t="str">
        <f t="shared" si="61"/>
        <v/>
      </c>
      <c r="BD532" s="513" t="str">
        <f>IF(AND(L532="",H532=""),"",
IF(H532="",Pole_Calc!A$9,
IF(H532="MP",Pole_Calc!A$10,
IF(H532="AnMP",Pole_Calc!A$11,
IF(H532="A",Pole_Calc!A$12,
IF(H532="S/A",Pole_Calc!A$13,
IF(H532="A/S",Pole_Calc!A$14,"Poner a mano")))))))</f>
        <v>App.7-V11I-P9.5.1.1</v>
      </c>
      <c r="BE532" s="429" t="s">
        <v>118</v>
      </c>
      <c r="BF532" s="289"/>
      <c r="BG532" s="289"/>
      <c r="BH532" s="290"/>
      <c r="BI532" s="289"/>
    </row>
    <row r="533" spans="1:61" ht="15.75" customHeight="1">
      <c r="A533" s="514" t="s">
        <v>193</v>
      </c>
      <c r="B533" s="450"/>
      <c r="C533" s="3"/>
      <c r="D533" s="83"/>
      <c r="E533" s="4"/>
      <c r="F533" s="4"/>
      <c r="G533" s="6">
        <v>31.4</v>
      </c>
      <c r="H533" s="449"/>
      <c r="I533" s="4"/>
      <c r="J533" s="3"/>
      <c r="K533" s="449"/>
      <c r="L533" s="449"/>
      <c r="M533" s="449" t="str">
        <f>IF(L533="","",
IF(AX533="PT",VLOOKUP(L533,Foundation_Calc!$V$79:$X$113,VLOOKUP(AX533,Foundation_Calc!$I$10:$J$13,2,FALSE),0),
IF(AX533="K",VLOOKUP(L533,Foundation_Calc!$V$117:$X$151,VLOOKUP(AX533,Foundation_Calc!$I$10:$J$13,2,FALSE),0),"")))</f>
        <v/>
      </c>
      <c r="N533" s="449"/>
      <c r="O533" s="449"/>
      <c r="P533" s="449"/>
      <c r="Q533" s="4"/>
      <c r="R533" s="6"/>
      <c r="S533" s="6"/>
      <c r="T533" s="4"/>
      <c r="U533" s="4"/>
      <c r="V533" s="4"/>
      <c r="W533" s="572"/>
      <c r="X533" s="9"/>
      <c r="Y533" s="9"/>
      <c r="Z533" s="9"/>
      <c r="AA533" s="9"/>
      <c r="AB533" s="9"/>
      <c r="AC533" s="449" t="str">
        <f t="shared" si="62"/>
        <v/>
      </c>
      <c r="AD533" s="449"/>
      <c r="AE533" s="449"/>
      <c r="AF533" s="4"/>
      <c r="AG533" s="83"/>
      <c r="AH533" s="4"/>
      <c r="AI533" s="4"/>
      <c r="AJ533" s="449"/>
      <c r="AK533" s="449"/>
      <c r="AL533" s="449"/>
      <c r="AM533" s="449"/>
      <c r="AN533" s="10"/>
      <c r="AO533" s="9"/>
      <c r="AP533" s="9"/>
      <c r="AQ533" s="9">
        <f>+FL_1($T$534,$T$532,$G$533,1200,9.28,-1*$F$534)</f>
        <v>0.25</v>
      </c>
      <c r="AR533" s="9"/>
      <c r="AS533" s="9"/>
      <c r="AT533" s="9"/>
      <c r="AU533" s="428"/>
      <c r="AV533" s="428"/>
      <c r="AW533" s="449" t="str">
        <f>IF(C533&gt;0,VLOOKUP(C533,Foundation_Calc!$A$2:$C$13,3,1),
IF(J533&gt;0,VLOOKUP(J533,Foundation_Calc!$A$2:$C$13,3,1),""))</f>
        <v/>
      </c>
      <c r="AX533" s="449" t="str">
        <f>IF(C533&gt;0,VLOOKUP(C533,Foundation_Calc!$E$2:$G$33,3,1),
IF(J533&gt;0,VLOOKUP(J533,Foundation_Calc!$E$2:$G$33,3,1),""))</f>
        <v/>
      </c>
      <c r="AY533" s="10" t="str">
        <f>IF(L533="","",
IF(AX533="PT",VLOOKUP(L533,Foundation_Calc!$K$79:$R$113,VLOOKUP(AW533,Foundation_Calc!$I$2:$J$8,2,FALSE),0),
IF(AX533="K",VLOOKUP(L533,Foundation_Calc!$K$117:$R$151,VLOOKUP(AW533,Foundation_Calc!$I$2:$J$8,2,FALSE),0),"")))</f>
        <v/>
      </c>
      <c r="AZ533" s="10" t="str">
        <f>IF(K533="","",
IF(AX533="PT",VLOOKUP(K533,Foundation_Calc!$K$79:$R$113,VLOOKUP(AW533,Foundation_Calc!$I$2:$J$8,2,FALSE),0),
IF(AX533="K",VLOOKUP(K533,Foundation_Calc!$K$117:$R$151,VLOOKUP(AW533,Foundation_Calc!$I$2:$J$8,2,FALSE),0),"")))</f>
        <v/>
      </c>
      <c r="BA533" s="495" t="str">
        <f t="shared" si="59"/>
        <v/>
      </c>
      <c r="BB533" s="495" t="str">
        <f t="shared" si="60"/>
        <v/>
      </c>
      <c r="BC533" s="495" t="str">
        <f t="shared" si="61"/>
        <v/>
      </c>
      <c r="BD533" s="513" t="str">
        <f>IF(AND(L533="",H533=""),"",
IF(H533="",Pole_Calc!A$9,
IF(H533="MP",Pole_Calc!A$10,
IF(H533="AnMP",Pole_Calc!A$11,
IF(H533="A",Pole_Calc!A$12,
IF(H533="S/A",Pole_Calc!A$13,
IF(H533="A/S",Pole_Calc!A$14,"Poner a mano")))))))</f>
        <v/>
      </c>
      <c r="BE533" s="429" t="s">
        <v>118</v>
      </c>
      <c r="BF533" s="290"/>
      <c r="BG533" s="290"/>
      <c r="BH533" s="290"/>
      <c r="BI533" s="290"/>
    </row>
    <row r="534" spans="1:61" ht="15.75" customHeight="1">
      <c r="A534" s="514"/>
      <c r="B534" s="450" t="s">
        <v>497</v>
      </c>
      <c r="C534" s="3">
        <f>+$C$532+$G$533</f>
        <v>42805.45</v>
      </c>
      <c r="D534" s="83"/>
      <c r="E534" s="4"/>
      <c r="F534" s="4">
        <f>-(455^2)/(C534-42853.3)</f>
        <v>4326.5412748166109</v>
      </c>
      <c r="G534" s="6"/>
      <c r="H534" s="449"/>
      <c r="I534" s="4"/>
      <c r="J534" s="3"/>
      <c r="K534" s="449"/>
      <c r="L534" s="449" t="s">
        <v>158</v>
      </c>
      <c r="M534" s="449" t="str">
        <f>IF(L534="","",
IF(AX534="PT",VLOOKUP(L534,Foundation_Calc!$V$79:$X$113,VLOOKUP(AX534,Foundation_Calc!$I$10:$J$13,2,FALSE),0),
IF(AX534="K",VLOOKUP(L534,Foundation_Calc!$V$117:$X$151,VLOOKUP(AX534,Foundation_Calc!$I$10:$J$13,2,FALSE),0),"")))</f>
        <v>C4R</v>
      </c>
      <c r="N534" s="449" t="s">
        <v>134</v>
      </c>
      <c r="O534" s="449"/>
      <c r="P534" s="449"/>
      <c r="Q534" s="4"/>
      <c r="R534" s="6"/>
      <c r="S534" s="6"/>
      <c r="T534" s="4">
        <v>25</v>
      </c>
      <c r="U534" s="4"/>
      <c r="V534" s="4"/>
      <c r="W534" s="572">
        <v>1</v>
      </c>
      <c r="X534" s="9"/>
      <c r="Y534" s="9"/>
      <c r="Z534" s="9"/>
      <c r="AA534" s="9"/>
      <c r="AB534" s="9"/>
      <c r="AC534" s="449" t="str">
        <f t="shared" si="62"/>
        <v>PHQ</v>
      </c>
      <c r="AD534" s="449"/>
      <c r="AE534" s="449"/>
      <c r="AF534" s="4"/>
      <c r="AG534" s="83"/>
      <c r="AH534" s="4"/>
      <c r="AI534" s="4"/>
      <c r="AJ534" s="449"/>
      <c r="AK534" s="449"/>
      <c r="AL534" s="449"/>
      <c r="AM534" s="449" t="s">
        <v>126</v>
      </c>
      <c r="AN534" s="10">
        <v>5.5</v>
      </c>
      <c r="AO534" s="9"/>
      <c r="AP534" s="9"/>
      <c r="AQ534" s="9"/>
      <c r="AR534" s="9"/>
      <c r="AS534" s="9"/>
      <c r="AT534" s="9">
        <f>+ab($T$534,$T$532,$T$538,$G$533,$G$535,-1*$F$534,1200)</f>
        <v>7.4199034785364821</v>
      </c>
      <c r="AU534" s="428"/>
      <c r="AV534" s="428"/>
      <c r="AW534" s="449" t="str">
        <f>IF(C534&gt;0,VLOOKUP(C534,Foundation_Calc!$A$2:$C$13,3,1),
IF(J534&gt;0,VLOOKUP(J534,Foundation_Calc!$A$2:$C$13,3,1),""))</f>
        <v>Multi Soil</v>
      </c>
      <c r="AX534" s="449" t="str">
        <f>IF(C534&gt;0,VLOOKUP(C534,Foundation_Calc!$E$2:$G$33,3,1),
IF(J534&gt;0,VLOOKUP(J534,Foundation_Calc!$E$2:$G$33,3,1),""))</f>
        <v>PT</v>
      </c>
      <c r="AY534" s="10">
        <f>IF(L534="","",
IF(AX534="PT",VLOOKUP(L534,Foundation_Calc!$K$79:$R$113,VLOOKUP(AW534,Foundation_Calc!$I$2:$J$8,2,FALSE),0),
IF(AX534="K",VLOOKUP(L534,Foundation_Calc!$K$117:$R$151,VLOOKUP(AW534,Foundation_Calc!$I$2:$J$8,2,FALSE),0),"")))</f>
        <v>3.5</v>
      </c>
      <c r="AZ534" s="10" t="str">
        <f>IF(K534="","",
IF(AX534="PT",VLOOKUP(K534,Foundation_Calc!$K$79:$R$113,VLOOKUP(AW534,Foundation_Calc!$I$2:$J$8,2,FALSE),0),
IF(AX534="K",VLOOKUP(K534,Foundation_Calc!$K$117:$R$151,VLOOKUP(AW534,Foundation_Calc!$I$2:$J$8,2,FALSE),0),"")))</f>
        <v/>
      </c>
      <c r="BA534" s="495" t="str">
        <f t="shared" ref="BA534:BA599" si="63">IF(AY534="","",IF(AY534&gt;0,"ü",""))</f>
        <v>ü</v>
      </c>
      <c r="BB534" s="495" t="str">
        <f t="shared" ref="BB534:BB599" si="64">IF(AZ534="","",IF(AZ534&gt;0,"ü",""))</f>
        <v/>
      </c>
      <c r="BC534" s="495" t="str">
        <f t="shared" ref="BC534:BC599" si="65">IF(M534="","",IF(M534="U.S.","ü",IF(M534="U.S. N.D.","ü","")))</f>
        <v/>
      </c>
      <c r="BD534" s="513" t="str">
        <f>IF(AND(L534="",H534=""),"",
IF(H534="",Pole_Calc!A$9,
IF(H534="MP",Pole_Calc!A$10,
IF(H534="AnMP",Pole_Calc!A$11,
IF(H534="A",Pole_Calc!A$12,
IF(H534="S/A",Pole_Calc!A$13,
IF(H534="A/S",Pole_Calc!A$14,"Poner a mano")))))))</f>
        <v>App.7-V11I-P9.5.1.1</v>
      </c>
      <c r="BE534" s="429" t="s">
        <v>118</v>
      </c>
      <c r="BF534" s="289"/>
      <c r="BG534" s="289"/>
      <c r="BH534" s="290"/>
      <c r="BI534" s="289"/>
    </row>
    <row r="535" spans="1:61" ht="15.75" customHeight="1">
      <c r="A535" s="685" t="s">
        <v>305</v>
      </c>
      <c r="B535" s="686"/>
      <c r="C535" s="687"/>
      <c r="D535" s="688"/>
      <c r="E535" s="689"/>
      <c r="F535" s="689"/>
      <c r="G535" s="690">
        <v>37.200000000000003</v>
      </c>
      <c r="H535" s="691"/>
      <c r="I535" s="689"/>
      <c r="J535" s="687"/>
      <c r="K535" s="691"/>
      <c r="L535" s="691"/>
      <c r="M535" s="691" t="str">
        <f>IF(L535="","",
IF(AX535="PT",VLOOKUP(L535,Foundation_Calc!$V$79:$X$113,VLOOKUP(AX535,Foundation_Calc!$I$10:$J$13,2,FALSE),0),
IF(AX535="K",VLOOKUP(L535,Foundation_Calc!$V$117:$X$151,VLOOKUP(AX535,Foundation_Calc!$I$10:$J$13,2,FALSE),0),"")))</f>
        <v/>
      </c>
      <c r="N535" s="691"/>
      <c r="O535" s="691"/>
      <c r="P535" s="691"/>
      <c r="Q535" s="689"/>
      <c r="R535" s="690"/>
      <c r="S535" s="690"/>
      <c r="T535" s="689"/>
      <c r="U535" s="689"/>
      <c r="V535" s="689"/>
      <c r="W535" s="695"/>
      <c r="X535" s="692"/>
      <c r="Y535" s="692"/>
      <c r="Z535" s="692"/>
      <c r="AA535" s="692"/>
      <c r="AB535" s="692"/>
      <c r="AC535" s="691" t="str">
        <f t="shared" si="62"/>
        <v/>
      </c>
      <c r="AD535" s="691"/>
      <c r="AE535" s="691"/>
      <c r="AF535" s="689"/>
      <c r="AG535" s="688"/>
      <c r="AH535" s="689"/>
      <c r="AI535" s="689"/>
      <c r="AJ535" s="691"/>
      <c r="AK535" s="691"/>
      <c r="AL535" s="691"/>
      <c r="AM535" s="691"/>
      <c r="AN535" s="693"/>
      <c r="AO535" s="692"/>
      <c r="AP535" s="692"/>
      <c r="AQ535" s="692">
        <f>+FL_2($T$538,$T$534,$G$535,1200,9.28,-1*$F$538)</f>
        <v>-0.35</v>
      </c>
      <c r="AR535" s="692"/>
      <c r="AS535" s="692"/>
      <c r="AT535" s="692"/>
      <c r="AU535" s="694"/>
      <c r="AV535" s="694"/>
      <c r="AW535" s="691" t="str">
        <f>IF(C535&gt;0,VLOOKUP(C535,Foundation_Calc!$A$2:$C$13,3,1),
IF(J535&gt;0,VLOOKUP(J535,Foundation_Calc!$A$2:$C$13,3,1),""))</f>
        <v/>
      </c>
      <c r="AX535" s="691" t="str">
        <f>IF(C535&gt;0,VLOOKUP(C535,Foundation_Calc!$E$2:$G$33,3,1),
IF(J535&gt;0,VLOOKUP(J535,Foundation_Calc!$E$2:$G$33,3,1),""))</f>
        <v/>
      </c>
      <c r="AY535" s="693" t="str">
        <f>IF(L535="","",
IF(AX535="PT",VLOOKUP(L535,Foundation_Calc!$K$79:$R$113,VLOOKUP(AW535,Foundation_Calc!$I$2:$J$8,2,FALSE),0),
IF(AX535="K",VLOOKUP(L535,Foundation_Calc!$K$117:$R$151,VLOOKUP(AW535,Foundation_Calc!$I$2:$J$8,2,FALSE),0),"")))</f>
        <v/>
      </c>
      <c r="AZ535" s="693" t="str">
        <f>IF(K535="","",
IF(AX535="PT",VLOOKUP(K535,Foundation_Calc!$K$79:$R$113,VLOOKUP(AW535,Foundation_Calc!$I$2:$J$8,2,FALSE),0),
IF(AX535="K",VLOOKUP(K535,Foundation_Calc!$K$117:$R$151,VLOOKUP(AW535,Foundation_Calc!$I$2:$J$8,2,FALSE),0),"")))</f>
        <v/>
      </c>
      <c r="BA535" s="911" t="str">
        <f t="shared" si="63"/>
        <v/>
      </c>
      <c r="BB535" s="911" t="str">
        <f t="shared" si="64"/>
        <v/>
      </c>
      <c r="BC535" s="911" t="str">
        <f t="shared" si="65"/>
        <v/>
      </c>
      <c r="BD535" s="513" t="str">
        <f>IF(AND(L535="",H535=""),"",
IF(H535="",Pole_Calc!A$9,
IF(H535="MP",Pole_Calc!A$10,
IF(H535="AnMP",Pole_Calc!A$11,
IF(H535="A",Pole_Calc!A$12,
IF(H535="S/A",Pole_Calc!A$13,
IF(H535="A/S",Pole_Calc!A$14,"Poner a mano")))))))</f>
        <v/>
      </c>
      <c r="BE535" s="429" t="s">
        <v>118</v>
      </c>
      <c r="BF535" s="290"/>
      <c r="BG535" s="290"/>
      <c r="BH535" s="290"/>
      <c r="BI535" s="290"/>
    </row>
    <row r="536" spans="1:61" ht="15.75" customHeight="1">
      <c r="A536" s="514"/>
      <c r="B536" s="450" t="s">
        <v>498</v>
      </c>
      <c r="C536" s="3">
        <f>+$C$534+$G$535</f>
        <v>42842.649999999994</v>
      </c>
      <c r="D536" s="83"/>
      <c r="E536" s="4"/>
      <c r="F536" s="4">
        <f>-(455^2)/(C536-42853.3)</f>
        <v>19438.967136134299</v>
      </c>
      <c r="G536" s="6"/>
      <c r="H536" s="449"/>
      <c r="I536" s="4"/>
      <c r="J536" s="3"/>
      <c r="K536" s="449"/>
      <c r="L536" s="449" t="s">
        <v>158</v>
      </c>
      <c r="M536" s="449" t="str">
        <f>IF(L536="","",
IF(AX536="PT",VLOOKUP(L536,Foundation_Calc!$V$79:$X$113,VLOOKUP(AX536,Foundation_Calc!$I$10:$J$13,2,FALSE),0),
IF(AX536="K",VLOOKUP(L536,Foundation_Calc!$V$117:$X$151,VLOOKUP(AX536,Foundation_Calc!$I$10:$J$13,2,FALSE),0),"")))</f>
        <v>C4R</v>
      </c>
      <c r="N536" s="449" t="s">
        <v>134</v>
      </c>
      <c r="O536" s="449"/>
      <c r="P536" s="449"/>
      <c r="Q536" s="4"/>
      <c r="R536" s="6"/>
      <c r="S536" s="6"/>
      <c r="T536" s="4">
        <v>25</v>
      </c>
      <c r="U536" s="4"/>
      <c r="V536" s="4"/>
      <c r="W536" s="572">
        <v>1</v>
      </c>
      <c r="X536" s="9"/>
      <c r="Y536" s="9"/>
      <c r="Z536" s="9"/>
      <c r="AA536" s="9"/>
      <c r="AB536" s="9"/>
      <c r="AC536" s="449" t="str">
        <f t="shared" ref="AC536:AC537" si="66">IF(OR(AT536&gt;8,AT536&lt;-8),"PH",
IF(OR(AT536&gt;5,AT536&lt;-5),"PHQ",
IF(OR(AT536&gt;1,AT536&lt;-1),
"PHC","")))</f>
        <v>PHQ</v>
      </c>
      <c r="AD536" s="449"/>
      <c r="AE536" s="449"/>
      <c r="AF536" s="4"/>
      <c r="AG536" s="83"/>
      <c r="AH536" s="4"/>
      <c r="AI536" s="4"/>
      <c r="AJ536" s="449"/>
      <c r="AK536" s="449"/>
      <c r="AL536" s="449"/>
      <c r="AM536" s="449" t="s">
        <v>126</v>
      </c>
      <c r="AN536" s="10">
        <v>5.5</v>
      </c>
      <c r="AO536" s="9"/>
      <c r="AP536" s="9"/>
      <c r="AQ536" s="9"/>
      <c r="AR536" s="9"/>
      <c r="AS536" s="9"/>
      <c r="AT536" s="9">
        <f>+ab($T$534,$T$532,$T$538,$G$533,$G$535,-1*$F$534,1200)</f>
        <v>7.4199034785364821</v>
      </c>
      <c r="AU536" s="428"/>
      <c r="AV536" s="428"/>
      <c r="AW536" s="449" t="str">
        <f>IF(C536&gt;0,VLOOKUP(C536,Foundation_Calc!$A$2:$C$13,3,1),
IF(J536&gt;0,VLOOKUP(J536,Foundation_Calc!$A$2:$C$13,3,1),""))</f>
        <v>Multi Soil</v>
      </c>
      <c r="AX536" s="449" t="str">
        <f>IF(C536&gt;0,VLOOKUP(C536,Foundation_Calc!$E$2:$G$33,3,1),
IF(J536&gt;0,VLOOKUP(J536,Foundation_Calc!$E$2:$G$33,3,1),""))</f>
        <v>PT</v>
      </c>
      <c r="AY536" s="10">
        <f>IF(L536="","",
IF(AX536="PT",VLOOKUP(L536,Foundation_Calc!$K$79:$R$113,VLOOKUP(AW536,Foundation_Calc!$I$2:$J$8,2,FALSE),0),
IF(AX536="K",VLOOKUP(L536,Foundation_Calc!$K$117:$R$151,VLOOKUP(AW536,Foundation_Calc!$I$2:$J$8,2,FALSE),0),"")))</f>
        <v>3.5</v>
      </c>
      <c r="AZ536" s="10" t="str">
        <f>IF(K536="","",
IF(AX536="PT",VLOOKUP(K536,Foundation_Calc!$K$79:$R$113,VLOOKUP(AW536,Foundation_Calc!$I$2:$J$8,2,FALSE),0),
IF(AX536="K",VLOOKUP(K536,Foundation_Calc!$K$117:$R$151,VLOOKUP(AW536,Foundation_Calc!$I$2:$J$8,2,FALSE),0),"")))</f>
        <v/>
      </c>
      <c r="BA536" s="495" t="str">
        <f t="shared" ref="BA536:BA537" si="67">IF(AY536="","",IF(AY536&gt;0,"ü",""))</f>
        <v>ü</v>
      </c>
      <c r="BB536" s="495" t="str">
        <f t="shared" ref="BB536:BB537" si="68">IF(AZ536="","",IF(AZ536&gt;0,"ü",""))</f>
        <v/>
      </c>
      <c r="BC536" s="495" t="str">
        <f t="shared" ref="BC536:BC537" si="69">IF(M536="","",IF(M536="U.S.","ü",IF(M536="U.S. N.D.","ü","")))</f>
        <v/>
      </c>
      <c r="BD536" s="513" t="str">
        <f>IF(AND(L536="",H536=""),"",
IF(H536="",Pole_Calc!A$9,
IF(H536="MP",Pole_Calc!A$10,
IF(H536="AnMP",Pole_Calc!A$11,
IF(H536="A",Pole_Calc!A$12,
IF(H536="S/A",Pole_Calc!A$13,
IF(H536="A/S",Pole_Calc!A$14,"Poner a mano")))))))</f>
        <v>App.7-V11I-P9.5.1.1</v>
      </c>
      <c r="BE536" s="429" t="s">
        <v>118</v>
      </c>
      <c r="BF536" s="289"/>
      <c r="BG536" s="289"/>
      <c r="BH536" s="290"/>
      <c r="BI536" s="289"/>
    </row>
    <row r="537" spans="1:61" ht="15.75" customHeight="1">
      <c r="A537" s="514" t="s">
        <v>193</v>
      </c>
      <c r="B537" s="450"/>
      <c r="C537" s="3"/>
      <c r="D537" s="83"/>
      <c r="E537" s="4"/>
      <c r="F537" s="4"/>
      <c r="G537" s="6">
        <v>37.299999999999997</v>
      </c>
      <c r="H537" s="449"/>
      <c r="I537" s="4"/>
      <c r="J537" s="3"/>
      <c r="K537" s="449"/>
      <c r="L537" s="449"/>
      <c r="M537" s="449" t="str">
        <f>IF(L537="","",
IF(AX537="PT",VLOOKUP(L537,Foundation_Calc!$V$79:$X$113,VLOOKUP(AX537,Foundation_Calc!$I$10:$J$13,2,FALSE),0),
IF(AX537="K",VLOOKUP(L537,Foundation_Calc!$V$117:$X$151,VLOOKUP(AX537,Foundation_Calc!$I$10:$J$13,2,FALSE),0),"")))</f>
        <v/>
      </c>
      <c r="N537" s="449"/>
      <c r="O537" s="449"/>
      <c r="P537" s="449"/>
      <c r="Q537" s="4"/>
      <c r="R537" s="6"/>
      <c r="S537" s="6"/>
      <c r="T537" s="4"/>
      <c r="U537" s="4"/>
      <c r="V537" s="4"/>
      <c r="W537" s="572"/>
      <c r="X537" s="9"/>
      <c r="Y537" s="9"/>
      <c r="Z537" s="9"/>
      <c r="AA537" s="9"/>
      <c r="AB537" s="9"/>
      <c r="AC537" s="449" t="str">
        <f t="shared" si="66"/>
        <v/>
      </c>
      <c r="AD537" s="449"/>
      <c r="AE537" s="449"/>
      <c r="AF537" s="4"/>
      <c r="AG537" s="83"/>
      <c r="AH537" s="4"/>
      <c r="AI537" s="4"/>
      <c r="AJ537" s="449"/>
      <c r="AK537" s="449"/>
      <c r="AL537" s="449"/>
      <c r="AM537" s="449"/>
      <c r="AN537" s="10"/>
      <c r="AO537" s="9"/>
      <c r="AP537" s="9"/>
      <c r="AQ537" s="9">
        <f>+FL_2($T$538,$T$534,$G$535,1200,9.28,-1*$F$538)</f>
        <v>-0.35</v>
      </c>
      <c r="AR537" s="9"/>
      <c r="AS537" s="9"/>
      <c r="AT537" s="9"/>
      <c r="AU537" s="428"/>
      <c r="AV537" s="428"/>
      <c r="AW537" s="449" t="str">
        <f>IF(C537&gt;0,VLOOKUP(C537,Foundation_Calc!$A$2:$C$13,3,1),
IF(J537&gt;0,VLOOKUP(J537,Foundation_Calc!$A$2:$C$13,3,1),""))</f>
        <v/>
      </c>
      <c r="AX537" s="449" t="str">
        <f>IF(C537&gt;0,VLOOKUP(C537,Foundation_Calc!$E$2:$G$33,3,1),
IF(J537&gt;0,VLOOKUP(J537,Foundation_Calc!$E$2:$G$33,3,1),""))</f>
        <v/>
      </c>
      <c r="AY537" s="10" t="str">
        <f>IF(L537="","",
IF(AX537="PT",VLOOKUP(L537,Foundation_Calc!$K$79:$R$113,VLOOKUP(AW537,Foundation_Calc!$I$2:$J$8,2,FALSE),0),
IF(AX537="K",VLOOKUP(L537,Foundation_Calc!$K$117:$R$151,VLOOKUP(AW537,Foundation_Calc!$I$2:$J$8,2,FALSE),0),"")))</f>
        <v/>
      </c>
      <c r="AZ537" s="10" t="str">
        <f>IF(K537="","",
IF(AX537="PT",VLOOKUP(K537,Foundation_Calc!$K$79:$R$113,VLOOKUP(AW537,Foundation_Calc!$I$2:$J$8,2,FALSE),0),
IF(AX537="K",VLOOKUP(K537,Foundation_Calc!$K$117:$R$151,VLOOKUP(AW537,Foundation_Calc!$I$2:$J$8,2,FALSE),0),"")))</f>
        <v/>
      </c>
      <c r="BA537" s="495" t="str">
        <f t="shared" si="67"/>
        <v/>
      </c>
      <c r="BB537" s="495" t="str">
        <f t="shared" si="68"/>
        <v/>
      </c>
      <c r="BC537" s="495" t="str">
        <f t="shared" si="69"/>
        <v/>
      </c>
      <c r="BD537" s="513" t="str">
        <f>IF(AND(L537="",H537=""),"",
IF(H537="",Pole_Calc!A$9,
IF(H537="MP",Pole_Calc!A$10,
IF(H537="AnMP",Pole_Calc!A$11,
IF(H537="A",Pole_Calc!A$12,
IF(H537="S/A",Pole_Calc!A$13,
IF(H537="A/S",Pole_Calc!A$14,"Poner a mano")))))))</f>
        <v/>
      </c>
      <c r="BE537" s="429" t="s">
        <v>118</v>
      </c>
      <c r="BF537" s="290"/>
      <c r="BG537" s="290"/>
      <c r="BH537" s="290"/>
      <c r="BI537" s="290"/>
    </row>
    <row r="538" spans="1:61" ht="15.75" customHeight="1">
      <c r="A538" s="514"/>
      <c r="B538" s="450" t="s">
        <v>499</v>
      </c>
      <c r="C538" s="3">
        <f>+$C$536+$G$537</f>
        <v>42879.95</v>
      </c>
      <c r="D538" s="83"/>
      <c r="E538" s="4"/>
      <c r="F538" s="4">
        <f>IF(C538&gt;0,VLOOKUP(C538,'ALIGNMENT TRACK'!$A$1:$K$81,9,1))</f>
        <v>0</v>
      </c>
      <c r="G538" s="6"/>
      <c r="H538" s="449"/>
      <c r="I538" s="4"/>
      <c r="J538" s="3"/>
      <c r="K538" s="449"/>
      <c r="L538" s="449" t="s">
        <v>153</v>
      </c>
      <c r="M538" s="449" t="str">
        <f>IF(L538="","",
IF(AX538="PT",VLOOKUP(L538,Foundation_Calc!$V$79:$X$113,VLOOKUP(AX538,Foundation_Calc!$I$10:$J$13,2,FALSE),0),
IF(AX538="K",VLOOKUP(L538,Foundation_Calc!$V$117:$X$151,VLOOKUP(AX538,Foundation_Calc!$I$10:$J$13,2,FALSE),0),"")))</f>
        <v>C3R</v>
      </c>
      <c r="N538" s="449" t="s">
        <v>124</v>
      </c>
      <c r="O538" s="449"/>
      <c r="P538" s="449"/>
      <c r="Q538" s="4"/>
      <c r="R538" s="6"/>
      <c r="S538" s="6"/>
      <c r="T538" s="4">
        <v>-35</v>
      </c>
      <c r="U538" s="4"/>
      <c r="V538" s="4"/>
      <c r="W538" s="572">
        <v>1</v>
      </c>
      <c r="X538" s="9"/>
      <c r="Y538" s="9"/>
      <c r="Z538" s="9"/>
      <c r="AA538" s="9"/>
      <c r="AB538" s="9"/>
      <c r="AC538" s="449" t="str">
        <f t="shared" si="62"/>
        <v>PHQ</v>
      </c>
      <c r="AD538" s="449"/>
      <c r="AE538" s="449"/>
      <c r="AF538" s="4"/>
      <c r="AG538" s="83"/>
      <c r="AH538" s="4"/>
      <c r="AI538" s="4"/>
      <c r="AJ538" s="449"/>
      <c r="AK538" s="449"/>
      <c r="AL538" s="449"/>
      <c r="AM538" s="449" t="s">
        <v>126</v>
      </c>
      <c r="AN538" s="10">
        <v>5.5</v>
      </c>
      <c r="AO538" s="9"/>
      <c r="AP538" s="9"/>
      <c r="AQ538" s="9"/>
      <c r="AR538" s="9"/>
      <c r="AS538" s="9"/>
      <c r="AT538" s="9">
        <f>+ab($T$538,$T$534,$T$540,$G$535,$G$539,-1*$F$538,1200)</f>
        <v>-6.5128844268317865</v>
      </c>
      <c r="AU538" s="428"/>
      <c r="AV538" s="428"/>
      <c r="AW538" s="449" t="str">
        <f>IF(C538&gt;0,VLOOKUP(C538,Foundation_Calc!$A$2:$C$13,3,1),
IF(J538&gt;0,VLOOKUP(J538,Foundation_Calc!$A$2:$C$13,3,1),""))</f>
        <v>Multi Soil</v>
      </c>
      <c r="AX538" s="449" t="str">
        <f>IF(C538&gt;0,VLOOKUP(C538,Foundation_Calc!$E$2:$G$33,3,1),
IF(J538&gt;0,VLOOKUP(J538,Foundation_Calc!$E$2:$G$33,3,1),""))</f>
        <v>PT</v>
      </c>
      <c r="AY538" s="10">
        <f>IF(L538="","",
IF(AX538="PT",VLOOKUP(L538,Foundation_Calc!$K$79:$R$113,VLOOKUP(AW538,Foundation_Calc!$I$2:$J$8,2,FALSE),0),
IF(AX538="K",VLOOKUP(L538,Foundation_Calc!$K$117:$R$151,VLOOKUP(AW538,Foundation_Calc!$I$2:$J$8,2,FALSE),0),"")))</f>
        <v>3.5</v>
      </c>
      <c r="AZ538" s="10" t="str">
        <f>IF(K538="","",
IF(AX538="PT",VLOOKUP(K538,Foundation_Calc!$K$79:$R$113,VLOOKUP(AW538,Foundation_Calc!$I$2:$J$8,2,FALSE),0),
IF(AX538="K",VLOOKUP(K538,Foundation_Calc!$K$117:$R$151,VLOOKUP(AW538,Foundation_Calc!$I$2:$J$8,2,FALSE),0),"")))</f>
        <v/>
      </c>
      <c r="BA538" s="495" t="str">
        <f t="shared" si="63"/>
        <v>ü</v>
      </c>
      <c r="BB538" s="495" t="str">
        <f t="shared" si="64"/>
        <v/>
      </c>
      <c r="BC538" s="495" t="str">
        <f t="shared" si="65"/>
        <v/>
      </c>
      <c r="BD538" s="513" t="str">
        <f>IF(AND(L538="",H538=""),"",
IF(H538="",Pole_Calc!A$9,
IF(H538="MP",Pole_Calc!A$10,
IF(H538="AnMP",Pole_Calc!A$11,
IF(H538="A",Pole_Calc!A$12,
IF(H538="S/A",Pole_Calc!A$13,
IF(H538="A/S",Pole_Calc!A$14,"Poner a mano")))))))</f>
        <v>App.7-V11I-P9.5.1.1</v>
      </c>
      <c r="BE538" s="429" t="s">
        <v>118</v>
      </c>
      <c r="BF538" s="289"/>
      <c r="BG538" s="289"/>
      <c r="BH538" s="290"/>
      <c r="BI538" s="289"/>
    </row>
    <row r="539" spans="1:61" ht="15.75" customHeight="1">
      <c r="A539" s="514" t="s">
        <v>193</v>
      </c>
      <c r="B539" s="450"/>
      <c r="C539" s="3"/>
      <c r="D539" s="83"/>
      <c r="E539" s="4"/>
      <c r="F539" s="4"/>
      <c r="G539" s="6">
        <v>53</v>
      </c>
      <c r="H539" s="449"/>
      <c r="I539" s="4"/>
      <c r="J539" s="3"/>
      <c r="K539" s="449"/>
      <c r="L539" s="449"/>
      <c r="M539" s="449" t="str">
        <f>IF(L539="","",
IF(AX539="PT",VLOOKUP(L539,Foundation_Calc!$V$79:$X$113,VLOOKUP(AX539,Foundation_Calc!$I$10:$J$13,2,FALSE),0),
IF(AX539="K",VLOOKUP(L539,Foundation_Calc!$V$117:$X$151,VLOOKUP(AX539,Foundation_Calc!$I$10:$J$13,2,FALSE),0),"")))</f>
        <v/>
      </c>
      <c r="N539" s="449"/>
      <c r="O539" s="449"/>
      <c r="P539" s="449"/>
      <c r="Q539" s="4"/>
      <c r="R539" s="6"/>
      <c r="S539" s="6"/>
      <c r="T539" s="4"/>
      <c r="U539" s="4"/>
      <c r="V539" s="4"/>
      <c r="W539" s="572"/>
      <c r="X539" s="9"/>
      <c r="Y539" s="9"/>
      <c r="Z539" s="9"/>
      <c r="AA539" s="9"/>
      <c r="AB539" s="9"/>
      <c r="AC539" s="449" t="str">
        <f t="shared" si="62"/>
        <v/>
      </c>
      <c r="AD539" s="449"/>
      <c r="AE539" s="449"/>
      <c r="AF539" s="4"/>
      <c r="AG539" s="83"/>
      <c r="AH539" s="4"/>
      <c r="AI539" s="4"/>
      <c r="AJ539" s="449"/>
      <c r="AK539" s="449"/>
      <c r="AL539" s="449"/>
      <c r="AM539" s="449"/>
      <c r="AN539" s="10"/>
      <c r="AO539" s="9"/>
      <c r="AP539" s="9"/>
      <c r="AQ539" s="9">
        <f>+FL_2($T$540,$T$538,$G$539,1200,9.28,-1*$F$540)</f>
        <v>-0.38432069766037741</v>
      </c>
      <c r="AR539" s="9"/>
      <c r="AS539" s="9"/>
      <c r="AT539" s="9"/>
      <c r="AU539" s="428"/>
      <c r="AV539" s="428"/>
      <c r="AW539" s="449" t="str">
        <f>IF(C539&gt;0,VLOOKUP(C539,Foundation_Calc!$A$2:$C$13,3,1),
IF(J539&gt;0,VLOOKUP(J539,Foundation_Calc!$A$2:$C$13,3,1),""))</f>
        <v/>
      </c>
      <c r="AX539" s="449" t="str">
        <f>IF(C539&gt;0,VLOOKUP(C539,Foundation_Calc!$E$2:$G$33,3,1),
IF(J539&gt;0,VLOOKUP(J539,Foundation_Calc!$E$2:$G$33,3,1),""))</f>
        <v/>
      </c>
      <c r="AY539" s="10" t="str">
        <f>IF(L539="","",
IF(AX539="PT",VLOOKUP(L539,Foundation_Calc!$K$79:$R$113,VLOOKUP(AW539,Foundation_Calc!$I$2:$J$8,2,FALSE),0),
IF(AX539="K",VLOOKUP(L539,Foundation_Calc!$K$117:$R$151,VLOOKUP(AW539,Foundation_Calc!$I$2:$J$8,2,FALSE),0),"")))</f>
        <v/>
      </c>
      <c r="AZ539" s="10" t="str">
        <f>IF(K539="","",
IF(AX539="PT",VLOOKUP(K539,Foundation_Calc!$K$79:$R$113,VLOOKUP(AW539,Foundation_Calc!$I$2:$J$8,2,FALSE),0),
IF(AX539="K",VLOOKUP(K539,Foundation_Calc!$K$117:$R$151,VLOOKUP(AW539,Foundation_Calc!$I$2:$J$8,2,FALSE),0),"")))</f>
        <v/>
      </c>
      <c r="BA539" s="495" t="str">
        <f t="shared" si="63"/>
        <v/>
      </c>
      <c r="BB539" s="495" t="str">
        <f t="shared" si="64"/>
        <v/>
      </c>
      <c r="BC539" s="495" t="str">
        <f t="shared" si="65"/>
        <v/>
      </c>
      <c r="BD539" s="513" t="str">
        <f>IF(AND(L539="",H539=""),"",
IF(H539="",Pole_Calc!A$9,
IF(H539="MP",Pole_Calc!A$10,
IF(H539="AnMP",Pole_Calc!A$11,
IF(H539="A",Pole_Calc!A$12,
IF(H539="S/A",Pole_Calc!A$13,
IF(H539="A/S",Pole_Calc!A$14,"Poner a mano")))))))</f>
        <v/>
      </c>
      <c r="BE539" s="429" t="s">
        <v>118</v>
      </c>
      <c r="BF539" s="290"/>
      <c r="BG539" s="290"/>
      <c r="BH539" s="290"/>
      <c r="BI539" s="290"/>
    </row>
    <row r="540" spans="1:61" ht="15.75" customHeight="1">
      <c r="A540" s="514"/>
      <c r="B540" s="450" t="s">
        <v>500</v>
      </c>
      <c r="C540" s="3">
        <f>+$C$538+$G$539</f>
        <v>42932.95</v>
      </c>
      <c r="D540" s="83"/>
      <c r="E540" s="4"/>
      <c r="F540" s="4">
        <f>IF(C540&gt;0,VLOOKUP(C540,'ALIGNMENT TRACK'!$A$1:$K$81,9,1))</f>
        <v>0</v>
      </c>
      <c r="G540" s="6"/>
      <c r="H540" s="449"/>
      <c r="I540" s="4"/>
      <c r="J540" s="3"/>
      <c r="K540" s="449"/>
      <c r="L540" s="449" t="s">
        <v>153</v>
      </c>
      <c r="M540" s="449" t="str">
        <f>IF(L540="","",
IF(AX540="PT",VLOOKUP(L540,Foundation_Calc!$V$79:$X$113,VLOOKUP(AX540,Foundation_Calc!$I$10:$J$13,2,FALSE),0),
IF(AX540="K",VLOOKUP(L540,Foundation_Calc!$V$117:$X$151,VLOOKUP(AX540,Foundation_Calc!$I$10:$J$13,2,FALSE),0),"")))</f>
        <v>C3R</v>
      </c>
      <c r="N540" s="449" t="s">
        <v>134</v>
      </c>
      <c r="O540" s="449"/>
      <c r="P540" s="449"/>
      <c r="Q540" s="4"/>
      <c r="R540" s="6"/>
      <c r="S540" s="6"/>
      <c r="T540" s="4">
        <v>35</v>
      </c>
      <c r="U540" s="4"/>
      <c r="V540" s="4"/>
      <c r="W540" s="572">
        <v>1</v>
      </c>
      <c r="X540" s="9"/>
      <c r="Y540" s="9"/>
      <c r="Z540" s="9"/>
      <c r="AA540" s="9"/>
      <c r="AB540" s="9"/>
      <c r="AC540" s="449" t="str">
        <f t="shared" si="62"/>
        <v>PHQ</v>
      </c>
      <c r="AD540" s="449"/>
      <c r="AE540" s="449"/>
      <c r="AF540" s="4"/>
      <c r="AG540" s="83"/>
      <c r="AH540" s="4"/>
      <c r="AI540" s="4"/>
      <c r="AJ540" s="449"/>
      <c r="AK540" s="449"/>
      <c r="AL540" s="449"/>
      <c r="AM540" s="449" t="s">
        <v>126</v>
      </c>
      <c r="AN540" s="10">
        <v>5.5</v>
      </c>
      <c r="AO540" s="9"/>
      <c r="AP540" s="9"/>
      <c r="AQ540" s="9"/>
      <c r="AR540" s="9"/>
      <c r="AS540" s="9"/>
      <c r="AT540" s="9">
        <f>+ab($T$540,$T$538,$T$542,$G$539,$G$541,-1*$F$540,1200)</f>
        <v>7.3582973468160304</v>
      </c>
      <c r="AU540" s="428"/>
      <c r="AV540" s="428"/>
      <c r="AW540" s="449" t="str">
        <f>IF(C540&gt;0,VLOOKUP(C540,Foundation_Calc!$A$2:$C$13,3,1),
IF(J540&gt;0,VLOOKUP(J540,Foundation_Calc!$A$2:$C$13,3,1),""))</f>
        <v>Multi Soil</v>
      </c>
      <c r="AX540" s="449" t="str">
        <f>IF(C540&gt;0,VLOOKUP(C540,Foundation_Calc!$E$2:$G$33,3,1),
IF(J540&gt;0,VLOOKUP(J540,Foundation_Calc!$E$2:$G$33,3,1),""))</f>
        <v>PT</v>
      </c>
      <c r="AY540" s="10">
        <f>IF(L540="","",
IF(AX540="PT",VLOOKUP(L540,Foundation_Calc!$K$79:$R$113,VLOOKUP(AW540,Foundation_Calc!$I$2:$J$8,2,FALSE),0),
IF(AX540="K",VLOOKUP(L540,Foundation_Calc!$K$117:$R$151,VLOOKUP(AW540,Foundation_Calc!$I$2:$J$8,2,FALSE),0),"")))</f>
        <v>3.5</v>
      </c>
      <c r="AZ540" s="10" t="str">
        <f>IF(K540="","",
IF(AX540="PT",VLOOKUP(K540,Foundation_Calc!$K$79:$R$113,VLOOKUP(AW540,Foundation_Calc!$I$2:$J$8,2,FALSE),0),
IF(AX540="K",VLOOKUP(K540,Foundation_Calc!$K$117:$R$151,VLOOKUP(AW540,Foundation_Calc!$I$2:$J$8,2,FALSE),0),"")))</f>
        <v/>
      </c>
      <c r="BA540" s="495" t="str">
        <f t="shared" si="63"/>
        <v>ü</v>
      </c>
      <c r="BB540" s="495" t="str">
        <f t="shared" si="64"/>
        <v/>
      </c>
      <c r="BC540" s="495" t="str">
        <f t="shared" si="65"/>
        <v/>
      </c>
      <c r="BD540" s="513" t="str">
        <f>IF(AND(L540="",H540=""),"",
IF(H540="",Pole_Calc!A$9,
IF(H540="MP",Pole_Calc!A$10,
IF(H540="AnMP",Pole_Calc!A$11,
IF(H540="A",Pole_Calc!A$12,
IF(H540="S/A",Pole_Calc!A$13,
IF(H540="A/S",Pole_Calc!A$14,"Poner a mano")))))))</f>
        <v>App.7-V11I-P9.5.1.1</v>
      </c>
      <c r="BE540" s="429" t="s">
        <v>118</v>
      </c>
      <c r="BF540" s="289"/>
      <c r="BG540" s="289"/>
      <c r="BH540" s="290"/>
      <c r="BI540" s="289"/>
    </row>
    <row r="541" spans="1:61" ht="15.75" customHeight="1">
      <c r="A541" s="514"/>
      <c r="B541" s="450"/>
      <c r="C541" s="3"/>
      <c r="D541" s="83"/>
      <c r="E541" s="4"/>
      <c r="F541" s="4"/>
      <c r="G541" s="6">
        <v>55</v>
      </c>
      <c r="H541" s="449"/>
      <c r="I541" s="4"/>
      <c r="J541" s="3"/>
      <c r="K541" s="449"/>
      <c r="L541" s="449"/>
      <c r="M541" s="449" t="str">
        <f>IF(L541="","",
IF(AX541="PT",VLOOKUP(L541,Foundation_Calc!$V$79:$X$113,VLOOKUP(AX541,Foundation_Calc!$I$10:$J$13,2,FALSE),0),
IF(AX541="K",VLOOKUP(L541,Foundation_Calc!$V$117:$X$151,VLOOKUP(AX541,Foundation_Calc!$I$10:$J$13,2,FALSE),0),"")))</f>
        <v/>
      </c>
      <c r="N541" s="449"/>
      <c r="O541" s="449"/>
      <c r="P541" s="449"/>
      <c r="Q541" s="4"/>
      <c r="R541" s="6"/>
      <c r="S541" s="6"/>
      <c r="T541" s="4"/>
      <c r="U541" s="4"/>
      <c r="V541" s="4"/>
      <c r="W541" s="572"/>
      <c r="X541" s="9"/>
      <c r="Y541" s="9"/>
      <c r="Z541" s="9"/>
      <c r="AA541" s="9"/>
      <c r="AB541" s="9"/>
      <c r="AC541" s="449" t="str">
        <f t="shared" si="62"/>
        <v/>
      </c>
      <c r="AD541" s="449"/>
      <c r="AE541" s="449"/>
      <c r="AF541" s="4"/>
      <c r="AG541" s="83"/>
      <c r="AH541" s="4"/>
      <c r="AI541" s="4"/>
      <c r="AJ541" s="449"/>
      <c r="AK541" s="449"/>
      <c r="AL541" s="449"/>
      <c r="AM541" s="449"/>
      <c r="AN541" s="10"/>
      <c r="AO541" s="9"/>
      <c r="AP541" s="9"/>
      <c r="AQ541" s="9">
        <f>+FL_1($T$542,$T$540,$G$541,1200,9.28,-1*$F$542)</f>
        <v>0.39714735709090898</v>
      </c>
      <c r="AR541" s="9"/>
      <c r="AS541" s="9"/>
      <c r="AT541" s="9"/>
      <c r="AU541" s="428"/>
      <c r="AV541" s="428"/>
      <c r="AW541" s="449" t="str">
        <f>IF(C541&gt;0,VLOOKUP(C541,Foundation_Calc!$A$2:$C$13,3,1),
IF(J541&gt;0,VLOOKUP(J541,Foundation_Calc!$A$2:$C$13,3,1),""))</f>
        <v/>
      </c>
      <c r="AX541" s="449" t="str">
        <f>IF(C541&gt;0,VLOOKUP(C541,Foundation_Calc!$E$2:$G$33,3,1),
IF(J541&gt;0,VLOOKUP(J541,Foundation_Calc!$E$2:$G$33,3,1),""))</f>
        <v/>
      </c>
      <c r="AY541" s="10" t="str">
        <f>IF(L541="","",
IF(AX541="PT",VLOOKUP(L541,Foundation_Calc!$K$79:$R$113,VLOOKUP(AW541,Foundation_Calc!$I$2:$J$8,2,FALSE),0),
IF(AX541="K",VLOOKUP(L541,Foundation_Calc!$K$117:$R$151,VLOOKUP(AW541,Foundation_Calc!$I$2:$J$8,2,FALSE),0),"")))</f>
        <v/>
      </c>
      <c r="AZ541" s="10" t="str">
        <f>IF(K541="","",
IF(AX541="PT",VLOOKUP(K541,Foundation_Calc!$K$79:$R$113,VLOOKUP(AW541,Foundation_Calc!$I$2:$J$8,2,FALSE),0),
IF(AX541="K",VLOOKUP(K541,Foundation_Calc!$K$117:$R$151,VLOOKUP(AW541,Foundation_Calc!$I$2:$J$8,2,FALSE),0),"")))</f>
        <v/>
      </c>
      <c r="BA541" s="495" t="str">
        <f t="shared" si="63"/>
        <v/>
      </c>
      <c r="BB541" s="495" t="str">
        <f t="shared" si="64"/>
        <v/>
      </c>
      <c r="BC541" s="495" t="str">
        <f t="shared" si="65"/>
        <v/>
      </c>
      <c r="BD541" s="513" t="str">
        <f>IF(AND(L541="",H541=""),"",
IF(H541="",Pole_Calc!A$9,
IF(H541="MP",Pole_Calc!A$10,
IF(H541="AnMP",Pole_Calc!A$11,
IF(H541="A",Pole_Calc!A$12,
IF(H541="S/A",Pole_Calc!A$13,
IF(H541="A/S",Pole_Calc!A$14,"Poner a mano")))))))</f>
        <v/>
      </c>
      <c r="BE541" s="429" t="s">
        <v>118</v>
      </c>
      <c r="BF541" s="290"/>
      <c r="BG541" s="290"/>
      <c r="BH541" s="290"/>
      <c r="BI541" s="290"/>
    </row>
    <row r="542" spans="1:61" ht="15.75" customHeight="1">
      <c r="A542" s="514"/>
      <c r="B542" s="450" t="s">
        <v>501</v>
      </c>
      <c r="C542" s="3">
        <f>+$C$540+$G$541</f>
        <v>42987.95</v>
      </c>
      <c r="D542" s="83"/>
      <c r="E542" s="4"/>
      <c r="F542" s="4">
        <f>IF(C542&gt;0,VLOOKUP(C542,'ALIGNMENT TRACK'!$A$1:$K$81,9,1))</f>
        <v>0</v>
      </c>
      <c r="G542" s="6"/>
      <c r="H542" s="449"/>
      <c r="I542" s="4"/>
      <c r="J542" s="3"/>
      <c r="K542" s="449"/>
      <c r="L542" s="449" t="s">
        <v>153</v>
      </c>
      <c r="M542" s="449" t="str">
        <f>IF(L542="","",
IF(AX542="PT",VLOOKUP(L542,Foundation_Calc!$V$79:$X$113,VLOOKUP(AX542,Foundation_Calc!$I$10:$J$13,2,FALSE),0),
IF(AX542="K",VLOOKUP(L542,Foundation_Calc!$V$117:$X$151,VLOOKUP(AX542,Foundation_Calc!$I$10:$J$13,2,FALSE),0),"")))</f>
        <v>C3R</v>
      </c>
      <c r="N542" s="449" t="s">
        <v>124</v>
      </c>
      <c r="O542" s="449"/>
      <c r="P542" s="449"/>
      <c r="Q542" s="4"/>
      <c r="R542" s="6"/>
      <c r="S542" s="6"/>
      <c r="T542" s="4">
        <v>-35</v>
      </c>
      <c r="U542" s="4"/>
      <c r="V542" s="4"/>
      <c r="W542" s="572">
        <v>1.2</v>
      </c>
      <c r="X542" s="9"/>
      <c r="Y542" s="9"/>
      <c r="Z542" s="9"/>
      <c r="AA542" s="9"/>
      <c r="AB542" s="9"/>
      <c r="AC542" s="449" t="str">
        <f t="shared" si="62"/>
        <v>PHQ</v>
      </c>
      <c r="AD542" s="449"/>
      <c r="AE542" s="449"/>
      <c r="AF542" s="4"/>
      <c r="AG542" s="83"/>
      <c r="AH542" s="4"/>
      <c r="AI542" s="4"/>
      <c r="AJ542" s="449"/>
      <c r="AK542" s="449"/>
      <c r="AL542" s="449"/>
      <c r="AM542" s="449" t="s">
        <v>126</v>
      </c>
      <c r="AN542" s="10">
        <v>5.5</v>
      </c>
      <c r="AO542" s="9"/>
      <c r="AP542" s="9"/>
      <c r="AQ542" s="9"/>
      <c r="AR542" s="9"/>
      <c r="AS542" s="9"/>
      <c r="AT542" s="9">
        <f>+ab($T$542,$T$540,$T$544,$G$541,$G$543,-1*$F$542,1200)</f>
        <v>-7.495600280563588</v>
      </c>
      <c r="AU542" s="428"/>
      <c r="AV542" s="428"/>
      <c r="AW542" s="449" t="str">
        <f>IF(C542&gt;0,VLOOKUP(C542,Foundation_Calc!$A$2:$C$13,3,1),
IF(J542&gt;0,VLOOKUP(J542,Foundation_Calc!$A$2:$C$13,3,1),""))</f>
        <v>Multi Soil</v>
      </c>
      <c r="AX542" s="449" t="str">
        <f>IF(C542&gt;0,VLOOKUP(C542,Foundation_Calc!$E$2:$G$33,3,1),
IF(J542&gt;0,VLOOKUP(J542,Foundation_Calc!$E$2:$G$33,3,1),""))</f>
        <v>PT</v>
      </c>
      <c r="AY542" s="10">
        <f>IF(L542="","",
IF(AX542="PT",VLOOKUP(L542,Foundation_Calc!$K$79:$R$113,VLOOKUP(AW542,Foundation_Calc!$I$2:$J$8,2,FALSE),0),
IF(AX542="K",VLOOKUP(L542,Foundation_Calc!$K$117:$R$151,VLOOKUP(AW542,Foundation_Calc!$I$2:$J$8,2,FALSE),0),"")))</f>
        <v>3.5</v>
      </c>
      <c r="AZ542" s="10" t="str">
        <f>IF(K542="","",
IF(AX542="PT",VLOOKUP(K542,Foundation_Calc!$K$79:$R$113,VLOOKUP(AW542,Foundation_Calc!$I$2:$J$8,2,FALSE),0),
IF(AX542="K",VLOOKUP(K542,Foundation_Calc!$K$117:$R$151,VLOOKUP(AW542,Foundation_Calc!$I$2:$J$8,2,FALSE),0),"")))</f>
        <v/>
      </c>
      <c r="BA542" s="495" t="str">
        <f t="shared" si="63"/>
        <v>ü</v>
      </c>
      <c r="BB542" s="495" t="str">
        <f t="shared" si="64"/>
        <v/>
      </c>
      <c r="BC542" s="495" t="str">
        <f t="shared" si="65"/>
        <v/>
      </c>
      <c r="BD542" s="513" t="str">
        <f>IF(AND(L542="",H542=""),"",
IF(H542="",Pole_Calc!A$9,
IF(H542="MP",Pole_Calc!A$10,
IF(H542="AnMP",Pole_Calc!A$11,
IF(H542="A",Pole_Calc!A$12,
IF(H542="S/A",Pole_Calc!A$13,
IF(H542="A/S",Pole_Calc!A$14,"Poner a mano")))))))</f>
        <v>App.7-V11I-P9.5.1.1</v>
      </c>
      <c r="BE542" s="429" t="s">
        <v>118</v>
      </c>
      <c r="BF542" s="289"/>
      <c r="BG542" s="289"/>
      <c r="BH542" s="290"/>
      <c r="BI542" s="289"/>
    </row>
    <row r="543" spans="1:61" ht="15.75" customHeight="1">
      <c r="A543" s="514"/>
      <c r="B543" s="450"/>
      <c r="C543" s="3"/>
      <c r="D543" s="83"/>
      <c r="E543" s="4"/>
      <c r="F543" s="4"/>
      <c r="G543" s="6">
        <v>55</v>
      </c>
      <c r="H543" s="449"/>
      <c r="I543" s="4"/>
      <c r="J543" s="3"/>
      <c r="K543" s="449"/>
      <c r="L543" s="449"/>
      <c r="M543" s="449" t="str">
        <f>IF(L543="","",
IF(AX543="PT",VLOOKUP(L543,Foundation_Calc!$V$79:$X$113,VLOOKUP(AX543,Foundation_Calc!$I$10:$J$13,2,FALSE),0),
IF(AX543="K",VLOOKUP(L543,Foundation_Calc!$V$117:$X$151,VLOOKUP(AX543,Foundation_Calc!$I$10:$J$13,2,FALSE),0),"")))</f>
        <v/>
      </c>
      <c r="N543" s="449"/>
      <c r="O543" s="449"/>
      <c r="P543" s="449"/>
      <c r="Q543" s="4"/>
      <c r="R543" s="6"/>
      <c r="S543" s="6"/>
      <c r="T543" s="4"/>
      <c r="U543" s="4"/>
      <c r="V543" s="4"/>
      <c r="W543" s="9"/>
      <c r="X543" s="9"/>
      <c r="Y543" s="9"/>
      <c r="Z543" s="9"/>
      <c r="AA543" s="9"/>
      <c r="AB543" s="9"/>
      <c r="AC543" s="449" t="str">
        <f t="shared" si="62"/>
        <v/>
      </c>
      <c r="AD543" s="449"/>
      <c r="AE543" s="449"/>
      <c r="AF543" s="4"/>
      <c r="AG543" s="83"/>
      <c r="AH543" s="4"/>
      <c r="AI543" s="4"/>
      <c r="AJ543" s="449"/>
      <c r="AK543" s="449"/>
      <c r="AL543" s="449"/>
      <c r="AM543" s="449"/>
      <c r="AN543" s="10"/>
      <c r="AO543" s="9"/>
      <c r="AP543" s="9"/>
      <c r="AQ543" s="9">
        <f>+FL_2($T$544,$T$542,$G$543,1200,9.28,-1*$F$544)</f>
        <v>-0.39714735709090898</v>
      </c>
      <c r="AR543" s="9"/>
      <c r="AS543" s="9"/>
      <c r="AT543" s="9"/>
      <c r="AU543" s="428"/>
      <c r="AV543" s="428"/>
      <c r="AW543" s="449" t="str">
        <f>IF(C543&gt;0,VLOOKUP(C543,Foundation_Calc!$A$2:$C$13,3,1),
IF(J543&gt;0,VLOOKUP(J543,Foundation_Calc!$A$2:$C$13,3,1),""))</f>
        <v/>
      </c>
      <c r="AX543" s="449" t="str">
        <f>IF(C543&gt;0,VLOOKUP(C543,Foundation_Calc!$E$2:$G$33,3,1),
IF(J543&gt;0,VLOOKUP(J543,Foundation_Calc!$E$2:$G$33,3,1),""))</f>
        <v/>
      </c>
      <c r="AY543" s="10" t="str">
        <f>IF(L543="","",
IF(AX543="PT",VLOOKUP(L543,Foundation_Calc!$K$79:$R$113,VLOOKUP(AW543,Foundation_Calc!$I$2:$J$8,2,FALSE),0),
IF(AX543="K",VLOOKUP(L543,Foundation_Calc!$K$117:$R$151,VLOOKUP(AW543,Foundation_Calc!$I$2:$J$8,2,FALSE),0),"")))</f>
        <v/>
      </c>
      <c r="AZ543" s="10" t="str">
        <f>IF(K543="","",
IF(AX543="PT",VLOOKUP(K543,Foundation_Calc!$K$79:$R$113,VLOOKUP(AW543,Foundation_Calc!$I$2:$J$8,2,FALSE),0),
IF(AX543="K",VLOOKUP(K543,Foundation_Calc!$K$117:$R$151,VLOOKUP(AW543,Foundation_Calc!$I$2:$J$8,2,FALSE),0),"")))</f>
        <v/>
      </c>
      <c r="BA543" s="495" t="str">
        <f t="shared" si="63"/>
        <v/>
      </c>
      <c r="BB543" s="495" t="str">
        <f t="shared" si="64"/>
        <v/>
      </c>
      <c r="BC543" s="495" t="str">
        <f t="shared" si="65"/>
        <v/>
      </c>
      <c r="BD543" s="513" t="str">
        <f>IF(AND(L543="",H543=""),"",
IF(H543="",Pole_Calc!A$9,
IF(H543="MP",Pole_Calc!A$10,
IF(H543="AnMP",Pole_Calc!A$11,
IF(H543="A",Pole_Calc!A$12,
IF(H543="S/A",Pole_Calc!A$13,
IF(H543="A/S",Pole_Calc!A$14,"Poner a mano")))))))</f>
        <v/>
      </c>
      <c r="BE543" s="429" t="s">
        <v>118</v>
      </c>
      <c r="BF543" s="290"/>
      <c r="BG543" s="290"/>
      <c r="BH543" s="290"/>
      <c r="BI543" s="290"/>
    </row>
    <row r="544" spans="1:61" ht="15.75" customHeight="1">
      <c r="A544" s="514"/>
      <c r="B544" s="450" t="s">
        <v>502</v>
      </c>
      <c r="C544" s="3">
        <f>+$C$542+$G$543</f>
        <v>43042.95</v>
      </c>
      <c r="D544" s="83"/>
      <c r="E544" s="4"/>
      <c r="F544" s="4">
        <f>IF(C544&gt;0,VLOOKUP(C544,'ALIGNMENT TRACK'!$A$1:$K$81,9,1))</f>
        <v>0</v>
      </c>
      <c r="G544" s="6"/>
      <c r="H544" s="449"/>
      <c r="I544" s="4"/>
      <c r="J544" s="3"/>
      <c r="K544" s="449"/>
      <c r="L544" s="449" t="s">
        <v>153</v>
      </c>
      <c r="M544" s="449" t="str">
        <f>IF(L544="","",
IF(AX544="PT",VLOOKUP(L544,Foundation_Calc!$V$79:$X$113,VLOOKUP(AX544,Foundation_Calc!$I$10:$J$13,2,FALSE),0),
IF(AX544="K",VLOOKUP(L544,Foundation_Calc!$V$117:$X$151,VLOOKUP(AX544,Foundation_Calc!$I$10:$J$13,2,FALSE),0),"")))</f>
        <v>C3R</v>
      </c>
      <c r="N544" s="449" t="s">
        <v>134</v>
      </c>
      <c r="O544" s="449"/>
      <c r="P544" s="449"/>
      <c r="Q544" s="4"/>
      <c r="R544" s="6"/>
      <c r="S544" s="6"/>
      <c r="T544" s="4">
        <v>35</v>
      </c>
      <c r="U544" s="4"/>
      <c r="V544" s="4"/>
      <c r="W544" s="9">
        <v>1.4</v>
      </c>
      <c r="X544" s="9"/>
      <c r="Y544" s="9"/>
      <c r="Z544" s="9"/>
      <c r="AA544" s="9"/>
      <c r="AB544" s="9"/>
      <c r="AC544" s="449" t="str">
        <f t="shared" si="62"/>
        <v>PHQ</v>
      </c>
      <c r="AD544" s="449"/>
      <c r="AE544" s="449"/>
      <c r="AF544" s="4"/>
      <c r="AG544" s="83"/>
      <c r="AH544" s="4"/>
      <c r="AI544" s="4"/>
      <c r="AJ544" s="449"/>
      <c r="AK544" s="449"/>
      <c r="AL544" s="449"/>
      <c r="AM544" s="449" t="s">
        <v>126</v>
      </c>
      <c r="AN544" s="10">
        <v>5.5</v>
      </c>
      <c r="AO544" s="9"/>
      <c r="AP544" s="9"/>
      <c r="AQ544" s="9"/>
      <c r="AR544" s="9"/>
      <c r="AS544" s="9"/>
      <c r="AT544" s="9">
        <f>+ab($T$544,$T$542,$T$546,$G$543,$G$545,-1*$F$544,1200)</f>
        <v>7.1424146886693025</v>
      </c>
      <c r="AU544" s="428"/>
      <c r="AV544" s="428"/>
      <c r="AW544" s="449" t="str">
        <f>IF(C544&gt;0,VLOOKUP(C544,Foundation_Calc!$A$2:$C$13,3,1),
IF(J544&gt;0,VLOOKUP(J544,Foundation_Calc!$A$2:$C$13,3,1),""))</f>
        <v>Multi Soil</v>
      </c>
      <c r="AX544" s="449" t="str">
        <f>IF(C544&gt;0,VLOOKUP(C544,Foundation_Calc!$E$2:$G$33,3,1),
IF(J544&gt;0,VLOOKUP(J544,Foundation_Calc!$E$2:$G$33,3,1),""))</f>
        <v>PT</v>
      </c>
      <c r="AY544" s="10">
        <f>IF(L544="","",
IF(AX544="PT",VLOOKUP(L544,Foundation_Calc!$K$79:$R$113,VLOOKUP(AW544,Foundation_Calc!$I$2:$J$8,2,FALSE),0),
IF(AX544="K",VLOOKUP(L544,Foundation_Calc!$K$117:$R$151,VLOOKUP(AW544,Foundation_Calc!$I$2:$J$8,2,FALSE),0),"")))</f>
        <v>3.5</v>
      </c>
      <c r="AZ544" s="10" t="str">
        <f>IF(K544="","",
IF(AX544="PT",VLOOKUP(K544,Foundation_Calc!$K$79:$R$113,VLOOKUP(AW544,Foundation_Calc!$I$2:$J$8,2,FALSE),0),
IF(AX544="K",VLOOKUP(K544,Foundation_Calc!$K$117:$R$151,VLOOKUP(AW544,Foundation_Calc!$I$2:$J$8,2,FALSE),0),"")))</f>
        <v/>
      </c>
      <c r="BA544" s="495" t="str">
        <f t="shared" si="63"/>
        <v>ü</v>
      </c>
      <c r="BB544" s="495" t="str">
        <f t="shared" si="64"/>
        <v/>
      </c>
      <c r="BC544" s="495" t="str">
        <f t="shared" si="65"/>
        <v/>
      </c>
      <c r="BD544" s="513" t="str">
        <f>IF(AND(L544="",H544=""),"",
IF(H544="",Pole_Calc!A$9,
IF(H544="MP",Pole_Calc!A$10,
IF(H544="AnMP",Pole_Calc!A$11,
IF(H544="A",Pole_Calc!A$12,
IF(H544="S/A",Pole_Calc!A$13,
IF(H544="A/S",Pole_Calc!A$14,"Poner a mano")))))))</f>
        <v>App.7-V11I-P9.5.1.1</v>
      </c>
      <c r="BE544" s="429" t="s">
        <v>118</v>
      </c>
      <c r="BF544" s="289"/>
      <c r="BG544" s="289"/>
      <c r="BH544" s="290"/>
      <c r="BI544" s="289"/>
    </row>
    <row r="545" spans="1:61" ht="15.75" customHeight="1">
      <c r="A545" s="518"/>
      <c r="B545" s="450"/>
      <c r="C545" s="3"/>
      <c r="D545" s="83"/>
      <c r="E545" s="4"/>
      <c r="F545" s="4"/>
      <c r="G545" s="6">
        <v>50</v>
      </c>
      <c r="H545" s="449"/>
      <c r="I545" s="4"/>
      <c r="J545" s="3">
        <f>C546-7.5</f>
        <v>43085.45</v>
      </c>
      <c r="K545" s="449" t="s">
        <v>166</v>
      </c>
      <c r="L545" s="449"/>
      <c r="M545" s="449" t="str">
        <f>IF(L545="","",
IF(AX545="PT",VLOOKUP(L545,Foundation_Calc!$V$79:$X$113,VLOOKUP(AX545,Foundation_Calc!$I$10:$J$13,2,FALSE),0),
IF(AX545="K",VLOOKUP(L545,Foundation_Calc!$V$117:$X$151,VLOOKUP(AX545,Foundation_Calc!$I$10:$J$13,2,FALSE),0),"")))</f>
        <v/>
      </c>
      <c r="N545" s="449"/>
      <c r="O545" s="449"/>
      <c r="P545" s="449"/>
      <c r="Q545" s="4"/>
      <c r="R545" s="6"/>
      <c r="S545" s="6"/>
      <c r="T545" s="4"/>
      <c r="U545" s="4"/>
      <c r="V545" s="4"/>
      <c r="W545" s="9"/>
      <c r="X545" s="9"/>
      <c r="Y545" s="9"/>
      <c r="Z545" s="9"/>
      <c r="AA545" s="9"/>
      <c r="AB545" s="9"/>
      <c r="AC545" s="449" t="str">
        <f t="shared" si="62"/>
        <v/>
      </c>
      <c r="AD545" s="449"/>
      <c r="AE545" s="449"/>
      <c r="AF545" s="4"/>
      <c r="AG545" s="83"/>
      <c r="AH545" s="4"/>
      <c r="AI545" s="4"/>
      <c r="AJ545" s="449"/>
      <c r="AK545" s="449"/>
      <c r="AL545" s="449"/>
      <c r="AM545" s="449"/>
      <c r="AN545" s="10"/>
      <c r="AO545" s="9"/>
      <c r="AP545" s="9"/>
      <c r="AQ545" s="9">
        <f>+FL_2($T$546,$T$544,$G$545,1200,9.28,-1*$F$546)</f>
        <v>-0.36839079999999996</v>
      </c>
      <c r="AR545" s="9"/>
      <c r="AS545" s="9"/>
      <c r="AT545" s="9"/>
      <c r="AU545" s="428"/>
      <c r="AV545" s="428"/>
      <c r="AW545" s="449" t="str">
        <f>IF(C545&gt;0,VLOOKUP(C545,Foundation_Calc!$A$2:$C$13,3,1),
IF(J545&gt;0,VLOOKUP(J545,Foundation_Calc!$A$2:$C$13,3,1),""))</f>
        <v>Multi Soil</v>
      </c>
      <c r="AX545" s="449" t="str">
        <f>IF(C545&gt;0,VLOOKUP(C545,Foundation_Calc!$E$2:$G$33,3,1),
IF(J545&gt;0,VLOOKUP(J545,Foundation_Calc!$E$2:$G$33,3,1),""))</f>
        <v>PT</v>
      </c>
      <c r="AY545" s="10" t="str">
        <f>IF(L545="","",
IF(AX545="PT",VLOOKUP(L545,Foundation_Calc!$K$79:$R$113,VLOOKUP(AW545,Foundation_Calc!$I$2:$J$8,2,FALSE),0),
IF(AX545="K",VLOOKUP(L545,Foundation_Calc!$K$117:$R$151,VLOOKUP(AW545,Foundation_Calc!$I$2:$J$8,2,FALSE),0),"")))</f>
        <v/>
      </c>
      <c r="AZ545" s="10">
        <f>IF(K545="","",
IF(AX545="PT",VLOOKUP(K545,Foundation_Calc!$K$79:$R$113,VLOOKUP(AW545,Foundation_Calc!$I$2:$J$8,2,FALSE),0),
IF(AX545="K",VLOOKUP(K545,Foundation_Calc!$K$117:$R$151,VLOOKUP(AW545,Foundation_Calc!$I$2:$J$8,2,FALSE),0),"")))</f>
        <v>2.8</v>
      </c>
      <c r="BA545" s="495" t="str">
        <f t="shared" si="63"/>
        <v/>
      </c>
      <c r="BB545" s="495" t="str">
        <f t="shared" si="64"/>
        <v>ü</v>
      </c>
      <c r="BC545" s="495" t="str">
        <f t="shared" si="65"/>
        <v/>
      </c>
      <c r="BD545" s="513" t="str">
        <f>IF(AND(L545="",H545=""),"",
IF(H545="",Pole_Calc!A$9,
IF(H545="MP",Pole_Calc!A$10,
IF(H545="AnMP",Pole_Calc!A$11,
IF(H545="A",Pole_Calc!A$12,
IF(H545="S/A",Pole_Calc!A$13,
IF(H545="A/S",Pole_Calc!A$14,"Poner a mano")))))))</f>
        <v/>
      </c>
      <c r="BE545" s="429" t="s">
        <v>118</v>
      </c>
      <c r="BF545" s="290"/>
      <c r="BG545" s="290"/>
      <c r="BH545" s="290"/>
      <c r="BI545" s="290"/>
    </row>
    <row r="546" spans="1:61" ht="15.75" customHeight="1">
      <c r="A546" s="514"/>
      <c r="B546" s="450" t="s">
        <v>503</v>
      </c>
      <c r="C546" s="3">
        <f>+$C$544+$G$545</f>
        <v>43092.95</v>
      </c>
      <c r="D546" s="83"/>
      <c r="E546" s="4"/>
      <c r="F546" s="4">
        <f>IF(C546&gt;0,VLOOKUP(C546,'ALIGNMENT TRACK'!$A$1:$K$81,9,1))</f>
        <v>0</v>
      </c>
      <c r="G546" s="6"/>
      <c r="H546" s="449" t="s">
        <v>168</v>
      </c>
      <c r="I546" s="4">
        <f>SUM(G523:G547)</f>
        <v>647.9</v>
      </c>
      <c r="J546" s="3"/>
      <c r="K546" s="449"/>
      <c r="L546" s="449" t="s">
        <v>158</v>
      </c>
      <c r="M546" s="449" t="str">
        <f>IF(L546="","",
IF(AX546="PT",VLOOKUP(L546,Foundation_Calc!$V$79:$X$113,VLOOKUP(AX546,Foundation_Calc!$I$10:$J$13,2,FALSE),0),
IF(AX546="K",VLOOKUP(L546,Foundation_Calc!$V$117:$X$151,VLOOKUP(AX546,Foundation_Calc!$I$10:$J$13,2,FALSE),0),"")))</f>
        <v>C4R</v>
      </c>
      <c r="N546" s="449" t="s">
        <v>124</v>
      </c>
      <c r="O546" s="449"/>
      <c r="P546" s="449"/>
      <c r="Q546" s="4"/>
      <c r="R546" s="6"/>
      <c r="S546" s="6"/>
      <c r="T546" s="4">
        <v>-35</v>
      </c>
      <c r="U546" s="4"/>
      <c r="V546" s="4"/>
      <c r="W546" s="9">
        <v>1.4</v>
      </c>
      <c r="X546" s="9"/>
      <c r="Y546" s="9"/>
      <c r="Z546" s="9"/>
      <c r="AA546" s="9"/>
      <c r="AB546" s="9"/>
      <c r="AC546" s="449" t="str">
        <f t="shared" si="62"/>
        <v>PHQ</v>
      </c>
      <c r="AD546" s="449"/>
      <c r="AE546" s="449"/>
      <c r="AF546" s="4"/>
      <c r="AG546" s="83"/>
      <c r="AH546" s="4"/>
      <c r="AI546" s="4"/>
      <c r="AJ546" s="449"/>
      <c r="AK546" s="449"/>
      <c r="AL546" s="449"/>
      <c r="AM546" s="449" t="s">
        <v>126</v>
      </c>
      <c r="AN546" s="10">
        <v>5.5</v>
      </c>
      <c r="AO546" s="9"/>
      <c r="AP546" s="9"/>
      <c r="AQ546" s="9"/>
      <c r="AR546" s="9"/>
      <c r="AS546" s="9"/>
      <c r="AT546" s="9">
        <f>+ab($T$546,$T$544,$T$548,$G$545,$G$547,-1*$F$546,1200)</f>
        <v>-7.1424424584170572</v>
      </c>
      <c r="AU546" s="428"/>
      <c r="AV546" s="428"/>
      <c r="AW546" s="449" t="str">
        <f>IF(C546&gt;0,VLOOKUP(C546,Foundation_Calc!$A$2:$C$13,3,1),
IF(J546&gt;0,VLOOKUP(J546,Foundation_Calc!$A$2:$C$13,3,1),""))</f>
        <v>Multi Soil</v>
      </c>
      <c r="AX546" s="449" t="str">
        <f>IF(C546&gt;0,VLOOKUP(C546,Foundation_Calc!$E$2:$G$33,3,1),
IF(J546&gt;0,VLOOKUP(J546,Foundation_Calc!$E$2:$G$33,3,1),""))</f>
        <v>PT</v>
      </c>
      <c r="AY546" s="10">
        <f>IF(L546="","",
IF(AX546="PT",VLOOKUP(L546,Foundation_Calc!$K$79:$R$113,VLOOKUP(AW546,Foundation_Calc!$I$2:$J$8,2,FALSE),0),
IF(AX546="K",VLOOKUP(L546,Foundation_Calc!$K$117:$R$151,VLOOKUP(AW546,Foundation_Calc!$I$2:$J$8,2,FALSE),0),"")))</f>
        <v>3.5</v>
      </c>
      <c r="AZ546" s="10" t="str">
        <f>IF(K546="","",
IF(AX546="PT",VLOOKUP(K546,Foundation_Calc!$K$79:$R$113,VLOOKUP(AW546,Foundation_Calc!$I$2:$J$8,2,FALSE),0),
IF(AX546="K",VLOOKUP(K546,Foundation_Calc!$K$117:$R$151,VLOOKUP(AW546,Foundation_Calc!$I$2:$J$8,2,FALSE),0),"")))</f>
        <v/>
      </c>
      <c r="BA546" s="495" t="str">
        <f t="shared" si="63"/>
        <v>ü</v>
      </c>
      <c r="BB546" s="495" t="str">
        <f t="shared" si="64"/>
        <v/>
      </c>
      <c r="BC546" s="495" t="str">
        <f t="shared" si="65"/>
        <v/>
      </c>
      <c r="BD546" s="513" t="str">
        <f>IF(AND(L546="",H546=""),"",
IF(H546="",Pole_Calc!A$9,
IF(H546="MP",Pole_Calc!A$10,
IF(H546="AnMP",Pole_Calc!A$11,
IF(H546="A",Pole_Calc!A$12,
IF(H546="S/A",Pole_Calc!A$13,
IF(H546="A/S",Pole_Calc!A$14,"Poner a mano")))))))</f>
        <v>App.7-V11I-P9.5.1.3</v>
      </c>
      <c r="BE546" s="429" t="s">
        <v>118</v>
      </c>
      <c r="BF546" s="289"/>
      <c r="BG546" s="289"/>
      <c r="BH546" s="290"/>
      <c r="BI546" s="289"/>
    </row>
    <row r="547" spans="1:61" ht="15.75" customHeight="1">
      <c r="A547" s="514"/>
      <c r="B547" s="450"/>
      <c r="C547" s="3"/>
      <c r="D547" s="83"/>
      <c r="E547" s="4"/>
      <c r="F547" s="4"/>
      <c r="G547" s="6">
        <v>55</v>
      </c>
      <c r="H547" s="449"/>
      <c r="I547" s="4" t="s">
        <v>195</v>
      </c>
      <c r="J547" s="3">
        <f>C548-7.5</f>
        <v>43140.45</v>
      </c>
      <c r="K547" s="449" t="s">
        <v>166</v>
      </c>
      <c r="L547" s="449"/>
      <c r="M547" s="449" t="str">
        <f>IF(L547="","",
IF(AX547="PT",VLOOKUP(L547,Foundation_Calc!$V$79:$X$113,VLOOKUP(AX547,Foundation_Calc!$I$10:$J$13,2,FALSE),0),
IF(AX547="K",VLOOKUP(L547,Foundation_Calc!$V$117:$X$151,VLOOKUP(AX547,Foundation_Calc!$I$10:$J$13,2,FALSE),0),"")))</f>
        <v/>
      </c>
      <c r="N547" s="449"/>
      <c r="O547" s="449"/>
      <c r="P547" s="449"/>
      <c r="Q547" s="4"/>
      <c r="R547" s="6"/>
      <c r="S547" s="6"/>
      <c r="T547" s="4"/>
      <c r="U547" s="4"/>
      <c r="V547" s="4"/>
      <c r="W547" s="9"/>
      <c r="X547" s="9"/>
      <c r="Y547" s="9"/>
      <c r="Z547" s="9"/>
      <c r="AA547" s="9"/>
      <c r="AB547" s="9"/>
      <c r="AC547" s="449" t="str">
        <f t="shared" si="62"/>
        <v/>
      </c>
      <c r="AD547" s="449"/>
      <c r="AE547" s="449"/>
      <c r="AF547" s="4"/>
      <c r="AG547" s="83"/>
      <c r="AH547" s="4"/>
      <c r="AI547" s="4"/>
      <c r="AJ547" s="449"/>
      <c r="AK547" s="449"/>
      <c r="AL547" s="449"/>
      <c r="AM547" s="449"/>
      <c r="AN547" s="10"/>
      <c r="AO547" s="9"/>
      <c r="AP547" s="9"/>
      <c r="AQ547" s="9">
        <f>+FL_2($T$548,$T$546,$G$547,1200,9.28,-1*$F$548)</f>
        <v>-0.39714735709090898</v>
      </c>
      <c r="AR547" s="9"/>
      <c r="AS547" s="9"/>
      <c r="AT547" s="9"/>
      <c r="AU547" s="428"/>
      <c r="AV547" s="428"/>
      <c r="AW547" s="449" t="str">
        <f>IF(C547&gt;0,VLOOKUP(C547,Foundation_Calc!$A$2:$C$13,3,1),
IF(J547&gt;0,VLOOKUP(J547,Foundation_Calc!$A$2:$C$13,3,1),""))</f>
        <v>Multi Soil</v>
      </c>
      <c r="AX547" s="449" t="str">
        <f>IF(C547&gt;0,VLOOKUP(C547,Foundation_Calc!$E$2:$G$33,3,1),
IF(J547&gt;0,VLOOKUP(J547,Foundation_Calc!$E$2:$G$33,3,1),""))</f>
        <v>PT</v>
      </c>
      <c r="AY547" s="10" t="str">
        <f>IF(L547="","",
IF(AX547="PT",VLOOKUP(L547,Foundation_Calc!$K$79:$R$113,VLOOKUP(AW547,Foundation_Calc!$I$2:$J$8,2,FALSE),0),
IF(AX547="K",VLOOKUP(L547,Foundation_Calc!$K$117:$R$151,VLOOKUP(AW547,Foundation_Calc!$I$2:$J$8,2,FALSE),0),"")))</f>
        <v/>
      </c>
      <c r="AZ547" s="10">
        <f>IF(K547="","",
IF(AX547="PT",VLOOKUP(K547,Foundation_Calc!$K$79:$R$113,VLOOKUP(AW547,Foundation_Calc!$I$2:$J$8,2,FALSE),0),
IF(AX547="K",VLOOKUP(K547,Foundation_Calc!$K$117:$R$151,VLOOKUP(AW547,Foundation_Calc!$I$2:$J$8,2,FALSE),0),"")))</f>
        <v>2.8</v>
      </c>
      <c r="BA547" s="495" t="str">
        <f t="shared" si="63"/>
        <v/>
      </c>
      <c r="BB547" s="495" t="str">
        <f t="shared" si="64"/>
        <v>ü</v>
      </c>
      <c r="BC547" s="495" t="str">
        <f t="shared" si="65"/>
        <v/>
      </c>
      <c r="BD547" s="513" t="str">
        <f>IF(AND(L547="",H547=""),"",
IF(H547="",Pole_Calc!A$9,
IF(H547="MP",Pole_Calc!A$10,
IF(H547="AnMP",Pole_Calc!A$11,
IF(H547="A",Pole_Calc!A$12,
IF(H547="S/A",Pole_Calc!A$13,
IF(H547="A/S",Pole_Calc!A$14,"Poner a mano")))))))</f>
        <v/>
      </c>
      <c r="BE547" s="429" t="s">
        <v>118</v>
      </c>
      <c r="BF547" s="290"/>
      <c r="BG547" s="290"/>
      <c r="BH547" s="290"/>
      <c r="BI547" s="290"/>
    </row>
    <row r="548" spans="1:61" ht="15.75" customHeight="1">
      <c r="A548" s="514"/>
      <c r="B548" s="450" t="s">
        <v>504</v>
      </c>
      <c r="C548" s="3">
        <f>+$C$546+$G$547</f>
        <v>43147.95</v>
      </c>
      <c r="D548" s="83"/>
      <c r="E548" s="4"/>
      <c r="F548" s="4">
        <f>IF(C548&gt;0,VLOOKUP(C548,'ALIGNMENT TRACK'!$A$1:$K$81,9,1))</f>
        <v>0</v>
      </c>
      <c r="G548" s="6"/>
      <c r="H548" s="449" t="s">
        <v>171</v>
      </c>
      <c r="I548" s="4"/>
      <c r="J548" s="3"/>
      <c r="K548" s="449"/>
      <c r="L548" s="449" t="s">
        <v>158</v>
      </c>
      <c r="M548" s="449" t="str">
        <f>IF(L548="","",
IF(AX548="PT",VLOOKUP(L548,Foundation_Calc!$V$79:$X$113,VLOOKUP(AX548,Foundation_Calc!$I$10:$J$13,2,FALSE),0),
IF(AX548="K",VLOOKUP(L548,Foundation_Calc!$V$117:$X$151,VLOOKUP(AX548,Foundation_Calc!$I$10:$J$13,2,FALSE),0),"")))</f>
        <v>C4R</v>
      </c>
      <c r="N548" s="449" t="s">
        <v>134</v>
      </c>
      <c r="O548" s="449"/>
      <c r="P548" s="449"/>
      <c r="Q548" s="4"/>
      <c r="R548" s="6"/>
      <c r="S548" s="6"/>
      <c r="T548" s="4">
        <v>35</v>
      </c>
      <c r="U548" s="4"/>
      <c r="V548" s="4"/>
      <c r="W548" s="9">
        <v>1.4</v>
      </c>
      <c r="X548" s="9"/>
      <c r="Y548" s="9"/>
      <c r="Z548" s="9"/>
      <c r="AA548" s="9"/>
      <c r="AB548" s="9"/>
      <c r="AC548" s="449" t="str">
        <f t="shared" si="62"/>
        <v>PHQ</v>
      </c>
      <c r="AD548" s="449"/>
      <c r="AE548" s="449"/>
      <c r="AF548" s="4"/>
      <c r="AG548" s="83"/>
      <c r="AH548" s="4"/>
      <c r="AI548" s="4"/>
      <c r="AJ548" s="449"/>
      <c r="AK548" s="449"/>
      <c r="AL548" s="449"/>
      <c r="AM548" s="449" t="s">
        <v>126</v>
      </c>
      <c r="AN548" s="10">
        <v>5.5</v>
      </c>
      <c r="AO548" s="9"/>
      <c r="AP548" s="9"/>
      <c r="AQ548" s="9"/>
      <c r="AR548" s="9"/>
      <c r="AS548" s="9"/>
      <c r="AT548" s="9">
        <f>+ab($T$548,$T$546,$T$550,$G$547,$G$549,-1*$F$548,1200)</f>
        <v>7.4955682572493121</v>
      </c>
      <c r="AU548" s="428"/>
      <c r="AV548" s="428"/>
      <c r="AW548" s="449" t="str">
        <f>IF(C548&gt;0,VLOOKUP(C548,Foundation_Calc!$A$2:$C$13,3,1),
IF(J548&gt;0,VLOOKUP(J548,Foundation_Calc!$A$2:$C$13,3,1),""))</f>
        <v>Multi Soil</v>
      </c>
      <c r="AX548" s="449" t="str">
        <f>IF(C548&gt;0,VLOOKUP(C548,Foundation_Calc!$E$2:$G$33,3,1),
IF(J548&gt;0,VLOOKUP(J548,Foundation_Calc!$E$2:$G$33,3,1),""))</f>
        <v>PT</v>
      </c>
      <c r="AY548" s="10">
        <f>IF(L548="","",
IF(AX548="PT",VLOOKUP(L548,Foundation_Calc!$K$79:$R$113,VLOOKUP(AW548,Foundation_Calc!$I$2:$J$8,2,FALSE),0),
IF(AX548="K",VLOOKUP(L548,Foundation_Calc!$K$117:$R$151,VLOOKUP(AW548,Foundation_Calc!$I$2:$J$8,2,FALSE),0),"")))</f>
        <v>3.5</v>
      </c>
      <c r="AZ548" s="10" t="str">
        <f>IF(K548="","",
IF(AX548="PT",VLOOKUP(K548,Foundation_Calc!$K$79:$R$113,VLOOKUP(AW548,Foundation_Calc!$I$2:$J$8,2,FALSE),0),
IF(AX548="K",VLOOKUP(K548,Foundation_Calc!$K$117:$R$151,VLOOKUP(AW548,Foundation_Calc!$I$2:$J$8,2,FALSE),0),"")))</f>
        <v/>
      </c>
      <c r="BA548" s="495" t="str">
        <f t="shared" si="63"/>
        <v>ü</v>
      </c>
      <c r="BB548" s="495" t="str">
        <f t="shared" si="64"/>
        <v/>
      </c>
      <c r="BC548" s="495" t="str">
        <f t="shared" si="65"/>
        <v/>
      </c>
      <c r="BD548" s="513" t="str">
        <f>IF(AND(L548="",H548=""),"",
IF(H548="",Pole_Calc!A$9,
IF(H548="MP",Pole_Calc!A$10,
IF(H548="AnMP",Pole_Calc!A$11,
IF(H548="A",Pole_Calc!A$12,
IF(H548="S/A",Pole_Calc!A$13,
IF(H548="A/S",Pole_Calc!A$14,"Poner a mano")))))))</f>
        <v>App.7-V11I-P9.5.1.2</v>
      </c>
      <c r="BE548" s="429" t="s">
        <v>118</v>
      </c>
      <c r="BF548" s="289"/>
      <c r="BG548" s="289"/>
      <c r="BH548" s="290"/>
      <c r="BI548" s="289"/>
    </row>
    <row r="549" spans="1:61" ht="15.75" customHeight="1">
      <c r="A549" s="514"/>
      <c r="B549" s="450"/>
      <c r="C549" s="3"/>
      <c r="D549" s="83"/>
      <c r="E549" s="4"/>
      <c r="F549" s="4"/>
      <c r="G549" s="6">
        <v>55</v>
      </c>
      <c r="H549" s="449"/>
      <c r="I549" s="4" t="s">
        <v>195</v>
      </c>
      <c r="J549" s="3">
        <f>C548+7.5</f>
        <v>43155.45</v>
      </c>
      <c r="K549" s="449" t="s">
        <v>166</v>
      </c>
      <c r="L549" s="449"/>
      <c r="M549" s="449" t="str">
        <f>IF(L549="","",
IF(AX549="PT",VLOOKUP(L549,Foundation_Calc!$V$79:$X$113,VLOOKUP(AX549,Foundation_Calc!$I$10:$J$13,2,FALSE),0),
IF(AX549="K",VLOOKUP(L549,Foundation_Calc!$V$117:$X$151,VLOOKUP(AX549,Foundation_Calc!$I$10:$J$13,2,FALSE),0),"")))</f>
        <v/>
      </c>
      <c r="N549" s="449"/>
      <c r="O549" s="449"/>
      <c r="P549" s="449"/>
      <c r="Q549" s="4"/>
      <c r="R549" s="6"/>
      <c r="S549" s="6"/>
      <c r="T549" s="4"/>
      <c r="U549" s="4"/>
      <c r="V549" s="4"/>
      <c r="W549" s="9"/>
      <c r="X549" s="9"/>
      <c r="Y549" s="9"/>
      <c r="Z549" s="9"/>
      <c r="AA549" s="9"/>
      <c r="AB549" s="9"/>
      <c r="AC549" s="449" t="str">
        <f t="shared" si="62"/>
        <v/>
      </c>
      <c r="AD549" s="449"/>
      <c r="AE549" s="449"/>
      <c r="AF549" s="4"/>
      <c r="AG549" s="83"/>
      <c r="AH549" s="4"/>
      <c r="AI549" s="4"/>
      <c r="AJ549" s="449"/>
      <c r="AK549" s="449"/>
      <c r="AL549" s="449"/>
      <c r="AM549" s="449"/>
      <c r="AN549" s="10"/>
      <c r="AO549" s="9"/>
      <c r="AP549" s="9"/>
      <c r="AQ549" s="9">
        <f>+FL_1($T$550,$T$548,$G$549,1200,9.28,-1*$F$550)</f>
        <v>0.39714735709090898</v>
      </c>
      <c r="AR549" s="9"/>
      <c r="AS549" s="9"/>
      <c r="AT549" s="9"/>
      <c r="AU549" s="428"/>
      <c r="AV549" s="428"/>
      <c r="AW549" s="449" t="str">
        <f>IF(C549&gt;0,VLOOKUP(C549,Foundation_Calc!$A$2:$C$13,3,1),
IF(J549&gt;0,VLOOKUP(J549,Foundation_Calc!$A$2:$C$13,3,1),""))</f>
        <v>Multi Soil</v>
      </c>
      <c r="AX549" s="449" t="str">
        <f>IF(C549&gt;0,VLOOKUP(C549,Foundation_Calc!$E$2:$G$33,3,1),
IF(J549&gt;0,VLOOKUP(J549,Foundation_Calc!$E$2:$G$33,3,1),""))</f>
        <v>PT</v>
      </c>
      <c r="AY549" s="10" t="str">
        <f>IF(L549="","",
IF(AX549="PT",VLOOKUP(L549,Foundation_Calc!$K$79:$R$113,VLOOKUP(AW549,Foundation_Calc!$I$2:$J$8,2,FALSE),0),
IF(AX549="K",VLOOKUP(L549,Foundation_Calc!$K$117:$R$151,VLOOKUP(AW549,Foundation_Calc!$I$2:$J$8,2,FALSE),0),"")))</f>
        <v/>
      </c>
      <c r="AZ549" s="10">
        <f>IF(K549="","",
IF(AX549="PT",VLOOKUP(K549,Foundation_Calc!$K$79:$R$113,VLOOKUP(AW549,Foundation_Calc!$I$2:$J$8,2,FALSE),0),
IF(AX549="K",VLOOKUP(K549,Foundation_Calc!$K$117:$R$151,VLOOKUP(AW549,Foundation_Calc!$I$2:$J$8,2,FALSE),0),"")))</f>
        <v>2.8</v>
      </c>
      <c r="BA549" s="495" t="str">
        <f t="shared" si="63"/>
        <v/>
      </c>
      <c r="BB549" s="495" t="str">
        <f t="shared" si="64"/>
        <v>ü</v>
      </c>
      <c r="BC549" s="495" t="str">
        <f t="shared" si="65"/>
        <v/>
      </c>
      <c r="BD549" s="513" t="str">
        <f>IF(AND(L549="",H549=""),"",
IF(H549="",Pole_Calc!A$9,
IF(H549="MP",Pole_Calc!A$10,
IF(H549="AnMP",Pole_Calc!A$11,
IF(H549="A",Pole_Calc!A$12,
IF(H549="S/A",Pole_Calc!A$13,
IF(H549="A/S",Pole_Calc!A$14,"Poner a mano")))))))</f>
        <v/>
      </c>
      <c r="BE549" s="429" t="s">
        <v>118</v>
      </c>
      <c r="BF549" s="290"/>
      <c r="BG549" s="290"/>
      <c r="BH549" s="290"/>
      <c r="BI549" s="290"/>
    </row>
    <row r="550" spans="1:61" ht="15.75" customHeight="1">
      <c r="A550" s="518"/>
      <c r="B550" s="450" t="s">
        <v>505</v>
      </c>
      <c r="C550" s="3">
        <f>+$C$548+$G$549</f>
        <v>43202.95</v>
      </c>
      <c r="D550" s="83"/>
      <c r="E550" s="4"/>
      <c r="F550" s="4">
        <f>IF(C550&gt;0,VLOOKUP(C550,'ALIGNMENT TRACK'!$A$1:$K$81,9,1))</f>
        <v>0</v>
      </c>
      <c r="G550" s="6"/>
      <c r="H550" s="449" t="s">
        <v>168</v>
      </c>
      <c r="I550" s="4">
        <f>SUM(G549:G571)</f>
        <v>698</v>
      </c>
      <c r="J550" s="3"/>
      <c r="K550" s="449"/>
      <c r="L550" s="449" t="s">
        <v>158</v>
      </c>
      <c r="M550" s="449" t="str">
        <f>IF(L550="","",
IF(AX550="PT",VLOOKUP(L550,Foundation_Calc!$V$79:$X$113,VLOOKUP(AX550,Foundation_Calc!$I$10:$J$13,2,FALSE),0),
IF(AX550="K",VLOOKUP(L550,Foundation_Calc!$V$117:$X$151,VLOOKUP(AX550,Foundation_Calc!$I$10:$J$13,2,FALSE),0),"")))</f>
        <v>C4R</v>
      </c>
      <c r="N550" s="449" t="s">
        <v>124</v>
      </c>
      <c r="O550" s="449"/>
      <c r="P550" s="449"/>
      <c r="Q550" s="4"/>
      <c r="R550" s="6"/>
      <c r="S550" s="6"/>
      <c r="T550" s="4">
        <v>-35</v>
      </c>
      <c r="U550" s="4"/>
      <c r="V550" s="4"/>
      <c r="W550" s="9">
        <v>1.4</v>
      </c>
      <c r="X550" s="9"/>
      <c r="Y550" s="9"/>
      <c r="Z550" s="9"/>
      <c r="AA550" s="9"/>
      <c r="AB550" s="9"/>
      <c r="AC550" s="449" t="str">
        <f t="shared" si="62"/>
        <v>PHQ</v>
      </c>
      <c r="AD550" s="449"/>
      <c r="AE550" s="449"/>
      <c r="AF550" s="4"/>
      <c r="AG550" s="83"/>
      <c r="AH550" s="4"/>
      <c r="AI550" s="4"/>
      <c r="AJ550" s="449"/>
      <c r="AK550" s="449"/>
      <c r="AL550" s="449"/>
      <c r="AM550" s="449" t="s">
        <v>126</v>
      </c>
      <c r="AN550" s="10">
        <v>5.5</v>
      </c>
      <c r="AO550" s="9"/>
      <c r="AP550" s="9"/>
      <c r="AQ550" s="9"/>
      <c r="AR550" s="9"/>
      <c r="AS550" s="9"/>
      <c r="AT550" s="9">
        <f>+ab($T$550,$T$548,$T$552,$G$549,$G$551,-1*$F$550,1200)</f>
        <v>-7.495600280563588</v>
      </c>
      <c r="AU550" s="428"/>
      <c r="AV550" s="428"/>
      <c r="AW550" s="449" t="str">
        <f>IF(C550&gt;0,VLOOKUP(C550,Foundation_Calc!$A$2:$C$13,3,1),
IF(J550&gt;0,VLOOKUP(J550,Foundation_Calc!$A$2:$C$13,3,1),""))</f>
        <v>Multi Soil</v>
      </c>
      <c r="AX550" s="449" t="str">
        <f>IF(C550&gt;0,VLOOKUP(C550,Foundation_Calc!$E$2:$G$33,3,1),
IF(J550&gt;0,VLOOKUP(J550,Foundation_Calc!$E$2:$G$33,3,1),""))</f>
        <v>PT</v>
      </c>
      <c r="AY550" s="10">
        <f>IF(L550="","",
IF(AX550="PT",VLOOKUP(L550,Foundation_Calc!$K$79:$R$113,VLOOKUP(AW550,Foundation_Calc!$I$2:$J$8,2,FALSE),0),
IF(AX550="K",VLOOKUP(L550,Foundation_Calc!$K$117:$R$151,VLOOKUP(AW550,Foundation_Calc!$I$2:$J$8,2,FALSE),0),"")))</f>
        <v>3.5</v>
      </c>
      <c r="AZ550" s="10" t="str">
        <f>IF(K550="","",
IF(AX550="PT",VLOOKUP(K550,Foundation_Calc!$K$79:$R$113,VLOOKUP(AW550,Foundation_Calc!$I$2:$J$8,2,FALSE),0),
IF(AX550="K",VLOOKUP(K550,Foundation_Calc!$K$117:$R$151,VLOOKUP(AW550,Foundation_Calc!$I$2:$J$8,2,FALSE),0),"")))</f>
        <v/>
      </c>
      <c r="BA550" s="495" t="str">
        <f t="shared" si="63"/>
        <v>ü</v>
      </c>
      <c r="BB550" s="495" t="str">
        <f t="shared" si="64"/>
        <v/>
      </c>
      <c r="BC550" s="495" t="str">
        <f t="shared" si="65"/>
        <v/>
      </c>
      <c r="BD550" s="513" t="str">
        <f>IF(AND(L550="",H550=""),"",
IF(H550="",Pole_Calc!A$9,
IF(H550="MP",Pole_Calc!A$10,
IF(H550="AnMP",Pole_Calc!A$11,
IF(H550="A",Pole_Calc!A$12,
IF(H550="S/A",Pole_Calc!A$13,
IF(H550="A/S",Pole_Calc!A$14,"Poner a mano")))))))</f>
        <v>App.7-V11I-P9.5.1.3</v>
      </c>
      <c r="BE550" s="429" t="s">
        <v>118</v>
      </c>
      <c r="BF550" s="289"/>
      <c r="BG550" s="289"/>
      <c r="BH550" s="290"/>
      <c r="BI550" s="289"/>
    </row>
    <row r="551" spans="1:61" ht="15.75" customHeight="1">
      <c r="A551" s="518"/>
      <c r="B551" s="450"/>
      <c r="C551" s="3"/>
      <c r="D551" s="83"/>
      <c r="E551" s="4"/>
      <c r="F551" s="4"/>
      <c r="G551" s="6">
        <v>55</v>
      </c>
      <c r="H551" s="449"/>
      <c r="I551" s="4"/>
      <c r="J551" s="3">
        <f>C550+7.5</f>
        <v>43210.45</v>
      </c>
      <c r="K551" s="449" t="s">
        <v>166</v>
      </c>
      <c r="L551" s="449"/>
      <c r="M551" s="449" t="str">
        <f>IF(L551="","",
IF(AX551="PT",VLOOKUP(L551,Foundation_Calc!$V$79:$X$113,VLOOKUP(AX551,Foundation_Calc!$I$10:$J$13,2,FALSE),0),
IF(AX551="K",VLOOKUP(L551,Foundation_Calc!$V$117:$X$151,VLOOKUP(AX551,Foundation_Calc!$I$10:$J$13,2,FALSE),0),"")))</f>
        <v/>
      </c>
      <c r="N551" s="449"/>
      <c r="O551" s="449"/>
      <c r="P551" s="449"/>
      <c r="Q551" s="4"/>
      <c r="R551" s="6"/>
      <c r="S551" s="6"/>
      <c r="T551" s="4"/>
      <c r="U551" s="4"/>
      <c r="V551" s="4"/>
      <c r="W551" s="9"/>
      <c r="X551" s="9"/>
      <c r="Y551" s="9"/>
      <c r="Z551" s="9"/>
      <c r="AA551" s="9"/>
      <c r="AB551" s="9"/>
      <c r="AC551" s="449" t="str">
        <f t="shared" si="62"/>
        <v/>
      </c>
      <c r="AD551" s="449"/>
      <c r="AE551" s="449"/>
      <c r="AF551" s="4"/>
      <c r="AG551" s="83"/>
      <c r="AH551" s="4"/>
      <c r="AI551" s="4"/>
      <c r="AJ551" s="449"/>
      <c r="AK551" s="449"/>
      <c r="AL551" s="449"/>
      <c r="AM551" s="449"/>
      <c r="AN551" s="10"/>
      <c r="AO551" s="9"/>
      <c r="AP551" s="9"/>
      <c r="AQ551" s="9">
        <f>+FL_2($T$552,$T$550,$G$551,1200,9.28,-1*$F$552)</f>
        <v>-0.39714735709090898</v>
      </c>
      <c r="AR551" s="9"/>
      <c r="AS551" s="9"/>
      <c r="AT551" s="9"/>
      <c r="AU551" s="428"/>
      <c r="AV551" s="428"/>
      <c r="AW551" s="449" t="str">
        <f>IF(C551&gt;0,VLOOKUP(C551,Foundation_Calc!$A$2:$C$13,3,1),
IF(J551&gt;0,VLOOKUP(J551,Foundation_Calc!$A$2:$C$13,3,1),""))</f>
        <v>Multi Soil</v>
      </c>
      <c r="AX551" s="449" t="str">
        <f>IF(C551&gt;0,VLOOKUP(C551,Foundation_Calc!$E$2:$G$33,3,1),
IF(J551&gt;0,VLOOKUP(J551,Foundation_Calc!$E$2:$G$33,3,1),""))</f>
        <v>PT</v>
      </c>
      <c r="AY551" s="10" t="str">
        <f>IF(L551="","",
IF(AX551="PT",VLOOKUP(L551,Foundation_Calc!$K$79:$R$113,VLOOKUP(AW551,Foundation_Calc!$I$2:$J$8,2,FALSE),0),
IF(AX551="K",VLOOKUP(L551,Foundation_Calc!$K$117:$R$151,VLOOKUP(AW551,Foundation_Calc!$I$2:$J$8,2,FALSE),0),"")))</f>
        <v/>
      </c>
      <c r="AZ551" s="10">
        <f>IF(K551="","",
IF(AX551="PT",VLOOKUP(K551,Foundation_Calc!$K$79:$R$113,VLOOKUP(AW551,Foundation_Calc!$I$2:$J$8,2,FALSE),0),
IF(AX551="K",VLOOKUP(K551,Foundation_Calc!$K$117:$R$151,VLOOKUP(AW551,Foundation_Calc!$I$2:$J$8,2,FALSE),0),"")))</f>
        <v>2.8</v>
      </c>
      <c r="BA551" s="495" t="str">
        <f t="shared" si="63"/>
        <v/>
      </c>
      <c r="BB551" s="495" t="str">
        <f t="shared" si="64"/>
        <v>ü</v>
      </c>
      <c r="BC551" s="495" t="str">
        <f t="shared" si="65"/>
        <v/>
      </c>
      <c r="BD551" s="513" t="str">
        <f>IF(AND(L551="",H551=""),"",
IF(H551="",Pole_Calc!A$9,
IF(H551="MP",Pole_Calc!A$10,
IF(H551="AnMP",Pole_Calc!A$11,
IF(H551="A",Pole_Calc!A$12,
IF(H551="S/A",Pole_Calc!A$13,
IF(H551="A/S",Pole_Calc!A$14,"Poner a mano")))))))</f>
        <v/>
      </c>
      <c r="BE551" s="429" t="s">
        <v>118</v>
      </c>
      <c r="BF551" s="290"/>
      <c r="BG551" s="290"/>
      <c r="BH551" s="290"/>
      <c r="BI551" s="290"/>
    </row>
    <row r="552" spans="1:61" ht="15.75" customHeight="1">
      <c r="A552" s="514"/>
      <c r="B552" s="450" t="s">
        <v>506</v>
      </c>
      <c r="C552" s="3">
        <f>+$C$550+$G$551</f>
        <v>43257.95</v>
      </c>
      <c r="D552" s="83"/>
      <c r="E552" s="4"/>
      <c r="F552" s="4">
        <f>IF(C552&gt;0,VLOOKUP(C552,'ALIGNMENT TRACK'!$A$1:$K$81,9,1))</f>
        <v>0</v>
      </c>
      <c r="G552" s="6"/>
      <c r="H552" s="449"/>
      <c r="I552" s="4"/>
      <c r="J552" s="3"/>
      <c r="K552" s="449"/>
      <c r="L552" s="449" t="s">
        <v>153</v>
      </c>
      <c r="M552" s="449" t="str">
        <f>IF(L552="","",
IF(AX552="PT",VLOOKUP(L552,Foundation_Calc!$V$79:$X$113,VLOOKUP(AX552,Foundation_Calc!$I$10:$J$13,2,FALSE),0),
IF(AX552="K",VLOOKUP(L552,Foundation_Calc!$V$117:$X$151,VLOOKUP(AX552,Foundation_Calc!$I$10:$J$13,2,FALSE),0),"")))</f>
        <v>C3R</v>
      </c>
      <c r="N552" s="449" t="s">
        <v>134</v>
      </c>
      <c r="O552" s="449"/>
      <c r="P552" s="449"/>
      <c r="Q552" s="4"/>
      <c r="R552" s="6"/>
      <c r="S552" s="6"/>
      <c r="T552" s="4">
        <v>35</v>
      </c>
      <c r="U552" s="4"/>
      <c r="V552" s="4"/>
      <c r="W552" s="9">
        <v>1.4</v>
      </c>
      <c r="X552" s="9"/>
      <c r="Y552" s="9"/>
      <c r="Z552" s="9"/>
      <c r="AA552" s="9"/>
      <c r="AB552" s="9"/>
      <c r="AC552" s="449" t="str">
        <f t="shared" si="62"/>
        <v>PHQ</v>
      </c>
      <c r="AD552" s="449"/>
      <c r="AE552" s="449"/>
      <c r="AF552" s="4"/>
      <c r="AG552" s="83"/>
      <c r="AH552" s="4"/>
      <c r="AI552" s="4"/>
      <c r="AJ552" s="449"/>
      <c r="AK552" s="449"/>
      <c r="AL552" s="449"/>
      <c r="AM552" s="449" t="s">
        <v>126</v>
      </c>
      <c r="AN552" s="10">
        <v>5.5</v>
      </c>
      <c r="AO552" s="9"/>
      <c r="AP552" s="9"/>
      <c r="AQ552" s="9"/>
      <c r="AR552" s="9"/>
      <c r="AS552" s="9"/>
      <c r="AT552" s="9">
        <f>+ab($T$552,$T$550,$T$554,$G$551,$G$553,-1*$F$552,1200)</f>
        <v>7.8175137683875535</v>
      </c>
      <c r="AU552" s="428"/>
      <c r="AV552" s="428"/>
      <c r="AW552" s="449" t="str">
        <f>IF(C552&gt;0,VLOOKUP(C552,Foundation_Calc!$A$2:$C$13,3,1),
IF(J552&gt;0,VLOOKUP(J552,Foundation_Calc!$A$2:$C$13,3,1),""))</f>
        <v>Multi Soil</v>
      </c>
      <c r="AX552" s="449" t="str">
        <f>IF(C552&gt;0,VLOOKUP(C552,Foundation_Calc!$E$2:$G$33,3,1),
IF(J552&gt;0,VLOOKUP(J552,Foundation_Calc!$E$2:$G$33,3,1),""))</f>
        <v>PT</v>
      </c>
      <c r="AY552" s="10">
        <f>IF(L552="","",
IF(AX552="PT",VLOOKUP(L552,Foundation_Calc!$K$79:$R$113,VLOOKUP(AW552,Foundation_Calc!$I$2:$J$8,2,FALSE),0),
IF(AX552="K",VLOOKUP(L552,Foundation_Calc!$K$117:$R$151,VLOOKUP(AW552,Foundation_Calc!$I$2:$J$8,2,FALSE),0),"")))</f>
        <v>3.5</v>
      </c>
      <c r="AZ552" s="10" t="str">
        <f>IF(K552="","",
IF(AX552="PT",VLOOKUP(K552,Foundation_Calc!$K$79:$R$113,VLOOKUP(AW552,Foundation_Calc!$I$2:$J$8,2,FALSE),0),
IF(AX552="K",VLOOKUP(K552,Foundation_Calc!$K$117:$R$151,VLOOKUP(AW552,Foundation_Calc!$I$2:$J$8,2,FALSE),0),"")))</f>
        <v/>
      </c>
      <c r="BA552" s="495" t="str">
        <f t="shared" si="63"/>
        <v>ü</v>
      </c>
      <c r="BB552" s="495" t="str">
        <f t="shared" si="64"/>
        <v/>
      </c>
      <c r="BC552" s="495" t="str">
        <f t="shared" si="65"/>
        <v/>
      </c>
      <c r="BD552" s="513" t="str">
        <f>IF(AND(L552="",H552=""),"",
IF(H552="",Pole_Calc!A$9,
IF(H552="MP",Pole_Calc!A$10,
IF(H552="AnMP",Pole_Calc!A$11,
IF(H552="A",Pole_Calc!A$12,
IF(H552="S/A",Pole_Calc!A$13,
IF(H552="A/S",Pole_Calc!A$14,"Poner a mano")))))))</f>
        <v>App.7-V11I-P9.5.1.1</v>
      </c>
      <c r="BE552" s="429" t="s">
        <v>118</v>
      </c>
      <c r="BF552" s="289"/>
      <c r="BG552" s="289"/>
      <c r="BH552" s="290"/>
      <c r="BI552" s="289"/>
    </row>
    <row r="553" spans="1:61" ht="15.75" customHeight="1">
      <c r="A553" s="514"/>
      <c r="B553" s="450"/>
      <c r="C553" s="3"/>
      <c r="D553" s="83"/>
      <c r="E553" s="4"/>
      <c r="F553" s="4"/>
      <c r="G553" s="6">
        <v>60</v>
      </c>
      <c r="H553" s="449"/>
      <c r="I553" s="4"/>
      <c r="J553" s="3"/>
      <c r="K553" s="449"/>
      <c r="L553" s="449"/>
      <c r="M553" s="449" t="str">
        <f>IF(L553="","",
IF(AX553="PT",VLOOKUP(L553,Foundation_Calc!$V$79:$X$113,VLOOKUP(AX553,Foundation_Calc!$I$10:$J$13,2,FALSE),0),
IF(AX553="K",VLOOKUP(L553,Foundation_Calc!$V$117:$X$151,VLOOKUP(AX553,Foundation_Calc!$I$10:$J$13,2,FALSE),0),"")))</f>
        <v/>
      </c>
      <c r="N553" s="449"/>
      <c r="O553" s="449"/>
      <c r="P553" s="449"/>
      <c r="Q553" s="4"/>
      <c r="R553" s="6"/>
      <c r="S553" s="6"/>
      <c r="T553" s="4"/>
      <c r="U553" s="4"/>
      <c r="V553" s="4"/>
      <c r="W553" s="9"/>
      <c r="X553" s="9"/>
      <c r="Y553" s="9"/>
      <c r="Z553" s="9"/>
      <c r="AA553" s="9"/>
      <c r="AB553" s="9"/>
      <c r="AC553" s="449" t="str">
        <f t="shared" si="62"/>
        <v/>
      </c>
      <c r="AD553" s="449"/>
      <c r="AE553" s="449"/>
      <c r="AF553" s="4"/>
      <c r="AG553" s="83"/>
      <c r="AH553" s="4"/>
      <c r="AI553" s="4"/>
      <c r="AJ553" s="449"/>
      <c r="AK553" s="449"/>
      <c r="AL553" s="449"/>
      <c r="AM553" s="449"/>
      <c r="AN553" s="10"/>
      <c r="AO553" s="9"/>
      <c r="AP553" s="9"/>
      <c r="AQ553" s="9">
        <f>+FL_2($T$554,$T$552,$G$553,1200,9.28,-1*$F$554)</f>
        <v>-0.43600286799999999</v>
      </c>
      <c r="AR553" s="9"/>
      <c r="AS553" s="9"/>
      <c r="AT553" s="9"/>
      <c r="AU553" s="428"/>
      <c r="AV553" s="428"/>
      <c r="AW553" s="449" t="str">
        <f>IF(C553&gt;0,VLOOKUP(C553,Foundation_Calc!$A$2:$C$13,3,1),
IF(J553&gt;0,VLOOKUP(J553,Foundation_Calc!$A$2:$C$13,3,1),""))</f>
        <v/>
      </c>
      <c r="AX553" s="449" t="str">
        <f>IF(C553&gt;0,VLOOKUP(C553,Foundation_Calc!$E$2:$G$33,3,1),
IF(J553&gt;0,VLOOKUP(J553,Foundation_Calc!$E$2:$G$33,3,1),""))</f>
        <v/>
      </c>
      <c r="AY553" s="10" t="str">
        <f>IF(L553="","",
IF(AX553="PT",VLOOKUP(L553,Foundation_Calc!$K$79:$R$113,VLOOKUP(AW553,Foundation_Calc!$I$2:$J$8,2,FALSE),0),
IF(AX553="K",VLOOKUP(L553,Foundation_Calc!$K$117:$R$151,VLOOKUP(AW553,Foundation_Calc!$I$2:$J$8,2,FALSE),0),"")))</f>
        <v/>
      </c>
      <c r="AZ553" s="10" t="str">
        <f>IF(K553="","",
IF(AX553="PT",VLOOKUP(K553,Foundation_Calc!$K$79:$R$113,VLOOKUP(AW553,Foundation_Calc!$I$2:$J$8,2,FALSE),0),
IF(AX553="K",VLOOKUP(K553,Foundation_Calc!$K$117:$R$151,VLOOKUP(AW553,Foundation_Calc!$I$2:$J$8,2,FALSE),0),"")))</f>
        <v/>
      </c>
      <c r="BA553" s="495" t="str">
        <f t="shared" si="63"/>
        <v/>
      </c>
      <c r="BB553" s="495" t="str">
        <f t="shared" si="64"/>
        <v/>
      </c>
      <c r="BC553" s="495" t="str">
        <f t="shared" si="65"/>
        <v/>
      </c>
      <c r="BD553" s="513" t="str">
        <f>IF(AND(L553="",H553=""),"",
IF(H553="",Pole_Calc!A$9,
IF(H553="MP",Pole_Calc!A$10,
IF(H553="AnMP",Pole_Calc!A$11,
IF(H553="A",Pole_Calc!A$12,
IF(H553="S/A",Pole_Calc!A$13,
IF(H553="A/S",Pole_Calc!A$14,"Poner a mano")))))))</f>
        <v/>
      </c>
      <c r="BE553" s="429" t="s">
        <v>118</v>
      </c>
      <c r="BF553" s="290"/>
      <c r="BG553" s="290"/>
      <c r="BH553" s="290"/>
      <c r="BI553" s="290"/>
    </row>
    <row r="554" spans="1:61" ht="15.75" customHeight="1">
      <c r="A554" s="514"/>
      <c r="B554" s="450" t="s">
        <v>507</v>
      </c>
      <c r="C554" s="3">
        <f>+$C$552+$G$553</f>
        <v>43317.95</v>
      </c>
      <c r="D554" s="83"/>
      <c r="E554" s="4"/>
      <c r="F554" s="4">
        <f>IF(C554&gt;0,VLOOKUP(C554,'ALIGNMENT TRACK'!$A$1:$K$81,9,1))</f>
        <v>0</v>
      </c>
      <c r="G554" s="6"/>
      <c r="H554" s="449"/>
      <c r="I554" s="4"/>
      <c r="J554" s="3"/>
      <c r="K554" s="449"/>
      <c r="L554" s="449" t="s">
        <v>153</v>
      </c>
      <c r="M554" s="449" t="str">
        <f>IF(L554="","",
IF(AX554="PT",VLOOKUP(L554,Foundation_Calc!$V$79:$X$113,VLOOKUP(AX554,Foundation_Calc!$I$10:$J$13,2,FALSE),0),
IF(AX554="K",VLOOKUP(L554,Foundation_Calc!$V$117:$X$151,VLOOKUP(AX554,Foundation_Calc!$I$10:$J$13,2,FALSE),0),"")))</f>
        <v>C3R</v>
      </c>
      <c r="N554" s="449" t="s">
        <v>124</v>
      </c>
      <c r="O554" s="449"/>
      <c r="P554" s="449"/>
      <c r="Q554" s="4"/>
      <c r="R554" s="6"/>
      <c r="S554" s="6"/>
      <c r="T554" s="4">
        <v>-35</v>
      </c>
      <c r="U554" s="4"/>
      <c r="V554" s="4"/>
      <c r="W554" s="9">
        <v>1.4</v>
      </c>
      <c r="X554" s="9"/>
      <c r="Y554" s="9"/>
      <c r="Z554" s="9"/>
      <c r="AA554" s="9"/>
      <c r="AB554" s="9"/>
      <c r="AC554" s="449" t="str">
        <f t="shared" si="62"/>
        <v>PH</v>
      </c>
      <c r="AD554" s="449"/>
      <c r="AE554" s="449"/>
      <c r="AF554" s="4"/>
      <c r="AG554" s="83"/>
      <c r="AH554" s="4"/>
      <c r="AI554" s="4"/>
      <c r="AJ554" s="449"/>
      <c r="AK554" s="449"/>
      <c r="AL554" s="449"/>
      <c r="AM554" s="449" t="s">
        <v>126</v>
      </c>
      <c r="AN554" s="10">
        <v>5.5</v>
      </c>
      <c r="AO554" s="9"/>
      <c r="AP554" s="9"/>
      <c r="AQ554" s="9"/>
      <c r="AR554" s="9"/>
      <c r="AS554" s="9"/>
      <c r="AT554" s="9">
        <f>+ab($T$554,$T$552,$T$556,$G$553,$G$555,-1*$F$554,1200)</f>
        <v>-8.300256796512933</v>
      </c>
      <c r="AU554" s="428"/>
      <c r="AV554" s="428"/>
      <c r="AW554" s="449" t="str">
        <f>IF(C554&gt;0,VLOOKUP(C554,Foundation_Calc!$A$2:$C$13,3,1),
IF(J554&gt;0,VLOOKUP(J554,Foundation_Calc!$A$2:$C$13,3,1),""))</f>
        <v>Multi Soil</v>
      </c>
      <c r="AX554" s="449" t="str">
        <f>IF(C554&gt;0,VLOOKUP(C554,Foundation_Calc!$E$2:$G$33,3,1),
IF(J554&gt;0,VLOOKUP(J554,Foundation_Calc!$E$2:$G$33,3,1),""))</f>
        <v>PT</v>
      </c>
      <c r="AY554" s="10">
        <f>IF(L554="","",
IF(AX554="PT",VLOOKUP(L554,Foundation_Calc!$K$79:$R$113,VLOOKUP(AW554,Foundation_Calc!$I$2:$J$8,2,FALSE),0),
IF(AX554="K",VLOOKUP(L554,Foundation_Calc!$K$117:$R$151,VLOOKUP(AW554,Foundation_Calc!$I$2:$J$8,2,FALSE),0),"")))</f>
        <v>3.5</v>
      </c>
      <c r="AZ554" s="10" t="str">
        <f>IF(K554="","",
IF(AX554="PT",VLOOKUP(K554,Foundation_Calc!$K$79:$R$113,VLOOKUP(AW554,Foundation_Calc!$I$2:$J$8,2,FALSE),0),
IF(AX554="K",VLOOKUP(K554,Foundation_Calc!$K$117:$R$151,VLOOKUP(AW554,Foundation_Calc!$I$2:$J$8,2,FALSE),0),"")))</f>
        <v/>
      </c>
      <c r="BA554" s="495" t="str">
        <f t="shared" si="63"/>
        <v>ü</v>
      </c>
      <c r="BB554" s="495" t="str">
        <f t="shared" si="64"/>
        <v/>
      </c>
      <c r="BC554" s="495" t="str">
        <f t="shared" si="65"/>
        <v/>
      </c>
      <c r="BD554" s="513" t="str">
        <f>IF(AND(L554="",H554=""),"",
IF(H554="",Pole_Calc!A$9,
IF(H554="MP",Pole_Calc!A$10,
IF(H554="AnMP",Pole_Calc!A$11,
IF(H554="A",Pole_Calc!A$12,
IF(H554="S/A",Pole_Calc!A$13,
IF(H554="A/S",Pole_Calc!A$14,"Poner a mano")))))))</f>
        <v>App.7-V11I-P9.5.1.1</v>
      </c>
      <c r="BE554" s="429" t="s">
        <v>118</v>
      </c>
      <c r="BF554" s="289"/>
      <c r="BG554" s="289"/>
      <c r="BH554" s="290"/>
      <c r="BI554" s="289"/>
    </row>
    <row r="555" spans="1:61" ht="15.75" customHeight="1">
      <c r="A555" s="514"/>
      <c r="B555" s="450"/>
      <c r="C555" s="3"/>
      <c r="D555" s="83"/>
      <c r="E555" s="4"/>
      <c r="F555" s="4"/>
      <c r="G555" s="6">
        <v>62</v>
      </c>
      <c r="H555" s="449"/>
      <c r="I555" s="4"/>
      <c r="J555" s="3"/>
      <c r="K555" s="449"/>
      <c r="L555" s="449"/>
      <c r="M555" s="449" t="str">
        <f>IF(L555="","",
IF(AX555="PT",VLOOKUP(L555,Foundation_Calc!$V$79:$X$113,VLOOKUP(AX555,Foundation_Calc!$I$10:$J$13,2,FALSE),0),
IF(AX555="K",VLOOKUP(L555,Foundation_Calc!$V$117:$X$151,VLOOKUP(AX555,Foundation_Calc!$I$10:$J$13,2,FALSE),0),"")))</f>
        <v/>
      </c>
      <c r="N555" s="449"/>
      <c r="O555" s="449"/>
      <c r="P555" s="449"/>
      <c r="Q555" s="4"/>
      <c r="R555" s="6"/>
      <c r="S555" s="6"/>
      <c r="T555" s="4"/>
      <c r="U555" s="4"/>
      <c r="V555" s="4"/>
      <c r="W555" s="9"/>
      <c r="X555" s="9"/>
      <c r="Y555" s="9"/>
      <c r="Z555" s="9"/>
      <c r="AA555" s="9"/>
      <c r="AB555" s="9"/>
      <c r="AC555" s="449" t="str">
        <f t="shared" si="62"/>
        <v/>
      </c>
      <c r="AD555" s="449"/>
      <c r="AE555" s="449"/>
      <c r="AF555" s="4"/>
      <c r="AG555" s="83"/>
      <c r="AH555" s="4"/>
      <c r="AI555" s="4"/>
      <c r="AJ555" s="449"/>
      <c r="AK555" s="449"/>
      <c r="AL555" s="449"/>
      <c r="AM555" s="449"/>
      <c r="AN555" s="10"/>
      <c r="AO555" s="9"/>
      <c r="AP555" s="9"/>
      <c r="AQ555" s="9">
        <f>+FL_1($T$556,$T$554,$G$555,1200,9.28,-1*$F$556)</f>
        <v>0.45400350967741931</v>
      </c>
      <c r="AR555" s="9"/>
      <c r="AS555" s="9"/>
      <c r="AT555" s="9"/>
      <c r="AU555" s="428"/>
      <c r="AV555" s="428"/>
      <c r="AW555" s="449" t="str">
        <f>IF(C555&gt;0,VLOOKUP(C555,Foundation_Calc!$A$2:$C$13,3,1),
IF(J555&gt;0,VLOOKUP(J555,Foundation_Calc!$A$2:$C$13,3,1),""))</f>
        <v/>
      </c>
      <c r="AX555" s="449" t="str">
        <f>IF(C555&gt;0,VLOOKUP(C555,Foundation_Calc!$E$2:$G$33,3,1),
IF(J555&gt;0,VLOOKUP(J555,Foundation_Calc!$E$2:$G$33,3,1),""))</f>
        <v/>
      </c>
      <c r="AY555" s="10" t="str">
        <f>IF(L555="","",
IF(AX555="PT",VLOOKUP(L555,Foundation_Calc!$K$79:$R$113,VLOOKUP(AW555,Foundation_Calc!$I$2:$J$8,2,FALSE),0),
IF(AX555="K",VLOOKUP(L555,Foundation_Calc!$K$117:$R$151,VLOOKUP(AW555,Foundation_Calc!$I$2:$J$8,2,FALSE),0),"")))</f>
        <v/>
      </c>
      <c r="AZ555" s="10" t="str">
        <f>IF(K555="","",
IF(AX555="PT",VLOOKUP(K555,Foundation_Calc!$K$79:$R$113,VLOOKUP(AW555,Foundation_Calc!$I$2:$J$8,2,FALSE),0),
IF(AX555="K",VLOOKUP(K555,Foundation_Calc!$K$117:$R$151,VLOOKUP(AW555,Foundation_Calc!$I$2:$J$8,2,FALSE),0),"")))</f>
        <v/>
      </c>
      <c r="BA555" s="495" t="str">
        <f t="shared" si="63"/>
        <v/>
      </c>
      <c r="BB555" s="495" t="str">
        <f t="shared" si="64"/>
        <v/>
      </c>
      <c r="BC555" s="495" t="str">
        <f t="shared" si="65"/>
        <v/>
      </c>
      <c r="BD555" s="513" t="str">
        <f>IF(AND(L555="",H555=""),"",
IF(H555="",Pole_Calc!A$9,
IF(H555="MP",Pole_Calc!A$10,
IF(H555="AnMP",Pole_Calc!A$11,
IF(H555="A",Pole_Calc!A$12,
IF(H555="S/A",Pole_Calc!A$13,
IF(H555="A/S",Pole_Calc!A$14,"Poner a mano")))))))</f>
        <v/>
      </c>
      <c r="BE555" s="429" t="s">
        <v>118</v>
      </c>
      <c r="BF555" s="290"/>
      <c r="BG555" s="290"/>
      <c r="BH555" s="290"/>
      <c r="BI555" s="290"/>
    </row>
    <row r="556" spans="1:61" ht="15.75" customHeight="1">
      <c r="A556" s="518"/>
      <c r="B556" s="450" t="s">
        <v>508</v>
      </c>
      <c r="C556" s="3">
        <f>+$C$554+$G$555</f>
        <v>43379.95</v>
      </c>
      <c r="D556" s="83"/>
      <c r="E556" s="4"/>
      <c r="F556" s="4">
        <f>IF(C556&gt;0,VLOOKUP(C556,'ALIGNMENT TRACK'!$A$1:$K$81,9,1))</f>
        <v>0</v>
      </c>
      <c r="G556" s="6"/>
      <c r="H556" s="449"/>
      <c r="I556" s="4"/>
      <c r="J556" s="3"/>
      <c r="K556" s="449"/>
      <c r="L556" s="449" t="s">
        <v>153</v>
      </c>
      <c r="M556" s="449" t="str">
        <f>IF(L556="","",
IF(AX556="PT",VLOOKUP(L556,Foundation_Calc!$V$79:$X$113,VLOOKUP(AX556,Foundation_Calc!$I$10:$J$13,2,FALSE),0),
IF(AX556="K",VLOOKUP(L556,Foundation_Calc!$V$117:$X$151,VLOOKUP(AX556,Foundation_Calc!$I$10:$J$13,2,FALSE),0),"")))</f>
        <v>C3R</v>
      </c>
      <c r="N556" s="449" t="s">
        <v>134</v>
      </c>
      <c r="O556" s="449"/>
      <c r="P556" s="449"/>
      <c r="Q556" s="4"/>
      <c r="R556" s="6"/>
      <c r="S556" s="6"/>
      <c r="T556" s="4">
        <v>35</v>
      </c>
      <c r="U556" s="4"/>
      <c r="V556" s="4"/>
      <c r="W556" s="572">
        <v>1.2</v>
      </c>
      <c r="X556" s="9"/>
      <c r="Y556" s="9"/>
      <c r="Z556" s="9"/>
      <c r="AA556" s="9"/>
      <c r="AB556" s="9"/>
      <c r="AC556" s="449" t="str">
        <f t="shared" si="62"/>
        <v>PH</v>
      </c>
      <c r="AD556" s="449"/>
      <c r="AE556" s="449"/>
      <c r="AF556" s="4"/>
      <c r="AG556" s="83"/>
      <c r="AH556" s="4"/>
      <c r="AI556" s="4"/>
      <c r="AJ556" s="449"/>
      <c r="AK556" s="449"/>
      <c r="AL556" s="449"/>
      <c r="AM556" s="449" t="s">
        <v>126</v>
      </c>
      <c r="AN556" s="10">
        <v>5.5</v>
      </c>
      <c r="AO556" s="9"/>
      <c r="AP556" s="9"/>
      <c r="AQ556" s="9"/>
      <c r="AR556" s="9"/>
      <c r="AS556" s="9"/>
      <c r="AT556" s="9">
        <f>+ab($T$556,$T$554,$T$558,$G$555,$G$557,-1*$F$556,1200)</f>
        <v>8.4365744899000195</v>
      </c>
      <c r="AU556" s="428"/>
      <c r="AV556" s="428"/>
      <c r="AW556" s="449" t="str">
        <f>IF(C556&gt;0,VLOOKUP(C556,Foundation_Calc!$A$2:$C$13,3,1),
IF(J556&gt;0,VLOOKUP(J556,Foundation_Calc!$A$2:$C$13,3,1),""))</f>
        <v>Multi Soil</v>
      </c>
      <c r="AX556" s="449" t="str">
        <f>IF(C556&gt;0,VLOOKUP(C556,Foundation_Calc!$E$2:$G$33,3,1),
IF(J556&gt;0,VLOOKUP(J556,Foundation_Calc!$E$2:$G$33,3,1),""))</f>
        <v>PT</v>
      </c>
      <c r="AY556" s="10">
        <f>IF(L556="","",
IF(AX556="PT",VLOOKUP(L556,Foundation_Calc!$K$79:$R$113,VLOOKUP(AW556,Foundation_Calc!$I$2:$J$8,2,FALSE),0),
IF(AX556="K",VLOOKUP(L556,Foundation_Calc!$K$117:$R$151,VLOOKUP(AW556,Foundation_Calc!$I$2:$J$8,2,FALSE),0),"")))</f>
        <v>3.5</v>
      </c>
      <c r="AZ556" s="10" t="str">
        <f>IF(K556="","",
IF(AX556="PT",VLOOKUP(K556,Foundation_Calc!$K$79:$R$113,VLOOKUP(AW556,Foundation_Calc!$I$2:$J$8,2,FALSE),0),
IF(AX556="K",VLOOKUP(K556,Foundation_Calc!$K$117:$R$151,VLOOKUP(AW556,Foundation_Calc!$I$2:$J$8,2,FALSE),0),"")))</f>
        <v/>
      </c>
      <c r="BA556" s="495" t="str">
        <f t="shared" si="63"/>
        <v>ü</v>
      </c>
      <c r="BB556" s="495" t="str">
        <f t="shared" si="64"/>
        <v/>
      </c>
      <c r="BC556" s="495" t="str">
        <f t="shared" si="65"/>
        <v/>
      </c>
      <c r="BD556" s="513" t="str">
        <f>IF(AND(L556="",H556=""),"",
IF(H556="",Pole_Calc!A$9,
IF(H556="MP",Pole_Calc!A$10,
IF(H556="AnMP",Pole_Calc!A$11,
IF(H556="A",Pole_Calc!A$12,
IF(H556="S/A",Pole_Calc!A$13,
IF(H556="A/S",Pole_Calc!A$14,"Poner a mano")))))))</f>
        <v>App.7-V11I-P9.5.1.1</v>
      </c>
      <c r="BE556" s="429" t="s">
        <v>118</v>
      </c>
      <c r="BF556" s="289"/>
      <c r="BG556" s="289"/>
      <c r="BH556" s="290"/>
      <c r="BI556" s="289"/>
    </row>
    <row r="557" spans="1:61" ht="15.75" customHeight="1">
      <c r="A557" s="518"/>
      <c r="B557" s="450"/>
      <c r="C557" s="3"/>
      <c r="D557" s="83"/>
      <c r="E557" s="4"/>
      <c r="F557" s="4"/>
      <c r="G557" s="6">
        <v>62</v>
      </c>
      <c r="H557" s="449"/>
      <c r="I557" s="4"/>
      <c r="J557" s="3"/>
      <c r="K557" s="449"/>
      <c r="L557" s="449"/>
      <c r="M557" s="449" t="str">
        <f>IF(L557="","",
IF(AX557="PT",VLOOKUP(L557,Foundation_Calc!$V$79:$X$113,VLOOKUP(AX557,Foundation_Calc!$I$10:$J$13,2,FALSE),0),
IF(AX557="K",VLOOKUP(L557,Foundation_Calc!$V$117:$X$151,VLOOKUP(AX557,Foundation_Calc!$I$10:$J$13,2,FALSE),0),"")))</f>
        <v/>
      </c>
      <c r="N557" s="449"/>
      <c r="O557" s="449"/>
      <c r="P557" s="449"/>
      <c r="Q557" s="4"/>
      <c r="R557" s="6"/>
      <c r="S557" s="6"/>
      <c r="T557" s="4"/>
      <c r="U557" s="4"/>
      <c r="V557" s="4"/>
      <c r="W557" s="572"/>
      <c r="X557" s="9"/>
      <c r="Y557" s="9"/>
      <c r="Z557" s="9"/>
      <c r="AA557" s="9"/>
      <c r="AB557" s="9"/>
      <c r="AC557" s="449" t="str">
        <f t="shared" si="62"/>
        <v/>
      </c>
      <c r="AD557" s="449"/>
      <c r="AE557" s="449"/>
      <c r="AF557" s="4"/>
      <c r="AG557" s="83"/>
      <c r="AH557" s="4"/>
      <c r="AI557" s="4"/>
      <c r="AJ557" s="449"/>
      <c r="AK557" s="449"/>
      <c r="AL557" s="449"/>
      <c r="AM557" s="449"/>
      <c r="AN557" s="10"/>
      <c r="AO557" s="9"/>
      <c r="AP557" s="9"/>
      <c r="AQ557" s="9">
        <f>+FL_2($T$558,$T$556,$G$557,1200,9.28,-1*$F$558)</f>
        <v>-0.45400350967741931</v>
      </c>
      <c r="AR557" s="9"/>
      <c r="AS557" s="9"/>
      <c r="AT557" s="9"/>
      <c r="AU557" s="428"/>
      <c r="AV557" s="428"/>
      <c r="AW557" s="449" t="str">
        <f>IF(C557&gt;0,VLOOKUP(C557,Foundation_Calc!$A$2:$C$13,3,1),
IF(J557&gt;0,VLOOKUP(J557,Foundation_Calc!$A$2:$C$13,3,1),""))</f>
        <v/>
      </c>
      <c r="AX557" s="449" t="str">
        <f>IF(C557&gt;0,VLOOKUP(C557,Foundation_Calc!$E$2:$G$33,3,1),
IF(J557&gt;0,VLOOKUP(J557,Foundation_Calc!$E$2:$G$33,3,1),""))</f>
        <v/>
      </c>
      <c r="AY557" s="10" t="str">
        <f>IF(L557="","",
IF(AX557="PT",VLOOKUP(L557,Foundation_Calc!$K$79:$R$113,VLOOKUP(AW557,Foundation_Calc!$I$2:$J$8,2,FALSE),0),
IF(AX557="K",VLOOKUP(L557,Foundation_Calc!$K$117:$R$151,VLOOKUP(AW557,Foundation_Calc!$I$2:$J$8,2,FALSE),0),"")))</f>
        <v/>
      </c>
      <c r="AZ557" s="10" t="str">
        <f>IF(K557="","",
IF(AX557="PT",VLOOKUP(K557,Foundation_Calc!$K$79:$R$113,VLOOKUP(AW557,Foundation_Calc!$I$2:$J$8,2,FALSE),0),
IF(AX557="K",VLOOKUP(K557,Foundation_Calc!$K$117:$R$151,VLOOKUP(AW557,Foundation_Calc!$I$2:$J$8,2,FALSE),0),"")))</f>
        <v/>
      </c>
      <c r="BA557" s="495" t="str">
        <f t="shared" si="63"/>
        <v/>
      </c>
      <c r="BB557" s="495" t="str">
        <f t="shared" si="64"/>
        <v/>
      </c>
      <c r="BC557" s="495" t="str">
        <f t="shared" si="65"/>
        <v/>
      </c>
      <c r="BD557" s="513" t="str">
        <f>IF(AND(L557="",H557=""),"",
IF(H557="",Pole_Calc!A$9,
IF(H557="MP",Pole_Calc!A$10,
IF(H557="AnMP",Pole_Calc!A$11,
IF(H557="A",Pole_Calc!A$12,
IF(H557="S/A",Pole_Calc!A$13,
IF(H557="A/S",Pole_Calc!A$14,"Poner a mano")))))))</f>
        <v/>
      </c>
      <c r="BE557" s="429" t="s">
        <v>118</v>
      </c>
      <c r="BF557" s="290"/>
      <c r="BG557" s="290"/>
      <c r="BH557" s="290"/>
      <c r="BI557" s="290"/>
    </row>
    <row r="558" spans="1:61" ht="15.75" customHeight="1">
      <c r="A558" s="514"/>
      <c r="B558" s="450" t="s">
        <v>509</v>
      </c>
      <c r="C558" s="3">
        <f>+$C$556+$G$557</f>
        <v>43441.95</v>
      </c>
      <c r="D558" s="83"/>
      <c r="E558" s="4"/>
      <c r="F558" s="4">
        <f>IF(C558&gt;0,VLOOKUP(C558,'ALIGNMENT TRACK'!$A$1:$K$81,9,1))</f>
        <v>0</v>
      </c>
      <c r="G558" s="6"/>
      <c r="H558" s="449"/>
      <c r="I558" s="4"/>
      <c r="J558" s="3"/>
      <c r="K558" s="449"/>
      <c r="L558" s="449" t="s">
        <v>153</v>
      </c>
      <c r="M558" s="449" t="str">
        <f>IF(L558="","",
IF(AX558="PT",VLOOKUP(L558,Foundation_Calc!$V$79:$X$113,VLOOKUP(AX558,Foundation_Calc!$I$10:$J$13,2,FALSE),0),
IF(AX558="K",VLOOKUP(L558,Foundation_Calc!$V$117:$X$151,VLOOKUP(AX558,Foundation_Calc!$I$10:$J$13,2,FALSE),0),"")))</f>
        <v>C3RT</v>
      </c>
      <c r="N558" s="449" t="s">
        <v>124</v>
      </c>
      <c r="O558" s="449"/>
      <c r="P558" s="449"/>
      <c r="Q558" s="4"/>
      <c r="R558" s="6"/>
      <c r="S558" s="6"/>
      <c r="T558" s="4">
        <v>-35</v>
      </c>
      <c r="U558" s="4"/>
      <c r="V558" s="4"/>
      <c r="W558" s="572">
        <v>1.1000000000000001</v>
      </c>
      <c r="X558" s="9"/>
      <c r="Y558" s="9"/>
      <c r="Z558" s="9"/>
      <c r="AA558" s="9"/>
      <c r="AB558" s="9"/>
      <c r="AC558" s="449" t="str">
        <f t="shared" si="62"/>
        <v>PH</v>
      </c>
      <c r="AD558" s="449"/>
      <c r="AE558" s="449"/>
      <c r="AF558" s="4"/>
      <c r="AG558" s="83"/>
      <c r="AH558" s="4"/>
      <c r="AI558" s="4"/>
      <c r="AJ558" s="449"/>
      <c r="AK558" s="449"/>
      <c r="AL558" s="449"/>
      <c r="AM558" s="449" t="s">
        <v>126</v>
      </c>
      <c r="AN558" s="10">
        <v>5.5</v>
      </c>
      <c r="AO558" s="9"/>
      <c r="AP558" s="9"/>
      <c r="AQ558" s="9"/>
      <c r="AR558" s="9"/>
      <c r="AS558" s="9"/>
      <c r="AT558" s="9">
        <f>+ab($T$558,$T$556,$T$560,$G$557,$G$559,-1*$F$558,1200)</f>
        <v>-8.300256796512933</v>
      </c>
      <c r="AU558" s="428"/>
      <c r="AV558" s="428"/>
      <c r="AW558" s="449" t="str">
        <f>IF(C558&gt;0,VLOOKUP(C558,Foundation_Calc!$A$2:$C$13,3,1),
IF(J558&gt;0,VLOOKUP(J558,Foundation_Calc!$A$2:$C$13,3,1),""))</f>
        <v>Multi Soil</v>
      </c>
      <c r="AX558" s="449" t="str">
        <f>IF(C558&gt;0,VLOOKUP(C558,Foundation_Calc!$E$2:$G$33,3,1),
IF(J558&gt;0,VLOOKUP(J558,Foundation_Calc!$E$2:$G$33,3,1),""))</f>
        <v>K</v>
      </c>
      <c r="AY558" s="10">
        <f>IF(L558="","",
IF(AX558="PT",VLOOKUP(L558,Foundation_Calc!$K$79:$R$113,VLOOKUP(AW558,Foundation_Calc!$I$2:$J$8,2,FALSE),0),
IF(AX558="K",VLOOKUP(L558,Foundation_Calc!$K$117:$R$151,VLOOKUP(AW558,Foundation_Calc!$I$2:$J$8,2,FALSE),0),"")))</f>
        <v>4</v>
      </c>
      <c r="AZ558" s="10" t="str">
        <f>IF(K558="","",
IF(AX558="PT",VLOOKUP(K558,Foundation_Calc!$K$79:$R$113,VLOOKUP(AW558,Foundation_Calc!$I$2:$J$8,2,FALSE),0),
IF(AX558="K",VLOOKUP(K558,Foundation_Calc!$K$117:$R$151,VLOOKUP(AW558,Foundation_Calc!$I$2:$J$8,2,FALSE),0),"")))</f>
        <v/>
      </c>
      <c r="BA558" s="495" t="str">
        <f t="shared" si="63"/>
        <v>ü</v>
      </c>
      <c r="BB558" s="495" t="str">
        <f t="shared" si="64"/>
        <v/>
      </c>
      <c r="BC558" s="495" t="str">
        <f t="shared" si="65"/>
        <v/>
      </c>
      <c r="BD558" s="513" t="str">
        <f>IF(AND(L558="",H558=""),"",
IF(H558="",Pole_Calc!A$9,
IF(H558="MP",Pole_Calc!A$10,
IF(H558="AnMP",Pole_Calc!A$11,
IF(H558="A",Pole_Calc!A$12,
IF(H558="S/A",Pole_Calc!A$13,
IF(H558="A/S",Pole_Calc!A$14,"Poner a mano")))))))</f>
        <v>App.7-V11I-P9.5.1.1</v>
      </c>
      <c r="BE558" s="429" t="s">
        <v>118</v>
      </c>
      <c r="BF558" s="289"/>
      <c r="BG558" s="289"/>
      <c r="BH558" s="290"/>
      <c r="BI558" s="289"/>
    </row>
    <row r="559" spans="1:61" ht="15.75" customHeight="1">
      <c r="A559" s="514" t="s">
        <v>193</v>
      </c>
      <c r="B559" s="450"/>
      <c r="C559" s="3"/>
      <c r="D559" s="83"/>
      <c r="E559" s="4"/>
      <c r="F559" s="4"/>
      <c r="G559" s="6">
        <v>60</v>
      </c>
      <c r="H559" s="449"/>
      <c r="I559" s="4"/>
      <c r="J559" s="3"/>
      <c r="K559" s="449"/>
      <c r="L559" s="449"/>
      <c r="M559" s="449" t="str">
        <f>IF(L559="","",
IF(AX559="PT",VLOOKUP(L559,Foundation_Calc!$V$79:$X$113,VLOOKUP(AX559,Foundation_Calc!$I$10:$J$13,2,FALSE),0),
IF(AX559="K",VLOOKUP(L559,Foundation_Calc!$V$117:$X$151,VLOOKUP(AX559,Foundation_Calc!$I$10:$J$13,2,FALSE),0),"")))</f>
        <v/>
      </c>
      <c r="N559" s="449"/>
      <c r="O559" s="449"/>
      <c r="P559" s="449"/>
      <c r="Q559" s="4"/>
      <c r="R559" s="6"/>
      <c r="S559" s="6"/>
      <c r="T559" s="4"/>
      <c r="U559" s="4"/>
      <c r="V559" s="4"/>
      <c r="W559" s="572"/>
      <c r="X559" s="9"/>
      <c r="Y559" s="9"/>
      <c r="Z559" s="9"/>
      <c r="AA559" s="9"/>
      <c r="AB559" s="9"/>
      <c r="AC559" s="449" t="str">
        <f t="shared" si="62"/>
        <v/>
      </c>
      <c r="AD559" s="449"/>
      <c r="AE559" s="449"/>
      <c r="AF559" s="4"/>
      <c r="AG559" s="83"/>
      <c r="AH559" s="4"/>
      <c r="AI559" s="4"/>
      <c r="AJ559" s="449"/>
      <c r="AK559" s="449"/>
      <c r="AL559" s="449"/>
      <c r="AM559" s="449"/>
      <c r="AN559" s="10"/>
      <c r="AO559" s="9"/>
      <c r="AP559" s="9"/>
      <c r="AQ559" s="9">
        <f>+FL_1($T$560,$T$558,$G$559,1200,9.28,-1*$F$560)</f>
        <v>0.43600286799999999</v>
      </c>
      <c r="AR559" s="9"/>
      <c r="AS559" s="9"/>
      <c r="AT559" s="9"/>
      <c r="AU559" s="428"/>
      <c r="AV559" s="428"/>
      <c r="AW559" s="449" t="str">
        <f>IF(C559&gt;0,VLOOKUP(C559,Foundation_Calc!$A$2:$C$13,3,1),
IF(J559&gt;0,VLOOKUP(J559,Foundation_Calc!$A$2:$C$13,3,1),""))</f>
        <v/>
      </c>
      <c r="AX559" s="449" t="str">
        <f>IF(C559&gt;0,VLOOKUP(C559,Foundation_Calc!$E$2:$G$33,3,1),
IF(J559&gt;0,VLOOKUP(J559,Foundation_Calc!$E$2:$G$33,3,1),""))</f>
        <v/>
      </c>
      <c r="AY559" s="10" t="str">
        <f>IF(L559="","",
IF(AX559="PT",VLOOKUP(L559,Foundation_Calc!$K$79:$R$113,VLOOKUP(AW559,Foundation_Calc!$I$2:$J$8,2,FALSE),0),
IF(AX559="K",VLOOKUP(L559,Foundation_Calc!$K$117:$R$151,VLOOKUP(AW559,Foundation_Calc!$I$2:$J$8,2,FALSE),0),"")))</f>
        <v/>
      </c>
      <c r="AZ559" s="10" t="str">
        <f>IF(K559="","",
IF(AX559="PT",VLOOKUP(K559,Foundation_Calc!$K$79:$R$113,VLOOKUP(AW559,Foundation_Calc!$I$2:$J$8,2,FALSE),0),
IF(AX559="K",VLOOKUP(K559,Foundation_Calc!$K$117:$R$151,VLOOKUP(AW559,Foundation_Calc!$I$2:$J$8,2,FALSE),0),"")))</f>
        <v/>
      </c>
      <c r="BA559" s="495" t="str">
        <f t="shared" si="63"/>
        <v/>
      </c>
      <c r="BB559" s="495" t="str">
        <f t="shared" si="64"/>
        <v/>
      </c>
      <c r="BC559" s="495" t="str">
        <f t="shared" si="65"/>
        <v/>
      </c>
      <c r="BD559" s="513" t="str">
        <f>IF(AND(L559="",H559=""),"",
IF(H559="",Pole_Calc!A$9,
IF(H559="MP",Pole_Calc!A$10,
IF(H559="AnMP",Pole_Calc!A$11,
IF(H559="A",Pole_Calc!A$12,
IF(H559="S/A",Pole_Calc!A$13,
IF(H559="A/S",Pole_Calc!A$14,"Poner a mano")))))))</f>
        <v/>
      </c>
      <c r="BE559" s="429" t="s">
        <v>118</v>
      </c>
      <c r="BF559" s="290"/>
      <c r="BG559" s="290"/>
      <c r="BH559" s="290"/>
      <c r="BI559" s="290"/>
    </row>
    <row r="560" spans="1:61" ht="15.75" customHeight="1">
      <c r="A560" s="514"/>
      <c r="B560" s="450" t="s">
        <v>510</v>
      </c>
      <c r="C560" s="3">
        <f>+$C$558+$G$559</f>
        <v>43501.95</v>
      </c>
      <c r="D560" s="83"/>
      <c r="E560" s="4"/>
      <c r="F560" s="4">
        <f>IF(C560&gt;0,VLOOKUP(C560,'ALIGNMENT TRACK'!$A$1:$K$81,9,1))</f>
        <v>0</v>
      </c>
      <c r="G560" s="6"/>
      <c r="H560" s="449"/>
      <c r="I560" s="4"/>
      <c r="J560" s="3"/>
      <c r="K560" s="449"/>
      <c r="L560" s="449" t="s">
        <v>153</v>
      </c>
      <c r="M560" s="449" t="str">
        <f>IF(L560="","",
IF(AX560="PT",VLOOKUP(L560,Foundation_Calc!$V$79:$X$113,VLOOKUP(AX560,Foundation_Calc!$I$10:$J$13,2,FALSE),0),
IF(AX560="K",VLOOKUP(L560,Foundation_Calc!$V$117:$X$151,VLOOKUP(AX560,Foundation_Calc!$I$10:$J$13,2,FALSE),0),"")))</f>
        <v>C3RT</v>
      </c>
      <c r="N560" s="449" t="s">
        <v>134</v>
      </c>
      <c r="O560" s="449"/>
      <c r="P560" s="449"/>
      <c r="Q560" s="4"/>
      <c r="R560" s="6"/>
      <c r="S560" s="6"/>
      <c r="T560" s="4">
        <v>35</v>
      </c>
      <c r="U560" s="4"/>
      <c r="V560" s="4"/>
      <c r="W560" s="572">
        <v>1.1000000000000001</v>
      </c>
      <c r="X560" s="9"/>
      <c r="Y560" s="9"/>
      <c r="Z560" s="9"/>
      <c r="AA560" s="9"/>
      <c r="AB560" s="9"/>
      <c r="AC560" s="449" t="str">
        <f t="shared" si="62"/>
        <v>PHQ</v>
      </c>
      <c r="AD560" s="449"/>
      <c r="AE560" s="449"/>
      <c r="AF560" s="4"/>
      <c r="AG560" s="83"/>
      <c r="AH560" s="4"/>
      <c r="AI560" s="4"/>
      <c r="AJ560" s="449"/>
      <c r="AK560" s="449"/>
      <c r="AL560" s="449"/>
      <c r="AM560" s="449" t="s">
        <v>126</v>
      </c>
      <c r="AN560" s="10">
        <v>5.5</v>
      </c>
      <c r="AO560" s="9"/>
      <c r="AP560" s="9"/>
      <c r="AQ560" s="9"/>
      <c r="AR560" s="9"/>
      <c r="AS560" s="9"/>
      <c r="AT560" s="9">
        <f>+ab($T$560,$T$558,$T$562,$G$559,$G$561,-1*$F$560,1200)</f>
        <v>7.8175137683875535</v>
      </c>
      <c r="AU560" s="428"/>
      <c r="AV560" s="428"/>
      <c r="AW560" s="449" t="str">
        <f>IF(C560&gt;0,VLOOKUP(C560,Foundation_Calc!$A$2:$C$13,3,1),
IF(J560&gt;0,VLOOKUP(J560,Foundation_Calc!$A$2:$C$13,3,1),""))</f>
        <v>Multi Soil</v>
      </c>
      <c r="AX560" s="449" t="str">
        <f>IF(C560&gt;0,VLOOKUP(C560,Foundation_Calc!$E$2:$G$33,3,1),
IF(J560&gt;0,VLOOKUP(J560,Foundation_Calc!$E$2:$G$33,3,1),""))</f>
        <v>K</v>
      </c>
      <c r="AY560" s="10">
        <f>IF(L560="","",
IF(AX560="PT",VLOOKUP(L560,Foundation_Calc!$K$79:$R$113,VLOOKUP(AW560,Foundation_Calc!$I$2:$J$8,2,FALSE),0),
IF(AX560="K",VLOOKUP(L560,Foundation_Calc!$K$117:$R$151,VLOOKUP(AW560,Foundation_Calc!$I$2:$J$8,2,FALSE),0),"")))</f>
        <v>4</v>
      </c>
      <c r="AZ560" s="10" t="str">
        <f>IF(K560="","",
IF(AX560="PT",VLOOKUP(K560,Foundation_Calc!$K$79:$R$113,VLOOKUP(AW560,Foundation_Calc!$I$2:$J$8,2,FALSE),0),
IF(AX560="K",VLOOKUP(K560,Foundation_Calc!$K$117:$R$151,VLOOKUP(AW560,Foundation_Calc!$I$2:$J$8,2,FALSE),0),"")))</f>
        <v/>
      </c>
      <c r="BA560" s="495" t="str">
        <f t="shared" si="63"/>
        <v>ü</v>
      </c>
      <c r="BB560" s="495" t="str">
        <f t="shared" si="64"/>
        <v/>
      </c>
      <c r="BC560" s="495" t="str">
        <f t="shared" si="65"/>
        <v/>
      </c>
      <c r="BD560" s="513" t="str">
        <f>IF(AND(L560="",H560=""),"",
IF(H560="",Pole_Calc!A$9,
IF(H560="MP",Pole_Calc!A$10,
IF(H560="AnMP",Pole_Calc!A$11,
IF(H560="A",Pole_Calc!A$12,
IF(H560="S/A",Pole_Calc!A$13,
IF(H560="A/S",Pole_Calc!A$14,"Poner a mano")))))))</f>
        <v>App.7-V11I-P9.5.1.1</v>
      </c>
      <c r="BE560" s="429" t="s">
        <v>118</v>
      </c>
      <c r="BF560" s="289"/>
      <c r="BG560" s="289"/>
      <c r="BH560" s="290"/>
      <c r="BI560" s="289"/>
    </row>
    <row r="561" spans="1:61" ht="15.75" customHeight="1">
      <c r="A561" s="514"/>
      <c r="B561" s="450"/>
      <c r="C561" s="3"/>
      <c r="D561" s="83"/>
      <c r="E561" s="4"/>
      <c r="F561" s="4"/>
      <c r="G561" s="6">
        <v>55</v>
      </c>
      <c r="H561" s="449"/>
      <c r="I561" s="4"/>
      <c r="J561" s="3"/>
      <c r="K561" s="449"/>
      <c r="L561" s="449"/>
      <c r="M561" s="449" t="str">
        <f>IF(L561="","",
IF(AX561="PT",VLOOKUP(L561,Foundation_Calc!$V$79:$X$113,VLOOKUP(AX561,Foundation_Calc!$I$10:$J$13,2,FALSE),0),
IF(AX561="K",VLOOKUP(L561,Foundation_Calc!$V$117:$X$151,VLOOKUP(AX561,Foundation_Calc!$I$10:$J$13,2,FALSE),0),"")))</f>
        <v/>
      </c>
      <c r="N561" s="449"/>
      <c r="O561" s="449"/>
      <c r="P561" s="449"/>
      <c r="Q561" s="4"/>
      <c r="R561" s="6"/>
      <c r="S561" s="6"/>
      <c r="T561" s="4"/>
      <c r="U561" s="4"/>
      <c r="V561" s="4"/>
      <c r="W561" s="572"/>
      <c r="X561" s="9"/>
      <c r="Y561" s="9"/>
      <c r="Z561" s="9"/>
      <c r="AA561" s="9"/>
      <c r="AB561" s="9"/>
      <c r="AC561" s="449" t="str">
        <f t="shared" si="62"/>
        <v/>
      </c>
      <c r="AD561" s="449"/>
      <c r="AE561" s="449"/>
      <c r="AF561" s="4"/>
      <c r="AG561" s="83"/>
      <c r="AH561" s="4"/>
      <c r="AI561" s="4"/>
      <c r="AJ561" s="449"/>
      <c r="AK561" s="449"/>
      <c r="AL561" s="449"/>
      <c r="AM561" s="449"/>
      <c r="AN561" s="10"/>
      <c r="AO561" s="9"/>
      <c r="AP561" s="9"/>
      <c r="AQ561" s="9">
        <f>+FL_1($T$562,$T$560,$G$561,1200,9.28,-1*$F$562)</f>
        <v>0.39714735709090898</v>
      </c>
      <c r="AR561" s="9"/>
      <c r="AS561" s="9"/>
      <c r="AT561" s="9"/>
      <c r="AU561" s="428"/>
      <c r="AV561" s="428"/>
      <c r="AW561" s="449" t="str">
        <f>IF(C561&gt;0,VLOOKUP(C561,Foundation_Calc!$A$2:$C$13,3,1),
IF(J561&gt;0,VLOOKUP(J561,Foundation_Calc!$A$2:$C$13,3,1),""))</f>
        <v/>
      </c>
      <c r="AX561" s="449" t="str">
        <f>IF(C561&gt;0,VLOOKUP(C561,Foundation_Calc!$E$2:$G$33,3,1),
IF(J561&gt;0,VLOOKUP(J561,Foundation_Calc!$E$2:$G$33,3,1),""))</f>
        <v/>
      </c>
      <c r="AY561" s="10" t="str">
        <f>IF(L561="","",
IF(AX561="PT",VLOOKUP(L561,Foundation_Calc!$K$79:$R$113,VLOOKUP(AW561,Foundation_Calc!$I$2:$J$8,2,FALSE),0),
IF(AX561="K",VLOOKUP(L561,Foundation_Calc!$K$117:$R$151,VLOOKUP(AW561,Foundation_Calc!$I$2:$J$8,2,FALSE),0),"")))</f>
        <v/>
      </c>
      <c r="AZ561" s="10" t="str">
        <f>IF(K561="","",
IF(AX561="PT",VLOOKUP(K561,Foundation_Calc!$K$79:$R$113,VLOOKUP(AW561,Foundation_Calc!$I$2:$J$8,2,FALSE),0),
IF(AX561="K",VLOOKUP(K561,Foundation_Calc!$K$117:$R$151,VLOOKUP(AW561,Foundation_Calc!$I$2:$J$8,2,FALSE),0),"")))</f>
        <v/>
      </c>
      <c r="BA561" s="495" t="str">
        <f t="shared" si="63"/>
        <v/>
      </c>
      <c r="BB561" s="495" t="str">
        <f t="shared" si="64"/>
        <v/>
      </c>
      <c r="BC561" s="495" t="str">
        <f t="shared" si="65"/>
        <v/>
      </c>
      <c r="BD561" s="513" t="str">
        <f>IF(AND(L561="",H561=""),"",
IF(H561="",Pole_Calc!A$9,
IF(H561="MP",Pole_Calc!A$10,
IF(H561="AnMP",Pole_Calc!A$11,
IF(H561="A",Pole_Calc!A$12,
IF(H561="S/A",Pole_Calc!A$13,
IF(H561="A/S",Pole_Calc!A$14,"Poner a mano")))))))</f>
        <v/>
      </c>
      <c r="BE561" s="429" t="s">
        <v>118</v>
      </c>
      <c r="BF561" s="290"/>
      <c r="BG561" s="290"/>
      <c r="BH561" s="290"/>
      <c r="BI561" s="290"/>
    </row>
    <row r="562" spans="1:61" ht="15.75" customHeight="1">
      <c r="A562" s="514"/>
      <c r="B562" s="450" t="s">
        <v>511</v>
      </c>
      <c r="C562" s="3">
        <f>+$C$560+$G$561</f>
        <v>43556.95</v>
      </c>
      <c r="D562" s="83"/>
      <c r="E562" s="4"/>
      <c r="F562" s="4">
        <f>IF(C562&gt;0,VLOOKUP(C562,'ALIGNMENT TRACK'!$A$1:$K$81,9,1))</f>
        <v>0</v>
      </c>
      <c r="G562" s="6"/>
      <c r="H562" s="449"/>
      <c r="I562" s="4"/>
      <c r="J562" s="3"/>
      <c r="K562" s="449"/>
      <c r="L562" s="449" t="s">
        <v>153</v>
      </c>
      <c r="M562" s="449" t="str">
        <f>IF(L562="","",
IF(AX562="PT",VLOOKUP(L562,Foundation_Calc!$V$79:$X$113,VLOOKUP(AX562,Foundation_Calc!$I$10:$J$13,2,FALSE),0),
IF(AX562="K",VLOOKUP(L562,Foundation_Calc!$V$117:$X$151,VLOOKUP(AX562,Foundation_Calc!$I$10:$J$13,2,FALSE),0),"")))</f>
        <v>C3RT</v>
      </c>
      <c r="N562" s="449" t="s">
        <v>124</v>
      </c>
      <c r="O562" s="449"/>
      <c r="P562" s="449"/>
      <c r="Q562" s="4"/>
      <c r="R562" s="6"/>
      <c r="S562" s="6"/>
      <c r="T562" s="4">
        <v>-35</v>
      </c>
      <c r="U562" s="4"/>
      <c r="V562" s="4"/>
      <c r="W562" s="572">
        <v>1.2</v>
      </c>
      <c r="X562" s="9"/>
      <c r="Y562" s="9"/>
      <c r="Z562" s="9"/>
      <c r="AA562" s="9"/>
      <c r="AB562" s="9"/>
      <c r="AC562" s="449" t="str">
        <f t="shared" si="62"/>
        <v>PHQ</v>
      </c>
      <c r="AD562" s="449"/>
      <c r="AE562" s="449"/>
      <c r="AF562" s="4"/>
      <c r="AG562" s="83"/>
      <c r="AH562" s="4"/>
      <c r="AI562" s="4"/>
      <c r="AJ562" s="449"/>
      <c r="AK562" s="449"/>
      <c r="AL562" s="449"/>
      <c r="AM562" s="449" t="s">
        <v>126</v>
      </c>
      <c r="AN562" s="10">
        <v>5.5</v>
      </c>
      <c r="AO562" s="9"/>
      <c r="AP562" s="9"/>
      <c r="AQ562" s="9"/>
      <c r="AR562" s="9"/>
      <c r="AS562" s="9"/>
      <c r="AT562" s="9">
        <f>+ab($T$562,$T$560,$T$564,$G$561,$G$563,-1*$F$562,1200)</f>
        <v>-7.4170301252032464</v>
      </c>
      <c r="AU562" s="428"/>
      <c r="AV562" s="428"/>
      <c r="AW562" s="449" t="str">
        <f>IF(C562&gt;0,VLOOKUP(C562,Foundation_Calc!$A$2:$C$13,3,1),
IF(J562&gt;0,VLOOKUP(J562,Foundation_Calc!$A$2:$C$13,3,1),""))</f>
        <v>Multi Soil</v>
      </c>
      <c r="AX562" s="449" t="str">
        <f>IF(C562&gt;0,VLOOKUP(C562,Foundation_Calc!$E$2:$G$33,3,1),
IF(J562&gt;0,VLOOKUP(J562,Foundation_Calc!$E$2:$G$33,3,1),""))</f>
        <v>K</v>
      </c>
      <c r="AY562" s="10">
        <f>IF(L562="","",
IF(AX562="PT",VLOOKUP(L562,Foundation_Calc!$K$79:$R$113,VLOOKUP(AW562,Foundation_Calc!$I$2:$J$8,2,FALSE),0),
IF(AX562="K",VLOOKUP(L562,Foundation_Calc!$K$117:$R$151,VLOOKUP(AW562,Foundation_Calc!$I$2:$J$8,2,FALSE),0),"")))</f>
        <v>4</v>
      </c>
      <c r="AZ562" s="10" t="str">
        <f>IF(K562="","",
IF(AX562="PT",VLOOKUP(K562,Foundation_Calc!$K$79:$R$113,VLOOKUP(AW562,Foundation_Calc!$I$2:$J$8,2,FALSE),0),
IF(AX562="K",VLOOKUP(K562,Foundation_Calc!$K$117:$R$151,VLOOKUP(AW562,Foundation_Calc!$I$2:$J$8,2,FALSE),0),"")))</f>
        <v/>
      </c>
      <c r="BA562" s="495" t="str">
        <f t="shared" si="63"/>
        <v>ü</v>
      </c>
      <c r="BB562" s="495" t="str">
        <f t="shared" si="64"/>
        <v/>
      </c>
      <c r="BC562" s="495" t="str">
        <f t="shared" si="65"/>
        <v/>
      </c>
      <c r="BD562" s="513" t="str">
        <f>IF(AND(L562="",H562=""),"",
IF(H562="",Pole_Calc!A$9,
IF(H562="MP",Pole_Calc!A$10,
IF(H562="AnMP",Pole_Calc!A$11,
IF(H562="A",Pole_Calc!A$12,
IF(H562="S/A",Pole_Calc!A$13,
IF(H562="A/S",Pole_Calc!A$14,"Poner a mano")))))))</f>
        <v>App.7-V11I-P9.5.1.1</v>
      </c>
      <c r="BE562" s="429" t="s">
        <v>118</v>
      </c>
      <c r="BF562" s="289"/>
      <c r="BG562" s="289"/>
      <c r="BH562" s="290"/>
      <c r="BI562" s="289"/>
    </row>
    <row r="563" spans="1:61" ht="15.75" customHeight="1">
      <c r="A563" s="514"/>
      <c r="B563" s="450"/>
      <c r="C563" s="3"/>
      <c r="D563" s="83"/>
      <c r="E563" s="4"/>
      <c r="F563" s="4"/>
      <c r="G563" s="6">
        <v>50</v>
      </c>
      <c r="H563" s="449"/>
      <c r="I563" s="4"/>
      <c r="J563" s="3"/>
      <c r="K563" s="449"/>
      <c r="L563" s="449"/>
      <c r="M563" s="449" t="str">
        <f>IF(L563="","",
IF(AX563="PT",VLOOKUP(L563,Foundation_Calc!$V$79:$X$113,VLOOKUP(AX563,Foundation_Calc!$I$10:$J$13,2,FALSE),0),
IF(AX563="K",VLOOKUP(L563,Foundation_Calc!$V$117:$X$151,VLOOKUP(AX563,Foundation_Calc!$I$10:$J$13,2,FALSE),0),"")))</f>
        <v/>
      </c>
      <c r="N563" s="449"/>
      <c r="O563" s="449"/>
      <c r="P563" s="449"/>
      <c r="Q563" s="4"/>
      <c r="R563" s="6"/>
      <c r="S563" s="6"/>
      <c r="T563" s="4"/>
      <c r="U563" s="4"/>
      <c r="V563" s="4"/>
      <c r="W563" s="9"/>
      <c r="X563" s="9"/>
      <c r="Y563" s="9"/>
      <c r="Z563" s="9"/>
      <c r="AA563" s="9"/>
      <c r="AB563" s="9"/>
      <c r="AC563" s="449" t="str">
        <f t="shared" si="62"/>
        <v/>
      </c>
      <c r="AD563" s="449"/>
      <c r="AE563" s="449"/>
      <c r="AF563" s="4"/>
      <c r="AG563" s="83"/>
      <c r="AH563" s="4"/>
      <c r="AI563" s="4"/>
      <c r="AJ563" s="449"/>
      <c r="AK563" s="449"/>
      <c r="AL563" s="449"/>
      <c r="AM563" s="449"/>
      <c r="AN563" s="10"/>
      <c r="AO563" s="9"/>
      <c r="AP563" s="9"/>
      <c r="AQ563" s="9">
        <f>+FL_2($T$564,$T$562,$G$563,1200,9.28,-1*$F$564)</f>
        <v>-0.37593390799999998</v>
      </c>
      <c r="AR563" s="9"/>
      <c r="AS563" s="9"/>
      <c r="AT563" s="9"/>
      <c r="AU563" s="428"/>
      <c r="AV563" s="428"/>
      <c r="AW563" s="449" t="str">
        <f>IF(C563&gt;0,VLOOKUP(C563,Foundation_Calc!$A$2:$C$13,3,1),
IF(J563&gt;0,VLOOKUP(J563,Foundation_Calc!$A$2:$C$13,3,1),""))</f>
        <v/>
      </c>
      <c r="AX563" s="449" t="str">
        <f>IF(C563&gt;0,VLOOKUP(C563,Foundation_Calc!$E$2:$G$33,3,1),
IF(J563&gt;0,VLOOKUP(J563,Foundation_Calc!$E$2:$G$33,3,1),""))</f>
        <v/>
      </c>
      <c r="AY563" s="10" t="str">
        <f>IF(L563="","",
IF(AX563="PT",VLOOKUP(L563,Foundation_Calc!$K$79:$R$113,VLOOKUP(AW563,Foundation_Calc!$I$2:$J$8,2,FALSE),0),
IF(AX563="K",VLOOKUP(L563,Foundation_Calc!$K$117:$R$151,VLOOKUP(AW563,Foundation_Calc!$I$2:$J$8,2,FALSE),0),"")))</f>
        <v/>
      </c>
      <c r="AZ563" s="10" t="str">
        <f>IF(K563="","",
IF(AX563="PT",VLOOKUP(K563,Foundation_Calc!$K$79:$R$113,VLOOKUP(AW563,Foundation_Calc!$I$2:$J$8,2,FALSE),0),
IF(AX563="K",VLOOKUP(K563,Foundation_Calc!$K$117:$R$151,VLOOKUP(AW563,Foundation_Calc!$I$2:$J$8,2,FALSE),0),"")))</f>
        <v/>
      </c>
      <c r="BA563" s="495" t="str">
        <f t="shared" si="63"/>
        <v/>
      </c>
      <c r="BB563" s="495" t="str">
        <f t="shared" si="64"/>
        <v/>
      </c>
      <c r="BC563" s="495" t="str">
        <f t="shared" si="65"/>
        <v/>
      </c>
      <c r="BD563" s="513" t="str">
        <f>IF(AND(L563="",H563=""),"",
IF(H563="",Pole_Calc!A$9,
IF(H563="MP",Pole_Calc!A$10,
IF(H563="AnMP",Pole_Calc!A$11,
IF(H563="A",Pole_Calc!A$12,
IF(H563="S/A",Pole_Calc!A$13,
IF(H563="A/S",Pole_Calc!A$14,"Poner a mano")))))))</f>
        <v/>
      </c>
      <c r="BE563" s="429" t="s">
        <v>118</v>
      </c>
      <c r="BF563" s="290"/>
      <c r="BG563" s="290"/>
      <c r="BH563" s="290"/>
      <c r="BI563" s="290"/>
    </row>
    <row r="564" spans="1:61" ht="15.75" customHeight="1">
      <c r="A564" s="514"/>
      <c r="B564" s="450" t="s">
        <v>512</v>
      </c>
      <c r="C564" s="3">
        <f>+$C$562+$G$563</f>
        <v>43606.95</v>
      </c>
      <c r="D564" s="83"/>
      <c r="E564" s="4"/>
      <c r="F564" s="4">
        <f>IF(C564&gt;0,VLOOKUP(C564,'ALIGNMENT TRACK'!$A$1:$K$81,9,1))</f>
        <v>0</v>
      </c>
      <c r="G564" s="6"/>
      <c r="H564" s="449"/>
      <c r="I564" s="4"/>
      <c r="J564" s="3"/>
      <c r="K564" s="449"/>
      <c r="L564" s="449" t="s">
        <v>153</v>
      </c>
      <c r="M564" s="449" t="str">
        <f>IF(L564="","",
IF(AX564="PT",VLOOKUP(L564,Foundation_Calc!$V$79:$X$113,VLOOKUP(AX564,Foundation_Calc!$I$10:$J$13,2,FALSE),0),
IF(AX564="K",VLOOKUP(L564,Foundation_Calc!$V$117:$X$151,VLOOKUP(AX564,Foundation_Calc!$I$10:$J$13,2,FALSE),0),"")))</f>
        <v>C3R</v>
      </c>
      <c r="N564" s="449" t="s">
        <v>134</v>
      </c>
      <c r="O564" s="449"/>
      <c r="P564" s="449"/>
      <c r="Q564" s="4"/>
      <c r="R564" s="6"/>
      <c r="S564" s="6"/>
      <c r="T564" s="4">
        <v>30</v>
      </c>
      <c r="U564" s="4"/>
      <c r="V564" s="4"/>
      <c r="W564" s="9">
        <v>1.4</v>
      </c>
      <c r="X564" s="9"/>
      <c r="Y564" s="9"/>
      <c r="Z564" s="9"/>
      <c r="AA564" s="9"/>
      <c r="AB564" s="9"/>
      <c r="AC564" s="449" t="str">
        <f t="shared" si="62"/>
        <v>PH</v>
      </c>
      <c r="AD564" s="449"/>
      <c r="AE564" s="449"/>
      <c r="AF564" s="4"/>
      <c r="AG564" s="83"/>
      <c r="AH564" s="4"/>
      <c r="AI564" s="4"/>
      <c r="AJ564" s="449"/>
      <c r="AK564" s="449"/>
      <c r="AL564" s="449"/>
      <c r="AM564" s="449" t="s">
        <v>126</v>
      </c>
      <c r="AN564" s="10">
        <v>5.5</v>
      </c>
      <c r="AO564" s="9"/>
      <c r="AP564" s="9"/>
      <c r="AQ564" s="9"/>
      <c r="AR564" s="9"/>
      <c r="AS564" s="9"/>
      <c r="AT564" s="9">
        <f>+ab($T$564,$T$562,$T$566,$G$563,$G$565,-1*$F$564,1200)</f>
        <v>8.2849103461709834</v>
      </c>
      <c r="AU564" s="428"/>
      <c r="AV564" s="428"/>
      <c r="AW564" s="449" t="str">
        <f>IF(C564&gt;0,VLOOKUP(C564,Foundation_Calc!$A$2:$C$13,3,1),
IF(J564&gt;0,VLOOKUP(J564,Foundation_Calc!$A$2:$C$13,3,1),""))</f>
        <v>Multi Soil</v>
      </c>
      <c r="AX564" s="449" t="str">
        <f>IF(C564&gt;0,VLOOKUP(C564,Foundation_Calc!$E$2:$G$33,3,1),
IF(J564&gt;0,VLOOKUP(J564,Foundation_Calc!$E$2:$G$33,3,1),""))</f>
        <v>PT</v>
      </c>
      <c r="AY564" s="10">
        <f>IF(L564="","",
IF(AX564="PT",VLOOKUP(L564,Foundation_Calc!$K$79:$R$113,VLOOKUP(AW564,Foundation_Calc!$I$2:$J$8,2,FALSE),0),
IF(AX564="K",VLOOKUP(L564,Foundation_Calc!$K$117:$R$151,VLOOKUP(AW564,Foundation_Calc!$I$2:$J$8,2,FALSE),0),"")))</f>
        <v>3.5</v>
      </c>
      <c r="AZ564" s="10" t="str">
        <f>IF(K564="","",
IF(AX564="PT",VLOOKUP(K564,Foundation_Calc!$K$79:$R$113,VLOOKUP(AW564,Foundation_Calc!$I$2:$J$8,2,FALSE),0),
IF(AX564="K",VLOOKUP(K564,Foundation_Calc!$K$117:$R$151,VLOOKUP(AW564,Foundation_Calc!$I$2:$J$8,2,FALSE),0),"")))</f>
        <v/>
      </c>
      <c r="BA564" s="495" t="str">
        <f t="shared" si="63"/>
        <v>ü</v>
      </c>
      <c r="BB564" s="495" t="str">
        <f t="shared" si="64"/>
        <v/>
      </c>
      <c r="BC564" s="495" t="str">
        <f t="shared" si="65"/>
        <v/>
      </c>
      <c r="BD564" s="513" t="str">
        <f>IF(AND(L564="",H564=""),"",
IF(H564="",Pole_Calc!A$9,
IF(H564="MP",Pole_Calc!A$10,
IF(H564="AnMP",Pole_Calc!A$11,
IF(H564="A",Pole_Calc!A$12,
IF(H564="S/A",Pole_Calc!A$13,
IF(H564="A/S",Pole_Calc!A$14,"Poner a mano")))))))</f>
        <v>App.7-V11I-P9.5.1.1</v>
      </c>
      <c r="BE564" s="429" t="s">
        <v>118</v>
      </c>
      <c r="BF564" s="289"/>
      <c r="BG564" s="289"/>
      <c r="BH564" s="290"/>
      <c r="BI564" s="289"/>
    </row>
    <row r="565" spans="1:61" ht="15.75" customHeight="1">
      <c r="A565" s="514" t="s">
        <v>169</v>
      </c>
      <c r="B565" s="450"/>
      <c r="C565" s="3"/>
      <c r="D565" s="83"/>
      <c r="E565" s="4"/>
      <c r="F565" s="4"/>
      <c r="G565" s="6">
        <v>55</v>
      </c>
      <c r="H565" s="449"/>
      <c r="I565" s="4"/>
      <c r="J565" s="3">
        <f>C566-7.5</f>
        <v>43654.45</v>
      </c>
      <c r="K565" s="449" t="s">
        <v>117</v>
      </c>
      <c r="L565" s="449"/>
      <c r="M565" s="449" t="str">
        <f>IF(L565="","",
IF(AX565="PT",VLOOKUP(L565,Foundation_Calc!$V$79:$X$113,VLOOKUP(AX565,Foundation_Calc!$I$10:$J$13,2,FALSE),0),
IF(AX565="K",VLOOKUP(L565,Foundation_Calc!$V$117:$X$151,VLOOKUP(AX565,Foundation_Calc!$I$10:$J$13,2,FALSE),0),"")))</f>
        <v/>
      </c>
      <c r="N565" s="449"/>
      <c r="O565" s="449"/>
      <c r="P565" s="449"/>
      <c r="Q565" s="4"/>
      <c r="R565" s="6"/>
      <c r="S565" s="6"/>
      <c r="T565" s="4"/>
      <c r="U565" s="4"/>
      <c r="V565" s="4"/>
      <c r="W565" s="9"/>
      <c r="X565" s="9"/>
      <c r="Y565" s="9"/>
      <c r="Z565" s="9"/>
      <c r="AA565" s="9"/>
      <c r="AB565" s="9"/>
      <c r="AC565" s="449" t="str">
        <f t="shared" si="62"/>
        <v/>
      </c>
      <c r="AD565" s="449"/>
      <c r="AE565" s="449"/>
      <c r="AF565" s="4"/>
      <c r="AG565" s="83"/>
      <c r="AH565" s="4"/>
      <c r="AI565" s="4"/>
      <c r="AJ565" s="449"/>
      <c r="AK565" s="449"/>
      <c r="AL565" s="449"/>
      <c r="AM565" s="449"/>
      <c r="AN565" s="10"/>
      <c r="AO565" s="9"/>
      <c r="AP565" s="9"/>
      <c r="AQ565" s="9">
        <f>+FL_1($T$566,$T$564,$G$565,1200,9.28,-1*$F$566)</f>
        <v>0.38207183866666655</v>
      </c>
      <c r="AR565" s="9"/>
      <c r="AS565" s="9"/>
      <c r="AT565" s="9"/>
      <c r="AU565" s="428"/>
      <c r="AV565" s="428"/>
      <c r="AW565" s="449" t="str">
        <f>IF(C565&gt;0,VLOOKUP(C565,Foundation_Calc!$A$2:$C$13,3,1),
IF(J565&gt;0,VLOOKUP(J565,Foundation_Calc!$A$2:$C$13,3,1),""))</f>
        <v>Multi Soil</v>
      </c>
      <c r="AX565" s="449" t="str">
        <f>IF(C565&gt;0,VLOOKUP(C565,Foundation_Calc!$E$2:$G$33,3,1),
IF(J565&gt;0,VLOOKUP(J565,Foundation_Calc!$E$2:$G$33,3,1),""))</f>
        <v>PT</v>
      </c>
      <c r="AY565" s="10" t="str">
        <f>IF(L565="","",
IF(AX565="PT",VLOOKUP(L565,Foundation_Calc!$K$79:$R$113,VLOOKUP(AW565,Foundation_Calc!$I$2:$J$8,2,FALSE),0),
IF(AX565="K",VLOOKUP(L565,Foundation_Calc!$K$117:$R$151,VLOOKUP(AW565,Foundation_Calc!$I$2:$J$8,2,FALSE),0),"")))</f>
        <v/>
      </c>
      <c r="AZ565" s="10">
        <f>IF(K565="","",
IF(AX565="PT",VLOOKUP(K565,Foundation_Calc!$K$79:$R$113,VLOOKUP(AW565,Foundation_Calc!$I$2:$J$8,2,FALSE),0),
IF(AX565="K",VLOOKUP(K565,Foundation_Calc!$K$117:$R$151,VLOOKUP(AW565,Foundation_Calc!$I$2:$J$8,2,FALSE),0),"")))</f>
        <v>3.9</v>
      </c>
      <c r="BA565" s="495" t="str">
        <f t="shared" si="63"/>
        <v/>
      </c>
      <c r="BB565" s="495" t="str">
        <f t="shared" si="64"/>
        <v>ü</v>
      </c>
      <c r="BC565" s="495" t="str">
        <f t="shared" si="65"/>
        <v/>
      </c>
      <c r="BD565" s="513" t="str">
        <f>IF(AND(L565="",H565=""),"",
IF(H565="",Pole_Calc!A$9,
IF(H565="MP",Pole_Calc!A$10,
IF(H565="AnMP",Pole_Calc!A$11,
IF(H565="A",Pole_Calc!A$12,
IF(H565="S/A",Pole_Calc!A$13,
IF(H565="A/S",Pole_Calc!A$14,"Poner a mano")))))))</f>
        <v/>
      </c>
      <c r="BE565" s="429" t="s">
        <v>118</v>
      </c>
      <c r="BF565" s="290"/>
      <c r="BG565" s="290"/>
      <c r="BH565" s="290"/>
      <c r="BI565" s="290"/>
    </row>
    <row r="566" spans="1:61" ht="15.75" customHeight="1">
      <c r="A566" s="514"/>
      <c r="B566" s="450" t="s">
        <v>513</v>
      </c>
      <c r="C566" s="3">
        <f>+$C$564+$G$565</f>
        <v>43661.95</v>
      </c>
      <c r="D566" s="83"/>
      <c r="E566" s="4"/>
      <c r="F566" s="4">
        <f>IF(C566&gt;0,VLOOKUP(C566,'ALIGNMENT TRACK'!$A$1:$K$81,9,1))</f>
        <v>0</v>
      </c>
      <c r="G566" s="6"/>
      <c r="H566" s="449" t="s">
        <v>121</v>
      </c>
      <c r="I566" s="4" t="s">
        <v>122</v>
      </c>
      <c r="J566" s="3"/>
      <c r="K566" s="449"/>
      <c r="L566" s="449" t="s">
        <v>151</v>
      </c>
      <c r="M566" s="449" t="str">
        <f>IF(L566="","",
IF(AX566="PT",VLOOKUP(L566,Foundation_Calc!$V$79:$X$113,VLOOKUP(AX566,Foundation_Calc!$I$10:$J$13,2,FALSE),0),
IF(AX566="K",VLOOKUP(L566,Foundation_Calc!$V$117:$X$151,VLOOKUP(AX566,Foundation_Calc!$I$10:$J$13,2,FALSE),0),"")))</f>
        <v>C4R</v>
      </c>
      <c r="N566" s="449" t="s">
        <v>124</v>
      </c>
      <c r="O566" s="449"/>
      <c r="P566" s="449"/>
      <c r="Q566" s="4"/>
      <c r="R566" s="6"/>
      <c r="S566" s="6"/>
      <c r="T566" s="4">
        <v>-25</v>
      </c>
      <c r="U566" s="4"/>
      <c r="V566" s="4"/>
      <c r="W566" s="9">
        <v>1.4</v>
      </c>
      <c r="X566" s="9"/>
      <c r="Y566" s="9"/>
      <c r="Z566" s="9"/>
      <c r="AA566" s="9"/>
      <c r="AB566" s="9"/>
      <c r="AC566" s="449" t="str">
        <f t="shared" si="62"/>
        <v>PH</v>
      </c>
      <c r="AD566" s="449"/>
      <c r="AE566" s="449"/>
      <c r="AF566" s="4"/>
      <c r="AG566" s="83"/>
      <c r="AH566" s="4"/>
      <c r="AI566" s="4"/>
      <c r="AJ566" s="449"/>
      <c r="AK566" s="449"/>
      <c r="AL566" s="449"/>
      <c r="AM566" s="449" t="s">
        <v>126</v>
      </c>
      <c r="AN566" s="10">
        <v>5.5</v>
      </c>
      <c r="AO566" s="9"/>
      <c r="AP566" s="9"/>
      <c r="AQ566" s="9"/>
      <c r="AR566" s="9"/>
      <c r="AS566" s="9"/>
      <c r="AT566" s="9">
        <f>+ab($T$566,$T$564,$U$568,$G$565,$G$567,-1*$F$566,1200)</f>
        <v>-11.362272000781012</v>
      </c>
      <c r="AU566" s="428"/>
      <c r="AV566" s="428"/>
      <c r="AW566" s="449" t="str">
        <f>IF(C566&gt;0,VLOOKUP(C566,Foundation_Calc!$A$2:$C$13,3,1),
IF(J566&gt;0,VLOOKUP(J566,Foundation_Calc!$A$2:$C$13,3,1),""))</f>
        <v>Multi Soil</v>
      </c>
      <c r="AX566" s="449" t="str">
        <f>IF(C566&gt;0,VLOOKUP(C566,Foundation_Calc!$E$2:$G$33,3,1),
IF(J566&gt;0,VLOOKUP(J566,Foundation_Calc!$E$2:$G$33,3,1),""))</f>
        <v>PT</v>
      </c>
      <c r="AY566" s="10">
        <f>IF(L566="","",
IF(AX566="PT",VLOOKUP(L566,Foundation_Calc!$K$79:$R$113,VLOOKUP(AW566,Foundation_Calc!$I$2:$J$8,2,FALSE),0),
IF(AX566="K",VLOOKUP(L566,Foundation_Calc!$K$117:$R$151,VLOOKUP(AW566,Foundation_Calc!$I$2:$J$8,2,FALSE),0),"")))</f>
        <v>3.5</v>
      </c>
      <c r="AZ566" s="10" t="str">
        <f>IF(K566="","",
IF(AX566="PT",VLOOKUP(K566,Foundation_Calc!$K$79:$R$113,VLOOKUP(AW566,Foundation_Calc!$I$2:$J$8,2,FALSE),0),
IF(AX566="K",VLOOKUP(K566,Foundation_Calc!$K$117:$R$151,VLOOKUP(AW566,Foundation_Calc!$I$2:$J$8,2,FALSE),0),"")))</f>
        <v/>
      </c>
      <c r="BA566" s="495" t="str">
        <f t="shared" si="63"/>
        <v>ü</v>
      </c>
      <c r="BB566" s="495" t="str">
        <f t="shared" si="64"/>
        <v/>
      </c>
      <c r="BC566" s="495" t="str">
        <f t="shared" si="65"/>
        <v/>
      </c>
      <c r="BD566" s="513" t="str">
        <f>IF(AND(L566="",H566=""),"",
IF(H566="",Pole_Calc!A$9,
IF(H566="MP",Pole_Calc!A$10,
IF(H566="AnMP",Pole_Calc!A$11,
IF(H566="A",Pole_Calc!A$12,
IF(H566="S/A",Pole_Calc!A$13,
IF(H566="A/S",Pole_Calc!A$14,"Poner a mano")))))))</f>
        <v>App.7-V11I-P9.5.1.6</v>
      </c>
      <c r="BE566" s="429" t="s">
        <v>118</v>
      </c>
      <c r="BF566" s="289"/>
      <c r="BG566" s="289"/>
      <c r="BH566" s="290"/>
      <c r="BI566" s="289"/>
    </row>
    <row r="567" spans="1:61" ht="15.75" customHeight="1">
      <c r="A567" s="514"/>
      <c r="B567" s="450"/>
      <c r="C567" s="3"/>
      <c r="D567" s="83"/>
      <c r="E567" s="4"/>
      <c r="F567" s="4"/>
      <c r="G567" s="6">
        <v>60</v>
      </c>
      <c r="H567" s="449"/>
      <c r="I567" s="4"/>
      <c r="J567" s="3"/>
      <c r="K567" s="449"/>
      <c r="L567" s="449"/>
      <c r="M567" s="449" t="str">
        <f>IF(L567="","",
IF(AX567="PT",VLOOKUP(L567,Foundation_Calc!$V$79:$X$113,VLOOKUP(AX567,Foundation_Calc!$I$10:$J$13,2,FALSE),0),
IF(AX567="K",VLOOKUP(L567,Foundation_Calc!$V$117:$X$151,VLOOKUP(AX567,Foundation_Calc!$I$10:$J$13,2,FALSE),0),"")))</f>
        <v/>
      </c>
      <c r="N567" s="449"/>
      <c r="O567" s="449"/>
      <c r="P567" s="449"/>
      <c r="Q567" s="4"/>
      <c r="R567" s="6"/>
      <c r="S567" s="6"/>
      <c r="T567" s="4"/>
      <c r="U567" s="4"/>
      <c r="V567" s="4"/>
      <c r="W567" s="9"/>
      <c r="X567" s="9"/>
      <c r="Y567" s="9"/>
      <c r="Z567" s="9"/>
      <c r="AA567" s="9"/>
      <c r="AB567" s="9"/>
      <c r="AC567" s="449" t="str">
        <f t="shared" si="62"/>
        <v/>
      </c>
      <c r="AD567" s="449"/>
      <c r="AE567" s="449"/>
      <c r="AF567" s="4"/>
      <c r="AG567" s="83"/>
      <c r="AH567" s="4"/>
      <c r="AI567" s="4"/>
      <c r="AJ567" s="449"/>
      <c r="AK567" s="449"/>
      <c r="AL567" s="449"/>
      <c r="AM567" s="449"/>
      <c r="AN567" s="10"/>
      <c r="AO567" s="9"/>
      <c r="AP567" s="9"/>
      <c r="AQ567" s="9">
        <f>+FL_2($U$568,$T$566,$G$567,1200,9.28,-1*$F$568)</f>
        <v>-0.42673563199999992</v>
      </c>
      <c r="AR567" s="9"/>
      <c r="AS567" s="9"/>
      <c r="AT567" s="9"/>
      <c r="AU567" s="428"/>
      <c r="AV567" s="428"/>
      <c r="AW567" s="449" t="str">
        <f>IF(C567&gt;0,VLOOKUP(C567,Foundation_Calc!$A$2:$C$13,3,1),
IF(J567&gt;0,VLOOKUP(J567,Foundation_Calc!$A$2:$C$13,3,1),""))</f>
        <v/>
      </c>
      <c r="AX567" s="449" t="str">
        <f>IF(C567&gt;0,VLOOKUP(C567,Foundation_Calc!$E$2:$G$33,3,1),
IF(J567&gt;0,VLOOKUP(J567,Foundation_Calc!$E$2:$G$33,3,1),""))</f>
        <v/>
      </c>
      <c r="AY567" s="10" t="str">
        <f>IF(L567="","",
IF(AX567="PT",VLOOKUP(L567,Foundation_Calc!$K$79:$R$113,VLOOKUP(AW567,Foundation_Calc!$I$2:$J$8,2,FALSE),0),
IF(AX567="K",VLOOKUP(L567,Foundation_Calc!$K$117:$R$151,VLOOKUP(AW567,Foundation_Calc!$I$2:$J$8,2,FALSE),0),"")))</f>
        <v/>
      </c>
      <c r="AZ567" s="10" t="str">
        <f>IF(K567="","",
IF(AX567="PT",VLOOKUP(K567,Foundation_Calc!$K$79:$R$113,VLOOKUP(AW567,Foundation_Calc!$I$2:$J$8,2,FALSE),0),
IF(AX567="K",VLOOKUP(K567,Foundation_Calc!$K$117:$R$151,VLOOKUP(AW567,Foundation_Calc!$I$2:$J$8,2,FALSE),0),"")))</f>
        <v/>
      </c>
      <c r="BA567" s="495" t="str">
        <f t="shared" si="63"/>
        <v/>
      </c>
      <c r="BB567" s="495" t="str">
        <f t="shared" si="64"/>
        <v/>
      </c>
      <c r="BC567" s="495" t="str">
        <f t="shared" si="65"/>
        <v/>
      </c>
      <c r="BD567" s="513" t="str">
        <f>IF(AND(L567="",H567=""),"",
IF(H567="",Pole_Calc!A$9,
IF(H567="MP",Pole_Calc!A$10,
IF(H567="AnMP",Pole_Calc!A$11,
IF(H567="A",Pole_Calc!A$12,
IF(H567="S/A",Pole_Calc!A$13,
IF(H567="A/S",Pole_Calc!A$14,"Poner a mano")))))))</f>
        <v/>
      </c>
      <c r="BE567" s="429" t="s">
        <v>118</v>
      </c>
      <c r="BF567" s="290"/>
      <c r="BG567" s="290"/>
      <c r="BH567" s="290"/>
      <c r="BI567" s="290"/>
    </row>
    <row r="568" spans="1:61" ht="15.75" customHeight="1">
      <c r="A568" s="514"/>
      <c r="B568" s="450" t="s">
        <v>514</v>
      </c>
      <c r="C568" s="3">
        <f>+$C$566+$G$567</f>
        <v>43721.95</v>
      </c>
      <c r="D568" s="83"/>
      <c r="E568" s="4"/>
      <c r="F568" s="4">
        <f>IF(C568&gt;0,VLOOKUP(C568,'ALIGNMENT TRACK'!$A$1:$K$81,9,1))</f>
        <v>0</v>
      </c>
      <c r="G568" s="6"/>
      <c r="H568" s="449" t="s">
        <v>131</v>
      </c>
      <c r="I568" s="4"/>
      <c r="J568" s="3"/>
      <c r="K568" s="449"/>
      <c r="L568" s="449" t="s">
        <v>158</v>
      </c>
      <c r="M568" s="449" t="str">
        <f>IF(L568="","",
IF(AX568="PT",VLOOKUP(L568,Foundation_Calc!$V$79:$X$113,VLOOKUP(AX568,Foundation_Calc!$I$10:$J$13,2,FALSE),0),
IF(AX568="K",VLOOKUP(L568,Foundation_Calc!$V$117:$X$151,VLOOKUP(AX568,Foundation_Calc!$I$10:$J$13,2,FALSE),0),"")))</f>
        <v>C4R</v>
      </c>
      <c r="N568" s="449" t="s">
        <v>133</v>
      </c>
      <c r="O568" s="449" t="s">
        <v>134</v>
      </c>
      <c r="P568" s="449"/>
      <c r="Q568" s="4"/>
      <c r="R568" s="6"/>
      <c r="S568" s="6"/>
      <c r="T568" s="4">
        <v>35</v>
      </c>
      <c r="U568" s="4">
        <v>15</v>
      </c>
      <c r="V568" s="4"/>
      <c r="W568" s="9">
        <v>1.4</v>
      </c>
      <c r="X568" s="9">
        <v>2.2999999999999998</v>
      </c>
      <c r="Y568" s="9"/>
      <c r="Z568" s="9">
        <v>0.6</v>
      </c>
      <c r="AA568" s="9"/>
      <c r="AB568" s="9"/>
      <c r="AC568" s="449"/>
      <c r="AD568" s="449"/>
      <c r="AE568" s="449"/>
      <c r="AF568" s="4"/>
      <c r="AG568" s="83"/>
      <c r="AH568" s="4"/>
      <c r="AI568" s="4"/>
      <c r="AJ568" s="449"/>
      <c r="AK568" s="449"/>
      <c r="AL568" s="449"/>
      <c r="AM568" s="449" t="s">
        <v>126</v>
      </c>
      <c r="AN568" s="10">
        <v>5.5</v>
      </c>
      <c r="AO568" s="9"/>
      <c r="AP568" s="9"/>
      <c r="AQ568" s="9"/>
      <c r="AR568" s="9"/>
      <c r="AS568" s="9"/>
      <c r="AT568" s="9">
        <f>+ab($U$568,$T$566,$U$570,$G$567,$G$569,-1*$F$568,1200)</f>
        <v>12.80851399813842</v>
      </c>
      <c r="AU568" s="428"/>
      <c r="AV568" s="428"/>
      <c r="AW568" s="449" t="str">
        <f>IF(C568&gt;0,VLOOKUP(C568,Foundation_Calc!$A$2:$C$13,3,1),
IF(J568&gt;0,VLOOKUP(J568,Foundation_Calc!$A$2:$C$13,3,1),""))</f>
        <v>Multi Soil</v>
      </c>
      <c r="AX568" s="449" t="str">
        <f>IF(C568&gt;0,VLOOKUP(C568,Foundation_Calc!$E$2:$G$33,3,1),
IF(J568&gt;0,VLOOKUP(J568,Foundation_Calc!$E$2:$G$33,3,1),""))</f>
        <v>PT</v>
      </c>
      <c r="AY568" s="10">
        <f>IF(L568="","",
IF(AX568="PT",VLOOKUP(L568,Foundation_Calc!$K$79:$R$113,VLOOKUP(AW568,Foundation_Calc!$I$2:$J$8,2,FALSE),0),
IF(AX568="K",VLOOKUP(L568,Foundation_Calc!$K$117:$R$151,VLOOKUP(AW568,Foundation_Calc!$I$2:$J$8,2,FALSE),0),"")))</f>
        <v>3.5</v>
      </c>
      <c r="AZ568" s="10" t="str">
        <f>IF(K568="","",
IF(AX568="PT",VLOOKUP(K568,Foundation_Calc!$K$79:$R$113,VLOOKUP(AW568,Foundation_Calc!$I$2:$J$8,2,FALSE),0),
IF(AX568="K",VLOOKUP(K568,Foundation_Calc!$K$117:$R$151,VLOOKUP(AW568,Foundation_Calc!$I$2:$J$8,2,FALSE),0),"")))</f>
        <v/>
      </c>
      <c r="BA568" s="495" t="str">
        <f t="shared" si="63"/>
        <v>ü</v>
      </c>
      <c r="BB568" s="495" t="str">
        <f t="shared" si="64"/>
        <v/>
      </c>
      <c r="BC568" s="495" t="str">
        <f t="shared" si="65"/>
        <v/>
      </c>
      <c r="BD568" s="513" t="str">
        <f>IF(AND(L568="",H568=""),"",
IF(H568="",Pole_Calc!A$9,
IF(H568="MP",Pole_Calc!A$10,
IF(H568="AnMP",Pole_Calc!A$11,
IF(H568="A",Pole_Calc!A$12,
IF(H568="S/A",Pole_Calc!A$13,
IF(H568="A/S",Pole_Calc!A$14,"Poner a mano")))))))</f>
        <v>App.7-V11I-P9.5.1.5</v>
      </c>
      <c r="BE568" s="429" t="s">
        <v>118</v>
      </c>
      <c r="BF568" s="289"/>
      <c r="BG568" s="289"/>
      <c r="BH568" s="290"/>
      <c r="BI568" s="289"/>
    </row>
    <row r="569" spans="1:61" ht="15.75" customHeight="1">
      <c r="A569" s="514"/>
      <c r="B569" s="450"/>
      <c r="C569" s="3"/>
      <c r="D569" s="83"/>
      <c r="E569" s="4"/>
      <c r="F569" s="4"/>
      <c r="G569" s="6">
        <v>62</v>
      </c>
      <c r="H569" s="449"/>
      <c r="I569" s="4"/>
      <c r="J569" s="3"/>
      <c r="K569" s="449"/>
      <c r="L569" s="449"/>
      <c r="M569" s="449" t="str">
        <f>IF(L569="","",
IF(AX569="PT",VLOOKUP(L569,Foundation_Calc!$V$79:$X$113,VLOOKUP(AX569,Foundation_Calc!$I$10:$J$13,2,FALSE),0),
IF(AX569="K",VLOOKUP(L569,Foundation_Calc!$V$117:$X$151,VLOOKUP(AX569,Foundation_Calc!$I$10:$J$13,2,FALSE),0),"")))</f>
        <v/>
      </c>
      <c r="N569" s="449"/>
      <c r="O569" s="449"/>
      <c r="P569" s="449"/>
      <c r="Q569" s="4"/>
      <c r="R569" s="6"/>
      <c r="S569" s="6"/>
      <c r="T569" s="4"/>
      <c r="U569" s="4"/>
      <c r="V569" s="4"/>
      <c r="W569" s="9"/>
      <c r="X569" s="9"/>
      <c r="Y569" s="9"/>
      <c r="Z569" s="9"/>
      <c r="AA569" s="9"/>
      <c r="AB569" s="9"/>
      <c r="AC569" s="449" t="str">
        <f t="shared" si="62"/>
        <v/>
      </c>
      <c r="AD569" s="449"/>
      <c r="AE569" s="449"/>
      <c r="AF569" s="4"/>
      <c r="AG569" s="83"/>
      <c r="AH569" s="4"/>
      <c r="AI569" s="4"/>
      <c r="AJ569" s="449"/>
      <c r="AK569" s="449"/>
      <c r="AL569" s="449"/>
      <c r="AM569" s="449"/>
      <c r="AN569" s="10"/>
      <c r="AO569" s="9"/>
      <c r="AP569" s="9"/>
      <c r="AQ569" s="9">
        <f>+FL_1($T$570,$U$568,$G$569,1200,9.28,-1*$F$570)</f>
        <v>0.3867244505806452</v>
      </c>
      <c r="AR569" s="9"/>
      <c r="AS569" s="9"/>
      <c r="AT569" s="9"/>
      <c r="AU569" s="428"/>
      <c r="AV569" s="428"/>
      <c r="AW569" s="449" t="str">
        <f>IF(C569&gt;0,VLOOKUP(C569,Foundation_Calc!$A$2:$C$13,3,1),
IF(J569&gt;0,VLOOKUP(J569,Foundation_Calc!$A$2:$C$13,3,1),""))</f>
        <v/>
      </c>
      <c r="AX569" s="449" t="str">
        <f>IF(C569&gt;0,VLOOKUP(C569,Foundation_Calc!$E$2:$G$33,3,1),
IF(J569&gt;0,VLOOKUP(J569,Foundation_Calc!$E$2:$G$33,3,1),""))</f>
        <v/>
      </c>
      <c r="AY569" s="10" t="str">
        <f>IF(L569="","",
IF(AX569="PT",VLOOKUP(L569,Foundation_Calc!$K$79:$R$113,VLOOKUP(AW569,Foundation_Calc!$I$2:$J$8,2,FALSE),0),
IF(AX569="K",VLOOKUP(L569,Foundation_Calc!$K$117:$R$151,VLOOKUP(AW569,Foundation_Calc!$I$2:$J$8,2,FALSE),0),"")))</f>
        <v/>
      </c>
      <c r="AZ569" s="10" t="str">
        <f>IF(K569="","",
IF(AX569="PT",VLOOKUP(K569,Foundation_Calc!$K$79:$R$113,VLOOKUP(AW569,Foundation_Calc!$I$2:$J$8,2,FALSE),0),
IF(AX569="K",VLOOKUP(K569,Foundation_Calc!$K$117:$R$151,VLOOKUP(AW569,Foundation_Calc!$I$2:$J$8,2,FALSE),0),"")))</f>
        <v/>
      </c>
      <c r="BA569" s="495" t="str">
        <f t="shared" si="63"/>
        <v/>
      </c>
      <c r="BB569" s="495" t="str">
        <f t="shared" si="64"/>
        <v/>
      </c>
      <c r="BC569" s="495" t="str">
        <f t="shared" si="65"/>
        <v/>
      </c>
      <c r="BD569" s="513" t="str">
        <f>IF(AND(L569="",H569=""),"",
IF(H569="",Pole_Calc!A$9,
IF(H569="MP",Pole_Calc!A$10,
IF(H569="AnMP",Pole_Calc!A$11,
IF(H569="A",Pole_Calc!A$12,
IF(H569="S/A",Pole_Calc!A$13,
IF(H569="A/S",Pole_Calc!A$14,"Poner a mano")))))))</f>
        <v/>
      </c>
      <c r="BE569" s="429" t="s">
        <v>118</v>
      </c>
      <c r="BF569" s="290"/>
      <c r="BG569" s="290"/>
      <c r="BH569" s="290"/>
      <c r="BI569" s="290"/>
    </row>
    <row r="570" spans="1:61" ht="15.75" customHeight="1">
      <c r="A570" s="514"/>
      <c r="B570" s="450" t="s">
        <v>515</v>
      </c>
      <c r="C570" s="3">
        <f>+$C$568+$G$569</f>
        <v>43783.95</v>
      </c>
      <c r="D570" s="83"/>
      <c r="E570" s="4"/>
      <c r="F570" s="4">
        <f>IF(C570&gt;0,VLOOKUP(C570,'ALIGNMENT TRACK'!$A$1:$K$81,9,1))</f>
        <v>0</v>
      </c>
      <c r="G570" s="6"/>
      <c r="H570" s="449" t="s">
        <v>131</v>
      </c>
      <c r="I570" s="4"/>
      <c r="J570" s="3"/>
      <c r="K570" s="449"/>
      <c r="L570" s="449" t="s">
        <v>158</v>
      </c>
      <c r="M570" s="449" t="str">
        <f>IF(L570="","",
IF(AX570="PT",VLOOKUP(L570,Foundation_Calc!$V$79:$X$113,VLOOKUP(AX570,Foundation_Calc!$I$10:$J$13,2,FALSE),0),
IF(AX570="K",VLOOKUP(L570,Foundation_Calc!$V$117:$X$151,VLOOKUP(AX570,Foundation_Calc!$I$10:$J$13,2,FALSE),0),"")))</f>
        <v>C4R</v>
      </c>
      <c r="N570" s="449" t="s">
        <v>124</v>
      </c>
      <c r="O570" s="449" t="s">
        <v>133</v>
      </c>
      <c r="P570" s="449"/>
      <c r="Q570" s="4"/>
      <c r="R570" s="6"/>
      <c r="S570" s="6"/>
      <c r="T570" s="4">
        <v>-15</v>
      </c>
      <c r="U570" s="4">
        <v>-35</v>
      </c>
      <c r="V570" s="4"/>
      <c r="W570" s="9">
        <v>1.4</v>
      </c>
      <c r="X570" s="9">
        <v>2.2999999999999998</v>
      </c>
      <c r="Y570" s="9"/>
      <c r="Z570" s="9"/>
      <c r="AA570" s="9">
        <v>0.6</v>
      </c>
      <c r="AB570" s="9"/>
      <c r="AC570" s="449" t="str">
        <f t="shared" si="62"/>
        <v>PH</v>
      </c>
      <c r="AD570" s="449"/>
      <c r="AE570" s="449"/>
      <c r="AF570" s="4"/>
      <c r="AG570" s="83"/>
      <c r="AH570" s="4"/>
      <c r="AI570" s="4"/>
      <c r="AJ570" s="449"/>
      <c r="AK570" s="449"/>
      <c r="AL570" s="449"/>
      <c r="AM570" s="449" t="s">
        <v>126</v>
      </c>
      <c r="AN570" s="10">
        <v>5.5</v>
      </c>
      <c r="AO570" s="9"/>
      <c r="AP570" s="9"/>
      <c r="AQ570" s="9"/>
      <c r="AR570" s="9"/>
      <c r="AS570" s="9"/>
      <c r="AT570" s="9">
        <f>+ab($T$570,$T$568,$T$572,$G$569,$G$571,-1*$F$570,1200)</f>
        <v>-12.99198204310364</v>
      </c>
      <c r="AU570" s="428"/>
      <c r="AV570" s="428"/>
      <c r="AW570" s="449" t="str">
        <f>IF(C570&gt;0,VLOOKUP(C570,Foundation_Calc!$A$2:$C$13,3,1),
IF(J570&gt;0,VLOOKUP(J570,Foundation_Calc!$A$2:$C$13,3,1),""))</f>
        <v>Multi Soil</v>
      </c>
      <c r="AX570" s="449" t="str">
        <f>IF(C570&gt;0,VLOOKUP(C570,Foundation_Calc!$E$2:$G$33,3,1),
IF(J570&gt;0,VLOOKUP(J570,Foundation_Calc!$E$2:$G$33,3,1),""))</f>
        <v>PT</v>
      </c>
      <c r="AY570" s="10">
        <f>IF(L570="","",
IF(AX570="PT",VLOOKUP(L570,Foundation_Calc!$K$79:$R$113,VLOOKUP(AW570,Foundation_Calc!$I$2:$J$8,2,FALSE),0),
IF(AX570="K",VLOOKUP(L570,Foundation_Calc!$K$117:$R$151,VLOOKUP(AW570,Foundation_Calc!$I$2:$J$8,2,FALSE),0),"")))</f>
        <v>3.5</v>
      </c>
      <c r="AZ570" s="10" t="str">
        <f>IF(K570="","",
IF(AX570="PT",VLOOKUP(K570,Foundation_Calc!$K$79:$R$113,VLOOKUP(AW570,Foundation_Calc!$I$2:$J$8,2,FALSE),0),
IF(AX570="K",VLOOKUP(K570,Foundation_Calc!$K$117:$R$151,VLOOKUP(AW570,Foundation_Calc!$I$2:$J$8,2,FALSE),0),"")))</f>
        <v/>
      </c>
      <c r="BA570" s="495" t="str">
        <f t="shared" si="63"/>
        <v>ü</v>
      </c>
      <c r="BB570" s="495" t="str">
        <f t="shared" si="64"/>
        <v/>
      </c>
      <c r="BC570" s="495" t="str">
        <f t="shared" si="65"/>
        <v/>
      </c>
      <c r="BD570" s="513" t="str">
        <f>IF(AND(L570="",H570=""),"",
IF(H570="",Pole_Calc!A$9,
IF(H570="MP",Pole_Calc!A$10,
IF(H570="AnMP",Pole_Calc!A$11,
IF(H570="A",Pole_Calc!A$12,
IF(H570="S/A",Pole_Calc!A$13,
IF(H570="A/S",Pole_Calc!A$14,"Poner a mano")))))))</f>
        <v>App.7-V11I-P9.5.1.5</v>
      </c>
      <c r="BE570" s="429" t="s">
        <v>118</v>
      </c>
      <c r="BF570" s="289"/>
      <c r="BG570" s="289"/>
      <c r="BH570" s="290"/>
      <c r="BI570" s="289"/>
    </row>
    <row r="571" spans="1:61" ht="15.75" customHeight="1">
      <c r="A571" s="514"/>
      <c r="B571" s="450"/>
      <c r="C571" s="3"/>
      <c r="D571" s="83"/>
      <c r="E571" s="4"/>
      <c r="F571" s="4"/>
      <c r="G571" s="6">
        <v>62</v>
      </c>
      <c r="H571" s="449"/>
      <c r="I571" s="4"/>
      <c r="J571" s="3"/>
      <c r="K571" s="449"/>
      <c r="L571" s="449"/>
      <c r="M571" s="449" t="str">
        <f>IF(L571="","",
IF(AX571="PT",VLOOKUP(L571,Foundation_Calc!$V$79:$X$113,VLOOKUP(AX571,Foundation_Calc!$I$10:$J$13,2,FALSE),0),
IF(AX571="K",VLOOKUP(L571,Foundation_Calc!$V$117:$X$151,VLOOKUP(AX571,Foundation_Calc!$I$10:$J$13,2,FALSE),0),"")))</f>
        <v/>
      </c>
      <c r="N571" s="449"/>
      <c r="O571" s="449"/>
      <c r="P571" s="449"/>
      <c r="Q571" s="4"/>
      <c r="R571" s="6"/>
      <c r="S571" s="6"/>
      <c r="T571" s="4"/>
      <c r="U571" s="4"/>
      <c r="V571" s="4"/>
      <c r="W571" s="9"/>
      <c r="X571" s="9"/>
      <c r="Y571" s="9"/>
      <c r="Z571" s="9"/>
      <c r="AA571" s="9"/>
      <c r="AB571" s="9"/>
      <c r="AC571" s="449" t="str">
        <f t="shared" si="62"/>
        <v/>
      </c>
      <c r="AD571" s="449"/>
      <c r="AE571" s="449"/>
      <c r="AF571" s="4"/>
      <c r="AG571" s="83"/>
      <c r="AH571" s="4"/>
      <c r="AI571" s="4"/>
      <c r="AJ571" s="449"/>
      <c r="AK571" s="449"/>
      <c r="AL571" s="449"/>
      <c r="AM571" s="449"/>
      <c r="AN571" s="10"/>
      <c r="AO571" s="9"/>
      <c r="AP571" s="9"/>
      <c r="AQ571" s="9">
        <f>+FL_1($T$572,$T$570,$G$571,1200,9.28,-1*$F$572)</f>
        <v>0.44849828627956984</v>
      </c>
      <c r="AR571" s="9"/>
      <c r="AS571" s="9"/>
      <c r="AT571" s="9"/>
      <c r="AU571" s="428"/>
      <c r="AV571" s="428"/>
      <c r="AW571" s="449" t="str">
        <f>IF(C571&gt;0,VLOOKUP(C571,Foundation_Calc!$A$2:$C$13,3,1),
IF(J571&gt;0,VLOOKUP(J571,Foundation_Calc!$A$2:$C$13,3,1),""))</f>
        <v/>
      </c>
      <c r="AX571" s="449" t="str">
        <f>IF(C571&gt;0,VLOOKUP(C571,Foundation_Calc!$E$2:$G$33,3,1),
IF(J571&gt;0,VLOOKUP(J571,Foundation_Calc!$E$2:$G$33,3,1),""))</f>
        <v/>
      </c>
      <c r="AY571" s="10" t="str">
        <f>IF(L571="","",
IF(AX571="PT",VLOOKUP(L571,Foundation_Calc!$K$79:$R$113,VLOOKUP(AW571,Foundation_Calc!$I$2:$J$8,2,FALSE),0),
IF(AX571="K",VLOOKUP(L571,Foundation_Calc!$K$117:$R$151,VLOOKUP(AW571,Foundation_Calc!$I$2:$J$8,2,FALSE),0),"")))</f>
        <v/>
      </c>
      <c r="AZ571" s="10" t="str">
        <f>IF(K571="","",
IF(AX571="PT",VLOOKUP(K571,Foundation_Calc!$K$79:$R$113,VLOOKUP(AW571,Foundation_Calc!$I$2:$J$8,2,FALSE),0),
IF(AX571="K",VLOOKUP(K571,Foundation_Calc!$K$117:$R$151,VLOOKUP(AW571,Foundation_Calc!$I$2:$J$8,2,FALSE),0),"")))</f>
        <v/>
      </c>
      <c r="BA571" s="495" t="str">
        <f t="shared" si="63"/>
        <v/>
      </c>
      <c r="BB571" s="495" t="str">
        <f t="shared" si="64"/>
        <v/>
      </c>
      <c r="BC571" s="495" t="str">
        <f t="shared" si="65"/>
        <v/>
      </c>
      <c r="BD571" s="513" t="str">
        <f>IF(AND(L571="",H571=""),"",
IF(H571="",Pole_Calc!A$9,
IF(H571="MP",Pole_Calc!A$10,
IF(H571="AnMP",Pole_Calc!A$11,
IF(H571="A",Pole_Calc!A$12,
IF(H571="S/A",Pole_Calc!A$13,
IF(H571="A/S",Pole_Calc!A$14,"Poner a mano")))))))</f>
        <v/>
      </c>
      <c r="BE571" s="429" t="s">
        <v>118</v>
      </c>
      <c r="BF571" s="290"/>
      <c r="BG571" s="290"/>
      <c r="BH571" s="290"/>
      <c r="BI571" s="290"/>
    </row>
    <row r="572" spans="1:61" ht="15.75" customHeight="1">
      <c r="A572" s="514"/>
      <c r="B572" s="450" t="s">
        <v>516</v>
      </c>
      <c r="C572" s="3">
        <f>+$C$570+$G$571-0.33</f>
        <v>43845.619999999995</v>
      </c>
      <c r="D572" s="83"/>
      <c r="E572" s="4"/>
      <c r="F572" s="4">
        <f>IF(C572&gt;0,VLOOKUP(C572,'ALIGNMENT TRACK'!$A$1:$K$81,9,1))</f>
        <v>0</v>
      </c>
      <c r="G572" s="6"/>
      <c r="H572" s="449" t="s">
        <v>121</v>
      </c>
      <c r="I572" s="4" t="s">
        <v>122</v>
      </c>
      <c r="J572" s="3"/>
      <c r="K572" s="449"/>
      <c r="L572" s="449" t="s">
        <v>151</v>
      </c>
      <c r="M572" s="449" t="str">
        <f>IF(L572="","",
IF(AX572="PT",VLOOKUP(L572,Foundation_Calc!$V$79:$X$113,VLOOKUP(AX572,Foundation_Calc!$I$10:$J$13,2,FALSE),0),
IF(AX572="K",VLOOKUP(L572,Foundation_Calc!$V$117:$X$151,VLOOKUP(AX572,Foundation_Calc!$I$10:$J$13,2,FALSE),0),"")))</f>
        <v>C4R</v>
      </c>
      <c r="N572" s="449" t="s">
        <v>134</v>
      </c>
      <c r="O572" s="449"/>
      <c r="P572" s="449"/>
      <c r="Q572" s="4"/>
      <c r="R572" s="6"/>
      <c r="S572" s="6"/>
      <c r="T572" s="4">
        <v>25</v>
      </c>
      <c r="U572" s="4"/>
      <c r="V572" s="4"/>
      <c r="W572" s="9">
        <v>1.4</v>
      </c>
      <c r="X572" s="9"/>
      <c r="Y572" s="9"/>
      <c r="Z572" s="9"/>
      <c r="AA572" s="9"/>
      <c r="AB572" s="9"/>
      <c r="AC572" s="449" t="str">
        <f t="shared" si="62"/>
        <v>PH</v>
      </c>
      <c r="AD572" s="449"/>
      <c r="AE572" s="449"/>
      <c r="AF572" s="4"/>
      <c r="AG572" s="83"/>
      <c r="AH572" s="4"/>
      <c r="AI572" s="4"/>
      <c r="AJ572" s="449"/>
      <c r="AK572" s="449"/>
      <c r="AL572" s="449"/>
      <c r="AM572" s="449" t="s">
        <v>126</v>
      </c>
      <c r="AN572" s="10">
        <v>5.5</v>
      </c>
      <c r="AO572" s="9"/>
      <c r="AP572" s="9"/>
      <c r="AQ572" s="9"/>
      <c r="AR572" s="9"/>
      <c r="AS572" s="9"/>
      <c r="AT572" s="9">
        <f>+ab($T$572,$T$570,$T$574,$G$571,$G$573,-1*$F$572,1200)</f>
        <v>11.73059750495942</v>
      </c>
      <c r="AU572" s="428"/>
      <c r="AV572" s="428"/>
      <c r="AW572" s="449" t="str">
        <f>IF(C572&gt;0,VLOOKUP(C572,Foundation_Calc!$A$2:$C$13,3,1),
IF(J572&gt;0,VLOOKUP(J572,Foundation_Calc!$A$2:$C$13,3,1),""))</f>
        <v>Multi Soil</v>
      </c>
      <c r="AX572" s="449" t="str">
        <f>IF(C572&gt;0,VLOOKUP(C572,Foundation_Calc!$E$2:$G$33,3,1),
IF(J572&gt;0,VLOOKUP(J572,Foundation_Calc!$E$2:$G$33,3,1),""))</f>
        <v>PT</v>
      </c>
      <c r="AY572" s="10">
        <f>IF(L572="","",
IF(AX572="PT",VLOOKUP(L572,Foundation_Calc!$K$79:$R$113,VLOOKUP(AW572,Foundation_Calc!$I$2:$J$8,2,FALSE),0),
IF(AX572="K",VLOOKUP(L572,Foundation_Calc!$K$117:$R$151,VLOOKUP(AW572,Foundation_Calc!$I$2:$J$8,2,FALSE),0),"")))</f>
        <v>3.5</v>
      </c>
      <c r="AZ572" s="10" t="str">
        <f>IF(K572="","",
IF(AX572="PT",VLOOKUP(K572,Foundation_Calc!$K$79:$R$113,VLOOKUP(AW572,Foundation_Calc!$I$2:$J$8,2,FALSE),0),
IF(AX572="K",VLOOKUP(K572,Foundation_Calc!$K$117:$R$151,VLOOKUP(AW572,Foundation_Calc!$I$2:$J$8,2,FALSE),0),"")))</f>
        <v/>
      </c>
      <c r="BA572" s="495" t="str">
        <f t="shared" si="63"/>
        <v>ü</v>
      </c>
      <c r="BB572" s="495" t="str">
        <f t="shared" si="64"/>
        <v/>
      </c>
      <c r="BC572" s="495" t="str">
        <f t="shared" si="65"/>
        <v/>
      </c>
      <c r="BD572" s="513" t="str">
        <f>IF(AND(L572="",H572=""),"",
IF(H572="",Pole_Calc!A$9,
IF(H572="MP",Pole_Calc!A$10,
IF(H572="AnMP",Pole_Calc!A$11,
IF(H572="A",Pole_Calc!A$12,
IF(H572="S/A",Pole_Calc!A$13,
IF(H572="A/S",Pole_Calc!A$14,"Poner a mano")))))))</f>
        <v>App.7-V11I-P9.5.1.6</v>
      </c>
      <c r="BE572" s="429" t="s">
        <v>118</v>
      </c>
      <c r="BF572" s="289"/>
      <c r="BG572" s="289"/>
      <c r="BH572" s="290"/>
      <c r="BI572" s="289"/>
    </row>
    <row r="573" spans="1:61" ht="15.75" customHeight="1">
      <c r="A573" s="514"/>
      <c r="B573" s="450"/>
      <c r="C573" s="3"/>
      <c r="D573" s="83"/>
      <c r="E573" s="4"/>
      <c r="F573" s="4"/>
      <c r="G573" s="6">
        <v>62</v>
      </c>
      <c r="H573" s="449"/>
      <c r="I573" s="4"/>
      <c r="J573" s="3">
        <f>C572+7.5</f>
        <v>43853.119999999995</v>
      </c>
      <c r="K573" s="449" t="s">
        <v>117</v>
      </c>
      <c r="L573" s="449"/>
      <c r="M573" s="449" t="str">
        <f>IF(L573="","",
IF(AX573="PT",VLOOKUP(L573,Foundation_Calc!$V$79:$X$113,VLOOKUP(AX573,Foundation_Calc!$I$10:$J$13,2,FALSE),0),
IF(AX573="K",VLOOKUP(L573,Foundation_Calc!$V$117:$X$151,VLOOKUP(AX573,Foundation_Calc!$I$10:$J$13,2,FALSE),0),"")))</f>
        <v/>
      </c>
      <c r="N573" s="449"/>
      <c r="O573" s="449"/>
      <c r="P573" s="449"/>
      <c r="Q573" s="4"/>
      <c r="R573" s="6"/>
      <c r="S573" s="6"/>
      <c r="T573" s="4"/>
      <c r="U573" s="4"/>
      <c r="V573" s="4"/>
      <c r="W573" s="9"/>
      <c r="X573" s="9"/>
      <c r="Y573" s="9"/>
      <c r="Z573" s="9"/>
      <c r="AA573" s="9"/>
      <c r="AB573" s="9"/>
      <c r="AC573" s="449" t="str">
        <f t="shared" si="62"/>
        <v/>
      </c>
      <c r="AD573" s="449"/>
      <c r="AE573" s="449"/>
      <c r="AF573" s="4"/>
      <c r="AG573" s="83"/>
      <c r="AH573" s="4"/>
      <c r="AI573" s="4"/>
      <c r="AJ573" s="449"/>
      <c r="AK573" s="449"/>
      <c r="AL573" s="449"/>
      <c r="AM573" s="449"/>
      <c r="AN573" s="10"/>
      <c r="AO573" s="9"/>
      <c r="AP573" s="9"/>
      <c r="AQ573" s="9">
        <f>+FL_2($T$574,$T$572,$G$573,1200,9.28,-1*$F$574)</f>
        <v>-0.48213781079569884</v>
      </c>
      <c r="AR573" s="9"/>
      <c r="AS573" s="9"/>
      <c r="AT573" s="9"/>
      <c r="AU573" s="428"/>
      <c r="AV573" s="428"/>
      <c r="AW573" s="449" t="str">
        <f>IF(C573&gt;0,VLOOKUP(C573,Foundation_Calc!$A$2:$C$13,3,1),
IF(J573&gt;0,VLOOKUP(J573,Foundation_Calc!$A$2:$C$13,3,1),""))</f>
        <v>Multi Soil</v>
      </c>
      <c r="AX573" s="449" t="str">
        <f>IF(C573&gt;0,VLOOKUP(C573,Foundation_Calc!$E$2:$G$33,3,1),
IF(J573&gt;0,VLOOKUP(J573,Foundation_Calc!$E$2:$G$33,3,1),""))</f>
        <v>PT</v>
      </c>
      <c r="AY573" s="10" t="str">
        <f>IF(L573="","",
IF(AX573="PT",VLOOKUP(L573,Foundation_Calc!$K$79:$R$113,VLOOKUP(AW573,Foundation_Calc!$I$2:$J$8,2,FALSE),0),
IF(AX573="K",VLOOKUP(L573,Foundation_Calc!$K$117:$R$151,VLOOKUP(AW573,Foundation_Calc!$I$2:$J$8,2,FALSE),0),"")))</f>
        <v/>
      </c>
      <c r="AZ573" s="10">
        <f>IF(K573="","",
IF(AX573="PT",VLOOKUP(K573,Foundation_Calc!$K$79:$R$113,VLOOKUP(AW573,Foundation_Calc!$I$2:$J$8,2,FALSE),0),
IF(AX573="K",VLOOKUP(K573,Foundation_Calc!$K$117:$R$151,VLOOKUP(AW573,Foundation_Calc!$I$2:$J$8,2,FALSE),0),"")))</f>
        <v>3.9</v>
      </c>
      <c r="BA573" s="495" t="str">
        <f t="shared" si="63"/>
        <v/>
      </c>
      <c r="BB573" s="495" t="str">
        <f t="shared" si="64"/>
        <v>ü</v>
      </c>
      <c r="BC573" s="495" t="str">
        <f t="shared" si="65"/>
        <v/>
      </c>
      <c r="BD573" s="513" t="str">
        <f>IF(AND(L573="",H573=""),"",
IF(H573="",Pole_Calc!A$9,
IF(H573="MP",Pole_Calc!A$10,
IF(H573="AnMP",Pole_Calc!A$11,
IF(H573="A",Pole_Calc!A$12,
IF(H573="S/A",Pole_Calc!A$13,
IF(H573="A/S",Pole_Calc!A$14,"Poner a mano")))))))</f>
        <v/>
      </c>
      <c r="BE573" s="429" t="s">
        <v>118</v>
      </c>
      <c r="BF573" s="290"/>
      <c r="BG573" s="290"/>
      <c r="BH573" s="290"/>
      <c r="BI573" s="290"/>
    </row>
    <row r="574" spans="1:61" ht="15.75" customHeight="1">
      <c r="A574" s="514"/>
      <c r="B574" s="450" t="s">
        <v>517</v>
      </c>
      <c r="C574" s="3">
        <f>+$C$572+$G$573</f>
        <v>43907.619999999995</v>
      </c>
      <c r="D574" s="83"/>
      <c r="E574" s="4"/>
      <c r="F574" s="4">
        <f>IF(C574&gt;0,VLOOKUP(C574,'ALIGNMENT TRACK'!$A$1:$K$81,9,1))</f>
        <v>0</v>
      </c>
      <c r="G574" s="6"/>
      <c r="H574" s="449"/>
      <c r="I574" s="4"/>
      <c r="J574" s="3"/>
      <c r="K574" s="449"/>
      <c r="L574" s="449" t="s">
        <v>153</v>
      </c>
      <c r="M574" s="449" t="str">
        <f>IF(L574="","",
IF(AX574="PT",VLOOKUP(L574,Foundation_Calc!$V$79:$X$113,VLOOKUP(AX574,Foundation_Calc!$I$10:$J$13,2,FALSE),0),
IF(AX574="K",VLOOKUP(L574,Foundation_Calc!$V$117:$X$151,VLOOKUP(AX574,Foundation_Calc!$I$10:$J$13,2,FALSE),0),"")))</f>
        <v>C3R</v>
      </c>
      <c r="N574" s="449" t="s">
        <v>124</v>
      </c>
      <c r="O574" s="449"/>
      <c r="P574" s="449"/>
      <c r="Q574" s="4"/>
      <c r="R574" s="6"/>
      <c r="S574" s="6"/>
      <c r="T574" s="4">
        <v>-35</v>
      </c>
      <c r="U574" s="4"/>
      <c r="V574" s="4"/>
      <c r="W574" s="9">
        <v>1.4</v>
      </c>
      <c r="X574" s="9"/>
      <c r="Y574" s="9"/>
      <c r="Z574" s="9"/>
      <c r="AA574" s="9"/>
      <c r="AB574" s="9"/>
      <c r="AC574" s="449" t="str">
        <f t="shared" si="62"/>
        <v>PH</v>
      </c>
      <c r="AD574" s="449"/>
      <c r="AE574" s="449"/>
      <c r="AF574" s="4"/>
      <c r="AG574" s="83"/>
      <c r="AH574" s="4"/>
      <c r="AI574" s="4"/>
      <c r="AJ574" s="449"/>
      <c r="AK574" s="449"/>
      <c r="AL574" s="449"/>
      <c r="AM574" s="449" t="s">
        <v>126</v>
      </c>
      <c r="AN574" s="10">
        <v>5.5</v>
      </c>
      <c r="AO574" s="9"/>
      <c r="AP574" s="9"/>
      <c r="AQ574" s="9"/>
      <c r="AR574" s="9"/>
      <c r="AS574" s="9"/>
      <c r="AT574" s="9">
        <f>+ab($T$574,$T$572,$T$576,$G$573,$G$575,-1*$F$574,1200)</f>
        <v>-9.0751690834140426</v>
      </c>
      <c r="AU574" s="428"/>
      <c r="AV574" s="428"/>
      <c r="AW574" s="449" t="str">
        <f>IF(C574&gt;0,VLOOKUP(C574,Foundation_Calc!$A$2:$C$13,3,1),
IF(J574&gt;0,VLOOKUP(J574,Foundation_Calc!$A$2:$C$13,3,1),""))</f>
        <v>Multi Soil</v>
      </c>
      <c r="AX574" s="449" t="str">
        <f>IF(C574&gt;0,VLOOKUP(C574,Foundation_Calc!$E$2:$G$33,3,1),
IF(J574&gt;0,VLOOKUP(J574,Foundation_Calc!$E$2:$G$33,3,1),""))</f>
        <v>PT</v>
      </c>
      <c r="AY574" s="10">
        <f>IF(L574="","",
IF(AX574="PT",VLOOKUP(L574,Foundation_Calc!$K$79:$R$113,VLOOKUP(AW574,Foundation_Calc!$I$2:$J$8,2,FALSE),0),
IF(AX574="K",VLOOKUP(L574,Foundation_Calc!$K$117:$R$151,VLOOKUP(AW574,Foundation_Calc!$I$2:$J$8,2,FALSE),0),"")))</f>
        <v>3.5</v>
      </c>
      <c r="AZ574" s="10" t="str">
        <f>IF(K574="","",
IF(AX574="PT",VLOOKUP(K574,Foundation_Calc!$K$79:$R$113,VLOOKUP(AW574,Foundation_Calc!$I$2:$J$8,2,FALSE),0),
IF(AX574="K",VLOOKUP(K574,Foundation_Calc!$K$117:$R$151,VLOOKUP(AW574,Foundation_Calc!$I$2:$J$8,2,FALSE),0),"")))</f>
        <v/>
      </c>
      <c r="BA574" s="495" t="str">
        <f t="shared" si="63"/>
        <v>ü</v>
      </c>
      <c r="BB574" s="495" t="str">
        <f t="shared" si="64"/>
        <v/>
      </c>
      <c r="BC574" s="495" t="str">
        <f t="shared" si="65"/>
        <v/>
      </c>
      <c r="BD574" s="513" t="str">
        <f>IF(AND(L574="",H574=""),"",
IF(H574="",Pole_Calc!A$9,
IF(H574="MP",Pole_Calc!A$10,
IF(H574="AnMP",Pole_Calc!A$11,
IF(H574="A",Pole_Calc!A$12,
IF(H574="S/A",Pole_Calc!A$13,
IF(H574="A/S",Pole_Calc!A$14,"Poner a mano")))))))</f>
        <v>App.7-V11I-P9.5.1.1</v>
      </c>
      <c r="BE574" s="429" t="s">
        <v>118</v>
      </c>
      <c r="BF574" s="289"/>
      <c r="BG574" s="289"/>
      <c r="BH574" s="290"/>
      <c r="BI574" s="289"/>
    </row>
    <row r="575" spans="1:61" ht="15.75" customHeight="1">
      <c r="A575" s="518"/>
      <c r="B575" s="450"/>
      <c r="C575" s="3"/>
      <c r="D575" s="83"/>
      <c r="E575" s="4"/>
      <c r="F575" s="4"/>
      <c r="G575" s="6">
        <v>62</v>
      </c>
      <c r="H575" s="449"/>
      <c r="I575" s="4"/>
      <c r="J575" s="3"/>
      <c r="K575" s="449"/>
      <c r="L575" s="449"/>
      <c r="M575" s="449" t="str">
        <f>IF(L575="","",
IF(AX575="PT",VLOOKUP(L575,Foundation_Calc!$V$79:$X$113,VLOOKUP(AX575,Foundation_Calc!$I$10:$J$13,2,FALSE),0),
IF(AX575="K",VLOOKUP(L575,Foundation_Calc!$V$117:$X$151,VLOOKUP(AX575,Foundation_Calc!$I$10:$J$13,2,FALSE),0),"")))</f>
        <v/>
      </c>
      <c r="N575" s="449"/>
      <c r="O575" s="449"/>
      <c r="P575" s="449"/>
      <c r="Q575" s="4"/>
      <c r="R575" s="6"/>
      <c r="S575" s="6"/>
      <c r="T575" s="4"/>
      <c r="U575" s="4"/>
      <c r="V575" s="4"/>
      <c r="W575" s="9"/>
      <c r="X575" s="9"/>
      <c r="Y575" s="9"/>
      <c r="Z575" s="9"/>
      <c r="AA575" s="9"/>
      <c r="AB575" s="9"/>
      <c r="AC575" s="449" t="str">
        <f t="shared" si="62"/>
        <v/>
      </c>
      <c r="AD575" s="449"/>
      <c r="AE575" s="449"/>
      <c r="AF575" s="4"/>
      <c r="AG575" s="83"/>
      <c r="AH575" s="4"/>
      <c r="AI575" s="4"/>
      <c r="AJ575" s="449"/>
      <c r="AK575" s="449"/>
      <c r="AL575" s="449"/>
      <c r="AM575" s="449"/>
      <c r="AN575" s="10"/>
      <c r="AO575" s="9"/>
      <c r="AP575" s="9"/>
      <c r="AQ575" s="9">
        <f>+FL_1($T$576,$T$574,$G$575,1200,9.28,-1*$F$576)</f>
        <v>0.45400350967741931</v>
      </c>
      <c r="AR575" s="9"/>
      <c r="AS575" s="9"/>
      <c r="AT575" s="9"/>
      <c r="AU575" s="428"/>
      <c r="AV575" s="428"/>
      <c r="AW575" s="449" t="str">
        <f>IF(C575&gt;0,VLOOKUP(C575,Foundation_Calc!$A$2:$C$13,3,1),
IF(J575&gt;0,VLOOKUP(J575,Foundation_Calc!$A$2:$C$13,3,1),""))</f>
        <v/>
      </c>
      <c r="AX575" s="449" t="str">
        <f>IF(C575&gt;0,VLOOKUP(C575,Foundation_Calc!$E$2:$G$33,3,1),
IF(J575&gt;0,VLOOKUP(J575,Foundation_Calc!$E$2:$G$33,3,1),""))</f>
        <v/>
      </c>
      <c r="AY575" s="10" t="str">
        <f>IF(L575="","",
IF(AX575="PT",VLOOKUP(L575,Foundation_Calc!$K$79:$R$113,VLOOKUP(AW575,Foundation_Calc!$I$2:$J$8,2,FALSE),0),
IF(AX575="K",VLOOKUP(L575,Foundation_Calc!$K$117:$R$151,VLOOKUP(AW575,Foundation_Calc!$I$2:$J$8,2,FALSE),0),"")))</f>
        <v/>
      </c>
      <c r="AZ575" s="10" t="str">
        <f>IF(K575="","",
IF(AX575="PT",VLOOKUP(K575,Foundation_Calc!$K$79:$R$113,VLOOKUP(AW575,Foundation_Calc!$I$2:$J$8,2,FALSE),0),
IF(AX575="K",VLOOKUP(K575,Foundation_Calc!$K$117:$R$151,VLOOKUP(AW575,Foundation_Calc!$I$2:$J$8,2,FALSE),0),"")))</f>
        <v/>
      </c>
      <c r="BA575" s="495" t="str">
        <f t="shared" si="63"/>
        <v/>
      </c>
      <c r="BB575" s="495" t="str">
        <f t="shared" si="64"/>
        <v/>
      </c>
      <c r="BC575" s="495" t="str">
        <f t="shared" si="65"/>
        <v/>
      </c>
      <c r="BD575" s="513" t="str">
        <f>IF(AND(L575="",H575=""),"",
IF(H575="",Pole_Calc!A$9,
IF(H575="MP",Pole_Calc!A$10,
IF(H575="AnMP",Pole_Calc!A$11,
IF(H575="A",Pole_Calc!A$12,
IF(H575="S/A",Pole_Calc!A$13,
IF(H575="A/S",Pole_Calc!A$14,"Poner a mano")))))))</f>
        <v/>
      </c>
      <c r="BE575" s="429" t="s">
        <v>118</v>
      </c>
      <c r="BF575" s="290"/>
      <c r="BG575" s="290"/>
      <c r="BH575" s="290"/>
      <c r="BI575" s="290"/>
    </row>
    <row r="576" spans="1:61" ht="15.75" customHeight="1">
      <c r="A576" s="514"/>
      <c r="B576" s="450" t="s">
        <v>518</v>
      </c>
      <c r="C576" s="3">
        <f>+$C$574+$G$575</f>
        <v>43969.619999999995</v>
      </c>
      <c r="D576" s="83"/>
      <c r="E576" s="4"/>
      <c r="F576" s="4">
        <f>IF(C576&gt;0,VLOOKUP(C576,'ALIGNMENT TRACK'!$A$1:$K$81,9,1))</f>
        <v>0</v>
      </c>
      <c r="G576" s="6"/>
      <c r="H576" s="449"/>
      <c r="I576" s="4"/>
      <c r="J576" s="3"/>
      <c r="K576" s="449"/>
      <c r="L576" s="449" t="s">
        <v>153</v>
      </c>
      <c r="M576" s="449" t="str">
        <f>IF(L576="","",
IF(AX576="PT",VLOOKUP(L576,Foundation_Calc!$V$79:$X$113,VLOOKUP(AX576,Foundation_Calc!$I$10:$J$13,2,FALSE),0),
IF(AX576="K",VLOOKUP(L576,Foundation_Calc!$V$117:$X$151,VLOOKUP(AX576,Foundation_Calc!$I$10:$J$13,2,FALSE),0),"")))</f>
        <v>C3R</v>
      </c>
      <c r="N576" s="449" t="s">
        <v>134</v>
      </c>
      <c r="O576" s="449"/>
      <c r="P576" s="449"/>
      <c r="Q576" s="4"/>
      <c r="R576" s="6"/>
      <c r="S576" s="6"/>
      <c r="T576" s="4">
        <v>35</v>
      </c>
      <c r="U576" s="4"/>
      <c r="V576" s="4"/>
      <c r="W576" s="9">
        <v>1.4</v>
      </c>
      <c r="X576" s="9"/>
      <c r="Y576" s="9"/>
      <c r="Z576" s="9"/>
      <c r="AA576" s="9"/>
      <c r="AB576" s="9"/>
      <c r="AC576" s="449" t="str">
        <f t="shared" si="62"/>
        <v>PH</v>
      </c>
      <c r="AD576" s="449"/>
      <c r="AE576" s="449"/>
      <c r="AF576" s="4"/>
      <c r="AG576" s="83"/>
      <c r="AH576" s="4"/>
      <c r="AI576" s="4"/>
      <c r="AJ576" s="449"/>
      <c r="AK576" s="449"/>
      <c r="AL576" s="449"/>
      <c r="AM576" s="449" t="s">
        <v>126</v>
      </c>
      <c r="AN576" s="10">
        <v>5.5</v>
      </c>
      <c r="AO576" s="9"/>
      <c r="AP576" s="9"/>
      <c r="AQ576" s="9"/>
      <c r="AR576" s="9"/>
      <c r="AS576" s="9"/>
      <c r="AT576" s="9">
        <f>+ab($T$576,$T$574,$T$578,$G$575,$G$577,-1*$F$576,1200)</f>
        <v>8.4365744899000195</v>
      </c>
      <c r="AU576" s="428"/>
      <c r="AV576" s="428"/>
      <c r="AW576" s="449" t="str">
        <f>IF(C576&gt;0,VLOOKUP(C576,Foundation_Calc!$A$2:$C$13,3,1),
IF(J576&gt;0,VLOOKUP(J576,Foundation_Calc!$A$2:$C$13,3,1),""))</f>
        <v>Multi Soil</v>
      </c>
      <c r="AX576" s="449" t="str">
        <f>IF(C576&gt;0,VLOOKUP(C576,Foundation_Calc!$E$2:$G$33,3,1),
IF(J576&gt;0,VLOOKUP(J576,Foundation_Calc!$E$2:$G$33,3,1),""))</f>
        <v>PT</v>
      </c>
      <c r="AY576" s="10">
        <f>IF(L576="","",
IF(AX576="PT",VLOOKUP(L576,Foundation_Calc!$K$79:$R$113,VLOOKUP(AW576,Foundation_Calc!$I$2:$J$8,2,FALSE),0),
IF(AX576="K",VLOOKUP(L576,Foundation_Calc!$K$117:$R$151,VLOOKUP(AW576,Foundation_Calc!$I$2:$J$8,2,FALSE),0),"")))</f>
        <v>3.5</v>
      </c>
      <c r="AZ576" s="10" t="str">
        <f>IF(K576="","",
IF(AX576="PT",VLOOKUP(K576,Foundation_Calc!$K$79:$R$113,VLOOKUP(AW576,Foundation_Calc!$I$2:$J$8,2,FALSE),0),
IF(AX576="K",VLOOKUP(K576,Foundation_Calc!$K$117:$R$151,VLOOKUP(AW576,Foundation_Calc!$I$2:$J$8,2,FALSE),0),"")))</f>
        <v/>
      </c>
      <c r="BA576" s="495" t="str">
        <f t="shared" si="63"/>
        <v>ü</v>
      </c>
      <c r="BB576" s="495" t="str">
        <f t="shared" si="64"/>
        <v/>
      </c>
      <c r="BC576" s="495" t="str">
        <f t="shared" si="65"/>
        <v/>
      </c>
      <c r="BD576" s="513" t="str">
        <f>IF(AND(L576="",H576=""),"",
IF(H576="",Pole_Calc!A$9,
IF(H576="MP",Pole_Calc!A$10,
IF(H576="AnMP",Pole_Calc!A$11,
IF(H576="A",Pole_Calc!A$12,
IF(H576="S/A",Pole_Calc!A$13,
IF(H576="A/S",Pole_Calc!A$14,"Poner a mano")))))))</f>
        <v>App.7-V11I-P9.5.1.1</v>
      </c>
      <c r="BE576" s="429" t="s">
        <v>118</v>
      </c>
      <c r="BF576" s="289"/>
      <c r="BG576" s="289"/>
      <c r="BH576" s="290"/>
      <c r="BI576" s="289"/>
    </row>
    <row r="577" spans="1:61" ht="15.75" customHeight="1">
      <c r="A577" s="514"/>
      <c r="B577" s="450"/>
      <c r="C577" s="3"/>
      <c r="D577" s="83"/>
      <c r="E577" s="4"/>
      <c r="F577" s="4"/>
      <c r="G577" s="6">
        <v>62</v>
      </c>
      <c r="H577" s="449"/>
      <c r="I577" s="4"/>
      <c r="J577" s="3"/>
      <c r="K577" s="449"/>
      <c r="L577" s="449"/>
      <c r="M577" s="449" t="str">
        <f>IF(L577="","",
IF(AX577="PT",VLOOKUP(L577,Foundation_Calc!$V$79:$X$113,VLOOKUP(AX577,Foundation_Calc!$I$10:$J$13,2,FALSE),0),
IF(AX577="K",VLOOKUP(L577,Foundation_Calc!$V$117:$X$151,VLOOKUP(AX577,Foundation_Calc!$I$10:$J$13,2,FALSE),0),"")))</f>
        <v/>
      </c>
      <c r="N577" s="449"/>
      <c r="O577" s="449"/>
      <c r="P577" s="449"/>
      <c r="Q577" s="4"/>
      <c r="R577" s="6"/>
      <c r="S577" s="6"/>
      <c r="T577" s="4"/>
      <c r="U577" s="4"/>
      <c r="V577" s="4"/>
      <c r="W577" s="9"/>
      <c r="X577" s="9"/>
      <c r="Y577" s="9"/>
      <c r="Z577" s="9"/>
      <c r="AA577" s="9"/>
      <c r="AB577" s="9"/>
      <c r="AC577" s="449" t="str">
        <f t="shared" si="62"/>
        <v/>
      </c>
      <c r="AD577" s="449"/>
      <c r="AE577" s="449"/>
      <c r="AF577" s="4"/>
      <c r="AG577" s="83"/>
      <c r="AH577" s="4"/>
      <c r="AI577" s="4"/>
      <c r="AJ577" s="449"/>
      <c r="AK577" s="449"/>
      <c r="AL577" s="449"/>
      <c r="AM577" s="449"/>
      <c r="AN577" s="10"/>
      <c r="AO577" s="9"/>
      <c r="AP577" s="9"/>
      <c r="AQ577" s="9">
        <f>+FL_2($T$578,$T$576,$G$577,1200,9.28,-1*$F$578)</f>
        <v>-0.45400350967741931</v>
      </c>
      <c r="AR577" s="9"/>
      <c r="AS577" s="9"/>
      <c r="AT577" s="9"/>
      <c r="AU577" s="428"/>
      <c r="AV577" s="428"/>
      <c r="AW577" s="449" t="str">
        <f>IF(C577&gt;0,VLOOKUP(C577,Foundation_Calc!$A$2:$C$13,3,1),
IF(J577&gt;0,VLOOKUP(J577,Foundation_Calc!$A$2:$C$13,3,1),""))</f>
        <v/>
      </c>
      <c r="AX577" s="449" t="str">
        <f>IF(C577&gt;0,VLOOKUP(C577,Foundation_Calc!$E$2:$G$33,3,1),
IF(J577&gt;0,VLOOKUP(J577,Foundation_Calc!$E$2:$G$33,3,1),""))</f>
        <v/>
      </c>
      <c r="AY577" s="10" t="str">
        <f>IF(L577="","",
IF(AX577="PT",VLOOKUP(L577,Foundation_Calc!$K$79:$R$113,VLOOKUP(AW577,Foundation_Calc!$I$2:$J$8,2,FALSE),0),
IF(AX577="K",VLOOKUP(L577,Foundation_Calc!$K$117:$R$151,VLOOKUP(AW577,Foundation_Calc!$I$2:$J$8,2,FALSE),0),"")))</f>
        <v/>
      </c>
      <c r="AZ577" s="10" t="str">
        <f>IF(K577="","",
IF(AX577="PT",VLOOKUP(K577,Foundation_Calc!$K$79:$R$113,VLOOKUP(AW577,Foundation_Calc!$I$2:$J$8,2,FALSE),0),
IF(AX577="K",VLOOKUP(K577,Foundation_Calc!$K$117:$R$151,VLOOKUP(AW577,Foundation_Calc!$I$2:$J$8,2,FALSE),0),"")))</f>
        <v/>
      </c>
      <c r="BA577" s="495" t="str">
        <f t="shared" si="63"/>
        <v/>
      </c>
      <c r="BB577" s="495" t="str">
        <f t="shared" si="64"/>
        <v/>
      </c>
      <c r="BC577" s="495" t="str">
        <f t="shared" si="65"/>
        <v/>
      </c>
      <c r="BD577" s="513" t="str">
        <f>IF(AND(L577="",H577=""),"",
IF(H577="",Pole_Calc!A$9,
IF(H577="MP",Pole_Calc!A$10,
IF(H577="AnMP",Pole_Calc!A$11,
IF(H577="A",Pole_Calc!A$12,
IF(H577="S/A",Pole_Calc!A$13,
IF(H577="A/S",Pole_Calc!A$14,"Poner a mano")))))))</f>
        <v/>
      </c>
      <c r="BE577" s="429" t="s">
        <v>118</v>
      </c>
      <c r="BF577" s="290"/>
      <c r="BG577" s="290"/>
      <c r="BH577" s="290"/>
      <c r="BI577" s="290"/>
    </row>
    <row r="578" spans="1:61" ht="15.75" customHeight="1">
      <c r="A578" s="514"/>
      <c r="B578" s="450" t="s">
        <v>519</v>
      </c>
      <c r="C578" s="3">
        <f>+$C$576+$G$577</f>
        <v>44031.619999999995</v>
      </c>
      <c r="D578" s="83"/>
      <c r="E578" s="4"/>
      <c r="F578" s="4">
        <f>IF(C578&gt;0,VLOOKUP(C578,'ALIGNMENT TRACK'!$A$1:$K$81,9,1))</f>
        <v>0</v>
      </c>
      <c r="G578" s="6"/>
      <c r="H578" s="449"/>
      <c r="I578" s="4"/>
      <c r="J578" s="3"/>
      <c r="K578" s="449"/>
      <c r="L578" s="449" t="s">
        <v>153</v>
      </c>
      <c r="M578" s="449" t="str">
        <f>IF(L578="","",
IF(AX578="PT",VLOOKUP(L578,Foundation_Calc!$V$79:$X$113,VLOOKUP(AX578,Foundation_Calc!$I$10:$J$13,2,FALSE),0),
IF(AX578="K",VLOOKUP(L578,Foundation_Calc!$V$117:$X$151,VLOOKUP(AX578,Foundation_Calc!$I$10:$J$13,2,FALSE),0),"")))</f>
        <v>C3R</v>
      </c>
      <c r="N578" s="449" t="s">
        <v>124</v>
      </c>
      <c r="O578" s="449"/>
      <c r="P578" s="449"/>
      <c r="Q578" s="4"/>
      <c r="R578" s="6"/>
      <c r="S578" s="6"/>
      <c r="T578" s="4">
        <v>-35</v>
      </c>
      <c r="U578" s="4"/>
      <c r="V578" s="4"/>
      <c r="W578" s="9">
        <v>1.4</v>
      </c>
      <c r="X578" s="9"/>
      <c r="Y578" s="9"/>
      <c r="Z578" s="9"/>
      <c r="AA578" s="9"/>
      <c r="AB578" s="9"/>
      <c r="AC578" s="449" t="str">
        <f t="shared" si="62"/>
        <v>PH</v>
      </c>
      <c r="AD578" s="449"/>
      <c r="AE578" s="449"/>
      <c r="AF578" s="4"/>
      <c r="AG578" s="83"/>
      <c r="AH578" s="4"/>
      <c r="AI578" s="4"/>
      <c r="AJ578" s="449"/>
      <c r="AK578" s="449"/>
      <c r="AL578" s="449"/>
      <c r="AM578" s="449" t="s">
        <v>126</v>
      </c>
      <c r="AN578" s="10">
        <v>5.5</v>
      </c>
      <c r="AO578" s="9"/>
      <c r="AP578" s="9"/>
      <c r="AQ578" s="9"/>
      <c r="AR578" s="9"/>
      <c r="AS578" s="9"/>
      <c r="AT578" s="9">
        <f>+ab($T$578,$T$576,$T$580,$G$577,$G$579,-1*$F$578,1200)</f>
        <v>-8.4366201521118445</v>
      </c>
      <c r="AU578" s="428"/>
      <c r="AV578" s="428"/>
      <c r="AW578" s="449" t="str">
        <f>IF(C578&gt;0,VLOOKUP(C578,Foundation_Calc!$A$2:$C$13,3,1),
IF(J578&gt;0,VLOOKUP(J578,Foundation_Calc!$A$2:$C$13,3,1),""))</f>
        <v>Multi Soil</v>
      </c>
      <c r="AX578" s="449" t="str">
        <f>IF(C578&gt;0,VLOOKUP(C578,Foundation_Calc!$E$2:$G$33,3,1),
IF(J578&gt;0,VLOOKUP(J578,Foundation_Calc!$E$2:$G$33,3,1),""))</f>
        <v>PT</v>
      </c>
      <c r="AY578" s="10">
        <f>IF(L578="","",
IF(AX578="PT",VLOOKUP(L578,Foundation_Calc!$K$79:$R$113,VLOOKUP(AW578,Foundation_Calc!$I$2:$J$8,2,FALSE),0),
IF(AX578="K",VLOOKUP(L578,Foundation_Calc!$K$117:$R$151,VLOOKUP(AW578,Foundation_Calc!$I$2:$J$8,2,FALSE),0),"")))</f>
        <v>3.5</v>
      </c>
      <c r="AZ578" s="10" t="str">
        <f>IF(K578="","",
IF(AX578="PT",VLOOKUP(K578,Foundation_Calc!$K$79:$R$113,VLOOKUP(AW578,Foundation_Calc!$I$2:$J$8,2,FALSE),0),
IF(AX578="K",VLOOKUP(K578,Foundation_Calc!$K$117:$R$151,VLOOKUP(AW578,Foundation_Calc!$I$2:$J$8,2,FALSE),0),"")))</f>
        <v/>
      </c>
      <c r="BA578" s="495" t="str">
        <f t="shared" si="63"/>
        <v>ü</v>
      </c>
      <c r="BB578" s="495" t="str">
        <f t="shared" si="64"/>
        <v/>
      </c>
      <c r="BC578" s="495" t="str">
        <f t="shared" si="65"/>
        <v/>
      </c>
      <c r="BD578" s="513" t="str">
        <f>IF(AND(L578="",H578=""),"",
IF(H578="",Pole_Calc!A$9,
IF(H578="MP",Pole_Calc!A$10,
IF(H578="AnMP",Pole_Calc!A$11,
IF(H578="A",Pole_Calc!A$12,
IF(H578="S/A",Pole_Calc!A$13,
IF(H578="A/S",Pole_Calc!A$14,"Poner a mano")))))))</f>
        <v>App.7-V11I-P9.5.1.1</v>
      </c>
      <c r="BE578" s="429" t="s">
        <v>118</v>
      </c>
      <c r="BF578" s="289"/>
      <c r="BG578" s="289"/>
      <c r="BH578" s="290"/>
      <c r="BI578" s="289"/>
    </row>
    <row r="579" spans="1:61" ht="15.75" customHeight="1">
      <c r="A579" s="514"/>
      <c r="B579" s="450"/>
      <c r="C579" s="3"/>
      <c r="D579" s="83"/>
      <c r="E579" s="4"/>
      <c r="F579" s="4"/>
      <c r="G579" s="6">
        <v>62</v>
      </c>
      <c r="H579" s="449"/>
      <c r="I579" s="4"/>
      <c r="J579" s="3">
        <f>C580-7.5</f>
        <v>44086.119999999995</v>
      </c>
      <c r="K579" s="449" t="s">
        <v>166</v>
      </c>
      <c r="L579" s="449"/>
      <c r="M579" s="449" t="str">
        <f>IF(L579="","",
IF(AX579="PT",VLOOKUP(L579,Foundation_Calc!$V$79:$X$113,VLOOKUP(AX579,Foundation_Calc!$I$10:$J$13,2,FALSE),0),
IF(AX579="K",VLOOKUP(L579,Foundation_Calc!$V$117:$X$151,VLOOKUP(AX579,Foundation_Calc!$I$10:$J$13,2,FALSE),0),"")))</f>
        <v/>
      </c>
      <c r="N579" s="449"/>
      <c r="O579" s="449"/>
      <c r="P579" s="449"/>
      <c r="Q579" s="4"/>
      <c r="R579" s="6"/>
      <c r="S579" s="6"/>
      <c r="T579" s="4"/>
      <c r="U579" s="4"/>
      <c r="V579" s="4"/>
      <c r="W579" s="9"/>
      <c r="X579" s="9"/>
      <c r="Y579" s="9"/>
      <c r="Z579" s="9"/>
      <c r="AA579" s="9"/>
      <c r="AB579" s="9"/>
      <c r="AC579" s="449" t="str">
        <f t="shared" si="62"/>
        <v/>
      </c>
      <c r="AD579" s="449"/>
      <c r="AE579" s="449"/>
      <c r="AF579" s="4"/>
      <c r="AG579" s="83"/>
      <c r="AH579" s="4"/>
      <c r="AI579" s="4"/>
      <c r="AJ579" s="449"/>
      <c r="AK579" s="449"/>
      <c r="AL579" s="449"/>
      <c r="AM579" s="449"/>
      <c r="AN579" s="10"/>
      <c r="AO579" s="9"/>
      <c r="AP579" s="9"/>
      <c r="AQ579" s="9">
        <f>+FL_1($T$580,$T$578,$G$579,1200,9.28,-1*$F$580)</f>
        <v>0.45400350967741931</v>
      </c>
      <c r="AR579" s="9"/>
      <c r="AS579" s="9"/>
      <c r="AT579" s="9"/>
      <c r="AU579" s="428"/>
      <c r="AV579" s="428"/>
      <c r="AW579" s="449" t="str">
        <f>IF(C579&gt;0,VLOOKUP(C579,Foundation_Calc!$A$2:$C$13,3,1),
IF(J579&gt;0,VLOOKUP(J579,Foundation_Calc!$A$2:$C$13,3,1),""))</f>
        <v>Multi Soil</v>
      </c>
      <c r="AX579" s="449" t="str">
        <f>IF(C579&gt;0,VLOOKUP(C579,Foundation_Calc!$E$2:$G$33,3,1),
IF(J579&gt;0,VLOOKUP(J579,Foundation_Calc!$E$2:$G$33,3,1),""))</f>
        <v>PT</v>
      </c>
      <c r="AY579" s="10" t="str">
        <f>IF(L579="","",
IF(AX579="PT",VLOOKUP(L579,Foundation_Calc!$K$79:$R$113,VLOOKUP(AW579,Foundation_Calc!$I$2:$J$8,2,FALSE),0),
IF(AX579="K",VLOOKUP(L579,Foundation_Calc!$K$117:$R$151,VLOOKUP(AW579,Foundation_Calc!$I$2:$J$8,2,FALSE),0),"")))</f>
        <v/>
      </c>
      <c r="AZ579" s="10">
        <f>IF(K579="","",
IF(AX579="PT",VLOOKUP(K579,Foundation_Calc!$K$79:$R$113,VLOOKUP(AW579,Foundation_Calc!$I$2:$J$8,2,FALSE),0),
IF(AX579="K",VLOOKUP(K579,Foundation_Calc!$K$117:$R$151,VLOOKUP(AW579,Foundation_Calc!$I$2:$J$8,2,FALSE),0),"")))</f>
        <v>2.8</v>
      </c>
      <c r="BA579" s="495" t="str">
        <f t="shared" si="63"/>
        <v/>
      </c>
      <c r="BB579" s="495" t="str">
        <f t="shared" si="64"/>
        <v>ü</v>
      </c>
      <c r="BC579" s="495" t="str">
        <f t="shared" si="65"/>
        <v/>
      </c>
      <c r="BD579" s="513" t="str">
        <f>IF(AND(L579="",H579=""),"",
IF(H579="",Pole_Calc!A$9,
IF(H579="MP",Pole_Calc!A$10,
IF(H579="AnMP",Pole_Calc!A$11,
IF(H579="A",Pole_Calc!A$12,
IF(H579="S/A",Pole_Calc!A$13,
IF(H579="A/S",Pole_Calc!A$14,"Poner a mano")))))))</f>
        <v/>
      </c>
      <c r="BE579" s="429" t="s">
        <v>118</v>
      </c>
      <c r="BF579" s="290"/>
      <c r="BG579" s="290"/>
      <c r="BH579" s="290"/>
      <c r="BI579" s="290"/>
    </row>
    <row r="580" spans="1:61" ht="15.75" customHeight="1">
      <c r="A580" s="518"/>
      <c r="B580" s="720" t="s">
        <v>520</v>
      </c>
      <c r="C580" s="3">
        <f>+$C$578+$G$579</f>
        <v>44093.619999999995</v>
      </c>
      <c r="D580" s="83"/>
      <c r="E580" s="4"/>
      <c r="F580" s="4">
        <f>IF(C580&gt;0,VLOOKUP(C580,'ALIGNMENT TRACK'!$A$1:$K$81,9,1))</f>
        <v>0</v>
      </c>
      <c r="G580" s="6"/>
      <c r="H580" s="449" t="s">
        <v>168</v>
      </c>
      <c r="I580" s="4"/>
      <c r="J580" s="3"/>
      <c r="K580" s="449"/>
      <c r="L580" s="449" t="s">
        <v>158</v>
      </c>
      <c r="M580" s="449" t="str">
        <f>IF(L580="","",
IF(AX580="PT",VLOOKUP(L580,Foundation_Calc!$V$79:$X$113,VLOOKUP(AX580,Foundation_Calc!$I$10:$J$13,2,FALSE),0),
IF(AX580="K",VLOOKUP(L580,Foundation_Calc!$V$117:$X$151,VLOOKUP(AX580,Foundation_Calc!$I$10:$J$13,2,FALSE),0),"")))</f>
        <v>C4R</v>
      </c>
      <c r="N580" s="449" t="s">
        <v>134</v>
      </c>
      <c r="O580" s="449"/>
      <c r="P580" s="449"/>
      <c r="Q580" s="4"/>
      <c r="R580" s="6"/>
      <c r="S580" s="6"/>
      <c r="T580" s="4">
        <v>35</v>
      </c>
      <c r="U580" s="4"/>
      <c r="V580" s="4"/>
      <c r="W580" s="9">
        <v>1.4</v>
      </c>
      <c r="X580" s="9"/>
      <c r="Y580" s="9"/>
      <c r="Z580" s="9"/>
      <c r="AA580" s="9"/>
      <c r="AB580" s="9"/>
      <c r="AC580" s="449" t="str">
        <f t="shared" si="62"/>
        <v>PH</v>
      </c>
      <c r="AD580" s="449"/>
      <c r="AE580" s="449"/>
      <c r="AF580" s="4"/>
      <c r="AG580" s="83"/>
      <c r="AH580" s="4"/>
      <c r="AI580" s="4"/>
      <c r="AJ580" s="449"/>
      <c r="AK580" s="449"/>
      <c r="AL580" s="449"/>
      <c r="AM580" s="449" t="s">
        <v>126</v>
      </c>
      <c r="AN580" s="10">
        <v>5.5</v>
      </c>
      <c r="AO580" s="9"/>
      <c r="AP580" s="9"/>
      <c r="AQ580" s="9"/>
      <c r="AR580" s="9"/>
      <c r="AS580" s="9"/>
      <c r="AT580" s="9">
        <f>+ab($T$580,$T$578,$T$582,$G$579,$G$581,-1*$F$580,1200)</f>
        <v>8.744294114244191</v>
      </c>
      <c r="AU580" s="428"/>
      <c r="AV580" s="428"/>
      <c r="AW580" s="449" t="str">
        <f>IF(C580&gt;0,VLOOKUP(C580,Foundation_Calc!$A$2:$C$13,3,1),
IF(J580&gt;0,VLOOKUP(J580,Foundation_Calc!$A$2:$C$13,3,1),""))</f>
        <v>Multi Soil</v>
      </c>
      <c r="AX580" s="449" t="str">
        <f>IF(C580&gt;0,VLOOKUP(C580,Foundation_Calc!$E$2:$G$33,3,1),
IF(J580&gt;0,VLOOKUP(J580,Foundation_Calc!$E$2:$G$33,3,1),""))</f>
        <v>PT</v>
      </c>
      <c r="AY580" s="10">
        <f>IF(L580="","",
IF(AX580="PT",VLOOKUP(L580,Foundation_Calc!$K$79:$R$113,VLOOKUP(AW580,Foundation_Calc!$I$2:$J$8,2,FALSE),0),
IF(AX580="K",VLOOKUP(L580,Foundation_Calc!$K$117:$R$151,VLOOKUP(AW580,Foundation_Calc!$I$2:$J$8,2,FALSE),0),"")))</f>
        <v>3.5</v>
      </c>
      <c r="AZ580" s="10" t="str">
        <f>IF(K580="","",
IF(AX580="PT",VLOOKUP(K580,Foundation_Calc!$K$79:$R$113,VLOOKUP(AW580,Foundation_Calc!$I$2:$J$8,2,FALSE),0),
IF(AX580="K",VLOOKUP(K580,Foundation_Calc!$K$117:$R$151,VLOOKUP(AW580,Foundation_Calc!$I$2:$J$8,2,FALSE),0),"")))</f>
        <v/>
      </c>
      <c r="BA580" s="495" t="str">
        <f t="shared" si="63"/>
        <v>ü</v>
      </c>
      <c r="BB580" s="495" t="str">
        <f t="shared" si="64"/>
        <v/>
      </c>
      <c r="BC580" s="495" t="str">
        <f t="shared" si="65"/>
        <v/>
      </c>
      <c r="BD580" s="513" t="str">
        <f>IF(AND(L580="",H580=""),"",
IF(H580="",Pole_Calc!A$9,
IF(H580="MP",Pole_Calc!A$10,
IF(H580="AnMP",Pole_Calc!A$11,
IF(H580="A",Pole_Calc!A$12,
IF(H580="S/A",Pole_Calc!A$13,
IF(H580="A/S",Pole_Calc!A$14,"Poner a mano")))))))</f>
        <v>App.7-V11I-P9.5.1.3</v>
      </c>
      <c r="BE580" s="429" t="s">
        <v>118</v>
      </c>
      <c r="BF580" s="289"/>
      <c r="BG580" s="289"/>
      <c r="BH580" s="290"/>
      <c r="BI580" s="289"/>
    </row>
    <row r="581" spans="1:61" ht="15.75" customHeight="1">
      <c r="A581" s="518" t="s">
        <v>438</v>
      </c>
      <c r="B581" s="450"/>
      <c r="C581" s="3"/>
      <c r="D581" s="83"/>
      <c r="E581" s="4"/>
      <c r="F581" s="4"/>
      <c r="G581" s="6">
        <v>62</v>
      </c>
      <c r="H581" s="449"/>
      <c r="I581" s="4">
        <f>SUM(G567:G581)</f>
        <v>494</v>
      </c>
      <c r="J581" s="3"/>
      <c r="K581" s="449"/>
      <c r="L581" s="449"/>
      <c r="M581" s="449" t="str">
        <f>IF(L581="","",
IF(AX581="PT",VLOOKUP(L581,Foundation_Calc!$V$79:$X$113,VLOOKUP(AX581,Foundation_Calc!$I$10:$J$13,2,FALSE),0),
IF(AX581="K",VLOOKUP(L581,Foundation_Calc!$V$117:$X$151,VLOOKUP(AX581,Foundation_Calc!$I$10:$J$13,2,FALSE),0),"")))</f>
        <v/>
      </c>
      <c r="N581" s="449"/>
      <c r="O581" s="449"/>
      <c r="P581" s="449"/>
      <c r="Q581" s="4"/>
      <c r="R581" s="6"/>
      <c r="S581" s="6"/>
      <c r="T581" s="4"/>
      <c r="U581" s="4"/>
      <c r="V581" s="4"/>
      <c r="W581" s="9"/>
      <c r="X581" s="9"/>
      <c r="Y581" s="9"/>
      <c r="Z581" s="9"/>
      <c r="AA581" s="9"/>
      <c r="AB581" s="9"/>
      <c r="AC581" s="449" t="str">
        <f t="shared" ref="AC581:AC644" si="70">IF(OR(AT581&gt;8,AT581&lt;-8),"PH",
IF(OR(AT581&gt;5,AT581&lt;-5),"PHQ",
IF(OR(AT581&gt;1,AT581&lt;-1),
"PHC","")))</f>
        <v/>
      </c>
      <c r="AD581" s="449"/>
      <c r="AE581" s="449"/>
      <c r="AF581" s="4"/>
      <c r="AG581" s="83"/>
      <c r="AH581" s="4"/>
      <c r="AI581" s="4"/>
      <c r="AJ581" s="449"/>
      <c r="AK581" s="449"/>
      <c r="AL581" s="449"/>
      <c r="AM581" s="449"/>
      <c r="AN581" s="10"/>
      <c r="AO581" s="9"/>
      <c r="AP581" s="9"/>
      <c r="AQ581" s="9">
        <f>+FL_2($T$582,$T$580,$G$581,1200,9.28,-1*$F$582)</f>
        <v>-0.41765016498924729</v>
      </c>
      <c r="AR581" s="9"/>
      <c r="AS581" s="9"/>
      <c r="AT581" s="9"/>
      <c r="AU581" s="428"/>
      <c r="AV581" s="428"/>
      <c r="AW581" s="449" t="str">
        <f>IF(C581&gt;0,VLOOKUP(C581,Foundation_Calc!$A$2:$C$13,3,1),
IF(J581&gt;0,VLOOKUP(J581,Foundation_Calc!$A$2:$C$13,3,1),""))</f>
        <v/>
      </c>
      <c r="AX581" s="449" t="str">
        <f>IF(C581&gt;0,VLOOKUP(C581,Foundation_Calc!$E$2:$G$33,3,1),
IF(J581&gt;0,VLOOKUP(J581,Foundation_Calc!$E$2:$G$33,3,1),""))</f>
        <v/>
      </c>
      <c r="AY581" s="10" t="str">
        <f>IF(L581="","",
IF(AX581="PT",VLOOKUP(L581,Foundation_Calc!$K$79:$R$113,VLOOKUP(AW581,Foundation_Calc!$I$2:$J$8,2,FALSE),0),
IF(AX581="K",VLOOKUP(L581,Foundation_Calc!$K$117:$R$151,VLOOKUP(AW581,Foundation_Calc!$I$2:$J$8,2,FALSE),0),"")))</f>
        <v/>
      </c>
      <c r="AZ581" s="10" t="str">
        <f>IF(K581="","",
IF(AX581="PT",VLOOKUP(K581,Foundation_Calc!$K$79:$R$113,VLOOKUP(AW581,Foundation_Calc!$I$2:$J$8,2,FALSE),0),
IF(AX581="K",VLOOKUP(K581,Foundation_Calc!$K$117:$R$151,VLOOKUP(AW581,Foundation_Calc!$I$2:$J$8,2,FALSE),0),"")))</f>
        <v/>
      </c>
      <c r="BA581" s="495" t="str">
        <f t="shared" si="63"/>
        <v/>
      </c>
      <c r="BB581" s="495" t="str">
        <f t="shared" si="64"/>
        <v/>
      </c>
      <c r="BC581" s="495" t="str">
        <f t="shared" si="65"/>
        <v/>
      </c>
      <c r="BD581" s="513" t="str">
        <f>IF(AND(L581="",H581=""),"",
IF(H581="",Pole_Calc!A$9,
IF(H581="MP",Pole_Calc!A$10,
IF(H581="AnMP",Pole_Calc!A$11,
IF(H581="A",Pole_Calc!A$12,
IF(H581="S/A",Pole_Calc!A$13,
IF(H581="A/S",Pole_Calc!A$14,"Poner a mano")))))))</f>
        <v/>
      </c>
      <c r="BE581" s="429" t="s">
        <v>118</v>
      </c>
      <c r="BF581" s="290"/>
      <c r="BG581" s="290"/>
      <c r="BH581" s="290"/>
      <c r="BI581" s="290"/>
    </row>
    <row r="582" spans="1:61" ht="15.75" customHeight="1">
      <c r="A582" s="517" t="s">
        <v>438</v>
      </c>
      <c r="B582" s="450" t="s">
        <v>521</v>
      </c>
      <c r="C582" s="3">
        <f>+$C$580+$G$581</f>
        <v>44155.619999999995</v>
      </c>
      <c r="D582" s="83"/>
      <c r="E582" s="4"/>
      <c r="F582" s="4">
        <f>IF(C582&gt;0,VLOOKUP(C582,'ALIGNMENT TRACK'!$A$1:$K$81,9,1))</f>
        <v>0</v>
      </c>
      <c r="G582" s="6"/>
      <c r="H582" s="449" t="s">
        <v>171</v>
      </c>
      <c r="I582" s="4"/>
      <c r="J582" s="3"/>
      <c r="K582" s="449"/>
      <c r="L582" s="449" t="s">
        <v>232</v>
      </c>
      <c r="M582" s="449" t="str">
        <f>IF(L582="","",
IF(AX582="PT",VLOOKUP(L582,Foundation_Calc!$V$79:$X$113,VLOOKUP(AX582,Foundation_Calc!$I$10:$J$13,2,FALSE),0),
IF(AX582="K",VLOOKUP(L582,Foundation_Calc!$V$117:$X$151,VLOOKUP(AX582,Foundation_Calc!$I$10:$J$13,2,FALSE),0),"")))</f>
        <v>C5R</v>
      </c>
      <c r="N582" s="449" t="s">
        <v>343</v>
      </c>
      <c r="O582" s="449"/>
      <c r="P582" s="449"/>
      <c r="Q582" s="4"/>
      <c r="R582" s="6"/>
      <c r="S582" s="6"/>
      <c r="T582" s="4">
        <v>-30</v>
      </c>
      <c r="U582" s="4"/>
      <c r="V582" s="4"/>
      <c r="W582" s="9">
        <v>1.4</v>
      </c>
      <c r="X582" s="9"/>
      <c r="Y582" s="9"/>
      <c r="Z582" s="9"/>
      <c r="AA582" s="9"/>
      <c r="AB582" s="9"/>
      <c r="AC582" s="449" t="str">
        <f t="shared" si="70"/>
        <v>PH</v>
      </c>
      <c r="AD582" s="449"/>
      <c r="AE582" s="449"/>
      <c r="AF582" s="4"/>
      <c r="AG582" s="83"/>
      <c r="AH582" s="4"/>
      <c r="AI582" s="4"/>
      <c r="AJ582" s="449"/>
      <c r="AK582" s="449" t="s">
        <v>451</v>
      </c>
      <c r="AL582" s="449" t="s">
        <v>241</v>
      </c>
      <c r="AM582" s="449" t="s">
        <v>126</v>
      </c>
      <c r="AN582" s="10">
        <v>5.5</v>
      </c>
      <c r="AO582" s="9"/>
      <c r="AP582" s="9"/>
      <c r="AQ582" s="9"/>
      <c r="AR582" s="9"/>
      <c r="AS582" s="9"/>
      <c r="AT582" s="9">
        <f>+ab($T$582,$T$580,$T$584,$G$581,$G$583,-1*$F$582,1200)</f>
        <v>-10.164346519954751</v>
      </c>
      <c r="AU582" s="428"/>
      <c r="AV582" s="428"/>
      <c r="AW582" s="449" t="str">
        <f>IF(C582&gt;0,VLOOKUP(C582,Foundation_Calc!$A$2:$C$13,3,1),
IF(J582&gt;0,VLOOKUP(J582,Foundation_Calc!$A$2:$C$13,3,1),""))</f>
        <v>Multi Soil</v>
      </c>
      <c r="AX582" s="449" t="str">
        <f>IF(C582&gt;0,VLOOKUP(C582,Foundation_Calc!$E$2:$G$33,3,1),
IF(J582&gt;0,VLOOKUP(J582,Foundation_Calc!$E$2:$G$33,3,1),""))</f>
        <v>PT</v>
      </c>
      <c r="AY582" s="10">
        <f>IF(L582="","",
IF(AX582="PT",VLOOKUP(L582,Foundation_Calc!$K$79:$R$113,VLOOKUP(AW582,Foundation_Calc!$I$2:$J$8,2,FALSE),0),
IF(AX582="K",VLOOKUP(L582,Foundation_Calc!$K$117:$R$151,VLOOKUP(AW582,Foundation_Calc!$I$2:$J$8,2,FALSE),0),"")))</f>
        <v>3.5</v>
      </c>
      <c r="AZ582" s="10" t="str">
        <f>IF(K582="","",
IF(AX582="PT",VLOOKUP(K582,Foundation_Calc!$K$79:$R$113,VLOOKUP(AW582,Foundation_Calc!$I$2:$J$8,2,FALSE),0),
IF(AX582="K",VLOOKUP(K582,Foundation_Calc!$K$117:$R$151,VLOOKUP(AW582,Foundation_Calc!$I$2:$J$8,2,FALSE),0),"")))</f>
        <v/>
      </c>
      <c r="BA582" s="495" t="str">
        <f t="shared" si="63"/>
        <v>ü</v>
      </c>
      <c r="BB582" s="495" t="str">
        <f t="shared" si="64"/>
        <v/>
      </c>
      <c r="BC582" s="495" t="str">
        <f t="shared" si="65"/>
        <v/>
      </c>
      <c r="BD582" s="513" t="str">
        <f>Pole_Calc!A$251</f>
        <v>App.8-V08H-P10.3</v>
      </c>
      <c r="BE582" s="429" t="s">
        <v>118</v>
      </c>
      <c r="BF582" s="289"/>
      <c r="BG582" s="289"/>
      <c r="BH582" s="290"/>
      <c r="BI582" s="289"/>
    </row>
    <row r="583" spans="1:61" ht="15.75" customHeight="1">
      <c r="A583" s="517" t="s">
        <v>438</v>
      </c>
      <c r="B583" s="450"/>
      <c r="C583" s="3"/>
      <c r="D583" s="83"/>
      <c r="E583" s="4"/>
      <c r="F583" s="4"/>
      <c r="G583" s="6">
        <v>61</v>
      </c>
      <c r="H583" s="449"/>
      <c r="I583" s="4">
        <f>SUM(G583:G599)</f>
        <v>511</v>
      </c>
      <c r="J583" s="3"/>
      <c r="K583" s="449"/>
      <c r="L583" s="449"/>
      <c r="M583" s="449" t="str">
        <f>IF(L583="","",
IF(AX583="PT",VLOOKUP(L583,Foundation_Calc!$V$79:$X$113,VLOOKUP(AX583,Foundation_Calc!$I$10:$J$13,2,FALSE),0),
IF(AX583="K",VLOOKUP(L583,Foundation_Calc!$V$117:$X$151,VLOOKUP(AX583,Foundation_Calc!$I$10:$J$13,2,FALSE),0),"")))</f>
        <v/>
      </c>
      <c r="N583" s="449"/>
      <c r="O583" s="449"/>
      <c r="P583" s="449"/>
      <c r="Q583" s="4"/>
      <c r="R583" s="6"/>
      <c r="S583" s="6"/>
      <c r="T583" s="4"/>
      <c r="U583" s="4"/>
      <c r="V583" s="4"/>
      <c r="W583" s="9"/>
      <c r="X583" s="9"/>
      <c r="Y583" s="9"/>
      <c r="Z583" s="9"/>
      <c r="AA583" s="9"/>
      <c r="AB583" s="9"/>
      <c r="AC583" s="449" t="str">
        <f t="shared" si="70"/>
        <v/>
      </c>
      <c r="AD583" s="449"/>
      <c r="AE583" s="449"/>
      <c r="AF583" s="4"/>
      <c r="AG583" s="83"/>
      <c r="AH583" s="4"/>
      <c r="AI583" s="4"/>
      <c r="AJ583" s="449"/>
      <c r="AK583" s="449"/>
      <c r="AL583" s="449"/>
      <c r="AM583" s="449"/>
      <c r="AN583" s="10"/>
      <c r="AO583" s="9"/>
      <c r="AP583" s="9"/>
      <c r="AQ583" s="9">
        <f>+FL_2($T$584,$T$582,$G$583,1200,9.28,-1*$F$584)</f>
        <v>-0.45313604590163931</v>
      </c>
      <c r="AR583" s="9"/>
      <c r="AS583" s="9"/>
      <c r="AT583" s="9"/>
      <c r="AU583" s="428"/>
      <c r="AV583" s="428"/>
      <c r="AW583" s="449" t="str">
        <f>IF(C583&gt;0,VLOOKUP(C583,Foundation_Calc!$A$2:$C$13,3,1),
IF(J583&gt;0,VLOOKUP(J583,Foundation_Calc!$A$2:$C$13,3,1),""))</f>
        <v/>
      </c>
      <c r="AX583" s="449" t="str">
        <f>IF(C583&gt;0,VLOOKUP(C583,Foundation_Calc!$E$2:$G$33,3,1),
IF(J583&gt;0,VLOOKUP(J583,Foundation_Calc!$E$2:$G$33,3,1),""))</f>
        <v/>
      </c>
      <c r="AY583" s="10" t="str">
        <f>IF(L583="","",
IF(AX583="PT",VLOOKUP(L583,Foundation_Calc!$K$79:$R$113,VLOOKUP(AW583,Foundation_Calc!$I$2:$J$8,2,FALSE),0),
IF(AX583="K",VLOOKUP(L583,Foundation_Calc!$K$117:$R$151,VLOOKUP(AW583,Foundation_Calc!$I$2:$J$8,2,FALSE),0),"")))</f>
        <v/>
      </c>
      <c r="AZ583" s="10" t="str">
        <f>IF(K583="","",
IF(AX583="PT",VLOOKUP(K583,Foundation_Calc!$K$79:$R$113,VLOOKUP(AW583,Foundation_Calc!$I$2:$J$8,2,FALSE),0),
IF(AX583="K",VLOOKUP(K583,Foundation_Calc!$K$117:$R$151,VLOOKUP(AW583,Foundation_Calc!$I$2:$J$8,2,FALSE),0),"")))</f>
        <v/>
      </c>
      <c r="BA583" s="495" t="str">
        <f t="shared" si="63"/>
        <v/>
      </c>
      <c r="BB583" s="495" t="str">
        <f t="shared" si="64"/>
        <v/>
      </c>
      <c r="BC583" s="495" t="str">
        <f t="shared" si="65"/>
        <v/>
      </c>
      <c r="BD583" s="513" t="str">
        <f>IF(AND(L583="",H583=""),"",
IF(H583="",Pole_Calc!A$9,
IF(H583="MP",Pole_Calc!A$10,
IF(H583="AnMP",Pole_Calc!A$11,
IF(H583="A",Pole_Calc!A$12,
IF(H583="S/A",Pole_Calc!A$13,
IF(H583="A/S",Pole_Calc!A$14,"Poner a mano")))))))</f>
        <v/>
      </c>
      <c r="BE583" s="429" t="s">
        <v>118</v>
      </c>
      <c r="BF583" s="290"/>
      <c r="BG583" s="290"/>
      <c r="BH583" s="290"/>
      <c r="BI583" s="290"/>
    </row>
    <row r="584" spans="1:61" ht="15.75" customHeight="1">
      <c r="A584" s="517" t="s">
        <v>438</v>
      </c>
      <c r="B584" s="450" t="s">
        <v>522</v>
      </c>
      <c r="C584" s="3">
        <f>+$C$582+$G$583</f>
        <v>44216.619999999995</v>
      </c>
      <c r="D584" s="83"/>
      <c r="E584" s="4"/>
      <c r="F584" s="4">
        <f>IF(C584&gt;0,VLOOKUP(C584,'ALIGNMENT TRACK'!$A$1:$K$81,9,1))</f>
        <v>0</v>
      </c>
      <c r="G584" s="6"/>
      <c r="H584" s="449" t="s">
        <v>168</v>
      </c>
      <c r="I584" s="4"/>
      <c r="J584" s="3"/>
      <c r="K584" s="449"/>
      <c r="L584" s="449" t="s">
        <v>232</v>
      </c>
      <c r="M584" s="449" t="str">
        <f>IF(L584="","",
IF(AX584="PT",VLOOKUP(L584,Foundation_Calc!$V$79:$X$113,VLOOKUP(AX584,Foundation_Calc!$I$10:$J$13,2,FALSE),0),
IF(AX584="K",VLOOKUP(L584,Foundation_Calc!$V$117:$X$151,VLOOKUP(AX584,Foundation_Calc!$I$10:$J$13,2,FALSE),0),"")))</f>
        <v>C5R</v>
      </c>
      <c r="N584" s="449" t="s">
        <v>453</v>
      </c>
      <c r="O584" s="449"/>
      <c r="P584" s="449"/>
      <c r="Q584" s="4"/>
      <c r="R584" s="6"/>
      <c r="S584" s="6"/>
      <c r="T584" s="4">
        <v>20</v>
      </c>
      <c r="U584" s="4"/>
      <c r="V584" s="4"/>
      <c r="W584" s="9">
        <v>1.4</v>
      </c>
      <c r="X584" s="9"/>
      <c r="Y584" s="9"/>
      <c r="Z584" s="9"/>
      <c r="AA584" s="9"/>
      <c r="AB584" s="9"/>
      <c r="AC584" s="449" t="str">
        <f t="shared" si="70"/>
        <v>PH</v>
      </c>
      <c r="AD584" s="449"/>
      <c r="AE584" s="449"/>
      <c r="AF584" s="4"/>
      <c r="AG584" s="83"/>
      <c r="AH584" s="4"/>
      <c r="AI584" s="4"/>
      <c r="AJ584" s="449"/>
      <c r="AK584" s="449" t="s">
        <v>451</v>
      </c>
      <c r="AL584" s="449" t="s">
        <v>241</v>
      </c>
      <c r="AM584" s="449" t="s">
        <v>126</v>
      </c>
      <c r="AN584" s="10">
        <v>5.5</v>
      </c>
      <c r="AO584" s="9"/>
      <c r="AP584" s="9"/>
      <c r="AQ584" s="9"/>
      <c r="AR584" s="9"/>
      <c r="AS584" s="9"/>
      <c r="AT584" s="9">
        <f>+ab($T$584,$T$582,-$T$586,$G$583,$G$585,-1*$F$584,1200)</f>
        <v>12.966160225088096</v>
      </c>
      <c r="AU584" s="428"/>
      <c r="AV584" s="428"/>
      <c r="AW584" s="449" t="str">
        <f>IF(C584&gt;0,VLOOKUP(C584,Foundation_Calc!$A$2:$C$13,3,1),
IF(J584&gt;0,VLOOKUP(J584,Foundation_Calc!$A$2:$C$13,3,1),""))</f>
        <v>Multi Soil</v>
      </c>
      <c r="AX584" s="449" t="str">
        <f>IF(C584&gt;0,VLOOKUP(C584,Foundation_Calc!$E$2:$G$33,3,1),
IF(J584&gt;0,VLOOKUP(J584,Foundation_Calc!$E$2:$G$33,3,1),""))</f>
        <v>PT</v>
      </c>
      <c r="AY584" s="10">
        <f>IF(L584="","",
IF(AX584="PT",VLOOKUP(L584,Foundation_Calc!$K$79:$R$113,VLOOKUP(AW584,Foundation_Calc!$I$2:$J$8,2,FALSE),0),
IF(AX584="K",VLOOKUP(L584,Foundation_Calc!$K$117:$R$151,VLOOKUP(AW584,Foundation_Calc!$I$2:$J$8,2,FALSE),0),"")))</f>
        <v>3.5</v>
      </c>
      <c r="AZ584" s="10" t="str">
        <f>IF(K584="","",
IF(AX584="PT",VLOOKUP(K584,Foundation_Calc!$K$79:$R$113,VLOOKUP(AW584,Foundation_Calc!$I$2:$J$8,2,FALSE),0),
IF(AX584="K",VLOOKUP(K584,Foundation_Calc!$K$117:$R$151,VLOOKUP(AW584,Foundation_Calc!$I$2:$J$8,2,FALSE),0),"")))</f>
        <v/>
      </c>
      <c r="BA584" s="495" t="str">
        <f t="shared" si="63"/>
        <v>ü</v>
      </c>
      <c r="BB584" s="495" t="str">
        <f t="shared" si="64"/>
        <v/>
      </c>
      <c r="BC584" s="495" t="str">
        <f t="shared" si="65"/>
        <v/>
      </c>
      <c r="BD584" s="513" t="str">
        <f>Pole_Calc!A$251</f>
        <v>App.8-V08H-P10.3</v>
      </c>
      <c r="BE584" s="429" t="s">
        <v>118</v>
      </c>
      <c r="BF584" s="289"/>
      <c r="BG584" s="289"/>
      <c r="BH584" s="290"/>
      <c r="BI584" s="289"/>
    </row>
    <row r="585" spans="1:61" ht="15.75" customHeight="1">
      <c r="A585" s="517" t="s">
        <v>438</v>
      </c>
      <c r="B585" s="450"/>
      <c r="C585" s="3"/>
      <c r="D585" s="83"/>
      <c r="E585" s="4"/>
      <c r="F585" s="4"/>
      <c r="G585" s="6">
        <v>63</v>
      </c>
      <c r="H585" s="449"/>
      <c r="I585" s="4"/>
      <c r="J585" s="3">
        <f>C584+7.5</f>
        <v>44224.119999999995</v>
      </c>
      <c r="K585" s="449" t="s">
        <v>166</v>
      </c>
      <c r="L585" s="449"/>
      <c r="M585" s="449" t="str">
        <f>IF(L585="","",
IF(AX585="PT",VLOOKUP(L585,Foundation_Calc!$V$79:$X$113,VLOOKUP(AX585,Foundation_Calc!$I$10:$J$13,2,FALSE),0),
IF(AX585="K",VLOOKUP(L585,Foundation_Calc!$V$117:$X$151,VLOOKUP(AX585,Foundation_Calc!$I$10:$J$13,2,FALSE),0),"")))</f>
        <v/>
      </c>
      <c r="N585" s="449"/>
      <c r="O585" s="449"/>
      <c r="P585" s="449"/>
      <c r="Q585" s="4"/>
      <c r="R585" s="6"/>
      <c r="S585" s="6"/>
      <c r="T585" s="4"/>
      <c r="U585" s="4"/>
      <c r="V585" s="4"/>
      <c r="W585" s="9"/>
      <c r="X585" s="9"/>
      <c r="Y585" s="9"/>
      <c r="Z585" s="9"/>
      <c r="AA585" s="9"/>
      <c r="AB585" s="9"/>
      <c r="AC585" s="449" t="str">
        <f t="shared" si="70"/>
        <v/>
      </c>
      <c r="AD585" s="449"/>
      <c r="AE585" s="449"/>
      <c r="AF585" s="4"/>
      <c r="AG585" s="83"/>
      <c r="AH585" s="4"/>
      <c r="AI585" s="4"/>
      <c r="AJ585" s="449"/>
      <c r="AK585" s="449"/>
      <c r="AL585" s="449"/>
      <c r="AM585" s="449"/>
      <c r="AN585" s="10"/>
      <c r="AO585" s="9"/>
      <c r="AP585" s="9"/>
      <c r="AQ585" s="9">
        <f>+FL_1($T$586,-$T$584,$G$585,1200,9.28, 1*$F$586)</f>
        <v>0.40973406546031743</v>
      </c>
      <c r="AR585" s="9"/>
      <c r="AS585" s="9"/>
      <c r="AT585" s="9"/>
      <c r="AU585" s="428"/>
      <c r="AV585" s="428"/>
      <c r="AW585" s="449" t="str">
        <f>IF(C585&gt;0,VLOOKUP(C585,Foundation_Calc!$A$2:$C$13,3,1),
IF(J585&gt;0,VLOOKUP(J585,Foundation_Calc!$A$2:$C$13,3,1),""))</f>
        <v>Multi Soil</v>
      </c>
      <c r="AX585" s="449" t="str">
        <f>IF(C585&gt;0,VLOOKUP(C585,Foundation_Calc!$E$2:$G$33,3,1),
IF(J585&gt;0,VLOOKUP(J585,Foundation_Calc!$E$2:$G$33,3,1),""))</f>
        <v>PT</v>
      </c>
      <c r="AY585" s="10" t="str">
        <f>IF(L585="","",
IF(AX585="PT",VLOOKUP(L585,Foundation_Calc!$K$79:$R$113,VLOOKUP(AW585,Foundation_Calc!$I$2:$J$8,2,FALSE),0),
IF(AX585="K",VLOOKUP(L585,Foundation_Calc!$K$117:$R$151,VLOOKUP(AW585,Foundation_Calc!$I$2:$J$8,2,FALSE),0),"")))</f>
        <v/>
      </c>
      <c r="AZ585" s="10">
        <f>IF(K585="","",
IF(AX585="PT",VLOOKUP(K585,Foundation_Calc!$K$79:$R$113,VLOOKUP(AW585,Foundation_Calc!$I$2:$J$8,2,FALSE),0),
IF(AX585="K",VLOOKUP(K585,Foundation_Calc!$K$117:$R$151,VLOOKUP(AW585,Foundation_Calc!$I$2:$J$8,2,FALSE),0),"")))</f>
        <v>2.8</v>
      </c>
      <c r="BA585" s="495"/>
      <c r="BB585" s="495"/>
      <c r="BC585" s="495"/>
      <c r="BD585" s="513" t="str">
        <f>IF(AND(L585="",H585=""),"",
IF(H585="",Pole_Calc!A$9,
IF(H585="MP",Pole_Calc!A$10,
IF(H585="AnMP",Pole_Calc!A$11,
IF(H585="A",Pole_Calc!A$12,
IF(H585="S/A",Pole_Calc!A$13,
IF(H585="A/S",Pole_Calc!A$14,"Poner a mano")))))))</f>
        <v/>
      </c>
      <c r="BE585" s="429" t="s">
        <v>118</v>
      </c>
      <c r="BF585" s="290"/>
      <c r="BG585" s="290"/>
      <c r="BH585" s="290"/>
      <c r="BI585" s="290"/>
    </row>
    <row r="586" spans="1:61" ht="15.75" customHeight="1">
      <c r="A586" s="517" t="s">
        <v>442</v>
      </c>
      <c r="B586" s="450" t="s">
        <v>523</v>
      </c>
      <c r="C586" s="3">
        <f>+$C$584+$G$585</f>
        <v>44279.619999999995</v>
      </c>
      <c r="D586" s="83"/>
      <c r="E586" s="4"/>
      <c r="F586" s="4">
        <f>IF(C586&gt;0,VLOOKUP(C586,'ALIGNMENT TRACK'!$A$1:$K$81,9,1))</f>
        <v>0</v>
      </c>
      <c r="G586" s="6"/>
      <c r="H586" s="449"/>
      <c r="I586" s="4"/>
      <c r="J586" s="3"/>
      <c r="K586" s="449"/>
      <c r="L586" s="449" t="s">
        <v>201</v>
      </c>
      <c r="M586" s="449" t="str">
        <f>IF(L586="","",
IF(AX586="PT",VLOOKUP(L586,Foundation_Calc!$V$79:$X$113,VLOOKUP(AX586,Foundation_Calc!$I$10:$J$13,2,FALSE),0),
IF(AX586="K",VLOOKUP(L586,Foundation_Calc!$V$117:$X$151,VLOOKUP(AX586,Foundation_Calc!$I$10:$J$13,2,FALSE),0),"")))</f>
        <v/>
      </c>
      <c r="N586" s="553" t="s">
        <v>453</v>
      </c>
      <c r="O586" s="449"/>
      <c r="P586" s="449"/>
      <c r="Q586" s="4"/>
      <c r="R586" s="6"/>
      <c r="S586" s="6"/>
      <c r="T586" s="4">
        <v>20</v>
      </c>
      <c r="U586" s="4"/>
      <c r="V586" s="4"/>
      <c r="W586" s="9">
        <v>1.4</v>
      </c>
      <c r="X586" s="9"/>
      <c r="Y586" s="9"/>
      <c r="Z586" s="9"/>
      <c r="AA586" s="9"/>
      <c r="AB586" s="9"/>
      <c r="AC586" s="449" t="str">
        <f t="shared" si="70"/>
        <v>PH</v>
      </c>
      <c r="AD586" s="449"/>
      <c r="AE586" s="449"/>
      <c r="AF586" s="4"/>
      <c r="AG586" s="83"/>
      <c r="AH586" s="4"/>
      <c r="AI586" s="4"/>
      <c r="AJ586" s="449"/>
      <c r="AK586" s="449" t="s">
        <v>344</v>
      </c>
      <c r="AL586" s="449"/>
      <c r="AM586" s="449" t="s">
        <v>345</v>
      </c>
      <c r="AN586" s="10">
        <v>5.5</v>
      </c>
      <c r="AO586" s="9"/>
      <c r="AP586" s="9"/>
      <c r="AQ586" s="9"/>
      <c r="AR586" s="9"/>
      <c r="AS586" s="9"/>
      <c r="AT586" s="9">
        <f>+ab($T$586,-$T$584,$T$588,$G$585,$G$587, 1*$F$586,1200)</f>
        <v>14.066318935024224</v>
      </c>
      <c r="AU586" s="428"/>
      <c r="AV586" s="428"/>
      <c r="AW586" s="449" t="s">
        <v>201</v>
      </c>
      <c r="AX586" s="449" t="s">
        <v>201</v>
      </c>
      <c r="AY586" s="10" t="str">
        <f>IF(L586="","",
IF(AX586="PT",VLOOKUP(L586,Foundation_Calc!$K$79:$R$113,VLOOKUP(AW586,Foundation_Calc!$I$2:$J$8,2,FALSE),0),
IF(AX586="K",VLOOKUP(L586,Foundation_Calc!$K$117:$R$151,VLOOKUP(AW586,Foundation_Calc!$I$2:$J$8,2,FALSE),0),"")))</f>
        <v/>
      </c>
      <c r="AZ586" s="10" t="str">
        <f>IF(K586="","",
IF(AX586="PT",VLOOKUP(K586,Foundation_Calc!$K$79:$R$113,VLOOKUP(AW586,Foundation_Calc!$I$2:$J$8,2,FALSE),0),
IF(AX586="K",VLOOKUP(K586,Foundation_Calc!$K$117:$R$151,VLOOKUP(AW586,Foundation_Calc!$I$2:$J$8,2,FALSE),0),"")))</f>
        <v/>
      </c>
      <c r="BA586" s="495"/>
      <c r="BB586" s="495"/>
      <c r="BC586" s="495"/>
      <c r="BD586" s="513"/>
      <c r="BE586" s="429" t="s">
        <v>118</v>
      </c>
      <c r="BF586" s="289"/>
      <c r="BG586" s="289"/>
      <c r="BH586" s="290"/>
      <c r="BI586" s="289"/>
    </row>
    <row r="587" spans="1:61" ht="15.75" customHeight="1">
      <c r="A587" s="517" t="s">
        <v>438</v>
      </c>
      <c r="B587" s="450"/>
      <c r="C587" s="3"/>
      <c r="D587" s="83"/>
      <c r="E587" s="4"/>
      <c r="F587" s="4"/>
      <c r="G587" s="6">
        <v>57</v>
      </c>
      <c r="H587" s="449"/>
      <c r="I587" s="4"/>
      <c r="J587" s="3"/>
      <c r="K587" s="449"/>
      <c r="L587" s="449"/>
      <c r="M587" s="449" t="str">
        <f>IF(L587="","",
IF(AX587="PT",VLOOKUP(L587,Foundation_Calc!$V$79:$X$113,VLOOKUP(AX587,Foundation_Calc!$I$10:$J$13,2,FALSE),0),
IF(AX587="K",VLOOKUP(L587,Foundation_Calc!$V$117:$X$151,VLOOKUP(AX587,Foundation_Calc!$I$10:$J$13,2,FALSE),0),"")))</f>
        <v/>
      </c>
      <c r="N587" s="553"/>
      <c r="O587" s="449"/>
      <c r="P587" s="449"/>
      <c r="Q587" s="4"/>
      <c r="R587" s="6"/>
      <c r="S587" s="6"/>
      <c r="T587" s="4"/>
      <c r="U587" s="4"/>
      <c r="V587" s="4"/>
      <c r="W587" s="9"/>
      <c r="X587" s="9"/>
      <c r="Y587" s="9"/>
      <c r="Z587" s="9"/>
      <c r="AA587" s="9"/>
      <c r="AB587" s="9"/>
      <c r="AC587" s="449" t="str">
        <f t="shared" si="70"/>
        <v/>
      </c>
      <c r="AD587" s="449"/>
      <c r="AE587" s="449"/>
      <c r="AF587" s="4"/>
      <c r="AG587" s="83"/>
      <c r="AH587" s="4"/>
      <c r="AI587" s="4"/>
      <c r="AJ587" s="449"/>
      <c r="AK587" s="449"/>
      <c r="AL587" s="449"/>
      <c r="AM587" s="449"/>
      <c r="AN587" s="10"/>
      <c r="AO587" s="9"/>
      <c r="AP587" s="9"/>
      <c r="AQ587" s="9">
        <f>+FL_1($T$588,$T$586,$G$587,1200,9.28, 1*$F$588)</f>
        <v>0.34591002814035093</v>
      </c>
      <c r="AR587" s="9"/>
      <c r="AS587" s="9"/>
      <c r="AT587" s="9"/>
      <c r="AU587" s="428"/>
      <c r="AV587" s="428"/>
      <c r="AW587" s="449"/>
      <c r="AX587" s="449"/>
      <c r="AY587" s="10" t="str">
        <f>IF(L587="","",
IF(AX587="PT",VLOOKUP(L587,Foundation_Calc!$K$79:$R$113,VLOOKUP(AW587,Foundation_Calc!$I$2:$J$8,2,FALSE),0),
IF(AX587="K",VLOOKUP(L587,Foundation_Calc!$K$117:$R$151,VLOOKUP(AW587,Foundation_Calc!$I$2:$J$8,2,FALSE),0),"")))</f>
        <v/>
      </c>
      <c r="AZ587" s="10" t="str">
        <f>IF(K587="","",
IF(AX587="PT",VLOOKUP(K587,Foundation_Calc!$K$79:$R$113,VLOOKUP(AW587,Foundation_Calc!$I$2:$J$8,2,FALSE),0),
IF(AX587="K",VLOOKUP(K587,Foundation_Calc!$K$117:$R$151,VLOOKUP(AW587,Foundation_Calc!$I$2:$J$8,2,FALSE),0),"")))</f>
        <v/>
      </c>
      <c r="BA587" s="495"/>
      <c r="BB587" s="495"/>
      <c r="BC587" s="495"/>
      <c r="BD587" s="513" t="str">
        <f>IF(AND(L587="",H587=""),"",
IF(H587="",Pole_Calc!A$9,
IF(H587="MP",Pole_Calc!A$10,
IF(H587="AnMP",Pole_Calc!A$11,
IF(H587="A",Pole_Calc!A$12,
IF(H587="S/A",Pole_Calc!A$13,
IF(H587="A/S",Pole_Calc!A$14,"Poner a mano")))))))</f>
        <v/>
      </c>
      <c r="BE587" s="429" t="s">
        <v>118</v>
      </c>
      <c r="BF587" s="290"/>
      <c r="BG587" s="290"/>
      <c r="BH587" s="290"/>
      <c r="BI587" s="290"/>
    </row>
    <row r="588" spans="1:61" ht="15.75" customHeight="1">
      <c r="A588" s="732" t="s">
        <v>524</v>
      </c>
      <c r="B588" s="722" t="s">
        <v>525</v>
      </c>
      <c r="C588" s="723">
        <f>+$C$586+$G$587</f>
        <v>44336.619999999995</v>
      </c>
      <c r="D588" s="724"/>
      <c r="E588" s="725"/>
      <c r="F588" s="725">
        <f>IF(C588&gt;0,VLOOKUP(C588,'ALIGNMENT TRACK'!$A$1:$K$81,9,1))</f>
        <v>0</v>
      </c>
      <c r="G588" s="726"/>
      <c r="H588" s="727"/>
      <c r="I588" s="725"/>
      <c r="J588" s="723"/>
      <c r="K588" s="727"/>
      <c r="L588" s="727" t="s">
        <v>201</v>
      </c>
      <c r="M588" s="727" t="str">
        <f>IF(L588="","",
IF(AX588="PT",VLOOKUP(L588,Foundation_Calc!$V$79:$X$113,VLOOKUP(AX588,Foundation_Calc!$I$10:$J$13,2,FALSE),0),
IF(AX588="K",VLOOKUP(L588,Foundation_Calc!$V$117:$X$151,VLOOKUP(AX588,Foundation_Calc!$I$10:$J$13,2,FALSE),0),"")))</f>
        <v/>
      </c>
      <c r="N588" s="883" t="s">
        <v>343</v>
      </c>
      <c r="O588" s="727"/>
      <c r="P588" s="727"/>
      <c r="Q588" s="725"/>
      <c r="R588" s="726"/>
      <c r="S588" s="726"/>
      <c r="T588" s="725">
        <v>-20</v>
      </c>
      <c r="U588" s="725"/>
      <c r="V588" s="725"/>
      <c r="W588" s="728">
        <v>1.4</v>
      </c>
      <c r="X588" s="728"/>
      <c r="Y588" s="728"/>
      <c r="Z588" s="728"/>
      <c r="AA588" s="728"/>
      <c r="AB588" s="728"/>
      <c r="AC588" s="727" t="str">
        <f t="shared" si="70"/>
        <v>PH</v>
      </c>
      <c r="AD588" s="727"/>
      <c r="AE588" s="727"/>
      <c r="AF588" s="725"/>
      <c r="AG588" s="724"/>
      <c r="AH588" s="725"/>
      <c r="AI588" s="725"/>
      <c r="AJ588" s="727"/>
      <c r="AK588" s="727" t="s">
        <v>344</v>
      </c>
      <c r="AL588" s="727"/>
      <c r="AM588" s="727" t="s">
        <v>345</v>
      </c>
      <c r="AN588" s="729">
        <v>5.5</v>
      </c>
      <c r="AO588" s="728"/>
      <c r="AP588" s="728"/>
      <c r="AQ588" s="728"/>
      <c r="AR588" s="728"/>
      <c r="AS588" s="728"/>
      <c r="AT588" s="728">
        <f>+ab($T$588,$T$586,$T$590,$G$587,$G$589, 1*$F$588,1200)</f>
        <v>-14.167400756640236</v>
      </c>
      <c r="AU588" s="730"/>
      <c r="AV588" s="730"/>
      <c r="AW588" s="727" t="s">
        <v>201</v>
      </c>
      <c r="AX588" s="727" t="s">
        <v>201</v>
      </c>
      <c r="AY588" s="729" t="str">
        <f>IF(L588="","",
IF(AX588="PT",VLOOKUP(L588,Foundation_Calc!$K$79:$R$113,VLOOKUP(AW588,Foundation_Calc!$I$2:$J$8,2,FALSE),0),
IF(AX588="K",VLOOKUP(L588,Foundation_Calc!$K$117:$R$151,VLOOKUP(AW588,Foundation_Calc!$I$2:$J$8,2,FALSE),0),"")))</f>
        <v/>
      </c>
      <c r="AZ588" s="729" t="str">
        <f>IF(K588="","",
IF(AX588="PT",VLOOKUP(K588,Foundation_Calc!$K$79:$R$113,VLOOKUP(AW588,Foundation_Calc!$I$2:$J$8,2,FALSE),0),
IF(AX588="K",VLOOKUP(K588,Foundation_Calc!$K$117:$R$151,VLOOKUP(AW588,Foundation_Calc!$I$2:$J$8,2,FALSE),0),"")))</f>
        <v/>
      </c>
      <c r="BA588" s="495"/>
      <c r="BB588" s="495"/>
      <c r="BC588" s="495"/>
      <c r="BD588" s="513"/>
      <c r="BE588" s="429" t="s">
        <v>118</v>
      </c>
      <c r="BF588" s="289"/>
      <c r="BG588" s="289"/>
      <c r="BH588" s="290"/>
      <c r="BI588" s="289"/>
    </row>
    <row r="589" spans="1:61" ht="15.75" customHeight="1">
      <c r="A589" s="514" t="s">
        <v>413</v>
      </c>
      <c r="B589" s="450"/>
      <c r="C589" s="3"/>
      <c r="D589" s="83"/>
      <c r="E589" s="4"/>
      <c r="F589" s="4"/>
      <c r="G589" s="6">
        <v>64</v>
      </c>
      <c r="H589" s="449"/>
      <c r="I589" s="4"/>
      <c r="J589" s="3"/>
      <c r="K589" s="449"/>
      <c r="L589" s="449"/>
      <c r="M589" s="449" t="str">
        <f>IF(L589="","",
IF(AX589="PT",VLOOKUP(L589,Foundation_Calc!$V$79:$X$113,VLOOKUP(AX589,Foundation_Calc!$I$10:$J$13,2,FALSE),0),
IF(AX589="K",VLOOKUP(L589,Foundation_Calc!$V$117:$X$151,VLOOKUP(AX589,Foundation_Calc!$I$10:$J$13,2,FALSE),0),"")))</f>
        <v/>
      </c>
      <c r="N589" s="553"/>
      <c r="O589" s="449"/>
      <c r="P589" s="449"/>
      <c r="Q589" s="4"/>
      <c r="R589" s="6"/>
      <c r="S589" s="6"/>
      <c r="T589" s="4"/>
      <c r="U589" s="4"/>
      <c r="V589" s="4"/>
      <c r="W589" s="9"/>
      <c r="X589" s="9"/>
      <c r="Y589" s="9"/>
      <c r="Z589" s="9"/>
      <c r="AA589" s="9"/>
      <c r="AB589" s="9"/>
      <c r="AC589" s="449" t="str">
        <f t="shared" si="70"/>
        <v/>
      </c>
      <c r="AD589" s="449"/>
      <c r="AE589" s="449"/>
      <c r="AF589" s="4"/>
      <c r="AG589" s="83"/>
      <c r="AH589" s="4"/>
      <c r="AI589" s="4"/>
      <c r="AJ589" s="449"/>
      <c r="AK589" s="449"/>
      <c r="AL589" s="449"/>
      <c r="AM589" s="449"/>
      <c r="AN589" s="10"/>
      <c r="AO589" s="9"/>
      <c r="AP589" s="9"/>
      <c r="AQ589" s="9">
        <f>+FL_1($T$590,$T$588,$G$589,1200,9.28, 1*$F$590)</f>
        <v>0.42120259199999999</v>
      </c>
      <c r="AR589" s="9"/>
      <c r="AS589" s="9"/>
      <c r="AT589" s="9"/>
      <c r="AU589" s="428"/>
      <c r="AV589" s="428"/>
      <c r="AW589" s="449"/>
      <c r="AX589" s="449"/>
      <c r="AY589" s="10" t="str">
        <f>IF(L589="","",
IF(AX589="PT",VLOOKUP(L589,Foundation_Calc!$K$79:$R$113,VLOOKUP(AW589,Foundation_Calc!$I$2:$J$8,2,FALSE),0),
IF(AX589="K",VLOOKUP(L589,Foundation_Calc!$K$117:$R$151,VLOOKUP(AW589,Foundation_Calc!$I$2:$J$8,2,FALSE),0),"")))</f>
        <v/>
      </c>
      <c r="AZ589" s="10" t="str">
        <f>IF(K589="","",
IF(AX589="PT",VLOOKUP(K589,Foundation_Calc!$K$79:$R$113,VLOOKUP(AW589,Foundation_Calc!$I$2:$J$8,2,FALSE),0),
IF(AX589="K",VLOOKUP(K589,Foundation_Calc!$K$117:$R$151,VLOOKUP(AW589,Foundation_Calc!$I$2:$J$8,2,FALSE),0),"")))</f>
        <v/>
      </c>
      <c r="BA589" s="495"/>
      <c r="BB589" s="495"/>
      <c r="BC589" s="495"/>
      <c r="BD589" s="513"/>
      <c r="BE589" s="429" t="s">
        <v>118</v>
      </c>
      <c r="BF589" s="290"/>
      <c r="BG589" s="290"/>
      <c r="BH589" s="290"/>
      <c r="BI589" s="290"/>
    </row>
    <row r="590" spans="1:61" ht="15.75" customHeight="1">
      <c r="A590" s="518" t="s">
        <v>438</v>
      </c>
      <c r="B590" s="450" t="s">
        <v>526</v>
      </c>
      <c r="C590" s="3">
        <f>+$C$588+$G$589</f>
        <v>44400.619999999995</v>
      </c>
      <c r="D590" s="83"/>
      <c r="E590" s="4"/>
      <c r="F590" s="4">
        <f>IF(C590&gt;0,VLOOKUP(C590,'ALIGNMENT TRACK'!$A$1:$K$81,9,1))</f>
        <v>0</v>
      </c>
      <c r="G590" s="6"/>
      <c r="H590" s="449"/>
      <c r="I590" s="4"/>
      <c r="J590" s="3"/>
      <c r="K590" s="449"/>
      <c r="L590" s="449" t="s">
        <v>201</v>
      </c>
      <c r="M590" s="449" t="str">
        <f>IF(L590="","",
IF(AX590="PT",VLOOKUP(L590,Foundation_Calc!$V$79:$X$113,VLOOKUP(AX590,Foundation_Calc!$I$10:$J$13,2,FALSE),0),
IF(AX590="K",VLOOKUP(L590,Foundation_Calc!$V$117:$X$151,VLOOKUP(AX590,Foundation_Calc!$I$10:$J$13,2,FALSE),0),"")))</f>
        <v/>
      </c>
      <c r="N590" s="553" t="s">
        <v>453</v>
      </c>
      <c r="O590" s="449"/>
      <c r="P590" s="449"/>
      <c r="Q590" s="4"/>
      <c r="R590" s="6"/>
      <c r="S590" s="6"/>
      <c r="T590" s="4">
        <v>20</v>
      </c>
      <c r="U590" s="4"/>
      <c r="V590" s="4"/>
      <c r="W590" s="9">
        <v>1.4</v>
      </c>
      <c r="X590" s="9"/>
      <c r="Y590" s="9"/>
      <c r="Z590" s="9"/>
      <c r="AA590" s="9"/>
      <c r="AB590" s="9"/>
      <c r="AC590" s="449" t="str">
        <f t="shared" si="70"/>
        <v>PH</v>
      </c>
      <c r="AD590" s="449"/>
      <c r="AE590" s="449"/>
      <c r="AF590" s="4"/>
      <c r="AG590" s="83"/>
      <c r="AH590" s="4"/>
      <c r="AI590" s="4"/>
      <c r="AJ590" s="449"/>
      <c r="AK590" s="449" t="s">
        <v>344</v>
      </c>
      <c r="AL590" s="449"/>
      <c r="AM590" s="449" t="s">
        <v>345</v>
      </c>
      <c r="AN590" s="10">
        <v>5.5</v>
      </c>
      <c r="AO590" s="9"/>
      <c r="AP590" s="9"/>
      <c r="AQ590" s="9"/>
      <c r="AR590" s="9"/>
      <c r="AS590" s="9"/>
      <c r="AT590" s="9">
        <f>+ab($T$590,$T$588,$T$592,$G$589,$G$591, 1*$F$590,1200)</f>
        <v>14.999043797127449</v>
      </c>
      <c r="AU590" s="428"/>
      <c r="AV590" s="428"/>
      <c r="AW590" s="449" t="s">
        <v>201</v>
      </c>
      <c r="AX590" s="449" t="s">
        <v>201</v>
      </c>
      <c r="AY590" s="10" t="str">
        <f>IF(L590="","",
IF(AX590="PT",VLOOKUP(L590,Foundation_Calc!$K$79:$R$113,VLOOKUP(AW590,Foundation_Calc!$I$2:$J$8,2,FALSE),0),
IF(AX590="K",VLOOKUP(L590,Foundation_Calc!$K$117:$R$151,VLOOKUP(AW590,Foundation_Calc!$I$2:$J$8,2,FALSE),0),"")))</f>
        <v/>
      </c>
      <c r="AZ590" s="10" t="str">
        <f>IF(K590="","",
IF(AX590="PT",VLOOKUP(K590,Foundation_Calc!$K$79:$R$113,VLOOKUP(AW590,Foundation_Calc!$I$2:$J$8,2,FALSE),0),
IF(AX590="K",VLOOKUP(K590,Foundation_Calc!$K$117:$R$151,VLOOKUP(AW590,Foundation_Calc!$I$2:$J$8,2,FALSE),0),"")))</f>
        <v/>
      </c>
      <c r="BA590" s="495"/>
      <c r="BB590" s="495"/>
      <c r="BC590" s="495"/>
      <c r="BD590" s="513"/>
      <c r="BE590" s="429" t="s">
        <v>118</v>
      </c>
      <c r="BF590" s="289"/>
      <c r="BG590" s="289"/>
      <c r="BH590" s="290"/>
      <c r="BI590" s="289"/>
    </row>
    <row r="591" spans="1:61" ht="15.75" customHeight="1">
      <c r="A591" s="517" t="s">
        <v>438</v>
      </c>
      <c r="B591" s="450"/>
      <c r="C591" s="3"/>
      <c r="D591" s="83"/>
      <c r="E591" s="4"/>
      <c r="F591" s="4"/>
      <c r="G591" s="6">
        <v>64</v>
      </c>
      <c r="H591" s="449"/>
      <c r="I591" s="4"/>
      <c r="J591" s="3"/>
      <c r="K591" s="449"/>
      <c r="L591" s="449"/>
      <c r="M591" s="449" t="str">
        <f>IF(L591="","",
IF(AX591="PT",VLOOKUP(L591,Foundation_Calc!$V$79:$X$113,VLOOKUP(AX591,Foundation_Calc!$I$10:$J$13,2,FALSE),0),
IF(AX591="K",VLOOKUP(L591,Foundation_Calc!$V$117:$X$151,VLOOKUP(AX591,Foundation_Calc!$I$10:$J$13,2,FALSE),0),"")))</f>
        <v/>
      </c>
      <c r="N591" s="553"/>
      <c r="O591" s="449"/>
      <c r="P591" s="449"/>
      <c r="Q591" s="4"/>
      <c r="R591" s="6"/>
      <c r="S591" s="6"/>
      <c r="T591" s="4"/>
      <c r="U591" s="4"/>
      <c r="V591" s="4"/>
      <c r="W591" s="9"/>
      <c r="X591" s="9"/>
      <c r="Y591" s="9"/>
      <c r="Z591" s="9"/>
      <c r="AA591" s="9"/>
      <c r="AB591" s="9"/>
      <c r="AC591" s="449" t="str">
        <f t="shared" si="70"/>
        <v/>
      </c>
      <c r="AD591" s="449"/>
      <c r="AE591" s="449"/>
      <c r="AF591" s="4"/>
      <c r="AG591" s="83"/>
      <c r="AH591" s="4"/>
      <c r="AI591" s="4"/>
      <c r="AJ591" s="449"/>
      <c r="AK591" s="449"/>
      <c r="AL591" s="449"/>
      <c r="AM591" s="449"/>
      <c r="AN591" s="10"/>
      <c r="AO591" s="9"/>
      <c r="AP591" s="9"/>
      <c r="AQ591" s="9">
        <f>+FL_2($T$592,$T$590,$G$591,1200,9.28, 1*$F$592)</f>
        <v>-0.46877366666619485</v>
      </c>
      <c r="AR591" s="9"/>
      <c r="AS591" s="9"/>
      <c r="AT591" s="9"/>
      <c r="AU591" s="428"/>
      <c r="AV591" s="428"/>
      <c r="AW591" s="449"/>
      <c r="AX591" s="449"/>
      <c r="AY591" s="10" t="str">
        <f>IF(L591="","",
IF(AX591="PT",VLOOKUP(L591,Foundation_Calc!$K$79:$R$113,VLOOKUP(AW591,Foundation_Calc!$I$2:$J$8,2,FALSE),0),
IF(AX591="K",VLOOKUP(L591,Foundation_Calc!$K$117:$R$151,VLOOKUP(AW591,Foundation_Calc!$I$2:$J$8,2,FALSE),0),"")))</f>
        <v/>
      </c>
      <c r="AZ591" s="10" t="str">
        <f>IF(K591="","",
IF(AX591="PT",VLOOKUP(K591,Foundation_Calc!$K$79:$R$113,VLOOKUP(AW591,Foundation_Calc!$I$2:$J$8,2,FALSE),0),
IF(AX591="K",VLOOKUP(K591,Foundation_Calc!$K$117:$R$151,VLOOKUP(AW591,Foundation_Calc!$I$2:$J$8,2,FALSE),0),"")))</f>
        <v/>
      </c>
      <c r="BA591" s="495"/>
      <c r="BB591" s="495"/>
      <c r="BC591" s="495"/>
      <c r="BD591" s="513"/>
      <c r="BE591" s="429" t="s">
        <v>118</v>
      </c>
      <c r="BF591" s="290"/>
      <c r="BG591" s="290"/>
      <c r="BH591" s="290"/>
      <c r="BI591" s="290"/>
    </row>
    <row r="592" spans="1:61" ht="15.75" customHeight="1">
      <c r="A592" s="517" t="s">
        <v>438</v>
      </c>
      <c r="B592" s="450" t="s">
        <v>527</v>
      </c>
      <c r="C592" s="3">
        <f>+$C$590+$G$591</f>
        <v>44464.619999999995</v>
      </c>
      <c r="D592" s="83"/>
      <c r="E592" s="4"/>
      <c r="F592" s="4">
        <f>(439^2)/(C592-44445.64)</f>
        <v>10153.898840887323</v>
      </c>
      <c r="G592" s="6"/>
      <c r="H592" s="449"/>
      <c r="I592" s="4"/>
      <c r="J592" s="3"/>
      <c r="K592" s="449"/>
      <c r="L592" s="449" t="s">
        <v>201</v>
      </c>
      <c r="M592" s="449" t="str">
        <f>IF(L592="","",
IF(AX592="PT",VLOOKUP(L592,Foundation_Calc!$V$79:$X$113,VLOOKUP(AX592,Foundation_Calc!$I$10:$J$13,2,FALSE),0),
IF(AX592="K",VLOOKUP(L592,Foundation_Calc!$V$117:$X$151,VLOOKUP(AX592,Foundation_Calc!$I$10:$J$13,2,FALSE),0),"")))</f>
        <v/>
      </c>
      <c r="N592" s="553" t="s">
        <v>343</v>
      </c>
      <c r="O592" s="449"/>
      <c r="P592" s="449"/>
      <c r="Q592" s="4"/>
      <c r="R592" s="6"/>
      <c r="S592" s="6"/>
      <c r="T592" s="4">
        <v>-20</v>
      </c>
      <c r="U592" s="4"/>
      <c r="V592" s="4"/>
      <c r="W592" s="9">
        <v>1.4</v>
      </c>
      <c r="X592" s="9"/>
      <c r="Y592" s="9"/>
      <c r="Z592" s="9"/>
      <c r="AA592" s="9"/>
      <c r="AB592" s="9"/>
      <c r="AC592" s="449" t="str">
        <f t="shared" si="70"/>
        <v>PH</v>
      </c>
      <c r="AD592" s="449"/>
      <c r="AE592" s="449"/>
      <c r="AF592" s="4"/>
      <c r="AG592" s="83"/>
      <c r="AH592" s="4"/>
      <c r="AI592" s="4"/>
      <c r="AJ592" s="449"/>
      <c r="AK592" s="449" t="s">
        <v>344</v>
      </c>
      <c r="AL592" s="449"/>
      <c r="AM592" s="449" t="s">
        <v>345</v>
      </c>
      <c r="AN592" s="10">
        <v>5.5</v>
      </c>
      <c r="AO592" s="9"/>
      <c r="AP592" s="9"/>
      <c r="AQ592" s="9"/>
      <c r="AR592" s="9"/>
      <c r="AS592" s="9"/>
      <c r="AT592" s="9">
        <f>+ab($T$592,$T$590,-$T$594,$G$591,$G$593, 1*$F$592,1200)</f>
        <v>-19.784321794088026</v>
      </c>
      <c r="AU592" s="428"/>
      <c r="AV592" s="428"/>
      <c r="AW592" s="449" t="s">
        <v>201</v>
      </c>
      <c r="AX592" s="449" t="s">
        <v>201</v>
      </c>
      <c r="AY592" s="10" t="str">
        <f>IF(L592="","",
IF(AX592="PT",VLOOKUP(L592,Foundation_Calc!$K$79:$R$113,VLOOKUP(AW592,Foundation_Calc!$I$2:$J$8,2,FALSE),0),
IF(AX592="K",VLOOKUP(L592,Foundation_Calc!$K$117:$R$151,VLOOKUP(AW592,Foundation_Calc!$I$2:$J$8,2,FALSE),0),"")))</f>
        <v/>
      </c>
      <c r="AZ592" s="10" t="str">
        <f>IF(K592="","",
IF(AX592="PT",VLOOKUP(K592,Foundation_Calc!$K$79:$R$113,VLOOKUP(AW592,Foundation_Calc!$I$2:$J$8,2,FALSE),0),
IF(AX592="K",VLOOKUP(K592,Foundation_Calc!$K$117:$R$151,VLOOKUP(AW592,Foundation_Calc!$I$2:$J$8,2,FALSE),0),"")))</f>
        <v/>
      </c>
      <c r="BA592" s="495"/>
      <c r="BB592" s="495"/>
      <c r="BC592" s="495"/>
      <c r="BD592" s="513"/>
      <c r="BE592" s="429" t="s">
        <v>118</v>
      </c>
      <c r="BF592" s="289"/>
      <c r="BG592" s="289"/>
      <c r="BH592" s="290"/>
      <c r="BI592" s="289"/>
    </row>
    <row r="593" spans="1:61" ht="15.75" customHeight="1">
      <c r="A593" s="514" t="s">
        <v>438</v>
      </c>
      <c r="B593" s="450"/>
      <c r="C593" s="3"/>
      <c r="D593" s="83"/>
      <c r="E593" s="4"/>
      <c r="F593" s="4"/>
      <c r="G593" s="6">
        <v>60</v>
      </c>
      <c r="H593" s="449"/>
      <c r="I593" s="4"/>
      <c r="J593" s="3">
        <f>C594-7.5</f>
        <v>44517.119999999995</v>
      </c>
      <c r="K593" s="449" t="s">
        <v>117</v>
      </c>
      <c r="L593" s="449"/>
      <c r="M593" s="449" t="str">
        <f>IF(L593="","",
IF(AX593="PT",VLOOKUP(L593,Foundation_Calc!$V$79:$X$113,VLOOKUP(AX593,Foundation_Calc!$I$10:$J$13,2,FALSE),0),
IF(AX593="K",VLOOKUP(L593,Foundation_Calc!$V$117:$X$151,VLOOKUP(AX593,Foundation_Calc!$I$10:$J$13,2,FALSE),0),"")))</f>
        <v/>
      </c>
      <c r="N593" s="553"/>
      <c r="O593" s="449"/>
      <c r="P593" s="449"/>
      <c r="Q593" s="4"/>
      <c r="R593" s="6"/>
      <c r="S593" s="6"/>
      <c r="T593" s="4"/>
      <c r="U593" s="4"/>
      <c r="V593" s="4"/>
      <c r="W593" s="9"/>
      <c r="X593" s="9"/>
      <c r="Y593" s="9"/>
      <c r="Z593" s="9"/>
      <c r="AA593" s="9"/>
      <c r="AB593" s="9"/>
      <c r="AC593" s="449" t="str">
        <f t="shared" si="70"/>
        <v/>
      </c>
      <c r="AD593" s="449"/>
      <c r="AE593" s="449"/>
      <c r="AF593" s="4"/>
      <c r="AG593" s="83"/>
      <c r="AH593" s="4"/>
      <c r="AI593" s="4"/>
      <c r="AJ593" s="449"/>
      <c r="AK593" s="449"/>
      <c r="AL593" s="449"/>
      <c r="AM593" s="449"/>
      <c r="AN593" s="10"/>
      <c r="AO593" s="9"/>
      <c r="AP593" s="9"/>
      <c r="AQ593" s="9">
        <f>+FL_2(-$T$594,$T$592,$G$593,1200,9.28, 1*$F$594)</f>
        <v>-0.49293315796606346</v>
      </c>
      <c r="AR593" s="9"/>
      <c r="AS593" s="9"/>
      <c r="AT593" s="9"/>
      <c r="AU593" s="428"/>
      <c r="AV593" s="428"/>
      <c r="AW593" s="449" t="str">
        <f>IF(C593&gt;0,VLOOKUP(C593,Foundation_Calc!$A$2:$C$13,3,1),
IF(J593&gt;0,VLOOKUP(J593,Foundation_Calc!$A$2:$C$13,3,1),""))</f>
        <v>Multi Soil</v>
      </c>
      <c r="AX593" s="449" t="str">
        <f>IF(C593&gt;0,VLOOKUP(C593,Foundation_Calc!$E$2:$G$33,3,1),
IF(J593&gt;0,VLOOKUP(J593,Foundation_Calc!$E$2:$G$33,3,1),""))</f>
        <v>PT</v>
      </c>
      <c r="AY593" s="10" t="str">
        <f>IF(L593="","",
IF(AX593="PT",VLOOKUP(L593,Foundation_Calc!$K$79:$R$113,VLOOKUP(AW593,Foundation_Calc!$I$2:$J$8,2,FALSE),0),
IF(AX593="K",VLOOKUP(L593,Foundation_Calc!$K$117:$R$151,VLOOKUP(AW593,Foundation_Calc!$I$2:$J$8,2,FALSE),0),"")))</f>
        <v/>
      </c>
      <c r="AZ593" s="10">
        <f>IF(K593="","",
IF(AX593="PT",VLOOKUP(K593,Foundation_Calc!$K$79:$R$113,VLOOKUP(AW593,Foundation_Calc!$I$2:$J$8,2,FALSE),0),
IF(AX593="K",VLOOKUP(K593,Foundation_Calc!$K$117:$R$151,VLOOKUP(AW593,Foundation_Calc!$I$2:$J$8,2,FALSE),0),"")))</f>
        <v>3.9</v>
      </c>
      <c r="BA593" s="495"/>
      <c r="BB593" s="495"/>
      <c r="BC593" s="495"/>
      <c r="BD593" s="513"/>
      <c r="BE593" s="429" t="s">
        <v>118</v>
      </c>
      <c r="BF593" s="290"/>
      <c r="BG593" s="290"/>
      <c r="BH593" s="290"/>
      <c r="BI593" s="290"/>
    </row>
    <row r="594" spans="1:61" ht="15.75" customHeight="1">
      <c r="A594" s="514"/>
      <c r="B594" s="450" t="s">
        <v>528</v>
      </c>
      <c r="C594" s="3">
        <f>+$C$592+$G$593</f>
        <v>44524.619999999995</v>
      </c>
      <c r="D594" s="83"/>
      <c r="E594" s="4"/>
      <c r="F594" s="4">
        <f>(439^2)/(C594-44445.64)</f>
        <v>2440.1240820462135</v>
      </c>
      <c r="G594" s="6"/>
      <c r="H594" s="449" t="s">
        <v>121</v>
      </c>
      <c r="I594" s="4" t="s">
        <v>122</v>
      </c>
      <c r="J594" s="3"/>
      <c r="K594" s="449"/>
      <c r="L594" s="449" t="s">
        <v>181</v>
      </c>
      <c r="M594" s="449" t="str">
        <f>IF(L594="","",
IF(AX594="PT",VLOOKUP(L594,Foundation_Calc!$V$79:$X$113,VLOOKUP(AX594,Foundation_Calc!$I$10:$J$13,2,FALSE),0),
IF(AX594="K",VLOOKUP(L594,Foundation_Calc!$V$117:$X$151,VLOOKUP(AX594,Foundation_Calc!$I$10:$J$13,2,FALSE),0),"")))</f>
        <v>C5R</v>
      </c>
      <c r="N594" s="449" t="s">
        <v>124</v>
      </c>
      <c r="O594" s="449"/>
      <c r="P594" s="449"/>
      <c r="Q594" s="4"/>
      <c r="R594" s="6"/>
      <c r="S594" s="6"/>
      <c r="T594" s="4">
        <v>-35</v>
      </c>
      <c r="U594" s="4"/>
      <c r="V594" s="4"/>
      <c r="W594" s="9">
        <v>1.4</v>
      </c>
      <c r="X594" s="9"/>
      <c r="Y594" s="9"/>
      <c r="Z594" s="9"/>
      <c r="AA594" s="9"/>
      <c r="AB594" s="9"/>
      <c r="AC594" s="449" t="str">
        <f t="shared" si="70"/>
        <v>PHQ</v>
      </c>
      <c r="AD594" s="449"/>
      <c r="AE594" s="449"/>
      <c r="AF594" s="4"/>
      <c r="AG594" s="83"/>
      <c r="AH594" s="4"/>
      <c r="AI594" s="4"/>
      <c r="AJ594" s="449"/>
      <c r="AK594" s="449"/>
      <c r="AL594" s="449"/>
      <c r="AM594" s="449" t="s">
        <v>126</v>
      </c>
      <c r="AN594" s="10">
        <v>5.5</v>
      </c>
      <c r="AO594" s="9"/>
      <c r="AP594" s="9"/>
      <c r="AQ594" s="9"/>
      <c r="AR594" s="9"/>
      <c r="AS594" s="9"/>
      <c r="AT594" s="9">
        <f>+ab($T$594,$T$592,$T$596,$G$593,$G$595,-1*$F$594,1200)</f>
        <v>-6.361667439290259</v>
      </c>
      <c r="AU594" s="428"/>
      <c r="AV594" s="428"/>
      <c r="AW594" s="449" t="str">
        <f>IF(C594&gt;0,VLOOKUP(C594,Foundation_Calc!$A$2:$C$13,3,1),
IF(J594&gt;0,VLOOKUP(J594,Foundation_Calc!$A$2:$C$13,3,1),""))</f>
        <v>Multi Soil</v>
      </c>
      <c r="AX594" s="449" t="str">
        <f>IF(C594&gt;0,VLOOKUP(C594,Foundation_Calc!$E$2:$G$33,3,1),
IF(J594&gt;0,VLOOKUP(J594,Foundation_Calc!$E$2:$G$33,3,1),""))</f>
        <v>PT</v>
      </c>
      <c r="AY594" s="10">
        <f>IF(L594="","",
IF(AX594="PT",VLOOKUP(L594,Foundation_Calc!$K$79:$R$113,VLOOKUP(AW594,Foundation_Calc!$I$2:$J$8,2,FALSE),0),
IF(AX594="K",VLOOKUP(L594,Foundation_Calc!$K$117:$R$151,VLOOKUP(AW594,Foundation_Calc!$I$2:$J$8,2,FALSE),0),"")))</f>
        <v>3.5</v>
      </c>
      <c r="AZ594" s="10" t="str">
        <f>IF(K594="","",
IF(AX594="PT",VLOOKUP(K594,Foundation_Calc!$K$79:$R$113,VLOOKUP(AW594,Foundation_Calc!$I$2:$J$8,2,FALSE),0),
IF(AX594="K",VLOOKUP(K594,Foundation_Calc!$K$117:$R$151,VLOOKUP(AW594,Foundation_Calc!$I$2:$J$8,2,FALSE),0),"")))</f>
        <v/>
      </c>
      <c r="BA594" s="495" t="str">
        <f t="shared" si="63"/>
        <v>ü</v>
      </c>
      <c r="BB594" s="495" t="str">
        <f t="shared" si="64"/>
        <v/>
      </c>
      <c r="BC594" s="495" t="str">
        <f t="shared" si="65"/>
        <v/>
      </c>
      <c r="BD594" s="513" t="str">
        <f>IF(AND(L594="",H594=""),"",
IF(H594="",Pole_Calc!A$9,
IF(H594="MP",Pole_Calc!A$10,
IF(H594="AnMP",Pole_Calc!A$11,
IF(H594="A",Pole_Calc!A$12,
IF(H594="S/A",Pole_Calc!A$13,
IF(H594="A/S",Pole_Calc!A$14,"Poner a mano")))))))</f>
        <v>App.7-V11I-P9.5.1.6</v>
      </c>
      <c r="BE594" s="429" t="s">
        <v>118</v>
      </c>
      <c r="BF594" s="289"/>
      <c r="BG594" s="289"/>
      <c r="BH594" s="290"/>
      <c r="BI594" s="289"/>
    </row>
    <row r="595" spans="1:61" ht="15.75" customHeight="1">
      <c r="A595" s="685" t="s">
        <v>305</v>
      </c>
      <c r="B595" s="686"/>
      <c r="C595" s="687"/>
      <c r="D595" s="688"/>
      <c r="E595" s="689"/>
      <c r="F595" s="689"/>
      <c r="G595" s="690">
        <v>50</v>
      </c>
      <c r="H595" s="691"/>
      <c r="I595" s="689"/>
      <c r="J595" s="687"/>
      <c r="K595" s="691"/>
      <c r="L595" s="691"/>
      <c r="M595" s="691" t="str">
        <f>IF(L595="","",
IF(AX595="PT",VLOOKUP(L595,Foundation_Calc!$V$79:$X$113,VLOOKUP(AX595,Foundation_Calc!$I$10:$J$13,2,FALSE),0),
IF(AX595="K",VLOOKUP(L595,Foundation_Calc!$V$117:$X$151,VLOOKUP(AX595,Foundation_Calc!$I$10:$J$13,2,FALSE),0),"")))</f>
        <v/>
      </c>
      <c r="N595" s="691"/>
      <c r="O595" s="691"/>
      <c r="P595" s="691"/>
      <c r="Q595" s="689"/>
      <c r="R595" s="690"/>
      <c r="S595" s="690"/>
      <c r="T595" s="689"/>
      <c r="U595" s="689"/>
      <c r="V595" s="689"/>
      <c r="W595" s="692"/>
      <c r="X595" s="692"/>
      <c r="Y595" s="692"/>
      <c r="Z595" s="692"/>
      <c r="AA595" s="692"/>
      <c r="AB595" s="692"/>
      <c r="AC595" s="691" t="str">
        <f t="shared" si="70"/>
        <v/>
      </c>
      <c r="AD595" s="691"/>
      <c r="AE595" s="691"/>
      <c r="AF595" s="689"/>
      <c r="AG595" s="688"/>
      <c r="AH595" s="689"/>
      <c r="AI595" s="689"/>
      <c r="AJ595" s="691"/>
      <c r="AK595" s="691"/>
      <c r="AL595" s="691"/>
      <c r="AM595" s="691"/>
      <c r="AN595" s="693"/>
      <c r="AO595" s="692"/>
      <c r="AP595" s="692"/>
      <c r="AQ595" s="692">
        <f>+FL_2($U$596,$T$594,$G$595,1200,9.28,-1*$F$596)</f>
        <v>-0.362317220630617</v>
      </c>
      <c r="AR595" s="692"/>
      <c r="AS595" s="692"/>
      <c r="AT595" s="692"/>
      <c r="AU595" s="694"/>
      <c r="AV595" s="694"/>
      <c r="AW595" s="691" t="str">
        <f>IF(C595&gt;0,VLOOKUP(C595,Foundation_Calc!$A$2:$C$13,3,1),
IF(J595&gt;0,VLOOKUP(J595,Foundation_Calc!$A$2:$C$13,3,1),""))</f>
        <v/>
      </c>
      <c r="AX595" s="691" t="str">
        <f>IF(C595&gt;0,VLOOKUP(C595,Foundation_Calc!$E$2:$G$33,3,1),
IF(J595&gt;0,VLOOKUP(J595,Foundation_Calc!$E$2:$G$33,3,1),""))</f>
        <v/>
      </c>
      <c r="AY595" s="693" t="str">
        <f>IF(L595="","",
IF(AX595="PT",VLOOKUP(L595,Foundation_Calc!$K$79:$R$113,VLOOKUP(AW595,Foundation_Calc!$I$2:$J$8,2,FALSE),0),
IF(AX595="K",VLOOKUP(L595,Foundation_Calc!$K$117:$R$151,VLOOKUP(AW595,Foundation_Calc!$I$2:$J$8,2,FALSE),0),"")))</f>
        <v/>
      </c>
      <c r="AZ595" s="693" t="str">
        <f>IF(K595="","",
IF(AX595="PT",VLOOKUP(K595,Foundation_Calc!$K$79:$R$113,VLOOKUP(AW595,Foundation_Calc!$I$2:$J$8,2,FALSE),0),
IF(AX595="K",VLOOKUP(K595,Foundation_Calc!$K$117:$R$151,VLOOKUP(AW595,Foundation_Calc!$I$2:$J$8,2,FALSE),0),"")))</f>
        <v/>
      </c>
      <c r="BA595" s="495" t="str">
        <f t="shared" si="63"/>
        <v/>
      </c>
      <c r="BB595" s="495" t="str">
        <f t="shared" si="64"/>
        <v/>
      </c>
      <c r="BC595" s="495" t="str">
        <f t="shared" si="65"/>
        <v/>
      </c>
      <c r="BD595" s="513" t="str">
        <f>IF(AND(L595="",H595=""),"",
IF(H595="",Pole_Calc!A$9,
IF(H595="MP",Pole_Calc!A$10,
IF(H595="AnMP",Pole_Calc!A$11,
IF(H595="A",Pole_Calc!A$12,
IF(H595="S/A",Pole_Calc!A$13,
IF(H595="A/S",Pole_Calc!A$14,"Poner a mano")))))))</f>
        <v/>
      </c>
      <c r="BE595" s="429" t="s">
        <v>118</v>
      </c>
      <c r="BF595" s="290"/>
      <c r="BG595" s="290"/>
      <c r="BH595" s="290"/>
      <c r="BI595" s="290"/>
    </row>
    <row r="596" spans="1:61" ht="15.75" customHeight="1">
      <c r="A596" s="514"/>
      <c r="B596" s="450" t="s">
        <v>529</v>
      </c>
      <c r="C596" s="3">
        <f>+$C$594+$G$595</f>
        <v>44574.619999999995</v>
      </c>
      <c r="D596" s="83"/>
      <c r="E596" s="4"/>
      <c r="F596" s="4">
        <f>(439^2)/(C596-44445.64)</f>
        <v>1494.1928981237872</v>
      </c>
      <c r="G596" s="6"/>
      <c r="H596" s="449" t="s">
        <v>131</v>
      </c>
      <c r="I596" s="4"/>
      <c r="J596" s="3"/>
      <c r="K596" s="449"/>
      <c r="L596" s="449" t="s">
        <v>183</v>
      </c>
      <c r="M596" s="449" t="str">
        <f>IF(L596="","",
IF(AX596="PT",VLOOKUP(L596,Foundation_Calc!$V$79:$X$113,VLOOKUP(AX596,Foundation_Calc!$I$10:$J$13,2,FALSE),0),
IF(AX596="K",VLOOKUP(L596,Foundation_Calc!$V$117:$X$151,VLOOKUP(AX596,Foundation_Calc!$I$10:$J$13,2,FALSE),0),"")))</f>
        <v>2C3R</v>
      </c>
      <c r="N596" s="449" t="s">
        <v>133</v>
      </c>
      <c r="O596" s="449" t="s">
        <v>124</v>
      </c>
      <c r="P596" s="449"/>
      <c r="Q596" s="4"/>
      <c r="R596" s="6"/>
      <c r="S596" s="6"/>
      <c r="T596" s="4">
        <v>-10</v>
      </c>
      <c r="U596" s="4">
        <v>-30</v>
      </c>
      <c r="V596" s="4"/>
      <c r="W596" s="9">
        <v>1.4</v>
      </c>
      <c r="X596" s="9">
        <v>2.2999999999999998</v>
      </c>
      <c r="Y596" s="9"/>
      <c r="Z596" s="9">
        <v>0.4</v>
      </c>
      <c r="AA596" s="9"/>
      <c r="AB596" s="9"/>
      <c r="AC596" s="449"/>
      <c r="AD596" s="449"/>
      <c r="AE596" s="449"/>
      <c r="AF596" s="4"/>
      <c r="AG596" s="83"/>
      <c r="AH596" s="4"/>
      <c r="AI596" s="4"/>
      <c r="AJ596" s="449"/>
      <c r="AK596" s="449"/>
      <c r="AL596" s="449"/>
      <c r="AM596" s="449" t="s">
        <v>126</v>
      </c>
      <c r="AN596" s="10">
        <v>5.5</v>
      </c>
      <c r="AO596" s="9"/>
      <c r="AP596" s="9"/>
      <c r="AQ596" s="9"/>
      <c r="AR596" s="9"/>
      <c r="AS596" s="9"/>
      <c r="AT596" s="9">
        <f>+ab($U$596,$T$594,$U$598,$G$595,$G$597,-1*$F$596,1200)</f>
        <v>-6.0768814894944976</v>
      </c>
      <c r="AU596" s="428"/>
      <c r="AV596" s="428"/>
      <c r="AW596" s="449" t="str">
        <f>IF(C596&gt;0,VLOOKUP(C596,Foundation_Calc!$A$2:$C$13,3,1),
IF(J596&gt;0,VLOOKUP(J596,Foundation_Calc!$A$2:$C$13,3,1),""))</f>
        <v>Multi Soil</v>
      </c>
      <c r="AX596" s="449" t="str">
        <f>IF(C596&gt;0,VLOOKUP(C596,Foundation_Calc!$E$2:$G$33,3,1),
IF(J596&gt;0,VLOOKUP(J596,Foundation_Calc!$E$2:$G$33,3,1),""))</f>
        <v>PT</v>
      </c>
      <c r="AY596" s="10">
        <f>IF(L596="","",
IF(AX596="PT",VLOOKUP(L596,Foundation_Calc!$K$79:$R$113,VLOOKUP(AW596,Foundation_Calc!$I$2:$J$8,2,FALSE),0),
IF(AX596="K",VLOOKUP(L596,Foundation_Calc!$K$117:$R$151,VLOOKUP(AW596,Foundation_Calc!$I$2:$J$8,2,FALSE),0),"")))</f>
        <v>3.7</v>
      </c>
      <c r="AZ596" s="10" t="str">
        <f>IF(K596="","",
IF(AX596="PT",VLOOKUP(K596,Foundation_Calc!$K$79:$R$113,VLOOKUP(AW596,Foundation_Calc!$I$2:$J$8,2,FALSE),0),
IF(AX596="K",VLOOKUP(K596,Foundation_Calc!$K$117:$R$151,VLOOKUP(AW596,Foundation_Calc!$I$2:$J$8,2,FALSE),0),"")))</f>
        <v/>
      </c>
      <c r="BA596" s="495" t="str">
        <f t="shared" si="63"/>
        <v>ü</v>
      </c>
      <c r="BB596" s="495" t="str">
        <f t="shared" si="64"/>
        <v/>
      </c>
      <c r="BC596" s="495" t="str">
        <f t="shared" si="65"/>
        <v/>
      </c>
      <c r="BD596" s="513" t="str">
        <f>IF(AND(L596="",H596=""),"",
IF(H596="",Pole_Calc!A$9,
IF(H596="MP",Pole_Calc!A$10,
IF(H596="AnMP",Pole_Calc!A$11,
IF(H596="A",Pole_Calc!A$12,
IF(H596="S/A",Pole_Calc!A$13,
IF(H596="A/S",Pole_Calc!A$14,"Poner a mano")))))))</f>
        <v>App.7-V11I-P9.5.1.5</v>
      </c>
      <c r="BE596" s="429" t="s">
        <v>118</v>
      </c>
      <c r="BF596" s="289"/>
      <c r="BG596" s="289"/>
      <c r="BH596" s="290"/>
      <c r="BI596" s="289"/>
    </row>
    <row r="597" spans="1:61" ht="15.75" customHeight="1">
      <c r="A597" s="514"/>
      <c r="B597" s="450"/>
      <c r="C597" s="3"/>
      <c r="D597" s="83"/>
      <c r="E597" s="4"/>
      <c r="F597" s="4"/>
      <c r="G597" s="6">
        <v>47</v>
      </c>
      <c r="H597" s="449"/>
      <c r="I597" s="4"/>
      <c r="J597" s="3"/>
      <c r="K597" s="449"/>
      <c r="L597" s="449"/>
      <c r="M597" s="449" t="str">
        <f>IF(L597="","",
IF(AX597="PT",VLOOKUP(L597,Foundation_Calc!$V$79:$X$113,VLOOKUP(AX597,Foundation_Calc!$I$10:$J$13,2,FALSE),0),
IF(AX597="K",VLOOKUP(L597,Foundation_Calc!$V$117:$X$151,VLOOKUP(AX597,Foundation_Calc!$I$10:$J$13,2,FALSE),0),"")))</f>
        <v/>
      </c>
      <c r="N597" s="449"/>
      <c r="O597" s="449"/>
      <c r="P597" s="449"/>
      <c r="Q597" s="4"/>
      <c r="R597" s="6"/>
      <c r="S597" s="6"/>
      <c r="T597" s="4"/>
      <c r="U597" s="4"/>
      <c r="V597" s="4"/>
      <c r="W597" s="9"/>
      <c r="X597" s="9"/>
      <c r="Y597" s="9"/>
      <c r="Z597" s="9"/>
      <c r="AA597" s="9"/>
      <c r="AB597" s="9"/>
      <c r="AC597" s="449" t="str">
        <f t="shared" si="70"/>
        <v/>
      </c>
      <c r="AD597" s="449"/>
      <c r="AE597" s="449"/>
      <c r="AF597" s="4"/>
      <c r="AG597" s="83"/>
      <c r="AH597" s="4"/>
      <c r="AI597" s="4"/>
      <c r="AJ597" s="449"/>
      <c r="AK597" s="449"/>
      <c r="AL597" s="449"/>
      <c r="AM597" s="449"/>
      <c r="AN597" s="10"/>
      <c r="AO597" s="9"/>
      <c r="AP597" s="9"/>
      <c r="AQ597" s="9">
        <f>+FL_2($T$598,$U$596,$G$597,1200,9.28,-1*$F$598)</f>
        <v>-0.30005584341647545</v>
      </c>
      <c r="AR597" s="9"/>
      <c r="AS597" s="9"/>
      <c r="AT597" s="9"/>
      <c r="AU597" s="428"/>
      <c r="AV597" s="428"/>
      <c r="AW597" s="449" t="str">
        <f>IF(C597&gt;0,VLOOKUP(C597,Foundation_Calc!$A$2:$C$13,3,1),
IF(J597&gt;0,VLOOKUP(J597,Foundation_Calc!$A$2:$C$13,3,1),""))</f>
        <v/>
      </c>
      <c r="AX597" s="449" t="str">
        <f>IF(C597&gt;0,VLOOKUP(C597,Foundation_Calc!$E$2:$G$33,3,1),
IF(J597&gt;0,VLOOKUP(J597,Foundation_Calc!$E$2:$G$33,3,1),""))</f>
        <v/>
      </c>
      <c r="AY597" s="10" t="str">
        <f>IF(L597="","",
IF(AX597="PT",VLOOKUP(L597,Foundation_Calc!$K$79:$R$113,VLOOKUP(AW597,Foundation_Calc!$I$2:$J$8,2,FALSE),0),
IF(AX597="K",VLOOKUP(L597,Foundation_Calc!$K$117:$R$151,VLOOKUP(AW597,Foundation_Calc!$I$2:$J$8,2,FALSE),0),"")))</f>
        <v/>
      </c>
      <c r="AZ597" s="10" t="str">
        <f>IF(K597="","",
IF(AX597="PT",VLOOKUP(K597,Foundation_Calc!$K$79:$R$113,VLOOKUP(AW597,Foundation_Calc!$I$2:$J$8,2,FALSE),0),
IF(AX597="K",VLOOKUP(K597,Foundation_Calc!$K$117:$R$151,VLOOKUP(AW597,Foundation_Calc!$I$2:$J$8,2,FALSE),0),"")))</f>
        <v/>
      </c>
      <c r="BA597" s="495" t="str">
        <f t="shared" si="63"/>
        <v/>
      </c>
      <c r="BB597" s="495" t="str">
        <f t="shared" si="64"/>
        <v/>
      </c>
      <c r="BC597" s="495" t="str">
        <f t="shared" si="65"/>
        <v/>
      </c>
      <c r="BD597" s="513" t="str">
        <f>IF(AND(L597="",H597=""),"",
IF(H597="",Pole_Calc!A$9,
IF(H597="MP",Pole_Calc!A$10,
IF(H597="AnMP",Pole_Calc!A$11,
IF(H597="A",Pole_Calc!A$12,
IF(H597="S/A",Pole_Calc!A$13,
IF(H597="A/S",Pole_Calc!A$14,"Poner a mano")))))))</f>
        <v/>
      </c>
      <c r="BE597" s="429" t="s">
        <v>118</v>
      </c>
      <c r="BF597" s="290"/>
      <c r="BG597" s="290"/>
      <c r="BH597" s="290"/>
      <c r="BI597" s="290"/>
    </row>
    <row r="598" spans="1:61" ht="15.75" customHeight="1">
      <c r="A598" s="518"/>
      <c r="B598" s="450" t="s">
        <v>530</v>
      </c>
      <c r="C598" s="3">
        <f>+$C$596+$G$597</f>
        <v>44621.619999999995</v>
      </c>
      <c r="D598" s="83"/>
      <c r="E598" s="4"/>
      <c r="F598" s="4">
        <f>IF(C598&gt;0,VLOOKUP(C598,'ALIGNMENT TRACK'!$A$1:$K$81,9,1))</f>
        <v>1205</v>
      </c>
      <c r="G598" s="6"/>
      <c r="H598" s="449" t="s">
        <v>131</v>
      </c>
      <c r="I598" s="4"/>
      <c r="J598" s="3"/>
      <c r="K598" s="449"/>
      <c r="L598" s="449" t="s">
        <v>183</v>
      </c>
      <c r="M598" s="449" t="str">
        <f>IF(L598="","",
IF(AX598="PT",VLOOKUP(L598,Foundation_Calc!$V$79:$X$113,VLOOKUP(AX598,Foundation_Calc!$I$10:$J$13,2,FALSE),0),
IF(AX598="K",VLOOKUP(L598,Foundation_Calc!$V$117:$X$151,VLOOKUP(AX598,Foundation_Calc!$I$10:$J$13,2,FALSE),0),"")))</f>
        <v>2C3R</v>
      </c>
      <c r="N598" s="449" t="s">
        <v>124</v>
      </c>
      <c r="O598" s="449" t="s">
        <v>133</v>
      </c>
      <c r="P598" s="449"/>
      <c r="Q598" s="4"/>
      <c r="R598" s="6"/>
      <c r="S598" s="6"/>
      <c r="T598" s="4">
        <v>-10</v>
      </c>
      <c r="U598" s="4">
        <v>-30</v>
      </c>
      <c r="V598" s="4"/>
      <c r="W598" s="9">
        <v>1.4</v>
      </c>
      <c r="X598" s="9">
        <v>2.2999999999999998</v>
      </c>
      <c r="Y598" s="9"/>
      <c r="Z598" s="9"/>
      <c r="AA598" s="9">
        <v>0.4</v>
      </c>
      <c r="AB598" s="9"/>
      <c r="AC598" s="449" t="str">
        <f t="shared" si="70"/>
        <v>PHQ</v>
      </c>
      <c r="AD598" s="449"/>
      <c r="AE598" s="449"/>
      <c r="AF598" s="4"/>
      <c r="AG598" s="83"/>
      <c r="AH598" s="4"/>
      <c r="AI598" s="4"/>
      <c r="AJ598" s="449"/>
      <c r="AK598" s="449"/>
      <c r="AL598" s="449"/>
      <c r="AM598" s="449" t="s">
        <v>126</v>
      </c>
      <c r="AN598" s="10">
        <v>5.5</v>
      </c>
      <c r="AO598" s="9"/>
      <c r="AP598" s="9"/>
      <c r="AQ598" s="9"/>
      <c r="AR598" s="9"/>
      <c r="AS598" s="9"/>
      <c r="AT598" s="9">
        <f>+ab($T$598,$T$596,$T$600,$G$597,$G$599,-1*$F$598,1200)</f>
        <v>-5.6705216951173592</v>
      </c>
      <c r="AU598" s="428"/>
      <c r="AV598" s="428"/>
      <c r="AW598" s="449" t="str">
        <f>IF(C598&gt;0,VLOOKUP(C598,Foundation_Calc!$A$2:$C$13,3,1),
IF(J598&gt;0,VLOOKUP(J598,Foundation_Calc!$A$2:$C$13,3,1),""))</f>
        <v>Multi Soil</v>
      </c>
      <c r="AX598" s="449" t="str">
        <f>IF(C598&gt;0,VLOOKUP(C598,Foundation_Calc!$E$2:$G$33,3,1),
IF(J598&gt;0,VLOOKUP(J598,Foundation_Calc!$E$2:$G$33,3,1),""))</f>
        <v>PT</v>
      </c>
      <c r="AY598" s="10">
        <f>IF(L598="","",
IF(AX598="PT",VLOOKUP(L598,Foundation_Calc!$K$79:$R$113,VLOOKUP(AW598,Foundation_Calc!$I$2:$J$8,2,FALSE),0),
IF(AX598="K",VLOOKUP(L598,Foundation_Calc!$K$117:$R$151,VLOOKUP(AW598,Foundation_Calc!$I$2:$J$8,2,FALSE),0),"")))</f>
        <v>3.7</v>
      </c>
      <c r="AZ598" s="10" t="str">
        <f>IF(K598="","",
IF(AX598="PT",VLOOKUP(K598,Foundation_Calc!$K$79:$R$113,VLOOKUP(AW598,Foundation_Calc!$I$2:$J$8,2,FALSE),0),
IF(AX598="K",VLOOKUP(K598,Foundation_Calc!$K$117:$R$151,VLOOKUP(AW598,Foundation_Calc!$I$2:$J$8,2,FALSE),0),"")))</f>
        <v/>
      </c>
      <c r="BA598" s="495" t="str">
        <f t="shared" si="63"/>
        <v>ü</v>
      </c>
      <c r="BB598" s="495" t="str">
        <f t="shared" si="64"/>
        <v/>
      </c>
      <c r="BC598" s="495" t="str">
        <f t="shared" si="65"/>
        <v/>
      </c>
      <c r="BD598" s="513" t="str">
        <f>IF(AND(L598="",H598=""),"",
IF(H598="",Pole_Calc!A$9,
IF(H598="MP",Pole_Calc!A$10,
IF(H598="AnMP",Pole_Calc!A$11,
IF(H598="A",Pole_Calc!A$12,
IF(H598="S/A",Pole_Calc!A$13,
IF(H598="A/S",Pole_Calc!A$14,"Poner a mano")))))))</f>
        <v>App.7-V11I-P9.5.1.5</v>
      </c>
      <c r="BE598" s="429" t="s">
        <v>118</v>
      </c>
      <c r="BF598" s="289"/>
      <c r="BG598" s="289"/>
      <c r="BH598" s="290"/>
      <c r="BI598" s="289"/>
    </row>
    <row r="599" spans="1:61" ht="15.75" customHeight="1">
      <c r="A599" s="518"/>
      <c r="B599" s="450"/>
      <c r="C599" s="3"/>
      <c r="D599" s="83"/>
      <c r="E599" s="4"/>
      <c r="F599" s="4"/>
      <c r="G599" s="6">
        <v>45</v>
      </c>
      <c r="H599" s="449"/>
      <c r="I599" s="4"/>
      <c r="J599" s="3"/>
      <c r="K599" s="449"/>
      <c r="L599" s="449"/>
      <c r="M599" s="449" t="str">
        <f>IF(L599="","",
IF(AX599="PT",VLOOKUP(L599,Foundation_Calc!$V$79:$X$113,VLOOKUP(AX599,Foundation_Calc!$I$10:$J$13,2,FALSE),0),
IF(AX599="K",VLOOKUP(L599,Foundation_Calc!$V$117:$X$151,VLOOKUP(AX599,Foundation_Calc!$I$10:$J$13,2,FALSE),0),"")))</f>
        <v/>
      </c>
      <c r="N599" s="449"/>
      <c r="O599" s="449"/>
      <c r="P599" s="449"/>
      <c r="Q599" s="4"/>
      <c r="R599" s="6"/>
      <c r="S599" s="6"/>
      <c r="T599" s="4"/>
      <c r="U599" s="4"/>
      <c r="V599" s="4"/>
      <c r="W599" s="9"/>
      <c r="X599" s="9"/>
      <c r="Y599" s="9"/>
      <c r="Z599" s="9"/>
      <c r="AA599" s="9"/>
      <c r="AB599" s="9"/>
      <c r="AC599" s="449" t="str">
        <f t="shared" si="70"/>
        <v/>
      </c>
      <c r="AD599" s="449"/>
      <c r="AE599" s="449"/>
      <c r="AF599" s="4"/>
      <c r="AG599" s="83"/>
      <c r="AH599" s="4"/>
      <c r="AI599" s="4"/>
      <c r="AJ599" s="449"/>
      <c r="AK599" s="449"/>
      <c r="AL599" s="449"/>
      <c r="AM599" s="449"/>
      <c r="AN599" s="10"/>
      <c r="AO599" s="9"/>
      <c r="AP599" s="9"/>
      <c r="AQ599" s="9">
        <f>+FL_2($T$600,$T$598,$G$599,1200,9.28,-1*$F$600)</f>
        <v>-0.3</v>
      </c>
      <c r="AR599" s="9"/>
      <c r="AS599" s="9"/>
      <c r="AT599" s="9"/>
      <c r="AU599" s="428"/>
      <c r="AV599" s="428"/>
      <c r="AW599" s="449" t="str">
        <f>IF(C599&gt;0,VLOOKUP(C599,Foundation_Calc!$A$2:$C$13,3,1),
IF(J599&gt;0,VLOOKUP(J599,Foundation_Calc!$A$2:$C$13,3,1),""))</f>
        <v/>
      </c>
      <c r="AX599" s="449" t="str">
        <f>IF(C599&gt;0,VLOOKUP(C599,Foundation_Calc!$E$2:$G$33,3,1),
IF(J599&gt;0,VLOOKUP(J599,Foundation_Calc!$E$2:$G$33,3,1),""))</f>
        <v/>
      </c>
      <c r="AY599" s="10" t="str">
        <f>IF(L599="","",
IF(AX599="PT",VLOOKUP(L599,Foundation_Calc!$K$79:$R$113,VLOOKUP(AW599,Foundation_Calc!$I$2:$J$8,2,FALSE),0),
IF(AX599="K",VLOOKUP(L599,Foundation_Calc!$K$117:$R$151,VLOOKUP(AW599,Foundation_Calc!$I$2:$J$8,2,FALSE),0),"")))</f>
        <v/>
      </c>
      <c r="AZ599" s="10" t="str">
        <f>IF(K599="","",
IF(AX599="PT",VLOOKUP(K599,Foundation_Calc!$K$79:$R$113,VLOOKUP(AW599,Foundation_Calc!$I$2:$J$8,2,FALSE),0),
IF(AX599="K",VLOOKUP(K599,Foundation_Calc!$K$117:$R$151,VLOOKUP(AW599,Foundation_Calc!$I$2:$J$8,2,FALSE),0),"")))</f>
        <v/>
      </c>
      <c r="BA599" s="495" t="str">
        <f t="shared" si="63"/>
        <v/>
      </c>
      <c r="BB599" s="495" t="str">
        <f t="shared" si="64"/>
        <v/>
      </c>
      <c r="BC599" s="495" t="str">
        <f t="shared" si="65"/>
        <v/>
      </c>
      <c r="BD599" s="513" t="str">
        <f>IF(AND(L599="",H599=""),"",
IF(H599="",Pole_Calc!A$9,
IF(H599="MP",Pole_Calc!A$10,
IF(H599="AnMP",Pole_Calc!A$11,
IF(H599="A",Pole_Calc!A$12,
IF(H599="S/A",Pole_Calc!A$13,
IF(H599="A/S",Pole_Calc!A$14,"Poner a mano")))))))</f>
        <v/>
      </c>
      <c r="BE599" s="429" t="s">
        <v>118</v>
      </c>
      <c r="BF599" s="290"/>
      <c r="BG599" s="290"/>
      <c r="BH599" s="290"/>
      <c r="BI599" s="290"/>
    </row>
    <row r="600" spans="1:61" ht="15.75" customHeight="1">
      <c r="A600" s="514"/>
      <c r="B600" s="450" t="s">
        <v>531</v>
      </c>
      <c r="C600" s="3">
        <f>+$C$598+$G$599-0.34</f>
        <v>44666.28</v>
      </c>
      <c r="D600" s="83"/>
      <c r="E600" s="4"/>
      <c r="F600" s="4">
        <f>IF(C600&gt;0,VLOOKUP(C600,'ALIGNMENT TRACK'!$A$1:$K$81,9,1))</f>
        <v>1205</v>
      </c>
      <c r="G600" s="6"/>
      <c r="H600" s="449" t="s">
        <v>121</v>
      </c>
      <c r="I600" s="4" t="s">
        <v>122</v>
      </c>
      <c r="J600" s="3"/>
      <c r="K600" s="449"/>
      <c r="L600" s="449" t="s">
        <v>181</v>
      </c>
      <c r="M600" s="449" t="str">
        <f>IF(L600="","",
IF(AX600="PT",VLOOKUP(L600,Foundation_Calc!$V$79:$X$113,VLOOKUP(AX600,Foundation_Calc!$I$10:$J$13,2,FALSE),0),
IF(AX600="K",VLOOKUP(L600,Foundation_Calc!$V$117:$X$151,VLOOKUP(AX600,Foundation_Calc!$I$10:$J$13,2,FALSE),0),"")))</f>
        <v>C5R</v>
      </c>
      <c r="N600" s="449" t="s">
        <v>124</v>
      </c>
      <c r="O600" s="449"/>
      <c r="P600" s="449"/>
      <c r="Q600" s="4"/>
      <c r="R600" s="6"/>
      <c r="S600" s="6"/>
      <c r="T600" s="4">
        <v>-30</v>
      </c>
      <c r="U600" s="4"/>
      <c r="V600" s="4"/>
      <c r="W600" s="9">
        <v>1.4</v>
      </c>
      <c r="X600" s="9"/>
      <c r="Y600" s="9"/>
      <c r="Z600" s="9"/>
      <c r="AA600" s="9"/>
      <c r="AB600" s="9"/>
      <c r="AC600" s="449" t="str">
        <f t="shared" si="70"/>
        <v>PHC</v>
      </c>
      <c r="AD600" s="449"/>
      <c r="AE600" s="449"/>
      <c r="AF600" s="4"/>
      <c r="AG600" s="83"/>
      <c r="AH600" s="4"/>
      <c r="AI600" s="4"/>
      <c r="AJ600" s="449"/>
      <c r="AK600" s="449"/>
      <c r="AL600" s="449"/>
      <c r="AM600" s="449" t="s">
        <v>126</v>
      </c>
      <c r="AN600" s="10">
        <v>5.5</v>
      </c>
      <c r="AO600" s="9"/>
      <c r="AP600" s="9"/>
      <c r="AQ600" s="9"/>
      <c r="AR600" s="9"/>
      <c r="AS600" s="9"/>
      <c r="AT600" s="9">
        <f>+ab($T$600,$T$598,$T$602,$G$599,$G$601,-1*$F$600,1200)</f>
        <v>-4.4501595914955825</v>
      </c>
      <c r="AU600" s="428"/>
      <c r="AV600" s="428"/>
      <c r="AW600" s="449" t="str">
        <f>IF(C600&gt;0,VLOOKUP(C600,Foundation_Calc!$A$2:$C$13,3,1),
IF(J600&gt;0,VLOOKUP(J600,Foundation_Calc!$A$2:$C$13,3,1),""))</f>
        <v>Multi Soil</v>
      </c>
      <c r="AX600" s="449" t="str">
        <f>IF(C600&gt;0,VLOOKUP(C600,Foundation_Calc!$E$2:$G$33,3,1),
IF(J600&gt;0,VLOOKUP(J600,Foundation_Calc!$E$2:$G$33,3,1),""))</f>
        <v>PT</v>
      </c>
      <c r="AY600" s="10">
        <f>IF(L600="","",
IF(AX600="PT",VLOOKUP(L600,Foundation_Calc!$K$79:$R$113,VLOOKUP(AW600,Foundation_Calc!$I$2:$J$8,2,FALSE),0),
IF(AX600="K",VLOOKUP(L600,Foundation_Calc!$K$117:$R$151,VLOOKUP(AW600,Foundation_Calc!$I$2:$J$8,2,FALSE),0),"")))</f>
        <v>3.5</v>
      </c>
      <c r="AZ600" s="10" t="str">
        <f>IF(K600="","",
IF(AX600="PT",VLOOKUP(K600,Foundation_Calc!$K$79:$R$113,VLOOKUP(AW600,Foundation_Calc!$I$2:$J$8,2,FALSE),0),
IF(AX600="K",VLOOKUP(K600,Foundation_Calc!$K$117:$R$151,VLOOKUP(AW600,Foundation_Calc!$I$2:$J$8,2,FALSE),0),"")))</f>
        <v/>
      </c>
      <c r="BA600" s="495" t="str">
        <f t="shared" ref="BA600:BA665" si="71">IF(AY600="","",IF(AY600&gt;0,"ü",""))</f>
        <v>ü</v>
      </c>
      <c r="BB600" s="495" t="str">
        <f t="shared" ref="BB600:BB665" si="72">IF(AZ600="","",IF(AZ600&gt;0,"ü",""))</f>
        <v/>
      </c>
      <c r="BC600" s="495" t="str">
        <f t="shared" ref="BC600:BC665" si="73">IF(M600="","",IF(M600="U.S.","ü",IF(M600="U.S. N.D.","ü","")))</f>
        <v/>
      </c>
      <c r="BD600" s="513" t="str">
        <f>IF(AND(L600="",H600=""),"",
IF(H600="",Pole_Calc!A$9,
IF(H600="MP",Pole_Calc!A$10,
IF(H600="AnMP",Pole_Calc!A$11,
IF(H600="A",Pole_Calc!A$12,
IF(H600="S/A",Pole_Calc!A$13,
IF(H600="A/S",Pole_Calc!A$14,"Poner a mano")))))))</f>
        <v>App.7-V11I-P9.5.1.6</v>
      </c>
      <c r="BE600" s="429" t="s">
        <v>118</v>
      </c>
      <c r="BF600" s="289"/>
      <c r="BG600" s="289"/>
      <c r="BH600" s="290"/>
      <c r="BI600" s="289"/>
    </row>
    <row r="601" spans="1:61" ht="15.75" customHeight="1">
      <c r="A601" s="514"/>
      <c r="B601" s="450"/>
      <c r="C601" s="3"/>
      <c r="D601" s="83"/>
      <c r="E601" s="4"/>
      <c r="F601" s="4"/>
      <c r="G601" s="6">
        <v>48</v>
      </c>
      <c r="H601" s="449"/>
      <c r="I601" s="4"/>
      <c r="J601" s="3">
        <f>C600+7.5</f>
        <v>44673.78</v>
      </c>
      <c r="K601" s="449" t="s">
        <v>117</v>
      </c>
      <c r="L601" s="449"/>
      <c r="M601" s="449" t="str">
        <f>IF(L601="","",
IF(AX601="PT",VLOOKUP(L601,Foundation_Calc!$V$79:$X$113,VLOOKUP(AX601,Foundation_Calc!$I$10:$J$13,2,FALSE),0),
IF(AX601="K",VLOOKUP(L601,Foundation_Calc!$V$117:$X$151,VLOOKUP(AX601,Foundation_Calc!$I$10:$J$13,2,FALSE),0),"")))</f>
        <v/>
      </c>
      <c r="N601" s="449"/>
      <c r="O601" s="449"/>
      <c r="P601" s="449"/>
      <c r="Q601" s="4"/>
      <c r="R601" s="6"/>
      <c r="S601" s="6"/>
      <c r="T601" s="4"/>
      <c r="U601" s="4"/>
      <c r="V601" s="4"/>
      <c r="W601" s="9"/>
      <c r="X601" s="9"/>
      <c r="Y601" s="9"/>
      <c r="Z601" s="9"/>
      <c r="AA601" s="9"/>
      <c r="AB601" s="9"/>
      <c r="AC601" s="449" t="str">
        <f t="shared" si="70"/>
        <v/>
      </c>
      <c r="AD601" s="449"/>
      <c r="AE601" s="449"/>
      <c r="AF601" s="4"/>
      <c r="AG601" s="83"/>
      <c r="AH601" s="4"/>
      <c r="AI601" s="4"/>
      <c r="AJ601" s="449"/>
      <c r="AK601" s="449"/>
      <c r="AL601" s="449"/>
      <c r="AM601" s="449"/>
      <c r="AN601" s="10"/>
      <c r="AO601" s="9"/>
      <c r="AP601" s="9"/>
      <c r="AQ601" s="9">
        <f>+FL_2($T$602,$T$600,$G$601,1200,9.28,-1*$F$602)</f>
        <v>-0.30001357293509062</v>
      </c>
      <c r="AR601" s="9"/>
      <c r="AS601" s="9"/>
      <c r="AT601" s="9"/>
      <c r="AU601" s="428"/>
      <c r="AV601" s="428"/>
      <c r="AW601" s="449" t="str">
        <f>IF(C601&gt;0,VLOOKUP(C601,Foundation_Calc!$A$2:$C$13,3,1),
IF(J601&gt;0,VLOOKUP(J601,Foundation_Calc!$A$2:$C$13,3,1),""))</f>
        <v>Multi Soil</v>
      </c>
      <c r="AX601" s="449" t="str">
        <f>IF(C601&gt;0,VLOOKUP(C601,Foundation_Calc!$E$2:$G$33,3,1),
IF(J601&gt;0,VLOOKUP(J601,Foundation_Calc!$E$2:$G$33,3,1),""))</f>
        <v>PT</v>
      </c>
      <c r="AY601" s="10" t="str">
        <f>IF(L601="","",
IF(AX601="PT",VLOOKUP(L601,Foundation_Calc!$K$79:$R$113,VLOOKUP(AW601,Foundation_Calc!$I$2:$J$8,2,FALSE),0),
IF(AX601="K",VLOOKUP(L601,Foundation_Calc!$K$117:$R$151,VLOOKUP(AW601,Foundation_Calc!$I$2:$J$8,2,FALSE),0),"")))</f>
        <v/>
      </c>
      <c r="AZ601" s="10">
        <f>IF(K601="","",
IF(AX601="PT",VLOOKUP(K601,Foundation_Calc!$K$79:$R$113,VLOOKUP(AW601,Foundation_Calc!$I$2:$J$8,2,FALSE),0),
IF(AX601="K",VLOOKUP(K601,Foundation_Calc!$K$117:$R$151,VLOOKUP(AW601,Foundation_Calc!$I$2:$J$8,2,FALSE),0),"")))</f>
        <v>3.9</v>
      </c>
      <c r="BA601" s="495" t="str">
        <f t="shared" si="71"/>
        <v/>
      </c>
      <c r="BB601" s="495" t="str">
        <f t="shared" si="72"/>
        <v>ü</v>
      </c>
      <c r="BC601" s="495" t="str">
        <f t="shared" si="73"/>
        <v/>
      </c>
      <c r="BD601" s="513" t="str">
        <f>IF(AND(L601="",H601=""),"",
IF(H601="",Pole_Calc!A$9,
IF(H601="MP",Pole_Calc!A$10,
IF(H601="AnMP",Pole_Calc!A$11,
IF(H601="A",Pole_Calc!A$12,
IF(H601="S/A",Pole_Calc!A$13,
IF(H601="A/S",Pole_Calc!A$14,"Poner a mano")))))))</f>
        <v/>
      </c>
      <c r="BE601" s="429" t="s">
        <v>118</v>
      </c>
      <c r="BF601" s="290"/>
      <c r="BG601" s="290"/>
      <c r="BH601" s="290"/>
      <c r="BI601" s="290"/>
    </row>
    <row r="602" spans="1:61" ht="15.75" customHeight="1">
      <c r="A602" s="514"/>
      <c r="B602" s="450" t="s">
        <v>532</v>
      </c>
      <c r="C602" s="3">
        <f>+$C$600+$G$601</f>
        <v>44714.28</v>
      </c>
      <c r="D602" s="83"/>
      <c r="E602" s="4"/>
      <c r="F602" s="4">
        <f>IF(C602&gt;0,VLOOKUP(C602,'ALIGNMENT TRACK'!$A$1:$K$81,9,1))</f>
        <v>1205</v>
      </c>
      <c r="G602" s="6"/>
      <c r="H602" s="449"/>
      <c r="I602" s="4"/>
      <c r="J602" s="3"/>
      <c r="K602" s="449"/>
      <c r="L602" s="449" t="s">
        <v>158</v>
      </c>
      <c r="M602" s="449" t="str">
        <f>IF(L602="","",
IF(AX602="PT",VLOOKUP(L602,Foundation_Calc!$V$79:$X$113,VLOOKUP(AX602,Foundation_Calc!$I$10:$J$13,2,FALSE),0),
IF(AX602="K",VLOOKUP(L602,Foundation_Calc!$V$117:$X$151,VLOOKUP(AX602,Foundation_Calc!$I$10:$J$13,2,FALSE),0),"")))</f>
        <v>C4R</v>
      </c>
      <c r="N602" s="449" t="s">
        <v>124</v>
      </c>
      <c r="O602" s="449"/>
      <c r="P602" s="449"/>
      <c r="Q602" s="4"/>
      <c r="R602" s="6"/>
      <c r="S602" s="6"/>
      <c r="T602" s="4">
        <v>-30</v>
      </c>
      <c r="U602" s="4"/>
      <c r="V602" s="4"/>
      <c r="W602" s="9">
        <v>1.4</v>
      </c>
      <c r="X602" s="9"/>
      <c r="Y602" s="9"/>
      <c r="Z602" s="9"/>
      <c r="AA602" s="9"/>
      <c r="AB602" s="9"/>
      <c r="AC602" s="449" t="str">
        <f t="shared" si="70"/>
        <v>PHC</v>
      </c>
      <c r="AD602" s="449"/>
      <c r="AE602" s="449"/>
      <c r="AF602" s="4"/>
      <c r="AG602" s="83"/>
      <c r="AH602" s="4"/>
      <c r="AI602" s="4"/>
      <c r="AJ602" s="449"/>
      <c r="AK602" s="449"/>
      <c r="AL602" s="449"/>
      <c r="AM602" s="449" t="s">
        <v>126</v>
      </c>
      <c r="AN602" s="10">
        <v>5.5</v>
      </c>
      <c r="AO602" s="9"/>
      <c r="AP602" s="9"/>
      <c r="AQ602" s="9"/>
      <c r="AR602" s="9"/>
      <c r="AS602" s="9"/>
      <c r="AT602" s="9">
        <f>+ab($T$602,$T$600,$T$604,$G$601,$G$603,-1*$F$602,1200)</f>
        <v>-4.8060020134701533</v>
      </c>
      <c r="AU602" s="428"/>
      <c r="AV602" s="428"/>
      <c r="AW602" s="449" t="str">
        <f>IF(C602&gt;0,VLOOKUP(C602,Foundation_Calc!$A$2:$C$13,3,1),
IF(J602&gt;0,VLOOKUP(J602,Foundation_Calc!$A$2:$C$13,3,1),""))</f>
        <v>Multi Soil</v>
      </c>
      <c r="AX602" s="449" t="str">
        <f>IF(C602&gt;0,VLOOKUP(C602,Foundation_Calc!$E$2:$G$33,3,1),
IF(J602&gt;0,VLOOKUP(J602,Foundation_Calc!$E$2:$G$33,3,1),""))</f>
        <v>PT</v>
      </c>
      <c r="AY602" s="10">
        <f>IF(L602="","",
IF(AX602="PT",VLOOKUP(L602,Foundation_Calc!$K$79:$R$113,VLOOKUP(AW602,Foundation_Calc!$I$2:$J$8,2,FALSE),0),
IF(AX602="K",VLOOKUP(L602,Foundation_Calc!$K$117:$R$151,VLOOKUP(AW602,Foundation_Calc!$I$2:$J$8,2,FALSE),0),"")))</f>
        <v>3.5</v>
      </c>
      <c r="AZ602" s="10" t="str">
        <f>IF(K602="","",
IF(AX602="PT",VLOOKUP(K602,Foundation_Calc!$K$79:$R$113,VLOOKUP(AW602,Foundation_Calc!$I$2:$J$8,2,FALSE),0),
IF(AX602="K",VLOOKUP(K602,Foundation_Calc!$K$117:$R$151,VLOOKUP(AW602,Foundation_Calc!$I$2:$J$8,2,FALSE),0),"")))</f>
        <v/>
      </c>
      <c r="BA602" s="495" t="str">
        <f t="shared" si="71"/>
        <v>ü</v>
      </c>
      <c r="BB602" s="495" t="str">
        <f t="shared" si="72"/>
        <v/>
      </c>
      <c r="BC602" s="495" t="str">
        <f t="shared" si="73"/>
        <v/>
      </c>
      <c r="BD602" s="513" t="str">
        <f>IF(AND(L602="",H602=""),"",
IF(H602="",Pole_Calc!A$9,
IF(H602="MP",Pole_Calc!A$10,
IF(H602="AnMP",Pole_Calc!A$11,
IF(H602="A",Pole_Calc!A$12,
IF(H602="S/A",Pole_Calc!A$13,
IF(H602="A/S",Pole_Calc!A$14,"Poner a mano")))))))</f>
        <v>App.7-V11I-P9.5.1.1</v>
      </c>
      <c r="BE602" s="429" t="s">
        <v>118</v>
      </c>
      <c r="BF602" s="289"/>
      <c r="BG602" s="289"/>
      <c r="BH602" s="290"/>
      <c r="BI602" s="289"/>
    </row>
    <row r="603" spans="1:61" ht="15.75" customHeight="1">
      <c r="A603" s="514"/>
      <c r="B603" s="450"/>
      <c r="C603" s="3"/>
      <c r="D603" s="83"/>
      <c r="E603" s="4"/>
      <c r="F603" s="4"/>
      <c r="G603" s="6">
        <v>48</v>
      </c>
      <c r="H603" s="449"/>
      <c r="I603" s="4"/>
      <c r="J603" s="3"/>
      <c r="K603" s="449"/>
      <c r="L603" s="449"/>
      <c r="M603" s="449" t="str">
        <f>IF(L603="","",
IF(AX603="PT",VLOOKUP(L603,Foundation_Calc!$V$79:$X$113,VLOOKUP(AX603,Foundation_Calc!$I$10:$J$13,2,FALSE),0),
IF(AX603="K",VLOOKUP(L603,Foundation_Calc!$V$117:$X$151,VLOOKUP(AX603,Foundation_Calc!$I$10:$J$13,2,FALSE),0),"")))</f>
        <v/>
      </c>
      <c r="N603" s="449"/>
      <c r="O603" s="449"/>
      <c r="P603" s="449"/>
      <c r="Q603" s="4"/>
      <c r="R603" s="6"/>
      <c r="S603" s="6"/>
      <c r="T603" s="4"/>
      <c r="U603" s="4"/>
      <c r="V603" s="4"/>
      <c r="W603" s="9"/>
      <c r="X603" s="9"/>
      <c r="Y603" s="9"/>
      <c r="Z603" s="9"/>
      <c r="AA603" s="9"/>
      <c r="AB603" s="9"/>
      <c r="AC603" s="449" t="str">
        <f t="shared" si="70"/>
        <v/>
      </c>
      <c r="AD603" s="449"/>
      <c r="AE603" s="449"/>
      <c r="AF603" s="4"/>
      <c r="AG603" s="83"/>
      <c r="AH603" s="4"/>
      <c r="AI603" s="4"/>
      <c r="AJ603" s="449"/>
      <c r="AK603" s="449"/>
      <c r="AL603" s="449"/>
      <c r="AM603" s="449"/>
      <c r="AN603" s="10"/>
      <c r="AO603" s="9"/>
      <c r="AP603" s="9"/>
      <c r="AQ603" s="9">
        <f>+FL_2($T$604,$T$602,$G$603,1200,9.28,-1*$F$604)</f>
        <v>-0.30001357293509062</v>
      </c>
      <c r="AR603" s="9"/>
      <c r="AS603" s="9"/>
      <c r="AT603" s="9"/>
      <c r="AU603" s="428"/>
      <c r="AV603" s="428"/>
      <c r="AW603" s="449" t="str">
        <f>IF(C603&gt;0,VLOOKUP(C603,Foundation_Calc!$A$2:$C$13,3,1),
IF(J603&gt;0,VLOOKUP(J603,Foundation_Calc!$A$2:$C$13,3,1),""))</f>
        <v/>
      </c>
      <c r="AX603" s="449" t="str">
        <f>IF(C603&gt;0,VLOOKUP(C603,Foundation_Calc!$E$2:$G$33,3,1),
IF(J603&gt;0,VLOOKUP(J603,Foundation_Calc!$E$2:$G$33,3,1),""))</f>
        <v/>
      </c>
      <c r="AY603" s="10" t="str">
        <f>IF(L603="","",
IF(AX603="PT",VLOOKUP(L603,Foundation_Calc!$K$79:$R$113,VLOOKUP(AW603,Foundation_Calc!$I$2:$J$8,2,FALSE),0),
IF(AX603="K",VLOOKUP(L603,Foundation_Calc!$K$117:$R$151,VLOOKUP(AW603,Foundation_Calc!$I$2:$J$8,2,FALSE),0),"")))</f>
        <v/>
      </c>
      <c r="AZ603" s="10" t="str">
        <f>IF(K603="","",
IF(AX603="PT",VLOOKUP(K603,Foundation_Calc!$K$79:$R$113,VLOOKUP(AW603,Foundation_Calc!$I$2:$J$8,2,FALSE),0),
IF(AX603="K",VLOOKUP(K603,Foundation_Calc!$K$117:$R$151,VLOOKUP(AW603,Foundation_Calc!$I$2:$J$8,2,FALSE),0),"")))</f>
        <v/>
      </c>
      <c r="BA603" s="495" t="str">
        <f t="shared" si="71"/>
        <v/>
      </c>
      <c r="BB603" s="495" t="str">
        <f t="shared" si="72"/>
        <v/>
      </c>
      <c r="BC603" s="495" t="str">
        <f t="shared" si="73"/>
        <v/>
      </c>
      <c r="BD603" s="513" t="str">
        <f>IF(AND(L603="",H603=""),"",
IF(H603="",Pole_Calc!A$9,
IF(H603="MP",Pole_Calc!A$10,
IF(H603="AnMP",Pole_Calc!A$11,
IF(H603="A",Pole_Calc!A$12,
IF(H603="S/A",Pole_Calc!A$13,
IF(H603="A/S",Pole_Calc!A$14,"Poner a mano")))))))</f>
        <v/>
      </c>
      <c r="BE603" s="429" t="s">
        <v>118</v>
      </c>
      <c r="BF603" s="290"/>
      <c r="BG603" s="290"/>
      <c r="BH603" s="290"/>
      <c r="BI603" s="290"/>
    </row>
    <row r="604" spans="1:61" ht="15.75" customHeight="1">
      <c r="A604" s="518"/>
      <c r="B604" s="450" t="s">
        <v>533</v>
      </c>
      <c r="C604" s="3">
        <f>+$C$602+$G$603</f>
        <v>44762.28</v>
      </c>
      <c r="D604" s="83"/>
      <c r="E604" s="4"/>
      <c r="F604" s="4">
        <f>IF(C604&gt;0,VLOOKUP(C604,'ALIGNMENT TRACK'!$A$1:$K$81,9,1))</f>
        <v>1205</v>
      </c>
      <c r="G604" s="6"/>
      <c r="H604" s="449"/>
      <c r="I604" s="4"/>
      <c r="J604" s="3"/>
      <c r="K604" s="449"/>
      <c r="L604" s="449" t="s">
        <v>158</v>
      </c>
      <c r="M604" s="449" t="str">
        <f>IF(L604="","",
IF(AX604="PT",VLOOKUP(L604,Foundation_Calc!$V$79:$X$113,VLOOKUP(AX604,Foundation_Calc!$I$10:$J$13,2,FALSE),0),
IF(AX604="K",VLOOKUP(L604,Foundation_Calc!$V$117:$X$151,VLOOKUP(AX604,Foundation_Calc!$I$10:$J$13,2,FALSE),0),"")))</f>
        <v>C4R</v>
      </c>
      <c r="N604" s="449" t="s">
        <v>124</v>
      </c>
      <c r="O604" s="449"/>
      <c r="P604" s="449"/>
      <c r="Q604" s="4"/>
      <c r="R604" s="6"/>
      <c r="S604" s="6"/>
      <c r="T604" s="4">
        <v>-30</v>
      </c>
      <c r="U604" s="4"/>
      <c r="V604" s="4"/>
      <c r="W604" s="9">
        <v>1.4</v>
      </c>
      <c r="X604" s="9"/>
      <c r="Y604" s="9"/>
      <c r="Z604" s="9"/>
      <c r="AA604" s="9"/>
      <c r="AB604" s="9"/>
      <c r="AC604" s="449" t="str">
        <f t="shared" si="70"/>
        <v>PHC</v>
      </c>
      <c r="AD604" s="449"/>
      <c r="AE604" s="449"/>
      <c r="AF604" s="4"/>
      <c r="AG604" s="83"/>
      <c r="AH604" s="4"/>
      <c r="AI604" s="4"/>
      <c r="AJ604" s="449"/>
      <c r="AK604" s="449"/>
      <c r="AL604" s="449"/>
      <c r="AM604" s="449" t="s">
        <v>126</v>
      </c>
      <c r="AN604" s="10">
        <v>5.5</v>
      </c>
      <c r="AO604" s="9"/>
      <c r="AP604" s="9"/>
      <c r="AQ604" s="9"/>
      <c r="AR604" s="9"/>
      <c r="AS604" s="9"/>
      <c r="AT604" s="9">
        <f>+ab($T$604,$T$602,$T$606,$G$603,$G$605,-1*$F$604,1200)</f>
        <v>-4.856350811026056</v>
      </c>
      <c r="AU604" s="428"/>
      <c r="AV604" s="428"/>
      <c r="AW604" s="449" t="str">
        <f>IF(C604&gt;0,VLOOKUP(C604,Foundation_Calc!$A$2:$C$13,3,1),
IF(J604&gt;0,VLOOKUP(J604,Foundation_Calc!$A$2:$C$13,3,1),""))</f>
        <v>Multi Soil</v>
      </c>
      <c r="AX604" s="449" t="str">
        <f>IF(C604&gt;0,VLOOKUP(C604,Foundation_Calc!$E$2:$G$33,3,1),
IF(J604&gt;0,VLOOKUP(J604,Foundation_Calc!$E$2:$G$33,3,1),""))</f>
        <v>PT</v>
      </c>
      <c r="AY604" s="10">
        <f>IF(L604="","",
IF(AX604="PT",VLOOKUP(L604,Foundation_Calc!$K$79:$R$113,VLOOKUP(AW604,Foundation_Calc!$I$2:$J$8,2,FALSE),0),
IF(AX604="K",VLOOKUP(L604,Foundation_Calc!$K$117:$R$151,VLOOKUP(AW604,Foundation_Calc!$I$2:$J$8,2,FALSE),0),"")))</f>
        <v>3.5</v>
      </c>
      <c r="AZ604" s="10" t="str">
        <f>IF(K604="","",
IF(AX604="PT",VLOOKUP(K604,Foundation_Calc!$K$79:$R$113,VLOOKUP(AW604,Foundation_Calc!$I$2:$J$8,2,FALSE),0),
IF(AX604="K",VLOOKUP(K604,Foundation_Calc!$K$117:$R$151,VLOOKUP(AW604,Foundation_Calc!$I$2:$J$8,2,FALSE),0),"")))</f>
        <v/>
      </c>
      <c r="BA604" s="495" t="str">
        <f t="shared" si="71"/>
        <v>ü</v>
      </c>
      <c r="BB604" s="495" t="str">
        <f t="shared" si="72"/>
        <v/>
      </c>
      <c r="BC604" s="495" t="str">
        <f t="shared" si="73"/>
        <v/>
      </c>
      <c r="BD604" s="513" t="str">
        <f>IF(AND(L604="",H604=""),"",
IF(H604="",Pole_Calc!A$9,
IF(H604="MP",Pole_Calc!A$10,
IF(H604="AnMP",Pole_Calc!A$11,
IF(H604="A",Pole_Calc!A$12,
IF(H604="S/A",Pole_Calc!A$13,
IF(H604="A/S",Pole_Calc!A$14,"Poner a mano")))))))</f>
        <v>App.7-V11I-P9.5.1.1</v>
      </c>
      <c r="BE604" s="429" t="s">
        <v>118</v>
      </c>
      <c r="BF604" s="289"/>
      <c r="BG604" s="289"/>
      <c r="BH604" s="290"/>
      <c r="BI604" s="289"/>
    </row>
    <row r="605" spans="1:61" ht="15.75" customHeight="1">
      <c r="A605" s="518"/>
      <c r="B605" s="450"/>
      <c r="C605" s="3"/>
      <c r="D605" s="83"/>
      <c r="E605" s="4"/>
      <c r="F605" s="4"/>
      <c r="G605" s="6">
        <v>47</v>
      </c>
      <c r="H605" s="449"/>
      <c r="I605" s="4"/>
      <c r="J605" s="3"/>
      <c r="K605" s="449"/>
      <c r="L605" s="449"/>
      <c r="M605" s="449" t="str">
        <f>IF(L605="","",
IF(AX605="PT",VLOOKUP(L605,Foundation_Calc!$V$79:$X$113,VLOOKUP(AX605,Foundation_Calc!$I$10:$J$13,2,FALSE),0),
IF(AX605="K",VLOOKUP(L605,Foundation_Calc!$V$117:$X$151,VLOOKUP(AX605,Foundation_Calc!$I$10:$J$13,2,FALSE),0),"")))</f>
        <v/>
      </c>
      <c r="N605" s="449"/>
      <c r="O605" s="449"/>
      <c r="P605" s="449"/>
      <c r="Q605" s="4"/>
      <c r="R605" s="6"/>
      <c r="S605" s="6"/>
      <c r="T605" s="4"/>
      <c r="U605" s="4"/>
      <c r="V605" s="4"/>
      <c r="W605" s="9"/>
      <c r="X605" s="572"/>
      <c r="Y605" s="9"/>
      <c r="Z605" s="9"/>
      <c r="AA605" s="9"/>
      <c r="AB605" s="9"/>
      <c r="AC605" s="449" t="str">
        <f t="shared" si="70"/>
        <v/>
      </c>
      <c r="AD605" s="449"/>
      <c r="AE605" s="449"/>
      <c r="AF605" s="4"/>
      <c r="AG605" s="83"/>
      <c r="AH605" s="4"/>
      <c r="AI605" s="4"/>
      <c r="AJ605" s="449"/>
      <c r="AK605" s="449"/>
      <c r="AL605" s="449"/>
      <c r="AM605" s="449"/>
      <c r="AN605" s="10"/>
      <c r="AO605" s="9"/>
      <c r="AP605" s="9"/>
      <c r="AQ605" s="9">
        <f>+FL_2($T$606,$T$604,$G$605,1200,9.28,-1*$F$606)</f>
        <v>-0.30001329022498935</v>
      </c>
      <c r="AR605" s="9"/>
      <c r="AS605" s="9"/>
      <c r="AT605" s="9"/>
      <c r="AU605" s="428"/>
      <c r="AV605" s="428"/>
      <c r="AW605" s="449" t="str">
        <f>IF(C605&gt;0,VLOOKUP(C605,Foundation_Calc!$A$2:$C$13,3,1),
IF(J605&gt;0,VLOOKUP(J605,Foundation_Calc!$A$2:$C$13,3,1),""))</f>
        <v/>
      </c>
      <c r="AX605" s="449" t="str">
        <f>IF(C605&gt;0,VLOOKUP(C605,Foundation_Calc!$E$2:$G$33,3,1),
IF(J605&gt;0,VLOOKUP(J605,Foundation_Calc!$E$2:$G$33,3,1),""))</f>
        <v/>
      </c>
      <c r="AY605" s="10" t="str">
        <f>IF(L605="","",
IF(AX605="PT",VLOOKUP(L605,Foundation_Calc!$K$79:$R$113,VLOOKUP(AW605,Foundation_Calc!$I$2:$J$8,2,FALSE),0),
IF(AX605="K",VLOOKUP(L605,Foundation_Calc!$K$117:$R$151,VLOOKUP(AW605,Foundation_Calc!$I$2:$J$8,2,FALSE),0),"")))</f>
        <v/>
      </c>
      <c r="AZ605" s="10" t="str">
        <f>IF(K605="","",
IF(AX605="PT",VLOOKUP(K605,Foundation_Calc!$K$79:$R$113,VLOOKUP(AW605,Foundation_Calc!$I$2:$J$8,2,FALSE),0),
IF(AX605="K",VLOOKUP(K605,Foundation_Calc!$K$117:$R$151,VLOOKUP(AW605,Foundation_Calc!$I$2:$J$8,2,FALSE),0),"")))</f>
        <v/>
      </c>
      <c r="BA605" s="495" t="str">
        <f t="shared" si="71"/>
        <v/>
      </c>
      <c r="BB605" s="495" t="str">
        <f t="shared" si="72"/>
        <v/>
      </c>
      <c r="BC605" s="495" t="str">
        <f t="shared" si="73"/>
        <v/>
      </c>
      <c r="BD605" s="513" t="str">
        <f>IF(AND(L605="",H605=""),"",
IF(H605="",Pole_Calc!A$9,
IF(H605="MP",Pole_Calc!A$10,
IF(H605="AnMP",Pole_Calc!A$11,
IF(H605="A",Pole_Calc!A$12,
IF(H605="S/A",Pole_Calc!A$13,
IF(H605="A/S",Pole_Calc!A$14,"Poner a mano")))))))</f>
        <v/>
      </c>
      <c r="BE605" s="429" t="s">
        <v>118</v>
      </c>
      <c r="BF605" s="290"/>
      <c r="BG605" s="290"/>
      <c r="BH605" s="290"/>
      <c r="BI605" s="290"/>
    </row>
    <row r="606" spans="1:61" ht="15.75" customHeight="1">
      <c r="A606" s="514"/>
      <c r="B606" s="450" t="s">
        <v>534</v>
      </c>
      <c r="C606" s="3">
        <f>+$C$604+$G$605</f>
        <v>44809.279999999999</v>
      </c>
      <c r="D606" s="83"/>
      <c r="E606" s="4"/>
      <c r="F606" s="4">
        <f>IF(C606&gt;0,VLOOKUP(C606,'ALIGNMENT TRACK'!$A$1:$K$81,9,1))</f>
        <v>1205</v>
      </c>
      <c r="G606" s="6"/>
      <c r="H606" s="449"/>
      <c r="I606" s="4"/>
      <c r="J606" s="3"/>
      <c r="K606" s="449"/>
      <c r="L606" s="449" t="s">
        <v>158</v>
      </c>
      <c r="M606" s="449" t="str">
        <f>IF(L606="","",
IF(AX606="PT",VLOOKUP(L606,Foundation_Calc!$V$79:$X$113,VLOOKUP(AX606,Foundation_Calc!$I$10:$J$13,2,FALSE),0),
IF(AX606="K",VLOOKUP(L606,Foundation_Calc!$V$117:$X$151,VLOOKUP(AX606,Foundation_Calc!$I$10:$J$13,2,FALSE),0),"")))</f>
        <v>C4R</v>
      </c>
      <c r="N606" s="449" t="s">
        <v>124</v>
      </c>
      <c r="O606" s="449"/>
      <c r="P606" s="449"/>
      <c r="Q606" s="4"/>
      <c r="R606" s="6"/>
      <c r="S606" s="6"/>
      <c r="T606" s="4">
        <v>-30</v>
      </c>
      <c r="U606" s="4"/>
      <c r="V606" s="4"/>
      <c r="W606" s="9">
        <v>1.4</v>
      </c>
      <c r="X606" s="572"/>
      <c r="Y606" s="9"/>
      <c r="Z606" s="9"/>
      <c r="AA606" s="9"/>
      <c r="AB606" s="9"/>
      <c r="AC606" s="449" t="str">
        <f t="shared" si="70"/>
        <v>PHC</v>
      </c>
      <c r="AD606" s="449"/>
      <c r="AE606" s="449"/>
      <c r="AF606" s="4"/>
      <c r="AG606" s="83"/>
      <c r="AH606" s="4"/>
      <c r="AI606" s="4"/>
      <c r="AJ606" s="449"/>
      <c r="AK606" s="449"/>
      <c r="AL606" s="449"/>
      <c r="AM606" s="449" t="s">
        <v>126</v>
      </c>
      <c r="AN606" s="10">
        <v>5.5</v>
      </c>
      <c r="AO606" s="9"/>
      <c r="AP606" s="9"/>
      <c r="AQ606" s="9"/>
      <c r="AR606" s="9"/>
      <c r="AS606" s="9"/>
      <c r="AT606" s="9">
        <f>+ab($T$606,$T$604,$T$608,$G$605,$G$607,-1*$F$606,1200)</f>
        <v>-4.9077631003014863</v>
      </c>
      <c r="AU606" s="428"/>
      <c r="AV606" s="428"/>
      <c r="AW606" s="449" t="str">
        <f>IF(C606&gt;0,VLOOKUP(C606,Foundation_Calc!$A$2:$C$13,3,1),
IF(J606&gt;0,VLOOKUP(J606,Foundation_Calc!$A$2:$C$13,3,1),""))</f>
        <v>Multi Soil</v>
      </c>
      <c r="AX606" s="449" t="str">
        <f>IF(C606&gt;0,VLOOKUP(C606,Foundation_Calc!$E$2:$G$33,3,1),
IF(J606&gt;0,VLOOKUP(J606,Foundation_Calc!$E$2:$G$33,3,1),""))</f>
        <v>PT</v>
      </c>
      <c r="AY606" s="10">
        <f>IF(L606="","",
IF(AX606="PT",VLOOKUP(L606,Foundation_Calc!$K$79:$R$113,VLOOKUP(AW606,Foundation_Calc!$I$2:$J$8,2,FALSE),0),
IF(AX606="K",VLOOKUP(L606,Foundation_Calc!$K$117:$R$151,VLOOKUP(AW606,Foundation_Calc!$I$2:$J$8,2,FALSE),0),"")))</f>
        <v>3.5</v>
      </c>
      <c r="AZ606" s="10" t="str">
        <f>IF(K606="","",
IF(AX606="PT",VLOOKUP(K606,Foundation_Calc!$K$79:$R$113,VLOOKUP(AW606,Foundation_Calc!$I$2:$J$8,2,FALSE),0),
IF(AX606="K",VLOOKUP(K606,Foundation_Calc!$K$117:$R$151,VLOOKUP(AW606,Foundation_Calc!$I$2:$J$8,2,FALSE),0),"")))</f>
        <v/>
      </c>
      <c r="BA606" s="495" t="str">
        <f t="shared" si="71"/>
        <v>ü</v>
      </c>
      <c r="BB606" s="495" t="str">
        <f t="shared" si="72"/>
        <v/>
      </c>
      <c r="BC606" s="495" t="str">
        <f t="shared" si="73"/>
        <v/>
      </c>
      <c r="BD606" s="513" t="str">
        <f>IF(AND(L606="",H606=""),"",
IF(H606="",Pole_Calc!A$9,
IF(H606="MP",Pole_Calc!A$10,
IF(H606="AnMP",Pole_Calc!A$11,
IF(H606="A",Pole_Calc!A$12,
IF(H606="S/A",Pole_Calc!A$13,
IF(H606="A/S",Pole_Calc!A$14,"Poner a mano")))))))</f>
        <v>App.7-V11I-P9.5.1.1</v>
      </c>
      <c r="BE606" s="429" t="s">
        <v>118</v>
      </c>
      <c r="BF606" s="289"/>
      <c r="BG606" s="289"/>
      <c r="BH606" s="290"/>
      <c r="BI606" s="289"/>
    </row>
    <row r="607" spans="1:61" ht="15.75" customHeight="1">
      <c r="A607" s="514"/>
      <c r="B607" s="450"/>
      <c r="C607" s="3"/>
      <c r="D607" s="83"/>
      <c r="E607" s="4"/>
      <c r="F607" s="4"/>
      <c r="G607" s="6">
        <v>47</v>
      </c>
      <c r="H607" s="449"/>
      <c r="I607" s="4"/>
      <c r="J607" s="3"/>
      <c r="K607" s="449"/>
      <c r="L607" s="449"/>
      <c r="M607" s="449" t="str">
        <f>IF(L607="","",
IF(AX607="PT",VLOOKUP(L607,Foundation_Calc!$V$79:$X$113,VLOOKUP(AX607,Foundation_Calc!$I$10:$J$13,2,FALSE),0),
IF(AX607="K",VLOOKUP(L607,Foundation_Calc!$V$117:$X$151,VLOOKUP(AX607,Foundation_Calc!$I$10:$J$13,2,FALSE),0),"")))</f>
        <v/>
      </c>
      <c r="N607" s="449"/>
      <c r="O607" s="449"/>
      <c r="P607" s="449"/>
      <c r="Q607" s="4"/>
      <c r="R607" s="6"/>
      <c r="S607" s="6"/>
      <c r="T607" s="4"/>
      <c r="U607" s="4"/>
      <c r="V607" s="4"/>
      <c r="W607" s="9"/>
      <c r="X607" s="572"/>
      <c r="Y607" s="9"/>
      <c r="Z607" s="9"/>
      <c r="AA607" s="9"/>
      <c r="AB607" s="9"/>
      <c r="AC607" s="449" t="str">
        <f t="shared" si="70"/>
        <v/>
      </c>
      <c r="AD607" s="449"/>
      <c r="AE607" s="449"/>
      <c r="AF607" s="4"/>
      <c r="AG607" s="83"/>
      <c r="AH607" s="4"/>
      <c r="AI607" s="4"/>
      <c r="AJ607" s="449"/>
      <c r="AK607" s="449"/>
      <c r="AL607" s="449"/>
      <c r="AM607" s="449"/>
      <c r="AN607" s="10"/>
      <c r="AO607" s="9"/>
      <c r="AP607" s="9"/>
      <c r="AQ607" s="9">
        <f>+FL_2($T$608,$T$606,$G$607,1200,9.28,-1*$F$608)</f>
        <v>-0.30001329022498935</v>
      </c>
      <c r="AR607" s="9"/>
      <c r="AS607" s="9"/>
      <c r="AT607" s="9"/>
      <c r="AU607" s="428"/>
      <c r="AV607" s="428"/>
      <c r="AW607" s="449" t="str">
        <f>IF(C607&gt;0,VLOOKUP(C607,Foundation_Calc!$A$2:$C$13,3,1),
IF(J607&gt;0,VLOOKUP(J607,Foundation_Calc!$A$2:$C$13,3,1),""))</f>
        <v/>
      </c>
      <c r="AX607" s="449" t="str">
        <f>IF(C607&gt;0,VLOOKUP(C607,Foundation_Calc!$E$2:$G$33,3,1),
IF(J607&gt;0,VLOOKUP(J607,Foundation_Calc!$E$2:$G$33,3,1),""))</f>
        <v/>
      </c>
      <c r="AY607" s="10" t="str">
        <f>IF(L607="","",
IF(AX607="PT",VLOOKUP(L607,Foundation_Calc!$K$79:$R$113,VLOOKUP(AW607,Foundation_Calc!$I$2:$J$8,2,FALSE),0),
IF(AX607="K",VLOOKUP(L607,Foundation_Calc!$K$117:$R$151,VLOOKUP(AW607,Foundation_Calc!$I$2:$J$8,2,FALSE),0),"")))</f>
        <v/>
      </c>
      <c r="AZ607" s="10" t="str">
        <f>IF(K607="","",
IF(AX607="PT",VLOOKUP(K607,Foundation_Calc!$K$79:$R$113,VLOOKUP(AW607,Foundation_Calc!$I$2:$J$8,2,FALSE),0),
IF(AX607="K",VLOOKUP(K607,Foundation_Calc!$K$117:$R$151,VLOOKUP(AW607,Foundation_Calc!$I$2:$J$8,2,FALSE),0),"")))</f>
        <v/>
      </c>
      <c r="BA607" s="495" t="str">
        <f t="shared" si="71"/>
        <v/>
      </c>
      <c r="BB607" s="495" t="str">
        <f t="shared" si="72"/>
        <v/>
      </c>
      <c r="BC607" s="495" t="str">
        <f t="shared" si="73"/>
        <v/>
      </c>
      <c r="BD607" s="513" t="str">
        <f>IF(AND(L607="",H607=""),"",
IF(H607="",Pole_Calc!A$9,
IF(H607="MP",Pole_Calc!A$10,
IF(H607="AnMP",Pole_Calc!A$11,
IF(H607="A",Pole_Calc!A$12,
IF(H607="S/A",Pole_Calc!A$13,
IF(H607="A/S",Pole_Calc!A$14,"Poner a mano")))))))</f>
        <v/>
      </c>
      <c r="BE607" s="429" t="s">
        <v>118</v>
      </c>
      <c r="BF607" s="290"/>
      <c r="BG607" s="290"/>
      <c r="BH607" s="290"/>
      <c r="BI607" s="290"/>
    </row>
    <row r="608" spans="1:61" ht="15.75" customHeight="1">
      <c r="A608" s="514"/>
      <c r="B608" s="450" t="s">
        <v>535</v>
      </c>
      <c r="C608" s="3">
        <f>+$C$606+$G$607</f>
        <v>44856.28</v>
      </c>
      <c r="D608" s="83"/>
      <c r="E608" s="4"/>
      <c r="F608" s="4">
        <f>IF(C608&gt;0,VLOOKUP(C608,'ALIGNMENT TRACK'!$A$1:$K$81,9,1))</f>
        <v>1205</v>
      </c>
      <c r="G608" s="6"/>
      <c r="H608" s="449"/>
      <c r="I608" s="4"/>
      <c r="J608" s="3"/>
      <c r="K608" s="449"/>
      <c r="L608" s="449" t="s">
        <v>158</v>
      </c>
      <c r="M608" s="449" t="str">
        <f>IF(L608="","",
IF(AX608="PT",VLOOKUP(L608,Foundation_Calc!$V$79:$X$113,VLOOKUP(AX608,Foundation_Calc!$I$10:$J$13,2,FALSE),0),
IF(AX608="K",VLOOKUP(L608,Foundation_Calc!$V$117:$X$151,VLOOKUP(AX608,Foundation_Calc!$I$10:$J$13,2,FALSE),0),"")))</f>
        <v>C4R</v>
      </c>
      <c r="N608" s="449" t="s">
        <v>124</v>
      </c>
      <c r="O608" s="449"/>
      <c r="P608" s="449"/>
      <c r="Q608" s="4"/>
      <c r="R608" s="6"/>
      <c r="S608" s="6"/>
      <c r="T608" s="4">
        <v>-30</v>
      </c>
      <c r="U608" s="4"/>
      <c r="V608" s="4"/>
      <c r="W608" s="9">
        <v>1.4</v>
      </c>
      <c r="X608" s="572"/>
      <c r="Y608" s="9"/>
      <c r="Z608" s="9"/>
      <c r="AA608" s="9"/>
      <c r="AB608" s="9"/>
      <c r="AC608" s="449" t="str">
        <f t="shared" si="70"/>
        <v>PHC</v>
      </c>
      <c r="AD608" s="449"/>
      <c r="AE608" s="449"/>
      <c r="AF608" s="4"/>
      <c r="AG608" s="83"/>
      <c r="AH608" s="4"/>
      <c r="AI608" s="4"/>
      <c r="AJ608" s="449"/>
      <c r="AK608" s="449"/>
      <c r="AL608" s="449"/>
      <c r="AM608" s="449" t="s">
        <v>126</v>
      </c>
      <c r="AN608" s="10">
        <v>5.5</v>
      </c>
      <c r="AO608" s="9"/>
      <c r="AP608" s="9"/>
      <c r="AQ608" s="9"/>
      <c r="AR608" s="9"/>
      <c r="AS608" s="9"/>
      <c r="AT608" s="9">
        <f>+ab($T$608,$T$606,$T$610,$G$607,$G$609,-1*$F$608,1200)</f>
        <v>-4.9077631003014863</v>
      </c>
      <c r="AU608" s="428"/>
      <c r="AV608" s="428"/>
      <c r="AW608" s="449" t="str">
        <f>IF(C608&gt;0,VLOOKUP(C608,Foundation_Calc!$A$2:$C$13,3,1),
IF(J608&gt;0,VLOOKUP(J608,Foundation_Calc!$A$2:$C$13,3,1),""))</f>
        <v>Multi Soil</v>
      </c>
      <c r="AX608" s="449" t="str">
        <f>IF(C608&gt;0,VLOOKUP(C608,Foundation_Calc!$E$2:$G$33,3,1),
IF(J608&gt;0,VLOOKUP(J608,Foundation_Calc!$E$2:$G$33,3,1),""))</f>
        <v>PT</v>
      </c>
      <c r="AY608" s="10">
        <f>IF(L608="","",
IF(AX608="PT",VLOOKUP(L608,Foundation_Calc!$K$79:$R$113,VLOOKUP(AW608,Foundation_Calc!$I$2:$J$8,2,FALSE),0),
IF(AX608="K",VLOOKUP(L608,Foundation_Calc!$K$117:$R$151,VLOOKUP(AW608,Foundation_Calc!$I$2:$J$8,2,FALSE),0),"")))</f>
        <v>3.5</v>
      </c>
      <c r="AZ608" s="10" t="str">
        <f>IF(K608="","",
IF(AX608="PT",VLOOKUP(K608,Foundation_Calc!$K$79:$R$113,VLOOKUP(AW608,Foundation_Calc!$I$2:$J$8,2,FALSE),0),
IF(AX608="K",VLOOKUP(K608,Foundation_Calc!$K$117:$R$151,VLOOKUP(AW608,Foundation_Calc!$I$2:$J$8,2,FALSE),0),"")))</f>
        <v/>
      </c>
      <c r="BA608" s="495" t="str">
        <f t="shared" si="71"/>
        <v>ü</v>
      </c>
      <c r="BB608" s="495" t="str">
        <f t="shared" si="72"/>
        <v/>
      </c>
      <c r="BC608" s="495" t="str">
        <f t="shared" si="73"/>
        <v/>
      </c>
      <c r="BD608" s="513" t="str">
        <f>IF(AND(L608="",H608=""),"",
IF(H608="",Pole_Calc!A$9,
IF(H608="MP",Pole_Calc!A$10,
IF(H608="AnMP",Pole_Calc!A$11,
IF(H608="A",Pole_Calc!A$12,
IF(H608="S/A",Pole_Calc!A$13,
IF(H608="A/S",Pole_Calc!A$14,"Poner a mano")))))))</f>
        <v>App.7-V11I-P9.5.1.1</v>
      </c>
      <c r="BE608" s="429" t="s">
        <v>118</v>
      </c>
      <c r="BF608" s="289"/>
      <c r="BG608" s="289"/>
      <c r="BH608" s="290"/>
      <c r="BI608" s="289"/>
    </row>
    <row r="609" spans="1:61" ht="15.75" customHeight="1">
      <c r="A609" s="514"/>
      <c r="B609" s="450"/>
      <c r="C609" s="3"/>
      <c r="D609" s="83"/>
      <c r="E609" s="4"/>
      <c r="F609" s="4"/>
      <c r="G609" s="6">
        <v>47</v>
      </c>
      <c r="H609" s="449"/>
      <c r="I609" s="4"/>
      <c r="J609" s="3">
        <f>C610-7.5</f>
        <v>44894.34</v>
      </c>
      <c r="K609" s="449" t="s">
        <v>166</v>
      </c>
      <c r="L609" s="449"/>
      <c r="M609" s="449" t="str">
        <f>IF(L609="","",
IF(AX609="PT",VLOOKUP(L609,Foundation_Calc!$V$79:$X$113,VLOOKUP(AX609,Foundation_Calc!$I$10:$J$13,2,FALSE),0),
IF(AX609="K",VLOOKUP(L609,Foundation_Calc!$V$117:$X$151,VLOOKUP(AX609,Foundation_Calc!$I$10:$J$13,2,FALSE),0),"")))</f>
        <v/>
      </c>
      <c r="N609" s="449"/>
      <c r="O609" s="449"/>
      <c r="P609" s="449"/>
      <c r="Q609" s="4"/>
      <c r="R609" s="6"/>
      <c r="S609" s="6"/>
      <c r="T609" s="4"/>
      <c r="U609" s="4"/>
      <c r="V609" s="4"/>
      <c r="W609" s="9"/>
      <c r="X609" s="572"/>
      <c r="Y609" s="9"/>
      <c r="Z609" s="9"/>
      <c r="AA609" s="9"/>
      <c r="AB609" s="9"/>
      <c r="AC609" s="449" t="str">
        <f t="shared" si="70"/>
        <v/>
      </c>
      <c r="AD609" s="449"/>
      <c r="AE609" s="449"/>
      <c r="AF609" s="4"/>
      <c r="AG609" s="83"/>
      <c r="AH609" s="4"/>
      <c r="AI609" s="4"/>
      <c r="AJ609" s="449"/>
      <c r="AK609" s="449"/>
      <c r="AL609" s="449"/>
      <c r="AM609" s="449"/>
      <c r="AN609" s="10"/>
      <c r="AO609" s="9"/>
      <c r="AP609" s="9"/>
      <c r="AQ609" s="9">
        <f>+FL_2($T$610,$T$608,$G$609,1200,9.28,-1*$F$610)</f>
        <v>-0.30001329022498935</v>
      </c>
      <c r="AR609" s="9"/>
      <c r="AS609" s="9"/>
      <c r="AT609" s="9"/>
      <c r="AU609" s="428"/>
      <c r="AV609" s="428"/>
      <c r="AW609" s="449" t="str">
        <f>IF(C609&gt;0,VLOOKUP(C609,Foundation_Calc!$A$2:$C$13,3,1),
IF(J609&gt;0,VLOOKUP(J609,Foundation_Calc!$A$2:$C$13,3,1),""))</f>
        <v>Multi Soil</v>
      </c>
      <c r="AX609" s="449" t="str">
        <f>IF(C609&gt;0,VLOOKUP(C609,Foundation_Calc!$E$2:$G$33,3,1),
IF(J609&gt;0,VLOOKUP(J609,Foundation_Calc!$E$2:$G$33,3,1),""))</f>
        <v>PT</v>
      </c>
      <c r="AY609" s="10" t="str">
        <f>IF(L609="","",
IF(AX609="PT",VLOOKUP(L609,Foundation_Calc!$K$79:$R$113,VLOOKUP(AW609,Foundation_Calc!$I$2:$J$8,2,FALSE),0),
IF(AX609="K",VLOOKUP(L609,Foundation_Calc!$K$117:$R$151,VLOOKUP(AW609,Foundation_Calc!$I$2:$J$8,2,FALSE),0),"")))</f>
        <v/>
      </c>
      <c r="AZ609" s="10">
        <f>IF(K609="","",
IF(AX609="PT",VLOOKUP(K609,Foundation_Calc!$K$79:$R$113,VLOOKUP(AW609,Foundation_Calc!$I$2:$J$8,2,FALSE),0),
IF(AX609="K",VLOOKUP(K609,Foundation_Calc!$K$117:$R$151,VLOOKUP(AW609,Foundation_Calc!$I$2:$J$8,2,FALSE),0),"")))</f>
        <v>2.8</v>
      </c>
      <c r="BA609" s="495" t="str">
        <f t="shared" si="71"/>
        <v/>
      </c>
      <c r="BB609" s="495" t="str">
        <f t="shared" si="72"/>
        <v>ü</v>
      </c>
      <c r="BC609" s="495" t="str">
        <f t="shared" si="73"/>
        <v/>
      </c>
      <c r="BD609" s="513" t="str">
        <f>IF(AND(L609="",H609=""),"",
IF(H609="",Pole_Calc!A$9,
IF(H609="MP",Pole_Calc!A$10,
IF(H609="AnMP",Pole_Calc!A$11,
IF(H609="A",Pole_Calc!A$12,
IF(H609="S/A",Pole_Calc!A$13,
IF(H609="A/S",Pole_Calc!A$14,"Poner a mano")))))))</f>
        <v/>
      </c>
      <c r="BE609" s="429" t="s">
        <v>118</v>
      </c>
      <c r="BF609" s="290"/>
      <c r="BG609" s="290"/>
      <c r="BH609" s="290"/>
      <c r="BI609" s="290"/>
    </row>
    <row r="610" spans="1:61" ht="15.75" customHeight="1">
      <c r="A610" s="518"/>
      <c r="B610" s="450" t="s">
        <v>536</v>
      </c>
      <c r="C610" s="3">
        <f>+$C$608+$G$609-1.44</f>
        <v>44901.84</v>
      </c>
      <c r="D610" s="83"/>
      <c r="E610" s="4"/>
      <c r="F610" s="4">
        <f>IF(C610&gt;0,VLOOKUP(C610,'ALIGNMENT TRACK'!$A$1:$K$81,9,1))</f>
        <v>1205</v>
      </c>
      <c r="G610" s="6"/>
      <c r="H610" s="449" t="s">
        <v>168</v>
      </c>
      <c r="I610" s="4"/>
      <c r="J610" s="3"/>
      <c r="K610" s="449"/>
      <c r="L610" s="449" t="s">
        <v>158</v>
      </c>
      <c r="M610" s="449" t="str">
        <f>IF(L610="","",
IF(AX610="PT",VLOOKUP(L610,Foundation_Calc!$V$79:$X$113,VLOOKUP(AX610,Foundation_Calc!$I$10:$J$13,2,FALSE),0),
IF(AX610="K",VLOOKUP(L610,Foundation_Calc!$V$117:$X$151,VLOOKUP(AX610,Foundation_Calc!$I$10:$J$13,2,FALSE),0),"")))</f>
        <v>C4R</v>
      </c>
      <c r="N610" s="449" t="s">
        <v>124</v>
      </c>
      <c r="O610" s="449"/>
      <c r="P610" s="449"/>
      <c r="Q610" s="4"/>
      <c r="R610" s="6"/>
      <c r="S610" s="6"/>
      <c r="T610" s="4">
        <v>-30</v>
      </c>
      <c r="U610" s="4"/>
      <c r="V610" s="4"/>
      <c r="W610" s="572">
        <v>1.2</v>
      </c>
      <c r="X610" s="572"/>
      <c r="Y610" s="9"/>
      <c r="Z610" s="9"/>
      <c r="AA610" s="9"/>
      <c r="AB610" s="9"/>
      <c r="AC610" s="449" t="str">
        <f t="shared" si="70"/>
        <v>PHQ</v>
      </c>
      <c r="AD610" s="449"/>
      <c r="AE610" s="449"/>
      <c r="AF610" s="4"/>
      <c r="AG610" s="83"/>
      <c r="AH610" s="4"/>
      <c r="AI610" s="4"/>
      <c r="AJ610" s="449"/>
      <c r="AK610" s="449"/>
      <c r="AL610" s="449"/>
      <c r="AM610" s="449" t="s">
        <v>126</v>
      </c>
      <c r="AN610" s="10">
        <v>5.5</v>
      </c>
      <c r="AO610" s="9"/>
      <c r="AP610" s="9"/>
      <c r="AQ610" s="9"/>
      <c r="AR610" s="9"/>
      <c r="AS610" s="9"/>
      <c r="AT610" s="9">
        <f>+ab($T$610,$T$608,$T$612,$G$609,$G$611,-1*$F$610,1200)</f>
        <v>-5.0139154907820211</v>
      </c>
      <c r="AU610" s="428"/>
      <c r="AV610" s="428"/>
      <c r="AW610" s="449" t="str">
        <f>IF(C610&gt;0,VLOOKUP(C610,Foundation_Calc!$A$2:$C$13,3,1),
IF(J610&gt;0,VLOOKUP(J610,Foundation_Calc!$A$2:$C$13,3,1),""))</f>
        <v>Multi Soil</v>
      </c>
      <c r="AX610" s="449" t="str">
        <f>IF(C610&gt;0,VLOOKUP(C610,Foundation_Calc!$E$2:$G$33,3,1),
IF(J610&gt;0,VLOOKUP(J610,Foundation_Calc!$E$2:$G$33,3,1),""))</f>
        <v>PT</v>
      </c>
      <c r="AY610" s="10">
        <f>IF(L610="","",
IF(AX610="PT",VLOOKUP(L610,Foundation_Calc!$K$79:$R$113,VLOOKUP(AW610,Foundation_Calc!$I$2:$J$8,2,FALSE),0),
IF(AX610="K",VLOOKUP(L610,Foundation_Calc!$K$117:$R$151,VLOOKUP(AW610,Foundation_Calc!$I$2:$J$8,2,FALSE),0),"")))</f>
        <v>3.5</v>
      </c>
      <c r="AZ610" s="10" t="str">
        <f>IF(K610="","",
IF(AX610="PT",VLOOKUP(K610,Foundation_Calc!$K$79:$R$113,VLOOKUP(AW610,Foundation_Calc!$I$2:$J$8,2,FALSE),0),
IF(AX610="K",VLOOKUP(K610,Foundation_Calc!$K$117:$R$151,VLOOKUP(AW610,Foundation_Calc!$I$2:$J$8,2,FALSE),0),"")))</f>
        <v/>
      </c>
      <c r="BA610" s="495" t="str">
        <f t="shared" si="71"/>
        <v>ü</v>
      </c>
      <c r="BB610" s="495" t="str">
        <f t="shared" si="72"/>
        <v/>
      </c>
      <c r="BC610" s="495" t="str">
        <f t="shared" si="73"/>
        <v/>
      </c>
      <c r="BD610" s="513" t="str">
        <f>IF(AND(L610="",H610=""),"",
IF(H610="",Pole_Calc!A$9,
IF(H610="MP",Pole_Calc!A$10,
IF(H610="AnMP",Pole_Calc!A$11,
IF(H610="A",Pole_Calc!A$12,
IF(H610="S/A",Pole_Calc!A$13,
IF(H610="A/S",Pole_Calc!A$14,"Poner a mano")))))))</f>
        <v>App.7-V11I-P9.5.1.3</v>
      </c>
      <c r="BE610" s="429" t="s">
        <v>118</v>
      </c>
      <c r="BF610" s="289"/>
      <c r="BG610" s="289"/>
      <c r="BH610" s="290"/>
      <c r="BI610" s="289"/>
    </row>
    <row r="611" spans="1:61" ht="15.75" customHeight="1">
      <c r="A611" s="607"/>
      <c r="B611" s="536"/>
      <c r="C611" s="537"/>
      <c r="D611" s="538"/>
      <c r="E611" s="539"/>
      <c r="F611" s="539"/>
      <c r="G611" s="540">
        <v>45</v>
      </c>
      <c r="H611" s="541"/>
      <c r="I611" s="539">
        <f>SUM(G595:G611)</f>
        <v>424</v>
      </c>
      <c r="J611" s="537"/>
      <c r="K611" s="541"/>
      <c r="L611" s="541"/>
      <c r="M611" s="541" t="str">
        <f>IF(L611="","",
IF(AX611="PT",VLOOKUP(L611,Foundation_Calc!$V$79:$X$113,VLOOKUP(AX611,Foundation_Calc!$I$10:$J$13,2,FALSE),0),
IF(AX611="K",VLOOKUP(L611,Foundation_Calc!$V$117:$X$151,VLOOKUP(AX611,Foundation_Calc!$I$10:$J$13,2,FALSE),0),"")))</f>
        <v/>
      </c>
      <c r="N611" s="541"/>
      <c r="O611" s="541"/>
      <c r="P611" s="541"/>
      <c r="Q611" s="539"/>
      <c r="R611" s="540"/>
      <c r="S611" s="540"/>
      <c r="T611" s="539"/>
      <c r="U611" s="539"/>
      <c r="V611" s="539"/>
      <c r="W611" s="542"/>
      <c r="X611" s="579"/>
      <c r="Y611" s="542"/>
      <c r="Z611" s="542"/>
      <c r="AA611" s="542"/>
      <c r="AB611" s="542"/>
      <c r="AC611" s="541" t="str">
        <f t="shared" si="70"/>
        <v/>
      </c>
      <c r="AD611" s="541"/>
      <c r="AE611" s="541"/>
      <c r="AF611" s="539"/>
      <c r="AG611" s="538"/>
      <c r="AH611" s="539"/>
      <c r="AI611" s="539"/>
      <c r="AJ611" s="541"/>
      <c r="AK611" s="541"/>
      <c r="AL611" s="541"/>
      <c r="AM611" s="541"/>
      <c r="AN611" s="543"/>
      <c r="AO611" s="542"/>
      <c r="AP611" s="542"/>
      <c r="AQ611" s="542">
        <f>+FL_2($T$612,$T$610,$G$611,1200,9.28,-1*$F$612)</f>
        <v>-0.3000127248043325</v>
      </c>
      <c r="AR611" s="542"/>
      <c r="AS611" s="542"/>
      <c r="AT611" s="542"/>
      <c r="AU611" s="544"/>
      <c r="AV611" s="544"/>
      <c r="AW611" s="541" t="str">
        <f>IF(C611&gt;0,VLOOKUP(C611,Foundation_Calc!$A$2:$C$13,3,1),
IF(J611&gt;0,VLOOKUP(J611,Foundation_Calc!$A$2:$C$13,3,1),""))</f>
        <v/>
      </c>
      <c r="AX611" s="541" t="str">
        <f>IF(C611&gt;0,VLOOKUP(C611,Foundation_Calc!$E$2:$G$33,3,1),
IF(J611&gt;0,VLOOKUP(J611,Foundation_Calc!$E$2:$G$33,3,1),""))</f>
        <v/>
      </c>
      <c r="AY611" s="543" t="str">
        <f>IF(L611="","",
IF(AX611="PT",VLOOKUP(L611,Foundation_Calc!$K$79:$R$113,VLOOKUP(AW611,Foundation_Calc!$I$2:$J$8,2,FALSE),0),
IF(AX611="K",VLOOKUP(L611,Foundation_Calc!$K$117:$R$151,VLOOKUP(AW611,Foundation_Calc!$I$2:$J$8,2,FALSE),0),"")))</f>
        <v/>
      </c>
      <c r="AZ611" s="543" t="str">
        <f>IF(K611="","",
IF(AX611="PT",VLOOKUP(K611,Foundation_Calc!$K$79:$R$113,VLOOKUP(AW611,Foundation_Calc!$I$2:$J$8,2,FALSE),0),
IF(AX611="K",VLOOKUP(K611,Foundation_Calc!$K$117:$R$151,VLOOKUP(AW611,Foundation_Calc!$I$2:$J$8,2,FALSE),0),"")))</f>
        <v/>
      </c>
      <c r="BA611" s="550" t="str">
        <f t="shared" si="71"/>
        <v/>
      </c>
      <c r="BB611" s="550" t="str">
        <f t="shared" si="72"/>
        <v/>
      </c>
      <c r="BC611" s="550" t="str">
        <f t="shared" si="73"/>
        <v/>
      </c>
      <c r="BD611" s="516" t="str">
        <f>IF(AND(L611="",H611=""),"",
IF(H611="",Pole_Calc!A$9,
IF(H611="MP",Pole_Calc!A$10,
IF(H611="AnMP",Pole_Calc!A$11,
IF(H611="A",Pole_Calc!A$12,
IF(H611="S/A",Pole_Calc!A$13,
IF(H611="A/S",Pole_Calc!A$14,"Poner a mano")))))))</f>
        <v/>
      </c>
      <c r="BE611" s="429" t="s">
        <v>118</v>
      </c>
      <c r="BF611" s="290"/>
      <c r="BG611" s="290"/>
      <c r="BH611" s="290"/>
      <c r="BI611" s="290"/>
    </row>
    <row r="612" spans="1:61" ht="15.75" customHeight="1">
      <c r="A612" s="514"/>
      <c r="B612" s="450" t="s">
        <v>537</v>
      </c>
      <c r="C612" s="3">
        <f>+$C$610+$G$611</f>
        <v>44946.84</v>
      </c>
      <c r="D612" s="83"/>
      <c r="E612" s="4"/>
      <c r="F612" s="4">
        <f>IF(C612&gt;0,VLOOKUP(C612,'ALIGNMENT TRACK'!$A$1:$K$81,9,1))</f>
        <v>1205</v>
      </c>
      <c r="G612" s="6"/>
      <c r="H612" s="449" t="s">
        <v>171</v>
      </c>
      <c r="I612" s="4"/>
      <c r="J612" s="3"/>
      <c r="K612" s="449"/>
      <c r="L612" s="449" t="s">
        <v>158</v>
      </c>
      <c r="M612" s="449" t="str">
        <f>IF(L612="","",
IF(AX612="PT",VLOOKUP(L612,Foundation_Calc!$V$79:$X$113,VLOOKUP(AX612,Foundation_Calc!$I$10:$J$13,2,FALSE),0),
IF(AX612="K",VLOOKUP(L612,Foundation_Calc!$V$117:$X$151,VLOOKUP(AX612,Foundation_Calc!$I$10:$J$13,2,FALSE),0),"")))</f>
        <v>C4R</v>
      </c>
      <c r="N612" s="449" t="s">
        <v>124</v>
      </c>
      <c r="O612" s="449"/>
      <c r="P612" s="449"/>
      <c r="Q612" s="4"/>
      <c r="R612" s="6"/>
      <c r="S612" s="6"/>
      <c r="T612" s="4">
        <v>-30</v>
      </c>
      <c r="U612" s="4"/>
      <c r="V612" s="4"/>
      <c r="W612" s="572">
        <v>1</v>
      </c>
      <c r="X612" s="9"/>
      <c r="Y612" s="9"/>
      <c r="Z612" s="9"/>
      <c r="AA612" s="9"/>
      <c r="AB612" s="9"/>
      <c r="AC612" s="449" t="str">
        <f t="shared" si="70"/>
        <v>PHQ</v>
      </c>
      <c r="AD612" s="449"/>
      <c r="AE612" s="449"/>
      <c r="AF612" s="4"/>
      <c r="AG612" s="83"/>
      <c r="AH612" s="4"/>
      <c r="AI612" s="4"/>
      <c r="AJ612" s="449"/>
      <c r="AK612" s="449"/>
      <c r="AL612" s="449"/>
      <c r="AM612" s="449" t="s">
        <v>126</v>
      </c>
      <c r="AN612" s="10">
        <v>5.5</v>
      </c>
      <c r="AO612" s="9"/>
      <c r="AP612" s="9"/>
      <c r="AQ612" s="9"/>
      <c r="AR612" s="9"/>
      <c r="AS612" s="9"/>
      <c r="AT612" s="9">
        <f>+ab($T$612,$T$610,$T$614,$G$611,$G$613,-1*$F$612,1200)</f>
        <v>-5.2465078467741479</v>
      </c>
      <c r="AU612" s="428"/>
      <c r="AV612" s="428"/>
      <c r="AW612" s="449" t="str">
        <f>IF(C612&gt;0,VLOOKUP(C612,Foundation_Calc!$A$2:$C$13,3,1),
IF(J612&gt;0,VLOOKUP(J612,Foundation_Calc!$A$2:$C$13,3,1),""))</f>
        <v>Multi Soil</v>
      </c>
      <c r="AX612" s="449" t="str">
        <f>IF(C612&gt;0,VLOOKUP(C612,Foundation_Calc!$E$2:$G$33,3,1),
IF(J612&gt;0,VLOOKUP(J612,Foundation_Calc!$E$2:$G$33,3,1),""))</f>
        <v>PT</v>
      </c>
      <c r="AY612" s="10">
        <f>IF(L612="","",
IF(AX612="PT",VLOOKUP(L612,Foundation_Calc!$K$79:$R$113,VLOOKUP(AW612,Foundation_Calc!$I$2:$J$8,2,FALSE),0),
IF(AX612="K",VLOOKUP(L612,Foundation_Calc!$K$117:$R$151,VLOOKUP(AW612,Foundation_Calc!$I$2:$J$8,2,FALSE),0),"")))</f>
        <v>3.5</v>
      </c>
      <c r="AZ612" s="10" t="str">
        <f>IF(K612="","",
IF(AX612="PT",VLOOKUP(K612,Foundation_Calc!$K$79:$R$113,VLOOKUP(AW612,Foundation_Calc!$I$2:$J$8,2,FALSE),0),
IF(AX612="K",VLOOKUP(K612,Foundation_Calc!$K$117:$R$151,VLOOKUP(AW612,Foundation_Calc!$I$2:$J$8,2,FALSE),0),"")))</f>
        <v/>
      </c>
      <c r="BA612" s="495" t="str">
        <f t="shared" si="71"/>
        <v>ü</v>
      </c>
      <c r="BB612" s="495" t="str">
        <f t="shared" si="72"/>
        <v/>
      </c>
      <c r="BC612" s="495" t="str">
        <f t="shared" si="73"/>
        <v/>
      </c>
      <c r="BD612" s="513" t="str">
        <f>IF(AND(L612="",H612=""),"",
IF(H612="",Pole_Calc!A$9,
IF(H612="MP",Pole_Calc!A$10,
IF(H612="AnMP",Pole_Calc!A$11,
IF(H612="A",Pole_Calc!A$12,
IF(H612="S/A",Pole_Calc!A$13,
IF(H612="A/S",Pole_Calc!A$14,"Poner a mano")))))))</f>
        <v>App.7-V11I-P9.5.1.2</v>
      </c>
      <c r="BE612" s="429" t="s">
        <v>118</v>
      </c>
      <c r="BF612" s="289"/>
      <c r="BG612" s="289"/>
      <c r="BH612" s="290"/>
      <c r="BI612" s="289"/>
    </row>
    <row r="613" spans="1:61" ht="15.75" customHeight="1">
      <c r="A613" s="514"/>
      <c r="B613" s="450"/>
      <c r="C613" s="3"/>
      <c r="D613" s="83"/>
      <c r="E613" s="4"/>
      <c r="F613" s="4"/>
      <c r="G613" s="6">
        <v>42.9</v>
      </c>
      <c r="H613" s="449"/>
      <c r="I613" s="4">
        <f>SUM(G613:G631)</f>
        <v>411.8</v>
      </c>
      <c r="J613" s="3"/>
      <c r="K613" s="449"/>
      <c r="L613" s="449"/>
      <c r="M613" s="449" t="str">
        <f>IF(L613="","",
IF(AX613="PT",VLOOKUP(L613,Foundation_Calc!$V$79:$X$113,VLOOKUP(AX613,Foundation_Calc!$I$10:$J$13,2,FALSE),0),
IF(AX613="K",VLOOKUP(L613,Foundation_Calc!$V$117:$X$151,VLOOKUP(AX613,Foundation_Calc!$I$10:$J$13,2,FALSE),0),"")))</f>
        <v/>
      </c>
      <c r="N613" s="575"/>
      <c r="O613" s="449"/>
      <c r="P613" s="449"/>
      <c r="Q613" s="4"/>
      <c r="R613" s="6"/>
      <c r="S613" s="6"/>
      <c r="T613" s="4"/>
      <c r="U613" s="4"/>
      <c r="V613" s="4"/>
      <c r="W613" s="572"/>
      <c r="X613" s="9"/>
      <c r="Y613" s="9"/>
      <c r="Z613" s="9"/>
      <c r="AA613" s="9"/>
      <c r="AB613" s="9"/>
      <c r="AC613" s="449" t="str">
        <f t="shared" si="70"/>
        <v/>
      </c>
      <c r="AD613" s="449"/>
      <c r="AE613" s="449"/>
      <c r="AF613" s="4"/>
      <c r="AG613" s="83"/>
      <c r="AH613" s="4"/>
      <c r="AI613" s="4"/>
      <c r="AJ613" s="449"/>
      <c r="AK613" s="449"/>
      <c r="AL613" s="449"/>
      <c r="AM613" s="449"/>
      <c r="AN613" s="10"/>
      <c r="AO613" s="9"/>
      <c r="AP613" s="9"/>
      <c r="AQ613" s="9">
        <f>+FL_2($T$614,$T$612,$G$613,1200,9.28,-1*$F$614)</f>
        <v>-0.3</v>
      </c>
      <c r="AR613" s="9"/>
      <c r="AS613" s="9"/>
      <c r="AT613" s="9"/>
      <c r="AU613" s="428"/>
      <c r="AV613" s="428"/>
      <c r="AW613" s="449" t="str">
        <f>IF(C613&gt;0,VLOOKUP(C613,Foundation_Calc!$A$2:$C$13,3,1),
IF(J613&gt;0,VLOOKUP(J613,Foundation_Calc!$A$2:$C$13,3,1),""))</f>
        <v/>
      </c>
      <c r="AX613" s="449" t="str">
        <f>IF(C613&gt;0,VLOOKUP(C613,Foundation_Calc!$E$2:$G$33,3,1),
IF(J613&gt;0,VLOOKUP(J613,Foundation_Calc!$E$2:$G$33,3,1),""))</f>
        <v/>
      </c>
      <c r="AY613" s="10" t="str">
        <f>IF(L613="","",
IF(AX613="PT",VLOOKUP(L613,Foundation_Calc!$K$79:$R$113,VLOOKUP(AW613,Foundation_Calc!$I$2:$J$8,2,FALSE),0),
IF(AX613="K",VLOOKUP(L613,Foundation_Calc!$K$117:$R$151,VLOOKUP(AW613,Foundation_Calc!$I$2:$J$8,2,FALSE),0),"")))</f>
        <v/>
      </c>
      <c r="AZ613" s="10" t="str">
        <f>IF(K613="","",
IF(AX613="PT",VLOOKUP(K613,Foundation_Calc!$K$79:$R$113,VLOOKUP(AW613,Foundation_Calc!$I$2:$J$8,2,FALSE),0),
IF(AX613="K",VLOOKUP(K613,Foundation_Calc!$K$117:$R$151,VLOOKUP(AW613,Foundation_Calc!$I$2:$J$8,2,FALSE),0),"")))</f>
        <v/>
      </c>
      <c r="BA613" s="495" t="str">
        <f t="shared" si="71"/>
        <v/>
      </c>
      <c r="BB613" s="495" t="str">
        <f t="shared" si="72"/>
        <v/>
      </c>
      <c r="BC613" s="495" t="str">
        <f t="shared" si="73"/>
        <v/>
      </c>
      <c r="BD613" s="513" t="str">
        <f>IF(AND(L613="",H613=""),"",
IF(H613="",Pole_Calc!A$9,
IF(H613="MP",Pole_Calc!A$10,
IF(H613="AnMP",Pole_Calc!A$11,
IF(H613="A",Pole_Calc!A$12,
IF(H613="S/A",Pole_Calc!A$13,
IF(H613="A/S",Pole_Calc!A$14,"Poner a mano")))))))</f>
        <v/>
      </c>
      <c r="BE613" s="429" t="s">
        <v>118</v>
      </c>
      <c r="BF613" s="290"/>
      <c r="BG613" s="290"/>
      <c r="BH613" s="290"/>
      <c r="BI613" s="290"/>
    </row>
    <row r="614" spans="1:61" ht="15.75" customHeight="1">
      <c r="A614" s="514"/>
      <c r="B614" s="720" t="s">
        <v>538</v>
      </c>
      <c r="C614" s="3">
        <f>+$C$612+$G$613</f>
        <v>44989.74</v>
      </c>
      <c r="D614" s="83"/>
      <c r="E614" s="4"/>
      <c r="F614" s="4">
        <f>IF(C614&gt;0,VLOOKUP(C614,'ALIGNMENT TRACK'!$A$1:$K$81,9,1))</f>
        <v>1205</v>
      </c>
      <c r="G614" s="6"/>
      <c r="H614" s="449" t="s">
        <v>168</v>
      </c>
      <c r="I614" s="4"/>
      <c r="J614" s="3"/>
      <c r="K614" s="449"/>
      <c r="L614" s="449" t="s">
        <v>206</v>
      </c>
      <c r="M614" s="449" t="str">
        <f>IF(L614="","",
IF(AX614="PT",VLOOKUP(L614,Foundation_Calc!$V$79:$X$113,VLOOKUP(AX614,Foundation_Calc!$I$10:$J$13,2,FALSE),0),
IF(AX614="K",VLOOKUP(L614,Foundation_Calc!$V$117:$X$151,VLOOKUP(AX614,Foundation_Calc!$I$10:$J$13,2,FALSE),0),"")))</f>
        <v>2C4R</v>
      </c>
      <c r="N614" s="449" t="s">
        <v>124</v>
      </c>
      <c r="O614" s="449"/>
      <c r="P614" s="449"/>
      <c r="Q614" s="4"/>
      <c r="R614" s="6"/>
      <c r="S614" s="6"/>
      <c r="T614" s="4">
        <v>-30</v>
      </c>
      <c r="U614" s="4"/>
      <c r="V614" s="4"/>
      <c r="W614" s="572">
        <v>0.8</v>
      </c>
      <c r="X614" s="9"/>
      <c r="Y614" s="9"/>
      <c r="Z614" s="9"/>
      <c r="AA614" s="9"/>
      <c r="AB614" s="9"/>
      <c r="AC614" s="449" t="str">
        <f t="shared" si="70"/>
        <v>PHC</v>
      </c>
      <c r="AD614" s="449"/>
      <c r="AE614" s="449"/>
      <c r="AF614" s="4"/>
      <c r="AG614" s="83"/>
      <c r="AH614" s="4"/>
      <c r="AI614" s="4"/>
      <c r="AJ614" s="449"/>
      <c r="AK614" s="449"/>
      <c r="AL614" s="449"/>
      <c r="AM614" s="449" t="s">
        <v>126</v>
      </c>
      <c r="AN614" s="10">
        <v>5.5</v>
      </c>
      <c r="AO614" s="9"/>
      <c r="AP614" s="9"/>
      <c r="AQ614" s="9"/>
      <c r="AR614" s="9"/>
      <c r="AS614" s="9"/>
      <c r="AT614" s="9">
        <f>+ab($T$614,$T$612,$T$616,$G$613,$G$615,-1*$F$614,1200)</f>
        <v>-4.9655855372191073</v>
      </c>
      <c r="AU614" s="428"/>
      <c r="AV614" s="428"/>
      <c r="AW614" s="449" t="str">
        <f>IF(C614&gt;0,VLOOKUP(C614,Foundation_Calc!$A$2:$C$13,3,1),
IF(J614&gt;0,VLOOKUP(J614,Foundation_Calc!$A$2:$C$13,3,1),""))</f>
        <v>Multi Soil</v>
      </c>
      <c r="AX614" s="449" t="str">
        <f>IF(C614&gt;0,VLOOKUP(C614,Foundation_Calc!$E$2:$G$33,3,1),
IF(J614&gt;0,VLOOKUP(J614,Foundation_Calc!$E$2:$G$33,3,1),""))</f>
        <v>PT</v>
      </c>
      <c r="AY614" s="10">
        <f>IF(L614="","",
IF(AX614="PT",VLOOKUP(L614,Foundation_Calc!$K$79:$R$113,VLOOKUP(AW614,Foundation_Calc!$I$2:$J$8,2,FALSE),0),
IF(AX614="K",VLOOKUP(L614,Foundation_Calc!$K$117:$R$151,VLOOKUP(AW614,Foundation_Calc!$I$2:$J$8,2,FALSE),0),"")))</f>
        <v>4</v>
      </c>
      <c r="AZ614" s="10" t="str">
        <f>IF(K614="","",
IF(AX614="PT",VLOOKUP(K614,Foundation_Calc!$K$79:$R$113,VLOOKUP(AW614,Foundation_Calc!$I$2:$J$8,2,FALSE),0),
IF(AX614="K",VLOOKUP(K614,Foundation_Calc!$K$117:$R$151,VLOOKUP(AW614,Foundation_Calc!$I$2:$J$8,2,FALSE),0),"")))</f>
        <v/>
      </c>
      <c r="BA614" s="495" t="str">
        <f t="shared" si="71"/>
        <v>ü</v>
      </c>
      <c r="BB614" s="495" t="str">
        <f t="shared" si="72"/>
        <v/>
      </c>
      <c r="BC614" s="495" t="str">
        <f t="shared" si="73"/>
        <v/>
      </c>
      <c r="BD614" s="513" t="str">
        <f>IF(AND(L614="",H614=""),"",
IF(H614="",Pole_Calc!A$9,
IF(H614="MP",Pole_Calc!A$10,
IF(H614="AnMP",Pole_Calc!A$11,
IF(H614="A",Pole_Calc!A$12,
IF(H614="S/A",Pole_Calc!A$13,
IF(H614="A/S",Pole_Calc!A$14,"Poner a mano")))))))</f>
        <v>App.7-V11I-P9.5.1.3</v>
      </c>
      <c r="BE614" s="429" t="s">
        <v>118</v>
      </c>
      <c r="BF614" s="289"/>
      <c r="BG614" s="289"/>
      <c r="BH614" s="290"/>
      <c r="BI614" s="289"/>
    </row>
    <row r="615" spans="1:61" ht="15.75" customHeight="1">
      <c r="A615" s="685" t="s">
        <v>539</v>
      </c>
      <c r="B615" s="686"/>
      <c r="C615" s="687"/>
      <c r="D615" s="688"/>
      <c r="E615" s="689"/>
      <c r="F615" s="689"/>
      <c r="G615" s="690">
        <v>50</v>
      </c>
      <c r="H615" s="691"/>
      <c r="I615" s="689"/>
      <c r="J615" s="687"/>
      <c r="K615" s="691"/>
      <c r="L615" s="691"/>
      <c r="M615" s="691" t="str">
        <f>IF(L615="","",
IF(AX615="PT",VLOOKUP(L615,Foundation_Calc!$V$79:$X$113,VLOOKUP(AX615,Foundation_Calc!$I$10:$J$13,2,FALSE),0),
IF(AX615="K",VLOOKUP(L615,Foundation_Calc!$V$117:$X$151,VLOOKUP(AX615,Foundation_Calc!$I$10:$J$13,2,FALSE),0),"")))</f>
        <v/>
      </c>
      <c r="N615" s="745"/>
      <c r="O615" s="691"/>
      <c r="P615" s="691"/>
      <c r="Q615" s="689"/>
      <c r="R615" s="690"/>
      <c r="S615" s="690"/>
      <c r="T615" s="689"/>
      <c r="U615" s="689"/>
      <c r="V615" s="689"/>
      <c r="W615" s="695"/>
      <c r="X615" s="692"/>
      <c r="Y615" s="692"/>
      <c r="Z615" s="692"/>
      <c r="AA615" s="692"/>
      <c r="AB615" s="692"/>
      <c r="AC615" s="691" t="str">
        <f t="shared" si="70"/>
        <v/>
      </c>
      <c r="AD615" s="691"/>
      <c r="AE615" s="691"/>
      <c r="AF615" s="689"/>
      <c r="AG615" s="688"/>
      <c r="AH615" s="689"/>
      <c r="AI615" s="689"/>
      <c r="AJ615" s="691"/>
      <c r="AK615" s="691"/>
      <c r="AL615" s="691"/>
      <c r="AM615" s="691"/>
      <c r="AN615" s="693"/>
      <c r="AO615" s="692"/>
      <c r="AP615" s="692"/>
      <c r="AQ615" s="692">
        <f>+FL_2($T$616,$T$614,$G$615,1200,9.28,-1*$F$616)</f>
        <v>-0.30001413835552104</v>
      </c>
      <c r="AR615" s="692"/>
      <c r="AS615" s="692"/>
      <c r="AT615" s="692"/>
      <c r="AU615" s="694"/>
      <c r="AV615" s="694"/>
      <c r="AW615" s="691" t="str">
        <f>IF(C615&gt;0,VLOOKUP(C615,Foundation_Calc!$A$2:$C$13,3,1),
IF(J615&gt;0,VLOOKUP(J615,Foundation_Calc!$A$2:$C$13,3,1),""))</f>
        <v/>
      </c>
      <c r="AX615" s="691" t="str">
        <f>IF(C615&gt;0,VLOOKUP(C615,Foundation_Calc!$E$2:$G$33,3,1),
IF(J615&gt;0,VLOOKUP(J615,Foundation_Calc!$E$2:$G$33,3,1),""))</f>
        <v/>
      </c>
      <c r="AY615" s="693" t="str">
        <f>IF(L615="","",
IF(AX615="PT",VLOOKUP(L615,Foundation_Calc!$K$79:$R$113,VLOOKUP(AW615,Foundation_Calc!$I$2:$J$8,2,FALSE),0),
IF(AX615="K",VLOOKUP(L615,Foundation_Calc!$K$117:$R$151,VLOOKUP(AW615,Foundation_Calc!$I$2:$J$8,2,FALSE),0),"")))</f>
        <v/>
      </c>
      <c r="AZ615" s="693" t="str">
        <f>IF(K615="","",
IF(AX615="PT",VLOOKUP(K615,Foundation_Calc!$K$79:$R$113,VLOOKUP(AW615,Foundation_Calc!$I$2:$J$8,2,FALSE),0),
IF(AX615="K",VLOOKUP(K615,Foundation_Calc!$K$117:$R$151,VLOOKUP(AW615,Foundation_Calc!$I$2:$J$8,2,FALSE),0),"")))</f>
        <v/>
      </c>
      <c r="BA615" s="495" t="str">
        <f t="shared" si="71"/>
        <v/>
      </c>
      <c r="BB615" s="495" t="str">
        <f t="shared" si="72"/>
        <v/>
      </c>
      <c r="BC615" s="495" t="str">
        <f t="shared" si="73"/>
        <v/>
      </c>
      <c r="BD615" s="513" t="str">
        <f>IF(AND(L615="",H615=""),"",
IF(H615="",Pole_Calc!A$9,
IF(H615="MP",Pole_Calc!A$10,
IF(H615="AnMP",Pole_Calc!A$11,
IF(H615="A",Pole_Calc!A$12,
IF(H615="S/A",Pole_Calc!A$13,
IF(H615="A/S",Pole_Calc!A$14,"Poner a mano")))))))</f>
        <v/>
      </c>
      <c r="BE615" s="429" t="s">
        <v>118</v>
      </c>
      <c r="BF615" s="290"/>
      <c r="BG615" s="290"/>
      <c r="BH615" s="290"/>
      <c r="BI615" s="290"/>
    </row>
    <row r="616" spans="1:61" ht="15.75" customHeight="1">
      <c r="A616" s="518"/>
      <c r="B616" s="450" t="s">
        <v>540</v>
      </c>
      <c r="C616" s="3">
        <f>+$C$614+$G$615</f>
        <v>45039.74</v>
      </c>
      <c r="D616" s="83"/>
      <c r="E616" s="4"/>
      <c r="F616" s="4">
        <f>IF(C616&gt;0,VLOOKUP(C616,'ALIGNMENT TRACK'!$A$1:$K$81,9,1))</f>
        <v>1205</v>
      </c>
      <c r="G616" s="6"/>
      <c r="H616" s="449"/>
      <c r="I616" s="4"/>
      <c r="J616" s="3"/>
      <c r="K616" s="449"/>
      <c r="L616" s="449" t="s">
        <v>158</v>
      </c>
      <c r="M616" s="449" t="str">
        <f>IF(L616="","",
IF(AX616="PT",VLOOKUP(L616,Foundation_Calc!$V$79:$X$113,VLOOKUP(AX616,Foundation_Calc!$I$10:$J$13,2,FALSE),0),
IF(AX616="K",VLOOKUP(L616,Foundation_Calc!$V$117:$X$151,VLOOKUP(AX616,Foundation_Calc!$I$10:$J$13,2,FALSE),0),"")))</f>
        <v>C4R</v>
      </c>
      <c r="N616" s="449" t="s">
        <v>124</v>
      </c>
      <c r="O616" s="449"/>
      <c r="P616" s="449"/>
      <c r="Q616" s="4"/>
      <c r="R616" s="6"/>
      <c r="S616" s="6"/>
      <c r="T616" s="4">
        <v>-30</v>
      </c>
      <c r="U616" s="4"/>
      <c r="V616" s="4"/>
      <c r="W616" s="572">
        <v>0.6</v>
      </c>
      <c r="X616" s="9"/>
      <c r="Y616" s="9"/>
      <c r="Z616" s="9"/>
      <c r="AA616" s="9"/>
      <c r="AB616" s="9"/>
      <c r="AC616" s="449" t="str">
        <f t="shared" si="70"/>
        <v>PHC</v>
      </c>
      <c r="AD616" s="449"/>
      <c r="AE616" s="449"/>
      <c r="AF616" s="4"/>
      <c r="AG616" s="83"/>
      <c r="AH616" s="4"/>
      <c r="AI616" s="4"/>
      <c r="AJ616" s="449"/>
      <c r="AK616" s="449"/>
      <c r="AL616" s="449"/>
      <c r="AM616" s="449" t="s">
        <v>126</v>
      </c>
      <c r="AN616" s="10">
        <v>5.5</v>
      </c>
      <c r="AO616" s="9"/>
      <c r="AP616" s="9"/>
      <c r="AQ616" s="9"/>
      <c r="AR616" s="9"/>
      <c r="AS616" s="9"/>
      <c r="AT616" s="9">
        <f>+ab($T$616,$T$614,$T$618,$G$615,$G$617,-1*$F$616,1200)</f>
        <v>-4.9077631003014863</v>
      </c>
      <c r="AU616" s="428"/>
      <c r="AV616" s="428"/>
      <c r="AW616" s="449" t="str">
        <f>IF(C616&gt;0,VLOOKUP(C616,Foundation_Calc!$A$2:$C$13,3,1),
IF(J616&gt;0,VLOOKUP(J616,Foundation_Calc!$A$2:$C$13,3,1),""))</f>
        <v>Multi Soil</v>
      </c>
      <c r="AX616" s="449" t="str">
        <f>IF(C616&gt;0,VLOOKUP(C616,Foundation_Calc!$E$2:$G$33,3,1),
IF(J616&gt;0,VLOOKUP(J616,Foundation_Calc!$E$2:$G$33,3,1),""))</f>
        <v>PT</v>
      </c>
      <c r="AY616" s="10">
        <f>IF(L616="","",
IF(AX616="PT",VLOOKUP(L616,Foundation_Calc!$K$79:$R$113,VLOOKUP(AW616,Foundation_Calc!$I$2:$J$8,2,FALSE),0),
IF(AX616="K",VLOOKUP(L616,Foundation_Calc!$K$117:$R$151,VLOOKUP(AW616,Foundation_Calc!$I$2:$J$8,2,FALSE),0),"")))</f>
        <v>3.5</v>
      </c>
      <c r="AZ616" s="10" t="str">
        <f>IF(K616="","",
IF(AX616="PT",VLOOKUP(K616,Foundation_Calc!$K$79:$R$113,VLOOKUP(AW616,Foundation_Calc!$I$2:$J$8,2,FALSE),0),
IF(AX616="K",VLOOKUP(K616,Foundation_Calc!$K$117:$R$151,VLOOKUP(AW616,Foundation_Calc!$I$2:$J$8,2,FALSE),0),"")))</f>
        <v/>
      </c>
      <c r="BA616" s="495" t="str">
        <f t="shared" si="71"/>
        <v>ü</v>
      </c>
      <c r="BB616" s="495" t="str">
        <f t="shared" si="72"/>
        <v/>
      </c>
      <c r="BC616" s="495" t="str">
        <f t="shared" si="73"/>
        <v/>
      </c>
      <c r="BD616" s="513" t="str">
        <f>IF(AND(L616="",H616=""),"",
IF(H616="",Pole_Calc!A$9,
IF(H616="MP",Pole_Calc!A$10,
IF(H616="AnMP",Pole_Calc!A$11,
IF(H616="A",Pole_Calc!A$12,
IF(H616="S/A",Pole_Calc!A$13,
IF(H616="A/S",Pole_Calc!A$14,"Poner a mano")))))))</f>
        <v>App.7-V11I-P9.5.1.1</v>
      </c>
      <c r="BE616" s="429" t="s">
        <v>118</v>
      </c>
      <c r="BF616" s="289"/>
      <c r="BG616" s="289"/>
      <c r="BH616" s="290"/>
      <c r="BI616" s="289"/>
    </row>
    <row r="617" spans="1:61" ht="15.75" customHeight="1">
      <c r="A617" s="514" t="s">
        <v>469</v>
      </c>
      <c r="B617" s="450"/>
      <c r="C617" s="3"/>
      <c r="D617" s="83"/>
      <c r="E617" s="4"/>
      <c r="F617" s="4"/>
      <c r="G617" s="6">
        <v>44</v>
      </c>
      <c r="H617" s="449"/>
      <c r="I617" s="4"/>
      <c r="J617" s="3"/>
      <c r="K617" s="449"/>
      <c r="L617" s="449"/>
      <c r="M617" s="449" t="str">
        <f>IF(L617="","",
IF(AX617="PT",VLOOKUP(L617,Foundation_Calc!$V$79:$X$113,VLOOKUP(AX617,Foundation_Calc!$I$10:$J$13,2,FALSE),0),
IF(AX617="K",VLOOKUP(L617,Foundation_Calc!$V$117:$X$151,VLOOKUP(AX617,Foundation_Calc!$I$10:$J$13,2,FALSE),0),"")))</f>
        <v/>
      </c>
      <c r="N617" s="449"/>
      <c r="O617" s="449"/>
      <c r="P617" s="449"/>
      <c r="Q617" s="4"/>
      <c r="R617" s="6"/>
      <c r="S617" s="6"/>
      <c r="T617" s="4"/>
      <c r="U617" s="4"/>
      <c r="V617" s="4"/>
      <c r="W617" s="572"/>
      <c r="X617" s="9"/>
      <c r="Y617" s="9"/>
      <c r="Z617" s="9"/>
      <c r="AA617" s="9"/>
      <c r="AB617" s="9"/>
      <c r="AC617" s="449" t="str">
        <f t="shared" si="70"/>
        <v/>
      </c>
      <c r="AD617" s="449"/>
      <c r="AE617" s="449"/>
      <c r="AF617" s="4"/>
      <c r="AG617" s="83"/>
      <c r="AH617" s="4"/>
      <c r="AI617" s="4"/>
      <c r="AJ617" s="449"/>
      <c r="AK617" s="449"/>
      <c r="AL617" s="449"/>
      <c r="AM617" s="449"/>
      <c r="AN617" s="10"/>
      <c r="AO617" s="9"/>
      <c r="AP617" s="9"/>
      <c r="AQ617" s="9">
        <f>+FL_2($T$618,$T$616,$G$617,1200,9.28,-1*$F$618)</f>
        <v>-0.30001244209400424</v>
      </c>
      <c r="AR617" s="9"/>
      <c r="AS617" s="9"/>
      <c r="AT617" s="9"/>
      <c r="AU617" s="428"/>
      <c r="AV617" s="428"/>
      <c r="AW617" s="449" t="str">
        <f>IF(C617&gt;0,VLOOKUP(C617,Foundation_Calc!$A$2:$C$13,3,1),
IF(J617&gt;0,VLOOKUP(J617,Foundation_Calc!$A$2:$C$13,3,1),""))</f>
        <v/>
      </c>
      <c r="AX617" s="449" t="str">
        <f>IF(C617&gt;0,VLOOKUP(C617,Foundation_Calc!$E$2:$G$33,3,1),
IF(J617&gt;0,VLOOKUP(J617,Foundation_Calc!$E$2:$G$33,3,1),""))</f>
        <v/>
      </c>
      <c r="AY617" s="10" t="str">
        <f>IF(L617="","",
IF(AX617="PT",VLOOKUP(L617,Foundation_Calc!$K$79:$R$113,VLOOKUP(AW617,Foundation_Calc!$I$2:$J$8,2,FALSE),0),
IF(AX617="K",VLOOKUP(L617,Foundation_Calc!$K$117:$R$151,VLOOKUP(AW617,Foundation_Calc!$I$2:$J$8,2,FALSE),0),"")))</f>
        <v/>
      </c>
      <c r="AZ617" s="10" t="str">
        <f>IF(K617="","",
IF(AX617="PT",VLOOKUP(K617,Foundation_Calc!$K$79:$R$113,VLOOKUP(AW617,Foundation_Calc!$I$2:$J$8,2,FALSE),0),
IF(AX617="K",VLOOKUP(K617,Foundation_Calc!$K$117:$R$151,VLOOKUP(AW617,Foundation_Calc!$I$2:$J$8,2,FALSE),0),"")))</f>
        <v/>
      </c>
      <c r="BA617" s="495" t="str">
        <f t="shared" si="71"/>
        <v/>
      </c>
      <c r="BB617" s="495" t="str">
        <f t="shared" si="72"/>
        <v/>
      </c>
      <c r="BC617" s="495" t="str">
        <f t="shared" si="73"/>
        <v/>
      </c>
      <c r="BD617" s="513" t="str">
        <f>IF(AND(L617="",H617=""),"",
IF(H617="",Pole_Calc!A$9,
IF(H617="MP",Pole_Calc!A$10,
IF(H617="AnMP",Pole_Calc!A$11,
IF(H617="A",Pole_Calc!A$12,
IF(H617="S/A",Pole_Calc!A$13,
IF(H617="A/S",Pole_Calc!A$14,"Poner a mano")))))))</f>
        <v/>
      </c>
      <c r="BE617" s="429" t="s">
        <v>118</v>
      </c>
      <c r="BF617" s="290"/>
      <c r="BG617" s="290"/>
      <c r="BH617" s="290"/>
      <c r="BI617" s="290"/>
    </row>
    <row r="618" spans="1:61" ht="15.75" customHeight="1">
      <c r="A618" s="514"/>
      <c r="B618" s="450" t="s">
        <v>541</v>
      </c>
      <c r="C618" s="3">
        <f>+$C$616+$G$617</f>
        <v>45083.74</v>
      </c>
      <c r="D618" s="83"/>
      <c r="E618" s="4"/>
      <c r="F618" s="4">
        <f>IF(C618&gt;0,VLOOKUP(C618,'ALIGNMENT TRACK'!$A$1:$K$81,9,1))</f>
        <v>1205</v>
      </c>
      <c r="G618" s="6"/>
      <c r="H618" s="449"/>
      <c r="I618" s="4"/>
      <c r="J618" s="3"/>
      <c r="K618" s="449"/>
      <c r="L618" s="449" t="s">
        <v>158</v>
      </c>
      <c r="M618" s="449" t="str">
        <f>IF(L618="","",
IF(AX618="PT",VLOOKUP(L618,Foundation_Calc!$V$79:$X$113,VLOOKUP(AX618,Foundation_Calc!$I$10:$J$13,2,FALSE),0),
IF(AX618="K",VLOOKUP(L618,Foundation_Calc!$V$117:$X$151,VLOOKUP(AX618,Foundation_Calc!$I$10:$J$13,2,FALSE),0),"")))</f>
        <v>C4R</v>
      </c>
      <c r="N618" s="449" t="s">
        <v>124</v>
      </c>
      <c r="O618" s="449"/>
      <c r="P618" s="449"/>
      <c r="Q618" s="4"/>
      <c r="R618" s="6"/>
      <c r="S618" s="6"/>
      <c r="T618" s="4">
        <v>-30</v>
      </c>
      <c r="U618" s="4"/>
      <c r="V618" s="4"/>
      <c r="W618" s="572">
        <v>0.6</v>
      </c>
      <c r="X618" s="9"/>
      <c r="Y618" s="9"/>
      <c r="Z618" s="9"/>
      <c r="AA618" s="9"/>
      <c r="AB618" s="9"/>
      <c r="AC618" s="449" t="str">
        <f t="shared" si="70"/>
        <v>PHQ</v>
      </c>
      <c r="AD618" s="449"/>
      <c r="AE618" s="449"/>
      <c r="AF618" s="4"/>
      <c r="AG618" s="83"/>
      <c r="AH618" s="4"/>
      <c r="AI618" s="4"/>
      <c r="AJ618" s="449"/>
      <c r="AK618" s="449"/>
      <c r="AL618" s="449"/>
      <c r="AM618" s="449" t="s">
        <v>126</v>
      </c>
      <c r="AN618" s="10">
        <v>5.5</v>
      </c>
      <c r="AO618" s="9"/>
      <c r="AP618" s="9"/>
      <c r="AQ618" s="9"/>
      <c r="AR618" s="9"/>
      <c r="AS618" s="9"/>
      <c r="AT618" s="9">
        <f>+ab($T$618,$T$616,$T$620,$G$617,$G$619,-1*$F$618,1200)</f>
        <v>-5.9918619557789441</v>
      </c>
      <c r="AU618" s="428"/>
      <c r="AV618" s="428"/>
      <c r="AW618" s="449" t="str">
        <f>IF(C618&gt;0,VLOOKUP(C618,Foundation_Calc!$A$2:$C$13,3,1),
IF(J618&gt;0,VLOOKUP(J618,Foundation_Calc!$A$2:$C$13,3,1),""))</f>
        <v>Multi Soil</v>
      </c>
      <c r="AX618" s="449" t="str">
        <f>IF(C618&gt;0,VLOOKUP(C618,Foundation_Calc!$E$2:$G$33,3,1),
IF(J618&gt;0,VLOOKUP(J618,Foundation_Calc!$E$2:$G$33,3,1),""))</f>
        <v>PT</v>
      </c>
      <c r="AY618" s="10">
        <f>IF(L618="","",
IF(AX618="PT",VLOOKUP(L618,Foundation_Calc!$K$79:$R$113,VLOOKUP(AW618,Foundation_Calc!$I$2:$J$8,2,FALSE),0),
IF(AX618="K",VLOOKUP(L618,Foundation_Calc!$K$117:$R$151,VLOOKUP(AW618,Foundation_Calc!$I$2:$J$8,2,FALSE),0),"")))</f>
        <v>3.5</v>
      </c>
      <c r="AZ618" s="10" t="str">
        <f>IF(K618="","",
IF(AX618="PT",VLOOKUP(K618,Foundation_Calc!$K$79:$R$113,VLOOKUP(AW618,Foundation_Calc!$I$2:$J$8,2,FALSE),0),
IF(AX618="K",VLOOKUP(K618,Foundation_Calc!$K$117:$R$151,VLOOKUP(AW618,Foundation_Calc!$I$2:$J$8,2,FALSE),0),"")))</f>
        <v/>
      </c>
      <c r="BA618" s="495" t="str">
        <f t="shared" si="71"/>
        <v>ü</v>
      </c>
      <c r="BB618" s="495" t="str">
        <f t="shared" si="72"/>
        <v/>
      </c>
      <c r="BC618" s="495" t="str">
        <f t="shared" si="73"/>
        <v/>
      </c>
      <c r="BD618" s="513" t="str">
        <f>IF(AND(L618="",H618=""),"",
IF(H618="",Pole_Calc!A$9,
IF(H618="MP",Pole_Calc!A$10,
IF(H618="AnMP",Pole_Calc!A$11,
IF(H618="A",Pole_Calc!A$12,
IF(H618="S/A",Pole_Calc!A$13,
IF(H618="A/S",Pole_Calc!A$14,"Poner a mano")))))))</f>
        <v>App.7-V11I-P9.5.1.1</v>
      </c>
      <c r="BE618" s="429" t="s">
        <v>118</v>
      </c>
      <c r="BF618" s="289"/>
      <c r="BG618" s="289"/>
      <c r="BH618" s="290"/>
      <c r="BI618" s="289"/>
    </row>
    <row r="619" spans="1:61" ht="15.75" customHeight="1">
      <c r="A619" s="514" t="s">
        <v>193</v>
      </c>
      <c r="B619" s="450"/>
      <c r="C619" s="3"/>
      <c r="D619" s="83"/>
      <c r="E619" s="4"/>
      <c r="F619" s="4"/>
      <c r="G619" s="6">
        <v>32.9</v>
      </c>
      <c r="H619" s="449"/>
      <c r="I619" s="4"/>
      <c r="J619" s="3"/>
      <c r="K619" s="449"/>
      <c r="L619" s="449"/>
      <c r="M619" s="449" t="str">
        <f>IF(L619="","",
IF(AX619="PT",VLOOKUP(L619,Foundation_Calc!$V$79:$X$113,VLOOKUP(AX619,Foundation_Calc!$I$10:$J$13,2,FALSE),0),
IF(AX619="K",VLOOKUP(L619,Foundation_Calc!$V$117:$X$151,VLOOKUP(AX619,Foundation_Calc!$I$10:$J$13,2,FALSE),0),"")))</f>
        <v/>
      </c>
      <c r="N619" s="449"/>
      <c r="O619" s="449"/>
      <c r="P619" s="449"/>
      <c r="Q619" s="4"/>
      <c r="R619" s="6"/>
      <c r="S619" s="6"/>
      <c r="T619" s="4"/>
      <c r="U619" s="4"/>
      <c r="V619" s="4"/>
      <c r="W619" s="572"/>
      <c r="X619" s="9"/>
      <c r="Y619" s="9"/>
      <c r="Z619" s="9"/>
      <c r="AA619" s="9"/>
      <c r="AB619" s="9"/>
      <c r="AC619" s="449" t="str">
        <f t="shared" si="70"/>
        <v/>
      </c>
      <c r="AD619" s="449"/>
      <c r="AE619" s="449"/>
      <c r="AF619" s="4"/>
      <c r="AG619" s="83"/>
      <c r="AH619" s="4"/>
      <c r="AI619" s="4"/>
      <c r="AJ619" s="449"/>
      <c r="AK619" s="449"/>
      <c r="AL619" s="449"/>
      <c r="AM619" s="449"/>
      <c r="AN619" s="10"/>
      <c r="AO619" s="9"/>
      <c r="AP619" s="9"/>
      <c r="AQ619" s="9">
        <f>+FL_2($T$620,$T$618,$G$619,1200,9.28,-1*$F$620)</f>
        <v>-0.3</v>
      </c>
      <c r="AR619" s="9"/>
      <c r="AS619" s="9"/>
      <c r="AT619" s="9"/>
      <c r="AU619" s="428"/>
      <c r="AV619" s="428"/>
      <c r="AW619" s="449" t="str">
        <f>IF(C619&gt;0,VLOOKUP(C619,Foundation_Calc!$A$2:$C$13,3,1),
IF(J619&gt;0,VLOOKUP(J619,Foundation_Calc!$A$2:$C$13,3,1),""))</f>
        <v/>
      </c>
      <c r="AX619" s="449" t="str">
        <f>IF(C619&gt;0,VLOOKUP(C619,Foundation_Calc!$E$2:$G$33,3,1),
IF(J619&gt;0,VLOOKUP(J619,Foundation_Calc!$E$2:$G$33,3,1),""))</f>
        <v/>
      </c>
      <c r="AY619" s="10" t="str">
        <f>IF(L619="","",
IF(AX619="PT",VLOOKUP(L619,Foundation_Calc!$K$79:$R$113,VLOOKUP(AW619,Foundation_Calc!$I$2:$J$8,2,FALSE),0),
IF(AX619="K",VLOOKUP(L619,Foundation_Calc!$K$117:$R$151,VLOOKUP(AW619,Foundation_Calc!$I$2:$J$8,2,FALSE),0),"")))</f>
        <v/>
      </c>
      <c r="AZ619" s="10" t="str">
        <f>IF(K619="","",
IF(AX619="PT",VLOOKUP(K619,Foundation_Calc!$K$79:$R$113,VLOOKUP(AW619,Foundation_Calc!$I$2:$J$8,2,FALSE),0),
IF(AX619="K",VLOOKUP(K619,Foundation_Calc!$K$117:$R$151,VLOOKUP(AW619,Foundation_Calc!$I$2:$J$8,2,FALSE),0),"")))</f>
        <v/>
      </c>
      <c r="BA619" s="495" t="str">
        <f t="shared" si="71"/>
        <v/>
      </c>
      <c r="BB619" s="495" t="str">
        <f t="shared" si="72"/>
        <v/>
      </c>
      <c r="BC619" s="495" t="str">
        <f t="shared" si="73"/>
        <v/>
      </c>
      <c r="BD619" s="513" t="str">
        <f>IF(AND(L619="",H619=""),"",
IF(H619="",Pole_Calc!A$9,
IF(H619="MP",Pole_Calc!A$10,
IF(H619="AnMP",Pole_Calc!A$11,
IF(H619="A",Pole_Calc!A$12,
IF(H619="S/A",Pole_Calc!A$13,
IF(H619="A/S",Pole_Calc!A$14,"Poner a mano")))))))</f>
        <v/>
      </c>
      <c r="BE619" s="429" t="s">
        <v>118</v>
      </c>
      <c r="BF619" s="290"/>
      <c r="BG619" s="290"/>
      <c r="BH619" s="290"/>
      <c r="BI619" s="290"/>
    </row>
    <row r="620" spans="1:61" ht="15.75" customHeight="1">
      <c r="A620" s="514"/>
      <c r="B620" s="450" t="s">
        <v>542</v>
      </c>
      <c r="C620" s="3">
        <f>+$C$618+$G$619</f>
        <v>45116.639999999999</v>
      </c>
      <c r="D620" s="83"/>
      <c r="E620" s="4"/>
      <c r="F620" s="4">
        <f>IF(C620&gt;0,VLOOKUP(C620,'ALIGNMENT TRACK'!$A$1:$K$81,9,1))</f>
        <v>1205</v>
      </c>
      <c r="G620" s="6"/>
      <c r="H620" s="449"/>
      <c r="I620" s="4"/>
      <c r="J620" s="3"/>
      <c r="K620" s="449"/>
      <c r="L620" s="449" t="s">
        <v>158</v>
      </c>
      <c r="M620" s="449" t="str">
        <f>IF(L620="","",
IF(AX620="PT",VLOOKUP(L620,Foundation_Calc!$V$79:$X$113,VLOOKUP(AX620,Foundation_Calc!$I$10:$J$13,2,FALSE),0),
IF(AX620="K",VLOOKUP(L620,Foundation_Calc!$V$117:$X$151,VLOOKUP(AX620,Foundation_Calc!$I$10:$J$13,2,FALSE),0),"")))</f>
        <v>C4R</v>
      </c>
      <c r="N620" s="449" t="s">
        <v>124</v>
      </c>
      <c r="O620" s="449"/>
      <c r="P620" s="449"/>
      <c r="Q620" s="4"/>
      <c r="R620" s="6"/>
      <c r="S620" s="6"/>
      <c r="T620" s="4">
        <v>-30</v>
      </c>
      <c r="U620" s="4"/>
      <c r="V620" s="4"/>
      <c r="W620" s="572">
        <v>0.8</v>
      </c>
      <c r="X620" s="9"/>
      <c r="Y620" s="9"/>
      <c r="Z620" s="9"/>
      <c r="AA620" s="9"/>
      <c r="AB620" s="9"/>
      <c r="AC620" s="449" t="str">
        <f t="shared" si="70"/>
        <v>PHQ</v>
      </c>
      <c r="AD620" s="449"/>
      <c r="AE620" s="449"/>
      <c r="AF620" s="4"/>
      <c r="AG620" s="83"/>
      <c r="AH620" s="4"/>
      <c r="AI620" s="4"/>
      <c r="AJ620" s="449"/>
      <c r="AK620" s="449"/>
      <c r="AL620" s="449"/>
      <c r="AM620" s="449" t="s">
        <v>126</v>
      </c>
      <c r="AN620" s="10">
        <v>5.5</v>
      </c>
      <c r="AO620" s="9"/>
      <c r="AP620" s="9"/>
      <c r="AQ620" s="9"/>
      <c r="AR620" s="9"/>
      <c r="AS620" s="9"/>
      <c r="AT620" s="9">
        <f>+ab($T$620,$T$618,$T$622,$G$619,$G$621,-1*$F$620,1200)</f>
        <v>-6.7791058504870261</v>
      </c>
      <c r="AU620" s="428"/>
      <c r="AV620" s="428"/>
      <c r="AW620" s="449" t="str">
        <f>IF(C620&gt;0,VLOOKUP(C620,Foundation_Calc!$A$2:$C$13,3,1),
IF(J620&gt;0,VLOOKUP(J620,Foundation_Calc!$A$2:$C$13,3,1),""))</f>
        <v>Multi Soil</v>
      </c>
      <c r="AX620" s="449" t="str">
        <f>IF(C620&gt;0,VLOOKUP(C620,Foundation_Calc!$E$2:$G$33,3,1),
IF(J620&gt;0,VLOOKUP(J620,Foundation_Calc!$E$2:$G$33,3,1),""))</f>
        <v>PT</v>
      </c>
      <c r="AY620" s="10">
        <f>IF(L620="","",
IF(AX620="PT",VLOOKUP(L620,Foundation_Calc!$K$79:$R$113,VLOOKUP(AW620,Foundation_Calc!$I$2:$J$8,2,FALSE),0),
IF(AX620="K",VLOOKUP(L620,Foundation_Calc!$K$117:$R$151,VLOOKUP(AW620,Foundation_Calc!$I$2:$J$8,2,FALSE),0),"")))</f>
        <v>3.5</v>
      </c>
      <c r="AZ620" s="10" t="str">
        <f>IF(K620="","",
IF(AX620="PT",VLOOKUP(K620,Foundation_Calc!$K$79:$R$113,VLOOKUP(AW620,Foundation_Calc!$I$2:$J$8,2,FALSE),0),
IF(AX620="K",VLOOKUP(K620,Foundation_Calc!$K$117:$R$151,VLOOKUP(AW620,Foundation_Calc!$I$2:$J$8,2,FALSE),0),"")))</f>
        <v/>
      </c>
      <c r="BA620" s="495" t="str">
        <f t="shared" si="71"/>
        <v>ü</v>
      </c>
      <c r="BB620" s="495" t="str">
        <f t="shared" si="72"/>
        <v/>
      </c>
      <c r="BC620" s="495" t="str">
        <f t="shared" si="73"/>
        <v/>
      </c>
      <c r="BD620" s="513" t="str">
        <f>IF(AND(L620="",H620=""),"",
IF(H620="",Pole_Calc!A$9,
IF(H620="MP",Pole_Calc!A$10,
IF(H620="AnMP",Pole_Calc!A$11,
IF(H620="A",Pole_Calc!A$12,
IF(H620="S/A",Pole_Calc!A$13,
IF(H620="A/S",Pole_Calc!A$14,"Poner a mano")))))))</f>
        <v>App.7-V11I-P9.5.1.1</v>
      </c>
      <c r="BE620" s="429" t="s">
        <v>118</v>
      </c>
      <c r="BF620" s="289"/>
      <c r="BG620" s="289"/>
      <c r="BH620" s="290"/>
      <c r="BI620" s="289"/>
    </row>
    <row r="621" spans="1:61" ht="15.75" customHeight="1">
      <c r="A621" s="514"/>
      <c r="B621" s="450"/>
      <c r="C621" s="3"/>
      <c r="D621" s="83"/>
      <c r="E621" s="4"/>
      <c r="F621" s="4"/>
      <c r="G621" s="6">
        <v>35</v>
      </c>
      <c r="H621" s="449"/>
      <c r="I621" s="4"/>
      <c r="J621" s="3"/>
      <c r="K621" s="449"/>
      <c r="L621" s="449"/>
      <c r="M621" s="449" t="str">
        <f>IF(L621="","",
IF(AX621="PT",VLOOKUP(L621,Foundation_Calc!$V$79:$X$113,VLOOKUP(AX621,Foundation_Calc!$I$10:$J$13,2,FALSE),0),
IF(AX621="K",VLOOKUP(L621,Foundation_Calc!$V$117:$X$151,VLOOKUP(AX621,Foundation_Calc!$I$10:$J$13,2,FALSE),0),"")))</f>
        <v/>
      </c>
      <c r="N621" s="449"/>
      <c r="O621" s="449"/>
      <c r="P621" s="449"/>
      <c r="Q621" s="4"/>
      <c r="R621" s="6"/>
      <c r="S621" s="6"/>
      <c r="T621" s="4"/>
      <c r="U621" s="4"/>
      <c r="V621" s="4"/>
      <c r="W621" s="572"/>
      <c r="X621" s="9"/>
      <c r="Y621" s="9"/>
      <c r="Z621" s="9"/>
      <c r="AA621" s="9"/>
      <c r="AB621" s="9"/>
      <c r="AC621" s="449" t="str">
        <f t="shared" si="70"/>
        <v/>
      </c>
      <c r="AD621" s="449"/>
      <c r="AE621" s="449"/>
      <c r="AF621" s="4"/>
      <c r="AG621" s="83"/>
      <c r="AH621" s="4"/>
      <c r="AI621" s="4"/>
      <c r="AJ621" s="449"/>
      <c r="AK621" s="449"/>
      <c r="AL621" s="449"/>
      <c r="AM621" s="449"/>
      <c r="AN621" s="10"/>
      <c r="AO621" s="9"/>
      <c r="AP621" s="9"/>
      <c r="AQ621" s="9">
        <f>+FL_2($T$622,$T$620,$G$621,1200,9.28,-1*$F$622)</f>
        <v>-0.3</v>
      </c>
      <c r="AR621" s="9"/>
      <c r="AS621" s="9"/>
      <c r="AT621" s="9"/>
      <c r="AU621" s="428"/>
      <c r="AV621" s="428"/>
      <c r="AW621" s="449" t="str">
        <f>IF(C621&gt;0,VLOOKUP(C621,Foundation_Calc!$A$2:$C$13,3,1),
IF(J621&gt;0,VLOOKUP(J621,Foundation_Calc!$A$2:$C$13,3,1),""))</f>
        <v/>
      </c>
      <c r="AX621" s="449" t="str">
        <f>IF(C621&gt;0,VLOOKUP(C621,Foundation_Calc!$E$2:$G$33,3,1),
IF(J621&gt;0,VLOOKUP(J621,Foundation_Calc!$E$2:$G$33,3,1),""))</f>
        <v/>
      </c>
      <c r="AY621" s="10" t="str">
        <f>IF(L621="","",
IF(AX621="PT",VLOOKUP(L621,Foundation_Calc!$K$79:$R$113,VLOOKUP(AW621,Foundation_Calc!$I$2:$J$8,2,FALSE),0),
IF(AX621="K",VLOOKUP(L621,Foundation_Calc!$K$117:$R$151,VLOOKUP(AW621,Foundation_Calc!$I$2:$J$8,2,FALSE),0),"")))</f>
        <v/>
      </c>
      <c r="AZ621" s="10" t="str">
        <f>IF(K621="","",
IF(AX621="PT",VLOOKUP(K621,Foundation_Calc!$K$79:$R$113,VLOOKUP(AW621,Foundation_Calc!$I$2:$J$8,2,FALSE),0),
IF(AX621="K",VLOOKUP(K621,Foundation_Calc!$K$117:$R$151,VLOOKUP(AW621,Foundation_Calc!$I$2:$J$8,2,FALSE),0),"")))</f>
        <v/>
      </c>
      <c r="BA621" s="495" t="str">
        <f t="shared" si="71"/>
        <v/>
      </c>
      <c r="BB621" s="495" t="str">
        <f t="shared" si="72"/>
        <v/>
      </c>
      <c r="BC621" s="495" t="str">
        <f t="shared" si="73"/>
        <v/>
      </c>
      <c r="BD621" s="513" t="str">
        <f>IF(AND(L621="",H621=""),"",
IF(H621="",Pole_Calc!A$9,
IF(H621="MP",Pole_Calc!A$10,
IF(H621="AnMP",Pole_Calc!A$11,
IF(H621="A",Pole_Calc!A$12,
IF(H621="S/A",Pole_Calc!A$13,
IF(H621="A/S",Pole_Calc!A$14,"Poner a mano")))))))</f>
        <v/>
      </c>
      <c r="BE621" s="429" t="s">
        <v>118</v>
      </c>
      <c r="BF621" s="290"/>
      <c r="BG621" s="290"/>
      <c r="BH621" s="290"/>
      <c r="BI621" s="290"/>
    </row>
    <row r="622" spans="1:61" ht="15.75" customHeight="1">
      <c r="A622" s="518"/>
      <c r="B622" s="450" t="s">
        <v>543</v>
      </c>
      <c r="C622" s="3">
        <f>+$C$620+$G$621</f>
        <v>45151.64</v>
      </c>
      <c r="D622" s="83"/>
      <c r="E622" s="4"/>
      <c r="F622" s="4">
        <f>IF(C622&gt;0,VLOOKUP(C622,'ALIGNMENT TRACK'!$A$1:$K$81,9,1))</f>
        <v>1205</v>
      </c>
      <c r="G622" s="6"/>
      <c r="H622" s="449"/>
      <c r="I622" s="4"/>
      <c r="J622" s="3"/>
      <c r="K622" s="449"/>
      <c r="L622" s="449" t="s">
        <v>158</v>
      </c>
      <c r="M622" s="449" t="str">
        <f>IF(L622="","",
IF(AX622="PT",VLOOKUP(L622,Foundation_Calc!$V$79:$X$113,VLOOKUP(AX622,Foundation_Calc!$I$10:$J$13,2,FALSE),0),
IF(AX622="K",VLOOKUP(L622,Foundation_Calc!$V$117:$X$151,VLOOKUP(AX622,Foundation_Calc!$I$10:$J$13,2,FALSE),0),"")))</f>
        <v>C4R</v>
      </c>
      <c r="N622" s="449" t="s">
        <v>124</v>
      </c>
      <c r="O622" s="449"/>
      <c r="P622" s="449"/>
      <c r="Q622" s="4"/>
      <c r="R622" s="6"/>
      <c r="S622" s="6"/>
      <c r="T622" s="4">
        <v>-30</v>
      </c>
      <c r="U622" s="4"/>
      <c r="V622" s="4"/>
      <c r="W622" s="572">
        <v>1</v>
      </c>
      <c r="X622" s="9"/>
      <c r="Y622" s="9"/>
      <c r="Z622" s="9"/>
      <c r="AA622" s="9"/>
      <c r="AB622" s="9"/>
      <c r="AC622" s="449" t="str">
        <f t="shared" si="70"/>
        <v>PHQ</v>
      </c>
      <c r="AD622" s="449"/>
      <c r="AE622" s="449"/>
      <c r="AF622" s="4"/>
      <c r="AG622" s="83"/>
      <c r="AH622" s="4"/>
      <c r="AI622" s="4"/>
      <c r="AJ622" s="449"/>
      <c r="AK622" s="449"/>
      <c r="AL622" s="449"/>
      <c r="AM622" s="449" t="s">
        <v>126</v>
      </c>
      <c r="AN622" s="10">
        <v>5.5</v>
      </c>
      <c r="AO622" s="9"/>
      <c r="AP622" s="9"/>
      <c r="AQ622" s="9"/>
      <c r="AR622" s="9"/>
      <c r="AS622" s="9"/>
      <c r="AT622" s="9">
        <f>+ab($T$622,$T$620,$T$624,$G$621,$G$623,-1*$F$622,1200)</f>
        <v>-6.309458127773218</v>
      </c>
      <c r="AU622" s="428"/>
      <c r="AV622" s="428"/>
      <c r="AW622" s="449" t="str">
        <f>IF(C622&gt;0,VLOOKUP(C622,Foundation_Calc!$A$2:$C$13,3,1),
IF(J622&gt;0,VLOOKUP(J622,Foundation_Calc!$A$2:$C$13,3,1),""))</f>
        <v>Multi Soil</v>
      </c>
      <c r="AX622" s="449" t="str">
        <f>IF(C622&gt;0,VLOOKUP(C622,Foundation_Calc!$E$2:$G$33,3,1),
IF(J622&gt;0,VLOOKUP(J622,Foundation_Calc!$E$2:$G$33,3,1),""))</f>
        <v>PT</v>
      </c>
      <c r="AY622" s="10">
        <f>IF(L622="","",
IF(AX622="PT",VLOOKUP(L622,Foundation_Calc!$K$79:$R$113,VLOOKUP(AW622,Foundation_Calc!$I$2:$J$8,2,FALSE),0),
IF(AX622="K",VLOOKUP(L622,Foundation_Calc!$K$117:$R$151,VLOOKUP(AW622,Foundation_Calc!$I$2:$J$8,2,FALSE),0),"")))</f>
        <v>3.5</v>
      </c>
      <c r="AZ622" s="10" t="str">
        <f>IF(K622="","",
IF(AX622="PT",VLOOKUP(K622,Foundation_Calc!$K$79:$R$113,VLOOKUP(AW622,Foundation_Calc!$I$2:$J$8,2,FALSE),0),
IF(AX622="K",VLOOKUP(K622,Foundation_Calc!$K$117:$R$151,VLOOKUP(AW622,Foundation_Calc!$I$2:$J$8,2,FALSE),0),"")))</f>
        <v/>
      </c>
      <c r="BA622" s="495" t="str">
        <f t="shared" si="71"/>
        <v>ü</v>
      </c>
      <c r="BB622" s="495" t="str">
        <f t="shared" si="72"/>
        <v/>
      </c>
      <c r="BC622" s="495" t="str">
        <f t="shared" si="73"/>
        <v/>
      </c>
      <c r="BD622" s="513" t="str">
        <f>IF(AND(L622="",H622=""),"",
IF(H622="",Pole_Calc!A$9,
IF(H622="MP",Pole_Calc!A$10,
IF(H622="AnMP",Pole_Calc!A$11,
IF(H622="A",Pole_Calc!A$12,
IF(H622="S/A",Pole_Calc!A$13,
IF(H622="A/S",Pole_Calc!A$14,"Poner a mano")))))))</f>
        <v>App.7-V11I-P9.5.1.1</v>
      </c>
      <c r="BE622" s="429" t="s">
        <v>118</v>
      </c>
      <c r="BF622" s="289"/>
      <c r="BG622" s="289"/>
      <c r="BH622" s="290"/>
      <c r="BI622" s="289"/>
    </row>
    <row r="623" spans="1:61" ht="15.75" customHeight="1">
      <c r="A623" s="518"/>
      <c r="B623" s="450"/>
      <c r="C623" s="3"/>
      <c r="D623" s="83"/>
      <c r="E623" s="4"/>
      <c r="F623" s="4"/>
      <c r="G623" s="6">
        <v>38</v>
      </c>
      <c r="H623" s="449"/>
      <c r="I623" s="4"/>
      <c r="J623" s="3"/>
      <c r="K623" s="449"/>
      <c r="L623" s="449"/>
      <c r="M623" s="449" t="str">
        <f>IF(L623="","",
IF(AX623="PT",VLOOKUP(L623,Foundation_Calc!$V$79:$X$113,VLOOKUP(AX623,Foundation_Calc!$I$10:$J$13,2,FALSE),0),
IF(AX623="K",VLOOKUP(L623,Foundation_Calc!$V$117:$X$151,VLOOKUP(AX623,Foundation_Calc!$I$10:$J$13,2,FALSE),0),"")))</f>
        <v/>
      </c>
      <c r="N623" s="449"/>
      <c r="O623" s="449"/>
      <c r="P623" s="449"/>
      <c r="Q623" s="4"/>
      <c r="R623" s="6"/>
      <c r="S623" s="6"/>
      <c r="T623" s="4"/>
      <c r="U623" s="4"/>
      <c r="V623" s="4"/>
      <c r="W623" s="9"/>
      <c r="X623" s="9"/>
      <c r="Y623" s="9"/>
      <c r="Z623" s="9"/>
      <c r="AA623" s="9"/>
      <c r="AB623" s="9"/>
      <c r="AC623" s="449" t="str">
        <f t="shared" si="70"/>
        <v/>
      </c>
      <c r="AD623" s="449"/>
      <c r="AE623" s="449"/>
      <c r="AF623" s="4"/>
      <c r="AG623" s="83"/>
      <c r="AH623" s="4"/>
      <c r="AI623" s="4"/>
      <c r="AJ623" s="449"/>
      <c r="AK623" s="449"/>
      <c r="AL623" s="449"/>
      <c r="AM623" s="449"/>
      <c r="AN623" s="10"/>
      <c r="AO623" s="9"/>
      <c r="AP623" s="9"/>
      <c r="AQ623" s="9">
        <f>+FL_2($T$624,$T$622,$G$623,1200,9.28,-1*$F$624)</f>
        <v>-0.3</v>
      </c>
      <c r="AR623" s="9"/>
      <c r="AS623" s="9"/>
      <c r="AT623" s="9"/>
      <c r="AU623" s="428"/>
      <c r="AV623" s="428"/>
      <c r="AW623" s="449" t="str">
        <f>IF(C623&gt;0,VLOOKUP(C623,Foundation_Calc!$A$2:$C$13,3,1),
IF(J623&gt;0,VLOOKUP(J623,Foundation_Calc!$A$2:$C$13,3,1),""))</f>
        <v/>
      </c>
      <c r="AX623" s="449" t="str">
        <f>IF(C623&gt;0,VLOOKUP(C623,Foundation_Calc!$E$2:$G$33,3,1),
IF(J623&gt;0,VLOOKUP(J623,Foundation_Calc!$E$2:$G$33,3,1),""))</f>
        <v/>
      </c>
      <c r="AY623" s="10" t="str">
        <f>IF(L623="","",
IF(AX623="PT",VLOOKUP(L623,Foundation_Calc!$K$79:$R$113,VLOOKUP(AW623,Foundation_Calc!$I$2:$J$8,2,FALSE),0),
IF(AX623="K",VLOOKUP(L623,Foundation_Calc!$K$117:$R$151,VLOOKUP(AW623,Foundation_Calc!$I$2:$J$8,2,FALSE),0),"")))</f>
        <v/>
      </c>
      <c r="AZ623" s="10" t="str">
        <f>IF(K623="","",
IF(AX623="PT",VLOOKUP(K623,Foundation_Calc!$K$79:$R$113,VLOOKUP(AW623,Foundation_Calc!$I$2:$J$8,2,FALSE),0),
IF(AX623="K",VLOOKUP(K623,Foundation_Calc!$K$117:$R$151,VLOOKUP(AW623,Foundation_Calc!$I$2:$J$8,2,FALSE),0),"")))</f>
        <v/>
      </c>
      <c r="BA623" s="495" t="str">
        <f t="shared" si="71"/>
        <v/>
      </c>
      <c r="BB623" s="495" t="str">
        <f t="shared" si="72"/>
        <v/>
      </c>
      <c r="BC623" s="495" t="str">
        <f t="shared" si="73"/>
        <v/>
      </c>
      <c r="BD623" s="513" t="str">
        <f>IF(AND(L623="",H623=""),"",
IF(H623="",Pole_Calc!A$9,
IF(H623="MP",Pole_Calc!A$10,
IF(H623="AnMP",Pole_Calc!A$11,
IF(H623="A",Pole_Calc!A$12,
IF(H623="S/A",Pole_Calc!A$13,
IF(H623="A/S",Pole_Calc!A$14,"Poner a mano")))))))</f>
        <v/>
      </c>
      <c r="BE623" s="429" t="s">
        <v>118</v>
      </c>
      <c r="BF623" s="290"/>
      <c r="BG623" s="290"/>
      <c r="BH623" s="290"/>
      <c r="BI623" s="290"/>
    </row>
    <row r="624" spans="1:61" ht="15.75" customHeight="1">
      <c r="A624" s="514"/>
      <c r="B624" s="450" t="s">
        <v>544</v>
      </c>
      <c r="C624" s="3">
        <f>+$C$622+$G$623</f>
        <v>45189.64</v>
      </c>
      <c r="D624" s="83"/>
      <c r="E624" s="4"/>
      <c r="F624" s="4">
        <f>IF(C624&gt;0,VLOOKUP(C624,'ALIGNMENT TRACK'!$A$1:$K$81,9,1))</f>
        <v>1205</v>
      </c>
      <c r="G624" s="6"/>
      <c r="H624" s="449"/>
      <c r="I624" s="4"/>
      <c r="J624" s="3"/>
      <c r="K624" s="449"/>
      <c r="L624" s="449" t="s">
        <v>158</v>
      </c>
      <c r="M624" s="449" t="str">
        <f>IF(L624="","",
IF(AX624="PT",VLOOKUP(L624,Foundation_Calc!$V$79:$X$113,VLOOKUP(AX624,Foundation_Calc!$I$10:$J$13,2,FALSE),0),
IF(AX624="K",VLOOKUP(L624,Foundation_Calc!$V$117:$X$151,VLOOKUP(AX624,Foundation_Calc!$I$10:$J$13,2,FALSE),0),"")))</f>
        <v>C4R</v>
      </c>
      <c r="N624" s="449" t="s">
        <v>124</v>
      </c>
      <c r="O624" s="449"/>
      <c r="P624" s="449"/>
      <c r="Q624" s="4"/>
      <c r="R624" s="6"/>
      <c r="S624" s="6"/>
      <c r="T624" s="4">
        <v>-30</v>
      </c>
      <c r="U624" s="4"/>
      <c r="V624" s="4"/>
      <c r="W624" s="572">
        <v>1.2</v>
      </c>
      <c r="X624" s="9"/>
      <c r="Y624" s="9"/>
      <c r="Z624" s="9"/>
      <c r="AA624" s="9"/>
      <c r="AB624" s="9"/>
      <c r="AC624" s="449" t="str">
        <f t="shared" si="70"/>
        <v>PHQ</v>
      </c>
      <c r="AD624" s="449"/>
      <c r="AE624" s="449"/>
      <c r="AF624" s="4"/>
      <c r="AG624" s="83"/>
      <c r="AH624" s="4"/>
      <c r="AI624" s="4"/>
      <c r="AJ624" s="449"/>
      <c r="AK624" s="449"/>
      <c r="AL624" s="449"/>
      <c r="AM624" s="449" t="s">
        <v>126</v>
      </c>
      <c r="AN624" s="10">
        <v>5.5</v>
      </c>
      <c r="AO624" s="9"/>
      <c r="AP624" s="9"/>
      <c r="AQ624" s="9"/>
      <c r="AR624" s="9"/>
      <c r="AS624" s="9"/>
      <c r="AT624" s="9">
        <f>+ab($T$624,$T$622,$T$626,$G$623,$G$625,-1*$F$624,1200)</f>
        <v>-5.9079632561889674</v>
      </c>
      <c r="AU624" s="428"/>
      <c r="AV624" s="428"/>
      <c r="AW624" s="449" t="str">
        <f>IF(C624&gt;0,VLOOKUP(C624,Foundation_Calc!$A$2:$C$13,3,1),
IF(J624&gt;0,VLOOKUP(J624,Foundation_Calc!$A$2:$C$13,3,1),""))</f>
        <v>Multi Soil</v>
      </c>
      <c r="AX624" s="449" t="str">
        <f>IF(C624&gt;0,VLOOKUP(C624,Foundation_Calc!$E$2:$G$33,3,1),
IF(J624&gt;0,VLOOKUP(J624,Foundation_Calc!$E$2:$G$33,3,1),""))</f>
        <v>PT</v>
      </c>
      <c r="AY624" s="10">
        <f>IF(L624="","",
IF(AX624="PT",VLOOKUP(L624,Foundation_Calc!$K$79:$R$113,VLOOKUP(AW624,Foundation_Calc!$I$2:$J$8,2,FALSE),0),
IF(AX624="K",VLOOKUP(L624,Foundation_Calc!$K$117:$R$151,VLOOKUP(AW624,Foundation_Calc!$I$2:$J$8,2,FALSE),0),"")))</f>
        <v>3.5</v>
      </c>
      <c r="AZ624" s="10" t="str">
        <f>IF(K624="","",
IF(AX624="PT",VLOOKUP(K624,Foundation_Calc!$K$79:$R$113,VLOOKUP(AW624,Foundation_Calc!$I$2:$J$8,2,FALSE),0),
IF(AX624="K",VLOOKUP(K624,Foundation_Calc!$K$117:$R$151,VLOOKUP(AW624,Foundation_Calc!$I$2:$J$8,2,FALSE),0),"")))</f>
        <v/>
      </c>
      <c r="BA624" s="495" t="str">
        <f t="shared" si="71"/>
        <v>ü</v>
      </c>
      <c r="BB624" s="495" t="str">
        <f t="shared" si="72"/>
        <v/>
      </c>
      <c r="BC624" s="495" t="str">
        <f t="shared" si="73"/>
        <v/>
      </c>
      <c r="BD624" s="513" t="str">
        <f>IF(AND(L624="",H624=""),"",
IF(H624="",Pole_Calc!A$9,
IF(H624="MP",Pole_Calc!A$10,
IF(H624="AnMP",Pole_Calc!A$11,
IF(H624="A",Pole_Calc!A$12,
IF(H624="S/A",Pole_Calc!A$13,
IF(H624="A/S",Pole_Calc!A$14,"Poner a mano")))))))</f>
        <v>App.7-V11I-P9.5.1.1</v>
      </c>
      <c r="BE624" s="429" t="s">
        <v>118</v>
      </c>
      <c r="BF624" s="289"/>
      <c r="BG624" s="289"/>
      <c r="BH624" s="290"/>
      <c r="BI624" s="289"/>
    </row>
    <row r="625" spans="1:61" ht="15.75" customHeight="1">
      <c r="A625" s="514"/>
      <c r="B625" s="450"/>
      <c r="C625" s="3"/>
      <c r="D625" s="83"/>
      <c r="E625" s="4"/>
      <c r="F625" s="4"/>
      <c r="G625" s="6">
        <v>40</v>
      </c>
      <c r="H625" s="449"/>
      <c r="I625" s="4"/>
      <c r="J625" s="3">
        <f>C626-7.5</f>
        <v>45222.14</v>
      </c>
      <c r="K625" s="449" t="s">
        <v>117</v>
      </c>
      <c r="L625" s="449"/>
      <c r="M625" s="449" t="str">
        <f>IF(L625="","",
IF(AX625="PT",VLOOKUP(L625,Foundation_Calc!$V$79:$X$113,VLOOKUP(AX625,Foundation_Calc!$I$10:$J$13,2,FALSE),0),
IF(AX625="K",VLOOKUP(L625,Foundation_Calc!$V$117:$X$151,VLOOKUP(AX625,Foundation_Calc!$I$10:$J$13,2,FALSE),0),"")))</f>
        <v/>
      </c>
      <c r="N625" s="449"/>
      <c r="O625" s="449"/>
      <c r="P625" s="449"/>
      <c r="Q625" s="4"/>
      <c r="R625" s="6"/>
      <c r="S625" s="6"/>
      <c r="T625" s="4"/>
      <c r="U625" s="4"/>
      <c r="V625" s="4"/>
      <c r="W625" s="9"/>
      <c r="X625" s="9"/>
      <c r="Y625" s="9"/>
      <c r="Z625" s="9"/>
      <c r="AA625" s="9"/>
      <c r="AB625" s="9"/>
      <c r="AC625" s="449" t="str">
        <f t="shared" si="70"/>
        <v/>
      </c>
      <c r="AD625" s="449"/>
      <c r="AE625" s="449"/>
      <c r="AF625" s="4"/>
      <c r="AG625" s="83"/>
      <c r="AH625" s="4"/>
      <c r="AI625" s="4"/>
      <c r="AJ625" s="449"/>
      <c r="AK625" s="449"/>
      <c r="AL625" s="449"/>
      <c r="AM625" s="449"/>
      <c r="AN625" s="10"/>
      <c r="AO625" s="9"/>
      <c r="AP625" s="9"/>
      <c r="AQ625" s="9">
        <f>+FL_2($T$626,$T$624,$G$625,1200,9.28,-1*$F$626)</f>
        <v>-0.30709817025208819</v>
      </c>
      <c r="AR625" s="9"/>
      <c r="AS625" s="9"/>
      <c r="AT625" s="9"/>
      <c r="AU625" s="428"/>
      <c r="AV625" s="428"/>
      <c r="AW625" s="449" t="str">
        <f>IF(C625&gt;0,VLOOKUP(C625,Foundation_Calc!$A$2:$C$13,3,1),
IF(J625&gt;0,VLOOKUP(J625,Foundation_Calc!$A$2:$C$13,3,1),""))</f>
        <v>Multi Soil</v>
      </c>
      <c r="AX625" s="449" t="str">
        <f>IF(C625&gt;0,VLOOKUP(C625,Foundation_Calc!$E$2:$G$33,3,1),
IF(J625&gt;0,VLOOKUP(J625,Foundation_Calc!$E$2:$G$33,3,1),""))</f>
        <v>PT</v>
      </c>
      <c r="AY625" s="10" t="str">
        <f>IF(L625="","",
IF(AX625="PT",VLOOKUP(L625,Foundation_Calc!$K$79:$R$113,VLOOKUP(AW625,Foundation_Calc!$I$2:$J$8,2,FALSE),0),
IF(AX625="K",VLOOKUP(L625,Foundation_Calc!$K$117:$R$151,VLOOKUP(AW625,Foundation_Calc!$I$2:$J$8,2,FALSE),0),"")))</f>
        <v/>
      </c>
      <c r="AZ625" s="10">
        <f>IF(K625="","",
IF(AX625="PT",VLOOKUP(K625,Foundation_Calc!$K$79:$R$113,VLOOKUP(AW625,Foundation_Calc!$I$2:$J$8,2,FALSE),0),
IF(AX625="K",VLOOKUP(K625,Foundation_Calc!$K$117:$R$151,VLOOKUP(AW625,Foundation_Calc!$I$2:$J$8,2,FALSE),0),"")))</f>
        <v>3.9</v>
      </c>
      <c r="BA625" s="495" t="str">
        <f t="shared" si="71"/>
        <v/>
      </c>
      <c r="BB625" s="495" t="str">
        <f t="shared" si="72"/>
        <v>ü</v>
      </c>
      <c r="BC625" s="495" t="str">
        <f t="shared" si="73"/>
        <v/>
      </c>
      <c r="BD625" s="513" t="str">
        <f>IF(AND(L625="",H625=""),"",
IF(H625="",Pole_Calc!A$9,
IF(H625="MP",Pole_Calc!A$10,
IF(H625="AnMP",Pole_Calc!A$11,
IF(H625="A",Pole_Calc!A$12,
IF(H625="S/A",Pole_Calc!A$13,
IF(H625="A/S",Pole_Calc!A$14,"Poner a mano")))))))</f>
        <v/>
      </c>
      <c r="BE625" s="429" t="s">
        <v>118</v>
      </c>
      <c r="BF625" s="290"/>
      <c r="BG625" s="290"/>
      <c r="BH625" s="290"/>
      <c r="BI625" s="290"/>
    </row>
    <row r="626" spans="1:61" ht="15.75" customHeight="1">
      <c r="A626" s="514"/>
      <c r="B626" s="450" t="s">
        <v>545</v>
      </c>
      <c r="C626" s="3">
        <f>+$C$624+$G$625</f>
        <v>45229.64</v>
      </c>
      <c r="D626" s="83"/>
      <c r="E626" s="4"/>
      <c r="F626" s="4">
        <f>-(439^2)/(C626-45371.83)</f>
        <v>1355.3766087629006</v>
      </c>
      <c r="G626" s="6"/>
      <c r="H626" s="449" t="s">
        <v>121</v>
      </c>
      <c r="I626" s="4" t="s">
        <v>122</v>
      </c>
      <c r="J626" s="3"/>
      <c r="K626" s="449"/>
      <c r="L626" s="449" t="s">
        <v>181</v>
      </c>
      <c r="M626" s="449" t="str">
        <f>IF(L626="","",
IF(AX626="PT",VLOOKUP(L626,Foundation_Calc!$V$79:$X$113,VLOOKUP(AX626,Foundation_Calc!$I$10:$J$13,2,FALSE),0),
IF(AX626="K",VLOOKUP(L626,Foundation_Calc!$V$117:$X$151,VLOOKUP(AX626,Foundation_Calc!$I$10:$J$13,2,FALSE),0),"")))</f>
        <v>C5R</v>
      </c>
      <c r="N626" s="449" t="s">
        <v>124</v>
      </c>
      <c r="O626" s="449"/>
      <c r="P626" s="449"/>
      <c r="Q626" s="4"/>
      <c r="R626" s="6"/>
      <c r="S626" s="6"/>
      <c r="T626" s="4">
        <v>-30</v>
      </c>
      <c r="U626" s="4"/>
      <c r="V626" s="4"/>
      <c r="W626" s="9">
        <v>1.4</v>
      </c>
      <c r="X626" s="9"/>
      <c r="Y626" s="9"/>
      <c r="Z626" s="9"/>
      <c r="AA626" s="9"/>
      <c r="AB626" s="9"/>
      <c r="AC626" s="449" t="str">
        <f t="shared" si="70"/>
        <v>PHQ</v>
      </c>
      <c r="AD626" s="449"/>
      <c r="AE626" s="449"/>
      <c r="AF626" s="4"/>
      <c r="AG626" s="83"/>
      <c r="AH626" s="4"/>
      <c r="AI626" s="4"/>
      <c r="AJ626" s="449"/>
      <c r="AK626" s="449"/>
      <c r="AL626" s="449"/>
      <c r="AM626" s="449" t="s">
        <v>126</v>
      </c>
      <c r="AN626" s="10">
        <v>5.5</v>
      </c>
      <c r="AO626" s="9"/>
      <c r="AP626" s="9"/>
      <c r="AQ626" s="9"/>
      <c r="AR626" s="9"/>
      <c r="AS626" s="9"/>
      <c r="AT626" s="9">
        <f>+ab($T$626,$T$624,$U$628,$G$625,$G$627,-1*$F$626,1200)</f>
        <v>-6.474471241456234</v>
      </c>
      <c r="AU626" s="428"/>
      <c r="AV626" s="428"/>
      <c r="AW626" s="449" t="str">
        <f>IF(C626&gt;0,VLOOKUP(C626,Foundation_Calc!$A$2:$C$13,3,1),
IF(J626&gt;0,VLOOKUP(J626,Foundation_Calc!$A$2:$C$13,3,1),""))</f>
        <v>Multi Soil</v>
      </c>
      <c r="AX626" s="449" t="str">
        <f>IF(C626&gt;0,VLOOKUP(C626,Foundation_Calc!$E$2:$G$33,3,1),
IF(J626&gt;0,VLOOKUP(J626,Foundation_Calc!$E$2:$G$33,3,1),""))</f>
        <v>PT</v>
      </c>
      <c r="AY626" s="10">
        <f>IF(L626="","",
IF(AX626="PT",VLOOKUP(L626,Foundation_Calc!$K$79:$R$113,VLOOKUP(AW626,Foundation_Calc!$I$2:$J$8,2,FALSE),0),
IF(AX626="K",VLOOKUP(L626,Foundation_Calc!$K$117:$R$151,VLOOKUP(AW626,Foundation_Calc!$I$2:$J$8,2,FALSE),0),"")))</f>
        <v>3.5</v>
      </c>
      <c r="AZ626" s="10" t="str">
        <f>IF(K626="","",
IF(AX626="PT",VLOOKUP(K626,Foundation_Calc!$K$79:$R$113,VLOOKUP(AW626,Foundation_Calc!$I$2:$J$8,2,FALSE),0),
IF(AX626="K",VLOOKUP(K626,Foundation_Calc!$K$117:$R$151,VLOOKUP(AW626,Foundation_Calc!$I$2:$J$8,2,FALSE),0),"")))</f>
        <v/>
      </c>
      <c r="BA626" s="495" t="str">
        <f t="shared" si="71"/>
        <v>ü</v>
      </c>
      <c r="BB626" s="495" t="str">
        <f t="shared" si="72"/>
        <v/>
      </c>
      <c r="BC626" s="495" t="str">
        <f t="shared" si="73"/>
        <v/>
      </c>
      <c r="BD626" s="513" t="str">
        <f>IF(AND(L626="",H626=""),"",
IF(H626="",Pole_Calc!A$9,
IF(H626="MP",Pole_Calc!A$10,
IF(H626="AnMP",Pole_Calc!A$11,
IF(H626="A",Pole_Calc!A$12,
IF(H626="S/A",Pole_Calc!A$13,
IF(H626="A/S",Pole_Calc!A$14,"Poner a mano")))))))</f>
        <v>App.7-V11I-P9.5.1.6</v>
      </c>
      <c r="BE626" s="429" t="s">
        <v>118</v>
      </c>
      <c r="BF626" s="289"/>
      <c r="BG626" s="289"/>
      <c r="BH626" s="290"/>
      <c r="BI626" s="289"/>
    </row>
    <row r="627" spans="1:61" ht="15.75" customHeight="1">
      <c r="A627" s="514"/>
      <c r="B627" s="450"/>
      <c r="C627" s="3"/>
      <c r="D627" s="83"/>
      <c r="E627" s="4"/>
      <c r="F627" s="4"/>
      <c r="G627" s="6">
        <v>40</v>
      </c>
      <c r="H627" s="449"/>
      <c r="I627" s="4">
        <f>SUM(G627:G641)</f>
        <v>350</v>
      </c>
      <c r="J627" s="3"/>
      <c r="K627" s="449"/>
      <c r="L627" s="449"/>
      <c r="M627" s="449" t="str">
        <f>IF(L627="","",
IF(AX627="PT",VLOOKUP(L627,Foundation_Calc!$V$79:$X$113,VLOOKUP(AX627,Foundation_Calc!$I$10:$J$13,2,FALSE),0),
IF(AX627="K",VLOOKUP(L627,Foundation_Calc!$V$117:$X$151,VLOOKUP(AX627,Foundation_Calc!$I$10:$J$13,2,FALSE),0),"")))</f>
        <v/>
      </c>
      <c r="N627" s="449"/>
      <c r="O627" s="449"/>
      <c r="P627" s="449"/>
      <c r="Q627" s="4"/>
      <c r="R627" s="6"/>
      <c r="S627" s="6"/>
      <c r="T627" s="4"/>
      <c r="U627" s="4"/>
      <c r="V627" s="4"/>
      <c r="W627" s="9"/>
      <c r="X627" s="9"/>
      <c r="Y627" s="9"/>
      <c r="Z627" s="9"/>
      <c r="AA627" s="9"/>
      <c r="AB627" s="9"/>
      <c r="AC627" s="449" t="str">
        <f t="shared" si="70"/>
        <v/>
      </c>
      <c r="AD627" s="449"/>
      <c r="AE627" s="449"/>
      <c r="AF627" s="4"/>
      <c r="AG627" s="83"/>
      <c r="AH627" s="4"/>
      <c r="AI627" s="4"/>
      <c r="AJ627" s="449"/>
      <c r="AK627" s="449"/>
      <c r="AL627" s="449"/>
      <c r="AM627" s="449"/>
      <c r="AN627" s="10"/>
      <c r="AO627" s="9"/>
      <c r="AP627" s="9"/>
      <c r="AQ627" s="9">
        <f>+FL_2($U$628,$T$626,$G$627,1200,9.28,-1*$F$628)</f>
        <v>-0.34861400673858467</v>
      </c>
      <c r="AR627" s="9"/>
      <c r="AS627" s="9"/>
      <c r="AT627" s="9"/>
      <c r="AU627" s="428"/>
      <c r="AV627" s="428"/>
      <c r="AW627" s="449" t="str">
        <f>IF(C627&gt;0,VLOOKUP(C627,Foundation_Calc!$A$2:$C$13,3,1),
IF(J627&gt;0,VLOOKUP(J627,Foundation_Calc!$A$2:$C$13,3,1),""))</f>
        <v/>
      </c>
      <c r="AX627" s="449" t="str">
        <f>IF(C627&gt;0,VLOOKUP(C627,Foundation_Calc!$E$2:$G$33,3,1),
IF(J627&gt;0,VLOOKUP(J627,Foundation_Calc!$E$2:$G$33,3,1),""))</f>
        <v/>
      </c>
      <c r="AY627" s="10" t="str">
        <f>IF(L627="","",
IF(AX627="PT",VLOOKUP(L627,Foundation_Calc!$K$79:$R$113,VLOOKUP(AW627,Foundation_Calc!$I$2:$J$8,2,FALSE),0),
IF(AX627="K",VLOOKUP(L627,Foundation_Calc!$K$117:$R$151,VLOOKUP(AW627,Foundation_Calc!$I$2:$J$8,2,FALSE),0),"")))</f>
        <v/>
      </c>
      <c r="AZ627" s="10" t="str">
        <f>IF(K627="","",
IF(AX627="PT",VLOOKUP(K627,Foundation_Calc!$K$79:$R$113,VLOOKUP(AW627,Foundation_Calc!$I$2:$J$8,2,FALSE),0),
IF(AX627="K",VLOOKUP(K627,Foundation_Calc!$K$117:$R$151,VLOOKUP(AW627,Foundation_Calc!$I$2:$J$8,2,FALSE),0),"")))</f>
        <v/>
      </c>
      <c r="BA627" s="495" t="str">
        <f t="shared" si="71"/>
        <v/>
      </c>
      <c r="BB627" s="495" t="str">
        <f t="shared" si="72"/>
        <v/>
      </c>
      <c r="BC627" s="495" t="str">
        <f t="shared" si="73"/>
        <v/>
      </c>
      <c r="BD627" s="513" t="str">
        <f>IF(AND(L627="",H627=""),"",
IF(H627="",Pole_Calc!A$9,
IF(H627="MP",Pole_Calc!A$10,
IF(H627="AnMP",Pole_Calc!A$11,
IF(H627="A",Pole_Calc!A$12,
IF(H627="S/A",Pole_Calc!A$13,
IF(H627="A/S",Pole_Calc!A$14,"Poner a mano")))))))</f>
        <v/>
      </c>
      <c r="BE627" s="429" t="s">
        <v>118</v>
      </c>
      <c r="BF627" s="290"/>
      <c r="BG627" s="290"/>
      <c r="BH627" s="290"/>
      <c r="BI627" s="290"/>
    </row>
    <row r="628" spans="1:61" ht="15.75" customHeight="1">
      <c r="A628" s="514" t="s">
        <v>546</v>
      </c>
      <c r="B628" s="450" t="s">
        <v>547</v>
      </c>
      <c r="C628" s="3">
        <f>+$C$626+$G$627</f>
        <v>45269.64</v>
      </c>
      <c r="D628" s="83"/>
      <c r="E628" s="4"/>
      <c r="F628" s="4">
        <f>-(439^2)/(C628-45371.83)</f>
        <v>1885.9086016243821</v>
      </c>
      <c r="G628" s="6"/>
      <c r="H628" s="449" t="s">
        <v>131</v>
      </c>
      <c r="I628" s="4" t="s">
        <v>132</v>
      </c>
      <c r="J628" s="3"/>
      <c r="K628" s="449"/>
      <c r="L628" s="449" t="s">
        <v>298</v>
      </c>
      <c r="M628" s="449" t="str">
        <f>IF(L628="","",
IF(AX628="PT",VLOOKUP(L628,Foundation_Calc!$V$79:$X$113,VLOOKUP(AX628,Foundation_Calc!$I$10:$J$13,2,FALSE),0),
IF(AX628="K",VLOOKUP(L628,Foundation_Calc!$V$117:$X$151,VLOOKUP(AX628,Foundation_Calc!$I$10:$J$13,2,FALSE),0),"")))</f>
        <v>2C3R</v>
      </c>
      <c r="N628" s="449" t="s">
        <v>133</v>
      </c>
      <c r="O628" s="449" t="s">
        <v>124</v>
      </c>
      <c r="P628" s="449"/>
      <c r="Q628" s="4"/>
      <c r="R628" s="6"/>
      <c r="S628" s="6"/>
      <c r="T628" s="4">
        <v>15</v>
      </c>
      <c r="U628" s="4">
        <v>-30</v>
      </c>
      <c r="V628" s="4"/>
      <c r="W628" s="9">
        <v>1.4</v>
      </c>
      <c r="X628" s="9">
        <v>2</v>
      </c>
      <c r="Y628" s="9"/>
      <c r="Z628" s="9">
        <v>0.4</v>
      </c>
      <c r="AA628" s="9"/>
      <c r="AB628" s="9"/>
      <c r="AC628" s="449"/>
      <c r="AD628" s="449"/>
      <c r="AE628" s="449"/>
      <c r="AF628" s="4"/>
      <c r="AG628" s="83"/>
      <c r="AH628" s="4"/>
      <c r="AI628" s="4"/>
      <c r="AJ628" s="449" t="s">
        <v>233</v>
      </c>
      <c r="AK628" s="449"/>
      <c r="AL628" s="449"/>
      <c r="AM628" s="449" t="s">
        <v>126</v>
      </c>
      <c r="AN628" s="10">
        <v>5.5</v>
      </c>
      <c r="AO628" s="9"/>
      <c r="AP628" s="9"/>
      <c r="AQ628" s="9"/>
      <c r="AR628" s="9"/>
      <c r="AS628" s="9"/>
      <c r="AT628" s="9">
        <f>+ab($U$628,$T$626,$U$630,$G$627,$G$629,-1*$F$628,1200)</f>
        <v>-8.8848075891898688</v>
      </c>
      <c r="AU628" s="428"/>
      <c r="AV628" s="428"/>
      <c r="AW628" s="449" t="str">
        <f>IF(C628&gt;0,VLOOKUP(C628,Foundation_Calc!$A$2:$C$13,3,1),
IF(J628&gt;0,VLOOKUP(J628,Foundation_Calc!$A$2:$C$13,3,1),""))</f>
        <v>Multi Soil</v>
      </c>
      <c r="AX628" s="449" t="str">
        <f>IF(C628&gt;0,VLOOKUP(C628,Foundation_Calc!$E$2:$G$33,3,1),
IF(J628&gt;0,VLOOKUP(J628,Foundation_Calc!$E$2:$G$33,3,1),""))</f>
        <v>PT</v>
      </c>
      <c r="AY628" s="10">
        <f>IF(L628="","",
IF(AX628="PT",VLOOKUP(L628,Foundation_Calc!$K$79:$R$113,VLOOKUP(AW628,Foundation_Calc!$I$2:$J$8,2,FALSE),0),
IF(AX628="K",VLOOKUP(L628,Foundation_Calc!$K$117:$R$151,VLOOKUP(AW628,Foundation_Calc!$I$2:$J$8,2,FALSE),0),"")))</f>
        <v>4</v>
      </c>
      <c r="AZ628" s="10" t="str">
        <f>IF(K628="","",
IF(AX628="PT",VLOOKUP(K628,Foundation_Calc!$K$79:$R$113,VLOOKUP(AW628,Foundation_Calc!$I$2:$J$8,2,FALSE),0),
IF(AX628="K",VLOOKUP(K628,Foundation_Calc!$K$117:$R$151,VLOOKUP(AW628,Foundation_Calc!$I$2:$J$8,2,FALSE),0),"")))</f>
        <v/>
      </c>
      <c r="BA628" s="495" t="str">
        <f t="shared" si="71"/>
        <v>ü</v>
      </c>
      <c r="BB628" s="495" t="str">
        <f t="shared" si="72"/>
        <v/>
      </c>
      <c r="BC628" s="495" t="str">
        <f t="shared" si="73"/>
        <v/>
      </c>
      <c r="BD628" s="513" t="str">
        <f>IF(AND(L628="",H628=""),"",
IF(H628="",Pole_Calc!A$9,
IF(H628="MP",Pole_Calc!A$10,
IF(H628="AnMP",Pole_Calc!A$11,
IF(H628="A",Pole_Calc!A$12,
IF(H628="S/A",Pole_Calc!A$13,
IF(H628="A/S",Pole_Calc!A$14,"Poner a mano")))))))</f>
        <v>App.7-V11I-P9.5.1.5</v>
      </c>
      <c r="BE628" s="429" t="s">
        <v>118</v>
      </c>
      <c r="BF628" s="289"/>
      <c r="BG628" s="289"/>
      <c r="BH628" s="290"/>
      <c r="BI628" s="289"/>
    </row>
    <row r="629" spans="1:61" ht="15.75" customHeight="1">
      <c r="A629" s="518"/>
      <c r="B629" s="450"/>
      <c r="C629" s="3"/>
      <c r="D629" s="83"/>
      <c r="E629" s="4"/>
      <c r="F629" s="4"/>
      <c r="G629" s="6">
        <v>45</v>
      </c>
      <c r="H629" s="449"/>
      <c r="I629" s="4" t="s">
        <v>195</v>
      </c>
      <c r="J629" s="3">
        <f>C630-7.5</f>
        <v>45307.14</v>
      </c>
      <c r="K629" s="449" t="s">
        <v>166</v>
      </c>
      <c r="L629" s="449"/>
      <c r="M629" s="449" t="str">
        <f>IF(L629="","",
IF(AX629="PT",VLOOKUP(L629,Foundation_Calc!$V$79:$X$113,VLOOKUP(AX629,Foundation_Calc!$I$10:$J$13,2,FALSE),0),
IF(AX629="K",VLOOKUP(L629,Foundation_Calc!$V$117:$X$151,VLOOKUP(AX629,Foundation_Calc!$I$10:$J$13,2,FALSE),0),"")))</f>
        <v/>
      </c>
      <c r="N629" s="449"/>
      <c r="O629" s="449"/>
      <c r="P629" s="449"/>
      <c r="Q629" s="4"/>
      <c r="R629" s="6"/>
      <c r="S629" s="6"/>
      <c r="T629" s="4"/>
      <c r="U629" s="4"/>
      <c r="V629" s="4"/>
      <c r="W629" s="9"/>
      <c r="X629" s="9"/>
      <c r="Y629" s="9"/>
      <c r="Z629" s="9"/>
      <c r="AA629" s="9"/>
      <c r="AB629" s="9"/>
      <c r="AC629" s="449" t="str">
        <f t="shared" si="70"/>
        <v/>
      </c>
      <c r="AD629" s="449"/>
      <c r="AE629" s="449"/>
      <c r="AF629" s="4"/>
      <c r="AG629" s="83"/>
      <c r="AH629" s="4"/>
      <c r="AI629" s="4"/>
      <c r="AJ629" s="449"/>
      <c r="AK629" s="449"/>
      <c r="AL629" s="449"/>
      <c r="AM629" s="449"/>
      <c r="AN629" s="10"/>
      <c r="AO629" s="9"/>
      <c r="AP629" s="9"/>
      <c r="AQ629" s="9">
        <f>+FL_2($T$630,$U$628,$G$629,1200,9.28,-1*$F$630)</f>
        <v>-0.30352963103432246</v>
      </c>
      <c r="AR629" s="9"/>
      <c r="AS629" s="9"/>
      <c r="AT629" s="9"/>
      <c r="AU629" s="428"/>
      <c r="AV629" s="428"/>
      <c r="AW629" s="449" t="str">
        <f>IF(C629&gt;0,VLOOKUP(C629,Foundation_Calc!$A$2:$C$13,3,1),
IF(J629&gt;0,VLOOKUP(J629,Foundation_Calc!$A$2:$C$13,3,1),""))</f>
        <v>Multi Soil</v>
      </c>
      <c r="AX629" s="449" t="str">
        <f>IF(C629&gt;0,VLOOKUP(C629,Foundation_Calc!$E$2:$G$33,3,1),
IF(J629&gt;0,VLOOKUP(J629,Foundation_Calc!$E$2:$G$33,3,1),""))</f>
        <v>PT</v>
      </c>
      <c r="AY629" s="10" t="str">
        <f>IF(L629="","",
IF(AX629="PT",VLOOKUP(L629,Foundation_Calc!$K$79:$R$113,VLOOKUP(AW629,Foundation_Calc!$I$2:$J$8,2,FALSE),0),
IF(AX629="K",VLOOKUP(L629,Foundation_Calc!$K$117:$R$151,VLOOKUP(AW629,Foundation_Calc!$I$2:$J$8,2,FALSE),0),"")))</f>
        <v/>
      </c>
      <c r="AZ629" s="10">
        <f>IF(K629="","",
IF(AX629="PT",VLOOKUP(K629,Foundation_Calc!$K$79:$R$113,VLOOKUP(AW629,Foundation_Calc!$I$2:$J$8,2,FALSE),0),
IF(AX629="K",VLOOKUP(K629,Foundation_Calc!$K$117:$R$151,VLOOKUP(AW629,Foundation_Calc!$I$2:$J$8,2,FALSE),0),"")))</f>
        <v>2.8</v>
      </c>
      <c r="BA629" s="495" t="str">
        <f t="shared" si="71"/>
        <v/>
      </c>
      <c r="BB629" s="495" t="str">
        <f t="shared" si="72"/>
        <v>ü</v>
      </c>
      <c r="BC629" s="495" t="str">
        <f t="shared" si="73"/>
        <v/>
      </c>
      <c r="BD629" s="513" t="str">
        <f>IF(AND(L629="",H629=""),"",
IF(H629="",Pole_Calc!A$9,
IF(H629="MP",Pole_Calc!A$10,
IF(H629="AnMP",Pole_Calc!A$11,
IF(H629="A",Pole_Calc!A$12,
IF(H629="S/A",Pole_Calc!A$13,
IF(H629="A/S",Pole_Calc!A$14,"Poner a mano")))))))</f>
        <v/>
      </c>
      <c r="BE629" s="429" t="s">
        <v>118</v>
      </c>
      <c r="BF629" s="290"/>
      <c r="BG629" s="290"/>
      <c r="BH629" s="290"/>
      <c r="BI629" s="290"/>
    </row>
    <row r="630" spans="1:61" ht="15.75" customHeight="1">
      <c r="A630" s="514"/>
      <c r="B630" s="450" t="s">
        <v>548</v>
      </c>
      <c r="C630" s="3">
        <f>+$C$628+$G$629</f>
        <v>45314.64</v>
      </c>
      <c r="D630" s="83"/>
      <c r="E630" s="4"/>
      <c r="F630" s="4">
        <f>-(439^2)/(C630-45371.83)</f>
        <v>3369.8373841579323</v>
      </c>
      <c r="G630" s="6"/>
      <c r="H630" s="449" t="s">
        <v>131</v>
      </c>
      <c r="I630" s="4"/>
      <c r="J630" s="3"/>
      <c r="K630" s="449"/>
      <c r="L630" s="449" t="s">
        <v>183</v>
      </c>
      <c r="M630" s="449" t="str">
        <f>IF(L630="","",
IF(AX630="PT",VLOOKUP(L630,Foundation_Calc!$V$79:$X$113,VLOOKUP(AX630,Foundation_Calc!$I$10:$J$13,2,FALSE),0),
IF(AX630="K",VLOOKUP(L630,Foundation_Calc!$V$117:$X$151,VLOOKUP(AX630,Foundation_Calc!$I$10:$J$13,2,FALSE),0),"")))</f>
        <v>2C3R</v>
      </c>
      <c r="N630" s="449" t="s">
        <v>124</v>
      </c>
      <c r="O630" s="449" t="s">
        <v>133</v>
      </c>
      <c r="P630" s="449"/>
      <c r="Q630" s="4"/>
      <c r="R630" s="6"/>
      <c r="S630" s="6"/>
      <c r="T630" s="4">
        <v>10</v>
      </c>
      <c r="U630" s="4">
        <v>-35</v>
      </c>
      <c r="V630" s="4"/>
      <c r="W630" s="9">
        <v>1.4</v>
      </c>
      <c r="X630" s="9">
        <v>2</v>
      </c>
      <c r="Y630" s="9"/>
      <c r="Z630" s="9"/>
      <c r="AA630" s="9">
        <v>0.4</v>
      </c>
      <c r="AB630" s="9"/>
      <c r="AC630" s="449" t="str">
        <f t="shared" si="70"/>
        <v>PH</v>
      </c>
      <c r="AD630" s="449"/>
      <c r="AE630" s="449"/>
      <c r="AF630" s="4"/>
      <c r="AG630" s="83"/>
      <c r="AH630" s="4"/>
      <c r="AI630" s="4"/>
      <c r="AJ630" s="449"/>
      <c r="AK630" s="449"/>
      <c r="AL630" s="449"/>
      <c r="AM630" s="449" t="s">
        <v>126</v>
      </c>
      <c r="AN630" s="10">
        <v>5.5</v>
      </c>
      <c r="AO630" s="9"/>
      <c r="AP630" s="9"/>
      <c r="AQ630" s="9"/>
      <c r="AR630" s="9"/>
      <c r="AS630" s="9"/>
      <c r="AT630" s="9">
        <f>+ab($T$630,$T$628,$T$632,$G$629,$G$631,-1*$F$630,1200)</f>
        <v>-24.068154990961048</v>
      </c>
      <c r="AU630" s="428"/>
      <c r="AV630" s="428"/>
      <c r="AW630" s="449" t="str">
        <f>IF(C630&gt;0,VLOOKUP(C630,Foundation_Calc!$A$2:$C$13,3,1),
IF(J630&gt;0,VLOOKUP(J630,Foundation_Calc!$A$2:$C$13,3,1),""))</f>
        <v>Multi Soil</v>
      </c>
      <c r="AX630" s="449" t="str">
        <f>IF(C630&gt;0,VLOOKUP(C630,Foundation_Calc!$E$2:$G$33,3,1),
IF(J630&gt;0,VLOOKUP(J630,Foundation_Calc!$E$2:$G$33,3,1),""))</f>
        <v>PT</v>
      </c>
      <c r="AY630" s="10">
        <f>IF(L630="","",
IF(AX630="PT",VLOOKUP(L630,Foundation_Calc!$K$79:$R$113,VLOOKUP(AW630,Foundation_Calc!$I$2:$J$8,2,FALSE),0),
IF(AX630="K",VLOOKUP(L630,Foundation_Calc!$K$117:$R$151,VLOOKUP(AW630,Foundation_Calc!$I$2:$J$8,2,FALSE),0),"")))</f>
        <v>3.7</v>
      </c>
      <c r="AZ630" s="10" t="str">
        <f>IF(K630="","",
IF(AX630="PT",VLOOKUP(K630,Foundation_Calc!$K$79:$R$113,VLOOKUP(AW630,Foundation_Calc!$I$2:$J$8,2,FALSE),0),
IF(AX630="K",VLOOKUP(K630,Foundation_Calc!$K$117:$R$151,VLOOKUP(AW630,Foundation_Calc!$I$2:$J$8,2,FALSE),0),"")))</f>
        <v/>
      </c>
      <c r="BA630" s="495" t="str">
        <f t="shared" si="71"/>
        <v>ü</v>
      </c>
      <c r="BB630" s="495" t="str">
        <f t="shared" si="72"/>
        <v/>
      </c>
      <c r="BC630" s="495" t="str">
        <f t="shared" si="73"/>
        <v/>
      </c>
      <c r="BD630" s="513" t="str">
        <f>IF(AND(L630="",H630=""),"",
IF(H630="",Pole_Calc!A$9,
IF(H630="MP",Pole_Calc!A$10,
IF(H630="AnMP",Pole_Calc!A$11,
IF(H630="A",Pole_Calc!A$12,
IF(H630="S/A",Pole_Calc!A$13,
IF(H630="A/S",Pole_Calc!A$14,"Poner a mano")))))))</f>
        <v>App.7-V11I-P9.5.1.5</v>
      </c>
      <c r="BE630" s="429" t="s">
        <v>118</v>
      </c>
      <c r="BF630" s="289"/>
      <c r="BG630" s="289"/>
      <c r="BH630" s="290"/>
      <c r="BI630" s="289"/>
    </row>
    <row r="631" spans="1:61" ht="15.75" customHeight="1">
      <c r="A631" s="514"/>
      <c r="B631" s="450"/>
      <c r="C631" s="3"/>
      <c r="D631" s="83"/>
      <c r="E631" s="4"/>
      <c r="F631" s="4"/>
      <c r="G631" s="6">
        <v>44</v>
      </c>
      <c r="H631" s="449"/>
      <c r="I631" s="4" t="s">
        <v>549</v>
      </c>
      <c r="J631" s="3">
        <f>C630+7.5</f>
        <v>45322.14</v>
      </c>
      <c r="K631" s="449" t="s">
        <v>166</v>
      </c>
      <c r="L631" s="449"/>
      <c r="M631" s="449" t="str">
        <f>IF(L631="","",
IF(AX631="PT",VLOOKUP(L631,Foundation_Calc!$V$79:$X$113,VLOOKUP(AX631,Foundation_Calc!$I$10:$J$13,2,FALSE),0),
IF(AX631="K",VLOOKUP(L631,Foundation_Calc!$V$117:$X$151,VLOOKUP(AX631,Foundation_Calc!$I$10:$J$13,2,FALSE),0),"")))</f>
        <v/>
      </c>
      <c r="N631" s="449"/>
      <c r="O631" s="449"/>
      <c r="P631" s="449"/>
      <c r="Q631" s="4"/>
      <c r="R631" s="6"/>
      <c r="S631" s="6"/>
      <c r="T631" s="4"/>
      <c r="U631" s="4"/>
      <c r="V631" s="4"/>
      <c r="W631" s="9"/>
      <c r="X631" s="9"/>
      <c r="Y631" s="9"/>
      <c r="Z631" s="9"/>
      <c r="AA631" s="9"/>
      <c r="AB631" s="9"/>
      <c r="AC631" s="449" t="str">
        <f t="shared" si="70"/>
        <v/>
      </c>
      <c r="AD631" s="449"/>
      <c r="AE631" s="449"/>
      <c r="AF631" s="4"/>
      <c r="AG631" s="83"/>
      <c r="AH631" s="4"/>
      <c r="AI631" s="4"/>
      <c r="AJ631" s="449"/>
      <c r="AK631" s="449"/>
      <c r="AL631" s="449"/>
      <c r="AM631" s="449"/>
      <c r="AN631" s="10"/>
      <c r="AO631" s="9"/>
      <c r="AP631" s="9"/>
      <c r="AQ631" s="9">
        <f>+FL_2($T$632,$T$630,$G$631,1200,9.28,-1*$F$632)</f>
        <v>-0.25209391508564971</v>
      </c>
      <c r="AR631" s="9"/>
      <c r="AS631" s="9"/>
      <c r="AT631" s="9"/>
      <c r="AU631" s="428"/>
      <c r="AV631" s="428"/>
      <c r="AW631" s="449" t="str">
        <f>IF(C631&gt;0,VLOOKUP(C631,Foundation_Calc!$A$2:$C$13,3,1),
IF(J631&gt;0,VLOOKUP(J631,Foundation_Calc!$A$2:$C$13,3,1),""))</f>
        <v>Multi Soil</v>
      </c>
      <c r="AX631" s="449" t="str">
        <f>IF(C631&gt;0,VLOOKUP(C631,Foundation_Calc!$E$2:$G$33,3,1),
IF(J631&gt;0,VLOOKUP(J631,Foundation_Calc!$E$2:$G$33,3,1),""))</f>
        <v>PT</v>
      </c>
      <c r="AY631" s="10" t="str">
        <f>IF(L631="","",
IF(AX631="PT",VLOOKUP(L631,Foundation_Calc!$K$79:$R$113,VLOOKUP(AW631,Foundation_Calc!$I$2:$J$8,2,FALSE),0),
IF(AX631="K",VLOOKUP(L631,Foundation_Calc!$K$117:$R$151,VLOOKUP(AW631,Foundation_Calc!$I$2:$J$8,2,FALSE),0),"")))</f>
        <v/>
      </c>
      <c r="AZ631" s="10">
        <f>IF(K631="","",
IF(AX631="PT",VLOOKUP(K631,Foundation_Calc!$K$79:$R$113,VLOOKUP(AW631,Foundation_Calc!$I$2:$J$8,2,FALSE),0),
IF(AX631="K",VLOOKUP(K631,Foundation_Calc!$K$117:$R$151,VLOOKUP(AW631,Foundation_Calc!$I$2:$J$8,2,FALSE),0),"")))</f>
        <v>2.8</v>
      </c>
      <c r="BA631" s="495" t="str">
        <f t="shared" si="71"/>
        <v/>
      </c>
      <c r="BB631" s="495" t="str">
        <f t="shared" si="72"/>
        <v>ü</v>
      </c>
      <c r="BC631" s="495" t="str">
        <f t="shared" si="73"/>
        <v/>
      </c>
      <c r="BD631" s="513" t="str">
        <f>IF(AND(L631="",H631=""),"",
IF(H631="",Pole_Calc!A$9,
IF(H631="MP",Pole_Calc!A$10,
IF(H631="AnMP",Pole_Calc!A$11,
IF(H631="A",Pole_Calc!A$12,
IF(H631="S/A",Pole_Calc!A$13,
IF(H631="A/S",Pole_Calc!A$14,"Poner a mano")))))))</f>
        <v/>
      </c>
      <c r="BE631" s="429" t="s">
        <v>118</v>
      </c>
      <c r="BF631" s="290"/>
      <c r="BG631" s="290"/>
      <c r="BH631" s="290"/>
      <c r="BI631" s="290"/>
    </row>
    <row r="632" spans="1:61" ht="15.75" customHeight="1">
      <c r="A632" s="514"/>
      <c r="B632" s="450" t="s">
        <v>550</v>
      </c>
      <c r="C632" s="3">
        <f>+$C$630+$G$631-1.45</f>
        <v>45357.19</v>
      </c>
      <c r="D632" s="83"/>
      <c r="E632" s="4"/>
      <c r="F632" s="4">
        <f>-(439^2)/(C632-45371.83)</f>
        <v>13164.002732240961</v>
      </c>
      <c r="G632" s="6"/>
      <c r="H632" s="449" t="s">
        <v>551</v>
      </c>
      <c r="I632" s="4" t="s">
        <v>122</v>
      </c>
      <c r="J632" s="3"/>
      <c r="K632" s="449"/>
      <c r="L632" s="449" t="s">
        <v>206</v>
      </c>
      <c r="M632" s="449" t="str">
        <f>IF(L632="","",
IF(AX632="PT",VLOOKUP(L632,Foundation_Calc!$V$79:$X$113,VLOOKUP(AX632,Foundation_Calc!$I$10:$J$13,2,FALSE),0),
IF(AX632="K",VLOOKUP(L632,Foundation_Calc!$V$117:$X$151,VLOOKUP(AX632,Foundation_Calc!$I$10:$J$13,2,FALSE),0),"")))</f>
        <v>2C4R</v>
      </c>
      <c r="N632" s="449" t="s">
        <v>124</v>
      </c>
      <c r="O632" s="449"/>
      <c r="P632" s="449"/>
      <c r="Q632" s="4"/>
      <c r="R632" s="6"/>
      <c r="S632" s="6"/>
      <c r="T632" s="4">
        <v>-20</v>
      </c>
      <c r="U632" s="4"/>
      <c r="V632" s="4"/>
      <c r="W632" s="9">
        <v>1.4</v>
      </c>
      <c r="X632" s="9"/>
      <c r="Y632" s="9"/>
      <c r="Z632" s="9"/>
      <c r="AA632" s="9"/>
      <c r="AB632" s="9"/>
      <c r="AC632" s="449" t="str">
        <f t="shared" si="70"/>
        <v>PH</v>
      </c>
      <c r="AD632" s="449"/>
      <c r="AE632" s="449"/>
      <c r="AF632" s="4"/>
      <c r="AG632" s="83"/>
      <c r="AH632" s="4"/>
      <c r="AI632" s="4"/>
      <c r="AJ632" s="449"/>
      <c r="AK632" s="449"/>
      <c r="AL632" s="449"/>
      <c r="AM632" s="449" t="s">
        <v>552</v>
      </c>
      <c r="AN632" s="10">
        <v>5.5</v>
      </c>
      <c r="AO632" s="9"/>
      <c r="AP632" s="9"/>
      <c r="AQ632" s="9"/>
      <c r="AR632" s="9"/>
      <c r="AS632" s="9"/>
      <c r="AT632" s="9">
        <f>+ab($T$632,$T$630,$U$634,$G$631,$G$633,-1*$F$632,1200)</f>
        <v>-17.86881193747238</v>
      </c>
      <c r="AU632" s="428"/>
      <c r="AV632" s="428"/>
      <c r="AW632" s="449" t="str">
        <f>IF(C632&gt;0,VLOOKUP(C632,Foundation_Calc!$A$2:$C$13,3,1),
IF(J632&gt;0,VLOOKUP(J632,Foundation_Calc!$A$2:$C$13,3,1),""))</f>
        <v>Multi Soil</v>
      </c>
      <c r="AX632" s="449" t="str">
        <f>IF(C632&gt;0,VLOOKUP(C632,Foundation_Calc!$E$2:$G$33,3,1),
IF(J632&gt;0,VLOOKUP(J632,Foundation_Calc!$E$2:$G$33,3,1),""))</f>
        <v>PT</v>
      </c>
      <c r="AY632" s="10">
        <f>IF(L632="","",
IF(AX632="PT",VLOOKUP(L632,Foundation_Calc!$K$79:$R$113,VLOOKUP(AW632,Foundation_Calc!$I$2:$J$8,2,FALSE),0),
IF(AX632="K",VLOOKUP(L632,Foundation_Calc!$K$117:$R$151,VLOOKUP(AW632,Foundation_Calc!$I$2:$J$8,2,FALSE),0),"")))</f>
        <v>4</v>
      </c>
      <c r="AZ632" s="10" t="str">
        <f>IF(K632="","",
IF(AX632="PT",VLOOKUP(K632,Foundation_Calc!$K$79:$R$113,VLOOKUP(AW632,Foundation_Calc!$I$2:$J$8,2,FALSE),0),
IF(AX632="K",VLOOKUP(K632,Foundation_Calc!$K$117:$R$151,VLOOKUP(AW632,Foundation_Calc!$I$2:$J$8,2,FALSE),0),"")))</f>
        <v/>
      </c>
      <c r="BA632" s="495" t="str">
        <f t="shared" si="71"/>
        <v>ü</v>
      </c>
      <c r="BB632" s="495" t="str">
        <f t="shared" si="72"/>
        <v/>
      </c>
      <c r="BC632" s="495" t="str">
        <f t="shared" si="73"/>
        <v/>
      </c>
      <c r="BD632" s="513" t="str">
        <f>Pole_Calc!A$167</f>
        <v>App.7-V11I-P9.5.15.2</v>
      </c>
      <c r="BE632" s="429" t="s">
        <v>118</v>
      </c>
      <c r="BF632" s="289"/>
      <c r="BG632" s="289"/>
      <c r="BH632" s="290"/>
      <c r="BI632" s="289"/>
    </row>
    <row r="633" spans="1:61" ht="15.75" customHeight="1">
      <c r="A633" s="514"/>
      <c r="B633" s="450"/>
      <c r="C633" s="3"/>
      <c r="D633" s="83"/>
      <c r="E633" s="4"/>
      <c r="F633" s="4"/>
      <c r="G633" s="6">
        <v>50</v>
      </c>
      <c r="H633" s="449"/>
      <c r="I633" s="4" t="s">
        <v>122</v>
      </c>
      <c r="J633" s="3"/>
      <c r="K633" s="449"/>
      <c r="L633" s="449"/>
      <c r="M633" s="449" t="str">
        <f>IF(L633="","",
IF(AX633="PT",VLOOKUP(L633,Foundation_Calc!$V$79:$X$113,VLOOKUP(AX633,Foundation_Calc!$I$10:$J$13,2,FALSE),0),
IF(AX633="K",VLOOKUP(L633,Foundation_Calc!$V$117:$X$151,VLOOKUP(AX633,Foundation_Calc!$I$10:$J$13,2,FALSE),0),"")))</f>
        <v/>
      </c>
      <c r="N633" s="449"/>
      <c r="O633" s="449"/>
      <c r="P633" s="449"/>
      <c r="Q633" s="4"/>
      <c r="R633" s="6"/>
      <c r="S633" s="6"/>
      <c r="T633" s="4"/>
      <c r="U633" s="4"/>
      <c r="V633" s="4"/>
      <c r="W633" s="9"/>
      <c r="X633" s="9"/>
      <c r="Y633" s="9"/>
      <c r="Z633" s="9"/>
      <c r="AA633" s="9"/>
      <c r="AB633" s="9"/>
      <c r="AC633" s="449" t="str">
        <f t="shared" si="70"/>
        <v/>
      </c>
      <c r="AD633" s="449"/>
      <c r="AE633" s="449"/>
      <c r="AF633" s="4"/>
      <c r="AG633" s="83"/>
      <c r="AH633" s="4"/>
      <c r="AI633" s="4"/>
      <c r="AJ633" s="449"/>
      <c r="AK633" s="449"/>
      <c r="AL633" s="449"/>
      <c r="AM633" s="449"/>
      <c r="AN633" s="10"/>
      <c r="AO633" s="9"/>
      <c r="AP633" s="9"/>
      <c r="AQ633" s="9">
        <f>+FL_1($U$634,$T$632,$G$633,1200,9.28,-1*$F$634)</f>
        <v>4.1666666666666637E-2</v>
      </c>
      <c r="AR633" s="9"/>
      <c r="AS633" s="9"/>
      <c r="AT633" s="9"/>
      <c r="AU633" s="428"/>
      <c r="AV633" s="428"/>
      <c r="AW633" s="449" t="str">
        <f>IF(C633&gt;0,VLOOKUP(C633,Foundation_Calc!$A$2:$C$13,3,1),
IF(J633&gt;0,VLOOKUP(J633,Foundation_Calc!$A$2:$C$13,3,1),""))</f>
        <v/>
      </c>
      <c r="AX633" s="449" t="str">
        <f>IF(C633&gt;0,VLOOKUP(C633,Foundation_Calc!$E$2:$G$33,3,1),
IF(J633&gt;0,VLOOKUP(J633,Foundation_Calc!$E$2:$G$33,3,1),""))</f>
        <v/>
      </c>
      <c r="AY633" s="10" t="str">
        <f>IF(L633="","",
IF(AX633="PT",VLOOKUP(L633,Foundation_Calc!$K$79:$R$113,VLOOKUP(AW633,Foundation_Calc!$I$2:$J$8,2,FALSE),0),
IF(AX633="K",VLOOKUP(L633,Foundation_Calc!$K$117:$R$151,VLOOKUP(AW633,Foundation_Calc!$I$2:$J$8,2,FALSE),0),"")))</f>
        <v/>
      </c>
      <c r="AZ633" s="10" t="str">
        <f>IF(K633="","",
IF(AX633="PT",VLOOKUP(K633,Foundation_Calc!$K$79:$R$113,VLOOKUP(AW633,Foundation_Calc!$I$2:$J$8,2,FALSE),0),
IF(AX633="K",VLOOKUP(K633,Foundation_Calc!$K$117:$R$151,VLOOKUP(AW633,Foundation_Calc!$I$2:$J$8,2,FALSE),0),"")))</f>
        <v/>
      </c>
      <c r="BA633" s="495" t="str">
        <f t="shared" si="71"/>
        <v/>
      </c>
      <c r="BB633" s="495" t="str">
        <f t="shared" si="72"/>
        <v/>
      </c>
      <c r="BC633" s="495" t="str">
        <f t="shared" si="73"/>
        <v/>
      </c>
      <c r="BD633" s="513" t="str">
        <f>IF(AND(L633="",H633=""),"",
IF(H633="",Pole_Calc!A$9,
IF(H633="MP",Pole_Calc!A$10,
IF(H633="AnMP",Pole_Calc!A$11,
IF(H633="A",Pole_Calc!A$12,
IF(H633="S/A",Pole_Calc!A$13,
IF(H633="A/S",Pole_Calc!A$14,"Poner a mano")))))))</f>
        <v/>
      </c>
      <c r="BE633" s="429" t="s">
        <v>118</v>
      </c>
      <c r="BF633" s="290"/>
      <c r="BG633" s="290"/>
      <c r="BH633" s="290"/>
      <c r="BI633" s="290"/>
    </row>
    <row r="634" spans="1:61" ht="15.75" customHeight="1">
      <c r="A634" s="518"/>
      <c r="B634" s="450" t="s">
        <v>553</v>
      </c>
      <c r="C634" s="3">
        <f>+$C$632+$G$633</f>
        <v>45407.19</v>
      </c>
      <c r="D634" s="83"/>
      <c r="E634" s="4"/>
      <c r="F634" s="4">
        <f>IF(C634&gt;0,VLOOKUP(C634,'ALIGNMENT TRACK'!$A$1:$K$81,9,1))</f>
        <v>0</v>
      </c>
      <c r="G634" s="6"/>
      <c r="H634" s="449" t="s">
        <v>131</v>
      </c>
      <c r="I634" s="4">
        <v>383</v>
      </c>
      <c r="J634" s="3"/>
      <c r="K634" s="449"/>
      <c r="L634" s="449" t="s">
        <v>183</v>
      </c>
      <c r="M634" s="449" t="str">
        <f>IF(L634="","",
IF(AX634="PT",VLOOKUP(L634,Foundation_Calc!$V$79:$X$113,VLOOKUP(AX634,Foundation_Calc!$I$10:$J$13,2,FALSE),0),
IF(AX634="K",VLOOKUP(L634,Foundation_Calc!$V$117:$X$151,VLOOKUP(AX634,Foundation_Calc!$I$10:$J$13,2,FALSE),0),"")))</f>
        <v>2C3R</v>
      </c>
      <c r="N634" s="553" t="s">
        <v>133</v>
      </c>
      <c r="O634" s="449" t="s">
        <v>124</v>
      </c>
      <c r="P634" s="449"/>
      <c r="Q634" s="4"/>
      <c r="R634" s="6"/>
      <c r="S634" s="6"/>
      <c r="T634" s="4">
        <v>-55</v>
      </c>
      <c r="U634" s="4">
        <v>-20</v>
      </c>
      <c r="V634" s="4"/>
      <c r="W634" s="9">
        <v>2</v>
      </c>
      <c r="X634" s="9">
        <v>1.4</v>
      </c>
      <c r="Y634" s="9"/>
      <c r="Z634" s="9">
        <v>0.4</v>
      </c>
      <c r="AA634" s="9"/>
      <c r="AB634" s="9"/>
      <c r="AC634" s="449"/>
      <c r="AD634" s="449"/>
      <c r="AE634" s="449"/>
      <c r="AF634" s="4"/>
      <c r="AG634" s="83"/>
      <c r="AH634" s="4"/>
      <c r="AI634" s="4"/>
      <c r="AJ634" s="449"/>
      <c r="AK634" s="449"/>
      <c r="AL634" s="449"/>
      <c r="AM634" s="449" t="s">
        <v>552</v>
      </c>
      <c r="AN634" s="10">
        <v>5.5</v>
      </c>
      <c r="AO634" s="9"/>
      <c r="AP634" s="9"/>
      <c r="AQ634" s="9"/>
      <c r="AR634" s="9"/>
      <c r="AS634" s="9"/>
      <c r="AT634" s="9">
        <f>+ab($U$634,$T$632,$U$636,$G$633,$G$635,-1*$F$634,1200)</f>
        <v>-15.6482264747487</v>
      </c>
      <c r="AU634" s="428"/>
      <c r="AV634" s="428"/>
      <c r="AW634" s="449" t="str">
        <f>IF(C634&gt;0,VLOOKUP(C634,Foundation_Calc!$A$2:$C$13,3,1),
IF(J634&gt;0,VLOOKUP(J634,Foundation_Calc!$A$2:$C$13,3,1),""))</f>
        <v>Multi Soil</v>
      </c>
      <c r="AX634" s="449" t="str">
        <f>IF(C634&gt;0,VLOOKUP(C634,Foundation_Calc!$E$2:$G$33,3,1),
IF(J634&gt;0,VLOOKUP(J634,Foundation_Calc!$E$2:$G$33,3,1),""))</f>
        <v>PT</v>
      </c>
      <c r="AY634" s="10">
        <f>IF(L634="","",
IF(AX634="PT",VLOOKUP(L634,Foundation_Calc!$K$79:$R$113,VLOOKUP(AW634,Foundation_Calc!$I$2:$J$8,2,FALSE),0),
IF(AX634="K",VLOOKUP(L634,Foundation_Calc!$K$117:$R$151,VLOOKUP(AW634,Foundation_Calc!$I$2:$J$8,2,FALSE),0),"")))</f>
        <v>3.7</v>
      </c>
      <c r="AZ634" s="10" t="str">
        <f>IF(K634="","",
IF(AX634="PT",VLOOKUP(K634,Foundation_Calc!$K$79:$R$113,VLOOKUP(AW634,Foundation_Calc!$I$2:$J$8,2,FALSE),0),
IF(AX634="K",VLOOKUP(K634,Foundation_Calc!$K$117:$R$151,VLOOKUP(AW634,Foundation_Calc!$I$2:$J$8,2,FALSE),0),"")))</f>
        <v/>
      </c>
      <c r="BA634" s="495" t="str">
        <f t="shared" si="71"/>
        <v>ü</v>
      </c>
      <c r="BB634" s="495" t="str">
        <f t="shared" si="72"/>
        <v/>
      </c>
      <c r="BC634" s="495" t="str">
        <f t="shared" si="73"/>
        <v/>
      </c>
      <c r="BD634" s="513" t="str">
        <f>IF(AND(L634="",H634=""),"",
IF(H634="",Pole_Calc!A$9,
IF(H634="MP",Pole_Calc!A$10,
IF(H634="AnMP",Pole_Calc!A$11,
IF(H634="A",Pole_Calc!A$12,
IF(H634="S/A",Pole_Calc!A$13,
IF(H634="A/S",Pole_Calc!A$14,"Poner a mano")))))))</f>
        <v>App.7-V11I-P9.5.1.5</v>
      </c>
      <c r="BE634" s="429" t="s">
        <v>118</v>
      </c>
      <c r="BF634" s="289"/>
      <c r="BG634" s="289"/>
      <c r="BH634" s="290"/>
      <c r="BI634" s="289"/>
    </row>
    <row r="635" spans="1:61" ht="15.75" customHeight="1">
      <c r="A635" s="518"/>
      <c r="B635" s="450"/>
      <c r="C635" s="3"/>
      <c r="D635" s="83"/>
      <c r="E635" s="4"/>
      <c r="F635" s="4"/>
      <c r="G635" s="6">
        <v>46</v>
      </c>
      <c r="H635" s="449"/>
      <c r="I635" s="4"/>
      <c r="J635" s="3">
        <f>C636-7.5</f>
        <v>45445.69</v>
      </c>
      <c r="K635" s="449" t="s">
        <v>117</v>
      </c>
      <c r="L635" s="449"/>
      <c r="M635" s="449" t="str">
        <f>IF(L635="","",
IF(AX635="PT",VLOOKUP(L635,Foundation_Calc!$V$79:$X$113,VLOOKUP(AX635,Foundation_Calc!$I$10:$J$13,2,FALSE),0),
IF(AX635="K",VLOOKUP(L635,Foundation_Calc!$V$117:$X$151,VLOOKUP(AX635,Foundation_Calc!$I$10:$J$13,2,FALSE),0),"")))</f>
        <v/>
      </c>
      <c r="N635" s="449"/>
      <c r="O635" s="449"/>
      <c r="P635" s="449"/>
      <c r="Q635" s="4"/>
      <c r="R635" s="6"/>
      <c r="S635" s="6"/>
      <c r="T635" s="4"/>
      <c r="U635" s="4"/>
      <c r="V635" s="4"/>
      <c r="W635" s="9"/>
      <c r="X635" s="9"/>
      <c r="Y635" s="9"/>
      <c r="Z635" s="9"/>
      <c r="AA635" s="9"/>
      <c r="AB635" s="9"/>
      <c r="AC635" s="449" t="str">
        <f t="shared" si="70"/>
        <v/>
      </c>
      <c r="AD635" s="449"/>
      <c r="AE635" s="449"/>
      <c r="AF635" s="4"/>
      <c r="AG635" s="83"/>
      <c r="AH635" s="4"/>
      <c r="AI635" s="4"/>
      <c r="AJ635" s="449"/>
      <c r="AK635" s="449"/>
      <c r="AL635" s="449"/>
      <c r="AM635" s="449"/>
      <c r="AN635" s="10"/>
      <c r="AO635" s="9"/>
      <c r="AP635" s="9"/>
      <c r="AQ635" s="9">
        <f>+FL_1($U$636,$U$634,$G$635,1200,9.28,-1*$F$636)</f>
        <v>0.3719766740869565</v>
      </c>
      <c r="AR635" s="9"/>
      <c r="AS635" s="9"/>
      <c r="AT635" s="9"/>
      <c r="AU635" s="428"/>
      <c r="AV635" s="428"/>
      <c r="AW635" s="449" t="str">
        <f>IF(C635&gt;0,VLOOKUP(C635,Foundation_Calc!$A$2:$C$13,3,1),
IF(J635&gt;0,VLOOKUP(J635,Foundation_Calc!$A$2:$C$13,3,1),""))</f>
        <v>Multi Soil</v>
      </c>
      <c r="AX635" s="449" t="str">
        <f>IF(C635&gt;0,VLOOKUP(C635,Foundation_Calc!$E$2:$G$33,3,1),
IF(J635&gt;0,VLOOKUP(J635,Foundation_Calc!$E$2:$G$33,3,1),""))</f>
        <v>PT</v>
      </c>
      <c r="AY635" s="10" t="str">
        <f>IF(L635="","",
IF(AX635="PT",VLOOKUP(L635,Foundation_Calc!$K$79:$R$113,VLOOKUP(AW635,Foundation_Calc!$I$2:$J$8,2,FALSE),0),
IF(AX635="K",VLOOKUP(L635,Foundation_Calc!$K$117:$R$151,VLOOKUP(AW635,Foundation_Calc!$I$2:$J$8,2,FALSE),0),"")))</f>
        <v/>
      </c>
      <c r="AZ635" s="10">
        <f>IF(K635="","",
IF(AX635="PT",VLOOKUP(K635,Foundation_Calc!$K$79:$R$113,VLOOKUP(AW635,Foundation_Calc!$I$2:$J$8,2,FALSE),0),
IF(AX635="K",VLOOKUP(K635,Foundation_Calc!$K$117:$R$151,VLOOKUP(AW635,Foundation_Calc!$I$2:$J$8,2,FALSE),0),"")))</f>
        <v>3.9</v>
      </c>
      <c r="BA635" s="495" t="str">
        <f t="shared" si="71"/>
        <v/>
      </c>
      <c r="BB635" s="495" t="str">
        <f t="shared" si="72"/>
        <v>ü</v>
      </c>
      <c r="BC635" s="495" t="str">
        <f t="shared" si="73"/>
        <v/>
      </c>
      <c r="BD635" s="513" t="str">
        <f>IF(AND(L635="",H635=""),"",
IF(H635="",Pole_Calc!A$9,
IF(H635="MP",Pole_Calc!A$10,
IF(H635="AnMP",Pole_Calc!A$11,
IF(H635="A",Pole_Calc!A$12,
IF(H635="S/A",Pole_Calc!A$13,
IF(H635="A/S",Pole_Calc!A$14,"Poner a mano")))))))</f>
        <v/>
      </c>
      <c r="BE635" s="429" t="s">
        <v>118</v>
      </c>
      <c r="BF635" s="290"/>
      <c r="BG635" s="290"/>
      <c r="BH635" s="290"/>
      <c r="BI635" s="290"/>
    </row>
    <row r="636" spans="1:61" ht="15.75" customHeight="1">
      <c r="A636" s="518"/>
      <c r="B636" s="450" t="s">
        <v>554</v>
      </c>
      <c r="C636" s="3">
        <f>+$C$634+$G$635</f>
        <v>45453.19</v>
      </c>
      <c r="D636" s="83"/>
      <c r="E636" s="4"/>
      <c r="F636" s="4">
        <f>IF(C636&gt;0,VLOOKUP(C636,'ALIGNMENT TRACK'!$A$1:$K$81,9,1))</f>
        <v>0</v>
      </c>
      <c r="G636" s="6"/>
      <c r="H636" s="449" t="s">
        <v>292</v>
      </c>
      <c r="I636" s="4" t="s">
        <v>122</v>
      </c>
      <c r="J636" s="3"/>
      <c r="K636" s="449"/>
      <c r="L636" s="449" t="s">
        <v>183</v>
      </c>
      <c r="M636" s="449" t="str">
        <f>IF(L636="","",
IF(AX636="PT",VLOOKUP(L636,Foundation_Calc!$V$79:$X$113,VLOOKUP(AX636,Foundation_Calc!$I$10:$J$13,2,FALSE),0),
IF(AX636="K",VLOOKUP(L636,Foundation_Calc!$V$117:$X$151,VLOOKUP(AX636,Foundation_Calc!$I$10:$J$13,2,FALSE),0),"")))</f>
        <v>2C3R</v>
      </c>
      <c r="N636" s="553" t="s">
        <v>124</v>
      </c>
      <c r="O636" s="449" t="s">
        <v>134</v>
      </c>
      <c r="P636" s="449"/>
      <c r="Q636" s="4"/>
      <c r="R636" s="6"/>
      <c r="S636" s="6"/>
      <c r="T636" s="4">
        <v>20</v>
      </c>
      <c r="U636" s="4">
        <v>35</v>
      </c>
      <c r="V636" s="4"/>
      <c r="W636" s="9">
        <v>2</v>
      </c>
      <c r="X636" s="9">
        <v>1.4</v>
      </c>
      <c r="Y636" s="9"/>
      <c r="Z636" s="9"/>
      <c r="AA636" s="9"/>
      <c r="AB636" s="9"/>
      <c r="AC636" s="449" t="str">
        <f t="shared" si="70"/>
        <v>PHQ</v>
      </c>
      <c r="AD636" s="449"/>
      <c r="AE636" s="449"/>
      <c r="AF636" s="4"/>
      <c r="AG636" s="83"/>
      <c r="AH636" s="4"/>
      <c r="AI636" s="4"/>
      <c r="AJ636" s="449" t="s">
        <v>239</v>
      </c>
      <c r="AK636" s="449"/>
      <c r="AL636" s="449"/>
      <c r="AM636" s="449" t="s">
        <v>552</v>
      </c>
      <c r="AN636" s="10">
        <v>5.5</v>
      </c>
      <c r="AO636" s="9"/>
      <c r="AP636" s="9"/>
      <c r="AQ636" s="9"/>
      <c r="AR636" s="9"/>
      <c r="AS636" s="9"/>
      <c r="AT636" s="9">
        <f>+ab($U$636,$U$634,$U$638,$G$635,$G$637,-1*$F$636,1200)</f>
        <v>7.229765646592023</v>
      </c>
      <c r="AU636" s="428"/>
      <c r="AV636" s="428"/>
      <c r="AW636" s="449" t="str">
        <f>IF(C636&gt;0,VLOOKUP(C636,Foundation_Calc!$A$2:$C$13,3,1),
IF(J636&gt;0,VLOOKUP(J636,Foundation_Calc!$A$2:$C$13,3,1),""))</f>
        <v>Multi Soil</v>
      </c>
      <c r="AX636" s="449" t="str">
        <f>IF(C636&gt;0,VLOOKUP(C636,Foundation_Calc!$E$2:$G$33,3,1),
IF(J636&gt;0,VLOOKUP(J636,Foundation_Calc!$E$2:$G$33,3,1),""))</f>
        <v>PT</v>
      </c>
      <c r="AY636" s="10">
        <f>IF(L636="","",
IF(AX636="PT",VLOOKUP(L636,Foundation_Calc!$K$79:$R$113,VLOOKUP(AW636,Foundation_Calc!$I$2:$J$8,2,FALSE),0),
IF(AX636="K",VLOOKUP(L636,Foundation_Calc!$K$117:$R$151,VLOOKUP(AW636,Foundation_Calc!$I$2:$J$8,2,FALSE),0),"")))</f>
        <v>3.7</v>
      </c>
      <c r="AZ636" s="10" t="str">
        <f>IF(K636="","",
IF(AX636="PT",VLOOKUP(K636,Foundation_Calc!$K$79:$R$113,VLOOKUP(AW636,Foundation_Calc!$I$2:$J$8,2,FALSE),0),
IF(AX636="K",VLOOKUP(K636,Foundation_Calc!$K$117:$R$151,VLOOKUP(AW636,Foundation_Calc!$I$2:$J$8,2,FALSE),0),"")))</f>
        <v/>
      </c>
      <c r="BA636" s="495" t="str">
        <f t="shared" si="71"/>
        <v>ü</v>
      </c>
      <c r="BB636" s="495" t="str">
        <f t="shared" si="72"/>
        <v/>
      </c>
      <c r="BC636" s="495" t="str">
        <f t="shared" si="73"/>
        <v/>
      </c>
      <c r="BD636" s="513" t="str">
        <f>Pole_Calc!A$16</f>
        <v>App.7-V11I-P9.5.1.8</v>
      </c>
      <c r="BE636" s="429" t="s">
        <v>118</v>
      </c>
      <c r="BF636" s="289"/>
      <c r="BG636" s="289"/>
      <c r="BH636" s="290"/>
      <c r="BI636" s="289"/>
    </row>
    <row r="637" spans="1:61" ht="15.75" customHeight="1">
      <c r="A637" s="514"/>
      <c r="B637" s="450"/>
      <c r="C637" s="3"/>
      <c r="D637" s="83"/>
      <c r="E637" s="4"/>
      <c r="F637" s="4"/>
      <c r="G637" s="6">
        <v>45</v>
      </c>
      <c r="H637" s="449"/>
      <c r="I637" s="4"/>
      <c r="J637" s="3"/>
      <c r="K637" s="449"/>
      <c r="L637" s="449"/>
      <c r="M637" s="449" t="str">
        <f>IF(L637="","",
IF(AX637="PT",VLOOKUP(L637,Foundation_Calc!$V$79:$X$113,VLOOKUP(AX637,Foundation_Calc!$I$10:$J$13,2,FALSE),0),
IF(AX637="K",VLOOKUP(L637,Foundation_Calc!$V$117:$X$151,VLOOKUP(AX637,Foundation_Calc!$I$10:$J$13,2,FALSE),0),"")))</f>
        <v/>
      </c>
      <c r="N637" s="449"/>
      <c r="O637" s="449"/>
      <c r="P637" s="449"/>
      <c r="Q637" s="4"/>
      <c r="R637" s="6"/>
      <c r="S637" s="6"/>
      <c r="T637" s="4"/>
      <c r="U637" s="4"/>
      <c r="V637" s="4"/>
      <c r="W637" s="9"/>
      <c r="X637" s="9"/>
      <c r="Y637" s="9"/>
      <c r="Z637" s="9"/>
      <c r="AA637" s="9"/>
      <c r="AB637" s="9"/>
      <c r="AC637" s="449" t="str">
        <f t="shared" si="70"/>
        <v/>
      </c>
      <c r="AD637" s="449"/>
      <c r="AE637" s="449"/>
      <c r="AF637" s="4"/>
      <c r="AG637" s="83"/>
      <c r="AH637" s="4"/>
      <c r="AI637" s="4"/>
      <c r="AJ637" s="449"/>
      <c r="AK637" s="449"/>
      <c r="AL637" s="449"/>
      <c r="AM637" s="449"/>
      <c r="AN637" s="10"/>
      <c r="AO637" s="9"/>
      <c r="AP637" s="9"/>
      <c r="AQ637" s="9">
        <f>+FL_2($U$638,$U$636,$G$637,1200,9.28,-1*$F$638)</f>
        <v>-0.30564782755555553</v>
      </c>
      <c r="AR637" s="9"/>
      <c r="AS637" s="9"/>
      <c r="AT637" s="9"/>
      <c r="AU637" s="428"/>
      <c r="AV637" s="428"/>
      <c r="AW637" s="449" t="str">
        <f>IF(C637&gt;0,VLOOKUP(C637,Foundation_Calc!$A$2:$C$13,3,1),
IF(J637&gt;0,VLOOKUP(J637,Foundation_Calc!$A$2:$C$13,3,1),""))</f>
        <v/>
      </c>
      <c r="AX637" s="449" t="str">
        <f>IF(C637&gt;0,VLOOKUP(C637,Foundation_Calc!$E$2:$G$33,3,1),
IF(J637&gt;0,VLOOKUP(J637,Foundation_Calc!$E$2:$G$33,3,1),""))</f>
        <v/>
      </c>
      <c r="AY637" s="10" t="str">
        <f>IF(L637="","",
IF(AX637="PT",VLOOKUP(L637,Foundation_Calc!$K$79:$R$113,VLOOKUP(AW637,Foundation_Calc!$I$2:$J$8,2,FALSE),0),
IF(AX637="K",VLOOKUP(L637,Foundation_Calc!$K$117:$R$151,VLOOKUP(AW637,Foundation_Calc!$I$2:$J$8,2,FALSE),0),"")))</f>
        <v/>
      </c>
      <c r="AZ637" s="10" t="str">
        <f>IF(K637="","",
IF(AX637="PT",VLOOKUP(K637,Foundation_Calc!$K$79:$R$113,VLOOKUP(AW637,Foundation_Calc!$I$2:$J$8,2,FALSE),0),
IF(AX637="K",VLOOKUP(K637,Foundation_Calc!$K$117:$R$151,VLOOKUP(AW637,Foundation_Calc!$I$2:$J$8,2,FALSE),0),"")))</f>
        <v/>
      </c>
      <c r="BA637" s="495" t="str">
        <f t="shared" si="71"/>
        <v/>
      </c>
      <c r="BB637" s="495" t="str">
        <f t="shared" si="72"/>
        <v/>
      </c>
      <c r="BC637" s="495" t="str">
        <f t="shared" si="73"/>
        <v/>
      </c>
      <c r="BD637" s="513" t="str">
        <f>IF(AND(L637="",H637=""),"",
IF(H637="",Pole_Calc!A$9,
IF(H637="MP",Pole_Calc!A$10,
IF(H637="AnMP",Pole_Calc!A$11,
IF(H637="A",Pole_Calc!A$12,
IF(H637="S/A",Pole_Calc!A$13,
IF(H637="A/S",Pole_Calc!A$14,"Poner a mano")))))))</f>
        <v/>
      </c>
      <c r="BE637" s="429" t="s">
        <v>118</v>
      </c>
      <c r="BF637" s="290"/>
      <c r="BG637" s="290"/>
      <c r="BH637" s="290"/>
      <c r="BI637" s="290"/>
    </row>
    <row r="638" spans="1:61" ht="15.75" customHeight="1">
      <c r="A638" s="514"/>
      <c r="B638" s="450" t="s">
        <v>555</v>
      </c>
      <c r="C638" s="3">
        <f>+$C$636+$G$637</f>
        <v>45498.19</v>
      </c>
      <c r="D638" s="83"/>
      <c r="E638" s="4"/>
      <c r="F638" s="4">
        <f>IF(C638&gt;0,VLOOKUP(C638,'ALIGNMENT TRACK'!$A$1:$K$81,9,1))</f>
        <v>0</v>
      </c>
      <c r="G638" s="6"/>
      <c r="H638" s="449" t="s">
        <v>131</v>
      </c>
      <c r="I638" s="4"/>
      <c r="J638" s="3"/>
      <c r="K638" s="449"/>
      <c r="L638" s="449" t="s">
        <v>183</v>
      </c>
      <c r="M638" s="449" t="str">
        <f>IF(L638="","",
IF(AX638="PT",VLOOKUP(L638,Foundation_Calc!$V$79:$X$113,VLOOKUP(AX638,Foundation_Calc!$I$10:$J$13,2,FALSE),0),
IF(AX638="K",VLOOKUP(L638,Foundation_Calc!$V$117:$X$151,VLOOKUP(AX638,Foundation_Calc!$I$10:$J$13,2,FALSE),0),"")))</f>
        <v>2C3R</v>
      </c>
      <c r="N638" s="449" t="s">
        <v>133</v>
      </c>
      <c r="O638" s="449" t="s">
        <v>124</v>
      </c>
      <c r="P638" s="449"/>
      <c r="Q638" s="4"/>
      <c r="R638" s="6"/>
      <c r="S638" s="6"/>
      <c r="T638" s="4">
        <v>15</v>
      </c>
      <c r="U638" s="4">
        <v>-30</v>
      </c>
      <c r="V638" s="4"/>
      <c r="W638" s="9">
        <v>1.4</v>
      </c>
      <c r="X638" s="9">
        <v>2.2999999999999998</v>
      </c>
      <c r="Y638" s="9"/>
      <c r="Z638" s="9">
        <v>0.4</v>
      </c>
      <c r="AA638" s="9"/>
      <c r="AB638" s="9"/>
      <c r="AC638" s="449"/>
      <c r="AD638" s="449"/>
      <c r="AE638" s="449"/>
      <c r="AF638" s="4"/>
      <c r="AG638" s="83"/>
      <c r="AH638" s="4"/>
      <c r="AI638" s="4"/>
      <c r="AJ638" s="449"/>
      <c r="AK638" s="449"/>
      <c r="AL638" s="449"/>
      <c r="AM638" s="449" t="s">
        <v>552</v>
      </c>
      <c r="AN638" s="10">
        <v>5.5</v>
      </c>
      <c r="AO638" s="9"/>
      <c r="AP638" s="9"/>
      <c r="AQ638" s="9"/>
      <c r="AR638" s="9"/>
      <c r="AS638" s="9"/>
      <c r="AT638" s="9">
        <f>+ab($U$638,$U$636,$T$640,$G$637,$G$639,-1*$F$638,1200)</f>
        <v>-6.8749611792471423</v>
      </c>
      <c r="AU638" s="428"/>
      <c r="AV638" s="428"/>
      <c r="AW638" s="449" t="str">
        <f>IF(C638&gt;0,VLOOKUP(C638,Foundation_Calc!$A$2:$C$13,3,1),
IF(J638&gt;0,VLOOKUP(J638,Foundation_Calc!$A$2:$C$13,3,1),""))</f>
        <v>Multi Soil</v>
      </c>
      <c r="AX638" s="449" t="str">
        <f>IF(C638&gt;0,VLOOKUP(C638,Foundation_Calc!$E$2:$G$33,3,1),
IF(J638&gt;0,VLOOKUP(J638,Foundation_Calc!$E$2:$G$33,3,1),""))</f>
        <v>PT</v>
      </c>
      <c r="AY638" s="10">
        <f>IF(L638="","",
IF(AX638="PT",VLOOKUP(L638,Foundation_Calc!$K$79:$R$113,VLOOKUP(AW638,Foundation_Calc!$I$2:$J$8,2,FALSE),0),
IF(AX638="K",VLOOKUP(L638,Foundation_Calc!$K$117:$R$151,VLOOKUP(AW638,Foundation_Calc!$I$2:$J$8,2,FALSE),0),"")))</f>
        <v>3.7</v>
      </c>
      <c r="AZ638" s="10" t="str">
        <f>IF(K638="","",
IF(AX638="PT",VLOOKUP(K638,Foundation_Calc!$K$79:$R$113,VLOOKUP(AW638,Foundation_Calc!$I$2:$J$8,2,FALSE),0),
IF(AX638="K",VLOOKUP(K638,Foundation_Calc!$K$117:$R$151,VLOOKUP(AW638,Foundation_Calc!$I$2:$J$8,2,FALSE),0),"")))</f>
        <v/>
      </c>
      <c r="BA638" s="495" t="str">
        <f t="shared" si="71"/>
        <v>ü</v>
      </c>
      <c r="BB638" s="495" t="str">
        <f t="shared" si="72"/>
        <v/>
      </c>
      <c r="BC638" s="495" t="str">
        <f t="shared" si="73"/>
        <v/>
      </c>
      <c r="BD638" s="513" t="str">
        <f>IF(AND(L638="",H638=""),"",
IF(H638="",Pole_Calc!A$9,
IF(H638="MP",Pole_Calc!A$10,
IF(H638="AnMP",Pole_Calc!A$11,
IF(H638="A",Pole_Calc!A$12,
IF(H638="S/A",Pole_Calc!A$13,
IF(H638="A/S",Pole_Calc!A$14,"Poner a mano")))))))</f>
        <v>App.7-V11I-P9.5.1.5</v>
      </c>
      <c r="BE638" s="429" t="s">
        <v>118</v>
      </c>
      <c r="BF638" s="289"/>
      <c r="BG638" s="289"/>
      <c r="BH638" s="290"/>
      <c r="BI638" s="289"/>
    </row>
    <row r="639" spans="1:61" ht="15.75" customHeight="1">
      <c r="A639" s="514"/>
      <c r="B639" s="450"/>
      <c r="C639" s="3"/>
      <c r="D639" s="83"/>
      <c r="E639" s="4"/>
      <c r="F639" s="4"/>
      <c r="G639" s="6">
        <v>45</v>
      </c>
      <c r="H639" s="449"/>
      <c r="I639" s="4"/>
      <c r="J639" s="3"/>
      <c r="K639" s="449"/>
      <c r="L639" s="449"/>
      <c r="M639" s="449" t="str">
        <f>IF(L639="","",
IF(AX639="PT",VLOOKUP(L639,Foundation_Calc!$V$79:$X$113,VLOOKUP(AX639,Foundation_Calc!$I$10:$J$13,2,FALSE),0),
IF(AX639="K",VLOOKUP(L639,Foundation_Calc!$V$117:$X$151,VLOOKUP(AX639,Foundation_Calc!$I$10:$J$13,2,FALSE),0),"")))</f>
        <v/>
      </c>
      <c r="N639" s="449"/>
      <c r="O639" s="449"/>
      <c r="P639" s="449"/>
      <c r="Q639" s="4"/>
      <c r="R639" s="6"/>
      <c r="S639" s="6"/>
      <c r="T639" s="4"/>
      <c r="U639" s="4"/>
      <c r="V639" s="4"/>
      <c r="W639" s="9"/>
      <c r="X639" s="9"/>
      <c r="Y639" s="9"/>
      <c r="Z639" s="9"/>
      <c r="AA639" s="9"/>
      <c r="AB639" s="9"/>
      <c r="AC639" s="449" t="str">
        <f t="shared" si="70"/>
        <v/>
      </c>
      <c r="AD639" s="449"/>
      <c r="AE639" s="449"/>
      <c r="AF639" s="4"/>
      <c r="AG639" s="83"/>
      <c r="AH639" s="4"/>
      <c r="AI639" s="4"/>
      <c r="AJ639" s="449"/>
      <c r="AK639" s="449"/>
      <c r="AL639" s="449"/>
      <c r="AM639" s="449"/>
      <c r="AN639" s="10"/>
      <c r="AO639" s="9"/>
      <c r="AP639" s="9"/>
      <c r="AQ639" s="9">
        <f>+FL_2($T$640,$U$638,$G$639,1200,9.28,-1*$F$640)</f>
        <v>-0.31069252799999991</v>
      </c>
      <c r="AR639" s="9"/>
      <c r="AS639" s="9"/>
      <c r="AT639" s="9"/>
      <c r="AU639" s="428"/>
      <c r="AV639" s="428"/>
      <c r="AW639" s="449" t="str">
        <f>IF(C639&gt;0,VLOOKUP(C639,Foundation_Calc!$A$2:$C$13,3,1),
IF(J639&gt;0,VLOOKUP(J639,Foundation_Calc!$A$2:$C$13,3,1),""))</f>
        <v/>
      </c>
      <c r="AX639" s="449" t="str">
        <f>IF(C639&gt;0,VLOOKUP(C639,Foundation_Calc!$E$2:$G$33,3,1),
IF(J639&gt;0,VLOOKUP(J639,Foundation_Calc!$E$2:$G$33,3,1),""))</f>
        <v/>
      </c>
      <c r="AY639" s="10" t="str">
        <f>IF(L639="","",
IF(AX639="PT",VLOOKUP(L639,Foundation_Calc!$K$79:$R$113,VLOOKUP(AW639,Foundation_Calc!$I$2:$J$8,2,FALSE),0),
IF(AX639="K",VLOOKUP(L639,Foundation_Calc!$K$117:$R$151,VLOOKUP(AW639,Foundation_Calc!$I$2:$J$8,2,FALSE),0),"")))</f>
        <v/>
      </c>
      <c r="AZ639" s="10" t="str">
        <f>IF(K639="","",
IF(AX639="PT",VLOOKUP(K639,Foundation_Calc!$K$79:$R$113,VLOOKUP(AW639,Foundation_Calc!$I$2:$J$8,2,FALSE),0),
IF(AX639="K",VLOOKUP(K639,Foundation_Calc!$K$117:$R$151,VLOOKUP(AW639,Foundation_Calc!$I$2:$J$8,2,FALSE),0),"")))</f>
        <v/>
      </c>
      <c r="BA639" s="495" t="str">
        <f t="shared" si="71"/>
        <v/>
      </c>
      <c r="BB639" s="495" t="str">
        <f t="shared" si="72"/>
        <v/>
      </c>
      <c r="BC639" s="495" t="str">
        <f t="shared" si="73"/>
        <v/>
      </c>
      <c r="BD639" s="513" t="str">
        <f>IF(AND(L639="",H639=""),"",
IF(H639="",Pole_Calc!A$9,
IF(H639="MP",Pole_Calc!A$10,
IF(H639="AnMP",Pole_Calc!A$11,
IF(H639="A",Pole_Calc!A$12,
IF(H639="S/A",Pole_Calc!A$13,
IF(H639="A/S",Pole_Calc!A$14,"Poner a mano")))))))</f>
        <v/>
      </c>
      <c r="BE639" s="429" t="s">
        <v>118</v>
      </c>
      <c r="BF639" s="290"/>
      <c r="BG639" s="290"/>
      <c r="BH639" s="290"/>
      <c r="BI639" s="290"/>
    </row>
    <row r="640" spans="1:61" ht="15.75" customHeight="1">
      <c r="A640" s="897" t="s">
        <v>556</v>
      </c>
      <c r="B640" s="450" t="s">
        <v>557</v>
      </c>
      <c r="C640" s="3">
        <f>+$C$638+$G$639</f>
        <v>45543.19</v>
      </c>
      <c r="D640" s="83"/>
      <c r="E640" s="4"/>
      <c r="F640" s="4">
        <f>IF(C640&gt;0,VLOOKUP(C640,'ALIGNMENT TRACK'!$A$1:$K$81,9,1))</f>
        <v>0</v>
      </c>
      <c r="G640" s="6"/>
      <c r="H640" s="449" t="s">
        <v>131</v>
      </c>
      <c r="I640" s="594" t="s">
        <v>132</v>
      </c>
      <c r="J640" s="3"/>
      <c r="K640" s="449"/>
      <c r="L640" s="449" t="s">
        <v>183</v>
      </c>
      <c r="M640" s="449" t="str">
        <f>IF(L640="","",
IF(AX640="PT",VLOOKUP(L640,Foundation_Calc!$V$79:$X$113,VLOOKUP(AX640,Foundation_Calc!$I$10:$J$13,2,FALSE),0),
IF(AX640="K",VLOOKUP(L640,Foundation_Calc!$V$117:$X$151,VLOOKUP(AX640,Foundation_Calc!$I$10:$J$13,2,FALSE),0),"")))</f>
        <v>2C3R</v>
      </c>
      <c r="N640" s="449" t="s">
        <v>134</v>
      </c>
      <c r="O640" s="449" t="s">
        <v>133</v>
      </c>
      <c r="P640" s="449"/>
      <c r="Q640" s="4"/>
      <c r="R640" s="6"/>
      <c r="S640" s="6"/>
      <c r="T640" s="4">
        <v>30</v>
      </c>
      <c r="U640" s="4">
        <v>-15</v>
      </c>
      <c r="V640" s="4"/>
      <c r="W640" s="9">
        <v>1.4</v>
      </c>
      <c r="X640" s="9">
        <v>2.2999999999999998</v>
      </c>
      <c r="Y640" s="9"/>
      <c r="Z640" s="9"/>
      <c r="AA640" s="9">
        <v>0.4</v>
      </c>
      <c r="AB640" s="9"/>
      <c r="AC640" s="449" t="str">
        <f t="shared" si="70"/>
        <v>PH</v>
      </c>
      <c r="AD640" s="449"/>
      <c r="AE640" s="449"/>
      <c r="AF640" s="4"/>
      <c r="AG640" s="83"/>
      <c r="AH640" s="4"/>
      <c r="AI640" s="4"/>
      <c r="AJ640" s="596" t="s">
        <v>290</v>
      </c>
      <c r="AK640" s="449"/>
      <c r="AL640" s="449"/>
      <c r="AM640" s="449" t="s">
        <v>552</v>
      </c>
      <c r="AN640" s="10">
        <v>5.5</v>
      </c>
      <c r="AO640" s="9"/>
      <c r="AP640" s="9"/>
      <c r="AQ640" s="9"/>
      <c r="AR640" s="9"/>
      <c r="AS640" s="9"/>
      <c r="AT640" s="9">
        <f>+ab($T$640,$T$638,$T$642,$G$639,$G$641,-1*$F$640,1200)</f>
        <v>8.6929790231772532</v>
      </c>
      <c r="AU640" s="428"/>
      <c r="AV640" s="428"/>
      <c r="AW640" s="449" t="str">
        <f>IF(C640&gt;0,VLOOKUP(C640,Foundation_Calc!$A$2:$C$13,3,1),
IF(J640&gt;0,VLOOKUP(J640,Foundation_Calc!$A$2:$C$13,3,1),""))</f>
        <v>Multi Soil</v>
      </c>
      <c r="AX640" s="449" t="str">
        <f>IF(C640&gt;0,VLOOKUP(C640,Foundation_Calc!$E$2:$G$33,3,1),
IF(J640&gt;0,VLOOKUP(J640,Foundation_Calc!$E$2:$G$33,3,1),""))</f>
        <v>PT</v>
      </c>
      <c r="AY640" s="10">
        <f>IF(L640="","",
IF(AX640="PT",VLOOKUP(L640,Foundation_Calc!$K$79:$R$113,VLOOKUP(AW640,Foundation_Calc!$I$2:$J$8,2,FALSE),0),
IF(AX640="K",VLOOKUP(L640,Foundation_Calc!$K$117:$R$151,VLOOKUP(AW640,Foundation_Calc!$I$2:$J$8,2,FALSE),0),"")))</f>
        <v>3.7</v>
      </c>
      <c r="AZ640" s="10" t="str">
        <f>IF(K640="","",
IF(AX640="PT",VLOOKUP(K640,Foundation_Calc!$K$79:$R$113,VLOOKUP(AW640,Foundation_Calc!$I$2:$J$8,2,FALSE),0),
IF(AX640="K",VLOOKUP(K640,Foundation_Calc!$K$117:$R$151,VLOOKUP(AW640,Foundation_Calc!$I$2:$J$8,2,FALSE),0),"")))</f>
        <v/>
      </c>
      <c r="BA640" s="495" t="str">
        <f t="shared" si="71"/>
        <v>ü</v>
      </c>
      <c r="BB640" s="495" t="str">
        <f t="shared" si="72"/>
        <v/>
      </c>
      <c r="BC640" s="495" t="str">
        <f t="shared" si="73"/>
        <v/>
      </c>
      <c r="BD640" s="513" t="str">
        <f>IF(AND(L640="",H640=""),"",
IF(H640="",Pole_Calc!A$9,
IF(H640="MP",Pole_Calc!A$10,
IF(H640="AnMP",Pole_Calc!A$11,
IF(H640="A",Pole_Calc!A$12,
IF(H640="S/A",Pole_Calc!A$13,
IF(H640="A/S",Pole_Calc!A$14,"Poner a mano")))))))</f>
        <v>App.7-V11I-P9.5.1.5</v>
      </c>
      <c r="BE640" s="429" t="s">
        <v>118</v>
      </c>
      <c r="BF640" s="289"/>
      <c r="BG640" s="289"/>
      <c r="BH640" s="290"/>
      <c r="BI640" s="289"/>
    </row>
    <row r="641" spans="1:61" ht="15.75" customHeight="1">
      <c r="A641" s="518"/>
      <c r="B641" s="450"/>
      <c r="C641" s="3"/>
      <c r="D641" s="83"/>
      <c r="E641" s="4"/>
      <c r="F641" s="4"/>
      <c r="G641" s="6">
        <v>35</v>
      </c>
      <c r="H641" s="449"/>
      <c r="I641" s="4"/>
      <c r="J641" s="3"/>
      <c r="K641" s="449"/>
      <c r="L641" s="449"/>
      <c r="M641" s="449" t="str">
        <f>IF(L641="","",
IF(AX641="PT",VLOOKUP(L641,Foundation_Calc!$V$79:$X$113,VLOOKUP(AX641,Foundation_Calc!$I$10:$J$13,2,FALSE),0),
IF(AX641="K",VLOOKUP(L641,Foundation_Calc!$V$117:$X$151,VLOOKUP(AX641,Foundation_Calc!$I$10:$J$13,2,FALSE),0),"")))</f>
        <v/>
      </c>
      <c r="N641" s="449"/>
      <c r="O641" s="449"/>
      <c r="P641" s="449"/>
      <c r="Q641" s="4"/>
      <c r="R641" s="6"/>
      <c r="S641" s="6"/>
      <c r="T641" s="4"/>
      <c r="U641" s="4"/>
      <c r="V641" s="4"/>
      <c r="W641" s="9"/>
      <c r="X641" s="9"/>
      <c r="Y641" s="9"/>
      <c r="Z641" s="9"/>
      <c r="AA641" s="9"/>
      <c r="AB641" s="9"/>
      <c r="AC641" s="449" t="str">
        <f t="shared" si="70"/>
        <v/>
      </c>
      <c r="AD641" s="449"/>
      <c r="AE641" s="449"/>
      <c r="AF641" s="4"/>
      <c r="AG641" s="83"/>
      <c r="AH641" s="4"/>
      <c r="AI641" s="4"/>
      <c r="AJ641" s="449"/>
      <c r="AK641" s="449"/>
      <c r="AL641" s="449"/>
      <c r="AM641" s="449"/>
      <c r="AN641" s="10"/>
      <c r="AO641" s="9"/>
      <c r="AP641" s="9"/>
      <c r="AQ641" s="9">
        <f>+FL_1($T$642,$T$640,$G$641,1200,9.28,-1*$F$642)</f>
        <v>0.30000000000000809</v>
      </c>
      <c r="AR641" s="9"/>
      <c r="AS641" s="9"/>
      <c r="AT641" s="9"/>
      <c r="AU641" s="428"/>
      <c r="AV641" s="428"/>
      <c r="AW641" s="449" t="str">
        <f>IF(C641&gt;0,VLOOKUP(C641,Foundation_Calc!$A$2:$C$13,3,1),
IF(J641&gt;0,VLOOKUP(J641,Foundation_Calc!$A$2:$C$13,3,1),""))</f>
        <v/>
      </c>
      <c r="AX641" s="449" t="str">
        <f>IF(C641&gt;0,VLOOKUP(C641,Foundation_Calc!$E$2:$G$33,3,1),
IF(J641&gt;0,VLOOKUP(J641,Foundation_Calc!$E$2:$G$33,3,1),""))</f>
        <v/>
      </c>
      <c r="AY641" s="10" t="str">
        <f>IF(L641="","",
IF(AX641="PT",VLOOKUP(L641,Foundation_Calc!$K$79:$R$113,VLOOKUP(AW641,Foundation_Calc!$I$2:$J$8,2,FALSE),0),
IF(AX641="K",VLOOKUP(L641,Foundation_Calc!$K$117:$R$151,VLOOKUP(AW641,Foundation_Calc!$I$2:$J$8,2,FALSE),0),"")))</f>
        <v/>
      </c>
      <c r="AZ641" s="10" t="str">
        <f>IF(K641="","",
IF(AX641="PT",VLOOKUP(K641,Foundation_Calc!$K$79:$R$113,VLOOKUP(AW641,Foundation_Calc!$I$2:$J$8,2,FALSE),0),
IF(AX641="K",VLOOKUP(K641,Foundation_Calc!$K$117:$R$151,VLOOKUP(AW641,Foundation_Calc!$I$2:$J$8,2,FALSE),0),"")))</f>
        <v/>
      </c>
      <c r="BA641" s="495" t="str">
        <f t="shared" si="71"/>
        <v/>
      </c>
      <c r="BB641" s="495" t="str">
        <f t="shared" si="72"/>
        <v/>
      </c>
      <c r="BC641" s="495" t="str">
        <f t="shared" si="73"/>
        <v/>
      </c>
      <c r="BD641" s="513" t="str">
        <f>IF(AND(L641="",H641=""),"",
IF(H641="",Pole_Calc!A$9,
IF(H641="MP",Pole_Calc!A$10,
IF(H641="AnMP",Pole_Calc!A$11,
IF(H641="A",Pole_Calc!A$12,
IF(H641="S/A",Pole_Calc!A$13,
IF(H641="A/S",Pole_Calc!A$14,"Poner a mano")))))))</f>
        <v/>
      </c>
      <c r="BE641" s="429" t="s">
        <v>118</v>
      </c>
      <c r="BF641" s="290"/>
      <c r="BG641" s="290"/>
      <c r="BH641" s="290"/>
      <c r="BI641" s="290"/>
    </row>
    <row r="642" spans="1:61" ht="15.75" customHeight="1">
      <c r="A642" s="514"/>
      <c r="B642" s="450" t="s">
        <v>558</v>
      </c>
      <c r="C642" s="3">
        <f>+$C$640+$G$641</f>
        <v>45578.19</v>
      </c>
      <c r="D642" s="83"/>
      <c r="E642" s="4"/>
      <c r="F642" s="4">
        <f>IF(C642&gt;0,VLOOKUP(C642,'ALIGNMENT TRACK'!$A$1:$K$81,9,1))</f>
        <v>0</v>
      </c>
      <c r="G642" s="6"/>
      <c r="H642" s="449" t="s">
        <v>121</v>
      </c>
      <c r="I642" s="4" t="s">
        <v>162</v>
      </c>
      <c r="J642" s="3"/>
      <c r="K642" s="449"/>
      <c r="L642" s="449" t="s">
        <v>151</v>
      </c>
      <c r="M642" s="449" t="str">
        <f>IF(L642="","",
IF(AX642="PT",VLOOKUP(L642,Foundation_Calc!$V$79:$X$113,VLOOKUP(AX642,Foundation_Calc!$I$10:$J$13,2,FALSE),0),
IF(AX642="K",VLOOKUP(L642,Foundation_Calc!$V$117:$X$151,VLOOKUP(AX642,Foundation_Calc!$I$10:$J$13,2,FALSE),0),"")))</f>
        <v>C4R</v>
      </c>
      <c r="N642" s="449" t="s">
        <v>124</v>
      </c>
      <c r="O642" s="449"/>
      <c r="P642" s="449"/>
      <c r="Q642" s="4"/>
      <c r="R642" s="6"/>
      <c r="S642" s="6"/>
      <c r="T642" s="4">
        <v>-35</v>
      </c>
      <c r="U642" s="4"/>
      <c r="V642" s="4"/>
      <c r="W642" s="9">
        <v>1.4</v>
      </c>
      <c r="X642" s="9"/>
      <c r="Y642" s="9"/>
      <c r="Z642" s="9"/>
      <c r="AA642" s="9"/>
      <c r="AB642" s="9"/>
      <c r="AC642" s="449" t="str">
        <f t="shared" si="70"/>
        <v>PHQ</v>
      </c>
      <c r="AD642" s="449"/>
      <c r="AE642" s="449"/>
      <c r="AF642" s="4"/>
      <c r="AG642" s="83"/>
      <c r="AH642" s="4"/>
      <c r="AI642" s="4"/>
      <c r="AJ642" s="449"/>
      <c r="AK642" s="449"/>
      <c r="AL642" s="449"/>
      <c r="AM642" s="449" t="s">
        <v>552</v>
      </c>
      <c r="AN642" s="10">
        <v>5.5</v>
      </c>
      <c r="AO642" s="9"/>
      <c r="AP642" s="9"/>
      <c r="AQ642" s="9"/>
      <c r="AR642" s="9"/>
      <c r="AS642" s="9"/>
      <c r="AT642" s="9">
        <f>+ab($T$642,$T$640,$T$644,$G$641,$G$643,-1*$F$642,1200)</f>
        <v>-5.0465379776414894</v>
      </c>
      <c r="AU642" s="428"/>
      <c r="AV642" s="428"/>
      <c r="AW642" s="449" t="str">
        <f>IF(C642&gt;0,VLOOKUP(C642,Foundation_Calc!$A$2:$C$13,3,1),
IF(J642&gt;0,VLOOKUP(J642,Foundation_Calc!$A$2:$C$13,3,1),""))</f>
        <v>Multi Soil</v>
      </c>
      <c r="AX642" s="449" t="str">
        <f>IF(C642&gt;0,VLOOKUP(C642,Foundation_Calc!$E$2:$G$33,3,1),
IF(J642&gt;0,VLOOKUP(J642,Foundation_Calc!$E$2:$G$33,3,1),""))</f>
        <v>PT</v>
      </c>
      <c r="AY642" s="10">
        <f>IF(L642="","",
IF(AX642="PT",VLOOKUP(L642,Foundation_Calc!$K$79:$R$113,VLOOKUP(AW642,Foundation_Calc!$I$2:$J$8,2,FALSE),0),
IF(AX642="K",VLOOKUP(L642,Foundation_Calc!$K$117:$R$151,VLOOKUP(AW642,Foundation_Calc!$I$2:$J$8,2,FALSE),0),"")))</f>
        <v>3.5</v>
      </c>
      <c r="AZ642" s="10" t="str">
        <f>IF(K642="","",
IF(AX642="PT",VLOOKUP(K642,Foundation_Calc!$K$79:$R$113,VLOOKUP(AW642,Foundation_Calc!$I$2:$J$8,2,FALSE),0),
IF(AX642="K",VLOOKUP(K642,Foundation_Calc!$K$117:$R$151,VLOOKUP(AW642,Foundation_Calc!$I$2:$J$8,2,FALSE),0),"")))</f>
        <v/>
      </c>
      <c r="BA642" s="495" t="str">
        <f t="shared" si="71"/>
        <v>ü</v>
      </c>
      <c r="BB642" s="495" t="str">
        <f t="shared" si="72"/>
        <v/>
      </c>
      <c r="BC642" s="495" t="str">
        <f t="shared" si="73"/>
        <v/>
      </c>
      <c r="BD642" s="513" t="str">
        <f>IF(AND(L642="",H642=""),"",
IF(H642="",Pole_Calc!A$9,
IF(H642="MP",Pole_Calc!A$10,
IF(H642="AnMP",Pole_Calc!A$11,
IF(H642="A",Pole_Calc!A$12,
IF(H642="S/A",Pole_Calc!A$13,
IF(H642="A/S",Pole_Calc!A$14,"Poner a mano")))))))</f>
        <v>App.7-V11I-P9.5.1.6</v>
      </c>
      <c r="BE642" s="429" t="s">
        <v>118</v>
      </c>
      <c r="BF642" s="289"/>
      <c r="BG642" s="289"/>
      <c r="BH642" s="290"/>
      <c r="BI642" s="289"/>
    </row>
    <row r="643" spans="1:61" ht="15.75" customHeight="1">
      <c r="A643" s="514"/>
      <c r="B643" s="450"/>
      <c r="C643" s="3"/>
      <c r="D643" s="83"/>
      <c r="E643" s="4"/>
      <c r="F643" s="4"/>
      <c r="G643" s="6">
        <v>31</v>
      </c>
      <c r="H643" s="449"/>
      <c r="I643" s="4"/>
      <c r="J643" s="3">
        <f>C642+7.5</f>
        <v>45585.69</v>
      </c>
      <c r="K643" s="449" t="s">
        <v>117</v>
      </c>
      <c r="L643" s="449"/>
      <c r="M643" s="449" t="str">
        <f>IF(L643="","",
IF(AX643="PT",VLOOKUP(L643,Foundation_Calc!$V$79:$X$113,VLOOKUP(AX643,Foundation_Calc!$I$10:$J$13,2,FALSE),0),
IF(AX643="K",VLOOKUP(L643,Foundation_Calc!$V$117:$X$151,VLOOKUP(AX643,Foundation_Calc!$I$10:$J$13,2,FALSE),0),"")))</f>
        <v/>
      </c>
      <c r="N643" s="449"/>
      <c r="O643" s="449"/>
      <c r="P643" s="449"/>
      <c r="Q643" s="4"/>
      <c r="R643" s="6"/>
      <c r="S643" s="6"/>
      <c r="T643" s="4"/>
      <c r="U643" s="4"/>
      <c r="V643" s="4"/>
      <c r="W643" s="9"/>
      <c r="X643" s="9"/>
      <c r="Y643" s="9"/>
      <c r="Z643" s="9"/>
      <c r="AA643" s="9"/>
      <c r="AB643" s="9"/>
      <c r="AC643" s="449" t="str">
        <f t="shared" si="70"/>
        <v/>
      </c>
      <c r="AD643" s="449"/>
      <c r="AE643" s="449"/>
      <c r="AF643" s="4"/>
      <c r="AG643" s="83"/>
      <c r="AH643" s="4"/>
      <c r="AI643" s="4"/>
      <c r="AJ643" s="449"/>
      <c r="AK643" s="449"/>
      <c r="AL643" s="449"/>
      <c r="AM643" s="449"/>
      <c r="AN643" s="10"/>
      <c r="AO643" s="9"/>
      <c r="AP643" s="9"/>
      <c r="AQ643" s="9">
        <f>+FL_2($T$644,$T$642,$G$643,1200,9.28,-1*$F$644)</f>
        <v>-0.35000000000001508</v>
      </c>
      <c r="AR643" s="9"/>
      <c r="AS643" s="9"/>
      <c r="AT643" s="9"/>
      <c r="AU643" s="428"/>
      <c r="AV643" s="428"/>
      <c r="AW643" s="449" t="str">
        <f>IF(C643&gt;0,VLOOKUP(C643,Foundation_Calc!$A$2:$C$13,3,1),
IF(J643&gt;0,VLOOKUP(J643,Foundation_Calc!$A$2:$C$13,3,1),""))</f>
        <v>Multi Soil</v>
      </c>
      <c r="AX643" s="449" t="str">
        <f>IF(C643&gt;0,VLOOKUP(C643,Foundation_Calc!$E$2:$G$33,3,1),
IF(J643&gt;0,VLOOKUP(J643,Foundation_Calc!$E$2:$G$33,3,1),""))</f>
        <v>PT</v>
      </c>
      <c r="AY643" s="10" t="str">
        <f>IF(L643="","",
IF(AX643="PT",VLOOKUP(L643,Foundation_Calc!$K$79:$R$113,VLOOKUP(AW643,Foundation_Calc!$I$2:$J$8,2,FALSE),0),
IF(AX643="K",VLOOKUP(L643,Foundation_Calc!$K$117:$R$151,VLOOKUP(AW643,Foundation_Calc!$I$2:$J$8,2,FALSE),0),"")))</f>
        <v/>
      </c>
      <c r="AZ643" s="10">
        <f>IF(K643="","",
IF(AX643="PT",VLOOKUP(K643,Foundation_Calc!$K$79:$R$113,VLOOKUP(AW643,Foundation_Calc!$I$2:$J$8,2,FALSE),0),
IF(AX643="K",VLOOKUP(K643,Foundation_Calc!$K$117:$R$151,VLOOKUP(AW643,Foundation_Calc!$I$2:$J$8,2,FALSE),0),"")))</f>
        <v>3.9</v>
      </c>
      <c r="BA643" s="495" t="str">
        <f t="shared" si="71"/>
        <v/>
      </c>
      <c r="BB643" s="495" t="str">
        <f t="shared" si="72"/>
        <v>ü</v>
      </c>
      <c r="BC643" s="495" t="str">
        <f t="shared" si="73"/>
        <v/>
      </c>
      <c r="BD643" s="513" t="str">
        <f>IF(AND(L643="",H643=""),"",
IF(H643="",Pole_Calc!A$9,
IF(H643="MP",Pole_Calc!A$10,
IF(H643="AnMP",Pole_Calc!A$11,
IF(H643="A",Pole_Calc!A$12,
IF(H643="S/A",Pole_Calc!A$13,
IF(H643="A/S",Pole_Calc!A$14,"Poner a mano")))))))</f>
        <v/>
      </c>
      <c r="BE643" s="429" t="s">
        <v>118</v>
      </c>
      <c r="BF643" s="290"/>
      <c r="BG643" s="290"/>
      <c r="BH643" s="290"/>
      <c r="BI643" s="290"/>
    </row>
    <row r="644" spans="1:61" ht="15.75" customHeight="1">
      <c r="A644" s="514"/>
      <c r="B644" s="450" t="s">
        <v>559</v>
      </c>
      <c r="C644" s="3">
        <f>+$C$642+$G$643</f>
        <v>45609.19</v>
      </c>
      <c r="D644" s="83"/>
      <c r="E644" s="4"/>
      <c r="F644" s="4">
        <f>IF(C644&gt;0,VLOOKUP(C644,'ALIGNMENT TRACK'!$A$1:$K$81,9,1))</f>
        <v>0</v>
      </c>
      <c r="G644" s="6"/>
      <c r="H644" s="449"/>
      <c r="I644" s="4"/>
      <c r="J644" s="3"/>
      <c r="K644" s="449"/>
      <c r="L644" s="449" t="s">
        <v>153</v>
      </c>
      <c r="M644" s="449" t="str">
        <f>IF(L644="","",
IF(AX644="PT",VLOOKUP(L644,Foundation_Calc!$V$79:$X$113,VLOOKUP(AX644,Foundation_Calc!$I$10:$J$13,2,FALSE),0),
IF(AX644="K",VLOOKUP(L644,Foundation_Calc!$V$117:$X$151,VLOOKUP(AX644,Foundation_Calc!$I$10:$J$13,2,FALSE),0),"")))</f>
        <v>C3R</v>
      </c>
      <c r="N644" s="449" t="s">
        <v>134</v>
      </c>
      <c r="O644" s="449"/>
      <c r="P644" s="449"/>
      <c r="Q644" s="4"/>
      <c r="R644" s="6"/>
      <c r="S644" s="6"/>
      <c r="T644" s="4">
        <v>25</v>
      </c>
      <c r="U644" s="4"/>
      <c r="V644" s="4"/>
      <c r="W644" s="9">
        <v>1.4</v>
      </c>
      <c r="X644" s="9"/>
      <c r="Y644" s="9"/>
      <c r="Z644" s="9"/>
      <c r="AA644" s="9"/>
      <c r="AB644" s="9"/>
      <c r="AC644" s="449" t="str">
        <f t="shared" si="70"/>
        <v>PHC</v>
      </c>
      <c r="AD644" s="449"/>
      <c r="AE644" s="449"/>
      <c r="AF644" s="4"/>
      <c r="AG644" s="83"/>
      <c r="AH644" s="4"/>
      <c r="AI644" s="4"/>
      <c r="AJ644" s="449"/>
      <c r="AK644" s="449"/>
      <c r="AL644" s="449"/>
      <c r="AM644" s="449" t="s">
        <v>552</v>
      </c>
      <c r="AN644" s="10">
        <v>5.5</v>
      </c>
      <c r="AO644" s="9"/>
      <c r="AP644" s="9"/>
      <c r="AQ644" s="9"/>
      <c r="AR644" s="9"/>
      <c r="AS644" s="9"/>
      <c r="AT644" s="9">
        <f>+ab($T$644,$T$642,$T$646,$G$643,$G$645,-1*$F$644,1200)</f>
        <v>4.694627080568174</v>
      </c>
      <c r="AU644" s="428"/>
      <c r="AV644" s="428"/>
      <c r="AW644" s="449" t="str">
        <f>IF(C644&gt;0,VLOOKUP(C644,Foundation_Calc!$A$2:$C$13,3,1),
IF(J644&gt;0,VLOOKUP(J644,Foundation_Calc!$A$2:$C$13,3,1),""))</f>
        <v>Multi Soil</v>
      </c>
      <c r="AX644" s="449" t="str">
        <f>IF(C644&gt;0,VLOOKUP(C644,Foundation_Calc!$E$2:$G$33,3,1),
IF(J644&gt;0,VLOOKUP(J644,Foundation_Calc!$E$2:$G$33,3,1),""))</f>
        <v>PT</v>
      </c>
      <c r="AY644" s="10">
        <f>IF(L644="","",
IF(AX644="PT",VLOOKUP(L644,Foundation_Calc!$K$79:$R$113,VLOOKUP(AW644,Foundation_Calc!$I$2:$J$8,2,FALSE),0),
IF(AX644="K",VLOOKUP(L644,Foundation_Calc!$K$117:$R$151,VLOOKUP(AW644,Foundation_Calc!$I$2:$J$8,2,FALSE),0),"")))</f>
        <v>3.5</v>
      </c>
      <c r="AZ644" s="10" t="str">
        <f>IF(K644="","",
IF(AX644="PT",VLOOKUP(K644,Foundation_Calc!$K$79:$R$113,VLOOKUP(AW644,Foundation_Calc!$I$2:$J$8,2,FALSE),0),
IF(AX644="K",VLOOKUP(K644,Foundation_Calc!$K$117:$R$151,VLOOKUP(AW644,Foundation_Calc!$I$2:$J$8,2,FALSE),0),"")))</f>
        <v/>
      </c>
      <c r="BA644" s="495" t="str">
        <f t="shared" si="71"/>
        <v>ü</v>
      </c>
      <c r="BB644" s="495" t="str">
        <f t="shared" si="72"/>
        <v/>
      </c>
      <c r="BC644" s="495" t="str">
        <f t="shared" si="73"/>
        <v/>
      </c>
      <c r="BD644" s="513" t="str">
        <f>IF(AND(L644="",H644=""),"",
IF(H644="",Pole_Calc!A$9,
IF(H644="MP",Pole_Calc!A$10,
IF(H644="AnMP",Pole_Calc!A$11,
IF(H644="A",Pole_Calc!A$12,
IF(H644="S/A",Pole_Calc!A$13,
IF(H644="A/S",Pole_Calc!A$14,"Poner a mano")))))))</f>
        <v>App.7-V11I-P9.5.1.1</v>
      </c>
      <c r="BE644" s="429" t="s">
        <v>118</v>
      </c>
      <c r="BF644" s="289"/>
      <c r="BG644" s="289"/>
      <c r="BH644" s="290"/>
      <c r="BI644" s="289"/>
    </row>
    <row r="645" spans="1:61" ht="15.75" customHeight="1">
      <c r="A645" s="514"/>
      <c r="B645" s="450"/>
      <c r="C645" s="3"/>
      <c r="D645" s="83"/>
      <c r="E645" s="4"/>
      <c r="F645" s="4"/>
      <c r="G645" s="6">
        <v>28</v>
      </c>
      <c r="H645" s="449"/>
      <c r="I645" s="4"/>
      <c r="J645" s="3"/>
      <c r="K645" s="449"/>
      <c r="L645" s="449"/>
      <c r="M645" s="449" t="str">
        <f>IF(L645="","",
IF(AX645="PT",VLOOKUP(L645,Foundation_Calc!$V$79:$X$113,VLOOKUP(AX645,Foundation_Calc!$I$10:$J$13,2,FALSE),0),
IF(AX645="K",VLOOKUP(L645,Foundation_Calc!$V$117:$X$151,VLOOKUP(AX645,Foundation_Calc!$I$10:$J$13,2,FALSE),0),"")))</f>
        <v/>
      </c>
      <c r="N645" s="449"/>
      <c r="O645" s="449"/>
      <c r="P645" s="449"/>
      <c r="Q645" s="4"/>
      <c r="R645" s="6"/>
      <c r="S645" s="6"/>
      <c r="T645" s="4"/>
      <c r="U645" s="4"/>
      <c r="V645" s="4"/>
      <c r="W645" s="9"/>
      <c r="X645" s="9"/>
      <c r="Y645" s="9"/>
      <c r="Z645" s="9"/>
      <c r="AA645" s="9"/>
      <c r="AB645" s="9"/>
      <c r="AC645" s="449" t="str">
        <f t="shared" ref="AC645:AC710" si="74">IF(OR(AT645&gt;8,AT645&lt;-8),"PH",
IF(OR(AT645&gt;5,AT645&lt;-5),"PHQ",
IF(OR(AT645&gt;1,AT645&lt;-1),
"PHC","")))</f>
        <v/>
      </c>
      <c r="AD645" s="449"/>
      <c r="AE645" s="449"/>
      <c r="AF645" s="4"/>
      <c r="AG645" s="83"/>
      <c r="AH645" s="4"/>
      <c r="AI645" s="4"/>
      <c r="AJ645" s="449"/>
      <c r="AK645" s="449"/>
      <c r="AL645" s="449"/>
      <c r="AM645" s="449"/>
      <c r="AN645" s="10"/>
      <c r="AO645" s="9"/>
      <c r="AP645" s="9"/>
      <c r="AQ645" s="9">
        <f>+FL_2($T$646,$T$644,$G$645,1200,9.28,-1*$F$646)</f>
        <v>-0.35</v>
      </c>
      <c r="AR645" s="9"/>
      <c r="AS645" s="9"/>
      <c r="AT645" s="9"/>
      <c r="AU645" s="428"/>
      <c r="AV645" s="428"/>
      <c r="AW645" s="449" t="str">
        <f>IF(C645&gt;0,VLOOKUP(C645,Foundation_Calc!$A$2:$C$13,3,1),
IF(J645&gt;0,VLOOKUP(J645,Foundation_Calc!$A$2:$C$13,3,1),""))</f>
        <v/>
      </c>
      <c r="AX645" s="449" t="str">
        <f>IF(C645&gt;0,VLOOKUP(C645,Foundation_Calc!$E$2:$G$33,3,1),
IF(J645&gt;0,VLOOKUP(J645,Foundation_Calc!$E$2:$G$33,3,1),""))</f>
        <v/>
      </c>
      <c r="AY645" s="10" t="str">
        <f>IF(L645="","",
IF(AX645="PT",VLOOKUP(L645,Foundation_Calc!$K$79:$R$113,VLOOKUP(AW645,Foundation_Calc!$I$2:$J$8,2,FALSE),0),
IF(AX645="K",VLOOKUP(L645,Foundation_Calc!$K$117:$R$151,VLOOKUP(AW645,Foundation_Calc!$I$2:$J$8,2,FALSE),0),"")))</f>
        <v/>
      </c>
      <c r="AZ645" s="10" t="str">
        <f>IF(K645="","",
IF(AX645="PT",VLOOKUP(K645,Foundation_Calc!$K$79:$R$113,VLOOKUP(AW645,Foundation_Calc!$I$2:$J$8,2,FALSE),0),
IF(AX645="K",VLOOKUP(K645,Foundation_Calc!$K$117:$R$151,VLOOKUP(AW645,Foundation_Calc!$I$2:$J$8,2,FALSE),0),"")))</f>
        <v/>
      </c>
      <c r="BA645" s="495" t="str">
        <f t="shared" si="71"/>
        <v/>
      </c>
      <c r="BB645" s="495" t="str">
        <f t="shared" si="72"/>
        <v/>
      </c>
      <c r="BC645" s="495" t="str">
        <f t="shared" si="73"/>
        <v/>
      </c>
      <c r="BD645" s="513" t="str">
        <f>IF(AND(L645="",H645=""),"",
IF(H645="",Pole_Calc!A$9,
IF(H645="MP",Pole_Calc!A$10,
IF(H645="AnMP",Pole_Calc!A$11,
IF(H645="A",Pole_Calc!A$12,
IF(H645="S/A",Pole_Calc!A$13,
IF(H645="A/S",Pole_Calc!A$14,"Poner a mano")))))))</f>
        <v/>
      </c>
      <c r="BE645" s="429" t="s">
        <v>118</v>
      </c>
      <c r="BF645" s="290"/>
      <c r="BG645" s="290"/>
      <c r="BH645" s="290"/>
      <c r="BI645" s="290"/>
    </row>
    <row r="646" spans="1:61" ht="15.75" customHeight="1">
      <c r="A646" s="897" t="s">
        <v>560</v>
      </c>
      <c r="B646" s="450" t="s">
        <v>561</v>
      </c>
      <c r="C646" s="3">
        <f>+$C$644+$G$645</f>
        <v>45637.19</v>
      </c>
      <c r="D646" s="83"/>
      <c r="E646" s="4"/>
      <c r="F646" s="4">
        <f>IF(C646&gt;0,VLOOKUP(C646,'ALIGNMENT TRACK'!$A$1:$K$81,9,1))</f>
        <v>0</v>
      </c>
      <c r="G646" s="6"/>
      <c r="H646" s="449"/>
      <c r="I646" s="4"/>
      <c r="J646" s="3"/>
      <c r="K646" s="449"/>
      <c r="L646" s="449" t="s">
        <v>562</v>
      </c>
      <c r="M646" s="449" t="str">
        <f>IF(L646="","",
IF(AX646="PT",VLOOKUP(L646,Foundation_Calc!$V$79:$X$113,VLOOKUP(AX646,Foundation_Calc!$I$10:$J$13,2,FALSE),0),
IF(AX646="K",VLOOKUP(L646,Foundation_Calc!$V$117:$X$151,VLOOKUP(AX646,Foundation_Calc!$I$10:$J$13,2,FALSE),0),"")))</f>
        <v>C7R</v>
      </c>
      <c r="N646" s="449" t="s">
        <v>124</v>
      </c>
      <c r="O646" s="449"/>
      <c r="P646" s="449"/>
      <c r="Q646" s="4"/>
      <c r="R646" s="6"/>
      <c r="S646" s="6"/>
      <c r="T646" s="4">
        <v>-35</v>
      </c>
      <c r="U646" s="4"/>
      <c r="V646" s="4"/>
      <c r="W646" s="9">
        <v>1.4</v>
      </c>
      <c r="X646" s="9"/>
      <c r="Y646" s="9"/>
      <c r="Z646" s="9"/>
      <c r="AA646" s="9"/>
      <c r="AB646" s="9"/>
      <c r="AC646" s="449" t="str">
        <f t="shared" si="74"/>
        <v>PHC</v>
      </c>
      <c r="AD646" s="449"/>
      <c r="AE646" s="449"/>
      <c r="AF646" s="4"/>
      <c r="AG646" s="83"/>
      <c r="AH646" s="4"/>
      <c r="AI646" s="4"/>
      <c r="AJ646" s="596" t="s">
        <v>563</v>
      </c>
      <c r="AK646" s="449"/>
      <c r="AL646" s="449" t="s">
        <v>241</v>
      </c>
      <c r="AM646" s="449" t="s">
        <v>552</v>
      </c>
      <c r="AN646" s="10">
        <v>5.5</v>
      </c>
      <c r="AO646" s="9"/>
      <c r="AP646" s="9"/>
      <c r="AQ646" s="9"/>
      <c r="AR646" s="9"/>
      <c r="AS646" s="9"/>
      <c r="AT646" s="9">
        <f>+ab($T$646,$T$644,$T$648,$G$645,$G$647,-1*$F$646,1200)</f>
        <v>-4.2341159205901313</v>
      </c>
      <c r="AU646" s="428"/>
      <c r="AV646" s="428"/>
      <c r="AW646" s="449" t="str">
        <f>IF(C646&gt;0,VLOOKUP(C646,Foundation_Calc!$A$2:$C$13,3,1),
IF(J646&gt;0,VLOOKUP(J646,Foundation_Calc!$A$2:$C$13,3,1),""))</f>
        <v>Multi Soil</v>
      </c>
      <c r="AX646" s="449" t="str">
        <f>IF(C646&gt;0,VLOOKUP(C646,Foundation_Calc!$E$2:$G$33,3,1),
IF(J646&gt;0,VLOOKUP(J646,Foundation_Calc!$E$2:$G$33,3,1),""))</f>
        <v>PT</v>
      </c>
      <c r="AY646" s="10">
        <f>IF(L646="","",
IF(AX646="PT",VLOOKUP(L646,Foundation_Calc!$K$79:$R$113,VLOOKUP(AW646,Foundation_Calc!$I$2:$J$8,2,FALSE),0),
IF(AX646="K",VLOOKUP(L646,Foundation_Calc!$K$117:$R$151,VLOOKUP(AW646,Foundation_Calc!$I$2:$J$8,2,FALSE),0),"")))</f>
        <v>3.7</v>
      </c>
      <c r="AZ646" s="10" t="str">
        <f>IF(K646="","",
IF(AX646="PT",VLOOKUP(K646,Foundation_Calc!$K$79:$R$113,VLOOKUP(AW646,Foundation_Calc!$I$2:$J$8,2,FALSE),0),
IF(AX646="K",VLOOKUP(K646,Foundation_Calc!$K$117:$R$151,VLOOKUP(AW646,Foundation_Calc!$I$2:$J$8,2,FALSE),0),"")))</f>
        <v/>
      </c>
      <c r="BA646" s="495" t="str">
        <f t="shared" si="71"/>
        <v>ü</v>
      </c>
      <c r="BB646" s="495" t="str">
        <f t="shared" si="72"/>
        <v/>
      </c>
      <c r="BC646" s="495" t="str">
        <f t="shared" si="73"/>
        <v/>
      </c>
      <c r="BD646" s="513" t="str">
        <f>Pole_Calc!A$251</f>
        <v>App.8-V08H-P10.3</v>
      </c>
      <c r="BE646" s="429" t="s">
        <v>118</v>
      </c>
      <c r="BF646" s="289"/>
      <c r="BG646" s="289"/>
      <c r="BH646" s="290"/>
      <c r="BI646" s="289"/>
    </row>
    <row r="647" spans="1:61" ht="15.75" customHeight="1">
      <c r="A647" s="518"/>
      <c r="B647" s="450"/>
      <c r="C647" s="3"/>
      <c r="D647" s="83"/>
      <c r="E647" s="4"/>
      <c r="F647" s="4"/>
      <c r="G647" s="6">
        <v>27.3</v>
      </c>
      <c r="H647" s="449"/>
      <c r="I647" s="4"/>
      <c r="J647" s="3"/>
      <c r="K647" s="449"/>
      <c r="L647" s="449"/>
      <c r="M647" s="449" t="str">
        <f>IF(L647="","",
IF(AX647="PT",VLOOKUP(L647,Foundation_Calc!$V$79:$X$113,VLOOKUP(AX647,Foundation_Calc!$I$10:$J$13,2,FALSE),0),
IF(AX647="K",VLOOKUP(L647,Foundation_Calc!$V$117:$X$151,VLOOKUP(AX647,Foundation_Calc!$I$10:$J$13,2,FALSE),0),"")))</f>
        <v/>
      </c>
      <c r="N647" s="449"/>
      <c r="O647" s="449"/>
      <c r="P647" s="449"/>
      <c r="Q647" s="4"/>
      <c r="R647" s="6"/>
      <c r="S647" s="6"/>
      <c r="T647" s="4"/>
      <c r="U647" s="4"/>
      <c r="V647" s="4"/>
      <c r="W647" s="9"/>
      <c r="X647" s="9"/>
      <c r="Y647" s="9"/>
      <c r="Z647" s="9"/>
      <c r="AA647" s="9"/>
      <c r="AB647" s="9"/>
      <c r="AC647" s="449" t="str">
        <f t="shared" si="74"/>
        <v/>
      </c>
      <c r="AD647" s="449"/>
      <c r="AE647" s="449"/>
      <c r="AF647" s="4"/>
      <c r="AG647" s="83"/>
      <c r="AH647" s="4"/>
      <c r="AI647" s="4"/>
      <c r="AJ647" s="449"/>
      <c r="AK647" s="449"/>
      <c r="AL647" s="449"/>
      <c r="AM647" s="449"/>
      <c r="AN647" s="10"/>
      <c r="AO647" s="9"/>
      <c r="AP647" s="9"/>
      <c r="AQ647" s="9">
        <f>+FL_1($T$648,$T$646,$G$647,1200,9.28,-1*$F$648)</f>
        <v>0.29999999999999993</v>
      </c>
      <c r="AR647" s="9"/>
      <c r="AS647" s="9"/>
      <c r="AT647" s="9"/>
      <c r="AU647" s="428"/>
      <c r="AV647" s="428"/>
      <c r="AW647" s="449" t="str">
        <f>IF(C647&gt;0,VLOOKUP(C647,Foundation_Calc!$A$2:$C$13,3,1),
IF(J647&gt;0,VLOOKUP(J647,Foundation_Calc!$A$2:$C$13,3,1),""))</f>
        <v/>
      </c>
      <c r="AX647" s="449" t="str">
        <f>IF(C647&gt;0,VLOOKUP(C647,Foundation_Calc!$E$2:$G$33,3,1),
IF(J647&gt;0,VLOOKUP(J647,Foundation_Calc!$E$2:$G$33,3,1),""))</f>
        <v/>
      </c>
      <c r="AY647" s="10" t="str">
        <f>IF(L647="","",
IF(AX647="PT",VLOOKUP(L647,Foundation_Calc!$K$79:$R$113,VLOOKUP(AW647,Foundation_Calc!$I$2:$J$8,2,FALSE),0),
IF(AX647="K",VLOOKUP(L647,Foundation_Calc!$K$117:$R$151,VLOOKUP(AW647,Foundation_Calc!$I$2:$J$8,2,FALSE),0),"")))</f>
        <v/>
      </c>
      <c r="AZ647" s="10" t="str">
        <f>IF(K647="","",
IF(AX647="PT",VLOOKUP(K647,Foundation_Calc!$K$79:$R$113,VLOOKUP(AW647,Foundation_Calc!$I$2:$J$8,2,FALSE),0),
IF(AX647="K",VLOOKUP(K647,Foundation_Calc!$K$117:$R$151,VLOOKUP(AW647,Foundation_Calc!$I$2:$J$8,2,FALSE),0),"")))</f>
        <v/>
      </c>
      <c r="BA647" s="495" t="str">
        <f t="shared" si="71"/>
        <v/>
      </c>
      <c r="BB647" s="495" t="str">
        <f t="shared" si="72"/>
        <v/>
      </c>
      <c r="BC647" s="495" t="str">
        <f t="shared" si="73"/>
        <v/>
      </c>
      <c r="BD647" s="513" t="str">
        <f>IF(AND(L647="",H647=""),"",
IF(H647="",Pole_Calc!A$9,
IF(H647="MP",Pole_Calc!A$10,
IF(H647="AnMP",Pole_Calc!A$11,
IF(H647="A",Pole_Calc!A$12,
IF(H647="S/A",Pole_Calc!A$13,
IF(H647="A/S",Pole_Calc!A$14,"Poner a mano")))))))</f>
        <v/>
      </c>
      <c r="BE647" s="429" t="s">
        <v>118</v>
      </c>
      <c r="BF647" s="290"/>
      <c r="BG647" s="290"/>
      <c r="BH647" s="290"/>
      <c r="BI647" s="290"/>
    </row>
    <row r="648" spans="1:61" ht="15.75" customHeight="1">
      <c r="A648" s="514"/>
      <c r="B648" s="450" t="s">
        <v>564</v>
      </c>
      <c r="C648" s="3">
        <f>+$C$646+$G$647</f>
        <v>45664.490000000005</v>
      </c>
      <c r="D648" s="83"/>
      <c r="E648" s="4"/>
      <c r="F648" s="4">
        <f>IF(C648&gt;0,VLOOKUP(C648,'ALIGNMENT TRACK'!$A$1:$K$81,9,1))</f>
        <v>0</v>
      </c>
      <c r="G648" s="6"/>
      <c r="H648" s="449" t="s">
        <v>565</v>
      </c>
      <c r="I648" s="4"/>
      <c r="J648" s="3"/>
      <c r="K648" s="449"/>
      <c r="L648" s="449" t="s">
        <v>183</v>
      </c>
      <c r="M648" s="449" t="str">
        <f>IF(L648="","",
IF(AX648="PT",VLOOKUP(L648,Foundation_Calc!$V$79:$X$113,VLOOKUP(AX648,Foundation_Calc!$I$10:$J$13,2,FALSE),0),
IF(AX648="K",VLOOKUP(L648,Foundation_Calc!$V$117:$X$151,VLOOKUP(AX648,Foundation_Calc!$I$10:$J$13,2,FALSE),0),"")))</f>
        <v>2C3R</v>
      </c>
      <c r="N648" s="449" t="s">
        <v>134</v>
      </c>
      <c r="O648" s="553" t="s">
        <v>124</v>
      </c>
      <c r="P648" s="449"/>
      <c r="Q648" s="4"/>
      <c r="R648" s="6"/>
      <c r="S648" s="6"/>
      <c r="T648" s="4">
        <v>30</v>
      </c>
      <c r="U648" s="4">
        <v>-10</v>
      </c>
      <c r="V648" s="4"/>
      <c r="W648" s="9">
        <v>1.4</v>
      </c>
      <c r="X648" s="9">
        <v>2</v>
      </c>
      <c r="Y648" s="9"/>
      <c r="Z648" s="9"/>
      <c r="AA648" s="9"/>
      <c r="AB648" s="9"/>
      <c r="AC648" s="449" t="str">
        <f t="shared" si="74"/>
        <v>PHC</v>
      </c>
      <c r="AD648" s="449"/>
      <c r="AE648" s="449"/>
      <c r="AF648" s="4"/>
      <c r="AG648" s="83"/>
      <c r="AH648" s="4"/>
      <c r="AI648" s="4"/>
      <c r="AJ648" s="449" t="s">
        <v>239</v>
      </c>
      <c r="AK648" s="449"/>
      <c r="AL648" s="449"/>
      <c r="AM648" s="449" t="s">
        <v>552</v>
      </c>
      <c r="AN648" s="10">
        <v>5.5</v>
      </c>
      <c r="AO648" s="9"/>
      <c r="AP648" s="9"/>
      <c r="AQ648" s="9"/>
      <c r="AR648" s="9"/>
      <c r="AS648" s="9"/>
      <c r="AT648" s="9">
        <f>+ab($T$648,$T$646,$T$650,$G$647,$G$649,-1*$F$648,1200)</f>
        <v>4.8058616148808619</v>
      </c>
      <c r="AU648" s="428"/>
      <c r="AV648" s="428"/>
      <c r="AW648" s="449" t="str">
        <f>IF(C648&gt;0,VLOOKUP(C648,Foundation_Calc!$A$2:$C$13,3,1),
IF(J648&gt;0,VLOOKUP(J648,Foundation_Calc!$A$2:$C$13,3,1),""))</f>
        <v>Multi Soil</v>
      </c>
      <c r="AX648" s="449" t="str">
        <f>IF(C648&gt;0,VLOOKUP(C648,Foundation_Calc!$E$2:$G$33,3,1),
IF(J648&gt;0,VLOOKUP(J648,Foundation_Calc!$E$2:$G$33,3,1),""))</f>
        <v>PT</v>
      </c>
      <c r="AY648" s="10">
        <f>IF(L648="","",
IF(AX648="PT",VLOOKUP(L648,Foundation_Calc!$K$79:$R$113,VLOOKUP(AW648,Foundation_Calc!$I$2:$J$8,2,FALSE),0),
IF(AX648="K",VLOOKUP(L648,Foundation_Calc!$K$117:$R$151,VLOOKUP(AW648,Foundation_Calc!$I$2:$J$8,2,FALSE),0),"")))</f>
        <v>3.7</v>
      </c>
      <c r="AZ648" s="10" t="str">
        <f>IF(K648="","",
IF(AX648="PT",VLOOKUP(K648,Foundation_Calc!$K$79:$R$113,VLOOKUP(AW648,Foundation_Calc!$I$2:$J$8,2,FALSE),0),
IF(AX648="K",VLOOKUP(K648,Foundation_Calc!$K$117:$R$151,VLOOKUP(AW648,Foundation_Calc!$I$2:$J$8,2,FALSE),0),"")))</f>
        <v/>
      </c>
      <c r="BA648" s="495" t="str">
        <f t="shared" si="71"/>
        <v>ü</v>
      </c>
      <c r="BB648" s="495" t="str">
        <f t="shared" si="72"/>
        <v/>
      </c>
      <c r="BC648" s="495" t="str">
        <f t="shared" si="73"/>
        <v/>
      </c>
      <c r="BD648" s="513" t="str">
        <f>Pole_Calc!A$13</f>
        <v>App.7-V11I-P9.5.1.5</v>
      </c>
      <c r="BE648" s="429" t="s">
        <v>118</v>
      </c>
      <c r="BF648" s="289"/>
      <c r="BG648" s="289"/>
      <c r="BH648" s="290"/>
      <c r="BI648" s="289"/>
    </row>
    <row r="649" spans="1:61" ht="15.75" customHeight="1">
      <c r="A649" s="514"/>
      <c r="B649" s="450"/>
      <c r="C649" s="3"/>
      <c r="D649" s="83"/>
      <c r="E649" s="4"/>
      <c r="F649" s="4"/>
      <c r="G649" s="6">
        <v>31.2</v>
      </c>
      <c r="H649" s="449"/>
      <c r="I649" s="4"/>
      <c r="J649" s="3"/>
      <c r="K649" s="449"/>
      <c r="L649" s="449"/>
      <c r="M649" s="449" t="str">
        <f>IF(L649="","",
IF(AX649="PT",VLOOKUP(L649,Foundation_Calc!$V$79:$X$113,VLOOKUP(AX649,Foundation_Calc!$I$10:$J$13,2,FALSE),0),
IF(AX649="K",VLOOKUP(L649,Foundation_Calc!$V$117:$X$151,VLOOKUP(AX649,Foundation_Calc!$I$10:$J$13,2,FALSE),0),"")))</f>
        <v/>
      </c>
      <c r="N649" s="449"/>
      <c r="O649" s="449"/>
      <c r="P649" s="449"/>
      <c r="Q649" s="4"/>
      <c r="R649" s="6"/>
      <c r="S649" s="6"/>
      <c r="T649" s="4"/>
      <c r="U649" s="4"/>
      <c r="V649" s="4"/>
      <c r="W649" s="9"/>
      <c r="X649" s="9"/>
      <c r="Y649" s="9"/>
      <c r="Z649" s="9"/>
      <c r="AA649" s="9"/>
      <c r="AB649" s="9"/>
      <c r="AC649" s="449" t="str">
        <f t="shared" si="74"/>
        <v/>
      </c>
      <c r="AD649" s="449"/>
      <c r="AE649" s="449"/>
      <c r="AF649" s="4"/>
      <c r="AG649" s="83"/>
      <c r="AH649" s="4"/>
      <c r="AI649" s="4"/>
      <c r="AJ649" s="449"/>
      <c r="AK649" s="449"/>
      <c r="AL649" s="449"/>
      <c r="AM649" s="449"/>
      <c r="AN649" s="10"/>
      <c r="AO649" s="9"/>
      <c r="AP649" s="9"/>
      <c r="AQ649" s="9">
        <f>+FL_2($T$650,$T$648,$G$649,1200,9.28,-1*$F$650)</f>
        <v>-0.2</v>
      </c>
      <c r="AR649" s="9"/>
      <c r="AS649" s="9"/>
      <c r="AT649" s="9"/>
      <c r="AU649" s="428"/>
      <c r="AV649" s="428"/>
      <c r="AW649" s="449" t="str">
        <f>IF(C649&gt;0,VLOOKUP(C649,Foundation_Calc!$A$2:$C$13,3,1),
IF(J649&gt;0,VLOOKUP(J649,Foundation_Calc!$A$2:$C$13,3,1),""))</f>
        <v/>
      </c>
      <c r="AX649" s="449" t="str">
        <f>IF(C649&gt;0,VLOOKUP(C649,Foundation_Calc!$E$2:$G$33,3,1),
IF(J649&gt;0,VLOOKUP(J649,Foundation_Calc!$E$2:$G$33,3,1),""))</f>
        <v/>
      </c>
      <c r="AY649" s="10" t="str">
        <f>IF(L649="","",
IF(AX649="PT",VLOOKUP(L649,Foundation_Calc!$K$79:$R$113,VLOOKUP(AW649,Foundation_Calc!$I$2:$J$8,2,FALSE),0),
IF(AX649="K",VLOOKUP(L649,Foundation_Calc!$K$117:$R$151,VLOOKUP(AW649,Foundation_Calc!$I$2:$J$8,2,FALSE),0),"")))</f>
        <v/>
      </c>
      <c r="AZ649" s="10" t="str">
        <f>IF(K649="","",
IF(AX649="PT",VLOOKUP(K649,Foundation_Calc!$K$79:$R$113,VLOOKUP(AW649,Foundation_Calc!$I$2:$J$8,2,FALSE),0),
IF(AX649="K",VLOOKUP(K649,Foundation_Calc!$K$117:$R$151,VLOOKUP(AW649,Foundation_Calc!$I$2:$J$8,2,FALSE),0),"")))</f>
        <v/>
      </c>
      <c r="BA649" s="495" t="str">
        <f t="shared" si="71"/>
        <v/>
      </c>
      <c r="BB649" s="495" t="str">
        <f t="shared" si="72"/>
        <v/>
      </c>
      <c r="BC649" s="495" t="str">
        <f t="shared" si="73"/>
        <v/>
      </c>
      <c r="BD649" s="513" t="str">
        <f>IF(AND(L649="",H649=""),"",
IF(H649="",Pole_Calc!A$9,
IF(H649="MP",Pole_Calc!A$10,
IF(H649="AnMP",Pole_Calc!A$11,
IF(H649="A",Pole_Calc!A$12,
IF(H649="S/A",Pole_Calc!A$13,
IF(H649="A/S",Pole_Calc!A$14,"Poner a mano")))))))</f>
        <v/>
      </c>
      <c r="BE649" s="429" t="s">
        <v>118</v>
      </c>
      <c r="BF649" s="290"/>
      <c r="BG649" s="290"/>
      <c r="BH649" s="290"/>
      <c r="BI649" s="290"/>
    </row>
    <row r="650" spans="1:61" ht="15.75" customHeight="1">
      <c r="A650" s="514"/>
      <c r="B650" s="450" t="s">
        <v>566</v>
      </c>
      <c r="C650" s="3">
        <f>+$C$648+$G$649</f>
        <v>45695.69</v>
      </c>
      <c r="D650" s="83"/>
      <c r="E650" s="4"/>
      <c r="F650" s="4">
        <f>IF(C650&gt;0,VLOOKUP(C650,'ALIGNMENT TRACK'!$A$1:$K$81,9,1))</f>
        <v>0</v>
      </c>
      <c r="G650" s="6"/>
      <c r="H650" s="449" t="s">
        <v>131</v>
      </c>
      <c r="I650" s="4"/>
      <c r="J650" s="3"/>
      <c r="K650" s="449"/>
      <c r="L650" s="449" t="s">
        <v>183</v>
      </c>
      <c r="M650" s="449" t="str">
        <f>IF(L650="","",
IF(AX650="PT",VLOOKUP(L650,Foundation_Calc!$V$79:$X$113,VLOOKUP(AX650,Foundation_Calc!$I$10:$J$13,2,FALSE),0),
IF(AX650="K",VLOOKUP(L650,Foundation_Calc!$V$117:$X$151,VLOOKUP(AX650,Foundation_Calc!$I$10:$J$13,2,FALSE),0),"")))</f>
        <v>2C3R</v>
      </c>
      <c r="N650" s="449" t="s">
        <v>124</v>
      </c>
      <c r="O650" s="553" t="s">
        <v>133</v>
      </c>
      <c r="P650" s="449"/>
      <c r="Q650" s="4"/>
      <c r="R650" s="6"/>
      <c r="S650" s="6"/>
      <c r="T650" s="4">
        <v>-20</v>
      </c>
      <c r="U650" s="4">
        <v>-55</v>
      </c>
      <c r="V650" s="4"/>
      <c r="W650" s="9">
        <v>1.4</v>
      </c>
      <c r="X650" s="9">
        <v>2</v>
      </c>
      <c r="Y650" s="9"/>
      <c r="Z650" s="9"/>
      <c r="AA650" s="9">
        <v>0.25</v>
      </c>
      <c r="AB650" s="9"/>
      <c r="AC650" s="449" t="str">
        <f t="shared" si="74"/>
        <v>PH</v>
      </c>
      <c r="AD650" s="449"/>
      <c r="AE650" s="449"/>
      <c r="AF650" s="4"/>
      <c r="AG650" s="83"/>
      <c r="AH650" s="4"/>
      <c r="AI650" s="4"/>
      <c r="AJ650" s="449"/>
      <c r="AK650" s="449"/>
      <c r="AL650" s="449"/>
      <c r="AM650" s="449" t="s">
        <v>552</v>
      </c>
      <c r="AN650" s="10">
        <v>5.5</v>
      </c>
      <c r="AO650" s="9"/>
      <c r="AP650" s="9"/>
      <c r="AQ650" s="9"/>
      <c r="AR650" s="9"/>
      <c r="AS650" s="9"/>
      <c r="AT650" s="9">
        <f>+ab($T$650,$T$648,$T$654,$G$649,$G$651,-1*$F$650,1200)</f>
        <v>-11.804231805976208</v>
      </c>
      <c r="AU650" s="428"/>
      <c r="AV650" s="428"/>
      <c r="AW650" s="449" t="str">
        <f>IF(C650&gt;0,VLOOKUP(C650,Foundation_Calc!$A$2:$C$13,3,1),
IF(J650&gt;0,VLOOKUP(J650,Foundation_Calc!$A$2:$C$13,3,1),""))</f>
        <v>Multi Soil</v>
      </c>
      <c r="AX650" s="449" t="str">
        <f>IF(C650&gt;0,VLOOKUP(C650,Foundation_Calc!$E$2:$G$33,3,1),
IF(J650&gt;0,VLOOKUP(J650,Foundation_Calc!$E$2:$G$33,3,1),""))</f>
        <v>PT</v>
      </c>
      <c r="AY650" s="10">
        <f>IF(L650="","",
IF(AX650="PT",VLOOKUP(L650,Foundation_Calc!$K$79:$R$113,VLOOKUP(AW650,Foundation_Calc!$I$2:$J$8,2,FALSE),0),
IF(AX650="K",VLOOKUP(L650,Foundation_Calc!$K$117:$R$151,VLOOKUP(AW650,Foundation_Calc!$I$2:$J$8,2,FALSE),0),"")))</f>
        <v>3.7</v>
      </c>
      <c r="AZ650" s="10" t="str">
        <f>IF(K650="","",
IF(AX650="PT",VLOOKUP(K650,Foundation_Calc!$K$79:$R$113,VLOOKUP(AW650,Foundation_Calc!$I$2:$J$8,2,FALSE),0),
IF(AX650="K",VLOOKUP(K650,Foundation_Calc!$K$117:$R$151,VLOOKUP(AW650,Foundation_Calc!$I$2:$J$8,2,FALSE),0),"")))</f>
        <v/>
      </c>
      <c r="BA650" s="495" t="str">
        <f t="shared" si="71"/>
        <v>ü</v>
      </c>
      <c r="BB650" s="495" t="str">
        <f t="shared" si="72"/>
        <v/>
      </c>
      <c r="BC650" s="495" t="str">
        <f t="shared" si="73"/>
        <v/>
      </c>
      <c r="BD650" s="513" t="str">
        <f>IF(AND(L650="",H650=""),"",
IF(H650="",Pole_Calc!A$9,
IF(H650="MP",Pole_Calc!A$10,
IF(H650="AnMP",Pole_Calc!A$11,
IF(H650="A",Pole_Calc!A$12,
IF(H650="S/A",Pole_Calc!A$13,
IF(H650="A/S",Pole_Calc!A$14,"Poner a mano")))))))</f>
        <v>App.7-V11I-P9.5.1.5</v>
      </c>
      <c r="BE650" s="429" t="s">
        <v>118</v>
      </c>
      <c r="BF650" s="289"/>
      <c r="BG650" s="289"/>
      <c r="BH650" s="290"/>
      <c r="BI650" s="289"/>
    </row>
    <row r="651" spans="1:61" ht="15.75" customHeight="1">
      <c r="A651" s="514"/>
      <c r="B651" s="450"/>
      <c r="C651" s="3"/>
      <c r="D651" s="83"/>
      <c r="E651" s="4"/>
      <c r="F651" s="4"/>
      <c r="G651" s="6">
        <v>41</v>
      </c>
      <c r="H651" s="449"/>
      <c r="I651" s="4"/>
      <c r="J651" s="3"/>
      <c r="K651" s="449"/>
      <c r="L651" s="449"/>
      <c r="M651" s="449" t="str">
        <f>IF(L651="","",
IF(AX651="PT",VLOOKUP(L651,Foundation_Calc!$V$79:$X$113,VLOOKUP(AX651,Foundation_Calc!$I$10:$J$13,2,FALSE),0),
IF(AX651="K",VLOOKUP(L651,Foundation_Calc!$V$117:$X$151,VLOOKUP(AX651,Foundation_Calc!$I$10:$J$13,2,FALSE),0),"")))</f>
        <v/>
      </c>
      <c r="N651" s="449"/>
      <c r="O651" s="449"/>
      <c r="P651" s="449"/>
      <c r="Q651" s="4"/>
      <c r="R651" s="6"/>
      <c r="S651" s="6"/>
      <c r="T651" s="4"/>
      <c r="U651" s="4"/>
      <c r="V651" s="4"/>
      <c r="W651" s="9"/>
      <c r="X651" s="9"/>
      <c r="Y651" s="9"/>
      <c r="Z651" s="9"/>
      <c r="AA651" s="9"/>
      <c r="AB651" s="9"/>
      <c r="AC651" s="449" t="str">
        <f t="shared" si="74"/>
        <v/>
      </c>
      <c r="AD651" s="449"/>
      <c r="AE651" s="449"/>
      <c r="AF651" s="4"/>
      <c r="AG651" s="83"/>
      <c r="AH651" s="4"/>
      <c r="AI651" s="4"/>
      <c r="AJ651" s="449"/>
      <c r="AK651" s="449"/>
      <c r="AL651" s="449"/>
      <c r="AM651" s="449"/>
      <c r="AN651" s="10"/>
      <c r="AO651" s="9"/>
      <c r="AP651" s="9"/>
      <c r="AQ651" s="9">
        <f>+FL_1($T$654,$T$650,$G$651,1200,9.28,-1*$F$654)</f>
        <v>-3.7503333333333354E-2</v>
      </c>
      <c r="AR651" s="9"/>
      <c r="AS651" s="9"/>
      <c r="AT651" s="9"/>
      <c r="AU651" s="428"/>
      <c r="AV651" s="428"/>
      <c r="AW651" s="449" t="str">
        <f>IF(C651&gt;0,VLOOKUP(C651,Foundation_Calc!$A$2:$C$13,3,1),
IF(J651&gt;0,VLOOKUP(J651,Foundation_Calc!$A$2:$C$13,3,1),""))</f>
        <v/>
      </c>
      <c r="AX651" s="449" t="str">
        <f>IF(C651&gt;0,VLOOKUP(C651,Foundation_Calc!$E$2:$G$33,3,1),
IF(J651&gt;0,VLOOKUP(J651,Foundation_Calc!$E$2:$G$33,3,1),""))</f>
        <v/>
      </c>
      <c r="AY651" s="10" t="str">
        <f>IF(L651="","",
IF(AX651="PT",VLOOKUP(L651,Foundation_Calc!$K$79:$R$113,VLOOKUP(AW651,Foundation_Calc!$I$2:$J$8,2,FALSE),0),
IF(AX651="K",VLOOKUP(L651,Foundation_Calc!$K$117:$R$151,VLOOKUP(AW651,Foundation_Calc!$I$2:$J$8,2,FALSE),0),"")))</f>
        <v/>
      </c>
      <c r="AZ651" s="10" t="str">
        <f>IF(K651="","",
IF(AX651="PT",VLOOKUP(K651,Foundation_Calc!$K$79:$R$113,VLOOKUP(AW651,Foundation_Calc!$I$2:$J$8,2,FALSE),0),
IF(AX651="K",VLOOKUP(K651,Foundation_Calc!$K$117:$R$151,VLOOKUP(AW651,Foundation_Calc!$I$2:$J$8,2,FALSE),0),"")))</f>
        <v/>
      </c>
      <c r="BA651" s="495" t="str">
        <f t="shared" si="71"/>
        <v/>
      </c>
      <c r="BB651" s="495" t="str">
        <f t="shared" si="72"/>
        <v/>
      </c>
      <c r="BC651" s="495" t="str">
        <f t="shared" si="73"/>
        <v/>
      </c>
      <c r="BD651" s="513" t="str">
        <f>IF(AND(L651="",H651=""),"",
IF(H651="",Pole_Calc!A$9,
IF(H651="MP",Pole_Calc!A$10,
IF(H651="AnMP",Pole_Calc!A$11,
IF(H651="A",Pole_Calc!A$12,
IF(H651="S/A",Pole_Calc!A$13,
IF(H651="A/S",Pole_Calc!A$14,"Poner a mano")))))))</f>
        <v/>
      </c>
      <c r="BE651" s="429" t="s">
        <v>118</v>
      </c>
      <c r="BF651" s="290"/>
      <c r="BG651" s="290"/>
      <c r="BH651" s="290"/>
      <c r="BI651" s="290"/>
    </row>
    <row r="652" spans="1:61" ht="15.75" customHeight="1">
      <c r="A652" s="514"/>
      <c r="B652" s="450" t="s">
        <v>567</v>
      </c>
      <c r="C652" s="3">
        <f>C654-G653</f>
        <v>45734.69</v>
      </c>
      <c r="D652" s="83"/>
      <c r="E652" s="4"/>
      <c r="F652" s="4">
        <v>0</v>
      </c>
      <c r="G652" s="6"/>
      <c r="H652" s="449"/>
      <c r="I652" s="4"/>
      <c r="J652" s="3"/>
      <c r="K652" s="449"/>
      <c r="L652" s="449" t="s">
        <v>568</v>
      </c>
      <c r="M652" s="449" t="str">
        <f>IF(L652="","",
IF(AX652="PT",VLOOKUP(L652,Foundation_Calc!$V$79:$X$113,VLOOKUP(AX652,Foundation_Calc!$I$10:$J$13,2,FALSE),0),
IF(AX652="K",VLOOKUP(L652,Foundation_Calc!$V$117:$X$151,VLOOKUP(AX652,Foundation_Calc!$I$10:$J$13,2,FALSE),0),"")))</f>
        <v>C9R</v>
      </c>
      <c r="N652" s="449"/>
      <c r="O652" s="449"/>
      <c r="P652" s="449"/>
      <c r="Q652" s="4"/>
      <c r="R652" s="6"/>
      <c r="S652" s="6"/>
      <c r="T652" s="4"/>
      <c r="U652" s="4"/>
      <c r="V652" s="4"/>
      <c r="W652" s="9"/>
      <c r="X652" s="9"/>
      <c r="Y652" s="9"/>
      <c r="Z652" s="9"/>
      <c r="AA652" s="9"/>
      <c r="AB652" s="9"/>
      <c r="AC652" s="449"/>
      <c r="AD652" s="449"/>
      <c r="AE652" s="449"/>
      <c r="AF652" s="4"/>
      <c r="AG652" s="83"/>
      <c r="AH652" s="4"/>
      <c r="AI652" s="4"/>
      <c r="AJ652" s="449"/>
      <c r="AK652" s="449"/>
      <c r="AL652" s="449" t="s">
        <v>569</v>
      </c>
      <c r="AM652" s="449" t="s">
        <v>552</v>
      </c>
      <c r="AN652" s="10"/>
      <c r="AO652" s="9"/>
      <c r="AP652" s="9"/>
      <c r="AQ652" s="9"/>
      <c r="AR652" s="9"/>
      <c r="AS652" s="9"/>
      <c r="AT652" s="9"/>
      <c r="AU652" s="428"/>
      <c r="AV652" s="428"/>
      <c r="AW652" s="449" t="str">
        <f>IF(C652&gt;0,VLOOKUP(C652,Foundation_Calc!$A$2:$C$13,3,1),
IF(J652&gt;0,VLOOKUP(J652,Foundation_Calc!$A$2:$C$13,3,1),""))</f>
        <v>Multi Soil</v>
      </c>
      <c r="AX652" s="449" t="str">
        <f>IF(C652&gt;0,VLOOKUP(C652,Foundation_Calc!$E$2:$G$33,3,1),
IF(J652&gt;0,VLOOKUP(J652,Foundation_Calc!$E$2:$G$33,3,1),""))</f>
        <v>PT</v>
      </c>
      <c r="AY652" s="10">
        <f>IF(L652="","",
IF(AX652="PT",VLOOKUP(L652,Foundation_Calc!$K$79:$R$113,VLOOKUP(AW652,Foundation_Calc!$I$2:$J$8,2,FALSE),0),
IF(AX652="K",VLOOKUP(L652,Foundation_Calc!$K$117:$R$151,VLOOKUP(AW652,Foundation_Calc!$I$2:$J$8,2,FALSE),0),"")))</f>
        <v>4.5999999999999996</v>
      </c>
      <c r="AZ652" s="10" t="str">
        <f>IF(K652="","",
IF(AX652="PT",VLOOKUP(K652,Foundation_Calc!$K$79:$R$113,VLOOKUP(AW652,Foundation_Calc!$I$2:$J$8,2,FALSE),0),
IF(AX652="K",VLOOKUP(K652,Foundation_Calc!$K$117:$R$151,VLOOKUP(AW652,Foundation_Calc!$I$2:$J$8,2,FALSE),0),"")))</f>
        <v/>
      </c>
      <c r="BA652" s="495" t="str">
        <f t="shared" ref="BA652" si="75">IF(AY652="","",IF(AY652&gt;0,"ü",""))</f>
        <v>ü</v>
      </c>
      <c r="BB652" s="495" t="str">
        <f t="shared" ref="BB652" si="76">IF(AZ652="","",IF(AZ652&gt;0,"ü",""))</f>
        <v/>
      </c>
      <c r="BC652" s="495" t="str">
        <f t="shared" ref="BC652" si="77">IF(M652="","",IF(M652="U.S.","ü",IF(M652="U.S. N.D.","ü","")))</f>
        <v/>
      </c>
      <c r="BD652" s="513" t="str">
        <f>Pole_Calc!A$232</f>
        <v>App.7-V11I-P13.3</v>
      </c>
      <c r="BE652" s="429" t="s">
        <v>118</v>
      </c>
      <c r="BF652" s="289"/>
      <c r="BG652" s="289"/>
      <c r="BH652" s="290"/>
      <c r="BI652" s="289"/>
    </row>
    <row r="653" spans="1:61" ht="15.75" customHeight="1">
      <c r="A653" s="514"/>
      <c r="B653" s="450"/>
      <c r="C653" s="3"/>
      <c r="D653" s="83"/>
      <c r="E653" s="4"/>
      <c r="F653" s="4"/>
      <c r="G653" s="6">
        <v>2</v>
      </c>
      <c r="H653" s="449"/>
      <c r="I653" s="4">
        <v>383</v>
      </c>
      <c r="J653" s="3"/>
      <c r="K653" s="449"/>
      <c r="L653" s="449"/>
      <c r="M653" s="449"/>
      <c r="N653" s="449"/>
      <c r="O653" s="449"/>
      <c r="P653" s="449"/>
      <c r="Q653" s="4"/>
      <c r="R653" s="6"/>
      <c r="S653" s="6"/>
      <c r="T653" s="4"/>
      <c r="U653" s="4"/>
      <c r="V653" s="4"/>
      <c r="W653" s="9"/>
      <c r="X653" s="9"/>
      <c r="Y653" s="9"/>
      <c r="Z653" s="9"/>
      <c r="AA653" s="9"/>
      <c r="AB653" s="9"/>
      <c r="AC653" s="449"/>
      <c r="AD653" s="449"/>
      <c r="AE653" s="449"/>
      <c r="AF653" s="4"/>
      <c r="AG653" s="83"/>
      <c r="AH653" s="4"/>
      <c r="AI653" s="4"/>
      <c r="AJ653" s="449"/>
      <c r="AK653" s="449"/>
      <c r="AL653" s="449"/>
      <c r="AM653" s="449"/>
      <c r="AN653" s="10"/>
      <c r="AO653" s="9"/>
      <c r="AP653" s="9"/>
      <c r="AQ653" s="9"/>
      <c r="AR653" s="9"/>
      <c r="AS653" s="9"/>
      <c r="AT653" s="9"/>
      <c r="AU653" s="428"/>
      <c r="AV653" s="428"/>
      <c r="AW653" s="449"/>
      <c r="AX653" s="449"/>
      <c r="AY653" s="10"/>
      <c r="AZ653" s="10"/>
      <c r="BA653" s="495"/>
      <c r="BB653" s="495"/>
      <c r="BC653" s="495"/>
      <c r="BD653" s="513"/>
      <c r="BE653" s="429" t="s">
        <v>118</v>
      </c>
      <c r="BF653" s="290"/>
      <c r="BG653" s="290"/>
      <c r="BH653" s="290"/>
      <c r="BI653" s="290"/>
    </row>
    <row r="654" spans="1:61" ht="15.75" customHeight="1">
      <c r="A654" s="518"/>
      <c r="B654" s="450" t="s">
        <v>570</v>
      </c>
      <c r="C654" s="3">
        <f>+$C$650+$G$651</f>
        <v>45736.69</v>
      </c>
      <c r="D654" s="83"/>
      <c r="E654" s="4"/>
      <c r="F654" s="4">
        <f>IF(C654&gt;0,VLOOKUP(C654,'ALIGNMENT TRACK'!$A$1:$K$81,9,1))</f>
        <v>0</v>
      </c>
      <c r="G654" s="6"/>
      <c r="H654" s="449" t="s">
        <v>284</v>
      </c>
      <c r="I654" s="4" t="s">
        <v>162</v>
      </c>
      <c r="J654" s="3"/>
      <c r="K654" s="449"/>
      <c r="L654" s="449" t="s">
        <v>206</v>
      </c>
      <c r="M654" s="449" t="str">
        <f>IF(L654="","",
IF(AX654="PT",VLOOKUP(L654,Foundation_Calc!$V$79:$X$113,VLOOKUP(AX654,Foundation_Calc!$I$10:$J$13,2,FALSE),0),
IF(AX654="K",VLOOKUP(L654,Foundation_Calc!$V$117:$X$151,VLOOKUP(AX654,Foundation_Calc!$I$10:$J$13,2,FALSE),0),"")))</f>
        <v>2C4R</v>
      </c>
      <c r="N654" s="449" t="s">
        <v>124</v>
      </c>
      <c r="O654" s="449"/>
      <c r="P654" s="449"/>
      <c r="Q654" s="4"/>
      <c r="R654" s="6"/>
      <c r="S654" s="6"/>
      <c r="T654" s="4">
        <v>-20</v>
      </c>
      <c r="U654" s="4"/>
      <c r="V654" s="4"/>
      <c r="W654" s="9">
        <v>1.4</v>
      </c>
      <c r="X654" s="9"/>
      <c r="Y654" s="9"/>
      <c r="Z654" s="9"/>
      <c r="AA654" s="9"/>
      <c r="AB654" s="9"/>
      <c r="AC654" s="449" t="str">
        <f t="shared" si="74"/>
        <v>PH</v>
      </c>
      <c r="AD654" s="449"/>
      <c r="AE654" s="449"/>
      <c r="AF654" s="4"/>
      <c r="AG654" s="83"/>
      <c r="AH654" s="4"/>
      <c r="AI654" s="4"/>
      <c r="AJ654" s="449"/>
      <c r="AK654" s="449"/>
      <c r="AL654" s="449"/>
      <c r="AM654" s="449" t="s">
        <v>552</v>
      </c>
      <c r="AN654" s="10">
        <v>5.5</v>
      </c>
      <c r="AO654" s="9"/>
      <c r="AP654" s="9"/>
      <c r="AQ654" s="9"/>
      <c r="AR654" s="9"/>
      <c r="AS654" s="9"/>
      <c r="AT654" s="9">
        <f>+ab($T$654,$T$650,$T$656,$G$651,$G$655,-1*$F$654,1200)</f>
        <v>-14.803670411327142</v>
      </c>
      <c r="AU654" s="428"/>
      <c r="AV654" s="428"/>
      <c r="AW654" s="449" t="str">
        <f>IF(C654&gt;0,VLOOKUP(C654,Foundation_Calc!$A$2:$C$13,3,1),
IF(J654&gt;0,VLOOKUP(J654,Foundation_Calc!$A$2:$C$13,3,1),""))</f>
        <v>Multi Soil</v>
      </c>
      <c r="AX654" s="449" t="str">
        <f>IF(C654&gt;0,VLOOKUP(C654,Foundation_Calc!$E$2:$G$33,3,1),
IF(J654&gt;0,VLOOKUP(J654,Foundation_Calc!$E$2:$G$33,3,1),""))</f>
        <v>PT</v>
      </c>
      <c r="AY654" s="10">
        <f>IF(L654="","",
IF(AX654="PT",VLOOKUP(L654,Foundation_Calc!$K$79:$R$113,VLOOKUP(AW654,Foundation_Calc!$I$2:$J$8,2,FALSE),0),
IF(AX654="K",VLOOKUP(L654,Foundation_Calc!$K$117:$R$151,VLOOKUP(AW654,Foundation_Calc!$I$2:$J$8,2,FALSE),0),"")))</f>
        <v>4</v>
      </c>
      <c r="AZ654" s="10" t="str">
        <f>IF(K654="","",
IF(AX654="PT",VLOOKUP(K654,Foundation_Calc!$K$79:$R$113,VLOOKUP(AW654,Foundation_Calc!$I$2:$J$8,2,FALSE),0),
IF(AX654="K",VLOOKUP(K654,Foundation_Calc!$K$117:$R$151,VLOOKUP(AW654,Foundation_Calc!$I$2:$J$8,2,FALSE),0),"")))</f>
        <v/>
      </c>
      <c r="BA654" s="495" t="str">
        <f t="shared" si="71"/>
        <v>ü</v>
      </c>
      <c r="BB654" s="495" t="str">
        <f t="shared" si="72"/>
        <v/>
      </c>
      <c r="BC654" s="495" t="str">
        <f t="shared" si="73"/>
        <v/>
      </c>
      <c r="BD654" s="513" t="str">
        <f>Pole_Calc!A$167</f>
        <v>App.7-V11I-P9.5.15.2</v>
      </c>
      <c r="BE654" s="429" t="s">
        <v>118</v>
      </c>
      <c r="BF654" s="289"/>
      <c r="BG654" s="289"/>
      <c r="BH654" s="290"/>
      <c r="BI654" s="289"/>
    </row>
    <row r="655" spans="1:61" ht="15.75" customHeight="1">
      <c r="A655" s="518"/>
      <c r="B655" s="450"/>
      <c r="C655" s="3"/>
      <c r="D655" s="83"/>
      <c r="E655" s="4"/>
      <c r="F655" s="4"/>
      <c r="G655" s="6">
        <v>43.4</v>
      </c>
      <c r="H655" s="449"/>
      <c r="I655" s="4"/>
      <c r="J655" s="3"/>
      <c r="K655" s="449"/>
      <c r="L655" s="449"/>
      <c r="M655" s="449" t="str">
        <f>IF(L655="","",
IF(AX655="PT",VLOOKUP(L655,Foundation_Calc!$V$79:$X$113,VLOOKUP(AX655,Foundation_Calc!$I$10:$J$13,2,FALSE),0),
IF(AX655="K",VLOOKUP(L655,Foundation_Calc!$V$117:$X$151,VLOOKUP(AX655,Foundation_Calc!$I$10:$J$13,2,FALSE),0),"")))</f>
        <v/>
      </c>
      <c r="N655" s="449"/>
      <c r="O655" s="449"/>
      <c r="P655" s="449"/>
      <c r="Q655" s="4"/>
      <c r="R655" s="6"/>
      <c r="S655" s="6"/>
      <c r="T655" s="4"/>
      <c r="U655" s="4"/>
      <c r="V655" s="4"/>
      <c r="W655" s="9"/>
      <c r="X655" s="9"/>
      <c r="Y655" s="9"/>
      <c r="Z655" s="9"/>
      <c r="AA655" s="9"/>
      <c r="AB655" s="9"/>
      <c r="AC655" s="449" t="str">
        <f t="shared" si="74"/>
        <v/>
      </c>
      <c r="AD655" s="449"/>
      <c r="AE655" s="449"/>
      <c r="AF655" s="4"/>
      <c r="AG655" s="83"/>
      <c r="AH655" s="4"/>
      <c r="AI655" s="4"/>
      <c r="AJ655" s="449"/>
      <c r="AK655" s="449"/>
      <c r="AL655" s="449"/>
      <c r="AM655" s="449"/>
      <c r="AN655" s="10"/>
      <c r="AO655" s="9"/>
      <c r="AP655" s="9"/>
      <c r="AQ655" s="9">
        <f>+FL_2($T$656,$T$654,$G$655,1200,9.28,-1*$F$656)</f>
        <v>-0.21091376127188946</v>
      </c>
      <c r="AR655" s="9"/>
      <c r="AS655" s="9"/>
      <c r="AT655" s="9"/>
      <c r="AU655" s="428"/>
      <c r="AV655" s="428"/>
      <c r="AW655" s="449" t="str">
        <f>IF(C655&gt;0,VLOOKUP(C655,Foundation_Calc!$A$2:$C$13,3,1),
IF(J655&gt;0,VLOOKUP(J655,Foundation_Calc!$A$2:$C$13,3,1),""))</f>
        <v/>
      </c>
      <c r="AX655" s="449" t="str">
        <f>IF(C655&gt;0,VLOOKUP(C655,Foundation_Calc!$E$2:$G$33,3,1),
IF(J655&gt;0,VLOOKUP(J655,Foundation_Calc!$E$2:$G$33,3,1),""))</f>
        <v/>
      </c>
      <c r="AY655" s="10" t="str">
        <f>IF(L655="","",
IF(AX655="PT",VLOOKUP(L655,Foundation_Calc!$K$79:$R$113,VLOOKUP(AW655,Foundation_Calc!$I$2:$J$8,2,FALSE),0),
IF(AX655="K",VLOOKUP(L655,Foundation_Calc!$K$117:$R$151,VLOOKUP(AW655,Foundation_Calc!$I$2:$J$8,2,FALSE),0),"")))</f>
        <v/>
      </c>
      <c r="AZ655" s="10" t="str">
        <f>IF(K655="","",
IF(AX655="PT",VLOOKUP(K655,Foundation_Calc!$K$79:$R$113,VLOOKUP(AW655,Foundation_Calc!$I$2:$J$8,2,FALSE),0),
IF(AX655="K",VLOOKUP(K655,Foundation_Calc!$K$117:$R$151,VLOOKUP(AW655,Foundation_Calc!$I$2:$J$8,2,FALSE),0),"")))</f>
        <v/>
      </c>
      <c r="BA655" s="495" t="str">
        <f t="shared" si="71"/>
        <v/>
      </c>
      <c r="BB655" s="495" t="str">
        <f t="shared" si="72"/>
        <v/>
      </c>
      <c r="BC655" s="495" t="str">
        <f t="shared" si="73"/>
        <v/>
      </c>
      <c r="BD655" s="513" t="str">
        <f>IF(AND(L655="",H655=""),"",
IF(H655="",Pole_Calc!A$9,
IF(H655="MP",Pole_Calc!A$10,
IF(H655="AnMP",Pole_Calc!A$11,
IF(H655="A",Pole_Calc!A$12,
IF(H655="S/A",Pole_Calc!A$13,
IF(H655="A/S",Pole_Calc!A$14,"Poner a mano")))))))</f>
        <v/>
      </c>
      <c r="BE655" s="429" t="s">
        <v>118</v>
      </c>
      <c r="BF655" s="290"/>
      <c r="BG655" s="290"/>
      <c r="BH655" s="290"/>
      <c r="BI655" s="290"/>
    </row>
    <row r="656" spans="1:61" ht="15.75" customHeight="1">
      <c r="A656" s="514"/>
      <c r="B656" s="450" t="s">
        <v>571</v>
      </c>
      <c r="C656" s="3">
        <f>+$C$654+$G$655</f>
        <v>45780.090000000004</v>
      </c>
      <c r="D656" s="83"/>
      <c r="E656" s="4"/>
      <c r="F656" s="4">
        <f>IF(C656&gt;0,VLOOKUP(C656,'ALIGNMENT TRACK'!$A$1:$K$81,9,1))</f>
        <v>0</v>
      </c>
      <c r="G656" s="6"/>
      <c r="H656" s="449"/>
      <c r="I656" s="4" t="s">
        <v>549</v>
      </c>
      <c r="J656" s="3"/>
      <c r="K656" s="449"/>
      <c r="L656" s="449" t="s">
        <v>568</v>
      </c>
      <c r="M656" s="449" t="str">
        <f>IF(L656="","",
IF(AX656="PT",VLOOKUP(L656,Foundation_Calc!$V$79:$X$113,VLOOKUP(AX656,Foundation_Calc!$I$10:$J$13,2,FALSE),0),
IF(AX656="K",VLOOKUP(L656,Foundation_Calc!$V$117:$X$151,VLOOKUP(AX656,Foundation_Calc!$I$10:$J$13,2,FALSE),0),"")))</f>
        <v>C9R</v>
      </c>
      <c r="N656" s="449" t="s">
        <v>134</v>
      </c>
      <c r="O656" s="449"/>
      <c r="P656" s="449"/>
      <c r="Q656" s="4"/>
      <c r="R656" s="6"/>
      <c r="S656" s="6"/>
      <c r="T656" s="4">
        <v>35</v>
      </c>
      <c r="U656" s="4"/>
      <c r="V656" s="4"/>
      <c r="W656" s="9">
        <v>1.4</v>
      </c>
      <c r="X656" s="9"/>
      <c r="Y656" s="9"/>
      <c r="Z656" s="9"/>
      <c r="AA656" s="9"/>
      <c r="AB656" s="9"/>
      <c r="AC656" s="449" t="str">
        <f t="shared" si="74"/>
        <v>PHQ</v>
      </c>
      <c r="AD656" s="449"/>
      <c r="AE656" s="449"/>
      <c r="AF656" s="4"/>
      <c r="AG656" s="83"/>
      <c r="AH656" s="4"/>
      <c r="AI656" s="4"/>
      <c r="AJ656" s="449"/>
      <c r="AK656" s="449"/>
      <c r="AL656" s="449" t="s">
        <v>569</v>
      </c>
      <c r="AM656" s="449" t="s">
        <v>552</v>
      </c>
      <c r="AN656" s="10">
        <v>5.5</v>
      </c>
      <c r="AO656" s="9"/>
      <c r="AP656" s="9"/>
      <c r="AQ656" s="9"/>
      <c r="AR656" s="9"/>
      <c r="AS656" s="9"/>
      <c r="AT656" s="9">
        <f>+ab($T$656,$T$654,$T$658,$G$655,$G$657,-1*$F$656,1200)</f>
        <v>7.0052174136766361</v>
      </c>
      <c r="AU656" s="428"/>
      <c r="AV656" s="428"/>
      <c r="AW656" s="449" t="str">
        <f>IF(C656&gt;0,VLOOKUP(C656,Foundation_Calc!$A$2:$C$13,3,1),
IF(J656&gt;0,VLOOKUP(J656,Foundation_Calc!$A$2:$C$13,3,1),""))</f>
        <v>Multi Soil</v>
      </c>
      <c r="AX656" s="449" t="str">
        <f>IF(C656&gt;0,VLOOKUP(C656,Foundation_Calc!$E$2:$G$33,3,1),
IF(J656&gt;0,VLOOKUP(J656,Foundation_Calc!$E$2:$G$33,3,1),""))</f>
        <v>PT</v>
      </c>
      <c r="AY656" s="10">
        <f>IF(L656="","",
IF(AX656="PT",VLOOKUP(L656,Foundation_Calc!$K$79:$R$113,VLOOKUP(AW656,Foundation_Calc!$I$2:$J$8,2,FALSE),0),
IF(AX656="K",VLOOKUP(L656,Foundation_Calc!$K$117:$R$151,VLOOKUP(AW656,Foundation_Calc!$I$2:$J$8,2,FALSE),0),"")))</f>
        <v>4.5999999999999996</v>
      </c>
      <c r="AZ656" s="10" t="str">
        <f>IF(K656="","",
IF(AX656="PT",VLOOKUP(K656,Foundation_Calc!$K$79:$R$113,VLOOKUP(AW656,Foundation_Calc!$I$2:$J$8,2,FALSE),0),
IF(AX656="K",VLOOKUP(K656,Foundation_Calc!$K$117:$R$151,VLOOKUP(AW656,Foundation_Calc!$I$2:$J$8,2,FALSE),0),"")))</f>
        <v/>
      </c>
      <c r="BA656" s="495" t="str">
        <f t="shared" si="71"/>
        <v>ü</v>
      </c>
      <c r="BB656" s="495" t="str">
        <f t="shared" si="72"/>
        <v/>
      </c>
      <c r="BC656" s="495" t="str">
        <f t="shared" si="73"/>
        <v/>
      </c>
      <c r="BD656" s="513" t="str">
        <f>Pole_Calc!A$232</f>
        <v>App.7-V11I-P13.3</v>
      </c>
      <c r="BE656" s="429" t="s">
        <v>118</v>
      </c>
      <c r="BF656" s="289"/>
      <c r="BG656" s="289"/>
      <c r="BH656" s="290"/>
      <c r="BI656" s="289"/>
    </row>
    <row r="657" spans="1:61" ht="15.75" customHeight="1">
      <c r="A657" s="514"/>
      <c r="B657" s="450"/>
      <c r="C657" s="3"/>
      <c r="D657" s="83"/>
      <c r="E657" s="4"/>
      <c r="F657" s="4"/>
      <c r="G657" s="6">
        <v>48</v>
      </c>
      <c r="H657" s="449"/>
      <c r="I657" s="4"/>
      <c r="J657" s="3">
        <f>C656+7.5</f>
        <v>45787.590000000004</v>
      </c>
      <c r="K657" s="449" t="s">
        <v>166</v>
      </c>
      <c r="L657" s="449"/>
      <c r="M657" s="449" t="str">
        <f>IF(L657="","",
IF(AX657="PT",VLOOKUP(L657,Foundation_Calc!$V$79:$X$113,VLOOKUP(AX657,Foundation_Calc!$I$10:$J$13,2,FALSE),0),
IF(AX657="K",VLOOKUP(L657,Foundation_Calc!$V$117:$X$151,VLOOKUP(AX657,Foundation_Calc!$I$10:$J$13,2,FALSE),0),"")))</f>
        <v/>
      </c>
      <c r="N657" s="449"/>
      <c r="O657" s="449"/>
      <c r="P657" s="449"/>
      <c r="Q657" s="4"/>
      <c r="R657" s="6"/>
      <c r="S657" s="6"/>
      <c r="T657" s="4"/>
      <c r="U657" s="4"/>
      <c r="V657" s="4"/>
      <c r="W657" s="9"/>
      <c r="X657" s="9"/>
      <c r="Y657" s="9"/>
      <c r="Z657" s="9"/>
      <c r="AA657" s="9"/>
      <c r="AB657" s="9"/>
      <c r="AC657" s="449" t="str">
        <f t="shared" si="74"/>
        <v/>
      </c>
      <c r="AD657" s="449"/>
      <c r="AE657" s="449"/>
      <c r="AF657" s="4"/>
      <c r="AG657" s="83"/>
      <c r="AH657" s="4"/>
      <c r="AI657" s="4"/>
      <c r="AJ657" s="449"/>
      <c r="AK657" s="449"/>
      <c r="AL657" s="449"/>
      <c r="AM657" s="449"/>
      <c r="AN657" s="10"/>
      <c r="AO657" s="9"/>
      <c r="AP657" s="9"/>
      <c r="AQ657" s="9">
        <f>+FL_2($T$658,$T$656,$G$657,1200,9.28,-1*$F$658)</f>
        <v>-0.36022448799999995</v>
      </c>
      <c r="AR657" s="9"/>
      <c r="AS657" s="9"/>
      <c r="AT657" s="9"/>
      <c r="AU657" s="428"/>
      <c r="AV657" s="428"/>
      <c r="AW657" s="449" t="str">
        <f>IF(C657&gt;0,VLOOKUP(C657,Foundation_Calc!$A$2:$C$13,3,1),
IF(J657&gt;0,VLOOKUP(J657,Foundation_Calc!$A$2:$C$13,3,1),""))</f>
        <v>Multi Soil</v>
      </c>
      <c r="AX657" s="449" t="str">
        <f>IF(C657&gt;0,VLOOKUP(C657,Foundation_Calc!$E$2:$G$33,3,1),
IF(J657&gt;0,VLOOKUP(J657,Foundation_Calc!$E$2:$G$33,3,1),""))</f>
        <v>PT</v>
      </c>
      <c r="AY657" s="10" t="str">
        <f>IF(L657="","",
IF(AX657="PT",VLOOKUP(L657,Foundation_Calc!$K$79:$R$113,VLOOKUP(AW657,Foundation_Calc!$I$2:$J$8,2,FALSE),0),
IF(AX657="K",VLOOKUP(L657,Foundation_Calc!$K$117:$R$151,VLOOKUP(AW657,Foundation_Calc!$I$2:$J$8,2,FALSE),0),"")))</f>
        <v/>
      </c>
      <c r="AZ657" s="10">
        <f>IF(K657="","",
IF(AX657="PT",VLOOKUP(K657,Foundation_Calc!$K$79:$R$113,VLOOKUP(AW657,Foundation_Calc!$I$2:$J$8,2,FALSE),0),
IF(AX657="K",VLOOKUP(K657,Foundation_Calc!$K$117:$R$151,VLOOKUP(AW657,Foundation_Calc!$I$2:$J$8,2,FALSE),0),"")))</f>
        <v>2.8</v>
      </c>
      <c r="BA657" s="495" t="str">
        <f t="shared" si="71"/>
        <v/>
      </c>
      <c r="BB657" s="495" t="str">
        <f t="shared" si="72"/>
        <v>ü</v>
      </c>
      <c r="BC657" s="495" t="str">
        <f t="shared" si="73"/>
        <v/>
      </c>
      <c r="BD657" s="513" t="str">
        <f>IF(AND(L657="",H657=""),"",
IF(H657="",Pole_Calc!A$9,
IF(H657="MP",Pole_Calc!A$10,
IF(H657="AnMP",Pole_Calc!A$11,
IF(H657="A",Pole_Calc!A$12,
IF(H657="S/A",Pole_Calc!A$13,
IF(H657="A/S",Pole_Calc!A$14,"Poner a mano")))))))</f>
        <v/>
      </c>
      <c r="BE657" s="429" t="s">
        <v>118</v>
      </c>
      <c r="BF657" s="290"/>
      <c r="BG657" s="290"/>
      <c r="BH657" s="290"/>
      <c r="BI657" s="290"/>
    </row>
    <row r="658" spans="1:61" ht="15.75" customHeight="1">
      <c r="A658" s="514"/>
      <c r="B658" s="720" t="s">
        <v>572</v>
      </c>
      <c r="C658" s="3">
        <f>+$C$656+$G$657</f>
        <v>45828.090000000004</v>
      </c>
      <c r="D658" s="83"/>
      <c r="E658" s="4"/>
      <c r="F658" s="4">
        <f>IF(C658&gt;0,VLOOKUP(C658,'ALIGNMENT TRACK'!$A$1:$K$81,9,1))</f>
        <v>0</v>
      </c>
      <c r="G658" s="6"/>
      <c r="H658" s="449"/>
      <c r="I658" s="4"/>
      <c r="J658" s="3"/>
      <c r="K658" s="449"/>
      <c r="L658" s="449" t="s">
        <v>183</v>
      </c>
      <c r="M658" s="449" t="str">
        <f>IF(L658="","",
IF(AX658="PT",VLOOKUP(L658,Foundation_Calc!$V$79:$X$113,VLOOKUP(AX658,Foundation_Calc!$I$10:$J$13,2,FALSE),0),
IF(AX658="K",VLOOKUP(L658,Foundation_Calc!$V$117:$X$151,VLOOKUP(AX658,Foundation_Calc!$I$10:$J$13,2,FALSE),0),"")))</f>
        <v>2C3R</v>
      </c>
      <c r="N658" s="449" t="s">
        <v>124</v>
      </c>
      <c r="O658" s="449"/>
      <c r="P658" s="449"/>
      <c r="Q658" s="4"/>
      <c r="R658" s="6"/>
      <c r="S658" s="6"/>
      <c r="T658" s="4">
        <v>-35</v>
      </c>
      <c r="U658" s="4"/>
      <c r="V658" s="4"/>
      <c r="W658" s="9">
        <v>1.4</v>
      </c>
      <c r="X658" s="9"/>
      <c r="Y658" s="9"/>
      <c r="Z658" s="9"/>
      <c r="AA658" s="9"/>
      <c r="AB658" s="9"/>
      <c r="AC658" s="449" t="str">
        <f t="shared" si="74"/>
        <v>PH</v>
      </c>
      <c r="AD658" s="449"/>
      <c r="AE658" s="449"/>
      <c r="AF658" s="4"/>
      <c r="AG658" s="83"/>
      <c r="AH658" s="4"/>
      <c r="AI658" s="4"/>
      <c r="AJ658" s="449"/>
      <c r="AK658" s="449"/>
      <c r="AL658" s="449"/>
      <c r="AM658" s="449" t="s">
        <v>552</v>
      </c>
      <c r="AN658" s="10">
        <v>5.5</v>
      </c>
      <c r="AO658" s="9"/>
      <c r="AP658" s="9"/>
      <c r="AQ658" s="9"/>
      <c r="AR658" s="9"/>
      <c r="AS658" s="9"/>
      <c r="AT658" s="9">
        <f>+ab($T$658,$T$656,$T$660,$G$657,$G$659,-1*$F$658,1200)</f>
        <v>-12.301675174128718</v>
      </c>
      <c r="AU658" s="428"/>
      <c r="AV658" s="428"/>
      <c r="AW658" s="449" t="str">
        <f>IF(C658&gt;0,VLOOKUP(C658,Foundation_Calc!$A$2:$C$13,3,1),
IF(J658&gt;0,VLOOKUP(J658,Foundation_Calc!$A$2:$C$13,3,1),""))</f>
        <v>Multi Soil</v>
      </c>
      <c r="AX658" s="449" t="str">
        <f>IF(C658&gt;0,VLOOKUP(C658,Foundation_Calc!$E$2:$G$33,3,1),
IF(J658&gt;0,VLOOKUP(J658,Foundation_Calc!$E$2:$G$33,3,1),""))</f>
        <v>PT</v>
      </c>
      <c r="AY658" s="10">
        <f>IF(L658="","",
IF(AX658="PT",VLOOKUP(L658,Foundation_Calc!$K$79:$R$113,VLOOKUP(AW658,Foundation_Calc!$I$2:$J$8,2,FALSE),0),
IF(AX658="K",VLOOKUP(L658,Foundation_Calc!$K$117:$R$151,VLOOKUP(AW658,Foundation_Calc!$I$2:$J$8,2,FALSE),0),"")))</f>
        <v>3.7</v>
      </c>
      <c r="AZ658" s="10" t="str">
        <f>IF(K658="","",
IF(AX658="PT",VLOOKUP(K658,Foundation_Calc!$K$79:$R$113,VLOOKUP(AW658,Foundation_Calc!$I$2:$J$8,2,FALSE),0),
IF(AX658="K",VLOOKUP(K658,Foundation_Calc!$K$117:$R$151,VLOOKUP(AW658,Foundation_Calc!$I$2:$J$8,2,FALSE),0),"")))</f>
        <v/>
      </c>
      <c r="BA658" s="495" t="str">
        <f t="shared" si="71"/>
        <v>ü</v>
      </c>
      <c r="BB658" s="495" t="str">
        <f t="shared" si="72"/>
        <v/>
      </c>
      <c r="BC658" s="495" t="str">
        <f t="shared" si="73"/>
        <v/>
      </c>
      <c r="BD658" s="513" t="str">
        <f>Pole_Calc!A$13</f>
        <v>App.7-V11I-P9.5.1.5</v>
      </c>
      <c r="BE658" s="429" t="s">
        <v>118</v>
      </c>
      <c r="BF658" s="289"/>
      <c r="BG658" s="289"/>
      <c r="BH658" s="290"/>
      <c r="BI658" s="289"/>
    </row>
    <row r="659" spans="1:61" ht="15.75" customHeight="1">
      <c r="A659" s="514"/>
      <c r="B659" s="450"/>
      <c r="C659" s="3"/>
      <c r="D659" s="83"/>
      <c r="E659" s="4"/>
      <c r="F659" s="4"/>
      <c r="G659" s="6">
        <v>64.5</v>
      </c>
      <c r="H659" s="449"/>
      <c r="I659" s="4"/>
      <c r="J659" s="3"/>
      <c r="K659" s="449"/>
      <c r="L659" s="449"/>
      <c r="M659" s="449" t="str">
        <f>IF(L659="","",
IF(AX659="PT",VLOOKUP(L659,Foundation_Calc!$V$79:$X$113,VLOOKUP(AX659,Foundation_Calc!$I$10:$J$13,2,FALSE),0),
IF(AX659="K",VLOOKUP(L659,Foundation_Calc!$V$117:$X$151,VLOOKUP(AX659,Foundation_Calc!$I$10:$J$13,2,FALSE),0),"")))</f>
        <v/>
      </c>
      <c r="N659" s="449"/>
      <c r="O659" s="449"/>
      <c r="P659" s="449"/>
      <c r="Q659" s="4"/>
      <c r="R659" s="6"/>
      <c r="S659" s="6"/>
      <c r="T659" s="4"/>
      <c r="U659" s="4"/>
      <c r="V659" s="4"/>
      <c r="W659" s="9"/>
      <c r="X659" s="9"/>
      <c r="Y659" s="9"/>
      <c r="Z659" s="9"/>
      <c r="AA659" s="9"/>
      <c r="AB659" s="9"/>
      <c r="AC659" s="449" t="str">
        <f t="shared" si="74"/>
        <v/>
      </c>
      <c r="AD659" s="449"/>
      <c r="AE659" s="449"/>
      <c r="AF659" s="4"/>
      <c r="AG659" s="83"/>
      <c r="AH659" s="4"/>
      <c r="AI659" s="4"/>
      <c r="AJ659" s="449"/>
      <c r="AK659" s="449"/>
      <c r="AL659" s="449"/>
      <c r="AM659" s="449"/>
      <c r="AN659" s="10"/>
      <c r="AO659" s="9"/>
      <c r="AP659" s="9"/>
      <c r="AQ659" s="9">
        <f>+FL_2(-$T$660,$T$658,$G$659,1200,9.28,-1*$F$660)</f>
        <v>-0.49281896285271309</v>
      </c>
      <c r="AR659" s="9"/>
      <c r="AS659" s="9"/>
      <c r="AT659" s="9"/>
      <c r="AU659" s="428"/>
      <c r="AV659" s="428"/>
      <c r="AW659" s="449" t="str">
        <f>IF(C659&gt;0,VLOOKUP(C659,Foundation_Calc!$A$2:$C$13,3,1),
IF(J659&gt;0,VLOOKUP(J659,Foundation_Calc!$A$2:$C$13,3,1),""))</f>
        <v/>
      </c>
      <c r="AX659" s="449" t="str">
        <f>IF(C659&gt;0,VLOOKUP(C659,Foundation_Calc!$E$2:$G$33,3,1),
IF(J659&gt;0,VLOOKUP(J659,Foundation_Calc!$E$2:$G$33,3,1),""))</f>
        <v/>
      </c>
      <c r="AY659" s="10" t="str">
        <f>IF(L659="","",
IF(AX659="PT",VLOOKUP(L659,Foundation_Calc!$K$79:$R$113,VLOOKUP(AW659,Foundation_Calc!$I$2:$J$8,2,FALSE),0),
IF(AX659="K",VLOOKUP(L659,Foundation_Calc!$K$117:$R$151,VLOOKUP(AW659,Foundation_Calc!$I$2:$J$8,2,FALSE),0),"")))</f>
        <v/>
      </c>
      <c r="AZ659" s="10" t="str">
        <f>IF(K659="","",
IF(AX659="PT",VLOOKUP(K659,Foundation_Calc!$K$79:$R$113,VLOOKUP(AW659,Foundation_Calc!$I$2:$J$8,2,FALSE),0),
IF(AX659="K",VLOOKUP(K659,Foundation_Calc!$K$117:$R$151,VLOOKUP(AW659,Foundation_Calc!$I$2:$J$8,2,FALSE),0),"")))</f>
        <v/>
      </c>
      <c r="BA659" s="495" t="str">
        <f t="shared" si="71"/>
        <v/>
      </c>
      <c r="BB659" s="495" t="str">
        <f t="shared" si="72"/>
        <v/>
      </c>
      <c r="BC659" s="495" t="str">
        <f t="shared" si="73"/>
        <v/>
      </c>
      <c r="BD659" s="513" t="str">
        <f>IF(AND(L659="",H659=""),"",
IF(H659="",Pole_Calc!A$9,
IF(H659="MP",Pole_Calc!A$10,
IF(H659="AnMP",Pole_Calc!A$11,
IF(H659="A",Pole_Calc!A$12,
IF(H659="S/A",Pole_Calc!A$13,
IF(H659="A/S",Pole_Calc!A$14,"Poner a mano")))))))</f>
        <v/>
      </c>
      <c r="BE659" s="429" t="s">
        <v>118</v>
      </c>
      <c r="BF659" s="290"/>
      <c r="BG659" s="290"/>
      <c r="BH659" s="290"/>
      <c r="BI659" s="290"/>
    </row>
    <row r="660" spans="1:61" ht="15.75" customHeight="1">
      <c r="A660" s="518"/>
      <c r="B660" s="450" t="s">
        <v>573</v>
      </c>
      <c r="C660" s="3">
        <f>+$C$658+$G$659</f>
        <v>45892.590000000004</v>
      </c>
      <c r="D660" s="83"/>
      <c r="E660" s="4"/>
      <c r="F660" s="4">
        <f>IF(C660&gt;0,VLOOKUP(C660,'ALIGNMENT TRACK'!$A$1:$K$81,9,1))</f>
        <v>0</v>
      </c>
      <c r="G660" s="6"/>
      <c r="H660" s="449"/>
      <c r="I660" s="4"/>
      <c r="J660" s="3"/>
      <c r="K660" s="449"/>
      <c r="L660" s="449" t="s">
        <v>201</v>
      </c>
      <c r="M660" s="449" t="s">
        <v>201</v>
      </c>
      <c r="N660" s="449" t="s">
        <v>343</v>
      </c>
      <c r="O660" s="449"/>
      <c r="P660" s="449"/>
      <c r="Q660" s="4"/>
      <c r="R660" s="6"/>
      <c r="S660" s="6"/>
      <c r="T660" s="4">
        <v>-30</v>
      </c>
      <c r="U660" s="4"/>
      <c r="V660" s="4"/>
      <c r="W660" s="9">
        <v>1.4</v>
      </c>
      <c r="X660" s="9"/>
      <c r="Y660" s="9"/>
      <c r="Z660" s="9"/>
      <c r="AA660" s="9"/>
      <c r="AB660" s="9"/>
      <c r="AC660" s="449" t="str">
        <f t="shared" si="74"/>
        <v>PH</v>
      </c>
      <c r="AD660" s="449"/>
      <c r="AE660" s="449"/>
      <c r="AF660" s="4"/>
      <c r="AG660" s="83"/>
      <c r="AH660" s="4"/>
      <c r="AI660" s="4"/>
      <c r="AJ660" s="449"/>
      <c r="AK660" s="449" t="s">
        <v>344</v>
      </c>
      <c r="AL660" s="449"/>
      <c r="AM660" s="449" t="s">
        <v>574</v>
      </c>
      <c r="AN660" s="10">
        <v>5.5</v>
      </c>
      <c r="AO660" s="9"/>
      <c r="AP660" s="9"/>
      <c r="AQ660" s="9"/>
      <c r="AR660" s="9"/>
      <c r="AS660" s="9"/>
      <c r="AT660" s="9">
        <f>+ab(-$T$660,$T$658,$T$662,$G$659,$G$661,-1*$F$660,1200)</f>
        <v>9.1204170267269813</v>
      </c>
      <c r="AU660" s="428"/>
      <c r="AV660" s="428"/>
      <c r="AW660" s="449"/>
      <c r="AX660" s="449"/>
      <c r="AY660" s="10" t="str">
        <f>IF(L660="","",
IF(AX660="PT",VLOOKUP(L660,Foundation_Calc!$K$79:$R$113,VLOOKUP(AW660,Foundation_Calc!$I$2:$J$8,2,FALSE),0),
IF(AX660="K",VLOOKUP(L660,Foundation_Calc!$K$117:$R$151,VLOOKUP(AW660,Foundation_Calc!$I$2:$J$8,2,FALSE),0),"")))</f>
        <v/>
      </c>
      <c r="AZ660" s="10" t="str">
        <f>IF(K660="","",
IF(AX660="PT",VLOOKUP(K660,Foundation_Calc!$K$79:$R$113,VLOOKUP(AW660,Foundation_Calc!$I$2:$J$8,2,FALSE),0),
IF(AX660="K",VLOOKUP(K660,Foundation_Calc!$K$117:$R$151,VLOOKUP(AW660,Foundation_Calc!$I$2:$J$8,2,FALSE),0),"")))</f>
        <v/>
      </c>
      <c r="BA660" s="495" t="str">
        <f t="shared" si="71"/>
        <v/>
      </c>
      <c r="BB660" s="495" t="str">
        <f t="shared" si="72"/>
        <v/>
      </c>
      <c r="BC660" s="495" t="str">
        <f t="shared" si="73"/>
        <v/>
      </c>
      <c r="BD660" s="513" t="str">
        <f>IF(AND(L660="",H660=""),"",
IF(H660="",Pole_Calc!A$9,
IF(H660="MP",Pole_Calc!A$10,
IF(H660="AnMP",Pole_Calc!A$11,
IF(H660="A",Pole_Calc!A$12,
IF(H660="S/A",Pole_Calc!A$13,
IF(H660="A/S",Pole_Calc!A$14,"Poner a mano")))))))</f>
        <v>App.7-V11I-P9.5.1.1</v>
      </c>
      <c r="BE660" s="429" t="s">
        <v>118</v>
      </c>
      <c r="BF660" s="289"/>
      <c r="BG660" s="289"/>
      <c r="BH660" s="290"/>
      <c r="BI660" s="289"/>
    </row>
    <row r="661" spans="1:61" ht="15.75" customHeight="1">
      <c r="A661" s="518"/>
      <c r="B661" s="450"/>
      <c r="C661" s="3"/>
      <c r="D661" s="83"/>
      <c r="E661" s="4"/>
      <c r="F661" s="4"/>
      <c r="G661" s="6">
        <v>51</v>
      </c>
      <c r="H661" s="449"/>
      <c r="I661" s="4"/>
      <c r="J661" s="3">
        <f>C662-7.5</f>
        <v>45936.090000000004</v>
      </c>
      <c r="K661" s="449" t="s">
        <v>117</v>
      </c>
      <c r="L661" s="449"/>
      <c r="M661" s="449" t="str">
        <f>IF(L661="","",
IF(AX661="PT",VLOOKUP(L661,Foundation_Calc!$V$79:$X$113,VLOOKUP(AX661,Foundation_Calc!$I$10:$J$13,2,FALSE),0),
IF(AX661="K",VLOOKUP(L661,Foundation_Calc!$V$117:$X$151,VLOOKUP(AX661,Foundation_Calc!$I$10:$J$13,2,FALSE),0),"")))</f>
        <v/>
      </c>
      <c r="N661" s="449"/>
      <c r="O661" s="449"/>
      <c r="P661" s="449"/>
      <c r="Q661" s="4"/>
      <c r="R661" s="6"/>
      <c r="S661" s="6"/>
      <c r="T661" s="4"/>
      <c r="U661" s="4"/>
      <c r="V661" s="4"/>
      <c r="W661" s="9"/>
      <c r="X661" s="9"/>
      <c r="Y661" s="9"/>
      <c r="Z661" s="9"/>
      <c r="AA661" s="9"/>
      <c r="AB661" s="9"/>
      <c r="AC661" s="449" t="str">
        <f t="shared" si="74"/>
        <v/>
      </c>
      <c r="AD661" s="449"/>
      <c r="AE661" s="449"/>
      <c r="AF661" s="4"/>
      <c r="AG661" s="83"/>
      <c r="AH661" s="4"/>
      <c r="AI661" s="4"/>
      <c r="AJ661" s="449"/>
      <c r="AK661" s="449"/>
      <c r="AL661" s="449"/>
      <c r="AM661" s="449"/>
      <c r="AN661" s="10"/>
      <c r="AO661" s="9"/>
      <c r="AP661" s="9"/>
      <c r="AQ661" s="9">
        <f>+FL_1($T$662,-$T$660,$G$661,1200,9.28,-1*$F$662)</f>
        <v>0.35162487647058832</v>
      </c>
      <c r="AR661" s="9"/>
      <c r="AS661" s="9"/>
      <c r="AT661" s="9"/>
      <c r="AU661" s="428"/>
      <c r="AV661" s="428"/>
      <c r="AW661" s="449" t="str">
        <f>IF(C661&gt;0,VLOOKUP(C661,Foundation_Calc!$A$2:$C$13,3,1),
IF(J661&gt;0,VLOOKUP(J661,Foundation_Calc!$A$2:$C$13,3,1),""))</f>
        <v>Multi Soil</v>
      </c>
      <c r="AX661" s="449" t="str">
        <f>IF(C661&gt;0,VLOOKUP(C661,Foundation_Calc!$E$2:$G$33,3,1),
IF(J661&gt;0,VLOOKUP(J661,Foundation_Calc!$E$2:$G$33,3,1),""))</f>
        <v>PT</v>
      </c>
      <c r="AY661" s="10" t="str">
        <f>IF(L661="","",
IF(AX661="PT",VLOOKUP(L661,Foundation_Calc!$K$79:$R$113,VLOOKUP(AW661,Foundation_Calc!$I$2:$J$8,2,FALSE),0),
IF(AX661="K",VLOOKUP(L661,Foundation_Calc!$K$117:$R$151,VLOOKUP(AW661,Foundation_Calc!$I$2:$J$8,2,FALSE),0),"")))</f>
        <v/>
      </c>
      <c r="AZ661" s="10">
        <f>IF(K661="","",
IF(AX661="PT",VLOOKUP(K661,Foundation_Calc!$K$79:$R$113,VLOOKUP(AW661,Foundation_Calc!$I$2:$J$8,2,FALSE),0),
IF(AX661="K",VLOOKUP(K661,Foundation_Calc!$K$117:$R$151,VLOOKUP(AW661,Foundation_Calc!$I$2:$J$8,2,FALSE),0),"")))</f>
        <v>3.9</v>
      </c>
      <c r="BA661" s="495" t="str">
        <f t="shared" si="71"/>
        <v/>
      </c>
      <c r="BB661" s="495" t="str">
        <f t="shared" si="72"/>
        <v>ü</v>
      </c>
      <c r="BC661" s="495" t="str">
        <f t="shared" si="73"/>
        <v/>
      </c>
      <c r="BD661" s="513" t="str">
        <f>IF(AND(L661="",H661=""),"",
IF(H661="",Pole_Calc!A$9,
IF(H661="MP",Pole_Calc!A$10,
IF(H661="AnMP",Pole_Calc!A$11,
IF(H661="A",Pole_Calc!A$12,
IF(H661="S/A",Pole_Calc!A$13,
IF(H661="A/S",Pole_Calc!A$14,"Poner a mano")))))))</f>
        <v/>
      </c>
      <c r="BE661" s="429" t="s">
        <v>118</v>
      </c>
      <c r="BF661" s="290"/>
      <c r="BG661" s="290"/>
      <c r="BH661" s="290"/>
      <c r="BI661" s="290"/>
    </row>
    <row r="662" spans="1:61" ht="15.75" customHeight="1">
      <c r="A662" s="514"/>
      <c r="B662" s="450" t="s">
        <v>575</v>
      </c>
      <c r="C662" s="3">
        <f>+$C$660+$G$661</f>
        <v>45943.590000000004</v>
      </c>
      <c r="D662" s="83"/>
      <c r="E662" s="4"/>
      <c r="F662" s="4">
        <f>IF(C662&gt;0,VLOOKUP(C662,'ALIGNMENT TRACK'!$A$1:$K$81,9,1))</f>
        <v>0</v>
      </c>
      <c r="G662" s="6"/>
      <c r="H662" s="449" t="s">
        <v>121</v>
      </c>
      <c r="I662" s="4" t="s">
        <v>122</v>
      </c>
      <c r="J662" s="3"/>
      <c r="K662" s="449"/>
      <c r="L662" s="449" t="s">
        <v>151</v>
      </c>
      <c r="M662" s="449" t="str">
        <f>IF(L662="","",
IF(AX662="PT",VLOOKUP(L662,Foundation_Calc!$V$79:$X$113,VLOOKUP(AX662,Foundation_Calc!$I$10:$J$13,2,FALSE),0),
IF(AX662="K",VLOOKUP(L662,Foundation_Calc!$V$117:$X$151,VLOOKUP(AX662,Foundation_Calc!$I$10:$J$13,2,FALSE),0),"")))</f>
        <v>C4R</v>
      </c>
      <c r="N662" s="449" t="s">
        <v>124</v>
      </c>
      <c r="O662" s="449"/>
      <c r="P662" s="449"/>
      <c r="Q662" s="4"/>
      <c r="R662" s="6"/>
      <c r="S662" s="6"/>
      <c r="T662" s="4">
        <v>-25</v>
      </c>
      <c r="U662" s="4"/>
      <c r="V662" s="4"/>
      <c r="W662" s="9">
        <v>1.4</v>
      </c>
      <c r="X662" s="9"/>
      <c r="Y662" s="9"/>
      <c r="Z662" s="9"/>
      <c r="AA662" s="9"/>
      <c r="AB662" s="9"/>
      <c r="AC662" s="449" t="str">
        <f t="shared" si="74"/>
        <v>PH</v>
      </c>
      <c r="AD662" s="449"/>
      <c r="AE662" s="449"/>
      <c r="AF662" s="4"/>
      <c r="AG662" s="83"/>
      <c r="AH662" s="4"/>
      <c r="AI662" s="4"/>
      <c r="AJ662" s="449"/>
      <c r="AK662" s="449"/>
      <c r="AL662" s="449"/>
      <c r="AM662" s="449" t="s">
        <v>552</v>
      </c>
      <c r="AN662" s="10">
        <v>5.5</v>
      </c>
      <c r="AO662" s="9"/>
      <c r="AP662" s="9"/>
      <c r="AQ662" s="9"/>
      <c r="AR662" s="9"/>
      <c r="AS662" s="9"/>
      <c r="AT662" s="9">
        <f>+ab($T$662,-$T$660,$U$664,$G$661,$G$663,-1*$F$662,1200)</f>
        <v>-10.665116951247322</v>
      </c>
      <c r="AU662" s="428"/>
      <c r="AV662" s="428"/>
      <c r="AW662" s="449" t="str">
        <f>IF(C662&gt;0,VLOOKUP(C662,Foundation_Calc!$A$2:$C$13,3,1),
IF(J662&gt;0,VLOOKUP(J662,Foundation_Calc!$A$2:$C$13,3,1),""))</f>
        <v>Multi Soil</v>
      </c>
      <c r="AX662" s="449" t="str">
        <f>IF(C662&gt;0,VLOOKUP(C662,Foundation_Calc!$E$2:$G$33,3,1),
IF(J662&gt;0,VLOOKUP(J662,Foundation_Calc!$E$2:$G$33,3,1),""))</f>
        <v>PT</v>
      </c>
      <c r="AY662" s="10">
        <f>IF(L662="","",
IF(AX662="PT",VLOOKUP(L662,Foundation_Calc!$K$79:$R$113,VLOOKUP(AW662,Foundation_Calc!$I$2:$J$8,2,FALSE),0),
IF(AX662="K",VLOOKUP(L662,Foundation_Calc!$K$117:$R$151,VLOOKUP(AW662,Foundation_Calc!$I$2:$J$8,2,FALSE),0),"")))</f>
        <v>3.5</v>
      </c>
      <c r="AZ662" s="10" t="str">
        <f>IF(K662="","",
IF(AX662="PT",VLOOKUP(K662,Foundation_Calc!$K$79:$R$113,VLOOKUP(AW662,Foundation_Calc!$I$2:$J$8,2,FALSE),0),
IF(AX662="K",VLOOKUP(K662,Foundation_Calc!$K$117:$R$151,VLOOKUP(AW662,Foundation_Calc!$I$2:$J$8,2,FALSE),0),"")))</f>
        <v/>
      </c>
      <c r="BA662" s="495" t="str">
        <f t="shared" si="71"/>
        <v>ü</v>
      </c>
      <c r="BB662" s="495" t="str">
        <f t="shared" si="72"/>
        <v/>
      </c>
      <c r="BC662" s="495" t="str">
        <f t="shared" si="73"/>
        <v/>
      </c>
      <c r="BD662" s="513" t="str">
        <f>IF(AND(L662="",H662=""),"",
IF(H662="",Pole_Calc!A$9,
IF(H662="MP",Pole_Calc!A$10,
IF(H662="AnMP",Pole_Calc!A$11,
IF(H662="A",Pole_Calc!A$12,
IF(H662="S/A",Pole_Calc!A$13,
IF(H662="A/S",Pole_Calc!A$14,"Poner a mano")))))))</f>
        <v>App.7-V11I-P9.5.1.6</v>
      </c>
      <c r="BE662" s="429" t="s">
        <v>118</v>
      </c>
      <c r="BF662" s="289"/>
      <c r="BG662" s="289"/>
      <c r="BH662" s="290"/>
      <c r="BI662" s="289"/>
    </row>
    <row r="663" spans="1:61" ht="15.75" customHeight="1">
      <c r="A663" s="514"/>
      <c r="B663" s="450"/>
      <c r="C663" s="3"/>
      <c r="D663" s="83"/>
      <c r="E663" s="4"/>
      <c r="F663" s="4"/>
      <c r="G663" s="6">
        <v>50</v>
      </c>
      <c r="H663" s="449"/>
      <c r="I663" s="4" t="s">
        <v>549</v>
      </c>
      <c r="J663" s="3">
        <f>C664-7.5</f>
        <v>45986.090000000004</v>
      </c>
      <c r="K663" s="449" t="s">
        <v>166</v>
      </c>
      <c r="L663" s="449"/>
      <c r="M663" s="449" t="str">
        <f>IF(L663="","",
IF(AX663="PT",VLOOKUP(L663,Foundation_Calc!$V$79:$X$113,VLOOKUP(AX663,Foundation_Calc!$I$10:$J$13,2,FALSE),0),
IF(AX663="K",VLOOKUP(L663,Foundation_Calc!$V$117:$X$151,VLOOKUP(AX663,Foundation_Calc!$I$10:$J$13,2,FALSE),0),"")))</f>
        <v/>
      </c>
      <c r="N663" s="449"/>
      <c r="O663" s="449"/>
      <c r="P663" s="449"/>
      <c r="Q663" s="4"/>
      <c r="R663" s="6"/>
      <c r="S663" s="6"/>
      <c r="T663" s="4"/>
      <c r="U663" s="4"/>
      <c r="V663" s="4"/>
      <c r="W663" s="9"/>
      <c r="X663" s="9"/>
      <c r="Y663" s="9"/>
      <c r="Z663" s="9"/>
      <c r="AA663" s="9"/>
      <c r="AB663" s="9"/>
      <c r="AC663" s="449" t="str">
        <f t="shared" si="74"/>
        <v/>
      </c>
      <c r="AD663" s="449"/>
      <c r="AE663" s="449"/>
      <c r="AF663" s="4"/>
      <c r="AG663" s="83"/>
      <c r="AH663" s="4"/>
      <c r="AI663" s="4"/>
      <c r="AJ663" s="449"/>
      <c r="AK663" s="449"/>
      <c r="AL663" s="449"/>
      <c r="AM663" s="449"/>
      <c r="AN663" s="10"/>
      <c r="AO663" s="9"/>
      <c r="AP663" s="9"/>
      <c r="AQ663" s="9">
        <f>+FL_2($U$664,$T$662,$G$663,1200,9.28,-1*$F$664)</f>
        <v>-0.34834769999999993</v>
      </c>
      <c r="AR663" s="9"/>
      <c r="AS663" s="9"/>
      <c r="AT663" s="9"/>
      <c r="AU663" s="428"/>
      <c r="AV663" s="428"/>
      <c r="AW663" s="449" t="str">
        <f>IF(C663&gt;0,VLOOKUP(C663,Foundation_Calc!$A$2:$C$13,3,1),
IF(J663&gt;0,VLOOKUP(J663,Foundation_Calc!$A$2:$C$13,3,1),""))</f>
        <v>Multi Soil</v>
      </c>
      <c r="AX663" s="449" t="str">
        <f>IF(C663&gt;0,VLOOKUP(C663,Foundation_Calc!$E$2:$G$33,3,1),
IF(J663&gt;0,VLOOKUP(J663,Foundation_Calc!$E$2:$G$33,3,1),""))</f>
        <v>PT</v>
      </c>
      <c r="AY663" s="10" t="str">
        <f>IF(L663="","",
IF(AX663="PT",VLOOKUP(L663,Foundation_Calc!$K$79:$R$113,VLOOKUP(AW663,Foundation_Calc!$I$2:$J$8,2,FALSE),0),
IF(AX663="K",VLOOKUP(L663,Foundation_Calc!$K$117:$R$151,VLOOKUP(AW663,Foundation_Calc!$I$2:$J$8,2,FALSE),0),"")))</f>
        <v/>
      </c>
      <c r="AZ663" s="10">
        <f>IF(K663="","",
IF(AX663="PT",VLOOKUP(K663,Foundation_Calc!$K$79:$R$113,VLOOKUP(AW663,Foundation_Calc!$I$2:$J$8,2,FALSE),0),
IF(AX663="K",VLOOKUP(K663,Foundation_Calc!$K$117:$R$151,VLOOKUP(AW663,Foundation_Calc!$I$2:$J$8,2,FALSE),0),"")))</f>
        <v>2.8</v>
      </c>
      <c r="BA663" s="495" t="str">
        <f t="shared" si="71"/>
        <v/>
      </c>
      <c r="BB663" s="495" t="str">
        <f t="shared" si="72"/>
        <v>ü</v>
      </c>
      <c r="BC663" s="495" t="str">
        <f t="shared" si="73"/>
        <v/>
      </c>
      <c r="BD663" s="513" t="str">
        <f>IF(AND(L663="",H663=""),"",
IF(H663="",Pole_Calc!A$9,
IF(H663="MP",Pole_Calc!A$10,
IF(H663="AnMP",Pole_Calc!A$11,
IF(H663="A",Pole_Calc!A$12,
IF(H663="S/A",Pole_Calc!A$13,
IF(H663="A/S",Pole_Calc!A$14,"Poner a mano")))))))</f>
        <v/>
      </c>
      <c r="BE663" s="429" t="s">
        <v>118</v>
      </c>
      <c r="BF663" s="290"/>
      <c r="BG663" s="290"/>
      <c r="BH663" s="290"/>
      <c r="BI663" s="290"/>
    </row>
    <row r="664" spans="1:61" ht="15.75" customHeight="1">
      <c r="A664" s="514"/>
      <c r="B664" s="450" t="s">
        <v>576</v>
      </c>
      <c r="C664" s="3">
        <f>+$C$662+$G$663</f>
        <v>45993.590000000004</v>
      </c>
      <c r="D664" s="83"/>
      <c r="E664" s="4"/>
      <c r="F664" s="4">
        <f>IF(C664&gt;0,VLOOKUP(C664,'ALIGNMENT TRACK'!$A$1:$K$81,9,1))</f>
        <v>0</v>
      </c>
      <c r="G664" s="6"/>
      <c r="H664" s="449" t="s">
        <v>131</v>
      </c>
      <c r="I664" s="4" t="s">
        <v>549</v>
      </c>
      <c r="J664" s="3"/>
      <c r="K664" s="449"/>
      <c r="L664" s="449" t="s">
        <v>183</v>
      </c>
      <c r="M664" s="449" t="str">
        <f>IF(L664="","",
IF(AX664="PT",VLOOKUP(L664,Foundation_Calc!$V$79:$X$113,VLOOKUP(AX664,Foundation_Calc!$I$10:$J$13,2,FALSE),0),
IF(AX664="K",VLOOKUP(L664,Foundation_Calc!$V$117:$X$151,VLOOKUP(AX664,Foundation_Calc!$I$10:$J$13,2,FALSE),0),"")))</f>
        <v>2C3R</v>
      </c>
      <c r="N664" s="449" t="s">
        <v>133</v>
      </c>
      <c r="O664" s="449" t="s">
        <v>134</v>
      </c>
      <c r="P664" s="449"/>
      <c r="Q664" s="4"/>
      <c r="R664" s="6"/>
      <c r="S664" s="6"/>
      <c r="T664" s="4">
        <v>55</v>
      </c>
      <c r="U664" s="4">
        <v>10</v>
      </c>
      <c r="V664" s="4"/>
      <c r="W664" s="9">
        <v>1.4</v>
      </c>
      <c r="X664" s="9">
        <v>2.2999999999999998</v>
      </c>
      <c r="Y664" s="9"/>
      <c r="Z664" s="9">
        <v>0.4</v>
      </c>
      <c r="AA664" s="9"/>
      <c r="AB664" s="9"/>
      <c r="AC664" s="449"/>
      <c r="AD664" s="449"/>
      <c r="AE664" s="449"/>
      <c r="AF664" s="4"/>
      <c r="AG664" s="83"/>
      <c r="AH664" s="4"/>
      <c r="AI664" s="4"/>
      <c r="AJ664" s="449"/>
      <c r="AK664" s="449"/>
      <c r="AL664" s="449"/>
      <c r="AM664" s="449" t="s">
        <v>552</v>
      </c>
      <c r="AN664" s="10">
        <v>5.5</v>
      </c>
      <c r="AO664" s="9"/>
      <c r="AP664" s="9"/>
      <c r="AQ664" s="9"/>
      <c r="AR664" s="9"/>
      <c r="AS664" s="9"/>
      <c r="AT664" s="9">
        <f>+ab($U$664,$T$662,$U$666,$G$663,$G$665,-1*$F$664,1200)</f>
        <v>9.5064042074471988</v>
      </c>
      <c r="AU664" s="428"/>
      <c r="AV664" s="428"/>
      <c r="AW664" s="449" t="str">
        <f>IF(C664&gt;0,VLOOKUP(C664,Foundation_Calc!$A$2:$C$13,3,1),
IF(J664&gt;0,VLOOKUP(J664,Foundation_Calc!$A$2:$C$13,3,1),""))</f>
        <v>Multi Soil</v>
      </c>
      <c r="AX664" s="449" t="str">
        <f>IF(C664&gt;0,VLOOKUP(C664,Foundation_Calc!$E$2:$G$33,3,1),
IF(J664&gt;0,VLOOKUP(J664,Foundation_Calc!$E$2:$G$33,3,1),""))</f>
        <v>PT</v>
      </c>
      <c r="AY664" s="10">
        <f>IF(L664="","",
IF(AX664="PT",VLOOKUP(L664,Foundation_Calc!$K$79:$R$113,VLOOKUP(AW664,Foundation_Calc!$I$2:$J$8,2,FALSE),0),
IF(AX664="K",VLOOKUP(L664,Foundation_Calc!$K$117:$R$151,VLOOKUP(AW664,Foundation_Calc!$I$2:$J$8,2,FALSE),0),"")))</f>
        <v>3.7</v>
      </c>
      <c r="AZ664" s="10" t="str">
        <f>IF(K664="","",
IF(AX664="PT",VLOOKUP(K664,Foundation_Calc!$K$79:$R$113,VLOOKUP(AW664,Foundation_Calc!$I$2:$J$8,2,FALSE),0),
IF(AX664="K",VLOOKUP(K664,Foundation_Calc!$K$117:$R$151,VLOOKUP(AW664,Foundation_Calc!$I$2:$J$8,2,FALSE),0),"")))</f>
        <v/>
      </c>
      <c r="BA664" s="495" t="str">
        <f t="shared" si="71"/>
        <v>ü</v>
      </c>
      <c r="BB664" s="495" t="str">
        <f t="shared" si="72"/>
        <v/>
      </c>
      <c r="BC664" s="495" t="str">
        <f t="shared" si="73"/>
        <v/>
      </c>
      <c r="BD664" s="513" t="str">
        <f>IF(AND(L664="",H664=""),"",
IF(H664="",Pole_Calc!A$9,
IF(H664="MP",Pole_Calc!A$10,
IF(H664="AnMP",Pole_Calc!A$11,
IF(H664="A",Pole_Calc!A$12,
IF(H664="S/A",Pole_Calc!A$13,
IF(H664="A/S",Pole_Calc!A$14,"Poner a mano")))))))</f>
        <v>App.7-V11I-P9.5.1.5</v>
      </c>
      <c r="BE664" s="429" t="s">
        <v>118</v>
      </c>
      <c r="BF664" s="289"/>
      <c r="BG664" s="289"/>
      <c r="BH664" s="290"/>
      <c r="BI664" s="289"/>
    </row>
    <row r="665" spans="1:61" ht="15.75" customHeight="1">
      <c r="A665" s="514"/>
      <c r="B665" s="450"/>
      <c r="C665" s="3"/>
      <c r="D665" s="83"/>
      <c r="E665" s="4"/>
      <c r="F665" s="4"/>
      <c r="G665" s="6">
        <v>50</v>
      </c>
      <c r="H665" s="449"/>
      <c r="I665" s="4"/>
      <c r="J665" s="3"/>
      <c r="K665" s="449"/>
      <c r="L665" s="449"/>
      <c r="M665" s="449" t="str">
        <f>IF(L665="","",
IF(AX665="PT",VLOOKUP(L665,Foundation_Calc!$V$79:$X$113,VLOOKUP(AX665,Foundation_Calc!$I$10:$J$13,2,FALSE),0),
IF(AX665="K",VLOOKUP(L665,Foundation_Calc!$V$117:$X$151,VLOOKUP(AX665,Foundation_Calc!$I$10:$J$13,2,FALSE),0),"")))</f>
        <v/>
      </c>
      <c r="N665" s="449"/>
      <c r="O665" s="449"/>
      <c r="P665" s="449"/>
      <c r="Q665" s="4"/>
      <c r="R665" s="6"/>
      <c r="S665" s="6"/>
      <c r="T665" s="4"/>
      <c r="U665" s="4"/>
      <c r="V665" s="4"/>
      <c r="W665" s="9"/>
      <c r="X665" s="9"/>
      <c r="Y665" s="9"/>
      <c r="Z665" s="9"/>
      <c r="AA665" s="9"/>
      <c r="AB665" s="9"/>
      <c r="AC665" s="449" t="str">
        <f t="shared" si="74"/>
        <v/>
      </c>
      <c r="AD665" s="449"/>
      <c r="AE665" s="449"/>
      <c r="AF665" s="4"/>
      <c r="AG665" s="83"/>
      <c r="AH665" s="4"/>
      <c r="AI665" s="4"/>
      <c r="AJ665" s="449"/>
      <c r="AK665" s="449"/>
      <c r="AL665" s="449"/>
      <c r="AM665" s="449"/>
      <c r="AN665" s="10"/>
      <c r="AO665" s="9"/>
      <c r="AP665" s="9"/>
      <c r="AQ665" s="9">
        <f>+FL_1($T$666,$U$664,$G$665,1200,9.28,-1*$F$666)</f>
        <v>0.252011492</v>
      </c>
      <c r="AR665" s="9"/>
      <c r="AS665" s="9"/>
      <c r="AT665" s="9"/>
      <c r="AU665" s="428"/>
      <c r="AV665" s="428"/>
      <c r="AW665" s="449" t="str">
        <f>IF(C665&gt;0,VLOOKUP(C665,Foundation_Calc!$A$2:$C$13,3,1),
IF(J665&gt;0,VLOOKUP(J665,Foundation_Calc!$A$2:$C$13,3,1),""))</f>
        <v/>
      </c>
      <c r="AX665" s="449" t="str">
        <f>IF(C665&gt;0,VLOOKUP(C665,Foundation_Calc!$E$2:$G$33,3,1),
IF(J665&gt;0,VLOOKUP(J665,Foundation_Calc!$E$2:$G$33,3,1),""))</f>
        <v/>
      </c>
      <c r="AY665" s="10" t="str">
        <f>IF(L665="","",
IF(AX665="PT",VLOOKUP(L665,Foundation_Calc!$K$79:$R$113,VLOOKUP(AW665,Foundation_Calc!$I$2:$J$8,2,FALSE),0),
IF(AX665="K",VLOOKUP(L665,Foundation_Calc!$K$117:$R$151,VLOOKUP(AW665,Foundation_Calc!$I$2:$J$8,2,FALSE),0),"")))</f>
        <v/>
      </c>
      <c r="AZ665" s="10" t="str">
        <f>IF(K665="","",
IF(AX665="PT",VLOOKUP(K665,Foundation_Calc!$K$79:$R$113,VLOOKUP(AW665,Foundation_Calc!$I$2:$J$8,2,FALSE),0),
IF(AX665="K",VLOOKUP(K665,Foundation_Calc!$K$117:$R$151,VLOOKUP(AW665,Foundation_Calc!$I$2:$J$8,2,FALSE),0),"")))</f>
        <v/>
      </c>
      <c r="BA665" s="495" t="str">
        <f t="shared" si="71"/>
        <v/>
      </c>
      <c r="BB665" s="495" t="str">
        <f t="shared" si="72"/>
        <v/>
      </c>
      <c r="BC665" s="495" t="str">
        <f t="shared" si="73"/>
        <v/>
      </c>
      <c r="BD665" s="513" t="str">
        <f>IF(AND(L665="",H665=""),"",
IF(H665="",Pole_Calc!A$9,
IF(H665="MP",Pole_Calc!A$10,
IF(H665="AnMP",Pole_Calc!A$11,
IF(H665="A",Pole_Calc!A$12,
IF(H665="S/A",Pole_Calc!A$13,
IF(H665="A/S",Pole_Calc!A$14,"Poner a mano")))))))</f>
        <v/>
      </c>
      <c r="BE665" s="429" t="s">
        <v>118</v>
      </c>
      <c r="BF665" s="290"/>
      <c r="BG665" s="290"/>
      <c r="BH665" s="290"/>
      <c r="BI665" s="290"/>
    </row>
    <row r="666" spans="1:61" ht="15.75" customHeight="1">
      <c r="A666" s="897" t="s">
        <v>577</v>
      </c>
      <c r="B666" s="450" t="s">
        <v>578</v>
      </c>
      <c r="C666" s="3">
        <f>+$C$664+$G$665</f>
        <v>46043.590000000004</v>
      </c>
      <c r="D666" s="83"/>
      <c r="E666" s="4"/>
      <c r="F666" s="4">
        <f>IF(C666&gt;0,VLOOKUP(C666,'ALIGNMENT TRACK'!$A$1:$K$81,9,1))</f>
        <v>0</v>
      </c>
      <c r="G666" s="6"/>
      <c r="H666" s="449" t="s">
        <v>131</v>
      </c>
      <c r="I666" s="4" t="s">
        <v>132</v>
      </c>
      <c r="J666" s="3"/>
      <c r="K666" s="449"/>
      <c r="L666" s="449" t="s">
        <v>183</v>
      </c>
      <c r="M666" s="449" t="str">
        <f>IF(L666="","",
IF(AX666="PT",VLOOKUP(L666,Foundation_Calc!$V$79:$X$113,VLOOKUP(AX666,Foundation_Calc!$I$10:$J$13,2,FALSE),0),
IF(AX666="K",VLOOKUP(L666,Foundation_Calc!$V$117:$X$151,VLOOKUP(AX666,Foundation_Calc!$I$10:$J$13,2,FALSE),0),"")))</f>
        <v>2C3RT</v>
      </c>
      <c r="N666" s="449" t="s">
        <v>124</v>
      </c>
      <c r="O666" s="449" t="s">
        <v>133</v>
      </c>
      <c r="P666" s="449"/>
      <c r="Q666" s="4"/>
      <c r="R666" s="6"/>
      <c r="S666" s="6"/>
      <c r="T666" s="4">
        <v>-10</v>
      </c>
      <c r="U666" s="4">
        <v>-55</v>
      </c>
      <c r="V666" s="4"/>
      <c r="W666" s="9">
        <v>1.4</v>
      </c>
      <c r="X666" s="9">
        <v>2.2999999999999998</v>
      </c>
      <c r="Y666" s="9"/>
      <c r="Z666" s="9"/>
      <c r="AA666" s="9">
        <v>0.4</v>
      </c>
      <c r="AB666" s="9"/>
      <c r="AC666" s="449" t="str">
        <f t="shared" si="74"/>
        <v>PH</v>
      </c>
      <c r="AD666" s="449"/>
      <c r="AE666" s="449"/>
      <c r="AF666" s="4"/>
      <c r="AG666" s="83"/>
      <c r="AH666" s="4"/>
      <c r="AI666" s="4"/>
      <c r="AJ666" s="596" t="s">
        <v>290</v>
      </c>
      <c r="AK666" s="449"/>
      <c r="AL666" s="449"/>
      <c r="AM666" s="449" t="s">
        <v>552</v>
      </c>
      <c r="AN666" s="10">
        <v>5.5</v>
      </c>
      <c r="AO666" s="9"/>
      <c r="AP666" s="9"/>
      <c r="AQ666" s="9"/>
      <c r="AR666" s="9"/>
      <c r="AS666" s="9"/>
      <c r="AT666" s="9">
        <f>+ab($T$666,$T$664,$T$668,$G$665,$G$667,-1*$F$666,1200)</f>
        <v>-9.1567348459395301</v>
      </c>
      <c r="AU666" s="428"/>
      <c r="AV666" s="428"/>
      <c r="AW666" s="449" t="str">
        <f>IF(C666&gt;0,VLOOKUP(C666,Foundation_Calc!$A$2:$C$13,3,1),
IF(J666&gt;0,VLOOKUP(J666,Foundation_Calc!$A$2:$C$13,3,1),""))</f>
        <v>Multi Soil</v>
      </c>
      <c r="AX666" s="449" t="str">
        <f>IF(C666&gt;0,VLOOKUP(C666,Foundation_Calc!$E$2:$G$33,3,1),
IF(J666&gt;0,VLOOKUP(J666,Foundation_Calc!$E$2:$G$33,3,1),""))</f>
        <v>K</v>
      </c>
      <c r="AY666" s="10">
        <f>IF(L666="","",
IF(AX666="PT",VLOOKUP(L666,Foundation_Calc!$K$79:$R$113,VLOOKUP(AW666,Foundation_Calc!$I$2:$J$8,2,FALSE),0),
IF(AX666="K",VLOOKUP(L666,Foundation_Calc!$K$117:$R$151,VLOOKUP(AW666,Foundation_Calc!$I$2:$J$8,2,FALSE),0),"")))</f>
        <v>4.5</v>
      </c>
      <c r="AZ666" s="10" t="str">
        <f>IF(K666="","",
IF(AX666="PT",VLOOKUP(K666,Foundation_Calc!$K$79:$R$113,VLOOKUP(AW666,Foundation_Calc!$I$2:$J$8,2,FALSE),0),
IF(AX666="K",VLOOKUP(K666,Foundation_Calc!$K$117:$R$151,VLOOKUP(AW666,Foundation_Calc!$I$2:$J$8,2,FALSE),0),"")))</f>
        <v/>
      </c>
      <c r="BA666" s="495" t="str">
        <f t="shared" ref="BA666:BA731" si="78">IF(AY666="","",IF(AY666&gt;0,"ü",""))</f>
        <v>ü</v>
      </c>
      <c r="BB666" s="495" t="str">
        <f t="shared" ref="BB666:BB731" si="79">IF(AZ666="","",IF(AZ666&gt;0,"ü",""))</f>
        <v/>
      </c>
      <c r="BC666" s="495" t="str">
        <f t="shared" ref="BC666:BC731" si="80">IF(M666="","",IF(M666="U.S.","ü",IF(M666="U.S. N.D.","ü","")))</f>
        <v/>
      </c>
      <c r="BD666" s="513" t="str">
        <f>IF(AND(L666="",H666=""),"",
IF(H666="",Pole_Calc!A$9,
IF(H666="MP",Pole_Calc!A$10,
IF(H666="AnMP",Pole_Calc!A$11,
IF(H666="A",Pole_Calc!A$12,
IF(H666="S/A",Pole_Calc!A$13,
IF(H666="A/S",Pole_Calc!A$14,"Poner a mano")))))))</f>
        <v>App.7-V11I-P9.5.1.5</v>
      </c>
      <c r="BE666" s="429" t="s">
        <v>118</v>
      </c>
      <c r="BF666" s="289"/>
      <c r="BG666" s="289"/>
      <c r="BH666" s="290"/>
      <c r="BI666" s="289"/>
    </row>
    <row r="667" spans="1:61" ht="15.75" customHeight="1">
      <c r="A667" s="518"/>
      <c r="B667" s="450"/>
      <c r="C667" s="3"/>
      <c r="D667" s="83"/>
      <c r="E667" s="4"/>
      <c r="F667" s="4"/>
      <c r="G667" s="6">
        <v>45</v>
      </c>
      <c r="H667" s="449"/>
      <c r="I667" s="4">
        <f>SUM(G637:G667)-2</f>
        <v>635.4</v>
      </c>
      <c r="J667" s="3"/>
      <c r="K667" s="449"/>
      <c r="L667" s="449"/>
      <c r="M667" s="449" t="str">
        <f>IF(L667="","",
IF(AX667="PT",VLOOKUP(L667,Foundation_Calc!$V$79:$X$113,VLOOKUP(AX667,Foundation_Calc!$I$10:$J$13,2,FALSE),0),
IF(AX667="K",VLOOKUP(L667,Foundation_Calc!$V$117:$X$151,VLOOKUP(AX667,Foundation_Calc!$I$10:$J$13,2,FALSE),0),"")))</f>
        <v/>
      </c>
      <c r="N667" s="449"/>
      <c r="O667" s="449"/>
      <c r="P667" s="449"/>
      <c r="Q667" s="4"/>
      <c r="R667" s="6"/>
      <c r="S667" s="6"/>
      <c r="T667" s="4"/>
      <c r="U667" s="4"/>
      <c r="V667" s="4"/>
      <c r="W667" s="9"/>
      <c r="X667" s="9"/>
      <c r="Y667" s="9"/>
      <c r="Z667" s="9"/>
      <c r="AA667" s="9"/>
      <c r="AB667" s="9"/>
      <c r="AC667" s="449" t="str">
        <f t="shared" si="74"/>
        <v/>
      </c>
      <c r="AD667" s="449"/>
      <c r="AE667" s="449"/>
      <c r="AF667" s="4"/>
      <c r="AG667" s="83"/>
      <c r="AH667" s="4"/>
      <c r="AI667" s="4"/>
      <c r="AJ667" s="449"/>
      <c r="AK667" s="449"/>
      <c r="AL667" s="449"/>
      <c r="AM667" s="449"/>
      <c r="AN667" s="10"/>
      <c r="AO667" s="9"/>
      <c r="AP667" s="9"/>
      <c r="AQ667" s="9">
        <f>+FL_1($T$668,$T$666,$G$667,1200,9.28,-1*$F$668)</f>
        <v>0.30986238577777775</v>
      </c>
      <c r="AR667" s="9"/>
      <c r="AS667" s="9"/>
      <c r="AT667" s="9"/>
      <c r="AU667" s="428"/>
      <c r="AV667" s="428"/>
      <c r="AW667" s="449" t="str">
        <f>IF(C667&gt;0,VLOOKUP(C667,Foundation_Calc!$A$2:$C$13,3,1),
IF(J667&gt;0,VLOOKUP(J667,Foundation_Calc!$A$2:$C$13,3,1),""))</f>
        <v/>
      </c>
      <c r="AX667" s="449" t="str">
        <f>IF(C667&gt;0,VLOOKUP(C667,Foundation_Calc!$E$2:$G$33,3,1),
IF(J667&gt;0,VLOOKUP(J667,Foundation_Calc!$E$2:$G$33,3,1),""))</f>
        <v/>
      </c>
      <c r="AY667" s="10" t="str">
        <f>IF(L667="","",
IF(AX667="PT",VLOOKUP(L667,Foundation_Calc!$K$79:$R$113,VLOOKUP(AW667,Foundation_Calc!$I$2:$J$8,2,FALSE),0),
IF(AX667="K",VLOOKUP(L667,Foundation_Calc!$K$117:$R$151,VLOOKUP(AW667,Foundation_Calc!$I$2:$J$8,2,FALSE),0),"")))</f>
        <v/>
      </c>
      <c r="AZ667" s="10" t="str">
        <f>IF(K667="","",
IF(AX667="PT",VLOOKUP(K667,Foundation_Calc!$K$79:$R$113,VLOOKUP(AW667,Foundation_Calc!$I$2:$J$8,2,FALSE),0),
IF(AX667="K",VLOOKUP(K667,Foundation_Calc!$K$117:$R$151,VLOOKUP(AW667,Foundation_Calc!$I$2:$J$8,2,FALSE),0),"")))</f>
        <v/>
      </c>
      <c r="BA667" s="495" t="str">
        <f t="shared" si="78"/>
        <v/>
      </c>
      <c r="BB667" s="495" t="str">
        <f t="shared" si="79"/>
        <v/>
      </c>
      <c r="BC667" s="495" t="str">
        <f t="shared" si="80"/>
        <v/>
      </c>
      <c r="BD667" s="513" t="str">
        <f>IF(AND(L667="",H667=""),"",
IF(H667="",Pole_Calc!A$9,
IF(H667="MP",Pole_Calc!A$10,
IF(H667="AnMP",Pole_Calc!A$11,
IF(H667="A",Pole_Calc!A$12,
IF(H667="S/A",Pole_Calc!A$13,
IF(H667="A/S",Pole_Calc!A$14,"Poner a mano")))))))</f>
        <v/>
      </c>
      <c r="BE667" s="429" t="s">
        <v>118</v>
      </c>
      <c r="BF667" s="290"/>
      <c r="BG667" s="290"/>
      <c r="BH667" s="290"/>
      <c r="BI667" s="290"/>
    </row>
    <row r="668" spans="1:61" ht="15.75" customHeight="1">
      <c r="A668" s="514"/>
      <c r="B668" s="450" t="s">
        <v>579</v>
      </c>
      <c r="C668" s="3">
        <f>+$C$666+$G$667</f>
        <v>46088.590000000004</v>
      </c>
      <c r="D668" s="83"/>
      <c r="E668" s="4"/>
      <c r="F668" s="4">
        <f>IF(C668&gt;0,VLOOKUP(C668,'ALIGNMENT TRACK'!$A$1:$K$81,9,1))</f>
        <v>0</v>
      </c>
      <c r="G668" s="6"/>
      <c r="H668" s="449" t="s">
        <v>121</v>
      </c>
      <c r="I668" s="4" t="s">
        <v>162</v>
      </c>
      <c r="J668" s="3"/>
      <c r="K668" s="449"/>
      <c r="L668" s="449" t="s">
        <v>151</v>
      </c>
      <c r="M668" s="449" t="str">
        <f>IF(L668="","",
IF(AX668="PT",VLOOKUP(L668,Foundation_Calc!$V$79:$X$113,VLOOKUP(AX668,Foundation_Calc!$I$10:$J$13,2,FALSE),0),
IF(AX668="K",VLOOKUP(L668,Foundation_Calc!$V$117:$X$151,VLOOKUP(AX668,Foundation_Calc!$I$10:$J$13,2,FALSE),0),"")))</f>
        <v>C4RT</v>
      </c>
      <c r="N668" s="449" t="s">
        <v>134</v>
      </c>
      <c r="O668" s="449"/>
      <c r="P668" s="449"/>
      <c r="Q668" s="4"/>
      <c r="R668" s="6"/>
      <c r="S668" s="6"/>
      <c r="T668" s="4">
        <v>25</v>
      </c>
      <c r="U668" s="4"/>
      <c r="V668" s="4"/>
      <c r="W668" s="9">
        <v>1.4</v>
      </c>
      <c r="X668" s="9"/>
      <c r="Y668" s="9"/>
      <c r="Z668" s="9"/>
      <c r="AA668" s="9"/>
      <c r="AB668" s="9"/>
      <c r="AC668" s="449" t="str">
        <f t="shared" si="74"/>
        <v>PH</v>
      </c>
      <c r="AD668" s="449"/>
      <c r="AE668" s="449"/>
      <c r="AF668" s="4"/>
      <c r="AG668" s="83"/>
      <c r="AH668" s="4"/>
      <c r="AI668" s="4"/>
      <c r="AJ668" s="449"/>
      <c r="AK668" s="449"/>
      <c r="AL668" s="449"/>
      <c r="AM668" s="449" t="s">
        <v>552</v>
      </c>
      <c r="AN668" s="10">
        <v>5.5</v>
      </c>
      <c r="AO668" s="9"/>
      <c r="AP668" s="9"/>
      <c r="AQ668" s="9"/>
      <c r="AR668" s="9"/>
      <c r="AS668" s="9"/>
      <c r="AT668" s="9">
        <f>+ab($T$668,$T$666,$T$670,$G$667,$G$669,-1*$F$668,1200)</f>
        <v>10.160944361169777</v>
      </c>
      <c r="AU668" s="428"/>
      <c r="AV668" s="428"/>
      <c r="AW668" s="449" t="str">
        <f>IF(C668&gt;0,VLOOKUP(C668,Foundation_Calc!$A$2:$C$13,3,1),
IF(J668&gt;0,VLOOKUP(J668,Foundation_Calc!$A$2:$C$13,3,1),""))</f>
        <v>Multi Soil</v>
      </c>
      <c r="AX668" s="449" t="str">
        <f>IF(C668&gt;0,VLOOKUP(C668,Foundation_Calc!$E$2:$G$33,3,1),
IF(J668&gt;0,VLOOKUP(J668,Foundation_Calc!$E$2:$G$33,3,1),""))</f>
        <v>K</v>
      </c>
      <c r="AY668" s="10">
        <f>IF(L668="","",
IF(AX668="PT",VLOOKUP(L668,Foundation_Calc!$K$79:$R$113,VLOOKUP(AW668,Foundation_Calc!$I$2:$J$8,2,FALSE),0),
IF(AX668="K",VLOOKUP(L668,Foundation_Calc!$K$117:$R$151,VLOOKUP(AW668,Foundation_Calc!$I$2:$J$8,2,FALSE),0),"")))</f>
        <v>4.2</v>
      </c>
      <c r="AZ668" s="10" t="str">
        <f>IF(K668="","",
IF(AX668="PT",VLOOKUP(K668,Foundation_Calc!$K$79:$R$113,VLOOKUP(AW668,Foundation_Calc!$I$2:$J$8,2,FALSE),0),
IF(AX668="K",VLOOKUP(K668,Foundation_Calc!$K$117:$R$151,VLOOKUP(AW668,Foundation_Calc!$I$2:$J$8,2,FALSE),0),"")))</f>
        <v/>
      </c>
      <c r="BA668" s="495" t="str">
        <f t="shared" si="78"/>
        <v>ü</v>
      </c>
      <c r="BB668" s="495" t="str">
        <f t="shared" si="79"/>
        <v/>
      </c>
      <c r="BC668" s="495" t="str">
        <f t="shared" si="80"/>
        <v/>
      </c>
      <c r="BD668" s="513" t="str">
        <f>IF(AND(L668="",H668=""),"",
IF(H668="",Pole_Calc!A$9,
IF(H668="MP",Pole_Calc!A$10,
IF(H668="AnMP",Pole_Calc!A$11,
IF(H668="A",Pole_Calc!A$12,
IF(H668="S/A",Pole_Calc!A$13,
IF(H668="A/S",Pole_Calc!A$14,"Poner a mano")))))))</f>
        <v>App.7-V11I-P9.5.1.6</v>
      </c>
      <c r="BE668" s="429" t="s">
        <v>118</v>
      </c>
      <c r="BF668" s="289"/>
      <c r="BG668" s="289"/>
      <c r="BH668" s="290"/>
      <c r="BI668" s="289"/>
    </row>
    <row r="669" spans="1:61" ht="15.75" customHeight="1">
      <c r="A669" s="514"/>
      <c r="B669" s="450"/>
      <c r="C669" s="3"/>
      <c r="D669" s="83"/>
      <c r="E669" s="4"/>
      <c r="F669" s="4"/>
      <c r="G669" s="6">
        <v>55</v>
      </c>
      <c r="H669" s="449"/>
      <c r="I669" s="4"/>
      <c r="J669" s="3">
        <f>C668+7.5</f>
        <v>46096.090000000004</v>
      </c>
      <c r="K669" s="449" t="s">
        <v>315</v>
      </c>
      <c r="L669" s="449"/>
      <c r="M669" s="449" t="str">
        <f>IF(L669="","",
IF(AX669="PT",VLOOKUP(L669,Foundation_Calc!$V$79:$X$113,VLOOKUP(AX669,Foundation_Calc!$I$10:$J$13,2,FALSE),0),
IF(AX669="K",VLOOKUP(L669,Foundation_Calc!$V$117:$X$151,VLOOKUP(AX669,Foundation_Calc!$I$10:$J$13,2,FALSE),0),"")))</f>
        <v/>
      </c>
      <c r="N669" s="449"/>
      <c r="O669" s="449"/>
      <c r="P669" s="449"/>
      <c r="Q669" s="4"/>
      <c r="R669" s="6"/>
      <c r="S669" s="6"/>
      <c r="T669" s="4"/>
      <c r="U669" s="4"/>
      <c r="V669" s="4"/>
      <c r="W669" s="9"/>
      <c r="X669" s="9"/>
      <c r="Y669" s="9"/>
      <c r="Z669" s="9"/>
      <c r="AA669" s="9"/>
      <c r="AB669" s="9"/>
      <c r="AC669" s="449" t="str">
        <f t="shared" si="74"/>
        <v/>
      </c>
      <c r="AD669" s="449"/>
      <c r="AE669" s="449"/>
      <c r="AF669" s="4"/>
      <c r="AG669" s="83"/>
      <c r="AH669" s="4"/>
      <c r="AI669" s="4"/>
      <c r="AJ669" s="449"/>
      <c r="AK669" s="449"/>
      <c r="AL669" s="449"/>
      <c r="AM669" s="449"/>
      <c r="AN669" s="10"/>
      <c r="AO669" s="9"/>
      <c r="AP669" s="9"/>
      <c r="AQ669" s="9">
        <f>+FL_2($T$670,$T$668,$G$669,1200,9.28,-1*$F$670)</f>
        <v>-0.41936166072727271</v>
      </c>
      <c r="AR669" s="9"/>
      <c r="AS669" s="9"/>
      <c r="AT669" s="9"/>
      <c r="AU669" s="428"/>
      <c r="AV669" s="428"/>
      <c r="AW669" s="449" t="str">
        <f>IF(C669&gt;0,VLOOKUP(C669,Foundation_Calc!$A$2:$C$13,3,1),
IF(J669&gt;0,VLOOKUP(J669,Foundation_Calc!$A$2:$C$13,3,1),""))</f>
        <v>Multi Soil</v>
      </c>
      <c r="AX669" s="449" t="str">
        <f>IF(C669&gt;0,VLOOKUP(C669,Foundation_Calc!$E$2:$G$33,3,1),
IF(J669&gt;0,VLOOKUP(J669,Foundation_Calc!$E$2:$G$33,3,1),""))</f>
        <v>K</v>
      </c>
      <c r="AY669" s="10" t="str">
        <f>IF(L669="","",
IF(AX669="PT",VLOOKUP(L669,Foundation_Calc!$K$79:$R$113,VLOOKUP(AW669,Foundation_Calc!$I$2:$J$8,2,FALSE),0),
IF(AX669="K",VLOOKUP(L669,Foundation_Calc!$K$117:$R$151,VLOOKUP(AW669,Foundation_Calc!$I$2:$J$8,2,FALSE),0),"")))</f>
        <v/>
      </c>
      <c r="AZ669" s="10">
        <f>IF(K669="","",
IF(AX669="PT",VLOOKUP(K669,Foundation_Calc!$K$79:$R$113,VLOOKUP(AW669,Foundation_Calc!$I$2:$J$8,2,FALSE),0),
IF(AX669="K",VLOOKUP(K669,Foundation_Calc!$K$117:$R$151,VLOOKUP(AW669,Foundation_Calc!$I$2:$J$8,2,FALSE),0),"")))</f>
        <v>3.9</v>
      </c>
      <c r="BA669" s="495" t="str">
        <f t="shared" si="78"/>
        <v/>
      </c>
      <c r="BB669" s="495" t="str">
        <f t="shared" si="79"/>
        <v>ü</v>
      </c>
      <c r="BC669" s="495" t="str">
        <f t="shared" si="80"/>
        <v/>
      </c>
      <c r="BD669" s="513" t="str">
        <f>IF(AND(L669="",H669=""),"",
IF(H669="",Pole_Calc!A$9,
IF(H669="MP",Pole_Calc!A$10,
IF(H669="AnMP",Pole_Calc!A$11,
IF(H669="A",Pole_Calc!A$12,
IF(H669="S/A",Pole_Calc!A$13,
IF(H669="A/S",Pole_Calc!A$14,"Poner a mano")))))))</f>
        <v/>
      </c>
      <c r="BE669" s="429" t="s">
        <v>118</v>
      </c>
      <c r="BF669" s="290"/>
      <c r="BG669" s="290"/>
      <c r="BH669" s="290"/>
      <c r="BI669" s="290"/>
    </row>
    <row r="670" spans="1:61" ht="15.75" customHeight="1">
      <c r="A670" s="514"/>
      <c r="B670" s="450" t="s">
        <v>580</v>
      </c>
      <c r="C670" s="3">
        <f>+$C$668+$G$669</f>
        <v>46143.590000000004</v>
      </c>
      <c r="D670" s="83"/>
      <c r="E670" s="4"/>
      <c r="F670" s="4">
        <f>IF(C670&gt;0,VLOOKUP(C670,'ALIGNMENT TRACK'!$A$1:$K$81,9,1))</f>
        <v>0</v>
      </c>
      <c r="G670" s="6"/>
      <c r="H670" s="449"/>
      <c r="I670" s="4"/>
      <c r="J670" s="3"/>
      <c r="K670" s="449"/>
      <c r="L670" s="449" t="s">
        <v>158</v>
      </c>
      <c r="M670" s="449" t="str">
        <f>IF(L670="","",
IF(AX670="PT",VLOOKUP(L670,Foundation_Calc!$V$79:$X$113,VLOOKUP(AX670,Foundation_Calc!$I$10:$J$13,2,FALSE),0),
IF(AX670="K",VLOOKUP(L670,Foundation_Calc!$V$117:$X$151,VLOOKUP(AX670,Foundation_Calc!$I$10:$J$13,2,FALSE),0),"")))</f>
        <v>C4RT</v>
      </c>
      <c r="N670" s="449" t="s">
        <v>124</v>
      </c>
      <c r="O670" s="449"/>
      <c r="P670" s="449"/>
      <c r="Q670" s="4"/>
      <c r="R670" s="6"/>
      <c r="S670" s="6"/>
      <c r="T670" s="4">
        <v>-35</v>
      </c>
      <c r="U670" s="4"/>
      <c r="V670" s="4"/>
      <c r="W670" s="9">
        <v>1.4</v>
      </c>
      <c r="X670" s="9"/>
      <c r="Y670" s="9"/>
      <c r="Z670" s="9"/>
      <c r="AA670" s="9"/>
      <c r="AB670" s="9"/>
      <c r="AC670" s="449" t="str">
        <f t="shared" si="74"/>
        <v>PH</v>
      </c>
      <c r="AD670" s="449"/>
      <c r="AE670" s="449"/>
      <c r="AF670" s="4"/>
      <c r="AG670" s="83"/>
      <c r="AH670" s="4"/>
      <c r="AI670" s="4"/>
      <c r="AJ670" s="449"/>
      <c r="AK670" s="449"/>
      <c r="AL670" s="449"/>
      <c r="AM670" s="449" t="s">
        <v>552</v>
      </c>
      <c r="AN670" s="10">
        <v>5.5</v>
      </c>
      <c r="AO670" s="9"/>
      <c r="AP670" s="9"/>
      <c r="AQ670" s="9"/>
      <c r="AR670" s="9"/>
      <c r="AS670" s="9"/>
      <c r="AT670" s="9">
        <f>+ab($T$670,$T$668,$T$672,$G$669,$G$671,-1*$F$670,1200)</f>
        <v>-8.0959267252937295</v>
      </c>
      <c r="AU670" s="428"/>
      <c r="AV670" s="428"/>
      <c r="AW670" s="449" t="str">
        <f>IF(C670&gt;0,VLOOKUP(C670,Foundation_Calc!$A$2:$C$13,3,1),
IF(J670&gt;0,VLOOKUP(J670,Foundation_Calc!$A$2:$C$13,3,1),""))</f>
        <v>Multi Soil</v>
      </c>
      <c r="AX670" s="449" t="str">
        <f>IF(C670&gt;0,VLOOKUP(C670,Foundation_Calc!$E$2:$G$33,3,1),
IF(J670&gt;0,VLOOKUP(J670,Foundation_Calc!$E$2:$G$33,3,1),""))</f>
        <v>K</v>
      </c>
      <c r="AY670" s="10">
        <f>IF(L670="","",
IF(AX670="PT",VLOOKUP(L670,Foundation_Calc!$K$79:$R$113,VLOOKUP(AW670,Foundation_Calc!$I$2:$J$8,2,FALSE),0),
IF(AX670="K",VLOOKUP(L670,Foundation_Calc!$K$117:$R$151,VLOOKUP(AW670,Foundation_Calc!$I$2:$J$8,2,FALSE),0),"")))</f>
        <v>4.2</v>
      </c>
      <c r="AZ670" s="10" t="str">
        <f>IF(K670="","",
IF(AX670="PT",VLOOKUP(K670,Foundation_Calc!$K$79:$R$113,VLOOKUP(AW670,Foundation_Calc!$I$2:$J$8,2,FALSE),0),
IF(AX670="K",VLOOKUP(K670,Foundation_Calc!$K$117:$R$151,VLOOKUP(AW670,Foundation_Calc!$I$2:$J$8,2,FALSE),0),"")))</f>
        <v/>
      </c>
      <c r="BA670" s="495" t="str">
        <f t="shared" si="78"/>
        <v>ü</v>
      </c>
      <c r="BB670" s="495" t="str">
        <f t="shared" si="79"/>
        <v/>
      </c>
      <c r="BC670" s="495" t="str">
        <f t="shared" si="80"/>
        <v/>
      </c>
      <c r="BD670" s="513" t="str">
        <f>IF(AND(L670="",H670=""),"",
IF(H670="",Pole_Calc!A$9,
IF(H670="MP",Pole_Calc!A$10,
IF(H670="AnMP",Pole_Calc!A$11,
IF(H670="A",Pole_Calc!A$12,
IF(H670="S/A",Pole_Calc!A$13,
IF(H670="A/S",Pole_Calc!A$14,"Poner a mano")))))))</f>
        <v>App.7-V11I-P9.5.1.1</v>
      </c>
      <c r="BE670" s="429" t="s">
        <v>118</v>
      </c>
      <c r="BF670" s="289"/>
      <c r="BG670" s="289"/>
      <c r="BH670" s="290"/>
      <c r="BI670" s="289"/>
    </row>
    <row r="671" spans="1:61" ht="15.75" customHeight="1">
      <c r="A671" s="514"/>
      <c r="B671" s="450"/>
      <c r="C671" s="3"/>
      <c r="D671" s="83"/>
      <c r="E671" s="4"/>
      <c r="F671" s="4"/>
      <c r="G671" s="6">
        <v>55.4</v>
      </c>
      <c r="H671" s="449"/>
      <c r="I671" s="4"/>
      <c r="J671" s="3"/>
      <c r="K671" s="449"/>
      <c r="L671" s="449"/>
      <c r="M671" s="449" t="str">
        <f>IF(L671="","",
IF(AX671="PT",VLOOKUP(L671,Foundation_Calc!$V$79:$X$113,VLOOKUP(AX671,Foundation_Calc!$I$10:$J$13,2,FALSE),0),
IF(AX671="K",VLOOKUP(L671,Foundation_Calc!$V$117:$X$151,VLOOKUP(AX671,Foundation_Calc!$I$10:$J$13,2,FALSE),0),"")))</f>
        <v/>
      </c>
      <c r="N671" s="575"/>
      <c r="O671" s="449"/>
      <c r="P671" s="449"/>
      <c r="Q671" s="4"/>
      <c r="R671" s="6"/>
      <c r="S671" s="6"/>
      <c r="T671" s="4"/>
      <c r="U671" s="4"/>
      <c r="V671" s="4"/>
      <c r="W671" s="9"/>
      <c r="X671" s="9"/>
      <c r="Y671" s="9"/>
      <c r="Z671" s="9"/>
      <c r="AA671" s="9"/>
      <c r="AB671" s="9"/>
      <c r="AC671" s="449" t="str">
        <f t="shared" si="74"/>
        <v/>
      </c>
      <c r="AD671" s="449"/>
      <c r="AE671" s="449"/>
      <c r="AF671" s="4"/>
      <c r="AG671" s="83"/>
      <c r="AH671" s="4"/>
      <c r="AI671" s="4"/>
      <c r="AJ671" s="449"/>
      <c r="AK671" s="449"/>
      <c r="AL671" s="449"/>
      <c r="AM671" s="449"/>
      <c r="AN671" s="10"/>
      <c r="AO671" s="9"/>
      <c r="AP671" s="9"/>
      <c r="AQ671" s="9">
        <f>+FL_2($T$672,$T$670,$G$671,1200,9.28,-1*$F$672)</f>
        <v>-0.39990926186281589</v>
      </c>
      <c r="AR671" s="9"/>
      <c r="AS671" s="9"/>
      <c r="AT671" s="9"/>
      <c r="AU671" s="428"/>
      <c r="AV671" s="428"/>
      <c r="AW671" s="449" t="str">
        <f>IF(C671&gt;0,VLOOKUP(C671,Foundation_Calc!$A$2:$C$13,3,1),
IF(J671&gt;0,VLOOKUP(J671,Foundation_Calc!$A$2:$C$13,3,1),""))</f>
        <v/>
      </c>
      <c r="AX671" s="449" t="str">
        <f>IF(C671&gt;0,VLOOKUP(C671,Foundation_Calc!$E$2:$G$33,3,1),
IF(J671&gt;0,VLOOKUP(J671,Foundation_Calc!$E$2:$G$33,3,1),""))</f>
        <v/>
      </c>
      <c r="AY671" s="10" t="str">
        <f>IF(L671="","",
IF(AX671="PT",VLOOKUP(L671,Foundation_Calc!$K$79:$R$113,VLOOKUP(AW671,Foundation_Calc!$I$2:$J$8,2,FALSE),0),
IF(AX671="K",VLOOKUP(L671,Foundation_Calc!$K$117:$R$151,VLOOKUP(AW671,Foundation_Calc!$I$2:$J$8,2,FALSE),0),"")))</f>
        <v/>
      </c>
      <c r="AZ671" s="10" t="str">
        <f>IF(K671="","",
IF(AX671="PT",VLOOKUP(K671,Foundation_Calc!$K$79:$R$113,VLOOKUP(AW671,Foundation_Calc!$I$2:$J$8,2,FALSE),0),
IF(AX671="K",VLOOKUP(K671,Foundation_Calc!$K$117:$R$151,VLOOKUP(AW671,Foundation_Calc!$I$2:$J$8,2,FALSE),0),"")))</f>
        <v/>
      </c>
      <c r="BA671" s="495" t="str">
        <f t="shared" si="78"/>
        <v/>
      </c>
      <c r="BB671" s="495" t="str">
        <f t="shared" si="79"/>
        <v/>
      </c>
      <c r="BC671" s="495" t="str">
        <f t="shared" si="80"/>
        <v/>
      </c>
      <c r="BD671" s="513" t="str">
        <f>IF(AND(L671="",H671=""),"",
IF(H671="",Pole_Calc!A$9,
IF(H671="MP",Pole_Calc!A$10,
IF(H671="AnMP",Pole_Calc!A$11,
IF(H671="A",Pole_Calc!A$12,
IF(H671="S/A",Pole_Calc!A$13,
IF(H671="A/S",Pole_Calc!A$14,"Poner a mano")))))))</f>
        <v/>
      </c>
      <c r="BE671" s="429" t="s">
        <v>118</v>
      </c>
      <c r="BF671" s="290"/>
      <c r="BG671" s="290"/>
      <c r="BH671" s="290"/>
      <c r="BI671" s="290"/>
    </row>
    <row r="672" spans="1:61" ht="15.75" customHeight="1">
      <c r="A672" s="518"/>
      <c r="B672" s="450" t="s">
        <v>581</v>
      </c>
      <c r="C672" s="3">
        <f>+$C$670+$G$671</f>
        <v>46198.990000000005</v>
      </c>
      <c r="D672" s="83"/>
      <c r="E672" s="4"/>
      <c r="F672" s="4">
        <f>IF(C672&gt;0,VLOOKUP(C672,'ALIGNMENT TRACK'!$A$1:$K$81,9,1))</f>
        <v>0</v>
      </c>
      <c r="G672" s="6"/>
      <c r="H672" s="449"/>
      <c r="I672" s="4"/>
      <c r="J672" s="3"/>
      <c r="K672" s="449"/>
      <c r="L672" s="449" t="s">
        <v>153</v>
      </c>
      <c r="M672" s="449" t="str">
        <f>IF(L672="","",
IF(AX672="PT",VLOOKUP(L672,Foundation_Calc!$V$79:$X$113,VLOOKUP(AX672,Foundation_Calc!$I$10:$J$13,2,FALSE),0),
IF(AX672="K",VLOOKUP(L672,Foundation_Calc!$V$117:$X$151,VLOOKUP(AX672,Foundation_Calc!$I$10:$J$13,2,FALSE),0),"")))</f>
        <v>C3RT</v>
      </c>
      <c r="N672" s="449" t="s">
        <v>134</v>
      </c>
      <c r="O672" s="449"/>
      <c r="P672" s="449"/>
      <c r="Q672" s="4"/>
      <c r="R672" s="6"/>
      <c r="S672" s="6"/>
      <c r="T672" s="4">
        <v>35</v>
      </c>
      <c r="U672" s="4"/>
      <c r="V672" s="4"/>
      <c r="W672" s="9">
        <v>1.4</v>
      </c>
      <c r="X672" s="9"/>
      <c r="Y672" s="9"/>
      <c r="Z672" s="9"/>
      <c r="AA672" s="9"/>
      <c r="AB672" s="9"/>
      <c r="AC672" s="449" t="str">
        <f t="shared" si="74"/>
        <v>PHQ</v>
      </c>
      <c r="AD672" s="449"/>
      <c r="AE672" s="449"/>
      <c r="AF672" s="4"/>
      <c r="AG672" s="83"/>
      <c r="AH672" s="4"/>
      <c r="AI672" s="4"/>
      <c r="AJ672" s="449"/>
      <c r="AK672" s="449"/>
      <c r="AL672" s="449"/>
      <c r="AM672" s="449" t="s">
        <v>552</v>
      </c>
      <c r="AN672" s="10">
        <v>5.5</v>
      </c>
      <c r="AO672" s="9"/>
      <c r="AP672" s="9"/>
      <c r="AQ672" s="9"/>
      <c r="AR672" s="9"/>
      <c r="AS672" s="9"/>
      <c r="AT672" s="9">
        <f>+ab($T$672,$T$670,$T$674,$G$671,$G$673,-1*$F$672,1200)</f>
        <v>7.2406439464324368</v>
      </c>
      <c r="AU672" s="428"/>
      <c r="AV672" s="428"/>
      <c r="AW672" s="449" t="str">
        <f>IF(C672&gt;0,VLOOKUP(C672,Foundation_Calc!$A$2:$C$13,3,1),
IF(J672&gt;0,VLOOKUP(J672,Foundation_Calc!$A$2:$C$13,3,1),""))</f>
        <v>Multi Soil</v>
      </c>
      <c r="AX672" s="449" t="str">
        <f>IF(C672&gt;0,VLOOKUP(C672,Foundation_Calc!$E$2:$G$33,3,1),
IF(J672&gt;0,VLOOKUP(J672,Foundation_Calc!$E$2:$G$33,3,1),""))</f>
        <v>K</v>
      </c>
      <c r="AY672" s="10">
        <f>IF(L672="","",
IF(AX672="PT",VLOOKUP(L672,Foundation_Calc!$K$79:$R$113,VLOOKUP(AW672,Foundation_Calc!$I$2:$J$8,2,FALSE),0),
IF(AX672="K",VLOOKUP(L672,Foundation_Calc!$K$117:$R$151,VLOOKUP(AW672,Foundation_Calc!$I$2:$J$8,2,FALSE),0),"")))</f>
        <v>4</v>
      </c>
      <c r="AZ672" s="10" t="str">
        <f>IF(K672="","",
IF(AX672="PT",VLOOKUP(K672,Foundation_Calc!$K$79:$R$113,VLOOKUP(AW672,Foundation_Calc!$I$2:$J$8,2,FALSE),0),
IF(AX672="K",VLOOKUP(K672,Foundation_Calc!$K$117:$R$151,VLOOKUP(AW672,Foundation_Calc!$I$2:$J$8,2,FALSE),0),"")))</f>
        <v/>
      </c>
      <c r="BA672" s="495" t="str">
        <f t="shared" si="78"/>
        <v>ü</v>
      </c>
      <c r="BB672" s="495" t="str">
        <f t="shared" si="79"/>
        <v/>
      </c>
      <c r="BC672" s="495" t="str">
        <f t="shared" si="80"/>
        <v/>
      </c>
      <c r="BD672" s="513" t="str">
        <f>IF(AND(L672="",H672=""),"",
IF(H672="",Pole_Calc!A$9,
IF(H672="MP",Pole_Calc!A$10,
IF(H672="AnMP",Pole_Calc!A$11,
IF(H672="A",Pole_Calc!A$12,
IF(H672="S/A",Pole_Calc!A$13,
IF(H672="A/S",Pole_Calc!A$14,"Poner a mano")))))))</f>
        <v>App.7-V11I-P9.5.1.1</v>
      </c>
      <c r="BE672" s="429" t="s">
        <v>118</v>
      </c>
      <c r="BF672" s="289"/>
      <c r="BG672" s="289"/>
      <c r="BH672" s="290"/>
      <c r="BI672" s="289"/>
    </row>
    <row r="673" spans="1:61" ht="15.75" customHeight="1">
      <c r="A673" s="518"/>
      <c r="B673" s="450"/>
      <c r="C673" s="3"/>
      <c r="D673" s="83"/>
      <c r="E673" s="4"/>
      <c r="F673" s="4"/>
      <c r="G673" s="6">
        <v>51</v>
      </c>
      <c r="H673" s="449"/>
      <c r="I673" s="4"/>
      <c r="J673" s="3"/>
      <c r="K673" s="449"/>
      <c r="L673" s="449"/>
      <c r="M673" s="449" t="str">
        <f>IF(L673="","",
IF(AX673="PT",VLOOKUP(L673,Foundation_Calc!$V$79:$X$113,VLOOKUP(AX673,Foundation_Calc!$I$10:$J$13,2,FALSE),0),
IF(AX673="K",VLOOKUP(L673,Foundation_Calc!$V$117:$X$151,VLOOKUP(AX673,Foundation_Calc!$I$10:$J$13,2,FALSE),0),"")))</f>
        <v/>
      </c>
      <c r="N673" s="575"/>
      <c r="O673" s="449"/>
      <c r="P673" s="449"/>
      <c r="Q673" s="4"/>
      <c r="R673" s="6"/>
      <c r="S673" s="6"/>
      <c r="T673" s="4"/>
      <c r="U673" s="4"/>
      <c r="V673" s="4"/>
      <c r="W673" s="9"/>
      <c r="X673" s="9"/>
      <c r="Y673" s="9"/>
      <c r="Z673" s="9"/>
      <c r="AA673" s="9"/>
      <c r="AB673" s="9"/>
      <c r="AC673" s="449" t="str">
        <f t="shared" si="74"/>
        <v/>
      </c>
      <c r="AD673" s="449"/>
      <c r="AE673" s="449"/>
      <c r="AF673" s="4"/>
      <c r="AG673" s="83"/>
      <c r="AH673" s="4"/>
      <c r="AI673" s="4"/>
      <c r="AJ673" s="449"/>
      <c r="AK673" s="449"/>
      <c r="AL673" s="449"/>
      <c r="AM673" s="449"/>
      <c r="AN673" s="10"/>
      <c r="AO673" s="9"/>
      <c r="AP673" s="9"/>
      <c r="AQ673" s="9">
        <f>+FL_2($T$674,$T$672,$G$673,1200,9.28,-1*$F$674)</f>
        <v>-0.37323328431372549</v>
      </c>
      <c r="AR673" s="9"/>
      <c r="AS673" s="9"/>
      <c r="AT673" s="9"/>
      <c r="AU673" s="428"/>
      <c r="AV673" s="428"/>
      <c r="AW673" s="449" t="str">
        <f>IF(C673&gt;0,VLOOKUP(C673,Foundation_Calc!$A$2:$C$13,3,1),
IF(J673&gt;0,VLOOKUP(J673,Foundation_Calc!$A$2:$C$13,3,1),""))</f>
        <v/>
      </c>
      <c r="AX673" s="449" t="str">
        <f>IF(C673&gt;0,VLOOKUP(C673,Foundation_Calc!$E$2:$G$33,3,1),
IF(J673&gt;0,VLOOKUP(J673,Foundation_Calc!$E$2:$G$33,3,1),""))</f>
        <v/>
      </c>
      <c r="AY673" s="10" t="str">
        <f>IF(L673="","",
IF(AX673="PT",VLOOKUP(L673,Foundation_Calc!$K$79:$R$113,VLOOKUP(AW673,Foundation_Calc!$I$2:$J$8,2,FALSE),0),
IF(AX673="K",VLOOKUP(L673,Foundation_Calc!$K$117:$R$151,VLOOKUP(AW673,Foundation_Calc!$I$2:$J$8,2,FALSE),0),"")))</f>
        <v/>
      </c>
      <c r="AZ673" s="10" t="str">
        <f>IF(K673="","",
IF(AX673="PT",VLOOKUP(K673,Foundation_Calc!$K$79:$R$113,VLOOKUP(AW673,Foundation_Calc!$I$2:$J$8,2,FALSE),0),
IF(AX673="K",VLOOKUP(K673,Foundation_Calc!$K$117:$R$151,VLOOKUP(AW673,Foundation_Calc!$I$2:$J$8,2,FALSE),0),"")))</f>
        <v/>
      </c>
      <c r="BA673" s="495" t="str">
        <f t="shared" si="78"/>
        <v/>
      </c>
      <c r="BB673" s="495" t="str">
        <f t="shared" si="79"/>
        <v/>
      </c>
      <c r="BC673" s="495" t="str">
        <f t="shared" si="80"/>
        <v/>
      </c>
      <c r="BD673" s="513" t="str">
        <f>IF(AND(L673="",H673=""),"",
IF(H673="",Pole_Calc!A$9,
IF(H673="MP",Pole_Calc!A$10,
IF(H673="AnMP",Pole_Calc!A$11,
IF(H673="A",Pole_Calc!A$12,
IF(H673="S/A",Pole_Calc!A$13,
IF(H673="A/S",Pole_Calc!A$14,"Poner a mano")))))))</f>
        <v/>
      </c>
      <c r="BE673" s="429" t="s">
        <v>118</v>
      </c>
      <c r="BF673" s="290"/>
      <c r="BG673" s="290"/>
      <c r="BH673" s="290"/>
      <c r="BI673" s="290"/>
    </row>
    <row r="674" spans="1:61" ht="15.75" customHeight="1">
      <c r="A674" s="514"/>
      <c r="B674" s="450" t="s">
        <v>582</v>
      </c>
      <c r="C674" s="3">
        <f>+$C$672+$G$673</f>
        <v>46249.990000000005</v>
      </c>
      <c r="D674" s="83"/>
      <c r="E674" s="4"/>
      <c r="F674" s="4">
        <f>IF(C674&gt;0,VLOOKUP(C674,'ALIGNMENT TRACK'!$A$1:$K$81,9,1))</f>
        <v>0</v>
      </c>
      <c r="G674" s="6"/>
      <c r="H674" s="449"/>
      <c r="I674" s="4"/>
      <c r="J674" s="3"/>
      <c r="K674" s="449"/>
      <c r="L674" s="449" t="s">
        <v>153</v>
      </c>
      <c r="M674" s="449" t="str">
        <f>IF(L674="","",
IF(AX674="PT",VLOOKUP(L674,Foundation_Calc!$V$79:$X$113,VLOOKUP(AX674,Foundation_Calc!$I$10:$J$13,2,FALSE),0),
IF(AX674="K",VLOOKUP(L674,Foundation_Calc!$V$117:$X$151,VLOOKUP(AX674,Foundation_Calc!$I$10:$J$13,2,FALSE),0),"")))</f>
        <v>C3RT</v>
      </c>
      <c r="N674" s="449" t="s">
        <v>124</v>
      </c>
      <c r="O674" s="449"/>
      <c r="P674" s="449"/>
      <c r="Q674" s="4"/>
      <c r="R674" s="6"/>
      <c r="S674" s="6"/>
      <c r="T674" s="4">
        <v>-35</v>
      </c>
      <c r="U674" s="4"/>
      <c r="V674" s="4"/>
      <c r="W674" s="9">
        <v>1.4</v>
      </c>
      <c r="X674" s="9"/>
      <c r="Y674" s="9"/>
      <c r="Z674" s="9"/>
      <c r="AA674" s="9"/>
      <c r="AB674" s="9"/>
      <c r="AC674" s="449" t="str">
        <f t="shared" si="74"/>
        <v>PHQ</v>
      </c>
      <c r="AD674" s="449"/>
      <c r="AE674" s="449"/>
      <c r="AF674" s="4"/>
      <c r="AG674" s="83"/>
      <c r="AH674" s="4"/>
      <c r="AI674" s="4"/>
      <c r="AJ674" s="449"/>
      <c r="AK674" s="449"/>
      <c r="AL674" s="449"/>
      <c r="AM674" s="449" t="s">
        <v>552</v>
      </c>
      <c r="AN674" s="10">
        <v>5.5</v>
      </c>
      <c r="AO674" s="9"/>
      <c r="AP674" s="9"/>
      <c r="AQ674" s="9"/>
      <c r="AR674" s="9"/>
      <c r="AS674" s="9"/>
      <c r="AT674" s="9">
        <f>+ab($T$674,$T$672,$T$676,$G$673,$G$675,-1*$F$674,1200)</f>
        <v>-7.1207341191336004</v>
      </c>
      <c r="AU674" s="428"/>
      <c r="AV674" s="428"/>
      <c r="AW674" s="449" t="str">
        <f>IF(C674&gt;0,VLOOKUP(C674,Foundation_Calc!$A$2:$C$13,3,1),
IF(J674&gt;0,VLOOKUP(J674,Foundation_Calc!$A$2:$C$13,3,1),""))</f>
        <v>Multi Soil</v>
      </c>
      <c r="AX674" s="449" t="str">
        <f>IF(C674&gt;0,VLOOKUP(C674,Foundation_Calc!$E$2:$G$33,3,1),
IF(J674&gt;0,VLOOKUP(J674,Foundation_Calc!$E$2:$G$33,3,1),""))</f>
        <v>K</v>
      </c>
      <c r="AY674" s="10">
        <f>IF(L674="","",
IF(AX674="PT",VLOOKUP(L674,Foundation_Calc!$K$79:$R$113,VLOOKUP(AW674,Foundation_Calc!$I$2:$J$8,2,FALSE),0),
IF(AX674="K",VLOOKUP(L674,Foundation_Calc!$K$117:$R$151,VLOOKUP(AW674,Foundation_Calc!$I$2:$J$8,2,FALSE),0),"")))</f>
        <v>4</v>
      </c>
      <c r="AZ674" s="10" t="str">
        <f>IF(K674="","",
IF(AX674="PT",VLOOKUP(K674,Foundation_Calc!$K$79:$R$113,VLOOKUP(AW674,Foundation_Calc!$I$2:$J$8,2,FALSE),0),
IF(AX674="K",VLOOKUP(K674,Foundation_Calc!$K$117:$R$151,VLOOKUP(AW674,Foundation_Calc!$I$2:$J$8,2,FALSE),0),"")))</f>
        <v/>
      </c>
      <c r="BA674" s="495" t="str">
        <f t="shared" si="78"/>
        <v>ü</v>
      </c>
      <c r="BB674" s="495" t="str">
        <f t="shared" si="79"/>
        <v/>
      </c>
      <c r="BC674" s="495" t="str">
        <f t="shared" si="80"/>
        <v/>
      </c>
      <c r="BD674" s="513" t="str">
        <f>IF(AND(L674="",H674=""),"",
IF(H674="",Pole_Calc!A$9,
IF(H674="MP",Pole_Calc!A$10,
IF(H674="AnMP",Pole_Calc!A$11,
IF(H674="A",Pole_Calc!A$12,
IF(H674="S/A",Pole_Calc!A$13,
IF(H674="A/S",Pole_Calc!A$14,"Poner a mano")))))))</f>
        <v>App.7-V11I-P9.5.1.1</v>
      </c>
      <c r="BE674" s="429" t="s">
        <v>118</v>
      </c>
      <c r="BF674" s="289"/>
      <c r="BG674" s="289"/>
      <c r="BH674" s="290"/>
      <c r="BI674" s="289"/>
    </row>
    <row r="675" spans="1:61" ht="15.75" customHeight="1">
      <c r="A675" s="514"/>
      <c r="B675" s="450"/>
      <c r="C675" s="3"/>
      <c r="D675" s="83"/>
      <c r="E675" s="4"/>
      <c r="F675" s="4"/>
      <c r="G675" s="6">
        <v>53.5</v>
      </c>
      <c r="H675" s="449"/>
      <c r="I675" s="4"/>
      <c r="J675" s="3"/>
      <c r="K675" s="449"/>
      <c r="L675" s="449"/>
      <c r="M675" s="449" t="str">
        <f>IF(L675="","",
IF(AX675="PT",VLOOKUP(L675,Foundation_Calc!$V$79:$X$113,VLOOKUP(AX675,Foundation_Calc!$I$10:$J$13,2,FALSE),0),
IF(AX675="K",VLOOKUP(L675,Foundation_Calc!$V$117:$X$151,VLOOKUP(AX675,Foundation_Calc!$I$10:$J$13,2,FALSE),0),"")))</f>
        <v/>
      </c>
      <c r="N675" s="575"/>
      <c r="O675" s="449"/>
      <c r="P675" s="449"/>
      <c r="Q675" s="4"/>
      <c r="R675" s="6"/>
      <c r="S675" s="6"/>
      <c r="T675" s="4"/>
      <c r="U675" s="4"/>
      <c r="V675" s="4"/>
      <c r="W675" s="9"/>
      <c r="X675" s="9"/>
      <c r="Y675" s="9"/>
      <c r="Z675" s="9"/>
      <c r="AA675" s="9"/>
      <c r="AB675" s="9"/>
      <c r="AC675" s="449" t="str">
        <f t="shared" si="74"/>
        <v/>
      </c>
      <c r="AD675" s="449"/>
      <c r="AE675" s="449"/>
      <c r="AF675" s="4"/>
      <c r="AG675" s="83"/>
      <c r="AH675" s="4"/>
      <c r="AI675" s="4"/>
      <c r="AJ675" s="449"/>
      <c r="AK675" s="449"/>
      <c r="AL675" s="449"/>
      <c r="AM675" s="449"/>
      <c r="AN675" s="10"/>
      <c r="AO675" s="9"/>
      <c r="AP675" s="9"/>
      <c r="AQ675" s="9">
        <f>+FL_1($T$676,$T$674,$G$675,1200,9.28,-1*$F$676)</f>
        <v>0.38736993623676008</v>
      </c>
      <c r="AR675" s="9"/>
      <c r="AS675" s="9"/>
      <c r="AT675" s="9"/>
      <c r="AU675" s="428"/>
      <c r="AV675" s="428"/>
      <c r="AW675" s="449" t="str">
        <f>IF(C675&gt;0,VLOOKUP(C675,Foundation_Calc!$A$2:$C$13,3,1),
IF(J675&gt;0,VLOOKUP(J675,Foundation_Calc!$A$2:$C$13,3,1),""))</f>
        <v/>
      </c>
      <c r="AX675" s="449" t="str">
        <f>IF(C675&gt;0,VLOOKUP(C675,Foundation_Calc!$E$2:$G$33,3,1),
IF(J675&gt;0,VLOOKUP(J675,Foundation_Calc!$E$2:$G$33,3,1),""))</f>
        <v/>
      </c>
      <c r="AY675" s="10" t="str">
        <f>IF(L675="","",
IF(AX675="PT",VLOOKUP(L675,Foundation_Calc!$K$79:$R$113,VLOOKUP(AW675,Foundation_Calc!$I$2:$J$8,2,FALSE),0),
IF(AX675="K",VLOOKUP(L675,Foundation_Calc!$K$117:$R$151,VLOOKUP(AW675,Foundation_Calc!$I$2:$J$8,2,FALSE),0),"")))</f>
        <v/>
      </c>
      <c r="AZ675" s="10" t="str">
        <f>IF(K675="","",
IF(AX675="PT",VLOOKUP(K675,Foundation_Calc!$K$79:$R$113,VLOOKUP(AW675,Foundation_Calc!$I$2:$J$8,2,FALSE),0),
IF(AX675="K",VLOOKUP(K675,Foundation_Calc!$K$117:$R$151,VLOOKUP(AW675,Foundation_Calc!$I$2:$J$8,2,FALSE),0),"")))</f>
        <v/>
      </c>
      <c r="BA675" s="495" t="str">
        <f t="shared" si="78"/>
        <v/>
      </c>
      <c r="BB675" s="495" t="str">
        <f t="shared" si="79"/>
        <v/>
      </c>
      <c r="BC675" s="495" t="str">
        <f t="shared" si="80"/>
        <v/>
      </c>
      <c r="BD675" s="513" t="str">
        <f>IF(AND(L675="",H675=""),"",
IF(H675="",Pole_Calc!A$9,
IF(H675="MP",Pole_Calc!A$10,
IF(H675="AnMP",Pole_Calc!A$11,
IF(H675="A",Pole_Calc!A$12,
IF(H675="S/A",Pole_Calc!A$13,
IF(H675="A/S",Pole_Calc!A$14,"Poner a mano")))))))</f>
        <v/>
      </c>
      <c r="BE675" s="429" t="s">
        <v>118</v>
      </c>
      <c r="BF675" s="290"/>
      <c r="BG675" s="290"/>
      <c r="BH675" s="290"/>
      <c r="BI675" s="290"/>
    </row>
    <row r="676" spans="1:61" ht="15.75" customHeight="1">
      <c r="A676" s="514"/>
      <c r="B676" s="450" t="s">
        <v>583</v>
      </c>
      <c r="C676" s="3">
        <f>+$C$674+$G$675</f>
        <v>46303.490000000005</v>
      </c>
      <c r="D676" s="83"/>
      <c r="E676" s="4"/>
      <c r="F676" s="4">
        <f>IF(C676&gt;0,VLOOKUP(C676,'ALIGNMENT TRACK'!$A$1:$K$81,9,1))</f>
        <v>0</v>
      </c>
      <c r="G676" s="6"/>
      <c r="H676" s="4"/>
      <c r="I676" s="4"/>
      <c r="J676" s="3"/>
      <c r="K676" s="449"/>
      <c r="L676" s="449" t="s">
        <v>158</v>
      </c>
      <c r="M676" s="449" t="str">
        <f>IF(L676="","",
IF(AX676="PT",VLOOKUP(L676,Foundation_Calc!$V$79:$X$113,VLOOKUP(AX676,Foundation_Calc!$I$10:$J$13,2,FALSE),0),
IF(AX676="K",VLOOKUP(L676,Foundation_Calc!$V$117:$X$151,VLOOKUP(AX676,Foundation_Calc!$I$10:$J$13,2,FALSE),0),"")))</f>
        <v>C4R</v>
      </c>
      <c r="N676" s="449" t="s">
        <v>134</v>
      </c>
      <c r="O676" s="449"/>
      <c r="P676" s="449"/>
      <c r="Q676" s="4"/>
      <c r="R676" s="6"/>
      <c r="S676" s="6"/>
      <c r="T676" s="4">
        <v>35</v>
      </c>
      <c r="U676" s="4"/>
      <c r="V676" s="4"/>
      <c r="W676" s="9">
        <v>1.4</v>
      </c>
      <c r="X676" s="9"/>
      <c r="Y676" s="9"/>
      <c r="Z676" s="9"/>
      <c r="AA676" s="9"/>
      <c r="AB676" s="9"/>
      <c r="AC676" s="449" t="str">
        <f t="shared" si="74"/>
        <v>PHQ</v>
      </c>
      <c r="AD676" s="449"/>
      <c r="AE676" s="449"/>
      <c r="AF676" s="4"/>
      <c r="AG676" s="83"/>
      <c r="AH676" s="4"/>
      <c r="AI676" s="4"/>
      <c r="AJ676" s="449"/>
      <c r="AK676" s="449"/>
      <c r="AL676" s="449"/>
      <c r="AM676" s="449" t="s">
        <v>552</v>
      </c>
      <c r="AN676" s="10">
        <v>5.5</v>
      </c>
      <c r="AO676" s="9"/>
      <c r="AP676" s="9"/>
      <c r="AQ676" s="9"/>
      <c r="AR676" s="9"/>
      <c r="AS676" s="9"/>
      <c r="AT676" s="9">
        <f>+ab($T$676,$T$674,$T$678,$G$675,$G$677,-1*$F$676,1200)</f>
        <v>7.5343902231494075</v>
      </c>
      <c r="AU676" s="428"/>
      <c r="AV676" s="428"/>
      <c r="AW676" s="449" t="str">
        <f>IF(C676&gt;0,VLOOKUP(C676,Foundation_Calc!$A$2:$C$13,3,1),
IF(J676&gt;0,VLOOKUP(J676,Foundation_Calc!$A$2:$C$13,3,1),""))</f>
        <v>Multi Soil</v>
      </c>
      <c r="AX676" s="449" t="str">
        <f>IF(C676&gt;0,VLOOKUP(C676,Foundation_Calc!$E$2:$G$33,3,1),
IF(J676&gt;0,VLOOKUP(J676,Foundation_Calc!$E$2:$G$33,3,1),""))</f>
        <v>PT</v>
      </c>
      <c r="AY676" s="10">
        <f>IF(L676="","",
IF(AX676="PT",VLOOKUP(L676,Foundation_Calc!$K$79:$R$113,VLOOKUP(AW676,Foundation_Calc!$I$2:$J$8,2,FALSE),0),
IF(AX676="K",VLOOKUP(L676,Foundation_Calc!$K$117:$R$151,VLOOKUP(AW676,Foundation_Calc!$I$2:$J$8,2,FALSE),0),"")))</f>
        <v>3.5</v>
      </c>
      <c r="AZ676" s="10" t="str">
        <f>IF(K676="","",
IF(AX676="PT",VLOOKUP(K676,Foundation_Calc!$K$79:$R$113,VLOOKUP(AW676,Foundation_Calc!$I$2:$J$8,2,FALSE),0),
IF(AX676="K",VLOOKUP(K676,Foundation_Calc!$K$117:$R$151,VLOOKUP(AW676,Foundation_Calc!$I$2:$J$8,2,FALSE),0),"")))</f>
        <v/>
      </c>
      <c r="BA676" s="495" t="str">
        <f t="shared" si="78"/>
        <v>ü</v>
      </c>
      <c r="BB676" s="495" t="str">
        <f t="shared" si="79"/>
        <v/>
      </c>
      <c r="BC676" s="495" t="str">
        <f t="shared" si="80"/>
        <v/>
      </c>
      <c r="BD676" s="513" t="str">
        <f>IF(AND(L676="",H676=""),"",
IF(H676="",Pole_Calc!A$9,
IF(H676="MP",Pole_Calc!A$10,
IF(H676="AnMP",Pole_Calc!A$11,
IF(H676="A",Pole_Calc!A$12,
IF(H676="S/A",Pole_Calc!A$13,
IF(H676="A/S",Pole_Calc!A$14,"Poner a mano")))))))</f>
        <v>App.7-V11I-P9.5.1.1</v>
      </c>
      <c r="BE676" s="429" t="s">
        <v>118</v>
      </c>
      <c r="BF676" s="289"/>
      <c r="BG676" s="289"/>
      <c r="BH676" s="290"/>
      <c r="BI676" s="289"/>
    </row>
    <row r="677" spans="1:61" ht="15.75" customHeight="1">
      <c r="A677" s="514"/>
      <c r="B677" s="450"/>
      <c r="C677" s="3"/>
      <c r="D677" s="83"/>
      <c r="E677" s="4"/>
      <c r="F677" s="4"/>
      <c r="G677" s="6">
        <v>57.2</v>
      </c>
      <c r="H677" s="4"/>
      <c r="I677" s="4"/>
      <c r="J677" s="3"/>
      <c r="K677" s="449"/>
      <c r="L677" s="449"/>
      <c r="M677" s="449" t="str">
        <f>IF(L677="","",
IF(AX677="PT",VLOOKUP(L677,Foundation_Calc!$V$79:$X$113,VLOOKUP(AX677,Foundation_Calc!$I$10:$J$13,2,FALSE),0),
IF(AX677="K",VLOOKUP(L677,Foundation_Calc!$V$117:$X$151,VLOOKUP(AX677,Foundation_Calc!$I$10:$J$13,2,FALSE),0),"")))</f>
        <v/>
      </c>
      <c r="N677" s="449"/>
      <c r="O677" s="449"/>
      <c r="P677" s="449"/>
      <c r="Q677" s="4"/>
      <c r="R677" s="6"/>
      <c r="S677" s="6"/>
      <c r="T677" s="4"/>
      <c r="U677" s="4"/>
      <c r="V677" s="4"/>
      <c r="W677" s="9"/>
      <c r="X677" s="9"/>
      <c r="Y677" s="9"/>
      <c r="Z677" s="9"/>
      <c r="AA677" s="9"/>
      <c r="AB677" s="9"/>
      <c r="AC677" s="449" t="str">
        <f t="shared" si="74"/>
        <v/>
      </c>
      <c r="AD677" s="449"/>
      <c r="AE677" s="449"/>
      <c r="AF677" s="4"/>
      <c r="AG677" s="83"/>
      <c r="AH677" s="4"/>
      <c r="AI677" s="4"/>
      <c r="AJ677" s="449"/>
      <c r="AK677" s="449"/>
      <c r="AL677" s="449"/>
      <c r="AM677" s="449"/>
      <c r="AN677" s="10"/>
      <c r="AO677" s="9"/>
      <c r="AP677" s="9"/>
      <c r="AQ677" s="9">
        <f>+FL_1($T$678,$T$676,$G$677,1200,9.28,-1*$F$678)</f>
        <v>0.41310727060139851</v>
      </c>
      <c r="AR677" s="9"/>
      <c r="AS677" s="9"/>
      <c r="AT677" s="9"/>
      <c r="AU677" s="428"/>
      <c r="AV677" s="428"/>
      <c r="AW677" s="449" t="str">
        <f>IF(C677&gt;0,VLOOKUP(C677,Foundation_Calc!$A$2:$C$13,3,1),
IF(J677&gt;0,VLOOKUP(J677,Foundation_Calc!$A$2:$C$13,3,1),""))</f>
        <v/>
      </c>
      <c r="AX677" s="449" t="str">
        <f>IF(C677&gt;0,VLOOKUP(C677,Foundation_Calc!$E$2:$G$33,3,1),
IF(J677&gt;0,VLOOKUP(J677,Foundation_Calc!$E$2:$G$33,3,1),""))</f>
        <v/>
      </c>
      <c r="AY677" s="10" t="str">
        <f>IF(L677="","",
IF(AX677="PT",VLOOKUP(L677,Foundation_Calc!$K$79:$R$113,VLOOKUP(AW677,Foundation_Calc!$I$2:$J$8,2,FALSE),0),
IF(AX677="K",VLOOKUP(L677,Foundation_Calc!$K$117:$R$151,VLOOKUP(AW677,Foundation_Calc!$I$2:$J$8,2,FALSE),0),"")))</f>
        <v/>
      </c>
      <c r="AZ677" s="10" t="str">
        <f>IF(K677="","",
IF(AX677="PT",VLOOKUP(K677,Foundation_Calc!$K$79:$R$113,VLOOKUP(AW677,Foundation_Calc!$I$2:$J$8,2,FALSE),0),
IF(AX677="K",VLOOKUP(K677,Foundation_Calc!$K$117:$R$151,VLOOKUP(AW677,Foundation_Calc!$I$2:$J$8,2,FALSE),0),"")))</f>
        <v/>
      </c>
      <c r="BA677" s="495" t="str">
        <f t="shared" si="78"/>
        <v/>
      </c>
      <c r="BB677" s="495" t="str">
        <f t="shared" si="79"/>
        <v/>
      </c>
      <c r="BC677" s="495" t="str">
        <f t="shared" si="80"/>
        <v/>
      </c>
      <c r="BD677" s="513" t="str">
        <f>IF(AND(L677="",H677=""),"",
IF(H677="",Pole_Calc!A$9,
IF(H677="MP",Pole_Calc!A$10,
IF(H677="AnMP",Pole_Calc!A$11,
IF(H677="A",Pole_Calc!A$12,
IF(H677="S/A",Pole_Calc!A$13,
IF(H677="A/S",Pole_Calc!A$14,"Poner a mano")))))))</f>
        <v/>
      </c>
      <c r="BE677" s="429" t="s">
        <v>118</v>
      </c>
      <c r="BF677" s="290"/>
      <c r="BG677" s="290"/>
      <c r="BH677" s="290"/>
      <c r="BI677" s="290"/>
    </row>
    <row r="678" spans="1:61" ht="15.75" customHeight="1">
      <c r="A678" s="518"/>
      <c r="B678" s="450" t="s">
        <v>584</v>
      </c>
      <c r="C678" s="3">
        <f>+$C$676+$G$677</f>
        <v>46360.69</v>
      </c>
      <c r="D678" s="83"/>
      <c r="E678" s="4"/>
      <c r="F678" s="4">
        <f>IF(C678&gt;0,VLOOKUP(C678,'ALIGNMENT TRACK'!$A$1:$K$81,9,1))</f>
        <v>0</v>
      </c>
      <c r="G678" s="6"/>
      <c r="H678" s="4"/>
      <c r="I678" s="4"/>
      <c r="J678" s="3"/>
      <c r="K678" s="449"/>
      <c r="L678" s="449" t="s">
        <v>153</v>
      </c>
      <c r="M678" s="449" t="str">
        <f>IF(L678="","",
IF(AX678="PT",VLOOKUP(L678,Foundation_Calc!$V$79:$X$113,VLOOKUP(AX678,Foundation_Calc!$I$10:$J$13,2,FALSE),0),
IF(AX678="K",VLOOKUP(L678,Foundation_Calc!$V$117:$X$151,VLOOKUP(AX678,Foundation_Calc!$I$10:$J$13,2,FALSE),0),"")))</f>
        <v>C3R</v>
      </c>
      <c r="N678" s="449" t="s">
        <v>124</v>
      </c>
      <c r="O678" s="449"/>
      <c r="P678" s="449"/>
      <c r="Q678" s="4"/>
      <c r="R678" s="6"/>
      <c r="S678" s="6"/>
      <c r="T678" s="4">
        <v>-35</v>
      </c>
      <c r="U678" s="4"/>
      <c r="V678" s="4"/>
      <c r="W678" s="9">
        <v>1.4</v>
      </c>
      <c r="X678" s="9"/>
      <c r="Y678" s="9"/>
      <c r="Z678" s="9"/>
      <c r="AA678" s="9"/>
      <c r="AB678" s="9"/>
      <c r="AC678" s="449" t="str">
        <f t="shared" si="74"/>
        <v>PHQ</v>
      </c>
      <c r="AD678" s="449"/>
      <c r="AE678" s="449"/>
      <c r="AF678" s="4"/>
      <c r="AG678" s="83"/>
      <c r="AH678" s="4"/>
      <c r="AI678" s="4"/>
      <c r="AJ678" s="449"/>
      <c r="AK678" s="449"/>
      <c r="AL678" s="449"/>
      <c r="AM678" s="449" t="s">
        <v>552</v>
      </c>
      <c r="AN678" s="10">
        <v>5.5</v>
      </c>
      <c r="AO678" s="9"/>
      <c r="AP678" s="9"/>
      <c r="AQ678" s="9"/>
      <c r="AR678" s="9"/>
      <c r="AS678" s="9"/>
      <c r="AT678" s="9">
        <f>+ab($T$678,$T$676,$T$680,$G$677,$G$679,-1*$F$678,1200)</f>
        <v>-7.5205644400378526</v>
      </c>
      <c r="AU678" s="428"/>
      <c r="AV678" s="428"/>
      <c r="AW678" s="449" t="str">
        <f>IF(C678&gt;0,VLOOKUP(C678,Foundation_Calc!$A$2:$C$13,3,1),
IF(J678&gt;0,VLOOKUP(J678,Foundation_Calc!$A$2:$C$13,3,1),""))</f>
        <v>Multi Soil</v>
      </c>
      <c r="AX678" s="449" t="str">
        <f>IF(C678&gt;0,VLOOKUP(C678,Foundation_Calc!$E$2:$G$33,3,1),
IF(J678&gt;0,VLOOKUP(J678,Foundation_Calc!$E$2:$G$33,3,1),""))</f>
        <v>PT</v>
      </c>
      <c r="AY678" s="10">
        <f>IF(L678="","",
IF(AX678="PT",VLOOKUP(L678,Foundation_Calc!$K$79:$R$113,VLOOKUP(AW678,Foundation_Calc!$I$2:$J$8,2,FALSE),0),
IF(AX678="K",VLOOKUP(L678,Foundation_Calc!$K$117:$R$151,VLOOKUP(AW678,Foundation_Calc!$I$2:$J$8,2,FALSE),0),"")))</f>
        <v>3.5</v>
      </c>
      <c r="AZ678" s="10" t="str">
        <f>IF(K678="","",
IF(AX678="PT",VLOOKUP(K678,Foundation_Calc!$K$79:$R$113,VLOOKUP(AW678,Foundation_Calc!$I$2:$J$8,2,FALSE),0),
IF(AX678="K",VLOOKUP(K678,Foundation_Calc!$K$117:$R$151,VLOOKUP(AW678,Foundation_Calc!$I$2:$J$8,2,FALSE),0),"")))</f>
        <v/>
      </c>
      <c r="BA678" s="495" t="str">
        <f t="shared" si="78"/>
        <v>ü</v>
      </c>
      <c r="BB678" s="495" t="str">
        <f t="shared" si="79"/>
        <v/>
      </c>
      <c r="BC678" s="495" t="str">
        <f t="shared" si="80"/>
        <v/>
      </c>
      <c r="BD678" s="513" t="str">
        <f>IF(AND(L678="",H678=""),"",
IF(H678="",Pole_Calc!A$9,
IF(H678="MP",Pole_Calc!A$10,
IF(H678="AnMP",Pole_Calc!A$11,
IF(H678="A",Pole_Calc!A$12,
IF(H678="S/A",Pole_Calc!A$13,
IF(H678="A/S",Pole_Calc!A$14,"Poner a mano")))))))</f>
        <v>App.7-V11I-P9.5.1.1</v>
      </c>
      <c r="BE678" s="429" t="s">
        <v>118</v>
      </c>
      <c r="BF678" s="289"/>
      <c r="BG678" s="289"/>
      <c r="BH678" s="290"/>
      <c r="BI678" s="289"/>
    </row>
    <row r="679" spans="1:61" ht="15.75" customHeight="1">
      <c r="A679" s="518"/>
      <c r="B679" s="450"/>
      <c r="C679" s="3"/>
      <c r="D679" s="83"/>
      <c r="E679" s="4"/>
      <c r="F679" s="4"/>
      <c r="G679" s="6">
        <v>49.5</v>
      </c>
      <c r="H679" s="4"/>
      <c r="I679" s="4"/>
      <c r="J679" s="3"/>
      <c r="K679" s="449"/>
      <c r="L679" s="449"/>
      <c r="M679" s="449" t="str">
        <f>IF(L679="","",
IF(AX679="PT",VLOOKUP(L679,Foundation_Calc!$V$79:$X$113,VLOOKUP(AX679,Foundation_Calc!$I$10:$J$13,2,FALSE),0),
IF(AX679="K",VLOOKUP(L679,Foundation_Calc!$V$117:$X$151,VLOOKUP(AX679,Foundation_Calc!$I$10:$J$13,2,FALSE),0),"")))</f>
        <v/>
      </c>
      <c r="N679" s="449"/>
      <c r="O679" s="449"/>
      <c r="P679" s="449"/>
      <c r="Q679" s="4"/>
      <c r="R679" s="6"/>
      <c r="S679" s="6"/>
      <c r="T679" s="4"/>
      <c r="U679" s="4"/>
      <c r="V679" s="4"/>
      <c r="W679" s="9"/>
      <c r="X679" s="9"/>
      <c r="Y679" s="9"/>
      <c r="Z679" s="9"/>
      <c r="AA679" s="9"/>
      <c r="AB679" s="9"/>
      <c r="AC679" s="449" t="str">
        <f t="shared" si="74"/>
        <v/>
      </c>
      <c r="AD679" s="449"/>
      <c r="AE679" s="449"/>
      <c r="AF679" s="4"/>
      <c r="AG679" s="83"/>
      <c r="AH679" s="4"/>
      <c r="AI679" s="4"/>
      <c r="AJ679" s="449"/>
      <c r="AK679" s="449"/>
      <c r="AL679" s="449"/>
      <c r="AM679" s="449"/>
      <c r="AN679" s="10"/>
      <c r="AO679" s="9"/>
      <c r="AP679" s="9"/>
      <c r="AQ679" s="9">
        <f>+FL_2($T$680,$T$678,$G$679,1200,9.28,-1*$F$680)</f>
        <v>-0.36760374672753793</v>
      </c>
      <c r="AR679" s="9"/>
      <c r="AS679" s="9"/>
      <c r="AT679" s="9"/>
      <c r="AU679" s="428"/>
      <c r="AV679" s="428"/>
      <c r="AW679" s="449" t="str">
        <f>IF(C679&gt;0,VLOOKUP(C679,Foundation_Calc!$A$2:$C$13,3,1),
IF(J679&gt;0,VLOOKUP(J679,Foundation_Calc!$A$2:$C$13,3,1),""))</f>
        <v/>
      </c>
      <c r="AX679" s="449" t="str">
        <f>IF(C679&gt;0,VLOOKUP(C679,Foundation_Calc!$E$2:$G$33,3,1),
IF(J679&gt;0,VLOOKUP(J679,Foundation_Calc!$E$2:$G$33,3,1),""))</f>
        <v/>
      </c>
      <c r="AY679" s="10" t="str">
        <f>IF(L679="","",
IF(AX679="PT",VLOOKUP(L679,Foundation_Calc!$K$79:$R$113,VLOOKUP(AW679,Foundation_Calc!$I$2:$J$8,2,FALSE),0),
IF(AX679="K",VLOOKUP(L679,Foundation_Calc!$K$117:$R$151,VLOOKUP(AW679,Foundation_Calc!$I$2:$J$8,2,FALSE),0),"")))</f>
        <v/>
      </c>
      <c r="AZ679" s="10" t="str">
        <f>IF(K679="","",
IF(AX679="PT",VLOOKUP(K679,Foundation_Calc!$K$79:$R$113,VLOOKUP(AW679,Foundation_Calc!$I$2:$J$8,2,FALSE),0),
IF(AX679="K",VLOOKUP(K679,Foundation_Calc!$K$117:$R$151,VLOOKUP(AW679,Foundation_Calc!$I$2:$J$8,2,FALSE),0),"")))</f>
        <v/>
      </c>
      <c r="BA679" s="495" t="str">
        <f t="shared" si="78"/>
        <v/>
      </c>
      <c r="BB679" s="495" t="str">
        <f t="shared" si="79"/>
        <v/>
      </c>
      <c r="BC679" s="495" t="str">
        <f t="shared" si="80"/>
        <v/>
      </c>
      <c r="BD679" s="513" t="str">
        <f>IF(AND(L679="",H679=""),"",
IF(H679="",Pole_Calc!A$9,
IF(H679="MP",Pole_Calc!A$10,
IF(H679="AnMP",Pole_Calc!A$11,
IF(H679="A",Pole_Calc!A$12,
IF(H679="S/A",Pole_Calc!A$13,
IF(H679="A/S",Pole_Calc!A$14,"Poner a mano")))))))</f>
        <v/>
      </c>
      <c r="BE679" s="429" t="s">
        <v>118</v>
      </c>
      <c r="BF679" s="290"/>
      <c r="BG679" s="290"/>
      <c r="BH679" s="290"/>
      <c r="BI679" s="290"/>
    </row>
    <row r="680" spans="1:61" ht="15.75" customHeight="1">
      <c r="A680" s="514"/>
      <c r="B680" s="450" t="s">
        <v>585</v>
      </c>
      <c r="C680" s="3">
        <f>+$C$678+$G$679</f>
        <v>46410.19</v>
      </c>
      <c r="D680" s="83"/>
      <c r="E680" s="4"/>
      <c r="F680" s="4">
        <f>(548^2)/(C680-46399.06)</f>
        <v>26981.491464499042</v>
      </c>
      <c r="G680" s="6"/>
      <c r="H680" s="4"/>
      <c r="I680" s="4"/>
      <c r="J680" s="3"/>
      <c r="K680" s="449"/>
      <c r="L680" s="449" t="s">
        <v>158</v>
      </c>
      <c r="M680" s="449" t="str">
        <f>IF(L680="","",
IF(AX680="PT",VLOOKUP(L680,Foundation_Calc!$V$79:$X$113,VLOOKUP(AX680,Foundation_Calc!$I$10:$J$13,2,FALSE),0),
IF(AX680="K",VLOOKUP(L680,Foundation_Calc!$V$117:$X$151,VLOOKUP(AX680,Foundation_Calc!$I$10:$J$13,2,FALSE),0),"")))</f>
        <v>C4R</v>
      </c>
      <c r="N680" s="449" t="s">
        <v>134</v>
      </c>
      <c r="O680" s="449"/>
      <c r="P680" s="449"/>
      <c r="Q680" s="4"/>
      <c r="R680" s="6"/>
      <c r="S680" s="6"/>
      <c r="T680" s="4">
        <v>30</v>
      </c>
      <c r="U680" s="4"/>
      <c r="V680" s="4"/>
      <c r="W680" s="9">
        <v>1.4</v>
      </c>
      <c r="X680" s="9"/>
      <c r="Y680" s="9"/>
      <c r="Z680" s="9"/>
      <c r="AA680" s="9"/>
      <c r="AB680" s="9"/>
      <c r="AC680" s="449" t="str">
        <f t="shared" si="74"/>
        <v>PHQ</v>
      </c>
      <c r="AD680" s="449"/>
      <c r="AE680" s="449"/>
      <c r="AF680" s="4"/>
      <c r="AG680" s="83"/>
      <c r="AH680" s="4"/>
      <c r="AI680" s="4"/>
      <c r="AJ680" s="449"/>
      <c r="AK680" s="449"/>
      <c r="AL680" s="449"/>
      <c r="AM680" s="449" t="s">
        <v>552</v>
      </c>
      <c r="AN680" s="10">
        <v>5.5</v>
      </c>
      <c r="AO680" s="9"/>
      <c r="AP680" s="9"/>
      <c r="AQ680" s="9"/>
      <c r="AR680" s="9"/>
      <c r="AS680" s="9"/>
      <c r="AT680" s="9">
        <f>+ab($T$680,$T$678,$T$682,$G$679,$G$681,-1*$F$680,1200)</f>
        <v>6.8884608416067916</v>
      </c>
      <c r="AU680" s="428"/>
      <c r="AV680" s="428"/>
      <c r="AW680" s="449" t="str">
        <f>IF(C680&gt;0,VLOOKUP(C680,Foundation_Calc!$A$2:$C$13,3,1),
IF(J680&gt;0,VLOOKUP(J680,Foundation_Calc!$A$2:$C$13,3,1),""))</f>
        <v>Multi Soil</v>
      </c>
      <c r="AX680" s="449" t="str">
        <f>IF(C680&gt;0,VLOOKUP(C680,Foundation_Calc!$E$2:$G$33,3,1),
IF(J680&gt;0,VLOOKUP(J680,Foundation_Calc!$E$2:$G$33,3,1),""))</f>
        <v>PT</v>
      </c>
      <c r="AY680" s="10">
        <f>IF(L680="","",
IF(AX680="PT",VLOOKUP(L680,Foundation_Calc!$K$79:$R$113,VLOOKUP(AW680,Foundation_Calc!$I$2:$J$8,2,FALSE),0),
IF(AX680="K",VLOOKUP(L680,Foundation_Calc!$K$117:$R$151,VLOOKUP(AW680,Foundation_Calc!$I$2:$J$8,2,FALSE),0),"")))</f>
        <v>3.5</v>
      </c>
      <c r="AZ680" s="10" t="str">
        <f>IF(K680="","",
IF(AX680="PT",VLOOKUP(K680,Foundation_Calc!$K$79:$R$113,VLOOKUP(AW680,Foundation_Calc!$I$2:$J$8,2,FALSE),0),
IF(AX680="K",VLOOKUP(K680,Foundation_Calc!$K$117:$R$151,VLOOKUP(AW680,Foundation_Calc!$I$2:$J$8,2,FALSE),0),"")))</f>
        <v/>
      </c>
      <c r="BA680" s="495" t="str">
        <f t="shared" si="78"/>
        <v>ü</v>
      </c>
      <c r="BB680" s="495" t="str">
        <f t="shared" si="79"/>
        <v/>
      </c>
      <c r="BC680" s="495" t="str">
        <f t="shared" si="80"/>
        <v/>
      </c>
      <c r="BD680" s="513" t="str">
        <f>IF(AND(L680="",H680=""),"",
IF(H680="",Pole_Calc!A$9,
IF(H680="MP",Pole_Calc!A$10,
IF(H680="AnMP",Pole_Calc!A$11,
IF(H680="A",Pole_Calc!A$12,
IF(H680="S/A",Pole_Calc!A$13,
IF(H680="A/S",Pole_Calc!A$14,"Poner a mano")))))))</f>
        <v>App.7-V11I-P9.5.1.1</v>
      </c>
      <c r="BE680" s="429" t="s">
        <v>118</v>
      </c>
      <c r="BF680" s="289"/>
      <c r="BG680" s="289"/>
      <c r="BH680" s="290"/>
      <c r="BI680" s="289"/>
    </row>
    <row r="681" spans="1:61" ht="15.75" customHeight="1">
      <c r="A681" s="514" t="s">
        <v>413</v>
      </c>
      <c r="B681" s="450"/>
      <c r="C681" s="3"/>
      <c r="D681" s="83"/>
      <c r="E681" s="4"/>
      <c r="F681" s="4"/>
      <c r="G681" s="6">
        <v>40</v>
      </c>
      <c r="H681" s="449"/>
      <c r="I681" s="4"/>
      <c r="J681" s="3">
        <f>C682-7.5</f>
        <v>46442.69</v>
      </c>
      <c r="K681" s="449" t="s">
        <v>166</v>
      </c>
      <c r="L681" s="449"/>
      <c r="M681" s="449" t="str">
        <f>IF(L681="","",
IF(AX681="PT",VLOOKUP(L681,Foundation_Calc!$V$79:$X$113,VLOOKUP(AX681,Foundation_Calc!$I$10:$J$13,2,FALSE),0),
IF(AX681="K",VLOOKUP(L681,Foundation_Calc!$V$117:$X$151,VLOOKUP(AX681,Foundation_Calc!$I$10:$J$13,2,FALSE),0),"")))</f>
        <v/>
      </c>
      <c r="N681" s="575"/>
      <c r="O681" s="449"/>
      <c r="P681" s="575"/>
      <c r="Q681" s="4"/>
      <c r="R681" s="6"/>
      <c r="S681" s="6"/>
      <c r="T681" s="4"/>
      <c r="U681" s="4"/>
      <c r="V681" s="4"/>
      <c r="W681" s="9"/>
      <c r="X681" s="9"/>
      <c r="Y681" s="9"/>
      <c r="Z681" s="9"/>
      <c r="AA681" s="9"/>
      <c r="AB681" s="9"/>
      <c r="AC681" s="449" t="str">
        <f t="shared" si="74"/>
        <v/>
      </c>
      <c r="AD681" s="449"/>
      <c r="AE681" s="449"/>
      <c r="AF681" s="4"/>
      <c r="AG681" s="83"/>
      <c r="AH681" s="4"/>
      <c r="AI681" s="4"/>
      <c r="AJ681" s="449"/>
      <c r="AK681" s="449"/>
      <c r="AL681" s="449"/>
      <c r="AM681" s="449"/>
      <c r="AN681" s="10"/>
      <c r="AO681" s="9"/>
      <c r="AP681" s="9"/>
      <c r="AQ681" s="9">
        <f>+FL_2($T$682,$T$680,$G$681,1200,9.28,-1*$F$682)</f>
        <v>-0.35</v>
      </c>
      <c r="AR681" s="9"/>
      <c r="AS681" s="9"/>
      <c r="AT681" s="9"/>
      <c r="AU681" s="428"/>
      <c r="AV681" s="428"/>
      <c r="AW681" s="449" t="str">
        <f>IF(C681&gt;0,VLOOKUP(C681,Foundation_Calc!$A$2:$C$13,3,1),
IF(J681&gt;0,VLOOKUP(J681,Foundation_Calc!$A$2:$C$13,3,1),""))</f>
        <v>Multi Soil</v>
      </c>
      <c r="AX681" s="449" t="str">
        <f>IF(C681&gt;0,VLOOKUP(C681,Foundation_Calc!$E$2:$G$33,3,1),
IF(J681&gt;0,VLOOKUP(J681,Foundation_Calc!$E$2:$G$33,3,1),""))</f>
        <v>PT</v>
      </c>
      <c r="AY681" s="10" t="str">
        <f>IF(L681="","",
IF(AX681="PT",VLOOKUP(L681,Foundation_Calc!$K$79:$R$113,VLOOKUP(AW681,Foundation_Calc!$I$2:$J$8,2,FALSE),0),
IF(AX681="K",VLOOKUP(L681,Foundation_Calc!$K$117:$R$151,VLOOKUP(AW681,Foundation_Calc!$I$2:$J$8,2,FALSE),0),"")))</f>
        <v/>
      </c>
      <c r="AZ681" s="10">
        <f>IF(K681="","",
IF(AX681="PT",VLOOKUP(K681,Foundation_Calc!$K$79:$R$113,VLOOKUP(AW681,Foundation_Calc!$I$2:$J$8,2,FALSE),0),
IF(AX681="K",VLOOKUP(K681,Foundation_Calc!$K$117:$R$151,VLOOKUP(AW681,Foundation_Calc!$I$2:$J$8,2,FALSE),0),"")))</f>
        <v>2.8</v>
      </c>
      <c r="BA681" s="495" t="str">
        <f t="shared" si="78"/>
        <v/>
      </c>
      <c r="BB681" s="495" t="str">
        <f t="shared" si="79"/>
        <v>ü</v>
      </c>
      <c r="BC681" s="495" t="str">
        <f t="shared" si="80"/>
        <v/>
      </c>
      <c r="BD681" s="513" t="str">
        <f>IF(AND(L681="",H681=""),"",
IF(H681="",Pole_Calc!A$9,
IF(H681="MP",Pole_Calc!A$10,
IF(H681="AnMP",Pole_Calc!A$11,
IF(H681="A",Pole_Calc!A$12,
IF(H681="S/A",Pole_Calc!A$13,
IF(H681="A/S",Pole_Calc!A$14,"Poner a mano")))))))</f>
        <v/>
      </c>
      <c r="BE681" s="429" t="s">
        <v>118</v>
      </c>
      <c r="BF681" s="290"/>
      <c r="BG681" s="290"/>
      <c r="BH681" s="290"/>
      <c r="BI681" s="290"/>
    </row>
    <row r="682" spans="1:61" ht="15.75" customHeight="1">
      <c r="A682" s="514"/>
      <c r="B682" s="450" t="s">
        <v>586</v>
      </c>
      <c r="C682" s="3">
        <f>+$C$680+$G$681</f>
        <v>46450.19</v>
      </c>
      <c r="D682" s="83"/>
      <c r="E682" s="4"/>
      <c r="F682" s="4">
        <f>(548^2)/(C682-46399.06)</f>
        <v>5873.3424603945368</v>
      </c>
      <c r="G682" s="6"/>
      <c r="H682" s="449" t="s">
        <v>168</v>
      </c>
      <c r="I682" s="4"/>
      <c r="J682" s="3"/>
      <c r="K682" s="449"/>
      <c r="L682" s="449" t="s">
        <v>153</v>
      </c>
      <c r="M682" s="449" t="str">
        <f>IF(L682="","",
IF(AX682="PT",VLOOKUP(L682,Foundation_Calc!$V$79:$X$113,VLOOKUP(AX682,Foundation_Calc!$I$10:$J$13,2,FALSE),0),
IF(AX682="K",VLOOKUP(L682,Foundation_Calc!$V$117:$X$151,VLOOKUP(AX682,Foundation_Calc!$I$10:$J$13,2,FALSE),0),"")))</f>
        <v>C3R</v>
      </c>
      <c r="N682" s="449" t="s">
        <v>124</v>
      </c>
      <c r="O682" s="449"/>
      <c r="P682" s="449"/>
      <c r="Q682" s="4"/>
      <c r="R682" s="6"/>
      <c r="S682" s="6"/>
      <c r="T682" s="4">
        <v>-35</v>
      </c>
      <c r="U682" s="4"/>
      <c r="V682" s="4"/>
      <c r="W682" s="9">
        <v>1.4</v>
      </c>
      <c r="X682" s="9"/>
      <c r="Y682" s="9"/>
      <c r="Z682" s="9"/>
      <c r="AA682" s="9"/>
      <c r="AB682" s="9"/>
      <c r="AC682" s="449" t="str">
        <f t="shared" si="74"/>
        <v>PHQ</v>
      </c>
      <c r="AD682" s="449"/>
      <c r="AE682" s="449"/>
      <c r="AF682" s="4"/>
      <c r="AG682" s="83"/>
      <c r="AH682" s="4"/>
      <c r="AI682" s="4"/>
      <c r="AJ682" s="449"/>
      <c r="AK682" s="449"/>
      <c r="AL682" s="449"/>
      <c r="AM682" s="449" t="s">
        <v>552</v>
      </c>
      <c r="AN682" s="10">
        <v>5.5</v>
      </c>
      <c r="AO682" s="9"/>
      <c r="AP682" s="9"/>
      <c r="AQ682" s="9"/>
      <c r="AR682" s="9"/>
      <c r="AS682" s="9"/>
      <c r="AT682" s="9">
        <f>+ab($T$682,$T$680,$T$684,$G$681,$G$683,-1*$F$682,1200)</f>
        <v>-7.1172313030506666</v>
      </c>
      <c r="AU682" s="428"/>
      <c r="AV682" s="428"/>
      <c r="AW682" s="449" t="str">
        <f>IF(C682&gt;0,VLOOKUP(C682,Foundation_Calc!$A$2:$C$13,3,1),
IF(J682&gt;0,VLOOKUP(J682,Foundation_Calc!$A$2:$C$13,3,1),""))</f>
        <v>Multi Soil</v>
      </c>
      <c r="AX682" s="449" t="str">
        <f>IF(C682&gt;0,VLOOKUP(C682,Foundation_Calc!$E$2:$G$33,3,1),
IF(J682&gt;0,VLOOKUP(J682,Foundation_Calc!$E$2:$G$33,3,1),""))</f>
        <v>PT</v>
      </c>
      <c r="AY682" s="10">
        <f>IF(L682="","",
IF(AX682="PT",VLOOKUP(L682,Foundation_Calc!$K$79:$R$113,VLOOKUP(AW682,Foundation_Calc!$I$2:$J$8,2,FALSE),0),
IF(AX682="K",VLOOKUP(L682,Foundation_Calc!$K$117:$R$151,VLOOKUP(AW682,Foundation_Calc!$I$2:$J$8,2,FALSE),0),"")))</f>
        <v>3.5</v>
      </c>
      <c r="AZ682" s="10" t="str">
        <f>IF(K682="","",
IF(AX682="PT",VLOOKUP(K682,Foundation_Calc!$K$79:$R$113,VLOOKUP(AW682,Foundation_Calc!$I$2:$J$8,2,FALSE),0),
IF(AX682="K",VLOOKUP(K682,Foundation_Calc!$K$117:$R$151,VLOOKUP(AW682,Foundation_Calc!$I$2:$J$8,2,FALSE),0),"")))</f>
        <v/>
      </c>
      <c r="BA682" s="495" t="str">
        <f t="shared" si="78"/>
        <v>ü</v>
      </c>
      <c r="BB682" s="495" t="str">
        <f t="shared" si="79"/>
        <v/>
      </c>
      <c r="BC682" s="495" t="str">
        <f t="shared" si="80"/>
        <v/>
      </c>
      <c r="BD682" s="513" t="str">
        <f>IF(AND(L682="",H682=""),"",
IF(H682="",Pole_Calc!A$9,
IF(H682="MP",Pole_Calc!A$10,
IF(H682="AnMP",Pole_Calc!A$11,
IF(H682="A",Pole_Calc!A$12,
IF(H682="S/A",Pole_Calc!A$13,
IF(H682="A/S",Pole_Calc!A$14,"Poner a mano")))))))</f>
        <v>App.7-V11I-P9.5.1.3</v>
      </c>
      <c r="BE682" s="429" t="s">
        <v>118</v>
      </c>
      <c r="BF682" s="289"/>
      <c r="BG682" s="289"/>
      <c r="BH682" s="290"/>
      <c r="BI682" s="289"/>
    </row>
    <row r="683" spans="1:61" ht="15.75" customHeight="1">
      <c r="A683" s="514" t="s">
        <v>413</v>
      </c>
      <c r="B683" s="450"/>
      <c r="C683" s="3"/>
      <c r="D683" s="83"/>
      <c r="E683" s="4"/>
      <c r="F683" s="4"/>
      <c r="G683" s="6">
        <v>45.3</v>
      </c>
      <c r="H683" s="449"/>
      <c r="I683" s="4">
        <f>SUM(G663:G683)</f>
        <v>551.9</v>
      </c>
      <c r="J683" s="3"/>
      <c r="K683" s="449"/>
      <c r="L683" s="449"/>
      <c r="M683" s="449" t="str">
        <f>IF(L683="","",
IF(AX683="PT",VLOOKUP(L683,Foundation_Calc!$V$79:$X$113,VLOOKUP(AX683,Foundation_Calc!$I$10:$J$13,2,FALSE),0),
IF(AX683="K",VLOOKUP(L683,Foundation_Calc!$V$117:$X$151,VLOOKUP(AX683,Foundation_Calc!$I$10:$J$13,2,FALSE),0),"")))</f>
        <v/>
      </c>
      <c r="N683" s="575"/>
      <c r="O683" s="449"/>
      <c r="P683" s="575"/>
      <c r="Q683" s="4"/>
      <c r="R683" s="6"/>
      <c r="S683" s="6"/>
      <c r="T683" s="4"/>
      <c r="U683" s="4"/>
      <c r="V683" s="4"/>
      <c r="W683" s="9"/>
      <c r="X683" s="9"/>
      <c r="Y683" s="9"/>
      <c r="Z683" s="9"/>
      <c r="AA683" s="9"/>
      <c r="AB683" s="9"/>
      <c r="AC683" s="449" t="str">
        <f t="shared" si="74"/>
        <v/>
      </c>
      <c r="AD683" s="449"/>
      <c r="AE683" s="449"/>
      <c r="AF683" s="4"/>
      <c r="AG683" s="83"/>
      <c r="AH683" s="4"/>
      <c r="AI683" s="4"/>
      <c r="AJ683" s="449"/>
      <c r="AK683" s="449"/>
      <c r="AL683" s="449"/>
      <c r="AM683" s="449"/>
      <c r="AN683" s="10"/>
      <c r="AO683" s="9"/>
      <c r="AP683" s="9"/>
      <c r="AQ683" s="9">
        <f>+FL_2($T$684,$T$682,$G$683,1200,9.28,-1*$F$684)</f>
        <v>-0.40312277601873725</v>
      </c>
      <c r="AR683" s="9"/>
      <c r="AS683" s="9"/>
      <c r="AT683" s="9"/>
      <c r="AU683" s="428"/>
      <c r="AV683" s="428"/>
      <c r="AW683" s="449" t="str">
        <f>IF(C683&gt;0,VLOOKUP(C683,Foundation_Calc!$A$2:$C$13,3,1),
IF(J683&gt;0,VLOOKUP(J683,Foundation_Calc!$A$2:$C$13,3,1),""))</f>
        <v/>
      </c>
      <c r="AX683" s="449" t="str">
        <f>IF(C683&gt;0,VLOOKUP(C683,Foundation_Calc!$E$2:$G$33,3,1),
IF(J683&gt;0,VLOOKUP(J683,Foundation_Calc!$E$2:$G$33,3,1),""))</f>
        <v/>
      </c>
      <c r="AY683" s="10" t="str">
        <f>IF(L683="","",
IF(AX683="PT",VLOOKUP(L683,Foundation_Calc!$K$79:$R$113,VLOOKUP(AW683,Foundation_Calc!$I$2:$J$8,2,FALSE),0),
IF(AX683="K",VLOOKUP(L683,Foundation_Calc!$K$117:$R$151,VLOOKUP(AW683,Foundation_Calc!$I$2:$J$8,2,FALSE),0),"")))</f>
        <v/>
      </c>
      <c r="AZ683" s="10" t="str">
        <f>IF(K683="","",
IF(AX683="PT",VLOOKUP(K683,Foundation_Calc!$K$79:$R$113,VLOOKUP(AW683,Foundation_Calc!$I$2:$J$8,2,FALSE),0),
IF(AX683="K",VLOOKUP(K683,Foundation_Calc!$K$117:$R$151,VLOOKUP(AW683,Foundation_Calc!$I$2:$J$8,2,FALSE),0),"")))</f>
        <v/>
      </c>
      <c r="BA683" s="495" t="str">
        <f t="shared" si="78"/>
        <v/>
      </c>
      <c r="BB683" s="495" t="str">
        <f t="shared" si="79"/>
        <v/>
      </c>
      <c r="BC683" s="495" t="str">
        <f t="shared" si="80"/>
        <v/>
      </c>
      <c r="BD683" s="513" t="str">
        <f>IF(AND(L683="",H683=""),"",
IF(H683="",Pole_Calc!A$9,
IF(H683="MP",Pole_Calc!A$10,
IF(H683="AnMP",Pole_Calc!A$11,
IF(H683="A",Pole_Calc!A$12,
IF(H683="S/A",Pole_Calc!A$13,
IF(H683="A/S",Pole_Calc!A$14,"Poner a mano")))))))</f>
        <v/>
      </c>
      <c r="BE683" s="429" t="s">
        <v>118</v>
      </c>
      <c r="BF683" s="290"/>
      <c r="BG683" s="290"/>
      <c r="BH683" s="290"/>
      <c r="BI683" s="290"/>
    </row>
    <row r="684" spans="1:61" ht="15.75" customHeight="1">
      <c r="A684" s="514"/>
      <c r="B684" s="450" t="s">
        <v>587</v>
      </c>
      <c r="C684" s="3">
        <f>+$C$682+$G$683</f>
        <v>46495.490000000005</v>
      </c>
      <c r="D684" s="83"/>
      <c r="E684" s="4"/>
      <c r="F684" s="4">
        <f>(548^2)/(C684-46399.06)</f>
        <v>3114.217567146909</v>
      </c>
      <c r="G684" s="6"/>
      <c r="H684" s="449" t="s">
        <v>171</v>
      </c>
      <c r="I684" s="4"/>
      <c r="J684" s="3"/>
      <c r="K684" s="449"/>
      <c r="L684" s="449" t="s">
        <v>151</v>
      </c>
      <c r="M684" s="449" t="str">
        <f>IF(L684="","",
IF(AX684="PT",VLOOKUP(L684,Foundation_Calc!$V$79:$X$113,VLOOKUP(AX684,Foundation_Calc!$I$10:$J$13,2,FALSE),0),
IF(AX684="K",VLOOKUP(L684,Foundation_Calc!$V$117:$X$151,VLOOKUP(AX684,Foundation_Calc!$I$10:$J$13,2,FALSE),0),"")))</f>
        <v>C4R</v>
      </c>
      <c r="N684" s="449" t="s">
        <v>124</v>
      </c>
      <c r="O684" s="449"/>
      <c r="P684" s="449"/>
      <c r="Q684" s="4"/>
      <c r="R684" s="6"/>
      <c r="S684" s="6"/>
      <c r="T684" s="4">
        <v>-20</v>
      </c>
      <c r="U684" s="4"/>
      <c r="V684" s="4"/>
      <c r="W684" s="9">
        <v>1.4</v>
      </c>
      <c r="X684" s="9"/>
      <c r="Y684" s="9"/>
      <c r="Z684" s="9"/>
      <c r="AA684" s="9"/>
      <c r="AB684" s="9"/>
      <c r="AC684" s="449" t="str">
        <f t="shared" si="74"/>
        <v>PH</v>
      </c>
      <c r="AD684" s="449"/>
      <c r="AE684" s="449"/>
      <c r="AF684" s="4"/>
      <c r="AG684" s="83"/>
      <c r="AH684" s="4"/>
      <c r="AI684" s="4"/>
      <c r="AJ684" s="449"/>
      <c r="AK684" s="449"/>
      <c r="AL684" s="449"/>
      <c r="AM684" s="449" t="s">
        <v>552</v>
      </c>
      <c r="AN684" s="10">
        <v>5.5</v>
      </c>
      <c r="AO684" s="9"/>
      <c r="AP684" s="9"/>
      <c r="AQ684" s="9"/>
      <c r="AR684" s="9"/>
      <c r="AS684" s="9"/>
      <c r="AT684" s="9">
        <f>+ab($T$684,$T$682,$T$686,$G$683,$G$685,-1*$F$684,1200)</f>
        <v>-18.534585978273885</v>
      </c>
      <c r="AU684" s="428"/>
      <c r="AV684" s="428"/>
      <c r="AW684" s="449" t="str">
        <f>IF(C684&gt;0,VLOOKUP(C684,Foundation_Calc!$A$2:$C$13,3,1),
IF(J684&gt;0,VLOOKUP(J684,Foundation_Calc!$A$2:$C$13,3,1),""))</f>
        <v>Multi Soil</v>
      </c>
      <c r="AX684" s="449" t="str">
        <f>IF(C684&gt;0,VLOOKUP(C684,Foundation_Calc!$E$2:$G$33,3,1),
IF(J684&gt;0,VLOOKUP(J684,Foundation_Calc!$E$2:$G$33,3,1),""))</f>
        <v>PT</v>
      </c>
      <c r="AY684" s="10">
        <f>IF(L684="","",
IF(AX684="PT",VLOOKUP(L684,Foundation_Calc!$K$79:$R$113,VLOOKUP(AW684,Foundation_Calc!$I$2:$J$8,2,FALSE),0),
IF(AX684="K",VLOOKUP(L684,Foundation_Calc!$K$117:$R$151,VLOOKUP(AW684,Foundation_Calc!$I$2:$J$8,2,FALSE),0),"")))</f>
        <v>3.5</v>
      </c>
      <c r="AZ684" s="10" t="str">
        <f>IF(K684="","",
IF(AX684="PT",VLOOKUP(K684,Foundation_Calc!$K$79:$R$113,VLOOKUP(AW684,Foundation_Calc!$I$2:$J$8,2,FALSE),0),
IF(AX684="K",VLOOKUP(K684,Foundation_Calc!$K$117:$R$151,VLOOKUP(AW684,Foundation_Calc!$I$2:$J$8,2,FALSE),0),"")))</f>
        <v/>
      </c>
      <c r="BA684" s="495" t="str">
        <f t="shared" si="78"/>
        <v>ü</v>
      </c>
      <c r="BB684" s="495" t="str">
        <f t="shared" si="79"/>
        <v/>
      </c>
      <c r="BC684" s="495" t="str">
        <f t="shared" si="80"/>
        <v/>
      </c>
      <c r="BD684" s="513" t="str">
        <f>IF(AND(L684="",H684=""),"",
IF(H684="",Pole_Calc!A$9,
IF(H684="MP",Pole_Calc!A$10,
IF(H684="AnMP",Pole_Calc!A$11,
IF(H684="A",Pole_Calc!A$12,
IF(H684="S/A",Pole_Calc!A$13,
IF(H684="A/S",Pole_Calc!A$14,"Poner a mano")))))))</f>
        <v>App.7-V11I-P9.5.1.2</v>
      </c>
      <c r="BE684" s="429" t="s">
        <v>118</v>
      </c>
      <c r="BF684" s="289"/>
      <c r="BG684" s="289"/>
      <c r="BH684" s="290"/>
      <c r="BI684" s="289"/>
    </row>
    <row r="685" spans="1:61" ht="15.75" customHeight="1">
      <c r="A685" s="514"/>
      <c r="B685" s="450"/>
      <c r="C685" s="3"/>
      <c r="D685" s="83"/>
      <c r="E685" s="4"/>
      <c r="F685" s="4"/>
      <c r="G685" s="6">
        <v>50</v>
      </c>
      <c r="H685" s="449"/>
      <c r="I685" s="4">
        <f>SUM(G685:G705)</f>
        <v>575</v>
      </c>
      <c r="J685" s="3"/>
      <c r="K685" s="449"/>
      <c r="L685" s="449"/>
      <c r="M685" s="449" t="str">
        <f>IF(L685="","",
IF(AX685="PT",VLOOKUP(L685,Foundation_Calc!$V$79:$X$113,VLOOKUP(AX685,Foundation_Calc!$I$10:$J$13,2,FALSE),0),
IF(AX685="K",VLOOKUP(L685,Foundation_Calc!$V$117:$X$151,VLOOKUP(AX685,Foundation_Calc!$I$10:$J$13,2,FALSE),0),"")))</f>
        <v/>
      </c>
      <c r="N685" s="575"/>
      <c r="O685" s="449"/>
      <c r="P685" s="575"/>
      <c r="Q685" s="4"/>
      <c r="R685" s="6"/>
      <c r="S685" s="6"/>
      <c r="T685" s="4"/>
      <c r="U685" s="4"/>
      <c r="V685" s="4"/>
      <c r="W685" s="9"/>
      <c r="X685" s="9"/>
      <c r="Y685" s="9"/>
      <c r="Z685" s="9"/>
      <c r="AA685" s="9"/>
      <c r="AB685" s="9"/>
      <c r="AC685" s="449" t="str">
        <f t="shared" si="74"/>
        <v/>
      </c>
      <c r="AD685" s="449"/>
      <c r="AE685" s="449"/>
      <c r="AF685" s="4"/>
      <c r="AG685" s="83"/>
      <c r="AH685" s="4"/>
      <c r="AI685" s="4"/>
      <c r="AJ685" s="449"/>
      <c r="AK685" s="449"/>
      <c r="AL685" s="449"/>
      <c r="AM685" s="449"/>
      <c r="AN685" s="10"/>
      <c r="AO685" s="9"/>
      <c r="AP685" s="9"/>
      <c r="AQ685" s="9">
        <f>+FL_2($T$686,$T$684,$G$685,1200,9.28,-1*$F$686)</f>
        <v>-0.34628469460370503</v>
      </c>
      <c r="AR685" s="9"/>
      <c r="AS685" s="9"/>
      <c r="AT685" s="9"/>
      <c r="AU685" s="428"/>
      <c r="AV685" s="428"/>
      <c r="AW685" s="449" t="str">
        <f>IF(C685&gt;0,VLOOKUP(C685,Foundation_Calc!$A$2:$C$13,3,1),
IF(J685&gt;0,VLOOKUP(J685,Foundation_Calc!$A$2:$C$13,3,1),""))</f>
        <v/>
      </c>
      <c r="AX685" s="449" t="str">
        <f>IF(C685&gt;0,VLOOKUP(C685,Foundation_Calc!$E$2:$G$33,3,1),
IF(J685&gt;0,VLOOKUP(J685,Foundation_Calc!$E$2:$G$33,3,1),""))</f>
        <v/>
      </c>
      <c r="AY685" s="10" t="str">
        <f>IF(L685="","",
IF(AX685="PT",VLOOKUP(L685,Foundation_Calc!$K$79:$R$113,VLOOKUP(AW685,Foundation_Calc!$I$2:$J$8,2,FALSE),0),
IF(AX685="K",VLOOKUP(L685,Foundation_Calc!$K$117:$R$151,VLOOKUP(AW685,Foundation_Calc!$I$2:$J$8,2,FALSE),0),"")))</f>
        <v/>
      </c>
      <c r="AZ685" s="10" t="str">
        <f>IF(K685="","",
IF(AX685="PT",VLOOKUP(K685,Foundation_Calc!$K$79:$R$113,VLOOKUP(AW685,Foundation_Calc!$I$2:$J$8,2,FALSE),0),
IF(AX685="K",VLOOKUP(K685,Foundation_Calc!$K$117:$R$151,VLOOKUP(AW685,Foundation_Calc!$I$2:$J$8,2,FALSE),0),"")))</f>
        <v/>
      </c>
      <c r="BA685" s="495" t="str">
        <f t="shared" si="78"/>
        <v/>
      </c>
      <c r="BB685" s="495" t="str">
        <f t="shared" si="79"/>
        <v/>
      </c>
      <c r="BC685" s="495" t="str">
        <f t="shared" si="80"/>
        <v/>
      </c>
      <c r="BD685" s="513" t="str">
        <f>IF(AND(L685="",H685=""),"",
IF(H685="",Pole_Calc!A$9,
IF(H685="MP",Pole_Calc!A$10,
IF(H685="AnMP",Pole_Calc!A$11,
IF(H685="A",Pole_Calc!A$12,
IF(H685="S/A",Pole_Calc!A$13,
IF(H685="A/S",Pole_Calc!A$14,"Poner a mano")))))))</f>
        <v/>
      </c>
      <c r="BE685" s="429" t="s">
        <v>118</v>
      </c>
      <c r="BF685" s="290"/>
      <c r="BG685" s="290"/>
      <c r="BH685" s="290"/>
      <c r="BI685" s="290"/>
    </row>
    <row r="686" spans="1:61" ht="15.75" customHeight="1">
      <c r="A686" s="514"/>
      <c r="B686" s="450" t="s">
        <v>588</v>
      </c>
      <c r="C686" s="3">
        <f>+$C$684+$G$685</f>
        <v>46545.490000000005</v>
      </c>
      <c r="D686" s="83"/>
      <c r="E686" s="4"/>
      <c r="F686" s="4">
        <f>(548^2)/(C686-46399.06)</f>
        <v>2050.8365772040188</v>
      </c>
      <c r="G686" s="6"/>
      <c r="H686" s="449" t="s">
        <v>168</v>
      </c>
      <c r="I686" s="4"/>
      <c r="J686" s="3"/>
      <c r="K686" s="449"/>
      <c r="L686" s="449" t="s">
        <v>183</v>
      </c>
      <c r="M686" s="449" t="str">
        <f>IF(L686="","",
IF(AX686="PT",VLOOKUP(L686,Foundation_Calc!$V$79:$X$113,VLOOKUP(AX686,Foundation_Calc!$I$10:$J$13,2,FALSE),0),
IF(AX686="K",VLOOKUP(L686,Foundation_Calc!$V$117:$X$151,VLOOKUP(AX686,Foundation_Calc!$I$10:$J$13,2,FALSE),0),"")))</f>
        <v>2C3R</v>
      </c>
      <c r="N686" s="449" t="s">
        <v>124</v>
      </c>
      <c r="O686" s="449"/>
      <c r="P686" s="449"/>
      <c r="Q686" s="4"/>
      <c r="R686" s="6"/>
      <c r="S686" s="6"/>
      <c r="T686" s="4">
        <v>-30</v>
      </c>
      <c r="U686" s="4"/>
      <c r="V686" s="4"/>
      <c r="W686" s="9">
        <v>1.4</v>
      </c>
      <c r="X686" s="9"/>
      <c r="Y686" s="9"/>
      <c r="Z686" s="9"/>
      <c r="AA686" s="9"/>
      <c r="AB686" s="9"/>
      <c r="AC686" s="449" t="str">
        <f t="shared" si="74"/>
        <v>PHQ</v>
      </c>
      <c r="AD686" s="449"/>
      <c r="AE686" s="449"/>
      <c r="AF686" s="4"/>
      <c r="AG686" s="83"/>
      <c r="AH686" s="4"/>
      <c r="AI686" s="4"/>
      <c r="AJ686" s="449"/>
      <c r="AK686" s="449"/>
      <c r="AL686" s="449"/>
      <c r="AM686" s="449" t="s">
        <v>552</v>
      </c>
      <c r="AN686" s="10">
        <v>5.5</v>
      </c>
      <c r="AO686" s="9"/>
      <c r="AP686" s="9"/>
      <c r="AQ686" s="9"/>
      <c r="AR686" s="9"/>
      <c r="AS686" s="9"/>
      <c r="AT686" s="9">
        <f>+ab($T$686,$T$684,$T$688,$G$685,$G$687,-1*$F$686,1200)</f>
        <v>-7.4394291620811979</v>
      </c>
      <c r="AU686" s="428"/>
      <c r="AV686" s="428"/>
      <c r="AW686" s="449" t="str">
        <f>IF(C686&gt;0,VLOOKUP(C686,Foundation_Calc!$A$2:$C$13,3,1),
IF(J686&gt;0,VLOOKUP(J686,Foundation_Calc!$A$2:$C$13,3,1),""))</f>
        <v>Multi Soil</v>
      </c>
      <c r="AX686" s="449" t="str">
        <f>IF(C686&gt;0,VLOOKUP(C686,Foundation_Calc!$E$2:$G$33,3,1),
IF(J686&gt;0,VLOOKUP(J686,Foundation_Calc!$E$2:$G$33,3,1),""))</f>
        <v>PT</v>
      </c>
      <c r="AY686" s="10">
        <f>IF(L686="","",
IF(AX686="PT",VLOOKUP(L686,Foundation_Calc!$K$79:$R$113,VLOOKUP(AW686,Foundation_Calc!$I$2:$J$8,2,FALSE),0),
IF(AX686="K",VLOOKUP(L686,Foundation_Calc!$K$117:$R$151,VLOOKUP(AW686,Foundation_Calc!$I$2:$J$8,2,FALSE),0),"")))</f>
        <v>3.7</v>
      </c>
      <c r="AZ686" s="10" t="str">
        <f>IF(K686="","",
IF(AX686="PT",VLOOKUP(K686,Foundation_Calc!$K$79:$R$113,VLOOKUP(AW686,Foundation_Calc!$I$2:$J$8,2,FALSE),0),
IF(AX686="K",VLOOKUP(K686,Foundation_Calc!$K$117:$R$151,VLOOKUP(AW686,Foundation_Calc!$I$2:$J$8,2,FALSE),0),"")))</f>
        <v/>
      </c>
      <c r="BA686" s="495" t="str">
        <f t="shared" si="78"/>
        <v>ü</v>
      </c>
      <c r="BB686" s="495" t="str">
        <f t="shared" si="79"/>
        <v/>
      </c>
      <c r="BC686" s="495" t="str">
        <f t="shared" si="80"/>
        <v/>
      </c>
      <c r="BD686" s="513" t="str">
        <f>IF(AND(L686="",H686=""),"",
IF(H686="",Pole_Calc!A$9,
IF(H686="MP",Pole_Calc!A$10,
IF(H686="AnMP",Pole_Calc!A$11,
IF(H686="A",Pole_Calc!A$12,
IF(H686="S/A",Pole_Calc!A$13,
IF(H686="A/S",Pole_Calc!A$14,"Poner a mano")))))))</f>
        <v>App.7-V11I-P9.5.1.3</v>
      </c>
      <c r="BE686" s="429" t="s">
        <v>118</v>
      </c>
      <c r="BF686" s="289"/>
      <c r="BG686" s="289"/>
      <c r="BH686" s="290"/>
      <c r="BI686" s="289"/>
    </row>
    <row r="687" spans="1:61" ht="15.75" customHeight="1">
      <c r="A687" s="514"/>
      <c r="B687" s="450"/>
      <c r="C687" s="3"/>
      <c r="D687" s="83"/>
      <c r="E687" s="4"/>
      <c r="F687" s="4"/>
      <c r="G687" s="6">
        <v>47</v>
      </c>
      <c r="H687" s="449"/>
      <c r="I687" s="4"/>
      <c r="J687" s="3">
        <f>C686+7.5</f>
        <v>46552.990000000005</v>
      </c>
      <c r="K687" s="449" t="s">
        <v>166</v>
      </c>
      <c r="L687" s="449"/>
      <c r="M687" s="449" t="str">
        <f>IF(L687="","",
IF(AX687="PT",VLOOKUP(L687,Foundation_Calc!$V$79:$X$113,VLOOKUP(AX687,Foundation_Calc!$I$10:$J$13,2,FALSE),0),
IF(AX687="K",VLOOKUP(L687,Foundation_Calc!$V$117:$X$151,VLOOKUP(AX687,Foundation_Calc!$I$10:$J$13,2,FALSE),0),"")))</f>
        <v/>
      </c>
      <c r="N687" s="575"/>
      <c r="O687" s="449"/>
      <c r="P687" s="575"/>
      <c r="Q687" s="4"/>
      <c r="R687" s="6"/>
      <c r="S687" s="6"/>
      <c r="T687" s="4"/>
      <c r="U687" s="4"/>
      <c r="V687" s="4"/>
      <c r="W687" s="9"/>
      <c r="X687" s="9"/>
      <c r="Y687" s="9"/>
      <c r="Z687" s="9"/>
      <c r="AA687" s="9"/>
      <c r="AB687" s="9"/>
      <c r="AC687" s="449" t="str">
        <f t="shared" si="74"/>
        <v/>
      </c>
      <c r="AD687" s="449"/>
      <c r="AE687" s="449"/>
      <c r="AF687" s="4"/>
      <c r="AG687" s="83"/>
      <c r="AH687" s="4"/>
      <c r="AI687" s="4"/>
      <c r="AJ687" s="449"/>
      <c r="AK687" s="449"/>
      <c r="AL687" s="449"/>
      <c r="AM687" s="449"/>
      <c r="AN687" s="10"/>
      <c r="AO687" s="9"/>
      <c r="AP687" s="9"/>
      <c r="AQ687" s="9">
        <f>+FL_1($T$688,$T$686,$G$687,1200,9.28,-1*$F$688)</f>
        <v>5.1603932309015166E-2</v>
      </c>
      <c r="AR687" s="9"/>
      <c r="AS687" s="9"/>
      <c r="AT687" s="9"/>
      <c r="AU687" s="428"/>
      <c r="AV687" s="428"/>
      <c r="AW687" s="449" t="str">
        <f>IF(C687&gt;0,VLOOKUP(C687,Foundation_Calc!$A$2:$C$13,3,1),
IF(J687&gt;0,VLOOKUP(J687,Foundation_Calc!$A$2:$C$13,3,1),""))</f>
        <v>Multi Soil</v>
      </c>
      <c r="AX687" s="449" t="str">
        <f>IF(C687&gt;0,VLOOKUP(C687,Foundation_Calc!$E$2:$G$33,3,1),
IF(J687&gt;0,VLOOKUP(J687,Foundation_Calc!$E$2:$G$33,3,1),""))</f>
        <v>PT</v>
      </c>
      <c r="AY687" s="10" t="str">
        <f>IF(L687="","",
IF(AX687="PT",VLOOKUP(L687,Foundation_Calc!$K$79:$R$113,VLOOKUP(AW687,Foundation_Calc!$I$2:$J$8,2,FALSE),0),
IF(AX687="K",VLOOKUP(L687,Foundation_Calc!$K$117:$R$151,VLOOKUP(AW687,Foundation_Calc!$I$2:$J$8,2,FALSE),0),"")))</f>
        <v/>
      </c>
      <c r="AZ687" s="10">
        <f>IF(K687="","",
IF(AX687="PT",VLOOKUP(K687,Foundation_Calc!$K$79:$R$113,VLOOKUP(AW687,Foundation_Calc!$I$2:$J$8,2,FALSE),0),
IF(AX687="K",VLOOKUP(K687,Foundation_Calc!$K$117:$R$151,VLOOKUP(AW687,Foundation_Calc!$I$2:$J$8,2,FALSE),0),"")))</f>
        <v>2.8</v>
      </c>
      <c r="BA687" s="495" t="str">
        <f t="shared" si="78"/>
        <v/>
      </c>
      <c r="BB687" s="495" t="str">
        <f t="shared" si="79"/>
        <v>ü</v>
      </c>
      <c r="BC687" s="495" t="str">
        <f t="shared" si="80"/>
        <v/>
      </c>
      <c r="BD687" s="513" t="str">
        <f>IF(AND(L687="",H687=""),"",
IF(H687="",Pole_Calc!A$9,
IF(H687="MP",Pole_Calc!A$10,
IF(H687="AnMP",Pole_Calc!A$11,
IF(H687="A",Pole_Calc!A$12,
IF(H687="S/A",Pole_Calc!A$13,
IF(H687="A/S",Pole_Calc!A$14,"Poner a mano")))))))</f>
        <v/>
      </c>
      <c r="BE687" s="429" t="s">
        <v>118</v>
      </c>
      <c r="BF687" s="290"/>
      <c r="BG687" s="290"/>
      <c r="BH687" s="290"/>
      <c r="BI687" s="290"/>
    </row>
    <row r="688" spans="1:61" ht="15.75" customHeight="1">
      <c r="A688" s="514" t="s">
        <v>589</v>
      </c>
      <c r="B688" s="450" t="s">
        <v>590</v>
      </c>
      <c r="C688" s="3">
        <f>+$C$686+$G$687</f>
        <v>46592.490000000005</v>
      </c>
      <c r="D688" s="83"/>
      <c r="E688" s="4"/>
      <c r="F688" s="4">
        <f>IF(C688&gt;0,VLOOKUP(C688,'ALIGNMENT TRACK'!$A$1:$K$81,9,1))</f>
        <v>2000</v>
      </c>
      <c r="G688" s="6"/>
      <c r="H688" s="449"/>
      <c r="I688" s="4"/>
      <c r="J688" s="3"/>
      <c r="K688" s="449"/>
      <c r="L688" s="449" t="s">
        <v>398</v>
      </c>
      <c r="M688" s="449" t="str">
        <f>IF(L688="","",
IF(AX688="PT",VLOOKUP(L688,Foundation_Calc!$V$79:$X$113,VLOOKUP(AX688,Foundation_Calc!$I$10:$J$13,2,FALSE),0),
IF(AX688="K",VLOOKUP(L688,Foundation_Calc!$V$117:$X$151,VLOOKUP(AX688,Foundation_Calc!$I$10:$J$13,2,FALSE),0),"")))</f>
        <v>C5R</v>
      </c>
      <c r="N688" s="449" t="s">
        <v>124</v>
      </c>
      <c r="O688" s="449"/>
      <c r="P688" s="449"/>
      <c r="Q688" s="4"/>
      <c r="R688" s="6"/>
      <c r="S688" s="6"/>
      <c r="T688" s="4">
        <v>-30</v>
      </c>
      <c r="U688" s="4"/>
      <c r="V688" s="4"/>
      <c r="W688" s="572">
        <v>1.4</v>
      </c>
      <c r="X688" s="9"/>
      <c r="Y688" s="9"/>
      <c r="Z688" s="9"/>
      <c r="AA688" s="9"/>
      <c r="AB688" s="9"/>
      <c r="AC688" s="449" t="str">
        <f t="shared" si="74"/>
        <v>PH</v>
      </c>
      <c r="AD688" s="449"/>
      <c r="AE688" s="449"/>
      <c r="AF688" s="4"/>
      <c r="AG688" s="83"/>
      <c r="AH688" s="4"/>
      <c r="AI688" s="4"/>
      <c r="AJ688" s="449"/>
      <c r="AK688" s="449"/>
      <c r="AL688" s="449"/>
      <c r="AM688" s="449" t="s">
        <v>552</v>
      </c>
      <c r="AN688" s="10">
        <v>5.5</v>
      </c>
      <c r="AO688" s="9"/>
      <c r="AP688" s="9"/>
      <c r="AQ688" s="9"/>
      <c r="AR688" s="9"/>
      <c r="AS688" s="9"/>
      <c r="AT688" s="9">
        <f>+ab($T$688,$T$686,$T$690,$G$687,$G$689,-1*$F$688,1200)</f>
        <v>-8.1110245242549741</v>
      </c>
      <c r="AU688" s="428"/>
      <c r="AV688" s="428"/>
      <c r="AW688" s="449" t="str">
        <f>IF(C688&gt;0,VLOOKUP(C688,Foundation_Calc!$A$2:$C$13,3,1),
IF(J688&gt;0,VLOOKUP(J688,Foundation_Calc!$A$2:$C$13,3,1),""))</f>
        <v>Multi Soil</v>
      </c>
      <c r="AX688" s="449" t="str">
        <f>IF(C688&gt;0,VLOOKUP(C688,Foundation_Calc!$E$2:$G$33,3,1),
IF(J688&gt;0,VLOOKUP(J688,Foundation_Calc!$E$2:$G$33,3,1),""))</f>
        <v>PT</v>
      </c>
      <c r="AY688" s="10">
        <f>IF(L688="","",
IF(AX688="PT",VLOOKUP(L688,Foundation_Calc!$K$79:$R$113,VLOOKUP(AW688,Foundation_Calc!$I$2:$J$8,2,FALSE),0),
IF(AX688="K",VLOOKUP(L688,Foundation_Calc!$K$117:$R$151,VLOOKUP(AW688,Foundation_Calc!$I$2:$J$8,2,FALSE),0),"")))</f>
        <v>3.5</v>
      </c>
      <c r="AZ688" s="10" t="str">
        <f>IF(K688="","",
IF(AX688="PT",VLOOKUP(K688,Foundation_Calc!$K$79:$R$113,VLOOKUP(AW688,Foundation_Calc!$I$2:$J$8,2,FALSE),0),
IF(AX688="K",VLOOKUP(K688,Foundation_Calc!$K$117:$R$151,VLOOKUP(AW688,Foundation_Calc!$I$2:$J$8,2,FALSE),0),"")))</f>
        <v/>
      </c>
      <c r="BA688" s="495" t="str">
        <f t="shared" si="78"/>
        <v>ü</v>
      </c>
      <c r="BB688" s="495" t="str">
        <f t="shared" si="79"/>
        <v/>
      </c>
      <c r="BC688" s="495" t="str">
        <f t="shared" si="80"/>
        <v/>
      </c>
      <c r="BD688" s="513" t="str">
        <f>IF(AND(L688="",H688=""),"",
IF(H688="",Pole_Calc!A$9,
IF(H688="MP",Pole_Calc!A$10,
IF(H688="AnMP",Pole_Calc!A$11,
IF(H688="A",Pole_Calc!A$12,
IF(H688="S/A",Pole_Calc!A$13,
IF(H688="A/S",Pole_Calc!A$14,"Poner a mano")))))))</f>
        <v>App.7-V11I-P9.5.1.1</v>
      </c>
      <c r="BE688" s="429" t="s">
        <v>118</v>
      </c>
      <c r="BF688" s="289"/>
      <c r="BG688" s="289"/>
      <c r="BH688" s="290"/>
      <c r="BI688" s="289"/>
    </row>
    <row r="689" spans="1:61" ht="15.75" customHeight="1">
      <c r="A689" s="514" t="s">
        <v>591</v>
      </c>
      <c r="B689" s="450"/>
      <c r="C689" s="3"/>
      <c r="D689" s="83"/>
      <c r="E689" s="4"/>
      <c r="F689" s="4"/>
      <c r="G689" s="6">
        <v>47</v>
      </c>
      <c r="H689" s="449"/>
      <c r="I689" s="4"/>
      <c r="J689" s="3"/>
      <c r="K689" s="449"/>
      <c r="L689" s="449"/>
      <c r="M689" s="449" t="str">
        <f>IF(L689="","",
IF(AX689="PT",VLOOKUP(L689,Foundation_Calc!$V$79:$X$113,VLOOKUP(AX689,Foundation_Calc!$I$10:$J$13,2,FALSE),0),
IF(AX689="K",VLOOKUP(L689,Foundation_Calc!$V$117:$X$151,VLOOKUP(AX689,Foundation_Calc!$I$10:$J$13,2,FALSE),0),"")))</f>
        <v/>
      </c>
      <c r="N689" s="580"/>
      <c r="O689" s="449"/>
      <c r="P689" s="449"/>
      <c r="Q689" s="4"/>
      <c r="R689" s="6"/>
      <c r="S689" s="6"/>
      <c r="T689" s="4"/>
      <c r="U689" s="4"/>
      <c r="V689" s="4"/>
      <c r="W689" s="572"/>
      <c r="X689" s="9"/>
      <c r="Y689" s="9"/>
      <c r="Z689" s="9"/>
      <c r="AA689" s="9"/>
      <c r="AB689" s="9"/>
      <c r="AC689" s="449" t="str">
        <f t="shared" si="74"/>
        <v/>
      </c>
      <c r="AD689" s="449"/>
      <c r="AE689" s="449"/>
      <c r="AF689" s="4"/>
      <c r="AG689" s="83"/>
      <c r="AH689" s="4"/>
      <c r="AI689" s="4"/>
      <c r="AJ689" s="449"/>
      <c r="AK689" s="449"/>
      <c r="AL689" s="449"/>
      <c r="AM689" s="449"/>
      <c r="AN689" s="10"/>
      <c r="AO689" s="9"/>
      <c r="AP689" s="9"/>
      <c r="AQ689" s="9">
        <f>+FL_1($T$690,$T$688,$G$689,1200,9.28,-1*$F$690)</f>
        <v>5.1603932309015166E-2</v>
      </c>
      <c r="AR689" s="9"/>
      <c r="AS689" s="9"/>
      <c r="AT689" s="9"/>
      <c r="AU689" s="428"/>
      <c r="AV689" s="428"/>
      <c r="AW689" s="449" t="str">
        <f>IF(C689&gt;0,VLOOKUP(C689,Foundation_Calc!$A$2:$C$13,3,1),
IF(J689&gt;0,VLOOKUP(J689,Foundation_Calc!$A$2:$C$13,3,1),""))</f>
        <v/>
      </c>
      <c r="AX689" s="449" t="str">
        <f>IF(C689&gt;0,VLOOKUP(C689,Foundation_Calc!$E$2:$G$33,3,1),
IF(J689&gt;0,VLOOKUP(J689,Foundation_Calc!$E$2:$G$33,3,1),""))</f>
        <v/>
      </c>
      <c r="AY689" s="10" t="str">
        <f>IF(L689="","",
IF(AX689="PT",VLOOKUP(L689,Foundation_Calc!$K$79:$R$113,VLOOKUP(AW689,Foundation_Calc!$I$2:$J$8,2,FALSE),0),
IF(AX689="K",VLOOKUP(L689,Foundation_Calc!$K$117:$R$151,VLOOKUP(AW689,Foundation_Calc!$I$2:$J$8,2,FALSE),0),"")))</f>
        <v/>
      </c>
      <c r="AZ689" s="10" t="str">
        <f>IF(K689="","",
IF(AX689="PT",VLOOKUP(K689,Foundation_Calc!$K$79:$R$113,VLOOKUP(AW689,Foundation_Calc!$I$2:$J$8,2,FALSE),0),
IF(AX689="K",VLOOKUP(K689,Foundation_Calc!$K$117:$R$151,VLOOKUP(AW689,Foundation_Calc!$I$2:$J$8,2,FALSE),0),"")))</f>
        <v/>
      </c>
      <c r="BA689" s="495" t="str">
        <f t="shared" si="78"/>
        <v/>
      </c>
      <c r="BB689" s="495" t="str">
        <f t="shared" si="79"/>
        <v/>
      </c>
      <c r="BC689" s="495" t="str">
        <f t="shared" si="80"/>
        <v/>
      </c>
      <c r="BD689" s="513" t="str">
        <f>IF(AND(L689="",H689=""),"",
IF(H689="",Pole_Calc!A$9,
IF(H689="MP",Pole_Calc!A$10,
IF(H689="AnMP",Pole_Calc!A$11,
IF(H689="A",Pole_Calc!A$12,
IF(H689="S/A",Pole_Calc!A$13,
IF(H689="A/S",Pole_Calc!A$14,"Poner a mano")))))))</f>
        <v/>
      </c>
      <c r="BE689" s="429" t="s">
        <v>118</v>
      </c>
      <c r="BF689" s="290"/>
      <c r="BG689" s="290"/>
      <c r="BH689" s="290"/>
      <c r="BI689" s="290"/>
    </row>
    <row r="690" spans="1:61" ht="15.75" customHeight="1">
      <c r="A690" s="518"/>
      <c r="B690" s="450" t="s">
        <v>592</v>
      </c>
      <c r="C690" s="3">
        <f>+$C$688+$G$689</f>
        <v>46639.490000000005</v>
      </c>
      <c r="D690" s="83"/>
      <c r="E690" s="4"/>
      <c r="F690" s="4">
        <f>IF(C690&gt;0,VLOOKUP(C690,'ALIGNMENT TRACK'!$A$1:$K$81,9,1))</f>
        <v>2000</v>
      </c>
      <c r="G690" s="6"/>
      <c r="H690" s="449"/>
      <c r="I690" s="4"/>
      <c r="J690" s="3"/>
      <c r="K690" s="449"/>
      <c r="L690" s="449" t="s">
        <v>398</v>
      </c>
      <c r="M690" s="449" t="str">
        <f>IF(L690="","",
IF(AX690="PT",VLOOKUP(L690,Foundation_Calc!$V$79:$X$113,VLOOKUP(AX690,Foundation_Calc!$I$10:$J$13,2,FALSE),0),
IF(AX690="K",VLOOKUP(L690,Foundation_Calc!$V$117:$X$151,VLOOKUP(AX690,Foundation_Calc!$I$10:$J$13,2,FALSE),0),"")))</f>
        <v>C5R</v>
      </c>
      <c r="N690" s="449" t="s">
        <v>124</v>
      </c>
      <c r="O690" s="449"/>
      <c r="P690" s="449"/>
      <c r="Q690" s="4"/>
      <c r="R690" s="6"/>
      <c r="S690" s="6"/>
      <c r="T690" s="4">
        <v>-30</v>
      </c>
      <c r="U690" s="4"/>
      <c r="V690" s="4"/>
      <c r="W690" s="572">
        <v>1.2</v>
      </c>
      <c r="X690" s="9"/>
      <c r="Y690" s="9"/>
      <c r="Z690" s="9"/>
      <c r="AA690" s="9"/>
      <c r="AB690" s="9"/>
      <c r="AC690" s="449" t="str">
        <f t="shared" si="74"/>
        <v>PH</v>
      </c>
      <c r="AD690" s="449"/>
      <c r="AE690" s="449"/>
      <c r="AF690" s="4"/>
      <c r="AG690" s="83"/>
      <c r="AH690" s="4"/>
      <c r="AI690" s="4"/>
      <c r="AJ690" s="449"/>
      <c r="AK690" s="449"/>
      <c r="AL690" s="449"/>
      <c r="AM690" s="449" t="s">
        <v>552</v>
      </c>
      <c r="AN690" s="10">
        <v>5.5</v>
      </c>
      <c r="AO690" s="9"/>
      <c r="AP690" s="9"/>
      <c r="AQ690" s="9"/>
      <c r="AR690" s="9"/>
      <c r="AS690" s="9"/>
      <c r="AT690" s="9">
        <f>+ab($T$690,$T$688,$T$692,$G$689,$G$691,-1*$F$690,1200)</f>
        <v>-8.1110245242549741</v>
      </c>
      <c r="AU690" s="428"/>
      <c r="AV690" s="428"/>
      <c r="AW690" s="449" t="str">
        <f>IF(C690&gt;0,VLOOKUP(C690,Foundation_Calc!$A$2:$C$13,3,1),
IF(J690&gt;0,VLOOKUP(J690,Foundation_Calc!$A$2:$C$13,3,1),""))</f>
        <v>Multi Soil</v>
      </c>
      <c r="AX690" s="449" t="str">
        <f>IF(C690&gt;0,VLOOKUP(C690,Foundation_Calc!$E$2:$G$33,3,1),
IF(J690&gt;0,VLOOKUP(J690,Foundation_Calc!$E$2:$G$33,3,1),""))</f>
        <v>PT</v>
      </c>
      <c r="AY690" s="10">
        <f>IF(L690="","",
IF(AX690="PT",VLOOKUP(L690,Foundation_Calc!$K$79:$R$113,VLOOKUP(AW690,Foundation_Calc!$I$2:$J$8,2,FALSE),0),
IF(AX690="K",VLOOKUP(L690,Foundation_Calc!$K$117:$R$151,VLOOKUP(AW690,Foundation_Calc!$I$2:$J$8,2,FALSE),0),"")))</f>
        <v>3.5</v>
      </c>
      <c r="AZ690" s="10" t="str">
        <f>IF(K690="","",
IF(AX690="PT",VLOOKUP(K690,Foundation_Calc!$K$79:$R$113,VLOOKUP(AW690,Foundation_Calc!$I$2:$J$8,2,FALSE),0),
IF(AX690="K",VLOOKUP(K690,Foundation_Calc!$K$117:$R$151,VLOOKUP(AW690,Foundation_Calc!$I$2:$J$8,2,FALSE),0),"")))</f>
        <v/>
      </c>
      <c r="BA690" s="495" t="str">
        <f t="shared" si="78"/>
        <v>ü</v>
      </c>
      <c r="BB690" s="495" t="str">
        <f t="shared" si="79"/>
        <v/>
      </c>
      <c r="BC690" s="495" t="str">
        <f t="shared" si="80"/>
        <v/>
      </c>
      <c r="BD690" s="513" t="str">
        <f>IF(AND(L690="",H690=""),"",
IF(H690="",Pole_Calc!A$9,
IF(H690="MP",Pole_Calc!A$10,
IF(H690="AnMP",Pole_Calc!A$11,
IF(H690="A",Pole_Calc!A$12,
IF(H690="S/A",Pole_Calc!A$13,
IF(H690="A/S",Pole_Calc!A$14,"Poner a mano")))))))</f>
        <v>App.7-V11I-P9.5.1.1</v>
      </c>
      <c r="BE690" s="429" t="s">
        <v>118</v>
      </c>
      <c r="BF690" s="289"/>
      <c r="BG690" s="289"/>
      <c r="BH690" s="290"/>
      <c r="BI690" s="289"/>
    </row>
    <row r="691" spans="1:61" ht="15.75" customHeight="1">
      <c r="A691" s="514" t="s">
        <v>413</v>
      </c>
      <c r="B691" s="450"/>
      <c r="C691" s="3"/>
      <c r="D691" s="83"/>
      <c r="E691" s="4"/>
      <c r="F691" s="4"/>
      <c r="G691" s="6">
        <v>47</v>
      </c>
      <c r="H691" s="449"/>
      <c r="I691" s="4"/>
      <c r="J691" s="3"/>
      <c r="K691" s="449"/>
      <c r="L691" s="449"/>
      <c r="M691" s="449" t="str">
        <f>IF(L691="","",
IF(AX691="PT",VLOOKUP(L691,Foundation_Calc!$V$79:$X$113,VLOOKUP(AX691,Foundation_Calc!$I$10:$J$13,2,FALSE),0),
IF(AX691="K",VLOOKUP(L691,Foundation_Calc!$V$117:$X$151,VLOOKUP(AX691,Foundation_Calc!$I$10:$J$13,2,FALSE),0),"")))</f>
        <v/>
      </c>
      <c r="N691" s="449"/>
      <c r="O691" s="449"/>
      <c r="P691" s="449"/>
      <c r="Q691" s="4"/>
      <c r="R691" s="6"/>
      <c r="S691" s="6"/>
      <c r="T691" s="4"/>
      <c r="U691" s="4"/>
      <c r="V691" s="4"/>
      <c r="W691" s="572"/>
      <c r="X691" s="9"/>
      <c r="Y691" s="9"/>
      <c r="Z691" s="9"/>
      <c r="AA691" s="9"/>
      <c r="AB691" s="9"/>
      <c r="AC691" s="449" t="str">
        <f t="shared" si="74"/>
        <v/>
      </c>
      <c r="AD691" s="449"/>
      <c r="AE691" s="449"/>
      <c r="AF691" s="4"/>
      <c r="AG691" s="83"/>
      <c r="AH691" s="4"/>
      <c r="AI691" s="4"/>
      <c r="AJ691" s="449"/>
      <c r="AK691" s="449"/>
      <c r="AL691" s="449"/>
      <c r="AM691" s="449"/>
      <c r="AN691" s="10"/>
      <c r="AO691" s="9"/>
      <c r="AP691" s="9"/>
      <c r="AQ691" s="9">
        <f>+FL_2($T$692,$T$690,$G$691,1200,9.28,-1*$F$692)</f>
        <v>-0.37777938236293063</v>
      </c>
      <c r="AR691" s="9"/>
      <c r="AS691" s="9"/>
      <c r="AT691" s="9"/>
      <c r="AU691" s="428"/>
      <c r="AV691" s="428"/>
      <c r="AW691" s="449" t="str">
        <f>IF(C691&gt;0,VLOOKUP(C691,Foundation_Calc!$A$2:$C$13,3,1),
IF(J691&gt;0,VLOOKUP(J691,Foundation_Calc!$A$2:$C$13,3,1),""))</f>
        <v/>
      </c>
      <c r="AX691" s="449" t="str">
        <f>IF(C691&gt;0,VLOOKUP(C691,Foundation_Calc!$E$2:$G$33,3,1),
IF(J691&gt;0,VLOOKUP(J691,Foundation_Calc!$E$2:$G$33,3,1),""))</f>
        <v/>
      </c>
      <c r="AY691" s="10" t="str">
        <f>IF(L691="","",
IF(AX691="PT",VLOOKUP(L691,Foundation_Calc!$K$79:$R$113,VLOOKUP(AW691,Foundation_Calc!$I$2:$J$8,2,FALSE),0),
IF(AX691="K",VLOOKUP(L691,Foundation_Calc!$K$117:$R$151,VLOOKUP(AW691,Foundation_Calc!$I$2:$J$8,2,FALSE),0),"")))</f>
        <v/>
      </c>
      <c r="AZ691" s="10" t="str">
        <f>IF(K691="","",
IF(AX691="PT",VLOOKUP(K691,Foundation_Calc!$K$79:$R$113,VLOOKUP(AW691,Foundation_Calc!$I$2:$J$8,2,FALSE),0),
IF(AX691="K",VLOOKUP(K691,Foundation_Calc!$K$117:$R$151,VLOOKUP(AW691,Foundation_Calc!$I$2:$J$8,2,FALSE),0),"")))</f>
        <v/>
      </c>
      <c r="BA691" s="495" t="str">
        <f t="shared" si="78"/>
        <v/>
      </c>
      <c r="BB691" s="495" t="str">
        <f t="shared" si="79"/>
        <v/>
      </c>
      <c r="BC691" s="495" t="str">
        <f t="shared" si="80"/>
        <v/>
      </c>
      <c r="BD691" s="513" t="str">
        <f>IF(AND(L691="",H691=""),"",
IF(H691="",Pole_Calc!A$9,
IF(H691="MP",Pole_Calc!A$10,
IF(H691="AnMP",Pole_Calc!A$11,
IF(H691="A",Pole_Calc!A$12,
IF(H691="S/A",Pole_Calc!A$13,
IF(H691="A/S",Pole_Calc!A$14,"Poner a mano")))))))</f>
        <v/>
      </c>
      <c r="BE691" s="429" t="s">
        <v>118</v>
      </c>
      <c r="BF691" s="290"/>
      <c r="BG691" s="290"/>
      <c r="BH691" s="290"/>
      <c r="BI691" s="290"/>
    </row>
    <row r="692" spans="1:61" ht="15.75" customHeight="1">
      <c r="A692" s="514"/>
      <c r="B692" s="720" t="s">
        <v>593</v>
      </c>
      <c r="C692" s="3">
        <f>+$C$690+$G$691</f>
        <v>46686.490000000005</v>
      </c>
      <c r="D692" s="83"/>
      <c r="E692" s="4"/>
      <c r="F692" s="4">
        <f>-(548^2)/(C692-46834.13)</f>
        <v>2034.0287185045786</v>
      </c>
      <c r="G692" s="6"/>
      <c r="H692" s="449"/>
      <c r="I692" s="4"/>
      <c r="J692" s="3"/>
      <c r="K692" s="449"/>
      <c r="L692" s="449" t="s">
        <v>183</v>
      </c>
      <c r="M692" s="449" t="str">
        <f>IF(L692="","",
IF(AX692="PT",VLOOKUP(L692,Foundation_Calc!$V$79:$X$113,VLOOKUP(AX692,Foundation_Calc!$I$10:$J$13,2,FALSE),0),
IF(AX692="K",VLOOKUP(L692,Foundation_Calc!$V$117:$X$151,VLOOKUP(AX692,Foundation_Calc!$I$10:$J$13,2,FALSE),0),"")))</f>
        <v>2C3R</v>
      </c>
      <c r="N692" s="449" t="s">
        <v>124</v>
      </c>
      <c r="O692" s="449"/>
      <c r="P692" s="449"/>
      <c r="Q692" s="4"/>
      <c r="R692" s="6"/>
      <c r="S692" s="6"/>
      <c r="T692" s="4">
        <v>-30</v>
      </c>
      <c r="U692" s="4"/>
      <c r="V692" s="4"/>
      <c r="W692" s="572">
        <v>0.9</v>
      </c>
      <c r="X692" s="9"/>
      <c r="Y692" s="9"/>
      <c r="Z692" s="9"/>
      <c r="AA692" s="9"/>
      <c r="AB692" s="9"/>
      <c r="AC692" s="449" t="str">
        <f t="shared" si="74"/>
        <v>PHQ</v>
      </c>
      <c r="AD692" s="449"/>
      <c r="AE692" s="449"/>
      <c r="AF692" s="4"/>
      <c r="AG692" s="83"/>
      <c r="AH692" s="4"/>
      <c r="AI692" s="4"/>
      <c r="AJ692" s="449"/>
      <c r="AK692" s="449"/>
      <c r="AL692" s="449"/>
      <c r="AM692" s="449" t="s">
        <v>552</v>
      </c>
      <c r="AN692" s="10">
        <v>5.5</v>
      </c>
      <c r="AO692" s="9"/>
      <c r="AP692" s="9"/>
      <c r="AQ692" s="9"/>
      <c r="AR692" s="9"/>
      <c r="AS692" s="9"/>
      <c r="AT692" s="9">
        <f>+ab($T$692,$T$690,$T$694,$G$691,$G$693,-1*$F$692,1200)</f>
        <v>-7.2115124257438428</v>
      </c>
      <c r="AU692" s="428"/>
      <c r="AV692" s="428"/>
      <c r="AW692" s="449" t="str">
        <f>IF(C692&gt;0,VLOOKUP(C692,Foundation_Calc!$A$2:$C$13,3,1),
IF(J692&gt;0,VLOOKUP(J692,Foundation_Calc!$A$2:$C$13,3,1),""))</f>
        <v>Multi Soil</v>
      </c>
      <c r="AX692" s="449" t="str">
        <f>IF(C692&gt;0,VLOOKUP(C692,Foundation_Calc!$E$2:$G$33,3,1),
IF(J692&gt;0,VLOOKUP(J692,Foundation_Calc!$E$2:$G$33,3,1),""))</f>
        <v>PT</v>
      </c>
      <c r="AY692" s="10">
        <f>IF(L692="","",
IF(AX692="PT",VLOOKUP(L692,Foundation_Calc!$K$79:$R$113,VLOOKUP(AW692,Foundation_Calc!$I$2:$J$8,2,FALSE),0),
IF(AX692="K",VLOOKUP(L692,Foundation_Calc!$K$117:$R$151,VLOOKUP(AW692,Foundation_Calc!$I$2:$J$8,2,FALSE),0),"")))</f>
        <v>3.7</v>
      </c>
      <c r="AZ692" s="10" t="str">
        <f>IF(K692="","",
IF(AX692="PT",VLOOKUP(K692,Foundation_Calc!$K$79:$R$113,VLOOKUP(AW692,Foundation_Calc!$I$2:$J$8,2,FALSE),0),
IF(AX692="K",VLOOKUP(K692,Foundation_Calc!$K$117:$R$151,VLOOKUP(AW692,Foundation_Calc!$I$2:$J$8,2,FALSE),0),"")))</f>
        <v/>
      </c>
      <c r="BA692" s="495" t="str">
        <f t="shared" si="78"/>
        <v>ü</v>
      </c>
      <c r="BB692" s="495" t="str">
        <f t="shared" si="79"/>
        <v/>
      </c>
      <c r="BC692" s="495" t="str">
        <f t="shared" si="80"/>
        <v/>
      </c>
      <c r="BD692" s="513" t="str">
        <f>Pole_Calc!A$209</f>
        <v>App.7-V11I-P12.3.1.5</v>
      </c>
      <c r="BE692" s="429" t="s">
        <v>118</v>
      </c>
      <c r="BF692" s="289"/>
      <c r="BG692" s="289"/>
      <c r="BH692" s="290"/>
      <c r="BI692" s="289"/>
    </row>
    <row r="693" spans="1:61" ht="15.75" customHeight="1">
      <c r="A693" s="514" t="s">
        <v>199</v>
      </c>
      <c r="B693" s="450"/>
      <c r="C693" s="3"/>
      <c r="D693" s="83"/>
      <c r="E693" s="4"/>
      <c r="F693" s="4"/>
      <c r="G693" s="6">
        <v>53</v>
      </c>
      <c r="H693" s="449"/>
      <c r="I693" s="4"/>
      <c r="J693" s="3"/>
      <c r="K693" s="449"/>
      <c r="L693" s="449"/>
      <c r="M693" s="449" t="str">
        <f>IF(L693="","",
IF(AX693="PT",VLOOKUP(L693,Foundation_Calc!$V$79:$X$113,VLOOKUP(AX693,Foundation_Calc!$I$10:$J$13,2,FALSE),0),
IF(AX693="K",VLOOKUP(L693,Foundation_Calc!$V$117:$X$151,VLOOKUP(AX693,Foundation_Calc!$I$10:$J$13,2,FALSE),0),"")))</f>
        <v/>
      </c>
      <c r="N693" s="449"/>
      <c r="O693" s="449"/>
      <c r="P693" s="449"/>
      <c r="Q693" s="4"/>
      <c r="R693" s="6"/>
      <c r="S693" s="6"/>
      <c r="T693" s="4"/>
      <c r="U693" s="4"/>
      <c r="V693" s="4"/>
      <c r="W693" s="572"/>
      <c r="X693" s="9"/>
      <c r="Y693" s="9"/>
      <c r="Z693" s="9"/>
      <c r="AA693" s="9"/>
      <c r="AB693" s="9"/>
      <c r="AC693" s="449" t="str">
        <f t="shared" si="74"/>
        <v/>
      </c>
      <c r="AD693" s="449"/>
      <c r="AE693" s="449"/>
      <c r="AF693" s="4"/>
      <c r="AG693" s="83"/>
      <c r="AH693" s="4"/>
      <c r="AI693" s="4"/>
      <c r="AJ693" s="449"/>
      <c r="AK693" s="449"/>
      <c r="AL693" s="449"/>
      <c r="AM693" s="449"/>
      <c r="AN693" s="10"/>
      <c r="AO693" s="9"/>
      <c r="AP693" s="9"/>
      <c r="AQ693" s="9">
        <f>+FL_2($T$694,$T$692,$G$693,1200,9.28,-1*$F$694)</f>
        <v>-0.4140448119817236</v>
      </c>
      <c r="AR693" s="9"/>
      <c r="AS693" s="9"/>
      <c r="AT693" s="9"/>
      <c r="AU693" s="428"/>
      <c r="AV693" s="428"/>
      <c r="AW693" s="449" t="str">
        <f>IF(C693&gt;0,VLOOKUP(C693,Foundation_Calc!$A$2:$C$13,3,1),
IF(J693&gt;0,VLOOKUP(J693,Foundation_Calc!$A$2:$C$13,3,1),""))</f>
        <v/>
      </c>
      <c r="AX693" s="449" t="str">
        <f>IF(C693&gt;0,VLOOKUP(C693,Foundation_Calc!$E$2:$G$33,3,1),
IF(J693&gt;0,VLOOKUP(J693,Foundation_Calc!$E$2:$G$33,3,1),""))</f>
        <v/>
      </c>
      <c r="AY693" s="10" t="str">
        <f>IF(L693="","",
IF(AX693="PT",VLOOKUP(L693,Foundation_Calc!$K$79:$R$113,VLOOKUP(AW693,Foundation_Calc!$I$2:$J$8,2,FALSE),0),
IF(AX693="K",VLOOKUP(L693,Foundation_Calc!$K$117:$R$151,VLOOKUP(AW693,Foundation_Calc!$I$2:$J$8,2,FALSE),0),"")))</f>
        <v/>
      </c>
      <c r="AZ693" s="10" t="str">
        <f>IF(K693="","",
IF(AX693="PT",VLOOKUP(K693,Foundation_Calc!$K$79:$R$113,VLOOKUP(AW693,Foundation_Calc!$I$2:$J$8,2,FALSE),0),
IF(AX693="K",VLOOKUP(K693,Foundation_Calc!$K$117:$R$151,VLOOKUP(AW693,Foundation_Calc!$I$2:$J$8,2,FALSE),0),"")))</f>
        <v/>
      </c>
      <c r="BA693" s="495" t="str">
        <f t="shared" si="78"/>
        <v/>
      </c>
      <c r="BB693" s="495" t="str">
        <f t="shared" si="79"/>
        <v/>
      </c>
      <c r="BC693" s="495" t="str">
        <f t="shared" si="80"/>
        <v/>
      </c>
      <c r="BD693" s="513" t="str">
        <f>IF(AND(L693="",H693=""),"",
IF(H693="",Pole_Calc!A$9,
IF(H693="MP",Pole_Calc!A$10,
IF(H693="AnMP",Pole_Calc!A$11,
IF(H693="A",Pole_Calc!A$12,
IF(H693="S/A",Pole_Calc!A$13,
IF(H693="A/S",Pole_Calc!A$14,"Poner a mano")))))))</f>
        <v/>
      </c>
      <c r="BE693" s="429" t="s">
        <v>118</v>
      </c>
      <c r="BF693" s="290"/>
      <c r="BG693" s="290"/>
      <c r="BH693" s="290"/>
      <c r="BI693" s="290"/>
    </row>
    <row r="694" spans="1:61" ht="15.75" customHeight="1">
      <c r="A694" s="733" t="s">
        <v>199</v>
      </c>
      <c r="B694" s="450" t="s">
        <v>594</v>
      </c>
      <c r="C694" s="3">
        <f>+$C$692+$G$693-0.63</f>
        <v>46738.860000000008</v>
      </c>
      <c r="D694" s="83"/>
      <c r="E694" s="4"/>
      <c r="F694" s="4">
        <f>-(548^2)/(C694-46834.13)</f>
        <v>3152.1360344288132</v>
      </c>
      <c r="G694" s="6"/>
      <c r="H694" s="449"/>
      <c r="I694" s="4"/>
      <c r="J694" s="3"/>
      <c r="K694" s="449"/>
      <c r="L694" s="449" t="s">
        <v>151</v>
      </c>
      <c r="M694" s="449" t="str">
        <f>IF(L694="","",
IF(AX694="PT",VLOOKUP(L694,Foundation_Calc!$V$79:$X$113,VLOOKUP(AX694,Foundation_Calc!$I$10:$J$13,2,FALSE),0),
IF(AX694="K",VLOOKUP(L694,Foundation_Calc!$V$117:$X$151,VLOOKUP(AX694,Foundation_Calc!$I$10:$J$13,2,FALSE),0),"")))</f>
        <v>C4R</v>
      </c>
      <c r="N694" s="449" t="s">
        <v>124</v>
      </c>
      <c r="O694" s="449"/>
      <c r="P694" s="449"/>
      <c r="Q694" s="4"/>
      <c r="R694" s="6"/>
      <c r="S694" s="6"/>
      <c r="T694" s="4">
        <v>-20</v>
      </c>
      <c r="U694" s="4"/>
      <c r="V694" s="4"/>
      <c r="W694" s="572">
        <v>0.9</v>
      </c>
      <c r="X694" s="9"/>
      <c r="Y694" s="9"/>
      <c r="Z694" s="9"/>
      <c r="AA694" s="9"/>
      <c r="AB694" s="9"/>
      <c r="AC694" s="449" t="str">
        <f t="shared" si="74"/>
        <v>PH</v>
      </c>
      <c r="AD694" s="449"/>
      <c r="AE694" s="449"/>
      <c r="AF694" s="4"/>
      <c r="AG694" s="83"/>
      <c r="AH694" s="4"/>
      <c r="AI694" s="4"/>
      <c r="AJ694" s="449"/>
      <c r="AK694" s="449"/>
      <c r="AL694" s="449"/>
      <c r="AM694" s="449" t="s">
        <v>552</v>
      </c>
      <c r="AN694" s="10">
        <v>5.5</v>
      </c>
      <c r="AO694" s="9"/>
      <c r="AP694" s="9"/>
      <c r="AQ694" s="9"/>
      <c r="AR694" s="9"/>
      <c r="AS694" s="9"/>
      <c r="AT694" s="9">
        <f>+ab($T$694,$T$692,$T$696,$G$693,$G$695,-1*$F$694,1200)</f>
        <v>-8.1391253366172851</v>
      </c>
      <c r="AU694" s="428"/>
      <c r="AV694" s="428"/>
      <c r="AW694" s="449" t="str">
        <f>IF(C694&gt;0,VLOOKUP(C694,Foundation_Calc!$A$2:$C$13,3,1),
IF(J694&gt;0,VLOOKUP(J694,Foundation_Calc!$A$2:$C$13,3,1),""))</f>
        <v>Multi Soil</v>
      </c>
      <c r="AX694" s="449" t="str">
        <f>IF(C694&gt;0,VLOOKUP(C694,Foundation_Calc!$E$2:$G$33,3,1),
IF(J694&gt;0,VLOOKUP(J694,Foundation_Calc!$E$2:$G$33,3,1),""))</f>
        <v>PT</v>
      </c>
      <c r="AY694" s="10">
        <f>IF(L694="","",
IF(AX694="PT",VLOOKUP(L694,Foundation_Calc!$K$79:$R$113,VLOOKUP(AW694,Foundation_Calc!$I$2:$J$8,2,FALSE),0),
IF(AX694="K",VLOOKUP(L694,Foundation_Calc!$K$117:$R$151,VLOOKUP(AW694,Foundation_Calc!$I$2:$J$8,2,FALSE),0),"")))</f>
        <v>3.5</v>
      </c>
      <c r="AZ694" s="10" t="str">
        <f>IF(K694="","",
IF(AX694="PT",VLOOKUP(K694,Foundation_Calc!$K$79:$R$113,VLOOKUP(AW694,Foundation_Calc!$I$2:$J$8,2,FALSE),0),
IF(AX694="K",VLOOKUP(K694,Foundation_Calc!$K$117:$R$151,VLOOKUP(AW694,Foundation_Calc!$I$2:$J$8,2,FALSE),0),"")))</f>
        <v/>
      </c>
      <c r="BA694" s="495" t="str">
        <f t="shared" si="78"/>
        <v>ü</v>
      </c>
      <c r="BB694" s="495" t="str">
        <f t="shared" si="79"/>
        <v/>
      </c>
      <c r="BC694" s="495" t="str">
        <f t="shared" si="80"/>
        <v/>
      </c>
      <c r="BD694" s="513" t="str">
        <f>IF(AND(L694="",H694=""),"",
IF(H694="",Pole_Calc!A$9,
IF(H694="MP",Pole_Calc!A$10,
IF(H694="AnMP",Pole_Calc!A$11,
IF(H694="A",Pole_Calc!A$12,
IF(H694="S/A",Pole_Calc!A$13,
IF(H694="A/S",Pole_Calc!A$14,"Poner a mano")))))))</f>
        <v>App.7-V11I-P9.5.1.1</v>
      </c>
      <c r="BE694" s="429" t="s">
        <v>118</v>
      </c>
      <c r="BF694" s="289"/>
      <c r="BG694" s="289"/>
      <c r="BH694" s="290"/>
      <c r="BI694" s="289"/>
    </row>
    <row r="695" spans="1:61" ht="15.75" customHeight="1">
      <c r="A695" s="514" t="s">
        <v>199</v>
      </c>
      <c r="B695" s="450"/>
      <c r="C695" s="3"/>
      <c r="D695" s="83"/>
      <c r="E695" s="4"/>
      <c r="F695" s="4"/>
      <c r="G695" s="6">
        <v>53</v>
      </c>
      <c r="H695" s="449"/>
      <c r="I695" s="4"/>
      <c r="J695" s="3"/>
      <c r="K695" s="449"/>
      <c r="L695" s="449"/>
      <c r="M695" s="449" t="str">
        <f>IF(L695="","",
IF(AX695="PT",VLOOKUP(L695,Foundation_Calc!$V$79:$X$113,VLOOKUP(AX695,Foundation_Calc!$I$10:$J$13,2,FALSE),0),
IF(AX695="K",VLOOKUP(L695,Foundation_Calc!$V$117:$X$151,VLOOKUP(AX695,Foundation_Calc!$I$10:$J$13,2,FALSE),0),"")))</f>
        <v/>
      </c>
      <c r="N695" s="449"/>
      <c r="O695" s="449"/>
      <c r="P695" s="449"/>
      <c r="Q695" s="4"/>
      <c r="R695" s="6"/>
      <c r="S695" s="6"/>
      <c r="T695" s="4"/>
      <c r="U695" s="4"/>
      <c r="V695" s="4"/>
      <c r="W695" s="572"/>
      <c r="X695" s="9"/>
      <c r="Y695" s="9"/>
      <c r="Z695" s="9"/>
      <c r="AA695" s="9"/>
      <c r="AB695" s="9"/>
      <c r="AC695" s="449" t="str">
        <f t="shared" si="74"/>
        <v/>
      </c>
      <c r="AD695" s="449"/>
      <c r="AE695" s="449"/>
      <c r="AF695" s="4"/>
      <c r="AG695" s="83"/>
      <c r="AH695" s="4"/>
      <c r="AI695" s="4"/>
      <c r="AJ695" s="449"/>
      <c r="AK695" s="449"/>
      <c r="AL695" s="449"/>
      <c r="AM695" s="449"/>
      <c r="AN695" s="10"/>
      <c r="AO695" s="9"/>
      <c r="AP695" s="9"/>
      <c r="AQ695" s="9">
        <f>+FL_1($T$696,$T$694,$G$695,1200,9.28,-1*$F$696)</f>
        <v>0.38539269994635295</v>
      </c>
      <c r="AR695" s="9"/>
      <c r="AS695" s="9"/>
      <c r="AT695" s="9"/>
      <c r="AU695" s="428"/>
      <c r="AV695" s="428"/>
      <c r="AW695" s="449" t="str">
        <f>IF(C695&gt;0,VLOOKUP(C695,Foundation_Calc!$A$2:$C$13,3,1),
IF(J695&gt;0,VLOOKUP(J695,Foundation_Calc!$A$2:$C$13,3,1),""))</f>
        <v/>
      </c>
      <c r="AX695" s="449" t="str">
        <f>IF(C695&gt;0,VLOOKUP(C695,Foundation_Calc!$E$2:$G$33,3,1),
IF(J695&gt;0,VLOOKUP(J695,Foundation_Calc!$E$2:$G$33,3,1),""))</f>
        <v/>
      </c>
      <c r="AY695" s="10" t="str">
        <f>IF(L695="","",
IF(AX695="PT",VLOOKUP(L695,Foundation_Calc!$K$79:$R$113,VLOOKUP(AW695,Foundation_Calc!$I$2:$J$8,2,FALSE),0),
IF(AX695="K",VLOOKUP(L695,Foundation_Calc!$K$117:$R$151,VLOOKUP(AW695,Foundation_Calc!$I$2:$J$8,2,FALSE),0),"")))</f>
        <v/>
      </c>
      <c r="AZ695" s="10" t="str">
        <f>IF(K695="","",
IF(AX695="PT",VLOOKUP(K695,Foundation_Calc!$K$79:$R$113,VLOOKUP(AW695,Foundation_Calc!$I$2:$J$8,2,FALSE),0),
IF(AX695="K",VLOOKUP(K695,Foundation_Calc!$K$117:$R$151,VLOOKUP(AW695,Foundation_Calc!$I$2:$J$8,2,FALSE),0),"")))</f>
        <v/>
      </c>
      <c r="BA695" s="495" t="str">
        <f t="shared" si="78"/>
        <v/>
      </c>
      <c r="BB695" s="495" t="str">
        <f t="shared" si="79"/>
        <v/>
      </c>
      <c r="BC695" s="495" t="str">
        <f t="shared" si="80"/>
        <v/>
      </c>
      <c r="BD695" s="513" t="str">
        <f>IF(AND(L695="",H695=""),"",
IF(H695="",Pole_Calc!A$9,
IF(H695="MP",Pole_Calc!A$10,
IF(H695="AnMP",Pole_Calc!A$11,
IF(H695="A",Pole_Calc!A$12,
IF(H695="S/A",Pole_Calc!A$13,
IF(H695="A/S",Pole_Calc!A$14,"Poner a mano")))))))</f>
        <v/>
      </c>
      <c r="BE695" s="429" t="s">
        <v>118</v>
      </c>
      <c r="BF695" s="290"/>
      <c r="BG695" s="290"/>
      <c r="BH695" s="290"/>
      <c r="BI695" s="290"/>
    </row>
    <row r="696" spans="1:61" ht="15.75" customHeight="1">
      <c r="A696" s="518"/>
      <c r="B696" s="450" t="s">
        <v>595</v>
      </c>
      <c r="C696" s="3">
        <f>+$C$694+$G$695</f>
        <v>46791.860000000008</v>
      </c>
      <c r="D696" s="83"/>
      <c r="E696" s="4"/>
      <c r="F696" s="4">
        <f>-(548^2)/(C696-46834.13)</f>
        <v>7104.4239413313089</v>
      </c>
      <c r="G696" s="6"/>
      <c r="H696" s="449"/>
      <c r="I696" s="4"/>
      <c r="J696" s="3"/>
      <c r="K696" s="449"/>
      <c r="L696" s="449" t="s">
        <v>153</v>
      </c>
      <c r="M696" s="449" t="str">
        <f>IF(L696="","",
IF(AX696="PT",VLOOKUP(L696,Foundation_Calc!$V$79:$X$113,VLOOKUP(AX696,Foundation_Calc!$I$10:$J$13,2,FALSE),0),
IF(AX696="K",VLOOKUP(L696,Foundation_Calc!$V$117:$X$151,VLOOKUP(AX696,Foundation_Calc!$I$10:$J$13,2,FALSE),0),"")))</f>
        <v>C3R</v>
      </c>
      <c r="N696" s="449" t="s">
        <v>134</v>
      </c>
      <c r="O696" s="449"/>
      <c r="P696" s="449"/>
      <c r="Q696" s="4"/>
      <c r="R696" s="6"/>
      <c r="S696" s="6"/>
      <c r="T696" s="4">
        <v>25</v>
      </c>
      <c r="U696" s="4"/>
      <c r="V696" s="4"/>
      <c r="W696" s="572">
        <v>0.9</v>
      </c>
      <c r="X696" s="9"/>
      <c r="Y696" s="9"/>
      <c r="Z696" s="9"/>
      <c r="AA696" s="9"/>
      <c r="AB696" s="9"/>
      <c r="AC696" s="449" t="str">
        <f t="shared" si="74"/>
        <v>PH</v>
      </c>
      <c r="AD696" s="449"/>
      <c r="AE696" s="449"/>
      <c r="AF696" s="4"/>
      <c r="AG696" s="83"/>
      <c r="AH696" s="4"/>
      <c r="AI696" s="4"/>
      <c r="AJ696" s="449"/>
      <c r="AK696" s="449"/>
      <c r="AL696" s="449"/>
      <c r="AM696" s="449" t="s">
        <v>552</v>
      </c>
      <c r="AN696" s="10">
        <v>5.5</v>
      </c>
      <c r="AO696" s="9"/>
      <c r="AP696" s="9"/>
      <c r="AQ696" s="9"/>
      <c r="AR696" s="9"/>
      <c r="AS696" s="9"/>
      <c r="AT696" s="9">
        <f>+ab($T$696,$T$694,$T$698,$G$695,$G$697,-1*$F$696,1200)</f>
        <v>15.171557711538291</v>
      </c>
      <c r="AU696" s="428"/>
      <c r="AV696" s="428"/>
      <c r="AW696" s="449" t="str">
        <f>IF(C696&gt;0,VLOOKUP(C696,Foundation_Calc!$A$2:$C$13,3,1),
IF(J696&gt;0,VLOOKUP(J696,Foundation_Calc!$A$2:$C$13,3,1),""))</f>
        <v>Multi Soil</v>
      </c>
      <c r="AX696" s="449" t="str">
        <f>IF(C696&gt;0,VLOOKUP(C696,Foundation_Calc!$E$2:$G$33,3,1),
IF(J696&gt;0,VLOOKUP(J696,Foundation_Calc!$E$2:$G$33,3,1),""))</f>
        <v>PT</v>
      </c>
      <c r="AY696" s="10">
        <f>IF(L696="","",
IF(AX696="PT",VLOOKUP(L696,Foundation_Calc!$K$79:$R$113,VLOOKUP(AW696,Foundation_Calc!$I$2:$J$8,2,FALSE),0),
IF(AX696="K",VLOOKUP(L696,Foundation_Calc!$K$117:$R$151,VLOOKUP(AW696,Foundation_Calc!$I$2:$J$8,2,FALSE),0),"")))</f>
        <v>3.5</v>
      </c>
      <c r="AZ696" s="10" t="str">
        <f>IF(K696="","",
IF(AX696="PT",VLOOKUP(K696,Foundation_Calc!$K$79:$R$113,VLOOKUP(AW696,Foundation_Calc!$I$2:$J$8,2,FALSE),0),
IF(AX696="K",VLOOKUP(K696,Foundation_Calc!$K$117:$R$151,VLOOKUP(AW696,Foundation_Calc!$I$2:$J$8,2,FALSE),0),"")))</f>
        <v/>
      </c>
      <c r="BA696" s="495" t="str">
        <f t="shared" si="78"/>
        <v>ü</v>
      </c>
      <c r="BB696" s="495" t="str">
        <f t="shared" si="79"/>
        <v/>
      </c>
      <c r="BC696" s="495" t="str">
        <f t="shared" si="80"/>
        <v/>
      </c>
      <c r="BD696" s="513" t="str">
        <f>IF(AND(L696="",H696=""),"",
IF(H696="",Pole_Calc!A$9,
IF(H696="MP",Pole_Calc!A$10,
IF(H696="AnMP",Pole_Calc!A$11,
IF(H696="A",Pole_Calc!A$12,
IF(H696="S/A",Pole_Calc!A$13,
IF(H696="A/S",Pole_Calc!A$14,"Poner a mano")))))))</f>
        <v>App.7-V11I-P9.5.1.1</v>
      </c>
      <c r="BE696" s="429" t="s">
        <v>118</v>
      </c>
      <c r="BF696" s="289"/>
      <c r="BG696" s="289"/>
      <c r="BH696" s="290"/>
      <c r="BI696" s="289"/>
    </row>
    <row r="697" spans="1:61" ht="15.75" customHeight="1">
      <c r="A697" s="518"/>
      <c r="B697" s="450"/>
      <c r="C697" s="3"/>
      <c r="D697" s="83"/>
      <c r="E697" s="4"/>
      <c r="F697" s="4"/>
      <c r="G697" s="6">
        <v>53</v>
      </c>
      <c r="H697" s="449"/>
      <c r="I697" s="4"/>
      <c r="J697" s="3"/>
      <c r="K697" s="449"/>
      <c r="L697" s="449"/>
      <c r="M697" s="449" t="str">
        <f>IF(L697="","",
IF(AX697="PT",VLOOKUP(L697,Foundation_Calc!$V$79:$X$113,VLOOKUP(AX697,Foundation_Calc!$I$10:$J$13,2,FALSE),0),
IF(AX697="K",VLOOKUP(L697,Foundation_Calc!$V$117:$X$151,VLOOKUP(AX697,Foundation_Calc!$I$10:$J$13,2,FALSE),0),"")))</f>
        <v/>
      </c>
      <c r="N697" s="449"/>
      <c r="O697" s="449"/>
      <c r="P697" s="449"/>
      <c r="Q697" s="4"/>
      <c r="R697" s="6"/>
      <c r="S697" s="6"/>
      <c r="T697" s="4"/>
      <c r="U697" s="4"/>
      <c r="V697" s="4"/>
      <c r="W697" s="572"/>
      <c r="X697" s="9"/>
      <c r="Y697" s="9"/>
      <c r="Z697" s="9"/>
      <c r="AA697" s="9"/>
      <c r="AB697" s="9"/>
      <c r="AC697" s="449" t="str">
        <f t="shared" si="74"/>
        <v/>
      </c>
      <c r="AD697" s="449"/>
      <c r="AE697" s="449"/>
      <c r="AF697" s="4"/>
      <c r="AG697" s="83"/>
      <c r="AH697" s="4"/>
      <c r="AI697" s="4"/>
      <c r="AJ697" s="449"/>
      <c r="AK697" s="449"/>
      <c r="AL697" s="449"/>
      <c r="AM697" s="449"/>
      <c r="AN697" s="10"/>
      <c r="AO697" s="9"/>
      <c r="AP697" s="9"/>
      <c r="AQ697" s="9">
        <f>+FL_2($T$698,$T$696,$G$697,1200,9.28,-1*$F$698)</f>
        <v>-0.40439840372327041</v>
      </c>
      <c r="AR697" s="9"/>
      <c r="AS697" s="9"/>
      <c r="AT697" s="9"/>
      <c r="AU697" s="428"/>
      <c r="AV697" s="428"/>
      <c r="AW697" s="449" t="str">
        <f>IF(C697&gt;0,VLOOKUP(C697,Foundation_Calc!$A$2:$C$13,3,1),
IF(J697&gt;0,VLOOKUP(J697,Foundation_Calc!$A$2:$C$13,3,1),""))</f>
        <v/>
      </c>
      <c r="AX697" s="449" t="str">
        <f>IF(C697&gt;0,VLOOKUP(C697,Foundation_Calc!$E$2:$G$33,3,1),
IF(J697&gt;0,VLOOKUP(J697,Foundation_Calc!$E$2:$G$33,3,1),""))</f>
        <v/>
      </c>
      <c r="AY697" s="10" t="str">
        <f>IF(L697="","",
IF(AX697="PT",VLOOKUP(L697,Foundation_Calc!$K$79:$R$113,VLOOKUP(AW697,Foundation_Calc!$I$2:$J$8,2,FALSE),0),
IF(AX697="K",VLOOKUP(L697,Foundation_Calc!$K$117:$R$151,VLOOKUP(AW697,Foundation_Calc!$I$2:$J$8,2,FALSE),0),"")))</f>
        <v/>
      </c>
      <c r="AZ697" s="10" t="str">
        <f>IF(K697="","",
IF(AX697="PT",VLOOKUP(K697,Foundation_Calc!$K$79:$R$113,VLOOKUP(AW697,Foundation_Calc!$I$2:$J$8,2,FALSE),0),
IF(AX697="K",VLOOKUP(K697,Foundation_Calc!$K$117:$R$151,VLOOKUP(AW697,Foundation_Calc!$I$2:$J$8,2,FALSE),0),"")))</f>
        <v/>
      </c>
      <c r="BA697" s="495" t="str">
        <f t="shared" si="78"/>
        <v/>
      </c>
      <c r="BB697" s="495" t="str">
        <f t="shared" si="79"/>
        <v/>
      </c>
      <c r="BC697" s="495" t="str">
        <f t="shared" si="80"/>
        <v/>
      </c>
      <c r="BD697" s="513" t="str">
        <f>IF(AND(L697="",H697=""),"",
IF(H697="",Pole_Calc!A$9,
IF(H697="MP",Pole_Calc!A$10,
IF(H697="AnMP",Pole_Calc!A$11,
IF(H697="A",Pole_Calc!A$12,
IF(H697="S/A",Pole_Calc!A$13,
IF(H697="A/S",Pole_Calc!A$14,"Poner a mano")))))))</f>
        <v/>
      </c>
      <c r="BE697" s="429" t="s">
        <v>118</v>
      </c>
      <c r="BF697" s="290"/>
      <c r="BG697" s="290"/>
      <c r="BH697" s="290"/>
      <c r="BI697" s="290"/>
    </row>
    <row r="698" spans="1:61" ht="15.75" customHeight="1">
      <c r="A698" s="514"/>
      <c r="B698" s="450" t="s">
        <v>596</v>
      </c>
      <c r="C698" s="3">
        <f>+$C$696+$G$697</f>
        <v>46844.860000000008</v>
      </c>
      <c r="D698" s="83"/>
      <c r="E698" s="4"/>
      <c r="F698" s="4">
        <f>IF(C698&gt;0,VLOOKUP(C698,'ALIGNMENT TRACK'!$A$1:$K$81,9,1))</f>
        <v>0</v>
      </c>
      <c r="G698" s="6"/>
      <c r="H698" s="449"/>
      <c r="I698" s="4"/>
      <c r="J698" s="3"/>
      <c r="K698" s="449"/>
      <c r="L698" s="449" t="s">
        <v>153</v>
      </c>
      <c r="M698" s="449" t="s">
        <v>417</v>
      </c>
      <c r="N698" s="449" t="s">
        <v>124</v>
      </c>
      <c r="O698" s="449"/>
      <c r="P698" s="449"/>
      <c r="Q698" s="4"/>
      <c r="R698" s="6"/>
      <c r="S698" s="6"/>
      <c r="T698" s="4">
        <v>-35</v>
      </c>
      <c r="U698" s="4"/>
      <c r="V698" s="4"/>
      <c r="W698" s="572">
        <v>1.2</v>
      </c>
      <c r="X698" s="9"/>
      <c r="Y698" s="9"/>
      <c r="Z698" s="9"/>
      <c r="AA698" s="9"/>
      <c r="AB698" s="9"/>
      <c r="AC698" s="449" t="str">
        <f t="shared" si="74"/>
        <v>PHQ</v>
      </c>
      <c r="AD698" s="449"/>
      <c r="AE698" s="449"/>
      <c r="AF698" s="4"/>
      <c r="AG698" s="83"/>
      <c r="AH698" s="4"/>
      <c r="AI698" s="4"/>
      <c r="AJ698" s="449"/>
      <c r="AK698" s="449"/>
      <c r="AL698" s="449"/>
      <c r="AM698" s="449" t="s">
        <v>552</v>
      </c>
      <c r="AN698" s="10">
        <v>5.5</v>
      </c>
      <c r="AO698" s="9"/>
      <c r="AP698" s="9"/>
      <c r="AQ698" s="9"/>
      <c r="AR698" s="9"/>
      <c r="AS698" s="9"/>
      <c r="AT698" s="9">
        <f>+ab($T$698,$T$696,$T$700,$G$697,$G$699,-1*$F$698,1200)</f>
        <v>-7.9285784915288513</v>
      </c>
      <c r="AU698" s="428"/>
      <c r="AV698" s="428"/>
      <c r="AW698" s="449" t="str">
        <f>IF(C698&gt;0,VLOOKUP(C698,Foundation_Calc!$A$2:$C$13,3,1),
IF(J698&gt;0,VLOOKUP(J698,Foundation_Calc!$A$2:$C$13,3,1),""))</f>
        <v>Multi Soil</v>
      </c>
      <c r="AX698" s="449" t="str">
        <f>IF(C698&gt;0,VLOOKUP(C698,Foundation_Calc!$E$2:$G$33,3,1),
IF(J698&gt;0,VLOOKUP(J698,Foundation_Calc!$E$2:$G$33,3,1),""))</f>
        <v>PT</v>
      </c>
      <c r="AY698" s="10">
        <f>IF(L698="","",
IF(AX698="PT",VLOOKUP(L698,Foundation_Calc!$K$79:$R$113,VLOOKUP(AW698,Foundation_Calc!$I$2:$J$8,2,FALSE),0),
IF(AX698="K",VLOOKUP(L698,Foundation_Calc!$K$117:$R$151,VLOOKUP(AW698,Foundation_Calc!$I$2:$J$8,2,FALSE),0),"")))</f>
        <v>3.5</v>
      </c>
      <c r="AZ698" s="10" t="str">
        <f>IF(K698="","",
IF(AX698="PT",VLOOKUP(K698,Foundation_Calc!$K$79:$R$113,VLOOKUP(AW698,Foundation_Calc!$I$2:$J$8,2,FALSE),0),
IF(AX698="K",VLOOKUP(K698,Foundation_Calc!$K$117:$R$151,VLOOKUP(AW698,Foundation_Calc!$I$2:$J$8,2,FALSE),0),"")))</f>
        <v/>
      </c>
      <c r="BA698" s="495" t="str">
        <f t="shared" si="78"/>
        <v>ü</v>
      </c>
      <c r="BB698" s="495" t="str">
        <f t="shared" si="79"/>
        <v/>
      </c>
      <c r="BC698" s="495" t="str">
        <f t="shared" si="80"/>
        <v/>
      </c>
      <c r="BD698" s="513" t="str">
        <f>IF(AND(L698="",H698=""),"",
IF(H698="",Pole_Calc!A$9,
IF(H698="MP",Pole_Calc!A$10,
IF(H698="AnMP",Pole_Calc!A$11,
IF(H698="A",Pole_Calc!A$12,
IF(H698="S/A",Pole_Calc!A$13,
IF(H698="A/S",Pole_Calc!A$14,"Poner a mano")))))))</f>
        <v>App.7-V11I-P9.5.1.1</v>
      </c>
      <c r="BE698" s="429" t="s">
        <v>118</v>
      </c>
      <c r="BF698" s="289"/>
      <c r="BG698" s="289"/>
      <c r="BH698" s="290"/>
      <c r="BI698" s="289"/>
    </row>
    <row r="699" spans="1:61" ht="15.75" customHeight="1">
      <c r="A699" s="514"/>
      <c r="B699" s="450"/>
      <c r="C699" s="3"/>
      <c r="D699" s="83"/>
      <c r="E699" s="4"/>
      <c r="F699" s="4"/>
      <c r="G699" s="6">
        <v>55</v>
      </c>
      <c r="H699" s="449"/>
      <c r="I699" s="4"/>
      <c r="J699" s="3">
        <f>C700-7.5</f>
        <v>46892.360000000008</v>
      </c>
      <c r="K699" s="449" t="s">
        <v>117</v>
      </c>
      <c r="L699" s="449"/>
      <c r="M699" s="449" t="str">
        <f>IF(L699="","",
IF(AX699="PT",VLOOKUP(L699,Foundation_Calc!$V$79:$X$113,VLOOKUP(AX699,Foundation_Calc!$I$10:$J$13,2,FALSE),0),
IF(AX699="K",VLOOKUP(L699,Foundation_Calc!$V$117:$X$151,VLOOKUP(AX699,Foundation_Calc!$I$10:$J$13,2,FALSE),0),"")))</f>
        <v/>
      </c>
      <c r="N699" s="449"/>
      <c r="O699" s="449"/>
      <c r="P699" s="449"/>
      <c r="Q699" s="4"/>
      <c r="R699" s="6"/>
      <c r="S699" s="6"/>
      <c r="T699" s="4"/>
      <c r="U699" s="4"/>
      <c r="V699" s="4"/>
      <c r="W699" s="572"/>
      <c r="X699" s="9"/>
      <c r="Y699" s="9"/>
      <c r="Z699" s="9"/>
      <c r="AA699" s="9"/>
      <c r="AB699" s="9"/>
      <c r="AC699" s="449" t="str">
        <f t="shared" si="74"/>
        <v/>
      </c>
      <c r="AD699" s="449"/>
      <c r="AE699" s="449"/>
      <c r="AF699" s="4"/>
      <c r="AG699" s="83"/>
      <c r="AH699" s="4"/>
      <c r="AI699" s="4"/>
      <c r="AJ699" s="449"/>
      <c r="AK699" s="449"/>
      <c r="AL699" s="449"/>
      <c r="AM699" s="449"/>
      <c r="AN699" s="10"/>
      <c r="AO699" s="9"/>
      <c r="AP699" s="9"/>
      <c r="AQ699" s="9">
        <f>+FL_2($T$700,$T$698,$G$699,1200,9.28,-1*$F$700)</f>
        <v>-0.39714735709090898</v>
      </c>
      <c r="AR699" s="9"/>
      <c r="AS699" s="9"/>
      <c r="AT699" s="9"/>
      <c r="AU699" s="428"/>
      <c r="AV699" s="428"/>
      <c r="AW699" s="449" t="str">
        <f>IF(C699&gt;0,VLOOKUP(C699,Foundation_Calc!$A$2:$C$13,3,1),
IF(J699&gt;0,VLOOKUP(J699,Foundation_Calc!$A$2:$C$13,3,1),""))</f>
        <v>Multi Soil</v>
      </c>
      <c r="AX699" s="449" t="str">
        <f>IF(C699&gt;0,VLOOKUP(C699,Foundation_Calc!$E$2:$G$33,3,1),
IF(J699&gt;0,VLOOKUP(J699,Foundation_Calc!$E$2:$G$33,3,1),""))</f>
        <v>PT</v>
      </c>
      <c r="AY699" s="10" t="str">
        <f>IF(L699="","",
IF(AX699="PT",VLOOKUP(L699,Foundation_Calc!$K$79:$R$113,VLOOKUP(AW699,Foundation_Calc!$I$2:$J$8,2,FALSE),0),
IF(AX699="K",VLOOKUP(L699,Foundation_Calc!$K$117:$R$151,VLOOKUP(AW699,Foundation_Calc!$I$2:$J$8,2,FALSE),0),"")))</f>
        <v/>
      </c>
      <c r="AZ699" s="10">
        <f>IF(K699="","",
IF(AX699="PT",VLOOKUP(K699,Foundation_Calc!$K$79:$R$113,VLOOKUP(AW699,Foundation_Calc!$I$2:$J$8,2,FALSE),0),
IF(AX699="K",VLOOKUP(K699,Foundation_Calc!$K$117:$R$151,VLOOKUP(AW699,Foundation_Calc!$I$2:$J$8,2,FALSE),0),"")))</f>
        <v>3.9</v>
      </c>
      <c r="BA699" s="495" t="str">
        <f t="shared" si="78"/>
        <v/>
      </c>
      <c r="BB699" s="495" t="str">
        <f t="shared" si="79"/>
        <v>ü</v>
      </c>
      <c r="BC699" s="495" t="str">
        <f t="shared" si="80"/>
        <v/>
      </c>
      <c r="BD699" s="513" t="str">
        <f>IF(AND(L699="",H699=""),"",
IF(H699="",Pole_Calc!A$9,
IF(H699="MP",Pole_Calc!A$10,
IF(H699="AnMP",Pole_Calc!A$11,
IF(H699="A",Pole_Calc!A$12,
IF(H699="S/A",Pole_Calc!A$13,
IF(H699="A/S",Pole_Calc!A$14,"Poner a mano")))))))</f>
        <v/>
      </c>
      <c r="BE699" s="429" t="s">
        <v>172</v>
      </c>
      <c r="BF699" s="290"/>
      <c r="BG699" s="290"/>
      <c r="BH699" s="290"/>
      <c r="BI699" s="290"/>
    </row>
    <row r="700" spans="1:61" ht="15.75" customHeight="1">
      <c r="A700" s="514"/>
      <c r="B700" s="450" t="s">
        <v>597</v>
      </c>
      <c r="C700" s="3">
        <f>+$C$698+$G$699</f>
        <v>46899.860000000008</v>
      </c>
      <c r="D700" s="83"/>
      <c r="E700" s="4"/>
      <c r="F700" s="4">
        <f>IF(C700&gt;0,VLOOKUP(C700,'ALIGNMENT TRACK'!$A$1:$K$81,9,1))</f>
        <v>0</v>
      </c>
      <c r="G700" s="6"/>
      <c r="H700" s="449" t="s">
        <v>121</v>
      </c>
      <c r="I700" s="4" t="s">
        <v>162</v>
      </c>
      <c r="J700" s="3"/>
      <c r="K700" s="449"/>
      <c r="L700" s="449" t="s">
        <v>151</v>
      </c>
      <c r="M700" s="449" t="str">
        <f>IF(L700="","",
IF(AX700="PT",VLOOKUP(L700,Foundation_Calc!$V$79:$X$113,VLOOKUP(AX700,Foundation_Calc!$I$10:$J$13,2,FALSE),0),
IF(AX700="K",VLOOKUP(L700,Foundation_Calc!$V$117:$X$151,VLOOKUP(AX700,Foundation_Calc!$I$10:$J$13,2,FALSE),0),"")))</f>
        <v>C4R</v>
      </c>
      <c r="N700" s="449" t="s">
        <v>134</v>
      </c>
      <c r="O700" s="449"/>
      <c r="P700" s="449"/>
      <c r="Q700" s="4"/>
      <c r="R700" s="6"/>
      <c r="S700" s="6"/>
      <c r="T700" s="4">
        <v>35</v>
      </c>
      <c r="U700" s="4"/>
      <c r="V700" s="4"/>
      <c r="W700" s="572">
        <v>1.4</v>
      </c>
      <c r="X700" s="9"/>
      <c r="Y700" s="9"/>
      <c r="Z700" s="9"/>
      <c r="AA700" s="9"/>
      <c r="AB700" s="9"/>
      <c r="AC700" s="449" t="str">
        <f t="shared" si="74"/>
        <v>PHQ</v>
      </c>
      <c r="AD700" s="449"/>
      <c r="AE700" s="449"/>
      <c r="AF700" s="4"/>
      <c r="AG700" s="83"/>
      <c r="AH700" s="4"/>
      <c r="AI700" s="4"/>
      <c r="AJ700" s="449"/>
      <c r="AK700" s="449"/>
      <c r="AL700" s="449"/>
      <c r="AM700" s="449" t="s">
        <v>552</v>
      </c>
      <c r="AN700" s="10">
        <v>5.5</v>
      </c>
      <c r="AO700" s="9"/>
      <c r="AP700" s="9"/>
      <c r="AQ700" s="9"/>
      <c r="AR700" s="9"/>
      <c r="AS700" s="9"/>
      <c r="AT700" s="9">
        <f>+ab($T$700,$T$698,$U$702,$G$699,$G$701,-1*$F$700,1200)</f>
        <v>7.4955682572493121</v>
      </c>
      <c r="AU700" s="428"/>
      <c r="AV700" s="428"/>
      <c r="AW700" s="449" t="str">
        <f>IF(C700&gt;0,VLOOKUP(C700,Foundation_Calc!$A$2:$C$13,3,1),
IF(J700&gt;0,VLOOKUP(J700,Foundation_Calc!$A$2:$C$13,3,1),""))</f>
        <v>Multi Soil</v>
      </c>
      <c r="AX700" s="449" t="str">
        <f>IF(C700&gt;0,VLOOKUP(C700,Foundation_Calc!$E$2:$G$33,3,1),
IF(J700&gt;0,VLOOKUP(J700,Foundation_Calc!$E$2:$G$33,3,1),""))</f>
        <v>PT</v>
      </c>
      <c r="AY700" s="10">
        <f>IF(L700="","",
IF(AX700="PT",VLOOKUP(L700,Foundation_Calc!$K$79:$R$113,VLOOKUP(AW700,Foundation_Calc!$I$2:$J$8,2,FALSE),0),
IF(AX700="K",VLOOKUP(L700,Foundation_Calc!$K$117:$R$151,VLOOKUP(AW700,Foundation_Calc!$I$2:$J$8,2,FALSE),0),"")))</f>
        <v>3.5</v>
      </c>
      <c r="AZ700" s="10" t="str">
        <f>IF(K700="","",
IF(AX700="PT",VLOOKUP(K700,Foundation_Calc!$K$79:$R$113,VLOOKUP(AW700,Foundation_Calc!$I$2:$J$8,2,FALSE),0),
IF(AX700="K",VLOOKUP(K700,Foundation_Calc!$K$117:$R$151,VLOOKUP(AW700,Foundation_Calc!$I$2:$J$8,2,FALSE),0),"")))</f>
        <v/>
      </c>
      <c r="BA700" s="495" t="str">
        <f t="shared" si="78"/>
        <v>ü</v>
      </c>
      <c r="BB700" s="495" t="str">
        <f t="shared" si="79"/>
        <v/>
      </c>
      <c r="BC700" s="495" t="str">
        <f t="shared" si="80"/>
        <v/>
      </c>
      <c r="BD700" s="513" t="str">
        <f>IF(AND(L700="",H700=""),"",
IF(H700="",Pole_Calc!A$9,
IF(H700="MP",Pole_Calc!A$10,
IF(H700="AnMP",Pole_Calc!A$11,
IF(H700="A",Pole_Calc!A$12,
IF(H700="S/A",Pole_Calc!A$13,
IF(H700="A/S",Pole_Calc!A$14,"Poner a mano")))))))</f>
        <v>App.7-V11I-P9.5.1.6</v>
      </c>
      <c r="BE700" s="429" t="s">
        <v>118</v>
      </c>
      <c r="BF700" s="289"/>
      <c r="BG700" s="289"/>
      <c r="BH700" s="290"/>
      <c r="BI700" s="289"/>
    </row>
    <row r="701" spans="1:61" ht="15.75" customHeight="1">
      <c r="A701" s="514"/>
      <c r="B701" s="450"/>
      <c r="C701" s="3"/>
      <c r="D701" s="83"/>
      <c r="E701" s="4"/>
      <c r="F701" s="4"/>
      <c r="G701" s="6">
        <v>55</v>
      </c>
      <c r="H701" s="449"/>
      <c r="I701" s="4"/>
      <c r="J701" s="3"/>
      <c r="K701" s="449"/>
      <c r="L701" s="449"/>
      <c r="M701" s="449" t="str">
        <f>IF(L701="","",
IF(AX701="PT",VLOOKUP(L701,Foundation_Calc!$V$79:$X$113,VLOOKUP(AX701,Foundation_Calc!$I$10:$J$13,2,FALSE),0),
IF(AX701="K",VLOOKUP(L701,Foundation_Calc!$V$117:$X$151,VLOOKUP(AX701,Foundation_Calc!$I$10:$J$13,2,FALSE),0),"")))</f>
        <v/>
      </c>
      <c r="N701" s="449"/>
      <c r="O701" s="449"/>
      <c r="P701" s="449"/>
      <c r="Q701" s="4"/>
      <c r="R701" s="6"/>
      <c r="S701" s="6"/>
      <c r="T701" s="4"/>
      <c r="U701" s="4"/>
      <c r="V701" s="4"/>
      <c r="W701" s="9"/>
      <c r="X701" s="9"/>
      <c r="Y701" s="9"/>
      <c r="Z701" s="9"/>
      <c r="AA701" s="9"/>
      <c r="AB701" s="9"/>
      <c r="AC701" s="449" t="str">
        <f t="shared" si="74"/>
        <v/>
      </c>
      <c r="AD701" s="449"/>
      <c r="AE701" s="449"/>
      <c r="AF701" s="4"/>
      <c r="AG701" s="83"/>
      <c r="AH701" s="4"/>
      <c r="AI701" s="4"/>
      <c r="AJ701" s="449"/>
      <c r="AK701" s="449"/>
      <c r="AL701" s="449"/>
      <c r="AM701" s="449"/>
      <c r="AN701" s="10"/>
      <c r="AO701" s="9"/>
      <c r="AP701" s="9"/>
      <c r="AQ701" s="9">
        <f>+FL_1($U$702,$T$700,$G$701,1200,9.28,-1*$F$702)</f>
        <v>0.39714735709090898</v>
      </c>
      <c r="AR701" s="9"/>
      <c r="AS701" s="9"/>
      <c r="AT701" s="9"/>
      <c r="AU701" s="428"/>
      <c r="AV701" s="428"/>
      <c r="AW701" s="449" t="str">
        <f>IF(C701&gt;0,VLOOKUP(C701,Foundation_Calc!$A$2:$C$13,3,1),
IF(J701&gt;0,VLOOKUP(J701,Foundation_Calc!$A$2:$C$13,3,1),""))</f>
        <v/>
      </c>
      <c r="AX701" s="449" t="str">
        <f>IF(C701&gt;0,VLOOKUP(C701,Foundation_Calc!$E$2:$G$33,3,1),
IF(J701&gt;0,VLOOKUP(J701,Foundation_Calc!$E$2:$G$33,3,1),""))</f>
        <v/>
      </c>
      <c r="AY701" s="10" t="str">
        <f>IF(L701="","",
IF(AX701="PT",VLOOKUP(L701,Foundation_Calc!$K$79:$R$113,VLOOKUP(AW701,Foundation_Calc!$I$2:$J$8,2,FALSE),0),
IF(AX701="K",VLOOKUP(L701,Foundation_Calc!$K$117:$R$151,VLOOKUP(AW701,Foundation_Calc!$I$2:$J$8,2,FALSE),0),"")))</f>
        <v/>
      </c>
      <c r="AZ701" s="10" t="str">
        <f>IF(K701="","",
IF(AX701="PT",VLOOKUP(K701,Foundation_Calc!$K$79:$R$113,VLOOKUP(AW701,Foundation_Calc!$I$2:$J$8,2,FALSE),0),
IF(AX701="K",VLOOKUP(K701,Foundation_Calc!$K$117:$R$151,VLOOKUP(AW701,Foundation_Calc!$I$2:$J$8,2,FALSE),0),"")))</f>
        <v/>
      </c>
      <c r="BA701" s="495" t="str">
        <f t="shared" si="78"/>
        <v/>
      </c>
      <c r="BB701" s="495" t="str">
        <f t="shared" si="79"/>
        <v/>
      </c>
      <c r="BC701" s="495" t="str">
        <f t="shared" si="80"/>
        <v/>
      </c>
      <c r="BD701" s="513" t="str">
        <f>IF(AND(L701="",H701=""),"",
IF(H701="",Pole_Calc!A$9,
IF(H701="MP",Pole_Calc!A$10,
IF(H701="AnMP",Pole_Calc!A$11,
IF(H701="A",Pole_Calc!A$12,
IF(H701="S/A",Pole_Calc!A$13,
IF(H701="A/S",Pole_Calc!A$14,"Poner a mano")))))))</f>
        <v/>
      </c>
      <c r="BE701" s="429" t="s">
        <v>118</v>
      </c>
      <c r="BF701" s="290"/>
      <c r="BG701" s="290"/>
      <c r="BH701" s="290"/>
      <c r="BI701" s="290"/>
    </row>
    <row r="702" spans="1:61" ht="15.75" customHeight="1">
      <c r="A702" s="518"/>
      <c r="B702" s="450" t="s">
        <v>598</v>
      </c>
      <c r="C702" s="3">
        <f>+$C$700+$G$701</f>
        <v>46954.860000000008</v>
      </c>
      <c r="D702" s="83"/>
      <c r="E702" s="4"/>
      <c r="F702" s="4">
        <f>IF(C702&gt;0,VLOOKUP(C702,'ALIGNMENT TRACK'!$A$1:$K$81,9,1))</f>
        <v>0</v>
      </c>
      <c r="G702" s="6"/>
      <c r="H702" s="449" t="s">
        <v>131</v>
      </c>
      <c r="I702" s="4"/>
      <c r="J702" s="3"/>
      <c r="K702" s="449"/>
      <c r="L702" s="449" t="s">
        <v>158</v>
      </c>
      <c r="M702" s="449" t="str">
        <f>IF(L702="","",
IF(AX702="PT",VLOOKUP(L702,Foundation_Calc!$V$79:$X$113,VLOOKUP(AX702,Foundation_Calc!$I$10:$J$13,2,FALSE),0),
IF(AX702="K",VLOOKUP(L702,Foundation_Calc!$V$117:$X$151,VLOOKUP(AX702,Foundation_Calc!$I$10:$J$13,2,FALSE),0),"")))</f>
        <v>C4R</v>
      </c>
      <c r="N702" s="449" t="s">
        <v>133</v>
      </c>
      <c r="O702" s="449" t="s">
        <v>124</v>
      </c>
      <c r="P702" s="449"/>
      <c r="Q702" s="4"/>
      <c r="R702" s="6"/>
      <c r="S702" s="6"/>
      <c r="T702" s="4">
        <v>-15</v>
      </c>
      <c r="U702" s="4">
        <v>-35</v>
      </c>
      <c r="V702" s="4"/>
      <c r="W702" s="9">
        <v>1.4</v>
      </c>
      <c r="X702" s="9">
        <v>2.2999999999999998</v>
      </c>
      <c r="Y702" s="9"/>
      <c r="Z702" s="9">
        <v>0.5</v>
      </c>
      <c r="AA702" s="9"/>
      <c r="AB702" s="9"/>
      <c r="AC702" s="449"/>
      <c r="AD702" s="449"/>
      <c r="AE702" s="449"/>
      <c r="AF702" s="4"/>
      <c r="AG702" s="83"/>
      <c r="AH702" s="4"/>
      <c r="AI702" s="4"/>
      <c r="AJ702" s="449"/>
      <c r="AK702" s="449"/>
      <c r="AL702" s="449"/>
      <c r="AM702" s="449" t="s">
        <v>552</v>
      </c>
      <c r="AN702" s="10">
        <v>5.5</v>
      </c>
      <c r="AO702" s="9"/>
      <c r="AP702" s="9"/>
      <c r="AQ702" s="9"/>
      <c r="AR702" s="9"/>
      <c r="AS702" s="9"/>
      <c r="AT702" s="9">
        <f>+ab($U$702,$T$700,$U$704,$G$701,$G$703,-1*$F$702,1200)</f>
        <v>-8.7269822879983483</v>
      </c>
      <c r="AU702" s="428"/>
      <c r="AV702" s="428"/>
      <c r="AW702" s="449" t="str">
        <f>IF(C702&gt;0,VLOOKUP(C702,Foundation_Calc!$A$2:$C$13,3,1),
IF(J702&gt;0,VLOOKUP(J702,Foundation_Calc!$A$2:$C$13,3,1),""))</f>
        <v>Multi Soil</v>
      </c>
      <c r="AX702" s="449" t="str">
        <f>IF(C702&gt;0,VLOOKUP(C702,Foundation_Calc!$E$2:$G$33,3,1),
IF(J702&gt;0,VLOOKUP(J702,Foundation_Calc!$E$2:$G$33,3,1),""))</f>
        <v>PT</v>
      </c>
      <c r="AY702" s="10">
        <f>IF(L702="","",
IF(AX702="PT",VLOOKUP(L702,Foundation_Calc!$K$79:$R$113,VLOOKUP(AW702,Foundation_Calc!$I$2:$J$8,2,FALSE),0),
IF(AX702="K",VLOOKUP(L702,Foundation_Calc!$K$117:$R$151,VLOOKUP(AW702,Foundation_Calc!$I$2:$J$8,2,FALSE),0),"")))</f>
        <v>3.5</v>
      </c>
      <c r="AZ702" s="10" t="str">
        <f>IF(K702="","",
IF(AX702="PT",VLOOKUP(K702,Foundation_Calc!$K$79:$R$113,VLOOKUP(AW702,Foundation_Calc!$I$2:$J$8,2,FALSE),0),
IF(AX702="K",VLOOKUP(K702,Foundation_Calc!$K$117:$R$151,VLOOKUP(AW702,Foundation_Calc!$I$2:$J$8,2,FALSE),0),"")))</f>
        <v/>
      </c>
      <c r="BA702" s="495" t="str">
        <f t="shared" si="78"/>
        <v>ü</v>
      </c>
      <c r="BB702" s="495" t="str">
        <f t="shared" si="79"/>
        <v/>
      </c>
      <c r="BC702" s="495" t="str">
        <f t="shared" si="80"/>
        <v/>
      </c>
      <c r="BD702" s="513" t="str">
        <f>IF(AND(L702="",H702=""),"",
IF(H702="",Pole_Calc!A$9,
IF(H702="MP",Pole_Calc!A$10,
IF(H702="AnMP",Pole_Calc!A$11,
IF(H702="A",Pole_Calc!A$12,
IF(H702="S/A",Pole_Calc!A$13,
IF(H702="A/S",Pole_Calc!A$14,"Poner a mano")))))))</f>
        <v>App.7-V11I-P9.5.1.5</v>
      </c>
      <c r="BE702" s="429" t="s">
        <v>118</v>
      </c>
      <c r="BF702" s="289"/>
      <c r="BG702" s="289"/>
      <c r="BH702" s="290"/>
      <c r="BI702" s="289"/>
    </row>
    <row r="703" spans="1:61" ht="15.75" customHeight="1">
      <c r="A703" s="518"/>
      <c r="B703" s="450"/>
      <c r="C703" s="3"/>
      <c r="D703" s="83"/>
      <c r="E703" s="4"/>
      <c r="F703" s="4"/>
      <c r="G703" s="6">
        <v>55</v>
      </c>
      <c r="H703" s="449"/>
      <c r="I703" s="4"/>
      <c r="J703" s="3"/>
      <c r="K703" s="449"/>
      <c r="L703" s="449"/>
      <c r="M703" s="449" t="str">
        <f>IF(L703="","",
IF(AX703="PT",VLOOKUP(L703,Foundation_Calc!$V$79:$X$113,VLOOKUP(AX703,Foundation_Calc!$I$10:$J$13,2,FALSE),0),
IF(AX703="K",VLOOKUP(L703,Foundation_Calc!$V$117:$X$151,VLOOKUP(AX703,Foundation_Calc!$I$10:$J$13,2,FALSE),0),"")))</f>
        <v/>
      </c>
      <c r="N703" s="449"/>
      <c r="O703" s="449"/>
      <c r="P703" s="449"/>
      <c r="Q703" s="4"/>
      <c r="R703" s="6"/>
      <c r="S703" s="6"/>
      <c r="T703" s="4"/>
      <c r="U703" s="4"/>
      <c r="V703" s="4"/>
      <c r="W703" s="9"/>
      <c r="X703" s="9"/>
      <c r="Y703" s="9"/>
      <c r="Z703" s="9"/>
      <c r="AA703" s="9"/>
      <c r="AB703" s="9"/>
      <c r="AC703" s="449" t="str">
        <f t="shared" si="74"/>
        <v/>
      </c>
      <c r="AD703" s="449"/>
      <c r="AE703" s="449"/>
      <c r="AF703" s="4"/>
      <c r="AG703" s="83"/>
      <c r="AH703" s="4"/>
      <c r="AI703" s="4"/>
      <c r="AJ703" s="449"/>
      <c r="AK703" s="449"/>
      <c r="AL703" s="449"/>
      <c r="AM703" s="449"/>
      <c r="AN703" s="10"/>
      <c r="AO703" s="9"/>
      <c r="AP703" s="9"/>
      <c r="AQ703" s="9">
        <f>+FL_2($T$704,$T$702,$G$703,1200,9.28,-1*$F$704)</f>
        <v>-0.24585068557575745</v>
      </c>
      <c r="AR703" s="9"/>
      <c r="AS703" s="9"/>
      <c r="AT703" s="9"/>
      <c r="AU703" s="428"/>
      <c r="AV703" s="428"/>
      <c r="AW703" s="449" t="str">
        <f>IF(C703&gt;0,VLOOKUP(C703,Foundation_Calc!$A$2:$C$13,3,1),
IF(J703&gt;0,VLOOKUP(J703,Foundation_Calc!$A$2:$C$13,3,1),""))</f>
        <v/>
      </c>
      <c r="AX703" s="449" t="str">
        <f>IF(C703&gt;0,VLOOKUP(C703,Foundation_Calc!$E$2:$G$33,3,1),
IF(J703&gt;0,VLOOKUP(J703,Foundation_Calc!$E$2:$G$33,3,1),""))</f>
        <v/>
      </c>
      <c r="AY703" s="10" t="str">
        <f>IF(L703="","",
IF(AX703="PT",VLOOKUP(L703,Foundation_Calc!$K$79:$R$113,VLOOKUP(AW703,Foundation_Calc!$I$2:$J$8,2,FALSE),0),
IF(AX703="K",VLOOKUP(L703,Foundation_Calc!$K$117:$R$151,VLOOKUP(AW703,Foundation_Calc!$I$2:$J$8,2,FALSE),0),"")))</f>
        <v/>
      </c>
      <c r="AZ703" s="10" t="str">
        <f>IF(K703="","",
IF(AX703="PT",VLOOKUP(K703,Foundation_Calc!$K$79:$R$113,VLOOKUP(AW703,Foundation_Calc!$I$2:$J$8,2,FALSE),0),
IF(AX703="K",VLOOKUP(K703,Foundation_Calc!$K$117:$R$151,VLOOKUP(AW703,Foundation_Calc!$I$2:$J$8,2,FALSE),0),"")))</f>
        <v/>
      </c>
      <c r="BA703" s="495" t="str">
        <f t="shared" si="78"/>
        <v/>
      </c>
      <c r="BB703" s="495" t="str">
        <f t="shared" si="79"/>
        <v/>
      </c>
      <c r="BC703" s="495" t="str">
        <f t="shared" si="80"/>
        <v/>
      </c>
      <c r="BD703" s="513" t="str">
        <f>IF(AND(L703="",H703=""),"",
IF(H703="",Pole_Calc!A$9,
IF(H703="MP",Pole_Calc!A$10,
IF(H703="AnMP",Pole_Calc!A$11,
IF(H703="A",Pole_Calc!A$12,
IF(H703="S/A",Pole_Calc!A$13,
IF(H703="A/S",Pole_Calc!A$14,"Poner a mano")))))))</f>
        <v/>
      </c>
      <c r="BE703" s="429" t="s">
        <v>118</v>
      </c>
      <c r="BF703" s="290"/>
      <c r="BG703" s="290"/>
      <c r="BH703" s="290"/>
      <c r="BI703" s="290"/>
    </row>
    <row r="704" spans="1:61" ht="15.75" customHeight="1">
      <c r="A704" s="514"/>
      <c r="B704" s="450" t="s">
        <v>599</v>
      </c>
      <c r="C704" s="3">
        <f>+$C$702+$G$703</f>
        <v>47009.860000000008</v>
      </c>
      <c r="D704" s="83"/>
      <c r="E704" s="4"/>
      <c r="F704" s="4">
        <f>IF(C704&gt;0,VLOOKUP(C704,'ALIGNMENT TRACK'!$A$1:$K$81,9,1))</f>
        <v>0</v>
      </c>
      <c r="G704" s="6"/>
      <c r="H704" s="449" t="s">
        <v>131</v>
      </c>
      <c r="I704" s="4"/>
      <c r="J704" s="3"/>
      <c r="K704" s="449"/>
      <c r="L704" s="449" t="s">
        <v>158</v>
      </c>
      <c r="M704" s="449" t="str">
        <f>IF(L704="","",
IF(AX704="PT",VLOOKUP(L704,Foundation_Calc!$V$79:$X$113,VLOOKUP(AX704,Foundation_Calc!$I$10:$J$13,2,FALSE),0),
IF(AX704="K",VLOOKUP(L704,Foundation_Calc!$V$117:$X$151,VLOOKUP(AX704,Foundation_Calc!$I$10:$J$13,2,FALSE),0),"")))</f>
        <v>C4R</v>
      </c>
      <c r="N704" s="449" t="s">
        <v>134</v>
      </c>
      <c r="O704" s="449" t="s">
        <v>133</v>
      </c>
      <c r="P704" s="449"/>
      <c r="Q704" s="4"/>
      <c r="R704" s="6"/>
      <c r="S704" s="6"/>
      <c r="T704" s="4">
        <v>35</v>
      </c>
      <c r="U704" s="4">
        <v>15</v>
      </c>
      <c r="V704" s="4"/>
      <c r="W704" s="9">
        <v>1.4</v>
      </c>
      <c r="X704" s="9">
        <v>2.2999999999999998</v>
      </c>
      <c r="Y704" s="9"/>
      <c r="Z704" s="9"/>
      <c r="AA704" s="9">
        <v>0.5</v>
      </c>
      <c r="AB704" s="9"/>
      <c r="AC704" s="449" t="str">
        <f t="shared" si="74"/>
        <v>PH</v>
      </c>
      <c r="AD704" s="449"/>
      <c r="AE704" s="449"/>
      <c r="AF704" s="4"/>
      <c r="AG704" s="83"/>
      <c r="AH704" s="4"/>
      <c r="AI704" s="4"/>
      <c r="AJ704" s="449"/>
      <c r="AK704" s="449"/>
      <c r="AL704" s="449"/>
      <c r="AM704" s="449" t="s">
        <v>552</v>
      </c>
      <c r="AN704" s="10">
        <v>5.5</v>
      </c>
      <c r="AO704" s="9"/>
      <c r="AP704" s="9"/>
      <c r="AQ704" s="9"/>
      <c r="AR704" s="9"/>
      <c r="AS704" s="9"/>
      <c r="AT704" s="9">
        <f>+ab($T$704,$T$702,$T$706,$G$703,$G$705,-1*$F$704,1200)</f>
        <v>9.1654497697440931</v>
      </c>
      <c r="AU704" s="428"/>
      <c r="AV704" s="428"/>
      <c r="AW704" s="449" t="str">
        <f>IF(C704&gt;0,VLOOKUP(C704,Foundation_Calc!$A$2:$C$13,3,1),
IF(J704&gt;0,VLOOKUP(J704,Foundation_Calc!$A$2:$C$13,3,1),""))</f>
        <v>Multi Soil</v>
      </c>
      <c r="AX704" s="449" t="str">
        <f>IF(C704&gt;0,VLOOKUP(C704,Foundation_Calc!$E$2:$G$33,3,1),
IF(J704&gt;0,VLOOKUP(J704,Foundation_Calc!$E$2:$G$33,3,1),""))</f>
        <v>PT</v>
      </c>
      <c r="AY704" s="10">
        <f>IF(L704="","",
IF(AX704="PT",VLOOKUP(L704,Foundation_Calc!$K$79:$R$113,VLOOKUP(AW704,Foundation_Calc!$I$2:$J$8,2,FALSE),0),
IF(AX704="K",VLOOKUP(L704,Foundation_Calc!$K$117:$R$151,VLOOKUP(AW704,Foundation_Calc!$I$2:$J$8,2,FALSE),0),"")))</f>
        <v>3.5</v>
      </c>
      <c r="AZ704" s="10" t="str">
        <f>IF(K704="","",
IF(AX704="PT",VLOOKUP(K704,Foundation_Calc!$K$79:$R$113,VLOOKUP(AW704,Foundation_Calc!$I$2:$J$8,2,FALSE),0),
IF(AX704="K",VLOOKUP(K704,Foundation_Calc!$K$117:$R$151,VLOOKUP(AW704,Foundation_Calc!$I$2:$J$8,2,FALSE),0),"")))</f>
        <v/>
      </c>
      <c r="BA704" s="495" t="str">
        <f t="shared" si="78"/>
        <v>ü</v>
      </c>
      <c r="BB704" s="495" t="str">
        <f t="shared" si="79"/>
        <v/>
      </c>
      <c r="BC704" s="495" t="str">
        <f t="shared" si="80"/>
        <v/>
      </c>
      <c r="BD704" s="513" t="str">
        <f>IF(AND(L704="",H704=""),"",
IF(H704="",Pole_Calc!A$9,
IF(H704="MP",Pole_Calc!A$10,
IF(H704="AnMP",Pole_Calc!A$11,
IF(H704="A",Pole_Calc!A$12,
IF(H704="S/A",Pole_Calc!A$13,
IF(H704="A/S",Pole_Calc!A$14,"Poner a mano")))))))</f>
        <v>App.7-V11I-P9.5.1.5</v>
      </c>
      <c r="BE704" s="429" t="s">
        <v>118</v>
      </c>
      <c r="BF704" s="289"/>
      <c r="BG704" s="289"/>
      <c r="BH704" s="290"/>
      <c r="BI704" s="289"/>
    </row>
    <row r="705" spans="1:61" ht="15.75" customHeight="1">
      <c r="A705" s="514"/>
      <c r="B705" s="450"/>
      <c r="C705" s="3"/>
      <c r="D705" s="83"/>
      <c r="E705" s="4"/>
      <c r="F705" s="4"/>
      <c r="G705" s="6">
        <v>60</v>
      </c>
      <c r="H705" s="449"/>
      <c r="I705" s="4"/>
      <c r="J705" s="3"/>
      <c r="K705" s="449"/>
      <c r="L705" s="449"/>
      <c r="M705" s="449" t="str">
        <f>IF(L705="","",
IF(AX705="PT",VLOOKUP(L705,Foundation_Calc!$V$79:$X$113,VLOOKUP(AX705,Foundation_Calc!$I$10:$J$13,2,FALSE),0),
IF(AX705="K",VLOOKUP(L705,Foundation_Calc!$V$117:$X$151,VLOOKUP(AX705,Foundation_Calc!$I$10:$J$13,2,FALSE),0),"")))</f>
        <v/>
      </c>
      <c r="N705" s="449"/>
      <c r="O705" s="449"/>
      <c r="P705" s="449"/>
      <c r="Q705" s="4"/>
      <c r="R705" s="6"/>
      <c r="S705" s="6"/>
      <c r="T705" s="4"/>
      <c r="U705" s="4"/>
      <c r="V705" s="4"/>
      <c r="W705" s="9"/>
      <c r="X705" s="9"/>
      <c r="Y705" s="9"/>
      <c r="Z705" s="9"/>
      <c r="AA705" s="9"/>
      <c r="AB705" s="9"/>
      <c r="AC705" s="449" t="str">
        <f t="shared" si="74"/>
        <v/>
      </c>
      <c r="AD705" s="449"/>
      <c r="AE705" s="449"/>
      <c r="AF705" s="4"/>
      <c r="AG705" s="83"/>
      <c r="AH705" s="4"/>
      <c r="AI705" s="4"/>
      <c r="AJ705" s="449"/>
      <c r="AK705" s="449"/>
      <c r="AL705" s="449"/>
      <c r="AM705" s="449"/>
      <c r="AN705" s="10"/>
      <c r="AO705" s="9"/>
      <c r="AP705" s="9"/>
      <c r="AQ705" s="9">
        <f>+FL_2($T$706,$T$704,$G$705,1200,9.28,-1*$F$706)</f>
        <v>-0.43600286799999999</v>
      </c>
      <c r="AR705" s="9"/>
      <c r="AS705" s="9"/>
      <c r="AT705" s="9"/>
      <c r="AU705" s="428"/>
      <c r="AV705" s="428"/>
      <c r="AW705" s="449" t="str">
        <f>IF(C705&gt;0,VLOOKUP(C705,Foundation_Calc!$A$2:$C$13,3,1),
IF(J705&gt;0,VLOOKUP(J705,Foundation_Calc!$A$2:$C$13,3,1),""))</f>
        <v/>
      </c>
      <c r="AX705" s="449" t="str">
        <f>IF(C705&gt;0,VLOOKUP(C705,Foundation_Calc!$E$2:$G$33,3,1),
IF(J705&gt;0,VLOOKUP(J705,Foundation_Calc!$E$2:$G$33,3,1),""))</f>
        <v/>
      </c>
      <c r="AY705" s="10" t="str">
        <f>IF(L705="","",
IF(AX705="PT",VLOOKUP(L705,Foundation_Calc!$K$79:$R$113,VLOOKUP(AW705,Foundation_Calc!$I$2:$J$8,2,FALSE),0),
IF(AX705="K",VLOOKUP(L705,Foundation_Calc!$K$117:$R$151,VLOOKUP(AW705,Foundation_Calc!$I$2:$J$8,2,FALSE),0),"")))</f>
        <v/>
      </c>
      <c r="AZ705" s="10" t="str">
        <f>IF(K705="","",
IF(AX705="PT",VLOOKUP(K705,Foundation_Calc!$K$79:$R$113,VLOOKUP(AW705,Foundation_Calc!$I$2:$J$8,2,FALSE),0),
IF(AX705="K",VLOOKUP(K705,Foundation_Calc!$K$117:$R$151,VLOOKUP(AW705,Foundation_Calc!$I$2:$J$8,2,FALSE),0),"")))</f>
        <v/>
      </c>
      <c r="BA705" s="495" t="str">
        <f t="shared" si="78"/>
        <v/>
      </c>
      <c r="BB705" s="495" t="str">
        <f t="shared" si="79"/>
        <v/>
      </c>
      <c r="BC705" s="495" t="str">
        <f t="shared" si="80"/>
        <v/>
      </c>
      <c r="BD705" s="513" t="str">
        <f>IF(AND(L705="",H705=""),"",
IF(H705="",Pole_Calc!A$9,
IF(H705="MP",Pole_Calc!A$10,
IF(H705="AnMP",Pole_Calc!A$11,
IF(H705="A",Pole_Calc!A$12,
IF(H705="S/A",Pole_Calc!A$13,
IF(H705="A/S",Pole_Calc!A$14,"Poner a mano")))))))</f>
        <v/>
      </c>
      <c r="BE705" s="429" t="s">
        <v>118</v>
      </c>
      <c r="BF705" s="290"/>
      <c r="BG705" s="290"/>
      <c r="BH705" s="290"/>
      <c r="BI705" s="290"/>
    </row>
    <row r="706" spans="1:61" ht="15.75" customHeight="1">
      <c r="A706" s="514"/>
      <c r="B706" s="450" t="s">
        <v>600</v>
      </c>
      <c r="C706" s="3">
        <f>+$C$704+$G$705</f>
        <v>47069.860000000008</v>
      </c>
      <c r="D706" s="83"/>
      <c r="E706" s="4"/>
      <c r="F706" s="4">
        <f>IF(C706&gt;0,VLOOKUP(C706,'ALIGNMENT TRACK'!$A$1:$K$81,9,1))</f>
        <v>0</v>
      </c>
      <c r="G706" s="6"/>
      <c r="H706" s="449" t="s">
        <v>121</v>
      </c>
      <c r="I706" s="4" t="s">
        <v>122</v>
      </c>
      <c r="J706" s="3"/>
      <c r="K706" s="449"/>
      <c r="L706" s="449" t="s">
        <v>151</v>
      </c>
      <c r="M706" s="449" t="str">
        <f>IF(L706="","",
IF(AX706="PT",VLOOKUP(L706,Foundation_Calc!$V$79:$X$113,VLOOKUP(AX706,Foundation_Calc!$I$10:$J$13,2,FALSE),0),
IF(AX706="K",VLOOKUP(L706,Foundation_Calc!$V$117:$X$151,VLOOKUP(AX706,Foundation_Calc!$I$10:$J$13,2,FALSE),0),"")))</f>
        <v>C4R</v>
      </c>
      <c r="N706" s="449" t="s">
        <v>124</v>
      </c>
      <c r="O706" s="449"/>
      <c r="P706" s="449"/>
      <c r="Q706" s="4"/>
      <c r="R706" s="6"/>
      <c r="S706" s="6"/>
      <c r="T706" s="4">
        <v>-35</v>
      </c>
      <c r="U706" s="4"/>
      <c r="V706" s="4"/>
      <c r="W706" s="9">
        <v>1.4</v>
      </c>
      <c r="X706" s="9"/>
      <c r="Y706" s="9"/>
      <c r="Z706" s="9"/>
      <c r="AA706" s="9"/>
      <c r="AB706" s="9"/>
      <c r="AC706" s="449" t="str">
        <f t="shared" si="74"/>
        <v>PH</v>
      </c>
      <c r="AD706" s="449"/>
      <c r="AE706" s="449"/>
      <c r="AF706" s="4"/>
      <c r="AG706" s="83"/>
      <c r="AH706" s="4"/>
      <c r="AI706" s="4"/>
      <c r="AJ706" s="449"/>
      <c r="AK706" s="449"/>
      <c r="AL706" s="449"/>
      <c r="AM706" s="449" t="s">
        <v>552</v>
      </c>
      <c r="AN706" s="10">
        <v>5.5</v>
      </c>
      <c r="AO706" s="9"/>
      <c r="AP706" s="9"/>
      <c r="AQ706" s="9"/>
      <c r="AR706" s="9"/>
      <c r="AS706" s="9"/>
      <c r="AT706" s="9">
        <f>+ab($T$706,$T$704,$T$708,$G$705,$G$707,-1*$F$706,1200)</f>
        <v>-8.1682020423530854</v>
      </c>
      <c r="AU706" s="428"/>
      <c r="AV706" s="428"/>
      <c r="AW706" s="449" t="str">
        <f>IF(C706&gt;0,VLOOKUP(C706,Foundation_Calc!$A$2:$C$13,3,1),
IF(J706&gt;0,VLOOKUP(J706,Foundation_Calc!$A$2:$C$13,3,1),""))</f>
        <v>Multi Soil</v>
      </c>
      <c r="AX706" s="449" t="str">
        <f>IF(C706&gt;0,VLOOKUP(C706,Foundation_Calc!$E$2:$G$33,3,1),
IF(J706&gt;0,VLOOKUP(J706,Foundation_Calc!$E$2:$G$33,3,1),""))</f>
        <v>PT</v>
      </c>
      <c r="AY706" s="10">
        <f>IF(L706="","",
IF(AX706="PT",VLOOKUP(L706,Foundation_Calc!$K$79:$R$113,VLOOKUP(AW706,Foundation_Calc!$I$2:$J$8,2,FALSE),0),
IF(AX706="K",VLOOKUP(L706,Foundation_Calc!$K$117:$R$151,VLOOKUP(AW706,Foundation_Calc!$I$2:$J$8,2,FALSE),0),"")))</f>
        <v>3.5</v>
      </c>
      <c r="AZ706" s="10" t="str">
        <f>IF(K706="","",
IF(AX706="PT",VLOOKUP(K706,Foundation_Calc!$K$79:$R$113,VLOOKUP(AW706,Foundation_Calc!$I$2:$J$8,2,FALSE),0),
IF(AX706="K",VLOOKUP(K706,Foundation_Calc!$K$117:$R$151,VLOOKUP(AW706,Foundation_Calc!$I$2:$J$8,2,FALSE),0),"")))</f>
        <v/>
      </c>
      <c r="BA706" s="495" t="str">
        <f t="shared" si="78"/>
        <v>ü</v>
      </c>
      <c r="BB706" s="495" t="str">
        <f t="shared" si="79"/>
        <v/>
      </c>
      <c r="BC706" s="495" t="str">
        <f t="shared" si="80"/>
        <v/>
      </c>
      <c r="BD706" s="513" t="str">
        <f>IF(AND(L706="",H706=""),"",
IF(H706="",Pole_Calc!A$9,
IF(H706="MP",Pole_Calc!A$10,
IF(H706="AnMP",Pole_Calc!A$11,
IF(H706="A",Pole_Calc!A$12,
IF(H706="S/A",Pole_Calc!A$13,
IF(H706="A/S",Pole_Calc!A$14,"Poner a mano")))))))</f>
        <v>App.7-V11I-P9.5.1.6</v>
      </c>
      <c r="BE706" s="429" t="s">
        <v>118</v>
      </c>
      <c r="BF706" s="289"/>
      <c r="BG706" s="289"/>
      <c r="BH706" s="290"/>
      <c r="BI706" s="289"/>
    </row>
    <row r="707" spans="1:61" ht="15.75" customHeight="1">
      <c r="A707" s="514"/>
      <c r="B707" s="450"/>
      <c r="C707" s="3"/>
      <c r="D707" s="83"/>
      <c r="E707" s="4"/>
      <c r="F707" s="4"/>
      <c r="G707" s="6">
        <v>60</v>
      </c>
      <c r="H707" s="449"/>
      <c r="I707" s="4"/>
      <c r="J707" s="3">
        <f>C706+7.5</f>
        <v>47077.360000000008</v>
      </c>
      <c r="K707" s="449" t="s">
        <v>117</v>
      </c>
      <c r="L707" s="449"/>
      <c r="M707" s="449" t="str">
        <f>IF(L707="","",
IF(AX707="PT",VLOOKUP(L707,Foundation_Calc!$V$79:$X$113,VLOOKUP(AX707,Foundation_Calc!$I$10:$J$13,2,FALSE),0),
IF(AX707="K",VLOOKUP(L707,Foundation_Calc!$V$117:$X$151,VLOOKUP(AX707,Foundation_Calc!$I$10:$J$13,2,FALSE),0),"")))</f>
        <v/>
      </c>
      <c r="N707" s="449"/>
      <c r="O707" s="449"/>
      <c r="P707" s="449"/>
      <c r="Q707" s="4"/>
      <c r="R707" s="6"/>
      <c r="S707" s="6"/>
      <c r="T707" s="4"/>
      <c r="U707" s="4"/>
      <c r="V707" s="4"/>
      <c r="W707" s="9"/>
      <c r="X707" s="9"/>
      <c r="Y707" s="9"/>
      <c r="Z707" s="9"/>
      <c r="AA707" s="9"/>
      <c r="AB707" s="9"/>
      <c r="AC707" s="449" t="str">
        <f t="shared" si="74"/>
        <v/>
      </c>
      <c r="AD707" s="449"/>
      <c r="AE707" s="449"/>
      <c r="AF707" s="4"/>
      <c r="AG707" s="83"/>
      <c r="AH707" s="4"/>
      <c r="AI707" s="4"/>
      <c r="AJ707" s="449"/>
      <c r="AK707" s="449"/>
      <c r="AL707" s="449"/>
      <c r="AM707" s="449"/>
      <c r="AN707" s="10"/>
      <c r="AO707" s="9"/>
      <c r="AP707" s="9"/>
      <c r="AQ707" s="9">
        <f>+FL_1($T$708,$T$706,$G$707,1200,9.28,-1*$F$708)</f>
        <v>0.43600286799999999</v>
      </c>
      <c r="AR707" s="9"/>
      <c r="AS707" s="9"/>
      <c r="AT707" s="9"/>
      <c r="AU707" s="428"/>
      <c r="AV707" s="428"/>
      <c r="AW707" s="449" t="str">
        <f>IF(C707&gt;0,VLOOKUP(C707,Foundation_Calc!$A$2:$C$13,3,1),
IF(J707&gt;0,VLOOKUP(J707,Foundation_Calc!$A$2:$C$13,3,1),""))</f>
        <v>Multi Soil</v>
      </c>
      <c r="AX707" s="449" t="str">
        <f>IF(C707&gt;0,VLOOKUP(C707,Foundation_Calc!$E$2:$G$33,3,1),
IF(J707&gt;0,VLOOKUP(J707,Foundation_Calc!$E$2:$G$33,3,1),""))</f>
        <v>PT</v>
      </c>
      <c r="AY707" s="10" t="str">
        <f>IF(L707="","",
IF(AX707="PT",VLOOKUP(L707,Foundation_Calc!$K$79:$R$113,VLOOKUP(AW707,Foundation_Calc!$I$2:$J$8,2,FALSE),0),
IF(AX707="K",VLOOKUP(L707,Foundation_Calc!$K$117:$R$151,VLOOKUP(AW707,Foundation_Calc!$I$2:$J$8,2,FALSE),0),"")))</f>
        <v/>
      </c>
      <c r="AZ707" s="10">
        <f>IF(K707="","",
IF(AX707="PT",VLOOKUP(K707,Foundation_Calc!$K$79:$R$113,VLOOKUP(AW707,Foundation_Calc!$I$2:$J$8,2,FALSE),0),
IF(AX707="K",VLOOKUP(K707,Foundation_Calc!$K$117:$R$151,VLOOKUP(AW707,Foundation_Calc!$I$2:$J$8,2,FALSE),0),"")))</f>
        <v>3.9</v>
      </c>
      <c r="BA707" s="495" t="str">
        <f t="shared" si="78"/>
        <v/>
      </c>
      <c r="BB707" s="495" t="str">
        <f t="shared" si="79"/>
        <v>ü</v>
      </c>
      <c r="BC707" s="495" t="str">
        <f t="shared" si="80"/>
        <v/>
      </c>
      <c r="BD707" s="513" t="str">
        <f>IF(AND(L707="",H707=""),"",
IF(H707="",Pole_Calc!A$9,
IF(H707="MP",Pole_Calc!A$10,
IF(H707="AnMP",Pole_Calc!A$11,
IF(H707="A",Pole_Calc!A$12,
IF(H707="S/A",Pole_Calc!A$13,
IF(H707="A/S",Pole_Calc!A$14,"Poner a mano")))))))</f>
        <v/>
      </c>
      <c r="BE707" s="429" t="s">
        <v>118</v>
      </c>
      <c r="BF707" s="290"/>
      <c r="BG707" s="290"/>
      <c r="BH707" s="290"/>
      <c r="BI707" s="290"/>
    </row>
    <row r="708" spans="1:61" ht="15.75" customHeight="1">
      <c r="A708" s="518"/>
      <c r="B708" s="450" t="s">
        <v>601</v>
      </c>
      <c r="C708" s="3">
        <f>+$C$706+$G$707</f>
        <v>47129.860000000008</v>
      </c>
      <c r="D708" s="83"/>
      <c r="E708" s="4"/>
      <c r="F708" s="4">
        <f>IF(C708&gt;0,VLOOKUP(C708,'ALIGNMENT TRACK'!$A$1:$K$81,9,1))</f>
        <v>0</v>
      </c>
      <c r="G708" s="6"/>
      <c r="H708" s="449"/>
      <c r="I708" s="4"/>
      <c r="J708" s="3"/>
      <c r="K708" s="449"/>
      <c r="L708" s="449" t="s">
        <v>153</v>
      </c>
      <c r="M708" s="449" t="str">
        <f>IF(L708="","",
IF(AX708="PT",VLOOKUP(L708,Foundation_Calc!$V$79:$X$113,VLOOKUP(AX708,Foundation_Calc!$I$10:$J$13,2,FALSE),0),
IF(AX708="K",VLOOKUP(L708,Foundation_Calc!$V$117:$X$151,VLOOKUP(AX708,Foundation_Calc!$I$10:$J$13,2,FALSE),0),"")))</f>
        <v>C3R</v>
      </c>
      <c r="N708" s="449" t="s">
        <v>134</v>
      </c>
      <c r="O708" s="449"/>
      <c r="P708" s="449"/>
      <c r="Q708" s="4"/>
      <c r="R708" s="6"/>
      <c r="S708" s="6"/>
      <c r="T708" s="4">
        <v>35</v>
      </c>
      <c r="U708" s="4"/>
      <c r="V708" s="4"/>
      <c r="W708" s="9">
        <v>1.4</v>
      </c>
      <c r="X708" s="9"/>
      <c r="Y708" s="9"/>
      <c r="Z708" s="9"/>
      <c r="AA708" s="9"/>
      <c r="AB708" s="9"/>
      <c r="AC708" s="449" t="str">
        <f t="shared" si="74"/>
        <v>PHQ</v>
      </c>
      <c r="AD708" s="449"/>
      <c r="AE708" s="449"/>
      <c r="AF708" s="4"/>
      <c r="AG708" s="83"/>
      <c r="AH708" s="4"/>
      <c r="AI708" s="4"/>
      <c r="AJ708" s="449"/>
      <c r="AK708" s="449"/>
      <c r="AL708" s="449"/>
      <c r="AM708" s="449" t="s">
        <v>552</v>
      </c>
      <c r="AN708" s="10">
        <v>5.5</v>
      </c>
      <c r="AO708" s="9"/>
      <c r="AP708" s="9"/>
      <c r="AQ708" s="9"/>
      <c r="AR708" s="9"/>
      <c r="AS708" s="9"/>
      <c r="AT708" s="9">
        <f>+ab($T$708,$T$706,$T$710,$G$707,$G$709,-1*$F$708,1200)</f>
        <v>7.8175137683875535</v>
      </c>
      <c r="AU708" s="428"/>
      <c r="AV708" s="428"/>
      <c r="AW708" s="449" t="str">
        <f>IF(C708&gt;0,VLOOKUP(C708,Foundation_Calc!$A$2:$C$13,3,1),
IF(J708&gt;0,VLOOKUP(J708,Foundation_Calc!$A$2:$C$13,3,1),""))</f>
        <v>Multi Soil</v>
      </c>
      <c r="AX708" s="449" t="str">
        <f>IF(C708&gt;0,VLOOKUP(C708,Foundation_Calc!$E$2:$G$33,3,1),
IF(J708&gt;0,VLOOKUP(J708,Foundation_Calc!$E$2:$G$33,3,1),""))</f>
        <v>PT</v>
      </c>
      <c r="AY708" s="10">
        <f>IF(L708="","",
IF(AX708="PT",VLOOKUP(L708,Foundation_Calc!$K$79:$R$113,VLOOKUP(AW708,Foundation_Calc!$I$2:$J$8,2,FALSE),0),
IF(AX708="K",VLOOKUP(L708,Foundation_Calc!$K$117:$R$151,VLOOKUP(AW708,Foundation_Calc!$I$2:$J$8,2,FALSE),0),"")))</f>
        <v>3.5</v>
      </c>
      <c r="AZ708" s="10" t="str">
        <f>IF(K708="","",
IF(AX708="PT",VLOOKUP(K708,Foundation_Calc!$K$79:$R$113,VLOOKUP(AW708,Foundation_Calc!$I$2:$J$8,2,FALSE),0),
IF(AX708="K",VLOOKUP(K708,Foundation_Calc!$K$117:$R$151,VLOOKUP(AW708,Foundation_Calc!$I$2:$J$8,2,FALSE),0),"")))</f>
        <v/>
      </c>
      <c r="BA708" s="495" t="str">
        <f t="shared" si="78"/>
        <v>ü</v>
      </c>
      <c r="BB708" s="495" t="str">
        <f t="shared" si="79"/>
        <v/>
      </c>
      <c r="BC708" s="495" t="str">
        <f t="shared" si="80"/>
        <v/>
      </c>
      <c r="BD708" s="513" t="str">
        <f>IF(AND(L708="",H708=""),"",
IF(H708="",Pole_Calc!A$9,
IF(H708="MP",Pole_Calc!A$10,
IF(H708="AnMP",Pole_Calc!A$11,
IF(H708="A",Pole_Calc!A$12,
IF(H708="S/A",Pole_Calc!A$13,
IF(H708="A/S",Pole_Calc!A$14,"Poner a mano")))))))</f>
        <v>App.7-V11I-P9.5.1.1</v>
      </c>
      <c r="BE708" s="429" t="s">
        <v>118</v>
      </c>
      <c r="BF708" s="289"/>
      <c r="BG708" s="289"/>
      <c r="BH708" s="290"/>
      <c r="BI708" s="289"/>
    </row>
    <row r="709" spans="1:61" ht="15.75" customHeight="1">
      <c r="A709" s="518"/>
      <c r="B709" s="450"/>
      <c r="C709" s="3"/>
      <c r="D709" s="83"/>
      <c r="E709" s="4"/>
      <c r="F709" s="4"/>
      <c r="G709" s="6">
        <v>55</v>
      </c>
      <c r="H709" s="449"/>
      <c r="I709" s="4"/>
      <c r="J709" s="3"/>
      <c r="K709" s="449"/>
      <c r="L709" s="449"/>
      <c r="M709" s="449" t="str">
        <f>IF(L709="","",
IF(AX709="PT",VLOOKUP(L709,Foundation_Calc!$V$79:$X$113,VLOOKUP(AX709,Foundation_Calc!$I$10:$J$13,2,FALSE),0),
IF(AX709="K",VLOOKUP(L709,Foundation_Calc!$V$117:$X$151,VLOOKUP(AX709,Foundation_Calc!$I$10:$J$13,2,FALSE),0),"")))</f>
        <v/>
      </c>
      <c r="N709" s="449"/>
      <c r="O709" s="449"/>
      <c r="P709" s="449"/>
      <c r="Q709" s="4"/>
      <c r="R709" s="6"/>
      <c r="S709" s="6"/>
      <c r="T709" s="4"/>
      <c r="U709" s="4"/>
      <c r="V709" s="4"/>
      <c r="W709" s="9"/>
      <c r="X709" s="9"/>
      <c r="Y709" s="9"/>
      <c r="Z709" s="9"/>
      <c r="AA709" s="9"/>
      <c r="AB709" s="9"/>
      <c r="AC709" s="449" t="str">
        <f t="shared" si="74"/>
        <v/>
      </c>
      <c r="AD709" s="449"/>
      <c r="AE709" s="449"/>
      <c r="AF709" s="4"/>
      <c r="AG709" s="83"/>
      <c r="AH709" s="4"/>
      <c r="AI709" s="4"/>
      <c r="AJ709" s="449"/>
      <c r="AK709" s="449"/>
      <c r="AL709" s="449"/>
      <c r="AM709" s="449"/>
      <c r="AN709" s="10"/>
      <c r="AO709" s="9"/>
      <c r="AP709" s="9"/>
      <c r="AQ709" s="9">
        <f>+FL_2($T$710,$T$708,$G$709,1200,9.28,-1*$F$710)</f>
        <v>-0.39714735709090909</v>
      </c>
      <c r="AR709" s="9"/>
      <c r="AS709" s="9"/>
      <c r="AT709" s="9"/>
      <c r="AU709" s="428"/>
      <c r="AV709" s="428"/>
      <c r="AW709" s="449" t="str">
        <f>IF(C709&gt;0,VLOOKUP(C709,Foundation_Calc!$A$2:$C$13,3,1),
IF(J709&gt;0,VLOOKUP(J709,Foundation_Calc!$A$2:$C$13,3,1),""))</f>
        <v/>
      </c>
      <c r="AX709" s="449" t="str">
        <f>IF(C709&gt;0,VLOOKUP(C709,Foundation_Calc!$E$2:$G$33,3,1),
IF(J709&gt;0,VLOOKUP(J709,Foundation_Calc!$E$2:$G$33,3,1),""))</f>
        <v/>
      </c>
      <c r="AY709" s="10" t="str">
        <f>IF(L709="","",
IF(AX709="PT",VLOOKUP(L709,Foundation_Calc!$K$79:$R$113,VLOOKUP(AW709,Foundation_Calc!$I$2:$J$8,2,FALSE),0),
IF(AX709="K",VLOOKUP(L709,Foundation_Calc!$K$117:$R$151,VLOOKUP(AW709,Foundation_Calc!$I$2:$J$8,2,FALSE),0),"")))</f>
        <v/>
      </c>
      <c r="AZ709" s="10" t="str">
        <f>IF(K709="","",
IF(AX709="PT",VLOOKUP(K709,Foundation_Calc!$K$79:$R$113,VLOOKUP(AW709,Foundation_Calc!$I$2:$J$8,2,FALSE),0),
IF(AX709="K",VLOOKUP(K709,Foundation_Calc!$K$117:$R$151,VLOOKUP(AW709,Foundation_Calc!$I$2:$J$8,2,FALSE),0),"")))</f>
        <v/>
      </c>
      <c r="BA709" s="495" t="str">
        <f t="shared" si="78"/>
        <v/>
      </c>
      <c r="BB709" s="495" t="str">
        <f t="shared" si="79"/>
        <v/>
      </c>
      <c r="BC709" s="495" t="str">
        <f t="shared" si="80"/>
        <v/>
      </c>
      <c r="BD709" s="513" t="str">
        <f>IF(AND(L709="",H709=""),"",
IF(H709="",Pole_Calc!A$9,
IF(H709="MP",Pole_Calc!A$10,
IF(H709="AnMP",Pole_Calc!A$11,
IF(H709="A",Pole_Calc!A$12,
IF(H709="S/A",Pole_Calc!A$13,
IF(H709="A/S",Pole_Calc!A$14,"Poner a mano")))))))</f>
        <v/>
      </c>
      <c r="BE709" s="429" t="s">
        <v>118</v>
      </c>
      <c r="BF709" s="290"/>
      <c r="BG709" s="290"/>
      <c r="BH709" s="290"/>
      <c r="BI709" s="290"/>
    </row>
    <row r="710" spans="1:61" ht="15.75" customHeight="1">
      <c r="A710" s="514"/>
      <c r="B710" s="450" t="s">
        <v>602</v>
      </c>
      <c r="C710" s="3">
        <f>+$C$708+$G$709</f>
        <v>47184.860000000008</v>
      </c>
      <c r="D710" s="83"/>
      <c r="E710" s="4"/>
      <c r="F710" s="4">
        <f>IF(C710&gt;0,VLOOKUP(C710,'ALIGNMENT TRACK'!$A$1:$K$81,9,1))</f>
        <v>0</v>
      </c>
      <c r="G710" s="6"/>
      <c r="H710" s="449"/>
      <c r="I710" s="4"/>
      <c r="J710" s="3"/>
      <c r="K710" s="449"/>
      <c r="L710" s="449" t="s">
        <v>153</v>
      </c>
      <c r="M710" s="449" t="str">
        <f>IF(L710="","",
IF(AX710="PT",VLOOKUP(L710,Foundation_Calc!$V$79:$X$113,VLOOKUP(AX710,Foundation_Calc!$I$10:$J$13,2,FALSE),0),
IF(AX710="K",VLOOKUP(L710,Foundation_Calc!$V$117:$X$151,VLOOKUP(AX710,Foundation_Calc!$I$10:$J$13,2,FALSE),0),"")))</f>
        <v>C3R</v>
      </c>
      <c r="N710" s="449" t="s">
        <v>124</v>
      </c>
      <c r="O710" s="449"/>
      <c r="P710" s="449"/>
      <c r="Q710" s="4"/>
      <c r="R710" s="6"/>
      <c r="S710" s="6"/>
      <c r="T710" s="4">
        <v>-35</v>
      </c>
      <c r="U710" s="4"/>
      <c r="V710" s="4"/>
      <c r="W710" s="9">
        <v>1.4</v>
      </c>
      <c r="X710" s="9"/>
      <c r="Y710" s="9"/>
      <c r="Z710" s="9"/>
      <c r="AA710" s="9"/>
      <c r="AB710" s="9"/>
      <c r="AC710" s="449" t="str">
        <f t="shared" si="74"/>
        <v>PHQ</v>
      </c>
      <c r="AD710" s="449"/>
      <c r="AE710" s="449"/>
      <c r="AF710" s="4"/>
      <c r="AG710" s="83"/>
      <c r="AH710" s="4"/>
      <c r="AI710" s="4"/>
      <c r="AJ710" s="449"/>
      <c r="AK710" s="449"/>
      <c r="AL710" s="449"/>
      <c r="AM710" s="449" t="s">
        <v>552</v>
      </c>
      <c r="AN710" s="10">
        <v>5.5</v>
      </c>
      <c r="AO710" s="9"/>
      <c r="AP710" s="9"/>
      <c r="AQ710" s="9"/>
      <c r="AR710" s="9"/>
      <c r="AS710" s="9"/>
      <c r="AT710" s="9">
        <f>+ab($T$710,$T$708,$T$712,$G$709,$G$711,-1*$F$710,1200)</f>
        <v>-7.7698840435924872</v>
      </c>
      <c r="AU710" s="428"/>
      <c r="AV710" s="428"/>
      <c r="AW710" s="449" t="str">
        <f>IF(C710&gt;0,VLOOKUP(C710,Foundation_Calc!$A$2:$C$13,3,1),
IF(J710&gt;0,VLOOKUP(J710,Foundation_Calc!$A$2:$C$13,3,1),""))</f>
        <v>Multi Soil</v>
      </c>
      <c r="AX710" s="449" t="str">
        <f>IF(C710&gt;0,VLOOKUP(C710,Foundation_Calc!$E$2:$G$33,3,1),
IF(J710&gt;0,VLOOKUP(J710,Foundation_Calc!$E$2:$G$33,3,1),""))</f>
        <v>PT</v>
      </c>
      <c r="AY710" s="10">
        <f>IF(L710="","",
IF(AX710="PT",VLOOKUP(L710,Foundation_Calc!$K$79:$R$113,VLOOKUP(AW710,Foundation_Calc!$I$2:$J$8,2,FALSE),0),
IF(AX710="K",VLOOKUP(L710,Foundation_Calc!$K$117:$R$151,VLOOKUP(AW710,Foundation_Calc!$I$2:$J$8,2,FALSE),0),"")))</f>
        <v>3.5</v>
      </c>
      <c r="AZ710" s="10" t="str">
        <f>IF(K710="","",
IF(AX710="PT",VLOOKUP(K710,Foundation_Calc!$K$79:$R$113,VLOOKUP(AW710,Foundation_Calc!$I$2:$J$8,2,FALSE),0),
IF(AX710="K",VLOOKUP(K710,Foundation_Calc!$K$117:$R$151,VLOOKUP(AW710,Foundation_Calc!$I$2:$J$8,2,FALSE),0),"")))</f>
        <v/>
      </c>
      <c r="BA710" s="495" t="str">
        <f t="shared" si="78"/>
        <v>ü</v>
      </c>
      <c r="BB710" s="495" t="str">
        <f t="shared" si="79"/>
        <v/>
      </c>
      <c r="BC710" s="495" t="str">
        <f t="shared" si="80"/>
        <v/>
      </c>
      <c r="BD710" s="513" t="str">
        <f>IF(AND(L710="",H710=""),"",
IF(H710="",Pole_Calc!A$9,
IF(H710="MP",Pole_Calc!A$10,
IF(H710="AnMP",Pole_Calc!A$11,
IF(H710="A",Pole_Calc!A$12,
IF(H710="S/A",Pole_Calc!A$13,
IF(H710="A/S",Pole_Calc!A$14,"Poner a mano")))))))</f>
        <v>App.7-V11I-P9.5.1.1</v>
      </c>
      <c r="BE710" s="429" t="s">
        <v>118</v>
      </c>
      <c r="BF710" s="289"/>
      <c r="BG710" s="289"/>
      <c r="BH710" s="290"/>
      <c r="BI710" s="289"/>
    </row>
    <row r="711" spans="1:61" ht="15.75" customHeight="1">
      <c r="A711" s="514"/>
      <c r="B711" s="450"/>
      <c r="C711" s="3"/>
      <c r="D711" s="83"/>
      <c r="E711" s="4"/>
      <c r="F711" s="4"/>
      <c r="G711" s="6">
        <v>55</v>
      </c>
      <c r="H711" s="449"/>
      <c r="I711" s="4"/>
      <c r="J711" s="3"/>
      <c r="K711" s="449"/>
      <c r="L711" s="449"/>
      <c r="M711" s="449" t="str">
        <f>IF(L711="","",
IF(AX711="PT",VLOOKUP(L711,Foundation_Calc!$V$79:$X$113,VLOOKUP(AX711,Foundation_Calc!$I$10:$J$13,2,FALSE),0),
IF(AX711="K",VLOOKUP(L711,Foundation_Calc!$V$117:$X$151,VLOOKUP(AX711,Foundation_Calc!$I$10:$J$13,2,FALSE),0),"")))</f>
        <v/>
      </c>
      <c r="N711" s="449"/>
      <c r="O711" s="449"/>
      <c r="P711" s="449"/>
      <c r="Q711" s="4"/>
      <c r="R711" s="6"/>
      <c r="S711" s="6"/>
      <c r="T711" s="4"/>
      <c r="U711" s="4"/>
      <c r="V711" s="4"/>
      <c r="W711" s="9"/>
      <c r="X711" s="9"/>
      <c r="Y711" s="9"/>
      <c r="Z711" s="9"/>
      <c r="AA711" s="9"/>
      <c r="AB711" s="9"/>
      <c r="AC711" s="449" t="str">
        <f t="shared" ref="AC711:AC776" si="81">IF(OR(AT711&gt;8,AT711&lt;-8),"PH",
IF(OR(AT711&gt;5,AT711&lt;-5),"PHQ",
IF(OR(AT711&gt;1,AT711&lt;-1),
"PHC","")))</f>
        <v/>
      </c>
      <c r="AD711" s="449"/>
      <c r="AE711" s="449"/>
      <c r="AF711" s="4"/>
      <c r="AG711" s="83"/>
      <c r="AH711" s="4"/>
      <c r="AI711" s="4"/>
      <c r="AJ711" s="449"/>
      <c r="AK711" s="449"/>
      <c r="AL711" s="449"/>
      <c r="AM711" s="449"/>
      <c r="AN711" s="10"/>
      <c r="AO711" s="9"/>
      <c r="AP711" s="9"/>
      <c r="AQ711" s="9">
        <f>+FL_2($T$712,$T$710,$G$711,1200,9.28,-1*$F$712)</f>
        <v>-0.40772017018181816</v>
      </c>
      <c r="AR711" s="9"/>
      <c r="AS711" s="9"/>
      <c r="AT711" s="9"/>
      <c r="AU711" s="428"/>
      <c r="AV711" s="428"/>
      <c r="AW711" s="449" t="str">
        <f>IF(C711&gt;0,VLOOKUP(C711,Foundation_Calc!$A$2:$C$13,3,1),
IF(J711&gt;0,VLOOKUP(J711,Foundation_Calc!$A$2:$C$13,3,1),""))</f>
        <v/>
      </c>
      <c r="AX711" s="449" t="str">
        <f>IF(C711&gt;0,VLOOKUP(C711,Foundation_Calc!$E$2:$G$33,3,1),
IF(J711&gt;0,VLOOKUP(J711,Foundation_Calc!$E$2:$G$33,3,1),""))</f>
        <v/>
      </c>
      <c r="AY711" s="10" t="str">
        <f>IF(L711="","",
IF(AX711="PT",VLOOKUP(L711,Foundation_Calc!$K$79:$R$113,VLOOKUP(AW711,Foundation_Calc!$I$2:$J$8,2,FALSE),0),
IF(AX711="K",VLOOKUP(L711,Foundation_Calc!$K$117:$R$151,VLOOKUP(AW711,Foundation_Calc!$I$2:$J$8,2,FALSE),0),"")))</f>
        <v/>
      </c>
      <c r="AZ711" s="10" t="str">
        <f>IF(K711="","",
IF(AX711="PT",VLOOKUP(K711,Foundation_Calc!$K$79:$R$113,VLOOKUP(AW711,Foundation_Calc!$I$2:$J$8,2,FALSE),0),
IF(AX711="K",VLOOKUP(K711,Foundation_Calc!$K$117:$R$151,VLOOKUP(AW711,Foundation_Calc!$I$2:$J$8,2,FALSE),0),"")))</f>
        <v/>
      </c>
      <c r="BA711" s="495" t="str">
        <f t="shared" si="78"/>
        <v/>
      </c>
      <c r="BB711" s="495" t="str">
        <f t="shared" si="79"/>
        <v/>
      </c>
      <c r="BC711" s="495" t="str">
        <f t="shared" si="80"/>
        <v/>
      </c>
      <c r="BD711" s="513" t="str">
        <f>IF(AND(L711="",H711=""),"",
IF(H711="",Pole_Calc!A$9,
IF(H711="MP",Pole_Calc!A$10,
IF(H711="AnMP",Pole_Calc!A$11,
IF(H711="A",Pole_Calc!A$12,
IF(H711="S/A",Pole_Calc!A$13,
IF(H711="A/S",Pole_Calc!A$14,"Poner a mano")))))))</f>
        <v/>
      </c>
      <c r="BE711" s="429" t="s">
        <v>118</v>
      </c>
      <c r="BF711" s="290"/>
      <c r="BG711" s="290"/>
      <c r="BH711" s="290"/>
      <c r="BI711" s="290"/>
    </row>
    <row r="712" spans="1:61" ht="15.75" customHeight="1">
      <c r="A712" s="514"/>
      <c r="B712" s="450" t="s">
        <v>603</v>
      </c>
      <c r="C712" s="3">
        <f>+$C$710+$G$711</f>
        <v>47239.860000000008</v>
      </c>
      <c r="D712" s="83"/>
      <c r="E712" s="4"/>
      <c r="F712" s="4">
        <f>IF(C712&gt;0,VLOOKUP(C712,'ALIGNMENT TRACK'!$A$1:$K$81,9,1))</f>
        <v>0</v>
      </c>
      <c r="G712" s="6"/>
      <c r="H712" s="449"/>
      <c r="I712" s="4"/>
      <c r="J712" s="3"/>
      <c r="K712" s="449"/>
      <c r="L712" s="449" t="s">
        <v>153</v>
      </c>
      <c r="M712" s="449" t="str">
        <f>IF(L712="","",
IF(AX712="PT",VLOOKUP(L712,Foundation_Calc!$V$79:$X$113,VLOOKUP(AX712,Foundation_Calc!$I$10:$J$13,2,FALSE),0),
IF(AX712="K",VLOOKUP(L712,Foundation_Calc!$V$117:$X$151,VLOOKUP(AX712,Foundation_Calc!$I$10:$J$13,2,FALSE),0),"")))</f>
        <v>C3R</v>
      </c>
      <c r="N712" s="449" t="s">
        <v>134</v>
      </c>
      <c r="O712" s="449"/>
      <c r="P712" s="449"/>
      <c r="Q712" s="4"/>
      <c r="R712" s="6"/>
      <c r="S712" s="6"/>
      <c r="T712" s="4">
        <v>30</v>
      </c>
      <c r="U712" s="4"/>
      <c r="V712" s="4"/>
      <c r="W712" s="9">
        <v>1.4</v>
      </c>
      <c r="X712" s="9"/>
      <c r="Y712" s="9"/>
      <c r="Z712" s="9"/>
      <c r="AA712" s="9"/>
      <c r="AB712" s="9"/>
      <c r="AC712" s="449" t="str">
        <f t="shared" si="81"/>
        <v>PH</v>
      </c>
      <c r="AD712" s="449"/>
      <c r="AE712" s="449"/>
      <c r="AF712" s="4"/>
      <c r="AG712" s="83"/>
      <c r="AH712" s="4"/>
      <c r="AI712" s="4"/>
      <c r="AJ712" s="449"/>
      <c r="AK712" s="449"/>
      <c r="AL712" s="449"/>
      <c r="AM712" s="449" t="s">
        <v>552</v>
      </c>
      <c r="AN712" s="10">
        <v>5.5</v>
      </c>
      <c r="AO712" s="9"/>
      <c r="AP712" s="9"/>
      <c r="AQ712" s="9"/>
      <c r="AR712" s="9"/>
      <c r="AS712" s="9"/>
      <c r="AT712" s="9">
        <f>+ab($T$712,$T$710,$T$714,$G$711,$G$713,-1*$F$712,1200)</f>
        <v>8.0648290261876845</v>
      </c>
      <c r="AU712" s="428"/>
      <c r="AV712" s="428"/>
      <c r="AW712" s="449" t="str">
        <f>IF(C712&gt;0,VLOOKUP(C712,Foundation_Calc!$A$2:$C$13,3,1),
IF(J712&gt;0,VLOOKUP(J712,Foundation_Calc!$A$2:$C$13,3,1),""))</f>
        <v>Multi Soil</v>
      </c>
      <c r="AX712" s="449" t="str">
        <f>IF(C712&gt;0,VLOOKUP(C712,Foundation_Calc!$E$2:$G$33,3,1),
IF(J712&gt;0,VLOOKUP(J712,Foundation_Calc!$E$2:$G$33,3,1),""))</f>
        <v>PT</v>
      </c>
      <c r="AY712" s="10">
        <f>IF(L712="","",
IF(AX712="PT",VLOOKUP(L712,Foundation_Calc!$K$79:$R$113,VLOOKUP(AW712,Foundation_Calc!$I$2:$J$8,2,FALSE),0),
IF(AX712="K",VLOOKUP(L712,Foundation_Calc!$K$117:$R$151,VLOOKUP(AW712,Foundation_Calc!$I$2:$J$8,2,FALSE),0),"")))</f>
        <v>3.5</v>
      </c>
      <c r="AZ712" s="10" t="str">
        <f>IF(K712="","",
IF(AX712="PT",VLOOKUP(K712,Foundation_Calc!$K$79:$R$113,VLOOKUP(AW712,Foundation_Calc!$I$2:$J$8,2,FALSE),0),
IF(AX712="K",VLOOKUP(K712,Foundation_Calc!$K$117:$R$151,VLOOKUP(AW712,Foundation_Calc!$I$2:$J$8,2,FALSE),0),"")))</f>
        <v/>
      </c>
      <c r="BA712" s="495" t="str">
        <f t="shared" si="78"/>
        <v>ü</v>
      </c>
      <c r="BB712" s="495" t="str">
        <f t="shared" si="79"/>
        <v/>
      </c>
      <c r="BC712" s="495" t="str">
        <f t="shared" si="80"/>
        <v/>
      </c>
      <c r="BD712" s="513" t="str">
        <f>IF(AND(L712="",H712=""),"",
IF(H712="",Pole_Calc!A$9,
IF(H712="MP",Pole_Calc!A$10,
IF(H712="AnMP",Pole_Calc!A$11,
IF(H712="A",Pole_Calc!A$12,
IF(H712="S/A",Pole_Calc!A$13,
IF(H712="A/S",Pole_Calc!A$14,"Poner a mano")))))))</f>
        <v>App.7-V11I-P9.5.1.1</v>
      </c>
      <c r="BE712" s="429" t="s">
        <v>118</v>
      </c>
      <c r="BF712" s="289"/>
      <c r="BG712" s="289"/>
      <c r="BH712" s="290"/>
      <c r="BI712" s="289"/>
    </row>
    <row r="713" spans="1:61" ht="15.75" customHeight="1">
      <c r="A713" s="514"/>
      <c r="B713" s="450"/>
      <c r="C713" s="3"/>
      <c r="D713" s="83"/>
      <c r="E713" s="4"/>
      <c r="F713" s="4"/>
      <c r="G713" s="6">
        <v>55</v>
      </c>
      <c r="H713" s="449"/>
      <c r="I713" s="4"/>
      <c r="J713" s="3"/>
      <c r="K713" s="449"/>
      <c r="L713" s="449"/>
      <c r="M713" s="449" t="str">
        <f>IF(L713="","",
IF(AX713="PT",VLOOKUP(L713,Foundation_Calc!$V$79:$X$113,VLOOKUP(AX713,Foundation_Calc!$I$10:$J$13,2,FALSE),0),
IF(AX713="K",VLOOKUP(L713,Foundation_Calc!$V$117:$X$151,VLOOKUP(AX713,Foundation_Calc!$I$10:$J$13,2,FALSE),0),"")))</f>
        <v/>
      </c>
      <c r="N713" s="449"/>
      <c r="O713" s="449"/>
      <c r="P713" s="449"/>
      <c r="Q713" s="4"/>
      <c r="R713" s="6"/>
      <c r="S713" s="6"/>
      <c r="T713" s="4"/>
      <c r="U713" s="4"/>
      <c r="V713" s="4"/>
      <c r="W713" s="9"/>
      <c r="X713" s="9"/>
      <c r="Y713" s="9"/>
      <c r="Z713" s="9"/>
      <c r="AA713" s="9"/>
      <c r="AB713" s="9"/>
      <c r="AC713" s="449" t="str">
        <f t="shared" si="81"/>
        <v/>
      </c>
      <c r="AD713" s="449"/>
      <c r="AE713" s="449"/>
      <c r="AF713" s="4"/>
      <c r="AG713" s="83"/>
      <c r="AH713" s="4"/>
      <c r="AI713" s="4"/>
      <c r="AJ713" s="449"/>
      <c r="AK713" s="449"/>
      <c r="AL713" s="449"/>
      <c r="AM713" s="449"/>
      <c r="AN713" s="10"/>
      <c r="AO713" s="9"/>
      <c r="AP713" s="9"/>
      <c r="AQ713" s="9">
        <f>+FL_1($T$714,$T$712,$G$713,1200,9.28,-1*$F$714)</f>
        <v>0.35772017018181818</v>
      </c>
      <c r="AR713" s="9"/>
      <c r="AS713" s="9"/>
      <c r="AT713" s="9"/>
      <c r="AU713" s="428"/>
      <c r="AV713" s="428"/>
      <c r="AW713" s="449" t="str">
        <f>IF(C713&gt;0,VLOOKUP(C713,Foundation_Calc!$A$2:$C$13,3,1),
IF(J713&gt;0,VLOOKUP(J713,Foundation_Calc!$A$2:$C$13,3,1),""))</f>
        <v/>
      </c>
      <c r="AX713" s="449" t="str">
        <f>IF(C713&gt;0,VLOOKUP(C713,Foundation_Calc!$E$2:$G$33,3,1),
IF(J713&gt;0,VLOOKUP(J713,Foundation_Calc!$E$2:$G$33,3,1),""))</f>
        <v/>
      </c>
      <c r="AY713" s="10" t="str">
        <f>IF(L713="","",
IF(AX713="PT",VLOOKUP(L713,Foundation_Calc!$K$79:$R$113,VLOOKUP(AW713,Foundation_Calc!$I$2:$J$8,2,FALSE),0),
IF(AX713="K",VLOOKUP(L713,Foundation_Calc!$K$117:$R$151,VLOOKUP(AW713,Foundation_Calc!$I$2:$J$8,2,FALSE),0),"")))</f>
        <v/>
      </c>
      <c r="AZ713" s="10" t="str">
        <f>IF(K713="","",
IF(AX713="PT",VLOOKUP(K713,Foundation_Calc!$K$79:$R$113,VLOOKUP(AW713,Foundation_Calc!$I$2:$J$8,2,FALSE),0),
IF(AX713="K",VLOOKUP(K713,Foundation_Calc!$K$117:$R$151,VLOOKUP(AW713,Foundation_Calc!$I$2:$J$8,2,FALSE),0),"")))</f>
        <v/>
      </c>
      <c r="BA713" s="495" t="str">
        <f t="shared" si="78"/>
        <v/>
      </c>
      <c r="BB713" s="495" t="str">
        <f t="shared" si="79"/>
        <v/>
      </c>
      <c r="BC713" s="495" t="str">
        <f t="shared" si="80"/>
        <v/>
      </c>
      <c r="BD713" s="513" t="str">
        <f>IF(AND(L713="",H713=""),"",
IF(H713="",Pole_Calc!A$9,
IF(H713="MP",Pole_Calc!A$10,
IF(H713="AnMP",Pole_Calc!A$11,
IF(H713="A",Pole_Calc!A$12,
IF(H713="S/A",Pole_Calc!A$13,
IF(H713="A/S",Pole_Calc!A$14,"Poner a mano")))))))</f>
        <v/>
      </c>
      <c r="BE713" s="429" t="s">
        <v>118</v>
      </c>
      <c r="BF713" s="290"/>
      <c r="BG713" s="290"/>
      <c r="BH713" s="290"/>
      <c r="BI713" s="290"/>
    </row>
    <row r="714" spans="1:61" ht="15.75" customHeight="1">
      <c r="A714" s="514"/>
      <c r="B714" s="450" t="s">
        <v>604</v>
      </c>
      <c r="C714" s="3">
        <f>+$C$712+$G$713</f>
        <v>47294.860000000008</v>
      </c>
      <c r="D714" s="83"/>
      <c r="E714" s="4"/>
      <c r="F714" s="4">
        <f>IF(C714&gt;0,VLOOKUP(C714,'ALIGNMENT TRACK'!$A$1:$K$81,9,1))</f>
        <v>0</v>
      </c>
      <c r="G714" s="6"/>
      <c r="H714" s="449"/>
      <c r="I714" s="4"/>
      <c r="J714" s="3"/>
      <c r="K714" s="449"/>
      <c r="L714" s="449" t="s">
        <v>153</v>
      </c>
      <c r="M714" s="449" t="str">
        <f>IF(L714="","",
IF(AX714="PT",VLOOKUP(L714,Foundation_Calc!$V$79:$X$113,VLOOKUP(AX714,Foundation_Calc!$I$10:$J$13,2,FALSE),0),
IF(AX714="K",VLOOKUP(L714,Foundation_Calc!$V$117:$X$151,VLOOKUP(AX714,Foundation_Calc!$I$10:$J$13,2,FALSE),0),"")))</f>
        <v>C3R</v>
      </c>
      <c r="N714" s="449" t="s">
        <v>124</v>
      </c>
      <c r="O714" s="449"/>
      <c r="P714" s="449"/>
      <c r="Q714" s="4"/>
      <c r="R714" s="6"/>
      <c r="S714" s="6"/>
      <c r="T714" s="4">
        <v>-35</v>
      </c>
      <c r="U714" s="4"/>
      <c r="V714" s="4"/>
      <c r="W714" s="9">
        <v>1.4</v>
      </c>
      <c r="X714" s="9"/>
      <c r="Y714" s="9"/>
      <c r="Z714" s="9"/>
      <c r="AA714" s="9"/>
      <c r="AB714" s="9"/>
      <c r="AC714" s="449" t="str">
        <f t="shared" si="81"/>
        <v>PHQ</v>
      </c>
      <c r="AD714" s="449"/>
      <c r="AE714" s="449"/>
      <c r="AF714" s="4"/>
      <c r="AG714" s="83"/>
      <c r="AH714" s="4"/>
      <c r="AI714" s="4"/>
      <c r="AJ714" s="449"/>
      <c r="AK714" s="449"/>
      <c r="AL714" s="449"/>
      <c r="AM714" s="449" t="s">
        <v>552</v>
      </c>
      <c r="AN714" s="10">
        <v>5.5</v>
      </c>
      <c r="AO714" s="9"/>
      <c r="AP714" s="9"/>
      <c r="AQ714" s="9"/>
      <c r="AR714" s="9"/>
      <c r="AS714" s="9"/>
      <c r="AT714" s="9">
        <f>+ab($T$714,$T$712,$T$716,$G$713,$G$715,-1*$F$714,1200)</f>
        <v>-7.6968753982919464</v>
      </c>
      <c r="AU714" s="428"/>
      <c r="AV714" s="428"/>
      <c r="AW714" s="449" t="str">
        <f>IF(C714&gt;0,VLOOKUP(C714,Foundation_Calc!$A$2:$C$13,3,1),
IF(J714&gt;0,VLOOKUP(J714,Foundation_Calc!$A$2:$C$13,3,1),""))</f>
        <v>Multi Soil</v>
      </c>
      <c r="AX714" s="449" t="str">
        <f>IF(C714&gt;0,VLOOKUP(C714,Foundation_Calc!$E$2:$G$33,3,1),
IF(J714&gt;0,VLOOKUP(J714,Foundation_Calc!$E$2:$G$33,3,1),""))</f>
        <v>PT</v>
      </c>
      <c r="AY714" s="10">
        <f>IF(L714="","",
IF(AX714="PT",VLOOKUP(L714,Foundation_Calc!$K$79:$R$113,VLOOKUP(AW714,Foundation_Calc!$I$2:$J$8,2,FALSE),0),
IF(AX714="K",VLOOKUP(L714,Foundation_Calc!$K$117:$R$151,VLOOKUP(AW714,Foundation_Calc!$I$2:$J$8,2,FALSE),0),"")))</f>
        <v>3.5</v>
      </c>
      <c r="AZ714" s="10" t="str">
        <f>IF(K714="","",
IF(AX714="PT",VLOOKUP(K714,Foundation_Calc!$K$79:$R$113,VLOOKUP(AW714,Foundation_Calc!$I$2:$J$8,2,FALSE),0),
IF(AX714="K",VLOOKUP(K714,Foundation_Calc!$K$117:$R$151,VLOOKUP(AW714,Foundation_Calc!$I$2:$J$8,2,FALSE),0),"")))</f>
        <v/>
      </c>
      <c r="BA714" s="495" t="str">
        <f t="shared" si="78"/>
        <v>ü</v>
      </c>
      <c r="BB714" s="495" t="str">
        <f t="shared" si="79"/>
        <v/>
      </c>
      <c r="BC714" s="495" t="str">
        <f t="shared" si="80"/>
        <v/>
      </c>
      <c r="BD714" s="513" t="str">
        <f>IF(AND(L714="",H714=""),"",
IF(H714="",Pole_Calc!A$9,
IF(H714="MP",Pole_Calc!A$10,
IF(H714="AnMP",Pole_Calc!A$11,
IF(H714="A",Pole_Calc!A$12,
IF(H714="S/A",Pole_Calc!A$13,
IF(H714="A/S",Pole_Calc!A$14,"Poner a mano")))))))</f>
        <v>App.7-V11I-P9.5.1.1</v>
      </c>
      <c r="BE714" s="429" t="s">
        <v>118</v>
      </c>
      <c r="BF714" s="289"/>
      <c r="BG714" s="289"/>
      <c r="BH714" s="290"/>
      <c r="BI714" s="289"/>
    </row>
    <row r="715" spans="1:61" ht="15.75" customHeight="1">
      <c r="A715" s="514"/>
      <c r="B715" s="450"/>
      <c r="C715" s="3"/>
      <c r="D715" s="83"/>
      <c r="E715" s="4"/>
      <c r="F715" s="4"/>
      <c r="G715" s="6">
        <v>54</v>
      </c>
      <c r="H715" s="449"/>
      <c r="I715" s="4"/>
      <c r="J715" s="3">
        <f>C716-7.5</f>
        <v>47341.360000000008</v>
      </c>
      <c r="K715" s="449" t="s">
        <v>117</v>
      </c>
      <c r="L715" s="449"/>
      <c r="M715" s="449" t="str">
        <f>IF(L715="","",
IF(AX715="PT",VLOOKUP(L715,Foundation_Calc!$V$79:$X$113,VLOOKUP(AX715,Foundation_Calc!$I$10:$J$13,2,FALSE),0),
IF(AX715="K",VLOOKUP(L715,Foundation_Calc!$V$117:$X$151,VLOOKUP(AX715,Foundation_Calc!$I$10:$J$13,2,FALSE),0),"")))</f>
        <v/>
      </c>
      <c r="N715" s="449"/>
      <c r="O715" s="449"/>
      <c r="P715" s="449"/>
      <c r="Q715" s="4"/>
      <c r="R715" s="6"/>
      <c r="S715" s="6"/>
      <c r="T715" s="4"/>
      <c r="U715" s="4"/>
      <c r="V715" s="4"/>
      <c r="W715" s="9"/>
      <c r="X715" s="9"/>
      <c r="Y715" s="9"/>
      <c r="Z715" s="9"/>
      <c r="AA715" s="9"/>
      <c r="AB715" s="9"/>
      <c r="AC715" s="449" t="str">
        <f t="shared" si="81"/>
        <v/>
      </c>
      <c r="AD715" s="449"/>
      <c r="AE715" s="449"/>
      <c r="AF715" s="4"/>
      <c r="AG715" s="83"/>
      <c r="AH715" s="4"/>
      <c r="AI715" s="4"/>
      <c r="AJ715" s="449"/>
      <c r="AK715" s="449"/>
      <c r="AL715" s="449"/>
      <c r="AM715" s="449"/>
      <c r="AN715" s="10"/>
      <c r="AO715" s="9"/>
      <c r="AP715" s="9"/>
      <c r="AQ715" s="9">
        <f>+FL_2($T$716,$T$714,$G$715,1200,9.28,-1*$F$716)</f>
        <v>-0.39052552059259249</v>
      </c>
      <c r="AR715" s="9"/>
      <c r="AS715" s="9"/>
      <c r="AT715" s="9"/>
      <c r="AU715" s="428"/>
      <c r="AV715" s="428"/>
      <c r="AW715" s="449" t="str">
        <f>IF(C715&gt;0,VLOOKUP(C715,Foundation_Calc!$A$2:$C$13,3,1),
IF(J715&gt;0,VLOOKUP(J715,Foundation_Calc!$A$2:$C$13,3,1),""))</f>
        <v>Multi Soil</v>
      </c>
      <c r="AX715" s="449" t="str">
        <f>IF(C715&gt;0,VLOOKUP(C715,Foundation_Calc!$E$2:$G$33,3,1),
IF(J715&gt;0,VLOOKUP(J715,Foundation_Calc!$E$2:$G$33,3,1),""))</f>
        <v>PT</v>
      </c>
      <c r="AY715" s="10" t="str">
        <f>IF(L715="","",
IF(AX715="PT",VLOOKUP(L715,Foundation_Calc!$K$79:$R$113,VLOOKUP(AW715,Foundation_Calc!$I$2:$J$8,2,FALSE),0),
IF(AX715="K",VLOOKUP(L715,Foundation_Calc!$K$117:$R$151,VLOOKUP(AW715,Foundation_Calc!$I$2:$J$8,2,FALSE),0),"")))</f>
        <v/>
      </c>
      <c r="AZ715" s="10">
        <f>IF(K715="","",
IF(AX715="PT",VLOOKUP(K715,Foundation_Calc!$K$79:$R$113,VLOOKUP(AW715,Foundation_Calc!$I$2:$J$8,2,FALSE),0),
IF(AX715="K",VLOOKUP(K715,Foundation_Calc!$K$117:$R$151,VLOOKUP(AW715,Foundation_Calc!$I$2:$J$8,2,FALSE),0),"")))</f>
        <v>3.9</v>
      </c>
      <c r="BA715" s="495" t="str">
        <f t="shared" si="78"/>
        <v/>
      </c>
      <c r="BB715" s="495" t="str">
        <f t="shared" si="79"/>
        <v>ü</v>
      </c>
      <c r="BC715" s="495" t="str">
        <f t="shared" si="80"/>
        <v/>
      </c>
      <c r="BD715" s="513" t="str">
        <f>IF(AND(L715="",H715=""),"",
IF(H715="",Pole_Calc!A$9,
IF(H715="MP",Pole_Calc!A$10,
IF(H715="AnMP",Pole_Calc!A$11,
IF(H715="A",Pole_Calc!A$12,
IF(H715="S/A",Pole_Calc!A$13,
IF(H715="A/S",Pole_Calc!A$14,"Poner a mano")))))))</f>
        <v/>
      </c>
      <c r="BE715" s="429" t="s">
        <v>118</v>
      </c>
      <c r="BF715" s="290"/>
      <c r="BG715" s="290"/>
      <c r="BH715" s="290"/>
      <c r="BI715" s="290"/>
    </row>
    <row r="716" spans="1:61" ht="15.75" customHeight="1">
      <c r="A716" s="514"/>
      <c r="B716" s="450" t="s">
        <v>605</v>
      </c>
      <c r="C716" s="3">
        <f>+$C$714+$G$715</f>
        <v>47348.860000000008</v>
      </c>
      <c r="D716" s="83"/>
      <c r="E716" s="4"/>
      <c r="F716" s="4">
        <f>IF(C716&gt;0,VLOOKUP(C716,'ALIGNMENT TRACK'!$A$1:$K$81,9,1))</f>
        <v>0</v>
      </c>
      <c r="G716" s="6"/>
      <c r="H716" s="449" t="s">
        <v>121</v>
      </c>
      <c r="I716" s="4" t="s">
        <v>122</v>
      </c>
      <c r="J716" s="3"/>
      <c r="K716" s="449"/>
      <c r="L716" s="449" t="s">
        <v>151</v>
      </c>
      <c r="M716" s="449" t="str">
        <f>IF(L716="","",
IF(AX716="PT",VLOOKUP(L716,Foundation_Calc!$V$79:$X$113,VLOOKUP(AX716,Foundation_Calc!$I$10:$J$13,2,FALSE),0),
IF(AX716="K",VLOOKUP(L716,Foundation_Calc!$V$117:$X$151,VLOOKUP(AX716,Foundation_Calc!$I$10:$J$13,2,FALSE),0),"")))</f>
        <v>C4R</v>
      </c>
      <c r="N716" s="449" t="s">
        <v>134</v>
      </c>
      <c r="O716" s="449"/>
      <c r="P716" s="449"/>
      <c r="Q716" s="4"/>
      <c r="R716" s="6"/>
      <c r="S716" s="6"/>
      <c r="T716" s="4">
        <v>35</v>
      </c>
      <c r="U716" s="4"/>
      <c r="V716" s="4"/>
      <c r="W716" s="9">
        <v>1.4</v>
      </c>
      <c r="X716" s="9"/>
      <c r="Y716" s="9"/>
      <c r="Z716" s="9"/>
      <c r="AA716" s="9"/>
      <c r="AB716" s="9"/>
      <c r="AC716" s="449" t="str">
        <f t="shared" si="81"/>
        <v>PHQ</v>
      </c>
      <c r="AD716" s="449"/>
      <c r="AE716" s="449"/>
      <c r="AF716" s="4"/>
      <c r="AG716" s="83"/>
      <c r="AH716" s="4"/>
      <c r="AI716" s="4"/>
      <c r="AJ716" s="449"/>
      <c r="AK716" s="449"/>
      <c r="AL716" s="449"/>
      <c r="AM716" s="449" t="s">
        <v>552</v>
      </c>
      <c r="AN716" s="10">
        <v>5.5</v>
      </c>
      <c r="AO716" s="9"/>
      <c r="AP716" s="9"/>
      <c r="AQ716" s="9"/>
      <c r="AR716" s="9"/>
      <c r="AS716" s="9"/>
      <c r="AT716" s="9">
        <f>+ab($T$716,$T$714,$U$718,$G$715,$G$717,-1*$F$716,1200)</f>
        <v>7.9862371699472732</v>
      </c>
      <c r="AU716" s="428"/>
      <c r="AV716" s="428"/>
      <c r="AW716" s="449" t="str">
        <f>IF(C716&gt;0,VLOOKUP(C716,Foundation_Calc!$A$2:$C$13,3,1),
IF(J716&gt;0,VLOOKUP(J716,Foundation_Calc!$A$2:$C$13,3,1),""))</f>
        <v>Multi Soil</v>
      </c>
      <c r="AX716" s="449" t="str">
        <f>IF(C716&gt;0,VLOOKUP(C716,Foundation_Calc!$E$2:$G$33,3,1),
IF(J716&gt;0,VLOOKUP(J716,Foundation_Calc!$E$2:$G$33,3,1),""))</f>
        <v>PT</v>
      </c>
      <c r="AY716" s="10">
        <f>IF(L716="","",
IF(AX716="PT",VLOOKUP(L716,Foundation_Calc!$K$79:$R$113,VLOOKUP(AW716,Foundation_Calc!$I$2:$J$8,2,FALSE),0),
IF(AX716="K",VLOOKUP(L716,Foundation_Calc!$K$117:$R$151,VLOOKUP(AW716,Foundation_Calc!$I$2:$J$8,2,FALSE),0),"")))</f>
        <v>3.5</v>
      </c>
      <c r="AZ716" s="10" t="str">
        <f>IF(K716="","",
IF(AX716="PT",VLOOKUP(K716,Foundation_Calc!$K$79:$R$113,VLOOKUP(AW716,Foundation_Calc!$I$2:$J$8,2,FALSE),0),
IF(AX716="K",VLOOKUP(K716,Foundation_Calc!$K$117:$R$151,VLOOKUP(AW716,Foundation_Calc!$I$2:$J$8,2,FALSE),0),"")))</f>
        <v/>
      </c>
      <c r="BA716" s="495" t="str">
        <f t="shared" si="78"/>
        <v>ü</v>
      </c>
      <c r="BB716" s="495" t="str">
        <f t="shared" si="79"/>
        <v/>
      </c>
      <c r="BC716" s="495" t="str">
        <f t="shared" si="80"/>
        <v/>
      </c>
      <c r="BD716" s="513" t="str">
        <f>IF(AND(L716="",H716=""),"",
IF(H716="",Pole_Calc!A$9,
IF(H716="MP",Pole_Calc!A$10,
IF(H716="AnMP",Pole_Calc!A$11,
IF(H716="A",Pole_Calc!A$12,
IF(H716="S/A",Pole_Calc!A$13,
IF(H716="A/S",Pole_Calc!A$14,"Poner a mano")))))))</f>
        <v>App.7-V11I-P9.5.1.6</v>
      </c>
      <c r="BE716" s="429" t="s">
        <v>118</v>
      </c>
      <c r="BF716" s="289"/>
      <c r="BG716" s="289"/>
      <c r="BH716" s="290"/>
      <c r="BI716" s="289"/>
    </row>
    <row r="717" spans="1:61" ht="15.75" customHeight="1">
      <c r="A717" s="514"/>
      <c r="B717" s="450"/>
      <c r="C717" s="3"/>
      <c r="D717" s="83"/>
      <c r="E717" s="4"/>
      <c r="F717" s="4"/>
      <c r="G717" s="6">
        <v>55</v>
      </c>
      <c r="H717" s="449"/>
      <c r="I717" s="4"/>
      <c r="J717" s="3"/>
      <c r="K717" s="449"/>
      <c r="L717" s="449"/>
      <c r="M717" s="449" t="str">
        <f>IF(L717="","",
IF(AX717="PT",VLOOKUP(L717,Foundation_Calc!$V$79:$X$113,VLOOKUP(AX717,Foundation_Calc!$I$10:$J$13,2,FALSE),0),
IF(AX717="K",VLOOKUP(L717,Foundation_Calc!$V$117:$X$151,VLOOKUP(AX717,Foundation_Calc!$I$10:$J$13,2,FALSE),0),"")))</f>
        <v/>
      </c>
      <c r="N717" s="449"/>
      <c r="O717" s="449"/>
      <c r="P717" s="449"/>
      <c r="Q717" s="4"/>
      <c r="R717" s="6"/>
      <c r="S717" s="6"/>
      <c r="T717" s="4"/>
      <c r="U717" s="4"/>
      <c r="V717" s="4"/>
      <c r="W717" s="9"/>
      <c r="X717" s="9"/>
      <c r="Y717" s="9"/>
      <c r="Z717" s="9"/>
      <c r="AA717" s="9"/>
      <c r="AB717" s="9"/>
      <c r="AC717" s="449" t="str">
        <f t="shared" si="81"/>
        <v/>
      </c>
      <c r="AD717" s="449"/>
      <c r="AE717" s="449"/>
      <c r="AF717" s="4"/>
      <c r="AG717" s="83"/>
      <c r="AH717" s="4"/>
      <c r="AI717" s="4"/>
      <c r="AJ717" s="449"/>
      <c r="AK717" s="449"/>
      <c r="AL717" s="449"/>
      <c r="AM717" s="449"/>
      <c r="AN717" s="10"/>
      <c r="AO717" s="9"/>
      <c r="AP717" s="9"/>
      <c r="AQ717" s="9">
        <f>+FL_1($U$718,$T$716,$G$717,1200,9.28,-1*$F$718)</f>
        <v>0.41936166072727271</v>
      </c>
      <c r="AR717" s="9"/>
      <c r="AS717" s="9"/>
      <c r="AT717" s="9"/>
      <c r="AU717" s="428"/>
      <c r="AV717" s="428"/>
      <c r="AW717" s="449" t="str">
        <f>IF(C717&gt;0,VLOOKUP(C717,Foundation_Calc!$A$2:$C$13,3,1),
IF(J717&gt;0,VLOOKUP(J717,Foundation_Calc!$A$2:$C$13,3,1),""))</f>
        <v/>
      </c>
      <c r="AX717" s="449" t="str">
        <f>IF(C717&gt;0,VLOOKUP(C717,Foundation_Calc!$E$2:$G$33,3,1),
IF(J717&gt;0,VLOOKUP(J717,Foundation_Calc!$E$2:$G$33,3,1),""))</f>
        <v/>
      </c>
      <c r="AY717" s="10" t="str">
        <f>IF(L717="","",
IF(AX717="PT",VLOOKUP(L717,Foundation_Calc!$K$79:$R$113,VLOOKUP(AW717,Foundation_Calc!$I$2:$J$8,2,FALSE),0),
IF(AX717="K",VLOOKUP(L717,Foundation_Calc!$K$117:$R$151,VLOOKUP(AW717,Foundation_Calc!$I$2:$J$8,2,FALSE),0),"")))</f>
        <v/>
      </c>
      <c r="AZ717" s="10" t="str">
        <f>IF(K717="","",
IF(AX717="PT",VLOOKUP(K717,Foundation_Calc!$K$79:$R$113,VLOOKUP(AW717,Foundation_Calc!$I$2:$J$8,2,FALSE),0),
IF(AX717="K",VLOOKUP(K717,Foundation_Calc!$K$117:$R$151,VLOOKUP(AW717,Foundation_Calc!$I$2:$J$8,2,FALSE),0),"")))</f>
        <v/>
      </c>
      <c r="BA717" s="495" t="str">
        <f t="shared" si="78"/>
        <v/>
      </c>
      <c r="BB717" s="495" t="str">
        <f t="shared" si="79"/>
        <v/>
      </c>
      <c r="BC717" s="495" t="str">
        <f t="shared" si="80"/>
        <v/>
      </c>
      <c r="BD717" s="513" t="str">
        <f>IF(AND(L717="",H717=""),"",
IF(H717="",Pole_Calc!A$9,
IF(H717="MP",Pole_Calc!A$10,
IF(H717="AnMP",Pole_Calc!A$11,
IF(H717="A",Pole_Calc!A$12,
IF(H717="S/A",Pole_Calc!A$13,
IF(H717="A/S",Pole_Calc!A$14,"Poner a mano")))))))</f>
        <v/>
      </c>
      <c r="BE717" s="429" t="s">
        <v>118</v>
      </c>
      <c r="BF717" s="290"/>
      <c r="BG717" s="290"/>
      <c r="BH717" s="290"/>
      <c r="BI717" s="290"/>
    </row>
    <row r="718" spans="1:61" ht="15.75" customHeight="1">
      <c r="A718" s="514"/>
      <c r="B718" s="450" t="s">
        <v>606</v>
      </c>
      <c r="C718" s="3">
        <f>+$C$716+$G$717</f>
        <v>47403.860000000008</v>
      </c>
      <c r="D718" s="83"/>
      <c r="E718" s="4"/>
      <c r="F718" s="4">
        <f>IF(C718&gt;0,VLOOKUP(C718,'ALIGNMENT TRACK'!$A$1:$K$81,9,1))</f>
        <v>0</v>
      </c>
      <c r="G718" s="6"/>
      <c r="H718" s="449" t="s">
        <v>131</v>
      </c>
      <c r="I718" s="4"/>
      <c r="J718" s="3"/>
      <c r="K718" s="449"/>
      <c r="L718" s="449" t="s">
        <v>158</v>
      </c>
      <c r="M718" s="449" t="str">
        <f>IF(L718="","",
IF(AX718="PT",VLOOKUP(L718,Foundation_Calc!$V$79:$X$113,VLOOKUP(AX718,Foundation_Calc!$I$10:$J$13,2,FALSE),0),
IF(AX718="K",VLOOKUP(L718,Foundation_Calc!$V$117:$X$151,VLOOKUP(AX718,Foundation_Calc!$I$10:$J$13,2,FALSE),0),"")))</f>
        <v>C4R</v>
      </c>
      <c r="N718" s="449" t="s">
        <v>133</v>
      </c>
      <c r="O718" s="449" t="s">
        <v>124</v>
      </c>
      <c r="P718" s="449"/>
      <c r="Q718" s="4"/>
      <c r="R718" s="6"/>
      <c r="S718" s="6"/>
      <c r="T718" s="4">
        <v>-5</v>
      </c>
      <c r="U718" s="4">
        <v>-25</v>
      </c>
      <c r="V718" s="4"/>
      <c r="W718" s="9">
        <v>1.4</v>
      </c>
      <c r="X718" s="9">
        <v>2.2999999999999998</v>
      </c>
      <c r="Y718" s="9"/>
      <c r="Z718" s="9">
        <v>0.6</v>
      </c>
      <c r="AA718" s="9"/>
      <c r="AB718" s="9"/>
      <c r="AC718" s="449"/>
      <c r="AD718" s="449"/>
      <c r="AE718" s="449"/>
      <c r="AF718" s="4"/>
      <c r="AG718" s="83"/>
      <c r="AH718" s="4"/>
      <c r="AI718" s="4"/>
      <c r="AJ718" s="449"/>
      <c r="AK718" s="449"/>
      <c r="AL718" s="449"/>
      <c r="AM718" s="449" t="s">
        <v>552</v>
      </c>
      <c r="AN718" s="10">
        <v>5.5</v>
      </c>
      <c r="AO718" s="9"/>
      <c r="AP718" s="9"/>
      <c r="AQ718" s="9"/>
      <c r="AR718" s="9"/>
      <c r="AS718" s="9"/>
      <c r="AT718" s="9">
        <f>+ab($U$718,$T$716,$U$720,$G$717,$G$719,-1*$F$718,1200)</f>
        <v>-9.7850954504699867</v>
      </c>
      <c r="AU718" s="428"/>
      <c r="AV718" s="428"/>
      <c r="AW718" s="449" t="str">
        <f>IF(C718&gt;0,VLOOKUP(C718,Foundation_Calc!$A$2:$C$13,3,1),
IF(J718&gt;0,VLOOKUP(J718,Foundation_Calc!$A$2:$C$13,3,1),""))</f>
        <v>Multi Soil</v>
      </c>
      <c r="AX718" s="449" t="str">
        <f>IF(C718&gt;0,VLOOKUP(C718,Foundation_Calc!$E$2:$G$33,3,1),
IF(J718&gt;0,VLOOKUP(J718,Foundation_Calc!$E$2:$G$33,3,1),""))</f>
        <v>PT</v>
      </c>
      <c r="AY718" s="10">
        <f>IF(L718="","",
IF(AX718="PT",VLOOKUP(L718,Foundation_Calc!$K$79:$R$113,VLOOKUP(AW718,Foundation_Calc!$I$2:$J$8,2,FALSE),0),
IF(AX718="K",VLOOKUP(L718,Foundation_Calc!$K$117:$R$151,VLOOKUP(AW718,Foundation_Calc!$I$2:$J$8,2,FALSE),0),"")))</f>
        <v>3.5</v>
      </c>
      <c r="AZ718" s="10" t="str">
        <f>IF(K718="","",
IF(AX718="PT",VLOOKUP(K718,Foundation_Calc!$K$79:$R$113,VLOOKUP(AW718,Foundation_Calc!$I$2:$J$8,2,FALSE),0),
IF(AX718="K",VLOOKUP(K718,Foundation_Calc!$K$117:$R$151,VLOOKUP(AW718,Foundation_Calc!$I$2:$J$8,2,FALSE),0),"")))</f>
        <v/>
      </c>
      <c r="BA718" s="495" t="str">
        <f t="shared" si="78"/>
        <v>ü</v>
      </c>
      <c r="BB718" s="495" t="str">
        <f t="shared" si="79"/>
        <v/>
      </c>
      <c r="BC718" s="495" t="str">
        <f t="shared" si="80"/>
        <v/>
      </c>
      <c r="BD718" s="513" t="str">
        <f>IF(AND(L718="",H718=""),"",
IF(H718="",Pole_Calc!A$9,
IF(H718="MP",Pole_Calc!A$10,
IF(H718="AnMP",Pole_Calc!A$11,
IF(H718="A",Pole_Calc!A$12,
IF(H718="S/A",Pole_Calc!A$13,
IF(H718="A/S",Pole_Calc!A$14,"Poner a mano")))))))</f>
        <v>App.7-V11I-P9.5.1.5</v>
      </c>
      <c r="BE718" s="429" t="s">
        <v>118</v>
      </c>
      <c r="BF718" s="289"/>
      <c r="BG718" s="289"/>
      <c r="BH718" s="290"/>
      <c r="BI718" s="289"/>
    </row>
    <row r="719" spans="1:61" ht="15.75" customHeight="1">
      <c r="A719" s="514"/>
      <c r="B719" s="450"/>
      <c r="C719" s="3"/>
      <c r="D719" s="83"/>
      <c r="E719" s="4"/>
      <c r="F719" s="4"/>
      <c r="G719" s="6">
        <v>47</v>
      </c>
      <c r="H719" s="449"/>
      <c r="I719" s="4"/>
      <c r="J719" s="3"/>
      <c r="K719" s="449"/>
      <c r="L719" s="449"/>
      <c r="M719" s="449" t="str">
        <f>IF(L719="","",
IF(AX719="PT",VLOOKUP(L719,Foundation_Calc!$V$79:$X$113,VLOOKUP(AX719,Foundation_Calc!$I$10:$J$13,2,FALSE),0),
IF(AX719="K",VLOOKUP(L719,Foundation_Calc!$V$117:$X$151,VLOOKUP(AX719,Foundation_Calc!$I$10:$J$13,2,FALSE),0),"")))</f>
        <v/>
      </c>
      <c r="N719" s="449"/>
      <c r="O719" s="449"/>
      <c r="P719" s="449"/>
      <c r="Q719" s="4"/>
      <c r="R719" s="6"/>
      <c r="S719" s="6"/>
      <c r="T719" s="4"/>
      <c r="U719" s="4"/>
      <c r="V719" s="4"/>
      <c r="W719" s="9"/>
      <c r="X719" s="9"/>
      <c r="Y719" s="9"/>
      <c r="Z719" s="9"/>
      <c r="AA719" s="9"/>
      <c r="AB719" s="9"/>
      <c r="AC719" s="449" t="str">
        <f t="shared" si="81"/>
        <v/>
      </c>
      <c r="AD719" s="449"/>
      <c r="AE719" s="449"/>
      <c r="AF719" s="4"/>
      <c r="AG719" s="83"/>
      <c r="AH719" s="4"/>
      <c r="AI719" s="4"/>
      <c r="AJ719" s="449"/>
      <c r="AK719" s="449"/>
      <c r="AL719" s="449"/>
      <c r="AM719" s="449"/>
      <c r="AN719" s="10"/>
      <c r="AO719" s="9"/>
      <c r="AP719" s="9"/>
      <c r="AQ719" s="9">
        <f>+FL_1($T$720,$T$718,$G$719,1200,9.28,-1*$F$720)</f>
        <v>0.41036702232624106</v>
      </c>
      <c r="AR719" s="9"/>
      <c r="AS719" s="9"/>
      <c r="AT719" s="9"/>
      <c r="AU719" s="428"/>
      <c r="AV719" s="428"/>
      <c r="AW719" s="449" t="str">
        <f>IF(C719&gt;0,VLOOKUP(C719,Foundation_Calc!$A$2:$C$13,3,1),
IF(J719&gt;0,VLOOKUP(J719,Foundation_Calc!$A$2:$C$13,3,1),""))</f>
        <v/>
      </c>
      <c r="AX719" s="449" t="str">
        <f>IF(C719&gt;0,VLOOKUP(C719,Foundation_Calc!$E$2:$G$33,3,1),
IF(J719&gt;0,VLOOKUP(J719,Foundation_Calc!$E$2:$G$33,3,1),""))</f>
        <v/>
      </c>
      <c r="AY719" s="10" t="str">
        <f>IF(L719="","",
IF(AX719="PT",VLOOKUP(L719,Foundation_Calc!$K$79:$R$113,VLOOKUP(AW719,Foundation_Calc!$I$2:$J$8,2,FALSE),0),
IF(AX719="K",VLOOKUP(L719,Foundation_Calc!$K$117:$R$151,VLOOKUP(AW719,Foundation_Calc!$I$2:$J$8,2,FALSE),0),"")))</f>
        <v/>
      </c>
      <c r="AZ719" s="10" t="str">
        <f>IF(K719="","",
IF(AX719="PT",VLOOKUP(K719,Foundation_Calc!$K$79:$R$113,VLOOKUP(AW719,Foundation_Calc!$I$2:$J$8,2,FALSE),0),
IF(AX719="K",VLOOKUP(K719,Foundation_Calc!$K$117:$R$151,VLOOKUP(AW719,Foundation_Calc!$I$2:$J$8,2,FALSE),0),"")))</f>
        <v/>
      </c>
      <c r="BA719" s="495" t="str">
        <f t="shared" si="78"/>
        <v/>
      </c>
      <c r="BB719" s="495" t="str">
        <f t="shared" si="79"/>
        <v/>
      </c>
      <c r="BC719" s="495" t="str">
        <f t="shared" si="80"/>
        <v/>
      </c>
      <c r="BD719" s="513" t="str">
        <f>IF(AND(L719="",H719=""),"",
IF(H719="",Pole_Calc!A$9,
IF(H719="MP",Pole_Calc!A$10,
IF(H719="AnMP",Pole_Calc!A$11,
IF(H719="A",Pole_Calc!A$12,
IF(H719="S/A",Pole_Calc!A$13,
IF(H719="A/S",Pole_Calc!A$14,"Poner a mano")))))))</f>
        <v/>
      </c>
      <c r="BE719" s="429" t="s">
        <v>118</v>
      </c>
      <c r="BF719" s="290"/>
      <c r="BG719" s="290"/>
      <c r="BH719" s="290"/>
      <c r="BI719" s="290"/>
    </row>
    <row r="720" spans="1:61" ht="15.75" customHeight="1">
      <c r="A720" s="514" t="s">
        <v>607</v>
      </c>
      <c r="B720" s="450" t="s">
        <v>608</v>
      </c>
      <c r="C720" s="3">
        <f>+$C$718+$G$719-0.26</f>
        <v>47450.600000000006</v>
      </c>
      <c r="D720" s="83"/>
      <c r="E720" s="4"/>
      <c r="F720" s="4">
        <f>IF(C720&gt;0,VLOOKUP(C720,'ALIGNMENT TRACK'!$A$1:$K$81,9,1))</f>
        <v>0</v>
      </c>
      <c r="G720" s="6"/>
      <c r="H720" s="449" t="s">
        <v>114</v>
      </c>
      <c r="I720" s="4"/>
      <c r="J720" s="3"/>
      <c r="K720" s="449"/>
      <c r="L720" s="449" t="s">
        <v>158</v>
      </c>
      <c r="M720" s="449" t="str">
        <f>IF(L720="","",
IF(AX720="PT",VLOOKUP(L720,Foundation_Calc!$V$79:$X$113,VLOOKUP(AX720,Foundation_Calc!$I$10:$J$13,2,FALSE),0),
IF(AX720="K",VLOOKUP(L720,Foundation_Calc!$V$117:$X$151,VLOOKUP(AX720,Foundation_Calc!$I$10:$J$13,2,FALSE),0),"")))</f>
        <v>C4R</v>
      </c>
      <c r="N720" s="449" t="s">
        <v>134</v>
      </c>
      <c r="O720" s="449" t="s">
        <v>134</v>
      </c>
      <c r="P720" s="449"/>
      <c r="Q720" s="4"/>
      <c r="R720" s="6"/>
      <c r="S720" s="6"/>
      <c r="T720" s="4">
        <v>35</v>
      </c>
      <c r="U720" s="4">
        <v>15</v>
      </c>
      <c r="V720" s="4"/>
      <c r="W720" s="9">
        <v>1.4</v>
      </c>
      <c r="X720" s="9">
        <v>2.2999999999999998</v>
      </c>
      <c r="Y720" s="9"/>
      <c r="Z720" s="9">
        <v>0.15</v>
      </c>
      <c r="AA720" s="9"/>
      <c r="AB720" s="9"/>
      <c r="AC720" s="449" t="str">
        <f t="shared" si="81"/>
        <v>PH</v>
      </c>
      <c r="AD720" s="449"/>
      <c r="AE720" s="449"/>
      <c r="AF720" s="4"/>
      <c r="AG720" s="83"/>
      <c r="AH720" s="4"/>
      <c r="AI720" s="4"/>
      <c r="AJ720" s="449"/>
      <c r="AK720" s="449"/>
      <c r="AL720" s="449"/>
      <c r="AM720" s="449" t="s">
        <v>552</v>
      </c>
      <c r="AN720" s="10">
        <v>5.5</v>
      </c>
      <c r="AO720" s="9"/>
      <c r="AP720" s="9"/>
      <c r="AQ720" s="9"/>
      <c r="AR720" s="9"/>
      <c r="AS720" s="9"/>
      <c r="AT720" s="9">
        <f>+ab($T$720,$T$718,$T$722,$G$719,$G$721,-1*$F$720,1200)</f>
        <v>9.9206905006084174</v>
      </c>
      <c r="AU720" s="428"/>
      <c r="AV720" s="428"/>
      <c r="AW720" s="449" t="str">
        <f>IF(C720&gt;0,VLOOKUP(C720,Foundation_Calc!$A$2:$C$13,3,1),
IF(J720&gt;0,VLOOKUP(J720,Foundation_Calc!$A$2:$C$13,3,1),""))</f>
        <v>Multi Soil</v>
      </c>
      <c r="AX720" s="449" t="str">
        <f>IF(C720&gt;0,VLOOKUP(C720,Foundation_Calc!$E$2:$G$33,3,1),
IF(J720&gt;0,VLOOKUP(J720,Foundation_Calc!$E$2:$G$33,3,1),""))</f>
        <v>PT</v>
      </c>
      <c r="AY720" s="10">
        <f>IF(L720="","",
IF(AX720="PT",VLOOKUP(L720,Foundation_Calc!$K$79:$R$113,VLOOKUP(AW720,Foundation_Calc!$I$2:$J$8,2,FALSE),0),
IF(AX720="K",VLOOKUP(L720,Foundation_Calc!$K$117:$R$151,VLOOKUP(AW720,Foundation_Calc!$I$2:$J$8,2,FALSE),0),"")))</f>
        <v>3.5</v>
      </c>
      <c r="AZ720" s="10" t="str">
        <f>IF(K720="","",
IF(AX720="PT",VLOOKUP(K720,Foundation_Calc!$K$79:$R$113,VLOOKUP(AW720,Foundation_Calc!$I$2:$J$8,2,FALSE),0),
IF(AX720="K",VLOOKUP(K720,Foundation_Calc!$K$117:$R$151,VLOOKUP(AW720,Foundation_Calc!$I$2:$J$8,2,FALSE),0),"")))</f>
        <v/>
      </c>
      <c r="BA720" s="495" t="str">
        <f t="shared" si="78"/>
        <v>ü</v>
      </c>
      <c r="BB720" s="495" t="str">
        <f t="shared" si="79"/>
        <v/>
      </c>
      <c r="BC720" s="495" t="str">
        <f t="shared" si="80"/>
        <v/>
      </c>
      <c r="BD720" s="513" t="str">
        <f>IF(AND(L720="",H720=""),"",
IF(H720="",Pole_Calc!A$9,
IF(H720="MP",Pole_Calc!A$10,
IF(H720="AnMP",Pole_Calc!A$11,
IF(H720="A",Pole_Calc!A$12,
IF(H720="S/A",Pole_Calc!A$13,
IF(H720="A/S",Pole_Calc!A$14,"Poner a mano")))))))</f>
        <v>App.7-V11I-P9.5.1.4</v>
      </c>
      <c r="BE720" s="429" t="s">
        <v>118</v>
      </c>
      <c r="BF720" s="289"/>
      <c r="BG720" s="289"/>
      <c r="BH720" s="290"/>
      <c r="BI720" s="289"/>
    </row>
    <row r="721" spans="1:61" ht="15.75" customHeight="1">
      <c r="A721" s="514" t="s">
        <v>609</v>
      </c>
      <c r="B721" s="450"/>
      <c r="C721" s="3"/>
      <c r="D721" s="83"/>
      <c r="E721" s="4"/>
      <c r="F721" s="4"/>
      <c r="G721" s="6">
        <v>47</v>
      </c>
      <c r="H721" s="449"/>
      <c r="I721" s="4"/>
      <c r="J721" s="3"/>
      <c r="K721" s="449"/>
      <c r="L721" s="449"/>
      <c r="M721" s="449" t="str">
        <f>IF(L721="","",
IF(AX721="PT",VLOOKUP(L721,Foundation_Calc!$V$79:$X$113,VLOOKUP(AX721,Foundation_Calc!$I$10:$J$13,2,FALSE),0),
IF(AX721="K",VLOOKUP(L721,Foundation_Calc!$V$117:$X$151,VLOOKUP(AX721,Foundation_Calc!$I$10:$J$13,2,FALSE),0),"")))</f>
        <v/>
      </c>
      <c r="N721" s="449"/>
      <c r="O721" s="449"/>
      <c r="P721" s="449"/>
      <c r="Q721" s="4"/>
      <c r="R721" s="6"/>
      <c r="S721" s="6"/>
      <c r="T721" s="4"/>
      <c r="U721" s="4"/>
      <c r="V721" s="4"/>
      <c r="W721" s="9"/>
      <c r="X721" s="9"/>
      <c r="Y721" s="9"/>
      <c r="Z721" s="9"/>
      <c r="AA721" s="9"/>
      <c r="AB721" s="9"/>
      <c r="AC721" s="449" t="str">
        <f t="shared" si="81"/>
        <v/>
      </c>
      <c r="AD721" s="449"/>
      <c r="AE721" s="449"/>
      <c r="AF721" s="4"/>
      <c r="AG721" s="83"/>
      <c r="AH721" s="4"/>
      <c r="AI721" s="4"/>
      <c r="AJ721" s="449"/>
      <c r="AK721" s="449"/>
      <c r="AL721" s="449"/>
      <c r="AM721" s="449"/>
      <c r="AN721" s="10"/>
      <c r="AO721" s="9"/>
      <c r="AP721" s="9"/>
      <c r="AQ721" s="9">
        <f>+FL_2($T$722,$T$720,$G$721,1200,9.28,-1*$F$722)</f>
        <v>-0.18670910672340424</v>
      </c>
      <c r="AR721" s="9"/>
      <c r="AS721" s="9"/>
      <c r="AT721" s="9"/>
      <c r="AU721" s="428"/>
      <c r="AV721" s="428"/>
      <c r="AW721" s="449" t="str">
        <f>IF(C721&gt;0,VLOOKUP(C721,Foundation_Calc!$A$2:$C$13,3,1),
IF(J721&gt;0,VLOOKUP(J721,Foundation_Calc!$A$2:$C$13,3,1),""))</f>
        <v/>
      </c>
      <c r="AX721" s="449" t="str">
        <f>IF(C721&gt;0,VLOOKUP(C721,Foundation_Calc!$E$2:$G$33,3,1),
IF(J721&gt;0,VLOOKUP(J721,Foundation_Calc!$E$2:$G$33,3,1),""))</f>
        <v/>
      </c>
      <c r="AY721" s="10" t="str">
        <f>IF(L721="","",
IF(AX721="PT",VLOOKUP(L721,Foundation_Calc!$K$79:$R$113,VLOOKUP(AW721,Foundation_Calc!$I$2:$J$8,2,FALSE),0),
IF(AX721="K",VLOOKUP(L721,Foundation_Calc!$K$117:$R$151,VLOOKUP(AW721,Foundation_Calc!$I$2:$J$8,2,FALSE),0),"")))</f>
        <v/>
      </c>
      <c r="AZ721" s="10" t="str">
        <f>IF(K721="","",
IF(AX721="PT",VLOOKUP(K721,Foundation_Calc!$K$79:$R$113,VLOOKUP(AW721,Foundation_Calc!$I$2:$J$8,2,FALSE),0),
IF(AX721="K",VLOOKUP(K721,Foundation_Calc!$K$117:$R$151,VLOOKUP(AW721,Foundation_Calc!$I$2:$J$8,2,FALSE),0),"")))</f>
        <v/>
      </c>
      <c r="BA721" s="495" t="str">
        <f t="shared" si="78"/>
        <v/>
      </c>
      <c r="BB721" s="495" t="str">
        <f t="shared" si="79"/>
        <v/>
      </c>
      <c r="BC721" s="495" t="str">
        <f t="shared" si="80"/>
        <v/>
      </c>
      <c r="BD721" s="513" t="str">
        <f>IF(AND(L721="",H721=""),"",
IF(H721="",Pole_Calc!A$9,
IF(H721="MP",Pole_Calc!A$10,
IF(H721="AnMP",Pole_Calc!A$11,
IF(H721="A",Pole_Calc!A$12,
IF(H721="S/A",Pole_Calc!A$13,
IF(H721="A/S",Pole_Calc!A$14,"Poner a mano")))))))</f>
        <v/>
      </c>
      <c r="BE721" s="429" t="s">
        <v>118</v>
      </c>
      <c r="BF721" s="290"/>
      <c r="BG721" s="290"/>
      <c r="BH721" s="290"/>
      <c r="BI721" s="290"/>
    </row>
    <row r="722" spans="1:61" ht="15.75" customHeight="1">
      <c r="A722" s="514"/>
      <c r="B722" s="450" t="s">
        <v>610</v>
      </c>
      <c r="C722" s="3">
        <f>+$C$720+$G$721</f>
        <v>47497.600000000006</v>
      </c>
      <c r="D722" s="83"/>
      <c r="E722" s="4"/>
      <c r="F722" s="4">
        <f>IF(C722&gt;0,VLOOKUP(C722,'ALIGNMENT TRACK'!$A$1:$K$81,9,1))</f>
        <v>0</v>
      </c>
      <c r="G722" s="6"/>
      <c r="H722" s="449" t="s">
        <v>114</v>
      </c>
      <c r="I722" s="4"/>
      <c r="J722" s="3"/>
      <c r="K722" s="449"/>
      <c r="L722" s="449" t="s">
        <v>158</v>
      </c>
      <c r="M722" s="449" t="str">
        <f>IF(L722="","",
IF(AX722="PT",VLOOKUP(L722,Foundation_Calc!$V$79:$X$113,VLOOKUP(AX722,Foundation_Calc!$I$10:$J$13,2,FALSE),0),
IF(AX722="K",VLOOKUP(L722,Foundation_Calc!$V$117:$X$151,VLOOKUP(AX722,Foundation_Calc!$I$10:$J$13,2,FALSE),0),"")))</f>
        <v>C4R</v>
      </c>
      <c r="N722" s="449" t="s">
        <v>124</v>
      </c>
      <c r="O722" s="449" t="s">
        <v>133</v>
      </c>
      <c r="P722" s="449"/>
      <c r="Q722" s="4"/>
      <c r="R722" s="6"/>
      <c r="S722" s="6"/>
      <c r="T722" s="4">
        <v>-15</v>
      </c>
      <c r="U722" s="4">
        <v>-35</v>
      </c>
      <c r="V722" s="4"/>
      <c r="W722" s="9">
        <v>1.4</v>
      </c>
      <c r="X722" s="9">
        <v>2.2999999999999998</v>
      </c>
      <c r="Y722" s="9"/>
      <c r="Z722" s="9"/>
      <c r="AA722" s="9">
        <v>0.15</v>
      </c>
      <c r="AB722" s="9"/>
      <c r="AC722" s="449" t="str">
        <f t="shared" si="81"/>
        <v>PH</v>
      </c>
      <c r="AD722" s="449"/>
      <c r="AE722" s="449"/>
      <c r="AF722" s="4"/>
      <c r="AG722" s="83"/>
      <c r="AH722" s="4"/>
      <c r="AI722" s="4"/>
      <c r="AJ722" s="449"/>
      <c r="AK722" s="449"/>
      <c r="AL722" s="449"/>
      <c r="AM722" s="449" t="s">
        <v>552</v>
      </c>
      <c r="AN722" s="10">
        <v>5.5</v>
      </c>
      <c r="AO722" s="9"/>
      <c r="AP722" s="9"/>
      <c r="AQ722" s="9"/>
      <c r="AR722" s="9"/>
      <c r="AS722" s="9"/>
      <c r="AT722" s="9">
        <f>+ab($T$722,$T$720,$T$724,$G$721,$G$723,-1*$F$722,1200)</f>
        <v>-9.9207382327436928</v>
      </c>
      <c r="AU722" s="428"/>
      <c r="AV722" s="428"/>
      <c r="AW722" s="449" t="str">
        <f>IF(C722&gt;0,VLOOKUP(C722,Foundation_Calc!$A$2:$C$13,3,1),
IF(J722&gt;0,VLOOKUP(J722,Foundation_Calc!$A$2:$C$13,3,1),""))</f>
        <v>Multi Soil</v>
      </c>
      <c r="AX722" s="449" t="str">
        <f>IF(C722&gt;0,VLOOKUP(C722,Foundation_Calc!$E$2:$G$33,3,1),
IF(J722&gt;0,VLOOKUP(J722,Foundation_Calc!$E$2:$G$33,3,1),""))</f>
        <v>PT</v>
      </c>
      <c r="AY722" s="10">
        <f>IF(L722="","",
IF(AX722="PT",VLOOKUP(L722,Foundation_Calc!$K$79:$R$113,VLOOKUP(AW722,Foundation_Calc!$I$2:$J$8,2,FALSE),0),
IF(AX722="K",VLOOKUP(L722,Foundation_Calc!$K$117:$R$151,VLOOKUP(AW722,Foundation_Calc!$I$2:$J$8,2,FALSE),0),"")))</f>
        <v>3.5</v>
      </c>
      <c r="AZ722" s="10" t="str">
        <f>IF(K722="","",
IF(AX722="PT",VLOOKUP(K722,Foundation_Calc!$K$79:$R$113,VLOOKUP(AW722,Foundation_Calc!$I$2:$J$8,2,FALSE),0),
IF(AX722="K",VLOOKUP(K722,Foundation_Calc!$K$117:$R$151,VLOOKUP(AW722,Foundation_Calc!$I$2:$J$8,2,FALSE),0),"")))</f>
        <v/>
      </c>
      <c r="BA722" s="495" t="str">
        <f t="shared" si="78"/>
        <v>ü</v>
      </c>
      <c r="BB722" s="495" t="str">
        <f t="shared" si="79"/>
        <v/>
      </c>
      <c r="BC722" s="495" t="str">
        <f t="shared" si="80"/>
        <v/>
      </c>
      <c r="BD722" s="513" t="str">
        <f>IF(AND(L722="",H722=""),"",
IF(H722="",Pole_Calc!A$9,
IF(H722="MP",Pole_Calc!A$10,
IF(H722="AnMP",Pole_Calc!A$11,
IF(H722="A",Pole_Calc!A$12,
IF(H722="S/A",Pole_Calc!A$13,
IF(H722="A/S",Pole_Calc!A$14,"Poner a mano")))))))</f>
        <v>App.7-V11I-P9.5.1.4</v>
      </c>
      <c r="BE722" s="429" t="s">
        <v>118</v>
      </c>
      <c r="BF722" s="289"/>
      <c r="BG722" s="289"/>
      <c r="BH722" s="290"/>
      <c r="BI722" s="289"/>
    </row>
    <row r="723" spans="1:61" ht="15.75" customHeight="1">
      <c r="A723" s="514"/>
      <c r="B723" s="450"/>
      <c r="C723" s="3"/>
      <c r="D723" s="83"/>
      <c r="E723" s="4"/>
      <c r="F723" s="4"/>
      <c r="G723" s="6">
        <v>47</v>
      </c>
      <c r="H723" s="449"/>
      <c r="I723" s="4"/>
      <c r="J723" s="3"/>
      <c r="K723" s="449"/>
      <c r="L723" s="449"/>
      <c r="M723" s="449" t="str">
        <f>IF(L723="","",
IF(AX723="PT",VLOOKUP(L723,Foundation_Calc!$V$79:$X$113,VLOOKUP(AX723,Foundation_Calc!$I$10:$J$13,2,FALSE),0),
IF(AX723="K",VLOOKUP(L723,Foundation_Calc!$V$117:$X$151,VLOOKUP(AX723,Foundation_Calc!$I$10:$J$13,2,FALSE),0),"")))</f>
        <v/>
      </c>
      <c r="N723" s="449"/>
      <c r="O723" s="449"/>
      <c r="P723" s="449"/>
      <c r="Q723" s="4"/>
      <c r="R723" s="6"/>
      <c r="S723" s="6"/>
      <c r="T723" s="4"/>
      <c r="U723" s="4"/>
      <c r="V723" s="4"/>
      <c r="W723" s="9"/>
      <c r="X723" s="9"/>
      <c r="Y723" s="9"/>
      <c r="Z723" s="9"/>
      <c r="AA723" s="9"/>
      <c r="AB723" s="9"/>
      <c r="AC723" s="449" t="str">
        <f t="shared" si="81"/>
        <v/>
      </c>
      <c r="AD723" s="449"/>
      <c r="AE723" s="449"/>
      <c r="AF723" s="4"/>
      <c r="AG723" s="83"/>
      <c r="AH723" s="4"/>
      <c r="AI723" s="4"/>
      <c r="AJ723" s="449"/>
      <c r="AK723" s="449"/>
      <c r="AL723" s="449"/>
      <c r="AM723" s="449"/>
      <c r="AN723" s="10"/>
      <c r="AO723" s="9"/>
      <c r="AP723" s="9"/>
      <c r="AQ723" s="9">
        <f>+FL_1($T$724,$T$722,$G$723,1200,9.28,-1*$F$724)</f>
        <v>0.31036702232624108</v>
      </c>
      <c r="AR723" s="9"/>
      <c r="AS723" s="9"/>
      <c r="AT723" s="9"/>
      <c r="AU723" s="428"/>
      <c r="AV723" s="428"/>
      <c r="AW723" s="449" t="str">
        <f>IF(C723&gt;0,VLOOKUP(C723,Foundation_Calc!$A$2:$C$13,3,1),
IF(J723&gt;0,VLOOKUP(J723,Foundation_Calc!$A$2:$C$13,3,1),""))</f>
        <v/>
      </c>
      <c r="AX723" s="449" t="str">
        <f>IF(C723&gt;0,VLOOKUP(C723,Foundation_Calc!$E$2:$G$33,3,1),
IF(J723&gt;0,VLOOKUP(J723,Foundation_Calc!$E$2:$G$33,3,1),""))</f>
        <v/>
      </c>
      <c r="AY723" s="10" t="str">
        <f>IF(L723="","",
IF(AX723="PT",VLOOKUP(L723,Foundation_Calc!$K$79:$R$113,VLOOKUP(AW723,Foundation_Calc!$I$2:$J$8,2,FALSE),0),
IF(AX723="K",VLOOKUP(L723,Foundation_Calc!$K$117:$R$151,VLOOKUP(AW723,Foundation_Calc!$I$2:$J$8,2,FALSE),0),"")))</f>
        <v/>
      </c>
      <c r="AZ723" s="10" t="str">
        <f>IF(K723="","",
IF(AX723="PT",VLOOKUP(K723,Foundation_Calc!$K$79:$R$113,VLOOKUP(AW723,Foundation_Calc!$I$2:$J$8,2,FALSE),0),
IF(AX723="K",VLOOKUP(K723,Foundation_Calc!$K$117:$R$151,VLOOKUP(AW723,Foundation_Calc!$I$2:$J$8,2,FALSE),0),"")))</f>
        <v/>
      </c>
      <c r="BA723" s="495" t="str">
        <f t="shared" si="78"/>
        <v/>
      </c>
      <c r="BB723" s="495" t="str">
        <f t="shared" si="79"/>
        <v/>
      </c>
      <c r="BC723" s="495" t="str">
        <f t="shared" si="80"/>
        <v/>
      </c>
      <c r="BD723" s="513" t="str">
        <f>IF(AND(L723="",H723=""),"",
IF(H723="",Pole_Calc!A$9,
IF(H723="MP",Pole_Calc!A$10,
IF(H723="AnMP",Pole_Calc!A$11,
IF(H723="A",Pole_Calc!A$12,
IF(H723="S/A",Pole_Calc!A$13,
IF(H723="A/S",Pole_Calc!A$14,"Poner a mano")))))))</f>
        <v/>
      </c>
      <c r="BE723" s="429" t="s">
        <v>118</v>
      </c>
      <c r="BF723" s="290"/>
      <c r="BG723" s="290"/>
      <c r="BH723" s="290"/>
      <c r="BI723" s="290"/>
    </row>
    <row r="724" spans="1:61" ht="15.75" customHeight="1">
      <c r="A724" s="514"/>
      <c r="B724" s="450" t="s">
        <v>611</v>
      </c>
      <c r="C724" s="3">
        <f>+$C$722+$G$723</f>
        <v>47544.600000000006</v>
      </c>
      <c r="D724" s="83"/>
      <c r="E724" s="4"/>
      <c r="F724" s="4">
        <f>IF(C724&gt;0,VLOOKUP(C724,'ALIGNMENT TRACK'!$A$1:$K$81,9,1))</f>
        <v>0</v>
      </c>
      <c r="G724" s="6"/>
      <c r="H724" s="449" t="s">
        <v>131</v>
      </c>
      <c r="I724" s="4"/>
      <c r="J724" s="3"/>
      <c r="K724" s="449"/>
      <c r="L724" s="449" t="s">
        <v>148</v>
      </c>
      <c r="M724" s="449" t="str">
        <f>IF(L724="","",
IF(AX724="PT",VLOOKUP(L724,Foundation_Calc!$V$79:$X$113,VLOOKUP(AX724,Foundation_Calc!$I$10:$J$13,2,FALSE),0),
IF(AX724="K",VLOOKUP(L724,Foundation_Calc!$V$117:$X$151,VLOOKUP(AX724,Foundation_Calc!$I$10:$J$13,2,FALSE),0),"")))</f>
        <v>C4R</v>
      </c>
      <c r="N724" s="449" t="s">
        <v>134</v>
      </c>
      <c r="O724" s="449" t="s">
        <v>133</v>
      </c>
      <c r="P724" s="449"/>
      <c r="Q724" s="4"/>
      <c r="R724" s="6"/>
      <c r="S724" s="6"/>
      <c r="T724" s="4">
        <v>25</v>
      </c>
      <c r="U724" s="4">
        <v>5</v>
      </c>
      <c r="V724" s="4"/>
      <c r="W724" s="572">
        <v>1.4</v>
      </c>
      <c r="X724" s="9">
        <v>2.2999999999999998</v>
      </c>
      <c r="Y724" s="9"/>
      <c r="Z724" s="9"/>
      <c r="AA724" s="9">
        <v>0.6</v>
      </c>
      <c r="AB724" s="9"/>
      <c r="AC724" s="449" t="str">
        <f t="shared" si="81"/>
        <v>PH</v>
      </c>
      <c r="AD724" s="449"/>
      <c r="AE724" s="449"/>
      <c r="AF724" s="4"/>
      <c r="AG724" s="83"/>
      <c r="AH724" s="4"/>
      <c r="AI724" s="4"/>
      <c r="AJ724" s="449"/>
      <c r="AK724" s="449"/>
      <c r="AL724" s="449"/>
      <c r="AM724" s="449" t="s">
        <v>552</v>
      </c>
      <c r="AN724" s="10">
        <v>5.44</v>
      </c>
      <c r="AO724" s="9"/>
      <c r="AP724" s="9"/>
      <c r="AQ724" s="9"/>
      <c r="AR724" s="9"/>
      <c r="AS724" s="9"/>
      <c r="AT724" s="9">
        <f>+ab($T$724,$T$722,$T$726,$G$723,$G$725,-1*$F$724,1200)</f>
        <v>9.7850450489897547</v>
      </c>
      <c r="AU724" s="428"/>
      <c r="AV724" s="428"/>
      <c r="AW724" s="449" t="str">
        <f>IF(C724&gt;0,VLOOKUP(C724,Foundation_Calc!$A$2:$C$13,3,1),
IF(J724&gt;0,VLOOKUP(J724,Foundation_Calc!$A$2:$C$13,3,1),""))</f>
        <v>Multi Soil</v>
      </c>
      <c r="AX724" s="449" t="str">
        <f>IF(C724&gt;0,VLOOKUP(C724,Foundation_Calc!$E$2:$G$33,3,1),
IF(J724&gt;0,VLOOKUP(J724,Foundation_Calc!$E$2:$G$33,3,1),""))</f>
        <v>PT</v>
      </c>
      <c r="AY724" s="10">
        <f>IF(L724="","",
IF(AX724="PT",VLOOKUP(L724,Foundation_Calc!$K$79:$R$113,VLOOKUP(AW724,Foundation_Calc!$I$2:$J$8,2,FALSE),0),
IF(AX724="K",VLOOKUP(L724,Foundation_Calc!$K$117:$R$151,VLOOKUP(AW724,Foundation_Calc!$I$2:$J$8,2,FALSE),0),"")))</f>
        <v>3.7</v>
      </c>
      <c r="AZ724" s="10" t="str">
        <f>IF(K724="","",
IF(AX724="PT",VLOOKUP(K724,Foundation_Calc!$K$79:$R$113,VLOOKUP(AW724,Foundation_Calc!$I$2:$J$8,2,FALSE),0),
IF(AX724="K",VLOOKUP(K724,Foundation_Calc!$K$117:$R$151,VLOOKUP(AW724,Foundation_Calc!$I$2:$J$8,2,FALSE),0),"")))</f>
        <v/>
      </c>
      <c r="BA724" s="495" t="str">
        <f t="shared" si="78"/>
        <v>ü</v>
      </c>
      <c r="BB724" s="495" t="str">
        <f t="shared" si="79"/>
        <v/>
      </c>
      <c r="BC724" s="495" t="str">
        <f t="shared" si="80"/>
        <v/>
      </c>
      <c r="BD724" s="513" t="str">
        <f>IF(AND(L724="",H724=""),"",
IF(H724="",Pole_Calc!A$9,
IF(H724="MP",Pole_Calc!A$10,
IF(H724="AnMP",Pole_Calc!A$11,
IF(H724="A",Pole_Calc!A$12,
IF(H724="S/A",Pole_Calc!A$13,
IF(H724="A/S",Pole_Calc!A$14,"Poner a mano")))))))</f>
        <v>App.7-V11I-P9.5.1.5</v>
      </c>
      <c r="BE724" s="429" t="s">
        <v>118</v>
      </c>
      <c r="BF724" s="289"/>
      <c r="BG724" s="289"/>
      <c r="BH724" s="290"/>
      <c r="BI724" s="289"/>
    </row>
    <row r="725" spans="1:61" ht="15.75" customHeight="1">
      <c r="A725" s="514"/>
      <c r="B725" s="450"/>
      <c r="C725" s="3"/>
      <c r="D725" s="83"/>
      <c r="E725" s="4"/>
      <c r="F725" s="4"/>
      <c r="G725" s="6">
        <v>55</v>
      </c>
      <c r="H725" s="449"/>
      <c r="I725" s="4">
        <f>SUM(G701:G725)</f>
        <v>700</v>
      </c>
      <c r="J725" s="3"/>
      <c r="K725" s="449"/>
      <c r="L725" s="449"/>
      <c r="M725" s="449" t="str">
        <f>IF(L725="","",
IF(AX725="PT",VLOOKUP(L725,Foundation_Calc!$V$79:$X$113,VLOOKUP(AX725,Foundation_Calc!$I$10:$J$13,2,FALSE),0),
IF(AX725="K",VLOOKUP(L725,Foundation_Calc!$V$117:$X$151,VLOOKUP(AX725,Foundation_Calc!$I$10:$J$13,2,FALSE),0),"")))</f>
        <v/>
      </c>
      <c r="N725" s="449"/>
      <c r="O725" s="449"/>
      <c r="P725" s="449"/>
      <c r="Q725" s="4"/>
      <c r="R725" s="6"/>
      <c r="S725" s="6"/>
      <c r="T725" s="4"/>
      <c r="U725" s="4"/>
      <c r="V725" s="4"/>
      <c r="W725" s="572"/>
      <c r="X725" s="9"/>
      <c r="Y725" s="9"/>
      <c r="Z725" s="9"/>
      <c r="AA725" s="9"/>
      <c r="AB725" s="9"/>
      <c r="AC725" s="449" t="str">
        <f t="shared" si="81"/>
        <v/>
      </c>
      <c r="AD725" s="449"/>
      <c r="AE725" s="449"/>
      <c r="AF725" s="4"/>
      <c r="AG725" s="83"/>
      <c r="AH725" s="4"/>
      <c r="AI725" s="4"/>
      <c r="AJ725" s="449"/>
      <c r="AK725" s="449"/>
      <c r="AL725" s="449"/>
      <c r="AM725" s="449"/>
      <c r="AN725" s="10"/>
      <c r="AO725" s="9"/>
      <c r="AP725" s="9"/>
      <c r="AQ725" s="9">
        <f>+FL_2($T$726,$T$724,$G$725,1200,9.28,-1*$F$726)</f>
        <v>-0.41936166072727271</v>
      </c>
      <c r="AR725" s="9"/>
      <c r="AS725" s="9"/>
      <c r="AT725" s="9"/>
      <c r="AU725" s="428"/>
      <c r="AV725" s="428"/>
      <c r="AW725" s="449" t="str">
        <f>IF(C725&gt;0,VLOOKUP(C725,Foundation_Calc!$A$2:$C$13,3,1),
IF(J725&gt;0,VLOOKUP(J725,Foundation_Calc!$A$2:$C$13,3,1),""))</f>
        <v/>
      </c>
      <c r="AX725" s="449" t="str">
        <f>IF(C725&gt;0,VLOOKUP(C725,Foundation_Calc!$E$2:$G$33,3,1),
IF(J725&gt;0,VLOOKUP(J725,Foundation_Calc!$E$2:$G$33,3,1),""))</f>
        <v/>
      </c>
      <c r="AY725" s="10" t="str">
        <f>IF(L725="","",
IF(AX725="PT",VLOOKUP(L725,Foundation_Calc!$K$79:$R$113,VLOOKUP(AW725,Foundation_Calc!$I$2:$J$8,2,FALSE),0),
IF(AX725="K",VLOOKUP(L725,Foundation_Calc!$K$117:$R$151,VLOOKUP(AW725,Foundation_Calc!$I$2:$J$8,2,FALSE),0),"")))</f>
        <v/>
      </c>
      <c r="AZ725" s="10" t="str">
        <f>IF(K725="","",
IF(AX725="PT",VLOOKUP(K725,Foundation_Calc!$K$79:$R$113,VLOOKUP(AW725,Foundation_Calc!$I$2:$J$8,2,FALSE),0),
IF(AX725="K",VLOOKUP(K725,Foundation_Calc!$K$117:$R$151,VLOOKUP(AW725,Foundation_Calc!$I$2:$J$8,2,FALSE),0),"")))</f>
        <v/>
      </c>
      <c r="BA725" s="495" t="str">
        <f t="shared" si="78"/>
        <v/>
      </c>
      <c r="BB725" s="495" t="str">
        <f t="shared" si="79"/>
        <v/>
      </c>
      <c r="BC725" s="495" t="str">
        <f t="shared" si="80"/>
        <v/>
      </c>
      <c r="BD725" s="513" t="str">
        <f>IF(AND(L725="",H725=""),"",
IF(H725="",Pole_Calc!A$9,
IF(H725="MP",Pole_Calc!A$10,
IF(H725="AnMP",Pole_Calc!A$11,
IF(H725="A",Pole_Calc!A$12,
IF(H725="S/A",Pole_Calc!A$13,
IF(H725="A/S",Pole_Calc!A$14,"Poner a mano")))))))</f>
        <v/>
      </c>
      <c r="BE725" s="429" t="s">
        <v>118</v>
      </c>
      <c r="BF725" s="290"/>
      <c r="BG725" s="290"/>
      <c r="BH725" s="290"/>
      <c r="BI725" s="290"/>
    </row>
    <row r="726" spans="1:61" ht="15.75" customHeight="1">
      <c r="A726" s="514"/>
      <c r="B726" s="450" t="s">
        <v>612</v>
      </c>
      <c r="C726" s="3">
        <f>+$C$724+$G$725</f>
        <v>47599.600000000006</v>
      </c>
      <c r="D726" s="83"/>
      <c r="E726" s="4"/>
      <c r="F726" s="4">
        <f>IF(C726&gt;0,VLOOKUP(C726,'ALIGNMENT TRACK'!$A$1:$K$81,9,1))</f>
        <v>0</v>
      </c>
      <c r="G726" s="6"/>
      <c r="H726" s="449" t="s">
        <v>121</v>
      </c>
      <c r="I726" s="4" t="s">
        <v>122</v>
      </c>
      <c r="J726" s="3"/>
      <c r="K726" s="449"/>
      <c r="L726" s="449" t="s">
        <v>151</v>
      </c>
      <c r="M726" s="449" t="str">
        <f>IF(L726="","",
IF(AX726="PT",VLOOKUP(L726,Foundation_Calc!$V$79:$X$113,VLOOKUP(AX726,Foundation_Calc!$I$10:$J$13,2,FALSE),0),
IF(AX726="K",VLOOKUP(L726,Foundation_Calc!$V$117:$X$151,VLOOKUP(AX726,Foundation_Calc!$I$10:$J$13,2,FALSE),0),"")))</f>
        <v>C4R</v>
      </c>
      <c r="N726" s="449" t="s">
        <v>124</v>
      </c>
      <c r="O726" s="449"/>
      <c r="P726" s="449"/>
      <c r="Q726" s="4"/>
      <c r="R726" s="6"/>
      <c r="S726" s="6"/>
      <c r="T726" s="4">
        <v>-35</v>
      </c>
      <c r="U726" s="4"/>
      <c r="V726" s="4"/>
      <c r="W726" s="572">
        <v>1.2</v>
      </c>
      <c r="X726" s="9"/>
      <c r="Y726" s="9"/>
      <c r="Z726" s="9"/>
      <c r="AA726" s="9"/>
      <c r="AB726" s="9"/>
      <c r="AC726" s="449" t="str">
        <f t="shared" si="81"/>
        <v>PH</v>
      </c>
      <c r="AD726" s="449"/>
      <c r="AE726" s="449"/>
      <c r="AF726" s="4"/>
      <c r="AG726" s="83"/>
      <c r="AH726" s="4"/>
      <c r="AI726" s="4"/>
      <c r="AJ726" s="449"/>
      <c r="AK726" s="449"/>
      <c r="AL726" s="449"/>
      <c r="AM726" s="449" t="s">
        <v>552</v>
      </c>
      <c r="AN726" s="10">
        <v>5.33</v>
      </c>
      <c r="AO726" s="9"/>
      <c r="AP726" s="9"/>
      <c r="AQ726" s="9"/>
      <c r="AR726" s="9"/>
      <c r="AS726" s="9"/>
      <c r="AT726" s="9">
        <f>+ab($T$726,$T$724,$T$728,$G$725,$G$727,-1*$F$726,1200)</f>
        <v>-8.1585881577485537</v>
      </c>
      <c r="AU726" s="428"/>
      <c r="AV726" s="428"/>
      <c r="AW726" s="449" t="str">
        <f>IF(C726&gt;0,VLOOKUP(C726,Foundation_Calc!$A$2:$C$13,3,1),
IF(J726&gt;0,VLOOKUP(J726,Foundation_Calc!$A$2:$C$13,3,1),""))</f>
        <v>Multi Soil</v>
      </c>
      <c r="AX726" s="449" t="str">
        <f>IF(C726&gt;0,VLOOKUP(C726,Foundation_Calc!$E$2:$G$33,3,1),
IF(J726&gt;0,VLOOKUP(J726,Foundation_Calc!$E$2:$G$33,3,1),""))</f>
        <v>PT</v>
      </c>
      <c r="AY726" s="10">
        <f>IF(L726="","",
IF(AX726="PT",VLOOKUP(L726,Foundation_Calc!$K$79:$R$113,VLOOKUP(AW726,Foundation_Calc!$I$2:$J$8,2,FALSE),0),
IF(AX726="K",VLOOKUP(L726,Foundation_Calc!$K$117:$R$151,VLOOKUP(AW726,Foundation_Calc!$I$2:$J$8,2,FALSE),0),"")))</f>
        <v>3.5</v>
      </c>
      <c r="AZ726" s="10" t="str">
        <f>IF(K726="","",
IF(AX726="PT",VLOOKUP(K726,Foundation_Calc!$K$79:$R$113,VLOOKUP(AW726,Foundation_Calc!$I$2:$J$8,2,FALSE),0),
IF(AX726="K",VLOOKUP(K726,Foundation_Calc!$K$117:$R$151,VLOOKUP(AW726,Foundation_Calc!$I$2:$J$8,2,FALSE),0),"")))</f>
        <v/>
      </c>
      <c r="BA726" s="495" t="str">
        <f t="shared" si="78"/>
        <v>ü</v>
      </c>
      <c r="BB726" s="495" t="str">
        <f t="shared" si="79"/>
        <v/>
      </c>
      <c r="BC726" s="495" t="str">
        <f t="shared" si="80"/>
        <v/>
      </c>
      <c r="BD726" s="513" t="str">
        <f>IF(AND(L726="",H726=""),"",
IF(H726="",Pole_Calc!A$9,
IF(H726="MP",Pole_Calc!A$10,
IF(H726="AnMP",Pole_Calc!A$11,
IF(H726="A",Pole_Calc!A$12,
IF(H726="S/A",Pole_Calc!A$13,
IF(H726="A/S",Pole_Calc!A$14,"Poner a mano")))))))</f>
        <v>App.7-V11I-P9.5.1.6</v>
      </c>
      <c r="BE726" s="429" t="s">
        <v>118</v>
      </c>
      <c r="BF726" s="289"/>
      <c r="BG726" s="289"/>
      <c r="BH726" s="290"/>
      <c r="BI726" s="289"/>
    </row>
    <row r="727" spans="1:61" ht="15.75" customHeight="1">
      <c r="A727" s="514"/>
      <c r="B727" s="450"/>
      <c r="C727" s="3"/>
      <c r="D727" s="83"/>
      <c r="E727" s="4"/>
      <c r="F727" s="4"/>
      <c r="G727" s="6">
        <v>52.2</v>
      </c>
      <c r="H727" s="449"/>
      <c r="I727" s="4"/>
      <c r="J727" s="3">
        <f>C726+7.5</f>
        <v>47607.100000000006</v>
      </c>
      <c r="K727" s="449" t="s">
        <v>117</v>
      </c>
      <c r="L727" s="449"/>
      <c r="M727" s="449" t="str">
        <f>IF(L727="","",
IF(AX727="PT",VLOOKUP(L727,Foundation_Calc!$V$79:$X$113,VLOOKUP(AX727,Foundation_Calc!$I$10:$J$13,2,FALSE),0),
IF(AX727="K",VLOOKUP(L727,Foundation_Calc!$V$117:$X$151,VLOOKUP(AX727,Foundation_Calc!$I$10:$J$13,2,FALSE),0),"")))</f>
        <v/>
      </c>
      <c r="N727" s="449"/>
      <c r="O727" s="449"/>
      <c r="P727" s="449"/>
      <c r="Q727" s="4"/>
      <c r="R727" s="6"/>
      <c r="S727" s="6"/>
      <c r="T727" s="4"/>
      <c r="U727" s="4"/>
      <c r="V727" s="4"/>
      <c r="W727" s="572"/>
      <c r="X727" s="9"/>
      <c r="Y727" s="9"/>
      <c r="Z727" s="9"/>
      <c r="AA727" s="9"/>
      <c r="AB727" s="9"/>
      <c r="AC727" s="449" t="str">
        <f t="shared" si="81"/>
        <v/>
      </c>
      <c r="AD727" s="449"/>
      <c r="AE727" s="449"/>
      <c r="AF727" s="4"/>
      <c r="AG727" s="83"/>
      <c r="AH727" s="4"/>
      <c r="AI727" s="4"/>
      <c r="AJ727" s="449"/>
      <c r="AK727" s="449"/>
      <c r="AL727" s="449"/>
      <c r="AM727" s="449"/>
      <c r="AN727" s="10"/>
      <c r="AO727" s="9"/>
      <c r="AP727" s="9"/>
      <c r="AQ727" s="9">
        <f>+FL_2($T$728,$T$726,$G$727,1200,9.28,-1*$F$730)</f>
        <v>-0.35325895425763382</v>
      </c>
      <c r="AR727" s="9"/>
      <c r="AS727" s="9"/>
      <c r="AT727" s="9"/>
      <c r="AU727" s="428"/>
      <c r="AV727" s="428"/>
      <c r="AW727" s="449" t="str">
        <f>IF(C727&gt;0,VLOOKUP(C727,Foundation_Calc!$A$2:$C$13,3,1),
IF(J727&gt;0,VLOOKUP(J727,Foundation_Calc!$A$2:$C$13,3,1),""))</f>
        <v>Multi Soil</v>
      </c>
      <c r="AX727" s="449" t="str">
        <f>IF(C727&gt;0,VLOOKUP(C727,Foundation_Calc!$E$2:$G$33,3,1),
IF(J727&gt;0,VLOOKUP(J727,Foundation_Calc!$E$2:$G$33,3,1),""))</f>
        <v>PT</v>
      </c>
      <c r="AY727" s="10" t="str">
        <f>IF(L727="","",
IF(AX727="PT",VLOOKUP(L727,Foundation_Calc!$K$79:$R$113,VLOOKUP(AW727,Foundation_Calc!$I$2:$J$8,2,FALSE),0),
IF(AX727="K",VLOOKUP(L727,Foundation_Calc!$K$117:$R$151,VLOOKUP(AW727,Foundation_Calc!$I$2:$J$8,2,FALSE),0),"")))</f>
        <v/>
      </c>
      <c r="AZ727" s="10">
        <f>IF(K727="","",
IF(AX727="PT",VLOOKUP(K727,Foundation_Calc!$K$79:$R$113,VLOOKUP(AW727,Foundation_Calc!$I$2:$J$8,2,FALSE),0),
IF(AX727="K",VLOOKUP(K727,Foundation_Calc!$K$117:$R$151,VLOOKUP(AW727,Foundation_Calc!$I$2:$J$8,2,FALSE),0),"")))</f>
        <v>3.9</v>
      </c>
      <c r="BA727" s="495" t="str">
        <f t="shared" si="78"/>
        <v/>
      </c>
      <c r="BB727" s="495" t="str">
        <f t="shared" si="79"/>
        <v>ü</v>
      </c>
      <c r="BC727" s="495" t="str">
        <f t="shared" si="80"/>
        <v/>
      </c>
      <c r="BD727" s="513" t="str">
        <f>IF(AND(L727="",H727=""),"",
IF(H727="",Pole_Calc!A$9,
IF(H727="MP",Pole_Calc!A$10,
IF(H727="AnMP",Pole_Calc!A$11,
IF(H727="A",Pole_Calc!A$12,
IF(H727="S/A",Pole_Calc!A$13,
IF(H727="A/S",Pole_Calc!A$14,"Poner a mano")))))))</f>
        <v/>
      </c>
      <c r="BE727" s="429" t="s">
        <v>118</v>
      </c>
      <c r="BF727" s="290"/>
      <c r="BG727" s="290"/>
      <c r="BH727" s="290"/>
      <c r="BI727" s="290"/>
    </row>
    <row r="728" spans="1:61" ht="15.75" customHeight="1">
      <c r="A728" s="514"/>
      <c r="B728" s="450" t="s">
        <v>613</v>
      </c>
      <c r="C728" s="3">
        <f>+$C$726+$G$727</f>
        <v>47651.8</v>
      </c>
      <c r="D728" s="83"/>
      <c r="E728" s="4"/>
      <c r="F728" s="4">
        <v>0</v>
      </c>
      <c r="G728" s="6"/>
      <c r="H728" s="449"/>
      <c r="I728" s="4"/>
      <c r="J728" s="3"/>
      <c r="K728" s="449"/>
      <c r="L728" s="449" t="s">
        <v>153</v>
      </c>
      <c r="M728" s="449" t="str">
        <f>IF(L728="","",
IF(AX728="PT",VLOOKUP(L728,Foundation_Calc!$V$79:$X$113,VLOOKUP(AX728,Foundation_Calc!$I$10:$J$13,2,FALSE),0),
IF(AX728="K",VLOOKUP(L728,Foundation_Calc!$V$117:$X$151,VLOOKUP(AX728,Foundation_Calc!$I$10:$J$13,2,FALSE),0),"")))</f>
        <v>C3R</v>
      </c>
      <c r="N728" s="449" t="s">
        <v>134</v>
      </c>
      <c r="O728" s="449"/>
      <c r="P728" s="449"/>
      <c r="Q728" s="4"/>
      <c r="R728" s="6"/>
      <c r="S728" s="6"/>
      <c r="T728" s="4">
        <v>30</v>
      </c>
      <c r="U728" s="4"/>
      <c r="V728" s="4"/>
      <c r="W728" s="572">
        <v>0.8</v>
      </c>
      <c r="X728" s="9"/>
      <c r="Y728" s="9"/>
      <c r="Z728" s="9"/>
      <c r="AA728" s="9"/>
      <c r="AB728" s="9"/>
      <c r="AC728" s="449" t="str">
        <f t="shared" si="81"/>
        <v>PH</v>
      </c>
      <c r="AD728" s="449"/>
      <c r="AE728" s="449"/>
      <c r="AF728" s="4"/>
      <c r="AG728" s="83"/>
      <c r="AH728" s="4"/>
      <c r="AI728" s="4"/>
      <c r="AJ728" s="449"/>
      <c r="AK728" s="449"/>
      <c r="AL728" s="449"/>
      <c r="AM728" s="449" t="s">
        <v>552</v>
      </c>
      <c r="AN728" s="10">
        <v>5.22</v>
      </c>
      <c r="AO728" s="9"/>
      <c r="AP728" s="9"/>
      <c r="AQ728" s="9"/>
      <c r="AR728" s="9"/>
      <c r="AS728" s="9"/>
      <c r="AT728" s="9">
        <f>+ab($T$728,$T$726,$T$730,$G$727,$G$729,-1*$F$728,1200)</f>
        <v>8.4841766556299891</v>
      </c>
      <c r="AU728" s="428"/>
      <c r="AV728" s="428"/>
      <c r="AW728" s="449" t="str">
        <f>IF(C728&gt;0,VLOOKUP(C728,Foundation_Calc!$A$2:$C$13,3,1),
IF(J728&gt;0,VLOOKUP(J728,Foundation_Calc!$A$2:$C$13,3,1),""))</f>
        <v>Multi Soil</v>
      </c>
      <c r="AX728" s="449" t="str">
        <f>IF(C728&gt;0,VLOOKUP(C728,Foundation_Calc!$E$2:$G$33,3,1),
IF(J728&gt;0,VLOOKUP(J728,Foundation_Calc!$E$2:$G$33,3,1),""))</f>
        <v>PT</v>
      </c>
      <c r="AY728" s="10">
        <f>IF(L728="","",
IF(AX728="PT",VLOOKUP(L728,Foundation_Calc!$K$79:$R$113,VLOOKUP(AW728,Foundation_Calc!$I$2:$J$8,2,FALSE),0),
IF(AX728="K",VLOOKUP(L728,Foundation_Calc!$K$117:$R$151,VLOOKUP(AW728,Foundation_Calc!$I$2:$J$8,2,FALSE),0),"")))</f>
        <v>3.5</v>
      </c>
      <c r="AZ728" s="10" t="str">
        <f>IF(K728="","",
IF(AX728="PT",VLOOKUP(K728,Foundation_Calc!$K$79:$R$113,VLOOKUP(AW728,Foundation_Calc!$I$2:$J$8,2,FALSE),0),
IF(AX728="K",VLOOKUP(K728,Foundation_Calc!$K$117:$R$151,VLOOKUP(AW728,Foundation_Calc!$I$2:$J$8,2,FALSE),0),"")))</f>
        <v/>
      </c>
      <c r="BA728" s="495" t="str">
        <f t="shared" ref="BA728" si="82">IF(AY728="","",IF(AY728&gt;0,"ü",""))</f>
        <v>ü</v>
      </c>
      <c r="BB728" s="495" t="str">
        <f t="shared" ref="BB728" si="83">IF(AZ728="","",IF(AZ728&gt;0,"ü",""))</f>
        <v/>
      </c>
      <c r="BC728" s="495" t="str">
        <f t="shared" ref="BC728" si="84">IF(M728="","",IF(M728="U.S.","ü",IF(M728="U.S. N.D.","ü","")))</f>
        <v/>
      </c>
      <c r="BD728" s="513" t="str">
        <f>IF(AND(L728="",H728=""),"",
IF(H728="",Pole_Calc!A$9,
IF(H728="MP",Pole_Calc!A$10,
IF(H728="AnMP",Pole_Calc!A$11,
IF(H728="A",Pole_Calc!A$12,
IF(H728="S/A",Pole_Calc!A$13,
IF(H728="A/S",Pole_Calc!A$14,"Poner a mano")))))))</f>
        <v>App.7-V11I-P9.5.1.1</v>
      </c>
      <c r="BE728" s="429" t="s">
        <v>118</v>
      </c>
      <c r="BF728" s="289"/>
      <c r="BG728" s="289"/>
      <c r="BH728" s="290"/>
      <c r="BI728" s="289"/>
    </row>
    <row r="729" spans="1:61" ht="15.75" customHeight="1">
      <c r="A729" s="514"/>
      <c r="B729" s="450"/>
      <c r="C729" s="3"/>
      <c r="D729" s="83"/>
      <c r="E729" s="4"/>
      <c r="F729" s="4"/>
      <c r="G729" s="6">
        <v>50</v>
      </c>
      <c r="H729" s="449"/>
      <c r="I729" s="4"/>
      <c r="J729" s="3"/>
      <c r="K729" s="449"/>
      <c r="L729" s="449"/>
      <c r="M729" s="449"/>
      <c r="N729" s="449"/>
      <c r="O729" s="449"/>
      <c r="P729" s="449"/>
      <c r="Q729" s="4"/>
      <c r="R729" s="6"/>
      <c r="S729" s="6"/>
      <c r="T729" s="4"/>
      <c r="U729" s="4"/>
      <c r="V729" s="4"/>
      <c r="W729" s="572"/>
      <c r="X729" s="9"/>
      <c r="Y729" s="9"/>
      <c r="Z729" s="9"/>
      <c r="AA729" s="9"/>
      <c r="AB729" s="9"/>
      <c r="AC729" s="449"/>
      <c r="AD729" s="449"/>
      <c r="AE729" s="449"/>
      <c r="AF729" s="4"/>
      <c r="AG729" s="83"/>
      <c r="AH729" s="4"/>
      <c r="AI729" s="4"/>
      <c r="AJ729" s="449"/>
      <c r="AK729" s="449"/>
      <c r="AL729" s="449"/>
      <c r="AM729" s="449"/>
      <c r="AN729" s="10"/>
      <c r="AO729" s="9"/>
      <c r="AP729" s="9"/>
      <c r="AQ729" s="9">
        <f>+FL_2($T$730,$T$728,$G$729,1200,9.28,-1*$F$730)</f>
        <v>-0.21272658127444916</v>
      </c>
      <c r="AR729" s="9"/>
      <c r="AS729" s="9"/>
      <c r="AT729" s="9"/>
      <c r="AU729" s="428"/>
      <c r="AV729" s="428"/>
      <c r="AW729" s="449"/>
      <c r="AX729" s="449"/>
      <c r="AY729" s="10"/>
      <c r="AZ729" s="10"/>
      <c r="BA729" s="495"/>
      <c r="BB729" s="495"/>
      <c r="BC729" s="495"/>
      <c r="BD729" s="513"/>
      <c r="BE729" s="429" t="s">
        <v>118</v>
      </c>
      <c r="BF729" s="290"/>
      <c r="BG729" s="290"/>
      <c r="BH729" s="290"/>
      <c r="BI729" s="290"/>
    </row>
    <row r="730" spans="1:61" ht="15.75" customHeight="1">
      <c r="A730" s="514"/>
      <c r="B730" s="450" t="s">
        <v>614</v>
      </c>
      <c r="C730" s="3">
        <f>+$C$728+$G$729</f>
        <v>47701.8</v>
      </c>
      <c r="D730" s="83"/>
      <c r="E730" s="4"/>
      <c r="F730" s="4">
        <f>(438^2)/(C730-47658.88)</f>
        <v>4469.8042870450909</v>
      </c>
      <c r="G730" s="6"/>
      <c r="H730" s="449"/>
      <c r="I730" s="4"/>
      <c r="J730" s="3"/>
      <c r="K730" s="449"/>
      <c r="L730" s="449" t="s">
        <v>153</v>
      </c>
      <c r="M730" s="449" t="str">
        <f>IF(L730="","",
IF(AX730="PT",VLOOKUP(L730,Foundation_Calc!$V$79:$X$113,VLOOKUP(AX730,Foundation_Calc!$I$10:$J$13,2,FALSE),0),
IF(AX730="K",VLOOKUP(L730,Foundation_Calc!$V$117:$X$151,VLOOKUP(AX730,Foundation_Calc!$I$10:$J$13,2,FALSE),0),"")))</f>
        <v>C3R</v>
      </c>
      <c r="N730" s="449" t="s">
        <v>124</v>
      </c>
      <c r="O730" s="449"/>
      <c r="P730" s="449"/>
      <c r="Q730" s="4"/>
      <c r="R730" s="6"/>
      <c r="S730" s="6"/>
      <c r="T730" s="4">
        <v>-20</v>
      </c>
      <c r="U730" s="4"/>
      <c r="V730" s="4"/>
      <c r="W730" s="572">
        <v>0.6</v>
      </c>
      <c r="X730" s="9"/>
      <c r="Y730" s="9"/>
      <c r="Z730" s="9"/>
      <c r="AA730" s="9"/>
      <c r="AB730" s="9"/>
      <c r="AC730" s="449" t="str">
        <f t="shared" si="81"/>
        <v>PH</v>
      </c>
      <c r="AD730" s="449"/>
      <c r="AE730" s="449"/>
      <c r="AF730" s="4"/>
      <c r="AG730" s="83"/>
      <c r="AH730" s="4"/>
      <c r="AI730" s="4"/>
      <c r="AJ730" s="449"/>
      <c r="AK730" s="449"/>
      <c r="AL730" s="449"/>
      <c r="AM730" s="449" t="s">
        <v>552</v>
      </c>
      <c r="AN730" s="10">
        <v>5.15</v>
      </c>
      <c r="AO730" s="9"/>
      <c r="AP730" s="9"/>
      <c r="AQ730" s="9"/>
      <c r="AR730" s="9"/>
      <c r="AS730" s="9"/>
      <c r="AT730" s="9">
        <f>+ab($T$730,$T$726,$T$732,$G$727,$G$731,-1*$F$730,1200)</f>
        <v>-30.815509532567983</v>
      </c>
      <c r="AU730" s="428"/>
      <c r="AV730" s="428"/>
      <c r="AW730" s="449" t="str">
        <f>IF(C730&gt;0,VLOOKUP(C730,Foundation_Calc!$A$2:$C$13,3,1),
IF(J730&gt;0,VLOOKUP(J730,Foundation_Calc!$A$2:$C$13,3,1),""))</f>
        <v>Multi Soil</v>
      </c>
      <c r="AX730" s="449" t="str">
        <f>IF(C730&gt;0,VLOOKUP(C730,Foundation_Calc!$E$2:$G$33,3,1),
IF(J730&gt;0,VLOOKUP(J730,Foundation_Calc!$E$2:$G$33,3,1),""))</f>
        <v>PT</v>
      </c>
      <c r="AY730" s="10">
        <f>IF(L730="","",
IF(AX730="PT",VLOOKUP(L730,Foundation_Calc!$K$79:$R$113,VLOOKUP(AW730,Foundation_Calc!$I$2:$J$8,2,FALSE),0),
IF(AX730="K",VLOOKUP(L730,Foundation_Calc!$K$117:$R$151,VLOOKUP(AW730,Foundation_Calc!$I$2:$J$8,2,FALSE),0),"")))</f>
        <v>3.5</v>
      </c>
      <c r="AZ730" s="10" t="str">
        <f>IF(K730="","",
IF(AX730="PT",VLOOKUP(K730,Foundation_Calc!$K$79:$R$113,VLOOKUP(AW730,Foundation_Calc!$I$2:$J$8,2,FALSE),0),
IF(AX730="K",VLOOKUP(K730,Foundation_Calc!$K$117:$R$151,VLOOKUP(AW730,Foundation_Calc!$I$2:$J$8,2,FALSE),0),"")))</f>
        <v/>
      </c>
      <c r="BA730" s="495" t="str">
        <f t="shared" si="78"/>
        <v>ü</v>
      </c>
      <c r="BB730" s="495" t="str">
        <f t="shared" si="79"/>
        <v/>
      </c>
      <c r="BC730" s="495" t="str">
        <f t="shared" si="80"/>
        <v/>
      </c>
      <c r="BD730" s="513" t="str">
        <f>IF(AND(L730="",H730=""),"",
IF(H730="",Pole_Calc!A$9,
IF(H730="MP",Pole_Calc!A$10,
IF(H730="AnMP",Pole_Calc!A$11,
IF(H730="A",Pole_Calc!A$12,
IF(H730="S/A",Pole_Calc!A$13,
IF(H730="A/S",Pole_Calc!A$14,"Poner a mano")))))))</f>
        <v>App.7-V11I-P9.5.1.1</v>
      </c>
      <c r="BE730" s="429" t="s">
        <v>118</v>
      </c>
      <c r="BF730" s="289"/>
      <c r="BG730" s="289"/>
      <c r="BH730" s="290"/>
      <c r="BI730" s="289"/>
    </row>
    <row r="731" spans="1:61" ht="15.75" customHeight="1">
      <c r="A731" s="514" t="s">
        <v>199</v>
      </c>
      <c r="B731" s="450"/>
      <c r="C731" s="3"/>
      <c r="D731" s="83"/>
      <c r="E731" s="4"/>
      <c r="F731" s="4"/>
      <c r="G731" s="6">
        <v>44</v>
      </c>
      <c r="H731" s="449"/>
      <c r="I731" s="4"/>
      <c r="J731" s="3"/>
      <c r="K731" s="449"/>
      <c r="L731" s="449"/>
      <c r="M731" s="449" t="str">
        <f>IF(L731="","",
IF(AX731="PT",VLOOKUP(L731,Foundation_Calc!$V$79:$X$113,VLOOKUP(AX731,Foundation_Calc!$I$10:$J$13,2,FALSE),0),
IF(AX731="K",VLOOKUP(L731,Foundation_Calc!$V$117:$X$151,VLOOKUP(AX731,Foundation_Calc!$I$10:$J$13,2,FALSE),0),"")))</f>
        <v/>
      </c>
      <c r="N731" s="449"/>
      <c r="O731" s="449"/>
      <c r="P731" s="449"/>
      <c r="Q731" s="4"/>
      <c r="R731" s="6"/>
      <c r="S731" s="6"/>
      <c r="T731" s="4"/>
      <c r="U731" s="4"/>
      <c r="V731" s="4"/>
      <c r="W731" s="572"/>
      <c r="X731" s="9"/>
      <c r="Y731" s="9"/>
      <c r="Z731" s="9"/>
      <c r="AA731" s="9"/>
      <c r="AB731" s="9"/>
      <c r="AC731" s="449" t="str">
        <f t="shared" si="81"/>
        <v/>
      </c>
      <c r="AD731" s="449"/>
      <c r="AE731" s="449"/>
      <c r="AF731" s="4"/>
      <c r="AG731" s="83"/>
      <c r="AH731" s="4"/>
      <c r="AI731" s="4"/>
      <c r="AJ731" s="449"/>
      <c r="AK731" s="449"/>
      <c r="AL731" s="449"/>
      <c r="AM731" s="449"/>
      <c r="AN731" s="10"/>
      <c r="AO731" s="9"/>
      <c r="AP731" s="9"/>
      <c r="AQ731" s="9">
        <f>+FL_2($T$732,$T$730,$G$731,1200,9.28,-1*$F$732)</f>
        <v>-0.33556426717465215</v>
      </c>
      <c r="AR731" s="9"/>
      <c r="AS731" s="9"/>
      <c r="AT731" s="9"/>
      <c r="AU731" s="428"/>
      <c r="AV731" s="428"/>
      <c r="AW731" s="449" t="str">
        <f>IF(C731&gt;0,VLOOKUP(C731,Foundation_Calc!$A$2:$C$13,3,1),
IF(J731&gt;0,VLOOKUP(J731,Foundation_Calc!$A$2:$C$13,3,1),""))</f>
        <v/>
      </c>
      <c r="AX731" s="449" t="str">
        <f>IF(C731&gt;0,VLOOKUP(C731,Foundation_Calc!$E$2:$G$33,3,1),
IF(J731&gt;0,VLOOKUP(J731,Foundation_Calc!$E$2:$G$33,3,1),""))</f>
        <v/>
      </c>
      <c r="AY731" s="10" t="str">
        <f>IF(L731="","",
IF(AX731="PT",VLOOKUP(L731,Foundation_Calc!$K$79:$R$113,VLOOKUP(AW731,Foundation_Calc!$I$2:$J$8,2,FALSE),0),
IF(AX731="K",VLOOKUP(L731,Foundation_Calc!$K$117:$R$151,VLOOKUP(AW731,Foundation_Calc!$I$2:$J$8,2,FALSE),0),"")))</f>
        <v/>
      </c>
      <c r="AZ731" s="10" t="str">
        <f>IF(K731="","",
IF(AX731="PT",VLOOKUP(K731,Foundation_Calc!$K$79:$R$113,VLOOKUP(AW731,Foundation_Calc!$I$2:$J$8,2,FALSE),0),
IF(AX731="K",VLOOKUP(K731,Foundation_Calc!$K$117:$R$151,VLOOKUP(AW731,Foundation_Calc!$I$2:$J$8,2,FALSE),0),"")))</f>
        <v/>
      </c>
      <c r="BA731" s="495" t="str">
        <f t="shared" si="78"/>
        <v/>
      </c>
      <c r="BB731" s="495" t="str">
        <f t="shared" si="79"/>
        <v/>
      </c>
      <c r="BC731" s="495" t="str">
        <f t="shared" si="80"/>
        <v/>
      </c>
      <c r="BD731" s="513" t="str">
        <f>IF(AND(L731="",H731=""),"",
IF(H731="",Pole_Calc!A$9,
IF(H731="MP",Pole_Calc!A$10,
IF(H731="AnMP",Pole_Calc!A$11,
IF(H731="A",Pole_Calc!A$12,
IF(H731="S/A",Pole_Calc!A$13,
IF(H731="A/S",Pole_Calc!A$14,"Poner a mano")))))))</f>
        <v/>
      </c>
      <c r="BE731" s="429" t="s">
        <v>118</v>
      </c>
      <c r="BF731" s="290"/>
      <c r="BG731" s="290"/>
      <c r="BH731" s="290"/>
      <c r="BI731" s="290"/>
    </row>
    <row r="732" spans="1:61" ht="15.75" customHeight="1">
      <c r="A732" s="514"/>
      <c r="B732" s="450" t="s">
        <v>615</v>
      </c>
      <c r="C732" s="3">
        <f>+$C$730+$G$731</f>
        <v>47745.8</v>
      </c>
      <c r="D732" s="83"/>
      <c r="E732" s="4"/>
      <c r="F732" s="4">
        <f>(438^2)/(C732-47658.88)</f>
        <v>2207.13299585812</v>
      </c>
      <c r="G732" s="6"/>
      <c r="H732" s="449" t="s">
        <v>168</v>
      </c>
      <c r="I732" s="4"/>
      <c r="J732" s="3"/>
      <c r="K732" s="449"/>
      <c r="L732" s="449" t="s">
        <v>206</v>
      </c>
      <c r="M732" s="449" t="s">
        <v>411</v>
      </c>
      <c r="N732" s="449" t="s">
        <v>124</v>
      </c>
      <c r="O732" s="449"/>
      <c r="P732" s="449"/>
      <c r="Q732" s="4"/>
      <c r="R732" s="6"/>
      <c r="S732" s="6"/>
      <c r="T732" s="4">
        <v>-30</v>
      </c>
      <c r="U732" s="4"/>
      <c r="V732" s="4"/>
      <c r="W732" s="572">
        <v>0.6</v>
      </c>
      <c r="X732" s="9"/>
      <c r="Y732" s="9"/>
      <c r="Z732" s="9"/>
      <c r="AA732" s="9"/>
      <c r="AB732" s="9"/>
      <c r="AC732" s="449" t="str">
        <f t="shared" si="81"/>
        <v>PH</v>
      </c>
      <c r="AD732" s="449"/>
      <c r="AE732" s="449"/>
      <c r="AF732" s="4"/>
      <c r="AG732" s="83"/>
      <c r="AH732" s="4"/>
      <c r="AI732" s="4"/>
      <c r="AJ732" s="449"/>
      <c r="AK732" s="449"/>
      <c r="AL732" s="449"/>
      <c r="AM732" s="449" t="s">
        <v>552</v>
      </c>
      <c r="AN732" s="10">
        <v>5.15</v>
      </c>
      <c r="AO732" s="9"/>
      <c r="AP732" s="9"/>
      <c r="AQ732" s="9"/>
      <c r="AR732" s="9"/>
      <c r="AS732" s="9"/>
      <c r="AT732" s="9">
        <f>+ab($T$732,$T$730,$T$734,$G$731,$G$733,-1*$F$732,1200)</f>
        <v>-8.4907089639409303</v>
      </c>
      <c r="AU732" s="428"/>
      <c r="AV732" s="428"/>
      <c r="AW732" s="449" t="str">
        <f>IF(C732&gt;0,VLOOKUP(C732,Foundation_Calc!$A$2:$C$13,3,1),
IF(J732&gt;0,VLOOKUP(J732,Foundation_Calc!$A$2:$C$13,3,1),""))</f>
        <v>Multi Soil</v>
      </c>
      <c r="AX732" s="449" t="str">
        <f>IF(C732&gt;0,VLOOKUP(C732,Foundation_Calc!$E$2:$G$33,3,1),
IF(J732&gt;0,VLOOKUP(J732,Foundation_Calc!$E$2:$G$33,3,1),""))</f>
        <v>PT</v>
      </c>
      <c r="AY732" s="10">
        <f>IF(L732="","",
IF(AX732="PT",VLOOKUP(L732,Foundation_Calc!$K$79:$R$113,VLOOKUP(AW732,Foundation_Calc!$I$2:$J$8,2,FALSE),0),
IF(AX732="K",VLOOKUP(L732,Foundation_Calc!$K$117:$R$151,VLOOKUP(AW732,Foundation_Calc!$I$2:$J$8,2,FALSE),0),"")))</f>
        <v>4</v>
      </c>
      <c r="AZ732" s="10" t="str">
        <f>IF(K732="","",
IF(AX732="PT",VLOOKUP(K732,Foundation_Calc!$K$79:$R$113,VLOOKUP(AW732,Foundation_Calc!$I$2:$J$8,2,FALSE),0),
IF(AX732="K",VLOOKUP(K732,Foundation_Calc!$K$117:$R$151,VLOOKUP(AW732,Foundation_Calc!$I$2:$J$8,2,FALSE),0),"")))</f>
        <v/>
      </c>
      <c r="BA732" s="495" t="str">
        <f t="shared" ref="BA732:BA791" si="85">IF(AY732="","",IF(AY732&gt;0,"ü",""))</f>
        <v>ü</v>
      </c>
      <c r="BB732" s="495" t="str">
        <f t="shared" ref="BB732:BB791" si="86">IF(AZ732="","",IF(AZ732&gt;0,"ü",""))</f>
        <v/>
      </c>
      <c r="BC732" s="495" t="str">
        <f t="shared" ref="BC732:BC791" si="87">IF(M732="","",IF(M732="U.S.","ü",IF(M732="U.S. N.D.","ü","")))</f>
        <v/>
      </c>
      <c r="BD732" s="513" t="str">
        <f>IF(AND(L732="",H732=""),"",
IF(H732="",Pole_Calc!A$9,
IF(H732="MP",Pole_Calc!A$10,
IF(H732="AnMP",Pole_Calc!A$11,
IF(H732="A",Pole_Calc!A$12,
IF(H732="S/A",Pole_Calc!A$13,
IF(H732="A/S",Pole_Calc!A$14,"Poner a mano")))))))</f>
        <v>App.7-V11I-P9.5.1.3</v>
      </c>
      <c r="BE732" s="429" t="s">
        <v>118</v>
      </c>
      <c r="BF732" s="289"/>
      <c r="BG732" s="289"/>
      <c r="BH732" s="290"/>
      <c r="BI732" s="289"/>
    </row>
    <row r="733" spans="1:61" ht="15.75" customHeight="1">
      <c r="A733" s="514"/>
      <c r="B733" s="450"/>
      <c r="C733" s="3"/>
      <c r="D733" s="83"/>
      <c r="E733" s="4"/>
      <c r="F733" s="4"/>
      <c r="G733" s="6">
        <v>45</v>
      </c>
      <c r="H733" s="449"/>
      <c r="I733" s="4">
        <f>SUM(G717:G733)</f>
        <v>442.2</v>
      </c>
      <c r="J733" s="3"/>
      <c r="K733" s="449"/>
      <c r="L733" s="449"/>
      <c r="M733" s="449" t="str">
        <f>IF(L733="","",
IF(AX733="PT",VLOOKUP(L733,Foundation_Calc!$V$79:$X$113,VLOOKUP(AX733,Foundation_Calc!$I$10:$J$13,2,FALSE),0),
IF(AX733="K",VLOOKUP(L733,Foundation_Calc!$V$117:$X$151,VLOOKUP(AX733,Foundation_Calc!$I$10:$J$13,2,FALSE),0),"")))</f>
        <v/>
      </c>
      <c r="N733" s="449"/>
      <c r="O733" s="449"/>
      <c r="P733" s="449"/>
      <c r="Q733" s="4"/>
      <c r="R733" s="6"/>
      <c r="S733" s="6"/>
      <c r="T733" s="4"/>
      <c r="U733" s="4"/>
      <c r="V733" s="4"/>
      <c r="W733" s="572"/>
      <c r="X733" s="9"/>
      <c r="Y733" s="9"/>
      <c r="Z733" s="9"/>
      <c r="AA733" s="9"/>
      <c r="AB733" s="9"/>
      <c r="AC733" s="449" t="str">
        <f t="shared" si="81"/>
        <v/>
      </c>
      <c r="AD733" s="449"/>
      <c r="AE733" s="449"/>
      <c r="AF733" s="4"/>
      <c r="AG733" s="83"/>
      <c r="AH733" s="4"/>
      <c r="AI733" s="4"/>
      <c r="AJ733" s="449"/>
      <c r="AK733" s="449"/>
      <c r="AL733" s="449"/>
      <c r="AM733" s="449"/>
      <c r="AN733" s="10"/>
      <c r="AO733" s="9"/>
      <c r="AP733" s="9"/>
      <c r="AQ733" s="9">
        <f>+FL_2($T$734,$T$732,$G$733,1200,9.28,-1*$F$734)</f>
        <v>-0.33753905290514191</v>
      </c>
      <c r="AR733" s="9"/>
      <c r="AS733" s="9"/>
      <c r="AT733" s="9"/>
      <c r="AU733" s="428"/>
      <c r="AV733" s="428"/>
      <c r="AW733" s="449" t="str">
        <f>IF(C733&gt;0,VLOOKUP(C733,Foundation_Calc!$A$2:$C$13,3,1),
IF(J733&gt;0,VLOOKUP(J733,Foundation_Calc!$A$2:$C$13,3,1),""))</f>
        <v/>
      </c>
      <c r="AX733" s="449" t="str">
        <f>IF(C733&gt;0,VLOOKUP(C733,Foundation_Calc!$E$2:$G$33,3,1),
IF(J733&gt;0,VLOOKUP(J733,Foundation_Calc!$E$2:$G$33,3,1),""))</f>
        <v/>
      </c>
      <c r="AY733" s="10" t="str">
        <f>IF(L733="","",
IF(AX733="PT",VLOOKUP(L733,Foundation_Calc!$K$79:$R$113,VLOOKUP(AW733,Foundation_Calc!$I$2:$J$8,2,FALSE),0),
IF(AX733="K",VLOOKUP(L733,Foundation_Calc!$K$117:$R$151,VLOOKUP(AW733,Foundation_Calc!$I$2:$J$8,2,FALSE),0),"")))</f>
        <v/>
      </c>
      <c r="AZ733" s="10" t="str">
        <f>IF(K733="","",
IF(AX733="PT",VLOOKUP(K733,Foundation_Calc!$K$79:$R$113,VLOOKUP(AW733,Foundation_Calc!$I$2:$J$8,2,FALSE),0),
IF(AX733="K",VLOOKUP(K733,Foundation_Calc!$K$117:$R$151,VLOOKUP(AW733,Foundation_Calc!$I$2:$J$8,2,FALSE),0),"")))</f>
        <v/>
      </c>
      <c r="BA733" s="495" t="str">
        <f t="shared" si="85"/>
        <v/>
      </c>
      <c r="BB733" s="495" t="str">
        <f t="shared" si="86"/>
        <v/>
      </c>
      <c r="BC733" s="495" t="str">
        <f t="shared" si="87"/>
        <v/>
      </c>
      <c r="BD733" s="513" t="str">
        <f>IF(AND(L733="",H733=""),"",
IF(H733="",Pole_Calc!A$9,
IF(H733="MP",Pole_Calc!A$10,
IF(H733="AnMP",Pole_Calc!A$11,
IF(H733="A",Pole_Calc!A$12,
IF(H733="S/A",Pole_Calc!A$13,
IF(H733="A/S",Pole_Calc!A$14,"Poner a mano")))))))</f>
        <v/>
      </c>
      <c r="BE733" s="429" t="s">
        <v>118</v>
      </c>
      <c r="BF733" s="290"/>
      <c r="BG733" s="290"/>
      <c r="BH733" s="290"/>
      <c r="BI733" s="290"/>
    </row>
    <row r="734" spans="1:61" ht="15.75" customHeight="1">
      <c r="A734" s="514"/>
      <c r="B734" s="450" t="s">
        <v>616</v>
      </c>
      <c r="C734" s="3">
        <f>+$C$732+$G$733</f>
        <v>47790.8</v>
      </c>
      <c r="D734" s="83"/>
      <c r="E734" s="4"/>
      <c r="F734" s="4">
        <f>IF(C734&gt;0,VLOOKUP(C734,'ALIGNMENT TRACK'!$A$1:$K$81,9,1))</f>
        <v>1600</v>
      </c>
      <c r="G734" s="6"/>
      <c r="H734" s="449" t="s">
        <v>171</v>
      </c>
      <c r="I734" s="4"/>
      <c r="J734" s="3"/>
      <c r="K734" s="449"/>
      <c r="L734" s="449" t="s">
        <v>158</v>
      </c>
      <c r="M734" s="449" t="str">
        <f>IF(L734="","",
IF(AX734="PT",VLOOKUP(L734,Foundation_Calc!$V$79:$X$113,VLOOKUP(AX734,Foundation_Calc!$I$10:$J$13,2,FALSE),0),
IF(AX734="K",VLOOKUP(L734,Foundation_Calc!$V$117:$X$151,VLOOKUP(AX734,Foundation_Calc!$I$10:$J$13,2,FALSE),0),"")))</f>
        <v>C4R</v>
      </c>
      <c r="N734" s="449" t="s">
        <v>124</v>
      </c>
      <c r="O734" s="449"/>
      <c r="P734" s="449"/>
      <c r="Q734" s="4"/>
      <c r="R734" s="6"/>
      <c r="S734" s="6"/>
      <c r="T734" s="4">
        <v>-30</v>
      </c>
      <c r="U734" s="4"/>
      <c r="V734" s="4"/>
      <c r="W734" s="572">
        <v>0.8</v>
      </c>
      <c r="X734" s="9"/>
      <c r="Y734" s="9"/>
      <c r="Z734" s="9"/>
      <c r="AA734" s="9"/>
      <c r="AB734" s="9"/>
      <c r="AC734" s="449" t="str">
        <f t="shared" si="81"/>
        <v>PHQ</v>
      </c>
      <c r="AD734" s="449"/>
      <c r="AE734" s="449"/>
      <c r="AF734" s="4"/>
      <c r="AG734" s="83"/>
      <c r="AH734" s="4"/>
      <c r="AI734" s="4"/>
      <c r="AJ734" s="449"/>
      <c r="AK734" s="449"/>
      <c r="AL734" s="449"/>
      <c r="AM734" s="449" t="s">
        <v>552</v>
      </c>
      <c r="AN734" s="10">
        <f>AN732+0.06</f>
        <v>5.21</v>
      </c>
      <c r="AO734" s="9"/>
      <c r="AP734" s="9"/>
      <c r="AQ734" s="9"/>
      <c r="AR734" s="9"/>
      <c r="AS734" s="9"/>
      <c r="AT734" s="9">
        <f>+ab($T$734,$T$732,$T$736,$G$733,$G$735,-1*$F$734,1200)</f>
        <v>-6.7908717488095478</v>
      </c>
      <c r="AU734" s="428"/>
      <c r="AV734" s="428"/>
      <c r="AW734" s="449" t="str">
        <f>IF(C734&gt;0,VLOOKUP(C734,Foundation_Calc!$A$2:$C$13,3,1),
IF(J734&gt;0,VLOOKUP(J734,Foundation_Calc!$A$2:$C$13,3,1),""))</f>
        <v>Multi Soil</v>
      </c>
      <c r="AX734" s="449" t="str">
        <f>IF(C734&gt;0,VLOOKUP(C734,Foundation_Calc!$E$2:$G$33,3,1),
IF(J734&gt;0,VLOOKUP(J734,Foundation_Calc!$E$2:$G$33,3,1),""))</f>
        <v>PT</v>
      </c>
      <c r="AY734" s="10">
        <f>IF(L734="","",
IF(AX734="PT",VLOOKUP(L734,Foundation_Calc!$K$79:$R$113,VLOOKUP(AW734,Foundation_Calc!$I$2:$J$8,2,FALSE),0),
IF(AX734="K",VLOOKUP(L734,Foundation_Calc!$K$117:$R$151,VLOOKUP(AW734,Foundation_Calc!$I$2:$J$8,2,FALSE),0),"")))</f>
        <v>3.5</v>
      </c>
      <c r="AZ734" s="10" t="str">
        <f>IF(K734="","",
IF(AX734="PT",VLOOKUP(K734,Foundation_Calc!$K$79:$R$113,VLOOKUP(AW734,Foundation_Calc!$I$2:$J$8,2,FALSE),0),
IF(AX734="K",VLOOKUP(K734,Foundation_Calc!$K$117:$R$151,VLOOKUP(AW734,Foundation_Calc!$I$2:$J$8,2,FALSE),0),"")))</f>
        <v/>
      </c>
      <c r="BA734" s="495" t="str">
        <f t="shared" si="85"/>
        <v>ü</v>
      </c>
      <c r="BB734" s="495" t="str">
        <f t="shared" si="86"/>
        <v/>
      </c>
      <c r="BC734" s="495" t="str">
        <f t="shared" si="87"/>
        <v/>
      </c>
      <c r="BD734" s="513" t="str">
        <f>IF(AND(L734="",H734=""),"",
IF(H734="",Pole_Calc!A$9,
IF(H734="MP",Pole_Calc!A$10,
IF(H734="AnMP",Pole_Calc!A$11,
IF(H734="A",Pole_Calc!A$12,
IF(H734="S/A",Pole_Calc!A$13,
IF(H734="A/S",Pole_Calc!A$14,"Poner a mano")))))))</f>
        <v>App.7-V11I-P9.5.1.2</v>
      </c>
      <c r="BE734" s="429" t="s">
        <v>118</v>
      </c>
      <c r="BF734" s="289"/>
      <c r="BG734" s="289"/>
      <c r="BH734" s="290"/>
      <c r="BI734" s="289"/>
    </row>
    <row r="735" spans="1:61" ht="15.75" customHeight="1">
      <c r="A735" s="514"/>
      <c r="B735" s="450"/>
      <c r="C735" s="3"/>
      <c r="D735" s="83"/>
      <c r="E735" s="4"/>
      <c r="F735" s="4"/>
      <c r="G735" s="6">
        <v>45</v>
      </c>
      <c r="H735" s="449"/>
      <c r="I735" s="4">
        <f>SUM(G735:G751)</f>
        <v>390</v>
      </c>
      <c r="J735" s="3"/>
      <c r="K735" s="449"/>
      <c r="L735" s="449"/>
      <c r="M735" s="449" t="str">
        <f>IF(L735="","",
IF(AX735="PT",VLOOKUP(L735,Foundation_Calc!$V$79:$X$113,VLOOKUP(AX735,Foundation_Calc!$I$10:$J$13,2,FALSE),0),
IF(AX735="K",VLOOKUP(L735,Foundation_Calc!$V$117:$X$151,VLOOKUP(AX735,Foundation_Calc!$I$10:$J$13,2,FALSE),0),"")))</f>
        <v/>
      </c>
      <c r="N735" s="449"/>
      <c r="O735" s="449"/>
      <c r="P735" s="449"/>
      <c r="Q735" s="4"/>
      <c r="R735" s="6"/>
      <c r="S735" s="6"/>
      <c r="T735" s="4"/>
      <c r="U735" s="4"/>
      <c r="V735" s="4"/>
      <c r="W735" s="572"/>
      <c r="X735" s="9"/>
      <c r="Y735" s="9"/>
      <c r="Z735" s="9"/>
      <c r="AA735" s="9"/>
      <c r="AB735" s="9"/>
      <c r="AC735" s="449" t="str">
        <f t="shared" si="81"/>
        <v/>
      </c>
      <c r="AD735" s="449"/>
      <c r="AE735" s="449"/>
      <c r="AF735" s="4"/>
      <c r="AG735" s="83"/>
      <c r="AH735" s="4"/>
      <c r="AI735" s="4"/>
      <c r="AJ735" s="449"/>
      <c r="AK735" s="449"/>
      <c r="AL735" s="449"/>
      <c r="AM735" s="449"/>
      <c r="AN735" s="10"/>
      <c r="AO735" s="9"/>
      <c r="AP735" s="9"/>
      <c r="AQ735" s="9">
        <f>+FL_2($T$736,$T$734,$G$735,1200,9.28,-1*$F$736)</f>
        <v>-0.33753905290514191</v>
      </c>
      <c r="AR735" s="9"/>
      <c r="AS735" s="9"/>
      <c r="AT735" s="9"/>
      <c r="AU735" s="428"/>
      <c r="AV735" s="428"/>
      <c r="AW735" s="449" t="str">
        <f>IF(C735&gt;0,VLOOKUP(C735,Foundation_Calc!$A$2:$C$13,3,1),
IF(J735&gt;0,VLOOKUP(J735,Foundation_Calc!$A$2:$C$13,3,1),""))</f>
        <v/>
      </c>
      <c r="AX735" s="449" t="str">
        <f>IF(C735&gt;0,VLOOKUP(C735,Foundation_Calc!$E$2:$G$33,3,1),
IF(J735&gt;0,VLOOKUP(J735,Foundation_Calc!$E$2:$G$33,3,1),""))</f>
        <v/>
      </c>
      <c r="AY735" s="10" t="str">
        <f>IF(L735="","",
IF(AX735="PT",VLOOKUP(L735,Foundation_Calc!$K$79:$R$113,VLOOKUP(AW735,Foundation_Calc!$I$2:$J$8,2,FALSE),0),
IF(AX735="K",VLOOKUP(L735,Foundation_Calc!$K$117:$R$151,VLOOKUP(AW735,Foundation_Calc!$I$2:$J$8,2,FALSE),0),"")))</f>
        <v/>
      </c>
      <c r="AZ735" s="10" t="str">
        <f>IF(K735="","",
IF(AX735="PT",VLOOKUP(K735,Foundation_Calc!$K$79:$R$113,VLOOKUP(AW735,Foundation_Calc!$I$2:$J$8,2,FALSE),0),
IF(AX735="K",VLOOKUP(K735,Foundation_Calc!$K$117:$R$151,VLOOKUP(AW735,Foundation_Calc!$I$2:$J$8,2,FALSE),0),"")))</f>
        <v/>
      </c>
      <c r="BA735" s="495" t="str">
        <f t="shared" si="85"/>
        <v/>
      </c>
      <c r="BB735" s="495" t="str">
        <f t="shared" si="86"/>
        <v/>
      </c>
      <c r="BC735" s="495" t="str">
        <f t="shared" si="87"/>
        <v/>
      </c>
      <c r="BD735" s="513" t="str">
        <f>IF(AND(L735="",H735=""),"",
IF(H735="",Pole_Calc!A$9,
IF(H735="MP",Pole_Calc!A$10,
IF(H735="AnMP",Pole_Calc!A$11,
IF(H735="A",Pole_Calc!A$12,
IF(H735="S/A",Pole_Calc!A$13,
IF(H735="A/S",Pole_Calc!A$14,"Poner a mano")))))))</f>
        <v/>
      </c>
      <c r="BE735" s="429" t="s">
        <v>118</v>
      </c>
      <c r="BF735" s="290"/>
      <c r="BG735" s="290"/>
      <c r="BH735" s="290"/>
      <c r="BI735" s="290"/>
    </row>
    <row r="736" spans="1:61" ht="15.75" customHeight="1">
      <c r="A736" s="514"/>
      <c r="B736" s="450" t="s">
        <v>617</v>
      </c>
      <c r="C736" s="3">
        <f>+$C$734+$G$735</f>
        <v>47835.8</v>
      </c>
      <c r="D736" s="83"/>
      <c r="E736" s="4"/>
      <c r="F736" s="4">
        <f>IF(C736&gt;0,VLOOKUP(C736,'ALIGNMENT TRACK'!$A$1:$K$81,9,1))</f>
        <v>1600</v>
      </c>
      <c r="G736" s="6"/>
      <c r="H736" s="449" t="s">
        <v>168</v>
      </c>
      <c r="I736" s="4"/>
      <c r="J736" s="3"/>
      <c r="K736" s="449"/>
      <c r="L736" s="449" t="s">
        <v>158</v>
      </c>
      <c r="M736" s="449" t="str">
        <f>IF(L736="","",
IF(AX736="PT",VLOOKUP(L736,Foundation_Calc!$V$79:$X$113,VLOOKUP(AX736,Foundation_Calc!$I$10:$J$13,2,FALSE),0),
IF(AX736="K",VLOOKUP(L736,Foundation_Calc!$V$117:$X$151,VLOOKUP(AX736,Foundation_Calc!$I$10:$J$13,2,FALSE),0),"")))</f>
        <v>C4RT</v>
      </c>
      <c r="N736" s="449" t="s">
        <v>124</v>
      </c>
      <c r="O736" s="449"/>
      <c r="P736" s="449"/>
      <c r="Q736" s="4"/>
      <c r="R736" s="6"/>
      <c r="S736" s="6"/>
      <c r="T736" s="4">
        <v>-30</v>
      </c>
      <c r="U736" s="4"/>
      <c r="V736" s="4"/>
      <c r="W736" s="572">
        <v>1.2</v>
      </c>
      <c r="X736" s="9"/>
      <c r="Y736" s="9"/>
      <c r="Z736" s="9"/>
      <c r="AA736" s="9"/>
      <c r="AB736" s="9"/>
      <c r="AC736" s="449" t="str">
        <f t="shared" si="81"/>
        <v>PHQ</v>
      </c>
      <c r="AD736" s="449"/>
      <c r="AE736" s="449"/>
      <c r="AF736" s="4"/>
      <c r="AG736" s="83"/>
      <c r="AH736" s="4"/>
      <c r="AI736" s="4"/>
      <c r="AJ736" s="449"/>
      <c r="AK736" s="449"/>
      <c r="AL736" s="449"/>
      <c r="AM736" s="449" t="s">
        <v>552</v>
      </c>
      <c r="AN736" s="10">
        <f>AN734+0.11</f>
        <v>5.32</v>
      </c>
      <c r="AO736" s="9"/>
      <c r="AP736" s="9"/>
      <c r="AQ736" s="9"/>
      <c r="AR736" s="9"/>
      <c r="AS736" s="9"/>
      <c r="AT736" s="9">
        <f>+ab($T$736,$T$734,$T$738,$G$735,$G$737,-1*$F$736,1200)</f>
        <v>-6.7908717488095478</v>
      </c>
      <c r="AU736" s="428"/>
      <c r="AV736" s="428"/>
      <c r="AW736" s="449" t="str">
        <f>IF(C736&gt;0,VLOOKUP(C736,Foundation_Calc!$A$2:$C$13,3,1),
IF(J736&gt;0,VLOOKUP(J736,Foundation_Calc!$A$2:$C$13,3,1),""))</f>
        <v>Multi Soil</v>
      </c>
      <c r="AX736" s="449" t="str">
        <f>IF(C736&gt;0,VLOOKUP(C736,Foundation_Calc!$E$2:$G$33,3,1),
IF(J736&gt;0,VLOOKUP(J736,Foundation_Calc!$E$2:$G$33,3,1),""))</f>
        <v>K</v>
      </c>
      <c r="AY736" s="10">
        <f>IF(L736="","",
IF(AX736="PT",VLOOKUP(L736,Foundation_Calc!$K$79:$R$113,VLOOKUP(AW736,Foundation_Calc!$I$2:$J$8,2,FALSE),0),
IF(AX736="K",VLOOKUP(L736,Foundation_Calc!$K$117:$R$151,VLOOKUP(AW736,Foundation_Calc!$I$2:$J$8,2,FALSE),0),"")))</f>
        <v>4.2</v>
      </c>
      <c r="AZ736" s="10" t="str">
        <f>IF(K736="","",
IF(AX736="PT",VLOOKUP(K736,Foundation_Calc!$K$79:$R$113,VLOOKUP(AW736,Foundation_Calc!$I$2:$J$8,2,FALSE),0),
IF(AX736="K",VLOOKUP(K736,Foundation_Calc!$K$117:$R$151,VLOOKUP(AW736,Foundation_Calc!$I$2:$J$8,2,FALSE),0),"")))</f>
        <v/>
      </c>
      <c r="BA736" s="495" t="str">
        <f t="shared" si="85"/>
        <v>ü</v>
      </c>
      <c r="BB736" s="495" t="str">
        <f t="shared" si="86"/>
        <v/>
      </c>
      <c r="BC736" s="495" t="str">
        <f t="shared" si="87"/>
        <v/>
      </c>
      <c r="BD736" s="513" t="str">
        <f>IF(AND(L736="",H736=""),"",
IF(H736="",Pole_Calc!A$9,
IF(H736="MP",Pole_Calc!A$10,
IF(H736="AnMP",Pole_Calc!A$11,
IF(H736="A",Pole_Calc!A$12,
IF(H736="S/A",Pole_Calc!A$13,
IF(H736="A/S",Pole_Calc!A$14,"Poner a mano")))))))</f>
        <v>App.7-V11I-P9.5.1.3</v>
      </c>
      <c r="BE736" s="429" t="s">
        <v>118</v>
      </c>
      <c r="BF736" s="289"/>
      <c r="BG736" s="289"/>
      <c r="BH736" s="290"/>
      <c r="BI736" s="289"/>
    </row>
    <row r="737" spans="1:61" ht="15.75" customHeight="1">
      <c r="A737" s="514"/>
      <c r="B737" s="450"/>
      <c r="C737" s="3"/>
      <c r="D737" s="83"/>
      <c r="E737" s="4"/>
      <c r="F737" s="4"/>
      <c r="G737" s="6">
        <v>45</v>
      </c>
      <c r="H737" s="449"/>
      <c r="I737" s="4"/>
      <c r="J737" s="3">
        <f>C736+7.5</f>
        <v>47843.3</v>
      </c>
      <c r="K737" s="449" t="s">
        <v>324</v>
      </c>
      <c r="L737" s="449"/>
      <c r="M737" s="449" t="str">
        <f>IF(L737="","",
IF(AX737="PT",VLOOKUP(L737,Foundation_Calc!$V$79:$X$113,VLOOKUP(AX737,Foundation_Calc!$I$10:$J$13,2,FALSE),0),
IF(AX737="K",VLOOKUP(L737,Foundation_Calc!$V$117:$X$151,VLOOKUP(AX737,Foundation_Calc!$I$10:$J$13,2,FALSE),0),"")))</f>
        <v/>
      </c>
      <c r="N737" s="449"/>
      <c r="O737" s="449"/>
      <c r="P737" s="449"/>
      <c r="Q737" s="4"/>
      <c r="R737" s="6"/>
      <c r="S737" s="6"/>
      <c r="T737" s="4"/>
      <c r="U737" s="4"/>
      <c r="V737" s="4"/>
      <c r="W737" s="9"/>
      <c r="X737" s="9"/>
      <c r="Y737" s="9"/>
      <c r="Z737" s="9"/>
      <c r="AA737" s="9"/>
      <c r="AB737" s="9"/>
      <c r="AC737" s="449" t="str">
        <f t="shared" si="81"/>
        <v/>
      </c>
      <c r="AD737" s="449"/>
      <c r="AE737" s="449"/>
      <c r="AF737" s="4"/>
      <c r="AG737" s="83"/>
      <c r="AH737" s="4"/>
      <c r="AI737" s="4"/>
      <c r="AJ737" s="449"/>
      <c r="AK737" s="449"/>
      <c r="AL737" s="449"/>
      <c r="AM737" s="449"/>
      <c r="AN737" s="10"/>
      <c r="AO737" s="9"/>
      <c r="AP737" s="9"/>
      <c r="AQ737" s="9">
        <f>+FL_2($T$738,$T$736,$G$737,1200,9.28,-1*$F$738)</f>
        <v>-0.33753905290514191</v>
      </c>
      <c r="AR737" s="9"/>
      <c r="AS737" s="9"/>
      <c r="AT737" s="9"/>
      <c r="AU737" s="428"/>
      <c r="AV737" s="428"/>
      <c r="AW737" s="449" t="str">
        <f>IF(C737&gt;0,VLOOKUP(C737,Foundation_Calc!$A$2:$C$13,3,1),
IF(J737&gt;0,VLOOKUP(J737,Foundation_Calc!$A$2:$C$13,3,1),""))</f>
        <v>Multi Soil</v>
      </c>
      <c r="AX737" s="449" t="str">
        <f>IF(C737&gt;0,VLOOKUP(C737,Foundation_Calc!$E$2:$G$33,3,1),
IF(J737&gt;0,VLOOKUP(J737,Foundation_Calc!$E$2:$G$33,3,1),""))</f>
        <v>K</v>
      </c>
      <c r="AY737" s="10" t="str">
        <f>IF(L737="","",
IF(AX737="PT",VLOOKUP(L737,Foundation_Calc!$K$79:$R$113,VLOOKUP(AW737,Foundation_Calc!$I$2:$J$8,2,FALSE),0),
IF(AX737="K",VLOOKUP(L737,Foundation_Calc!$K$117:$R$151,VLOOKUP(AW737,Foundation_Calc!$I$2:$J$8,2,FALSE),0),"")))</f>
        <v/>
      </c>
      <c r="AZ737" s="10">
        <f>IF(K737="","",
IF(AX737="PT",VLOOKUP(K737,Foundation_Calc!$K$79:$R$113,VLOOKUP(AW737,Foundation_Calc!$I$2:$J$8,2,FALSE),0),
IF(AX737="K",VLOOKUP(K737,Foundation_Calc!$K$117:$R$151,VLOOKUP(AW737,Foundation_Calc!$I$2:$J$8,2,FALSE),0),"")))</f>
        <v>2.8</v>
      </c>
      <c r="BA737" s="495" t="str">
        <f t="shared" si="85"/>
        <v/>
      </c>
      <c r="BB737" s="495" t="str">
        <f t="shared" si="86"/>
        <v>ü</v>
      </c>
      <c r="BC737" s="495" t="str">
        <f t="shared" si="87"/>
        <v/>
      </c>
      <c r="BD737" s="513" t="str">
        <f>IF(AND(L737="",H737=""),"",
IF(H737="",Pole_Calc!A$9,
IF(H737="MP",Pole_Calc!A$10,
IF(H737="AnMP",Pole_Calc!A$11,
IF(H737="A",Pole_Calc!A$12,
IF(H737="S/A",Pole_Calc!A$13,
IF(H737="A/S",Pole_Calc!A$14,"Poner a mano")))))))</f>
        <v/>
      </c>
      <c r="BE737" s="429" t="s">
        <v>118</v>
      </c>
      <c r="BF737" s="290"/>
      <c r="BG737" s="290"/>
      <c r="BH737" s="290"/>
      <c r="BI737" s="290"/>
    </row>
    <row r="738" spans="1:61" ht="15.75" customHeight="1">
      <c r="A738" s="514"/>
      <c r="B738" s="450" t="s">
        <v>618</v>
      </c>
      <c r="C738" s="3">
        <f>+$C$736+$G$737</f>
        <v>47880.800000000003</v>
      </c>
      <c r="D738" s="83"/>
      <c r="E738" s="4"/>
      <c r="F738" s="4">
        <f>IF(C738&gt;0,VLOOKUP(C738,'ALIGNMENT TRACK'!$A$1:$K$81,9,1))</f>
        <v>1600</v>
      </c>
      <c r="G738" s="6"/>
      <c r="H738" s="449"/>
      <c r="I738" s="4"/>
      <c r="J738" s="3"/>
      <c r="K738" s="449"/>
      <c r="L738" s="449" t="s">
        <v>158</v>
      </c>
      <c r="M738" s="449" t="str">
        <f>IF(L738="","",
IF(AX738="PT",VLOOKUP(L738,Foundation_Calc!$V$79:$X$113,VLOOKUP(AX738,Foundation_Calc!$I$10:$J$13,2,FALSE),0),
IF(AX738="K",VLOOKUP(L738,Foundation_Calc!$V$117:$X$151,VLOOKUP(AX738,Foundation_Calc!$I$10:$J$13,2,FALSE),0),"")))</f>
        <v>C4RT</v>
      </c>
      <c r="N738" s="449" t="s">
        <v>124</v>
      </c>
      <c r="O738" s="449"/>
      <c r="P738" s="449"/>
      <c r="Q738" s="4"/>
      <c r="R738" s="6"/>
      <c r="S738" s="6"/>
      <c r="T738" s="4">
        <v>-30</v>
      </c>
      <c r="U738" s="4"/>
      <c r="V738" s="4"/>
      <c r="W738" s="9">
        <v>1.4</v>
      </c>
      <c r="X738" s="9"/>
      <c r="Y738" s="9"/>
      <c r="Z738" s="9"/>
      <c r="AA738" s="9"/>
      <c r="AB738" s="9"/>
      <c r="AC738" s="449" t="str">
        <f t="shared" si="81"/>
        <v>PHQ</v>
      </c>
      <c r="AD738" s="449"/>
      <c r="AE738" s="449"/>
      <c r="AF738" s="4"/>
      <c r="AG738" s="83"/>
      <c r="AH738" s="4"/>
      <c r="AI738" s="4"/>
      <c r="AJ738" s="449"/>
      <c r="AK738" s="449"/>
      <c r="AL738" s="449"/>
      <c r="AM738" s="449" t="s">
        <v>552</v>
      </c>
      <c r="AN738" s="10">
        <f>AN740-0.07</f>
        <v>5.43</v>
      </c>
      <c r="AO738" s="9"/>
      <c r="AP738" s="9"/>
      <c r="AQ738" s="9"/>
      <c r="AR738" s="9"/>
      <c r="AS738" s="9"/>
      <c r="AT738" s="9">
        <f>+ab($T$738,$T$736,$T$740,$G$737,$G$739,-1*$F$738,1200)</f>
        <v>-6.7537006373238899</v>
      </c>
      <c r="AU738" s="428"/>
      <c r="AV738" s="428"/>
      <c r="AW738" s="449" t="str">
        <f>IF(C738&gt;0,VLOOKUP(C738,Foundation_Calc!$A$2:$C$13,3,1),
IF(J738&gt;0,VLOOKUP(J738,Foundation_Calc!$A$2:$C$13,3,1),""))</f>
        <v>Multi Soil</v>
      </c>
      <c r="AX738" s="449" t="str">
        <f>IF(C738&gt;0,VLOOKUP(C738,Foundation_Calc!$E$2:$G$33,3,1),
IF(J738&gt;0,VLOOKUP(J738,Foundation_Calc!$E$2:$G$33,3,1),""))</f>
        <v>K</v>
      </c>
      <c r="AY738" s="10">
        <f>IF(L738="","",
IF(AX738="PT",VLOOKUP(L738,Foundation_Calc!$K$79:$R$113,VLOOKUP(AW738,Foundation_Calc!$I$2:$J$8,2,FALSE),0),
IF(AX738="K",VLOOKUP(L738,Foundation_Calc!$K$117:$R$151,VLOOKUP(AW738,Foundation_Calc!$I$2:$J$8,2,FALSE),0),"")))</f>
        <v>4.2</v>
      </c>
      <c r="AZ738" s="10" t="str">
        <f>IF(K738="","",
IF(AX738="PT",VLOOKUP(K738,Foundation_Calc!$K$79:$R$113,VLOOKUP(AW738,Foundation_Calc!$I$2:$J$8,2,FALSE),0),
IF(AX738="K",VLOOKUP(K738,Foundation_Calc!$K$117:$R$151,VLOOKUP(AW738,Foundation_Calc!$I$2:$J$8,2,FALSE),0),"")))</f>
        <v/>
      </c>
      <c r="BA738" s="495" t="str">
        <f t="shared" si="85"/>
        <v>ü</v>
      </c>
      <c r="BB738" s="495" t="str">
        <f t="shared" si="86"/>
        <v/>
      </c>
      <c r="BC738" s="495" t="str">
        <f t="shared" si="87"/>
        <v/>
      </c>
      <c r="BD738" s="513" t="str">
        <f>IF(AND(L738="",H738=""),"",
IF(H738="",Pole_Calc!A$9,
IF(H738="MP",Pole_Calc!A$10,
IF(H738="AnMP",Pole_Calc!A$11,
IF(H738="A",Pole_Calc!A$12,
IF(H738="S/A",Pole_Calc!A$13,
IF(H738="A/S",Pole_Calc!A$14,"Poner a mano")))))))</f>
        <v>App.7-V11I-P9.5.1.1</v>
      </c>
      <c r="BE738" s="429" t="s">
        <v>118</v>
      </c>
      <c r="BF738" s="289"/>
      <c r="BG738" s="289"/>
      <c r="BH738" s="290"/>
      <c r="BI738" s="289"/>
    </row>
    <row r="739" spans="1:61" ht="15.75" customHeight="1">
      <c r="A739" s="514"/>
      <c r="B739" s="450"/>
      <c r="C739" s="3"/>
      <c r="D739" s="83"/>
      <c r="E739" s="4"/>
      <c r="F739" s="4"/>
      <c r="G739" s="6">
        <v>45.5</v>
      </c>
      <c r="H739" s="449"/>
      <c r="I739" s="4"/>
      <c r="J739" s="3"/>
      <c r="K739" s="449"/>
      <c r="L739" s="449"/>
      <c r="M739" s="449" t="str">
        <f>IF(L739="","",
IF(AX739="PT",VLOOKUP(L739,Foundation_Calc!$V$79:$X$113,VLOOKUP(AX739,Foundation_Calc!$I$10:$J$13,2,FALSE),0),
IF(AX739="K",VLOOKUP(L739,Foundation_Calc!$V$117:$X$151,VLOOKUP(AX739,Foundation_Calc!$I$10:$J$13,2,FALSE),0),"")))</f>
        <v/>
      </c>
      <c r="N739" s="449"/>
      <c r="O739" s="449"/>
      <c r="P739" s="449"/>
      <c r="Q739" s="4"/>
      <c r="R739" s="6"/>
      <c r="S739" s="6"/>
      <c r="T739" s="4"/>
      <c r="U739" s="4"/>
      <c r="V739" s="4"/>
      <c r="W739" s="9"/>
      <c r="X739" s="9"/>
      <c r="Y739" s="9"/>
      <c r="Z739" s="9"/>
      <c r="AA739" s="9"/>
      <c r="AB739" s="9"/>
      <c r="AC739" s="449" t="str">
        <f t="shared" si="81"/>
        <v/>
      </c>
      <c r="AD739" s="449"/>
      <c r="AE739" s="449"/>
      <c r="AF739" s="4"/>
      <c r="AG739" s="83"/>
      <c r="AH739" s="4"/>
      <c r="AI739" s="4"/>
      <c r="AJ739" s="449"/>
      <c r="AK739" s="449"/>
      <c r="AL739" s="449"/>
      <c r="AM739" s="449"/>
      <c r="AN739" s="10"/>
      <c r="AO739" s="9"/>
      <c r="AP739" s="9"/>
      <c r="AQ739" s="9">
        <f>+FL_2($T$740,$T$738,$G$739,1200,9.28,-1*$F$740)</f>
        <v>-0.33837770981793447</v>
      </c>
      <c r="AR739" s="9"/>
      <c r="AS739" s="9"/>
      <c r="AT739" s="9"/>
      <c r="AU739" s="428"/>
      <c r="AV739" s="428"/>
      <c r="AW739" s="449" t="str">
        <f>IF(C739&gt;0,VLOOKUP(C739,Foundation_Calc!$A$2:$C$13,3,1),
IF(J739&gt;0,VLOOKUP(J739,Foundation_Calc!$A$2:$C$13,3,1),""))</f>
        <v/>
      </c>
      <c r="AX739" s="449" t="str">
        <f>IF(C739&gt;0,VLOOKUP(C739,Foundation_Calc!$E$2:$G$33,3,1),
IF(J739&gt;0,VLOOKUP(J739,Foundation_Calc!$E$2:$G$33,3,1),""))</f>
        <v/>
      </c>
      <c r="AY739" s="10" t="str">
        <f>IF(L739="","",
IF(AX739="PT",VLOOKUP(L739,Foundation_Calc!$K$79:$R$113,VLOOKUP(AW739,Foundation_Calc!$I$2:$J$8,2,FALSE),0),
IF(AX739="K",VLOOKUP(L739,Foundation_Calc!$K$117:$R$151,VLOOKUP(AW739,Foundation_Calc!$I$2:$J$8,2,FALSE),0),"")))</f>
        <v/>
      </c>
      <c r="AZ739" s="10" t="str">
        <f>IF(K739="","",
IF(AX739="PT",VLOOKUP(K739,Foundation_Calc!$K$79:$R$113,VLOOKUP(AW739,Foundation_Calc!$I$2:$J$8,2,FALSE),0),
IF(AX739="K",VLOOKUP(K739,Foundation_Calc!$K$117:$R$151,VLOOKUP(AW739,Foundation_Calc!$I$2:$J$8,2,FALSE),0),"")))</f>
        <v/>
      </c>
      <c r="BA739" s="495" t="str">
        <f t="shared" si="85"/>
        <v/>
      </c>
      <c r="BB739" s="495" t="str">
        <f t="shared" si="86"/>
        <v/>
      </c>
      <c r="BC739" s="495" t="str">
        <f t="shared" si="87"/>
        <v/>
      </c>
      <c r="BD739" s="513" t="str">
        <f>IF(AND(L739="",H739=""),"",
IF(H739="",Pole_Calc!A$9,
IF(H739="MP",Pole_Calc!A$10,
IF(H739="AnMP",Pole_Calc!A$11,
IF(H739="A",Pole_Calc!A$12,
IF(H739="S/A",Pole_Calc!A$13,
IF(H739="A/S",Pole_Calc!A$14,"Poner a mano")))))))</f>
        <v/>
      </c>
      <c r="BE739" s="429" t="s">
        <v>118</v>
      </c>
      <c r="BF739" s="290"/>
      <c r="BG739" s="290"/>
      <c r="BH739" s="290"/>
      <c r="BI739" s="290"/>
    </row>
    <row r="740" spans="1:61" ht="15.75" customHeight="1">
      <c r="A740" s="518"/>
      <c r="B740" s="450" t="s">
        <v>619</v>
      </c>
      <c r="C740" s="3">
        <f>+$C$738+$G$739</f>
        <v>47926.3</v>
      </c>
      <c r="D740" s="83"/>
      <c r="E740" s="4"/>
      <c r="F740" s="4">
        <f>IF(C740&gt;0,VLOOKUP(C740,'ALIGNMENT TRACK'!$A$1:$K$81,9,1))</f>
        <v>1600</v>
      </c>
      <c r="G740" s="6"/>
      <c r="H740" s="449"/>
      <c r="I740" s="4"/>
      <c r="J740" s="3"/>
      <c r="K740" s="449"/>
      <c r="L740" s="449" t="s">
        <v>158</v>
      </c>
      <c r="M740" s="449" t="str">
        <f>IF(L740="","",
IF(AX740="PT",VLOOKUP(L740,Foundation_Calc!$V$79:$X$113,VLOOKUP(AX740,Foundation_Calc!$I$10:$J$13,2,FALSE),0),
IF(AX740="K",VLOOKUP(L740,Foundation_Calc!$V$117:$X$151,VLOOKUP(AX740,Foundation_Calc!$I$10:$J$13,2,FALSE),0),"")))</f>
        <v>C4RT</v>
      </c>
      <c r="N740" s="449" t="s">
        <v>124</v>
      </c>
      <c r="O740" s="449"/>
      <c r="P740" s="449"/>
      <c r="Q740" s="4"/>
      <c r="R740" s="6"/>
      <c r="S740" s="6"/>
      <c r="T740" s="4">
        <v>-30</v>
      </c>
      <c r="U740" s="4"/>
      <c r="V740" s="4"/>
      <c r="W740" s="9">
        <v>1.4</v>
      </c>
      <c r="X740" s="9"/>
      <c r="Y740" s="9"/>
      <c r="Z740" s="9"/>
      <c r="AA740" s="9"/>
      <c r="AB740" s="9"/>
      <c r="AC740" s="449" t="str">
        <f t="shared" si="81"/>
        <v>PHQ</v>
      </c>
      <c r="AD740" s="449"/>
      <c r="AE740" s="449"/>
      <c r="AF740" s="4"/>
      <c r="AG740" s="83"/>
      <c r="AH740" s="4"/>
      <c r="AI740" s="4"/>
      <c r="AJ740" s="449"/>
      <c r="AK740" s="449"/>
      <c r="AL740" s="449"/>
      <c r="AM740" s="449" t="s">
        <v>552</v>
      </c>
      <c r="AN740" s="10">
        <v>5.5</v>
      </c>
      <c r="AO740" s="9"/>
      <c r="AP740" s="9"/>
      <c r="AQ740" s="9"/>
      <c r="AR740" s="9"/>
      <c r="AS740" s="9"/>
      <c r="AT740" s="9">
        <f>+ab($T$740,$T$738,$T$742,$G$739,$G$741,-1*$F$740,1200)</f>
        <v>-6.4031205236678268</v>
      </c>
      <c r="AU740" s="428"/>
      <c r="AV740" s="428"/>
      <c r="AW740" s="449" t="str">
        <f>IF(C740&gt;0,VLOOKUP(C740,Foundation_Calc!$A$2:$C$13,3,1),
IF(J740&gt;0,VLOOKUP(J740,Foundation_Calc!$A$2:$C$13,3,1),""))</f>
        <v>Multi Soil</v>
      </c>
      <c r="AX740" s="449" t="str">
        <f>IF(C740&gt;0,VLOOKUP(C740,Foundation_Calc!$E$2:$G$33,3,1),
IF(J740&gt;0,VLOOKUP(J740,Foundation_Calc!$E$2:$G$33,3,1),""))</f>
        <v>K</v>
      </c>
      <c r="AY740" s="10">
        <f>IF(L740="","",
IF(AX740="PT",VLOOKUP(L740,Foundation_Calc!$K$79:$R$113,VLOOKUP(AW740,Foundation_Calc!$I$2:$J$8,2,FALSE),0),
IF(AX740="K",VLOOKUP(L740,Foundation_Calc!$K$117:$R$151,VLOOKUP(AW740,Foundation_Calc!$I$2:$J$8,2,FALSE),0),"")))</f>
        <v>4.2</v>
      </c>
      <c r="AZ740" s="10" t="str">
        <f>IF(K740="","",
IF(AX740="PT",VLOOKUP(K740,Foundation_Calc!$K$79:$R$113,VLOOKUP(AW740,Foundation_Calc!$I$2:$J$8,2,FALSE),0),
IF(AX740="K",VLOOKUP(K740,Foundation_Calc!$K$117:$R$151,VLOOKUP(AW740,Foundation_Calc!$I$2:$J$8,2,FALSE),0),"")))</f>
        <v/>
      </c>
      <c r="BA740" s="495" t="str">
        <f t="shared" si="85"/>
        <v>ü</v>
      </c>
      <c r="BB740" s="495" t="str">
        <f t="shared" si="86"/>
        <v/>
      </c>
      <c r="BC740" s="495" t="str">
        <f t="shared" si="87"/>
        <v/>
      </c>
      <c r="BD740" s="513" t="str">
        <f>IF(AND(L740="",H740=""),"",
IF(H740="",Pole_Calc!A$9,
IF(H740="MP",Pole_Calc!A$10,
IF(H740="AnMP",Pole_Calc!A$11,
IF(H740="A",Pole_Calc!A$12,
IF(H740="S/A",Pole_Calc!A$13,
IF(H740="A/S",Pole_Calc!A$14,"Poner a mano")))))))</f>
        <v>App.7-V11I-P9.5.1.1</v>
      </c>
      <c r="BE740" s="429" t="s">
        <v>118</v>
      </c>
      <c r="BF740" s="289"/>
      <c r="BG740" s="289"/>
      <c r="BH740" s="290"/>
      <c r="BI740" s="289"/>
    </row>
    <row r="741" spans="1:61" ht="15.75" customHeight="1">
      <c r="A741" s="514" t="s">
        <v>169</v>
      </c>
      <c r="B741" s="450"/>
      <c r="C741" s="3"/>
      <c r="D741" s="83"/>
      <c r="E741" s="4"/>
      <c r="F741" s="4"/>
      <c r="G741" s="6">
        <v>50</v>
      </c>
      <c r="H741" s="449"/>
      <c r="I741" s="4"/>
      <c r="J741" s="3"/>
      <c r="K741" s="449"/>
      <c r="L741" s="449"/>
      <c r="M741" s="449" t="str">
        <f>IF(L741="","",
IF(AX741="PT",VLOOKUP(L741,Foundation_Calc!$V$79:$X$113,VLOOKUP(AX741,Foundation_Calc!$I$10:$J$13,2,FALSE),0),
IF(AX741="K",VLOOKUP(L741,Foundation_Calc!$V$117:$X$151,VLOOKUP(AX741,Foundation_Calc!$I$10:$J$13,2,FALSE),0),"")))</f>
        <v/>
      </c>
      <c r="N741" s="561"/>
      <c r="O741" s="449"/>
      <c r="P741" s="449"/>
      <c r="Q741" s="4"/>
      <c r="R741" s="6"/>
      <c r="S741" s="6"/>
      <c r="T741" s="4"/>
      <c r="U741" s="4"/>
      <c r="V741" s="4"/>
      <c r="W741" s="9"/>
      <c r="X741" s="9"/>
      <c r="Y741" s="9"/>
      <c r="Z741" s="9"/>
      <c r="AA741" s="9"/>
      <c r="AB741" s="9"/>
      <c r="AC741" s="449" t="str">
        <f t="shared" si="81"/>
        <v/>
      </c>
      <c r="AD741" s="449"/>
      <c r="AE741" s="449"/>
      <c r="AF741" s="4"/>
      <c r="AG741" s="83"/>
      <c r="AH741" s="4"/>
      <c r="AI741" s="4"/>
      <c r="AJ741" s="449"/>
      <c r="AK741" s="449"/>
      <c r="AL741" s="449"/>
      <c r="AM741" s="449"/>
      <c r="AN741" s="10"/>
      <c r="AO741" s="9"/>
      <c r="AP741" s="9"/>
      <c r="AQ741" s="9">
        <f>+FL_2($T$742,$T$740,$G$741,1200,9.28,-1*$F$742)</f>
        <v>-0.41947788331496361</v>
      </c>
      <c r="AR741" s="9"/>
      <c r="AS741" s="9"/>
      <c r="AT741" s="9"/>
      <c r="AU741" s="428"/>
      <c r="AV741" s="428"/>
      <c r="AW741" s="449" t="str">
        <f>IF(C741&gt;0,VLOOKUP(C741,Foundation_Calc!$A$2:$C$13,3,1),
IF(J741&gt;0,VLOOKUP(J741,Foundation_Calc!$A$2:$C$13,3,1),""))</f>
        <v/>
      </c>
      <c r="AX741" s="449" t="str">
        <f>IF(C741&gt;0,VLOOKUP(C741,Foundation_Calc!$E$2:$G$33,3,1),
IF(J741&gt;0,VLOOKUP(J741,Foundation_Calc!$E$2:$G$33,3,1),""))</f>
        <v/>
      </c>
      <c r="AY741" s="10" t="str">
        <f>IF(L741="","",
IF(AX741="PT",VLOOKUP(L741,Foundation_Calc!$K$79:$R$113,VLOOKUP(AW741,Foundation_Calc!$I$2:$J$8,2,FALSE),0),
IF(AX741="K",VLOOKUP(L741,Foundation_Calc!$K$117:$R$151,VLOOKUP(AW741,Foundation_Calc!$I$2:$J$8,2,FALSE),0),"")))</f>
        <v/>
      </c>
      <c r="AZ741" s="10" t="str">
        <f>IF(K741="","",
IF(AX741="PT",VLOOKUP(K741,Foundation_Calc!$K$79:$R$113,VLOOKUP(AW741,Foundation_Calc!$I$2:$J$8,2,FALSE),0),
IF(AX741="K",VLOOKUP(K741,Foundation_Calc!$K$117:$R$151,VLOOKUP(AW741,Foundation_Calc!$I$2:$J$8,2,FALSE),0),"")))</f>
        <v/>
      </c>
      <c r="BA741" s="495" t="str">
        <f t="shared" si="85"/>
        <v/>
      </c>
      <c r="BB741" s="495" t="str">
        <f t="shared" si="86"/>
        <v/>
      </c>
      <c r="BC741" s="495" t="str">
        <f t="shared" si="87"/>
        <v/>
      </c>
      <c r="BD741" s="513" t="str">
        <f>IF(AND(L741="",H741=""),"",
IF(H741="",Pole_Calc!A$9,
IF(H741="MP",Pole_Calc!A$10,
IF(H741="AnMP",Pole_Calc!A$11,
IF(H741="A",Pole_Calc!A$12,
IF(H741="S/A",Pole_Calc!A$13,
IF(H741="A/S",Pole_Calc!A$14,"Poner a mano")))))))</f>
        <v/>
      </c>
      <c r="BE741" s="429" t="s">
        <v>118</v>
      </c>
      <c r="BF741" s="290"/>
      <c r="BG741" s="290"/>
      <c r="BH741" s="290"/>
      <c r="BI741" s="290"/>
    </row>
    <row r="742" spans="1:61" ht="15.75" customHeight="1">
      <c r="A742" s="514"/>
      <c r="B742" s="450" t="s">
        <v>620</v>
      </c>
      <c r="C742" s="3">
        <f>+$C$740+$G$741</f>
        <v>47976.3</v>
      </c>
      <c r="D742" s="83"/>
      <c r="E742" s="4"/>
      <c r="F742" s="4">
        <f>-(438^2)/(C742-48051.31)</f>
        <v>2557.5789894682493</v>
      </c>
      <c r="G742" s="6"/>
      <c r="H742" s="449"/>
      <c r="I742" s="4"/>
      <c r="J742" s="3"/>
      <c r="K742" s="449"/>
      <c r="L742" s="449" t="s">
        <v>158</v>
      </c>
      <c r="M742" s="449" t="str">
        <f>IF(L742="","",
IF(AX742="PT",VLOOKUP(L742,Foundation_Calc!$V$79:$X$113,VLOOKUP(AX742,Foundation_Calc!$I$10:$J$13,2,FALSE),0),
IF(AX742="K",VLOOKUP(L742,Foundation_Calc!$V$117:$X$151,VLOOKUP(AX742,Foundation_Calc!$I$10:$J$13,2,FALSE),0),"")))</f>
        <v>C4RT</v>
      </c>
      <c r="N742" s="449" t="s">
        <v>124</v>
      </c>
      <c r="O742" s="449"/>
      <c r="P742" s="449"/>
      <c r="Q742" s="4"/>
      <c r="R742" s="6"/>
      <c r="S742" s="6"/>
      <c r="T742" s="4">
        <v>-30</v>
      </c>
      <c r="U742" s="4"/>
      <c r="V742" s="4"/>
      <c r="W742" s="9">
        <v>1.4</v>
      </c>
      <c r="X742" s="9"/>
      <c r="Y742" s="9"/>
      <c r="Z742" s="9"/>
      <c r="AA742" s="9"/>
      <c r="AB742" s="9"/>
      <c r="AC742" s="449" t="str">
        <f t="shared" si="81"/>
        <v>PHQ</v>
      </c>
      <c r="AD742" s="449"/>
      <c r="AE742" s="449"/>
      <c r="AF742" s="4"/>
      <c r="AG742" s="83"/>
      <c r="AH742" s="4"/>
      <c r="AI742" s="4"/>
      <c r="AJ742" s="449"/>
      <c r="AK742" s="449"/>
      <c r="AL742" s="449"/>
      <c r="AM742" s="449" t="s">
        <v>552</v>
      </c>
      <c r="AN742" s="10">
        <v>5.5</v>
      </c>
      <c r="AO742" s="9"/>
      <c r="AP742" s="9"/>
      <c r="AQ742" s="9"/>
      <c r="AR742" s="9"/>
      <c r="AS742" s="9"/>
      <c r="AT742" s="9">
        <f>+ab($T$742,$T$740,$T$744,$G$741,$G$743,-1*$F$742,1200)</f>
        <v>-6.2070030909497413</v>
      </c>
      <c r="AU742" s="428"/>
      <c r="AV742" s="428"/>
      <c r="AW742" s="449" t="str">
        <f>IF(C742&gt;0,VLOOKUP(C742,Foundation_Calc!$A$2:$C$13,3,1),
IF(J742&gt;0,VLOOKUP(J742,Foundation_Calc!$A$2:$C$13,3,1),""))</f>
        <v>Multi Soil</v>
      </c>
      <c r="AX742" s="449" t="str">
        <f>IF(C742&gt;0,VLOOKUP(C742,Foundation_Calc!$E$2:$G$33,3,1),
IF(J742&gt;0,VLOOKUP(J742,Foundation_Calc!$E$2:$G$33,3,1),""))</f>
        <v>K</v>
      </c>
      <c r="AY742" s="10">
        <f>IF(L742="","",
IF(AX742="PT",VLOOKUP(L742,Foundation_Calc!$K$79:$R$113,VLOOKUP(AW742,Foundation_Calc!$I$2:$J$8,2,FALSE),0),
IF(AX742="K",VLOOKUP(L742,Foundation_Calc!$K$117:$R$151,VLOOKUP(AW742,Foundation_Calc!$I$2:$J$8,2,FALSE),0),"")))</f>
        <v>4.2</v>
      </c>
      <c r="AZ742" s="10" t="str">
        <f>IF(K742="","",
IF(AX742="PT",VLOOKUP(K742,Foundation_Calc!$K$79:$R$113,VLOOKUP(AW742,Foundation_Calc!$I$2:$J$8,2,FALSE),0),
IF(AX742="K",VLOOKUP(K742,Foundation_Calc!$K$117:$R$151,VLOOKUP(AW742,Foundation_Calc!$I$2:$J$8,2,FALSE),0),"")))</f>
        <v/>
      </c>
      <c r="BA742" s="495" t="str">
        <f t="shared" si="85"/>
        <v>ü</v>
      </c>
      <c r="BB742" s="495" t="str">
        <f t="shared" si="86"/>
        <v/>
      </c>
      <c r="BC742" s="495" t="str">
        <f t="shared" si="87"/>
        <v/>
      </c>
      <c r="BD742" s="513" t="str">
        <f>IF(AND(L742="",H742=""),"",
IF(H742="",Pole_Calc!A$9,
IF(H742="MP",Pole_Calc!A$10,
IF(H742="AnMP",Pole_Calc!A$11,
IF(H742="A",Pole_Calc!A$12,
IF(H742="S/A",Pole_Calc!A$13,
IF(H742="A/S",Pole_Calc!A$14,"Poner a mano")))))))</f>
        <v>App.7-V11I-P9.5.1.1</v>
      </c>
      <c r="BE742" s="429" t="s">
        <v>118</v>
      </c>
      <c r="BF742" s="289"/>
      <c r="BG742" s="289"/>
      <c r="BH742" s="290"/>
      <c r="BI742" s="289"/>
    </row>
    <row r="743" spans="1:61" ht="15.75" customHeight="1">
      <c r="A743" s="514"/>
      <c r="B743" s="450"/>
      <c r="C743" s="3"/>
      <c r="D743" s="83"/>
      <c r="E743" s="4"/>
      <c r="F743" s="4"/>
      <c r="G743" s="6">
        <v>45</v>
      </c>
      <c r="H743" s="449"/>
      <c r="I743" s="4"/>
      <c r="J743" s="3"/>
      <c r="K743" s="449"/>
      <c r="L743" s="449"/>
      <c r="M743" s="449" t="str">
        <f>IF(L743="","",
IF(AX743="PT",VLOOKUP(L743,Foundation_Calc!$V$79:$X$113,VLOOKUP(AX743,Foundation_Calc!$I$10:$J$13,2,FALSE),0),
IF(AX743="K",VLOOKUP(L743,Foundation_Calc!$V$117:$X$151,VLOOKUP(AX743,Foundation_Calc!$I$10:$J$13,2,FALSE),0),"")))</f>
        <v/>
      </c>
      <c r="N743" s="449"/>
      <c r="O743" s="449"/>
      <c r="P743" s="449"/>
      <c r="Q743" s="4"/>
      <c r="R743" s="6"/>
      <c r="S743" s="6"/>
      <c r="T743" s="4"/>
      <c r="U743" s="4"/>
      <c r="V743" s="4"/>
      <c r="W743" s="9"/>
      <c r="X743" s="9"/>
      <c r="Y743" s="9"/>
      <c r="Z743" s="9"/>
      <c r="AA743" s="9"/>
      <c r="AB743" s="9"/>
      <c r="AC743" s="449" t="str">
        <f t="shared" si="81"/>
        <v/>
      </c>
      <c r="AD743" s="449"/>
      <c r="AE743" s="449"/>
      <c r="AF743" s="4"/>
      <c r="AG743" s="83"/>
      <c r="AH743" s="4"/>
      <c r="AI743" s="4"/>
      <c r="AJ743" s="449"/>
      <c r="AK743" s="449"/>
      <c r="AL743" s="449"/>
      <c r="AM743" s="449"/>
      <c r="AN743" s="10"/>
      <c r="AO743" s="9"/>
      <c r="AP743" s="9"/>
      <c r="AQ743" s="9">
        <f>+FL_2($T$744,$T$742,$G$743,1200,9.28,-1*$F$744)</f>
        <v>-0.30222834971695578</v>
      </c>
      <c r="AR743" s="9"/>
      <c r="AS743" s="9"/>
      <c r="AT743" s="9"/>
      <c r="AU743" s="428"/>
      <c r="AV743" s="428"/>
      <c r="AW743" s="449" t="str">
        <f>IF(C743&gt;0,VLOOKUP(C743,Foundation_Calc!$A$2:$C$13,3,1),
IF(J743&gt;0,VLOOKUP(J743,Foundation_Calc!$A$2:$C$13,3,1),""))</f>
        <v/>
      </c>
      <c r="AX743" s="449" t="str">
        <f>IF(C743&gt;0,VLOOKUP(C743,Foundation_Calc!$E$2:$G$33,3,1),
IF(J743&gt;0,VLOOKUP(J743,Foundation_Calc!$E$2:$G$33,3,1),""))</f>
        <v/>
      </c>
      <c r="AY743" s="10" t="str">
        <f>IF(L743="","",
IF(AX743="PT",VLOOKUP(L743,Foundation_Calc!$K$79:$R$113,VLOOKUP(AW743,Foundation_Calc!$I$2:$J$8,2,FALSE),0),
IF(AX743="K",VLOOKUP(L743,Foundation_Calc!$K$117:$R$151,VLOOKUP(AW743,Foundation_Calc!$I$2:$J$8,2,FALSE),0),"")))</f>
        <v/>
      </c>
      <c r="AZ743" s="10" t="str">
        <f>IF(K743="","",
IF(AX743="PT",VLOOKUP(K743,Foundation_Calc!$K$79:$R$113,VLOOKUP(AW743,Foundation_Calc!$I$2:$J$8,2,FALSE),0),
IF(AX743="K",VLOOKUP(K743,Foundation_Calc!$K$117:$R$151,VLOOKUP(AW743,Foundation_Calc!$I$2:$J$8,2,FALSE),0),"")))</f>
        <v/>
      </c>
      <c r="BA743" s="495" t="str">
        <f t="shared" si="85"/>
        <v/>
      </c>
      <c r="BB743" s="495" t="str">
        <f t="shared" si="86"/>
        <v/>
      </c>
      <c r="BC743" s="495" t="str">
        <f t="shared" si="87"/>
        <v/>
      </c>
      <c r="BD743" s="513" t="str">
        <f>IF(AND(L743="",H743=""),"",
IF(H743="",Pole_Calc!A$9,
IF(H743="MP",Pole_Calc!A$10,
IF(H743="AnMP",Pole_Calc!A$11,
IF(H743="A",Pole_Calc!A$12,
IF(H743="S/A",Pole_Calc!A$13,
IF(H743="A/S",Pole_Calc!A$14,"Poner a mano")))))))</f>
        <v/>
      </c>
      <c r="BE743" s="429" t="s">
        <v>118</v>
      </c>
      <c r="BF743" s="290"/>
      <c r="BG743" s="290"/>
      <c r="BH743" s="290"/>
      <c r="BI743" s="290"/>
    </row>
    <row r="744" spans="1:61" ht="15.75" customHeight="1">
      <c r="A744" s="514"/>
      <c r="B744" s="450" t="s">
        <v>621</v>
      </c>
      <c r="C744" s="3">
        <f>+$C$742+$G$743</f>
        <v>48021.3</v>
      </c>
      <c r="D744" s="83"/>
      <c r="E744" s="4"/>
      <c r="F744" s="4">
        <f>-(438^2)/(C744-48051.31)</f>
        <v>6392.6691102976838</v>
      </c>
      <c r="G744" s="6"/>
      <c r="H744" s="449"/>
      <c r="I744" s="4" t="s">
        <v>549</v>
      </c>
      <c r="J744" s="3"/>
      <c r="K744" s="449"/>
      <c r="L744" s="449" t="s">
        <v>158</v>
      </c>
      <c r="M744" s="449" t="str">
        <f>IF(L744="","",
IF(AX744="PT",VLOOKUP(L744,Foundation_Calc!$V$79:$X$113,VLOOKUP(AX744,Foundation_Calc!$I$10:$J$13,2,FALSE),0),
IF(AX744="K",VLOOKUP(L744,Foundation_Calc!$V$117:$X$151,VLOOKUP(AX744,Foundation_Calc!$I$10:$J$13,2,FALSE),0),"")))</f>
        <v>C4RT</v>
      </c>
      <c r="N744" s="449" t="s">
        <v>134</v>
      </c>
      <c r="O744" s="449"/>
      <c r="P744" s="449"/>
      <c r="Q744" s="4"/>
      <c r="R744" s="6"/>
      <c r="S744" s="6"/>
      <c r="T744" s="4">
        <v>25</v>
      </c>
      <c r="U744" s="4"/>
      <c r="V744" s="4"/>
      <c r="W744" s="9">
        <v>1.4</v>
      </c>
      <c r="X744" s="9"/>
      <c r="Y744" s="9"/>
      <c r="Z744" s="9"/>
      <c r="AA744" s="9"/>
      <c r="AB744" s="9"/>
      <c r="AC744" s="449" t="str">
        <f t="shared" si="81"/>
        <v>PH</v>
      </c>
      <c r="AD744" s="449"/>
      <c r="AE744" s="449"/>
      <c r="AF744" s="4"/>
      <c r="AG744" s="83"/>
      <c r="AH744" s="4"/>
      <c r="AI744" s="4"/>
      <c r="AJ744" s="449"/>
      <c r="AK744" s="449"/>
      <c r="AL744" s="449"/>
      <c r="AM744" s="449" t="s">
        <v>552</v>
      </c>
      <c r="AN744" s="10">
        <v>5.5</v>
      </c>
      <c r="AO744" s="9"/>
      <c r="AP744" s="9"/>
      <c r="AQ744" s="9"/>
      <c r="AR744" s="9"/>
      <c r="AS744" s="9"/>
      <c r="AT744" s="9">
        <f>+ab($T$744,$T$742,$T$746,$G$743,$G$745,-1*$F$744,1200)</f>
        <v>10.497989782164952</v>
      </c>
      <c r="AU744" s="428"/>
      <c r="AV744" s="428"/>
      <c r="AW744" s="449" t="str">
        <f>IF(C744&gt;0,VLOOKUP(C744,Foundation_Calc!$A$2:$C$13,3,1),
IF(J744&gt;0,VLOOKUP(J744,Foundation_Calc!$A$2:$C$13,3,1),""))</f>
        <v>Multi Soil</v>
      </c>
      <c r="AX744" s="449" t="str">
        <f>IF(C744&gt;0,VLOOKUP(C744,Foundation_Calc!$E$2:$G$33,3,1),
IF(J744&gt;0,VLOOKUP(J744,Foundation_Calc!$E$2:$G$33,3,1),""))</f>
        <v>K</v>
      </c>
      <c r="AY744" s="10">
        <f>IF(L744="","",
IF(AX744="PT",VLOOKUP(L744,Foundation_Calc!$K$79:$R$113,VLOOKUP(AW744,Foundation_Calc!$I$2:$J$8,2,FALSE),0),
IF(AX744="K",VLOOKUP(L744,Foundation_Calc!$K$117:$R$151,VLOOKUP(AW744,Foundation_Calc!$I$2:$J$8,2,FALSE),0),"")))</f>
        <v>4.2</v>
      </c>
      <c r="AZ744" s="10" t="str">
        <f>IF(K744="","",
IF(AX744="PT",VLOOKUP(K744,Foundation_Calc!$K$79:$R$113,VLOOKUP(AW744,Foundation_Calc!$I$2:$J$8,2,FALSE),0),
IF(AX744="K",VLOOKUP(K744,Foundation_Calc!$K$117:$R$151,VLOOKUP(AW744,Foundation_Calc!$I$2:$J$8,2,FALSE),0),"")))</f>
        <v/>
      </c>
      <c r="BA744" s="495" t="str">
        <f t="shared" si="85"/>
        <v>ü</v>
      </c>
      <c r="BB744" s="495" t="str">
        <f t="shared" si="86"/>
        <v/>
      </c>
      <c r="BC744" s="495" t="str">
        <f t="shared" si="87"/>
        <v/>
      </c>
      <c r="BD744" s="513" t="str">
        <f>IF(AND(L744="",H744=""),"",
IF(H744="",Pole_Calc!A$9,
IF(H744="MP",Pole_Calc!A$10,
IF(H744="AnMP",Pole_Calc!A$11,
IF(H744="A",Pole_Calc!A$12,
IF(H744="S/A",Pole_Calc!A$13,
IF(H744="A/S",Pole_Calc!A$14,"Poner a mano")))))))</f>
        <v>App.7-V11I-P9.5.1.1</v>
      </c>
      <c r="BE744" s="429" t="s">
        <v>118</v>
      </c>
      <c r="BF744" s="289"/>
      <c r="BG744" s="289"/>
      <c r="BH744" s="290"/>
      <c r="BI744" s="289"/>
    </row>
    <row r="745" spans="1:61" ht="15.75" customHeight="1">
      <c r="A745" s="514"/>
      <c r="B745" s="450"/>
      <c r="C745" s="3"/>
      <c r="D745" s="83"/>
      <c r="E745" s="4"/>
      <c r="F745" s="4"/>
      <c r="G745" s="6">
        <v>40</v>
      </c>
      <c r="H745" s="449"/>
      <c r="I745" s="4" t="s">
        <v>549</v>
      </c>
      <c r="J745" s="3">
        <f>C744+7.5</f>
        <v>48028.800000000003</v>
      </c>
      <c r="K745" s="449" t="s">
        <v>324</v>
      </c>
      <c r="L745" s="449"/>
      <c r="M745" s="449" t="str">
        <f>IF(L745="","",
IF(AX745="PT",VLOOKUP(L745,Foundation_Calc!$V$79:$X$113,VLOOKUP(AX745,Foundation_Calc!$I$10:$J$13,2,FALSE),0),
IF(AX745="K",VLOOKUP(L745,Foundation_Calc!$V$117:$X$151,VLOOKUP(AX745,Foundation_Calc!$I$10:$J$13,2,FALSE),0),"")))</f>
        <v/>
      </c>
      <c r="N745" s="449"/>
      <c r="O745" s="449"/>
      <c r="P745" s="449"/>
      <c r="Q745" s="4"/>
      <c r="R745" s="6"/>
      <c r="S745" s="6"/>
      <c r="T745" s="4"/>
      <c r="U745" s="4"/>
      <c r="V745" s="4"/>
      <c r="W745" s="9"/>
      <c r="X745" s="9"/>
      <c r="Y745" s="9"/>
      <c r="Z745" s="9"/>
      <c r="AA745" s="9"/>
      <c r="AB745" s="9"/>
      <c r="AC745" s="449" t="str">
        <f t="shared" si="81"/>
        <v/>
      </c>
      <c r="AD745" s="449"/>
      <c r="AE745" s="449"/>
      <c r="AF745" s="4"/>
      <c r="AG745" s="83"/>
      <c r="AH745" s="4"/>
      <c r="AI745" s="4"/>
      <c r="AJ745" s="449"/>
      <c r="AK745" s="449"/>
      <c r="AL745" s="449"/>
      <c r="AM745" s="449"/>
      <c r="AN745" s="10"/>
      <c r="AO745" s="9"/>
      <c r="AP745" s="9"/>
      <c r="AQ745" s="9">
        <f>+FL_1($T$746,$T$744,$G$745,1200,9.28,-1*$F$746)</f>
        <v>0.255690368</v>
      </c>
      <c r="AR745" s="9"/>
      <c r="AS745" s="9"/>
      <c r="AT745" s="9"/>
      <c r="AU745" s="428"/>
      <c r="AV745" s="428"/>
      <c r="AW745" s="449" t="str">
        <f>IF(C745&gt;0,VLOOKUP(C745,Foundation_Calc!$A$2:$C$13,3,1),
IF(J745&gt;0,VLOOKUP(J745,Foundation_Calc!$A$2:$C$13,3,1),""))</f>
        <v>Multi Soil</v>
      </c>
      <c r="AX745" s="449" t="str">
        <f>IF(C745&gt;0,VLOOKUP(C745,Foundation_Calc!$E$2:$G$33,3,1),
IF(J745&gt;0,VLOOKUP(J745,Foundation_Calc!$E$2:$G$33,3,1),""))</f>
        <v>K</v>
      </c>
      <c r="AY745" s="10" t="str">
        <f>IF(L745="","",
IF(AX745="PT",VLOOKUP(L745,Foundation_Calc!$K$79:$R$113,VLOOKUP(AW745,Foundation_Calc!$I$2:$J$8,2,FALSE),0),
IF(AX745="K",VLOOKUP(L745,Foundation_Calc!$K$117:$R$151,VLOOKUP(AW745,Foundation_Calc!$I$2:$J$8,2,FALSE),0),"")))</f>
        <v/>
      </c>
      <c r="AZ745" s="10">
        <f>IF(K745="","",
IF(AX745="PT",VLOOKUP(K745,Foundation_Calc!$K$79:$R$113,VLOOKUP(AW745,Foundation_Calc!$I$2:$J$8,2,FALSE),0),
IF(AX745="K",VLOOKUP(K745,Foundation_Calc!$K$117:$R$151,VLOOKUP(AW745,Foundation_Calc!$I$2:$J$8,2,FALSE),0),"")))</f>
        <v>2.8</v>
      </c>
      <c r="BA745" s="495" t="str">
        <f t="shared" si="85"/>
        <v/>
      </c>
      <c r="BB745" s="495" t="str">
        <f t="shared" si="86"/>
        <v>ü</v>
      </c>
      <c r="BC745" s="495" t="str">
        <f t="shared" si="87"/>
        <v/>
      </c>
      <c r="BD745" s="513" t="str">
        <f>IF(AND(L745="",H745=""),"",
IF(H745="",Pole_Calc!A$9,
IF(H745="MP",Pole_Calc!A$10,
IF(H745="AnMP",Pole_Calc!A$11,
IF(H745="A",Pole_Calc!A$12,
IF(H745="S/A",Pole_Calc!A$13,
IF(H745="A/S",Pole_Calc!A$14,"Poner a mano")))))))</f>
        <v/>
      </c>
      <c r="BE745" s="429" t="s">
        <v>118</v>
      </c>
      <c r="BF745" s="290"/>
      <c r="BG745" s="290"/>
      <c r="BH745" s="290"/>
      <c r="BI745" s="290"/>
    </row>
    <row r="746" spans="1:61" ht="15.75" customHeight="1">
      <c r="A746" s="518"/>
      <c r="B746" s="450" t="s">
        <v>622</v>
      </c>
      <c r="C746" s="3">
        <f>+$C$744+$G$745</f>
        <v>48061.3</v>
      </c>
      <c r="D746" s="83"/>
      <c r="E746" s="4"/>
      <c r="F746" s="4">
        <f>IF(C746&gt;0,VLOOKUP(C746,'ALIGNMENT TRACK'!$A$1:$K$81,9,1))</f>
        <v>0</v>
      </c>
      <c r="G746" s="6"/>
      <c r="H746" s="449" t="s">
        <v>121</v>
      </c>
      <c r="I746" s="4" t="s">
        <v>162</v>
      </c>
      <c r="J746" s="3">
        <f>C746-7.5</f>
        <v>48053.8</v>
      </c>
      <c r="K746" s="449" t="s">
        <v>315</v>
      </c>
      <c r="L746" s="449" t="s">
        <v>151</v>
      </c>
      <c r="M746" s="449" t="str">
        <f>IF(L746="","",
IF(AX746="PT",VLOOKUP(L746,Foundation_Calc!$V$79:$X$113,VLOOKUP(AX746,Foundation_Calc!$I$10:$J$13,2,FALSE),0),
IF(AX746="K",VLOOKUP(L746,Foundation_Calc!$V$117:$X$151,VLOOKUP(AX746,Foundation_Calc!$I$10:$J$13,2,FALSE),0),"")))</f>
        <v>C4RT</v>
      </c>
      <c r="N746" s="449" t="s">
        <v>124</v>
      </c>
      <c r="O746" s="449"/>
      <c r="P746" s="449"/>
      <c r="Q746" s="4"/>
      <c r="R746" s="6"/>
      <c r="S746" s="6"/>
      <c r="T746" s="4">
        <v>-25</v>
      </c>
      <c r="U746" s="4"/>
      <c r="V746" s="4"/>
      <c r="W746" s="9">
        <v>1.4</v>
      </c>
      <c r="X746" s="9"/>
      <c r="Y746" s="9"/>
      <c r="Z746" s="9"/>
      <c r="AA746" s="9"/>
      <c r="AB746" s="9"/>
      <c r="AC746" s="449" t="str">
        <f t="shared" si="81"/>
        <v>PH</v>
      </c>
      <c r="AD746" s="449"/>
      <c r="AE746" s="449"/>
      <c r="AF746" s="4"/>
      <c r="AG746" s="83"/>
      <c r="AH746" s="4"/>
      <c r="AI746" s="4"/>
      <c r="AJ746" s="449"/>
      <c r="AK746" s="449"/>
      <c r="AL746" s="449"/>
      <c r="AM746" s="449" t="s">
        <v>552</v>
      </c>
      <c r="AN746" s="10">
        <v>5.5</v>
      </c>
      <c r="AO746" s="9"/>
      <c r="AP746" s="9"/>
      <c r="AQ746" s="9"/>
      <c r="AR746" s="9"/>
      <c r="AS746" s="9"/>
      <c r="AT746" s="9">
        <f>+ab($T$746,$T$744,$U$748,$G$745,$G$747,-1*$F$746,1200)</f>
        <v>-9.3390163025260566</v>
      </c>
      <c r="AU746" s="428"/>
      <c r="AV746" s="428"/>
      <c r="AW746" s="449" t="str">
        <f>IF(C746&gt;0,VLOOKUP(C746,Foundation_Calc!$A$2:$C$13,3,1),
IF(J746&gt;0,VLOOKUP(J746,Foundation_Calc!$A$2:$C$13,3,1),""))</f>
        <v>Multi Soil</v>
      </c>
      <c r="AX746" s="449" t="str">
        <f>IF(C746&gt;0,VLOOKUP(C746,Foundation_Calc!$E$2:$G$33,3,1),
IF(J746&gt;0,VLOOKUP(J746,Foundation_Calc!$E$2:$G$33,3,1),""))</f>
        <v>K</v>
      </c>
      <c r="AY746" s="10">
        <f>IF(L746="","",
IF(AX746="PT",VLOOKUP(L746,Foundation_Calc!$K$79:$R$113,VLOOKUP(AW746,Foundation_Calc!$I$2:$J$8,2,FALSE),0),
IF(AX746="K",VLOOKUP(L746,Foundation_Calc!$K$117:$R$151,VLOOKUP(AW746,Foundation_Calc!$I$2:$J$8,2,FALSE),0),"")))</f>
        <v>4.2</v>
      </c>
      <c r="AZ746" s="10">
        <f>IF(K746="","",
IF(AX746="PT",VLOOKUP(K746,Foundation_Calc!$K$79:$R$113,VLOOKUP(AW746,Foundation_Calc!$I$2:$J$8,2,FALSE),0),
IF(AX746="K",VLOOKUP(K746,Foundation_Calc!$K$117:$R$151,VLOOKUP(AW746,Foundation_Calc!$I$2:$J$8,2,FALSE),0),"")))</f>
        <v>3.9</v>
      </c>
      <c r="BA746" s="495" t="str">
        <f t="shared" si="85"/>
        <v>ü</v>
      </c>
      <c r="BB746" s="495" t="str">
        <f t="shared" si="86"/>
        <v>ü</v>
      </c>
      <c r="BC746" s="495" t="str">
        <f t="shared" si="87"/>
        <v/>
      </c>
      <c r="BD746" s="513" t="str">
        <f>IF(AND(L746="",H746=""),"",
IF(H746="",Pole_Calc!A$9,
IF(H746="MP",Pole_Calc!A$10,
IF(H746="AnMP",Pole_Calc!A$11,
IF(H746="A",Pole_Calc!A$12,
IF(H746="S/A",Pole_Calc!A$13,
IF(H746="A/S",Pole_Calc!A$14,"Poner a mano")))))))</f>
        <v>App.7-V11I-P9.5.1.6</v>
      </c>
      <c r="BE746" s="429" t="s">
        <v>118</v>
      </c>
      <c r="BF746" s="289"/>
      <c r="BG746" s="289"/>
      <c r="BH746" s="290"/>
      <c r="BI746" s="289"/>
    </row>
    <row r="747" spans="1:61" ht="15.75" customHeight="1">
      <c r="A747" s="894"/>
      <c r="B747" s="450"/>
      <c r="C747" s="3"/>
      <c r="D747" s="83"/>
      <c r="E747" s="4"/>
      <c r="F747" s="4"/>
      <c r="G747" s="6">
        <v>44.5</v>
      </c>
      <c r="H747" s="449"/>
      <c r="I747" s="4"/>
      <c r="J747" s="3"/>
      <c r="K747" s="449"/>
      <c r="L747" s="449"/>
      <c r="M747" s="449" t="str">
        <f>IF(L747="","",
IF(AX747="PT",VLOOKUP(L747,Foundation_Calc!$V$79:$X$113,VLOOKUP(AX747,Foundation_Calc!$I$10:$J$13,2,FALSE),0),
IF(AX747="K",VLOOKUP(L747,Foundation_Calc!$V$117:$X$151,VLOOKUP(AX747,Foundation_Calc!$I$10:$J$13,2,FALSE),0),"")))</f>
        <v/>
      </c>
      <c r="N747" s="561"/>
      <c r="O747" s="449"/>
      <c r="P747" s="449"/>
      <c r="Q747" s="4"/>
      <c r="R747" s="6"/>
      <c r="S747" s="6"/>
      <c r="T747" s="4"/>
      <c r="U747" s="4"/>
      <c r="V747" s="4"/>
      <c r="W747" s="9"/>
      <c r="X747" s="9"/>
      <c r="Y747" s="9"/>
      <c r="Z747" s="9"/>
      <c r="AA747" s="9"/>
      <c r="AB747" s="9"/>
      <c r="AC747" s="449" t="str">
        <f t="shared" si="81"/>
        <v/>
      </c>
      <c r="AD747" s="449"/>
      <c r="AE747" s="449"/>
      <c r="AF747" s="4"/>
      <c r="AG747" s="83"/>
      <c r="AH747" s="4"/>
      <c r="AI747" s="4"/>
      <c r="AJ747" s="449"/>
      <c r="AK747" s="449"/>
      <c r="AL747" s="449"/>
      <c r="AM747" s="449"/>
      <c r="AN747" s="10"/>
      <c r="AO747" s="9"/>
      <c r="AP747" s="9"/>
      <c r="AQ747" s="9">
        <f>+FL_2($U$748,$T$746,$G$747,1200,9.28,-1*$F$748)</f>
        <v>-0.30642042271161046</v>
      </c>
      <c r="AR747" s="9"/>
      <c r="AS747" s="9"/>
      <c r="AT747" s="9"/>
      <c r="AU747" s="428"/>
      <c r="AV747" s="428"/>
      <c r="AW747" s="449" t="str">
        <f>IF(C747&gt;0,VLOOKUP(C747,Foundation_Calc!$A$2:$C$13,3,1),
IF(J747&gt;0,VLOOKUP(J747,Foundation_Calc!$A$2:$C$13,3,1),""))</f>
        <v/>
      </c>
      <c r="AX747" s="449" t="str">
        <f>IF(C747&gt;0,VLOOKUP(C747,Foundation_Calc!$E$2:$G$33,3,1),
IF(J747&gt;0,VLOOKUP(J747,Foundation_Calc!$E$2:$G$33,3,1),""))</f>
        <v/>
      </c>
      <c r="AY747" s="10" t="str">
        <f>IF(L747="","",
IF(AX747="PT",VLOOKUP(L747,Foundation_Calc!$K$79:$R$113,VLOOKUP(AW747,Foundation_Calc!$I$2:$J$8,2,FALSE),0),
IF(AX747="K",VLOOKUP(L747,Foundation_Calc!$K$117:$R$151,VLOOKUP(AW747,Foundation_Calc!$I$2:$J$8,2,FALSE),0),"")))</f>
        <v/>
      </c>
      <c r="AZ747" s="10" t="str">
        <f>IF(K747="","",
IF(AX747="PT",VLOOKUP(K747,Foundation_Calc!$K$79:$R$113,VLOOKUP(AW747,Foundation_Calc!$I$2:$J$8,2,FALSE),0),
IF(AX747="K",VLOOKUP(K747,Foundation_Calc!$K$117:$R$151,VLOOKUP(AW747,Foundation_Calc!$I$2:$J$8,2,FALSE),0),"")))</f>
        <v/>
      </c>
      <c r="BA747" s="495" t="str">
        <f t="shared" si="85"/>
        <v/>
      </c>
      <c r="BB747" s="495" t="str">
        <f t="shared" si="86"/>
        <v/>
      </c>
      <c r="BC747" s="495" t="str">
        <f t="shared" si="87"/>
        <v/>
      </c>
      <c r="BD747" s="513" t="str">
        <f>IF(AND(L747="",H747=""),"",
IF(H747="",Pole_Calc!A$9,
IF(H747="MP",Pole_Calc!A$10,
IF(H747="AnMP",Pole_Calc!A$11,
IF(H747="A",Pole_Calc!A$12,
IF(H747="S/A",Pole_Calc!A$13,
IF(H747="A/S",Pole_Calc!A$14,"Poner a mano")))))))</f>
        <v/>
      </c>
      <c r="BE747" s="429" t="s">
        <v>118</v>
      </c>
      <c r="BF747" s="290"/>
      <c r="BG747" s="290"/>
      <c r="BH747" s="290"/>
      <c r="BI747" s="290"/>
    </row>
    <row r="748" spans="1:61" ht="15.75" customHeight="1">
      <c r="A748" s="894" t="s">
        <v>623</v>
      </c>
      <c r="B748" s="450" t="s">
        <v>624</v>
      </c>
      <c r="C748" s="3">
        <f>+$C$746+$G$747</f>
        <v>48105.8</v>
      </c>
      <c r="D748" s="83"/>
      <c r="E748" s="4"/>
      <c r="F748" s="4">
        <f>IF(C748&gt;0,VLOOKUP(C748,'ALIGNMENT TRACK'!$A$1:$K$81,9,1))</f>
        <v>0</v>
      </c>
      <c r="G748" s="6"/>
      <c r="H748" s="449" t="s">
        <v>131</v>
      </c>
      <c r="I748" s="895" t="s">
        <v>132</v>
      </c>
      <c r="J748" s="3"/>
      <c r="K748" s="449"/>
      <c r="L748" s="449" t="s">
        <v>183</v>
      </c>
      <c r="M748" s="449" t="str">
        <f>IF(L748="","",
IF(AX748="PT",VLOOKUP(L748,Foundation_Calc!$V$79:$X$113,VLOOKUP(AX748,Foundation_Calc!$I$10:$J$13,2,FALSE),0),
IF(AX748="K",VLOOKUP(L748,Foundation_Calc!$V$117:$X$151,VLOOKUP(AX748,Foundation_Calc!$I$10:$J$13,2,FALSE),0),"")))</f>
        <v>2C3RT</v>
      </c>
      <c r="N748" s="449" t="s">
        <v>133</v>
      </c>
      <c r="O748" s="449" t="s">
        <v>134</v>
      </c>
      <c r="P748" s="449"/>
      <c r="Q748" s="4"/>
      <c r="R748" s="6"/>
      <c r="S748" s="6"/>
      <c r="T748" s="4">
        <v>55</v>
      </c>
      <c r="U748" s="4">
        <v>10</v>
      </c>
      <c r="V748" s="4"/>
      <c r="W748" s="572">
        <v>1.2</v>
      </c>
      <c r="X748" s="572">
        <v>2</v>
      </c>
      <c r="Y748" s="9"/>
      <c r="Z748" s="9">
        <v>0.4</v>
      </c>
      <c r="AA748" s="9"/>
      <c r="AB748" s="9"/>
      <c r="AC748" s="449"/>
      <c r="AD748" s="449"/>
      <c r="AE748" s="449"/>
      <c r="AF748" s="4"/>
      <c r="AG748" s="83"/>
      <c r="AH748" s="4"/>
      <c r="AI748" s="4"/>
      <c r="AJ748" s="896" t="s">
        <v>233</v>
      </c>
      <c r="AK748" s="449"/>
      <c r="AL748" s="449"/>
      <c r="AM748" s="449" t="s">
        <v>552</v>
      </c>
      <c r="AN748" s="10">
        <v>5.5</v>
      </c>
      <c r="AO748" s="9"/>
      <c r="AP748" s="9"/>
      <c r="AQ748" s="9"/>
      <c r="AR748" s="9"/>
      <c r="AS748" s="9"/>
      <c r="AT748" s="9">
        <f>+ab($U$748,$T$746,$U$750,$G$747,$G$749,-1*$F$748,1200)</f>
        <v>8.2915087099749698</v>
      </c>
      <c r="AU748" s="428"/>
      <c r="AV748" s="428"/>
      <c r="AW748" s="449" t="str">
        <f>IF(C748&gt;0,VLOOKUP(C748,Foundation_Calc!$A$2:$C$13,3,1),
IF(J748&gt;0,VLOOKUP(J748,Foundation_Calc!$A$2:$C$13,3,1),""))</f>
        <v>Multi Soil</v>
      </c>
      <c r="AX748" s="449" t="str">
        <f>IF(C748&gt;0,VLOOKUP(C748,Foundation_Calc!$E$2:$G$33,3,1),
IF(J748&gt;0,VLOOKUP(J748,Foundation_Calc!$E$2:$G$33,3,1),""))</f>
        <v>K</v>
      </c>
      <c r="AY748" s="10">
        <f>IF(L748="","",
IF(AX748="PT",VLOOKUP(L748,Foundation_Calc!$K$79:$R$113,VLOOKUP(AW748,Foundation_Calc!$I$2:$J$8,2,FALSE),0),
IF(AX748="K",VLOOKUP(L748,Foundation_Calc!$K$117:$R$151,VLOOKUP(AW748,Foundation_Calc!$I$2:$J$8,2,FALSE),0),"")))</f>
        <v>4.5</v>
      </c>
      <c r="AZ748" s="10" t="str">
        <f>IF(K748="","",
IF(AX748="PT",VLOOKUP(K748,Foundation_Calc!$K$79:$R$113,VLOOKUP(AW748,Foundation_Calc!$I$2:$J$8,2,FALSE),0),
IF(AX748="K",VLOOKUP(K748,Foundation_Calc!$K$117:$R$151,VLOOKUP(AW748,Foundation_Calc!$I$2:$J$8,2,FALSE),0),"")))</f>
        <v/>
      </c>
      <c r="BA748" s="495" t="str">
        <f t="shared" si="85"/>
        <v>ü</v>
      </c>
      <c r="BB748" s="495" t="str">
        <f t="shared" si="86"/>
        <v/>
      </c>
      <c r="BC748" s="495" t="str">
        <f t="shared" si="87"/>
        <v/>
      </c>
      <c r="BD748" s="513" t="str">
        <f>Pole_Calc!A$209</f>
        <v>App.7-V11I-P12.3.1.5</v>
      </c>
      <c r="BE748" s="429" t="s">
        <v>118</v>
      </c>
      <c r="BF748" s="289"/>
      <c r="BG748" s="289"/>
      <c r="BH748" s="290"/>
      <c r="BI748" s="289"/>
    </row>
    <row r="749" spans="1:61" ht="15.75" customHeight="1">
      <c r="A749" s="514" t="s">
        <v>32</v>
      </c>
      <c r="B749" s="450"/>
      <c r="C749" s="3"/>
      <c r="D749" s="83"/>
      <c r="E749" s="4"/>
      <c r="F749" s="4"/>
      <c r="G749" s="6">
        <v>43</v>
      </c>
      <c r="H749" s="449"/>
      <c r="I749" s="4"/>
      <c r="J749" s="3"/>
      <c r="K749" s="449"/>
      <c r="L749" s="449"/>
      <c r="M749" s="449" t="str">
        <f>IF(L749="","",
IF(AX749="PT",VLOOKUP(L749,Foundation_Calc!$V$79:$X$113,VLOOKUP(AX749,Foundation_Calc!$I$10:$J$13,2,FALSE),0),
IF(AX749="K",VLOOKUP(L749,Foundation_Calc!$V$117:$X$151,VLOOKUP(AX749,Foundation_Calc!$I$10:$J$13,2,FALSE),0),"")))</f>
        <v/>
      </c>
      <c r="N749" s="449"/>
      <c r="O749" s="449"/>
      <c r="P749" s="449"/>
      <c r="Q749" s="4"/>
      <c r="R749" s="6"/>
      <c r="S749" s="6"/>
      <c r="T749" s="4"/>
      <c r="U749" s="4"/>
      <c r="V749" s="4"/>
      <c r="W749" s="572"/>
      <c r="X749" s="572"/>
      <c r="Y749" s="9"/>
      <c r="Z749" s="9"/>
      <c r="AA749" s="9"/>
      <c r="AB749" s="9"/>
      <c r="AC749" s="449" t="str">
        <f t="shared" si="81"/>
        <v/>
      </c>
      <c r="AD749" s="449"/>
      <c r="AE749" s="449"/>
      <c r="AF749" s="4"/>
      <c r="AG749" s="83"/>
      <c r="AH749" s="4"/>
      <c r="AI749" s="4"/>
      <c r="AJ749" s="449"/>
      <c r="AK749" s="449"/>
      <c r="AL749" s="449"/>
      <c r="AM749" s="449"/>
      <c r="AN749" s="10"/>
      <c r="AO749" s="9"/>
      <c r="AP749" s="9"/>
      <c r="AQ749" s="9">
        <f>+FL_1($T$750,$U$748,$G$749,1200,9.28,-1*$F$750)</f>
        <v>0.19272371637209301</v>
      </c>
      <c r="AR749" s="9"/>
      <c r="AS749" s="9"/>
      <c r="AT749" s="9"/>
      <c r="AU749" s="428"/>
      <c r="AV749" s="428"/>
      <c r="AW749" s="449" t="str">
        <f>IF(C749&gt;0,VLOOKUP(C749,Foundation_Calc!$A$2:$C$13,3,1),
IF(J749&gt;0,VLOOKUP(J749,Foundation_Calc!$A$2:$C$13,3,1),""))</f>
        <v/>
      </c>
      <c r="AX749" s="449" t="str">
        <f>IF(C749&gt;0,VLOOKUP(C749,Foundation_Calc!$E$2:$G$33,3,1),
IF(J749&gt;0,VLOOKUP(J749,Foundation_Calc!$E$2:$G$33,3,1),""))</f>
        <v/>
      </c>
      <c r="AY749" s="10" t="str">
        <f>IF(L749="","",
IF(AX749="PT",VLOOKUP(L749,Foundation_Calc!$K$79:$R$113,VLOOKUP(AW749,Foundation_Calc!$I$2:$J$8,2,FALSE),0),
IF(AX749="K",VLOOKUP(L749,Foundation_Calc!$K$117:$R$151,VLOOKUP(AW749,Foundation_Calc!$I$2:$J$8,2,FALSE),0),"")))</f>
        <v/>
      </c>
      <c r="AZ749" s="10" t="str">
        <f>IF(K749="","",
IF(AX749="PT",VLOOKUP(K749,Foundation_Calc!$K$79:$R$113,VLOOKUP(AW749,Foundation_Calc!$I$2:$J$8,2,FALSE),0),
IF(AX749="K",VLOOKUP(K749,Foundation_Calc!$K$117:$R$151,VLOOKUP(AW749,Foundation_Calc!$I$2:$J$8,2,FALSE),0),"")))</f>
        <v/>
      </c>
      <c r="BA749" s="495" t="str">
        <f t="shared" si="85"/>
        <v/>
      </c>
      <c r="BB749" s="495" t="str">
        <f t="shared" si="86"/>
        <v/>
      </c>
      <c r="BC749" s="495" t="str">
        <f t="shared" si="87"/>
        <v/>
      </c>
      <c r="BD749" s="513" t="str">
        <f>IF(AND(L749="",H749=""),"",
IF(H749="",Pole_Calc!A$9,
IF(H749="MP",Pole_Calc!A$10,
IF(H749="AnMP",Pole_Calc!A$11,
IF(H749="A",Pole_Calc!A$12,
IF(H749="S/A",Pole_Calc!A$13,
IF(H749="A/S",Pole_Calc!A$14,"Poner a mano")))))))</f>
        <v/>
      </c>
      <c r="BE749" s="429" t="s">
        <v>118</v>
      </c>
      <c r="BF749" s="290"/>
      <c r="BG749" s="290"/>
      <c r="BH749" s="290"/>
      <c r="BI749" s="290"/>
    </row>
    <row r="750" spans="1:61" ht="15.75" customHeight="1">
      <c r="A750" s="514"/>
      <c r="B750" s="450" t="s">
        <v>625</v>
      </c>
      <c r="C750" s="3">
        <f>+$C$748+$G$749</f>
        <v>48148.800000000003</v>
      </c>
      <c r="D750" s="83"/>
      <c r="E750" s="4"/>
      <c r="F750" s="4">
        <f>IF(C750&gt;0,VLOOKUP(C750,'ALIGNMENT TRACK'!$A$1:$K$81,9,1))</f>
        <v>0</v>
      </c>
      <c r="G750" s="6"/>
      <c r="H750" s="449" t="s">
        <v>131</v>
      </c>
      <c r="I750" s="4"/>
      <c r="J750" s="3"/>
      <c r="K750" s="449"/>
      <c r="L750" s="449" t="s">
        <v>206</v>
      </c>
      <c r="M750" s="449" t="str">
        <f>IF(L750="","",
IF(AX750="PT",VLOOKUP(L750,Foundation_Calc!$V$79:$X$113,VLOOKUP(AX750,Foundation_Calc!$I$10:$J$13,2,FALSE),0),
IF(AX750="K",VLOOKUP(L750,Foundation_Calc!$V$117:$X$151,VLOOKUP(AX750,Foundation_Calc!$I$10:$J$13,2,FALSE),0),"")))</f>
        <v>2C4RT</v>
      </c>
      <c r="N750" s="449" t="s">
        <v>124</v>
      </c>
      <c r="O750" s="449" t="s">
        <v>133</v>
      </c>
      <c r="P750" s="449"/>
      <c r="Q750" s="4"/>
      <c r="R750" s="6"/>
      <c r="S750" s="6"/>
      <c r="T750" s="4">
        <v>-10</v>
      </c>
      <c r="U750" s="4">
        <v>-55</v>
      </c>
      <c r="V750" s="4"/>
      <c r="W750" s="572">
        <v>1.2</v>
      </c>
      <c r="X750" s="572">
        <v>2</v>
      </c>
      <c r="Y750" s="9"/>
      <c r="Z750" s="9"/>
      <c r="AA750" s="9">
        <v>0.4</v>
      </c>
      <c r="AB750" s="9"/>
      <c r="AC750" s="449" t="str">
        <f t="shared" si="81"/>
        <v>PHQ</v>
      </c>
      <c r="AD750" s="449"/>
      <c r="AE750" s="449"/>
      <c r="AF750" s="4"/>
      <c r="AG750" s="83"/>
      <c r="AH750" s="4"/>
      <c r="AI750" s="4"/>
      <c r="AJ750" s="449"/>
      <c r="AK750" s="449"/>
      <c r="AL750" s="449"/>
      <c r="AM750" s="449" t="s">
        <v>552</v>
      </c>
      <c r="AN750" s="10">
        <v>5.5</v>
      </c>
      <c r="AO750" s="9"/>
      <c r="AP750" s="9"/>
      <c r="AQ750" s="9"/>
      <c r="AR750" s="9"/>
      <c r="AS750" s="9"/>
      <c r="AT750" s="9">
        <f>+ab($T$750,$T$748,$T$752,$G$749,$G$751,-1*$F$750,1200)</f>
        <v>-7.3250912707592688</v>
      </c>
      <c r="AU750" s="428"/>
      <c r="AV750" s="428"/>
      <c r="AW750" s="449" t="str">
        <f>IF(C750&gt;0,VLOOKUP(C750,Foundation_Calc!$A$2:$C$13,3,1),
IF(J750&gt;0,VLOOKUP(J750,Foundation_Calc!$A$2:$C$13,3,1),""))</f>
        <v>Multi Soil</v>
      </c>
      <c r="AX750" s="449" t="str">
        <f>IF(C750&gt;0,VLOOKUP(C750,Foundation_Calc!$E$2:$G$33,3,1),
IF(J750&gt;0,VLOOKUP(J750,Foundation_Calc!$E$2:$G$33,3,1),""))</f>
        <v>K</v>
      </c>
      <c r="AY750" s="10">
        <f>IF(L750="","",
IF(AX750="PT",VLOOKUP(L750,Foundation_Calc!$K$79:$R$113,VLOOKUP(AW750,Foundation_Calc!$I$2:$J$8,2,FALSE),0),
IF(AX750="K",VLOOKUP(L750,Foundation_Calc!$K$117:$R$151,VLOOKUP(AW750,Foundation_Calc!$I$2:$J$8,2,FALSE),0),"")))</f>
        <v>4.5</v>
      </c>
      <c r="AZ750" s="10" t="str">
        <f>IF(K750="","",
IF(AX750="PT",VLOOKUP(K750,Foundation_Calc!$K$79:$R$113,VLOOKUP(AW750,Foundation_Calc!$I$2:$J$8,2,FALSE),0),
IF(AX750="K",VLOOKUP(K750,Foundation_Calc!$K$117:$R$151,VLOOKUP(AW750,Foundation_Calc!$I$2:$J$8,2,FALSE),0),"")))</f>
        <v/>
      </c>
      <c r="BA750" s="495" t="str">
        <f t="shared" si="85"/>
        <v>ü</v>
      </c>
      <c r="BB750" s="495" t="str">
        <f t="shared" si="86"/>
        <v/>
      </c>
      <c r="BC750" s="495" t="str">
        <f t="shared" si="87"/>
        <v/>
      </c>
      <c r="BD750" s="513" t="str">
        <f>IF(AND(L750="",H750=""),"",
IF(H750="",Pole_Calc!A$9,
IF(H750="MP",Pole_Calc!A$10,
IF(H750="AnMP",Pole_Calc!A$11,
IF(H750="A",Pole_Calc!A$12,
IF(H750="S/A",Pole_Calc!A$13,
IF(H750="A/S",Pole_Calc!A$14,"Poner a mano")))))))</f>
        <v>App.7-V11I-P9.5.1.5</v>
      </c>
      <c r="BE750" s="429" t="s">
        <v>118</v>
      </c>
      <c r="BF750" s="289"/>
      <c r="BG750" s="289"/>
      <c r="BH750" s="290"/>
      <c r="BI750" s="289"/>
    </row>
    <row r="751" spans="1:61" ht="15.75" customHeight="1">
      <c r="A751" s="514" t="s">
        <v>32</v>
      </c>
      <c r="B751" s="450"/>
      <c r="C751" s="3"/>
      <c r="D751" s="83"/>
      <c r="E751" s="4"/>
      <c r="F751" s="4"/>
      <c r="G751" s="6">
        <v>32</v>
      </c>
      <c r="H751" s="449"/>
      <c r="I751" s="4"/>
      <c r="J751" s="3"/>
      <c r="K751" s="449"/>
      <c r="L751" s="449"/>
      <c r="M751" s="449" t="str">
        <f>IF(L751="","",
IF(AX751="PT",VLOOKUP(L751,Foundation_Calc!$V$79:$X$113,VLOOKUP(AX751,Foundation_Calc!$I$10:$J$13,2,FALSE),0),
IF(AX751="K",VLOOKUP(L751,Foundation_Calc!$V$117:$X$151,VLOOKUP(AX751,Foundation_Calc!$I$10:$J$13,2,FALSE),0),"")))</f>
        <v/>
      </c>
      <c r="N751" s="449"/>
      <c r="O751" s="449"/>
      <c r="P751" s="449"/>
      <c r="Q751" s="4"/>
      <c r="R751" s="6"/>
      <c r="S751" s="6"/>
      <c r="T751" s="4"/>
      <c r="U751" s="4"/>
      <c r="V751" s="4"/>
      <c r="W751" s="572"/>
      <c r="X751" s="572"/>
      <c r="Y751" s="9"/>
      <c r="Z751" s="9"/>
      <c r="AA751" s="9"/>
      <c r="AB751" s="9"/>
      <c r="AC751" s="449" t="str">
        <f t="shared" si="81"/>
        <v/>
      </c>
      <c r="AD751" s="449"/>
      <c r="AE751" s="449"/>
      <c r="AF751" s="4"/>
      <c r="AG751" s="83"/>
      <c r="AH751" s="4"/>
      <c r="AI751" s="4"/>
      <c r="AJ751" s="449"/>
      <c r="AK751" s="449"/>
      <c r="AL751" s="449"/>
      <c r="AM751" s="449"/>
      <c r="AN751" s="10"/>
      <c r="AO751" s="9"/>
      <c r="AP751" s="9"/>
      <c r="AQ751" s="9">
        <f>+FL_1($T$752,$T$750,$G$751,1200,9.28,-1*$F$752)</f>
        <v>0.25133293799999995</v>
      </c>
      <c r="AR751" s="9"/>
      <c r="AS751" s="9"/>
      <c r="AT751" s="9"/>
      <c r="AU751" s="428"/>
      <c r="AV751" s="428"/>
      <c r="AW751" s="449" t="str">
        <f>IF(C751&gt;0,VLOOKUP(C751,Foundation_Calc!$A$2:$C$13,3,1),
IF(J751&gt;0,VLOOKUP(J751,Foundation_Calc!$A$2:$C$13,3,1),""))</f>
        <v/>
      </c>
      <c r="AX751" s="449" t="str">
        <f>IF(C751&gt;0,VLOOKUP(C751,Foundation_Calc!$E$2:$G$33,3,1),
IF(J751&gt;0,VLOOKUP(J751,Foundation_Calc!$E$2:$G$33,3,1),""))</f>
        <v/>
      </c>
      <c r="AY751" s="10" t="str">
        <f>IF(L751="","",
IF(AX751="PT",VLOOKUP(L751,Foundation_Calc!$K$79:$R$113,VLOOKUP(AW751,Foundation_Calc!$I$2:$J$8,2,FALSE),0),
IF(AX751="K",VLOOKUP(L751,Foundation_Calc!$K$117:$R$151,VLOOKUP(AW751,Foundation_Calc!$I$2:$J$8,2,FALSE),0),"")))</f>
        <v/>
      </c>
      <c r="AZ751" s="10" t="str">
        <f>IF(K751="","",
IF(AX751="PT",VLOOKUP(K751,Foundation_Calc!$K$79:$R$113,VLOOKUP(AW751,Foundation_Calc!$I$2:$J$8,2,FALSE),0),
IF(AX751="K",VLOOKUP(K751,Foundation_Calc!$K$117:$R$151,VLOOKUP(AW751,Foundation_Calc!$I$2:$J$8,2,FALSE),0),"")))</f>
        <v/>
      </c>
      <c r="BA751" s="495" t="str">
        <f t="shared" si="85"/>
        <v/>
      </c>
      <c r="BB751" s="495" t="str">
        <f t="shared" si="86"/>
        <v/>
      </c>
      <c r="BC751" s="495" t="str">
        <f t="shared" si="87"/>
        <v/>
      </c>
      <c r="BD751" s="513" t="str">
        <f>IF(AND(L751="",H751=""),"",
IF(H751="",Pole_Calc!A$9,
IF(H751="MP",Pole_Calc!A$10,
IF(H751="AnMP",Pole_Calc!A$11,
IF(H751="A",Pole_Calc!A$12,
IF(H751="S/A",Pole_Calc!A$13,
IF(H751="A/S",Pole_Calc!A$14,"Poner a mano")))))))</f>
        <v/>
      </c>
      <c r="BE751" s="429" t="s">
        <v>118</v>
      </c>
      <c r="BF751" s="290"/>
      <c r="BG751" s="290"/>
      <c r="BH751" s="290"/>
      <c r="BI751" s="290"/>
    </row>
    <row r="752" spans="1:61" ht="15.75" customHeight="1">
      <c r="A752" s="514" t="s">
        <v>32</v>
      </c>
      <c r="B752" s="450" t="s">
        <v>626</v>
      </c>
      <c r="C752" s="3">
        <f>+$C$750+$G$751-0.85</f>
        <v>48179.950000000004</v>
      </c>
      <c r="D752" s="83"/>
      <c r="E752" s="4"/>
      <c r="F752" s="4">
        <f>IF(C752&gt;0,VLOOKUP(C752,'ALIGNMENT TRACK'!$A$1:$K$81,9,1))</f>
        <v>0</v>
      </c>
      <c r="G752" s="6"/>
      <c r="H752" s="449" t="s">
        <v>121</v>
      </c>
      <c r="I752" s="4" t="s">
        <v>122</v>
      </c>
      <c r="J752" s="3"/>
      <c r="K752" s="449"/>
      <c r="L752" s="449" t="s">
        <v>183</v>
      </c>
      <c r="M752" s="449" t="str">
        <f>IF(L752="","",
IF(AX752="PT",VLOOKUP(L752,Foundation_Calc!$V$79:$X$113,VLOOKUP(AX752,Foundation_Calc!$I$10:$J$13,2,FALSE),0),
IF(AX752="K",VLOOKUP(L752,Foundation_Calc!$V$117:$X$151,VLOOKUP(AX752,Foundation_Calc!$I$10:$J$13,2,FALSE),0),"")))</f>
        <v>2C3RT</v>
      </c>
      <c r="N752" s="449" t="s">
        <v>134</v>
      </c>
      <c r="O752" s="449"/>
      <c r="P752" s="449"/>
      <c r="Q752" s="4"/>
      <c r="R752" s="6"/>
      <c r="S752" s="6"/>
      <c r="T752" s="4">
        <v>25</v>
      </c>
      <c r="U752" s="4"/>
      <c r="V752" s="4"/>
      <c r="W752" s="572">
        <v>1.2</v>
      </c>
      <c r="X752" s="572"/>
      <c r="Y752" s="9"/>
      <c r="Z752" s="9"/>
      <c r="AA752" s="9"/>
      <c r="AB752" s="9"/>
      <c r="AC752" s="449" t="str">
        <f t="shared" si="81"/>
        <v>PHQ</v>
      </c>
      <c r="AD752" s="449"/>
      <c r="AE752" s="449"/>
      <c r="AF752" s="4"/>
      <c r="AG752" s="83"/>
      <c r="AH752" s="4"/>
      <c r="AI752" s="4"/>
      <c r="AJ752" s="449"/>
      <c r="AK752" s="449"/>
      <c r="AL752" s="449"/>
      <c r="AM752" s="449" t="s">
        <v>552</v>
      </c>
      <c r="AN752" s="10">
        <v>5.5</v>
      </c>
      <c r="AO752" s="9"/>
      <c r="AP752" s="9"/>
      <c r="AQ752" s="9"/>
      <c r="AR752" s="9"/>
      <c r="AS752" s="9"/>
      <c r="AT752" s="9">
        <f>+ab($T$752,$T$750,$T$754,$G$751,$G$753,-1*$F$752,1200)</f>
        <v>6.4866844190541926</v>
      </c>
      <c r="AU752" s="428"/>
      <c r="AV752" s="428"/>
      <c r="AW752" s="449" t="str">
        <f>IF(C752&gt;0,VLOOKUP(C752,Foundation_Calc!$A$2:$C$13,3,1),
IF(J752&gt;0,VLOOKUP(J752,Foundation_Calc!$A$2:$C$13,3,1),""))</f>
        <v>Multi Soil</v>
      </c>
      <c r="AX752" s="449" t="str">
        <f>IF(C752&gt;0,VLOOKUP(C752,Foundation_Calc!$E$2:$G$33,3,1),
IF(J752&gt;0,VLOOKUP(J752,Foundation_Calc!$E$2:$G$33,3,1),""))</f>
        <v>K</v>
      </c>
      <c r="AY752" s="10">
        <f>IF(L752="","",
IF(AX752="PT",VLOOKUP(L752,Foundation_Calc!$K$79:$R$113,VLOOKUP(AW752,Foundation_Calc!$I$2:$J$8,2,FALSE),0),
IF(AX752="K",VLOOKUP(L752,Foundation_Calc!$K$117:$R$151,VLOOKUP(AW752,Foundation_Calc!$I$2:$J$8,2,FALSE),0),"")))</f>
        <v>4.5</v>
      </c>
      <c r="AZ752" s="10" t="str">
        <f>IF(K752="","",
IF(AX752="PT",VLOOKUP(K752,Foundation_Calc!$K$79:$R$113,VLOOKUP(AW752,Foundation_Calc!$I$2:$J$8,2,FALSE),0),
IF(AX752="K",VLOOKUP(K752,Foundation_Calc!$K$117:$R$151,VLOOKUP(AW752,Foundation_Calc!$I$2:$J$8,2,FALSE),0),"")))</f>
        <v/>
      </c>
      <c r="BA752" s="495" t="str">
        <f t="shared" si="85"/>
        <v>ü</v>
      </c>
      <c r="BB752" s="495" t="str">
        <f t="shared" si="86"/>
        <v/>
      </c>
      <c r="BC752" s="495" t="str">
        <f t="shared" si="87"/>
        <v/>
      </c>
      <c r="BD752" s="513" t="str">
        <f>IF(AND(L752="",H752=""),"",
IF(H752="",Pole_Calc!A$9,
IF(H752="MP",Pole_Calc!A$10,
IF(H752="AnMP",Pole_Calc!A$11,
IF(H752="A",Pole_Calc!A$12,
IF(H752="S/A",Pole_Calc!A$13,
IF(H752="A/S",Pole_Calc!A$14,"Poner a mano")))))))</f>
        <v>App.7-V11I-P9.5.1.6</v>
      </c>
      <c r="BE752" s="429" t="s">
        <v>118</v>
      </c>
      <c r="BF752" s="289"/>
      <c r="BG752" s="289"/>
      <c r="BH752" s="290"/>
      <c r="BI752" s="289"/>
    </row>
    <row r="753" spans="1:61" ht="15.75" customHeight="1">
      <c r="A753" s="514" t="s">
        <v>32</v>
      </c>
      <c r="B753" s="450"/>
      <c r="C753" s="3"/>
      <c r="D753" s="83"/>
      <c r="E753" s="4"/>
      <c r="F753" s="4"/>
      <c r="G753" s="6">
        <v>32.4</v>
      </c>
      <c r="H753" s="449"/>
      <c r="I753" s="4"/>
      <c r="J753" s="3">
        <f>C752+7.5</f>
        <v>48187.450000000004</v>
      </c>
      <c r="K753" s="449" t="s">
        <v>315</v>
      </c>
      <c r="L753" s="449"/>
      <c r="M753" s="449" t="str">
        <f>IF(L753="","",
IF(AX753="PT",VLOOKUP(L753,Foundation_Calc!$V$79:$X$113,VLOOKUP(AX753,Foundation_Calc!$I$10:$J$13,2,FALSE),0),
IF(AX753="K",VLOOKUP(L753,Foundation_Calc!$V$117:$X$151,VLOOKUP(AX753,Foundation_Calc!$I$10:$J$13,2,FALSE),0),"")))</f>
        <v/>
      </c>
      <c r="N753" s="561"/>
      <c r="O753" s="449"/>
      <c r="P753" s="449"/>
      <c r="Q753" s="4"/>
      <c r="R753" s="6"/>
      <c r="S753" s="6"/>
      <c r="T753" s="4"/>
      <c r="U753" s="4"/>
      <c r="V753" s="4"/>
      <c r="W753" s="572"/>
      <c r="X753" s="572"/>
      <c r="Y753" s="9"/>
      <c r="Z753" s="9"/>
      <c r="AA753" s="9"/>
      <c r="AB753" s="9"/>
      <c r="AC753" s="449" t="str">
        <f t="shared" si="81"/>
        <v/>
      </c>
      <c r="AD753" s="449"/>
      <c r="AE753" s="449"/>
      <c r="AF753" s="4"/>
      <c r="AG753" s="83"/>
      <c r="AH753" s="4"/>
      <c r="AI753" s="4"/>
      <c r="AJ753" s="449"/>
      <c r="AK753" s="449"/>
      <c r="AL753" s="449"/>
      <c r="AM753" s="449"/>
      <c r="AN753" s="10"/>
      <c r="AO753" s="9"/>
      <c r="AP753" s="9"/>
      <c r="AQ753" s="9">
        <f>+FL_2($T$754,$T$752,$G$753,1200,9.28,-1*$F$754)</f>
        <v>-0.35</v>
      </c>
      <c r="AR753" s="9"/>
      <c r="AS753" s="9"/>
      <c r="AT753" s="9"/>
      <c r="AU753" s="428"/>
      <c r="AV753" s="428"/>
      <c r="AW753" s="449" t="str">
        <f>IF(C753&gt;0,VLOOKUP(C753,Foundation_Calc!$A$2:$C$13,3,1),
IF(J753&gt;0,VLOOKUP(J753,Foundation_Calc!$A$2:$C$13,3,1),""))</f>
        <v>Multi Soil</v>
      </c>
      <c r="AX753" s="449" t="str">
        <f>IF(C753&gt;0,VLOOKUP(C753,Foundation_Calc!$E$2:$G$33,3,1),
IF(J753&gt;0,VLOOKUP(J753,Foundation_Calc!$E$2:$G$33,3,1),""))</f>
        <v>K</v>
      </c>
      <c r="AY753" s="10" t="str">
        <f>IF(L753="","",
IF(AX753="PT",VLOOKUP(L753,Foundation_Calc!$K$79:$R$113,VLOOKUP(AW753,Foundation_Calc!$I$2:$J$8,2,FALSE),0),
IF(AX753="K",VLOOKUP(L753,Foundation_Calc!$K$117:$R$151,VLOOKUP(AW753,Foundation_Calc!$I$2:$J$8,2,FALSE),0),"")))</f>
        <v/>
      </c>
      <c r="AZ753" s="10">
        <f>IF(K753="","",
IF(AX753="PT",VLOOKUP(K753,Foundation_Calc!$K$79:$R$113,VLOOKUP(AW753,Foundation_Calc!$I$2:$J$8,2,FALSE),0),
IF(AX753="K",VLOOKUP(K753,Foundation_Calc!$K$117:$R$151,VLOOKUP(AW753,Foundation_Calc!$I$2:$J$8,2,FALSE),0),"")))</f>
        <v>3.9</v>
      </c>
      <c r="BA753" s="495" t="str">
        <f t="shared" si="85"/>
        <v/>
      </c>
      <c r="BB753" s="495" t="str">
        <f t="shared" si="86"/>
        <v>ü</v>
      </c>
      <c r="BC753" s="495" t="str">
        <f t="shared" si="87"/>
        <v/>
      </c>
      <c r="BD753" s="513" t="str">
        <f>IF(AND(L753="",H753=""),"",
IF(H753="",Pole_Calc!A$9,
IF(H753="MP",Pole_Calc!A$10,
IF(H753="AnMP",Pole_Calc!A$11,
IF(H753="A",Pole_Calc!A$12,
IF(H753="S/A",Pole_Calc!A$13,
IF(H753="A/S",Pole_Calc!A$14,"Poner a mano")))))))</f>
        <v/>
      </c>
      <c r="BE753" s="429" t="s">
        <v>118</v>
      </c>
      <c r="BF753" s="290"/>
      <c r="BG753" s="290"/>
      <c r="BH753" s="290"/>
      <c r="BI753" s="290"/>
    </row>
    <row r="754" spans="1:61" ht="15.75" customHeight="1">
      <c r="A754" s="514" t="s">
        <v>32</v>
      </c>
      <c r="B754" s="450" t="s">
        <v>627</v>
      </c>
      <c r="C754" s="3">
        <f>+$C$752+$G$753</f>
        <v>48212.350000000006</v>
      </c>
      <c r="D754" s="83"/>
      <c r="E754" s="4"/>
      <c r="F754" s="4">
        <f>IF(C754&gt;0,VLOOKUP(C754,'ALIGNMENT TRACK'!$A$1:$K$81,9,1))</f>
        <v>0</v>
      </c>
      <c r="G754" s="6"/>
      <c r="H754" s="449"/>
      <c r="I754" s="4"/>
      <c r="J754" s="3"/>
      <c r="K754" s="449"/>
      <c r="L754" s="449" t="s">
        <v>183</v>
      </c>
      <c r="M754" s="449" t="str">
        <f>IF(L754="","",
IF(AX754="PT",VLOOKUP(L754,Foundation_Calc!$V$79:$X$113,VLOOKUP(AX754,Foundation_Calc!$I$10:$J$13,2,FALSE),0),
IF(AX754="K",VLOOKUP(L754,Foundation_Calc!$V$117:$X$151,VLOOKUP(AX754,Foundation_Calc!$I$10:$J$13,2,FALSE),0),"")))</f>
        <v>2C3RT</v>
      </c>
      <c r="N754" s="449" t="s">
        <v>124</v>
      </c>
      <c r="O754" s="449"/>
      <c r="P754" s="449"/>
      <c r="Q754" s="4"/>
      <c r="R754" s="6"/>
      <c r="S754" s="6"/>
      <c r="T754" s="4">
        <v>-35</v>
      </c>
      <c r="U754" s="4"/>
      <c r="V754" s="4"/>
      <c r="W754" s="572">
        <v>1.2</v>
      </c>
      <c r="X754" s="572"/>
      <c r="Y754" s="9"/>
      <c r="Z754" s="9"/>
      <c r="AA754" s="9"/>
      <c r="AB754" s="9"/>
      <c r="AC754" s="449" t="str">
        <f t="shared" si="81"/>
        <v>PHQ</v>
      </c>
      <c r="AD754" s="449"/>
      <c r="AE754" s="449"/>
      <c r="AF754" s="4"/>
      <c r="AG754" s="83"/>
      <c r="AH754" s="4"/>
      <c r="AI754" s="4"/>
      <c r="AJ754" s="449"/>
      <c r="AK754" s="449"/>
      <c r="AL754" s="449"/>
      <c r="AM754" s="449" t="s">
        <v>552</v>
      </c>
      <c r="AN754" s="10">
        <v>5.5</v>
      </c>
      <c r="AO754" s="9"/>
      <c r="AP754" s="9"/>
      <c r="AQ754" s="9"/>
      <c r="AR754" s="9"/>
      <c r="AS754" s="9"/>
      <c r="AT754" s="9">
        <f>+ab($T$754,$T$752,$T$756,$G$753,$G$755,-1*$F$754,1200)</f>
        <v>-5.1806128799469109</v>
      </c>
      <c r="AU754" s="428"/>
      <c r="AV754" s="428"/>
      <c r="AW754" s="449" t="str">
        <f>IF(C754&gt;0,VLOOKUP(C754,Foundation_Calc!$A$2:$C$13,3,1),
IF(J754&gt;0,VLOOKUP(J754,Foundation_Calc!$A$2:$C$13,3,1),""))</f>
        <v>Multi Soil</v>
      </c>
      <c r="AX754" s="449" t="str">
        <f>IF(C754&gt;0,VLOOKUP(C754,Foundation_Calc!$E$2:$G$33,3,1),
IF(J754&gt;0,VLOOKUP(J754,Foundation_Calc!$E$2:$G$33,3,1),""))</f>
        <v>K</v>
      </c>
      <c r="AY754" s="10">
        <f>IF(L754="","",
IF(AX754="PT",VLOOKUP(L754,Foundation_Calc!$K$79:$R$113,VLOOKUP(AW754,Foundation_Calc!$I$2:$J$8,2,FALSE),0),
IF(AX754="K",VLOOKUP(L754,Foundation_Calc!$K$117:$R$151,VLOOKUP(AW754,Foundation_Calc!$I$2:$J$8,2,FALSE),0),"")))</f>
        <v>4.5</v>
      </c>
      <c r="AZ754" s="10" t="str">
        <f>IF(K754="","",
IF(AX754="PT",VLOOKUP(K754,Foundation_Calc!$K$79:$R$113,VLOOKUP(AW754,Foundation_Calc!$I$2:$J$8,2,FALSE),0),
IF(AX754="K",VLOOKUP(K754,Foundation_Calc!$K$117:$R$151,VLOOKUP(AW754,Foundation_Calc!$I$2:$J$8,2,FALSE),0),"")))</f>
        <v/>
      </c>
      <c r="BA754" s="495" t="str">
        <f t="shared" si="85"/>
        <v>ü</v>
      </c>
      <c r="BB754" s="495" t="str">
        <f t="shared" si="86"/>
        <v/>
      </c>
      <c r="BC754" s="495" t="str">
        <f t="shared" si="87"/>
        <v/>
      </c>
      <c r="BD754" s="513" t="str">
        <f>IF(AND(L754="",H754=""),"",
IF(H754="",Pole_Calc!A$9,
IF(H754="MP",Pole_Calc!A$10,
IF(H754="AnMP",Pole_Calc!A$11,
IF(H754="A",Pole_Calc!A$12,
IF(H754="S/A",Pole_Calc!A$13,
IF(H754="A/S",Pole_Calc!A$14,"Poner a mano")))))))</f>
        <v>App.7-V11I-P9.5.1.1</v>
      </c>
      <c r="BE754" s="429" t="s">
        <v>118</v>
      </c>
      <c r="BF754" s="289"/>
      <c r="BG754" s="289"/>
      <c r="BH754" s="290"/>
      <c r="BI754" s="289"/>
    </row>
    <row r="755" spans="1:61" ht="15.75" customHeight="1">
      <c r="A755" s="514"/>
      <c r="B755" s="450"/>
      <c r="C755" s="3"/>
      <c r="D755" s="83"/>
      <c r="E755" s="4"/>
      <c r="F755" s="4"/>
      <c r="G755" s="6">
        <v>38</v>
      </c>
      <c r="H755" s="449"/>
      <c r="I755" s="4"/>
      <c r="J755" s="3"/>
      <c r="K755" s="449"/>
      <c r="L755" s="449"/>
      <c r="M755" s="449" t="str">
        <f>IF(L755="","",
IF(AX755="PT",VLOOKUP(L755,Foundation_Calc!$V$79:$X$113,VLOOKUP(AX755,Foundation_Calc!$I$10:$J$13,2,FALSE),0),
IF(AX755="K",VLOOKUP(L755,Foundation_Calc!$V$117:$X$151,VLOOKUP(AX755,Foundation_Calc!$I$10:$J$13,2,FALSE),0),"")))</f>
        <v/>
      </c>
      <c r="N755" s="449"/>
      <c r="O755" s="449"/>
      <c r="P755" s="449"/>
      <c r="Q755" s="4"/>
      <c r="R755" s="6"/>
      <c r="S755" s="6"/>
      <c r="T755" s="4"/>
      <c r="U755" s="4"/>
      <c r="V755" s="4"/>
      <c r="W755" s="572"/>
      <c r="X755" s="572"/>
      <c r="Y755" s="9"/>
      <c r="Z755" s="9"/>
      <c r="AA755" s="9"/>
      <c r="AB755" s="9"/>
      <c r="AC755" s="449" t="str">
        <f t="shared" si="81"/>
        <v/>
      </c>
      <c r="AD755" s="449"/>
      <c r="AE755" s="449"/>
      <c r="AF755" s="4"/>
      <c r="AG755" s="83"/>
      <c r="AH755" s="4"/>
      <c r="AI755" s="4"/>
      <c r="AJ755" s="449"/>
      <c r="AK755" s="449"/>
      <c r="AL755" s="449"/>
      <c r="AM755" s="449"/>
      <c r="AN755" s="10"/>
      <c r="AO755" s="9"/>
      <c r="AP755" s="9"/>
      <c r="AQ755" s="9">
        <f>+FL_2($T$756,$T$754,$G$755,1200,9.28,-1*$F$756)</f>
        <v>-0.35000000000000375</v>
      </c>
      <c r="AR755" s="9"/>
      <c r="AS755" s="9"/>
      <c r="AT755" s="9"/>
      <c r="AU755" s="428"/>
      <c r="AV755" s="428"/>
      <c r="AW755" s="449" t="str">
        <f>IF(C755&gt;0,VLOOKUP(C755,Foundation_Calc!$A$2:$C$13,3,1),
IF(J755&gt;0,VLOOKUP(J755,Foundation_Calc!$A$2:$C$13,3,1),""))</f>
        <v/>
      </c>
      <c r="AX755" s="449" t="str">
        <f>IF(C755&gt;0,VLOOKUP(C755,Foundation_Calc!$E$2:$G$33,3,1),
IF(J755&gt;0,VLOOKUP(J755,Foundation_Calc!$E$2:$G$33,3,1),""))</f>
        <v/>
      </c>
      <c r="AY755" s="10" t="str">
        <f>IF(L755="","",
IF(AX755="PT",VLOOKUP(L755,Foundation_Calc!$K$79:$R$113,VLOOKUP(AW755,Foundation_Calc!$I$2:$J$8,2,FALSE),0),
IF(AX755="K",VLOOKUP(L755,Foundation_Calc!$K$117:$R$151,VLOOKUP(AW755,Foundation_Calc!$I$2:$J$8,2,FALSE),0),"")))</f>
        <v/>
      </c>
      <c r="AZ755" s="10" t="str">
        <f>IF(K755="","",
IF(AX755="PT",VLOOKUP(K755,Foundation_Calc!$K$79:$R$113,VLOOKUP(AW755,Foundation_Calc!$I$2:$J$8,2,FALSE),0),
IF(AX755="K",VLOOKUP(K755,Foundation_Calc!$K$117:$R$151,VLOOKUP(AW755,Foundation_Calc!$I$2:$J$8,2,FALSE),0),"")))</f>
        <v/>
      </c>
      <c r="BA755" s="495" t="str">
        <f t="shared" si="85"/>
        <v/>
      </c>
      <c r="BB755" s="495" t="str">
        <f t="shared" si="86"/>
        <v/>
      </c>
      <c r="BC755" s="495" t="str">
        <f t="shared" si="87"/>
        <v/>
      </c>
      <c r="BD755" s="513" t="str">
        <f>IF(AND(L755="",H755=""),"",
IF(H755="",Pole_Calc!A$9,
IF(H755="MP",Pole_Calc!A$10,
IF(H755="AnMP",Pole_Calc!A$11,
IF(H755="A",Pole_Calc!A$12,
IF(H755="S/A",Pole_Calc!A$13,
IF(H755="A/S",Pole_Calc!A$14,"Poner a mano")))))))</f>
        <v/>
      </c>
      <c r="BE755" s="429" t="s">
        <v>118</v>
      </c>
      <c r="BF755" s="290"/>
      <c r="BG755" s="290"/>
      <c r="BH755" s="290"/>
      <c r="BI755" s="290"/>
    </row>
    <row r="756" spans="1:61" ht="15.75" customHeight="1">
      <c r="A756" s="514"/>
      <c r="B756" s="450" t="s">
        <v>628</v>
      </c>
      <c r="C756" s="3">
        <f>+$C$754+$G$755</f>
        <v>48250.350000000006</v>
      </c>
      <c r="D756" s="83"/>
      <c r="E756" s="4"/>
      <c r="F756" s="4">
        <f>IF(C756&gt;0,VLOOKUP(C756,'ALIGNMENT TRACK'!$A$1:$K$81,9,1))</f>
        <v>0</v>
      </c>
      <c r="G756" s="6"/>
      <c r="H756" s="449"/>
      <c r="I756" s="4"/>
      <c r="J756" s="3"/>
      <c r="K756" s="449"/>
      <c r="L756" s="449" t="s">
        <v>153</v>
      </c>
      <c r="M756" s="449" t="str">
        <f>IF(L756="","",
IF(AX756="PT",VLOOKUP(L756,Foundation_Calc!$V$79:$X$113,VLOOKUP(AX756,Foundation_Calc!$I$10:$J$13,2,FALSE),0),
IF(AX756="K",VLOOKUP(L756,Foundation_Calc!$V$117:$X$151,VLOOKUP(AX756,Foundation_Calc!$I$10:$J$13,2,FALSE),0),"")))</f>
        <v>C3RT</v>
      </c>
      <c r="N756" s="449" t="s">
        <v>134</v>
      </c>
      <c r="O756" s="449"/>
      <c r="P756" s="449"/>
      <c r="Q756" s="4"/>
      <c r="R756" s="6"/>
      <c r="S756" s="6"/>
      <c r="T756" s="4">
        <v>35</v>
      </c>
      <c r="U756" s="4"/>
      <c r="V756" s="4"/>
      <c r="W756" s="572">
        <v>1.2</v>
      </c>
      <c r="X756" s="572"/>
      <c r="Y756" s="9"/>
      <c r="Z756" s="9"/>
      <c r="AA756" s="9"/>
      <c r="AB756" s="9"/>
      <c r="AC756" s="449" t="str">
        <f t="shared" si="81"/>
        <v>PHC</v>
      </c>
      <c r="AD756" s="449"/>
      <c r="AE756" s="449"/>
      <c r="AF756" s="4"/>
      <c r="AG756" s="83"/>
      <c r="AH756" s="4"/>
      <c r="AI756" s="4"/>
      <c r="AJ756" s="449"/>
      <c r="AK756" s="449"/>
      <c r="AL756" s="449"/>
      <c r="AM756" s="449" t="s">
        <v>552</v>
      </c>
      <c r="AN756" s="10">
        <v>5.5</v>
      </c>
      <c r="AO756" s="9"/>
      <c r="AP756" s="9"/>
      <c r="AQ756" s="9"/>
      <c r="AR756" s="9"/>
      <c r="AS756" s="9"/>
      <c r="AT756" s="9">
        <f>+ab($T$756,$T$754,$T$758,$G$755,$G$757,-1*$F$756,1200)</f>
        <v>4.6697437830263233</v>
      </c>
      <c r="AU756" s="428"/>
      <c r="AV756" s="428"/>
      <c r="AW756" s="449" t="str">
        <f>IF(C756&gt;0,VLOOKUP(C756,Foundation_Calc!$A$2:$C$13,3,1),
IF(J756&gt;0,VLOOKUP(J756,Foundation_Calc!$A$2:$C$13,3,1),""))</f>
        <v>Multi Soil</v>
      </c>
      <c r="AX756" s="449" t="str">
        <f>IF(C756&gt;0,VLOOKUP(C756,Foundation_Calc!$E$2:$G$33,3,1),
IF(J756&gt;0,VLOOKUP(J756,Foundation_Calc!$E$2:$G$33,3,1),""))</f>
        <v>K</v>
      </c>
      <c r="AY756" s="10">
        <f>IF(L756="","",
IF(AX756="PT",VLOOKUP(L756,Foundation_Calc!$K$79:$R$113,VLOOKUP(AW756,Foundation_Calc!$I$2:$J$8,2,FALSE),0),
IF(AX756="K",VLOOKUP(L756,Foundation_Calc!$K$117:$R$151,VLOOKUP(AW756,Foundation_Calc!$I$2:$J$8,2,FALSE),0),"")))</f>
        <v>4</v>
      </c>
      <c r="AZ756" s="10" t="str">
        <f>IF(K756="","",
IF(AX756="PT",VLOOKUP(K756,Foundation_Calc!$K$79:$R$113,VLOOKUP(AW756,Foundation_Calc!$I$2:$J$8,2,FALSE),0),
IF(AX756="K",VLOOKUP(K756,Foundation_Calc!$K$117:$R$151,VLOOKUP(AW756,Foundation_Calc!$I$2:$J$8,2,FALSE),0),"")))</f>
        <v/>
      </c>
      <c r="BA756" s="495" t="str">
        <f t="shared" si="85"/>
        <v>ü</v>
      </c>
      <c r="BB756" s="495" t="str">
        <f t="shared" si="86"/>
        <v/>
      </c>
      <c r="BC756" s="495" t="str">
        <f t="shared" si="87"/>
        <v/>
      </c>
      <c r="BD756" s="513" t="str">
        <f>IF(AND(L756="",H756=""),"",
IF(H756="",Pole_Calc!A$9,
IF(H756="MP",Pole_Calc!A$10,
IF(H756="AnMP",Pole_Calc!A$11,
IF(H756="A",Pole_Calc!A$12,
IF(H756="S/A",Pole_Calc!A$13,
IF(H756="A/S",Pole_Calc!A$14,"Poner a mano")))))))</f>
        <v>App.7-V11I-P9.5.1.1</v>
      </c>
      <c r="BE756" s="429" t="s">
        <v>118</v>
      </c>
      <c r="BF756" s="289"/>
      <c r="BG756" s="289"/>
      <c r="BH756" s="290"/>
      <c r="BI756" s="289"/>
    </row>
    <row r="757" spans="1:61" ht="15.75" customHeight="1">
      <c r="A757" s="514"/>
      <c r="B757" s="450"/>
      <c r="C757" s="3"/>
      <c r="D757" s="83"/>
      <c r="E757" s="4"/>
      <c r="F757" s="4"/>
      <c r="G757" s="6">
        <v>31</v>
      </c>
      <c r="H757" s="449"/>
      <c r="I757" s="4"/>
      <c r="J757" s="3"/>
      <c r="K757" s="449"/>
      <c r="L757" s="449"/>
      <c r="M757" s="449" t="str">
        <f>IF(L757="","",
IF(AX757="PT",VLOOKUP(L757,Foundation_Calc!$V$79:$X$113,VLOOKUP(AX757,Foundation_Calc!$I$10:$J$13,2,FALSE),0),
IF(AX757="K",VLOOKUP(L757,Foundation_Calc!$V$117:$X$151,VLOOKUP(AX757,Foundation_Calc!$I$10:$J$13,2,FALSE),0),"")))</f>
        <v/>
      </c>
      <c r="N757" s="449"/>
      <c r="O757" s="449"/>
      <c r="P757" s="449"/>
      <c r="Q757" s="4"/>
      <c r="R757" s="6"/>
      <c r="S757" s="6"/>
      <c r="T757" s="4"/>
      <c r="U757" s="4"/>
      <c r="V757" s="4"/>
      <c r="W757" s="9"/>
      <c r="X757" s="9"/>
      <c r="Y757" s="9"/>
      <c r="Z757" s="9"/>
      <c r="AA757" s="9"/>
      <c r="AB757" s="9"/>
      <c r="AC757" s="449" t="str">
        <f t="shared" si="81"/>
        <v/>
      </c>
      <c r="AD757" s="449"/>
      <c r="AE757" s="449"/>
      <c r="AF757" s="4"/>
      <c r="AG757" s="83"/>
      <c r="AH757" s="4"/>
      <c r="AI757" s="4"/>
      <c r="AJ757" s="449"/>
      <c r="AK757" s="449"/>
      <c r="AL757" s="449"/>
      <c r="AM757" s="449"/>
      <c r="AN757" s="10"/>
      <c r="AO757" s="9"/>
      <c r="AP757" s="9"/>
      <c r="AQ757" s="9">
        <f>+FL_1($T$758,$T$756,$G$757,1200,9.28,-1*$F$758)</f>
        <v>0.35000000000002168</v>
      </c>
      <c r="AR757" s="9"/>
      <c r="AS757" s="9"/>
      <c r="AT757" s="9"/>
      <c r="AU757" s="428"/>
      <c r="AV757" s="428"/>
      <c r="AW757" s="449" t="str">
        <f>IF(C757&gt;0,VLOOKUP(C757,Foundation_Calc!$A$2:$C$13,3,1),
IF(J757&gt;0,VLOOKUP(J757,Foundation_Calc!$A$2:$C$13,3,1),""))</f>
        <v/>
      </c>
      <c r="AX757" s="449" t="str">
        <f>IF(C757&gt;0,VLOOKUP(C757,Foundation_Calc!$E$2:$G$33,3,1),
IF(J757&gt;0,VLOOKUP(J757,Foundation_Calc!$E$2:$G$33,3,1),""))</f>
        <v/>
      </c>
      <c r="AY757" s="10" t="str">
        <f>IF(L757="","",
IF(AX757="PT",VLOOKUP(L757,Foundation_Calc!$K$79:$R$113,VLOOKUP(AW757,Foundation_Calc!$I$2:$J$8,2,FALSE),0),
IF(AX757="K",VLOOKUP(L757,Foundation_Calc!$K$117:$R$151,VLOOKUP(AW757,Foundation_Calc!$I$2:$J$8,2,FALSE),0),"")))</f>
        <v/>
      </c>
      <c r="AZ757" s="10" t="str">
        <f>IF(K757="","",
IF(AX757="PT",VLOOKUP(K757,Foundation_Calc!$K$79:$R$113,VLOOKUP(AW757,Foundation_Calc!$I$2:$J$8,2,FALSE),0),
IF(AX757="K",VLOOKUP(K757,Foundation_Calc!$K$117:$R$151,VLOOKUP(AW757,Foundation_Calc!$I$2:$J$8,2,FALSE),0),"")))</f>
        <v/>
      </c>
      <c r="BA757" s="495" t="str">
        <f t="shared" si="85"/>
        <v/>
      </c>
      <c r="BB757" s="495" t="str">
        <f t="shared" si="86"/>
        <v/>
      </c>
      <c r="BC757" s="495" t="str">
        <f t="shared" si="87"/>
        <v/>
      </c>
      <c r="BD757" s="513" t="str">
        <f>IF(AND(L757="",H757=""),"",
IF(H757="",Pole_Calc!A$9,
IF(H757="MP",Pole_Calc!A$10,
IF(H757="AnMP",Pole_Calc!A$11,
IF(H757="A",Pole_Calc!A$12,
IF(H757="S/A",Pole_Calc!A$13,
IF(H757="A/S",Pole_Calc!A$14,"Poner a mano")))))))</f>
        <v/>
      </c>
      <c r="BE757" s="429" t="s">
        <v>118</v>
      </c>
      <c r="BF757" s="290"/>
      <c r="BG757" s="290"/>
      <c r="BH757" s="290"/>
      <c r="BI757" s="290"/>
    </row>
    <row r="758" spans="1:61" ht="15.75" customHeight="1">
      <c r="A758" s="518"/>
      <c r="B758" s="450" t="s">
        <v>629</v>
      </c>
      <c r="C758" s="3">
        <f>+$C$756+$G$757</f>
        <v>48281.350000000006</v>
      </c>
      <c r="D758" s="83"/>
      <c r="E758" s="4"/>
      <c r="F758" s="4">
        <f>IF(C758&gt;0,VLOOKUP(C758,'ALIGNMENT TRACK'!$A$1:$K$81,9,1))</f>
        <v>0</v>
      </c>
      <c r="G758" s="6"/>
      <c r="H758" s="449"/>
      <c r="I758" s="4"/>
      <c r="J758" s="3"/>
      <c r="K758" s="449"/>
      <c r="L758" s="449" t="s">
        <v>153</v>
      </c>
      <c r="M758" s="449" t="str">
        <f>IF(L758="","",
IF(AX758="PT",VLOOKUP(L758,Foundation_Calc!$V$79:$X$113,VLOOKUP(AX758,Foundation_Calc!$I$10:$J$13,2,FALSE),0),
IF(AX758="K",VLOOKUP(L758,Foundation_Calc!$V$117:$X$151,VLOOKUP(AX758,Foundation_Calc!$I$10:$J$13,2,FALSE),0),"")))</f>
        <v>C3R</v>
      </c>
      <c r="N758" s="449" t="s">
        <v>124</v>
      </c>
      <c r="O758" s="449"/>
      <c r="P758" s="449"/>
      <c r="Q758" s="4"/>
      <c r="R758" s="6"/>
      <c r="S758" s="6"/>
      <c r="T758" s="4">
        <v>-35</v>
      </c>
      <c r="U758" s="4"/>
      <c r="V758" s="4"/>
      <c r="W758" s="572">
        <v>1.1000000000000001</v>
      </c>
      <c r="X758" s="9"/>
      <c r="Y758" s="9"/>
      <c r="Z758" s="9"/>
      <c r="AA758" s="9"/>
      <c r="AB758" s="9"/>
      <c r="AC758" s="449" t="str">
        <f t="shared" si="81"/>
        <v>PHC</v>
      </c>
      <c r="AD758" s="449"/>
      <c r="AE758" s="449"/>
      <c r="AF758" s="4"/>
      <c r="AG758" s="83"/>
      <c r="AH758" s="4"/>
      <c r="AI758" s="4"/>
      <c r="AJ758" s="449"/>
      <c r="AK758" s="449"/>
      <c r="AL758" s="449"/>
      <c r="AM758" s="449" t="s">
        <v>552</v>
      </c>
      <c r="AN758" s="10">
        <v>5.5</v>
      </c>
      <c r="AO758" s="9"/>
      <c r="AP758" s="9"/>
      <c r="AQ758" s="9"/>
      <c r="AR758" s="9"/>
      <c r="AS758" s="9"/>
      <c r="AT758" s="9">
        <f>+ab($T$758,$T$756,$T$760,$G$757,$G$759,-1*$F$758,1200)</f>
        <v>-4.3475860519046039</v>
      </c>
      <c r="AU758" s="428"/>
      <c r="AV758" s="428"/>
      <c r="AW758" s="449" t="str">
        <f>IF(C758&gt;0,VLOOKUP(C758,Foundation_Calc!$A$2:$C$13,3,1),
IF(J758&gt;0,VLOOKUP(J758,Foundation_Calc!$A$2:$C$13,3,1),""))</f>
        <v>Multi Soil</v>
      </c>
      <c r="AX758" s="449" t="str">
        <f>IF(C758&gt;0,VLOOKUP(C758,Foundation_Calc!$E$2:$G$33,3,1),
IF(J758&gt;0,VLOOKUP(J758,Foundation_Calc!$E$2:$G$33,3,1),""))</f>
        <v>PT</v>
      </c>
      <c r="AY758" s="10">
        <f>IF(L758="","",
IF(AX758="PT",VLOOKUP(L758,Foundation_Calc!$K$79:$R$113,VLOOKUP(AW758,Foundation_Calc!$I$2:$J$8,2,FALSE),0),
IF(AX758="K",VLOOKUP(L758,Foundation_Calc!$K$117:$R$151,VLOOKUP(AW758,Foundation_Calc!$I$2:$J$8,2,FALSE),0),"")))</f>
        <v>3.5</v>
      </c>
      <c r="AZ758" s="10" t="str">
        <f>IF(K758="","",
IF(AX758="PT",VLOOKUP(K758,Foundation_Calc!$K$79:$R$113,VLOOKUP(AW758,Foundation_Calc!$I$2:$J$8,2,FALSE),0),
IF(AX758="K",VLOOKUP(K758,Foundation_Calc!$K$117:$R$151,VLOOKUP(AW758,Foundation_Calc!$I$2:$J$8,2,FALSE),0),"")))</f>
        <v/>
      </c>
      <c r="BA758" s="495" t="str">
        <f t="shared" si="85"/>
        <v>ü</v>
      </c>
      <c r="BB758" s="495" t="str">
        <f t="shared" si="86"/>
        <v/>
      </c>
      <c r="BC758" s="495" t="str">
        <f t="shared" si="87"/>
        <v/>
      </c>
      <c r="BD758" s="513" t="str">
        <f>IF(AND(L758="",H758=""),"",
IF(H758="",Pole_Calc!A$9,
IF(H758="MP",Pole_Calc!A$10,
IF(H758="AnMP",Pole_Calc!A$11,
IF(H758="A",Pole_Calc!A$12,
IF(H758="S/A",Pole_Calc!A$13,
IF(H758="A/S",Pole_Calc!A$14,"Poner a mano")))))))</f>
        <v>App.7-V11I-P9.5.1.1</v>
      </c>
      <c r="BE758" s="429" t="s">
        <v>118</v>
      </c>
      <c r="BF758" s="289"/>
      <c r="BG758" s="289"/>
      <c r="BH758" s="290"/>
      <c r="BI758" s="289"/>
    </row>
    <row r="759" spans="1:61" ht="15.75" customHeight="1">
      <c r="A759" s="518"/>
      <c r="B759" s="450"/>
      <c r="C759" s="3"/>
      <c r="D759" s="83"/>
      <c r="E759" s="4"/>
      <c r="F759" s="4"/>
      <c r="G759" s="6">
        <v>32.6</v>
      </c>
      <c r="H759" s="449"/>
      <c r="I759" s="4" t="s">
        <v>549</v>
      </c>
      <c r="J759" s="3">
        <f>C760-7.5</f>
        <v>48306.450000000004</v>
      </c>
      <c r="K759" s="449" t="s">
        <v>166</v>
      </c>
      <c r="L759" s="449"/>
      <c r="M759" s="449" t="str">
        <f>IF(L759="","",
IF(AX759="PT",VLOOKUP(L759,Foundation_Calc!$V$79:$X$113,VLOOKUP(AX759,Foundation_Calc!$I$10:$J$13,2,FALSE),0),
IF(AX759="K",VLOOKUP(L759,Foundation_Calc!$V$117:$X$151,VLOOKUP(AX759,Foundation_Calc!$I$10:$J$13,2,FALSE),0),"")))</f>
        <v/>
      </c>
      <c r="N759" s="561"/>
      <c r="O759" s="449"/>
      <c r="P759" s="449"/>
      <c r="Q759" s="4"/>
      <c r="R759" s="6"/>
      <c r="S759" s="6"/>
      <c r="T759" s="4"/>
      <c r="U759" s="4"/>
      <c r="V759" s="4"/>
      <c r="W759" s="572"/>
      <c r="X759" s="9"/>
      <c r="Y759" s="9"/>
      <c r="Z759" s="9"/>
      <c r="AA759" s="9"/>
      <c r="AB759" s="9"/>
      <c r="AC759" s="449" t="str">
        <f t="shared" si="81"/>
        <v/>
      </c>
      <c r="AD759" s="449"/>
      <c r="AE759" s="449"/>
      <c r="AF759" s="4"/>
      <c r="AG759" s="83"/>
      <c r="AH759" s="4"/>
      <c r="AI759" s="4"/>
      <c r="AJ759" s="449"/>
      <c r="AK759" s="449"/>
      <c r="AL759" s="449"/>
      <c r="AM759" s="449"/>
      <c r="AN759" s="10"/>
      <c r="AO759" s="9"/>
      <c r="AP759" s="9"/>
      <c r="AQ759" s="9">
        <f>+FL_2($T$760,$T$758,$G$759,1200,9.28,-1*$F$760)</f>
        <v>-0.35000000000001841</v>
      </c>
      <c r="AR759" s="9"/>
      <c r="AS759" s="9"/>
      <c r="AT759" s="9"/>
      <c r="AU759" s="428"/>
      <c r="AV759" s="428"/>
      <c r="AW759" s="449" t="str">
        <f>IF(C759&gt;0,VLOOKUP(C759,Foundation_Calc!$A$2:$C$13,3,1),
IF(J759&gt;0,VLOOKUP(J759,Foundation_Calc!$A$2:$C$13,3,1),""))</f>
        <v>Multi Soil</v>
      </c>
      <c r="AX759" s="449" t="str">
        <f>IF(C759&gt;0,VLOOKUP(C759,Foundation_Calc!$E$2:$G$33,3,1),
IF(J759&gt;0,VLOOKUP(J759,Foundation_Calc!$E$2:$G$33,3,1),""))</f>
        <v>PT</v>
      </c>
      <c r="AY759" s="10" t="str">
        <f>IF(L759="","",
IF(AX759="PT",VLOOKUP(L759,Foundation_Calc!$K$79:$R$113,VLOOKUP(AW759,Foundation_Calc!$I$2:$J$8,2,FALSE),0),
IF(AX759="K",VLOOKUP(L759,Foundation_Calc!$K$117:$R$151,VLOOKUP(AW759,Foundation_Calc!$I$2:$J$8,2,FALSE),0),"")))</f>
        <v/>
      </c>
      <c r="AZ759" s="10">
        <f>IF(K759="","",
IF(AX759="PT",VLOOKUP(K759,Foundation_Calc!$K$79:$R$113,VLOOKUP(AW759,Foundation_Calc!$I$2:$J$8,2,FALSE),0),
IF(AX759="K",VLOOKUP(K759,Foundation_Calc!$K$117:$R$151,VLOOKUP(AW759,Foundation_Calc!$I$2:$J$8,2,FALSE),0),"")))</f>
        <v>2.8</v>
      </c>
      <c r="BA759" s="495" t="str">
        <f t="shared" si="85"/>
        <v/>
      </c>
      <c r="BB759" s="495" t="str">
        <f t="shared" si="86"/>
        <v>ü</v>
      </c>
      <c r="BC759" s="495" t="str">
        <f t="shared" si="87"/>
        <v/>
      </c>
      <c r="BD759" s="513" t="str">
        <f>IF(AND(L759="",H759=""),"",
IF(H759="",Pole_Calc!A$9,
IF(H759="MP",Pole_Calc!A$10,
IF(H759="AnMP",Pole_Calc!A$11,
IF(H759="A",Pole_Calc!A$12,
IF(H759="S/A",Pole_Calc!A$13,
IF(H759="A/S",Pole_Calc!A$14,"Poner a mano")))))))</f>
        <v/>
      </c>
      <c r="BE759" s="429" t="s">
        <v>118</v>
      </c>
      <c r="BF759" s="290"/>
      <c r="BG759" s="290"/>
      <c r="BH759" s="290"/>
      <c r="BI759" s="290"/>
    </row>
    <row r="760" spans="1:61" ht="15.75" customHeight="1">
      <c r="A760" s="514"/>
      <c r="B760" s="450" t="s">
        <v>630</v>
      </c>
      <c r="C760" s="3">
        <f>+$C$758+$G$759</f>
        <v>48313.950000000004</v>
      </c>
      <c r="D760" s="83"/>
      <c r="E760" s="4"/>
      <c r="F760" s="4">
        <f>IF(C760&gt;0,VLOOKUP(C760,'ALIGNMENT TRACK'!$A$1:$K$81,9,1))</f>
        <v>0</v>
      </c>
      <c r="G760" s="6"/>
      <c r="H760" s="449"/>
      <c r="I760" s="4" t="s">
        <v>549</v>
      </c>
      <c r="J760" s="3"/>
      <c r="K760" s="449"/>
      <c r="L760" s="449" t="s">
        <v>183</v>
      </c>
      <c r="M760" s="449" t="str">
        <f>IF(L760="","",
IF(AX760="PT",VLOOKUP(L760,Foundation_Calc!$V$79:$X$113,VLOOKUP(AX760,Foundation_Calc!$I$10:$J$13,2,FALSE),0),
IF(AX760="K",VLOOKUP(L760,Foundation_Calc!$V$117:$X$151,VLOOKUP(AX760,Foundation_Calc!$I$10:$J$13,2,FALSE),0),"")))</f>
        <v>2C3R</v>
      </c>
      <c r="N760" s="449" t="s">
        <v>134</v>
      </c>
      <c r="O760" s="449"/>
      <c r="P760" s="449"/>
      <c r="Q760" s="4"/>
      <c r="R760" s="6"/>
      <c r="S760" s="6"/>
      <c r="T760" s="4">
        <v>35</v>
      </c>
      <c r="U760" s="4"/>
      <c r="V760" s="4"/>
      <c r="W760" s="572">
        <v>0.9</v>
      </c>
      <c r="X760" s="9"/>
      <c r="Y760" s="9"/>
      <c r="Z760" s="9"/>
      <c r="AA760" s="9"/>
      <c r="AB760" s="9"/>
      <c r="AC760" s="449" t="str">
        <f t="shared" si="81"/>
        <v>PHC</v>
      </c>
      <c r="AD760" s="449"/>
      <c r="AE760" s="449"/>
      <c r="AF760" s="4"/>
      <c r="AG760" s="83"/>
      <c r="AH760" s="4"/>
      <c r="AI760" s="4"/>
      <c r="AJ760" s="449"/>
      <c r="AK760" s="449"/>
      <c r="AL760" s="449"/>
      <c r="AM760" s="449" t="s">
        <v>552</v>
      </c>
      <c r="AN760" s="10">
        <v>5.5</v>
      </c>
      <c r="AO760" s="9"/>
      <c r="AP760" s="9"/>
      <c r="AQ760" s="9"/>
      <c r="AR760" s="9"/>
      <c r="AS760" s="9"/>
      <c r="AT760" s="9">
        <f>+ab($T$760,$T$758,$T$762,$G$759,$G$761,-1*$F$760,1200)</f>
        <v>4.2748182529330991</v>
      </c>
      <c r="AU760" s="428"/>
      <c r="AV760" s="428"/>
      <c r="AW760" s="449" t="str">
        <f>IF(C760&gt;0,VLOOKUP(C760,Foundation_Calc!$A$2:$C$13,3,1),
IF(J760&gt;0,VLOOKUP(J760,Foundation_Calc!$A$2:$C$13,3,1),""))</f>
        <v>Multi Soil</v>
      </c>
      <c r="AX760" s="449" t="str">
        <f>IF(C760&gt;0,VLOOKUP(C760,Foundation_Calc!$E$2:$G$33,3,1),
IF(J760&gt;0,VLOOKUP(J760,Foundation_Calc!$E$2:$G$33,3,1),""))</f>
        <v>PT</v>
      </c>
      <c r="AY760" s="10">
        <f>IF(L760="","",
IF(AX760="PT",VLOOKUP(L760,Foundation_Calc!$K$79:$R$113,VLOOKUP(AW760,Foundation_Calc!$I$2:$J$8,2,FALSE),0),
IF(AX760="K",VLOOKUP(L760,Foundation_Calc!$K$117:$R$151,VLOOKUP(AW760,Foundation_Calc!$I$2:$J$8,2,FALSE),0),"")))</f>
        <v>3.7</v>
      </c>
      <c r="AZ760" s="10" t="str">
        <f>IF(K760="","",
IF(AX760="PT",VLOOKUP(K760,Foundation_Calc!$K$79:$R$113,VLOOKUP(AW760,Foundation_Calc!$I$2:$J$8,2,FALSE),0),
IF(AX760="K",VLOOKUP(K760,Foundation_Calc!$K$117:$R$151,VLOOKUP(AW760,Foundation_Calc!$I$2:$J$8,2,FALSE),0),"")))</f>
        <v/>
      </c>
      <c r="BA760" s="495" t="str">
        <f t="shared" si="85"/>
        <v>ü</v>
      </c>
      <c r="BB760" s="495" t="str">
        <f t="shared" si="86"/>
        <v/>
      </c>
      <c r="BC760" s="495" t="str">
        <f t="shared" si="87"/>
        <v/>
      </c>
      <c r="BD760" s="513" t="str">
        <f>IF(AND(L760="",H760=""),"",
IF(H760="",Pole_Calc!A$9,
IF(H760="MP",Pole_Calc!A$10,
IF(H760="AnMP",Pole_Calc!A$11,
IF(H760="A",Pole_Calc!A$12,
IF(H760="S/A",Pole_Calc!A$13,
IF(H760="A/S",Pole_Calc!A$14,"Poner a mano")))))))</f>
        <v>App.7-V11I-P9.5.1.1</v>
      </c>
      <c r="BE760" s="429" t="s">
        <v>118</v>
      </c>
      <c r="BF760" s="289"/>
      <c r="BG760" s="289"/>
      <c r="BH760" s="290"/>
      <c r="BI760" s="289"/>
    </row>
    <row r="761" spans="1:61" ht="15.75" customHeight="1">
      <c r="A761" s="514" t="s">
        <v>199</v>
      </c>
      <c r="B761" s="450"/>
      <c r="C761" s="3"/>
      <c r="D761" s="83"/>
      <c r="E761" s="4"/>
      <c r="F761" s="4"/>
      <c r="G761" s="6">
        <v>30</v>
      </c>
      <c r="H761" s="449"/>
      <c r="I761" s="4"/>
      <c r="J761" s="3"/>
      <c r="K761" s="449"/>
      <c r="L761" s="449"/>
      <c r="M761" s="449" t="str">
        <f>IF(L761="","",
IF(AX761="PT",VLOOKUP(L761,Foundation_Calc!$V$79:$X$113,VLOOKUP(AX761,Foundation_Calc!$I$10:$J$13,2,FALSE),0),
IF(AX761="K",VLOOKUP(L761,Foundation_Calc!$V$117:$X$151,VLOOKUP(AX761,Foundation_Calc!$I$10:$J$13,2,FALSE),0),"")))</f>
        <v/>
      </c>
      <c r="N761" s="449"/>
      <c r="O761" s="449"/>
      <c r="P761" s="449"/>
      <c r="Q761" s="4"/>
      <c r="R761" s="6"/>
      <c r="S761" s="6"/>
      <c r="T761" s="4"/>
      <c r="U761" s="4"/>
      <c r="V761" s="4"/>
      <c r="W761" s="572"/>
      <c r="X761" s="9"/>
      <c r="Y761" s="9"/>
      <c r="Z761" s="9"/>
      <c r="AA761" s="9"/>
      <c r="AB761" s="9"/>
      <c r="AC761" s="449" t="str">
        <f t="shared" si="81"/>
        <v/>
      </c>
      <c r="AD761" s="449"/>
      <c r="AE761" s="449"/>
      <c r="AF761" s="4"/>
      <c r="AG761" s="83"/>
      <c r="AH761" s="4"/>
      <c r="AI761" s="4"/>
      <c r="AJ761" s="449"/>
      <c r="AK761" s="449"/>
      <c r="AL761" s="449"/>
      <c r="AM761" s="449"/>
      <c r="AN761" s="10"/>
      <c r="AO761" s="9"/>
      <c r="AP761" s="9"/>
      <c r="AQ761" s="9">
        <f>+FL_1($T$762,$T$760,$G$761,1200,9.28,-1*$F$762)</f>
        <v>0.35000000000002224</v>
      </c>
      <c r="AR761" s="9"/>
      <c r="AS761" s="9"/>
      <c r="AT761" s="9"/>
      <c r="AU761" s="428"/>
      <c r="AV761" s="428"/>
      <c r="AW761" s="449" t="str">
        <f>IF(C761&gt;0,VLOOKUP(C761,Foundation_Calc!$A$2:$C$13,3,1),
IF(J761&gt;0,VLOOKUP(J761,Foundation_Calc!$A$2:$C$13,3,1),""))</f>
        <v/>
      </c>
      <c r="AX761" s="449" t="str">
        <f>IF(C761&gt;0,VLOOKUP(C761,Foundation_Calc!$E$2:$G$33,3,1),
IF(J761&gt;0,VLOOKUP(J761,Foundation_Calc!$E$2:$G$33,3,1),""))</f>
        <v/>
      </c>
      <c r="AY761" s="10" t="str">
        <f>IF(L761="","",
IF(AX761="PT",VLOOKUP(L761,Foundation_Calc!$K$79:$R$113,VLOOKUP(AW761,Foundation_Calc!$I$2:$J$8,2,FALSE),0),
IF(AX761="K",VLOOKUP(L761,Foundation_Calc!$K$117:$R$151,VLOOKUP(AW761,Foundation_Calc!$I$2:$J$8,2,FALSE),0),"")))</f>
        <v/>
      </c>
      <c r="AZ761" s="10" t="str">
        <f>IF(K761="","",
IF(AX761="PT",VLOOKUP(K761,Foundation_Calc!$K$79:$R$113,VLOOKUP(AW761,Foundation_Calc!$I$2:$J$8,2,FALSE),0),
IF(AX761="K",VLOOKUP(K761,Foundation_Calc!$K$117:$R$151,VLOOKUP(AW761,Foundation_Calc!$I$2:$J$8,2,FALSE),0),"")))</f>
        <v/>
      </c>
      <c r="BA761" s="495" t="str">
        <f t="shared" si="85"/>
        <v/>
      </c>
      <c r="BB761" s="495" t="str">
        <f t="shared" si="86"/>
        <v/>
      </c>
      <c r="BC761" s="495" t="str">
        <f t="shared" si="87"/>
        <v/>
      </c>
      <c r="BD761" s="513" t="str">
        <f>IF(AND(L761="",H761=""),"",
IF(H761="",Pole_Calc!A$9,
IF(H761="MP",Pole_Calc!A$10,
IF(H761="AnMP",Pole_Calc!A$11,
IF(H761="A",Pole_Calc!A$12,
IF(H761="S/A",Pole_Calc!A$13,
IF(H761="A/S",Pole_Calc!A$14,"Poner a mano")))))))</f>
        <v/>
      </c>
      <c r="BE761" s="429" t="s">
        <v>118</v>
      </c>
      <c r="BF761" s="290"/>
      <c r="BG761" s="290"/>
      <c r="BH761" s="290"/>
      <c r="BI761" s="290"/>
    </row>
    <row r="762" spans="1:61" ht="15.75" customHeight="1">
      <c r="A762" s="514"/>
      <c r="B762" s="450" t="s">
        <v>631</v>
      </c>
      <c r="C762" s="3">
        <f>+$C$760+$G$761</f>
        <v>48343.950000000004</v>
      </c>
      <c r="D762" s="83"/>
      <c r="E762" s="4"/>
      <c r="F762" s="4">
        <f>IF(C762&gt;0,VLOOKUP(C762,'ALIGNMENT TRACK'!$A$1:$K$81,9,1))</f>
        <v>0</v>
      </c>
      <c r="G762" s="6"/>
      <c r="H762" s="449"/>
      <c r="I762" s="4"/>
      <c r="J762" s="3"/>
      <c r="K762" s="449"/>
      <c r="L762" s="449" t="s">
        <v>398</v>
      </c>
      <c r="M762" s="449" t="str">
        <f>IF(L762="","",
IF(AX762="PT",VLOOKUP(L762,Foundation_Calc!$V$79:$X$113,VLOOKUP(AX762,Foundation_Calc!$I$10:$J$13,2,FALSE),0),
IF(AX762="K",VLOOKUP(L762,Foundation_Calc!$V$117:$X$151,VLOOKUP(AX762,Foundation_Calc!$I$10:$J$13,2,FALSE),0),"")))</f>
        <v>C5R</v>
      </c>
      <c r="N762" s="449" t="s">
        <v>124</v>
      </c>
      <c r="O762" s="449"/>
      <c r="P762" s="449"/>
      <c r="Q762" s="4"/>
      <c r="R762" s="6"/>
      <c r="S762" s="6"/>
      <c r="T762" s="4">
        <v>-35</v>
      </c>
      <c r="U762" s="4"/>
      <c r="V762" s="4"/>
      <c r="W762" s="572">
        <v>0.9</v>
      </c>
      <c r="X762" s="9"/>
      <c r="Y762" s="9"/>
      <c r="Z762" s="9"/>
      <c r="AA762" s="9"/>
      <c r="AB762" s="9"/>
      <c r="AC762" s="449" t="str">
        <f t="shared" si="81"/>
        <v>PHC</v>
      </c>
      <c r="AD762" s="449"/>
      <c r="AE762" s="449"/>
      <c r="AF762" s="4"/>
      <c r="AG762" s="83"/>
      <c r="AH762" s="4"/>
      <c r="AI762" s="4"/>
      <c r="AJ762" s="449"/>
      <c r="AK762" s="449"/>
      <c r="AL762" s="449"/>
      <c r="AM762" s="449" t="s">
        <v>552</v>
      </c>
      <c r="AN762" s="10">
        <v>5.5</v>
      </c>
      <c r="AO762" s="9"/>
      <c r="AP762" s="9"/>
      <c r="AQ762" s="9"/>
      <c r="AR762" s="9"/>
      <c r="AS762" s="9"/>
      <c r="AT762" s="9">
        <f>+ab($T$762,$T$760,$T$764,$G$761,$G$763,-1*$F$762,1200)</f>
        <v>-4.4766740906703015</v>
      </c>
      <c r="AU762" s="428"/>
      <c r="AV762" s="428"/>
      <c r="AW762" s="449" t="str">
        <f>IF(C762&gt;0,VLOOKUP(C762,Foundation_Calc!$A$2:$C$13,3,1),
IF(J762&gt;0,VLOOKUP(J762,Foundation_Calc!$A$2:$C$13,3,1),""))</f>
        <v>Multi Soil</v>
      </c>
      <c r="AX762" s="449" t="str">
        <f>IF(C762&gt;0,VLOOKUP(C762,Foundation_Calc!$E$2:$G$33,3,1),
IF(J762&gt;0,VLOOKUP(J762,Foundation_Calc!$E$2:$G$33,3,1),""))</f>
        <v>PT</v>
      </c>
      <c r="AY762" s="10">
        <f>IF(L762="","",
IF(AX762="PT",VLOOKUP(L762,Foundation_Calc!$K$79:$R$113,VLOOKUP(AW762,Foundation_Calc!$I$2:$J$8,2,FALSE),0),
IF(AX762="K",VLOOKUP(L762,Foundation_Calc!$K$117:$R$151,VLOOKUP(AW762,Foundation_Calc!$I$2:$J$8,2,FALSE),0),"")))</f>
        <v>3.5</v>
      </c>
      <c r="AZ762" s="10" t="str">
        <f>IF(K762="","",
IF(AX762="PT",VLOOKUP(K762,Foundation_Calc!$K$79:$R$113,VLOOKUP(AW762,Foundation_Calc!$I$2:$J$8,2,FALSE),0),
IF(AX762="K",VLOOKUP(K762,Foundation_Calc!$K$117:$R$151,VLOOKUP(AW762,Foundation_Calc!$I$2:$J$8,2,FALSE),0),"")))</f>
        <v/>
      </c>
      <c r="BA762" s="495" t="str">
        <f t="shared" si="85"/>
        <v>ü</v>
      </c>
      <c r="BB762" s="495" t="str">
        <f t="shared" si="86"/>
        <v/>
      </c>
      <c r="BC762" s="495" t="str">
        <f t="shared" si="87"/>
        <v/>
      </c>
      <c r="BD762" s="513" t="str">
        <f>IF(AND(L762="",H762=""),"",
IF(H762="",Pole_Calc!A$9,
IF(H762="MP",Pole_Calc!A$10,
IF(H762="AnMP",Pole_Calc!A$11,
IF(H762="A",Pole_Calc!A$12,
IF(H762="S/A",Pole_Calc!A$13,
IF(H762="A/S",Pole_Calc!A$14,"Poner a mano")))))))</f>
        <v>App.7-V11I-P9.5.1.1</v>
      </c>
      <c r="BE762" s="429" t="s">
        <v>118</v>
      </c>
      <c r="BF762" s="289"/>
      <c r="BG762" s="289"/>
      <c r="BH762" s="290"/>
      <c r="BI762" s="289"/>
    </row>
    <row r="763" spans="1:61" ht="15.75" customHeight="1">
      <c r="A763" s="514" t="s">
        <v>43</v>
      </c>
      <c r="B763" s="450"/>
      <c r="C763" s="3"/>
      <c r="D763" s="83"/>
      <c r="E763" s="4"/>
      <c r="F763" s="4"/>
      <c r="G763" s="6">
        <v>36</v>
      </c>
      <c r="H763" s="449"/>
      <c r="I763" s="4"/>
      <c r="J763" s="3"/>
      <c r="K763" s="449"/>
      <c r="L763" s="449"/>
      <c r="M763" s="449" t="str">
        <f>IF(L763="","",
IF(AX763="PT",VLOOKUP(L763,Foundation_Calc!$V$79:$X$113,VLOOKUP(AX763,Foundation_Calc!$I$10:$J$13,2,FALSE),0),
IF(AX763="K",VLOOKUP(L763,Foundation_Calc!$V$117:$X$151,VLOOKUP(AX763,Foundation_Calc!$I$10:$J$13,2,FALSE),0),"")))</f>
        <v/>
      </c>
      <c r="N763" s="449"/>
      <c r="O763" s="449"/>
      <c r="P763" s="449"/>
      <c r="Q763" s="4"/>
      <c r="R763" s="6"/>
      <c r="S763" s="6"/>
      <c r="T763" s="4"/>
      <c r="U763" s="4"/>
      <c r="V763" s="4"/>
      <c r="W763" s="572"/>
      <c r="X763" s="9"/>
      <c r="Y763" s="9"/>
      <c r="Z763" s="9"/>
      <c r="AA763" s="9"/>
      <c r="AB763" s="9"/>
      <c r="AC763" s="449" t="str">
        <f t="shared" si="81"/>
        <v/>
      </c>
      <c r="AD763" s="449"/>
      <c r="AE763" s="449"/>
      <c r="AF763" s="4"/>
      <c r="AG763" s="83"/>
      <c r="AH763" s="4"/>
      <c r="AI763" s="4"/>
      <c r="AJ763" s="449"/>
      <c r="AK763" s="449"/>
      <c r="AL763" s="449"/>
      <c r="AM763" s="449"/>
      <c r="AN763" s="10"/>
      <c r="AO763" s="9"/>
      <c r="AP763" s="9"/>
      <c r="AQ763" s="9">
        <f>+FL_2($T$764,$T$762,$G$763,1200,9.28,-1*$F$764)</f>
        <v>-0.3500000000000078</v>
      </c>
      <c r="AR763" s="9"/>
      <c r="AS763" s="9"/>
      <c r="AT763" s="9"/>
      <c r="AU763" s="428"/>
      <c r="AV763" s="428"/>
      <c r="AW763" s="449" t="str">
        <f>IF(C763&gt;0,VLOOKUP(C763,Foundation_Calc!$A$2:$C$13,3,1),
IF(J763&gt;0,VLOOKUP(J763,Foundation_Calc!$A$2:$C$13,3,1),""))</f>
        <v/>
      </c>
      <c r="AX763" s="449" t="str">
        <f>IF(C763&gt;0,VLOOKUP(C763,Foundation_Calc!$E$2:$G$33,3,1),
IF(J763&gt;0,VLOOKUP(J763,Foundation_Calc!$E$2:$G$33,3,1),""))</f>
        <v/>
      </c>
      <c r="AY763" s="10" t="str">
        <f>IF(L763="","",
IF(AX763="PT",VLOOKUP(L763,Foundation_Calc!$K$79:$R$113,VLOOKUP(AW763,Foundation_Calc!$I$2:$J$8,2,FALSE),0),
IF(AX763="K",VLOOKUP(L763,Foundation_Calc!$K$117:$R$151,VLOOKUP(AW763,Foundation_Calc!$I$2:$J$8,2,FALSE),0),"")))</f>
        <v/>
      </c>
      <c r="AZ763" s="10" t="str">
        <f>IF(K763="","",
IF(AX763="PT",VLOOKUP(K763,Foundation_Calc!$K$79:$R$113,VLOOKUP(AW763,Foundation_Calc!$I$2:$J$8,2,FALSE),0),
IF(AX763="K",VLOOKUP(K763,Foundation_Calc!$K$117:$R$151,VLOOKUP(AW763,Foundation_Calc!$I$2:$J$8,2,FALSE),0),"")))</f>
        <v/>
      </c>
      <c r="BA763" s="495" t="str">
        <f t="shared" si="85"/>
        <v/>
      </c>
      <c r="BB763" s="495" t="str">
        <f t="shared" si="86"/>
        <v/>
      </c>
      <c r="BC763" s="495" t="str">
        <f t="shared" si="87"/>
        <v/>
      </c>
      <c r="BD763" s="513" t="str">
        <f>IF(AND(L763="",H763=""),"",
IF(H763="",Pole_Calc!A$9,
IF(H763="MP",Pole_Calc!A$10,
IF(H763="AnMP",Pole_Calc!A$11,
IF(H763="A",Pole_Calc!A$12,
IF(H763="S/A",Pole_Calc!A$13,
IF(H763="A/S",Pole_Calc!A$14,"Poner a mano")))))))</f>
        <v/>
      </c>
      <c r="BE763" s="429" t="s">
        <v>118</v>
      </c>
      <c r="BF763" s="290"/>
      <c r="BG763" s="290"/>
      <c r="BH763" s="290"/>
      <c r="BI763" s="290"/>
    </row>
    <row r="764" spans="1:61" ht="15.75" customHeight="1">
      <c r="A764" s="518"/>
      <c r="B764" s="450" t="s">
        <v>632</v>
      </c>
      <c r="C764" s="3">
        <f>+$C$762+$G$763</f>
        <v>48379.950000000004</v>
      </c>
      <c r="D764" s="83"/>
      <c r="E764" s="4"/>
      <c r="F764" s="4">
        <f>IF(C764&gt;0,VLOOKUP(C764,'ALIGNMENT TRACK'!$A$1:$K$81,9,1))</f>
        <v>0</v>
      </c>
      <c r="G764" s="6"/>
      <c r="H764" s="449"/>
      <c r="I764" s="4"/>
      <c r="J764" s="3"/>
      <c r="K764" s="449"/>
      <c r="L764" s="449" t="s">
        <v>183</v>
      </c>
      <c r="M764" s="449" t="str">
        <f>IF(L764="","",
IF(AX764="PT",VLOOKUP(L764,Foundation_Calc!$V$79:$X$113,VLOOKUP(AX764,Foundation_Calc!$I$10:$J$13,2,FALSE),0),
IF(AX764="K",VLOOKUP(L764,Foundation_Calc!$V$117:$X$151,VLOOKUP(AX764,Foundation_Calc!$I$10:$J$13,2,FALSE),0),"")))</f>
        <v>2C3R</v>
      </c>
      <c r="N764" s="449" t="s">
        <v>134</v>
      </c>
      <c r="O764" s="449"/>
      <c r="P764" s="449"/>
      <c r="Q764" s="4"/>
      <c r="R764" s="6"/>
      <c r="S764" s="6"/>
      <c r="T764" s="4">
        <v>35</v>
      </c>
      <c r="U764" s="4"/>
      <c r="V764" s="4"/>
      <c r="W764" s="572">
        <v>1.1000000000000001</v>
      </c>
      <c r="X764" s="9"/>
      <c r="Y764" s="9"/>
      <c r="Z764" s="9"/>
      <c r="AA764" s="9"/>
      <c r="AB764" s="9"/>
      <c r="AC764" s="449" t="str">
        <f t="shared" si="81"/>
        <v>PHQ</v>
      </c>
      <c r="AD764" s="449"/>
      <c r="AE764" s="449"/>
      <c r="AF764" s="4"/>
      <c r="AG764" s="83"/>
      <c r="AH764" s="4"/>
      <c r="AI764" s="4"/>
      <c r="AJ764" s="449"/>
      <c r="AK764" s="449"/>
      <c r="AL764" s="449"/>
      <c r="AM764" s="449" t="s">
        <v>552</v>
      </c>
      <c r="AN764" s="10">
        <v>5.5</v>
      </c>
      <c r="AO764" s="9"/>
      <c r="AP764" s="9"/>
      <c r="AQ764" s="9"/>
      <c r="AR764" s="9"/>
      <c r="AS764" s="9"/>
      <c r="AT764" s="9">
        <f>+ab($T$764,$T$762,$T$766,$G$763,$G$765,-1*$F$764,1200)</f>
        <v>5.1799230216624164</v>
      </c>
      <c r="AU764" s="428"/>
      <c r="AV764" s="428"/>
      <c r="AW764" s="449" t="str">
        <f>IF(C764&gt;0,VLOOKUP(C764,Foundation_Calc!$A$2:$C$13,3,1),
IF(J764&gt;0,VLOOKUP(J764,Foundation_Calc!$A$2:$C$13,3,1),""))</f>
        <v>Multi Soil</v>
      </c>
      <c r="AX764" s="449" t="str">
        <f>IF(C764&gt;0,VLOOKUP(C764,Foundation_Calc!$E$2:$G$33,3,1),
IF(J764&gt;0,VLOOKUP(J764,Foundation_Calc!$E$2:$G$33,3,1),""))</f>
        <v>PT</v>
      </c>
      <c r="AY764" s="10">
        <f>IF(L764="","",
IF(AX764="PT",VLOOKUP(L764,Foundation_Calc!$K$79:$R$113,VLOOKUP(AW764,Foundation_Calc!$I$2:$J$8,2,FALSE),0),
IF(AX764="K",VLOOKUP(L764,Foundation_Calc!$K$117:$R$151,VLOOKUP(AW764,Foundation_Calc!$I$2:$J$8,2,FALSE),0),"")))</f>
        <v>3.7</v>
      </c>
      <c r="AZ764" s="10" t="str">
        <f>IF(K764="","",
IF(AX764="PT",VLOOKUP(K764,Foundation_Calc!$K$79:$R$113,VLOOKUP(AW764,Foundation_Calc!$I$2:$J$8,2,FALSE),0),
IF(AX764="K",VLOOKUP(K764,Foundation_Calc!$K$117:$R$151,VLOOKUP(AW764,Foundation_Calc!$I$2:$J$8,2,FALSE),0),"")))</f>
        <v/>
      </c>
      <c r="BA764" s="495" t="str">
        <f t="shared" si="85"/>
        <v>ü</v>
      </c>
      <c r="BB764" s="495" t="str">
        <f t="shared" si="86"/>
        <v/>
      </c>
      <c r="BC764" s="495" t="str">
        <f t="shared" si="87"/>
        <v/>
      </c>
      <c r="BD764" s="513" t="str">
        <f>IF(AND(L764="",H764=""),"",
IF(H764="",Pole_Calc!A$9,
IF(H764="MP",Pole_Calc!A$10,
IF(H764="AnMP",Pole_Calc!A$11,
IF(H764="A",Pole_Calc!A$12,
IF(H764="S/A",Pole_Calc!A$13,
IF(H764="A/S",Pole_Calc!A$14,"Poner a mano")))))))</f>
        <v>App.7-V11I-P9.5.1.1</v>
      </c>
      <c r="BE764" s="429" t="s">
        <v>118</v>
      </c>
      <c r="BF764" s="289"/>
      <c r="BG764" s="289"/>
      <c r="BH764" s="290"/>
      <c r="BI764" s="289"/>
    </row>
    <row r="765" spans="1:61" ht="15.75" customHeight="1">
      <c r="A765" s="518"/>
      <c r="B765" s="450"/>
      <c r="C765" s="3"/>
      <c r="D765" s="83"/>
      <c r="E765" s="4"/>
      <c r="F765" s="4"/>
      <c r="G765" s="6">
        <v>40</v>
      </c>
      <c r="H765" s="449"/>
      <c r="I765" s="4"/>
      <c r="J765" s="3"/>
      <c r="K765" s="449"/>
      <c r="L765" s="449"/>
      <c r="M765" s="449" t="str">
        <f>IF(L765="","",
IF(AX765="PT",VLOOKUP(L765,Foundation_Calc!$V$79:$X$113,VLOOKUP(AX765,Foundation_Calc!$I$10:$J$13,2,FALSE),0),
IF(AX765="K",VLOOKUP(L765,Foundation_Calc!$V$117:$X$151,VLOOKUP(AX765,Foundation_Calc!$I$10:$J$13,2,FALSE),0),"")))</f>
        <v/>
      </c>
      <c r="N765" s="561"/>
      <c r="O765" s="449"/>
      <c r="P765" s="449"/>
      <c r="Q765" s="4"/>
      <c r="R765" s="6"/>
      <c r="S765" s="6"/>
      <c r="T765" s="4"/>
      <c r="U765" s="4"/>
      <c r="V765" s="4"/>
      <c r="W765" s="9"/>
      <c r="X765" s="9"/>
      <c r="Y765" s="9"/>
      <c r="Z765" s="9"/>
      <c r="AA765" s="9"/>
      <c r="AB765" s="9"/>
      <c r="AC765" s="449" t="str">
        <f t="shared" si="81"/>
        <v/>
      </c>
      <c r="AD765" s="449"/>
      <c r="AE765" s="449"/>
      <c r="AF765" s="4"/>
      <c r="AG765" s="83"/>
      <c r="AH765" s="4"/>
      <c r="AI765" s="4"/>
      <c r="AJ765" s="449"/>
      <c r="AK765" s="449"/>
      <c r="AL765" s="449"/>
      <c r="AM765" s="449"/>
      <c r="AN765" s="10"/>
      <c r="AO765" s="9"/>
      <c r="AP765" s="9"/>
      <c r="AQ765" s="9">
        <f>+FL_1($T$766,$T$764,$G$765,1200,9.28,-1*$F$766)</f>
        <v>0.35000000000000125</v>
      </c>
      <c r="AR765" s="9"/>
      <c r="AS765" s="9"/>
      <c r="AT765" s="9"/>
      <c r="AU765" s="428"/>
      <c r="AV765" s="428"/>
      <c r="AW765" s="449" t="str">
        <f>IF(C765&gt;0,VLOOKUP(C765,Foundation_Calc!$A$2:$C$13,3,1),
IF(J765&gt;0,VLOOKUP(J765,Foundation_Calc!$A$2:$C$13,3,1),""))</f>
        <v/>
      </c>
      <c r="AX765" s="449" t="str">
        <f>IF(C765&gt;0,VLOOKUP(C765,Foundation_Calc!$E$2:$G$33,3,1),
IF(J765&gt;0,VLOOKUP(J765,Foundation_Calc!$E$2:$G$33,3,1),""))</f>
        <v/>
      </c>
      <c r="AY765" s="10" t="str">
        <f>IF(L765="","",
IF(AX765="PT",VLOOKUP(L765,Foundation_Calc!$K$79:$R$113,VLOOKUP(AW765,Foundation_Calc!$I$2:$J$8,2,FALSE),0),
IF(AX765="K",VLOOKUP(L765,Foundation_Calc!$K$117:$R$151,VLOOKUP(AW765,Foundation_Calc!$I$2:$J$8,2,FALSE),0),"")))</f>
        <v/>
      </c>
      <c r="AZ765" s="10" t="str">
        <f>IF(K765="","",
IF(AX765="PT",VLOOKUP(K765,Foundation_Calc!$K$79:$R$113,VLOOKUP(AW765,Foundation_Calc!$I$2:$J$8,2,FALSE),0),
IF(AX765="K",VLOOKUP(K765,Foundation_Calc!$K$117:$R$151,VLOOKUP(AW765,Foundation_Calc!$I$2:$J$8,2,FALSE),0),"")))</f>
        <v/>
      </c>
      <c r="BA765" s="495" t="str">
        <f t="shared" si="85"/>
        <v/>
      </c>
      <c r="BB765" s="495" t="str">
        <f t="shared" si="86"/>
        <v/>
      </c>
      <c r="BC765" s="495" t="str">
        <f t="shared" si="87"/>
        <v/>
      </c>
      <c r="BD765" s="513" t="str">
        <f>IF(AND(L765="",H765=""),"",
IF(H765="",Pole_Calc!A$9,
IF(H765="MP",Pole_Calc!A$10,
IF(H765="AnMP",Pole_Calc!A$11,
IF(H765="A",Pole_Calc!A$12,
IF(H765="S/A",Pole_Calc!A$13,
IF(H765="A/S",Pole_Calc!A$14,"Poner a mano")))))))</f>
        <v/>
      </c>
      <c r="BE765" s="429" t="s">
        <v>118</v>
      </c>
      <c r="BF765" s="290"/>
      <c r="BG765" s="290"/>
      <c r="BH765" s="290"/>
      <c r="BI765" s="290"/>
    </row>
    <row r="766" spans="1:61" ht="15.75" customHeight="1">
      <c r="A766" s="514"/>
      <c r="B766" s="450" t="s">
        <v>633</v>
      </c>
      <c r="C766" s="3">
        <f>+$C$764+$G$765</f>
        <v>48419.950000000004</v>
      </c>
      <c r="D766" s="83"/>
      <c r="E766" s="4"/>
      <c r="F766" s="4">
        <f>IF(C766&gt;0,VLOOKUP(C766,'ALIGNMENT TRACK'!$A$1:$K$81,9,1))</f>
        <v>0</v>
      </c>
      <c r="G766" s="6"/>
      <c r="H766" s="449"/>
      <c r="I766" s="4"/>
      <c r="J766" s="3"/>
      <c r="K766" s="449"/>
      <c r="L766" s="449" t="s">
        <v>151</v>
      </c>
      <c r="M766" s="449" t="str">
        <f>IF(L766="","",
IF(AX766="PT",VLOOKUP(L766,Foundation_Calc!$V$79:$X$113,VLOOKUP(AX766,Foundation_Calc!$I$10:$J$13,2,FALSE),0),
IF(AX766="K",VLOOKUP(L766,Foundation_Calc!$V$117:$X$151,VLOOKUP(AX766,Foundation_Calc!$I$10:$J$13,2,FALSE),0),"")))</f>
        <v>C4R</v>
      </c>
      <c r="N766" s="449" t="s">
        <v>124</v>
      </c>
      <c r="O766" s="449"/>
      <c r="P766" s="449"/>
      <c r="Q766" s="4"/>
      <c r="R766" s="6"/>
      <c r="S766" s="6"/>
      <c r="T766" s="4">
        <v>-35</v>
      </c>
      <c r="U766" s="4"/>
      <c r="V766" s="4"/>
      <c r="W766" s="572">
        <v>1.2</v>
      </c>
      <c r="X766" s="9"/>
      <c r="Y766" s="9"/>
      <c r="Z766" s="9"/>
      <c r="AA766" s="9"/>
      <c r="AB766" s="9"/>
      <c r="AC766" s="449" t="str">
        <f t="shared" si="81"/>
        <v>PHQ</v>
      </c>
      <c r="AD766" s="449"/>
      <c r="AE766" s="449"/>
      <c r="AF766" s="4"/>
      <c r="AG766" s="83"/>
      <c r="AH766" s="4"/>
      <c r="AI766" s="4"/>
      <c r="AJ766" s="449"/>
      <c r="AK766" s="449"/>
      <c r="AL766" s="449"/>
      <c r="AM766" s="449" t="s">
        <v>552</v>
      </c>
      <c r="AN766" s="10">
        <v>5.5</v>
      </c>
      <c r="AO766" s="9"/>
      <c r="AP766" s="9"/>
      <c r="AQ766" s="9"/>
      <c r="AR766" s="9"/>
      <c r="AS766" s="9"/>
      <c r="AT766" s="9">
        <f>+ab($T$766,$T$764,$T$768,$G$765,$G$767,-1*$F$766,1200)</f>
        <v>-5.785420654835403</v>
      </c>
      <c r="AU766" s="428"/>
      <c r="AV766" s="428"/>
      <c r="AW766" s="449" t="str">
        <f>IF(C766&gt;0,VLOOKUP(C766,Foundation_Calc!$A$2:$C$13,3,1),
IF(J766&gt;0,VLOOKUP(J766,Foundation_Calc!$A$2:$C$13,3,1),""))</f>
        <v>Multi Soil</v>
      </c>
      <c r="AX766" s="449" t="str">
        <f>IF(C766&gt;0,VLOOKUP(C766,Foundation_Calc!$E$2:$G$33,3,1),
IF(J766&gt;0,VLOOKUP(J766,Foundation_Calc!$E$2:$G$33,3,1),""))</f>
        <v>PT</v>
      </c>
      <c r="AY766" s="10">
        <f>IF(L766="","",
IF(AX766="PT",VLOOKUP(L766,Foundation_Calc!$K$79:$R$113,VLOOKUP(AW766,Foundation_Calc!$I$2:$J$8,2,FALSE),0),
IF(AX766="K",VLOOKUP(L766,Foundation_Calc!$K$117:$R$151,VLOOKUP(AW766,Foundation_Calc!$I$2:$J$8,2,FALSE),0),"")))</f>
        <v>3.5</v>
      </c>
      <c r="AZ766" s="10" t="str">
        <f>IF(K766="","",
IF(AX766="PT",VLOOKUP(K766,Foundation_Calc!$K$79:$R$113,VLOOKUP(AW766,Foundation_Calc!$I$2:$J$8,2,FALSE),0),
IF(AX766="K",VLOOKUP(K766,Foundation_Calc!$K$117:$R$151,VLOOKUP(AW766,Foundation_Calc!$I$2:$J$8,2,FALSE),0),"")))</f>
        <v/>
      </c>
      <c r="BA766" s="495" t="str">
        <f t="shared" si="85"/>
        <v>ü</v>
      </c>
      <c r="BB766" s="495" t="str">
        <f t="shared" si="86"/>
        <v/>
      </c>
      <c r="BC766" s="495" t="str">
        <f t="shared" si="87"/>
        <v/>
      </c>
      <c r="BD766" s="513" t="str">
        <f>IF(AND(L766="",H766=""),"",
IF(H766="",Pole_Calc!A$9,
IF(H766="MP",Pole_Calc!A$10,
IF(H766="AnMP",Pole_Calc!A$11,
IF(H766="A",Pole_Calc!A$12,
IF(H766="S/A",Pole_Calc!A$13,
IF(H766="A/S",Pole_Calc!A$14,"Poner a mano")))))))</f>
        <v>App.7-V11I-P9.5.1.1</v>
      </c>
      <c r="BE766" s="429" t="s">
        <v>118</v>
      </c>
      <c r="BF766" s="289"/>
      <c r="BG766" s="289"/>
      <c r="BH766" s="290"/>
      <c r="BI766" s="289"/>
    </row>
    <row r="767" spans="1:61" ht="15.75" customHeight="1">
      <c r="A767" s="514"/>
      <c r="B767" s="450"/>
      <c r="C767" s="3"/>
      <c r="D767" s="83"/>
      <c r="E767" s="4"/>
      <c r="F767" s="4"/>
      <c r="G767" s="6">
        <v>45</v>
      </c>
      <c r="H767" s="449"/>
      <c r="I767" s="4"/>
      <c r="J767" s="3">
        <f>C768-7.5</f>
        <v>48457.450000000004</v>
      </c>
      <c r="K767" s="449" t="s">
        <v>117</v>
      </c>
      <c r="L767" s="449"/>
      <c r="M767" s="449" t="str">
        <f>IF(L767="","",
IF(AX767="PT",VLOOKUP(L767,Foundation_Calc!$V$79:$X$113,VLOOKUP(AX767,Foundation_Calc!$I$10:$J$13,2,FALSE),0),
IF(AX767="K",VLOOKUP(L767,Foundation_Calc!$V$117:$X$151,VLOOKUP(AX767,Foundation_Calc!$I$10:$J$13,2,FALSE),0),"")))</f>
        <v/>
      </c>
      <c r="N767" s="449"/>
      <c r="O767" s="449"/>
      <c r="P767" s="449"/>
      <c r="Q767" s="4"/>
      <c r="R767" s="6"/>
      <c r="S767" s="6"/>
      <c r="T767" s="4"/>
      <c r="U767" s="4"/>
      <c r="V767" s="4"/>
      <c r="W767" s="9"/>
      <c r="X767" s="9"/>
      <c r="Y767" s="9"/>
      <c r="Z767" s="9"/>
      <c r="AA767" s="9"/>
      <c r="AB767" s="9"/>
      <c r="AC767" s="449" t="str">
        <f t="shared" si="81"/>
        <v/>
      </c>
      <c r="AD767" s="449"/>
      <c r="AE767" s="449"/>
      <c r="AF767" s="4"/>
      <c r="AG767" s="83"/>
      <c r="AH767" s="4"/>
      <c r="AI767" s="4"/>
      <c r="AJ767" s="449"/>
      <c r="AK767" s="449"/>
      <c r="AL767" s="449"/>
      <c r="AM767" s="449"/>
      <c r="AN767" s="10"/>
      <c r="AO767" s="9"/>
      <c r="AP767" s="9"/>
      <c r="AQ767" s="9">
        <f>+FL_1($T$768,$T$766,$G$767,1200,9.28,-1*$F$768)</f>
        <v>0.35219954355555555</v>
      </c>
      <c r="AR767" s="9"/>
      <c r="AS767" s="9"/>
      <c r="AT767" s="9"/>
      <c r="AU767" s="428"/>
      <c r="AV767" s="428"/>
      <c r="AW767" s="449" t="str">
        <f>IF(C767&gt;0,VLOOKUP(C767,Foundation_Calc!$A$2:$C$13,3,1),
IF(J767&gt;0,VLOOKUP(J767,Foundation_Calc!$A$2:$C$13,3,1),""))</f>
        <v>Multi Soil</v>
      </c>
      <c r="AX767" s="449" t="str">
        <f>IF(C767&gt;0,VLOOKUP(C767,Foundation_Calc!$E$2:$G$33,3,1),
IF(J767&gt;0,VLOOKUP(J767,Foundation_Calc!$E$2:$G$33,3,1),""))</f>
        <v>PT</v>
      </c>
      <c r="AY767" s="10" t="str">
        <f>IF(L767="","",
IF(AX767="PT",VLOOKUP(L767,Foundation_Calc!$K$79:$R$113,VLOOKUP(AW767,Foundation_Calc!$I$2:$J$8,2,FALSE),0),
IF(AX767="K",VLOOKUP(L767,Foundation_Calc!$K$117:$R$151,VLOOKUP(AW767,Foundation_Calc!$I$2:$J$8,2,FALSE),0),"")))</f>
        <v/>
      </c>
      <c r="AZ767" s="10">
        <f>IF(K767="","",
IF(AX767="PT",VLOOKUP(K767,Foundation_Calc!$K$79:$R$113,VLOOKUP(AW767,Foundation_Calc!$I$2:$J$8,2,FALSE),0),
IF(AX767="K",VLOOKUP(K767,Foundation_Calc!$K$117:$R$151,VLOOKUP(AW767,Foundation_Calc!$I$2:$J$8,2,FALSE),0),"")))</f>
        <v>3.9</v>
      </c>
      <c r="BA767" s="495" t="str">
        <f t="shared" si="85"/>
        <v/>
      </c>
      <c r="BB767" s="495" t="str">
        <f t="shared" si="86"/>
        <v>ü</v>
      </c>
      <c r="BC767" s="495" t="str">
        <f t="shared" si="87"/>
        <v/>
      </c>
      <c r="BD767" s="513" t="str">
        <f>IF(AND(L767="",H767=""),"",
IF(H767="",Pole_Calc!A$9,
IF(H767="MP",Pole_Calc!A$10,
IF(H767="AnMP",Pole_Calc!A$11,
IF(H767="A",Pole_Calc!A$12,
IF(H767="S/A",Pole_Calc!A$13,
IF(H767="A/S",Pole_Calc!A$14,"Poner a mano")))))))</f>
        <v/>
      </c>
      <c r="BE767" s="429" t="s">
        <v>118</v>
      </c>
      <c r="BF767" s="290"/>
      <c r="BG767" s="290"/>
      <c r="BH767" s="290"/>
      <c r="BI767" s="290"/>
    </row>
    <row r="768" spans="1:61" ht="15.75" customHeight="1">
      <c r="A768" s="514"/>
      <c r="B768" s="450" t="s">
        <v>634</v>
      </c>
      <c r="C768" s="3">
        <f>+$C$766+$G$767</f>
        <v>48464.950000000004</v>
      </c>
      <c r="D768" s="83"/>
      <c r="E768" s="4"/>
      <c r="F768" s="4">
        <f>IF(C768&gt;0,VLOOKUP(C768,'ALIGNMENT TRACK'!$A$1:$K$81,9,1))</f>
        <v>0</v>
      </c>
      <c r="G768" s="6"/>
      <c r="H768" s="449" t="s">
        <v>121</v>
      </c>
      <c r="I768" s="4" t="s">
        <v>122</v>
      </c>
      <c r="J768" s="3"/>
      <c r="K768" s="449"/>
      <c r="L768" s="449" t="s">
        <v>151</v>
      </c>
      <c r="M768" s="449" t="str">
        <f>IF(L768="","",
IF(AX768="PT",VLOOKUP(L768,Foundation_Calc!$V$79:$X$113,VLOOKUP(AX768,Foundation_Calc!$I$10:$J$13,2,FALSE),0),
IF(AX768="K",VLOOKUP(L768,Foundation_Calc!$V$117:$X$151,VLOOKUP(AX768,Foundation_Calc!$I$10:$J$13,2,FALSE),0),"")))</f>
        <v>C4R</v>
      </c>
      <c r="N768" s="449" t="s">
        <v>134</v>
      </c>
      <c r="O768" s="449"/>
      <c r="P768" s="449"/>
      <c r="Q768" s="4"/>
      <c r="R768" s="6"/>
      <c r="S768" s="6"/>
      <c r="T768" s="4">
        <v>35</v>
      </c>
      <c r="U768" s="4"/>
      <c r="V768" s="4"/>
      <c r="W768" s="9">
        <v>1.4</v>
      </c>
      <c r="X768" s="9"/>
      <c r="Y768" s="9"/>
      <c r="Z768" s="9"/>
      <c r="AA768" s="9"/>
      <c r="AB768" s="9"/>
      <c r="AC768" s="449" t="str">
        <f t="shared" si="81"/>
        <v>PHQ</v>
      </c>
      <c r="AD768" s="449"/>
      <c r="AE768" s="449"/>
      <c r="AF768" s="4"/>
      <c r="AG768" s="83"/>
      <c r="AH768" s="4"/>
      <c r="AI768" s="4"/>
      <c r="AJ768" s="449"/>
      <c r="AK768" s="449"/>
      <c r="AL768" s="449"/>
      <c r="AM768" s="449" t="s">
        <v>552</v>
      </c>
      <c r="AN768" s="10">
        <v>5.5</v>
      </c>
      <c r="AO768" s="9"/>
      <c r="AP768" s="9"/>
      <c r="AQ768" s="9"/>
      <c r="AR768" s="9"/>
      <c r="AS768" s="9"/>
      <c r="AT768" s="9">
        <f>+ab($T$768,$T$766,$U$770,$G$767,$G$769,-1*$F$768,1200)</f>
        <v>6.6894041162494577</v>
      </c>
      <c r="AU768" s="428"/>
      <c r="AV768" s="428"/>
      <c r="AW768" s="449" t="str">
        <f>IF(C768&gt;0,VLOOKUP(C768,Foundation_Calc!$A$2:$C$13,3,1),
IF(J768&gt;0,VLOOKUP(J768,Foundation_Calc!$A$2:$C$13,3,1),""))</f>
        <v>Multi Soil</v>
      </c>
      <c r="AX768" s="449" t="str">
        <f>IF(C768&gt;0,VLOOKUP(C768,Foundation_Calc!$E$2:$G$33,3,1),
IF(J768&gt;0,VLOOKUP(J768,Foundation_Calc!$E$2:$G$33,3,1),""))</f>
        <v>PT</v>
      </c>
      <c r="AY768" s="10">
        <f>IF(L768="","",
IF(AX768="PT",VLOOKUP(L768,Foundation_Calc!$K$79:$R$113,VLOOKUP(AW768,Foundation_Calc!$I$2:$J$8,2,FALSE),0),
IF(AX768="K",VLOOKUP(L768,Foundation_Calc!$K$117:$R$151,VLOOKUP(AW768,Foundation_Calc!$I$2:$J$8,2,FALSE),0),"")))</f>
        <v>3.5</v>
      </c>
      <c r="AZ768" s="10" t="str">
        <f>IF(K768="","",
IF(AX768="PT",VLOOKUP(K768,Foundation_Calc!$K$79:$R$113,VLOOKUP(AW768,Foundation_Calc!$I$2:$J$8,2,FALSE),0),
IF(AX768="K",VLOOKUP(K768,Foundation_Calc!$K$117:$R$151,VLOOKUP(AW768,Foundation_Calc!$I$2:$J$8,2,FALSE),0),"")))</f>
        <v/>
      </c>
      <c r="BA768" s="495" t="str">
        <f t="shared" si="85"/>
        <v>ü</v>
      </c>
      <c r="BB768" s="495" t="str">
        <f t="shared" si="86"/>
        <v/>
      </c>
      <c r="BC768" s="495" t="str">
        <f t="shared" si="87"/>
        <v/>
      </c>
      <c r="BD768" s="513" t="str">
        <f>IF(AND(L768="",H768=""),"",
IF(H768="",Pole_Calc!A$9,
IF(H768="MP",Pole_Calc!A$10,
IF(H768="AnMP",Pole_Calc!A$11,
IF(H768="A",Pole_Calc!A$12,
IF(H768="S/A",Pole_Calc!A$13,
IF(H768="A/S",Pole_Calc!A$14,"Poner a mano")))))))</f>
        <v>App.7-V11I-P9.5.1.6</v>
      </c>
      <c r="BE768" s="429" t="s">
        <v>118</v>
      </c>
      <c r="BF768" s="289"/>
      <c r="BG768" s="289"/>
      <c r="BH768" s="290"/>
      <c r="BI768" s="289"/>
    </row>
    <row r="769" spans="1:61" ht="15.75" customHeight="1">
      <c r="A769" s="514"/>
      <c r="B769" s="450"/>
      <c r="C769" s="3"/>
      <c r="D769" s="83"/>
      <c r="E769" s="4"/>
      <c r="F769" s="4"/>
      <c r="G769" s="6">
        <v>50</v>
      </c>
      <c r="H769" s="449"/>
      <c r="I769" s="4"/>
      <c r="J769" s="3"/>
      <c r="K769" s="449"/>
      <c r="L769" s="449"/>
      <c r="M769" s="449" t="str">
        <f>IF(L769="","",
IF(AX769="PT",VLOOKUP(L769,Foundation_Calc!$V$79:$X$113,VLOOKUP(AX769,Foundation_Calc!$I$10:$J$13,2,FALSE),0),
IF(AX769="K",VLOOKUP(L769,Foundation_Calc!$V$117:$X$151,VLOOKUP(AX769,Foundation_Calc!$I$10:$J$13,2,FALSE),0),"")))</f>
        <v/>
      </c>
      <c r="N769" s="449"/>
      <c r="O769" s="449"/>
      <c r="P769" s="449"/>
      <c r="Q769" s="4"/>
      <c r="R769" s="6"/>
      <c r="S769" s="6"/>
      <c r="T769" s="4"/>
      <c r="U769" s="4"/>
      <c r="V769" s="4"/>
      <c r="W769" s="9"/>
      <c r="X769" s="9"/>
      <c r="Y769" s="9"/>
      <c r="Z769" s="9"/>
      <c r="AA769" s="9"/>
      <c r="AB769" s="9"/>
      <c r="AC769" s="449" t="str">
        <f t="shared" si="81"/>
        <v/>
      </c>
      <c r="AD769" s="449"/>
      <c r="AE769" s="449"/>
      <c r="AF769" s="4"/>
      <c r="AG769" s="83"/>
      <c r="AH769" s="4"/>
      <c r="AI769" s="4"/>
      <c r="AJ769" s="449"/>
      <c r="AK769" s="449"/>
      <c r="AL769" s="449"/>
      <c r="AM769" s="449"/>
      <c r="AN769" s="10"/>
      <c r="AO769" s="9"/>
      <c r="AP769" s="9"/>
      <c r="AQ769" s="9">
        <f>+FL_1($U$770,$T$768,$G$769,1200,9.28,-1*$F$770)</f>
        <v>0.37593390799999998</v>
      </c>
      <c r="AR769" s="9"/>
      <c r="AS769" s="9"/>
      <c r="AT769" s="9"/>
      <c r="AU769" s="428"/>
      <c r="AV769" s="428"/>
      <c r="AW769" s="449" t="str">
        <f>IF(C769&gt;0,VLOOKUP(C769,Foundation_Calc!$A$2:$C$13,3,1),
IF(J769&gt;0,VLOOKUP(J769,Foundation_Calc!$A$2:$C$13,3,1),""))</f>
        <v/>
      </c>
      <c r="AX769" s="449" t="str">
        <f>IF(C769&gt;0,VLOOKUP(C769,Foundation_Calc!$E$2:$G$33,3,1),
IF(J769&gt;0,VLOOKUP(J769,Foundation_Calc!$E$2:$G$33,3,1),""))</f>
        <v/>
      </c>
      <c r="AY769" s="10" t="str">
        <f>IF(L769="","",
IF(AX769="PT",VLOOKUP(L769,Foundation_Calc!$K$79:$R$113,VLOOKUP(AW769,Foundation_Calc!$I$2:$J$8,2,FALSE),0),
IF(AX769="K",VLOOKUP(L769,Foundation_Calc!$K$117:$R$151,VLOOKUP(AW769,Foundation_Calc!$I$2:$J$8,2,FALSE),0),"")))</f>
        <v/>
      </c>
      <c r="AZ769" s="10" t="str">
        <f>IF(K769="","",
IF(AX769="PT",VLOOKUP(K769,Foundation_Calc!$K$79:$R$113,VLOOKUP(AW769,Foundation_Calc!$I$2:$J$8,2,FALSE),0),
IF(AX769="K",VLOOKUP(K769,Foundation_Calc!$K$117:$R$151,VLOOKUP(AW769,Foundation_Calc!$I$2:$J$8,2,FALSE),0),"")))</f>
        <v/>
      </c>
      <c r="BA769" s="495" t="str">
        <f t="shared" si="85"/>
        <v/>
      </c>
      <c r="BB769" s="495" t="str">
        <f t="shared" si="86"/>
        <v/>
      </c>
      <c r="BC769" s="495" t="str">
        <f t="shared" si="87"/>
        <v/>
      </c>
      <c r="BD769" s="513" t="str">
        <f>IF(AND(L769="",H769=""),"",
IF(H769="",Pole_Calc!A$9,
IF(H769="MP",Pole_Calc!A$10,
IF(H769="AnMP",Pole_Calc!A$11,
IF(H769="A",Pole_Calc!A$12,
IF(H769="S/A",Pole_Calc!A$13,
IF(H769="A/S",Pole_Calc!A$14,"Poner a mano")))))))</f>
        <v/>
      </c>
      <c r="BE769" s="429" t="s">
        <v>118</v>
      </c>
      <c r="BF769" s="290"/>
      <c r="BG769" s="290"/>
      <c r="BH769" s="290"/>
      <c r="BI769" s="290"/>
    </row>
    <row r="770" spans="1:61" ht="15.75" customHeight="1">
      <c r="A770" s="899" t="s">
        <v>635</v>
      </c>
      <c r="B770" s="450" t="s">
        <v>636</v>
      </c>
      <c r="C770" s="3">
        <f>+$C$768+$G$769</f>
        <v>48514.950000000004</v>
      </c>
      <c r="D770" s="83"/>
      <c r="E770" s="4"/>
      <c r="F770" s="4">
        <f>IF(C770&gt;0,VLOOKUP(C770,'ALIGNMENT TRACK'!$A$1:$K$81,9,1))</f>
        <v>0</v>
      </c>
      <c r="G770" s="6"/>
      <c r="H770" s="449" t="s">
        <v>131</v>
      </c>
      <c r="I770" s="4" t="s">
        <v>132</v>
      </c>
      <c r="J770" s="3"/>
      <c r="K770" s="449"/>
      <c r="L770" s="449" t="s">
        <v>183</v>
      </c>
      <c r="M770" s="449" t="str">
        <f>IF(L770="","",
IF(AX770="PT",VLOOKUP(L770,Foundation_Calc!$V$79:$X$113,VLOOKUP(AX770,Foundation_Calc!$I$10:$J$13,2,FALSE),0),
IF(AX770="K",VLOOKUP(L770,Foundation_Calc!$V$117:$X$151,VLOOKUP(AX770,Foundation_Calc!$I$10:$J$13,2,FALSE),0),"")))</f>
        <v>2C3R</v>
      </c>
      <c r="N770" s="449" t="s">
        <v>133</v>
      </c>
      <c r="O770" s="449" t="s">
        <v>124</v>
      </c>
      <c r="P770" s="449"/>
      <c r="Q770" s="4"/>
      <c r="R770" s="6"/>
      <c r="S770" s="6"/>
      <c r="T770" s="4">
        <v>15</v>
      </c>
      <c r="U770" s="4">
        <v>-30</v>
      </c>
      <c r="V770" s="4"/>
      <c r="W770" s="9">
        <v>1.4</v>
      </c>
      <c r="X770" s="9">
        <v>2.2999999999999998</v>
      </c>
      <c r="Y770" s="9"/>
      <c r="Z770" s="9">
        <v>0.5</v>
      </c>
      <c r="AA770" s="9"/>
      <c r="AB770" s="9"/>
      <c r="AC770" s="449"/>
      <c r="AD770" s="449"/>
      <c r="AE770" s="449"/>
      <c r="AF770" s="4"/>
      <c r="AG770" s="83"/>
      <c r="AH770" s="4"/>
      <c r="AI770" s="4"/>
      <c r="AJ770" s="449" t="s">
        <v>290</v>
      </c>
      <c r="AK770" s="449"/>
      <c r="AL770" s="449"/>
      <c r="AM770" s="449" t="s">
        <v>552</v>
      </c>
      <c r="AN770" s="10">
        <v>5.5</v>
      </c>
      <c r="AO770" s="9"/>
      <c r="AP770" s="9"/>
      <c r="AQ770" s="9"/>
      <c r="AR770" s="9"/>
      <c r="AS770" s="9"/>
      <c r="AT770" s="9">
        <f>+ab($U$770,$T$768,$U$772,$G$769,$G$771,-1*$F$770,1200)</f>
        <v>-12.021730166314132</v>
      </c>
      <c r="AU770" s="428"/>
      <c r="AV770" s="428"/>
      <c r="AW770" s="449" t="str">
        <f>IF(C770&gt;0,VLOOKUP(C770,Foundation_Calc!$A$2:$C$13,3,1),
IF(J770&gt;0,VLOOKUP(J770,Foundation_Calc!$A$2:$C$13,3,1),""))</f>
        <v>Multi Soil</v>
      </c>
      <c r="AX770" s="449" t="str">
        <f>IF(C770&gt;0,VLOOKUP(C770,Foundation_Calc!$E$2:$G$33,3,1),
IF(J770&gt;0,VLOOKUP(J770,Foundation_Calc!$E$2:$G$33,3,1),""))</f>
        <v>PT</v>
      </c>
      <c r="AY770" s="10">
        <f>IF(L770="","",
IF(AX770="PT",VLOOKUP(L770,Foundation_Calc!$K$79:$R$113,VLOOKUP(AW770,Foundation_Calc!$I$2:$J$8,2,FALSE),0),
IF(AX770="K",VLOOKUP(L770,Foundation_Calc!$K$117:$R$151,VLOOKUP(AW770,Foundation_Calc!$I$2:$J$8,2,FALSE),0),"")))</f>
        <v>3.7</v>
      </c>
      <c r="AZ770" s="10" t="str">
        <f>IF(K770="","",
IF(AX770="PT",VLOOKUP(K770,Foundation_Calc!$K$79:$R$113,VLOOKUP(AW770,Foundation_Calc!$I$2:$J$8,2,FALSE),0),
IF(AX770="K",VLOOKUP(K770,Foundation_Calc!$K$117:$R$151,VLOOKUP(AW770,Foundation_Calc!$I$2:$J$8,2,FALSE),0),"")))</f>
        <v/>
      </c>
      <c r="BA770" s="495" t="str">
        <f t="shared" si="85"/>
        <v>ü</v>
      </c>
      <c r="BB770" s="495" t="str">
        <f t="shared" si="86"/>
        <v/>
      </c>
      <c r="BC770" s="495" t="str">
        <f t="shared" si="87"/>
        <v/>
      </c>
      <c r="BD770" s="513" t="str">
        <f>IF(AND(L770="",H770=""),"",
IF(H770="",Pole_Calc!A$9,
IF(H770="MP",Pole_Calc!A$10,
IF(H770="AnMP",Pole_Calc!A$11,
IF(H770="A",Pole_Calc!A$12,
IF(H770="S/A",Pole_Calc!A$13,
IF(H770="A/S",Pole_Calc!A$14,"Poner a mano")))))))</f>
        <v>App.7-V11I-P9.5.1.5</v>
      </c>
      <c r="BE770" s="429" t="s">
        <v>118</v>
      </c>
      <c r="BF770" s="289"/>
      <c r="BG770" s="289"/>
      <c r="BH770" s="290"/>
      <c r="BI770" s="289"/>
    </row>
    <row r="771" spans="1:61" ht="15.75" customHeight="1">
      <c r="A771" s="518"/>
      <c r="B771" s="450"/>
      <c r="C771" s="3"/>
      <c r="D771" s="83"/>
      <c r="E771" s="4"/>
      <c r="F771" s="4"/>
      <c r="G771" s="6">
        <v>55</v>
      </c>
      <c r="H771" s="449"/>
      <c r="I771" s="4"/>
      <c r="J771" s="3"/>
      <c r="K771" s="449"/>
      <c r="L771" s="449"/>
      <c r="M771" s="449" t="str">
        <f>IF(L771="","",
IF(AX771="PT",VLOOKUP(L771,Foundation_Calc!$V$79:$X$113,VLOOKUP(AX771,Foundation_Calc!$I$10:$J$13,2,FALSE),0),
IF(AX771="K",VLOOKUP(L771,Foundation_Calc!$V$117:$X$151,VLOOKUP(AX771,Foundation_Calc!$I$10:$J$13,2,FALSE),0),"")))</f>
        <v/>
      </c>
      <c r="N771" s="561"/>
      <c r="O771" s="449"/>
      <c r="P771" s="449"/>
      <c r="Q771" s="4"/>
      <c r="R771" s="6"/>
      <c r="S771" s="6"/>
      <c r="T771" s="4"/>
      <c r="U771" s="4"/>
      <c r="V771" s="4"/>
      <c r="W771" s="9"/>
      <c r="X771" s="9"/>
      <c r="Y771" s="9"/>
      <c r="Z771" s="9"/>
      <c r="AA771" s="9"/>
      <c r="AB771" s="9"/>
      <c r="AC771" s="449" t="str">
        <f t="shared" si="81"/>
        <v/>
      </c>
      <c r="AD771" s="449"/>
      <c r="AE771" s="449"/>
      <c r="AF771" s="4"/>
      <c r="AG771" s="83"/>
      <c r="AH771" s="4"/>
      <c r="AI771" s="4"/>
      <c r="AJ771" s="449"/>
      <c r="AK771" s="449"/>
      <c r="AL771" s="449"/>
      <c r="AM771" s="449"/>
      <c r="AN771" s="10"/>
      <c r="AO771" s="9"/>
      <c r="AP771" s="9"/>
      <c r="AQ771" s="9">
        <f>+FL_1($T$772,$U$770,$G$771,1200,9.28,-1*$F$772)</f>
        <v>0.36936166072727272</v>
      </c>
      <c r="AR771" s="9"/>
      <c r="AS771" s="9"/>
      <c r="AT771" s="9"/>
      <c r="AU771" s="428"/>
      <c r="AV771" s="428"/>
      <c r="AW771" s="449" t="str">
        <f>IF(C771&gt;0,VLOOKUP(C771,Foundation_Calc!$A$2:$C$13,3,1),
IF(J771&gt;0,VLOOKUP(J771,Foundation_Calc!$A$2:$C$13,3,1),""))</f>
        <v/>
      </c>
      <c r="AX771" s="449" t="str">
        <f>IF(C771&gt;0,VLOOKUP(C771,Foundation_Calc!$E$2:$G$33,3,1),
IF(J771&gt;0,VLOOKUP(J771,Foundation_Calc!$E$2:$G$33,3,1),""))</f>
        <v/>
      </c>
      <c r="AY771" s="10" t="str">
        <f>IF(L771="","",
IF(AX771="PT",VLOOKUP(L771,Foundation_Calc!$K$79:$R$113,VLOOKUP(AW771,Foundation_Calc!$I$2:$J$8,2,FALSE),0),
IF(AX771="K",VLOOKUP(L771,Foundation_Calc!$K$117:$R$151,VLOOKUP(AW771,Foundation_Calc!$I$2:$J$8,2,FALSE),0),"")))</f>
        <v/>
      </c>
      <c r="AZ771" s="10" t="str">
        <f>IF(K771="","",
IF(AX771="PT",VLOOKUP(K771,Foundation_Calc!$K$79:$R$113,VLOOKUP(AW771,Foundation_Calc!$I$2:$J$8,2,FALSE),0),
IF(AX771="K",VLOOKUP(K771,Foundation_Calc!$K$117:$R$151,VLOOKUP(AW771,Foundation_Calc!$I$2:$J$8,2,FALSE),0),"")))</f>
        <v/>
      </c>
      <c r="BA771" s="495" t="str">
        <f t="shared" si="85"/>
        <v/>
      </c>
      <c r="BB771" s="495" t="str">
        <f t="shared" si="86"/>
        <v/>
      </c>
      <c r="BC771" s="495" t="str">
        <f t="shared" si="87"/>
        <v/>
      </c>
      <c r="BD771" s="513" t="str">
        <f>IF(AND(L771="",H771=""),"",
IF(H771="",Pole_Calc!A$9,
IF(H771="MP",Pole_Calc!A$10,
IF(H771="AnMP",Pole_Calc!A$11,
IF(H771="A",Pole_Calc!A$12,
IF(H771="S/A",Pole_Calc!A$13,
IF(H771="A/S",Pole_Calc!A$14,"Poner a mano")))))))</f>
        <v/>
      </c>
      <c r="BE771" s="429" t="s">
        <v>118</v>
      </c>
      <c r="BF771" s="290"/>
      <c r="BG771" s="290"/>
      <c r="BH771" s="290"/>
      <c r="BI771" s="290"/>
    </row>
    <row r="772" spans="1:61" ht="15.75" customHeight="1">
      <c r="A772" s="514"/>
      <c r="B772" s="450" t="s">
        <v>637</v>
      </c>
      <c r="C772" s="3">
        <f>+$C$770+$G$771</f>
        <v>48569.950000000004</v>
      </c>
      <c r="D772" s="83"/>
      <c r="E772" s="4"/>
      <c r="F772" s="4">
        <f>IF(C772&gt;0,VLOOKUP(C772,'ALIGNMENT TRACK'!$A$1:$K$81,9,1))</f>
        <v>0</v>
      </c>
      <c r="G772" s="6"/>
      <c r="H772" s="449" t="s">
        <v>131</v>
      </c>
      <c r="I772" s="4"/>
      <c r="J772" s="3"/>
      <c r="K772" s="449"/>
      <c r="L772" s="449" t="s">
        <v>158</v>
      </c>
      <c r="M772" s="449" t="str">
        <f>IF(L772="","",
IF(AX772="PT",VLOOKUP(L772,Foundation_Calc!$V$79:$X$113,VLOOKUP(AX772,Foundation_Calc!$I$10:$J$13,2,FALSE),0),
IF(AX772="K",VLOOKUP(L772,Foundation_Calc!$V$117:$X$151,VLOOKUP(AX772,Foundation_Calc!$I$10:$J$13,2,FALSE),0),"")))</f>
        <v>C4R</v>
      </c>
      <c r="N772" s="449" t="s">
        <v>134</v>
      </c>
      <c r="O772" s="449" t="s">
        <v>133</v>
      </c>
      <c r="P772" s="449"/>
      <c r="Q772" s="4"/>
      <c r="R772" s="6"/>
      <c r="S772" s="6"/>
      <c r="T772" s="4">
        <v>30</v>
      </c>
      <c r="U772" s="4">
        <v>-15</v>
      </c>
      <c r="V772" s="4"/>
      <c r="W772" s="9">
        <v>1.4</v>
      </c>
      <c r="X772" s="9">
        <v>2.2999999999999998</v>
      </c>
      <c r="Y772" s="9"/>
      <c r="Z772" s="9"/>
      <c r="AA772" s="9">
        <v>0.5</v>
      </c>
      <c r="AB772" s="9"/>
      <c r="AC772" s="449" t="str">
        <f t="shared" si="81"/>
        <v>PH</v>
      </c>
      <c r="AD772" s="449"/>
      <c r="AE772" s="449"/>
      <c r="AF772" s="4"/>
      <c r="AG772" s="83"/>
      <c r="AH772" s="4"/>
      <c r="AI772" s="4"/>
      <c r="AJ772" s="449"/>
      <c r="AK772" s="449"/>
      <c r="AL772" s="449"/>
      <c r="AM772" s="449" t="s">
        <v>552</v>
      </c>
      <c r="AN772" s="10">
        <v>5.5</v>
      </c>
      <c r="AO772" s="9"/>
      <c r="AP772" s="9"/>
      <c r="AQ772" s="9"/>
      <c r="AR772" s="9"/>
      <c r="AS772" s="9"/>
      <c r="AT772" s="9">
        <f>+ab($T$772,$T$770,$T$774,$G$771,$G$773,-1*$F$772,1200)</f>
        <v>13.873057573110419</v>
      </c>
      <c r="AU772" s="428"/>
      <c r="AV772" s="428"/>
      <c r="AW772" s="449" t="str">
        <f>IF(C772&gt;0,VLOOKUP(C772,Foundation_Calc!$A$2:$C$13,3,1),
IF(J772&gt;0,VLOOKUP(J772,Foundation_Calc!$A$2:$C$13,3,1),""))</f>
        <v>Multi Soil</v>
      </c>
      <c r="AX772" s="449" t="str">
        <f>IF(C772&gt;0,VLOOKUP(C772,Foundation_Calc!$E$2:$G$33,3,1),
IF(J772&gt;0,VLOOKUP(J772,Foundation_Calc!$E$2:$G$33,3,1),""))</f>
        <v>PT</v>
      </c>
      <c r="AY772" s="10">
        <f>IF(L772="","",
IF(AX772="PT",VLOOKUP(L772,Foundation_Calc!$K$79:$R$113,VLOOKUP(AW772,Foundation_Calc!$I$2:$J$8,2,FALSE),0),
IF(AX772="K",VLOOKUP(L772,Foundation_Calc!$K$117:$R$151,VLOOKUP(AW772,Foundation_Calc!$I$2:$J$8,2,FALSE),0),"")))</f>
        <v>3.5</v>
      </c>
      <c r="AZ772" s="10" t="str">
        <f>IF(K772="","",
IF(AX772="PT",VLOOKUP(K772,Foundation_Calc!$K$79:$R$113,VLOOKUP(AW772,Foundation_Calc!$I$2:$J$8,2,FALSE),0),
IF(AX772="K",VLOOKUP(K772,Foundation_Calc!$K$117:$R$151,VLOOKUP(AW772,Foundation_Calc!$I$2:$J$8,2,FALSE),0),"")))</f>
        <v/>
      </c>
      <c r="BA772" s="495" t="str">
        <f t="shared" si="85"/>
        <v>ü</v>
      </c>
      <c r="BB772" s="495" t="str">
        <f t="shared" si="86"/>
        <v/>
      </c>
      <c r="BC772" s="495" t="str">
        <f t="shared" si="87"/>
        <v/>
      </c>
      <c r="BD772" s="513" t="str">
        <f>IF(AND(L772="",H772=""),"",
IF(H772="",Pole_Calc!A$9,
IF(H772="MP",Pole_Calc!A$10,
IF(H772="AnMP",Pole_Calc!A$11,
IF(H772="A",Pole_Calc!A$12,
IF(H772="S/A",Pole_Calc!A$13,
IF(H772="A/S",Pole_Calc!A$14,"Poner a mano")))))))</f>
        <v>App.7-V11I-P9.5.1.5</v>
      </c>
      <c r="BE772" s="429" t="s">
        <v>118</v>
      </c>
      <c r="BF772" s="289"/>
      <c r="BG772" s="289"/>
      <c r="BH772" s="290"/>
      <c r="BI772" s="289"/>
    </row>
    <row r="773" spans="1:61" ht="15.75" customHeight="1">
      <c r="A773" s="514"/>
      <c r="B773" s="450"/>
      <c r="C773" s="3"/>
      <c r="D773" s="83"/>
      <c r="E773" s="4"/>
      <c r="F773" s="4"/>
      <c r="G773" s="6">
        <v>60</v>
      </c>
      <c r="H773" s="449"/>
      <c r="I773" s="4">
        <f>SUM(G747:G773)</f>
        <v>569.5</v>
      </c>
      <c r="J773" s="3"/>
      <c r="K773" s="449"/>
      <c r="L773" s="449"/>
      <c r="M773" s="449" t="str">
        <f>IF(L773="","",
IF(AX773="PT",VLOOKUP(L773,Foundation_Calc!$V$79:$X$113,VLOOKUP(AX773,Foundation_Calc!$I$10:$J$13,2,FALSE),0),
IF(AX773="K",VLOOKUP(L773,Foundation_Calc!$V$117:$X$151,VLOOKUP(AX773,Foundation_Calc!$I$10:$J$13,2,FALSE),0),"")))</f>
        <v/>
      </c>
      <c r="N773" s="449"/>
      <c r="O773" s="449"/>
      <c r="P773" s="449"/>
      <c r="Q773" s="4"/>
      <c r="R773" s="6"/>
      <c r="S773" s="6"/>
      <c r="T773" s="4"/>
      <c r="U773" s="4"/>
      <c r="V773" s="4"/>
      <c r="W773" s="9"/>
      <c r="X773" s="9"/>
      <c r="Y773" s="9"/>
      <c r="Z773" s="9"/>
      <c r="AA773" s="9"/>
      <c r="AB773" s="9"/>
      <c r="AC773" s="449" t="str">
        <f t="shared" si="81"/>
        <v/>
      </c>
      <c r="AD773" s="449"/>
      <c r="AE773" s="449"/>
      <c r="AF773" s="4"/>
      <c r="AG773" s="83"/>
      <c r="AH773" s="4"/>
      <c r="AI773" s="4"/>
      <c r="AJ773" s="449"/>
      <c r="AK773" s="449"/>
      <c r="AL773" s="449"/>
      <c r="AM773" s="449"/>
      <c r="AN773" s="10"/>
      <c r="AO773" s="9"/>
      <c r="AP773" s="9"/>
      <c r="AQ773" s="9">
        <f>+FL_2($T$774,$T$772,$G$773,1200,9.28,-1*$F$774)</f>
        <v>-0.44888002799999999</v>
      </c>
      <c r="AR773" s="9"/>
      <c r="AS773" s="9"/>
      <c r="AT773" s="9"/>
      <c r="AU773" s="428"/>
      <c r="AV773" s="428"/>
      <c r="AW773" s="449" t="str">
        <f>IF(C773&gt;0,VLOOKUP(C773,Foundation_Calc!$A$2:$C$13,3,1),
IF(J773&gt;0,VLOOKUP(J773,Foundation_Calc!$A$2:$C$13,3,1),""))</f>
        <v/>
      </c>
      <c r="AX773" s="449" t="str">
        <f>IF(C773&gt;0,VLOOKUP(C773,Foundation_Calc!$E$2:$G$33,3,1),
IF(J773&gt;0,VLOOKUP(J773,Foundation_Calc!$E$2:$G$33,3,1),""))</f>
        <v/>
      </c>
      <c r="AY773" s="10" t="str">
        <f>IF(L773="","",
IF(AX773="PT",VLOOKUP(L773,Foundation_Calc!$K$79:$R$113,VLOOKUP(AW773,Foundation_Calc!$I$2:$J$8,2,FALSE),0),
IF(AX773="K",VLOOKUP(L773,Foundation_Calc!$K$117:$R$151,VLOOKUP(AW773,Foundation_Calc!$I$2:$J$8,2,FALSE),0),"")))</f>
        <v/>
      </c>
      <c r="AZ773" s="10" t="str">
        <f>IF(K773="","",
IF(AX773="PT",VLOOKUP(K773,Foundation_Calc!$K$79:$R$113,VLOOKUP(AW773,Foundation_Calc!$I$2:$J$8,2,FALSE),0),
IF(AX773="K",VLOOKUP(K773,Foundation_Calc!$K$117:$R$151,VLOOKUP(AW773,Foundation_Calc!$I$2:$J$8,2,FALSE),0),"")))</f>
        <v/>
      </c>
      <c r="BA773" s="495" t="str">
        <f t="shared" si="85"/>
        <v/>
      </c>
      <c r="BB773" s="495" t="str">
        <f t="shared" si="86"/>
        <v/>
      </c>
      <c r="BC773" s="495" t="str">
        <f t="shared" si="87"/>
        <v/>
      </c>
      <c r="BD773" s="513" t="str">
        <f>IF(AND(L773="",H773=""),"",
IF(H773="",Pole_Calc!A$9,
IF(H773="MP",Pole_Calc!A$10,
IF(H773="AnMP",Pole_Calc!A$11,
IF(H773="A",Pole_Calc!A$12,
IF(H773="S/A",Pole_Calc!A$13,
IF(H773="A/S",Pole_Calc!A$14,"Poner a mano")))))))</f>
        <v/>
      </c>
      <c r="BE773" s="429" t="s">
        <v>118</v>
      </c>
      <c r="BF773" s="290"/>
      <c r="BG773" s="290"/>
      <c r="BH773" s="290"/>
      <c r="BI773" s="290"/>
    </row>
    <row r="774" spans="1:61" ht="15.75" customHeight="1">
      <c r="A774" s="514"/>
      <c r="B774" s="450" t="s">
        <v>638</v>
      </c>
      <c r="C774" s="3">
        <f>+$C$772+$G$773-0.07</f>
        <v>48629.880000000005</v>
      </c>
      <c r="D774" s="83"/>
      <c r="E774" s="4"/>
      <c r="F774" s="4">
        <f>IF(C774&gt;0,VLOOKUP(C774,'ALIGNMENT TRACK'!$A$1:$K$81,9,1))</f>
        <v>0</v>
      </c>
      <c r="G774" s="6"/>
      <c r="H774" s="449" t="s">
        <v>121</v>
      </c>
      <c r="I774" s="4" t="s">
        <v>122</v>
      </c>
      <c r="J774" s="3"/>
      <c r="K774" s="449"/>
      <c r="L774" s="449" t="s">
        <v>151</v>
      </c>
      <c r="M774" s="449" t="str">
        <f>IF(L774="","",
IF(AX774="PT",VLOOKUP(L774,Foundation_Calc!$V$79:$X$113,VLOOKUP(AX774,Foundation_Calc!$I$10:$J$13,2,FALSE),0),
IF(AX774="K",VLOOKUP(L774,Foundation_Calc!$V$117:$X$151,VLOOKUP(AX774,Foundation_Calc!$I$10:$J$13,2,FALSE),0),"")))</f>
        <v>C4RT</v>
      </c>
      <c r="N774" s="449" t="s">
        <v>124</v>
      </c>
      <c r="O774" s="449"/>
      <c r="P774" s="449"/>
      <c r="Q774" s="4"/>
      <c r="R774" s="6"/>
      <c r="S774" s="6"/>
      <c r="T774" s="4">
        <v>-35</v>
      </c>
      <c r="U774" s="4"/>
      <c r="V774" s="4"/>
      <c r="W774" s="9">
        <v>1.4</v>
      </c>
      <c r="X774" s="9"/>
      <c r="Y774" s="9"/>
      <c r="Z774" s="9"/>
      <c r="AA774" s="9"/>
      <c r="AB774" s="9"/>
      <c r="AC774" s="449" t="str">
        <f t="shared" si="81"/>
        <v>PH</v>
      </c>
      <c r="AD774" s="449"/>
      <c r="AE774" s="449"/>
      <c r="AF774" s="4"/>
      <c r="AG774" s="83"/>
      <c r="AH774" s="4"/>
      <c r="AI774" s="4"/>
      <c r="AJ774" s="449"/>
      <c r="AK774" s="449"/>
      <c r="AL774" s="449"/>
      <c r="AM774" s="449" t="s">
        <v>552</v>
      </c>
      <c r="AN774" s="10">
        <v>5.5</v>
      </c>
      <c r="AO774" s="9"/>
      <c r="AP774" s="9"/>
      <c r="AQ774" s="9"/>
      <c r="AR774" s="9"/>
      <c r="AS774" s="9"/>
      <c r="AT774" s="9">
        <f>+ab($T$774,$T$772,$T$776,$G$773,$G$775,-1*$F$774,1200)</f>
        <v>-8.4664207780936191</v>
      </c>
      <c r="AU774" s="428"/>
      <c r="AV774" s="428"/>
      <c r="AW774" s="449" t="str">
        <f>IF(C774&gt;0,VLOOKUP(C774,Foundation_Calc!$A$2:$C$13,3,1),
IF(J774&gt;0,VLOOKUP(J774,Foundation_Calc!$A$2:$C$13,3,1),""))</f>
        <v>Multi Soil</v>
      </c>
      <c r="AX774" s="449" t="str">
        <f>IF(C774&gt;0,VLOOKUP(C774,Foundation_Calc!$E$2:$G$33,3,1),
IF(J774&gt;0,VLOOKUP(J774,Foundation_Calc!$E$2:$G$33,3,1),""))</f>
        <v>K</v>
      </c>
      <c r="AY774" s="10">
        <f>IF(L774="","",
IF(AX774="PT",VLOOKUP(L774,Foundation_Calc!$K$79:$R$113,VLOOKUP(AW774,Foundation_Calc!$I$2:$J$8,2,FALSE),0),
IF(AX774="K",VLOOKUP(L774,Foundation_Calc!$K$117:$R$151,VLOOKUP(AW774,Foundation_Calc!$I$2:$J$8,2,FALSE),0),"")))</f>
        <v>4.2</v>
      </c>
      <c r="AZ774" s="10" t="str">
        <f>IF(K774="","",
IF(AX774="PT",VLOOKUP(K774,Foundation_Calc!$K$79:$R$113,VLOOKUP(AW774,Foundation_Calc!$I$2:$J$8,2,FALSE),0),
IF(AX774="K",VLOOKUP(K774,Foundation_Calc!$K$117:$R$151,VLOOKUP(AW774,Foundation_Calc!$I$2:$J$8,2,FALSE),0),"")))</f>
        <v/>
      </c>
      <c r="BA774" s="495" t="str">
        <f t="shared" si="85"/>
        <v>ü</v>
      </c>
      <c r="BB774" s="495" t="str">
        <f t="shared" si="86"/>
        <v/>
      </c>
      <c r="BC774" s="495" t="str">
        <f t="shared" si="87"/>
        <v/>
      </c>
      <c r="BD774" s="513" t="str">
        <f>IF(AND(L774="",H774=""),"",
IF(H774="",Pole_Calc!A$9,
IF(H774="MP",Pole_Calc!A$10,
IF(H774="AnMP",Pole_Calc!A$11,
IF(H774="A",Pole_Calc!A$12,
IF(H774="S/A",Pole_Calc!A$13,
IF(H774="A/S",Pole_Calc!A$14,"Poner a mano")))))))</f>
        <v>App.7-V11I-P9.5.1.6</v>
      </c>
      <c r="BE774" s="429" t="s">
        <v>118</v>
      </c>
      <c r="BF774" s="289"/>
      <c r="BG774" s="289"/>
      <c r="BH774" s="290"/>
      <c r="BI774" s="289"/>
    </row>
    <row r="775" spans="1:61" ht="15.75" customHeight="1">
      <c r="A775" s="514"/>
      <c r="B775" s="450"/>
      <c r="C775" s="3"/>
      <c r="D775" s="83"/>
      <c r="E775" s="4"/>
      <c r="F775" s="4"/>
      <c r="G775" s="6">
        <v>60</v>
      </c>
      <c r="H775" s="449"/>
      <c r="I775" s="4"/>
      <c r="J775" s="3">
        <f>C774+7.5</f>
        <v>48637.380000000005</v>
      </c>
      <c r="K775" s="449" t="s">
        <v>315</v>
      </c>
      <c r="L775" s="449"/>
      <c r="M775" s="449" t="str">
        <f>IF(L775="","",
IF(AX775="PT",VLOOKUP(L775,Foundation_Calc!$V$79:$X$113,VLOOKUP(AX775,Foundation_Calc!$I$10:$J$13,2,FALSE),0),
IF(AX775="K",VLOOKUP(L775,Foundation_Calc!$V$117:$X$151,VLOOKUP(AX775,Foundation_Calc!$I$10:$J$13,2,FALSE),0),"")))</f>
        <v/>
      </c>
      <c r="N775" s="449"/>
      <c r="O775" s="449"/>
      <c r="P775" s="449"/>
      <c r="Q775" s="4"/>
      <c r="R775" s="6"/>
      <c r="S775" s="6"/>
      <c r="T775" s="4"/>
      <c r="U775" s="4"/>
      <c r="V775" s="4"/>
      <c r="W775" s="9"/>
      <c r="X775" s="9"/>
      <c r="Y775" s="9"/>
      <c r="Z775" s="9"/>
      <c r="AA775" s="9"/>
      <c r="AB775" s="9"/>
      <c r="AC775" s="449" t="str">
        <f t="shared" si="81"/>
        <v/>
      </c>
      <c r="AD775" s="449"/>
      <c r="AE775" s="449"/>
      <c r="AF775" s="4"/>
      <c r="AG775" s="83"/>
      <c r="AH775" s="4"/>
      <c r="AI775" s="4"/>
      <c r="AJ775" s="449"/>
      <c r="AK775" s="449"/>
      <c r="AL775" s="449"/>
      <c r="AM775" s="449"/>
      <c r="AN775" s="10"/>
      <c r="AO775" s="9"/>
      <c r="AP775" s="9"/>
      <c r="AQ775" s="9">
        <f>+FL_1($T$776,$T$774,$G$775,1200,9.28,-1*$F$776)</f>
        <v>0.43600286799999999</v>
      </c>
      <c r="AR775" s="9"/>
      <c r="AS775" s="9"/>
      <c r="AT775" s="9"/>
      <c r="AU775" s="428"/>
      <c r="AV775" s="428"/>
      <c r="AW775" s="449" t="str">
        <f>IF(C775&gt;0,VLOOKUP(C775,Foundation_Calc!$A$2:$C$13,3,1),
IF(J775&gt;0,VLOOKUP(J775,Foundation_Calc!$A$2:$C$13,3,1),""))</f>
        <v>Multi Soil</v>
      </c>
      <c r="AX775" s="449" t="str">
        <f>IF(C775&gt;0,VLOOKUP(C775,Foundation_Calc!$E$2:$G$33,3,1),
IF(J775&gt;0,VLOOKUP(J775,Foundation_Calc!$E$2:$G$33,3,1),""))</f>
        <v>K</v>
      </c>
      <c r="AY775" s="10" t="str">
        <f>IF(L775="","",
IF(AX775="PT",VLOOKUP(L775,Foundation_Calc!$K$79:$R$113,VLOOKUP(AW775,Foundation_Calc!$I$2:$J$8,2,FALSE),0),
IF(AX775="K",VLOOKUP(L775,Foundation_Calc!$K$117:$R$151,VLOOKUP(AW775,Foundation_Calc!$I$2:$J$8,2,FALSE),0),"")))</f>
        <v/>
      </c>
      <c r="AZ775" s="10">
        <f>IF(K775="","",
IF(AX775="PT",VLOOKUP(K775,Foundation_Calc!$K$79:$R$113,VLOOKUP(AW775,Foundation_Calc!$I$2:$J$8,2,FALSE),0),
IF(AX775="K",VLOOKUP(K775,Foundation_Calc!$K$117:$R$151,VLOOKUP(AW775,Foundation_Calc!$I$2:$J$8,2,FALSE),0),"")))</f>
        <v>3.9</v>
      </c>
      <c r="BA775" s="495" t="str">
        <f t="shared" si="85"/>
        <v/>
      </c>
      <c r="BB775" s="495" t="str">
        <f t="shared" si="86"/>
        <v>ü</v>
      </c>
      <c r="BC775" s="495" t="str">
        <f t="shared" si="87"/>
        <v/>
      </c>
      <c r="BD775" s="513" t="str">
        <f>IF(AND(L775="",H775=""),"",
IF(H775="",Pole_Calc!A$9,
IF(H775="MP",Pole_Calc!A$10,
IF(H775="AnMP",Pole_Calc!A$11,
IF(H775="A",Pole_Calc!A$12,
IF(H775="S/A",Pole_Calc!A$13,
IF(H775="A/S",Pole_Calc!A$14,"Poner a mano")))))))</f>
        <v/>
      </c>
      <c r="BE775" s="429" t="s">
        <v>118</v>
      </c>
      <c r="BF775" s="290"/>
      <c r="BG775" s="290"/>
      <c r="BH775" s="290"/>
      <c r="BI775" s="290"/>
    </row>
    <row r="776" spans="1:61" ht="15.75" customHeight="1">
      <c r="A776" s="518"/>
      <c r="B776" s="450" t="s">
        <v>639</v>
      </c>
      <c r="C776" s="3">
        <f>+$C$774+$G$775</f>
        <v>48689.880000000005</v>
      </c>
      <c r="D776" s="83"/>
      <c r="E776" s="4"/>
      <c r="F776" s="4">
        <f>IF(C776&gt;0,VLOOKUP(C776,'ALIGNMENT TRACK'!$A$1:$K$81,9,1))</f>
        <v>0</v>
      </c>
      <c r="G776" s="6"/>
      <c r="H776" s="449"/>
      <c r="I776" s="4"/>
      <c r="J776" s="3"/>
      <c r="K776" s="449"/>
      <c r="L776" s="449" t="s">
        <v>153</v>
      </c>
      <c r="M776" s="449" t="str">
        <f>IF(L776="","",
IF(AX776="PT",VLOOKUP(L776,Foundation_Calc!$V$79:$X$113,VLOOKUP(AX776,Foundation_Calc!$I$10:$J$13,2,FALSE),0),
IF(AX776="K",VLOOKUP(L776,Foundation_Calc!$V$117:$X$151,VLOOKUP(AX776,Foundation_Calc!$I$10:$J$13,2,FALSE),0),"")))</f>
        <v>C3RT</v>
      </c>
      <c r="N776" s="449" t="s">
        <v>134</v>
      </c>
      <c r="O776" s="449"/>
      <c r="P776" s="449"/>
      <c r="Q776" s="4"/>
      <c r="R776" s="6"/>
      <c r="S776" s="6"/>
      <c r="T776" s="4">
        <v>35</v>
      </c>
      <c r="U776" s="4"/>
      <c r="V776" s="4"/>
      <c r="W776" s="9">
        <v>1.4</v>
      </c>
      <c r="X776" s="9"/>
      <c r="Y776" s="9"/>
      <c r="Z776" s="9"/>
      <c r="AA776" s="9"/>
      <c r="AB776" s="9"/>
      <c r="AC776" s="449" t="str">
        <f t="shared" si="81"/>
        <v>PH</v>
      </c>
      <c r="AD776" s="449"/>
      <c r="AE776" s="449"/>
      <c r="AF776" s="4"/>
      <c r="AG776" s="83"/>
      <c r="AH776" s="4"/>
      <c r="AI776" s="4"/>
      <c r="AJ776" s="449"/>
      <c r="AK776" s="449"/>
      <c r="AL776" s="449"/>
      <c r="AM776" s="449" t="s">
        <v>552</v>
      </c>
      <c r="AN776" s="10">
        <v>5.5</v>
      </c>
      <c r="AO776" s="9"/>
      <c r="AP776" s="9"/>
      <c r="AQ776" s="9"/>
      <c r="AR776" s="9"/>
      <c r="AS776" s="9"/>
      <c r="AT776" s="9">
        <f>+ab($T$776,$T$774,$T$778,$G$775,$G$777,-1*$F$776,1200)</f>
        <v>8.1004357269298364</v>
      </c>
      <c r="AU776" s="428"/>
      <c r="AV776" s="428"/>
      <c r="AW776" s="449" t="str">
        <f>IF(C776&gt;0,VLOOKUP(C776,Foundation_Calc!$A$2:$C$13,3,1),
IF(J776&gt;0,VLOOKUP(J776,Foundation_Calc!$A$2:$C$13,3,1),""))</f>
        <v>Multi Soil</v>
      </c>
      <c r="AX776" s="449" t="str">
        <f>IF(C776&gt;0,VLOOKUP(C776,Foundation_Calc!$E$2:$G$33,3,1),
IF(J776&gt;0,VLOOKUP(J776,Foundation_Calc!$E$2:$G$33,3,1),""))</f>
        <v>K</v>
      </c>
      <c r="AY776" s="10">
        <f>IF(L776="","",
IF(AX776="PT",VLOOKUP(L776,Foundation_Calc!$K$79:$R$113,VLOOKUP(AW776,Foundation_Calc!$I$2:$J$8,2,FALSE),0),
IF(AX776="K",VLOOKUP(L776,Foundation_Calc!$K$117:$R$151,VLOOKUP(AW776,Foundation_Calc!$I$2:$J$8,2,FALSE),0),"")))</f>
        <v>4</v>
      </c>
      <c r="AZ776" s="10" t="str">
        <f>IF(K776="","",
IF(AX776="PT",VLOOKUP(K776,Foundation_Calc!$K$79:$R$113,VLOOKUP(AW776,Foundation_Calc!$I$2:$J$8,2,FALSE),0),
IF(AX776="K",VLOOKUP(K776,Foundation_Calc!$K$117:$R$151,VLOOKUP(AW776,Foundation_Calc!$I$2:$J$8,2,FALSE),0),"")))</f>
        <v/>
      </c>
      <c r="BA776" s="495" t="str">
        <f t="shared" si="85"/>
        <v>ü</v>
      </c>
      <c r="BB776" s="495" t="str">
        <f t="shared" si="86"/>
        <v/>
      </c>
      <c r="BC776" s="495" t="str">
        <f t="shared" si="87"/>
        <v/>
      </c>
      <c r="BD776" s="513" t="str">
        <f>IF(AND(L776="",H776=""),"",
IF(H776="",Pole_Calc!A$9,
IF(H776="MP",Pole_Calc!A$10,
IF(H776="AnMP",Pole_Calc!A$11,
IF(H776="A",Pole_Calc!A$12,
IF(H776="S/A",Pole_Calc!A$13,
IF(H776="A/S",Pole_Calc!A$14,"Poner a mano")))))))</f>
        <v>App.7-V11I-P9.5.1.1</v>
      </c>
      <c r="BE776" s="429" t="s">
        <v>118</v>
      </c>
      <c r="BF776" s="289"/>
      <c r="BG776" s="289"/>
      <c r="BH776" s="290"/>
      <c r="BI776" s="289"/>
    </row>
    <row r="777" spans="1:61" ht="15.75" customHeight="1">
      <c r="A777" s="518"/>
      <c r="B777" s="450"/>
      <c r="C777" s="3"/>
      <c r="D777" s="83"/>
      <c r="E777" s="4"/>
      <c r="F777" s="4"/>
      <c r="G777" s="6">
        <v>59</v>
      </c>
      <c r="H777" s="449"/>
      <c r="I777" s="4"/>
      <c r="J777" s="3"/>
      <c r="K777" s="449"/>
      <c r="L777" s="449"/>
      <c r="M777" s="449" t="str">
        <f>IF(L777="","",
IF(AX777="PT",VLOOKUP(L777,Foundation_Calc!$V$79:$X$113,VLOOKUP(AX777,Foundation_Calc!$I$10:$J$13,2,FALSE),0),
IF(AX777="K",VLOOKUP(L777,Foundation_Calc!$V$117:$X$151,VLOOKUP(AX777,Foundation_Calc!$I$10:$J$13,2,FALSE),0),"")))</f>
        <v/>
      </c>
      <c r="N777" s="561"/>
      <c r="O777" s="449"/>
      <c r="P777" s="449"/>
      <c r="Q777" s="4"/>
      <c r="R777" s="6"/>
      <c r="S777" s="6"/>
      <c r="T777" s="4"/>
      <c r="U777" s="4"/>
      <c r="V777" s="4"/>
      <c r="W777" s="9"/>
      <c r="X777" s="9"/>
      <c r="Y777" s="9"/>
      <c r="Z777" s="9"/>
      <c r="AA777" s="9"/>
      <c r="AB777" s="9"/>
      <c r="AC777" s="449" t="str">
        <f t="shared" ref="AC777:AC842" si="88">IF(OR(AT777&gt;8,AT777&lt;-8),"PH",
IF(OR(AT777&gt;5,AT777&lt;-5),"PHQ",
IF(OR(AT777&gt;1,AT777&lt;-1),
"PHC","")))</f>
        <v/>
      </c>
      <c r="AD777" s="449"/>
      <c r="AE777" s="449"/>
      <c r="AF777" s="4"/>
      <c r="AG777" s="83"/>
      <c r="AH777" s="4"/>
      <c r="AI777" s="4"/>
      <c r="AJ777" s="449"/>
      <c r="AK777" s="449"/>
      <c r="AL777" s="449"/>
      <c r="AM777" s="449"/>
      <c r="AN777" s="10"/>
      <c r="AO777" s="9"/>
      <c r="AP777" s="9"/>
      <c r="AQ777" s="9">
        <f>+FL_1($T$778,$T$776,$G$777,1200,9.28,-1*$F$778)</f>
        <v>0.4275079679999999</v>
      </c>
      <c r="AR777" s="9"/>
      <c r="AS777" s="9"/>
      <c r="AT777" s="9"/>
      <c r="AU777" s="428"/>
      <c r="AV777" s="428"/>
      <c r="AW777" s="449" t="str">
        <f>IF(C777&gt;0,VLOOKUP(C777,Foundation_Calc!$A$2:$C$13,3,1),
IF(J777&gt;0,VLOOKUP(J777,Foundation_Calc!$A$2:$C$13,3,1),""))</f>
        <v/>
      </c>
      <c r="AX777" s="449" t="str">
        <f>IF(C777&gt;0,VLOOKUP(C777,Foundation_Calc!$E$2:$G$33,3,1),
IF(J777&gt;0,VLOOKUP(J777,Foundation_Calc!$E$2:$G$33,3,1),""))</f>
        <v/>
      </c>
      <c r="AY777" s="10" t="str">
        <f>IF(L777="","",
IF(AX777="PT",VLOOKUP(L777,Foundation_Calc!$K$79:$R$113,VLOOKUP(AW777,Foundation_Calc!$I$2:$J$8,2,FALSE),0),
IF(AX777="K",VLOOKUP(L777,Foundation_Calc!$K$117:$R$151,VLOOKUP(AW777,Foundation_Calc!$I$2:$J$8,2,FALSE),0),"")))</f>
        <v/>
      </c>
      <c r="AZ777" s="10" t="str">
        <f>IF(K777="","",
IF(AX777="PT",VLOOKUP(K777,Foundation_Calc!$K$79:$R$113,VLOOKUP(AW777,Foundation_Calc!$I$2:$J$8,2,FALSE),0),
IF(AX777="K",VLOOKUP(K777,Foundation_Calc!$K$117:$R$151,VLOOKUP(AW777,Foundation_Calc!$I$2:$J$8,2,FALSE),0),"")))</f>
        <v/>
      </c>
      <c r="BA777" s="495" t="str">
        <f t="shared" si="85"/>
        <v/>
      </c>
      <c r="BB777" s="495" t="str">
        <f t="shared" si="86"/>
        <v/>
      </c>
      <c r="BC777" s="495" t="str">
        <f t="shared" si="87"/>
        <v/>
      </c>
      <c r="BD777" s="513" t="str">
        <f>IF(AND(L777="",H777=""),"",
IF(H777="",Pole_Calc!A$9,
IF(H777="MP",Pole_Calc!A$10,
IF(H777="AnMP",Pole_Calc!A$11,
IF(H777="A",Pole_Calc!A$12,
IF(H777="S/A",Pole_Calc!A$13,
IF(H777="A/S",Pole_Calc!A$14,"Poner a mano")))))))</f>
        <v/>
      </c>
      <c r="BE777" s="429" t="s">
        <v>118</v>
      </c>
      <c r="BF777" s="290"/>
      <c r="BG777" s="290"/>
      <c r="BH777" s="290"/>
      <c r="BI777" s="290"/>
    </row>
    <row r="778" spans="1:61" ht="15.75" customHeight="1">
      <c r="A778" s="514"/>
      <c r="B778" s="450" t="s">
        <v>640</v>
      </c>
      <c r="C778" s="3">
        <f>+$C$776+$G$777</f>
        <v>48748.880000000005</v>
      </c>
      <c r="D778" s="83"/>
      <c r="E778" s="4"/>
      <c r="F778" s="4">
        <f>IF(C778&gt;0,VLOOKUP(C778,'ALIGNMENT TRACK'!$A$1:$K$81,9,1))</f>
        <v>0</v>
      </c>
      <c r="G778" s="6"/>
      <c r="H778" s="449"/>
      <c r="I778" s="4"/>
      <c r="J778" s="3"/>
      <c r="K778" s="449"/>
      <c r="L778" s="449" t="s">
        <v>153</v>
      </c>
      <c r="M778" s="449" t="str">
        <f>IF(L778="","",
IF(AX778="PT",VLOOKUP(L778,Foundation_Calc!$V$79:$X$113,VLOOKUP(AX778,Foundation_Calc!$I$10:$J$13,2,FALSE),0),
IF(AX778="K",VLOOKUP(L778,Foundation_Calc!$V$117:$X$151,VLOOKUP(AX778,Foundation_Calc!$I$10:$J$13,2,FALSE),0),"")))</f>
        <v>C3RT</v>
      </c>
      <c r="N778" s="449" t="s">
        <v>124</v>
      </c>
      <c r="O778" s="449"/>
      <c r="P778" s="449"/>
      <c r="Q778" s="4"/>
      <c r="R778" s="6"/>
      <c r="S778" s="6"/>
      <c r="T778" s="4">
        <v>-35</v>
      </c>
      <c r="U778" s="4"/>
      <c r="V778" s="4"/>
      <c r="W778" s="9">
        <v>1.4</v>
      </c>
      <c r="X778" s="9"/>
      <c r="Y778" s="9"/>
      <c r="Z778" s="9"/>
      <c r="AA778" s="9"/>
      <c r="AB778" s="9"/>
      <c r="AC778" s="449" t="str">
        <f t="shared" si="88"/>
        <v>PH</v>
      </c>
      <c r="AD778" s="449"/>
      <c r="AE778" s="449"/>
      <c r="AF778" s="4"/>
      <c r="AG778" s="83"/>
      <c r="AH778" s="4"/>
      <c r="AI778" s="4"/>
      <c r="AJ778" s="449"/>
      <c r="AK778" s="449"/>
      <c r="AL778" s="449"/>
      <c r="AM778" s="449" t="s">
        <v>552</v>
      </c>
      <c r="AN778" s="10">
        <v>5.5</v>
      </c>
      <c r="AO778" s="9"/>
      <c r="AP778" s="9"/>
      <c r="AQ778" s="9"/>
      <c r="AR778" s="9"/>
      <c r="AS778" s="9"/>
      <c r="AT778" s="9">
        <f>+ab($T$778,$T$776,$T$780,$G$777,$G$779,-1*$F$778,1200)</f>
        <v>-8.0136459158071549</v>
      </c>
      <c r="AU778" s="428"/>
      <c r="AV778" s="428"/>
      <c r="AW778" s="449" t="str">
        <f>IF(C778&gt;0,VLOOKUP(C778,Foundation_Calc!$A$2:$C$13,3,1),
IF(J778&gt;0,VLOOKUP(J778,Foundation_Calc!$A$2:$C$13,3,1),""))</f>
        <v>Multi Soil</v>
      </c>
      <c r="AX778" s="449" t="str">
        <f>IF(C778&gt;0,VLOOKUP(C778,Foundation_Calc!$E$2:$G$33,3,1),
IF(J778&gt;0,VLOOKUP(J778,Foundation_Calc!$E$2:$G$33,3,1),""))</f>
        <v>K</v>
      </c>
      <c r="AY778" s="10">
        <f>IF(L778="","",
IF(AX778="PT",VLOOKUP(L778,Foundation_Calc!$K$79:$R$113,VLOOKUP(AW778,Foundation_Calc!$I$2:$J$8,2,FALSE),0),
IF(AX778="K",VLOOKUP(L778,Foundation_Calc!$K$117:$R$151,VLOOKUP(AW778,Foundation_Calc!$I$2:$J$8,2,FALSE),0),"")))</f>
        <v>4</v>
      </c>
      <c r="AZ778" s="10" t="str">
        <f>IF(K778="","",
IF(AX778="PT",VLOOKUP(K778,Foundation_Calc!$K$79:$R$113,VLOOKUP(AW778,Foundation_Calc!$I$2:$J$8,2,FALSE),0),
IF(AX778="K",VLOOKUP(K778,Foundation_Calc!$K$117:$R$151,VLOOKUP(AW778,Foundation_Calc!$I$2:$J$8,2,FALSE),0),"")))</f>
        <v/>
      </c>
      <c r="BA778" s="495" t="str">
        <f t="shared" si="85"/>
        <v>ü</v>
      </c>
      <c r="BB778" s="495" t="str">
        <f t="shared" si="86"/>
        <v/>
      </c>
      <c r="BC778" s="495" t="str">
        <f t="shared" si="87"/>
        <v/>
      </c>
      <c r="BD778" s="513" t="str">
        <f>IF(AND(L778="",H778=""),"",
IF(H778="",Pole_Calc!A$9,
IF(H778="MP",Pole_Calc!A$10,
IF(H778="AnMP",Pole_Calc!A$11,
IF(H778="A",Pole_Calc!A$12,
IF(H778="S/A",Pole_Calc!A$13,
IF(H778="A/S",Pole_Calc!A$14,"Poner a mano")))))))</f>
        <v>App.7-V11I-P9.5.1.1</v>
      </c>
      <c r="BE778" s="429" t="s">
        <v>118</v>
      </c>
      <c r="BF778" s="289"/>
      <c r="BG778" s="289"/>
      <c r="BH778" s="290"/>
      <c r="BI778" s="289"/>
    </row>
    <row r="779" spans="1:61" ht="15.75" customHeight="1">
      <c r="A779" s="514"/>
      <c r="B779" s="450"/>
      <c r="C779" s="3"/>
      <c r="D779" s="83"/>
      <c r="E779" s="4"/>
      <c r="F779" s="4"/>
      <c r="G779" s="6">
        <v>58.7</v>
      </c>
      <c r="H779" s="449"/>
      <c r="I779" s="4"/>
      <c r="J779" s="3">
        <f>C780-7.5</f>
        <v>48800.08</v>
      </c>
      <c r="K779" s="449" t="s">
        <v>324</v>
      </c>
      <c r="L779" s="449"/>
      <c r="M779" s="449" t="str">
        <f>IF(L779="","",
IF(AX779="PT",VLOOKUP(L779,Foundation_Calc!$V$79:$X$113,VLOOKUP(AX779,Foundation_Calc!$I$10:$J$13,2,FALSE),0),
IF(AX779="K",VLOOKUP(L779,Foundation_Calc!$V$117:$X$151,VLOOKUP(AX779,Foundation_Calc!$I$10:$J$13,2,FALSE),0),"")))</f>
        <v/>
      </c>
      <c r="N779" s="449"/>
      <c r="O779" s="449"/>
      <c r="P779" s="449"/>
      <c r="Q779" s="4"/>
      <c r="R779" s="6"/>
      <c r="S779" s="6"/>
      <c r="T779" s="4"/>
      <c r="U779" s="4"/>
      <c r="V779" s="4"/>
      <c r="W779" s="9"/>
      <c r="X779" s="9"/>
      <c r="Y779" s="9"/>
      <c r="Z779" s="9"/>
      <c r="AA779" s="9"/>
      <c r="AB779" s="9"/>
      <c r="AC779" s="449" t="str">
        <f t="shared" si="88"/>
        <v/>
      </c>
      <c r="AD779" s="449"/>
      <c r="AE779" s="449"/>
      <c r="AF779" s="4"/>
      <c r="AG779" s="83"/>
      <c r="AH779" s="4"/>
      <c r="AI779" s="4"/>
      <c r="AJ779" s="449"/>
      <c r="AK779" s="449"/>
      <c r="AL779" s="449"/>
      <c r="AM779" s="449"/>
      <c r="AN779" s="10"/>
      <c r="AO779" s="9"/>
      <c r="AP779" s="9"/>
      <c r="AQ779" s="9">
        <f>+FL_1($T$780,$T$778,$G$779,1200,9.28,-1*$F$780)</f>
        <v>0.42502731539579786</v>
      </c>
      <c r="AR779" s="9"/>
      <c r="AS779" s="9"/>
      <c r="AT779" s="9"/>
      <c r="AU779" s="428"/>
      <c r="AV779" s="428"/>
      <c r="AW779" s="449" t="str">
        <f>IF(C779&gt;0,VLOOKUP(C779,Foundation_Calc!$A$2:$C$13,3,1),
IF(J779&gt;0,VLOOKUP(J779,Foundation_Calc!$A$2:$C$13,3,1),""))</f>
        <v>Multi Soil</v>
      </c>
      <c r="AX779" s="449" t="str">
        <f>IF(C779&gt;0,VLOOKUP(C779,Foundation_Calc!$E$2:$G$33,3,1),
IF(J779&gt;0,VLOOKUP(J779,Foundation_Calc!$E$2:$G$33,3,1),""))</f>
        <v>K</v>
      </c>
      <c r="AY779" s="10" t="str">
        <f>IF(L779="","",
IF(AX779="PT",VLOOKUP(L779,Foundation_Calc!$K$79:$R$113,VLOOKUP(AW779,Foundation_Calc!$I$2:$J$8,2,FALSE),0),
IF(AX779="K",VLOOKUP(L779,Foundation_Calc!$K$117:$R$151,VLOOKUP(AW779,Foundation_Calc!$I$2:$J$8,2,FALSE),0),"")))</f>
        <v/>
      </c>
      <c r="AZ779" s="10">
        <f>IF(K779="","",
IF(AX779="PT",VLOOKUP(K779,Foundation_Calc!$K$79:$R$113,VLOOKUP(AW779,Foundation_Calc!$I$2:$J$8,2,FALSE),0),
IF(AX779="K",VLOOKUP(K779,Foundation_Calc!$K$117:$R$151,VLOOKUP(AW779,Foundation_Calc!$I$2:$J$8,2,FALSE),0),"")))</f>
        <v>2.8</v>
      </c>
      <c r="BA779" s="495" t="str">
        <f t="shared" si="85"/>
        <v/>
      </c>
      <c r="BB779" s="495" t="str">
        <f t="shared" si="86"/>
        <v>ü</v>
      </c>
      <c r="BC779" s="495" t="str">
        <f t="shared" si="87"/>
        <v/>
      </c>
      <c r="BD779" s="513" t="str">
        <f>IF(AND(L779="",H779=""),"",
IF(H779="",Pole_Calc!A$9,
IF(H779="MP",Pole_Calc!A$10,
IF(H779="AnMP",Pole_Calc!A$11,
IF(H779="A",Pole_Calc!A$12,
IF(H779="S/A",Pole_Calc!A$13,
IF(H779="A/S",Pole_Calc!A$14,"Poner a mano")))))))</f>
        <v/>
      </c>
      <c r="BE779" s="429" t="s">
        <v>118</v>
      </c>
      <c r="BF779" s="290"/>
      <c r="BG779" s="290"/>
      <c r="BH779" s="290"/>
      <c r="BI779" s="290"/>
    </row>
    <row r="780" spans="1:61" ht="15.75" customHeight="1">
      <c r="A780" s="514"/>
      <c r="B780" s="450" t="s">
        <v>641</v>
      </c>
      <c r="C780" s="3">
        <f>+$C$778+$G$779</f>
        <v>48807.58</v>
      </c>
      <c r="D780" s="83"/>
      <c r="E780" s="4"/>
      <c r="F780" s="4">
        <f>IF(C780&gt;0,VLOOKUP(C780,'ALIGNMENT TRACK'!$A$1:$K$81,9,1))</f>
        <v>0</v>
      </c>
      <c r="G780" s="6"/>
      <c r="H780" s="449" t="s">
        <v>168</v>
      </c>
      <c r="I780" s="4"/>
      <c r="J780" s="3"/>
      <c r="K780" s="449"/>
      <c r="L780" s="449" t="s">
        <v>158</v>
      </c>
      <c r="M780" s="449" t="str">
        <f>IF(L780="","",
IF(AX780="PT",VLOOKUP(L780,Foundation_Calc!$V$79:$X$113,VLOOKUP(AX780,Foundation_Calc!$I$10:$J$13,2,FALSE),0),
IF(AX780="K",VLOOKUP(L780,Foundation_Calc!$V$117:$X$151,VLOOKUP(AX780,Foundation_Calc!$I$10:$J$13,2,FALSE),0),"")))</f>
        <v>C4RT</v>
      </c>
      <c r="N780" s="449" t="s">
        <v>134</v>
      </c>
      <c r="O780" s="449"/>
      <c r="P780" s="449"/>
      <c r="Q780" s="4"/>
      <c r="R780" s="6"/>
      <c r="S780" s="6"/>
      <c r="T780" s="4">
        <v>35</v>
      </c>
      <c r="U780" s="4"/>
      <c r="V780" s="4"/>
      <c r="W780" s="9">
        <v>1.4</v>
      </c>
      <c r="X780" s="9"/>
      <c r="Y780" s="9"/>
      <c r="Z780" s="9"/>
      <c r="AA780" s="9"/>
      <c r="AB780" s="9"/>
      <c r="AC780" s="449" t="str">
        <f t="shared" si="88"/>
        <v>PH</v>
      </c>
      <c r="AD780" s="449"/>
      <c r="AE780" s="449"/>
      <c r="AF780" s="4"/>
      <c r="AG780" s="83"/>
      <c r="AH780" s="4"/>
      <c r="AI780" s="4"/>
      <c r="AJ780" s="449"/>
      <c r="AK780" s="449"/>
      <c r="AL780" s="449"/>
      <c r="AM780" s="449" t="s">
        <v>552</v>
      </c>
      <c r="AN780" s="10">
        <v>5.5</v>
      </c>
      <c r="AO780" s="9"/>
      <c r="AP780" s="9"/>
      <c r="AQ780" s="9"/>
      <c r="AR780" s="9"/>
      <c r="AS780" s="9"/>
      <c r="AT780" s="9">
        <f>+ab($T$780,$T$778,$T$782,$G$779,$G$781,-1*$F$780,1200)</f>
        <v>8.0798912325923116</v>
      </c>
      <c r="AU780" s="428"/>
      <c r="AV780" s="428"/>
      <c r="AW780" s="449" t="str">
        <f>IF(C780&gt;0,VLOOKUP(C780,Foundation_Calc!$A$2:$C$13,3,1),
IF(J780&gt;0,VLOOKUP(J780,Foundation_Calc!$A$2:$C$13,3,1),""))</f>
        <v>Multi Soil</v>
      </c>
      <c r="AX780" s="449" t="str">
        <f>IF(C780&gt;0,VLOOKUP(C780,Foundation_Calc!$E$2:$G$33,3,1),
IF(J780&gt;0,VLOOKUP(J780,Foundation_Calc!$E$2:$G$33,3,1),""))</f>
        <v>K</v>
      </c>
      <c r="AY780" s="10">
        <f>IF(L780="","",
IF(AX780="PT",VLOOKUP(L780,Foundation_Calc!$K$79:$R$113,VLOOKUP(AW780,Foundation_Calc!$I$2:$J$8,2,FALSE),0),
IF(AX780="K",VLOOKUP(L780,Foundation_Calc!$K$117:$R$151,VLOOKUP(AW780,Foundation_Calc!$I$2:$J$8,2,FALSE),0),"")))</f>
        <v>4.2</v>
      </c>
      <c r="AZ780" s="10" t="str">
        <f>IF(K780="","",
IF(AX780="PT",VLOOKUP(K780,Foundation_Calc!$K$79:$R$113,VLOOKUP(AW780,Foundation_Calc!$I$2:$J$8,2,FALSE),0),
IF(AX780="K",VLOOKUP(K780,Foundation_Calc!$K$117:$R$151,VLOOKUP(AW780,Foundation_Calc!$I$2:$J$8,2,FALSE),0),"")))</f>
        <v/>
      </c>
      <c r="BA780" s="495" t="str">
        <f t="shared" si="85"/>
        <v>ü</v>
      </c>
      <c r="BB780" s="495" t="str">
        <f t="shared" si="86"/>
        <v/>
      </c>
      <c r="BC780" s="495" t="str">
        <f t="shared" si="87"/>
        <v/>
      </c>
      <c r="BD780" s="513" t="str">
        <f>IF(AND(L780="",H780=""),"",
IF(H780="",Pole_Calc!A$9,
IF(H780="MP",Pole_Calc!A$10,
IF(H780="AnMP",Pole_Calc!A$11,
IF(H780="A",Pole_Calc!A$12,
IF(H780="S/A",Pole_Calc!A$13,
IF(H780="A/S",Pole_Calc!A$14,"Poner a mano")))))))</f>
        <v>App.7-V11I-P9.5.1.3</v>
      </c>
      <c r="BE780" s="429" t="s">
        <v>118</v>
      </c>
      <c r="BF780" s="289"/>
      <c r="BG780" s="289"/>
      <c r="BH780" s="290"/>
      <c r="BI780" s="289"/>
    </row>
    <row r="781" spans="1:61" ht="15.75" customHeight="1">
      <c r="A781" s="514" t="s">
        <v>169</v>
      </c>
      <c r="B781" s="450"/>
      <c r="C781" s="3"/>
      <c r="D781" s="83"/>
      <c r="E781" s="4"/>
      <c r="F781" s="4"/>
      <c r="G781" s="6">
        <v>60</v>
      </c>
      <c r="H781" s="449"/>
      <c r="I781" s="4">
        <f>SUM(G769:G781)</f>
        <v>402.7</v>
      </c>
      <c r="J781" s="3"/>
      <c r="K781" s="449"/>
      <c r="L781" s="449"/>
      <c r="M781" s="449" t="str">
        <f>IF(L781="","",
IF(AX781="PT",VLOOKUP(L781,Foundation_Calc!$V$79:$X$113,VLOOKUP(AX781,Foundation_Calc!$I$10:$J$13,2,FALSE),0),
IF(AX781="K",VLOOKUP(L781,Foundation_Calc!$V$117:$X$151,VLOOKUP(AX781,Foundation_Calc!$I$10:$J$13,2,FALSE),0),"")))</f>
        <v/>
      </c>
      <c r="N781" s="449"/>
      <c r="O781" s="449"/>
      <c r="P781" s="449"/>
      <c r="Q781" s="4"/>
      <c r="R781" s="6"/>
      <c r="S781" s="6"/>
      <c r="T781" s="4"/>
      <c r="U781" s="4"/>
      <c r="V781" s="4"/>
      <c r="W781" s="9"/>
      <c r="X781" s="9"/>
      <c r="Y781" s="9"/>
      <c r="Z781" s="9"/>
      <c r="AA781" s="9"/>
      <c r="AB781" s="9"/>
      <c r="AC781" s="449" t="str">
        <f t="shared" si="88"/>
        <v/>
      </c>
      <c r="AD781" s="449"/>
      <c r="AE781" s="449"/>
      <c r="AF781" s="4"/>
      <c r="AG781" s="83"/>
      <c r="AH781" s="4"/>
      <c r="AI781" s="4"/>
      <c r="AJ781" s="449"/>
      <c r="AK781" s="449"/>
      <c r="AL781" s="449"/>
      <c r="AM781" s="449"/>
      <c r="AN781" s="10"/>
      <c r="AO781" s="9"/>
      <c r="AP781" s="9"/>
      <c r="AQ781" s="9">
        <f>+FL_2($T$782,$T$780,$G$781,1200,9.28,-1*$F$782)</f>
        <v>-0.43600286799999999</v>
      </c>
      <c r="AR781" s="9"/>
      <c r="AS781" s="9"/>
      <c r="AT781" s="9"/>
      <c r="AU781" s="428"/>
      <c r="AV781" s="428"/>
      <c r="AW781" s="449" t="str">
        <f>IF(C781&gt;0,VLOOKUP(C781,Foundation_Calc!$A$2:$C$13,3,1),
IF(J781&gt;0,VLOOKUP(J781,Foundation_Calc!$A$2:$C$13,3,1),""))</f>
        <v/>
      </c>
      <c r="AX781" s="449" t="str">
        <f>IF(C781&gt;0,VLOOKUP(C781,Foundation_Calc!$E$2:$G$33,3,1),
IF(J781&gt;0,VLOOKUP(J781,Foundation_Calc!$E$2:$G$33,3,1),""))</f>
        <v/>
      </c>
      <c r="AY781" s="10" t="str">
        <f>IF(L781="","",
IF(AX781="PT",VLOOKUP(L781,Foundation_Calc!$K$79:$R$113,VLOOKUP(AW781,Foundation_Calc!$I$2:$J$8,2,FALSE),0),
IF(AX781="K",VLOOKUP(L781,Foundation_Calc!$K$117:$R$151,VLOOKUP(AW781,Foundation_Calc!$I$2:$J$8,2,FALSE),0),"")))</f>
        <v/>
      </c>
      <c r="AZ781" s="10" t="str">
        <f>IF(K781="","",
IF(AX781="PT",VLOOKUP(K781,Foundation_Calc!$K$79:$R$113,VLOOKUP(AW781,Foundation_Calc!$I$2:$J$8,2,FALSE),0),
IF(AX781="K",VLOOKUP(K781,Foundation_Calc!$K$117:$R$151,VLOOKUP(AW781,Foundation_Calc!$I$2:$J$8,2,FALSE),0),"")))</f>
        <v/>
      </c>
      <c r="BA781" s="495" t="str">
        <f t="shared" si="85"/>
        <v/>
      </c>
      <c r="BB781" s="495" t="str">
        <f t="shared" si="86"/>
        <v/>
      </c>
      <c r="BC781" s="495" t="str">
        <f t="shared" si="87"/>
        <v/>
      </c>
      <c r="BD781" s="513" t="str">
        <f>IF(AND(L781="",H781=""),"",
IF(H781="",Pole_Calc!A$9,
IF(H781="MP",Pole_Calc!A$10,
IF(H781="AnMP",Pole_Calc!A$11,
IF(H781="A",Pole_Calc!A$12,
IF(H781="S/A",Pole_Calc!A$13,
IF(H781="A/S",Pole_Calc!A$14,"Poner a mano")))))))</f>
        <v/>
      </c>
      <c r="BE781" s="429" t="s">
        <v>118</v>
      </c>
      <c r="BF781" s="290"/>
      <c r="BG781" s="290"/>
      <c r="BH781" s="290"/>
      <c r="BI781" s="290"/>
    </row>
    <row r="782" spans="1:61" ht="15.75" customHeight="1">
      <c r="A782" s="518"/>
      <c r="B782" s="720" t="s">
        <v>642</v>
      </c>
      <c r="C782" s="3">
        <f>+$C$780+$G$781</f>
        <v>48867.58</v>
      </c>
      <c r="D782" s="83"/>
      <c r="E782" s="4"/>
      <c r="F782" s="4">
        <f>IF(C782&gt;0,VLOOKUP(C782,'ALIGNMENT TRACK'!$A$1:$K$81,9,1))</f>
        <v>0</v>
      </c>
      <c r="G782" s="6"/>
      <c r="H782" s="449" t="s">
        <v>171</v>
      </c>
      <c r="I782" s="4"/>
      <c r="J782" s="3"/>
      <c r="K782" s="449"/>
      <c r="L782" s="449" t="s">
        <v>153</v>
      </c>
      <c r="M782" s="449" t="s">
        <v>643</v>
      </c>
      <c r="N782" s="449" t="s">
        <v>124</v>
      </c>
      <c r="O782" s="449"/>
      <c r="P782" s="449"/>
      <c r="Q782" s="4"/>
      <c r="R782" s="6"/>
      <c r="S782" s="6"/>
      <c r="T782" s="4">
        <v>-35</v>
      </c>
      <c r="U782" s="4"/>
      <c r="V782" s="4"/>
      <c r="W782" s="9">
        <v>1.4</v>
      </c>
      <c r="X782" s="9"/>
      <c r="Y782" s="9"/>
      <c r="Z782" s="9"/>
      <c r="AA782" s="9"/>
      <c r="AB782" s="9"/>
      <c r="AC782" s="449" t="str">
        <f t="shared" si="88"/>
        <v>PH</v>
      </c>
      <c r="AD782" s="449"/>
      <c r="AE782" s="449"/>
      <c r="AF782" s="4"/>
      <c r="AG782" s="83"/>
      <c r="AH782" s="4"/>
      <c r="AI782" s="4"/>
      <c r="AJ782" s="449"/>
      <c r="AK782" s="449"/>
      <c r="AL782" s="449"/>
      <c r="AM782" s="449" t="s">
        <v>552</v>
      </c>
      <c r="AN782" s="10">
        <v>5.5</v>
      </c>
      <c r="AO782" s="9"/>
      <c r="AP782" s="9"/>
      <c r="AQ782" s="9"/>
      <c r="AR782" s="9"/>
      <c r="AS782" s="9"/>
      <c r="AT782" s="9">
        <f>+ab($T$782,$T$780,$T$784,$G$781,$G$783,-1*$F$782,1200)</f>
        <v>-8.4902594794620363</v>
      </c>
      <c r="AU782" s="428"/>
      <c r="AV782" s="428"/>
      <c r="AW782" s="449" t="str">
        <f>IF(C782&gt;0,VLOOKUP(C782,Foundation_Calc!$A$2:$C$13,3,1),
IF(J782&gt;0,VLOOKUP(J782,Foundation_Calc!$A$2:$C$13,3,1),""))</f>
        <v>Multi Soil</v>
      </c>
      <c r="AX782" s="449" t="str">
        <f>IF(C782&gt;0,VLOOKUP(C782,Foundation_Calc!$E$2:$G$33,3,1),
IF(J782&gt;0,VLOOKUP(J782,Foundation_Calc!$E$2:$G$33,3,1),""))</f>
        <v>K</v>
      </c>
      <c r="AY782" s="10">
        <v>3.5</v>
      </c>
      <c r="AZ782" s="10" t="str">
        <f>IF(K782="","",
IF(AX782="PT",VLOOKUP(K782,Foundation_Calc!$K$79:$R$113,VLOOKUP(AW782,Foundation_Calc!$I$2:$J$8,2,FALSE),0),
IF(AX782="K",VLOOKUP(K782,Foundation_Calc!$K$117:$R$151,VLOOKUP(AW782,Foundation_Calc!$I$2:$J$8,2,FALSE),0),"")))</f>
        <v/>
      </c>
      <c r="BA782" s="495" t="str">
        <f t="shared" ref="BA782" si="89">IF(AY782="","",IF(AY782&gt;0,"ü",""))</f>
        <v>ü</v>
      </c>
      <c r="BB782" s="495" t="str">
        <f t="shared" ref="BB782" si="90">IF(AZ782="","",IF(AZ782&gt;0,"ü",""))</f>
        <v/>
      </c>
      <c r="BC782" s="495" t="str">
        <f t="shared" ref="BC782" si="91">IF(M782="","",IF(M782="U.S.","ü",IF(M782="U.S. N.D.","ü","")))</f>
        <v/>
      </c>
      <c r="BD782" s="513" t="str">
        <f>IF(AND(L782="",H782=""),"",
IF(H782="",Pole_Calc!A$9,
IF(H782="MP",Pole_Calc!A$10,
IF(H782="AnMP",Pole_Calc!A$11,
IF(H782="A",Pole_Calc!A$12,
IF(H782="S/A",Pole_Calc!A$13,
IF(H782="A/S",Pole_Calc!A$14,"Poner a mano")))))))</f>
        <v>App.7-V11I-P9.5.1.2</v>
      </c>
      <c r="BE782" s="429" t="s">
        <v>118</v>
      </c>
      <c r="BF782" s="289"/>
      <c r="BG782" s="289"/>
      <c r="BH782" s="290"/>
      <c r="BI782" s="289"/>
    </row>
    <row r="783" spans="1:61" ht="15.75" customHeight="1">
      <c r="A783" s="514" t="s">
        <v>644</v>
      </c>
      <c r="B783" s="450"/>
      <c r="C783" s="3"/>
      <c r="D783" s="83"/>
      <c r="E783" s="4"/>
      <c r="F783" s="4"/>
      <c r="G783" s="6">
        <v>65</v>
      </c>
      <c r="H783" s="449"/>
      <c r="I783" s="4">
        <f>SUM(G783:G797)-25</f>
        <v>410.5</v>
      </c>
      <c r="J783" s="3"/>
      <c r="K783" s="449"/>
      <c r="L783" s="449"/>
      <c r="M783" s="449" t="str">
        <f>IF(L783="","",
IF(AX783="PT",VLOOKUP(L783,Foundation_Calc!$V$79:$X$113,VLOOKUP(AX783,Foundation_Calc!$I$10:$J$13,2,FALSE),0),
IF(AX783="K",VLOOKUP(L783,Foundation_Calc!$V$117:$X$151,VLOOKUP(AX783,Foundation_Calc!$I$10:$J$13,2,FALSE),0),"")))</f>
        <v/>
      </c>
      <c r="N783" s="561"/>
      <c r="O783" s="449"/>
      <c r="P783" s="449"/>
      <c r="Q783" s="4"/>
      <c r="R783" s="6"/>
      <c r="S783" s="6"/>
      <c r="T783" s="4"/>
      <c r="U783" s="4"/>
      <c r="V783" s="4"/>
      <c r="W783" s="9"/>
      <c r="X783" s="9"/>
      <c r="Y783" s="9"/>
      <c r="Z783" s="9"/>
      <c r="AA783" s="9"/>
      <c r="AB783" s="9"/>
      <c r="AC783" s="449" t="str">
        <f t="shared" si="88"/>
        <v/>
      </c>
      <c r="AD783" s="449"/>
      <c r="AE783" s="449"/>
      <c r="AF783" s="4"/>
      <c r="AG783" s="83"/>
      <c r="AH783" s="4"/>
      <c r="AI783" s="4"/>
      <c r="AJ783" s="449"/>
      <c r="AK783" s="449"/>
      <c r="AL783" s="449"/>
      <c r="AM783" s="449"/>
      <c r="AN783" s="10"/>
      <c r="AO783" s="9"/>
      <c r="AP783" s="9"/>
      <c r="AQ783" s="9">
        <f>+FL_2($T$784,$T$782,$G$783,1200,9.28,-1*$F$784)</f>
        <v>-0.48340135661538447</v>
      </c>
      <c r="AR783" s="9"/>
      <c r="AS783" s="9"/>
      <c r="AT783" s="9"/>
      <c r="AU783" s="428"/>
      <c r="AV783" s="428"/>
      <c r="AW783" s="449"/>
      <c r="AX783" s="449"/>
      <c r="AY783" s="10" t="str">
        <f>IF(L783="","",
IF(AX783="PT",VLOOKUP(L783,Foundation_Calc!$K$79:$R$113,VLOOKUP(AW783,Foundation_Calc!$I$2:$J$8,2,FALSE),0),
IF(AX783="K",VLOOKUP(L783,Foundation_Calc!$K$117:$R$151,VLOOKUP(AW783,Foundation_Calc!$I$2:$J$8,2,FALSE),0),"")))</f>
        <v/>
      </c>
      <c r="AZ783" s="10" t="str">
        <f>IF(K783="","",
IF(AX783="PT",VLOOKUP(K783,Foundation_Calc!$K$79:$R$113,VLOOKUP(AW783,Foundation_Calc!$I$2:$J$8,2,FALSE),0),
IF(AX783="K",VLOOKUP(K783,Foundation_Calc!$K$117:$R$151,VLOOKUP(AW783,Foundation_Calc!$I$2:$J$8,2,FALSE),0),"")))</f>
        <v/>
      </c>
      <c r="BA783" s="495" t="str">
        <f t="shared" si="85"/>
        <v/>
      </c>
      <c r="BB783" s="495" t="str">
        <f t="shared" si="86"/>
        <v/>
      </c>
      <c r="BC783" s="495" t="str">
        <f t="shared" si="87"/>
        <v/>
      </c>
      <c r="BD783" s="513" t="str">
        <f>IF(AND(L783="",H783=""),"",
IF(H783="",Pole_Calc!A$9,
IF(H783="MP",Pole_Calc!A$10,
IF(H783="AnMP",Pole_Calc!A$11,
IF(H783="A",Pole_Calc!A$12,
IF(H783="S/A",Pole_Calc!A$13,
IF(H783="A/S",Pole_Calc!A$14,"Poner a mano")))))))</f>
        <v/>
      </c>
      <c r="BE783" s="429" t="s">
        <v>118</v>
      </c>
      <c r="BF783" s="290"/>
      <c r="BG783" s="290"/>
      <c r="BH783" s="290"/>
      <c r="BI783" s="290"/>
    </row>
    <row r="784" spans="1:61" ht="15.75" customHeight="1">
      <c r="A784" s="515"/>
      <c r="B784" s="450" t="s">
        <v>645</v>
      </c>
      <c r="C784" s="3">
        <f>+$C$782+$G$783</f>
        <v>48932.58</v>
      </c>
      <c r="D784" s="83"/>
      <c r="E784" s="4"/>
      <c r="F784" s="4">
        <f>IF(C784&gt;0,VLOOKUP(C784,'ALIGNMENT TRACK'!$A$1:$K$81,9,1))</f>
        <v>0</v>
      </c>
      <c r="G784" s="6"/>
      <c r="H784" s="449" t="s">
        <v>168</v>
      </c>
      <c r="I784" s="4"/>
      <c r="J784" s="3"/>
      <c r="K784" s="449"/>
      <c r="L784" s="449" t="s">
        <v>158</v>
      </c>
      <c r="M784" s="449" t="s">
        <v>646</v>
      </c>
      <c r="N784" s="449" t="s">
        <v>134</v>
      </c>
      <c r="O784" s="449"/>
      <c r="P784" s="449"/>
      <c r="Q784" s="4"/>
      <c r="R784" s="6"/>
      <c r="S784" s="6"/>
      <c r="T784" s="4">
        <v>35</v>
      </c>
      <c r="U784" s="4"/>
      <c r="V784" s="4"/>
      <c r="W784" s="9">
        <v>1.4</v>
      </c>
      <c r="X784" s="9"/>
      <c r="Y784" s="9"/>
      <c r="Z784" s="9"/>
      <c r="AA784" s="9"/>
      <c r="AB784" s="9"/>
      <c r="AC784" s="449" t="str">
        <f t="shared" si="88"/>
        <v>PH</v>
      </c>
      <c r="AD784" s="449"/>
      <c r="AE784" s="449"/>
      <c r="AF784" s="4"/>
      <c r="AG784" s="83"/>
      <c r="AH784" s="4"/>
      <c r="AI784" s="4"/>
      <c r="AJ784" s="449"/>
      <c r="AK784" s="449"/>
      <c r="AL784" s="449"/>
      <c r="AM784" s="449" t="s">
        <v>552</v>
      </c>
      <c r="AN784" s="10">
        <v>5.5</v>
      </c>
      <c r="AO784" s="9"/>
      <c r="AP784" s="9"/>
      <c r="AQ784" s="9"/>
      <c r="AR784" s="9"/>
      <c r="AS784" s="9"/>
      <c r="AT784" s="9">
        <f>+ab($T$784,$T$782,$T$786,$G$783,$G$785,-1*$F$784,1200)</f>
        <v>8.5976565050757081</v>
      </c>
      <c r="AU784" s="428"/>
      <c r="AV784" s="428"/>
      <c r="AW784" s="449" t="str">
        <f>IF(C784&gt;0,VLOOKUP(C784,Foundation_Calc!$A$2:$C$13,3,1),
IF(J784&gt;0,VLOOKUP(J784,Foundation_Calc!$A$2:$C$13,3,1),""))</f>
        <v>Multi Soil</v>
      </c>
      <c r="AX784" s="449" t="str">
        <f>IF(C784&gt;0,VLOOKUP(C784,Foundation_Calc!$E$2:$G$33,3,1),
IF(J784&gt;0,VLOOKUP(J784,Foundation_Calc!$E$2:$G$33,3,1),""))</f>
        <v>K</v>
      </c>
      <c r="AY784" s="10">
        <v>3.5</v>
      </c>
      <c r="AZ784" s="10" t="str">
        <f>IF(K784="","",
IF(AX784="PT",VLOOKUP(K784,Foundation_Calc!$K$79:$R$113,VLOOKUP(AW784,Foundation_Calc!$I$2:$J$8,2,FALSE),0),
IF(AX784="K",VLOOKUP(K784,Foundation_Calc!$K$117:$R$151,VLOOKUP(AW784,Foundation_Calc!$I$2:$J$8,2,FALSE),0),"")))</f>
        <v/>
      </c>
      <c r="BA784" s="495" t="str">
        <f t="shared" si="85"/>
        <v>ü</v>
      </c>
      <c r="BB784" s="495" t="str">
        <f t="shared" si="86"/>
        <v/>
      </c>
      <c r="BC784" s="495" t="str">
        <f t="shared" si="87"/>
        <v/>
      </c>
      <c r="BD784" s="513" t="str">
        <f>IF(AND(L784="",H784=""),"",
IF(H784="",Pole_Calc!A$9,
IF(H784="MP",Pole_Calc!A$10,
IF(H784="AnMP",Pole_Calc!A$11,
IF(H784="A",Pole_Calc!A$12,
IF(H784="S/A",Pole_Calc!A$13,
IF(H784="A/S",Pole_Calc!A$14,"Poner a mano")))))))</f>
        <v>App.7-V11I-P9.5.1.3</v>
      </c>
      <c r="BE784" s="429" t="s">
        <v>118</v>
      </c>
      <c r="BF784" s="289"/>
      <c r="BG784" s="289"/>
      <c r="BH784" s="290"/>
      <c r="BI784" s="289"/>
    </row>
    <row r="785" spans="1:61" ht="15.75" customHeight="1">
      <c r="A785" s="514"/>
      <c r="B785" s="450"/>
      <c r="C785" s="3"/>
      <c r="D785" s="83"/>
      <c r="E785" s="4"/>
      <c r="F785" s="4"/>
      <c r="G785" s="6">
        <v>61.5</v>
      </c>
      <c r="H785" s="449"/>
      <c r="I785" s="4"/>
      <c r="J785" s="3">
        <f>C784+7.5</f>
        <v>48940.08</v>
      </c>
      <c r="K785" s="449" t="s">
        <v>324</v>
      </c>
      <c r="L785" s="449"/>
      <c r="M785" s="449"/>
      <c r="N785" s="449"/>
      <c r="O785" s="449"/>
      <c r="P785" s="449"/>
      <c r="Q785" s="4"/>
      <c r="R785" s="6"/>
      <c r="S785" s="6"/>
      <c r="T785" s="4"/>
      <c r="U785" s="4"/>
      <c r="V785" s="4"/>
      <c r="W785" s="9"/>
      <c r="X785" s="9"/>
      <c r="Y785" s="9"/>
      <c r="Z785" s="9"/>
      <c r="AA785" s="9"/>
      <c r="AB785" s="9"/>
      <c r="AC785" s="449" t="str">
        <f t="shared" si="88"/>
        <v/>
      </c>
      <c r="AD785" s="449"/>
      <c r="AE785" s="449"/>
      <c r="AF785" s="4"/>
      <c r="AG785" s="83"/>
      <c r="AH785" s="4"/>
      <c r="AI785" s="4"/>
      <c r="AJ785" s="449"/>
      <c r="AK785" s="449"/>
      <c r="AL785" s="449"/>
      <c r="AM785" s="449"/>
      <c r="AN785" s="10"/>
      <c r="AO785" s="9"/>
      <c r="AP785" s="9"/>
      <c r="AQ785" s="9">
        <f>+FL_1($T$786,$T$784,$G$785,1200,9.28,-1*$F$786)</f>
        <v>0.44937990078048784</v>
      </c>
      <c r="AR785" s="9"/>
      <c r="AS785" s="9"/>
      <c r="AT785" s="9"/>
      <c r="AU785" s="428"/>
      <c r="AV785" s="428"/>
      <c r="AW785" s="449" t="str">
        <f>IF(C785&gt;0,VLOOKUP(C785,Foundation_Calc!$A$2:$C$13,3,1),
IF(J785&gt;0,VLOOKUP(J785,Foundation_Calc!$A$2:$C$13,3,1),""))</f>
        <v>Multi Soil</v>
      </c>
      <c r="AX785" s="449" t="str">
        <f>IF(C785&gt;0,VLOOKUP(C785,Foundation_Calc!$E$2:$G$33,3,1),
IF(J785&gt;0,VLOOKUP(J785,Foundation_Calc!$E$2:$G$33,3,1),""))</f>
        <v>K</v>
      </c>
      <c r="AY785" s="10" t="str">
        <f>IF(L785="","",
IF(AX785="PT",VLOOKUP(L785,Foundation_Calc!$K$79:$R$113,VLOOKUP(AW785,Foundation_Calc!$I$2:$J$8,2,FALSE),0),
IF(AX785="K",VLOOKUP(L785,Foundation_Calc!$K$117:$R$151,VLOOKUP(AW785,Foundation_Calc!$I$2:$J$8,2,FALSE),0),"")))</f>
        <v/>
      </c>
      <c r="AZ785" s="10">
        <f>IF(K785="","",
IF(AX785="PT",VLOOKUP(K785,Foundation_Calc!$K$79:$R$113,VLOOKUP(AW785,Foundation_Calc!$I$2:$J$8,2,FALSE),0),
IF(AX785="K",VLOOKUP(K785,Foundation_Calc!$K$117:$R$151,VLOOKUP(AW785,Foundation_Calc!$I$2:$J$8,2,FALSE),0),"")))</f>
        <v>2.8</v>
      </c>
      <c r="BA785" s="495" t="str">
        <f t="shared" si="85"/>
        <v/>
      </c>
      <c r="BB785" s="495" t="str">
        <f t="shared" si="86"/>
        <v>ü</v>
      </c>
      <c r="BC785" s="495" t="str">
        <f t="shared" si="87"/>
        <v/>
      </c>
      <c r="BD785" s="513" t="str">
        <f>IF(AND(L785="",H785=""),"",
IF(H785="",Pole_Calc!A$9,
IF(H785="MP",Pole_Calc!A$10,
IF(H785="AnMP",Pole_Calc!A$11,
IF(H785="A",Pole_Calc!A$12,
IF(H785="S/A",Pole_Calc!A$13,
IF(H785="A/S",Pole_Calc!A$14,"Poner a mano")))))))</f>
        <v/>
      </c>
      <c r="BE785" s="429" t="s">
        <v>118</v>
      </c>
      <c r="BF785" s="290"/>
      <c r="BG785" s="290"/>
      <c r="BH785" s="290"/>
      <c r="BI785" s="290"/>
    </row>
    <row r="786" spans="1:61" ht="15.75" customHeight="1">
      <c r="A786" s="514"/>
      <c r="B786" s="450" t="s">
        <v>647</v>
      </c>
      <c r="C786" s="3">
        <f>+$C$784+$G$785</f>
        <v>48994.080000000002</v>
      </c>
      <c r="D786" s="83"/>
      <c r="E786" s="4"/>
      <c r="F786" s="4">
        <f>IF(C786&gt;0,VLOOKUP(C786,'ALIGNMENT TRACK'!$A$1:$K$81,9,1))</f>
        <v>0</v>
      </c>
      <c r="G786" s="6"/>
      <c r="H786" s="449"/>
      <c r="I786" s="4"/>
      <c r="J786" s="3"/>
      <c r="K786" s="449"/>
      <c r="L786" s="449" t="s">
        <v>153</v>
      </c>
      <c r="M786" s="449" t="str">
        <f>IF(L786="","",
IF(AX786="PT",VLOOKUP(L786,Foundation_Calc!$V$79:$X$113,VLOOKUP(AX786,Foundation_Calc!$I$10:$J$13,2,FALSE),0),
IF(AX786="K",VLOOKUP(L786,Foundation_Calc!$V$117:$X$151,VLOOKUP(AX786,Foundation_Calc!$I$10:$J$13,2,FALSE),0),"")))</f>
        <v>C3RT</v>
      </c>
      <c r="N786" s="449" t="s">
        <v>124</v>
      </c>
      <c r="O786" s="449"/>
      <c r="P786" s="449"/>
      <c r="Q786" s="4"/>
      <c r="R786" s="6"/>
      <c r="S786" s="6"/>
      <c r="T786" s="4">
        <v>-35</v>
      </c>
      <c r="U786" s="4"/>
      <c r="V786" s="4"/>
      <c r="W786" s="9">
        <v>1.4</v>
      </c>
      <c r="X786" s="9"/>
      <c r="Y786" s="9"/>
      <c r="Z786" s="9"/>
      <c r="AA786" s="9"/>
      <c r="AB786" s="9"/>
      <c r="AC786" s="449" t="str">
        <f t="shared" si="88"/>
        <v>PH</v>
      </c>
      <c r="AD786" s="449"/>
      <c r="AE786" s="449"/>
      <c r="AF786" s="4"/>
      <c r="AG786" s="83"/>
      <c r="AH786" s="4"/>
      <c r="AI786" s="4"/>
      <c r="AJ786" s="449"/>
      <c r="AK786" s="449"/>
      <c r="AL786" s="449"/>
      <c r="AM786" s="449" t="s">
        <v>552</v>
      </c>
      <c r="AN786" s="10">
        <v>5.5</v>
      </c>
      <c r="AO786" s="9"/>
      <c r="AP786" s="9"/>
      <c r="AQ786" s="9"/>
      <c r="AR786" s="9"/>
      <c r="AS786" s="9"/>
      <c r="AT786" s="9">
        <f>+ab($T$786,$T$784,$T$788,$G$785,$G$787,-1*$F$786,1200)</f>
        <v>-8.3358694821254939</v>
      </c>
      <c r="AU786" s="428"/>
      <c r="AV786" s="428"/>
      <c r="AW786" s="449" t="str">
        <f>IF(C786&gt;0,VLOOKUP(C786,Foundation_Calc!$A$2:$C$13,3,1),
IF(J786&gt;0,VLOOKUP(J786,Foundation_Calc!$A$2:$C$13,3,1),""))</f>
        <v>Multi Soil</v>
      </c>
      <c r="AX786" s="449" t="str">
        <f>IF(C786&gt;0,VLOOKUP(C786,Foundation_Calc!$E$2:$G$33,3,1),
IF(J786&gt;0,VLOOKUP(J786,Foundation_Calc!$E$2:$G$33,3,1),""))</f>
        <v>K</v>
      </c>
      <c r="AY786" s="10">
        <f>IF(L786="","",
IF(AX786="PT",VLOOKUP(L786,Foundation_Calc!$K$79:$R$113,VLOOKUP(AW786,Foundation_Calc!$I$2:$J$8,2,FALSE),0),
IF(AX786="K",VLOOKUP(L786,Foundation_Calc!$K$117:$R$151,VLOOKUP(AW786,Foundation_Calc!$I$2:$J$8,2,FALSE),0),"")))</f>
        <v>4</v>
      </c>
      <c r="AZ786" s="10" t="str">
        <f>IF(K786="","",
IF(AX786="PT",VLOOKUP(K786,Foundation_Calc!$K$79:$R$113,VLOOKUP(AW786,Foundation_Calc!$I$2:$J$8,2,FALSE),0),
IF(AX786="K",VLOOKUP(K786,Foundation_Calc!$K$117:$R$151,VLOOKUP(AW786,Foundation_Calc!$I$2:$J$8,2,FALSE),0),"")))</f>
        <v/>
      </c>
      <c r="BA786" s="495" t="str">
        <f t="shared" si="85"/>
        <v>ü</v>
      </c>
      <c r="BB786" s="495" t="str">
        <f t="shared" si="86"/>
        <v/>
      </c>
      <c r="BC786" s="495" t="str">
        <f t="shared" si="87"/>
        <v/>
      </c>
      <c r="BD786" s="513" t="str">
        <f>IF(AND(L786="",H786=""),"",
IF(H786="",Pole_Calc!A$9,
IF(H786="MP",Pole_Calc!A$10,
IF(H786="AnMP",Pole_Calc!A$11,
IF(H786="A",Pole_Calc!A$12,
IF(H786="S/A",Pole_Calc!A$13,
IF(H786="A/S",Pole_Calc!A$14,"Poner a mano")))))))</f>
        <v>App.7-V11I-P9.5.1.1</v>
      </c>
      <c r="BE786" s="429" t="s">
        <v>118</v>
      </c>
      <c r="BF786" s="289"/>
      <c r="BG786" s="289"/>
      <c r="BH786" s="290"/>
      <c r="BI786" s="289"/>
    </row>
    <row r="787" spans="1:61" ht="15.75" customHeight="1">
      <c r="A787" s="514" t="s">
        <v>169</v>
      </c>
      <c r="B787" s="450"/>
      <c r="C787" s="3"/>
      <c r="D787" s="83"/>
      <c r="E787" s="4"/>
      <c r="F787" s="4"/>
      <c r="G787" s="6">
        <v>61</v>
      </c>
      <c r="H787" s="449"/>
      <c r="I787" s="4"/>
      <c r="J787" s="3">
        <f>C788-7.5</f>
        <v>49047.58</v>
      </c>
      <c r="K787" s="449" t="s">
        <v>117</v>
      </c>
      <c r="L787" s="449"/>
      <c r="M787" s="449" t="str">
        <f>IF(L787="","",
IF(AX787="PT",VLOOKUP(L787,Foundation_Calc!$V$79:$X$113,VLOOKUP(AX787,Foundation_Calc!$I$10:$J$13,2,FALSE),0),
IF(AX787="K",VLOOKUP(L787,Foundation_Calc!$V$117:$X$151,VLOOKUP(AX787,Foundation_Calc!$I$10:$J$13,2,FALSE),0),"")))</f>
        <v/>
      </c>
      <c r="N787" s="449"/>
      <c r="O787" s="449"/>
      <c r="P787" s="449"/>
      <c r="Q787" s="4"/>
      <c r="R787" s="6"/>
      <c r="S787" s="6"/>
      <c r="T787" s="4"/>
      <c r="U787" s="4"/>
      <c r="V787" s="4"/>
      <c r="W787" s="9"/>
      <c r="X787" s="9"/>
      <c r="Y787" s="9"/>
      <c r="Z787" s="9"/>
      <c r="AA787" s="9"/>
      <c r="AB787" s="9"/>
      <c r="AC787" s="449" t="str">
        <f t="shared" si="88"/>
        <v/>
      </c>
      <c r="AD787" s="449"/>
      <c r="AE787" s="449"/>
      <c r="AF787" s="4"/>
      <c r="AG787" s="83"/>
      <c r="AH787" s="4"/>
      <c r="AI787" s="4"/>
      <c r="AJ787" s="449"/>
      <c r="AK787" s="449"/>
      <c r="AL787" s="449"/>
      <c r="AM787" s="449"/>
      <c r="AN787" s="10"/>
      <c r="AO787" s="9"/>
      <c r="AP787" s="9"/>
      <c r="AQ787" s="9">
        <f>+FL_2($T$788,$T$786,$G$787,1200,9.28,-1*$F$788)</f>
        <v>-0.44483784996721309</v>
      </c>
      <c r="AR787" s="9"/>
      <c r="AS787" s="9"/>
      <c r="AT787" s="9"/>
      <c r="AU787" s="428"/>
      <c r="AV787" s="428"/>
      <c r="AW787" s="449" t="str">
        <f>IF(C787&gt;0,VLOOKUP(C787,Foundation_Calc!$A$2:$C$13,3,1),
IF(J787&gt;0,VLOOKUP(J787,Foundation_Calc!$A$2:$C$13,3,1),""))</f>
        <v>Multi Soil</v>
      </c>
      <c r="AX787" s="449" t="str">
        <f>IF(C787&gt;0,VLOOKUP(C787,Foundation_Calc!$E$2:$G$33,3,1),
IF(J787&gt;0,VLOOKUP(J787,Foundation_Calc!$E$2:$G$33,3,1),""))</f>
        <v>PT</v>
      </c>
      <c r="AY787" s="10" t="str">
        <f>IF(L787="","",
IF(AX787="PT",VLOOKUP(L787,Foundation_Calc!$K$79:$R$113,VLOOKUP(AW787,Foundation_Calc!$I$2:$J$8,2,FALSE),0),
IF(AX787="K",VLOOKUP(L787,Foundation_Calc!$K$117:$R$151,VLOOKUP(AW787,Foundation_Calc!$I$2:$J$8,2,FALSE),0),"")))</f>
        <v/>
      </c>
      <c r="AZ787" s="10">
        <f>IF(K787="","",
IF(AX787="PT",VLOOKUP(K787,Foundation_Calc!$K$79:$R$113,VLOOKUP(AW787,Foundation_Calc!$I$2:$J$8,2,FALSE),0),
IF(AX787="K",VLOOKUP(K787,Foundation_Calc!$K$117:$R$151,VLOOKUP(AW787,Foundation_Calc!$I$2:$J$8,2,FALSE),0),"")))</f>
        <v>3.9</v>
      </c>
      <c r="BA787" s="495" t="str">
        <f t="shared" si="85"/>
        <v/>
      </c>
      <c r="BB787" s="495" t="str">
        <f t="shared" si="86"/>
        <v>ü</v>
      </c>
      <c r="BC787" s="495" t="str">
        <f t="shared" si="87"/>
        <v/>
      </c>
      <c r="BD787" s="513" t="str">
        <f>IF(AND(L787="",H787=""),"",
IF(H787="",Pole_Calc!A$9,
IF(H787="MP",Pole_Calc!A$10,
IF(H787="AnMP",Pole_Calc!A$11,
IF(H787="A",Pole_Calc!A$12,
IF(H787="S/A",Pole_Calc!A$13,
IF(H787="A/S",Pole_Calc!A$14,"Poner a mano")))))))</f>
        <v/>
      </c>
      <c r="BE787" s="429" t="s">
        <v>118</v>
      </c>
      <c r="BF787" s="290"/>
      <c r="BG787" s="290"/>
      <c r="BH787" s="290"/>
      <c r="BI787" s="290"/>
    </row>
    <row r="788" spans="1:61" ht="15.75" customHeight="1">
      <c r="A788" s="518"/>
      <c r="B788" s="450" t="s">
        <v>648</v>
      </c>
      <c r="C788" s="3">
        <f>+$C$786+$G$787</f>
        <v>49055.08</v>
      </c>
      <c r="D788" s="83"/>
      <c r="E788" s="4"/>
      <c r="F788" s="4">
        <f>IF(C788&gt;0,VLOOKUP(C788,'ALIGNMENT TRACK'!$A$1:$K$81,9,1))</f>
        <v>0</v>
      </c>
      <c r="G788" s="6"/>
      <c r="H788" s="449"/>
      <c r="I788" s="4"/>
      <c r="J788" s="3"/>
      <c r="K788" s="449"/>
      <c r="L788" s="449" t="s">
        <v>158</v>
      </c>
      <c r="M788" s="449" t="str">
        <f>IF(L788="","",
IF(AX788="PT",VLOOKUP(L788,Foundation_Calc!$V$79:$X$113,VLOOKUP(AX788,Foundation_Calc!$I$10:$J$13,2,FALSE),0),
IF(AX788="K",VLOOKUP(L788,Foundation_Calc!$V$117:$X$151,VLOOKUP(AX788,Foundation_Calc!$I$10:$J$13,2,FALSE),0),"")))</f>
        <v>C4R</v>
      </c>
      <c r="N788" s="449" t="s">
        <v>134</v>
      </c>
      <c r="O788" s="449"/>
      <c r="P788" s="449"/>
      <c r="Q788" s="4"/>
      <c r="R788" s="6"/>
      <c r="S788" s="6"/>
      <c r="T788" s="4">
        <v>35</v>
      </c>
      <c r="U788" s="4"/>
      <c r="V788" s="4"/>
      <c r="W788" s="9">
        <v>1.4</v>
      </c>
      <c r="X788" s="9"/>
      <c r="Y788" s="9"/>
      <c r="Z788" s="9"/>
      <c r="AA788" s="9"/>
      <c r="AB788" s="9"/>
      <c r="AC788" s="449" t="str">
        <f t="shared" si="88"/>
        <v>PH</v>
      </c>
      <c r="AD788" s="449"/>
      <c r="AE788" s="449"/>
      <c r="AF788" s="4"/>
      <c r="AG788" s="83"/>
      <c r="AH788" s="4"/>
      <c r="AI788" s="4"/>
      <c r="AJ788" s="449"/>
      <c r="AK788" s="449"/>
      <c r="AL788" s="449"/>
      <c r="AM788" s="449" t="s">
        <v>552</v>
      </c>
      <c r="AN788" s="10">
        <v>5.5</v>
      </c>
      <c r="AO788" s="9"/>
      <c r="AP788" s="9"/>
      <c r="AQ788" s="9"/>
      <c r="AR788" s="9"/>
      <c r="AS788" s="9"/>
      <c r="AT788" s="9">
        <f>+ab($T$788,$T$786,$U$790,$G$787,$G$789,-1*$F$788,1200)</f>
        <v>10.764725313014534</v>
      </c>
      <c r="AU788" s="428"/>
      <c r="AV788" s="428"/>
      <c r="AW788" s="449" t="str">
        <f>IF(C788&gt;0,VLOOKUP(C788,Foundation_Calc!$A$2:$C$13,3,1),
IF(J788&gt;0,VLOOKUP(J788,Foundation_Calc!$A$2:$C$13,3,1),""))</f>
        <v>Multi Soil</v>
      </c>
      <c r="AX788" s="449" t="str">
        <f>IF(C788&gt;0,VLOOKUP(C788,Foundation_Calc!$E$2:$G$33,3,1),
IF(J788&gt;0,VLOOKUP(J788,Foundation_Calc!$E$2:$G$33,3,1),""))</f>
        <v>PT</v>
      </c>
      <c r="AY788" s="10">
        <f>IF(L788="","",
IF(AX788="PT",VLOOKUP(L788,Foundation_Calc!$K$79:$R$113,VLOOKUP(AW788,Foundation_Calc!$I$2:$J$8,2,FALSE),0),
IF(AX788="K",VLOOKUP(L788,Foundation_Calc!$K$117:$R$151,VLOOKUP(AW788,Foundation_Calc!$I$2:$J$8,2,FALSE),0),"")))</f>
        <v>3.5</v>
      </c>
      <c r="AZ788" s="10" t="str">
        <f>IF(K788="","",
IF(AX788="PT",VLOOKUP(K788,Foundation_Calc!$K$79:$R$113,VLOOKUP(AW788,Foundation_Calc!$I$2:$J$8,2,FALSE),0),
IF(AX788="K",VLOOKUP(K788,Foundation_Calc!$K$117:$R$151,VLOOKUP(AW788,Foundation_Calc!$I$2:$J$8,2,FALSE),0),"")))</f>
        <v/>
      </c>
      <c r="BA788" s="495" t="str">
        <f t="shared" si="85"/>
        <v>ü</v>
      </c>
      <c r="BB788" s="495" t="str">
        <f t="shared" si="86"/>
        <v/>
      </c>
      <c r="BC788" s="495" t="str">
        <f t="shared" si="87"/>
        <v/>
      </c>
      <c r="BD788" s="513" t="str">
        <f>IF(AND(L788="",H788=""),"",
IF(H788="",Pole_Calc!A$9,
IF(H788="MP",Pole_Calc!A$10,
IF(H788="AnMP",Pole_Calc!A$11,
IF(H788="A",Pole_Calc!A$12,
IF(H788="S/A",Pole_Calc!A$13,
IF(H788="A/S",Pole_Calc!A$14,"Poner a mano")))))))</f>
        <v>App.7-V11I-P9.5.1.1</v>
      </c>
      <c r="BE788" s="429" t="s">
        <v>118</v>
      </c>
      <c r="BF788" s="289"/>
      <c r="BG788" s="289"/>
      <c r="BH788" s="290"/>
      <c r="BI788" s="289"/>
    </row>
    <row r="789" spans="1:61" ht="15.75" customHeight="1">
      <c r="A789" s="571"/>
      <c r="B789" s="450"/>
      <c r="C789" s="3"/>
      <c r="D789" s="83"/>
      <c r="E789" s="4"/>
      <c r="F789" s="4"/>
      <c r="G789" s="6">
        <v>57</v>
      </c>
      <c r="H789" s="449"/>
      <c r="I789" s="4"/>
      <c r="J789" s="3"/>
      <c r="K789" s="449"/>
      <c r="L789" s="449"/>
      <c r="M789" s="449" t="str">
        <f>IF(L789="","",
IF(AX789="PT",VLOOKUP(L789,Foundation_Calc!$V$79:$X$113,VLOOKUP(AX789,Foundation_Calc!$I$10:$J$13,2,FALSE),0),
IF(AX789="K",VLOOKUP(L789,Foundation_Calc!$V$117:$X$151,VLOOKUP(AX789,Foundation_Calc!$I$10:$J$13,2,FALSE),0),"")))</f>
        <v/>
      </c>
      <c r="N789" s="449"/>
      <c r="O789" s="449"/>
      <c r="P789" s="449"/>
      <c r="Q789" s="4"/>
      <c r="R789" s="6"/>
      <c r="S789" s="6"/>
      <c r="T789" s="4"/>
      <c r="U789" s="4"/>
      <c r="V789" s="4"/>
      <c r="W789" s="9"/>
      <c r="X789" s="9"/>
      <c r="Y789" s="9"/>
      <c r="Z789" s="9"/>
      <c r="AA789" s="9"/>
      <c r="AB789" s="9"/>
      <c r="AC789" s="449" t="str">
        <f t="shared" si="88"/>
        <v/>
      </c>
      <c r="AD789" s="449"/>
      <c r="AE789" s="449"/>
      <c r="AF789" s="4"/>
      <c r="AG789" s="83"/>
      <c r="AH789" s="4"/>
      <c r="AI789" s="4"/>
      <c r="AJ789" s="449"/>
      <c r="AK789" s="449"/>
      <c r="AL789" s="449"/>
      <c r="AM789" s="449"/>
      <c r="AN789" s="10"/>
      <c r="AO789" s="9"/>
      <c r="AP789" s="9"/>
      <c r="AQ789" s="9">
        <f>+FL_1($T$790,$T$788,$G$789,1200,9.28,-1*$F$790)</f>
        <v>0.41158010919298232</v>
      </c>
      <c r="AR789" s="9"/>
      <c r="AS789" s="9"/>
      <c r="AT789" s="9"/>
      <c r="AU789" s="428"/>
      <c r="AV789" s="428"/>
      <c r="AW789" s="449" t="str">
        <f>IF(C789&gt;0,VLOOKUP(C789,Foundation_Calc!$A$2:$C$13,3,1),
IF(J789&gt;0,VLOOKUP(J789,Foundation_Calc!$A$2:$C$13,3,1),""))</f>
        <v/>
      </c>
      <c r="AX789" s="449" t="str">
        <f>IF(C789&gt;0,VLOOKUP(C789,Foundation_Calc!$E$2:$G$33,3,1),
IF(J789&gt;0,VLOOKUP(J789,Foundation_Calc!$E$2:$G$33,3,1),""))</f>
        <v/>
      </c>
      <c r="AY789" s="10" t="str">
        <f>IF(L789="","",
IF(AX789="PT",VLOOKUP(L789,Foundation_Calc!$K$79:$R$113,VLOOKUP(AW789,Foundation_Calc!$I$2:$J$8,2,FALSE),0),
IF(AX789="K",VLOOKUP(L789,Foundation_Calc!$K$117:$R$151,VLOOKUP(AW789,Foundation_Calc!$I$2:$J$8,2,FALSE),0),"")))</f>
        <v/>
      </c>
      <c r="AZ789" s="10" t="str">
        <f>IF(K789="","",
IF(AX789="PT",VLOOKUP(K789,Foundation_Calc!$K$79:$R$113,VLOOKUP(AW789,Foundation_Calc!$I$2:$J$8,2,FALSE),0),
IF(AX789="K",VLOOKUP(K789,Foundation_Calc!$K$117:$R$151,VLOOKUP(AW789,Foundation_Calc!$I$2:$J$8,2,FALSE),0),"")))</f>
        <v/>
      </c>
      <c r="BA789" s="495" t="str">
        <f t="shared" ref="BA789" si="92">IF(AY789="","",IF(AY789&gt;0,"ü",""))</f>
        <v/>
      </c>
      <c r="BB789" s="495" t="str">
        <f t="shared" ref="BB789" si="93">IF(AZ789="","",IF(AZ789&gt;0,"ü",""))</f>
        <v/>
      </c>
      <c r="BC789" s="495" t="str">
        <f t="shared" ref="BC789" si="94">IF(M789="","",IF(M789="U.S.","ü",IF(M789="U.S. N.D.","ü","")))</f>
        <v/>
      </c>
      <c r="BD789" s="513" t="str">
        <f>IF(AND(L789="",H789=""),"",
IF(H789="",Pole_Calc!A$9,
IF(H789="MP",Pole_Calc!A$10,
IF(H789="AnMP",Pole_Calc!A$11,
IF(H789="A",Pole_Calc!A$12,
IF(H789="S/A",Pole_Calc!A$13,
IF(H789="A/S",Pole_Calc!A$14,"Poner a mano")))))))</f>
        <v/>
      </c>
      <c r="BE789" s="429" t="s">
        <v>118</v>
      </c>
      <c r="BF789" s="290"/>
      <c r="BG789" s="290"/>
      <c r="BH789" s="290"/>
      <c r="BI789" s="290"/>
    </row>
    <row r="790" spans="1:61" ht="15.75" customHeight="1">
      <c r="A790" s="514"/>
      <c r="B790" s="450" t="s">
        <v>649</v>
      </c>
      <c r="C790" s="3">
        <f>+$C$788+$G$789</f>
        <v>49112.08</v>
      </c>
      <c r="D790" s="83"/>
      <c r="E790" s="4"/>
      <c r="F790" s="4">
        <f>IF(C790&gt;0,VLOOKUP(C790,'ALIGNMENT TRACK'!$A$1:$K$81,9,1))</f>
        <v>0</v>
      </c>
      <c r="G790" s="6"/>
      <c r="H790" s="449"/>
      <c r="I790" s="4"/>
      <c r="J790" s="3"/>
      <c r="K790" s="449"/>
      <c r="L790" s="449" t="s">
        <v>158</v>
      </c>
      <c r="M790" s="449" t="str">
        <f>IF(L790="","",
IF(AX790="PT",VLOOKUP(L790,Foundation_Calc!$V$79:$X$113,VLOOKUP(AX790,Foundation_Calc!$I$10:$J$13,2,FALSE),0),
IF(AX790="K",VLOOKUP(L790,Foundation_Calc!$V$117:$X$151,VLOOKUP(AX790,Foundation_Calc!$I$10:$J$13,2,FALSE),0),"")))</f>
        <v>C4R</v>
      </c>
      <c r="N790" s="449" t="s">
        <v>124</v>
      </c>
      <c r="O790" s="449"/>
      <c r="P790" s="449"/>
      <c r="Q790" s="4"/>
      <c r="R790" s="6"/>
      <c r="S790" s="6"/>
      <c r="T790" s="4">
        <v>-35</v>
      </c>
      <c r="U790" s="4"/>
      <c r="V790" s="4"/>
      <c r="W790" s="9">
        <v>1.4</v>
      </c>
      <c r="X790" s="9"/>
      <c r="Y790" s="9"/>
      <c r="Z790" s="9"/>
      <c r="AA790" s="9"/>
      <c r="AB790" s="9"/>
      <c r="AC790" s="449" t="str">
        <f t="shared" si="88"/>
        <v>PHQ</v>
      </c>
      <c r="AD790" s="449"/>
      <c r="AE790" s="449"/>
      <c r="AF790" s="4"/>
      <c r="AG790" s="83"/>
      <c r="AH790" s="4"/>
      <c r="AI790" s="4"/>
      <c r="AJ790" s="449"/>
      <c r="AK790" s="449"/>
      <c r="AL790" s="449"/>
      <c r="AM790" s="449" t="s">
        <v>552</v>
      </c>
      <c r="AN790" s="10">
        <v>5.5</v>
      </c>
      <c r="AO790" s="9"/>
      <c r="AP790" s="9"/>
      <c r="AQ790" s="9"/>
      <c r="AR790" s="9"/>
      <c r="AS790" s="9"/>
      <c r="AT790" s="9">
        <f>+ab($T$790,$T$788,$T$792,$G$789,$G$791,-1*$F$790,1200)</f>
        <v>-7.0261255394784392</v>
      </c>
      <c r="AU790" s="428"/>
      <c r="AV790" s="428"/>
      <c r="AW790" s="449" t="str">
        <f>IF(C790&gt;0,VLOOKUP(C790,Foundation_Calc!$A$2:$C$13,3,1),
IF(J790&gt;0,VLOOKUP(J790,Foundation_Calc!$A$2:$C$13,3,1),""))</f>
        <v>Multi Soil</v>
      </c>
      <c r="AX790" s="449" t="str">
        <f>IF(C790&gt;0,VLOOKUP(C790,Foundation_Calc!$E$2:$G$33,3,1),
IF(J790&gt;0,VLOOKUP(J790,Foundation_Calc!$E$2:$G$33,3,1),""))</f>
        <v>PT</v>
      </c>
      <c r="AY790" s="10">
        <f>IF(L790="","",
IF(AX790="PT",VLOOKUP(L790,Foundation_Calc!$K$79:$R$113,VLOOKUP(AW790,Foundation_Calc!$I$2:$J$8,2,FALSE),0),
IF(AX790="K",VLOOKUP(L790,Foundation_Calc!$K$117:$R$151,VLOOKUP(AW790,Foundation_Calc!$I$2:$J$8,2,FALSE),0),"")))</f>
        <v>3.5</v>
      </c>
      <c r="AZ790" s="10" t="str">
        <f>IF(K790="","",
IF(AX790="PT",VLOOKUP(K790,Foundation_Calc!$K$79:$R$113,VLOOKUP(AW790,Foundation_Calc!$I$2:$J$8,2,FALSE),0),
IF(AX790="K",VLOOKUP(K790,Foundation_Calc!$K$117:$R$151,VLOOKUP(AW790,Foundation_Calc!$I$2:$J$8,2,FALSE),0),"")))</f>
        <v/>
      </c>
      <c r="BA790" s="495" t="str">
        <f t="shared" si="85"/>
        <v>ü</v>
      </c>
      <c r="BB790" s="495" t="str">
        <f t="shared" si="86"/>
        <v/>
      </c>
      <c r="BC790" s="495" t="str">
        <f t="shared" si="87"/>
        <v/>
      </c>
      <c r="BD790" s="513" t="str">
        <f>IF(AND(L790="",H790=""),"",
IF(H790="",Pole_Calc!A$9,
IF(H790="MP",Pole_Calc!A$10,
IF(H790="AnMP",Pole_Calc!A$11,
IF(H790="A",Pole_Calc!A$12,
IF(H790="S/A",Pole_Calc!A$13,
IF(H790="A/S",Pole_Calc!A$14,"Poner a mano")))))))</f>
        <v>App.7-V11I-P9.5.1.1</v>
      </c>
      <c r="BE790" s="429" t="s">
        <v>118</v>
      </c>
      <c r="BF790" s="289"/>
      <c r="BG790" s="289"/>
      <c r="BH790" s="290"/>
      <c r="BI790" s="289"/>
    </row>
    <row r="791" spans="1:61" ht="15.75" customHeight="1">
      <c r="A791" s="571"/>
      <c r="B791" s="450"/>
      <c r="C791" s="3"/>
      <c r="D791" s="83"/>
      <c r="E791" s="4"/>
      <c r="F791" s="4"/>
      <c r="G791" s="6">
        <v>47</v>
      </c>
      <c r="H791" s="449"/>
      <c r="I791" s="4"/>
      <c r="J791" s="3">
        <f>C792-7.5</f>
        <v>49151.58</v>
      </c>
      <c r="K791" s="449" t="s">
        <v>117</v>
      </c>
      <c r="L791" s="449"/>
      <c r="M791" s="449" t="str">
        <f>IF(L791="","",
IF(AX791="PT",VLOOKUP(L791,Foundation_Calc!$V$79:$X$113,VLOOKUP(AX791,Foundation_Calc!$I$10:$J$13,2,FALSE),0),
IF(AX791="K",VLOOKUP(L791,Foundation_Calc!$V$117:$X$151,VLOOKUP(AX791,Foundation_Calc!$I$10:$J$13,2,FALSE),0),"")))</f>
        <v/>
      </c>
      <c r="N791" s="449"/>
      <c r="O791" s="449"/>
      <c r="P791" s="449"/>
      <c r="Q791" s="4"/>
      <c r="R791" s="6"/>
      <c r="S791" s="6"/>
      <c r="T791" s="4"/>
      <c r="U791" s="4"/>
      <c r="V791" s="4"/>
      <c r="W791" s="9"/>
      <c r="X791" s="9"/>
      <c r="Y791" s="9"/>
      <c r="Z791" s="9"/>
      <c r="AA791" s="9"/>
      <c r="AB791" s="9"/>
      <c r="AC791" s="449" t="str">
        <f t="shared" si="88"/>
        <v/>
      </c>
      <c r="AD791" s="449"/>
      <c r="AE791" s="449"/>
      <c r="AF791" s="4"/>
      <c r="AG791" s="83"/>
      <c r="AH791" s="4"/>
      <c r="AI791" s="4"/>
      <c r="AJ791" s="449"/>
      <c r="AK791" s="449"/>
      <c r="AL791" s="449"/>
      <c r="AM791" s="449"/>
      <c r="AN791" s="10"/>
      <c r="AO791" s="9"/>
      <c r="AP791" s="9"/>
      <c r="AQ791" s="9">
        <f>+FL_1($T$792,$T$790,$G$791,1200,9.28,-1*$F$792)</f>
        <v>0.35695465849645386</v>
      </c>
      <c r="AR791" s="9"/>
      <c r="AS791" s="9"/>
      <c r="AT791" s="9"/>
      <c r="AU791" s="428"/>
      <c r="AV791" s="428"/>
      <c r="AW791" s="449" t="str">
        <f>IF(C791&gt;0,VLOOKUP(C791,Foundation_Calc!$A$2:$C$13,3,1),
IF(J791&gt;0,VLOOKUP(J791,Foundation_Calc!$A$2:$C$13,3,1),""))</f>
        <v>Multi Soil</v>
      </c>
      <c r="AX791" s="449" t="str">
        <f>IF(C791&gt;0,VLOOKUP(C791,Foundation_Calc!$E$2:$G$33,3,1),
IF(J791&gt;0,VLOOKUP(J791,Foundation_Calc!$E$2:$G$33,3,1),""))</f>
        <v>PT</v>
      </c>
      <c r="AY791" s="10" t="str">
        <f>IF(L791="","",
IF(AX791="PT",VLOOKUP(L791,Foundation_Calc!$K$79:$R$113,VLOOKUP(AW791,Foundation_Calc!$I$2:$J$8,2,FALSE),0),
IF(AX791="K",VLOOKUP(L791,Foundation_Calc!$K$117:$R$151,VLOOKUP(AW791,Foundation_Calc!$I$2:$J$8,2,FALSE),0),"")))</f>
        <v/>
      </c>
      <c r="AZ791" s="10">
        <f>IF(K791="","",
IF(AX791="PT",VLOOKUP(K791,Foundation_Calc!$K$79:$R$113,VLOOKUP(AW791,Foundation_Calc!$I$2:$J$8,2,FALSE),0),
IF(AX791="K",VLOOKUP(K791,Foundation_Calc!$K$117:$R$151,VLOOKUP(AW791,Foundation_Calc!$I$2:$J$8,2,FALSE),0),"")))</f>
        <v>3.9</v>
      </c>
      <c r="BA791" s="495" t="str">
        <f t="shared" si="85"/>
        <v/>
      </c>
      <c r="BB791" s="495" t="str">
        <f t="shared" si="86"/>
        <v>ü</v>
      </c>
      <c r="BC791" s="495" t="str">
        <f t="shared" si="87"/>
        <v/>
      </c>
      <c r="BD791" s="513" t="str">
        <f>IF(AND(L791="",H791=""),"",
IF(H791="",Pole_Calc!A$9,
IF(H791="MP",Pole_Calc!A$10,
IF(H791="AnMP",Pole_Calc!A$11,
IF(H791="A",Pole_Calc!A$12,
IF(H791="S/A",Pole_Calc!A$13,
IF(H791="A/S",Pole_Calc!A$14,"Poner a mano")))))))</f>
        <v/>
      </c>
      <c r="BE791" s="429" t="s">
        <v>118</v>
      </c>
      <c r="BF791" s="290"/>
      <c r="BG791" s="290"/>
      <c r="BH791" s="290"/>
      <c r="BI791" s="290"/>
    </row>
    <row r="792" spans="1:61" ht="15.75" customHeight="1">
      <c r="A792" s="514"/>
      <c r="B792" s="450" t="s">
        <v>650</v>
      </c>
      <c r="C792" s="3">
        <f>+$C$790+$G$791</f>
        <v>49159.08</v>
      </c>
      <c r="D792" s="83"/>
      <c r="E792" s="4"/>
      <c r="F792" s="4">
        <f>IF(C792&gt;0,VLOOKUP(C792,'ALIGNMENT TRACK'!$A$1:$K$81,9,1))</f>
        <v>0</v>
      </c>
      <c r="G792" s="6"/>
      <c r="H792" s="449" t="s">
        <v>121</v>
      </c>
      <c r="I792" s="4" t="s">
        <v>122</v>
      </c>
      <c r="J792" s="3"/>
      <c r="K792" s="449"/>
      <c r="L792" s="449" t="s">
        <v>158</v>
      </c>
      <c r="M792" s="449" t="str">
        <f>IF(L792="","",
IF(AX792="PT",VLOOKUP(L792,Foundation_Calc!$V$79:$X$113,VLOOKUP(AX792,Foundation_Calc!$I$10:$J$13,2,FALSE),0),
IF(AX792="K",VLOOKUP(L792,Foundation_Calc!$V$117:$X$151,VLOOKUP(AX792,Foundation_Calc!$I$10:$J$13,2,FALSE),0),"")))</f>
        <v>C4R</v>
      </c>
      <c r="N792" s="449" t="s">
        <v>134</v>
      </c>
      <c r="O792" s="449"/>
      <c r="P792" s="449"/>
      <c r="Q792" s="4"/>
      <c r="R792" s="6"/>
      <c r="S792" s="6"/>
      <c r="T792" s="4">
        <v>35</v>
      </c>
      <c r="U792" s="4"/>
      <c r="V792" s="4"/>
      <c r="W792" s="9">
        <v>1.4</v>
      </c>
      <c r="X792" s="9"/>
      <c r="Y792" s="9"/>
      <c r="Z792" s="9"/>
      <c r="AA792" s="9"/>
      <c r="AB792" s="9"/>
      <c r="AC792" s="449" t="str">
        <f t="shared" si="88"/>
        <v>PHQ</v>
      </c>
      <c r="AD792" s="449"/>
      <c r="AE792" s="449"/>
      <c r="AF792" s="4"/>
      <c r="AG792" s="83"/>
      <c r="AH792" s="4"/>
      <c r="AI792" s="4"/>
      <c r="AJ792" s="449"/>
      <c r="AK792" s="449"/>
      <c r="AL792" s="449"/>
      <c r="AM792" s="449" t="s">
        <v>552</v>
      </c>
      <c r="AN792" s="10">
        <v>5.5</v>
      </c>
      <c r="AO792" s="9"/>
      <c r="AP792" s="9"/>
      <c r="AQ792" s="9"/>
      <c r="AR792" s="9"/>
      <c r="AS792" s="9"/>
      <c r="AT792" s="9">
        <f>+ab($T$792,$T$790,$U$794,$G$791,$G$793,-1*$F$792,1200)</f>
        <v>6.4151580778988491</v>
      </c>
      <c r="AU792" s="428"/>
      <c r="AV792" s="428"/>
      <c r="AW792" s="449" t="str">
        <f>IF(C792&gt;0,VLOOKUP(C792,Foundation_Calc!$A$2:$C$13,3,1),
IF(J792&gt;0,VLOOKUP(J792,Foundation_Calc!$A$2:$C$13,3,1),""))</f>
        <v>Multi Soil</v>
      </c>
      <c r="AX792" s="449" t="str">
        <f>IF(C792&gt;0,VLOOKUP(C792,Foundation_Calc!$E$2:$G$33,3,1),
IF(J792&gt;0,VLOOKUP(J792,Foundation_Calc!$E$2:$G$33,3,1),""))</f>
        <v>PT</v>
      </c>
      <c r="AY792" s="10">
        <f>IF(L792="","",
IF(AX792="PT",VLOOKUP(L792,Foundation_Calc!$K$79:$R$113,VLOOKUP(AW792,Foundation_Calc!$I$2:$J$8,2,FALSE),0),
IF(AX792="K",VLOOKUP(L792,Foundation_Calc!$K$117:$R$151,VLOOKUP(AW792,Foundation_Calc!$I$2:$J$8,2,FALSE),0),"")))</f>
        <v>3.5</v>
      </c>
      <c r="AZ792" s="10" t="str">
        <f>IF(K792="","",
IF(AX792="PT",VLOOKUP(K792,Foundation_Calc!$K$79:$R$113,VLOOKUP(AW792,Foundation_Calc!$I$2:$J$8,2,FALSE),0),
IF(AX792="K",VLOOKUP(K792,Foundation_Calc!$K$117:$R$151,VLOOKUP(AW792,Foundation_Calc!$I$2:$J$8,2,FALSE),0),"")))</f>
        <v/>
      </c>
      <c r="BA792" s="495" t="str">
        <f t="shared" ref="BA792:BA850" si="95">IF(AY792="","",IF(AY792&gt;0,"ü",""))</f>
        <v>ü</v>
      </c>
      <c r="BB792" s="495" t="str">
        <f t="shared" ref="BB792:BB850" si="96">IF(AZ792="","",IF(AZ792&gt;0,"ü",""))</f>
        <v/>
      </c>
      <c r="BC792" s="495" t="str">
        <f t="shared" ref="BC792:BC850" si="97">IF(M792="","",IF(M792="U.S.","ü",IF(M792="U.S. N.D.","ü","")))</f>
        <v/>
      </c>
      <c r="BD792" s="513" t="str">
        <f>IF(AND(L792="",H792=""),"",
IF(H792="",Pole_Calc!A$9,
IF(H792="MP",Pole_Calc!A$10,
IF(H792="AnMP",Pole_Calc!A$11,
IF(H792="A",Pole_Calc!A$12,
IF(H792="S/A",Pole_Calc!A$13,
IF(H792="A/S",Pole_Calc!A$14,"Poner a mano")))))))</f>
        <v>App.7-V11I-P9.5.1.6</v>
      </c>
      <c r="BE792" s="429" t="s">
        <v>118</v>
      </c>
      <c r="BF792" s="289"/>
      <c r="BG792" s="289"/>
      <c r="BH792" s="290"/>
      <c r="BI792" s="289"/>
    </row>
    <row r="793" spans="1:61" ht="15.75" customHeight="1">
      <c r="A793" s="571"/>
      <c r="B793" s="450"/>
      <c r="C793" s="3"/>
      <c r="D793" s="83"/>
      <c r="E793" s="4"/>
      <c r="F793" s="4"/>
      <c r="G793" s="6">
        <v>47</v>
      </c>
      <c r="H793" s="449"/>
      <c r="I793" s="4"/>
      <c r="J793" s="3"/>
      <c r="K793" s="449"/>
      <c r="L793" s="449"/>
      <c r="M793" s="449" t="str">
        <f>IF(L793="","",
IF(AX793="PT",VLOOKUP(L793,Foundation_Calc!$V$79:$X$113,VLOOKUP(AX793,Foundation_Calc!$I$10:$J$13,2,FALSE),0),
IF(AX793="K",VLOOKUP(L793,Foundation_Calc!$V$117:$X$151,VLOOKUP(AX793,Foundation_Calc!$I$10:$J$13,2,FALSE),0),"")))</f>
        <v/>
      </c>
      <c r="N793" s="449"/>
      <c r="O793" s="449"/>
      <c r="P793" s="449"/>
      <c r="Q793" s="4"/>
      <c r="R793" s="6"/>
      <c r="S793" s="6"/>
      <c r="T793" s="4"/>
      <c r="U793" s="4"/>
      <c r="V793" s="4"/>
      <c r="W793" s="9"/>
      <c r="X793" s="9"/>
      <c r="Y793" s="9"/>
      <c r="Z793" s="9"/>
      <c r="AA793" s="9"/>
      <c r="AB793" s="9"/>
      <c r="AC793" s="449" t="str">
        <f t="shared" si="88"/>
        <v/>
      </c>
      <c r="AD793" s="449"/>
      <c r="AE793" s="449"/>
      <c r="AF793" s="4"/>
      <c r="AG793" s="83"/>
      <c r="AH793" s="4"/>
      <c r="AI793" s="4"/>
      <c r="AJ793" s="449"/>
      <c r="AK793" s="449"/>
      <c r="AL793" s="449"/>
      <c r="AM793" s="449"/>
      <c r="AN793" s="10"/>
      <c r="AO793" s="9"/>
      <c r="AP793" s="9"/>
      <c r="AQ793" s="9">
        <f>+FL_1($U$794,$T$792,$G$793,1200,9.28,-1*$F$794)</f>
        <v>0.35695465849645375</v>
      </c>
      <c r="AR793" s="9"/>
      <c r="AS793" s="9"/>
      <c r="AT793" s="9"/>
      <c r="AU793" s="428"/>
      <c r="AV793" s="428"/>
      <c r="AW793" s="449" t="str">
        <f>IF(C793&gt;0,VLOOKUP(C793,Foundation_Calc!$A$2:$C$13,3,1),
IF(J793&gt;0,VLOOKUP(J793,Foundation_Calc!$A$2:$C$13,3,1),""))</f>
        <v/>
      </c>
      <c r="AX793" s="449" t="str">
        <f>IF(C793&gt;0,VLOOKUP(C793,Foundation_Calc!$E$2:$G$33,3,1),
IF(J793&gt;0,VLOOKUP(J793,Foundation_Calc!$E$2:$G$33,3,1),""))</f>
        <v/>
      </c>
      <c r="AY793" s="10" t="str">
        <f>IF(L793="","",
IF(AX793="PT",VLOOKUP(L793,Foundation_Calc!$K$79:$R$113,VLOOKUP(AW793,Foundation_Calc!$I$2:$J$8,2,FALSE),0),
IF(AX793="K",VLOOKUP(L793,Foundation_Calc!$K$117:$R$151,VLOOKUP(AW793,Foundation_Calc!$I$2:$J$8,2,FALSE),0),"")))</f>
        <v/>
      </c>
      <c r="AZ793" s="10" t="str">
        <f>IF(K793="","",
IF(AX793="PT",VLOOKUP(K793,Foundation_Calc!$K$79:$R$113,VLOOKUP(AW793,Foundation_Calc!$I$2:$J$8,2,FALSE),0),
IF(AX793="K",VLOOKUP(K793,Foundation_Calc!$K$117:$R$151,VLOOKUP(AW793,Foundation_Calc!$I$2:$J$8,2,FALSE),0),"")))</f>
        <v/>
      </c>
      <c r="BA793" s="495" t="str">
        <f t="shared" si="95"/>
        <v/>
      </c>
      <c r="BB793" s="495" t="str">
        <f t="shared" si="96"/>
        <v/>
      </c>
      <c r="BC793" s="495" t="str">
        <f t="shared" si="97"/>
        <v/>
      </c>
      <c r="BD793" s="513" t="str">
        <f>IF(AND(L793="",H793=""),"",
IF(H793="",Pole_Calc!A$9,
IF(H793="MP",Pole_Calc!A$10,
IF(H793="AnMP",Pole_Calc!A$11,
IF(H793="A",Pole_Calc!A$12,
IF(H793="S/A",Pole_Calc!A$13,
IF(H793="A/S",Pole_Calc!A$14,"Poner a mano")))))))</f>
        <v/>
      </c>
      <c r="BE793" s="429" t="s">
        <v>118</v>
      </c>
      <c r="BF793" s="290"/>
      <c r="BG793" s="290"/>
      <c r="BH793" s="290"/>
      <c r="BI793" s="290"/>
    </row>
    <row r="794" spans="1:61" ht="15.75" customHeight="1">
      <c r="A794" s="571"/>
      <c r="B794" s="450" t="s">
        <v>651</v>
      </c>
      <c r="C794" s="3">
        <f>+$C$792+$G$793</f>
        <v>49206.080000000002</v>
      </c>
      <c r="D794" s="83"/>
      <c r="E794" s="4"/>
      <c r="F794" s="4">
        <f>IF(C794&gt;0,VLOOKUP(C794,'ALIGNMENT TRACK'!$A$1:$K$81,9,1))</f>
        <v>0</v>
      </c>
      <c r="G794" s="6"/>
      <c r="H794" s="449" t="s">
        <v>131</v>
      </c>
      <c r="I794" s="4"/>
      <c r="J794" s="3"/>
      <c r="K794" s="449"/>
      <c r="L794" s="449" t="s">
        <v>158</v>
      </c>
      <c r="M794" s="449" t="str">
        <f>IF(L794="","",
IF(AX794="PT",VLOOKUP(L794,Foundation_Calc!$V$79:$X$113,VLOOKUP(AX794,Foundation_Calc!$I$10:$J$13,2,FALSE),0),
IF(AX794="K",VLOOKUP(L794,Foundation_Calc!$V$117:$X$151,VLOOKUP(AX794,Foundation_Calc!$I$10:$J$13,2,FALSE),0),"")))</f>
        <v>C4R</v>
      </c>
      <c r="N794" s="449" t="s">
        <v>133</v>
      </c>
      <c r="O794" s="449" t="s">
        <v>124</v>
      </c>
      <c r="P794" s="449"/>
      <c r="Q794" s="4"/>
      <c r="R794" s="6"/>
      <c r="S794" s="6"/>
      <c r="T794" s="4">
        <v>15</v>
      </c>
      <c r="U794" s="4">
        <v>-35</v>
      </c>
      <c r="V794" s="4"/>
      <c r="W794" s="9">
        <v>1.4</v>
      </c>
      <c r="X794" s="9">
        <v>2.2999999999999998</v>
      </c>
      <c r="Y794" s="9"/>
      <c r="Z794" s="9">
        <v>0.45</v>
      </c>
      <c r="AA794" s="9"/>
      <c r="AB794" s="9"/>
      <c r="AC794" s="449"/>
      <c r="AD794" s="449"/>
      <c r="AE794" s="449"/>
      <c r="AF794" s="4"/>
      <c r="AG794" s="83"/>
      <c r="AH794" s="4"/>
      <c r="AI794" s="4"/>
      <c r="AJ794" s="449"/>
      <c r="AK794" s="449"/>
      <c r="AL794" s="449"/>
      <c r="AM794" s="449" t="s">
        <v>552</v>
      </c>
      <c r="AN794" s="10">
        <v>5.5</v>
      </c>
      <c r="AO794" s="9"/>
      <c r="AP794" s="9"/>
      <c r="AQ794" s="9"/>
      <c r="AR794" s="9"/>
      <c r="AS794" s="9"/>
      <c r="AT794" s="9">
        <f>+ab($U$794,$T$792,$U$796,$G$793,$G$795,-1*$F$794,1200)</f>
        <v>-9.9207382327436928</v>
      </c>
      <c r="AU794" s="428"/>
      <c r="AV794" s="428"/>
      <c r="AW794" s="449" t="str">
        <f>IF(C794&gt;0,VLOOKUP(C794,Foundation_Calc!$A$2:$C$13,3,1),
IF(J794&gt;0,VLOOKUP(J794,Foundation_Calc!$A$2:$C$13,3,1),""))</f>
        <v>Multi Soil</v>
      </c>
      <c r="AX794" s="449" t="str">
        <f>IF(C794&gt;0,VLOOKUP(C794,Foundation_Calc!$E$2:$G$33,3,1),
IF(J794&gt;0,VLOOKUP(J794,Foundation_Calc!$E$2:$G$33,3,1),""))</f>
        <v>PT</v>
      </c>
      <c r="AY794" s="10">
        <f>IF(L794="","",
IF(AX794="PT",VLOOKUP(L794,Foundation_Calc!$K$79:$R$113,VLOOKUP(AW794,Foundation_Calc!$I$2:$J$8,2,FALSE),0),
IF(AX794="K",VLOOKUP(L794,Foundation_Calc!$K$117:$R$151,VLOOKUP(AW794,Foundation_Calc!$I$2:$J$8,2,FALSE),0),"")))</f>
        <v>3.5</v>
      </c>
      <c r="AZ794" s="10" t="str">
        <f>IF(K794="","",
IF(AX794="PT",VLOOKUP(K794,Foundation_Calc!$K$79:$R$113,VLOOKUP(AW794,Foundation_Calc!$I$2:$J$8,2,FALSE),0),
IF(AX794="K",VLOOKUP(K794,Foundation_Calc!$K$117:$R$151,VLOOKUP(AW794,Foundation_Calc!$I$2:$J$8,2,FALSE),0),"")))</f>
        <v/>
      </c>
      <c r="BA794" s="495" t="str">
        <f t="shared" si="95"/>
        <v>ü</v>
      </c>
      <c r="BB794" s="495" t="str">
        <f t="shared" si="96"/>
        <v/>
      </c>
      <c r="BC794" s="495" t="str">
        <f t="shared" si="97"/>
        <v/>
      </c>
      <c r="BD794" s="513" t="str">
        <f>IF(AND(L794="",H794=""),"",
IF(H794="",Pole_Calc!A$9,
IF(H794="MP",Pole_Calc!A$10,
IF(H794="AnMP",Pole_Calc!A$11,
IF(H794="A",Pole_Calc!A$12,
IF(H794="S/A",Pole_Calc!A$13,
IF(H794="A/S",Pole_Calc!A$14,"Poner a mano")))))))</f>
        <v>App.7-V11I-P9.5.1.5</v>
      </c>
      <c r="BE794" s="429" t="s">
        <v>118</v>
      </c>
      <c r="BF794" s="289"/>
      <c r="BG794" s="289"/>
      <c r="BH794" s="290"/>
      <c r="BI794" s="289"/>
    </row>
    <row r="795" spans="1:61" ht="15.75" customHeight="1">
      <c r="A795" s="571"/>
      <c r="B795" s="450"/>
      <c r="C795" s="3"/>
      <c r="D795" s="83"/>
      <c r="E795" s="4"/>
      <c r="F795" s="4"/>
      <c r="G795" s="6">
        <v>47</v>
      </c>
      <c r="H795" s="449"/>
      <c r="I795" s="4"/>
      <c r="J795" s="3"/>
      <c r="K795" s="449"/>
      <c r="L795" s="449"/>
      <c r="M795" s="449" t="str">
        <f>IF(L795="","",
IF(AX795="PT",VLOOKUP(L795,Foundation_Calc!$V$79:$X$113,VLOOKUP(AX795,Foundation_Calc!$I$10:$J$13,2,FALSE),0),
IF(AX795="K",VLOOKUP(L795,Foundation_Calc!$V$117:$X$151,VLOOKUP(AX795,Foundation_Calc!$I$10:$J$13,2,FALSE),0),"")))</f>
        <v/>
      </c>
      <c r="N795" s="561"/>
      <c r="O795" s="449"/>
      <c r="P795" s="449"/>
      <c r="Q795" s="4"/>
      <c r="R795" s="6"/>
      <c r="S795" s="6"/>
      <c r="T795" s="4"/>
      <c r="U795" s="4"/>
      <c r="V795" s="4"/>
      <c r="W795" s="9"/>
      <c r="X795" s="9"/>
      <c r="Y795" s="9"/>
      <c r="Z795" s="9"/>
      <c r="AA795" s="9"/>
      <c r="AB795" s="9"/>
      <c r="AC795" s="449" t="str">
        <f t="shared" si="88"/>
        <v/>
      </c>
      <c r="AD795" s="449"/>
      <c r="AE795" s="449"/>
      <c r="AF795" s="4"/>
      <c r="AG795" s="83"/>
      <c r="AH795" s="4"/>
      <c r="AI795" s="4"/>
      <c r="AJ795" s="449"/>
      <c r="AK795" s="449"/>
      <c r="AL795" s="449"/>
      <c r="AM795" s="449"/>
      <c r="AN795" s="10"/>
      <c r="AO795" s="9"/>
      <c r="AP795" s="9"/>
      <c r="AQ795" s="9">
        <f>+FL_2($T$798,$T$796,$G$797,1200,9.28,-1*$F$798)</f>
        <v>-0.3</v>
      </c>
      <c r="AR795" s="9"/>
      <c r="AS795" s="9"/>
      <c r="AT795" s="9"/>
      <c r="AU795" s="428"/>
      <c r="AV795" s="428"/>
      <c r="AW795" s="449" t="str">
        <f>IF(C795&gt;0,VLOOKUP(C795,Foundation_Calc!$A$2:$C$13,3,1),
IF(J795&gt;0,VLOOKUP(J795,Foundation_Calc!$A$2:$C$13,3,1),""))</f>
        <v/>
      </c>
      <c r="AX795" s="449" t="str">
        <f>IF(C795&gt;0,VLOOKUP(C795,Foundation_Calc!$E$2:$G$33,3,1),
IF(J795&gt;0,VLOOKUP(J795,Foundation_Calc!$E$2:$G$33,3,1),""))</f>
        <v/>
      </c>
      <c r="AY795" s="10" t="str">
        <f>IF(L795="","",
IF(AX795="PT",VLOOKUP(L795,Foundation_Calc!$K$79:$R$113,VLOOKUP(AW795,Foundation_Calc!$I$2:$J$8,2,FALSE),0),
IF(AX795="K",VLOOKUP(L795,Foundation_Calc!$K$117:$R$151,VLOOKUP(AW795,Foundation_Calc!$I$2:$J$8,2,FALSE),0),"")))</f>
        <v/>
      </c>
      <c r="AZ795" s="10" t="str">
        <f>IF(K795="","",
IF(AX795="PT",VLOOKUP(K795,Foundation_Calc!$K$79:$R$113,VLOOKUP(AW795,Foundation_Calc!$I$2:$J$8,2,FALSE),0),
IF(AX795="K",VLOOKUP(K795,Foundation_Calc!$K$117:$R$151,VLOOKUP(AW795,Foundation_Calc!$I$2:$J$8,2,FALSE),0),"")))</f>
        <v/>
      </c>
      <c r="BA795" s="495" t="str">
        <f t="shared" si="95"/>
        <v/>
      </c>
      <c r="BB795" s="495" t="str">
        <f t="shared" si="96"/>
        <v/>
      </c>
      <c r="BC795" s="495" t="str">
        <f t="shared" si="97"/>
        <v/>
      </c>
      <c r="BD795" s="513" t="str">
        <f>IF(AND(L795="",H795=""),"",
IF(H795="",Pole_Calc!A$9,
IF(H795="MP",Pole_Calc!A$10,
IF(H795="AnMP",Pole_Calc!A$11,
IF(H795="A",Pole_Calc!A$12,
IF(H795="S/A",Pole_Calc!A$13,
IF(H795="A/S",Pole_Calc!A$14,"Poner a mano")))))))</f>
        <v/>
      </c>
      <c r="BE795" s="429" t="s">
        <v>118</v>
      </c>
      <c r="BF795" s="290"/>
      <c r="BG795" s="290"/>
      <c r="BH795" s="290"/>
      <c r="BI795" s="290"/>
    </row>
    <row r="796" spans="1:61" ht="15.75" customHeight="1">
      <c r="A796" s="514"/>
      <c r="B796" s="450" t="s">
        <v>652</v>
      </c>
      <c r="C796" s="3">
        <f>+$C$794+$G$795</f>
        <v>49253.08</v>
      </c>
      <c r="D796" s="83"/>
      <c r="E796" s="4"/>
      <c r="F796" s="4">
        <f>(367^2)/(C796-49241.14)</f>
        <v>11280.485762141854</v>
      </c>
      <c r="G796" s="6"/>
      <c r="H796" s="449" t="s">
        <v>131</v>
      </c>
      <c r="I796" s="4"/>
      <c r="J796" s="3"/>
      <c r="K796" s="449"/>
      <c r="L796" s="449" t="s">
        <v>183</v>
      </c>
      <c r="M796" s="449" t="str">
        <f>IF(L796="","",
IF(AX796="PT",VLOOKUP(L796,Foundation_Calc!$V$79:$X$113,VLOOKUP(AX796,Foundation_Calc!$I$10:$J$13,2,FALSE),0),
IF(AX796="K",VLOOKUP(L796,Foundation_Calc!$V$117:$X$151,VLOOKUP(AX796,Foundation_Calc!$I$10:$J$13,2,FALSE),0),"")))</f>
        <v>2C3R</v>
      </c>
      <c r="N796" s="449" t="s">
        <v>134</v>
      </c>
      <c r="O796" s="449" t="s">
        <v>133</v>
      </c>
      <c r="P796" s="449"/>
      <c r="Q796" s="4"/>
      <c r="R796" s="6"/>
      <c r="S796" s="6"/>
      <c r="T796" s="4">
        <v>35</v>
      </c>
      <c r="U796" s="4">
        <v>-15</v>
      </c>
      <c r="V796" s="4"/>
      <c r="W796" s="9">
        <v>1.4</v>
      </c>
      <c r="X796" s="9">
        <v>2.2999999999999998</v>
      </c>
      <c r="Y796" s="9"/>
      <c r="Z796" s="9"/>
      <c r="AA796" s="9">
        <v>0.45</v>
      </c>
      <c r="AB796" s="9"/>
      <c r="AC796" s="449" t="str">
        <f t="shared" si="88"/>
        <v>PH</v>
      </c>
      <c r="AD796" s="449"/>
      <c r="AE796" s="449"/>
      <c r="AF796" s="4"/>
      <c r="AG796" s="83"/>
      <c r="AH796" s="4"/>
      <c r="AI796" s="4"/>
      <c r="AJ796" s="449"/>
      <c r="AK796" s="449"/>
      <c r="AL796" s="449"/>
      <c r="AM796" s="449" t="s">
        <v>552</v>
      </c>
      <c r="AN796" s="10">
        <v>5.5</v>
      </c>
      <c r="AO796" s="9"/>
      <c r="AP796" s="9"/>
      <c r="AQ796" s="9"/>
      <c r="AR796" s="9"/>
      <c r="AS796" s="9"/>
      <c r="AT796" s="9">
        <f>+ab($T$796,$T$794,$T$798,$G$795,$G$797,-1*$F$796,1200)</f>
        <v>14.493970955171822</v>
      </c>
      <c r="AU796" s="428"/>
      <c r="AV796" s="428"/>
      <c r="AW796" s="449" t="str">
        <f>IF(C796&gt;0,VLOOKUP(C796,Foundation_Calc!$A$2:$C$13,3,1),
IF(J796&gt;0,VLOOKUP(J796,Foundation_Calc!$A$2:$C$13,3,1),""))</f>
        <v>Multi Soil</v>
      </c>
      <c r="AX796" s="449" t="str">
        <f>IF(C796&gt;0,VLOOKUP(C796,Foundation_Calc!$E$2:$G$33,3,1),
IF(J796&gt;0,VLOOKUP(J796,Foundation_Calc!$E$2:$G$33,3,1),""))</f>
        <v>PT</v>
      </c>
      <c r="AY796" s="10">
        <f>IF(L796="","",
IF(AX796="PT",VLOOKUP(L796,Foundation_Calc!$K$79:$R$113,VLOOKUP(AW796,Foundation_Calc!$I$2:$J$8,2,FALSE),0),
IF(AX796="K",VLOOKUP(L796,Foundation_Calc!$K$117:$R$151,VLOOKUP(AW796,Foundation_Calc!$I$2:$J$8,2,FALSE),0),"")))</f>
        <v>3.7</v>
      </c>
      <c r="AZ796" s="10" t="str">
        <f>IF(K796="","",
IF(AX796="PT",VLOOKUP(K796,Foundation_Calc!$K$79:$R$113,VLOOKUP(AW796,Foundation_Calc!$I$2:$J$8,2,FALSE),0),
IF(AX796="K",VLOOKUP(K796,Foundation_Calc!$K$117:$R$151,VLOOKUP(AW796,Foundation_Calc!$I$2:$J$8,2,FALSE),0),"")))</f>
        <v/>
      </c>
      <c r="BA796" s="495" t="str">
        <f t="shared" si="95"/>
        <v>ü</v>
      </c>
      <c r="BB796" s="495" t="str">
        <f t="shared" si="96"/>
        <v/>
      </c>
      <c r="BC796" s="495" t="str">
        <f t="shared" si="97"/>
        <v/>
      </c>
      <c r="BD796" s="513" t="str">
        <f>IF(AND(L796="",H796=""),"",
IF(H796="",Pole_Calc!A$9,
IF(H796="MP",Pole_Calc!A$10,
IF(H796="AnMP",Pole_Calc!A$11,
IF(H796="A",Pole_Calc!A$12,
IF(H796="S/A",Pole_Calc!A$13,
IF(H796="A/S",Pole_Calc!A$14,"Poner a mano")))))))</f>
        <v>App.7-V11I-P9.5.1.5</v>
      </c>
      <c r="BE796" s="429" t="s">
        <v>118</v>
      </c>
      <c r="BF796" s="289"/>
      <c r="BG796" s="289"/>
      <c r="BH796" s="290"/>
      <c r="BI796" s="289"/>
    </row>
    <row r="797" spans="1:61" ht="15.75" customHeight="1">
      <c r="A797" s="571"/>
      <c r="B797" s="450"/>
      <c r="C797" s="3"/>
      <c r="D797" s="83"/>
      <c r="E797" s="4"/>
      <c r="F797" s="4"/>
      <c r="G797" s="6">
        <v>50</v>
      </c>
      <c r="H797" s="449"/>
      <c r="I797" s="4"/>
      <c r="J797" s="3"/>
      <c r="K797" s="449"/>
      <c r="L797" s="449"/>
      <c r="M797" s="449" t="str">
        <f>IF(L797="","",
IF(AX797="PT",VLOOKUP(L797,Foundation_Calc!$V$79:$X$113,VLOOKUP(AX797,Foundation_Calc!$I$10:$J$13,2,FALSE),0),
IF(AX797="K",VLOOKUP(L797,Foundation_Calc!$V$117:$X$151,VLOOKUP(AX797,Foundation_Calc!$I$10:$J$13,2,FALSE),0),"")))</f>
        <v/>
      </c>
      <c r="N797" s="449"/>
      <c r="O797" s="449"/>
      <c r="P797" s="449"/>
      <c r="Q797" s="4"/>
      <c r="R797" s="6"/>
      <c r="S797" s="6"/>
      <c r="T797" s="4"/>
      <c r="U797" s="4"/>
      <c r="V797" s="4"/>
      <c r="W797" s="9"/>
      <c r="X797" s="9"/>
      <c r="Y797" s="9"/>
      <c r="Z797" s="9"/>
      <c r="AA797" s="9"/>
      <c r="AB797" s="9"/>
      <c r="AC797" s="449" t="str">
        <f t="shared" si="88"/>
        <v/>
      </c>
      <c r="AD797" s="449"/>
      <c r="AE797" s="449"/>
      <c r="AF797" s="4"/>
      <c r="AG797" s="83"/>
      <c r="AH797" s="4"/>
      <c r="AI797" s="4"/>
      <c r="AJ797" s="449"/>
      <c r="AK797" s="449"/>
      <c r="AL797" s="449"/>
      <c r="AM797" s="449"/>
      <c r="AN797" s="10"/>
      <c r="AO797" s="9"/>
      <c r="AP797" s="9"/>
      <c r="AQ797" s="9">
        <f>+FL_2($T$798,$T$796,$G$797,1200,9.28,-1*$F$798)</f>
        <v>-0.3</v>
      </c>
      <c r="AR797" s="9"/>
      <c r="AS797" s="9"/>
      <c r="AT797" s="9"/>
      <c r="AU797" s="428"/>
      <c r="AV797" s="428"/>
      <c r="AW797" s="449" t="str">
        <f>IF(C797&gt;0,VLOOKUP(C797,Foundation_Calc!$A$2:$C$13,3,1),
IF(J797&gt;0,VLOOKUP(J797,Foundation_Calc!$A$2:$C$13,3,1),""))</f>
        <v/>
      </c>
      <c r="AX797" s="449" t="str">
        <f>IF(C797&gt;0,VLOOKUP(C797,Foundation_Calc!$E$2:$G$33,3,1),
IF(J797&gt;0,VLOOKUP(J797,Foundation_Calc!$E$2:$G$33,3,1),""))</f>
        <v/>
      </c>
      <c r="AY797" s="10" t="str">
        <f>IF(L797="","",
IF(AX797="PT",VLOOKUP(L797,Foundation_Calc!$K$79:$R$113,VLOOKUP(AW797,Foundation_Calc!$I$2:$J$8,2,FALSE),0),
IF(AX797="K",VLOOKUP(L797,Foundation_Calc!$K$117:$R$151,VLOOKUP(AW797,Foundation_Calc!$I$2:$J$8,2,FALSE),0),"")))</f>
        <v/>
      </c>
      <c r="AZ797" s="10" t="str">
        <f>IF(K797="","",
IF(AX797="PT",VLOOKUP(K797,Foundation_Calc!$K$79:$R$113,VLOOKUP(AW797,Foundation_Calc!$I$2:$J$8,2,FALSE),0),
IF(AX797="K",VLOOKUP(K797,Foundation_Calc!$K$117:$R$151,VLOOKUP(AW797,Foundation_Calc!$I$2:$J$8,2,FALSE),0),"")))</f>
        <v/>
      </c>
      <c r="BA797" s="495" t="str">
        <f t="shared" ref="BA797" si="98">IF(AY797="","",IF(AY797&gt;0,"ü",""))</f>
        <v/>
      </c>
      <c r="BB797" s="495" t="str">
        <f t="shared" ref="BB797" si="99">IF(AZ797="","",IF(AZ797&gt;0,"ü",""))</f>
        <v/>
      </c>
      <c r="BC797" s="495" t="str">
        <f t="shared" ref="BC797" si="100">IF(M797="","",IF(M797="U.S.","ü",IF(M797="U.S. N.D.","ü","")))</f>
        <v/>
      </c>
      <c r="BD797" s="513" t="str">
        <f>IF(AND(L797="",H797=""),"",
IF(H797="",Pole_Calc!A$9,
IF(H797="MP",Pole_Calc!A$10,
IF(H797="AnMP",Pole_Calc!A$11,
IF(H797="A",Pole_Calc!A$12,
IF(H797="S/A",Pole_Calc!A$13,
IF(H797="A/S",Pole_Calc!A$14,"Poner a mano")))))))</f>
        <v/>
      </c>
      <c r="BE797" s="429" t="s">
        <v>118</v>
      </c>
      <c r="BF797" s="290"/>
      <c r="BG797" s="290"/>
      <c r="BH797" s="290"/>
      <c r="BI797" s="290"/>
    </row>
    <row r="798" spans="1:61" ht="15.75" customHeight="1">
      <c r="A798" s="571"/>
      <c r="B798" s="450" t="s">
        <v>653</v>
      </c>
      <c r="C798" s="3">
        <f>+$C$796+$G$797-0.13</f>
        <v>49302.950000000004</v>
      </c>
      <c r="D798" s="83"/>
      <c r="E798" s="4"/>
      <c r="F798" s="4">
        <f>(367^2)/(C798-49241.14)</f>
        <v>2179.0810548453196</v>
      </c>
      <c r="G798" s="6"/>
      <c r="H798" s="449" t="s">
        <v>121</v>
      </c>
      <c r="I798" s="4" t="s">
        <v>122</v>
      </c>
      <c r="J798" s="3"/>
      <c r="K798" s="449"/>
      <c r="L798" s="449" t="s">
        <v>181</v>
      </c>
      <c r="M798" s="449" t="str">
        <f>IF(L798="","",
IF(AX798="PT",VLOOKUP(L798,Foundation_Calc!$V$79:$X$113,VLOOKUP(AX798,Foundation_Calc!$I$10:$J$13,2,FALSE),0),
IF(AX798="K",VLOOKUP(L798,Foundation_Calc!$V$117:$X$151,VLOOKUP(AX798,Foundation_Calc!$I$10:$J$13,2,FALSE),0),"")))</f>
        <v>C5R</v>
      </c>
      <c r="N798" s="449" t="s">
        <v>124</v>
      </c>
      <c r="O798" s="449"/>
      <c r="P798" s="449"/>
      <c r="Q798" s="4"/>
      <c r="R798" s="6"/>
      <c r="S798" s="6"/>
      <c r="T798" s="4">
        <v>-30</v>
      </c>
      <c r="U798" s="4"/>
      <c r="V798" s="4"/>
      <c r="W798" s="9">
        <v>1.4</v>
      </c>
      <c r="X798" s="9"/>
      <c r="Y798" s="9"/>
      <c r="Z798" s="9"/>
      <c r="AA798" s="9"/>
      <c r="AB798" s="9"/>
      <c r="AC798" s="449" t="str">
        <f t="shared" si="88"/>
        <v>PHQ</v>
      </c>
      <c r="AD798" s="449"/>
      <c r="AE798" s="449"/>
      <c r="AF798" s="4"/>
      <c r="AG798" s="83"/>
      <c r="AH798" s="4"/>
      <c r="AI798" s="4"/>
      <c r="AJ798" s="449"/>
      <c r="AK798" s="449"/>
      <c r="AL798" s="449"/>
      <c r="AM798" s="449" t="s">
        <v>552</v>
      </c>
      <c r="AN798" s="10">
        <v>5.5</v>
      </c>
      <c r="AO798" s="9"/>
      <c r="AP798" s="9"/>
      <c r="AQ798" s="9"/>
      <c r="AR798" s="9"/>
      <c r="AS798" s="9"/>
      <c r="AT798" s="9">
        <f>+ab($T$798,$T$796,$T$800,$G$797,$G$799,-1*$F$798,1200)</f>
        <v>-5.3915069408979051</v>
      </c>
      <c r="AU798" s="428"/>
      <c r="AV798" s="428"/>
      <c r="AW798" s="449" t="str">
        <f>IF(C798&gt;0,VLOOKUP(C798,Foundation_Calc!$A$2:$C$13,3,1),
IF(J798&gt;0,VLOOKUP(J798,Foundation_Calc!$A$2:$C$13,3,1),""))</f>
        <v>Multi Soil</v>
      </c>
      <c r="AX798" s="449" t="str">
        <f>IF(C798&gt;0,VLOOKUP(C798,Foundation_Calc!$E$2:$G$33,3,1),
IF(J798&gt;0,VLOOKUP(J798,Foundation_Calc!$E$2:$G$33,3,1),""))</f>
        <v>PT</v>
      </c>
      <c r="AY798" s="10">
        <f>IF(L798="","",
IF(AX798="PT",VLOOKUP(L798,Foundation_Calc!$K$79:$R$113,VLOOKUP(AW798,Foundation_Calc!$I$2:$J$8,2,FALSE),0),
IF(AX798="K",VLOOKUP(L798,Foundation_Calc!$K$117:$R$151,VLOOKUP(AW798,Foundation_Calc!$I$2:$J$8,2,FALSE),0),"")))</f>
        <v>3.5</v>
      </c>
      <c r="AZ798" s="10" t="str">
        <f>IF(K798="","",
IF(AX798="PT",VLOOKUP(K798,Foundation_Calc!$K$79:$R$113,VLOOKUP(AW798,Foundation_Calc!$I$2:$J$8,2,FALSE),0),
IF(AX798="K",VLOOKUP(K798,Foundation_Calc!$K$117:$R$151,VLOOKUP(AW798,Foundation_Calc!$I$2:$J$8,2,FALSE),0),"")))</f>
        <v/>
      </c>
      <c r="BA798" s="495" t="str">
        <f t="shared" si="95"/>
        <v>ü</v>
      </c>
      <c r="BB798" s="495" t="str">
        <f t="shared" si="96"/>
        <v/>
      </c>
      <c r="BC798" s="495" t="str">
        <f t="shared" si="97"/>
        <v/>
      </c>
      <c r="BD798" s="513" t="str">
        <f>IF(AND(L798="",H798=""),"",
IF(H798="",Pole_Calc!A$9,
IF(H798="MP",Pole_Calc!A$10,
IF(H798="AnMP",Pole_Calc!A$11,
IF(H798="A",Pole_Calc!A$12,
IF(H798="S/A",Pole_Calc!A$13,
IF(H798="A/S",Pole_Calc!A$14,"Poner a mano")))))))</f>
        <v>App.7-V11I-P9.5.1.6</v>
      </c>
      <c r="BE798" s="429" t="s">
        <v>118</v>
      </c>
      <c r="BF798" s="289"/>
      <c r="BG798" s="289"/>
      <c r="BH798" s="290"/>
      <c r="BI798" s="289"/>
    </row>
    <row r="799" spans="1:61" ht="15.75" customHeight="1">
      <c r="A799" s="518"/>
      <c r="B799" s="450"/>
      <c r="C799" s="3"/>
      <c r="D799" s="83"/>
      <c r="E799" s="4"/>
      <c r="F799" s="4"/>
      <c r="G799" s="6">
        <v>48</v>
      </c>
      <c r="H799" s="449"/>
      <c r="I799" s="4"/>
      <c r="J799" s="3">
        <f>C798+7.5</f>
        <v>49310.450000000004</v>
      </c>
      <c r="K799" s="449" t="s">
        <v>117</v>
      </c>
      <c r="L799" s="449"/>
      <c r="M799" s="449" t="str">
        <f>IF(L799="","",
IF(AX799="PT",VLOOKUP(L799,Foundation_Calc!$V$79:$X$113,VLOOKUP(AX799,Foundation_Calc!$I$10:$J$13,2,FALSE),0),
IF(AX799="K",VLOOKUP(L799,Foundation_Calc!$V$117:$X$151,VLOOKUP(AX799,Foundation_Calc!$I$10:$J$13,2,FALSE),0),"")))</f>
        <v/>
      </c>
      <c r="N799" s="449"/>
      <c r="O799" s="449"/>
      <c r="P799" s="449"/>
      <c r="Q799" s="4"/>
      <c r="R799" s="6"/>
      <c r="S799" s="6"/>
      <c r="T799" s="4"/>
      <c r="U799" s="4"/>
      <c r="V799" s="4"/>
      <c r="W799" s="9"/>
      <c r="X799" s="9"/>
      <c r="Y799" s="9"/>
      <c r="Z799" s="9"/>
      <c r="AA799" s="9"/>
      <c r="AB799" s="9"/>
      <c r="AC799" s="449" t="str">
        <f t="shared" si="88"/>
        <v/>
      </c>
      <c r="AD799" s="449"/>
      <c r="AE799" s="449"/>
      <c r="AF799" s="4"/>
      <c r="AG799" s="83"/>
      <c r="AH799" s="4"/>
      <c r="AI799" s="4"/>
      <c r="AJ799" s="449"/>
      <c r="AK799" s="449"/>
      <c r="AL799" s="449"/>
      <c r="AM799" s="449"/>
      <c r="AN799" s="10"/>
      <c r="AO799" s="9"/>
      <c r="AP799" s="9"/>
      <c r="AQ799" s="9">
        <f>+FL_2($T$800,$T$798,$G$799,1200,9.28,-1*$F$800)</f>
        <v>-0.30001007062219759</v>
      </c>
      <c r="AR799" s="9"/>
      <c r="AS799" s="9"/>
      <c r="AT799" s="9"/>
      <c r="AU799" s="428"/>
      <c r="AV799" s="428"/>
      <c r="AW799" s="449" t="str">
        <f>IF(C799&gt;0,VLOOKUP(C799,Foundation_Calc!$A$2:$C$13,3,1),
IF(J799&gt;0,VLOOKUP(J799,Foundation_Calc!$A$2:$C$13,3,1),""))</f>
        <v>Multi Soil</v>
      </c>
      <c r="AX799" s="449" t="str">
        <f>IF(C799&gt;0,VLOOKUP(C799,Foundation_Calc!$E$2:$G$33,3,1),
IF(J799&gt;0,VLOOKUP(J799,Foundation_Calc!$E$2:$G$33,3,1),""))</f>
        <v>PT</v>
      </c>
      <c r="AY799" s="10" t="str">
        <f>IF(L799="","",
IF(AX799="PT",VLOOKUP(L799,Foundation_Calc!$K$79:$R$113,VLOOKUP(AW799,Foundation_Calc!$I$2:$J$8,2,FALSE),0),
IF(AX799="K",VLOOKUP(L799,Foundation_Calc!$K$117:$R$151,VLOOKUP(AW799,Foundation_Calc!$I$2:$J$8,2,FALSE),0),"")))</f>
        <v/>
      </c>
      <c r="AZ799" s="10">
        <f>IF(K799="","",
IF(AX799="PT",VLOOKUP(K799,Foundation_Calc!$K$79:$R$113,VLOOKUP(AW799,Foundation_Calc!$I$2:$J$8,2,FALSE),0),
IF(AX799="K",VLOOKUP(K799,Foundation_Calc!$K$117:$R$151,VLOOKUP(AW799,Foundation_Calc!$I$2:$J$8,2,FALSE),0),"")))</f>
        <v>3.9</v>
      </c>
      <c r="BA799" s="495" t="str">
        <f t="shared" si="95"/>
        <v/>
      </c>
      <c r="BB799" s="495" t="str">
        <f t="shared" si="96"/>
        <v>ü</v>
      </c>
      <c r="BC799" s="495" t="str">
        <f t="shared" si="97"/>
        <v/>
      </c>
      <c r="BD799" s="513" t="str">
        <f>IF(AND(L799="",H799=""),"",
IF(H799="",Pole_Calc!A$9,
IF(H799="MP",Pole_Calc!A$10,
IF(H799="AnMP",Pole_Calc!A$11,
IF(H799="A",Pole_Calc!A$12,
IF(H799="S/A",Pole_Calc!A$13,
IF(H799="A/S",Pole_Calc!A$14,"Poner a mano")))))))</f>
        <v/>
      </c>
      <c r="BE799" s="429" t="s">
        <v>118</v>
      </c>
      <c r="BF799" s="290"/>
      <c r="BG799" s="290"/>
      <c r="BH799" s="290"/>
      <c r="BI799" s="290"/>
    </row>
    <row r="800" spans="1:61" ht="15.75" customHeight="1">
      <c r="A800" s="518"/>
      <c r="B800" s="450" t="s">
        <v>654</v>
      </c>
      <c r="C800" s="3">
        <f>+$C$798+$G$799</f>
        <v>49350.950000000004</v>
      </c>
      <c r="D800" s="83"/>
      <c r="E800" s="4"/>
      <c r="F800" s="4">
        <f>(367^2)/(C800-49241.14)</f>
        <v>1226.5640652034781</v>
      </c>
      <c r="G800" s="6"/>
      <c r="H800" s="449"/>
      <c r="I800" s="4"/>
      <c r="J800" s="3"/>
      <c r="K800" s="449"/>
      <c r="L800" s="449" t="s">
        <v>158</v>
      </c>
      <c r="M800" s="449" t="str">
        <f>IF(L800="","",
IF(AX800="PT",VLOOKUP(L800,Foundation_Calc!$V$79:$X$113,VLOOKUP(AX800,Foundation_Calc!$I$10:$J$13,2,FALSE),0),
IF(AX800="K",VLOOKUP(L800,Foundation_Calc!$V$117:$X$151,VLOOKUP(AX800,Foundation_Calc!$I$10:$J$13,2,FALSE),0),"")))</f>
        <v>C4R</v>
      </c>
      <c r="N800" s="449" t="s">
        <v>124</v>
      </c>
      <c r="O800" s="449"/>
      <c r="P800" s="449"/>
      <c r="Q800" s="4"/>
      <c r="R800" s="6"/>
      <c r="S800" s="6"/>
      <c r="T800" s="4">
        <v>-30</v>
      </c>
      <c r="U800" s="4"/>
      <c r="V800" s="4"/>
      <c r="W800" s="9">
        <v>1.4</v>
      </c>
      <c r="X800" s="9"/>
      <c r="Y800" s="9"/>
      <c r="Z800" s="9"/>
      <c r="AA800" s="9"/>
      <c r="AB800" s="9"/>
      <c r="AC800" s="449" t="str">
        <f t="shared" si="88"/>
        <v>PHC</v>
      </c>
      <c r="AD800" s="449"/>
      <c r="AE800" s="449"/>
      <c r="AF800" s="4"/>
      <c r="AG800" s="83"/>
      <c r="AH800" s="4"/>
      <c r="AI800" s="4"/>
      <c r="AJ800" s="449"/>
      <c r="AK800" s="449"/>
      <c r="AL800" s="449"/>
      <c r="AM800" s="449" t="s">
        <v>552</v>
      </c>
      <c r="AN800" s="10">
        <v>5.5</v>
      </c>
      <c r="AO800" s="9"/>
      <c r="AP800" s="9"/>
      <c r="AQ800" s="9"/>
      <c r="AR800" s="9"/>
      <c r="AS800" s="9"/>
      <c r="AT800" s="9">
        <f>+ab($T$800,$T$798,$T$802,$G$799,$G$801,-1*$F$800,1200)</f>
        <v>-4.9428307921112147</v>
      </c>
      <c r="AU800" s="428"/>
      <c r="AV800" s="428"/>
      <c r="AW800" s="449" t="str">
        <f>IF(C800&gt;0,VLOOKUP(C800,Foundation_Calc!$A$2:$C$13,3,1),
IF(J800&gt;0,VLOOKUP(J800,Foundation_Calc!$A$2:$C$13,3,1),""))</f>
        <v>Multi Soil</v>
      </c>
      <c r="AX800" s="449" t="str">
        <f>IF(C800&gt;0,VLOOKUP(C800,Foundation_Calc!$E$2:$G$33,3,1),
IF(J800&gt;0,VLOOKUP(J800,Foundation_Calc!$E$2:$G$33,3,1),""))</f>
        <v>PT</v>
      </c>
      <c r="AY800" s="10">
        <f>IF(L800="","",
IF(AX800="PT",VLOOKUP(L800,Foundation_Calc!$K$79:$R$113,VLOOKUP(AW800,Foundation_Calc!$I$2:$J$8,2,FALSE),0),
IF(AX800="K",VLOOKUP(L800,Foundation_Calc!$K$117:$R$151,VLOOKUP(AW800,Foundation_Calc!$I$2:$J$8,2,FALSE),0),"")))</f>
        <v>3.5</v>
      </c>
      <c r="AZ800" s="10" t="str">
        <f>IF(K800="","",
IF(AX800="PT",VLOOKUP(K800,Foundation_Calc!$K$79:$R$113,VLOOKUP(AW800,Foundation_Calc!$I$2:$J$8,2,FALSE),0),
IF(AX800="K",VLOOKUP(K800,Foundation_Calc!$K$117:$R$151,VLOOKUP(AW800,Foundation_Calc!$I$2:$J$8,2,FALSE),0),"")))</f>
        <v/>
      </c>
      <c r="BA800" s="495" t="str">
        <f t="shared" si="95"/>
        <v>ü</v>
      </c>
      <c r="BB800" s="495" t="str">
        <f t="shared" si="96"/>
        <v/>
      </c>
      <c r="BC800" s="495" t="str">
        <f t="shared" si="97"/>
        <v/>
      </c>
      <c r="BD800" s="513" t="str">
        <f>IF(AND(L800="",H800=""),"",
IF(H800="",Pole_Calc!A$9,
IF(H800="MP",Pole_Calc!A$10,
IF(H800="AnMP",Pole_Calc!A$11,
IF(H800="A",Pole_Calc!A$12,
IF(H800="S/A",Pole_Calc!A$13,
IF(H800="A/S",Pole_Calc!A$14,"Poner a mano")))))))</f>
        <v>App.7-V11I-P9.5.1.1</v>
      </c>
      <c r="BE800" s="429" t="s">
        <v>118</v>
      </c>
      <c r="BF800" s="289"/>
      <c r="BG800" s="289"/>
      <c r="BH800" s="290"/>
      <c r="BI800" s="289"/>
    </row>
    <row r="801" spans="1:61" ht="15.75" customHeight="1">
      <c r="A801" s="518"/>
      <c r="B801" s="450"/>
      <c r="C801" s="3"/>
      <c r="D801" s="83"/>
      <c r="E801" s="4"/>
      <c r="F801" s="4"/>
      <c r="G801" s="6">
        <v>47</v>
      </c>
      <c r="H801" s="449"/>
      <c r="I801" s="4"/>
      <c r="J801" s="3"/>
      <c r="K801" s="449"/>
      <c r="L801" s="449"/>
      <c r="M801" s="449" t="str">
        <f>IF(L801="","",
IF(AX801="PT",VLOOKUP(L801,Foundation_Calc!$V$79:$X$113,VLOOKUP(AX801,Foundation_Calc!$I$10:$J$13,2,FALSE),0),
IF(AX801="K",VLOOKUP(L801,Foundation_Calc!$V$117:$X$151,VLOOKUP(AX801,Foundation_Calc!$I$10:$J$13,2,FALSE),0),"")))</f>
        <v/>
      </c>
      <c r="N801" s="561"/>
      <c r="O801" s="449"/>
      <c r="P801" s="449"/>
      <c r="Q801" s="4"/>
      <c r="R801" s="6"/>
      <c r="S801" s="6"/>
      <c r="T801" s="4"/>
      <c r="U801" s="4"/>
      <c r="V801" s="4"/>
      <c r="W801" s="9"/>
      <c r="X801" s="9"/>
      <c r="Y801" s="9"/>
      <c r="Z801" s="9"/>
      <c r="AA801" s="9"/>
      <c r="AB801" s="9"/>
      <c r="AC801" s="449" t="str">
        <f t="shared" si="88"/>
        <v/>
      </c>
      <c r="AD801" s="449"/>
      <c r="AE801" s="449"/>
      <c r="AF801" s="4"/>
      <c r="AG801" s="83"/>
      <c r="AH801" s="4"/>
      <c r="AI801" s="4"/>
      <c r="AJ801" s="449"/>
      <c r="AK801" s="449"/>
      <c r="AL801" s="449"/>
      <c r="AM801" s="449"/>
      <c r="AN801" s="10"/>
      <c r="AO801" s="9"/>
      <c r="AP801" s="9"/>
      <c r="AQ801" s="9">
        <f>+FL_2($T$802,$T$800,$G$801,1200,9.28,-1*$F$802)</f>
        <v>-0.30002716131385709</v>
      </c>
      <c r="AR801" s="9"/>
      <c r="AS801" s="9"/>
      <c r="AT801" s="9"/>
      <c r="AU801" s="428"/>
      <c r="AV801" s="428"/>
      <c r="AW801" s="449" t="str">
        <f>IF(C801&gt;0,VLOOKUP(C801,Foundation_Calc!$A$2:$C$13,3,1),
IF(J801&gt;0,VLOOKUP(J801,Foundation_Calc!$A$2:$C$13,3,1),""))</f>
        <v/>
      </c>
      <c r="AX801" s="449" t="str">
        <f>IF(C801&gt;0,VLOOKUP(C801,Foundation_Calc!$E$2:$G$33,3,1),
IF(J801&gt;0,VLOOKUP(J801,Foundation_Calc!$E$2:$G$33,3,1),""))</f>
        <v/>
      </c>
      <c r="AY801" s="10" t="str">
        <f>IF(L801="","",
IF(AX801="PT",VLOOKUP(L801,Foundation_Calc!$K$79:$R$113,VLOOKUP(AW801,Foundation_Calc!$I$2:$J$8,2,FALSE),0),
IF(AX801="K",VLOOKUP(L801,Foundation_Calc!$K$117:$R$151,VLOOKUP(AW801,Foundation_Calc!$I$2:$J$8,2,FALSE),0),"")))</f>
        <v/>
      </c>
      <c r="AZ801" s="10" t="str">
        <f>IF(K801="","",
IF(AX801="PT",VLOOKUP(K801,Foundation_Calc!$K$79:$R$113,VLOOKUP(AW801,Foundation_Calc!$I$2:$J$8,2,FALSE),0),
IF(AX801="K",VLOOKUP(K801,Foundation_Calc!$K$117:$R$151,VLOOKUP(AW801,Foundation_Calc!$I$2:$J$8,2,FALSE),0),"")))</f>
        <v/>
      </c>
      <c r="BA801" s="495" t="str">
        <f t="shared" si="95"/>
        <v/>
      </c>
      <c r="BB801" s="495" t="str">
        <f t="shared" si="96"/>
        <v/>
      </c>
      <c r="BC801" s="495" t="str">
        <f t="shared" si="97"/>
        <v/>
      </c>
      <c r="BD801" s="513" t="str">
        <f>IF(AND(L801="",H801=""),"",
IF(H801="",Pole_Calc!A$9,
IF(H801="MP",Pole_Calc!A$10,
IF(H801="AnMP",Pole_Calc!A$11,
IF(H801="A",Pole_Calc!A$12,
IF(H801="S/A",Pole_Calc!A$13,
IF(H801="A/S",Pole_Calc!A$14,"Poner a mano")))))))</f>
        <v/>
      </c>
      <c r="BE801" s="429" t="s">
        <v>118</v>
      </c>
      <c r="BF801" s="290"/>
      <c r="BG801" s="290"/>
      <c r="BH801" s="290"/>
      <c r="BI801" s="290"/>
    </row>
    <row r="802" spans="1:61" ht="15.75" customHeight="1">
      <c r="A802" s="514"/>
      <c r="B802" s="450" t="s">
        <v>655</v>
      </c>
      <c r="C802" s="3">
        <f>+$C$800+$G$801</f>
        <v>49397.950000000004</v>
      </c>
      <c r="D802" s="83"/>
      <c r="E802" s="4"/>
      <c r="F802" s="4">
        <f>IF(C802&gt;0,VLOOKUP(C802,'ALIGNMENT TRACK'!$A$1:$K$81,9,1))</f>
        <v>1125</v>
      </c>
      <c r="G802" s="6"/>
      <c r="H802" s="449"/>
      <c r="I802" s="4"/>
      <c r="J802" s="3"/>
      <c r="K802" s="449"/>
      <c r="L802" s="449" t="s">
        <v>158</v>
      </c>
      <c r="M802" s="449" t="str">
        <f>IF(L802="","",
IF(AX802="PT",VLOOKUP(L802,Foundation_Calc!$V$79:$X$113,VLOOKUP(AX802,Foundation_Calc!$I$10:$J$13,2,FALSE),0),
IF(AX802="K",VLOOKUP(L802,Foundation_Calc!$V$117:$X$151,VLOOKUP(AX802,Foundation_Calc!$I$10:$J$13,2,FALSE),0),"")))</f>
        <v>C4R</v>
      </c>
      <c r="N802" s="449" t="s">
        <v>124</v>
      </c>
      <c r="O802" s="449"/>
      <c r="P802" s="449"/>
      <c r="Q802" s="4"/>
      <c r="R802" s="6"/>
      <c r="S802" s="6"/>
      <c r="T802" s="4">
        <v>-30</v>
      </c>
      <c r="U802" s="4"/>
      <c r="V802" s="4"/>
      <c r="W802" s="9">
        <v>1.4</v>
      </c>
      <c r="X802" s="9"/>
      <c r="Y802" s="9"/>
      <c r="Z802" s="9"/>
      <c r="AA802" s="9"/>
      <c r="AB802" s="9"/>
      <c r="AC802" s="449" t="str">
        <f t="shared" si="88"/>
        <v>PHC</v>
      </c>
      <c r="AD802" s="449"/>
      <c r="AE802" s="449"/>
      <c r="AF802" s="4"/>
      <c r="AG802" s="83"/>
      <c r="AH802" s="4"/>
      <c r="AI802" s="4"/>
      <c r="AJ802" s="449"/>
      <c r="AK802" s="449"/>
      <c r="AL802" s="449"/>
      <c r="AM802" s="449" t="s">
        <v>552</v>
      </c>
      <c r="AN802" s="10">
        <v>5.5</v>
      </c>
      <c r="AO802" s="9"/>
      <c r="AP802" s="9"/>
      <c r="AQ802" s="9"/>
      <c r="AR802" s="9"/>
      <c r="AS802" s="9"/>
      <c r="AT802" s="9">
        <f>+ab($T$802,$T$800,$T$804,$G$801,$G$803,-1*$F$802,1200)</f>
        <v>-4.5833737510343049</v>
      </c>
      <c r="AU802" s="428"/>
      <c r="AV802" s="428"/>
      <c r="AW802" s="449" t="str">
        <f>IF(C802&gt;0,VLOOKUP(C802,Foundation_Calc!$A$2:$C$13,3,1),
IF(J802&gt;0,VLOOKUP(J802,Foundation_Calc!$A$2:$C$13,3,1),""))</f>
        <v>Multi Soil</v>
      </c>
      <c r="AX802" s="449" t="str">
        <f>IF(C802&gt;0,VLOOKUP(C802,Foundation_Calc!$E$2:$G$33,3,1),
IF(J802&gt;0,VLOOKUP(J802,Foundation_Calc!$E$2:$G$33,3,1),""))</f>
        <v>PT</v>
      </c>
      <c r="AY802" s="10">
        <f>IF(L802="","",
IF(AX802="PT",VLOOKUP(L802,Foundation_Calc!$K$79:$R$113,VLOOKUP(AW802,Foundation_Calc!$I$2:$J$8,2,FALSE),0),
IF(AX802="K",VLOOKUP(L802,Foundation_Calc!$K$117:$R$151,VLOOKUP(AW802,Foundation_Calc!$I$2:$J$8,2,FALSE),0),"")))</f>
        <v>3.5</v>
      </c>
      <c r="AZ802" s="10" t="str">
        <f>IF(K802="","",
IF(AX802="PT",VLOOKUP(K802,Foundation_Calc!$K$79:$R$113,VLOOKUP(AW802,Foundation_Calc!$I$2:$J$8,2,FALSE),0),
IF(AX802="K",VLOOKUP(K802,Foundation_Calc!$K$117:$R$151,VLOOKUP(AW802,Foundation_Calc!$I$2:$J$8,2,FALSE),0),"")))</f>
        <v/>
      </c>
      <c r="BA802" s="495" t="str">
        <f t="shared" si="95"/>
        <v>ü</v>
      </c>
      <c r="BB802" s="495" t="str">
        <f t="shared" si="96"/>
        <v/>
      </c>
      <c r="BC802" s="495" t="str">
        <f t="shared" si="97"/>
        <v/>
      </c>
      <c r="BD802" s="513" t="str">
        <f>IF(AND(L802="",H802=""),"",
IF(H802="",Pole_Calc!A$9,
IF(H802="MP",Pole_Calc!A$10,
IF(H802="AnMP",Pole_Calc!A$11,
IF(H802="A",Pole_Calc!A$12,
IF(H802="S/A",Pole_Calc!A$13,
IF(H802="A/S",Pole_Calc!A$14,"Poner a mano")))))))</f>
        <v>App.7-V11I-P9.5.1.1</v>
      </c>
      <c r="BE802" s="429" t="s">
        <v>118</v>
      </c>
      <c r="BF802" s="289"/>
      <c r="BG802" s="289"/>
      <c r="BH802" s="290"/>
      <c r="BI802" s="289"/>
    </row>
    <row r="803" spans="1:61" ht="15.75" customHeight="1">
      <c r="A803" s="514"/>
      <c r="B803" s="450"/>
      <c r="C803" s="3"/>
      <c r="D803" s="83"/>
      <c r="E803" s="4"/>
      <c r="F803" s="4"/>
      <c r="G803" s="6">
        <v>47</v>
      </c>
      <c r="H803" s="449"/>
      <c r="I803" s="4"/>
      <c r="J803" s="3"/>
      <c r="K803" s="449"/>
      <c r="L803" s="449"/>
      <c r="M803" s="449" t="str">
        <f>IF(L803="","",
IF(AX803="PT",VLOOKUP(L803,Foundation_Calc!$V$79:$X$113,VLOOKUP(AX803,Foundation_Calc!$I$10:$J$13,2,FALSE),0),
IF(AX803="K",VLOOKUP(L803,Foundation_Calc!$V$117:$X$151,VLOOKUP(AX803,Foundation_Calc!$I$10:$J$13,2,FALSE),0),"")))</f>
        <v/>
      </c>
      <c r="N803" s="449"/>
      <c r="O803" s="449"/>
      <c r="P803" s="449"/>
      <c r="Q803" s="4"/>
      <c r="R803" s="6"/>
      <c r="S803" s="6"/>
      <c r="T803" s="4"/>
      <c r="U803" s="4"/>
      <c r="V803" s="4"/>
      <c r="W803" s="9"/>
      <c r="X803" s="9"/>
      <c r="Y803" s="9"/>
      <c r="Z803" s="9"/>
      <c r="AA803" s="9"/>
      <c r="AB803" s="9"/>
      <c r="AC803" s="449" t="str">
        <f t="shared" si="88"/>
        <v/>
      </c>
      <c r="AD803" s="449"/>
      <c r="AE803" s="449"/>
      <c r="AF803" s="4"/>
      <c r="AG803" s="83"/>
      <c r="AH803" s="4"/>
      <c r="AI803" s="4"/>
      <c r="AJ803" s="449"/>
      <c r="AK803" s="449"/>
      <c r="AL803" s="449"/>
      <c r="AM803" s="449"/>
      <c r="AN803" s="10"/>
      <c r="AO803" s="9"/>
      <c r="AP803" s="9"/>
      <c r="AQ803" s="9">
        <f>+FL_2($T$804,$T$802,$G$803,1200,9.28,-1*$F$804)</f>
        <v>-0.30002716131385709</v>
      </c>
      <c r="AR803" s="9"/>
      <c r="AS803" s="9"/>
      <c r="AT803" s="9"/>
      <c r="AU803" s="428"/>
      <c r="AV803" s="428"/>
      <c r="AW803" s="449" t="str">
        <f>IF(C803&gt;0,VLOOKUP(C803,Foundation_Calc!$A$2:$C$13,3,1),
IF(J803&gt;0,VLOOKUP(J803,Foundation_Calc!$A$2:$C$13,3,1),""))</f>
        <v/>
      </c>
      <c r="AX803" s="449" t="str">
        <f>IF(C803&gt;0,VLOOKUP(C803,Foundation_Calc!$E$2:$G$33,3,1),
IF(J803&gt;0,VLOOKUP(J803,Foundation_Calc!$E$2:$G$33,3,1),""))</f>
        <v/>
      </c>
      <c r="AY803" s="10" t="str">
        <f>IF(L803="","",
IF(AX803="PT",VLOOKUP(L803,Foundation_Calc!$K$79:$R$113,VLOOKUP(AW803,Foundation_Calc!$I$2:$J$8,2,FALSE),0),
IF(AX803="K",VLOOKUP(L803,Foundation_Calc!$K$117:$R$151,VLOOKUP(AW803,Foundation_Calc!$I$2:$J$8,2,FALSE),0),"")))</f>
        <v/>
      </c>
      <c r="AZ803" s="10" t="str">
        <f>IF(K803="","",
IF(AX803="PT",VLOOKUP(K803,Foundation_Calc!$K$79:$R$113,VLOOKUP(AW803,Foundation_Calc!$I$2:$J$8,2,FALSE),0),
IF(AX803="K",VLOOKUP(K803,Foundation_Calc!$K$117:$R$151,VLOOKUP(AW803,Foundation_Calc!$I$2:$J$8,2,FALSE),0),"")))</f>
        <v/>
      </c>
      <c r="BA803" s="495" t="str">
        <f t="shared" si="95"/>
        <v/>
      </c>
      <c r="BB803" s="495" t="str">
        <f t="shared" si="96"/>
        <v/>
      </c>
      <c r="BC803" s="495" t="str">
        <f t="shared" si="97"/>
        <v/>
      </c>
      <c r="BD803" s="513" t="str">
        <f>IF(AND(L803="",H803=""),"",
IF(H803="",Pole_Calc!A$9,
IF(H803="MP",Pole_Calc!A$10,
IF(H803="AnMP",Pole_Calc!A$11,
IF(H803="A",Pole_Calc!A$12,
IF(H803="S/A",Pole_Calc!A$13,
IF(H803="A/S",Pole_Calc!A$14,"Poner a mano")))))))</f>
        <v/>
      </c>
      <c r="BE803" s="429" t="s">
        <v>118</v>
      </c>
      <c r="BF803" s="290"/>
      <c r="BG803" s="290"/>
      <c r="BH803" s="290"/>
      <c r="BI803" s="290"/>
    </row>
    <row r="804" spans="1:61" ht="15.75" customHeight="1">
      <c r="A804" s="514"/>
      <c r="B804" s="450" t="s">
        <v>656</v>
      </c>
      <c r="C804" s="3">
        <f>+$C$802+$G$803</f>
        <v>49444.950000000004</v>
      </c>
      <c r="D804" s="83"/>
      <c r="E804" s="4"/>
      <c r="F804" s="4">
        <f>IF(C804&gt;0,VLOOKUP(C804,'ALIGNMENT TRACK'!$A$1:$K$81,9,1))</f>
        <v>1125</v>
      </c>
      <c r="G804" s="6"/>
      <c r="H804" s="449"/>
      <c r="I804" s="4"/>
      <c r="J804" s="3"/>
      <c r="K804" s="449"/>
      <c r="L804" s="449" t="s">
        <v>158</v>
      </c>
      <c r="M804" s="449" t="str">
        <f>IF(L804="","",
IF(AX804="PT",VLOOKUP(L804,Foundation_Calc!$V$79:$X$113,VLOOKUP(AX804,Foundation_Calc!$I$10:$J$13,2,FALSE),0),
IF(AX804="K",VLOOKUP(L804,Foundation_Calc!$V$117:$X$151,VLOOKUP(AX804,Foundation_Calc!$I$10:$J$13,2,FALSE),0),"")))</f>
        <v>C4R</v>
      </c>
      <c r="N804" s="449" t="s">
        <v>124</v>
      </c>
      <c r="O804" s="449"/>
      <c r="P804" s="449"/>
      <c r="Q804" s="4"/>
      <c r="R804" s="6"/>
      <c r="S804" s="6"/>
      <c r="T804" s="4">
        <v>-30</v>
      </c>
      <c r="U804" s="4"/>
      <c r="V804" s="4"/>
      <c r="W804" s="9">
        <v>1.4</v>
      </c>
      <c r="X804" s="9"/>
      <c r="Y804" s="9"/>
      <c r="Z804" s="9"/>
      <c r="AA804" s="9"/>
      <c r="AB804" s="9"/>
      <c r="AC804" s="449" t="str">
        <f t="shared" si="88"/>
        <v>PHC</v>
      </c>
      <c r="AD804" s="449"/>
      <c r="AE804" s="449"/>
      <c r="AF804" s="4"/>
      <c r="AG804" s="83"/>
      <c r="AH804" s="4"/>
      <c r="AI804" s="4"/>
      <c r="AJ804" s="449"/>
      <c r="AK804" s="449"/>
      <c r="AL804" s="449"/>
      <c r="AM804" s="449" t="s">
        <v>552</v>
      </c>
      <c r="AN804" s="10">
        <f>AN802-0.07</f>
        <v>5.43</v>
      </c>
      <c r="AO804" s="9"/>
      <c r="AP804" s="9"/>
      <c r="AQ804" s="9"/>
      <c r="AR804" s="9"/>
      <c r="AS804" s="9"/>
      <c r="AT804" s="9">
        <f>+ab($T$804,$T$802,$T$806,$G$803,$G$805,-1*$F$804,1200)</f>
        <v>-4.6825739117467622</v>
      </c>
      <c r="AU804" s="428"/>
      <c r="AV804" s="428"/>
      <c r="AW804" s="449" t="str">
        <f>IF(C804&gt;0,VLOOKUP(C804,Foundation_Calc!$A$2:$C$13,3,1),
IF(J804&gt;0,VLOOKUP(J804,Foundation_Calc!$A$2:$C$13,3,1),""))</f>
        <v>Multi Soil</v>
      </c>
      <c r="AX804" s="449" t="str">
        <f>IF(C804&gt;0,VLOOKUP(C804,Foundation_Calc!$E$2:$G$33,3,1),
IF(J804&gt;0,VLOOKUP(J804,Foundation_Calc!$E$2:$G$33,3,1),""))</f>
        <v>PT</v>
      </c>
      <c r="AY804" s="10">
        <f>IF(L804="","",
IF(AX804="PT",VLOOKUP(L804,Foundation_Calc!$K$79:$R$113,VLOOKUP(AW804,Foundation_Calc!$I$2:$J$8,2,FALSE),0),
IF(AX804="K",VLOOKUP(L804,Foundation_Calc!$K$117:$R$151,VLOOKUP(AW804,Foundation_Calc!$I$2:$J$8,2,FALSE),0),"")))</f>
        <v>3.5</v>
      </c>
      <c r="AZ804" s="10" t="str">
        <f>IF(K804="","",
IF(AX804="PT",VLOOKUP(K804,Foundation_Calc!$K$79:$R$113,VLOOKUP(AW804,Foundation_Calc!$I$2:$J$8,2,FALSE),0),
IF(AX804="K",VLOOKUP(K804,Foundation_Calc!$K$117:$R$151,VLOOKUP(AW804,Foundation_Calc!$I$2:$J$8,2,FALSE),0),"")))</f>
        <v/>
      </c>
      <c r="BA804" s="495" t="str">
        <f t="shared" si="95"/>
        <v>ü</v>
      </c>
      <c r="BB804" s="495" t="str">
        <f t="shared" si="96"/>
        <v/>
      </c>
      <c r="BC804" s="495" t="str">
        <f t="shared" si="97"/>
        <v/>
      </c>
      <c r="BD804" s="513" t="str">
        <f>IF(AND(L804="",H804=""),"",
IF(H804="",Pole_Calc!A$9,
IF(H804="MP",Pole_Calc!A$10,
IF(H804="AnMP",Pole_Calc!A$11,
IF(H804="A",Pole_Calc!A$12,
IF(H804="S/A",Pole_Calc!A$13,
IF(H804="A/S",Pole_Calc!A$14,"Poner a mano")))))))</f>
        <v>App.7-V11I-P9.5.1.1</v>
      </c>
      <c r="BE804" s="429" t="s">
        <v>118</v>
      </c>
      <c r="BF804" s="289"/>
      <c r="BG804" s="289"/>
      <c r="BH804" s="290"/>
      <c r="BI804" s="289"/>
    </row>
    <row r="805" spans="1:61" ht="15.75" customHeight="1">
      <c r="A805" s="514"/>
      <c r="B805" s="450"/>
      <c r="C805" s="3"/>
      <c r="D805" s="83"/>
      <c r="E805" s="4"/>
      <c r="F805" s="4"/>
      <c r="G805" s="6">
        <v>45</v>
      </c>
      <c r="H805" s="449"/>
      <c r="I805" s="4"/>
      <c r="J805" s="3">
        <f>C806-7.5</f>
        <v>49482.450000000004</v>
      </c>
      <c r="K805" s="449" t="s">
        <v>166</v>
      </c>
      <c r="L805" s="449"/>
      <c r="M805" s="449" t="str">
        <f>IF(L805="","",
IF(AX805="PT",VLOOKUP(L805,Foundation_Calc!$V$79:$X$113,VLOOKUP(AX805,Foundation_Calc!$I$10:$J$13,2,FALSE),0),
IF(AX805="K",VLOOKUP(L805,Foundation_Calc!$V$117:$X$151,VLOOKUP(AX805,Foundation_Calc!$I$10:$J$13,2,FALSE),0),"")))</f>
        <v/>
      </c>
      <c r="N805" s="449"/>
      <c r="O805" s="449"/>
      <c r="P805" s="449"/>
      <c r="Q805" s="4"/>
      <c r="R805" s="6"/>
      <c r="S805" s="6"/>
      <c r="T805" s="4"/>
      <c r="U805" s="4"/>
      <c r="V805" s="4"/>
      <c r="W805" s="9"/>
      <c r="X805" s="9"/>
      <c r="Y805" s="9"/>
      <c r="Z805" s="9"/>
      <c r="AA805" s="9"/>
      <c r="AB805" s="9"/>
      <c r="AC805" s="449" t="str">
        <f t="shared" si="88"/>
        <v/>
      </c>
      <c r="AD805" s="449"/>
      <c r="AE805" s="449"/>
      <c r="AF805" s="4"/>
      <c r="AG805" s="83"/>
      <c r="AH805" s="4"/>
      <c r="AI805" s="4"/>
      <c r="AJ805" s="449"/>
      <c r="AK805" s="449"/>
      <c r="AL805" s="449"/>
      <c r="AM805" s="449"/>
      <c r="AN805" s="10"/>
      <c r="AO805" s="9"/>
      <c r="AP805" s="9"/>
      <c r="AQ805" s="9">
        <f>+FL_2($T$806,$T$804,$G$805,1200,9.28,-1*$F$806)</f>
        <v>-0.30002600576005967</v>
      </c>
      <c r="AR805" s="9"/>
      <c r="AS805" s="9"/>
      <c r="AT805" s="9"/>
      <c r="AU805" s="428"/>
      <c r="AV805" s="428"/>
      <c r="AW805" s="449" t="str">
        <f>IF(C805&gt;0,VLOOKUP(C805,Foundation_Calc!$A$2:$C$13,3,1),
IF(J805&gt;0,VLOOKUP(J805,Foundation_Calc!$A$2:$C$13,3,1),""))</f>
        <v>Multi Soil</v>
      </c>
      <c r="AX805" s="449" t="str">
        <f>IF(C805&gt;0,VLOOKUP(C805,Foundation_Calc!$E$2:$G$33,3,1),
IF(J805&gt;0,VLOOKUP(J805,Foundation_Calc!$E$2:$G$33,3,1),""))</f>
        <v>PT</v>
      </c>
      <c r="AY805" s="10" t="str">
        <f>IF(L805="","",
IF(AX805="PT",VLOOKUP(L805,Foundation_Calc!$K$79:$R$113,VLOOKUP(AW805,Foundation_Calc!$I$2:$J$8,2,FALSE),0),
IF(AX805="K",VLOOKUP(L805,Foundation_Calc!$K$117:$R$151,VLOOKUP(AW805,Foundation_Calc!$I$2:$J$8,2,FALSE),0),"")))</f>
        <v/>
      </c>
      <c r="AZ805" s="10">
        <f>IF(K805="","",
IF(AX805="PT",VLOOKUP(K805,Foundation_Calc!$K$79:$R$113,VLOOKUP(AW805,Foundation_Calc!$I$2:$J$8,2,FALSE),0),
IF(AX805="K",VLOOKUP(K805,Foundation_Calc!$K$117:$R$151,VLOOKUP(AW805,Foundation_Calc!$I$2:$J$8,2,FALSE),0),"")))</f>
        <v>2.8</v>
      </c>
      <c r="BA805" s="495" t="str">
        <f t="shared" si="95"/>
        <v/>
      </c>
      <c r="BB805" s="495" t="str">
        <f t="shared" si="96"/>
        <v>ü</v>
      </c>
      <c r="BC805" s="495" t="str">
        <f t="shared" si="97"/>
        <v/>
      </c>
      <c r="BD805" s="513" t="str">
        <f>IF(AND(L805="",H805=""),"",
IF(H805="",Pole_Calc!A$9,
IF(H805="MP",Pole_Calc!A$10,
IF(H805="AnMP",Pole_Calc!A$11,
IF(H805="A",Pole_Calc!A$12,
IF(H805="S/A",Pole_Calc!A$13,
IF(H805="A/S",Pole_Calc!A$14,"Poner a mano")))))))</f>
        <v/>
      </c>
      <c r="BE805" s="429" t="s">
        <v>118</v>
      </c>
      <c r="BF805" s="290"/>
      <c r="BG805" s="290"/>
      <c r="BH805" s="290"/>
      <c r="BI805" s="290"/>
    </row>
    <row r="806" spans="1:61" ht="15.75" customHeight="1">
      <c r="A806" s="518"/>
      <c r="B806" s="450" t="s">
        <v>657</v>
      </c>
      <c r="C806" s="3">
        <f>+$C$804+$G$805</f>
        <v>49489.950000000004</v>
      </c>
      <c r="D806" s="83"/>
      <c r="E806" s="4"/>
      <c r="F806" s="4">
        <f>IF(C806&gt;0,VLOOKUP(C806,'ALIGNMENT TRACK'!$A$1:$K$81,9,1))</f>
        <v>1125</v>
      </c>
      <c r="G806" s="6"/>
      <c r="H806" s="449" t="s">
        <v>168</v>
      </c>
      <c r="I806" s="4"/>
      <c r="J806" s="3"/>
      <c r="K806" s="449"/>
      <c r="L806" s="449" t="s">
        <v>153</v>
      </c>
      <c r="M806" s="449" t="str">
        <f>IF(L806="","",
IF(AX806="PT",VLOOKUP(L806,Foundation_Calc!$V$79:$X$113,VLOOKUP(AX806,Foundation_Calc!$I$10:$J$13,2,FALSE),0),
IF(AX806="K",VLOOKUP(L806,Foundation_Calc!$V$117:$X$151,VLOOKUP(AX806,Foundation_Calc!$I$10:$J$13,2,FALSE),0),"")))</f>
        <v>C3R</v>
      </c>
      <c r="N806" s="449" t="s">
        <v>124</v>
      </c>
      <c r="O806" s="449"/>
      <c r="P806" s="449"/>
      <c r="Q806" s="4"/>
      <c r="R806" s="6"/>
      <c r="S806" s="6"/>
      <c r="T806" s="4">
        <v>-30</v>
      </c>
      <c r="U806" s="4"/>
      <c r="V806" s="4"/>
      <c r="W806" s="572">
        <v>1.2</v>
      </c>
      <c r="X806" s="9"/>
      <c r="Y806" s="9"/>
      <c r="Z806" s="9"/>
      <c r="AA806" s="9"/>
      <c r="AB806" s="9"/>
      <c r="AC806" s="449" t="str">
        <f t="shared" si="88"/>
        <v>PHQ</v>
      </c>
      <c r="AD806" s="449"/>
      <c r="AE806" s="449"/>
      <c r="AF806" s="4"/>
      <c r="AG806" s="83"/>
      <c r="AH806" s="4"/>
      <c r="AI806" s="4"/>
      <c r="AJ806" s="449"/>
      <c r="AK806" s="449"/>
      <c r="AL806" s="449"/>
      <c r="AM806" s="449" t="s">
        <v>552</v>
      </c>
      <c r="AN806" s="10">
        <f>AN804-0.12</f>
        <v>5.31</v>
      </c>
      <c r="AO806" s="9"/>
      <c r="AP806" s="9"/>
      <c r="AQ806" s="9"/>
      <c r="AR806" s="9"/>
      <c r="AS806" s="9"/>
      <c r="AT806" s="9">
        <f>+ab($T$806,$T$804,$T$808,$G$805,$G$807,-1*$F$806,1200)</f>
        <v>-5.0662665052612832</v>
      </c>
      <c r="AU806" s="428"/>
      <c r="AV806" s="428"/>
      <c r="AW806" s="449" t="str">
        <f>IF(C806&gt;0,VLOOKUP(C806,Foundation_Calc!$A$2:$C$13,3,1),
IF(J806&gt;0,VLOOKUP(J806,Foundation_Calc!$A$2:$C$13,3,1),""))</f>
        <v>Multi Soil</v>
      </c>
      <c r="AX806" s="449" t="str">
        <f>IF(C806&gt;0,VLOOKUP(C806,Foundation_Calc!$E$2:$G$33,3,1),
IF(J806&gt;0,VLOOKUP(J806,Foundation_Calc!$E$2:$G$33,3,1),""))</f>
        <v>PT</v>
      </c>
      <c r="AY806" s="10">
        <f>IF(L806="","",
IF(AX806="PT",VLOOKUP(L806,Foundation_Calc!$K$79:$R$113,VLOOKUP(AW806,Foundation_Calc!$I$2:$J$8,2,FALSE),0),
IF(AX806="K",VLOOKUP(L806,Foundation_Calc!$K$117:$R$151,VLOOKUP(AW806,Foundation_Calc!$I$2:$J$8,2,FALSE),0),"")))</f>
        <v>3.5</v>
      </c>
      <c r="AZ806" s="10" t="str">
        <f>IF(K806="","",
IF(AX806="PT",VLOOKUP(K806,Foundation_Calc!$K$79:$R$113,VLOOKUP(AW806,Foundation_Calc!$I$2:$J$8,2,FALSE),0),
IF(AX806="K",VLOOKUP(K806,Foundation_Calc!$K$117:$R$151,VLOOKUP(AW806,Foundation_Calc!$I$2:$J$8,2,FALSE),0),"")))</f>
        <v/>
      </c>
      <c r="BA806" s="495" t="str">
        <f t="shared" si="95"/>
        <v>ü</v>
      </c>
      <c r="BB806" s="495" t="str">
        <f t="shared" si="96"/>
        <v/>
      </c>
      <c r="BC806" s="495" t="str">
        <f t="shared" si="97"/>
        <v/>
      </c>
      <c r="BD806" s="513" t="str">
        <f>IF(AND(L806="",H806=""),"",
IF(H806="",Pole_Calc!A$9,
IF(H806="MP",Pole_Calc!A$10,
IF(H806="AnMP",Pole_Calc!A$11,
IF(H806="A",Pole_Calc!A$12,
IF(H806="S/A",Pole_Calc!A$13,
IF(H806="A/S",Pole_Calc!A$14,"Poner a mano")))))))</f>
        <v>App.7-V11I-P9.5.1.3</v>
      </c>
      <c r="BE806" s="429" t="s">
        <v>118</v>
      </c>
      <c r="BF806" s="289"/>
      <c r="BG806" s="289"/>
      <c r="BH806" s="290"/>
      <c r="BI806" s="289"/>
    </row>
    <row r="807" spans="1:61" ht="15.75" customHeight="1">
      <c r="A807" s="518"/>
      <c r="B807" s="450"/>
      <c r="C807" s="3"/>
      <c r="D807" s="83"/>
      <c r="E807" s="4"/>
      <c r="F807" s="4"/>
      <c r="G807" s="6">
        <v>40</v>
      </c>
      <c r="H807" s="449"/>
      <c r="I807" s="4">
        <f>SUM(G793:G807)</f>
        <v>371</v>
      </c>
      <c r="J807" s="3"/>
      <c r="K807" s="449"/>
      <c r="L807" s="449"/>
      <c r="M807" s="449" t="str">
        <f>IF(L807="","",
IF(AX807="PT",VLOOKUP(L807,Foundation_Calc!$V$79:$X$113,VLOOKUP(AX807,Foundation_Calc!$I$10:$J$13,2,FALSE),0),
IF(AX807="K",VLOOKUP(L807,Foundation_Calc!$V$117:$X$151,VLOOKUP(AX807,Foundation_Calc!$I$10:$J$13,2,FALSE),0),"")))</f>
        <v/>
      </c>
      <c r="N807" s="561"/>
      <c r="O807" s="449"/>
      <c r="P807" s="449"/>
      <c r="Q807" s="4"/>
      <c r="R807" s="6"/>
      <c r="S807" s="6"/>
      <c r="T807" s="4"/>
      <c r="U807" s="4"/>
      <c r="V807" s="4"/>
      <c r="W807" s="572"/>
      <c r="X807" s="9"/>
      <c r="Y807" s="9"/>
      <c r="Z807" s="9"/>
      <c r="AA807" s="9"/>
      <c r="AB807" s="9"/>
      <c r="AC807" s="449" t="str">
        <f t="shared" si="88"/>
        <v/>
      </c>
      <c r="AD807" s="449"/>
      <c r="AE807" s="449"/>
      <c r="AF807" s="4"/>
      <c r="AG807" s="83"/>
      <c r="AH807" s="4"/>
      <c r="AI807" s="4"/>
      <c r="AJ807" s="449"/>
      <c r="AK807" s="449"/>
      <c r="AL807" s="449"/>
      <c r="AM807" s="449"/>
      <c r="AN807" s="10"/>
      <c r="AO807" s="9"/>
      <c r="AP807" s="9"/>
      <c r="AQ807" s="9">
        <f>+FL_2($T$808,$T$806,$G$807,1200,9.28,-1*$F$808)</f>
        <v>-0.3</v>
      </c>
      <c r="AR807" s="9"/>
      <c r="AS807" s="9"/>
      <c r="AT807" s="9"/>
      <c r="AU807" s="428"/>
      <c r="AV807" s="428"/>
      <c r="AW807" s="449" t="str">
        <f>IF(C807&gt;0,VLOOKUP(C807,Foundation_Calc!$A$2:$C$13,3,1),
IF(J807&gt;0,VLOOKUP(J807,Foundation_Calc!$A$2:$C$13,3,1),""))</f>
        <v/>
      </c>
      <c r="AX807" s="449" t="str">
        <f>IF(C807&gt;0,VLOOKUP(C807,Foundation_Calc!$E$2:$G$33,3,1),
IF(J807&gt;0,VLOOKUP(J807,Foundation_Calc!$E$2:$G$33,3,1),""))</f>
        <v/>
      </c>
      <c r="AY807" s="10" t="str">
        <f>IF(L807="","",
IF(AX807="PT",VLOOKUP(L807,Foundation_Calc!$K$79:$R$113,VLOOKUP(AW807,Foundation_Calc!$I$2:$J$8,2,FALSE),0),
IF(AX807="K",VLOOKUP(L807,Foundation_Calc!$K$117:$R$151,VLOOKUP(AW807,Foundation_Calc!$I$2:$J$8,2,FALSE),0),"")))</f>
        <v/>
      </c>
      <c r="AZ807" s="10" t="str">
        <f>IF(K807="","",
IF(AX807="PT",VLOOKUP(K807,Foundation_Calc!$K$79:$R$113,VLOOKUP(AW807,Foundation_Calc!$I$2:$J$8,2,FALSE),0),
IF(AX807="K",VLOOKUP(K807,Foundation_Calc!$K$117:$R$151,VLOOKUP(AW807,Foundation_Calc!$I$2:$J$8,2,FALSE),0),"")))</f>
        <v/>
      </c>
      <c r="BA807" s="495" t="str">
        <f t="shared" si="95"/>
        <v/>
      </c>
      <c r="BB807" s="495" t="str">
        <f t="shared" si="96"/>
        <v/>
      </c>
      <c r="BC807" s="495" t="str">
        <f t="shared" si="97"/>
        <v/>
      </c>
      <c r="BD807" s="513" t="str">
        <f>IF(AND(L807="",H807=""),"",
IF(H807="",Pole_Calc!A$9,
IF(H807="MP",Pole_Calc!A$10,
IF(H807="AnMP",Pole_Calc!A$11,
IF(H807="A",Pole_Calc!A$12,
IF(H807="S/A",Pole_Calc!A$13,
IF(H807="A/S",Pole_Calc!A$14,"Poner a mano")))))))</f>
        <v/>
      </c>
      <c r="BE807" s="429" t="s">
        <v>118</v>
      </c>
      <c r="BF807" s="290"/>
      <c r="BG807" s="290"/>
      <c r="BH807" s="290"/>
      <c r="BI807" s="290"/>
    </row>
    <row r="808" spans="1:61" ht="15.75" customHeight="1">
      <c r="A808" s="514"/>
      <c r="B808" s="450" t="s">
        <v>658</v>
      </c>
      <c r="C808" s="3">
        <f>+$C$806+$G$807</f>
        <v>49529.950000000004</v>
      </c>
      <c r="D808" s="83"/>
      <c r="E808" s="4"/>
      <c r="F808" s="4">
        <f>IF(C808&gt;0,VLOOKUP(C808,'ALIGNMENT TRACK'!$A$1:$K$81,9,1))</f>
        <v>1125</v>
      </c>
      <c r="G808" s="6"/>
      <c r="H808" s="449" t="s">
        <v>171</v>
      </c>
      <c r="I808" s="4"/>
      <c r="J808" s="3"/>
      <c r="K808" s="449"/>
      <c r="L808" s="449" t="s">
        <v>158</v>
      </c>
      <c r="M808" s="449" t="str">
        <f>IF(L808="","",
IF(AX808="PT",VLOOKUP(L808,Foundation_Calc!$V$79:$X$113,VLOOKUP(AX808,Foundation_Calc!$I$10:$J$13,2,FALSE),0),
IF(AX808="K",VLOOKUP(L808,Foundation_Calc!$V$117:$X$151,VLOOKUP(AX808,Foundation_Calc!$I$10:$J$13,2,FALSE),0),"")))</f>
        <v>C4R</v>
      </c>
      <c r="N808" s="449" t="s">
        <v>124</v>
      </c>
      <c r="O808" s="449"/>
      <c r="P808" s="449"/>
      <c r="Q808" s="4"/>
      <c r="R808" s="6"/>
      <c r="S808" s="6"/>
      <c r="T808" s="4">
        <v>-30</v>
      </c>
      <c r="U808" s="4"/>
      <c r="V808" s="4"/>
      <c r="W808" s="572">
        <v>0.8</v>
      </c>
      <c r="X808" s="9"/>
      <c r="Y808" s="9"/>
      <c r="Z808" s="9"/>
      <c r="AA808" s="9"/>
      <c r="AB808" s="9"/>
      <c r="AC808" s="449" t="str">
        <f t="shared" si="88"/>
        <v>PHQ</v>
      </c>
      <c r="AD808" s="449"/>
      <c r="AE808" s="449"/>
      <c r="AF808" s="4"/>
      <c r="AG808" s="83"/>
      <c r="AH808" s="4"/>
      <c r="AI808" s="4"/>
      <c r="AJ808" s="449"/>
      <c r="AK808" s="449"/>
      <c r="AL808" s="449"/>
      <c r="AM808" s="449" t="s">
        <v>552</v>
      </c>
      <c r="AN808" s="10">
        <f>AN810+0.05</f>
        <v>5.2</v>
      </c>
      <c r="AO808" s="9"/>
      <c r="AP808" s="9"/>
      <c r="AQ808" s="9"/>
      <c r="AR808" s="9"/>
      <c r="AS808" s="9"/>
      <c r="AT808" s="9">
        <f>+ab($T$808,$T$806,$T$810,$G$807,$G$809,-1*$F$808,1200)</f>
        <v>-5.7375244864003294</v>
      </c>
      <c r="AU808" s="428"/>
      <c r="AV808" s="428"/>
      <c r="AW808" s="449" t="str">
        <f>IF(C808&gt;0,VLOOKUP(C808,Foundation_Calc!$A$2:$C$13,3,1),
IF(J808&gt;0,VLOOKUP(J808,Foundation_Calc!$A$2:$C$13,3,1),""))</f>
        <v>Multi Soil</v>
      </c>
      <c r="AX808" s="449" t="str">
        <f>IF(C808&gt;0,VLOOKUP(C808,Foundation_Calc!$E$2:$G$33,3,1),
IF(J808&gt;0,VLOOKUP(J808,Foundation_Calc!$E$2:$G$33,3,1),""))</f>
        <v>PT</v>
      </c>
      <c r="AY808" s="10">
        <f>IF(L808="","",
IF(AX808="PT",VLOOKUP(L808,Foundation_Calc!$K$79:$R$113,VLOOKUP(AW808,Foundation_Calc!$I$2:$J$8,2,FALSE),0),
IF(AX808="K",VLOOKUP(L808,Foundation_Calc!$K$117:$R$151,VLOOKUP(AW808,Foundation_Calc!$I$2:$J$8,2,FALSE),0),"")))</f>
        <v>3.5</v>
      </c>
      <c r="AZ808" s="10" t="str">
        <f>IF(K808="","",
IF(AX808="PT",VLOOKUP(K808,Foundation_Calc!$K$79:$R$113,VLOOKUP(AW808,Foundation_Calc!$I$2:$J$8,2,FALSE),0),
IF(AX808="K",VLOOKUP(K808,Foundation_Calc!$K$117:$R$151,VLOOKUP(AW808,Foundation_Calc!$I$2:$J$8,2,FALSE),0),"")))</f>
        <v/>
      </c>
      <c r="BA808" s="495" t="str">
        <f t="shared" si="95"/>
        <v>ü</v>
      </c>
      <c r="BB808" s="495" t="str">
        <f t="shared" si="96"/>
        <v/>
      </c>
      <c r="BC808" s="495" t="str">
        <f t="shared" si="97"/>
        <v/>
      </c>
      <c r="BD808" s="513" t="str">
        <f>IF(AND(L808="",H808=""),"",
IF(H808="",Pole_Calc!A$9,
IF(H808="MP",Pole_Calc!A$10,
IF(H808="AnMP",Pole_Calc!A$11,
IF(H808="A",Pole_Calc!A$12,
IF(H808="S/A",Pole_Calc!A$13,
IF(H808="A/S",Pole_Calc!A$14,"Poner a mano")))))))</f>
        <v>App.7-V11I-P9.5.1.2</v>
      </c>
      <c r="BE808" s="429" t="s">
        <v>118</v>
      </c>
      <c r="BF808" s="289"/>
      <c r="BG808" s="289"/>
      <c r="BH808" s="290"/>
      <c r="BI808" s="289"/>
    </row>
    <row r="809" spans="1:61" ht="15.75" customHeight="1">
      <c r="A809" s="514"/>
      <c r="B809" s="450"/>
      <c r="C809" s="3"/>
      <c r="D809" s="83"/>
      <c r="E809" s="4"/>
      <c r="F809" s="4"/>
      <c r="G809" s="6">
        <v>35</v>
      </c>
      <c r="H809" s="449"/>
      <c r="I809" s="4">
        <f>SUM(G809:G835)-50</f>
        <v>436</v>
      </c>
      <c r="J809" s="3"/>
      <c r="K809" s="449"/>
      <c r="L809" s="449"/>
      <c r="M809" s="449" t="str">
        <f>IF(L809="","",
IF(AX809="PT",VLOOKUP(L809,Foundation_Calc!$V$79:$X$113,VLOOKUP(AX809,Foundation_Calc!$I$10:$J$13,2,FALSE),0),
IF(AX809="K",VLOOKUP(L809,Foundation_Calc!$V$117:$X$151,VLOOKUP(AX809,Foundation_Calc!$I$10:$J$13,2,FALSE),0),"")))</f>
        <v/>
      </c>
      <c r="N809" s="449"/>
      <c r="O809" s="449"/>
      <c r="P809" s="449"/>
      <c r="Q809" s="4"/>
      <c r="R809" s="6"/>
      <c r="S809" s="6"/>
      <c r="T809" s="4"/>
      <c r="U809" s="4"/>
      <c r="V809" s="4"/>
      <c r="W809" s="572"/>
      <c r="X809" s="9"/>
      <c r="Y809" s="9"/>
      <c r="Z809" s="9"/>
      <c r="AA809" s="9"/>
      <c r="AB809" s="9"/>
      <c r="AC809" s="449" t="str">
        <f t="shared" si="88"/>
        <v/>
      </c>
      <c r="AD809" s="449"/>
      <c r="AE809" s="449"/>
      <c r="AF809" s="4"/>
      <c r="AG809" s="83"/>
      <c r="AH809" s="4"/>
      <c r="AI809" s="4"/>
      <c r="AJ809" s="449"/>
      <c r="AK809" s="449"/>
      <c r="AL809" s="449"/>
      <c r="AM809" s="449"/>
      <c r="AN809" s="10"/>
      <c r="AO809" s="9"/>
      <c r="AP809" s="9"/>
      <c r="AQ809" s="9">
        <f>+FL_2($T$810,$T$808,$G$809,1200,9.28,-1*$F$810)</f>
        <v>-0.3</v>
      </c>
      <c r="AR809" s="9"/>
      <c r="AS809" s="9"/>
      <c r="AT809" s="9"/>
      <c r="AU809" s="428"/>
      <c r="AV809" s="428"/>
      <c r="AW809" s="449" t="str">
        <f>IF(C809&gt;0,VLOOKUP(C809,Foundation_Calc!$A$2:$C$13,3,1),
IF(J809&gt;0,VLOOKUP(J809,Foundation_Calc!$A$2:$C$13,3,1),""))</f>
        <v/>
      </c>
      <c r="AX809" s="449" t="str">
        <f>IF(C809&gt;0,VLOOKUP(C809,Foundation_Calc!$E$2:$G$33,3,1),
IF(J809&gt;0,VLOOKUP(J809,Foundation_Calc!$E$2:$G$33,3,1),""))</f>
        <v/>
      </c>
      <c r="AY809" s="10" t="str">
        <f>IF(L809="","",
IF(AX809="PT",VLOOKUP(L809,Foundation_Calc!$K$79:$R$113,VLOOKUP(AW809,Foundation_Calc!$I$2:$J$8,2,FALSE),0),
IF(AX809="K",VLOOKUP(L809,Foundation_Calc!$K$117:$R$151,VLOOKUP(AW809,Foundation_Calc!$I$2:$J$8,2,FALSE),0),"")))</f>
        <v/>
      </c>
      <c r="AZ809" s="10" t="str">
        <f>IF(K809="","",
IF(AX809="PT",VLOOKUP(K809,Foundation_Calc!$K$79:$R$113,VLOOKUP(AW809,Foundation_Calc!$I$2:$J$8,2,FALSE),0),
IF(AX809="K",VLOOKUP(K809,Foundation_Calc!$K$117:$R$151,VLOOKUP(AW809,Foundation_Calc!$I$2:$J$8,2,FALSE),0),"")))</f>
        <v/>
      </c>
      <c r="BA809" s="495" t="str">
        <f t="shared" si="95"/>
        <v/>
      </c>
      <c r="BB809" s="495" t="str">
        <f t="shared" si="96"/>
        <v/>
      </c>
      <c r="BC809" s="495" t="str">
        <f t="shared" si="97"/>
        <v/>
      </c>
      <c r="BD809" s="513" t="str">
        <f>IF(AND(L809="",H809=""),"",
IF(H809="",Pole_Calc!A$9,
IF(H809="MP",Pole_Calc!A$10,
IF(H809="AnMP",Pole_Calc!A$11,
IF(H809="A",Pole_Calc!A$12,
IF(H809="S/A",Pole_Calc!A$13,
IF(H809="A/S",Pole_Calc!A$14,"Poner a mano")))))))</f>
        <v/>
      </c>
      <c r="BE809" s="429" t="s">
        <v>118</v>
      </c>
      <c r="BF809" s="290"/>
      <c r="BG809" s="290"/>
      <c r="BH809" s="290"/>
      <c r="BI809" s="290"/>
    </row>
    <row r="810" spans="1:61" ht="15.75" customHeight="1">
      <c r="A810" s="514"/>
      <c r="B810" s="450" t="s">
        <v>659</v>
      </c>
      <c r="C810" s="3">
        <f>+$C$808+$G$809</f>
        <v>49564.950000000004</v>
      </c>
      <c r="D810" s="83"/>
      <c r="E810" s="4"/>
      <c r="F810" s="4">
        <f>IF(C810&gt;0,VLOOKUP(C810,'ALIGNMENT TRACK'!$A$1:$K$81,9,1))</f>
        <v>1125</v>
      </c>
      <c r="G810" s="6"/>
      <c r="H810" s="449" t="s">
        <v>168</v>
      </c>
      <c r="I810" s="4"/>
      <c r="J810" s="3"/>
      <c r="K810" s="449"/>
      <c r="L810" s="449" t="s">
        <v>158</v>
      </c>
      <c r="M810" s="449" t="str">
        <f>IF(L810="","",
IF(AX810="PT",VLOOKUP(L810,Foundation_Calc!$V$79:$X$113,VLOOKUP(AX810,Foundation_Calc!$I$10:$J$13,2,FALSE),0),
IF(AX810="K",VLOOKUP(L810,Foundation_Calc!$V$117:$X$151,VLOOKUP(AX810,Foundation_Calc!$I$10:$J$13,2,FALSE),0),"")))</f>
        <v>C4R</v>
      </c>
      <c r="N810" s="449" t="s">
        <v>124</v>
      </c>
      <c r="O810" s="449"/>
      <c r="P810" s="449"/>
      <c r="Q810" s="4"/>
      <c r="R810" s="6"/>
      <c r="S810" s="6"/>
      <c r="T810" s="4">
        <v>-30</v>
      </c>
      <c r="U810" s="4"/>
      <c r="V810" s="4"/>
      <c r="W810" s="572">
        <v>0.6</v>
      </c>
      <c r="X810" s="9"/>
      <c r="Y810" s="9"/>
      <c r="Z810" s="9"/>
      <c r="AA810" s="9"/>
      <c r="AB810" s="9"/>
      <c r="AC810" s="449" t="str">
        <f t="shared" si="88"/>
        <v>PHQ</v>
      </c>
      <c r="AD810" s="449"/>
      <c r="AE810" s="449"/>
      <c r="AF810" s="4"/>
      <c r="AG810" s="83"/>
      <c r="AH810" s="4"/>
      <c r="AI810" s="4"/>
      <c r="AJ810" s="449"/>
      <c r="AK810" s="449"/>
      <c r="AL810" s="449"/>
      <c r="AM810" s="449" t="s">
        <v>552</v>
      </c>
      <c r="AN810" s="10">
        <v>5.15</v>
      </c>
      <c r="AO810" s="9"/>
      <c r="AP810" s="9"/>
      <c r="AQ810" s="9"/>
      <c r="AR810" s="9"/>
      <c r="AS810" s="9"/>
      <c r="AT810" s="9">
        <f>+ab($T$810,$T$808,$T$812,$G$809,$G$811,-1*$F$810,1200)</f>
        <v>-6.6129171613800173</v>
      </c>
      <c r="AU810" s="428"/>
      <c r="AV810" s="428"/>
      <c r="AW810" s="449" t="str">
        <f>IF(C810&gt;0,VLOOKUP(C810,Foundation_Calc!$A$2:$C$13,3,1),
IF(J810&gt;0,VLOOKUP(J810,Foundation_Calc!$A$2:$C$13,3,1),""))</f>
        <v>Multi Soil</v>
      </c>
      <c r="AX810" s="449" t="str">
        <f>IF(C810&gt;0,VLOOKUP(C810,Foundation_Calc!$E$2:$G$33,3,1),
IF(J810&gt;0,VLOOKUP(J810,Foundation_Calc!$E$2:$G$33,3,1),""))</f>
        <v>PT</v>
      </c>
      <c r="AY810" s="10">
        <f>IF(L810="","",
IF(AX810="PT",VLOOKUP(L810,Foundation_Calc!$K$79:$R$113,VLOOKUP(AW810,Foundation_Calc!$I$2:$J$8,2,FALSE),0),
IF(AX810="K",VLOOKUP(L810,Foundation_Calc!$K$117:$R$151,VLOOKUP(AW810,Foundation_Calc!$I$2:$J$8,2,FALSE),0),"")))</f>
        <v>3.5</v>
      </c>
      <c r="AZ810" s="10" t="str">
        <f>IF(K810="","",
IF(AX810="PT",VLOOKUP(K810,Foundation_Calc!$K$79:$R$113,VLOOKUP(AW810,Foundation_Calc!$I$2:$J$8,2,FALSE),0),
IF(AX810="K",VLOOKUP(K810,Foundation_Calc!$K$117:$R$151,VLOOKUP(AW810,Foundation_Calc!$I$2:$J$8,2,FALSE),0),"")))</f>
        <v/>
      </c>
      <c r="BA810" s="495" t="str">
        <f t="shared" si="95"/>
        <v>ü</v>
      </c>
      <c r="BB810" s="495" t="str">
        <f t="shared" si="96"/>
        <v/>
      </c>
      <c r="BC810" s="495" t="str">
        <f t="shared" si="97"/>
        <v/>
      </c>
      <c r="BD810" s="513" t="str">
        <f>IF(AND(L810="",H810=""),"",
IF(H810="",Pole_Calc!A$9,
IF(H810="MP",Pole_Calc!A$10,
IF(H810="AnMP",Pole_Calc!A$11,
IF(H810="A",Pole_Calc!A$12,
IF(H810="S/A",Pole_Calc!A$13,
IF(H810="A/S",Pole_Calc!A$14,"Poner a mano")))))))</f>
        <v>App.7-V11I-P9.5.1.3</v>
      </c>
      <c r="BE810" s="429" t="s">
        <v>118</v>
      </c>
      <c r="BF810" s="289"/>
      <c r="BG810" s="289"/>
      <c r="BH810" s="290"/>
      <c r="BI810" s="289"/>
    </row>
    <row r="811" spans="1:61" ht="15.75" customHeight="1">
      <c r="A811" s="514" t="s">
        <v>469</v>
      </c>
      <c r="B811" s="450"/>
      <c r="C811" s="3"/>
      <c r="D811" s="83"/>
      <c r="E811" s="4"/>
      <c r="F811" s="4"/>
      <c r="G811" s="6">
        <v>30</v>
      </c>
      <c r="H811" s="449"/>
      <c r="I811" s="4"/>
      <c r="J811" s="3"/>
      <c r="K811" s="449"/>
      <c r="L811" s="449"/>
      <c r="M811" s="449" t="str">
        <f>IF(L811="","",
IF(AX811="PT",VLOOKUP(L811,Foundation_Calc!$V$79:$X$113,VLOOKUP(AX811,Foundation_Calc!$I$10:$J$13,2,FALSE),0),
IF(AX811="K",VLOOKUP(L811,Foundation_Calc!$V$117:$X$151,VLOOKUP(AX811,Foundation_Calc!$I$10:$J$13,2,FALSE),0),"")))</f>
        <v/>
      </c>
      <c r="N811" s="449"/>
      <c r="O811" s="449"/>
      <c r="P811" s="449"/>
      <c r="Q811" s="4"/>
      <c r="R811" s="6"/>
      <c r="S811" s="6"/>
      <c r="T811" s="4"/>
      <c r="U811" s="4"/>
      <c r="V811" s="4"/>
      <c r="W811" s="572"/>
      <c r="X811" s="9"/>
      <c r="Y811" s="9"/>
      <c r="Z811" s="9"/>
      <c r="AA811" s="9"/>
      <c r="AB811" s="9"/>
      <c r="AC811" s="449" t="str">
        <f t="shared" si="88"/>
        <v/>
      </c>
      <c r="AD811" s="449"/>
      <c r="AE811" s="449"/>
      <c r="AF811" s="4"/>
      <c r="AG811" s="83"/>
      <c r="AH811" s="4"/>
      <c r="AI811" s="4"/>
      <c r="AJ811" s="449"/>
      <c r="AK811" s="449"/>
      <c r="AL811" s="449"/>
      <c r="AM811" s="449"/>
      <c r="AN811" s="10"/>
      <c r="AO811" s="9"/>
      <c r="AP811" s="9"/>
      <c r="AQ811" s="9">
        <f>+FL_2($T$812,$T$810,$G$811,1200,9.28,-1*$F$812)</f>
        <v>-0.30000000000000004</v>
      </c>
      <c r="AR811" s="9"/>
      <c r="AS811" s="9"/>
      <c r="AT811" s="9"/>
      <c r="AU811" s="428"/>
      <c r="AV811" s="428"/>
      <c r="AW811" s="449" t="str">
        <f>IF(C811&gt;0,VLOOKUP(C811,Foundation_Calc!$A$2:$C$13,3,1),
IF(J811&gt;0,VLOOKUP(J811,Foundation_Calc!$A$2:$C$13,3,1),""))</f>
        <v/>
      </c>
      <c r="AX811" s="449" t="str">
        <f>IF(C811&gt;0,VLOOKUP(C811,Foundation_Calc!$E$2:$G$33,3,1),
IF(J811&gt;0,VLOOKUP(J811,Foundation_Calc!$E$2:$G$33,3,1),""))</f>
        <v/>
      </c>
      <c r="AY811" s="10" t="str">
        <f>IF(L811="","",
IF(AX811="PT",VLOOKUP(L811,Foundation_Calc!$K$79:$R$113,VLOOKUP(AW811,Foundation_Calc!$I$2:$J$8,2,FALSE),0),
IF(AX811="K",VLOOKUP(L811,Foundation_Calc!$K$117:$R$151,VLOOKUP(AW811,Foundation_Calc!$I$2:$J$8,2,FALSE),0),"")))</f>
        <v/>
      </c>
      <c r="AZ811" s="10" t="str">
        <f>IF(K811="","",
IF(AX811="PT",VLOOKUP(K811,Foundation_Calc!$K$79:$R$113,VLOOKUP(AW811,Foundation_Calc!$I$2:$J$8,2,FALSE),0),
IF(AX811="K",VLOOKUP(K811,Foundation_Calc!$K$117:$R$151,VLOOKUP(AW811,Foundation_Calc!$I$2:$J$8,2,FALSE),0),"")))</f>
        <v/>
      </c>
      <c r="BA811" s="495" t="str">
        <f t="shared" si="95"/>
        <v/>
      </c>
      <c r="BB811" s="495" t="str">
        <f t="shared" si="96"/>
        <v/>
      </c>
      <c r="BC811" s="495" t="str">
        <f t="shared" si="97"/>
        <v/>
      </c>
      <c r="BD811" s="513" t="str">
        <f>IF(AND(L811="",H811=""),"",
IF(H811="",Pole_Calc!A$9,
IF(H811="MP",Pole_Calc!A$10,
IF(H811="AnMP",Pole_Calc!A$11,
IF(H811="A",Pole_Calc!A$12,
IF(H811="S/A",Pole_Calc!A$13,
IF(H811="A/S",Pole_Calc!A$14,"Poner a mano")))))))</f>
        <v/>
      </c>
      <c r="BE811" s="429" t="s">
        <v>118</v>
      </c>
      <c r="BF811" s="290"/>
      <c r="BG811" s="290"/>
      <c r="BH811" s="290"/>
      <c r="BI811" s="290"/>
    </row>
    <row r="812" spans="1:61" ht="15.75" customHeight="1">
      <c r="A812" s="518"/>
      <c r="B812" s="450" t="s">
        <v>660</v>
      </c>
      <c r="C812" s="3">
        <f>+$C$810+$G$811</f>
        <v>49594.950000000004</v>
      </c>
      <c r="D812" s="83"/>
      <c r="E812" s="4"/>
      <c r="F812" s="4">
        <f>IF(C812&gt;0,VLOOKUP(C812,'ALIGNMENT TRACK'!$A$1:$K$81,9,1))</f>
        <v>1125</v>
      </c>
      <c r="G812" s="6"/>
      <c r="H812" s="449"/>
      <c r="I812" s="4"/>
      <c r="J812" s="3"/>
      <c r="K812" s="449"/>
      <c r="L812" s="449" t="s">
        <v>158</v>
      </c>
      <c r="M812" s="449" t="str">
        <f>IF(L812="","",
IF(AX812="PT",VLOOKUP(L812,Foundation_Calc!$V$79:$X$113,VLOOKUP(AX812,Foundation_Calc!$I$10:$J$13,2,FALSE),0),
IF(AX812="K",VLOOKUP(L812,Foundation_Calc!$V$117:$X$151,VLOOKUP(AX812,Foundation_Calc!$I$10:$J$13,2,FALSE),0),"")))</f>
        <v>C4R</v>
      </c>
      <c r="N812" s="449" t="s">
        <v>124</v>
      </c>
      <c r="O812" s="449"/>
      <c r="P812" s="449"/>
      <c r="Q812" s="4"/>
      <c r="R812" s="6"/>
      <c r="S812" s="6"/>
      <c r="T812" s="4">
        <v>-30</v>
      </c>
      <c r="U812" s="4"/>
      <c r="V812" s="4"/>
      <c r="W812" s="572">
        <v>0.6</v>
      </c>
      <c r="X812" s="9"/>
      <c r="Y812" s="9"/>
      <c r="Z812" s="9"/>
      <c r="AA812" s="9"/>
      <c r="AB812" s="9"/>
      <c r="AC812" s="449" t="str">
        <f t="shared" si="88"/>
        <v>PHQ</v>
      </c>
      <c r="AD812" s="449"/>
      <c r="AE812" s="449"/>
      <c r="AF812" s="4"/>
      <c r="AG812" s="83"/>
      <c r="AH812" s="4"/>
      <c r="AI812" s="4"/>
      <c r="AJ812" s="449"/>
      <c r="AK812" s="449"/>
      <c r="AL812" s="449"/>
      <c r="AM812" s="449" t="s">
        <v>552</v>
      </c>
      <c r="AN812" s="10">
        <v>5.15</v>
      </c>
      <c r="AO812" s="9"/>
      <c r="AP812" s="9"/>
      <c r="AQ812" s="9"/>
      <c r="AR812" s="9"/>
      <c r="AS812" s="9"/>
      <c r="AT812" s="9">
        <f>+ab($T$812,$T$810,$T$814,$G$811,$G$813,-1*$F$812,1200)</f>
        <v>-6.6129171613800173</v>
      </c>
      <c r="AU812" s="428"/>
      <c r="AV812" s="428"/>
      <c r="AW812" s="449" t="str">
        <f>IF(C812&gt;0,VLOOKUP(C812,Foundation_Calc!$A$2:$C$13,3,1),
IF(J812&gt;0,VLOOKUP(J812,Foundation_Calc!$A$2:$C$13,3,1),""))</f>
        <v>Multi Soil</v>
      </c>
      <c r="AX812" s="449" t="str">
        <f>IF(C812&gt;0,VLOOKUP(C812,Foundation_Calc!$E$2:$G$33,3,1),
IF(J812&gt;0,VLOOKUP(J812,Foundation_Calc!$E$2:$G$33,3,1),""))</f>
        <v>PT</v>
      </c>
      <c r="AY812" s="10">
        <f>IF(L812="","",
IF(AX812="PT",VLOOKUP(L812,Foundation_Calc!$K$79:$R$113,VLOOKUP(AW812,Foundation_Calc!$I$2:$J$8,2,FALSE),0),
IF(AX812="K",VLOOKUP(L812,Foundation_Calc!$K$117:$R$151,VLOOKUP(AW812,Foundation_Calc!$I$2:$J$8,2,FALSE),0),"")))</f>
        <v>3.5</v>
      </c>
      <c r="AZ812" s="10" t="str">
        <f>IF(K812="","",
IF(AX812="PT",VLOOKUP(K812,Foundation_Calc!$K$79:$R$113,VLOOKUP(AW812,Foundation_Calc!$I$2:$J$8,2,FALSE),0),
IF(AX812="K",VLOOKUP(K812,Foundation_Calc!$K$117:$R$151,VLOOKUP(AW812,Foundation_Calc!$I$2:$J$8,2,FALSE),0),"")))</f>
        <v/>
      </c>
      <c r="BA812" s="495" t="str">
        <f t="shared" si="95"/>
        <v>ü</v>
      </c>
      <c r="BB812" s="495" t="str">
        <f t="shared" si="96"/>
        <v/>
      </c>
      <c r="BC812" s="495" t="str">
        <f t="shared" si="97"/>
        <v/>
      </c>
      <c r="BD812" s="513" t="str">
        <f>IF(AND(L812="",H812=""),"",
IF(H812="",Pole_Calc!A$9,
IF(H812="MP",Pole_Calc!A$10,
IF(H812="AnMP",Pole_Calc!A$11,
IF(H812="A",Pole_Calc!A$12,
IF(H812="S/A",Pole_Calc!A$13,
IF(H812="A/S",Pole_Calc!A$14,"Poner a mano")))))))</f>
        <v>App.7-V11I-P9.5.1.1</v>
      </c>
      <c r="BE812" s="429" t="s">
        <v>118</v>
      </c>
      <c r="BF812" s="289"/>
      <c r="BG812" s="289"/>
      <c r="BH812" s="290"/>
      <c r="BI812" s="289"/>
    </row>
    <row r="813" spans="1:61" ht="15.75" customHeight="1">
      <c r="A813" s="518"/>
      <c r="B813" s="450"/>
      <c r="C813" s="3"/>
      <c r="D813" s="83"/>
      <c r="E813" s="4"/>
      <c r="F813" s="4"/>
      <c r="G813" s="6">
        <v>35</v>
      </c>
      <c r="H813" s="449"/>
      <c r="I813" s="4"/>
      <c r="J813" s="3"/>
      <c r="K813" s="449"/>
      <c r="L813" s="449"/>
      <c r="M813" s="449" t="str">
        <f>IF(L813="","",
IF(AX813="PT",VLOOKUP(L813,Foundation_Calc!$V$79:$X$113,VLOOKUP(AX813,Foundation_Calc!$I$10:$J$13,2,FALSE),0),
IF(AX813="K",VLOOKUP(L813,Foundation_Calc!$V$117:$X$151,VLOOKUP(AX813,Foundation_Calc!$I$10:$J$13,2,FALSE),0),"")))</f>
        <v/>
      </c>
      <c r="N813" s="561"/>
      <c r="O813" s="449"/>
      <c r="P813" s="449"/>
      <c r="Q813" s="4"/>
      <c r="R813" s="6"/>
      <c r="S813" s="6"/>
      <c r="T813" s="4"/>
      <c r="U813" s="4"/>
      <c r="V813" s="4"/>
      <c r="W813" s="572"/>
      <c r="X813" s="9"/>
      <c r="Y813" s="9"/>
      <c r="Z813" s="9"/>
      <c r="AA813" s="9"/>
      <c r="AB813" s="9"/>
      <c r="AC813" s="449" t="str">
        <f t="shared" si="88"/>
        <v/>
      </c>
      <c r="AD813" s="449"/>
      <c r="AE813" s="449"/>
      <c r="AF813" s="4"/>
      <c r="AG813" s="83"/>
      <c r="AH813" s="4"/>
      <c r="AI813" s="4"/>
      <c r="AJ813" s="449"/>
      <c r="AK813" s="449"/>
      <c r="AL813" s="449"/>
      <c r="AM813" s="449"/>
      <c r="AN813" s="10"/>
      <c r="AO813" s="9"/>
      <c r="AP813" s="9"/>
      <c r="AQ813" s="9">
        <f>+FL_2($T$814,$T$812,$G$813,1200,9.28,-1*$F$814)</f>
        <v>-0.3</v>
      </c>
      <c r="AR813" s="9"/>
      <c r="AS813" s="9"/>
      <c r="AT813" s="9"/>
      <c r="AU813" s="428"/>
      <c r="AV813" s="428"/>
      <c r="AW813" s="449" t="str">
        <f>IF(C813&gt;0,VLOOKUP(C813,Foundation_Calc!$A$2:$C$13,3,1),
IF(J813&gt;0,VLOOKUP(J813,Foundation_Calc!$A$2:$C$13,3,1),""))</f>
        <v/>
      </c>
      <c r="AX813" s="449" t="str">
        <f>IF(C813&gt;0,VLOOKUP(C813,Foundation_Calc!$E$2:$G$33,3,1),
IF(J813&gt;0,VLOOKUP(J813,Foundation_Calc!$E$2:$G$33,3,1),""))</f>
        <v/>
      </c>
      <c r="AY813" s="10" t="str">
        <f>IF(L813="","",
IF(AX813="PT",VLOOKUP(L813,Foundation_Calc!$K$79:$R$113,VLOOKUP(AW813,Foundation_Calc!$I$2:$J$8,2,FALSE),0),
IF(AX813="K",VLOOKUP(L813,Foundation_Calc!$K$117:$R$151,VLOOKUP(AW813,Foundation_Calc!$I$2:$J$8,2,FALSE),0),"")))</f>
        <v/>
      </c>
      <c r="AZ813" s="10" t="str">
        <f>IF(K813="","",
IF(AX813="PT",VLOOKUP(K813,Foundation_Calc!$K$79:$R$113,VLOOKUP(AW813,Foundation_Calc!$I$2:$J$8,2,FALSE),0),
IF(AX813="K",VLOOKUP(K813,Foundation_Calc!$K$117:$R$151,VLOOKUP(AW813,Foundation_Calc!$I$2:$J$8,2,FALSE),0),"")))</f>
        <v/>
      </c>
      <c r="BA813" s="495" t="str">
        <f t="shared" si="95"/>
        <v/>
      </c>
      <c r="BB813" s="495" t="str">
        <f t="shared" si="96"/>
        <v/>
      </c>
      <c r="BC813" s="495" t="str">
        <f t="shared" si="97"/>
        <v/>
      </c>
      <c r="BD813" s="513" t="str">
        <f>IF(AND(L813="",H813=""),"",
IF(H813="",Pole_Calc!A$9,
IF(H813="MP",Pole_Calc!A$10,
IF(H813="AnMP",Pole_Calc!A$11,
IF(H813="A",Pole_Calc!A$12,
IF(H813="S/A",Pole_Calc!A$13,
IF(H813="A/S",Pole_Calc!A$14,"Poner a mano")))))))</f>
        <v/>
      </c>
      <c r="BE813" s="429" t="s">
        <v>118</v>
      </c>
      <c r="BF813" s="290"/>
      <c r="BG813" s="290"/>
      <c r="BH813" s="290"/>
      <c r="BI813" s="290"/>
    </row>
    <row r="814" spans="1:61" ht="15.75" customHeight="1">
      <c r="A814" s="514"/>
      <c r="B814" s="450" t="s">
        <v>661</v>
      </c>
      <c r="C814" s="3">
        <f>+$C$812+$G$813</f>
        <v>49629.950000000004</v>
      </c>
      <c r="D814" s="83"/>
      <c r="E814" s="4"/>
      <c r="F814" s="4">
        <f>IF(C814&gt;0,VLOOKUP(C814,'ALIGNMENT TRACK'!$A$1:$K$81,9,1))</f>
        <v>1125</v>
      </c>
      <c r="G814" s="6"/>
      <c r="H814" s="449"/>
      <c r="I814" s="4"/>
      <c r="J814" s="3"/>
      <c r="K814" s="449"/>
      <c r="L814" s="449" t="s">
        <v>158</v>
      </c>
      <c r="M814" s="449" t="str">
        <f>IF(L814="","",
IF(AX814="PT",VLOOKUP(L814,Foundation_Calc!$V$79:$X$113,VLOOKUP(AX814,Foundation_Calc!$I$10:$J$13,2,FALSE),0),
IF(AX814="K",VLOOKUP(L814,Foundation_Calc!$V$117:$X$151,VLOOKUP(AX814,Foundation_Calc!$I$10:$J$13,2,FALSE),0),"")))</f>
        <v>C4R</v>
      </c>
      <c r="N814" s="449" t="s">
        <v>124</v>
      </c>
      <c r="O814" s="449"/>
      <c r="P814" s="449"/>
      <c r="Q814" s="4"/>
      <c r="R814" s="6"/>
      <c r="S814" s="6"/>
      <c r="T814" s="4">
        <v>-30</v>
      </c>
      <c r="U814" s="4"/>
      <c r="V814" s="4"/>
      <c r="W814" s="572">
        <v>0.8</v>
      </c>
      <c r="X814" s="9"/>
      <c r="Y814" s="9"/>
      <c r="Z814" s="9"/>
      <c r="AA814" s="9"/>
      <c r="AB814" s="9"/>
      <c r="AC814" s="449" t="str">
        <f t="shared" si="88"/>
        <v>PHQ</v>
      </c>
      <c r="AD814" s="449"/>
      <c r="AE814" s="449"/>
      <c r="AF814" s="4"/>
      <c r="AG814" s="83"/>
      <c r="AH814" s="4"/>
      <c r="AI814" s="4"/>
      <c r="AJ814" s="449"/>
      <c r="AK814" s="449"/>
      <c r="AL814" s="449"/>
      <c r="AM814" s="449" t="s">
        <v>552</v>
      </c>
      <c r="AN814" s="10">
        <f>AN812+0.05</f>
        <v>5.2</v>
      </c>
      <c r="AO814" s="9"/>
      <c r="AP814" s="9"/>
      <c r="AQ814" s="9"/>
      <c r="AR814" s="9"/>
      <c r="AS814" s="9"/>
      <c r="AT814" s="9">
        <f>+ab($T$814,$T$812,$T$816,$G$813,$G$815,-1*$F$814,1200)</f>
        <v>-5.7375244864003294</v>
      </c>
      <c r="AU814" s="428"/>
      <c r="AV814" s="428"/>
      <c r="AW814" s="449" t="str">
        <f>IF(C814&gt;0,VLOOKUP(C814,Foundation_Calc!$A$2:$C$13,3,1),
IF(J814&gt;0,VLOOKUP(J814,Foundation_Calc!$A$2:$C$13,3,1),""))</f>
        <v>Multi Soil</v>
      </c>
      <c r="AX814" s="449" t="str">
        <f>IF(C814&gt;0,VLOOKUP(C814,Foundation_Calc!$E$2:$G$33,3,1),
IF(J814&gt;0,VLOOKUP(J814,Foundation_Calc!$E$2:$G$33,3,1),""))</f>
        <v>PT</v>
      </c>
      <c r="AY814" s="10">
        <f>IF(L814="","",
IF(AX814="PT",VLOOKUP(L814,Foundation_Calc!$K$79:$R$113,VLOOKUP(AW814,Foundation_Calc!$I$2:$J$8,2,FALSE),0),
IF(AX814="K",VLOOKUP(L814,Foundation_Calc!$K$117:$R$151,VLOOKUP(AW814,Foundation_Calc!$I$2:$J$8,2,FALSE),0),"")))</f>
        <v>3.5</v>
      </c>
      <c r="AZ814" s="10" t="str">
        <f>IF(K814="","",
IF(AX814="PT",VLOOKUP(K814,Foundation_Calc!$K$79:$R$113,VLOOKUP(AW814,Foundation_Calc!$I$2:$J$8,2,FALSE),0),
IF(AX814="K",VLOOKUP(K814,Foundation_Calc!$K$117:$R$151,VLOOKUP(AW814,Foundation_Calc!$I$2:$J$8,2,FALSE),0),"")))</f>
        <v/>
      </c>
      <c r="BA814" s="495" t="str">
        <f t="shared" si="95"/>
        <v>ü</v>
      </c>
      <c r="BB814" s="495" t="str">
        <f t="shared" si="96"/>
        <v/>
      </c>
      <c r="BC814" s="495" t="str">
        <f t="shared" si="97"/>
        <v/>
      </c>
      <c r="BD814" s="513" t="str">
        <f>IF(AND(L814="",H814=""),"",
IF(H814="",Pole_Calc!A$9,
IF(H814="MP",Pole_Calc!A$10,
IF(H814="AnMP",Pole_Calc!A$11,
IF(H814="A",Pole_Calc!A$12,
IF(H814="S/A",Pole_Calc!A$13,
IF(H814="A/S",Pole_Calc!A$14,"Poner a mano")))))))</f>
        <v>App.7-V11I-P9.5.1.1</v>
      </c>
      <c r="BE814" s="429" t="s">
        <v>118</v>
      </c>
      <c r="BF814" s="289"/>
      <c r="BG814" s="289"/>
      <c r="BH814" s="290"/>
      <c r="BI814" s="289"/>
    </row>
    <row r="815" spans="1:61" ht="15.75" customHeight="1">
      <c r="A815" s="514"/>
      <c r="B815" s="450"/>
      <c r="C815" s="3"/>
      <c r="D815" s="83"/>
      <c r="E815" s="4"/>
      <c r="F815" s="4"/>
      <c r="G815" s="6">
        <v>40</v>
      </c>
      <c r="H815" s="449"/>
      <c r="I815" s="4"/>
      <c r="J815" s="3"/>
      <c r="K815" s="449"/>
      <c r="L815" s="449"/>
      <c r="M815" s="449" t="str">
        <f>IF(L815="","",
IF(AX815="PT",VLOOKUP(L815,Foundation_Calc!$V$79:$X$113,VLOOKUP(AX815,Foundation_Calc!$I$10:$J$13,2,FALSE),0),
IF(AX815="K",VLOOKUP(L815,Foundation_Calc!$V$117:$X$151,VLOOKUP(AX815,Foundation_Calc!$I$10:$J$13,2,FALSE),0),"")))</f>
        <v/>
      </c>
      <c r="N815" s="449"/>
      <c r="O815" s="449"/>
      <c r="P815" s="449"/>
      <c r="Q815" s="4"/>
      <c r="R815" s="6"/>
      <c r="S815" s="6"/>
      <c r="T815" s="4"/>
      <c r="U815" s="4"/>
      <c r="V815" s="4"/>
      <c r="W815" s="572"/>
      <c r="X815" s="9"/>
      <c r="Y815" s="9"/>
      <c r="Z815" s="9"/>
      <c r="AA815" s="9"/>
      <c r="AB815" s="9"/>
      <c r="AC815" s="449" t="str">
        <f t="shared" si="88"/>
        <v/>
      </c>
      <c r="AD815" s="449"/>
      <c r="AE815" s="449"/>
      <c r="AF815" s="4"/>
      <c r="AG815" s="83"/>
      <c r="AH815" s="4"/>
      <c r="AI815" s="4"/>
      <c r="AJ815" s="449"/>
      <c r="AK815" s="449"/>
      <c r="AL815" s="449"/>
      <c r="AM815" s="449"/>
      <c r="AN815" s="10"/>
      <c r="AO815" s="9"/>
      <c r="AP815" s="9"/>
      <c r="AQ815" s="9">
        <f>+FL_2($T$816,$T$814,$G$815,1200,9.28,-1*$F$816)</f>
        <v>-0.3</v>
      </c>
      <c r="AR815" s="9"/>
      <c r="AS815" s="9"/>
      <c r="AT815" s="9"/>
      <c r="AU815" s="428"/>
      <c r="AV815" s="428"/>
      <c r="AW815" s="449" t="str">
        <f>IF(C815&gt;0,VLOOKUP(C815,Foundation_Calc!$A$2:$C$13,3,1),
IF(J815&gt;0,VLOOKUP(J815,Foundation_Calc!$A$2:$C$13,3,1),""))</f>
        <v/>
      </c>
      <c r="AX815" s="449" t="str">
        <f>IF(C815&gt;0,VLOOKUP(C815,Foundation_Calc!$E$2:$G$33,3,1),
IF(J815&gt;0,VLOOKUP(J815,Foundation_Calc!$E$2:$G$33,3,1),""))</f>
        <v/>
      </c>
      <c r="AY815" s="10" t="str">
        <f>IF(L815="","",
IF(AX815="PT",VLOOKUP(L815,Foundation_Calc!$K$79:$R$113,VLOOKUP(AW815,Foundation_Calc!$I$2:$J$8,2,FALSE),0),
IF(AX815="K",VLOOKUP(L815,Foundation_Calc!$K$117:$R$151,VLOOKUP(AW815,Foundation_Calc!$I$2:$J$8,2,FALSE),0),"")))</f>
        <v/>
      </c>
      <c r="AZ815" s="10" t="str">
        <f>IF(K815="","",
IF(AX815="PT",VLOOKUP(K815,Foundation_Calc!$K$79:$R$113,VLOOKUP(AW815,Foundation_Calc!$I$2:$J$8,2,FALSE),0),
IF(AX815="K",VLOOKUP(K815,Foundation_Calc!$K$117:$R$151,VLOOKUP(AW815,Foundation_Calc!$I$2:$J$8,2,FALSE),0),"")))</f>
        <v/>
      </c>
      <c r="BA815" s="495" t="str">
        <f t="shared" si="95"/>
        <v/>
      </c>
      <c r="BB815" s="495" t="str">
        <f t="shared" si="96"/>
        <v/>
      </c>
      <c r="BC815" s="495" t="str">
        <f t="shared" si="97"/>
        <v/>
      </c>
      <c r="BD815" s="513" t="str">
        <f>IF(AND(L815="",H815=""),"",
IF(H815="",Pole_Calc!A$9,
IF(H815="MP",Pole_Calc!A$10,
IF(H815="AnMP",Pole_Calc!A$11,
IF(H815="A",Pole_Calc!A$12,
IF(H815="S/A",Pole_Calc!A$13,
IF(H815="A/S",Pole_Calc!A$14,"Poner a mano")))))))</f>
        <v/>
      </c>
      <c r="BE815" s="429" t="s">
        <v>118</v>
      </c>
      <c r="BF815" s="290"/>
      <c r="BG815" s="290"/>
      <c r="BH815" s="290"/>
      <c r="BI815" s="290"/>
    </row>
    <row r="816" spans="1:61" ht="15.75" customHeight="1">
      <c r="A816" s="514"/>
      <c r="B816" s="450" t="s">
        <v>662</v>
      </c>
      <c r="C816" s="3">
        <f>+$C$814+$G$815</f>
        <v>49669.950000000004</v>
      </c>
      <c r="D816" s="83"/>
      <c r="E816" s="4"/>
      <c r="F816" s="4">
        <f>-(367^2)/(C816-49777.08)</f>
        <v>1257.2482031177383</v>
      </c>
      <c r="G816" s="6"/>
      <c r="H816" s="449"/>
      <c r="I816" s="4"/>
      <c r="J816" s="3"/>
      <c r="K816" s="449"/>
      <c r="L816" s="449" t="s">
        <v>158</v>
      </c>
      <c r="M816" s="449" t="str">
        <f>IF(L816="","",
IF(AX816="PT",VLOOKUP(L816,Foundation_Calc!$V$79:$X$113,VLOOKUP(AX816,Foundation_Calc!$I$10:$J$13,2,FALSE),0),
IF(AX816="K",VLOOKUP(L816,Foundation_Calc!$V$117:$X$151,VLOOKUP(AX816,Foundation_Calc!$I$10:$J$13,2,FALSE),0),"")))</f>
        <v>C4R</v>
      </c>
      <c r="N816" s="449" t="s">
        <v>124</v>
      </c>
      <c r="O816" s="449"/>
      <c r="P816" s="449"/>
      <c r="Q816" s="4"/>
      <c r="R816" s="6"/>
      <c r="S816" s="6"/>
      <c r="T816" s="4">
        <v>-30</v>
      </c>
      <c r="U816" s="4"/>
      <c r="V816" s="4"/>
      <c r="W816" s="572">
        <v>1.2</v>
      </c>
      <c r="X816" s="9"/>
      <c r="Y816" s="9"/>
      <c r="Z816" s="9"/>
      <c r="AA816" s="9"/>
      <c r="AB816" s="9"/>
      <c r="AC816" s="449" t="str">
        <f t="shared" si="88"/>
        <v>PHQ</v>
      </c>
      <c r="AD816" s="449"/>
      <c r="AE816" s="449"/>
      <c r="AF816" s="4"/>
      <c r="AG816" s="83"/>
      <c r="AH816" s="4"/>
      <c r="AI816" s="4"/>
      <c r="AJ816" s="449"/>
      <c r="AK816" s="449"/>
      <c r="AL816" s="449"/>
      <c r="AM816" s="449" t="s">
        <v>552</v>
      </c>
      <c r="AN816" s="10">
        <f>AN814+0.11</f>
        <v>5.3100000000000005</v>
      </c>
      <c r="AO816" s="9"/>
      <c r="AP816" s="9"/>
      <c r="AQ816" s="9"/>
      <c r="AR816" s="9"/>
      <c r="AS816" s="9"/>
      <c r="AT816" s="9">
        <f>+ab($T$816,$T$814,$T$818,$G$815,$G$817,-1*$F$816,1200)</f>
        <v>-5.4792156353152262</v>
      </c>
      <c r="AU816" s="428"/>
      <c r="AV816" s="428"/>
      <c r="AW816" s="449" t="str">
        <f>IF(C816&gt;0,VLOOKUP(C816,Foundation_Calc!$A$2:$C$13,3,1),
IF(J816&gt;0,VLOOKUP(J816,Foundation_Calc!$A$2:$C$13,3,1),""))</f>
        <v>Multi Soil</v>
      </c>
      <c r="AX816" s="449" t="str">
        <f>IF(C816&gt;0,VLOOKUP(C816,Foundation_Calc!$E$2:$G$33,3,1),
IF(J816&gt;0,VLOOKUP(J816,Foundation_Calc!$E$2:$G$33,3,1),""))</f>
        <v>PT</v>
      </c>
      <c r="AY816" s="10">
        <f>IF(L816="","",
IF(AX816="PT",VLOOKUP(L816,Foundation_Calc!$K$79:$R$113,VLOOKUP(AW816,Foundation_Calc!$I$2:$J$8,2,FALSE),0),
IF(AX816="K",VLOOKUP(L816,Foundation_Calc!$K$117:$R$151,VLOOKUP(AW816,Foundation_Calc!$I$2:$J$8,2,FALSE),0),"")))</f>
        <v>3.5</v>
      </c>
      <c r="AZ816" s="10" t="str">
        <f>IF(K816="","",
IF(AX816="PT",VLOOKUP(K816,Foundation_Calc!$K$79:$R$113,VLOOKUP(AW816,Foundation_Calc!$I$2:$J$8,2,FALSE),0),
IF(AX816="K",VLOOKUP(K816,Foundation_Calc!$K$117:$R$151,VLOOKUP(AW816,Foundation_Calc!$I$2:$J$8,2,FALSE),0),"")))</f>
        <v/>
      </c>
      <c r="BA816" s="495" t="str">
        <f t="shared" si="95"/>
        <v>ü</v>
      </c>
      <c r="BB816" s="495" t="str">
        <f t="shared" si="96"/>
        <v/>
      </c>
      <c r="BC816" s="495" t="str">
        <f t="shared" si="97"/>
        <v/>
      </c>
      <c r="BD816" s="513" t="str">
        <f>IF(AND(L816="",H816=""),"",
IF(H816="",Pole_Calc!A$9,
IF(H816="MP",Pole_Calc!A$10,
IF(H816="AnMP",Pole_Calc!A$11,
IF(H816="A",Pole_Calc!A$12,
IF(H816="S/A",Pole_Calc!A$13,
IF(H816="A/S",Pole_Calc!A$14,"Poner a mano")))))))</f>
        <v>App.7-V11I-P9.5.1.1</v>
      </c>
      <c r="BE816" s="429" t="s">
        <v>118</v>
      </c>
      <c r="BF816" s="289"/>
      <c r="BG816" s="289"/>
      <c r="BH816" s="290"/>
      <c r="BI816" s="289"/>
    </row>
    <row r="817" spans="1:61" ht="15.75" customHeight="1">
      <c r="A817" s="646" t="s">
        <v>663</v>
      </c>
      <c r="B817" s="637"/>
      <c r="C817" s="638"/>
      <c r="D817" s="639"/>
      <c r="E817" s="640"/>
      <c r="F817" s="640"/>
      <c r="G817" s="641">
        <v>45</v>
      </c>
      <c r="H817" s="642"/>
      <c r="I817" s="640"/>
      <c r="J817" s="638">
        <f>C818-7.5</f>
        <v>49707.450000000004</v>
      </c>
      <c r="K817" s="642" t="s">
        <v>117</v>
      </c>
      <c r="L817" s="642"/>
      <c r="M817" s="642" t="str">
        <f>IF(L817="","",
IF(AX817="PT",VLOOKUP(L817,Foundation_Calc!$V$79:$X$113,VLOOKUP(AX817,Foundation_Calc!$I$10:$J$13,2,FALSE),0),
IF(AX817="K",VLOOKUP(L817,Foundation_Calc!$V$117:$X$151,VLOOKUP(AX817,Foundation_Calc!$I$10:$J$13,2,FALSE),0),"")))</f>
        <v/>
      </c>
      <c r="N817" s="642"/>
      <c r="O817" s="642"/>
      <c r="P817" s="642"/>
      <c r="Q817" s="640"/>
      <c r="R817" s="641"/>
      <c r="S817" s="641"/>
      <c r="T817" s="640"/>
      <c r="U817" s="640"/>
      <c r="V817" s="640"/>
      <c r="W817" s="643"/>
      <c r="X817" s="643"/>
      <c r="Y817" s="643"/>
      <c r="Z817" s="643"/>
      <c r="AA817" s="643"/>
      <c r="AB817" s="643"/>
      <c r="AC817" s="642" t="str">
        <f t="shared" si="88"/>
        <v/>
      </c>
      <c r="AD817" s="642"/>
      <c r="AE817" s="642"/>
      <c r="AF817" s="640"/>
      <c r="AG817" s="639"/>
      <c r="AH817" s="640"/>
      <c r="AI817" s="640"/>
      <c r="AJ817" s="642"/>
      <c r="AK817" s="642"/>
      <c r="AL817" s="642"/>
      <c r="AM817" s="642"/>
      <c r="AN817" s="644"/>
      <c r="AO817" s="643"/>
      <c r="AP817" s="643"/>
      <c r="AQ817" s="643">
        <f>+FL_2($T$818,$T$816,$G$817,1200,9.28,-1*$F$818)</f>
        <v>-0.35596244104432234</v>
      </c>
      <c r="AR817" s="643"/>
      <c r="AS817" s="643"/>
      <c r="AT817" s="643"/>
      <c r="AU817" s="645"/>
      <c r="AV817" s="645"/>
      <c r="AW817" s="642" t="str">
        <f>IF(C817&gt;0,VLOOKUP(C817,Foundation_Calc!$A$2:$C$13,3,1),
IF(J817&gt;0,VLOOKUP(J817,Foundation_Calc!$A$2:$C$13,3,1),""))</f>
        <v>Multi Soil</v>
      </c>
      <c r="AX817" s="642" t="str">
        <f>IF(C817&gt;0,VLOOKUP(C817,Foundation_Calc!$E$2:$G$33,3,1),
IF(J817&gt;0,VLOOKUP(J817,Foundation_Calc!$E$2:$G$33,3,1),""))</f>
        <v>PT</v>
      </c>
      <c r="AY817" s="644" t="str">
        <f>IF(L817="","",
IF(AX817="PT",VLOOKUP(L817,Foundation_Calc!$K$79:$R$113,VLOOKUP(AW817,Foundation_Calc!$I$2:$J$8,2,FALSE),0),
IF(AX817="K",VLOOKUP(L817,Foundation_Calc!$K$117:$R$151,VLOOKUP(AW817,Foundation_Calc!$I$2:$J$8,2,FALSE),0),"")))</f>
        <v/>
      </c>
      <c r="AZ817" s="644">
        <f>IF(K817="","",
IF(AX817="PT",VLOOKUP(K817,Foundation_Calc!$K$79:$R$113,VLOOKUP(AW817,Foundation_Calc!$I$2:$J$8,2,FALSE),0),
IF(AX817="K",VLOOKUP(K817,Foundation_Calc!$K$117:$R$151,VLOOKUP(AW817,Foundation_Calc!$I$2:$J$8,2,FALSE),0),"")))</f>
        <v>3.9</v>
      </c>
      <c r="BA817" s="495" t="str">
        <f t="shared" si="95"/>
        <v/>
      </c>
      <c r="BB817" s="495" t="str">
        <f t="shared" si="96"/>
        <v>ü</v>
      </c>
      <c r="BC817" s="495" t="str">
        <f t="shared" si="97"/>
        <v/>
      </c>
      <c r="BD817" s="513" t="str">
        <f>IF(AND(L817="",H817=""),"",
IF(H817="",Pole_Calc!A$9,
IF(H817="MP",Pole_Calc!A$10,
IF(H817="AnMP",Pole_Calc!A$11,
IF(H817="A",Pole_Calc!A$12,
IF(H817="S/A",Pole_Calc!A$13,
IF(H817="A/S",Pole_Calc!A$14,"Poner a mano")))))))</f>
        <v/>
      </c>
      <c r="BE817" s="429" t="s">
        <v>118</v>
      </c>
      <c r="BF817" s="290"/>
      <c r="BG817" s="290"/>
      <c r="BH817" s="290"/>
      <c r="BI817" s="290"/>
    </row>
    <row r="818" spans="1:61" ht="15.75" customHeight="1">
      <c r="A818" s="571" t="s">
        <v>119</v>
      </c>
      <c r="B818" s="720" t="s">
        <v>664</v>
      </c>
      <c r="C818" s="3">
        <f>+$C$816+$G$817</f>
        <v>49714.950000000004</v>
      </c>
      <c r="D818" s="83"/>
      <c r="E818" s="4"/>
      <c r="F818" s="4">
        <f>-(367^2)/(C818-49777.08)</f>
        <v>2167.8577176888084</v>
      </c>
      <c r="G818" s="6"/>
      <c r="H818" s="449" t="s">
        <v>121</v>
      </c>
      <c r="I818" s="4" t="s">
        <v>122</v>
      </c>
      <c r="J818" s="3"/>
      <c r="K818" s="449"/>
      <c r="L818" s="449" t="s">
        <v>151</v>
      </c>
      <c r="M818" s="449" t="str">
        <f>IF(L818="","",
IF(AX818="PT",VLOOKUP(L818,Foundation_Calc!$V$79:$X$113,VLOOKUP(AX818,Foundation_Calc!$I$10:$J$13,2,FALSE),0),
IF(AX818="K",VLOOKUP(L818,Foundation_Calc!$V$117:$X$151,VLOOKUP(AX818,Foundation_Calc!$I$10:$J$13,2,FALSE),0),"")))</f>
        <v>C4R</v>
      </c>
      <c r="N818" s="449" t="s">
        <v>124</v>
      </c>
      <c r="O818" s="449"/>
      <c r="P818" s="449"/>
      <c r="Q818" s="4"/>
      <c r="R818" s="6"/>
      <c r="S818" s="6"/>
      <c r="T818" s="4">
        <v>-25</v>
      </c>
      <c r="U818" s="4"/>
      <c r="V818" s="4"/>
      <c r="W818" s="9">
        <v>1.4</v>
      </c>
      <c r="X818" s="9"/>
      <c r="Y818" s="9"/>
      <c r="Z818" s="9"/>
      <c r="AA818" s="9"/>
      <c r="AB818" s="9"/>
      <c r="AC818" s="449" t="str">
        <f t="shared" si="88"/>
        <v>PHQ</v>
      </c>
      <c r="AD818" s="449"/>
      <c r="AE818" s="449"/>
      <c r="AF818" s="4"/>
      <c r="AG818" s="83"/>
      <c r="AH818" s="4"/>
      <c r="AI818" s="4"/>
      <c r="AJ818" s="449"/>
      <c r="AK818" s="449"/>
      <c r="AL818" s="449"/>
      <c r="AM818" s="449" t="s">
        <v>552</v>
      </c>
      <c r="AN818" s="10">
        <f>AN822-0.08</f>
        <v>5.42</v>
      </c>
      <c r="AO818" s="9"/>
      <c r="AP818" s="9"/>
      <c r="AQ818" s="9"/>
      <c r="AR818" s="9"/>
      <c r="AS818" s="9"/>
      <c r="AT818" s="9">
        <f>+ab($T$818,$T$816,$U$822,$G$817,$G$819,-1*$F$818,1200)</f>
        <v>-6.7453071440992929</v>
      </c>
      <c r="AU818" s="428"/>
      <c r="AV818" s="428"/>
      <c r="AW818" s="449" t="str">
        <f>IF(C818&gt;0,VLOOKUP(C818,Foundation_Calc!$A$2:$C$13,3,1),
IF(J818&gt;0,VLOOKUP(J818,Foundation_Calc!$A$2:$C$13,3,1),""))</f>
        <v>Multi Soil</v>
      </c>
      <c r="AX818" s="449" t="str">
        <f>IF(C818&gt;0,VLOOKUP(C818,Foundation_Calc!$E$2:$G$33,3,1),
IF(J818&gt;0,VLOOKUP(J818,Foundation_Calc!$E$2:$G$33,3,1),""))</f>
        <v>PT</v>
      </c>
      <c r="AY818" s="10">
        <f>IF(L818="","",
IF(AX818="PT",VLOOKUP(L818,Foundation_Calc!$K$79:$R$113,VLOOKUP(AW818,Foundation_Calc!$I$2:$J$8,2,FALSE),0),
IF(AX818="K",VLOOKUP(L818,Foundation_Calc!$K$117:$R$151,VLOOKUP(AW818,Foundation_Calc!$I$2:$J$8,2,FALSE),0),"")))</f>
        <v>3.5</v>
      </c>
      <c r="AZ818" s="10" t="str">
        <f>IF(K818="","",
IF(AX818="PT",VLOOKUP(K818,Foundation_Calc!$K$79:$R$113,VLOOKUP(AW818,Foundation_Calc!$I$2:$J$8,2,FALSE),0),
IF(AX818="K",VLOOKUP(K818,Foundation_Calc!$K$117:$R$151,VLOOKUP(AW818,Foundation_Calc!$I$2:$J$8,2,FALSE),0),"")))</f>
        <v/>
      </c>
      <c r="BA818" s="495" t="str">
        <f t="shared" si="95"/>
        <v>ü</v>
      </c>
      <c r="BB818" s="495" t="str">
        <f t="shared" si="96"/>
        <v/>
      </c>
      <c r="BC818" s="495" t="str">
        <f t="shared" si="97"/>
        <v/>
      </c>
      <c r="BD818" s="513" t="str">
        <f>IF(AND(L818="",H818=""),"",
IF(H818="",Pole_Calc!A$9,
IF(H818="MP",Pole_Calc!A$10,
IF(H818="AnMP",Pole_Calc!A$11,
IF(H818="A",Pole_Calc!A$12,
IF(H818="S/A",Pole_Calc!A$13,
IF(H818="A/S",Pole_Calc!A$14,"Poner a mano")))))))</f>
        <v>App.7-V11I-P9.5.1.6</v>
      </c>
      <c r="BE818" s="429" t="s">
        <v>118</v>
      </c>
      <c r="BF818" s="289"/>
      <c r="BG818" s="289"/>
      <c r="BH818" s="290"/>
      <c r="BI818" s="289"/>
    </row>
    <row r="819" spans="1:61" ht="15.75" customHeight="1">
      <c r="A819" s="571" t="s">
        <v>119</v>
      </c>
      <c r="B819" s="450"/>
      <c r="C819" s="3"/>
      <c r="D819" s="83"/>
      <c r="E819" s="4"/>
      <c r="F819" s="4"/>
      <c r="G819" s="6">
        <v>55</v>
      </c>
      <c r="H819" s="449"/>
      <c r="I819" s="4"/>
      <c r="J819" s="3"/>
      <c r="K819" s="449"/>
      <c r="L819" s="449"/>
      <c r="M819" s="449" t="str">
        <f>IF(L819="","",
IF(AX819="PT",VLOOKUP(L819,Foundation_Calc!$V$79:$X$113,VLOOKUP(AX819,Foundation_Calc!$I$10:$J$13,2,FALSE),0),
IF(AX819="K",VLOOKUP(L819,Foundation_Calc!$V$117:$X$151,VLOOKUP(AX819,Foundation_Calc!$I$10:$J$13,2,FALSE),0),"")))</f>
        <v/>
      </c>
      <c r="N819" s="561"/>
      <c r="O819" s="449"/>
      <c r="P819" s="449"/>
      <c r="Q819" s="4"/>
      <c r="R819" s="6"/>
      <c r="S819" s="6"/>
      <c r="T819" s="4"/>
      <c r="U819" s="4"/>
      <c r="V819" s="4"/>
      <c r="W819" s="9"/>
      <c r="X819" s="9"/>
      <c r="Y819" s="9"/>
      <c r="Z819" s="9"/>
      <c r="AA819" s="9"/>
      <c r="AB819" s="9"/>
      <c r="AC819" s="449" t="str">
        <f t="shared" si="88"/>
        <v/>
      </c>
      <c r="AD819" s="449"/>
      <c r="AE819" s="449"/>
      <c r="AF819" s="4"/>
      <c r="AG819" s="83"/>
      <c r="AH819" s="4"/>
      <c r="AI819" s="4"/>
      <c r="AJ819" s="449"/>
      <c r="AK819" s="449"/>
      <c r="AL819" s="449"/>
      <c r="AM819" s="449"/>
      <c r="AN819" s="10"/>
      <c r="AO819" s="9"/>
      <c r="AP819" s="9"/>
      <c r="AQ819" s="9">
        <f>+FL_2($U$822,$T$818,$G$819,1200,9.28,-1*$F$822)</f>
        <v>-0.37550658881406007</v>
      </c>
      <c r="AR819" s="9"/>
      <c r="AS819" s="9"/>
      <c r="AT819" s="9"/>
      <c r="AU819" s="428"/>
      <c r="AV819" s="428"/>
      <c r="AW819" s="449" t="str">
        <f>IF(C819&gt;0,VLOOKUP(C819,Foundation_Calc!$A$2:$C$13,3,1),
IF(J819&gt;0,VLOOKUP(J819,Foundation_Calc!$A$2:$C$13,3,1),""))</f>
        <v/>
      </c>
      <c r="AX819" s="449" t="str">
        <f>IF(C819&gt;0,VLOOKUP(C819,Foundation_Calc!$E$2:$G$33,3,1),
IF(J819&gt;0,VLOOKUP(J819,Foundation_Calc!$E$2:$G$33,3,1),""))</f>
        <v/>
      </c>
      <c r="AY819" s="10" t="str">
        <f>IF(L819="","",
IF(AX819="PT",VLOOKUP(L819,Foundation_Calc!$K$79:$R$113,VLOOKUP(AW819,Foundation_Calc!$I$2:$J$8,2,FALSE),0),
IF(AX819="K",VLOOKUP(L819,Foundation_Calc!$K$117:$R$151,VLOOKUP(AW819,Foundation_Calc!$I$2:$J$8,2,FALSE),0),"")))</f>
        <v/>
      </c>
      <c r="AZ819" s="10" t="str">
        <f>IF(K819="","",
IF(AX819="PT",VLOOKUP(K819,Foundation_Calc!$K$79:$R$113,VLOOKUP(AW819,Foundation_Calc!$I$2:$J$8,2,FALSE),0),
IF(AX819="K",VLOOKUP(K819,Foundation_Calc!$K$117:$R$151,VLOOKUP(AW819,Foundation_Calc!$I$2:$J$8,2,FALSE),0),"")))</f>
        <v/>
      </c>
      <c r="BA819" s="495" t="str">
        <f t="shared" ref="BA819:BA837" si="101">IF(AY819="","",IF(AY819&gt;0,"ü",""))</f>
        <v/>
      </c>
      <c r="BB819" s="495" t="str">
        <f t="shared" ref="BB819:BB837" si="102">IF(AZ819="","",IF(AZ819&gt;0,"ü",""))</f>
        <v/>
      </c>
      <c r="BC819" s="495" t="str">
        <f t="shared" ref="BC819:BC837" si="103">IF(M819="","",IF(M819="U.S.","ü",IF(M819="U.S. N.D.","ü","")))</f>
        <v/>
      </c>
      <c r="BD819" s="513" t="str">
        <f>IF(AND(L819="",H819=""),"",
IF(H819="",Pole_Calc!A$9,
IF(H819="MP",Pole_Calc!A$10,
IF(H819="AnMP",Pole_Calc!A$11,
IF(H819="A",Pole_Calc!A$12,
IF(H819="S/A",Pole_Calc!A$13,
IF(H819="A/S",Pole_Calc!A$14,"Poner a mano")))))))</f>
        <v/>
      </c>
      <c r="BE819" s="429" t="s">
        <v>118</v>
      </c>
      <c r="BF819" s="290"/>
      <c r="BG819" s="290"/>
      <c r="BH819" s="290"/>
      <c r="BI819" s="290"/>
    </row>
    <row r="820" spans="1:61" ht="15.75" customHeight="1">
      <c r="A820" s="571" t="s">
        <v>119</v>
      </c>
      <c r="B820" s="450" t="s">
        <v>665</v>
      </c>
      <c r="C820" s="3">
        <f>+$C$822-$G$821</f>
        <v>49744.950000000004</v>
      </c>
      <c r="D820" s="83"/>
      <c r="E820" s="4"/>
      <c r="F820" s="4"/>
      <c r="G820" s="6"/>
      <c r="H820" s="449"/>
      <c r="I820" s="4"/>
      <c r="J820" s="3"/>
      <c r="K820" s="449"/>
      <c r="L820" s="449" t="s">
        <v>128</v>
      </c>
      <c r="M820" s="449" t="str">
        <f>IF(L820="","",
IF(AX820="PT",VLOOKUP(L820,Foundation_Calc!$V$79:$X$113,VLOOKUP(AX820,Foundation_Calc!$I$10:$J$13,2,FALSE),0),
IF(AX820="K",VLOOKUP(L820,Foundation_Calc!$V$117:$X$151,VLOOKUP(AX820,Foundation_Calc!$I$10:$J$13,2,FALSE),0),"")))</f>
        <v>T-SING FOUND.</v>
      </c>
      <c r="N820" s="561"/>
      <c r="O820" s="449"/>
      <c r="P820" s="449"/>
      <c r="Q820" s="4"/>
      <c r="R820" s="6"/>
      <c r="S820" s="6"/>
      <c r="T820" s="4"/>
      <c r="U820" s="4"/>
      <c r="V820" s="4"/>
      <c r="W820" s="9"/>
      <c r="X820" s="9"/>
      <c r="Y820" s="9"/>
      <c r="Z820" s="9"/>
      <c r="AA820" s="9"/>
      <c r="AB820" s="9"/>
      <c r="AC820" s="449"/>
      <c r="AD820" s="449"/>
      <c r="AE820" s="449"/>
      <c r="AF820" s="4"/>
      <c r="AG820" s="83"/>
      <c r="AH820" s="4"/>
      <c r="AI820" s="4"/>
      <c r="AJ820" s="449"/>
      <c r="AK820" s="449"/>
      <c r="AL820" s="449"/>
      <c r="AM820" s="449"/>
      <c r="AN820" s="10"/>
      <c r="AO820" s="9"/>
      <c r="AP820" s="9"/>
      <c r="AQ820" s="9"/>
      <c r="AR820" s="9"/>
      <c r="AS820" s="9"/>
      <c r="AT820" s="9"/>
      <c r="AU820" s="428"/>
      <c r="AV820" s="428"/>
      <c r="AW820" s="449" t="str">
        <f>IF(C820&gt;0,VLOOKUP(C820,Foundation_Calc!$A$2:$C$13,3,1),
IF(J820&gt;0,VLOOKUP(J820,Foundation_Calc!$A$2:$C$13,3,1),""))</f>
        <v>Multi Soil</v>
      </c>
      <c r="AX820" s="449" t="str">
        <f>IF(C820&gt;0,VLOOKUP(C820,Foundation_Calc!$E$2:$G$33,3,1),
IF(J820&gt;0,VLOOKUP(J820,Foundation_Calc!$E$2:$G$33,3,1),""))</f>
        <v>PT</v>
      </c>
      <c r="AY820" s="10">
        <f>IF(L820="","",
IF(AX820="PT",VLOOKUP(L820,Foundation_Calc!$K$79:$R$113,VLOOKUP(AW820,Foundation_Calc!$I$2:$J$8,2,FALSE),0),
IF(AX820="K",VLOOKUP(L820,Foundation_Calc!$K$117:$R$151,VLOOKUP(AW820,Foundation_Calc!$I$2:$J$8,2,FALSE),0),"")))</f>
        <v>1.2</v>
      </c>
      <c r="AZ820" s="10" t="str">
        <f>IF(K820="","",
IF(AX820="PT",VLOOKUP(K820,Foundation_Calc!$K$79:$R$113,VLOOKUP(AW820,Foundation_Calc!$I$2:$J$8,2,FALSE),0),
IF(AX820="K",VLOOKUP(K820,Foundation_Calc!$K$117:$R$151,VLOOKUP(AW820,Foundation_Calc!$I$2:$J$8,2,FALSE),0),"")))</f>
        <v/>
      </c>
      <c r="BA820" s="495"/>
      <c r="BB820" s="495" t="str">
        <f t="shared" si="102"/>
        <v/>
      </c>
      <c r="BC820" s="495" t="str">
        <f t="shared" si="103"/>
        <v/>
      </c>
      <c r="BD820" s="513"/>
      <c r="BE820" s="429" t="s">
        <v>118</v>
      </c>
      <c r="BF820" s="289"/>
      <c r="BG820" s="289"/>
      <c r="BH820" s="290"/>
      <c r="BI820" s="289"/>
    </row>
    <row r="821" spans="1:61" ht="15.75" customHeight="1">
      <c r="A821" s="571" t="s">
        <v>119</v>
      </c>
      <c r="B821" s="450"/>
      <c r="C821" s="3"/>
      <c r="D821" s="83"/>
      <c r="E821" s="4"/>
      <c r="F821" s="4"/>
      <c r="G821" s="6">
        <v>25</v>
      </c>
      <c r="H821" s="449"/>
      <c r="I821" s="4" t="s">
        <v>549</v>
      </c>
      <c r="J821" s="3">
        <f>C824-7.5</f>
        <v>49804.450000000004</v>
      </c>
      <c r="K821" s="449" t="s">
        <v>166</v>
      </c>
      <c r="L821" s="449"/>
      <c r="M821" s="449" t="str">
        <f>IF(L821="","",
IF(AX821="PT",VLOOKUP(L821,Foundation_Calc!$V$79:$X$113,VLOOKUP(AX821,Foundation_Calc!$I$10:$J$13,2,FALSE),0),
IF(AX821="K",VLOOKUP(L821,Foundation_Calc!$V$117:$X$151,VLOOKUP(AX821,Foundation_Calc!$I$10:$J$13,2,FALSE),0),"")))</f>
        <v/>
      </c>
      <c r="N821" s="561"/>
      <c r="O821" s="449"/>
      <c r="P821" s="449"/>
      <c r="Q821" s="4"/>
      <c r="R821" s="6"/>
      <c r="S821" s="6"/>
      <c r="T821" s="4"/>
      <c r="U821" s="4"/>
      <c r="V821" s="4"/>
      <c r="W821" s="9"/>
      <c r="X821" s="9"/>
      <c r="Y821" s="9"/>
      <c r="Z821" s="9"/>
      <c r="AA821" s="9"/>
      <c r="AB821" s="9"/>
      <c r="AC821" s="449"/>
      <c r="AD821" s="449"/>
      <c r="AE821" s="449"/>
      <c r="AF821" s="4"/>
      <c r="AG821" s="83"/>
      <c r="AH821" s="4"/>
      <c r="AI821" s="4"/>
      <c r="AJ821" s="449"/>
      <c r="AK821" s="449"/>
      <c r="AL821" s="449"/>
      <c r="AM821" s="449"/>
      <c r="AN821" s="10"/>
      <c r="AO821" s="9"/>
      <c r="AP821" s="9"/>
      <c r="AQ821" s="9"/>
      <c r="AR821" s="9"/>
      <c r="AS821" s="9"/>
      <c r="AT821" s="9"/>
      <c r="AU821" s="428"/>
      <c r="AV821" s="428"/>
      <c r="AW821" s="449" t="str">
        <f>IF(C821&gt;0,VLOOKUP(C821,Foundation_Calc!$A$2:$C$13,3,1),
IF(J821&gt;0,VLOOKUP(J821,Foundation_Calc!$A$2:$C$13,3,1),""))</f>
        <v>Multi Soil</v>
      </c>
      <c r="AX821" s="449" t="str">
        <f>IF(C821&gt;0,VLOOKUP(C821,Foundation_Calc!$E$2:$G$33,3,1),
IF(J821&gt;0,VLOOKUP(J821,Foundation_Calc!$E$2:$G$33,3,1),""))</f>
        <v>PT</v>
      </c>
      <c r="AY821" s="10" t="str">
        <f>IF(L821="","",
IF(AX821="PT",VLOOKUP(L821,Foundation_Calc!$K$79:$R$113,VLOOKUP(AW821,Foundation_Calc!$I$2:$J$8,2,FALSE),0),
IF(AX821="K",VLOOKUP(L821,Foundation_Calc!$K$117:$R$151,VLOOKUP(AW821,Foundation_Calc!$I$2:$J$8,2,FALSE),0),"")))</f>
        <v/>
      </c>
      <c r="AZ821" s="10">
        <f>IF(K821="","",
IF(AX821="PT",VLOOKUP(K821,Foundation_Calc!$K$79:$R$113,VLOOKUP(AW821,Foundation_Calc!$I$2:$J$8,2,FALSE),0),
IF(AX821="K",VLOOKUP(K821,Foundation_Calc!$K$117:$R$151,VLOOKUP(AW821,Foundation_Calc!$I$2:$J$8,2,FALSE),0),"")))</f>
        <v>2.8</v>
      </c>
      <c r="BA821" s="495" t="str">
        <f t="shared" si="101"/>
        <v/>
      </c>
      <c r="BB821" s="495" t="str">
        <f t="shared" si="102"/>
        <v>ü</v>
      </c>
      <c r="BC821" s="495" t="str">
        <f t="shared" si="103"/>
        <v/>
      </c>
      <c r="BD821" s="513" t="str">
        <f>IF(AND(L821="",H821=""),"",
IF(H821="",Pole_Calc!A$9,
IF(H821="MP",Pole_Calc!A$10,
IF(H821="AnMP",Pole_Calc!A$11,
IF(H821="A",Pole_Calc!A$12,
IF(H821="S/A",Pole_Calc!A$13,
IF(H821="A/S",Pole_Calc!A$14,"Poner a mano")))))))</f>
        <v/>
      </c>
      <c r="BE821" s="429" t="s">
        <v>118</v>
      </c>
      <c r="BF821" s="290"/>
      <c r="BG821" s="290"/>
      <c r="BH821" s="290"/>
      <c r="BI821" s="290"/>
    </row>
    <row r="822" spans="1:61" ht="15.75" customHeight="1">
      <c r="A822" s="636" t="s">
        <v>666</v>
      </c>
      <c r="B822" s="637" t="s">
        <v>667</v>
      </c>
      <c r="C822" s="638">
        <f>+$C$818+$G$819</f>
        <v>49769.950000000004</v>
      </c>
      <c r="D822" s="639"/>
      <c r="E822" s="640"/>
      <c r="F822" s="640">
        <f>-(367^2)/(C822-49777.08)</f>
        <v>18890.462833106518</v>
      </c>
      <c r="G822" s="641"/>
      <c r="H822" s="642" t="s">
        <v>131</v>
      </c>
      <c r="I822" s="640" t="s">
        <v>132</v>
      </c>
      <c r="J822" s="638"/>
      <c r="K822" s="642"/>
      <c r="L822" s="642" t="s">
        <v>148</v>
      </c>
      <c r="M822" s="642" t="str">
        <f>IF(L822="","",
IF(AX822="PT",VLOOKUP(L822,Foundation_Calc!$V$79:$X$113,VLOOKUP(AX822,Foundation_Calc!$I$10:$J$13,2,FALSE),0),
IF(AX822="K",VLOOKUP(L822,Foundation_Calc!$V$117:$X$151,VLOOKUP(AX822,Foundation_Calc!$I$10:$J$13,2,FALSE),0),"")))</f>
        <v>C4R</v>
      </c>
      <c r="N822" s="642" t="s">
        <v>133</v>
      </c>
      <c r="O822" s="642" t="s">
        <v>134</v>
      </c>
      <c r="P822" s="642"/>
      <c r="Q822" s="640"/>
      <c r="R822" s="641"/>
      <c r="S822" s="641"/>
      <c r="T822" s="640">
        <v>55</v>
      </c>
      <c r="U822" s="640">
        <v>10</v>
      </c>
      <c r="V822" s="640"/>
      <c r="W822" s="643">
        <v>1.4</v>
      </c>
      <c r="X822" s="643">
        <v>2.2999999999999998</v>
      </c>
      <c r="Y822" s="643"/>
      <c r="Z822" s="643">
        <v>0.45</v>
      </c>
      <c r="AA822" s="643"/>
      <c r="AB822" s="643"/>
      <c r="AC822" s="642"/>
      <c r="AD822" s="642"/>
      <c r="AE822" s="642"/>
      <c r="AF822" s="640"/>
      <c r="AG822" s="639"/>
      <c r="AH822" s="640"/>
      <c r="AI822" s="640"/>
      <c r="AJ822" s="642" t="s">
        <v>135</v>
      </c>
      <c r="AK822" s="642"/>
      <c r="AL822" s="642"/>
      <c r="AM822" s="642" t="s">
        <v>552</v>
      </c>
      <c r="AN822" s="644">
        <v>5.5</v>
      </c>
      <c r="AO822" s="643"/>
      <c r="AP822" s="643"/>
      <c r="AQ822" s="643"/>
      <c r="AR822" s="643"/>
      <c r="AS822" s="643"/>
      <c r="AT822" s="643">
        <f>+ab($U$822,$T$818,$U$826,$G$819,$G$823,-1*$F$822,1200)</f>
        <v>9.8584137914923335</v>
      </c>
      <c r="AU822" s="645"/>
      <c r="AV822" s="645"/>
      <c r="AW822" s="642" t="str">
        <f>IF(C822&gt;0,VLOOKUP(C822,Foundation_Calc!$A$2:$C$13,3,1),
IF(J822&gt;0,VLOOKUP(J822,Foundation_Calc!$A$2:$C$13,3,1),""))</f>
        <v>Multi Soil</v>
      </c>
      <c r="AX822" s="642" t="str">
        <f>IF(C822&gt;0,VLOOKUP(C822,Foundation_Calc!$E$2:$G$33,3,1),
IF(J822&gt;0,VLOOKUP(J822,Foundation_Calc!$E$2:$G$33,3,1),""))</f>
        <v>PT</v>
      </c>
      <c r="AY822" s="644">
        <f>IF(L822="","",
IF(AX822="PT",VLOOKUP(L822,Foundation_Calc!$K$79:$R$113,VLOOKUP(AW822,Foundation_Calc!$I$2:$J$8,2,FALSE),0),
IF(AX822="K",VLOOKUP(L822,Foundation_Calc!$K$117:$R$151,VLOOKUP(AW822,Foundation_Calc!$I$2:$J$8,2,FALSE),0),"")))</f>
        <v>3.7</v>
      </c>
      <c r="AZ822" s="644" t="str">
        <f>IF(K822="","",
IF(AX822="PT",VLOOKUP(K822,Foundation_Calc!$K$79:$R$113,VLOOKUP(AW822,Foundation_Calc!$I$2:$J$8,2,FALSE),0),
IF(AX822="K",VLOOKUP(K822,Foundation_Calc!$K$117:$R$151,VLOOKUP(AW822,Foundation_Calc!$I$2:$J$8,2,FALSE),0),"")))</f>
        <v/>
      </c>
      <c r="BA822" s="495" t="str">
        <f t="shared" si="101"/>
        <v>ü</v>
      </c>
      <c r="BB822" s="495" t="str">
        <f t="shared" si="102"/>
        <v/>
      </c>
      <c r="BC822" s="495" t="str">
        <f t="shared" si="103"/>
        <v/>
      </c>
      <c r="BD822" s="513" t="str">
        <f>IF(AND(L822="",H822=""),"",
IF(H822="",Pole_Calc!A$9,
IF(H822="MP",Pole_Calc!A$10,
IF(H822="AnMP",Pole_Calc!A$11,
IF(H822="A",Pole_Calc!A$12,
IF(H822="S/A",Pole_Calc!A$13,
IF(H822="A/S",Pole_Calc!A$14,"Poner a mano")))))))</f>
        <v>App.7-V11I-P9.5.1.5</v>
      </c>
      <c r="BE822" s="429" t="s">
        <v>118</v>
      </c>
      <c r="BF822" s="289"/>
      <c r="BG822" s="289"/>
      <c r="BH822" s="290"/>
      <c r="BI822" s="289"/>
    </row>
    <row r="823" spans="1:61" ht="15.75" customHeight="1">
      <c r="A823" s="571" t="s">
        <v>119</v>
      </c>
      <c r="B823" s="450"/>
      <c r="C823" s="3"/>
      <c r="D823" s="83"/>
      <c r="E823" s="4"/>
      <c r="F823" s="4"/>
      <c r="G823" s="6">
        <v>42</v>
      </c>
      <c r="H823" s="449"/>
      <c r="I823" s="4" t="s">
        <v>549</v>
      </c>
      <c r="J823" s="3">
        <f>C822+7.5</f>
        <v>49777.450000000004</v>
      </c>
      <c r="K823" s="449" t="s">
        <v>166</v>
      </c>
      <c r="L823" s="449"/>
      <c r="M823" s="449" t="str">
        <f>IF(L823="","",
IF(AX823="PT",VLOOKUP(L823,Foundation_Calc!$V$79:$X$113,VLOOKUP(AX823,Foundation_Calc!$I$10:$J$13,2,FALSE),0),
IF(AX823="K",VLOOKUP(L823,Foundation_Calc!$V$117:$X$151,VLOOKUP(AX823,Foundation_Calc!$I$10:$J$13,2,FALSE),0),"")))</f>
        <v/>
      </c>
      <c r="N823" s="449"/>
      <c r="O823" s="449"/>
      <c r="P823" s="449"/>
      <c r="Q823" s="4"/>
      <c r="R823" s="6"/>
      <c r="S823" s="6"/>
      <c r="T823" s="4"/>
      <c r="U823" s="4"/>
      <c r="V823" s="4"/>
      <c r="W823" s="9"/>
      <c r="X823" s="9"/>
      <c r="Y823" s="9"/>
      <c r="Z823" s="9"/>
      <c r="AA823" s="9"/>
      <c r="AB823" s="9"/>
      <c r="AC823" s="449" t="str">
        <f t="shared" si="88"/>
        <v/>
      </c>
      <c r="AD823" s="449"/>
      <c r="AE823" s="449"/>
      <c r="AF823" s="4"/>
      <c r="AG823" s="83"/>
      <c r="AH823" s="4"/>
      <c r="AI823" s="4"/>
      <c r="AJ823" s="449" t="s">
        <v>668</v>
      </c>
      <c r="AK823" s="449"/>
      <c r="AL823" s="449"/>
      <c r="AM823" s="449"/>
      <c r="AN823" s="10"/>
      <c r="AO823" s="9"/>
      <c r="AP823" s="9"/>
      <c r="AQ823" s="9">
        <f>+FL_2($T$826,$U$822,$G$823,1200,9.28,-1*$F$826)</f>
        <v>-0.18518103466666663</v>
      </c>
      <c r="AR823" s="9"/>
      <c r="AS823" s="9"/>
      <c r="AT823" s="9"/>
      <c r="AU823" s="428"/>
      <c r="AV823" s="428"/>
      <c r="AW823" s="449" t="str">
        <f>IF(C823&gt;0,VLOOKUP(C823,Foundation_Calc!$A$2:$C$13,3,1),
IF(J823&gt;0,VLOOKUP(J823,Foundation_Calc!$A$2:$C$13,3,1),""))</f>
        <v>Multi Soil</v>
      </c>
      <c r="AX823" s="449" t="str">
        <f>IF(C823&gt;0,VLOOKUP(C823,Foundation_Calc!$E$2:$G$33,3,1),
IF(J823&gt;0,VLOOKUP(J823,Foundation_Calc!$E$2:$G$33,3,1),""))</f>
        <v>PT</v>
      </c>
      <c r="AY823" s="10" t="str">
        <f>IF(L823="","",
IF(AX823="PT",VLOOKUP(L823,Foundation_Calc!$K$79:$R$113,VLOOKUP(AW823,Foundation_Calc!$I$2:$J$8,2,FALSE),0),
IF(AX823="K",VLOOKUP(L823,Foundation_Calc!$K$117:$R$151,VLOOKUP(AW823,Foundation_Calc!$I$2:$J$8,2,FALSE),0),"")))</f>
        <v/>
      </c>
      <c r="AZ823" s="10">
        <f>IF(K823="","",
IF(AX823="PT",VLOOKUP(K823,Foundation_Calc!$K$79:$R$113,VLOOKUP(AW823,Foundation_Calc!$I$2:$J$8,2,FALSE),0),
IF(AX823="K",VLOOKUP(K823,Foundation_Calc!$K$117:$R$151,VLOOKUP(AW823,Foundation_Calc!$I$2:$J$8,2,FALSE),0),"")))</f>
        <v>2.8</v>
      </c>
      <c r="BA823" s="495" t="str">
        <f t="shared" si="101"/>
        <v/>
      </c>
      <c r="BB823" s="495" t="str">
        <f t="shared" si="102"/>
        <v>ü</v>
      </c>
      <c r="BC823" s="495" t="str">
        <f t="shared" si="103"/>
        <v/>
      </c>
      <c r="BD823" s="513" t="str">
        <f>IF(AND(L823="",H823=""),"",
IF(H823="",Pole_Calc!A$9,
IF(H823="MP",Pole_Calc!A$10,
IF(H823="AnMP",Pole_Calc!A$11,
IF(H823="A",Pole_Calc!A$12,
IF(H823="S/A",Pole_Calc!A$13,
IF(H823="A/S",Pole_Calc!A$14,"Poner a mano")))))))</f>
        <v/>
      </c>
      <c r="BE823" s="429" t="s">
        <v>118</v>
      </c>
      <c r="BF823" s="290"/>
      <c r="BG823" s="290"/>
      <c r="BH823" s="290"/>
      <c r="BI823" s="290"/>
    </row>
    <row r="824" spans="1:61" ht="15.75" customHeight="1">
      <c r="A824" s="571" t="s">
        <v>119</v>
      </c>
      <c r="B824" s="450" t="s">
        <v>669</v>
      </c>
      <c r="C824" s="3">
        <f>+$C$822+$G$823</f>
        <v>49811.950000000004</v>
      </c>
      <c r="D824" s="83"/>
      <c r="E824" s="4"/>
      <c r="F824" s="4">
        <v>0</v>
      </c>
      <c r="G824" s="6"/>
      <c r="H824" s="449"/>
      <c r="I824" s="4"/>
      <c r="J824" s="3"/>
      <c r="K824" s="449"/>
      <c r="L824" s="449" t="s">
        <v>562</v>
      </c>
      <c r="M824" s="449" t="str">
        <f>IF(L824="","",
IF(AX824="PT",VLOOKUP(L824,Foundation_Calc!$V$79:$X$113,VLOOKUP(AX824,Foundation_Calc!$I$10:$J$13,2,FALSE),0),
IF(AX824="K",VLOOKUP(L824,Foundation_Calc!$V$117:$X$151,VLOOKUP(AX824,Foundation_Calc!$I$10:$J$13,2,FALSE),0),"")))</f>
        <v>C7R</v>
      </c>
      <c r="N824" s="449"/>
      <c r="O824" s="449"/>
      <c r="P824" s="449"/>
      <c r="Q824" s="4"/>
      <c r="R824" s="6"/>
      <c r="S824" s="6"/>
      <c r="T824" s="4"/>
      <c r="U824" s="4"/>
      <c r="V824" s="4"/>
      <c r="W824" s="9"/>
      <c r="X824" s="9"/>
      <c r="Y824" s="9"/>
      <c r="Z824" s="9"/>
      <c r="AA824" s="9"/>
      <c r="AB824" s="9"/>
      <c r="AC824" s="449"/>
      <c r="AD824" s="449"/>
      <c r="AE824" s="449"/>
      <c r="AF824" s="4"/>
      <c r="AG824" s="83"/>
      <c r="AH824" s="4"/>
      <c r="AI824" s="4"/>
      <c r="AJ824" s="449"/>
      <c r="AK824" s="449"/>
      <c r="AL824" s="449"/>
      <c r="AM824" s="449" t="s">
        <v>552</v>
      </c>
      <c r="AN824" s="10"/>
      <c r="AO824" s="9"/>
      <c r="AP824" s="9"/>
      <c r="AQ824" s="9"/>
      <c r="AR824" s="9"/>
      <c r="AS824" s="9"/>
      <c r="AT824" s="9"/>
      <c r="AU824" s="428"/>
      <c r="AV824" s="428"/>
      <c r="AW824" s="449" t="str">
        <f>IF(C824&gt;0,VLOOKUP(C824,Foundation_Calc!$A$2:$C$13,3,1),
IF(J824&gt;0,VLOOKUP(J824,Foundation_Calc!$A$2:$C$13,3,1),""))</f>
        <v>Multi Soil</v>
      </c>
      <c r="AX824" s="449" t="str">
        <f>IF(C824&gt;0,VLOOKUP(C824,Foundation_Calc!$E$2:$G$33,3,1),
IF(J824&gt;0,VLOOKUP(J824,Foundation_Calc!$E$2:$G$33,3,1),""))</f>
        <v>PT</v>
      </c>
      <c r="AY824" s="10">
        <f>IF(L824="","",
IF(AX824="PT",VLOOKUP(L824,Foundation_Calc!$K$79:$R$113,VLOOKUP(AW824,Foundation_Calc!$I$2:$J$8,2,FALSE),0),
IF(AX824="K",VLOOKUP(L824,Foundation_Calc!$K$117:$R$151,VLOOKUP(AW824,Foundation_Calc!$I$2:$J$8,2,FALSE),0),"")))</f>
        <v>3.7</v>
      </c>
      <c r="AZ824" s="10" t="str">
        <f>IF(K824="","",
IF(AX824="PT",VLOOKUP(K824,Foundation_Calc!$K$79:$R$113,VLOOKUP(AW824,Foundation_Calc!$I$2:$J$8,2,FALSE),0),
IF(AX824="K",VLOOKUP(K824,Foundation_Calc!$K$117:$R$151,VLOOKUP(AW824,Foundation_Calc!$I$2:$J$8,2,FALSE),0),"")))</f>
        <v/>
      </c>
      <c r="BA824" s="495" t="str">
        <f t="shared" si="101"/>
        <v>ü</v>
      </c>
      <c r="BB824" s="495" t="str">
        <f t="shared" si="102"/>
        <v/>
      </c>
      <c r="BC824" s="495" t="str">
        <f t="shared" si="103"/>
        <v/>
      </c>
      <c r="BD824" s="513" t="str">
        <f>Pole_Calc!A$322</f>
        <v>App.8-V08H-10.7.4.1</v>
      </c>
      <c r="BE824" s="429" t="s">
        <v>118</v>
      </c>
      <c r="BF824" s="289"/>
      <c r="BG824" s="289"/>
      <c r="BH824" s="290"/>
      <c r="BI824" s="289"/>
    </row>
    <row r="825" spans="1:61" ht="15.75" customHeight="1">
      <c r="A825" s="571" t="s">
        <v>119</v>
      </c>
      <c r="B825" s="450"/>
      <c r="C825" s="3"/>
      <c r="D825" s="83"/>
      <c r="E825" s="4"/>
      <c r="F825" s="4"/>
      <c r="G825" s="6">
        <v>5</v>
      </c>
      <c r="H825" s="449"/>
      <c r="I825" s="4"/>
      <c r="J825" s="3"/>
      <c r="K825" s="449"/>
      <c r="L825" s="449"/>
      <c r="M825" s="449" t="str">
        <f>IF(L825="","",
IF(AX825="PT",VLOOKUP(L825,Foundation_Calc!$V$79:$X$113,VLOOKUP(AX825,Foundation_Calc!$I$10:$J$13,2,FALSE),0),
IF(AX825="K",VLOOKUP(L825,Foundation_Calc!$V$117:$X$151,VLOOKUP(AX825,Foundation_Calc!$I$10:$J$13,2,FALSE),0),"")))</f>
        <v/>
      </c>
      <c r="N825" s="449"/>
      <c r="O825" s="449"/>
      <c r="P825" s="449"/>
      <c r="Q825" s="4"/>
      <c r="R825" s="6"/>
      <c r="S825" s="6"/>
      <c r="T825" s="4"/>
      <c r="U825" s="4"/>
      <c r="V825" s="4"/>
      <c r="W825" s="9"/>
      <c r="X825" s="9"/>
      <c r="Y825" s="9"/>
      <c r="Z825" s="9"/>
      <c r="AA825" s="9"/>
      <c r="AB825" s="9"/>
      <c r="AC825" s="449"/>
      <c r="AD825" s="449"/>
      <c r="AE825" s="449"/>
      <c r="AF825" s="4"/>
      <c r="AG825" s="83"/>
      <c r="AH825" s="4"/>
      <c r="AI825" s="4"/>
      <c r="AJ825" s="449"/>
      <c r="AK825" s="449"/>
      <c r="AL825" s="449"/>
      <c r="AM825" s="449"/>
      <c r="AN825" s="10"/>
      <c r="AO825" s="9"/>
      <c r="AP825" s="9"/>
      <c r="AQ825" s="9"/>
      <c r="AR825" s="9"/>
      <c r="AS825" s="9"/>
      <c r="AT825" s="9"/>
      <c r="AU825" s="428"/>
      <c r="AV825" s="428"/>
      <c r="AW825" s="449" t="str">
        <f>IF(C825&gt;0,VLOOKUP(C825,Foundation_Calc!$A$2:$C$13,3,1),
IF(J825&gt;0,VLOOKUP(J825,Foundation_Calc!$A$2:$C$13,3,1),""))</f>
        <v/>
      </c>
      <c r="AX825" s="449" t="str">
        <f>IF(C825&gt;0,VLOOKUP(C825,Foundation_Calc!$E$2:$G$33,3,1),
IF(J825&gt;0,VLOOKUP(J825,Foundation_Calc!$E$2:$G$33,3,1),""))</f>
        <v/>
      </c>
      <c r="AY825" s="10" t="str">
        <f>IF(L825="","",
IF(AX825="PT",VLOOKUP(L825,Foundation_Calc!$K$79:$R$113,VLOOKUP(AW825,Foundation_Calc!$I$2:$J$8,2,FALSE),0),
IF(AX825="K",VLOOKUP(L825,Foundation_Calc!$K$117:$R$151,VLOOKUP(AW825,Foundation_Calc!$I$2:$J$8,2,FALSE),0),"")))</f>
        <v/>
      </c>
      <c r="AZ825" s="10" t="str">
        <f>IF(K825="","",
IF(AX825="PT",VLOOKUP(K825,Foundation_Calc!$K$79:$R$113,VLOOKUP(AW825,Foundation_Calc!$I$2:$J$8,2,FALSE),0),
IF(AX825="K",VLOOKUP(K825,Foundation_Calc!$K$117:$R$151,VLOOKUP(AW825,Foundation_Calc!$I$2:$J$8,2,FALSE),0),"")))</f>
        <v/>
      </c>
      <c r="BA825" s="495" t="str">
        <f t="shared" si="101"/>
        <v/>
      </c>
      <c r="BB825" s="495" t="str">
        <f t="shared" si="102"/>
        <v/>
      </c>
      <c r="BC825" s="495" t="str">
        <f t="shared" si="103"/>
        <v/>
      </c>
      <c r="BD825" s="513" t="str">
        <f>IF(AND(L825="",H825=""),"",
IF(H825="",Pole_Calc!A$9,
IF(H825="MP",Pole_Calc!A$10,
IF(H825="AnMP",Pole_Calc!A$11,
IF(H825="A",Pole_Calc!A$12,
IF(H825="S/A",Pole_Calc!A$13,
IF(H825="A/S",Pole_Calc!A$14,"Poner a mano")))))))</f>
        <v/>
      </c>
      <c r="BE825" s="429" t="s">
        <v>118</v>
      </c>
      <c r="BF825" s="290"/>
      <c r="BG825" s="290"/>
      <c r="BH825" s="290"/>
      <c r="BI825" s="290"/>
    </row>
    <row r="826" spans="1:61" ht="15.75" customHeight="1">
      <c r="A826" s="636" t="s">
        <v>670</v>
      </c>
      <c r="B826" s="637" t="s">
        <v>671</v>
      </c>
      <c r="C826" s="638">
        <f>+$C$824+$G$825</f>
        <v>49816.950000000004</v>
      </c>
      <c r="D826" s="639"/>
      <c r="E826" s="640"/>
      <c r="F826" s="640">
        <f>IF(C826&gt;0,VLOOKUP(C826,'ALIGNMENT TRACK'!$A$1:$K$81,9,1))</f>
        <v>0</v>
      </c>
      <c r="G826" s="641"/>
      <c r="H826" s="642" t="s">
        <v>131</v>
      </c>
      <c r="I826" s="640" t="s">
        <v>132</v>
      </c>
      <c r="J826" s="638"/>
      <c r="K826" s="642"/>
      <c r="L826" s="642" t="s">
        <v>158</v>
      </c>
      <c r="M826" s="642" t="str">
        <f>IF(L826="","",
IF(AX826="PT",VLOOKUP(L826,Foundation_Calc!$V$79:$X$113,VLOOKUP(AX826,Foundation_Calc!$I$10:$J$13,2,FALSE),0),
IF(AX826="K",VLOOKUP(L826,Foundation_Calc!$V$117:$X$151,VLOOKUP(AX826,Foundation_Calc!$I$10:$J$13,2,FALSE),0),"")))</f>
        <v>C4R</v>
      </c>
      <c r="N826" s="642" t="s">
        <v>124</v>
      </c>
      <c r="O826" s="642" t="s">
        <v>133</v>
      </c>
      <c r="P826" s="642"/>
      <c r="Q826" s="640"/>
      <c r="R826" s="641"/>
      <c r="S826" s="641"/>
      <c r="T826" s="640">
        <v>-10</v>
      </c>
      <c r="U826" s="640">
        <v>-55</v>
      </c>
      <c r="V826" s="640"/>
      <c r="W826" s="643">
        <v>1.4</v>
      </c>
      <c r="X826" s="643">
        <v>2.2999999999999998</v>
      </c>
      <c r="Y826" s="643"/>
      <c r="Z826" s="643"/>
      <c r="AA826" s="643">
        <v>0.45</v>
      </c>
      <c r="AB826" s="643"/>
      <c r="AC826" s="642" t="str">
        <f t="shared" si="88"/>
        <v>PHQ</v>
      </c>
      <c r="AD826" s="642"/>
      <c r="AE826" s="642"/>
      <c r="AF826" s="640"/>
      <c r="AG826" s="639"/>
      <c r="AH826" s="640"/>
      <c r="AI826" s="640"/>
      <c r="AJ826" s="642" t="s">
        <v>135</v>
      </c>
      <c r="AK826" s="642"/>
      <c r="AL826" s="642"/>
      <c r="AM826" s="642" t="s">
        <v>552</v>
      </c>
      <c r="AN826" s="644">
        <v>5.5</v>
      </c>
      <c r="AO826" s="643"/>
      <c r="AP826" s="643"/>
      <c r="AQ826" s="643"/>
      <c r="AR826" s="643"/>
      <c r="AS826" s="643"/>
      <c r="AT826" s="643">
        <f>+ab($T$826,$T$822,$T$828,$G$823,$G$827,-1*$F$826,1200)</f>
        <v>-6.5196266282936826</v>
      </c>
      <c r="AU826" s="645"/>
      <c r="AV826" s="645"/>
      <c r="AW826" s="642" t="str">
        <f>IF(C826&gt;0,VLOOKUP(C826,Foundation_Calc!$A$2:$C$13,3,1),
IF(J826&gt;0,VLOOKUP(J826,Foundation_Calc!$A$2:$C$13,3,1),""))</f>
        <v>Multi Soil</v>
      </c>
      <c r="AX826" s="642" t="str">
        <f>IF(C826&gt;0,VLOOKUP(C826,Foundation_Calc!$E$2:$G$33,3,1),
IF(J826&gt;0,VLOOKUP(J826,Foundation_Calc!$E$2:$G$33,3,1),""))</f>
        <v>PT</v>
      </c>
      <c r="AY826" s="644">
        <f>IF(L826="","",
IF(AX826="PT",VLOOKUP(L826,Foundation_Calc!$K$79:$R$113,VLOOKUP(AW826,Foundation_Calc!$I$2:$J$8,2,FALSE),0),
IF(AX826="K",VLOOKUP(L826,Foundation_Calc!$K$117:$R$151,VLOOKUP(AW826,Foundation_Calc!$I$2:$J$8,2,FALSE),0),"")))</f>
        <v>3.5</v>
      </c>
      <c r="AZ826" s="644" t="str">
        <f>IF(K826="","",
IF(AX826="PT",VLOOKUP(K826,Foundation_Calc!$K$79:$R$113,VLOOKUP(AW826,Foundation_Calc!$I$2:$J$8,2,FALSE),0),
IF(AX826="K",VLOOKUP(K826,Foundation_Calc!$K$117:$R$151,VLOOKUP(AW826,Foundation_Calc!$I$2:$J$8,2,FALSE),0),"")))</f>
        <v/>
      </c>
      <c r="BA826" s="495" t="str">
        <f t="shared" si="101"/>
        <v>ü</v>
      </c>
      <c r="BB826" s="495" t="str">
        <f t="shared" si="102"/>
        <v/>
      </c>
      <c r="BC826" s="495" t="str">
        <f t="shared" si="103"/>
        <v/>
      </c>
      <c r="BD826" s="513" t="str">
        <f>IF(AND(L826="",H826=""),"",
IF(H826="",Pole_Calc!A$9,
IF(H826="MP",Pole_Calc!A$10,
IF(H826="AnMP",Pole_Calc!A$11,
IF(H826="A",Pole_Calc!A$12,
IF(H826="S/A",Pole_Calc!A$13,
IF(H826="A/S",Pole_Calc!A$14,"Poner a mano")))))))</f>
        <v>App.7-V11I-P9.5.1.5</v>
      </c>
      <c r="BE826" s="429" t="s">
        <v>118</v>
      </c>
      <c r="BF826" s="289"/>
      <c r="BG826" s="289"/>
      <c r="BH826" s="290"/>
      <c r="BI826" s="289"/>
    </row>
    <row r="827" spans="1:61" ht="15.75" customHeight="1">
      <c r="A827" s="571" t="s">
        <v>119</v>
      </c>
      <c r="B827" s="450"/>
      <c r="C827" s="3"/>
      <c r="D827" s="83"/>
      <c r="E827" s="4"/>
      <c r="F827" s="4"/>
      <c r="G827" s="6">
        <v>47</v>
      </c>
      <c r="H827" s="449"/>
      <c r="I827" s="4"/>
      <c r="J827" s="3"/>
      <c r="K827" s="449"/>
      <c r="L827" s="449"/>
      <c r="M827" s="449" t="str">
        <f>IF(L827="","",
IF(AX827="PT",VLOOKUP(L827,Foundation_Calc!$V$79:$X$113,VLOOKUP(AX827,Foundation_Calc!$I$10:$J$13,2,FALSE),0),
IF(AX827="K",VLOOKUP(L827,Foundation_Calc!$V$117:$X$151,VLOOKUP(AX827,Foundation_Calc!$I$10:$J$13,2,FALSE),0),"")))</f>
        <v/>
      </c>
      <c r="N827" s="449"/>
      <c r="O827" s="449"/>
      <c r="P827" s="449"/>
      <c r="Q827" s="4"/>
      <c r="R827" s="6"/>
      <c r="S827" s="6"/>
      <c r="T827" s="4"/>
      <c r="U827" s="4"/>
      <c r="V827" s="4"/>
      <c r="W827" s="9"/>
      <c r="X827" s="9"/>
      <c r="Y827" s="9"/>
      <c r="Z827" s="9"/>
      <c r="AA827" s="9"/>
      <c r="AB827" s="9"/>
      <c r="AC827" s="449" t="str">
        <f t="shared" si="88"/>
        <v/>
      </c>
      <c r="AD827" s="449"/>
      <c r="AE827" s="449"/>
      <c r="AF827" s="4"/>
      <c r="AG827" s="83"/>
      <c r="AH827" s="4"/>
      <c r="AI827" s="4"/>
      <c r="AJ827" s="449"/>
      <c r="AK827" s="449"/>
      <c r="AL827" s="449"/>
      <c r="AM827" s="449"/>
      <c r="AN827" s="10"/>
      <c r="AO827" s="9"/>
      <c r="AP827" s="9"/>
      <c r="AQ827" s="9">
        <f>+FL_1($T$828,$T$826,$G$827,1200,9.28,-1*$F$828)</f>
        <v>0.5621980944113476</v>
      </c>
      <c r="AR827" s="9"/>
      <c r="AS827" s="9"/>
      <c r="AT827" s="9"/>
      <c r="AU827" s="428"/>
      <c r="AV827" s="428"/>
      <c r="AW827" s="449" t="str">
        <f>IF(C827&gt;0,VLOOKUP(C827,Foundation_Calc!$A$2:$C$13,3,1),
IF(J827&gt;0,VLOOKUP(J827,Foundation_Calc!$A$2:$C$13,3,1),""))</f>
        <v/>
      </c>
      <c r="AX827" s="449" t="str">
        <f>IF(C827&gt;0,VLOOKUP(C827,Foundation_Calc!$E$2:$G$33,3,1),
IF(J827&gt;0,VLOOKUP(J827,Foundation_Calc!$E$2:$G$33,3,1),""))</f>
        <v/>
      </c>
      <c r="AY827" s="10" t="str">
        <f>IF(L827="","",
IF(AX827="PT",VLOOKUP(L827,Foundation_Calc!$K$79:$R$113,VLOOKUP(AW827,Foundation_Calc!$I$2:$J$8,2,FALSE),0),
IF(AX827="K",VLOOKUP(L827,Foundation_Calc!$K$117:$R$151,VLOOKUP(AW827,Foundation_Calc!$I$2:$J$8,2,FALSE),0),"")))</f>
        <v/>
      </c>
      <c r="AZ827" s="10" t="str">
        <f>IF(K827="","",
IF(AX827="PT",VLOOKUP(K827,Foundation_Calc!$K$79:$R$113,VLOOKUP(AW827,Foundation_Calc!$I$2:$J$8,2,FALSE),0),
IF(AX827="K",VLOOKUP(K827,Foundation_Calc!$K$117:$R$151,VLOOKUP(AW827,Foundation_Calc!$I$2:$J$8,2,FALSE),0),"")))</f>
        <v/>
      </c>
      <c r="BA827" s="495" t="str">
        <f t="shared" si="101"/>
        <v/>
      </c>
      <c r="BB827" s="495" t="str">
        <f t="shared" si="102"/>
        <v/>
      </c>
      <c r="BC827" s="495" t="str">
        <f t="shared" si="103"/>
        <v/>
      </c>
      <c r="BD827" s="513" t="str">
        <f>IF(AND(L827="",H827=""),"",
IF(H827="",Pole_Calc!A$9,
IF(H827="MP",Pole_Calc!A$10,
IF(H827="AnMP",Pole_Calc!A$11,
IF(H827="A",Pole_Calc!A$12,
IF(H827="S/A",Pole_Calc!A$13,
IF(H827="A/S",Pole_Calc!A$14,"Poner a mano")))))))</f>
        <v/>
      </c>
      <c r="BE827" s="429" t="s">
        <v>118</v>
      </c>
      <c r="BF827" s="290"/>
      <c r="BG827" s="290"/>
      <c r="BH827" s="290"/>
      <c r="BI827" s="290"/>
    </row>
    <row r="828" spans="1:61" ht="15.75" customHeight="1">
      <c r="A828" s="571" t="s">
        <v>119</v>
      </c>
      <c r="B828" s="450" t="s">
        <v>672</v>
      </c>
      <c r="C828" s="3">
        <f>+$C$826+$G$827</f>
        <v>49863.950000000004</v>
      </c>
      <c r="D828" s="83"/>
      <c r="E828" s="4"/>
      <c r="F828" s="4">
        <f>IF(C828&gt;0,VLOOKUP(C828,'ALIGNMENT TRACK'!$A$1:$K$81,9,1))</f>
        <v>0</v>
      </c>
      <c r="G828" s="6"/>
      <c r="H828" s="449" t="s">
        <v>131</v>
      </c>
      <c r="I828" s="4"/>
      <c r="J828" s="3"/>
      <c r="K828" s="449"/>
      <c r="L828" s="449" t="s">
        <v>158</v>
      </c>
      <c r="M828" s="449" t="str">
        <f>IF(L828="","",
IF(AX828="PT",VLOOKUP(L828,Foundation_Calc!$V$79:$X$113,VLOOKUP(AX828,Foundation_Calc!$I$10:$J$13,2,FALSE),0),
IF(AX828="K",VLOOKUP(L828,Foundation_Calc!$V$117:$X$151,VLOOKUP(AX828,Foundation_Calc!$I$10:$J$13,2,FALSE),0),"")))</f>
        <v>C4R</v>
      </c>
      <c r="N828" s="449" t="s">
        <v>133</v>
      </c>
      <c r="O828" s="449" t="s">
        <v>134</v>
      </c>
      <c r="P828" s="449"/>
      <c r="Q828" s="4"/>
      <c r="R828" s="6"/>
      <c r="S828" s="6"/>
      <c r="T828" s="4">
        <v>55</v>
      </c>
      <c r="U828" s="4">
        <v>10</v>
      </c>
      <c r="V828" s="4"/>
      <c r="W828" s="9">
        <v>1.4</v>
      </c>
      <c r="X828" s="9">
        <v>2.2999999999999998</v>
      </c>
      <c r="Y828" s="9"/>
      <c r="Z828" s="9">
        <v>0.45</v>
      </c>
      <c r="AA828" s="9"/>
      <c r="AB828" s="9"/>
      <c r="AC828" s="449"/>
      <c r="AD828" s="449"/>
      <c r="AE828" s="449"/>
      <c r="AF828" s="4"/>
      <c r="AG828" s="83"/>
      <c r="AH828" s="4"/>
      <c r="AI828" s="4"/>
      <c r="AJ828" s="449"/>
      <c r="AK828" s="449"/>
      <c r="AL828" s="449"/>
      <c r="AM828" s="449" t="s">
        <v>552</v>
      </c>
      <c r="AN828" s="10">
        <v>5.5</v>
      </c>
      <c r="AO828" s="9"/>
      <c r="AP828" s="9"/>
      <c r="AQ828" s="9"/>
      <c r="AR828" s="9"/>
      <c r="AS828" s="9"/>
      <c r="AT828" s="9">
        <f>+ab($T$828,$T$826,$T$832,$G$827,$G$831,-1*$F$828,1200)</f>
        <v>6.5196069991861165</v>
      </c>
      <c r="AU828" s="428"/>
      <c r="AV828" s="428"/>
      <c r="AW828" s="449" t="str">
        <f>IF(C828&gt;0,VLOOKUP(C828,Foundation_Calc!$A$2:$C$13,3,1),
IF(J828&gt;0,VLOOKUP(J828,Foundation_Calc!$A$2:$C$13,3,1),""))</f>
        <v>Multi Soil</v>
      </c>
      <c r="AX828" s="449" t="str">
        <f>IF(C828&gt;0,VLOOKUP(C828,Foundation_Calc!$E$2:$G$33,3,1),
IF(J828&gt;0,VLOOKUP(J828,Foundation_Calc!$E$2:$G$33,3,1),""))</f>
        <v>PT</v>
      </c>
      <c r="AY828" s="10">
        <f>IF(L828="","",
IF(AX828="PT",VLOOKUP(L828,Foundation_Calc!$K$79:$R$113,VLOOKUP(AW828,Foundation_Calc!$I$2:$J$8,2,FALSE),0),
IF(AX828="K",VLOOKUP(L828,Foundation_Calc!$K$117:$R$151,VLOOKUP(AW828,Foundation_Calc!$I$2:$J$8,2,FALSE),0),"")))</f>
        <v>3.5</v>
      </c>
      <c r="AZ828" s="10" t="str">
        <f>IF(K828="","",
IF(AX828="PT",VLOOKUP(K828,Foundation_Calc!$K$79:$R$113,VLOOKUP(AW828,Foundation_Calc!$I$2:$J$8,2,FALSE),0),
IF(AX828="K",VLOOKUP(K828,Foundation_Calc!$K$117:$R$151,VLOOKUP(AW828,Foundation_Calc!$I$2:$J$8,2,FALSE),0),"")))</f>
        <v/>
      </c>
      <c r="BA828" s="495" t="str">
        <f t="shared" si="101"/>
        <v>ü</v>
      </c>
      <c r="BB828" s="495" t="str">
        <f t="shared" si="102"/>
        <v/>
      </c>
      <c r="BC828" s="495" t="str">
        <f t="shared" si="103"/>
        <v/>
      </c>
      <c r="BD828" s="513" t="str">
        <f>IF(AND(L828="",H828=""),"",
IF(H828="",Pole_Calc!A$9,
IF(H828="MP",Pole_Calc!A$10,
IF(H828="AnMP",Pole_Calc!A$11,
IF(H828="A",Pole_Calc!A$12,
IF(H828="S/A",Pole_Calc!A$13,
IF(H828="A/S",Pole_Calc!A$14,"Poner a mano")))))))</f>
        <v>App.7-V11I-P9.5.1.5</v>
      </c>
      <c r="BE828" s="429" t="s">
        <v>118</v>
      </c>
      <c r="BF828" s="289"/>
      <c r="BG828" s="289"/>
      <c r="BH828" s="290"/>
      <c r="BI828" s="289"/>
    </row>
    <row r="829" spans="1:61" ht="15.75" customHeight="1">
      <c r="A829" s="571" t="s">
        <v>119</v>
      </c>
      <c r="B829" s="450"/>
      <c r="C829" s="3"/>
      <c r="D829" s="83"/>
      <c r="E829" s="4"/>
      <c r="F829" s="4"/>
      <c r="G829" s="6">
        <v>5</v>
      </c>
      <c r="H829" s="449"/>
      <c r="I829" s="4"/>
      <c r="J829" s="3"/>
      <c r="K829" s="449"/>
      <c r="L829" s="449"/>
      <c r="M829" s="449" t="str">
        <f>IF(L829="","",
IF(AX829="PT",VLOOKUP(L829,Foundation_Calc!$V$79:$X$113,VLOOKUP(AX829,Foundation_Calc!$I$10:$J$13,2,FALSE),0),
IF(AX829="K",VLOOKUP(L829,Foundation_Calc!$V$117:$X$151,VLOOKUP(AX829,Foundation_Calc!$I$10:$J$13,2,FALSE),0),"")))</f>
        <v/>
      </c>
      <c r="N829" s="449"/>
      <c r="O829" s="449"/>
      <c r="P829" s="449"/>
      <c r="Q829" s="4"/>
      <c r="R829" s="6"/>
      <c r="S829" s="6"/>
      <c r="T829" s="4"/>
      <c r="U829" s="4"/>
      <c r="V829" s="4"/>
      <c r="W829" s="9"/>
      <c r="X829" s="9"/>
      <c r="Y829" s="9"/>
      <c r="Z829" s="9"/>
      <c r="AA829" s="9"/>
      <c r="AB829" s="9"/>
      <c r="AC829" s="449"/>
      <c r="AD829" s="449"/>
      <c r="AE829" s="449"/>
      <c r="AF829" s="4"/>
      <c r="AG829" s="83"/>
      <c r="AH829" s="4"/>
      <c r="AI829" s="4"/>
      <c r="AJ829" s="449"/>
      <c r="AK829" s="449"/>
      <c r="AL829" s="449"/>
      <c r="AM829" s="449"/>
      <c r="AN829" s="10"/>
      <c r="AO829" s="9"/>
      <c r="AP829" s="9"/>
      <c r="AQ829" s="9"/>
      <c r="AR829" s="9"/>
      <c r="AS829" s="9"/>
      <c r="AT829" s="9"/>
      <c r="AU829" s="428"/>
      <c r="AV829" s="428"/>
      <c r="AW829" s="449" t="str">
        <f>IF(C829&gt;0,VLOOKUP(C829,Foundation_Calc!$A$2:$C$13,3,1),
IF(J829&gt;0,VLOOKUP(J829,Foundation_Calc!$A$2:$C$13,3,1),""))</f>
        <v/>
      </c>
      <c r="AX829" s="449" t="str">
        <f>IF(C829&gt;0,VLOOKUP(C829,Foundation_Calc!$E$2:$G$33,3,1),
IF(J829&gt;0,VLOOKUP(J829,Foundation_Calc!$E$2:$G$33,3,1),""))</f>
        <v/>
      </c>
      <c r="AY829" s="10" t="str">
        <f>IF(L829="","",
IF(AX829="PT",VLOOKUP(L829,Foundation_Calc!$K$79:$R$113,VLOOKUP(AW829,Foundation_Calc!$I$2:$J$8,2,FALSE),0),
IF(AX829="K",VLOOKUP(L829,Foundation_Calc!$K$117:$R$151,VLOOKUP(AW829,Foundation_Calc!$I$2:$J$8,2,FALSE),0),"")))</f>
        <v/>
      </c>
      <c r="AZ829" s="10" t="str">
        <f>IF(K829="","",
IF(AX829="PT",VLOOKUP(K829,Foundation_Calc!$K$79:$R$113,VLOOKUP(AW829,Foundation_Calc!$I$2:$J$8,2,FALSE),0),
IF(AX829="K",VLOOKUP(K829,Foundation_Calc!$K$117:$R$151,VLOOKUP(AW829,Foundation_Calc!$I$2:$J$8,2,FALSE),0),"")))</f>
        <v/>
      </c>
      <c r="BA829" s="495" t="str">
        <f t="shared" si="101"/>
        <v/>
      </c>
      <c r="BB829" s="495" t="str">
        <f t="shared" si="102"/>
        <v/>
      </c>
      <c r="BC829" s="495" t="str">
        <f t="shared" si="103"/>
        <v/>
      </c>
      <c r="BD829" s="513" t="str">
        <f>IF(AND(L829="",H829=""),"",
IF(H829="",Pole_Calc!A$9,
IF(H829="MP",Pole_Calc!A$10,
IF(H829="AnMP",Pole_Calc!A$11,
IF(H829="A",Pole_Calc!A$12,
IF(H829="S/A",Pole_Calc!A$13,
IF(H829="A/S",Pole_Calc!A$14,"Poner a mano")))))))</f>
        <v/>
      </c>
      <c r="BE829" s="429" t="s">
        <v>118</v>
      </c>
      <c r="BF829" s="290"/>
      <c r="BG829" s="290"/>
      <c r="BH829" s="290"/>
      <c r="BI829" s="290"/>
    </row>
    <row r="830" spans="1:61" ht="15.75" customHeight="1">
      <c r="A830" s="571" t="s">
        <v>119</v>
      </c>
      <c r="B830" s="450" t="s">
        <v>673</v>
      </c>
      <c r="C830" s="3">
        <f>+$C$828+$G$829</f>
        <v>49868.950000000004</v>
      </c>
      <c r="D830" s="83"/>
      <c r="E830" s="4"/>
      <c r="F830" s="4">
        <v>0</v>
      </c>
      <c r="G830" s="6"/>
      <c r="H830" s="449"/>
      <c r="I830" s="4"/>
      <c r="J830" s="3"/>
      <c r="K830" s="449"/>
      <c r="L830" s="449" t="s">
        <v>562</v>
      </c>
      <c r="M830" s="449" t="str">
        <f>IF(L830="","",
IF(AX830="PT",VLOOKUP(L830,Foundation_Calc!$V$79:$X$113,VLOOKUP(AX830,Foundation_Calc!$I$10:$J$13,2,FALSE),0),
IF(AX830="K",VLOOKUP(L830,Foundation_Calc!$V$117:$X$151,VLOOKUP(AX830,Foundation_Calc!$I$10:$J$13,2,FALSE),0),"")))</f>
        <v>C7R</v>
      </c>
      <c r="N830" s="449"/>
      <c r="O830" s="449"/>
      <c r="P830" s="449"/>
      <c r="Q830" s="4"/>
      <c r="R830" s="6"/>
      <c r="S830" s="6"/>
      <c r="T830" s="4"/>
      <c r="U830" s="4"/>
      <c r="V830" s="4"/>
      <c r="W830" s="9"/>
      <c r="X830" s="9"/>
      <c r="Y830" s="9"/>
      <c r="Z830" s="9"/>
      <c r="AA830" s="9"/>
      <c r="AB830" s="9"/>
      <c r="AC830" s="449"/>
      <c r="AD830" s="449"/>
      <c r="AE830" s="449"/>
      <c r="AF830" s="4"/>
      <c r="AG830" s="83"/>
      <c r="AH830" s="4"/>
      <c r="AI830" s="4"/>
      <c r="AJ830" s="449"/>
      <c r="AK830" s="449"/>
      <c r="AL830" s="449"/>
      <c r="AM830" s="449" t="s">
        <v>552</v>
      </c>
      <c r="AN830" s="10"/>
      <c r="AO830" s="9"/>
      <c r="AP830" s="9"/>
      <c r="AQ830" s="9"/>
      <c r="AR830" s="9"/>
      <c r="AS830" s="9"/>
      <c r="AT830" s="9"/>
      <c r="AU830" s="428"/>
      <c r="AV830" s="428"/>
      <c r="AW830" s="449" t="str">
        <f>IF(C830&gt;0,VLOOKUP(C830,Foundation_Calc!$A$2:$C$13,3,1),
IF(J830&gt;0,VLOOKUP(J830,Foundation_Calc!$A$2:$C$13,3,1),""))</f>
        <v>Multi Soil</v>
      </c>
      <c r="AX830" s="449" t="str">
        <f>IF(C830&gt;0,VLOOKUP(C830,Foundation_Calc!$E$2:$G$33,3,1),
IF(J830&gt;0,VLOOKUP(J830,Foundation_Calc!$E$2:$G$33,3,1),""))</f>
        <v>PT</v>
      </c>
      <c r="AY830" s="10">
        <f>IF(L830="","",
IF(AX830="PT",VLOOKUP(L830,Foundation_Calc!$K$79:$R$113,VLOOKUP(AW830,Foundation_Calc!$I$2:$J$8,2,FALSE),0),
IF(AX830="K",VLOOKUP(L830,Foundation_Calc!$K$117:$R$151,VLOOKUP(AW830,Foundation_Calc!$I$2:$J$8,2,FALSE),0),"")))</f>
        <v>3.7</v>
      </c>
      <c r="AZ830" s="10" t="str">
        <f>IF(K830="","",
IF(AX830="PT",VLOOKUP(K830,Foundation_Calc!$K$79:$R$113,VLOOKUP(AW830,Foundation_Calc!$I$2:$J$8,2,FALSE),0),
IF(AX830="K",VLOOKUP(K830,Foundation_Calc!$K$117:$R$151,VLOOKUP(AW830,Foundation_Calc!$I$2:$J$8,2,FALSE),0),"")))</f>
        <v/>
      </c>
      <c r="BA830" s="495" t="str">
        <f t="shared" si="101"/>
        <v>ü</v>
      </c>
      <c r="BB830" s="495" t="str">
        <f t="shared" si="102"/>
        <v/>
      </c>
      <c r="BC830" s="495" t="str">
        <f t="shared" si="103"/>
        <v/>
      </c>
      <c r="BD830" s="513" t="str">
        <f>Pole_Calc!A$322</f>
        <v>App.8-V08H-10.7.4.1</v>
      </c>
      <c r="BE830" s="429" t="s">
        <v>118</v>
      </c>
      <c r="BF830" s="289"/>
      <c r="BG830" s="289"/>
      <c r="BH830" s="290"/>
      <c r="BI830" s="289"/>
    </row>
    <row r="831" spans="1:61" ht="15.75" customHeight="1">
      <c r="A831" s="571" t="s">
        <v>119</v>
      </c>
      <c r="B831" s="450"/>
      <c r="C831" s="3"/>
      <c r="D831" s="83"/>
      <c r="E831" s="4"/>
      <c r="F831" s="4"/>
      <c r="G831" s="6">
        <v>42</v>
      </c>
      <c r="H831" s="449"/>
      <c r="I831" s="4"/>
      <c r="J831" s="3"/>
      <c r="K831" s="449"/>
      <c r="L831" s="449"/>
      <c r="M831" s="449" t="str">
        <f>IF(L831="","",
IF(AX831="PT",VLOOKUP(L831,Foundation_Calc!$V$79:$X$113,VLOOKUP(AX831,Foundation_Calc!$I$10:$J$13,2,FALSE),0),
IF(AX831="K",VLOOKUP(L831,Foundation_Calc!$V$117:$X$151,VLOOKUP(AX831,Foundation_Calc!$I$10:$J$13,2,FALSE),0),"")))</f>
        <v/>
      </c>
      <c r="N831" s="561"/>
      <c r="O831" s="449"/>
      <c r="P831" s="449"/>
      <c r="Q831" s="4"/>
      <c r="R831" s="6"/>
      <c r="S831" s="6"/>
      <c r="T831" s="4"/>
      <c r="U831" s="4"/>
      <c r="V831" s="4"/>
      <c r="W831" s="9"/>
      <c r="X831" s="9"/>
      <c r="Y831" s="9"/>
      <c r="Z831" s="9"/>
      <c r="AA831" s="9"/>
      <c r="AB831" s="9"/>
      <c r="AC831" s="449" t="str">
        <f t="shared" si="88"/>
        <v/>
      </c>
      <c r="AD831" s="449"/>
      <c r="AE831" s="449"/>
      <c r="AF831" s="4"/>
      <c r="AG831" s="83"/>
      <c r="AH831" s="4"/>
      <c r="AI831" s="4"/>
      <c r="AJ831" s="449"/>
      <c r="AK831" s="449"/>
      <c r="AL831" s="449"/>
      <c r="AM831" s="449"/>
      <c r="AN831" s="10"/>
      <c r="AO831" s="9"/>
      <c r="AP831" s="9"/>
      <c r="AQ831" s="9">
        <f>+FL_2($T$832,$T$828,$G$831,1200,9.28,-1*$F$832)</f>
        <v>-0.10037719942857143</v>
      </c>
      <c r="AR831" s="9"/>
      <c r="AS831" s="9"/>
      <c r="AT831" s="9"/>
      <c r="AU831" s="428"/>
      <c r="AV831" s="428"/>
      <c r="AW831" s="449" t="str">
        <f>IF(C831&gt;0,VLOOKUP(C831,Foundation_Calc!$A$2:$C$13,3,1),
IF(J831&gt;0,VLOOKUP(J831,Foundation_Calc!$A$2:$C$13,3,1),""))</f>
        <v/>
      </c>
      <c r="AX831" s="449" t="str">
        <f>IF(C831&gt;0,VLOOKUP(C831,Foundation_Calc!$E$2:$G$33,3,1),
IF(J831&gt;0,VLOOKUP(J831,Foundation_Calc!$E$2:$G$33,3,1),""))</f>
        <v/>
      </c>
      <c r="AY831" s="10" t="str">
        <f>IF(L831="","",
IF(AX831="PT",VLOOKUP(L831,Foundation_Calc!$K$79:$R$113,VLOOKUP(AW831,Foundation_Calc!$I$2:$J$8,2,FALSE),0),
IF(AX831="K",VLOOKUP(L831,Foundation_Calc!$K$117:$R$151,VLOOKUP(AW831,Foundation_Calc!$I$2:$J$8,2,FALSE),0),"")))</f>
        <v/>
      </c>
      <c r="AZ831" s="10" t="str">
        <f>IF(K831="","",
IF(AX831="PT",VLOOKUP(K831,Foundation_Calc!$K$79:$R$113,VLOOKUP(AW831,Foundation_Calc!$I$2:$J$8,2,FALSE),0),
IF(AX831="K",VLOOKUP(K831,Foundation_Calc!$K$117:$R$151,VLOOKUP(AW831,Foundation_Calc!$I$2:$J$8,2,FALSE),0),"")))</f>
        <v/>
      </c>
      <c r="BA831" s="495" t="str">
        <f t="shared" si="101"/>
        <v/>
      </c>
      <c r="BB831" s="495" t="str">
        <f t="shared" si="102"/>
        <v/>
      </c>
      <c r="BC831" s="495" t="str">
        <f t="shared" si="103"/>
        <v/>
      </c>
      <c r="BD831" s="513" t="str">
        <f>IF(AND(L831="",H831=""),"",
IF(H831="",Pole_Calc!A$9,
IF(H831="MP",Pole_Calc!A$10,
IF(H831="AnMP",Pole_Calc!A$11,
IF(H831="A",Pole_Calc!A$12,
IF(H831="S/A",Pole_Calc!A$13,
IF(H831="A/S",Pole_Calc!A$14,"Poner a mano")))))))</f>
        <v/>
      </c>
      <c r="BE831" s="429" t="s">
        <v>118</v>
      </c>
      <c r="BF831" s="290"/>
      <c r="BG831" s="290"/>
      <c r="BH831" s="290"/>
      <c r="BI831" s="290"/>
    </row>
    <row r="832" spans="1:61" ht="15.75" customHeight="1">
      <c r="A832" s="636" t="s">
        <v>674</v>
      </c>
      <c r="B832" s="637" t="s">
        <v>675</v>
      </c>
      <c r="C832" s="638">
        <f>+$C$830+$G$831</f>
        <v>49910.950000000004</v>
      </c>
      <c r="D832" s="639"/>
      <c r="E832" s="640"/>
      <c r="F832" s="640">
        <f>IF(C832&gt;0,VLOOKUP(C832,'ALIGNMENT TRACK'!$A$1:$K$81,9,1))</f>
        <v>0</v>
      </c>
      <c r="G832" s="641"/>
      <c r="H832" s="642" t="s">
        <v>131</v>
      </c>
      <c r="I832" s="640" t="s">
        <v>132</v>
      </c>
      <c r="J832" s="638"/>
      <c r="K832" s="642"/>
      <c r="L832" s="642" t="s">
        <v>158</v>
      </c>
      <c r="M832" s="642" t="str">
        <f>IF(L832="","",
IF(AX832="PT",VLOOKUP(L832,Foundation_Calc!$V$79:$X$113,VLOOKUP(AX832,Foundation_Calc!$I$10:$J$13,2,FALSE),0),
IF(AX832="K",VLOOKUP(L832,Foundation_Calc!$V$117:$X$151,VLOOKUP(AX832,Foundation_Calc!$I$10:$J$13,2,FALSE),0),"")))</f>
        <v>C4R</v>
      </c>
      <c r="N832" s="642" t="s">
        <v>124</v>
      </c>
      <c r="O832" s="642" t="s">
        <v>133</v>
      </c>
      <c r="P832" s="642"/>
      <c r="Q832" s="640"/>
      <c r="R832" s="641"/>
      <c r="S832" s="641"/>
      <c r="T832" s="640">
        <v>-10</v>
      </c>
      <c r="U832" s="640">
        <v>-55</v>
      </c>
      <c r="V832" s="640"/>
      <c r="W832" s="643">
        <v>1.4</v>
      </c>
      <c r="X832" s="643">
        <v>2.2999999999999998</v>
      </c>
      <c r="Y832" s="643"/>
      <c r="Z832" s="643"/>
      <c r="AA832" s="643">
        <v>0.45</v>
      </c>
      <c r="AB832" s="643"/>
      <c r="AC832" s="642" t="str">
        <f t="shared" si="88"/>
        <v>PH</v>
      </c>
      <c r="AD832" s="642"/>
      <c r="AE832" s="642"/>
      <c r="AF832" s="640"/>
      <c r="AG832" s="639"/>
      <c r="AH832" s="640"/>
      <c r="AI832" s="640"/>
      <c r="AJ832" s="642" t="s">
        <v>135</v>
      </c>
      <c r="AK832" s="642"/>
      <c r="AL832" s="642"/>
      <c r="AM832" s="642" t="s">
        <v>552</v>
      </c>
      <c r="AN832" s="644">
        <v>5.5</v>
      </c>
      <c r="AO832" s="643"/>
      <c r="AP832" s="643"/>
      <c r="AQ832" s="643"/>
      <c r="AR832" s="643"/>
      <c r="AS832" s="643"/>
      <c r="AT832" s="643">
        <f>+ab($T$832,$T$828,$T$838,$G$831,$G$835,-1*$F$832,1200)</f>
        <v>-9.4963601871376095</v>
      </c>
      <c r="AU832" s="645"/>
      <c r="AV832" s="645"/>
      <c r="AW832" s="642" t="str">
        <f>IF(C832&gt;0,VLOOKUP(C832,Foundation_Calc!$A$2:$C$13,3,1),
IF(J832&gt;0,VLOOKUP(J832,Foundation_Calc!$A$2:$C$13,3,1),""))</f>
        <v>Multi Soil</v>
      </c>
      <c r="AX832" s="642" t="str">
        <f>IF(C832&gt;0,VLOOKUP(C832,Foundation_Calc!$E$2:$G$33,3,1),
IF(J832&gt;0,VLOOKUP(J832,Foundation_Calc!$E$2:$G$33,3,1),""))</f>
        <v>PT</v>
      </c>
      <c r="AY832" s="644">
        <f>IF(L832="","",
IF(AX832="PT",VLOOKUP(L832,Foundation_Calc!$K$79:$R$113,VLOOKUP(AW832,Foundation_Calc!$I$2:$J$8,2,FALSE),0),
IF(AX832="K",VLOOKUP(L832,Foundation_Calc!$K$117:$R$151,VLOOKUP(AW832,Foundation_Calc!$I$2:$J$8,2,FALSE),0),"")))</f>
        <v>3.5</v>
      </c>
      <c r="AZ832" s="644" t="str">
        <f>IF(K832="","",
IF(AX832="PT",VLOOKUP(K832,Foundation_Calc!$K$79:$R$113,VLOOKUP(AW832,Foundation_Calc!$I$2:$J$8,2,FALSE),0),
IF(AX832="K",VLOOKUP(K832,Foundation_Calc!$K$117:$R$151,VLOOKUP(AW832,Foundation_Calc!$I$2:$J$8,2,FALSE),0),"")))</f>
        <v/>
      </c>
      <c r="BA832" s="495" t="str">
        <f t="shared" si="101"/>
        <v>ü</v>
      </c>
      <c r="BB832" s="495" t="str">
        <f t="shared" si="102"/>
        <v/>
      </c>
      <c r="BC832" s="495" t="str">
        <f t="shared" si="103"/>
        <v/>
      </c>
      <c r="BD832" s="513" t="str">
        <f>IF(AND(L832="",H832=""),"",
IF(H832="",Pole_Calc!A$9,
IF(H832="MP",Pole_Calc!A$10,
IF(H832="AnMP",Pole_Calc!A$11,
IF(H832="A",Pole_Calc!A$12,
IF(H832="S/A",Pole_Calc!A$13,
IF(H832="A/S",Pole_Calc!A$14,"Poner a mano")))))))</f>
        <v>App.7-V11I-P9.5.1.5</v>
      </c>
      <c r="BE832" s="429" t="s">
        <v>118</v>
      </c>
      <c r="BF832" s="289"/>
      <c r="BG832" s="289"/>
      <c r="BH832" s="290"/>
      <c r="BI832" s="289"/>
    </row>
    <row r="833" spans="1:61" ht="15.75" customHeight="1">
      <c r="A833" s="571" t="s">
        <v>119</v>
      </c>
      <c r="B833" s="450"/>
      <c r="C833" s="3"/>
      <c r="D833" s="83"/>
      <c r="E833" s="4"/>
      <c r="F833" s="4"/>
      <c r="G833" s="6">
        <v>25</v>
      </c>
      <c r="H833" s="449"/>
      <c r="I833" s="4"/>
      <c r="J833" s="3"/>
      <c r="K833" s="449"/>
      <c r="L833" s="449"/>
      <c r="M833" s="449" t="str">
        <f>IF(L833="","",
IF(AX833="PT",VLOOKUP(L833,Foundation_Calc!$V$79:$X$113,VLOOKUP(AX833,Foundation_Calc!$I$10:$J$13,2,FALSE),0),
IF(AX833="K",VLOOKUP(L833,Foundation_Calc!$V$117:$X$151,VLOOKUP(AX833,Foundation_Calc!$I$10:$J$13,2,FALSE),0),"")))</f>
        <v/>
      </c>
      <c r="N833" s="449"/>
      <c r="O833" s="449"/>
      <c r="P833" s="449"/>
      <c r="Q833" s="4"/>
      <c r="R833" s="6"/>
      <c r="S833" s="6"/>
      <c r="T833" s="4"/>
      <c r="U833" s="4"/>
      <c r="V833" s="4"/>
      <c r="W833" s="9"/>
      <c r="X833" s="9"/>
      <c r="Y833" s="9"/>
      <c r="Z833" s="9"/>
      <c r="AA833" s="9"/>
      <c r="AB833" s="9"/>
      <c r="AC833" s="449"/>
      <c r="AD833" s="449"/>
      <c r="AE833" s="449"/>
      <c r="AF833" s="4"/>
      <c r="AG833" s="83"/>
      <c r="AH833" s="4"/>
      <c r="AI833" s="4"/>
      <c r="AJ833" s="449" t="s">
        <v>668</v>
      </c>
      <c r="AK833" s="449"/>
      <c r="AL833" s="449"/>
      <c r="AM833" s="449"/>
      <c r="AN833" s="10"/>
      <c r="AO833" s="9"/>
      <c r="AP833" s="9"/>
      <c r="AQ833" s="9"/>
      <c r="AR833" s="9"/>
      <c r="AS833" s="9"/>
      <c r="AT833" s="9"/>
      <c r="AU833" s="428"/>
      <c r="AV833" s="428"/>
      <c r="AW833" s="449" t="str">
        <f>IF(C833&gt;0,VLOOKUP(C833,Foundation_Calc!$A$2:$C$13,3,1),
IF(J833&gt;0,VLOOKUP(J833,Foundation_Calc!$A$2:$C$13,3,1),""))</f>
        <v/>
      </c>
      <c r="AX833" s="449" t="str">
        <f>IF(C833&gt;0,VLOOKUP(C833,Foundation_Calc!$E$2:$G$33,3,1),
IF(J833&gt;0,VLOOKUP(J833,Foundation_Calc!$E$2:$G$33,3,1),""))</f>
        <v/>
      </c>
      <c r="AY833" s="10" t="str">
        <f>IF(L833="","",
IF(AX833="PT",VLOOKUP(L833,Foundation_Calc!$K$79:$R$113,VLOOKUP(AW833,Foundation_Calc!$I$2:$J$8,2,FALSE),0),
IF(AX833="K",VLOOKUP(L833,Foundation_Calc!$K$117:$R$151,VLOOKUP(AW833,Foundation_Calc!$I$2:$J$8,2,FALSE),0),"")))</f>
        <v/>
      </c>
      <c r="AZ833" s="10" t="str">
        <f>IF(K833="","",
IF(AX833="PT",VLOOKUP(K833,Foundation_Calc!$K$79:$R$113,VLOOKUP(AW833,Foundation_Calc!$I$2:$J$8,2,FALSE),0),
IF(AX833="K",VLOOKUP(K833,Foundation_Calc!$K$117:$R$151,VLOOKUP(AW833,Foundation_Calc!$I$2:$J$8,2,FALSE),0),"")))</f>
        <v/>
      </c>
      <c r="BA833" s="495" t="str">
        <f t="shared" si="101"/>
        <v/>
      </c>
      <c r="BB833" s="495" t="str">
        <f t="shared" si="102"/>
        <v/>
      </c>
      <c r="BC833" s="495" t="str">
        <f t="shared" si="103"/>
        <v/>
      </c>
      <c r="BD833" s="513" t="str">
        <f>IF(AND(L833="",H833=""),"",
IF(H833="",Pole_Calc!A$9,
IF(H833="MP",Pole_Calc!A$10,
IF(H833="AnMP",Pole_Calc!A$11,
IF(H833="A",Pole_Calc!A$12,
IF(H833="S/A",Pole_Calc!A$13,
IF(H833="A/S",Pole_Calc!A$14,"Poner a mano")))))))</f>
        <v/>
      </c>
      <c r="BE833" s="429" t="s">
        <v>118</v>
      </c>
      <c r="BF833" s="290"/>
      <c r="BG833" s="290"/>
      <c r="BH833" s="290"/>
      <c r="BI833" s="290"/>
    </row>
    <row r="834" spans="1:61" ht="15.75" customHeight="1">
      <c r="A834" s="571" t="s">
        <v>119</v>
      </c>
      <c r="B834" s="450" t="s">
        <v>676</v>
      </c>
      <c r="C834" s="3">
        <f>+$C$832+$G$833</f>
        <v>49935.950000000004</v>
      </c>
      <c r="D834" s="83"/>
      <c r="E834" s="4"/>
      <c r="F834" s="4"/>
      <c r="G834" s="6"/>
      <c r="H834" s="449"/>
      <c r="I834" s="4"/>
      <c r="J834" s="3"/>
      <c r="K834" s="449"/>
      <c r="L834" s="449" t="s">
        <v>128</v>
      </c>
      <c r="M834" s="449" t="str">
        <f>IF(L834="","",
IF(AX834="PT",VLOOKUP(L834,Foundation_Calc!$V$79:$X$113,VLOOKUP(AX834,Foundation_Calc!$I$10:$J$13,2,FALSE),0),
IF(AX834="K",VLOOKUP(L834,Foundation_Calc!$V$117:$X$151,VLOOKUP(AX834,Foundation_Calc!$I$10:$J$13,2,FALSE),0),"")))</f>
        <v>T-SING FOUND.</v>
      </c>
      <c r="N834" s="449"/>
      <c r="O834" s="449"/>
      <c r="P834" s="449"/>
      <c r="Q834" s="4"/>
      <c r="R834" s="6"/>
      <c r="S834" s="6"/>
      <c r="T834" s="4"/>
      <c r="U834" s="4"/>
      <c r="V834" s="4"/>
      <c r="W834" s="9"/>
      <c r="X834" s="9"/>
      <c r="Y834" s="9"/>
      <c r="Z834" s="9"/>
      <c r="AA834" s="9"/>
      <c r="AB834" s="9"/>
      <c r="AC834" s="449"/>
      <c r="AD834" s="449"/>
      <c r="AE834" s="449"/>
      <c r="AF834" s="4"/>
      <c r="AG834" s="83"/>
      <c r="AH834" s="4"/>
      <c r="AI834" s="4"/>
      <c r="AJ834" s="449"/>
      <c r="AK834" s="449"/>
      <c r="AL834" s="449"/>
      <c r="AM834" s="449"/>
      <c r="AN834" s="10"/>
      <c r="AO834" s="9"/>
      <c r="AP834" s="9"/>
      <c r="AQ834" s="9"/>
      <c r="AR834" s="9"/>
      <c r="AS834" s="9"/>
      <c r="AT834" s="9"/>
      <c r="AU834" s="428"/>
      <c r="AV834" s="428"/>
      <c r="AW834" s="449" t="str">
        <f>IF(C834&gt;0,VLOOKUP(C834,Foundation_Calc!$A$2:$C$13,3,1),
IF(J834&gt;0,VLOOKUP(J834,Foundation_Calc!$A$2:$C$13,3,1),""))</f>
        <v>Multi Soil</v>
      </c>
      <c r="AX834" s="449" t="str">
        <f>IF(C834&gt;0,VLOOKUP(C834,Foundation_Calc!$E$2:$G$33,3,1),
IF(J834&gt;0,VLOOKUP(J834,Foundation_Calc!$E$2:$G$33,3,1),""))</f>
        <v>PT</v>
      </c>
      <c r="AY834" s="10">
        <f>IF(L834="","",
IF(AX834="PT",VLOOKUP(L834,Foundation_Calc!$K$79:$R$113,VLOOKUP(AW834,Foundation_Calc!$I$2:$J$8,2,FALSE),0),
IF(AX834="K",VLOOKUP(L834,Foundation_Calc!$K$117:$R$151,VLOOKUP(AW834,Foundation_Calc!$I$2:$J$8,2,FALSE),0),"")))</f>
        <v>1.2</v>
      </c>
      <c r="AZ834" s="10" t="str">
        <f>IF(K834="","",
IF(AX834="PT",VLOOKUP(K834,Foundation_Calc!$K$79:$R$113,VLOOKUP(AW834,Foundation_Calc!$I$2:$J$8,2,FALSE),0),
IF(AX834="K",VLOOKUP(K834,Foundation_Calc!$K$117:$R$151,VLOOKUP(AW834,Foundation_Calc!$I$2:$J$8,2,FALSE),0),"")))</f>
        <v/>
      </c>
      <c r="BA834" s="495"/>
      <c r="BB834" s="495" t="str">
        <f t="shared" si="102"/>
        <v/>
      </c>
      <c r="BC834" s="495" t="str">
        <f t="shared" si="103"/>
        <v/>
      </c>
      <c r="BD834" s="513"/>
      <c r="BE834" s="429" t="s">
        <v>118</v>
      </c>
      <c r="BF834" s="289"/>
      <c r="BG834" s="289"/>
      <c r="BH834" s="290"/>
      <c r="BI834" s="289"/>
    </row>
    <row r="835" spans="1:61" ht="15.75" customHeight="1">
      <c r="A835" s="571" t="s">
        <v>119</v>
      </c>
      <c r="B835" s="450"/>
      <c r="C835" s="3"/>
      <c r="D835" s="83"/>
      <c r="E835" s="4"/>
      <c r="F835" s="4"/>
      <c r="G835" s="6">
        <v>55</v>
      </c>
      <c r="H835" s="449"/>
      <c r="I835" s="4"/>
      <c r="J835" s="3"/>
      <c r="K835" s="449"/>
      <c r="L835" s="449"/>
      <c r="M835" s="449" t="str">
        <f>IF(L835="","",
IF(AX835="PT",VLOOKUP(L835,Foundation_Calc!$V$79:$X$113,VLOOKUP(AX835,Foundation_Calc!$I$10:$J$13,2,FALSE),0),
IF(AX835="K",VLOOKUP(L835,Foundation_Calc!$V$117:$X$151,VLOOKUP(AX835,Foundation_Calc!$I$10:$J$13,2,FALSE),0),"")))</f>
        <v/>
      </c>
      <c r="N835" s="449"/>
      <c r="O835" s="449"/>
      <c r="P835" s="449"/>
      <c r="Q835" s="4"/>
      <c r="R835" s="6"/>
      <c r="S835" s="6"/>
      <c r="T835" s="4"/>
      <c r="U835" s="4"/>
      <c r="V835" s="4"/>
      <c r="W835" s="9"/>
      <c r="X835" s="9"/>
      <c r="Y835" s="9"/>
      <c r="Z835" s="9"/>
      <c r="AA835" s="9"/>
      <c r="AB835" s="9"/>
      <c r="AC835" s="449" t="str">
        <f t="shared" si="88"/>
        <v/>
      </c>
      <c r="AD835" s="449"/>
      <c r="AE835" s="449"/>
      <c r="AF835" s="4"/>
      <c r="AG835" s="83"/>
      <c r="AH835" s="4"/>
      <c r="AI835" s="4"/>
      <c r="AJ835" s="449"/>
      <c r="AK835" s="449"/>
      <c r="AL835" s="449"/>
      <c r="AM835" s="449"/>
      <c r="AN835" s="10"/>
      <c r="AO835" s="9"/>
      <c r="AP835" s="9"/>
      <c r="AQ835" s="9">
        <f>+FL_1($T$838,$T$832,$G$835,1200,9.28,-1*$F$838)</f>
        <v>0.33077517139393936</v>
      </c>
      <c r="AR835" s="9"/>
      <c r="AS835" s="9"/>
      <c r="AT835" s="9"/>
      <c r="AU835" s="428"/>
      <c r="AV835" s="428"/>
      <c r="AW835" s="449" t="str">
        <f>IF(C835&gt;0,VLOOKUP(C835,Foundation_Calc!$A$2:$C$13,3,1),
IF(J835&gt;0,VLOOKUP(J835,Foundation_Calc!$A$2:$C$13,3,1),""))</f>
        <v/>
      </c>
      <c r="AX835" s="449" t="str">
        <f>IF(C835&gt;0,VLOOKUP(C835,Foundation_Calc!$E$2:$G$33,3,1),
IF(J835&gt;0,VLOOKUP(J835,Foundation_Calc!$E$2:$G$33,3,1),""))</f>
        <v/>
      </c>
      <c r="AY835" s="10" t="str">
        <f>IF(L835="","",
IF(AX835="PT",VLOOKUP(L835,Foundation_Calc!$K$79:$R$113,VLOOKUP(AW835,Foundation_Calc!$I$2:$J$8,2,FALSE),0),
IF(AX835="K",VLOOKUP(L835,Foundation_Calc!$K$117:$R$151,VLOOKUP(AW835,Foundation_Calc!$I$2:$J$8,2,FALSE),0),"")))</f>
        <v/>
      </c>
      <c r="AZ835" s="10" t="str">
        <f>IF(K835="","",
IF(AX835="PT",VLOOKUP(K835,Foundation_Calc!$K$79:$R$113,VLOOKUP(AW835,Foundation_Calc!$I$2:$J$8,2,FALSE),0),
IF(AX835="K",VLOOKUP(K835,Foundation_Calc!$K$117:$R$151,VLOOKUP(AW835,Foundation_Calc!$I$2:$J$8,2,FALSE),0),"")))</f>
        <v/>
      </c>
      <c r="BA835" s="495" t="str">
        <f t="shared" si="101"/>
        <v/>
      </c>
      <c r="BB835" s="495" t="str">
        <f t="shared" si="102"/>
        <v/>
      </c>
      <c r="BC835" s="495" t="str">
        <f t="shared" si="103"/>
        <v/>
      </c>
      <c r="BD835" s="513" t="str">
        <f>IF(AND(L835="",H835=""),"",
IF(H835="",Pole_Calc!A$9,
IF(H835="MP",Pole_Calc!A$10,
IF(H835="AnMP",Pole_Calc!A$11,
IF(H835="A",Pole_Calc!A$12,
IF(H835="S/A",Pole_Calc!A$13,
IF(H835="A/S",Pole_Calc!A$14,"Poner a mano")))))))</f>
        <v/>
      </c>
      <c r="BE835" s="429" t="s">
        <v>118</v>
      </c>
      <c r="BF835" s="290"/>
      <c r="BG835" s="290"/>
      <c r="BH835" s="290"/>
      <c r="BI835" s="290"/>
    </row>
    <row r="836" spans="1:61" ht="15.75" customHeight="1">
      <c r="A836" s="571" t="s">
        <v>119</v>
      </c>
      <c r="B836" s="450" t="s">
        <v>677</v>
      </c>
      <c r="C836" s="3">
        <f>+$C$832+$G$835</f>
        <v>49965.950000000004</v>
      </c>
      <c r="D836" s="83"/>
      <c r="E836" s="4"/>
      <c r="F836" s="4">
        <v>0</v>
      </c>
      <c r="G836" s="6"/>
      <c r="H836" s="449" t="s">
        <v>121</v>
      </c>
      <c r="I836" s="4" t="s">
        <v>122</v>
      </c>
      <c r="J836" s="3"/>
      <c r="K836" s="449"/>
      <c r="L836" s="449" t="s">
        <v>151</v>
      </c>
      <c r="M836" s="449" t="str">
        <f>IF(L836="","",
IF(AX836="PT",VLOOKUP(L836,Foundation_Calc!$V$79:$X$113,VLOOKUP(AX836,Foundation_Calc!$I$10:$J$13,2,FALSE),0),
IF(AX836="K",VLOOKUP(L836,Foundation_Calc!$V$117:$X$151,VLOOKUP(AX836,Foundation_Calc!$I$10:$J$13,2,FALSE),0),"")))</f>
        <v>C4R</v>
      </c>
      <c r="N836" s="449" t="s">
        <v>134</v>
      </c>
      <c r="O836" s="449"/>
      <c r="P836" s="449"/>
      <c r="Q836" s="4"/>
      <c r="R836" s="6"/>
      <c r="S836" s="6"/>
      <c r="T836" s="4">
        <v>25</v>
      </c>
      <c r="U836" s="4"/>
      <c r="V836" s="4"/>
      <c r="W836" s="9">
        <v>1.4</v>
      </c>
      <c r="X836" s="9"/>
      <c r="Y836" s="9"/>
      <c r="Z836" s="9"/>
      <c r="AA836" s="9"/>
      <c r="AB836" s="9"/>
      <c r="AC836" s="449" t="str">
        <f t="shared" si="88"/>
        <v>PH</v>
      </c>
      <c r="AD836" s="449"/>
      <c r="AE836" s="449"/>
      <c r="AF836" s="4"/>
      <c r="AG836" s="83"/>
      <c r="AH836" s="4"/>
      <c r="AI836" s="4"/>
      <c r="AJ836" s="449"/>
      <c r="AK836" s="449"/>
      <c r="AL836" s="449"/>
      <c r="AM836" s="449" t="s">
        <v>552</v>
      </c>
      <c r="AN836" s="10">
        <v>5.5</v>
      </c>
      <c r="AO836" s="9"/>
      <c r="AP836" s="9"/>
      <c r="AQ836" s="9"/>
      <c r="AR836" s="9"/>
      <c r="AS836" s="9"/>
      <c r="AT836" s="9">
        <f>+ab($T$838,$T$836,$T$840,$G$837,$G$839,-1*$F$838,1200)</f>
        <v>23.92974772837184</v>
      </c>
      <c r="AU836" s="428"/>
      <c r="AV836" s="428"/>
      <c r="AW836" s="449" t="str">
        <f>IF(C836&gt;0,VLOOKUP(C836,Foundation_Calc!$A$2:$C$13,3,1),
IF(J836&gt;0,VLOOKUP(J836,Foundation_Calc!$A$2:$C$13,3,1),""))</f>
        <v>Multi Soil</v>
      </c>
      <c r="AX836" s="449" t="str">
        <f>IF(C836&gt;0,VLOOKUP(C836,Foundation_Calc!$E$2:$G$33,3,1),
IF(J836&gt;0,VLOOKUP(J836,Foundation_Calc!$E$2:$G$33,3,1),""))</f>
        <v>PT</v>
      </c>
      <c r="AY836" s="10">
        <f>IF(L836="","",
IF(AX836="PT",VLOOKUP(L836,Foundation_Calc!$K$79:$R$113,VLOOKUP(AW836,Foundation_Calc!$I$2:$J$8,2,FALSE),0),
IF(AX836="K",VLOOKUP(L836,Foundation_Calc!$K$117:$R$151,VLOOKUP(AW836,Foundation_Calc!$I$2:$J$8,2,FALSE),0),"")))</f>
        <v>3.5</v>
      </c>
      <c r="AZ836" s="10" t="str">
        <f>IF(K836="","",
IF(AX836="PT",VLOOKUP(K836,Foundation_Calc!$K$79:$R$113,VLOOKUP(AW836,Foundation_Calc!$I$2:$J$8,2,FALSE),0),
IF(AX836="K",VLOOKUP(K836,Foundation_Calc!$K$117:$R$151,VLOOKUP(AW836,Foundation_Calc!$I$2:$J$8,2,FALSE),0),"")))</f>
        <v/>
      </c>
      <c r="BA836" s="495" t="str">
        <f t="shared" si="101"/>
        <v>ü</v>
      </c>
      <c r="BB836" s="495" t="str">
        <f t="shared" si="102"/>
        <v/>
      </c>
      <c r="BC836" s="495" t="str">
        <f t="shared" si="103"/>
        <v/>
      </c>
      <c r="BD836" s="513" t="str">
        <f>IF(AND(L836="",H836=""),"",
IF(H836="",Pole_Calc!A$9,
IF(H836="MP",Pole_Calc!A$10,
IF(H836="AnMP",Pole_Calc!A$11,
IF(H836="A",Pole_Calc!A$12,
IF(H836="S/A",Pole_Calc!A$13,
IF(H836="A/S",Pole_Calc!A$14,"Poner a mano")))))))</f>
        <v>App.7-V11I-P9.5.1.6</v>
      </c>
      <c r="BE836" s="429" t="s">
        <v>118</v>
      </c>
      <c r="BF836" s="289"/>
      <c r="BG836" s="289"/>
      <c r="BH836" s="290"/>
      <c r="BI836" s="289"/>
    </row>
    <row r="837" spans="1:61" ht="15.75" customHeight="1">
      <c r="A837" s="646" t="s">
        <v>663</v>
      </c>
      <c r="B837" s="637"/>
      <c r="C837" s="638"/>
      <c r="D837" s="639"/>
      <c r="E837" s="640"/>
      <c r="F837" s="640"/>
      <c r="G837" s="641">
        <v>53</v>
      </c>
      <c r="H837" s="642"/>
      <c r="I837" s="640"/>
      <c r="J837" s="638">
        <f>C836+7.5</f>
        <v>49973.450000000004</v>
      </c>
      <c r="K837" s="642" t="s">
        <v>117</v>
      </c>
      <c r="L837" s="642"/>
      <c r="M837" s="642"/>
      <c r="N837" s="642"/>
      <c r="O837" s="642"/>
      <c r="P837" s="642"/>
      <c r="Q837" s="640"/>
      <c r="R837" s="641"/>
      <c r="S837" s="641"/>
      <c r="T837" s="640"/>
      <c r="U837" s="640"/>
      <c r="V837" s="640"/>
      <c r="W837" s="643"/>
      <c r="X837" s="643"/>
      <c r="Y837" s="643"/>
      <c r="Z837" s="643"/>
      <c r="AA837" s="643"/>
      <c r="AB837" s="643"/>
      <c r="AC837" s="642"/>
      <c r="AD837" s="642"/>
      <c r="AE837" s="642"/>
      <c r="AF837" s="640"/>
      <c r="AG837" s="639"/>
      <c r="AH837" s="640"/>
      <c r="AI837" s="640"/>
      <c r="AJ837" s="642"/>
      <c r="AK837" s="642"/>
      <c r="AL837" s="642"/>
      <c r="AM837" s="642"/>
      <c r="AN837" s="644"/>
      <c r="AO837" s="643"/>
      <c r="AP837" s="643"/>
      <c r="AQ837" s="643">
        <f>+FL_1($T$838,$T$836,$G$837,1200,9.28,-1*$F$838)</f>
        <v>0.47383838158490565</v>
      </c>
      <c r="AR837" s="643"/>
      <c r="AS837" s="643"/>
      <c r="AT837" s="643"/>
      <c r="AU837" s="645"/>
      <c r="AV837" s="645"/>
      <c r="AW837" s="642" t="str">
        <f>IF(C837&gt;0,VLOOKUP(C837,Foundation_Calc!$A$2:$C$13,3,1),
IF(J837&gt;0,VLOOKUP(J837,Foundation_Calc!$A$2:$C$13,3,1),""))</f>
        <v>Multi Soil</v>
      </c>
      <c r="AX837" s="642" t="str">
        <f>IF(C837&gt;0,VLOOKUP(C837,Foundation_Calc!$E$2:$G$33,3,1),
IF(J837&gt;0,VLOOKUP(J837,Foundation_Calc!$E$2:$G$33,3,1),""))</f>
        <v>PT</v>
      </c>
      <c r="AY837" s="644" t="str">
        <f>IF(L837="","",
IF(AX837="PT",VLOOKUP(L837,Foundation_Calc!$K$79:$R$113,VLOOKUP(AW837,Foundation_Calc!$I$2:$J$8,2,FALSE),0),
IF(AX837="K",VLOOKUP(L837,Foundation_Calc!$K$117:$R$151,VLOOKUP(AW837,Foundation_Calc!$I$2:$J$8,2,FALSE),0),"")))</f>
        <v/>
      </c>
      <c r="AZ837" s="644">
        <f>IF(K837="","",
IF(AX837="PT",VLOOKUP(K837,Foundation_Calc!$K$79:$R$113,VLOOKUP(AW837,Foundation_Calc!$I$2:$J$8,2,FALSE),0),
IF(AX837="K",VLOOKUP(K837,Foundation_Calc!$K$117:$R$151,VLOOKUP(AW837,Foundation_Calc!$I$2:$J$8,2,FALSE),0),"")))</f>
        <v>3.9</v>
      </c>
      <c r="BA837" s="495" t="str">
        <f t="shared" si="101"/>
        <v/>
      </c>
      <c r="BB837" s="495" t="str">
        <f t="shared" si="102"/>
        <v>ü</v>
      </c>
      <c r="BC837" s="495" t="str">
        <f t="shared" si="103"/>
        <v/>
      </c>
      <c r="BD837" s="513" t="str">
        <f>IF(AND(L837="",H837=""),"",
IF(H837="",Pole_Calc!A$9,
IF(H837="MP",Pole_Calc!A$10,
IF(H837="AnMP",Pole_Calc!A$11,
IF(H837="A",Pole_Calc!A$12,
IF(H837="S/A",Pole_Calc!A$13,
IF(H837="A/S",Pole_Calc!A$14,"Poner a mano")))))))</f>
        <v/>
      </c>
      <c r="BE837" s="429" t="s">
        <v>118</v>
      </c>
      <c r="BF837" s="290"/>
      <c r="BG837" s="290"/>
      <c r="BH837" s="290"/>
      <c r="BI837" s="290"/>
    </row>
    <row r="838" spans="1:61" ht="15.75" customHeight="1">
      <c r="A838" s="514"/>
      <c r="B838" s="450" t="s">
        <v>678</v>
      </c>
      <c r="C838" s="3">
        <f>+$C$836+$G$837</f>
        <v>50018.950000000004</v>
      </c>
      <c r="D838" s="83"/>
      <c r="E838" s="4"/>
      <c r="F838" s="4">
        <f>IF(C838&gt;0,VLOOKUP(C838,'ALIGNMENT TRACK'!$A$1:$K$81,9,1))</f>
        <v>0</v>
      </c>
      <c r="G838" s="6"/>
      <c r="H838" s="449"/>
      <c r="I838" s="4"/>
      <c r="J838" s="3"/>
      <c r="K838" s="449"/>
      <c r="L838" s="449" t="s">
        <v>153</v>
      </c>
      <c r="M838" s="449" t="str">
        <f>IF(L838="","",
IF(AX838="PT",VLOOKUP(L838,Foundation_Calc!$V$79:$X$113,VLOOKUP(AX838,Foundation_Calc!$I$10:$J$13,2,FALSE),0),
IF(AX838="K",VLOOKUP(L838,Foundation_Calc!$V$117:$X$151,VLOOKUP(AX838,Foundation_Calc!$I$10:$J$13,2,FALSE),0),"")))</f>
        <v>C3R</v>
      </c>
      <c r="N838" s="449" t="s">
        <v>134</v>
      </c>
      <c r="O838" s="449"/>
      <c r="P838" s="449"/>
      <c r="Q838" s="4"/>
      <c r="R838" s="6"/>
      <c r="S838" s="6"/>
      <c r="T838" s="4">
        <v>15</v>
      </c>
      <c r="U838" s="4"/>
      <c r="V838" s="4"/>
      <c r="W838" s="9">
        <v>1.4</v>
      </c>
      <c r="X838" s="9"/>
      <c r="Y838" s="9"/>
      <c r="Z838" s="9"/>
      <c r="AA838" s="9"/>
      <c r="AB838" s="9"/>
      <c r="AC838" s="449" t="str">
        <f t="shared" si="88"/>
        <v>PH</v>
      </c>
      <c r="AD838" s="449"/>
      <c r="AE838" s="449"/>
      <c r="AF838" s="4"/>
      <c r="AG838" s="83"/>
      <c r="AH838" s="4"/>
      <c r="AI838" s="4"/>
      <c r="AJ838" s="449"/>
      <c r="AK838" s="449"/>
      <c r="AL838" s="449"/>
      <c r="AM838" s="449" t="s">
        <v>552</v>
      </c>
      <c r="AN838" s="10">
        <v>5.5</v>
      </c>
      <c r="AO838" s="9"/>
      <c r="AP838" s="9"/>
      <c r="AQ838" s="9"/>
      <c r="AR838" s="9"/>
      <c r="AS838" s="9"/>
      <c r="AT838" s="9">
        <f>+ab($T$838,$T$832,$T$840,$G$835,$G$839,-1*$F$838,1200)</f>
        <v>13.472810520079815</v>
      </c>
      <c r="AU838" s="428"/>
      <c r="AV838" s="428"/>
      <c r="AW838" s="449" t="str">
        <f>IF(C838&gt;0,VLOOKUP(C838,Foundation_Calc!$A$2:$C$13,3,1),
IF(J838&gt;0,VLOOKUP(J838,Foundation_Calc!$A$2:$C$13,3,1),""))</f>
        <v>Multi Soil</v>
      </c>
      <c r="AX838" s="449" t="str">
        <f>IF(C838&gt;0,VLOOKUP(C838,Foundation_Calc!$E$2:$G$33,3,1),
IF(J838&gt;0,VLOOKUP(J838,Foundation_Calc!$E$2:$G$33,3,1),""))</f>
        <v>PT</v>
      </c>
      <c r="AY838" s="10">
        <f>IF(L838="","",
IF(AX838="PT",VLOOKUP(L838,Foundation_Calc!$K$79:$R$113,VLOOKUP(AW838,Foundation_Calc!$I$2:$J$8,2,FALSE),0),
IF(AX838="K",VLOOKUP(L838,Foundation_Calc!$K$117:$R$151,VLOOKUP(AW838,Foundation_Calc!$I$2:$J$8,2,FALSE),0),"")))</f>
        <v>3.5</v>
      </c>
      <c r="AZ838" s="10" t="str">
        <f>IF(K838="","",
IF(AX838="PT",VLOOKUP(K838,Foundation_Calc!$K$79:$R$113,VLOOKUP(AW838,Foundation_Calc!$I$2:$J$8,2,FALSE),0),
IF(AX838="K",VLOOKUP(K838,Foundation_Calc!$K$117:$R$151,VLOOKUP(AW838,Foundation_Calc!$I$2:$J$8,2,FALSE),0),"")))</f>
        <v/>
      </c>
      <c r="BA838" s="495" t="str">
        <f t="shared" si="95"/>
        <v>ü</v>
      </c>
      <c r="BB838" s="495" t="str">
        <f t="shared" si="96"/>
        <v/>
      </c>
      <c r="BC838" s="495" t="str">
        <f t="shared" si="97"/>
        <v/>
      </c>
      <c r="BD838" s="513" t="str">
        <f>IF(AND(L838="",H838=""),"",
IF(H838="",Pole_Calc!A$9,
IF(H838="MP",Pole_Calc!A$10,
IF(H838="AnMP",Pole_Calc!A$11,
IF(H838="A",Pole_Calc!A$12,
IF(H838="S/A",Pole_Calc!A$13,
IF(H838="A/S",Pole_Calc!A$14,"Poner a mano")))))))</f>
        <v>App.7-V11I-P9.5.1.1</v>
      </c>
      <c r="BE838" s="429" t="s">
        <v>118</v>
      </c>
      <c r="BF838" s="289"/>
      <c r="BG838" s="289"/>
      <c r="BH838" s="290"/>
      <c r="BI838" s="289"/>
    </row>
    <row r="839" spans="1:61" ht="15.75" customHeight="1">
      <c r="A839" s="514"/>
      <c r="B839" s="450"/>
      <c r="C839" s="3"/>
      <c r="D839" s="83"/>
      <c r="E839" s="4"/>
      <c r="F839" s="4"/>
      <c r="G839" s="6">
        <v>53</v>
      </c>
      <c r="H839" s="449"/>
      <c r="I839" s="4"/>
      <c r="J839" s="3"/>
      <c r="K839" s="449"/>
      <c r="L839" s="449"/>
      <c r="M839" s="449" t="str">
        <f>IF(L839="","",
IF(AX839="PT",VLOOKUP(L839,Foundation_Calc!$V$79:$X$113,VLOOKUP(AX839,Foundation_Calc!$I$10:$J$13,2,FALSE),0),
IF(AX839="K",VLOOKUP(L839,Foundation_Calc!$V$117:$X$151,VLOOKUP(AX839,Foundation_Calc!$I$10:$J$13,2,FALSE),0),"")))</f>
        <v/>
      </c>
      <c r="N839" s="449"/>
      <c r="O839" s="449"/>
      <c r="P839" s="449"/>
      <c r="Q839" s="4"/>
      <c r="R839" s="6"/>
      <c r="S839" s="6"/>
      <c r="T839" s="4"/>
      <c r="U839" s="4"/>
      <c r="V839" s="4"/>
      <c r="W839" s="9"/>
      <c r="X839" s="9"/>
      <c r="Y839" s="9"/>
      <c r="Z839" s="9"/>
      <c r="AA839" s="9"/>
      <c r="AB839" s="9"/>
      <c r="AC839" s="449" t="str">
        <f t="shared" si="88"/>
        <v/>
      </c>
      <c r="AD839" s="449"/>
      <c r="AE839" s="449"/>
      <c r="AF839" s="4"/>
      <c r="AG839" s="83"/>
      <c r="AH839" s="4"/>
      <c r="AI839" s="4"/>
      <c r="AJ839" s="449"/>
      <c r="AK839" s="449"/>
      <c r="AL839" s="449"/>
      <c r="AM839" s="449"/>
      <c r="AN839" s="10"/>
      <c r="AO839" s="9"/>
      <c r="AP839" s="9"/>
      <c r="AQ839" s="9">
        <f>+FL_2($T$840,$T$838,$G$839,1200,9.28,-1*$F$840)</f>
        <v>-0.42907953962264145</v>
      </c>
      <c r="AR839" s="9"/>
      <c r="AS839" s="9"/>
      <c r="AT839" s="9"/>
      <c r="AU839" s="428"/>
      <c r="AV839" s="428"/>
      <c r="AW839" s="449" t="str">
        <f>IF(C839&gt;0,VLOOKUP(C839,Foundation_Calc!$A$2:$C$13,3,1),
IF(J839&gt;0,VLOOKUP(J839,Foundation_Calc!$A$2:$C$13,3,1),""))</f>
        <v/>
      </c>
      <c r="AX839" s="449" t="str">
        <f>IF(C839&gt;0,VLOOKUP(C839,Foundation_Calc!$E$2:$G$33,3,1),
IF(J839&gt;0,VLOOKUP(J839,Foundation_Calc!$E$2:$G$33,3,1),""))</f>
        <v/>
      </c>
      <c r="AY839" s="10" t="str">
        <f>IF(L839="","",
IF(AX839="PT",VLOOKUP(L839,Foundation_Calc!$K$79:$R$113,VLOOKUP(AW839,Foundation_Calc!$I$2:$J$8,2,FALSE),0),
IF(AX839="K",VLOOKUP(L839,Foundation_Calc!$K$117:$R$151,VLOOKUP(AW839,Foundation_Calc!$I$2:$J$8,2,FALSE),0),"")))</f>
        <v/>
      </c>
      <c r="AZ839" s="10" t="str">
        <f>IF(K839="","",
IF(AX839="PT",VLOOKUP(K839,Foundation_Calc!$K$79:$R$113,VLOOKUP(AW839,Foundation_Calc!$I$2:$J$8,2,FALSE),0),
IF(AX839="K",VLOOKUP(K839,Foundation_Calc!$K$117:$R$151,VLOOKUP(AW839,Foundation_Calc!$I$2:$J$8,2,FALSE),0),"")))</f>
        <v/>
      </c>
      <c r="BA839" s="495" t="str">
        <f t="shared" si="95"/>
        <v/>
      </c>
      <c r="BB839" s="495" t="str">
        <f t="shared" si="96"/>
        <v/>
      </c>
      <c r="BC839" s="495" t="str">
        <f t="shared" si="97"/>
        <v/>
      </c>
      <c r="BD839" s="513" t="str">
        <f>IF(AND(L839="",H839=""),"",
IF(H839="",Pole_Calc!A$9,
IF(H839="MP",Pole_Calc!A$10,
IF(H839="AnMP",Pole_Calc!A$11,
IF(H839="A",Pole_Calc!A$12,
IF(H839="S/A",Pole_Calc!A$13,
IF(H839="A/S",Pole_Calc!A$14,"Poner a mano")))))))</f>
        <v/>
      </c>
      <c r="BE839" s="429" t="s">
        <v>118</v>
      </c>
      <c r="BF839" s="290"/>
      <c r="BG839" s="290"/>
      <c r="BH839" s="290"/>
      <c r="BI839" s="290"/>
    </row>
    <row r="840" spans="1:61" ht="15.75" customHeight="1">
      <c r="A840" s="518"/>
      <c r="B840" s="450" t="s">
        <v>679</v>
      </c>
      <c r="C840" s="3">
        <f>+$C$838+$G$839</f>
        <v>50071.950000000004</v>
      </c>
      <c r="D840" s="83"/>
      <c r="E840" s="4"/>
      <c r="F840" s="4">
        <f>IF(C840&gt;0,VLOOKUP(C840,'ALIGNMENT TRACK'!$A$1:$K$81,9,1))</f>
        <v>0</v>
      </c>
      <c r="G840" s="6"/>
      <c r="H840" s="449"/>
      <c r="I840" s="4"/>
      <c r="J840" s="3"/>
      <c r="K840" s="449"/>
      <c r="L840" s="449" t="s">
        <v>153</v>
      </c>
      <c r="M840" s="449" t="str">
        <f>IF(L840="","",
IF(AX840="PT",VLOOKUP(L840,Foundation_Calc!$V$79:$X$113,VLOOKUP(AX840,Foundation_Calc!$I$10:$J$13,2,FALSE),0),
IF(AX840="K",VLOOKUP(L840,Foundation_Calc!$V$117:$X$151,VLOOKUP(AX840,Foundation_Calc!$I$10:$J$13,2,FALSE),0),"")))</f>
        <v>C3R</v>
      </c>
      <c r="N840" s="449" t="s">
        <v>124</v>
      </c>
      <c r="O840" s="449"/>
      <c r="P840" s="449"/>
      <c r="Q840" s="4"/>
      <c r="R840" s="6"/>
      <c r="S840" s="6"/>
      <c r="T840" s="4">
        <v>-35</v>
      </c>
      <c r="U840" s="4"/>
      <c r="V840" s="4"/>
      <c r="W840" s="9">
        <v>1.4</v>
      </c>
      <c r="X840" s="9"/>
      <c r="Y840" s="9"/>
      <c r="Z840" s="9"/>
      <c r="AA840" s="9"/>
      <c r="AB840" s="9"/>
      <c r="AC840" s="449" t="str">
        <f t="shared" si="88"/>
        <v>PH</v>
      </c>
      <c r="AD840" s="449"/>
      <c r="AE840" s="449"/>
      <c r="AF840" s="4"/>
      <c r="AG840" s="83"/>
      <c r="AH840" s="4"/>
      <c r="AI840" s="4"/>
      <c r="AJ840" s="449"/>
      <c r="AK840" s="449"/>
      <c r="AL840" s="449"/>
      <c r="AM840" s="449" t="s">
        <v>552</v>
      </c>
      <c r="AN840" s="10">
        <v>5.5</v>
      </c>
      <c r="AO840" s="9"/>
      <c r="AP840" s="9"/>
      <c r="AQ840" s="9"/>
      <c r="AR840" s="9"/>
      <c r="AS840" s="9"/>
      <c r="AT840" s="9">
        <f>+ab($T$840,$T$838,$T$842,$G$839,$G$841,-1*$F$840,1200)</f>
        <v>-8.5048139208493438</v>
      </c>
      <c r="AU840" s="428"/>
      <c r="AV840" s="428"/>
      <c r="AW840" s="449" t="str">
        <f>IF(C840&gt;0,VLOOKUP(C840,Foundation_Calc!$A$2:$C$13,3,1),
IF(J840&gt;0,VLOOKUP(J840,Foundation_Calc!$A$2:$C$13,3,1),""))</f>
        <v>Multi Soil</v>
      </c>
      <c r="AX840" s="449" t="str">
        <f>IF(C840&gt;0,VLOOKUP(C840,Foundation_Calc!$E$2:$G$33,3,1),
IF(J840&gt;0,VLOOKUP(J840,Foundation_Calc!$E$2:$G$33,3,1),""))</f>
        <v>PT</v>
      </c>
      <c r="AY840" s="10">
        <f>IF(L840="","",
IF(AX840="PT",VLOOKUP(L840,Foundation_Calc!$K$79:$R$113,VLOOKUP(AW840,Foundation_Calc!$I$2:$J$8,2,FALSE),0),
IF(AX840="K",VLOOKUP(L840,Foundation_Calc!$K$117:$R$151,VLOOKUP(AW840,Foundation_Calc!$I$2:$J$8,2,FALSE),0),"")))</f>
        <v>3.5</v>
      </c>
      <c r="AZ840" s="10" t="str">
        <f>IF(K840="","",
IF(AX840="PT",VLOOKUP(K840,Foundation_Calc!$K$79:$R$113,VLOOKUP(AW840,Foundation_Calc!$I$2:$J$8,2,FALSE),0),
IF(AX840="K",VLOOKUP(K840,Foundation_Calc!$K$117:$R$151,VLOOKUP(AW840,Foundation_Calc!$I$2:$J$8,2,FALSE),0),"")))</f>
        <v/>
      </c>
      <c r="BA840" s="495" t="str">
        <f t="shared" si="95"/>
        <v>ü</v>
      </c>
      <c r="BB840" s="495" t="str">
        <f t="shared" si="96"/>
        <v/>
      </c>
      <c r="BC840" s="495" t="str">
        <f t="shared" si="97"/>
        <v/>
      </c>
      <c r="BD840" s="513" t="str">
        <f>IF(AND(L840="",H840=""),"",
IF(H840="",Pole_Calc!A$9,
IF(H840="MP",Pole_Calc!A$10,
IF(H840="AnMP",Pole_Calc!A$11,
IF(H840="A",Pole_Calc!A$12,
IF(H840="S/A",Pole_Calc!A$13,
IF(H840="A/S",Pole_Calc!A$14,"Poner a mano")))))))</f>
        <v>App.7-V11I-P9.5.1.1</v>
      </c>
      <c r="BE840" s="429" t="s">
        <v>118</v>
      </c>
      <c r="BF840" s="289"/>
      <c r="BG840" s="289"/>
      <c r="BH840" s="290"/>
      <c r="BI840" s="289"/>
    </row>
    <row r="841" spans="1:61" ht="15.75" customHeight="1">
      <c r="A841" s="518"/>
      <c r="B841" s="450"/>
      <c r="C841" s="3"/>
      <c r="D841" s="83"/>
      <c r="E841" s="4"/>
      <c r="F841" s="4"/>
      <c r="G841" s="6">
        <v>54</v>
      </c>
      <c r="H841" s="449"/>
      <c r="I841" s="4"/>
      <c r="J841" s="3">
        <f>C842-7.5</f>
        <v>50116.87</v>
      </c>
      <c r="K841" s="449" t="s">
        <v>166</v>
      </c>
      <c r="L841" s="449"/>
      <c r="M841" s="449" t="str">
        <f>IF(L841="","",
IF(AX841="PT",VLOOKUP(L841,Foundation_Calc!$V$79:$X$113,VLOOKUP(AX841,Foundation_Calc!$I$10:$J$13,2,FALSE),0),
IF(AX841="K",VLOOKUP(L841,Foundation_Calc!$V$117:$X$151,VLOOKUP(AX841,Foundation_Calc!$I$10:$J$13,2,FALSE),0),"")))</f>
        <v/>
      </c>
      <c r="N841" s="561"/>
      <c r="O841" s="449"/>
      <c r="P841" s="449"/>
      <c r="Q841" s="4"/>
      <c r="R841" s="6"/>
      <c r="S841" s="6"/>
      <c r="T841" s="4"/>
      <c r="U841" s="4"/>
      <c r="V841" s="4"/>
      <c r="W841" s="9"/>
      <c r="X841" s="9"/>
      <c r="Y841" s="9"/>
      <c r="Z841" s="9"/>
      <c r="AA841" s="9"/>
      <c r="AB841" s="9"/>
      <c r="AC841" s="449" t="str">
        <f t="shared" si="88"/>
        <v/>
      </c>
      <c r="AD841" s="449"/>
      <c r="AE841" s="449"/>
      <c r="AF841" s="4"/>
      <c r="AG841" s="83"/>
      <c r="AH841" s="4"/>
      <c r="AI841" s="4"/>
      <c r="AJ841" s="449"/>
      <c r="AK841" s="449"/>
      <c r="AL841" s="449"/>
      <c r="AM841" s="449"/>
      <c r="AN841" s="10"/>
      <c r="AO841" s="9"/>
      <c r="AP841" s="9"/>
      <c r="AQ841" s="9">
        <f>+FL_1($T$842,$T$840,$G$841,1200,9.28,-1*$F$842)</f>
        <v>0.39052552059259255</v>
      </c>
      <c r="AR841" s="9"/>
      <c r="AS841" s="9"/>
      <c r="AT841" s="9"/>
      <c r="AU841" s="428"/>
      <c r="AV841" s="428"/>
      <c r="AW841" s="449" t="str">
        <f>IF(C841&gt;0,VLOOKUP(C841,Foundation_Calc!$A$2:$C$13,3,1),
IF(J841&gt;0,VLOOKUP(J841,Foundation_Calc!$A$2:$C$13,3,1),""))</f>
        <v>Multi Soil</v>
      </c>
      <c r="AX841" s="449" t="str">
        <f>IF(C841&gt;0,VLOOKUP(C841,Foundation_Calc!$E$2:$G$33,3,1),
IF(J841&gt;0,VLOOKUP(J841,Foundation_Calc!$E$2:$G$33,3,1),""))</f>
        <v>PT</v>
      </c>
      <c r="AY841" s="10" t="str">
        <f>IF(L841="","",
IF(AX841="PT",VLOOKUP(L841,Foundation_Calc!$K$79:$R$113,VLOOKUP(AW841,Foundation_Calc!$I$2:$J$8,2,FALSE),0),
IF(AX841="K",VLOOKUP(L841,Foundation_Calc!$K$117:$R$151,VLOOKUP(AW841,Foundation_Calc!$I$2:$J$8,2,FALSE),0),"")))</f>
        <v/>
      </c>
      <c r="AZ841" s="10">
        <f>IF(K841="","",
IF(AX841="PT",VLOOKUP(K841,Foundation_Calc!$K$79:$R$113,VLOOKUP(AW841,Foundation_Calc!$I$2:$J$8,2,FALSE),0),
IF(AX841="K",VLOOKUP(K841,Foundation_Calc!$K$117:$R$151,VLOOKUP(AW841,Foundation_Calc!$I$2:$J$8,2,FALSE),0),"")))</f>
        <v>2.8</v>
      </c>
      <c r="BA841" s="495" t="str">
        <f t="shared" si="95"/>
        <v/>
      </c>
      <c r="BB841" s="495" t="str">
        <f t="shared" si="96"/>
        <v>ü</v>
      </c>
      <c r="BC841" s="495" t="str">
        <f t="shared" si="97"/>
        <v/>
      </c>
      <c r="BD841" s="513" t="str">
        <f>IF(AND(L841="",H841=""),"",
IF(H841="",Pole_Calc!A$9,
IF(H841="MP",Pole_Calc!A$10,
IF(H841="AnMP",Pole_Calc!A$11,
IF(H841="A",Pole_Calc!A$12,
IF(H841="S/A",Pole_Calc!A$13,
IF(H841="A/S",Pole_Calc!A$14,"Poner a mano")))))))</f>
        <v/>
      </c>
      <c r="BE841" s="429" t="s">
        <v>118</v>
      </c>
      <c r="BF841" s="290"/>
      <c r="BG841" s="290"/>
      <c r="BH841" s="290"/>
      <c r="BI841" s="290"/>
    </row>
    <row r="842" spans="1:61" ht="15.75" customHeight="1">
      <c r="A842" s="514"/>
      <c r="B842" s="450" t="s">
        <v>680</v>
      </c>
      <c r="C842" s="3">
        <f>+$C$840+$G$841-1.58</f>
        <v>50124.37</v>
      </c>
      <c r="D842" s="83"/>
      <c r="E842" s="4"/>
      <c r="F842" s="4">
        <f>IF(C842&gt;0,VLOOKUP(C842,'ALIGNMENT TRACK'!$A$1:$K$81,9,1))</f>
        <v>0</v>
      </c>
      <c r="G842" s="6"/>
      <c r="H842" s="449" t="s">
        <v>168</v>
      </c>
      <c r="I842" s="4"/>
      <c r="J842" s="3"/>
      <c r="K842" s="449"/>
      <c r="L842" s="449" t="s">
        <v>158</v>
      </c>
      <c r="M842" s="449" t="str">
        <f>IF(L842="","",
IF(AX842="PT",VLOOKUP(L842,Foundation_Calc!$V$79:$X$113,VLOOKUP(AX842,Foundation_Calc!$I$10:$J$13,2,FALSE),0),
IF(AX842="K",VLOOKUP(L842,Foundation_Calc!$V$117:$X$151,VLOOKUP(AX842,Foundation_Calc!$I$10:$J$13,2,FALSE),0),"")))</f>
        <v>C4R</v>
      </c>
      <c r="N842" s="449" t="s">
        <v>134</v>
      </c>
      <c r="O842" s="449"/>
      <c r="P842" s="449"/>
      <c r="Q842" s="4"/>
      <c r="R842" s="6"/>
      <c r="S842" s="6"/>
      <c r="T842" s="4">
        <v>35</v>
      </c>
      <c r="U842" s="4"/>
      <c r="V842" s="4"/>
      <c r="W842" s="9">
        <v>1.4</v>
      </c>
      <c r="X842" s="9"/>
      <c r="Y842" s="9"/>
      <c r="Z842" s="9"/>
      <c r="AA842" s="9"/>
      <c r="AB842" s="9"/>
      <c r="AC842" s="449" t="str">
        <f t="shared" si="88"/>
        <v>PHQ</v>
      </c>
      <c r="AD842" s="449"/>
      <c r="AE842" s="449"/>
      <c r="AF842" s="4"/>
      <c r="AG842" s="83"/>
      <c r="AH842" s="4"/>
      <c r="AI842" s="4"/>
      <c r="AJ842" s="449"/>
      <c r="AK842" s="449"/>
      <c r="AL842" s="449"/>
      <c r="AM842" s="449" t="s">
        <v>552</v>
      </c>
      <c r="AN842" s="10">
        <v>5.5</v>
      </c>
      <c r="AO842" s="9"/>
      <c r="AP842" s="9"/>
      <c r="AQ842" s="9"/>
      <c r="AR842" s="9"/>
      <c r="AS842" s="9"/>
      <c r="AT842" s="9">
        <f>+ab($T$842,$T$840,$T$844,$G$841,$G$843,-1*$F$842,1200)</f>
        <v>7.5891964015002866</v>
      </c>
      <c r="AU842" s="428"/>
      <c r="AV842" s="428"/>
      <c r="AW842" s="449" t="str">
        <f>IF(C842&gt;0,VLOOKUP(C842,Foundation_Calc!$A$2:$C$13,3,1),
IF(J842&gt;0,VLOOKUP(J842,Foundation_Calc!$A$2:$C$13,3,1),""))</f>
        <v>Multi Soil</v>
      </c>
      <c r="AX842" s="449" t="str">
        <f>IF(C842&gt;0,VLOOKUP(C842,Foundation_Calc!$E$2:$G$33,3,1),
IF(J842&gt;0,VLOOKUP(J842,Foundation_Calc!$E$2:$G$33,3,1),""))</f>
        <v>PT</v>
      </c>
      <c r="AY842" s="10">
        <f>IF(L842="","",
IF(AX842="PT",VLOOKUP(L842,Foundation_Calc!$K$79:$R$113,VLOOKUP(AW842,Foundation_Calc!$I$2:$J$8,2,FALSE),0),
IF(AX842="K",VLOOKUP(L842,Foundation_Calc!$K$117:$R$151,VLOOKUP(AW842,Foundation_Calc!$I$2:$J$8,2,FALSE),0),"")))</f>
        <v>3.5</v>
      </c>
      <c r="AZ842" s="10" t="str">
        <f>IF(K842="","",
IF(AX842="PT",VLOOKUP(K842,Foundation_Calc!$K$79:$R$113,VLOOKUP(AW842,Foundation_Calc!$I$2:$J$8,2,FALSE),0),
IF(AX842="K",VLOOKUP(K842,Foundation_Calc!$K$117:$R$151,VLOOKUP(AW842,Foundation_Calc!$I$2:$J$8,2,FALSE),0),"")))</f>
        <v/>
      </c>
      <c r="BA842" s="495" t="str">
        <f t="shared" si="95"/>
        <v>ü</v>
      </c>
      <c r="BB842" s="495" t="str">
        <f t="shared" si="96"/>
        <v/>
      </c>
      <c r="BC842" s="495" t="str">
        <f t="shared" si="97"/>
        <v/>
      </c>
      <c r="BD842" s="513" t="str">
        <f>IF(AND(L842="",H842=""),"",
IF(H842="",Pole_Calc!A$9,
IF(H842="MP",Pole_Calc!A$10,
IF(H842="AnMP",Pole_Calc!A$11,
IF(H842="A",Pole_Calc!A$12,
IF(H842="S/A",Pole_Calc!A$13,
IF(H842="A/S",Pole_Calc!A$14,"Poner a mano")))))))</f>
        <v>App.7-V11I-P9.5.1.3</v>
      </c>
      <c r="BE842" s="429" t="s">
        <v>118</v>
      </c>
      <c r="BF842" s="289"/>
      <c r="BG842" s="289"/>
      <c r="BH842" s="290"/>
      <c r="BI842" s="289"/>
    </row>
    <row r="843" spans="1:61" ht="15.75" customHeight="1">
      <c r="A843" s="685" t="s">
        <v>681</v>
      </c>
      <c r="B843" s="686"/>
      <c r="C843" s="687"/>
      <c r="D843" s="688"/>
      <c r="E843" s="689"/>
      <c r="F843" s="689"/>
      <c r="G843" s="690">
        <v>57.5</v>
      </c>
      <c r="H843" s="691"/>
      <c r="I843" s="689">
        <f>SUM(G819:G843)-50</f>
        <v>468.5</v>
      </c>
      <c r="J843" s="687"/>
      <c r="K843" s="691"/>
      <c r="L843" s="691"/>
      <c r="M843" s="691" t="str">
        <f>IF(L843="","",
IF(AX843="PT",VLOOKUP(L843,Foundation_Calc!$V$79:$X$113,VLOOKUP(AX843,Foundation_Calc!$I$10:$J$13,2,FALSE),0),
IF(AX843="K",VLOOKUP(L843,Foundation_Calc!$V$117:$X$151,VLOOKUP(AX843,Foundation_Calc!$I$10:$J$13,2,FALSE),0),"")))</f>
        <v/>
      </c>
      <c r="N843" s="691"/>
      <c r="O843" s="691"/>
      <c r="P843" s="691"/>
      <c r="Q843" s="689"/>
      <c r="R843" s="690"/>
      <c r="S843" s="690"/>
      <c r="T843" s="689"/>
      <c r="U843" s="689"/>
      <c r="V843" s="689"/>
      <c r="W843" s="692"/>
      <c r="X843" s="692"/>
      <c r="Y843" s="692"/>
      <c r="Z843" s="692"/>
      <c r="AA843" s="692"/>
      <c r="AB843" s="692"/>
      <c r="AC843" s="691" t="str">
        <f t="shared" ref="AC843:AC906" si="104">IF(OR(AT843&gt;8,AT843&lt;-8),"PH",
IF(OR(AT843&gt;5,AT843&lt;-5),"PHQ",
IF(OR(AT843&gt;1,AT843&lt;-1),
"PHC","")))</f>
        <v/>
      </c>
      <c r="AD843" s="691"/>
      <c r="AE843" s="691"/>
      <c r="AF843" s="689"/>
      <c r="AG843" s="688"/>
      <c r="AH843" s="689"/>
      <c r="AI843" s="689"/>
      <c r="AJ843" s="691"/>
      <c r="AK843" s="691"/>
      <c r="AL843" s="691"/>
      <c r="AM843" s="691"/>
      <c r="AN843" s="693"/>
      <c r="AO843" s="692"/>
      <c r="AP843" s="692"/>
      <c r="AQ843" s="692">
        <f>+FL_2($T$844,$T$842,$G$843,1200,9.28,-1*$F$844)</f>
        <v>-0.4154258193043478</v>
      </c>
      <c r="AR843" s="692"/>
      <c r="AS843" s="692"/>
      <c r="AT843" s="692"/>
      <c r="AU843" s="694"/>
      <c r="AV843" s="694"/>
      <c r="AW843" s="691" t="str">
        <f>IF(C843&gt;0,VLOOKUP(C843,Foundation_Calc!$A$2:$C$13,3,1),
IF(J843&gt;0,VLOOKUP(J843,Foundation_Calc!$A$2:$C$13,3,1),""))</f>
        <v/>
      </c>
      <c r="AX843" s="691" t="str">
        <f>IF(C843&gt;0,VLOOKUP(C843,Foundation_Calc!$E$2:$G$33,3,1),
IF(J843&gt;0,VLOOKUP(J843,Foundation_Calc!$E$2:$G$33,3,1),""))</f>
        <v/>
      </c>
      <c r="AY843" s="693" t="str">
        <f>IF(L843="","",
IF(AX843="PT",VLOOKUP(L843,Foundation_Calc!$K$79:$R$113,VLOOKUP(AW843,Foundation_Calc!$I$2:$J$8,2,FALSE),0),
IF(AX843="K",VLOOKUP(L843,Foundation_Calc!$K$117:$R$151,VLOOKUP(AW843,Foundation_Calc!$I$2:$J$8,2,FALSE),0),"")))</f>
        <v/>
      </c>
      <c r="AZ843" s="693" t="str">
        <f>IF(K843="","",
IF(AX843="PT",VLOOKUP(K843,Foundation_Calc!$K$79:$R$113,VLOOKUP(AW843,Foundation_Calc!$I$2:$J$8,2,FALSE),0),
IF(AX843="K",VLOOKUP(K843,Foundation_Calc!$K$117:$R$151,VLOOKUP(AW843,Foundation_Calc!$I$2:$J$8,2,FALSE),0),"")))</f>
        <v/>
      </c>
      <c r="BA843" s="495" t="str">
        <f t="shared" si="95"/>
        <v/>
      </c>
      <c r="BB843" s="495" t="str">
        <f t="shared" si="96"/>
        <v/>
      </c>
      <c r="BC843" s="495" t="str">
        <f t="shared" si="97"/>
        <v/>
      </c>
      <c r="BD843" s="513" t="str">
        <f>IF(AND(L843="",H843=""),"",
IF(H843="",Pole_Calc!A$9,
IF(H843="MP",Pole_Calc!A$10,
IF(H843="AnMP",Pole_Calc!A$11,
IF(H843="A",Pole_Calc!A$12,
IF(H843="S/A",Pole_Calc!A$13,
IF(H843="A/S",Pole_Calc!A$14,"Poner a mano")))))))</f>
        <v/>
      </c>
      <c r="BE843" s="429" t="s">
        <v>118</v>
      </c>
      <c r="BF843" s="290"/>
      <c r="BG843" s="290"/>
      <c r="BH843" s="290"/>
      <c r="BI843" s="290"/>
    </row>
    <row r="844" spans="1:61" ht="15.75" customHeight="1">
      <c r="A844" s="514"/>
      <c r="B844" s="450" t="s">
        <v>682</v>
      </c>
      <c r="C844" s="3">
        <f>+$C$842+$G$843</f>
        <v>50181.87</v>
      </c>
      <c r="D844" s="83"/>
      <c r="E844" s="4"/>
      <c r="F844" s="4">
        <f>IF(C844&gt;0,VLOOKUP(C844,'ALIGNMENT TRACK'!$A$1:$K$81,9,1))</f>
        <v>0</v>
      </c>
      <c r="G844" s="6"/>
      <c r="H844" s="449" t="s">
        <v>171</v>
      </c>
      <c r="I844" s="4"/>
      <c r="J844" s="3"/>
      <c r="K844" s="449"/>
      <c r="L844" s="449" t="s">
        <v>153</v>
      </c>
      <c r="M844" s="449" t="str">
        <f>IF(L844="","",
IF(AX844="PT",VLOOKUP(L844,Foundation_Calc!$V$79:$X$113,VLOOKUP(AX844,Foundation_Calc!$I$10:$J$13,2,FALSE),0),
IF(AX844="K",VLOOKUP(L844,Foundation_Calc!$V$117:$X$151,VLOOKUP(AX844,Foundation_Calc!$I$10:$J$13,2,FALSE),0),"")))</f>
        <v>C3R</v>
      </c>
      <c r="N844" s="449" t="s">
        <v>124</v>
      </c>
      <c r="O844" s="449"/>
      <c r="P844" s="449"/>
      <c r="Q844" s="4"/>
      <c r="R844" s="6"/>
      <c r="S844" s="6"/>
      <c r="T844" s="4">
        <v>-35</v>
      </c>
      <c r="U844" s="4"/>
      <c r="V844" s="4"/>
      <c r="W844" s="9">
        <v>1.4</v>
      </c>
      <c r="X844" s="9"/>
      <c r="Y844" s="9"/>
      <c r="Z844" s="9"/>
      <c r="AA844" s="9"/>
      <c r="AB844" s="9"/>
      <c r="AC844" s="449" t="str">
        <f t="shared" si="104"/>
        <v>PHQ</v>
      </c>
      <c r="AD844" s="449"/>
      <c r="AE844" s="449"/>
      <c r="AF844" s="4"/>
      <c r="AG844" s="83"/>
      <c r="AH844" s="4"/>
      <c r="AI844" s="4"/>
      <c r="AJ844" s="449"/>
      <c r="AK844" s="449"/>
      <c r="AL844" s="449"/>
      <c r="AM844" s="449" t="s">
        <v>552</v>
      </c>
      <c r="AN844" s="10">
        <v>5.5</v>
      </c>
      <c r="AO844" s="9"/>
      <c r="AP844" s="9"/>
      <c r="AQ844" s="9"/>
      <c r="AR844" s="9"/>
      <c r="AS844" s="9"/>
      <c r="AT844" s="9">
        <f>+ab($T$844,$T$842,$T$846,$G$843,$G$845,-1*$F$844,1200)</f>
        <v>-7.729922885129529</v>
      </c>
      <c r="AU844" s="428"/>
      <c r="AV844" s="428"/>
      <c r="AW844" s="449" t="str">
        <f>IF(C844&gt;0,VLOOKUP(C844,Foundation_Calc!$A$2:$C$13,3,1),
IF(J844&gt;0,VLOOKUP(J844,Foundation_Calc!$A$2:$C$13,3,1),""))</f>
        <v>Multi Soil</v>
      </c>
      <c r="AX844" s="449" t="str">
        <f>IF(C844&gt;0,VLOOKUP(C844,Foundation_Calc!$E$2:$G$33,3,1),
IF(J844&gt;0,VLOOKUP(J844,Foundation_Calc!$E$2:$G$33,3,1),""))</f>
        <v>PT</v>
      </c>
      <c r="AY844" s="10">
        <f>IF(L844="","",
IF(AX844="PT",VLOOKUP(L844,Foundation_Calc!$K$79:$R$113,VLOOKUP(AW844,Foundation_Calc!$I$2:$J$8,2,FALSE),0),
IF(AX844="K",VLOOKUP(L844,Foundation_Calc!$K$117:$R$151,VLOOKUP(AW844,Foundation_Calc!$I$2:$J$8,2,FALSE),0),"")))</f>
        <v>3.5</v>
      </c>
      <c r="AZ844" s="10" t="str">
        <f>IF(K844="","",
IF(AX844="PT",VLOOKUP(K844,Foundation_Calc!$K$79:$R$113,VLOOKUP(AW844,Foundation_Calc!$I$2:$J$8,2,FALSE),0),
IF(AX844="K",VLOOKUP(K844,Foundation_Calc!$K$117:$R$151,VLOOKUP(AW844,Foundation_Calc!$I$2:$J$8,2,FALSE),0),"")))</f>
        <v/>
      </c>
      <c r="BA844" s="495" t="str">
        <f t="shared" si="95"/>
        <v>ü</v>
      </c>
      <c r="BB844" s="495" t="str">
        <f t="shared" si="96"/>
        <v/>
      </c>
      <c r="BC844" s="495" t="str">
        <f t="shared" si="97"/>
        <v/>
      </c>
      <c r="BD844" s="513" t="str">
        <f>IF(AND(L844="",H844=""),"",
IF(H844="",Pole_Calc!A$9,
IF(H844="MP",Pole_Calc!A$10,
IF(H844="AnMP",Pole_Calc!A$11,
IF(H844="A",Pole_Calc!A$12,
IF(H844="S/A",Pole_Calc!A$13,
IF(H844="A/S",Pole_Calc!A$14,"Poner a mano")))))))</f>
        <v>App.7-V11I-P9.5.1.2</v>
      </c>
      <c r="BE844" s="429" t="s">
        <v>118</v>
      </c>
      <c r="BF844" s="289"/>
      <c r="BG844" s="289"/>
      <c r="BH844" s="290"/>
      <c r="BI844" s="289"/>
    </row>
    <row r="845" spans="1:61" ht="15.75" customHeight="1">
      <c r="A845" s="685" t="s">
        <v>681</v>
      </c>
      <c r="B845" s="686"/>
      <c r="C845" s="687"/>
      <c r="D845" s="688"/>
      <c r="E845" s="689"/>
      <c r="F845" s="689"/>
      <c r="G845" s="690">
        <v>56</v>
      </c>
      <c r="H845" s="691"/>
      <c r="I845" s="689">
        <f>SUM(G845:G859)</f>
        <v>486</v>
      </c>
      <c r="J845" s="687"/>
      <c r="K845" s="691"/>
      <c r="L845" s="691"/>
      <c r="M845" s="691" t="str">
        <f>IF(L845="","",
IF(AX845="PT",VLOOKUP(L845,Foundation_Calc!$V$79:$X$113,VLOOKUP(AX845,Foundation_Calc!$I$10:$J$13,2,FALSE),0),
IF(AX845="K",VLOOKUP(L845,Foundation_Calc!$V$117:$X$151,VLOOKUP(AX845,Foundation_Calc!$I$10:$J$13,2,FALSE),0),"")))</f>
        <v/>
      </c>
      <c r="N845" s="691"/>
      <c r="O845" s="691"/>
      <c r="P845" s="691"/>
      <c r="Q845" s="689"/>
      <c r="R845" s="690"/>
      <c r="S845" s="690"/>
      <c r="T845" s="689"/>
      <c r="U845" s="689"/>
      <c r="V845" s="689"/>
      <c r="W845" s="692"/>
      <c r="X845" s="692"/>
      <c r="Y845" s="692"/>
      <c r="Z845" s="692"/>
      <c r="AA845" s="692"/>
      <c r="AB845" s="692"/>
      <c r="AC845" s="691" t="str">
        <f t="shared" si="104"/>
        <v/>
      </c>
      <c r="AD845" s="691"/>
      <c r="AE845" s="691"/>
      <c r="AF845" s="689"/>
      <c r="AG845" s="688"/>
      <c r="AH845" s="689"/>
      <c r="AI845" s="689"/>
      <c r="AJ845" s="691"/>
      <c r="AK845" s="691"/>
      <c r="AL845" s="691"/>
      <c r="AM845" s="691"/>
      <c r="AN845" s="693"/>
      <c r="AO845" s="692"/>
      <c r="AP845" s="692"/>
      <c r="AQ845" s="692">
        <f>+FL_1($T$846,$T$844,$G$845,1200,9.28,-1*$F$846)</f>
        <v>0.404170368</v>
      </c>
      <c r="AR845" s="692"/>
      <c r="AS845" s="692"/>
      <c r="AT845" s="692"/>
      <c r="AU845" s="694"/>
      <c r="AV845" s="694"/>
      <c r="AW845" s="691" t="str">
        <f>IF(C845&gt;0,VLOOKUP(C845,Foundation_Calc!$A$2:$C$13,3,1),
IF(J845&gt;0,VLOOKUP(J845,Foundation_Calc!$A$2:$C$13,3,1),""))</f>
        <v/>
      </c>
      <c r="AX845" s="691" t="str">
        <f>IF(C845&gt;0,VLOOKUP(C845,Foundation_Calc!$E$2:$G$33,3,1),
IF(J845&gt;0,VLOOKUP(J845,Foundation_Calc!$E$2:$G$33,3,1),""))</f>
        <v/>
      </c>
      <c r="AY845" s="693" t="str">
        <f>IF(L845="","",
IF(AX845="PT",VLOOKUP(L845,Foundation_Calc!$K$79:$R$113,VLOOKUP(AW845,Foundation_Calc!$I$2:$J$8,2,FALSE),0),
IF(AX845="K",VLOOKUP(L845,Foundation_Calc!$K$117:$R$151,VLOOKUP(AW845,Foundation_Calc!$I$2:$J$8,2,FALSE),0),"")))</f>
        <v/>
      </c>
      <c r="AZ845" s="693" t="str">
        <f>IF(K845="","",
IF(AX845="PT",VLOOKUP(K845,Foundation_Calc!$K$79:$R$113,VLOOKUP(AW845,Foundation_Calc!$I$2:$J$8,2,FALSE),0),
IF(AX845="K",VLOOKUP(K845,Foundation_Calc!$K$117:$R$151,VLOOKUP(AW845,Foundation_Calc!$I$2:$J$8,2,FALSE),0),"")))</f>
        <v/>
      </c>
      <c r="BA845" s="495" t="str">
        <f t="shared" si="95"/>
        <v/>
      </c>
      <c r="BB845" s="495" t="str">
        <f t="shared" si="96"/>
        <v/>
      </c>
      <c r="BC845" s="495" t="str">
        <f t="shared" si="97"/>
        <v/>
      </c>
      <c r="BD845" s="513" t="str">
        <f>IF(AND(L845="",H845=""),"",
IF(H845="",Pole_Calc!A$9,
IF(H845="MP",Pole_Calc!A$10,
IF(H845="AnMP",Pole_Calc!A$11,
IF(H845="A",Pole_Calc!A$12,
IF(H845="S/A",Pole_Calc!A$13,
IF(H845="A/S",Pole_Calc!A$14,"Poner a mano")))))))</f>
        <v/>
      </c>
      <c r="BE845" s="429" t="s">
        <v>118</v>
      </c>
      <c r="BF845" s="290"/>
      <c r="BG845" s="290"/>
      <c r="BH845" s="290"/>
      <c r="BI845" s="290"/>
    </row>
    <row r="846" spans="1:61" ht="15.75" customHeight="1">
      <c r="A846" s="518"/>
      <c r="B846" s="450" t="s">
        <v>683</v>
      </c>
      <c r="C846" s="3">
        <f>+$C$844+$G$845</f>
        <v>50237.87</v>
      </c>
      <c r="D846" s="83"/>
      <c r="E846" s="4"/>
      <c r="F846" s="4">
        <f>IF(C846&gt;0,VLOOKUP(C846,'ALIGNMENT TRACK'!$A$1:$K$81,9,1))</f>
        <v>0</v>
      </c>
      <c r="G846" s="6"/>
      <c r="H846" s="449" t="s">
        <v>168</v>
      </c>
      <c r="I846" s="4"/>
      <c r="J846" s="3"/>
      <c r="K846" s="449"/>
      <c r="L846" s="449" t="s">
        <v>158</v>
      </c>
      <c r="M846" s="449" t="str">
        <f>IF(L846="","",
IF(AX846="PT",VLOOKUP(L846,Foundation_Calc!$V$79:$X$113,VLOOKUP(AX846,Foundation_Calc!$I$10:$J$13,2,FALSE),0),
IF(AX846="K",VLOOKUP(L846,Foundation_Calc!$V$117:$X$151,VLOOKUP(AX846,Foundation_Calc!$I$10:$J$13,2,FALSE),0),"")))</f>
        <v>C4R</v>
      </c>
      <c r="N846" s="449" t="s">
        <v>134</v>
      </c>
      <c r="O846" s="449"/>
      <c r="P846" s="449"/>
      <c r="Q846" s="4"/>
      <c r="R846" s="6"/>
      <c r="S846" s="6"/>
      <c r="T846" s="4">
        <v>35</v>
      </c>
      <c r="U846" s="4"/>
      <c r="V846" s="4"/>
      <c r="W846" s="9">
        <v>1.4</v>
      </c>
      <c r="X846" s="9"/>
      <c r="Y846" s="9"/>
      <c r="Z846" s="9"/>
      <c r="AA846" s="9"/>
      <c r="AB846" s="9"/>
      <c r="AC846" s="449" t="str">
        <f t="shared" si="104"/>
        <v>PHQ</v>
      </c>
      <c r="AD846" s="449"/>
      <c r="AE846" s="449"/>
      <c r="AF846" s="4"/>
      <c r="AG846" s="83"/>
      <c r="AH846" s="4"/>
      <c r="AI846" s="4"/>
      <c r="AJ846" s="449"/>
      <c r="AK846" s="449"/>
      <c r="AL846" s="449"/>
      <c r="AM846" s="449" t="s">
        <v>552</v>
      </c>
      <c r="AN846" s="10">
        <v>5.5</v>
      </c>
      <c r="AO846" s="9"/>
      <c r="AP846" s="9"/>
      <c r="AQ846" s="9"/>
      <c r="AR846" s="9"/>
      <c r="AS846" s="9"/>
      <c r="AT846" s="9">
        <f>+ab($T$846,$T$844,$T$848,$G$845,$G$847,-1*$F$846,1200)</f>
        <v>7.8901106586011114</v>
      </c>
      <c r="AU846" s="428"/>
      <c r="AV846" s="428"/>
      <c r="AW846" s="449" t="str">
        <f>IF(C846&gt;0,VLOOKUP(C846,Foundation_Calc!$A$2:$C$13,3,1),
IF(J846&gt;0,VLOOKUP(J846,Foundation_Calc!$A$2:$C$13,3,1),""))</f>
        <v>Multi Soil</v>
      </c>
      <c r="AX846" s="449" t="str">
        <f>IF(C846&gt;0,VLOOKUP(C846,Foundation_Calc!$E$2:$G$33,3,1),
IF(J846&gt;0,VLOOKUP(J846,Foundation_Calc!$E$2:$G$33,3,1),""))</f>
        <v>PT</v>
      </c>
      <c r="AY846" s="10">
        <f>IF(L846="","",
IF(AX846="PT",VLOOKUP(L846,Foundation_Calc!$K$79:$R$113,VLOOKUP(AW846,Foundation_Calc!$I$2:$J$8,2,FALSE),0),
IF(AX846="K",VLOOKUP(L846,Foundation_Calc!$K$117:$R$151,VLOOKUP(AW846,Foundation_Calc!$I$2:$J$8,2,FALSE),0),"")))</f>
        <v>3.5</v>
      </c>
      <c r="AZ846" s="10" t="str">
        <f>IF(K846="","",
IF(AX846="PT",VLOOKUP(K846,Foundation_Calc!$K$79:$R$113,VLOOKUP(AW846,Foundation_Calc!$I$2:$J$8,2,FALSE),0),
IF(AX846="K",VLOOKUP(K846,Foundation_Calc!$K$117:$R$151,VLOOKUP(AW846,Foundation_Calc!$I$2:$J$8,2,FALSE),0),"")))</f>
        <v/>
      </c>
      <c r="BA846" s="495" t="str">
        <f t="shared" si="95"/>
        <v>ü</v>
      </c>
      <c r="BB846" s="495" t="str">
        <f t="shared" si="96"/>
        <v/>
      </c>
      <c r="BC846" s="495" t="str">
        <f t="shared" si="97"/>
        <v/>
      </c>
      <c r="BD846" s="513" t="str">
        <f>IF(AND(L846="",H846=""),"",
IF(H846="",Pole_Calc!A$9,
IF(H846="MP",Pole_Calc!A$10,
IF(H846="AnMP",Pole_Calc!A$11,
IF(H846="A",Pole_Calc!A$12,
IF(H846="S/A",Pole_Calc!A$13,
IF(H846="A/S",Pole_Calc!A$14,"Poner a mano")))))))</f>
        <v>App.7-V11I-P9.5.1.3</v>
      </c>
      <c r="BE846" s="429" t="s">
        <v>118</v>
      </c>
      <c r="BF846" s="289"/>
      <c r="BG846" s="289"/>
      <c r="BH846" s="290"/>
      <c r="BI846" s="289"/>
    </row>
    <row r="847" spans="1:61" ht="15.75" customHeight="1">
      <c r="A847" s="518"/>
      <c r="B847" s="450"/>
      <c r="C847" s="3"/>
      <c r="D847" s="83"/>
      <c r="E847" s="4"/>
      <c r="F847" s="4"/>
      <c r="G847" s="6">
        <v>60</v>
      </c>
      <c r="H847" s="449"/>
      <c r="I847" s="4"/>
      <c r="J847" s="3">
        <f>C846+7.5</f>
        <v>50245.37</v>
      </c>
      <c r="K847" s="449" t="s">
        <v>166</v>
      </c>
      <c r="L847" s="449"/>
      <c r="M847" s="449" t="str">
        <f>IF(L847="","",
IF(AX847="PT",VLOOKUP(L847,Foundation_Calc!$V$79:$X$113,VLOOKUP(AX847,Foundation_Calc!$I$10:$J$13,2,FALSE),0),
IF(AX847="K",VLOOKUP(L847,Foundation_Calc!$V$117:$X$151,VLOOKUP(AX847,Foundation_Calc!$I$10:$J$13,2,FALSE),0),"")))</f>
        <v/>
      </c>
      <c r="N847" s="561"/>
      <c r="O847" s="449"/>
      <c r="P847" s="449"/>
      <c r="Q847" s="4"/>
      <c r="R847" s="6"/>
      <c r="S847" s="6"/>
      <c r="T847" s="4"/>
      <c r="U847" s="4"/>
      <c r="V847" s="4"/>
      <c r="W847" s="9"/>
      <c r="X847" s="9"/>
      <c r="Y847" s="9"/>
      <c r="Z847" s="9"/>
      <c r="AA847" s="9"/>
      <c r="AB847" s="9"/>
      <c r="AC847" s="449" t="str">
        <f t="shared" si="104"/>
        <v/>
      </c>
      <c r="AD847" s="449"/>
      <c r="AE847" s="449"/>
      <c r="AF847" s="4"/>
      <c r="AG847" s="83"/>
      <c r="AH847" s="4"/>
      <c r="AI847" s="4"/>
      <c r="AJ847" s="449"/>
      <c r="AK847" s="449"/>
      <c r="AL847" s="449"/>
      <c r="AM847" s="449"/>
      <c r="AN847" s="10"/>
      <c r="AO847" s="9"/>
      <c r="AP847" s="9"/>
      <c r="AQ847" s="9">
        <f>+FL_2($T$848,$T$846,$G$847,1200,9.28,-1*$F$848)</f>
        <v>-0.43600286799999999</v>
      </c>
      <c r="AR847" s="9"/>
      <c r="AS847" s="9"/>
      <c r="AT847" s="9"/>
      <c r="AU847" s="428"/>
      <c r="AV847" s="428"/>
      <c r="AW847" s="449" t="str">
        <f>IF(C847&gt;0,VLOOKUP(C847,Foundation_Calc!$A$2:$C$13,3,1),
IF(J847&gt;0,VLOOKUP(J847,Foundation_Calc!$A$2:$C$13,3,1),""))</f>
        <v>Multi Soil</v>
      </c>
      <c r="AX847" s="449" t="str">
        <f>IF(C847&gt;0,VLOOKUP(C847,Foundation_Calc!$E$2:$G$33,3,1),
IF(J847&gt;0,VLOOKUP(J847,Foundation_Calc!$E$2:$G$33,3,1),""))</f>
        <v>PT</v>
      </c>
      <c r="AY847" s="10" t="str">
        <f>IF(L847="","",
IF(AX847="PT",VLOOKUP(L847,Foundation_Calc!$K$79:$R$113,VLOOKUP(AW847,Foundation_Calc!$I$2:$J$8,2,FALSE),0),
IF(AX847="K",VLOOKUP(L847,Foundation_Calc!$K$117:$R$151,VLOOKUP(AW847,Foundation_Calc!$I$2:$J$8,2,FALSE),0),"")))</f>
        <v/>
      </c>
      <c r="AZ847" s="10">
        <f>IF(K847="","",
IF(AX847="PT",VLOOKUP(K847,Foundation_Calc!$K$79:$R$113,VLOOKUP(AW847,Foundation_Calc!$I$2:$J$8,2,FALSE),0),
IF(AX847="K",VLOOKUP(K847,Foundation_Calc!$K$117:$R$151,VLOOKUP(AW847,Foundation_Calc!$I$2:$J$8,2,FALSE),0),"")))</f>
        <v>2.8</v>
      </c>
      <c r="BA847" s="495" t="str">
        <f t="shared" si="95"/>
        <v/>
      </c>
      <c r="BB847" s="495" t="str">
        <f t="shared" si="96"/>
        <v>ü</v>
      </c>
      <c r="BC847" s="495" t="str">
        <f t="shared" si="97"/>
        <v/>
      </c>
      <c r="BD847" s="513" t="str">
        <f>IF(AND(L847="",H847=""),"",
IF(H847="",Pole_Calc!A$9,
IF(H847="MP",Pole_Calc!A$10,
IF(H847="AnMP",Pole_Calc!A$11,
IF(H847="A",Pole_Calc!A$12,
IF(H847="S/A",Pole_Calc!A$13,
IF(H847="A/S",Pole_Calc!A$14,"Poner a mano")))))))</f>
        <v/>
      </c>
      <c r="BE847" s="429" t="s">
        <v>118</v>
      </c>
      <c r="BF847" s="290"/>
      <c r="BG847" s="290"/>
      <c r="BH847" s="290"/>
      <c r="BI847" s="290"/>
    </row>
    <row r="848" spans="1:61" ht="15.75" customHeight="1">
      <c r="A848" s="514"/>
      <c r="B848" s="450" t="s">
        <v>684</v>
      </c>
      <c r="C848" s="3">
        <f>+$C$846+$G$847</f>
        <v>50297.87</v>
      </c>
      <c r="D848" s="83"/>
      <c r="E848" s="4"/>
      <c r="F848" s="4">
        <f>IF(C848&gt;0,VLOOKUP(C848,'ALIGNMENT TRACK'!$A$1:$K$81,9,1))</f>
        <v>0</v>
      </c>
      <c r="G848" s="6"/>
      <c r="H848" s="449"/>
      <c r="I848" s="4"/>
      <c r="J848" s="3"/>
      <c r="K848" s="449"/>
      <c r="L848" s="449" t="s">
        <v>153</v>
      </c>
      <c r="M848" s="449" t="str">
        <f>IF(L848="","",
IF(AX848="PT",VLOOKUP(L848,Foundation_Calc!$V$79:$X$113,VLOOKUP(AX848,Foundation_Calc!$I$10:$J$13,2,FALSE),0),
IF(AX848="K",VLOOKUP(L848,Foundation_Calc!$V$117:$X$151,VLOOKUP(AX848,Foundation_Calc!$I$10:$J$13,2,FALSE),0),"")))</f>
        <v>C3R</v>
      </c>
      <c r="N848" s="449" t="s">
        <v>124</v>
      </c>
      <c r="O848" s="449"/>
      <c r="P848" s="449"/>
      <c r="Q848" s="4"/>
      <c r="R848" s="6"/>
      <c r="S848" s="6"/>
      <c r="T848" s="4">
        <v>-35</v>
      </c>
      <c r="U848" s="4"/>
      <c r="V848" s="4"/>
      <c r="W848" s="9">
        <v>1.4</v>
      </c>
      <c r="X848" s="9"/>
      <c r="Y848" s="9"/>
      <c r="Z848" s="9"/>
      <c r="AA848" s="9"/>
      <c r="AB848" s="9"/>
      <c r="AC848" s="449" t="str">
        <f t="shared" si="104"/>
        <v>PH</v>
      </c>
      <c r="AD848" s="449"/>
      <c r="AE848" s="449"/>
      <c r="AF848" s="4"/>
      <c r="AG848" s="83"/>
      <c r="AH848" s="4"/>
      <c r="AI848" s="4"/>
      <c r="AJ848" s="449"/>
      <c r="AK848" s="449"/>
      <c r="AL848" s="449"/>
      <c r="AM848" s="449" t="s">
        <v>552</v>
      </c>
      <c r="AN848" s="10">
        <v>5.5</v>
      </c>
      <c r="AO848" s="9"/>
      <c r="AP848" s="9"/>
      <c r="AQ848" s="9"/>
      <c r="AR848" s="9"/>
      <c r="AS848" s="9"/>
      <c r="AT848" s="9">
        <f>+ab($T$848,$T$846,$T$850,$G$847,$G$849,-1*$F$848,1200)</f>
        <v>-8.300256796512933</v>
      </c>
      <c r="AU848" s="428"/>
      <c r="AV848" s="428"/>
      <c r="AW848" s="449" t="str">
        <f>IF(C848&gt;0,VLOOKUP(C848,Foundation_Calc!$A$2:$C$13,3,1),
IF(J848&gt;0,VLOOKUP(J848,Foundation_Calc!$A$2:$C$13,3,1),""))</f>
        <v>Multi Soil</v>
      </c>
      <c r="AX848" s="449" t="str">
        <f>IF(C848&gt;0,VLOOKUP(C848,Foundation_Calc!$E$2:$G$33,3,1),
IF(J848&gt;0,VLOOKUP(J848,Foundation_Calc!$E$2:$G$33,3,1),""))</f>
        <v>PT</v>
      </c>
      <c r="AY848" s="10">
        <f>IF(L848="","",
IF(AX848="PT",VLOOKUP(L848,Foundation_Calc!$K$79:$R$113,VLOOKUP(AW848,Foundation_Calc!$I$2:$J$8,2,FALSE),0),
IF(AX848="K",VLOOKUP(L848,Foundation_Calc!$K$117:$R$151,VLOOKUP(AW848,Foundation_Calc!$I$2:$J$8,2,FALSE),0),"")))</f>
        <v>3.5</v>
      </c>
      <c r="AZ848" s="10" t="str">
        <f>IF(K848="","",
IF(AX848="PT",VLOOKUP(K848,Foundation_Calc!$K$79:$R$113,VLOOKUP(AW848,Foundation_Calc!$I$2:$J$8,2,FALSE),0),
IF(AX848="K",VLOOKUP(K848,Foundation_Calc!$K$117:$R$151,VLOOKUP(AW848,Foundation_Calc!$I$2:$J$8,2,FALSE),0),"")))</f>
        <v/>
      </c>
      <c r="BA848" s="495" t="str">
        <f t="shared" si="95"/>
        <v>ü</v>
      </c>
      <c r="BB848" s="495" t="str">
        <f t="shared" si="96"/>
        <v/>
      </c>
      <c r="BC848" s="495" t="str">
        <f t="shared" si="97"/>
        <v/>
      </c>
      <c r="BD848" s="513" t="str">
        <f>IF(AND(L848="",H848=""),"",
IF(H848="",Pole_Calc!A$9,
IF(H848="MP",Pole_Calc!A$10,
IF(H848="AnMP",Pole_Calc!A$11,
IF(H848="A",Pole_Calc!A$12,
IF(H848="S/A",Pole_Calc!A$13,
IF(H848="A/S",Pole_Calc!A$14,"Poner a mano")))))))</f>
        <v>App.7-V11I-P9.5.1.1</v>
      </c>
      <c r="BE848" s="429" t="s">
        <v>118</v>
      </c>
      <c r="BF848" s="289"/>
      <c r="BG848" s="289"/>
      <c r="BH848" s="290"/>
      <c r="BI848" s="289"/>
    </row>
    <row r="849" spans="1:61" ht="15.75" customHeight="1">
      <c r="A849" s="514"/>
      <c r="B849" s="450"/>
      <c r="C849" s="3"/>
      <c r="D849" s="83"/>
      <c r="E849" s="4"/>
      <c r="F849" s="4"/>
      <c r="G849" s="6">
        <v>62</v>
      </c>
      <c r="H849" s="449"/>
      <c r="I849" s="4"/>
      <c r="J849" s="3"/>
      <c r="K849" s="449"/>
      <c r="L849" s="449"/>
      <c r="M849" s="449" t="str">
        <f>IF(L849="","",
IF(AX849="PT",VLOOKUP(L849,Foundation_Calc!$V$79:$X$113,VLOOKUP(AX849,Foundation_Calc!$I$10:$J$13,2,FALSE),0),
IF(AX849="K",VLOOKUP(L849,Foundation_Calc!$V$117:$X$151,VLOOKUP(AX849,Foundation_Calc!$I$10:$J$13,2,FALSE),0),"")))</f>
        <v/>
      </c>
      <c r="N849" s="449"/>
      <c r="O849" s="449"/>
      <c r="P849" s="449"/>
      <c r="Q849" s="4"/>
      <c r="R849" s="6"/>
      <c r="S849" s="6"/>
      <c r="T849" s="4"/>
      <c r="U849" s="4"/>
      <c r="V849" s="4"/>
      <c r="W849" s="9"/>
      <c r="X849" s="9"/>
      <c r="Y849" s="9"/>
      <c r="Z849" s="9"/>
      <c r="AA849" s="9"/>
      <c r="AB849" s="9"/>
      <c r="AC849" s="449" t="str">
        <f t="shared" si="104"/>
        <v/>
      </c>
      <c r="AD849" s="449"/>
      <c r="AE849" s="449"/>
      <c r="AF849" s="4"/>
      <c r="AG849" s="83"/>
      <c r="AH849" s="4"/>
      <c r="AI849" s="4"/>
      <c r="AJ849" s="449"/>
      <c r="AK849" s="449"/>
      <c r="AL849" s="449"/>
      <c r="AM849" s="449"/>
      <c r="AN849" s="10"/>
      <c r="AO849" s="9"/>
      <c r="AP849" s="9"/>
      <c r="AQ849" s="9">
        <f>+FL_1($T$850,$T$848,$G$849,1200,9.28,-1*$F$850)</f>
        <v>0.45400350967741931</v>
      </c>
      <c r="AR849" s="9"/>
      <c r="AS849" s="9"/>
      <c r="AT849" s="9"/>
      <c r="AU849" s="428"/>
      <c r="AV849" s="428"/>
      <c r="AW849" s="449" t="str">
        <f>IF(C849&gt;0,VLOOKUP(C849,Foundation_Calc!$A$2:$C$13,3,1),
IF(J849&gt;0,VLOOKUP(J849,Foundation_Calc!$A$2:$C$13,3,1),""))</f>
        <v/>
      </c>
      <c r="AX849" s="449" t="str">
        <f>IF(C849&gt;0,VLOOKUP(C849,Foundation_Calc!$E$2:$G$33,3,1),
IF(J849&gt;0,VLOOKUP(J849,Foundation_Calc!$E$2:$G$33,3,1),""))</f>
        <v/>
      </c>
      <c r="AY849" s="10" t="str">
        <f>IF(L849="","",
IF(AX849="PT",VLOOKUP(L849,Foundation_Calc!$K$79:$R$113,VLOOKUP(AW849,Foundation_Calc!$I$2:$J$8,2,FALSE),0),
IF(AX849="K",VLOOKUP(L849,Foundation_Calc!$K$117:$R$151,VLOOKUP(AW849,Foundation_Calc!$I$2:$J$8,2,FALSE),0),"")))</f>
        <v/>
      </c>
      <c r="AZ849" s="10" t="str">
        <f>IF(K849="","",
IF(AX849="PT",VLOOKUP(K849,Foundation_Calc!$K$79:$R$113,VLOOKUP(AW849,Foundation_Calc!$I$2:$J$8,2,FALSE),0),
IF(AX849="K",VLOOKUP(K849,Foundation_Calc!$K$117:$R$151,VLOOKUP(AW849,Foundation_Calc!$I$2:$J$8,2,FALSE),0),"")))</f>
        <v/>
      </c>
      <c r="BA849" s="495" t="str">
        <f t="shared" si="95"/>
        <v/>
      </c>
      <c r="BB849" s="495" t="str">
        <f t="shared" si="96"/>
        <v/>
      </c>
      <c r="BC849" s="495" t="str">
        <f t="shared" si="97"/>
        <v/>
      </c>
      <c r="BD849" s="513" t="str">
        <f>IF(AND(L849="",H849=""),"",
IF(H849="",Pole_Calc!A$9,
IF(H849="MP",Pole_Calc!A$10,
IF(H849="AnMP",Pole_Calc!A$11,
IF(H849="A",Pole_Calc!A$12,
IF(H849="S/A",Pole_Calc!A$13,
IF(H849="A/S",Pole_Calc!A$14,"Poner a mano")))))))</f>
        <v/>
      </c>
      <c r="BE849" s="429" t="s">
        <v>118</v>
      </c>
      <c r="BF849" s="290"/>
      <c r="BG849" s="290"/>
      <c r="BH849" s="290"/>
      <c r="BI849" s="290"/>
    </row>
    <row r="850" spans="1:61" ht="15.75" customHeight="1">
      <c r="A850" s="514"/>
      <c r="B850" s="450" t="s">
        <v>685</v>
      </c>
      <c r="C850" s="3">
        <f>+$C$848+$G$849</f>
        <v>50359.87</v>
      </c>
      <c r="D850" s="83"/>
      <c r="E850" s="4"/>
      <c r="F850" s="4">
        <f>IF(C850&gt;0,VLOOKUP(C850,'ALIGNMENT TRACK'!$A$1:$K$81,9,1))</f>
        <v>0</v>
      </c>
      <c r="G850" s="6"/>
      <c r="H850" s="449"/>
      <c r="I850" s="4"/>
      <c r="J850" s="3"/>
      <c r="K850" s="449"/>
      <c r="L850" s="449" t="s">
        <v>153</v>
      </c>
      <c r="M850" s="449" t="str">
        <f>IF(L850="","",
IF(AX850="PT",VLOOKUP(L850,Foundation_Calc!$V$79:$X$113,VLOOKUP(AX850,Foundation_Calc!$I$10:$J$13,2,FALSE),0),
IF(AX850="K",VLOOKUP(L850,Foundation_Calc!$V$117:$X$151,VLOOKUP(AX850,Foundation_Calc!$I$10:$J$13,2,FALSE),0),"")))</f>
        <v>C3R</v>
      </c>
      <c r="N850" s="449" t="s">
        <v>134</v>
      </c>
      <c r="O850" s="449"/>
      <c r="P850" s="449"/>
      <c r="Q850" s="4"/>
      <c r="R850" s="6"/>
      <c r="S850" s="6"/>
      <c r="T850" s="4">
        <v>35</v>
      </c>
      <c r="U850" s="4"/>
      <c r="V850" s="4"/>
      <c r="W850" s="9">
        <v>1.4</v>
      </c>
      <c r="X850" s="9"/>
      <c r="Y850" s="9"/>
      <c r="Z850" s="9"/>
      <c r="AA850" s="9"/>
      <c r="AB850" s="9"/>
      <c r="AC850" s="449" t="str">
        <f t="shared" si="104"/>
        <v>PH</v>
      </c>
      <c r="AD850" s="449"/>
      <c r="AE850" s="449"/>
      <c r="AF850" s="4"/>
      <c r="AG850" s="83"/>
      <c r="AH850" s="4"/>
      <c r="AI850" s="4"/>
      <c r="AJ850" s="449"/>
      <c r="AK850" s="449"/>
      <c r="AL850" s="449"/>
      <c r="AM850" s="449" t="s">
        <v>552</v>
      </c>
      <c r="AN850" s="10">
        <v>5.5</v>
      </c>
      <c r="AO850" s="9"/>
      <c r="AP850" s="9"/>
      <c r="AQ850" s="9"/>
      <c r="AR850" s="9"/>
      <c r="AS850" s="9"/>
      <c r="AT850" s="9">
        <f>+ab($T$850,$T$848,$T$852,$G$849,$G$851,-1*$F$850,1200)</f>
        <v>8.4365744899000195</v>
      </c>
      <c r="AU850" s="428"/>
      <c r="AV850" s="428"/>
      <c r="AW850" s="449" t="str">
        <f>IF(C850&gt;0,VLOOKUP(C850,Foundation_Calc!$A$2:$C$13,3,1),
IF(J850&gt;0,VLOOKUP(J850,Foundation_Calc!$A$2:$C$13,3,1),""))</f>
        <v>Multi Soil</v>
      </c>
      <c r="AX850" s="449" t="str">
        <f>IF(C850&gt;0,VLOOKUP(C850,Foundation_Calc!$E$2:$G$33,3,1),
IF(J850&gt;0,VLOOKUP(J850,Foundation_Calc!$E$2:$G$33,3,1),""))</f>
        <v>PT</v>
      </c>
      <c r="AY850" s="10">
        <f>IF(L850="","",
IF(AX850="PT",VLOOKUP(L850,Foundation_Calc!$K$79:$R$113,VLOOKUP(AW850,Foundation_Calc!$I$2:$J$8,2,FALSE),0),
IF(AX850="K",VLOOKUP(L850,Foundation_Calc!$K$117:$R$151,VLOOKUP(AW850,Foundation_Calc!$I$2:$J$8,2,FALSE),0),"")))</f>
        <v>3.5</v>
      </c>
      <c r="AZ850" s="10" t="str">
        <f>IF(K850="","",
IF(AX850="PT",VLOOKUP(K850,Foundation_Calc!$K$79:$R$113,VLOOKUP(AW850,Foundation_Calc!$I$2:$J$8,2,FALSE),0),
IF(AX850="K",VLOOKUP(K850,Foundation_Calc!$K$117:$R$151,VLOOKUP(AW850,Foundation_Calc!$I$2:$J$8,2,FALSE),0),"")))</f>
        <v/>
      </c>
      <c r="BA850" s="495" t="str">
        <f t="shared" si="95"/>
        <v>ü</v>
      </c>
      <c r="BB850" s="495" t="str">
        <f t="shared" si="96"/>
        <v/>
      </c>
      <c r="BC850" s="495" t="str">
        <f t="shared" si="97"/>
        <v/>
      </c>
      <c r="BD850" s="513" t="str">
        <f>IF(AND(L850="",H850=""),"",
IF(H850="",Pole_Calc!A$9,
IF(H850="MP",Pole_Calc!A$10,
IF(H850="AnMP",Pole_Calc!A$11,
IF(H850="A",Pole_Calc!A$12,
IF(H850="S/A",Pole_Calc!A$13,
IF(H850="A/S",Pole_Calc!A$14,"Poner a mano")))))))</f>
        <v>App.7-V11I-P9.5.1.1</v>
      </c>
      <c r="BE850" s="429" t="s">
        <v>118</v>
      </c>
      <c r="BF850" s="289"/>
      <c r="BG850" s="289"/>
      <c r="BH850" s="290"/>
      <c r="BI850" s="289"/>
    </row>
    <row r="851" spans="1:61" ht="15.75" customHeight="1">
      <c r="A851" s="514"/>
      <c r="B851" s="450"/>
      <c r="C851" s="3"/>
      <c r="D851" s="83"/>
      <c r="E851" s="4"/>
      <c r="F851" s="4"/>
      <c r="G851" s="6">
        <v>62</v>
      </c>
      <c r="H851" s="449"/>
      <c r="I851" s="4"/>
      <c r="J851" s="3"/>
      <c r="K851" s="449"/>
      <c r="L851" s="449"/>
      <c r="M851" s="449" t="str">
        <f>IF(L851="","",
IF(AX851="PT",VLOOKUP(L851,Foundation_Calc!$V$79:$X$113,VLOOKUP(AX851,Foundation_Calc!$I$10:$J$13,2,FALSE),0),
IF(AX851="K",VLOOKUP(L851,Foundation_Calc!$V$117:$X$151,VLOOKUP(AX851,Foundation_Calc!$I$10:$J$13,2,FALSE),0),"")))</f>
        <v/>
      </c>
      <c r="N851" s="449"/>
      <c r="O851" s="449"/>
      <c r="P851" s="449"/>
      <c r="Q851" s="4"/>
      <c r="R851" s="6"/>
      <c r="S851" s="6"/>
      <c r="T851" s="4"/>
      <c r="U851" s="4"/>
      <c r="V851" s="4"/>
      <c r="W851" s="9"/>
      <c r="X851" s="9"/>
      <c r="Y851" s="9"/>
      <c r="Z851" s="9"/>
      <c r="AA851" s="9"/>
      <c r="AB851" s="9"/>
      <c r="AC851" s="449" t="str">
        <f t="shared" si="104"/>
        <v/>
      </c>
      <c r="AD851" s="449"/>
      <c r="AE851" s="449"/>
      <c r="AF851" s="4"/>
      <c r="AG851" s="83"/>
      <c r="AH851" s="4"/>
      <c r="AI851" s="4"/>
      <c r="AJ851" s="449"/>
      <c r="AK851" s="449"/>
      <c r="AL851" s="449"/>
      <c r="AM851" s="449"/>
      <c r="AN851" s="10"/>
      <c r="AO851" s="9"/>
      <c r="AP851" s="9"/>
      <c r="AQ851" s="9">
        <f>+FL_2($T$852,$T$850,$G$851,1200,9.28,-1*$F$852)</f>
        <v>-0.45400350967741931</v>
      </c>
      <c r="AR851" s="9"/>
      <c r="AS851" s="9"/>
      <c r="AT851" s="9"/>
      <c r="AU851" s="428"/>
      <c r="AV851" s="428"/>
      <c r="AW851" s="449" t="str">
        <f>IF(C851&gt;0,VLOOKUP(C851,Foundation_Calc!$A$2:$C$13,3,1),
IF(J851&gt;0,VLOOKUP(J851,Foundation_Calc!$A$2:$C$13,3,1),""))</f>
        <v/>
      </c>
      <c r="AX851" s="449" t="str">
        <f>IF(C851&gt;0,VLOOKUP(C851,Foundation_Calc!$E$2:$G$33,3,1),
IF(J851&gt;0,VLOOKUP(J851,Foundation_Calc!$E$2:$G$33,3,1),""))</f>
        <v/>
      </c>
      <c r="AY851" s="10" t="str">
        <f>IF(L851="","",
IF(AX851="PT",VLOOKUP(L851,Foundation_Calc!$K$79:$R$113,VLOOKUP(AW851,Foundation_Calc!$I$2:$J$8,2,FALSE),0),
IF(AX851="K",VLOOKUP(L851,Foundation_Calc!$K$117:$R$151,VLOOKUP(AW851,Foundation_Calc!$I$2:$J$8,2,FALSE),0),"")))</f>
        <v/>
      </c>
      <c r="AZ851" s="10" t="str">
        <f>IF(K851="","",
IF(AX851="PT",VLOOKUP(K851,Foundation_Calc!$K$79:$R$113,VLOOKUP(AW851,Foundation_Calc!$I$2:$J$8,2,FALSE),0),
IF(AX851="K",VLOOKUP(K851,Foundation_Calc!$K$117:$R$151,VLOOKUP(AW851,Foundation_Calc!$I$2:$J$8,2,FALSE),0),"")))</f>
        <v/>
      </c>
      <c r="BA851" s="495" t="str">
        <f t="shared" ref="BA851:BA914" si="105">IF(AY851="","",IF(AY851&gt;0,"ü",""))</f>
        <v/>
      </c>
      <c r="BB851" s="495" t="str">
        <f t="shared" ref="BB851:BB914" si="106">IF(AZ851="","",IF(AZ851&gt;0,"ü",""))</f>
        <v/>
      </c>
      <c r="BC851" s="495" t="str">
        <f t="shared" ref="BC851:BC914" si="107">IF(M851="","",IF(M851="U.S.","ü",IF(M851="U.S. N.D.","ü","")))</f>
        <v/>
      </c>
      <c r="BD851" s="513" t="str">
        <f>IF(AND(L851="",H851=""),"",
IF(H851="",Pole_Calc!A$9,
IF(H851="MP",Pole_Calc!A$10,
IF(H851="AnMP",Pole_Calc!A$11,
IF(H851="A",Pole_Calc!A$12,
IF(H851="S/A",Pole_Calc!A$13,
IF(H851="A/S",Pole_Calc!A$14,"Poner a mano")))))))</f>
        <v/>
      </c>
      <c r="BE851" s="429" t="s">
        <v>118</v>
      </c>
      <c r="BF851" s="290"/>
      <c r="BG851" s="290"/>
      <c r="BH851" s="290"/>
      <c r="BI851" s="290"/>
    </row>
    <row r="852" spans="1:61" ht="15.75" customHeight="1">
      <c r="A852" s="518"/>
      <c r="B852" s="450" t="s">
        <v>686</v>
      </c>
      <c r="C852" s="3">
        <f>+$C$850+$G$851</f>
        <v>50421.87</v>
      </c>
      <c r="D852" s="83"/>
      <c r="E852" s="4"/>
      <c r="F852" s="4">
        <f>IF(C852&gt;0,VLOOKUP(C852,'ALIGNMENT TRACK'!$A$1:$K$81,9,1))</f>
        <v>0</v>
      </c>
      <c r="G852" s="6"/>
      <c r="H852" s="449"/>
      <c r="I852" s="4"/>
      <c r="J852" s="3"/>
      <c r="K852" s="449"/>
      <c r="L852" s="449" t="s">
        <v>153</v>
      </c>
      <c r="M852" s="449" t="str">
        <f>IF(L852="","",
IF(AX852="PT",VLOOKUP(L852,Foundation_Calc!$V$79:$X$113,VLOOKUP(AX852,Foundation_Calc!$I$10:$J$13,2,FALSE),0),
IF(AX852="K",VLOOKUP(L852,Foundation_Calc!$V$117:$X$151,VLOOKUP(AX852,Foundation_Calc!$I$10:$J$13,2,FALSE),0),"")))</f>
        <v>C3R</v>
      </c>
      <c r="N852" s="449" t="s">
        <v>124</v>
      </c>
      <c r="O852" s="449"/>
      <c r="P852" s="449"/>
      <c r="Q852" s="4"/>
      <c r="R852" s="6"/>
      <c r="S852" s="6"/>
      <c r="T852" s="4">
        <v>-35</v>
      </c>
      <c r="U852" s="4"/>
      <c r="V852" s="4"/>
      <c r="W852" s="9">
        <v>1.4</v>
      </c>
      <c r="X852" s="9"/>
      <c r="Y852" s="9"/>
      <c r="Z852" s="9"/>
      <c r="AA852" s="9"/>
      <c r="AB852" s="9"/>
      <c r="AC852" s="449" t="str">
        <f t="shared" si="104"/>
        <v>PH</v>
      </c>
      <c r="AD852" s="449"/>
      <c r="AE852" s="449"/>
      <c r="AF852" s="4"/>
      <c r="AG852" s="83"/>
      <c r="AH852" s="4"/>
      <c r="AI852" s="4"/>
      <c r="AJ852" s="449"/>
      <c r="AK852" s="449"/>
      <c r="AL852" s="449"/>
      <c r="AM852" s="449" t="s">
        <v>552</v>
      </c>
      <c r="AN852" s="10">
        <v>5.5</v>
      </c>
      <c r="AO852" s="9"/>
      <c r="AP852" s="9"/>
      <c r="AQ852" s="9"/>
      <c r="AR852" s="9"/>
      <c r="AS852" s="9"/>
      <c r="AT852" s="9">
        <f>+ab($T$852,$T$850,$T$854,$G$851,$G$853,-1*$F$852,1200)</f>
        <v>-8.4366201521118445</v>
      </c>
      <c r="AU852" s="428"/>
      <c r="AV852" s="428"/>
      <c r="AW852" s="449" t="str">
        <f>IF(C852&gt;0,VLOOKUP(C852,Foundation_Calc!$A$2:$C$13,3,1),
IF(J852&gt;0,VLOOKUP(J852,Foundation_Calc!$A$2:$C$13,3,1),""))</f>
        <v>Multi Soil</v>
      </c>
      <c r="AX852" s="449" t="str">
        <f>IF(C852&gt;0,VLOOKUP(C852,Foundation_Calc!$E$2:$G$33,3,1),
IF(J852&gt;0,VLOOKUP(J852,Foundation_Calc!$E$2:$G$33,3,1),""))</f>
        <v>PT</v>
      </c>
      <c r="AY852" s="10">
        <f>IF(L852="","",
IF(AX852="PT",VLOOKUP(L852,Foundation_Calc!$K$79:$R$113,VLOOKUP(AW852,Foundation_Calc!$I$2:$J$8,2,FALSE),0),
IF(AX852="K",VLOOKUP(L852,Foundation_Calc!$K$117:$R$151,VLOOKUP(AW852,Foundation_Calc!$I$2:$J$8,2,FALSE),0),"")))</f>
        <v>3.5</v>
      </c>
      <c r="AZ852" s="10" t="str">
        <f>IF(K852="","",
IF(AX852="PT",VLOOKUP(K852,Foundation_Calc!$K$79:$R$113,VLOOKUP(AW852,Foundation_Calc!$I$2:$J$8,2,FALSE),0),
IF(AX852="K",VLOOKUP(K852,Foundation_Calc!$K$117:$R$151,VLOOKUP(AW852,Foundation_Calc!$I$2:$J$8,2,FALSE),0),"")))</f>
        <v/>
      </c>
      <c r="BA852" s="495" t="str">
        <f t="shared" si="105"/>
        <v>ü</v>
      </c>
      <c r="BB852" s="495" t="str">
        <f t="shared" si="106"/>
        <v/>
      </c>
      <c r="BC852" s="495" t="str">
        <f t="shared" si="107"/>
        <v/>
      </c>
      <c r="BD852" s="513" t="str">
        <f>IF(AND(L852="",H852=""),"",
IF(H852="",Pole_Calc!A$9,
IF(H852="MP",Pole_Calc!A$10,
IF(H852="AnMP",Pole_Calc!A$11,
IF(H852="A",Pole_Calc!A$12,
IF(H852="S/A",Pole_Calc!A$13,
IF(H852="A/S",Pole_Calc!A$14,"Poner a mano")))))))</f>
        <v>App.7-V11I-P9.5.1.1</v>
      </c>
      <c r="BE852" s="429" t="s">
        <v>118</v>
      </c>
      <c r="BF852" s="289"/>
      <c r="BG852" s="289"/>
      <c r="BH852" s="290"/>
      <c r="BI852" s="289"/>
    </row>
    <row r="853" spans="1:61" ht="15.75" customHeight="1">
      <c r="A853" s="518"/>
      <c r="B853" s="450"/>
      <c r="C853" s="3"/>
      <c r="D853" s="83"/>
      <c r="E853" s="4"/>
      <c r="F853" s="4"/>
      <c r="G853" s="6">
        <v>62</v>
      </c>
      <c r="H853" s="449"/>
      <c r="I853" s="4"/>
      <c r="J853" s="3">
        <f>C854-7.5</f>
        <v>50476.37</v>
      </c>
      <c r="K853" s="449" t="s">
        <v>117</v>
      </c>
      <c r="L853" s="449"/>
      <c r="M853" s="449" t="str">
        <f>IF(L853="","",
IF(AX853="PT",VLOOKUP(L853,Foundation_Calc!$V$79:$X$113,VLOOKUP(AX853,Foundation_Calc!$I$10:$J$13,2,FALSE),0),
IF(AX853="K",VLOOKUP(L853,Foundation_Calc!$V$117:$X$151,VLOOKUP(AX853,Foundation_Calc!$I$10:$J$13,2,FALSE),0),"")))</f>
        <v/>
      </c>
      <c r="N853" s="561"/>
      <c r="O853" s="449"/>
      <c r="P853" s="449"/>
      <c r="Q853" s="4"/>
      <c r="R853" s="6"/>
      <c r="S853" s="6"/>
      <c r="T853" s="4"/>
      <c r="U853" s="4"/>
      <c r="V853" s="4"/>
      <c r="W853" s="9"/>
      <c r="X853" s="9"/>
      <c r="Y853" s="9"/>
      <c r="Z853" s="9"/>
      <c r="AA853" s="9"/>
      <c r="AB853" s="9"/>
      <c r="AC853" s="449" t="str">
        <f t="shared" si="104"/>
        <v/>
      </c>
      <c r="AD853" s="449"/>
      <c r="AE853" s="449"/>
      <c r="AF853" s="4"/>
      <c r="AG853" s="83"/>
      <c r="AH853" s="4"/>
      <c r="AI853" s="4"/>
      <c r="AJ853" s="449"/>
      <c r="AK853" s="449"/>
      <c r="AL853" s="449"/>
      <c r="AM853" s="449"/>
      <c r="AN853" s="10"/>
      <c r="AO853" s="9"/>
      <c r="AP853" s="9"/>
      <c r="AQ853" s="9">
        <f>+FL_1($T$854,$T$852,$G$853,1200,9.28,-1*$F$854)</f>
        <v>0.45400350967741931</v>
      </c>
      <c r="AR853" s="9"/>
      <c r="AS853" s="9"/>
      <c r="AT853" s="9"/>
      <c r="AU853" s="428"/>
      <c r="AV853" s="428"/>
      <c r="AW853" s="449" t="str">
        <f>IF(C853&gt;0,VLOOKUP(C853,Foundation_Calc!$A$2:$C$13,3,1),
IF(J853&gt;0,VLOOKUP(J853,Foundation_Calc!$A$2:$C$13,3,1),""))</f>
        <v>Multi Soil</v>
      </c>
      <c r="AX853" s="449" t="str">
        <f>IF(C853&gt;0,VLOOKUP(C853,Foundation_Calc!$E$2:$G$33,3,1),
IF(J853&gt;0,VLOOKUP(J853,Foundation_Calc!$E$2:$G$33,3,1),""))</f>
        <v>PT</v>
      </c>
      <c r="AY853" s="10" t="str">
        <f>IF(L853="","",
IF(AX853="PT",VLOOKUP(L853,Foundation_Calc!$K$79:$R$113,VLOOKUP(AW853,Foundation_Calc!$I$2:$J$8,2,FALSE),0),
IF(AX853="K",VLOOKUP(L853,Foundation_Calc!$K$117:$R$151,VLOOKUP(AW853,Foundation_Calc!$I$2:$J$8,2,FALSE),0),"")))</f>
        <v/>
      </c>
      <c r="AZ853" s="10">
        <f>IF(K853="","",
IF(AX853="PT",VLOOKUP(K853,Foundation_Calc!$K$79:$R$113,VLOOKUP(AW853,Foundation_Calc!$I$2:$J$8,2,FALSE),0),
IF(AX853="K",VLOOKUP(K853,Foundation_Calc!$K$117:$R$151,VLOOKUP(AW853,Foundation_Calc!$I$2:$J$8,2,FALSE),0),"")))</f>
        <v>3.9</v>
      </c>
      <c r="BA853" s="495" t="str">
        <f t="shared" si="105"/>
        <v/>
      </c>
      <c r="BB853" s="495" t="str">
        <f t="shared" si="106"/>
        <v>ü</v>
      </c>
      <c r="BC853" s="495" t="str">
        <f t="shared" si="107"/>
        <v/>
      </c>
      <c r="BD853" s="513" t="str">
        <f>IF(AND(L853="",H853=""),"",
IF(H853="",Pole_Calc!A$9,
IF(H853="MP",Pole_Calc!A$10,
IF(H853="AnMP",Pole_Calc!A$11,
IF(H853="A",Pole_Calc!A$12,
IF(H853="S/A",Pole_Calc!A$13,
IF(H853="A/S",Pole_Calc!A$14,"Poner a mano")))))))</f>
        <v/>
      </c>
      <c r="BE853" s="429" t="s">
        <v>118</v>
      </c>
      <c r="BF853" s="290"/>
      <c r="BG853" s="290"/>
      <c r="BH853" s="290"/>
      <c r="BI853" s="290"/>
    </row>
    <row r="854" spans="1:61" ht="15.75" customHeight="1">
      <c r="A854" s="514"/>
      <c r="B854" s="450" t="s">
        <v>687</v>
      </c>
      <c r="C854" s="3">
        <f>+$C$852+$G$853</f>
        <v>50483.87</v>
      </c>
      <c r="D854" s="83"/>
      <c r="E854" s="4"/>
      <c r="F854" s="4">
        <f>IF(C854&gt;0,VLOOKUP(C854,'ALIGNMENT TRACK'!$A$1:$K$81,9,1))</f>
        <v>0</v>
      </c>
      <c r="G854" s="6"/>
      <c r="H854" s="449" t="s">
        <v>121</v>
      </c>
      <c r="I854" s="4" t="s">
        <v>122</v>
      </c>
      <c r="J854" s="3"/>
      <c r="K854" s="449"/>
      <c r="L854" s="449" t="s">
        <v>151</v>
      </c>
      <c r="M854" s="449" t="str">
        <f>IF(L854="","",
IF(AX854="PT",VLOOKUP(L854,Foundation_Calc!$V$79:$X$113,VLOOKUP(AX854,Foundation_Calc!$I$10:$J$13,2,FALSE),0),
IF(AX854="K",VLOOKUP(L854,Foundation_Calc!$V$117:$X$151,VLOOKUP(AX854,Foundation_Calc!$I$10:$J$13,2,FALSE),0),"")))</f>
        <v>C4R</v>
      </c>
      <c r="N854" s="449" t="s">
        <v>134</v>
      </c>
      <c r="O854" s="449"/>
      <c r="P854" s="449"/>
      <c r="Q854" s="4"/>
      <c r="R854" s="6"/>
      <c r="S854" s="6"/>
      <c r="T854" s="4">
        <v>35</v>
      </c>
      <c r="U854" s="4"/>
      <c r="V854" s="4"/>
      <c r="W854" s="9">
        <v>1.4</v>
      </c>
      <c r="X854" s="9"/>
      <c r="Y854" s="9"/>
      <c r="Z854" s="9"/>
      <c r="AA854" s="9"/>
      <c r="AB854" s="9"/>
      <c r="AC854" s="449" t="str">
        <f t="shared" si="104"/>
        <v>PH</v>
      </c>
      <c r="AD854" s="449"/>
      <c r="AE854" s="449"/>
      <c r="AF854" s="4"/>
      <c r="AG854" s="83"/>
      <c r="AH854" s="4"/>
      <c r="AI854" s="4"/>
      <c r="AJ854" s="449"/>
      <c r="AK854" s="449"/>
      <c r="AL854" s="449"/>
      <c r="AM854" s="449" t="s">
        <v>552</v>
      </c>
      <c r="AN854" s="10">
        <v>5.5</v>
      </c>
      <c r="AO854" s="9"/>
      <c r="AP854" s="9"/>
      <c r="AQ854" s="9"/>
      <c r="AR854" s="9"/>
      <c r="AS854" s="9"/>
      <c r="AT854" s="9">
        <f>+ab($T$854,$T$852,$U$856,$G$853,$G$855,-1*$F$854,1200)</f>
        <v>8.4365744899000195</v>
      </c>
      <c r="AU854" s="428"/>
      <c r="AV854" s="428"/>
      <c r="AW854" s="449" t="str">
        <f>IF(C854&gt;0,VLOOKUP(C854,Foundation_Calc!$A$2:$C$13,3,1),
IF(J854&gt;0,VLOOKUP(J854,Foundation_Calc!$A$2:$C$13,3,1),""))</f>
        <v>Multi Soil</v>
      </c>
      <c r="AX854" s="449" t="str">
        <f>IF(C854&gt;0,VLOOKUP(C854,Foundation_Calc!$E$2:$G$33,3,1),
IF(J854&gt;0,VLOOKUP(J854,Foundation_Calc!$E$2:$G$33,3,1),""))</f>
        <v>PT</v>
      </c>
      <c r="AY854" s="10">
        <f>IF(L854="","",
IF(AX854="PT",VLOOKUP(L854,Foundation_Calc!$K$79:$R$113,VLOOKUP(AW854,Foundation_Calc!$I$2:$J$8,2,FALSE),0),
IF(AX854="K",VLOOKUP(L854,Foundation_Calc!$K$117:$R$151,VLOOKUP(AW854,Foundation_Calc!$I$2:$J$8,2,FALSE),0),"")))</f>
        <v>3.5</v>
      </c>
      <c r="AZ854" s="10" t="str">
        <f>IF(K854="","",
IF(AX854="PT",VLOOKUP(K854,Foundation_Calc!$K$79:$R$113,VLOOKUP(AW854,Foundation_Calc!$I$2:$J$8,2,FALSE),0),
IF(AX854="K",VLOOKUP(K854,Foundation_Calc!$K$117:$R$151,VLOOKUP(AW854,Foundation_Calc!$I$2:$J$8,2,FALSE),0),"")))</f>
        <v/>
      </c>
      <c r="BA854" s="495" t="str">
        <f t="shared" si="105"/>
        <v>ü</v>
      </c>
      <c r="BB854" s="495" t="str">
        <f t="shared" si="106"/>
        <v/>
      </c>
      <c r="BC854" s="495" t="str">
        <f t="shared" si="107"/>
        <v/>
      </c>
      <c r="BD854" s="513" t="str">
        <f>IF(AND(L854="",H854=""),"",
IF(H854="",Pole_Calc!A$9,
IF(H854="MP",Pole_Calc!A$10,
IF(H854="AnMP",Pole_Calc!A$11,
IF(H854="A",Pole_Calc!A$12,
IF(H854="S/A",Pole_Calc!A$13,
IF(H854="A/S",Pole_Calc!A$14,"Poner a mano")))))))</f>
        <v>App.7-V11I-P9.5.1.6</v>
      </c>
      <c r="BE854" s="429" t="s">
        <v>118</v>
      </c>
      <c r="BF854" s="289"/>
      <c r="BG854" s="289"/>
      <c r="BH854" s="290"/>
      <c r="BI854" s="289"/>
    </row>
    <row r="855" spans="1:61" ht="15.75" customHeight="1">
      <c r="A855" s="514"/>
      <c r="B855" s="450"/>
      <c r="C855" s="3"/>
      <c r="D855" s="83"/>
      <c r="E855" s="4"/>
      <c r="F855" s="4"/>
      <c r="G855" s="6">
        <v>62</v>
      </c>
      <c r="H855" s="449"/>
      <c r="I855" s="4"/>
      <c r="J855" s="3"/>
      <c r="K855" s="449"/>
      <c r="L855" s="449"/>
      <c r="M855" s="449" t="str">
        <f>IF(L855="","",
IF(AX855="PT",VLOOKUP(L855,Foundation_Calc!$V$79:$X$113,VLOOKUP(AX855,Foundation_Calc!$I$10:$J$13,2,FALSE),0),
IF(AX855="K",VLOOKUP(L855,Foundation_Calc!$V$117:$X$151,VLOOKUP(AX855,Foundation_Calc!$I$10:$J$13,2,FALSE),0),"")))</f>
        <v/>
      </c>
      <c r="N855" s="449"/>
      <c r="O855" s="449"/>
      <c r="P855" s="449"/>
      <c r="Q855" s="4"/>
      <c r="R855" s="6"/>
      <c r="S855" s="6"/>
      <c r="T855" s="4"/>
      <c r="U855" s="4"/>
      <c r="V855" s="4"/>
      <c r="W855" s="9"/>
      <c r="X855" s="9"/>
      <c r="Y855" s="9"/>
      <c r="Z855" s="9"/>
      <c r="AA855" s="9"/>
      <c r="AB855" s="9"/>
      <c r="AC855" s="449" t="str">
        <f t="shared" si="104"/>
        <v/>
      </c>
      <c r="AD855" s="449"/>
      <c r="AE855" s="449"/>
      <c r="AF855" s="4"/>
      <c r="AG855" s="83"/>
      <c r="AH855" s="4"/>
      <c r="AI855" s="4"/>
      <c r="AJ855" s="449"/>
      <c r="AK855" s="449"/>
      <c r="AL855" s="449"/>
      <c r="AM855" s="449"/>
      <c r="AN855" s="10"/>
      <c r="AO855" s="9"/>
      <c r="AP855" s="9"/>
      <c r="AQ855" s="9">
        <f>+FL_2($U$856,$T$854,$G$855,1200,9.28,-1*$F$856)</f>
        <v>-0.45400350967741931</v>
      </c>
      <c r="AR855" s="9"/>
      <c r="AS855" s="9"/>
      <c r="AT855" s="9"/>
      <c r="AU855" s="428"/>
      <c r="AV855" s="428"/>
      <c r="AW855" s="449" t="str">
        <f>IF(C855&gt;0,VLOOKUP(C855,Foundation_Calc!$A$2:$C$13,3,1),
IF(J855&gt;0,VLOOKUP(J855,Foundation_Calc!$A$2:$C$13,3,1),""))</f>
        <v/>
      </c>
      <c r="AX855" s="449" t="str">
        <f>IF(C855&gt;0,VLOOKUP(C855,Foundation_Calc!$E$2:$G$33,3,1),
IF(J855&gt;0,VLOOKUP(J855,Foundation_Calc!$E$2:$G$33,3,1),""))</f>
        <v/>
      </c>
      <c r="AY855" s="10" t="str">
        <f>IF(L855="","",
IF(AX855="PT",VLOOKUP(L855,Foundation_Calc!$K$79:$R$113,VLOOKUP(AW855,Foundation_Calc!$I$2:$J$8,2,FALSE),0),
IF(AX855="K",VLOOKUP(L855,Foundation_Calc!$K$117:$R$151,VLOOKUP(AW855,Foundation_Calc!$I$2:$J$8,2,FALSE),0),"")))</f>
        <v/>
      </c>
      <c r="AZ855" s="10" t="str">
        <f>IF(K855="","",
IF(AX855="PT",VLOOKUP(K855,Foundation_Calc!$K$79:$R$113,VLOOKUP(AW855,Foundation_Calc!$I$2:$J$8,2,FALSE),0),
IF(AX855="K",VLOOKUP(K855,Foundation_Calc!$K$117:$R$151,VLOOKUP(AW855,Foundation_Calc!$I$2:$J$8,2,FALSE),0),"")))</f>
        <v/>
      </c>
      <c r="BA855" s="495" t="str">
        <f t="shared" si="105"/>
        <v/>
      </c>
      <c r="BB855" s="495" t="str">
        <f t="shared" si="106"/>
        <v/>
      </c>
      <c r="BC855" s="495" t="str">
        <f t="shared" si="107"/>
        <v/>
      </c>
      <c r="BD855" s="513" t="str">
        <f>IF(AND(L855="",H855=""),"",
IF(H855="",Pole_Calc!A$9,
IF(H855="MP",Pole_Calc!A$10,
IF(H855="AnMP",Pole_Calc!A$11,
IF(H855="A",Pole_Calc!A$12,
IF(H855="S/A",Pole_Calc!A$13,
IF(H855="A/S",Pole_Calc!A$14,"Poner a mano")))))))</f>
        <v/>
      </c>
      <c r="BE855" s="429" t="s">
        <v>118</v>
      </c>
      <c r="BF855" s="290"/>
      <c r="BG855" s="290"/>
      <c r="BH855" s="290"/>
      <c r="BI855" s="290"/>
    </row>
    <row r="856" spans="1:61" ht="15.75" customHeight="1">
      <c r="A856" s="514"/>
      <c r="B856" s="450" t="s">
        <v>688</v>
      </c>
      <c r="C856" s="3">
        <f>+$C$854+$G$855</f>
        <v>50545.87</v>
      </c>
      <c r="D856" s="83"/>
      <c r="E856" s="4"/>
      <c r="F856" s="4">
        <f>IF(C856&gt;0,VLOOKUP(C856,'ALIGNMENT TRACK'!$A$1:$K$81,9,1))</f>
        <v>0</v>
      </c>
      <c r="G856" s="6"/>
      <c r="H856" s="449" t="s">
        <v>131</v>
      </c>
      <c r="I856" s="4"/>
      <c r="J856" s="3"/>
      <c r="K856" s="449"/>
      <c r="L856" s="449" t="s">
        <v>158</v>
      </c>
      <c r="M856" s="449" t="str">
        <f>IF(L856="","",
IF(AX856="PT",VLOOKUP(L856,Foundation_Calc!$V$79:$X$113,VLOOKUP(AX856,Foundation_Calc!$I$10:$J$13,2,FALSE),0),
IF(AX856="K",VLOOKUP(L856,Foundation_Calc!$V$117:$X$151,VLOOKUP(AX856,Foundation_Calc!$I$10:$J$13,2,FALSE),0),"")))</f>
        <v>C4R</v>
      </c>
      <c r="N856" s="449" t="s">
        <v>133</v>
      </c>
      <c r="O856" s="449" t="s">
        <v>124</v>
      </c>
      <c r="P856" s="449"/>
      <c r="Q856" s="4"/>
      <c r="R856" s="6"/>
      <c r="S856" s="6"/>
      <c r="T856" s="4">
        <v>-15</v>
      </c>
      <c r="U856" s="4">
        <v>-35</v>
      </c>
      <c r="V856" s="4"/>
      <c r="W856" s="9">
        <v>1.4</v>
      </c>
      <c r="X856" s="9">
        <v>2.2999999999999998</v>
      </c>
      <c r="Y856" s="9"/>
      <c r="Z856" s="9">
        <v>0.6</v>
      </c>
      <c r="AA856" s="9"/>
      <c r="AB856" s="9"/>
      <c r="AC856" s="449"/>
      <c r="AD856" s="449"/>
      <c r="AE856" s="449"/>
      <c r="AF856" s="4"/>
      <c r="AG856" s="83"/>
      <c r="AH856" s="4"/>
      <c r="AI856" s="4"/>
      <c r="AJ856" s="449"/>
      <c r="AK856" s="449"/>
      <c r="AL856" s="449"/>
      <c r="AM856" s="449" t="s">
        <v>552</v>
      </c>
      <c r="AN856" s="10">
        <v>5.5</v>
      </c>
      <c r="AO856" s="9"/>
      <c r="AP856" s="9"/>
      <c r="AQ856" s="9"/>
      <c r="AR856" s="9"/>
      <c r="AS856" s="9"/>
      <c r="AT856" s="9">
        <f>+ab($U$856,$T$854,$U$858,$G$855,$G$857,-1*$F$856,1200)</f>
        <v>-9.817269950503789</v>
      </c>
      <c r="AU856" s="428"/>
      <c r="AV856" s="428"/>
      <c r="AW856" s="449" t="str">
        <f>IF(C856&gt;0,VLOOKUP(C856,Foundation_Calc!$A$2:$C$13,3,1),
IF(J856&gt;0,VLOOKUP(J856,Foundation_Calc!$A$2:$C$13,3,1),""))</f>
        <v>Multi Soil</v>
      </c>
      <c r="AX856" s="449" t="str">
        <f>IF(C856&gt;0,VLOOKUP(C856,Foundation_Calc!$E$2:$G$33,3,1),
IF(J856&gt;0,VLOOKUP(J856,Foundation_Calc!$E$2:$G$33,3,1),""))</f>
        <v>PT</v>
      </c>
      <c r="AY856" s="10">
        <f>IF(L856="","",
IF(AX856="PT",VLOOKUP(L856,Foundation_Calc!$K$79:$R$113,VLOOKUP(AW856,Foundation_Calc!$I$2:$J$8,2,FALSE),0),
IF(AX856="K",VLOOKUP(L856,Foundation_Calc!$K$117:$R$151,VLOOKUP(AW856,Foundation_Calc!$I$2:$J$8,2,FALSE),0),"")))</f>
        <v>3.5</v>
      </c>
      <c r="AZ856" s="10" t="str">
        <f>IF(K856="","",
IF(AX856="PT",VLOOKUP(K856,Foundation_Calc!$K$79:$R$113,VLOOKUP(AW856,Foundation_Calc!$I$2:$J$8,2,FALSE),0),
IF(AX856="K",VLOOKUP(K856,Foundation_Calc!$K$117:$R$151,VLOOKUP(AW856,Foundation_Calc!$I$2:$J$8,2,FALSE),0),"")))</f>
        <v/>
      </c>
      <c r="BA856" s="495" t="str">
        <f t="shared" si="105"/>
        <v>ü</v>
      </c>
      <c r="BB856" s="495" t="str">
        <f t="shared" si="106"/>
        <v/>
      </c>
      <c r="BC856" s="495" t="str">
        <f t="shared" si="107"/>
        <v/>
      </c>
      <c r="BD856" s="513" t="str">
        <f>IF(AND(L856="",H856=""),"",
IF(H856="",Pole_Calc!A$9,
IF(H856="MP",Pole_Calc!A$10,
IF(H856="AnMP",Pole_Calc!A$11,
IF(H856="A",Pole_Calc!A$12,
IF(H856="S/A",Pole_Calc!A$13,
IF(H856="A/S",Pole_Calc!A$14,"Poner a mano")))))))</f>
        <v>App.7-V11I-P9.5.1.5</v>
      </c>
      <c r="BE856" s="429" t="s">
        <v>118</v>
      </c>
      <c r="BF856" s="289"/>
      <c r="BG856" s="289"/>
      <c r="BH856" s="290"/>
      <c r="BI856" s="289"/>
    </row>
    <row r="857" spans="1:61" ht="15.75" customHeight="1">
      <c r="A857" s="514"/>
      <c r="B857" s="450"/>
      <c r="C857" s="3"/>
      <c r="D857" s="83"/>
      <c r="E857" s="4"/>
      <c r="F857" s="4"/>
      <c r="G857" s="6">
        <v>62</v>
      </c>
      <c r="H857" s="449"/>
      <c r="I857" s="4"/>
      <c r="J857" s="3"/>
      <c r="K857" s="449"/>
      <c r="L857" s="449"/>
      <c r="M857" s="449" t="str">
        <f>IF(L857="","",
IF(AX857="PT",VLOOKUP(L857,Foundation_Calc!$V$79:$X$113,VLOOKUP(AX857,Foundation_Calc!$I$10:$J$13,2,FALSE),0),
IF(AX857="K",VLOOKUP(L857,Foundation_Calc!$V$117:$X$151,VLOOKUP(AX857,Foundation_Calc!$I$10:$J$13,2,FALSE),0),"")))</f>
        <v/>
      </c>
      <c r="N857" s="449"/>
      <c r="O857" s="449"/>
      <c r="P857" s="449"/>
      <c r="Q857" s="4"/>
      <c r="R857" s="6"/>
      <c r="S857" s="6"/>
      <c r="T857" s="4"/>
      <c r="U857" s="4"/>
      <c r="V857" s="4"/>
      <c r="W857" s="9"/>
      <c r="X857" s="9"/>
      <c r="Y857" s="9"/>
      <c r="Z857" s="9"/>
      <c r="AA857" s="9"/>
      <c r="AB857" s="9"/>
      <c r="AC857" s="449" t="str">
        <f t="shared" si="104"/>
        <v/>
      </c>
      <c r="AD857" s="449"/>
      <c r="AE857" s="449"/>
      <c r="AF857" s="4"/>
      <c r="AG857" s="83"/>
      <c r="AH857" s="4"/>
      <c r="AI857" s="4"/>
      <c r="AJ857" s="449"/>
      <c r="AK857" s="449"/>
      <c r="AL857" s="449"/>
      <c r="AM857" s="449"/>
      <c r="AN857" s="10"/>
      <c r="AO857" s="9"/>
      <c r="AP857" s="9"/>
      <c r="AQ857" s="9">
        <f>+FL_1($T$858,$U$856,$G$857,1200,9.28,-1*$F$858)</f>
        <v>0.45400350967741931</v>
      </c>
      <c r="AR857" s="9"/>
      <c r="AS857" s="9"/>
      <c r="AT857" s="9"/>
      <c r="AU857" s="428"/>
      <c r="AV857" s="428"/>
      <c r="AW857" s="449" t="str">
        <f>IF(C857&gt;0,VLOOKUP(C857,Foundation_Calc!$A$2:$C$13,3,1),
IF(J857&gt;0,VLOOKUP(J857,Foundation_Calc!$A$2:$C$13,3,1),""))</f>
        <v/>
      </c>
      <c r="AX857" s="449" t="str">
        <f>IF(C857&gt;0,VLOOKUP(C857,Foundation_Calc!$E$2:$G$33,3,1),
IF(J857&gt;0,VLOOKUP(J857,Foundation_Calc!$E$2:$G$33,3,1),""))</f>
        <v/>
      </c>
      <c r="AY857" s="10" t="str">
        <f>IF(L857="","",
IF(AX857="PT",VLOOKUP(L857,Foundation_Calc!$K$79:$R$113,VLOOKUP(AW857,Foundation_Calc!$I$2:$J$8,2,FALSE),0),
IF(AX857="K",VLOOKUP(L857,Foundation_Calc!$K$117:$R$151,VLOOKUP(AW857,Foundation_Calc!$I$2:$J$8,2,FALSE),0),"")))</f>
        <v/>
      </c>
      <c r="AZ857" s="10" t="str">
        <f>IF(K857="","",
IF(AX857="PT",VLOOKUP(K857,Foundation_Calc!$K$79:$R$113,VLOOKUP(AW857,Foundation_Calc!$I$2:$J$8,2,FALSE),0),
IF(AX857="K",VLOOKUP(K857,Foundation_Calc!$K$117:$R$151,VLOOKUP(AW857,Foundation_Calc!$I$2:$J$8,2,FALSE),0),"")))</f>
        <v/>
      </c>
      <c r="BA857" s="495" t="str">
        <f t="shared" si="105"/>
        <v/>
      </c>
      <c r="BB857" s="495" t="str">
        <f t="shared" si="106"/>
        <v/>
      </c>
      <c r="BC857" s="495" t="str">
        <f t="shared" si="107"/>
        <v/>
      </c>
      <c r="BD857" s="513" t="str">
        <f>IF(AND(L857="",H857=""),"",
IF(H857="",Pole_Calc!A$9,
IF(H857="MP",Pole_Calc!A$10,
IF(H857="AnMP",Pole_Calc!A$11,
IF(H857="A",Pole_Calc!A$12,
IF(H857="S/A",Pole_Calc!A$13,
IF(H857="A/S",Pole_Calc!A$14,"Poner a mano")))))))</f>
        <v/>
      </c>
      <c r="BE857" s="429" t="s">
        <v>118</v>
      </c>
      <c r="BF857" s="290"/>
      <c r="BG857" s="290"/>
      <c r="BH857" s="290"/>
      <c r="BI857" s="290"/>
    </row>
    <row r="858" spans="1:61" ht="15.75" customHeight="1">
      <c r="A858" s="518"/>
      <c r="B858" s="450" t="s">
        <v>689</v>
      </c>
      <c r="C858" s="3">
        <f>+$C$856+$G$857</f>
        <v>50607.87</v>
      </c>
      <c r="D858" s="83"/>
      <c r="E858" s="4"/>
      <c r="F858" s="4">
        <f>IF(C858&gt;0,VLOOKUP(C858,'ALIGNMENT TRACK'!$A$1:$K$81,9,1))</f>
        <v>0</v>
      </c>
      <c r="G858" s="6"/>
      <c r="H858" s="449" t="s">
        <v>131</v>
      </c>
      <c r="I858" s="4"/>
      <c r="J858" s="3"/>
      <c r="K858" s="449"/>
      <c r="L858" s="449" t="s">
        <v>158</v>
      </c>
      <c r="M858" s="449" t="str">
        <f>IF(L858="","",
IF(AX858="PT",VLOOKUP(L858,Foundation_Calc!$V$79:$X$113,VLOOKUP(AX858,Foundation_Calc!$I$10:$J$13,2,FALSE),0),
IF(AX858="K",VLOOKUP(L858,Foundation_Calc!$V$117:$X$151,VLOOKUP(AX858,Foundation_Calc!$I$10:$J$13,2,FALSE),0),"")))</f>
        <v>C4R</v>
      </c>
      <c r="N858" s="449" t="s">
        <v>134</v>
      </c>
      <c r="O858" s="449" t="s">
        <v>133</v>
      </c>
      <c r="P858" s="449"/>
      <c r="Q858" s="4"/>
      <c r="R858" s="6"/>
      <c r="S858" s="6"/>
      <c r="T858" s="4">
        <v>35</v>
      </c>
      <c r="U858" s="4">
        <v>15</v>
      </c>
      <c r="V858" s="4"/>
      <c r="W858" s="9">
        <v>1.4</v>
      </c>
      <c r="X858" s="9">
        <v>2.2999999999999998</v>
      </c>
      <c r="Y858" s="9"/>
      <c r="Z858" s="9"/>
      <c r="AA858" s="9">
        <v>0.6</v>
      </c>
      <c r="AB858" s="9"/>
      <c r="AC858" s="449" t="str">
        <f t="shared" si="104"/>
        <v>PH</v>
      </c>
      <c r="AD858" s="449"/>
      <c r="AE858" s="449"/>
      <c r="AF858" s="4"/>
      <c r="AG858" s="83"/>
      <c r="AH858" s="4"/>
      <c r="AI858" s="4"/>
      <c r="AJ858" s="449"/>
      <c r="AK858" s="449"/>
      <c r="AL858" s="449"/>
      <c r="AM858" s="449" t="s">
        <v>552</v>
      </c>
      <c r="AN858" s="10">
        <f>AN856-0.08</f>
        <v>5.42</v>
      </c>
      <c r="AO858" s="9"/>
      <c r="AP858" s="9"/>
      <c r="AQ858" s="9"/>
      <c r="AR858" s="9"/>
      <c r="AS858" s="9"/>
      <c r="AT858" s="9">
        <f>+ab($T$858,$T$856,$T$860,$G$857,$G$859,-1*$F$858,1200)</f>
        <v>9.6335023281421872</v>
      </c>
      <c r="AU858" s="428"/>
      <c r="AV858" s="428"/>
      <c r="AW858" s="449" t="str">
        <f>IF(C858&gt;0,VLOOKUP(C858,Foundation_Calc!$A$2:$C$13,3,1),
IF(J858&gt;0,VLOOKUP(J858,Foundation_Calc!$A$2:$C$13,3,1),""))</f>
        <v>Multi Soil</v>
      </c>
      <c r="AX858" s="449" t="str">
        <f>IF(C858&gt;0,VLOOKUP(C858,Foundation_Calc!$E$2:$G$33,3,1),
IF(J858&gt;0,VLOOKUP(J858,Foundation_Calc!$E$2:$G$33,3,1),""))</f>
        <v>PT</v>
      </c>
      <c r="AY858" s="10">
        <f>IF(L858="","",
IF(AX858="PT",VLOOKUP(L858,Foundation_Calc!$K$79:$R$113,VLOOKUP(AW858,Foundation_Calc!$I$2:$J$8,2,FALSE),0),
IF(AX858="K",VLOOKUP(L858,Foundation_Calc!$K$117:$R$151,VLOOKUP(AW858,Foundation_Calc!$I$2:$J$8,2,FALSE),0),"")))</f>
        <v>3.5</v>
      </c>
      <c r="AZ858" s="10" t="str">
        <f>IF(K858="","",
IF(AX858="PT",VLOOKUP(K858,Foundation_Calc!$K$79:$R$113,VLOOKUP(AW858,Foundation_Calc!$I$2:$J$8,2,FALSE),0),
IF(AX858="K",VLOOKUP(K858,Foundation_Calc!$K$117:$R$151,VLOOKUP(AW858,Foundation_Calc!$I$2:$J$8,2,FALSE),0),"")))</f>
        <v/>
      </c>
      <c r="BA858" s="495" t="str">
        <f t="shared" si="105"/>
        <v>ü</v>
      </c>
      <c r="BB858" s="495" t="str">
        <f t="shared" si="106"/>
        <v/>
      </c>
      <c r="BC858" s="495" t="str">
        <f t="shared" si="107"/>
        <v/>
      </c>
      <c r="BD858" s="513" t="str">
        <f>IF(AND(L858="",H858=""),"",
IF(H858="",Pole_Calc!A$9,
IF(H858="MP",Pole_Calc!A$10,
IF(H858="AnMP",Pole_Calc!A$11,
IF(H858="A",Pole_Calc!A$12,
IF(H858="S/A",Pole_Calc!A$13,
IF(H858="A/S",Pole_Calc!A$14,"Poner a mano")))))))</f>
        <v>App.7-V11I-P9.5.1.5</v>
      </c>
      <c r="BE858" s="429" t="s">
        <v>118</v>
      </c>
      <c r="BF858" s="289"/>
      <c r="BG858" s="289"/>
      <c r="BH858" s="290"/>
      <c r="BI858" s="289"/>
    </row>
    <row r="859" spans="1:61" ht="15.75" customHeight="1">
      <c r="A859" s="518"/>
      <c r="B859" s="450"/>
      <c r="C859" s="3"/>
      <c r="D859" s="83"/>
      <c r="E859" s="4"/>
      <c r="F859" s="4"/>
      <c r="G859" s="6">
        <v>60</v>
      </c>
      <c r="H859" s="449"/>
      <c r="I859" s="4"/>
      <c r="J859" s="3"/>
      <c r="K859" s="449"/>
      <c r="L859" s="449"/>
      <c r="M859" s="449" t="str">
        <f>IF(L859="","",
IF(AX859="PT",VLOOKUP(L859,Foundation_Calc!$V$79:$X$113,VLOOKUP(AX859,Foundation_Calc!$I$10:$J$13,2,FALSE),0),
IF(AX859="K",VLOOKUP(L859,Foundation_Calc!$V$117:$X$151,VLOOKUP(AX859,Foundation_Calc!$I$10:$J$13,2,FALSE),0),"")))</f>
        <v/>
      </c>
      <c r="N859" s="561"/>
      <c r="O859" s="449"/>
      <c r="P859" s="449"/>
      <c r="Q859" s="4"/>
      <c r="R859" s="6"/>
      <c r="S859" s="6"/>
      <c r="T859" s="4"/>
      <c r="U859" s="4"/>
      <c r="V859" s="4"/>
      <c r="W859" s="9"/>
      <c r="X859" s="9"/>
      <c r="Y859" s="9"/>
      <c r="Z859" s="9"/>
      <c r="AA859" s="9"/>
      <c r="AB859" s="9"/>
      <c r="AC859" s="449" t="str">
        <f t="shared" si="104"/>
        <v/>
      </c>
      <c r="AD859" s="449"/>
      <c r="AE859" s="449"/>
      <c r="AF859" s="4"/>
      <c r="AG859" s="83"/>
      <c r="AH859" s="4"/>
      <c r="AI859" s="4"/>
      <c r="AJ859" s="449"/>
      <c r="AK859" s="449"/>
      <c r="AL859" s="449"/>
      <c r="AM859" s="449"/>
      <c r="AN859" s="10"/>
      <c r="AO859" s="9"/>
      <c r="AP859" s="9"/>
      <c r="AQ859" s="9">
        <f>+FL_2($T$860,$T$858,$G$859,1200,9.28,-1*$F$860)</f>
        <v>-0.43600286799999999</v>
      </c>
      <c r="AR859" s="9"/>
      <c r="AS859" s="9"/>
      <c r="AT859" s="9"/>
      <c r="AU859" s="428"/>
      <c r="AV859" s="428"/>
      <c r="AW859" s="449" t="str">
        <f>IF(C859&gt;0,VLOOKUP(C859,Foundation_Calc!$A$2:$C$13,3,1),
IF(J859&gt;0,VLOOKUP(J859,Foundation_Calc!$A$2:$C$13,3,1),""))</f>
        <v/>
      </c>
      <c r="AX859" s="449" t="str">
        <f>IF(C859&gt;0,VLOOKUP(C859,Foundation_Calc!$E$2:$G$33,3,1),
IF(J859&gt;0,VLOOKUP(J859,Foundation_Calc!$E$2:$G$33,3,1),""))</f>
        <v/>
      </c>
      <c r="AY859" s="10" t="str">
        <f>IF(L859="","",
IF(AX859="PT",VLOOKUP(L859,Foundation_Calc!$K$79:$R$113,VLOOKUP(AW859,Foundation_Calc!$I$2:$J$8,2,FALSE),0),
IF(AX859="K",VLOOKUP(L859,Foundation_Calc!$K$117:$R$151,VLOOKUP(AW859,Foundation_Calc!$I$2:$J$8,2,FALSE),0),"")))</f>
        <v/>
      </c>
      <c r="AZ859" s="10" t="str">
        <f>IF(K859="","",
IF(AX859="PT",VLOOKUP(K859,Foundation_Calc!$K$79:$R$113,VLOOKUP(AW859,Foundation_Calc!$I$2:$J$8,2,FALSE),0),
IF(AX859="K",VLOOKUP(K859,Foundation_Calc!$K$117:$R$151,VLOOKUP(AW859,Foundation_Calc!$I$2:$J$8,2,FALSE),0),"")))</f>
        <v/>
      </c>
      <c r="BA859" s="495" t="str">
        <f t="shared" si="105"/>
        <v/>
      </c>
      <c r="BB859" s="495" t="str">
        <f t="shared" si="106"/>
        <v/>
      </c>
      <c r="BC859" s="495" t="str">
        <f t="shared" si="107"/>
        <v/>
      </c>
      <c r="BD859" s="513" t="str">
        <f>IF(AND(L859="",H859=""),"",
IF(H859="",Pole_Calc!A$9,
IF(H859="MP",Pole_Calc!A$10,
IF(H859="AnMP",Pole_Calc!A$11,
IF(H859="A",Pole_Calc!A$12,
IF(H859="S/A",Pole_Calc!A$13,
IF(H859="A/S",Pole_Calc!A$14,"Poner a mano")))))))</f>
        <v/>
      </c>
      <c r="BE859" s="429" t="s">
        <v>118</v>
      </c>
      <c r="BF859" s="290"/>
      <c r="BG859" s="290"/>
      <c r="BH859" s="290"/>
      <c r="BI859" s="290"/>
    </row>
    <row r="860" spans="1:61" ht="15.75" customHeight="1">
      <c r="A860" s="514"/>
      <c r="B860" s="450" t="s">
        <v>690</v>
      </c>
      <c r="C860" s="3">
        <f>+$C$858+$G$859+0.01</f>
        <v>50667.880000000005</v>
      </c>
      <c r="D860" s="83"/>
      <c r="E860" s="4"/>
      <c r="F860" s="4">
        <f>IF(C860&gt;0,VLOOKUP(C860,'ALIGNMENT TRACK'!$A$1:$K$81,9,1))</f>
        <v>0</v>
      </c>
      <c r="G860" s="6"/>
      <c r="H860" s="449" t="s">
        <v>121</v>
      </c>
      <c r="I860" s="4" t="s">
        <v>122</v>
      </c>
      <c r="J860" s="3"/>
      <c r="K860" s="449"/>
      <c r="L860" s="449" t="s">
        <v>151</v>
      </c>
      <c r="M860" s="449" t="str">
        <f>IF(L860="","",
IF(AX860="PT",VLOOKUP(L860,Foundation_Calc!$V$79:$X$113,VLOOKUP(AX860,Foundation_Calc!$I$10:$J$13,2,FALSE),0),
IF(AX860="K",VLOOKUP(L860,Foundation_Calc!$V$117:$X$151,VLOOKUP(AX860,Foundation_Calc!$I$10:$J$13,2,FALSE),0),"")))</f>
        <v>C4R</v>
      </c>
      <c r="N860" s="449" t="s">
        <v>124</v>
      </c>
      <c r="O860" s="449"/>
      <c r="P860" s="449"/>
      <c r="Q860" s="4"/>
      <c r="R860" s="6"/>
      <c r="S860" s="6"/>
      <c r="T860" s="4">
        <v>-35</v>
      </c>
      <c r="U860" s="4"/>
      <c r="V860" s="4"/>
      <c r="W860" s="572">
        <v>1.2</v>
      </c>
      <c r="X860" s="9"/>
      <c r="Y860" s="9"/>
      <c r="Z860" s="9"/>
      <c r="AA860" s="9"/>
      <c r="AB860" s="9"/>
      <c r="AC860" s="449" t="str">
        <f t="shared" si="104"/>
        <v>PHQ</v>
      </c>
      <c r="AD860" s="449"/>
      <c r="AE860" s="449"/>
      <c r="AF860" s="4"/>
      <c r="AG860" s="83"/>
      <c r="AH860" s="4"/>
      <c r="AI860" s="4"/>
      <c r="AJ860" s="449"/>
      <c r="AK860" s="449"/>
      <c r="AL860" s="449"/>
      <c r="AM860" s="449" t="s">
        <v>552</v>
      </c>
      <c r="AN860" s="10">
        <f>AN858-0.1</f>
        <v>5.32</v>
      </c>
      <c r="AO860" s="9"/>
      <c r="AP860" s="9"/>
      <c r="AQ860" s="9"/>
      <c r="AR860" s="9"/>
      <c r="AS860" s="9"/>
      <c r="AT860" s="9">
        <f>+ab($T$860,$T$858,$T$862,$G$859,$G$861,-1*$F$860,1200)</f>
        <v>-7.8175501667728815</v>
      </c>
      <c r="AU860" s="428"/>
      <c r="AV860" s="428"/>
      <c r="AW860" s="449" t="str">
        <f>IF(C860&gt;0,VLOOKUP(C860,Foundation_Calc!$A$2:$C$13,3,1),
IF(J860&gt;0,VLOOKUP(J860,Foundation_Calc!$A$2:$C$13,3,1),""))</f>
        <v>Multi Soil</v>
      </c>
      <c r="AX860" s="449" t="str">
        <f>IF(C860&gt;0,VLOOKUP(C860,Foundation_Calc!$E$2:$G$33,3,1),
IF(J860&gt;0,VLOOKUP(J860,Foundation_Calc!$E$2:$G$33,3,1),""))</f>
        <v>PT</v>
      </c>
      <c r="AY860" s="10">
        <f>IF(L860="","",
IF(AX860="PT",VLOOKUP(L860,Foundation_Calc!$K$79:$R$113,VLOOKUP(AW860,Foundation_Calc!$I$2:$J$8,2,FALSE),0),
IF(AX860="K",VLOOKUP(L860,Foundation_Calc!$K$117:$R$151,VLOOKUP(AW860,Foundation_Calc!$I$2:$J$8,2,FALSE),0),"")))</f>
        <v>3.5</v>
      </c>
      <c r="AZ860" s="10" t="str">
        <f>IF(K860="","",
IF(AX860="PT",VLOOKUP(K860,Foundation_Calc!$K$79:$R$113,VLOOKUP(AW860,Foundation_Calc!$I$2:$J$8,2,FALSE),0),
IF(AX860="K",VLOOKUP(K860,Foundation_Calc!$K$117:$R$151,VLOOKUP(AW860,Foundation_Calc!$I$2:$J$8,2,FALSE),0),"")))</f>
        <v/>
      </c>
      <c r="BA860" s="495" t="str">
        <f t="shared" si="105"/>
        <v>ü</v>
      </c>
      <c r="BB860" s="495" t="str">
        <f t="shared" si="106"/>
        <v/>
      </c>
      <c r="BC860" s="495" t="str">
        <f t="shared" si="107"/>
        <v/>
      </c>
      <c r="BD860" s="513" t="str">
        <f>IF(AND(L860="",H860=""),"",
IF(H860="",Pole_Calc!A$9,
IF(H860="MP",Pole_Calc!A$10,
IF(H860="AnMP",Pole_Calc!A$11,
IF(H860="A",Pole_Calc!A$12,
IF(H860="S/A",Pole_Calc!A$13,
IF(H860="A/S",Pole_Calc!A$14,"Poner a mano")))))))</f>
        <v>App.7-V11I-P9.5.1.6</v>
      </c>
      <c r="BE860" s="429" t="s">
        <v>118</v>
      </c>
      <c r="BF860" s="289"/>
      <c r="BG860" s="289"/>
      <c r="BH860" s="290"/>
      <c r="BI860" s="289"/>
    </row>
    <row r="861" spans="1:61" ht="15.75" customHeight="1">
      <c r="A861" s="514"/>
      <c r="B861" s="450"/>
      <c r="C861" s="3"/>
      <c r="D861" s="83"/>
      <c r="E861" s="4"/>
      <c r="F861" s="4"/>
      <c r="G861" s="6">
        <v>55</v>
      </c>
      <c r="H861" s="449"/>
      <c r="I861" s="4"/>
      <c r="J861" s="3">
        <f>C860+7.5</f>
        <v>50675.380000000005</v>
      </c>
      <c r="K861" s="449" t="s">
        <v>117</v>
      </c>
      <c r="L861" s="449"/>
      <c r="M861" s="449" t="str">
        <f>IF(L861="","",
IF(AX861="PT",VLOOKUP(L861,Foundation_Calc!$V$79:$X$113,VLOOKUP(AX861,Foundation_Calc!$I$10:$J$13,2,FALSE),0),
IF(AX861="K",VLOOKUP(L861,Foundation_Calc!$V$117:$X$151,VLOOKUP(AX861,Foundation_Calc!$I$10:$J$13,2,FALSE),0),"")))</f>
        <v/>
      </c>
      <c r="N861" s="449"/>
      <c r="O861" s="449"/>
      <c r="P861" s="449"/>
      <c r="Q861" s="4"/>
      <c r="R861" s="6"/>
      <c r="S861" s="6"/>
      <c r="T861" s="4"/>
      <c r="U861" s="4"/>
      <c r="V861" s="4"/>
      <c r="W861" s="572"/>
      <c r="X861" s="9"/>
      <c r="Y861" s="9"/>
      <c r="Z861" s="9"/>
      <c r="AA861" s="9"/>
      <c r="AB861" s="9"/>
      <c r="AC861" s="449" t="str">
        <f t="shared" si="104"/>
        <v/>
      </c>
      <c r="AD861" s="449"/>
      <c r="AE861" s="449"/>
      <c r="AF861" s="4"/>
      <c r="AG861" s="83"/>
      <c r="AH861" s="4"/>
      <c r="AI861" s="4"/>
      <c r="AJ861" s="449"/>
      <c r="AK861" s="449"/>
      <c r="AL861" s="449"/>
      <c r="AM861" s="449"/>
      <c r="AN861" s="10"/>
      <c r="AO861" s="9"/>
      <c r="AP861" s="9"/>
      <c r="AQ861" s="9">
        <f>+FL_2($T$862,$T$860,$G$861,1200,9.28,-1*$F$862)</f>
        <v>-0.39714735709090898</v>
      </c>
      <c r="AR861" s="9"/>
      <c r="AS861" s="9"/>
      <c r="AT861" s="9"/>
      <c r="AU861" s="428"/>
      <c r="AV861" s="428"/>
      <c r="AW861" s="449" t="str">
        <f>IF(C861&gt;0,VLOOKUP(C861,Foundation_Calc!$A$2:$C$13,3,1),
IF(J861&gt;0,VLOOKUP(J861,Foundation_Calc!$A$2:$C$13,3,1),""))</f>
        <v>Multi Soil</v>
      </c>
      <c r="AX861" s="449" t="str">
        <f>IF(C861&gt;0,VLOOKUP(C861,Foundation_Calc!$E$2:$G$33,3,1),
IF(J861&gt;0,VLOOKUP(J861,Foundation_Calc!$E$2:$G$33,3,1),""))</f>
        <v>PT</v>
      </c>
      <c r="AY861" s="10" t="str">
        <f>IF(L861="","",
IF(AX861="PT",VLOOKUP(L861,Foundation_Calc!$K$79:$R$113,VLOOKUP(AW861,Foundation_Calc!$I$2:$J$8,2,FALSE),0),
IF(AX861="K",VLOOKUP(L861,Foundation_Calc!$K$117:$R$151,VLOOKUP(AW861,Foundation_Calc!$I$2:$J$8,2,FALSE),0),"")))</f>
        <v/>
      </c>
      <c r="AZ861" s="10">
        <f>IF(K861="","",
IF(AX861="PT",VLOOKUP(K861,Foundation_Calc!$K$79:$R$113,VLOOKUP(AW861,Foundation_Calc!$I$2:$J$8,2,FALSE),0),
IF(AX861="K",VLOOKUP(K861,Foundation_Calc!$K$117:$R$151,VLOOKUP(AW861,Foundation_Calc!$I$2:$J$8,2,FALSE),0),"")))</f>
        <v>3.9</v>
      </c>
      <c r="BA861" s="495" t="str">
        <f t="shared" si="105"/>
        <v/>
      </c>
      <c r="BB861" s="495" t="str">
        <f t="shared" si="106"/>
        <v>ü</v>
      </c>
      <c r="BC861" s="495" t="str">
        <f t="shared" si="107"/>
        <v/>
      </c>
      <c r="BD861" s="513" t="str">
        <f>IF(AND(L861="",H861=""),"",
IF(H861="",Pole_Calc!A$9,
IF(H861="MP",Pole_Calc!A$10,
IF(H861="AnMP",Pole_Calc!A$11,
IF(H861="A",Pole_Calc!A$12,
IF(H861="S/A",Pole_Calc!A$13,
IF(H861="A/S",Pole_Calc!A$14,"Poner a mano")))))))</f>
        <v/>
      </c>
      <c r="BE861" s="429" t="s">
        <v>118</v>
      </c>
      <c r="BF861" s="290"/>
      <c r="BG861" s="290"/>
      <c r="BH861" s="290"/>
      <c r="BI861" s="290"/>
    </row>
    <row r="862" spans="1:61" ht="15.75" customHeight="1">
      <c r="A862" s="514"/>
      <c r="B862" s="450" t="s">
        <v>691</v>
      </c>
      <c r="C862" s="3">
        <f>+$C$860+$G$861</f>
        <v>50722.880000000005</v>
      </c>
      <c r="D862" s="83"/>
      <c r="E862" s="4"/>
      <c r="F862" s="4">
        <f>IF(C862&gt;0,VLOOKUP(C862,'ALIGNMENT TRACK'!$A$1:$K$81,9,1))</f>
        <v>0</v>
      </c>
      <c r="G862" s="6"/>
      <c r="H862" s="449"/>
      <c r="I862" s="4"/>
      <c r="J862" s="3"/>
      <c r="K862" s="449"/>
      <c r="L862" s="449" t="s">
        <v>153</v>
      </c>
      <c r="M862" s="449" t="str">
        <f>IF(L862="","",
IF(AX862="PT",VLOOKUP(L862,Foundation_Calc!$V$79:$X$113,VLOOKUP(AX862,Foundation_Calc!$I$10:$J$13,2,FALSE),0),
IF(AX862="K",VLOOKUP(L862,Foundation_Calc!$V$117:$X$151,VLOOKUP(AX862,Foundation_Calc!$I$10:$J$13,2,FALSE),0),"")))</f>
        <v>C3R</v>
      </c>
      <c r="N862" s="449" t="s">
        <v>134</v>
      </c>
      <c r="O862" s="449"/>
      <c r="P862" s="449"/>
      <c r="Q862" s="4"/>
      <c r="R862" s="6"/>
      <c r="S862" s="6"/>
      <c r="T862" s="4">
        <v>35</v>
      </c>
      <c r="U862" s="4"/>
      <c r="V862" s="4"/>
      <c r="W862" s="572">
        <v>0.8</v>
      </c>
      <c r="X862" s="9"/>
      <c r="Y862" s="9"/>
      <c r="Z862" s="9"/>
      <c r="AA862" s="9"/>
      <c r="AB862" s="9"/>
      <c r="AC862" s="449" t="str">
        <f t="shared" si="104"/>
        <v>PHQ</v>
      </c>
      <c r="AD862" s="449"/>
      <c r="AE862" s="449"/>
      <c r="AF862" s="4"/>
      <c r="AG862" s="83"/>
      <c r="AH862" s="4"/>
      <c r="AI862" s="4"/>
      <c r="AJ862" s="449"/>
      <c r="AK862" s="449"/>
      <c r="AL862" s="449"/>
      <c r="AM862" s="449" t="s">
        <v>552</v>
      </c>
      <c r="AN862" s="10">
        <f>AN864+0.07</f>
        <v>5.2200000000000006</v>
      </c>
      <c r="AO862" s="9"/>
      <c r="AP862" s="9"/>
      <c r="AQ862" s="9"/>
      <c r="AR862" s="9"/>
      <c r="AS862" s="9"/>
      <c r="AT862" s="9">
        <f>+ab($T$862,$T$860,$T$864,$G$861,$G$863,-1*$F$862,1200)</f>
        <v>7.1424146886693025</v>
      </c>
      <c r="AU862" s="428"/>
      <c r="AV862" s="428"/>
      <c r="AW862" s="449" t="str">
        <f>IF(C862&gt;0,VLOOKUP(C862,Foundation_Calc!$A$2:$C$13,3,1),
IF(J862&gt;0,VLOOKUP(J862,Foundation_Calc!$A$2:$C$13,3,1),""))</f>
        <v>Multi Soil</v>
      </c>
      <c r="AX862" s="449" t="str">
        <f>IF(C862&gt;0,VLOOKUP(C862,Foundation_Calc!$E$2:$G$33,3,1),
IF(J862&gt;0,VLOOKUP(J862,Foundation_Calc!$E$2:$G$33,3,1),""))</f>
        <v>PT</v>
      </c>
      <c r="AY862" s="10">
        <f>IF(L862="","",
IF(AX862="PT",VLOOKUP(L862,Foundation_Calc!$K$79:$R$113,VLOOKUP(AW862,Foundation_Calc!$I$2:$J$8,2,FALSE),0),
IF(AX862="K",VLOOKUP(L862,Foundation_Calc!$K$117:$R$151,VLOOKUP(AW862,Foundation_Calc!$I$2:$J$8,2,FALSE),0),"")))</f>
        <v>3.5</v>
      </c>
      <c r="AZ862" s="10" t="str">
        <f>IF(K862="","",
IF(AX862="PT",VLOOKUP(K862,Foundation_Calc!$K$79:$R$113,VLOOKUP(AW862,Foundation_Calc!$I$2:$J$8,2,FALSE),0),
IF(AX862="K",VLOOKUP(K862,Foundation_Calc!$K$117:$R$151,VLOOKUP(AW862,Foundation_Calc!$I$2:$J$8,2,FALSE),0),"")))</f>
        <v/>
      </c>
      <c r="BA862" s="495" t="str">
        <f t="shared" si="105"/>
        <v>ü</v>
      </c>
      <c r="BB862" s="495" t="str">
        <f t="shared" si="106"/>
        <v/>
      </c>
      <c r="BC862" s="495" t="str">
        <f t="shared" si="107"/>
        <v/>
      </c>
      <c r="BD862" s="513" t="str">
        <f>IF(AND(L862="",H862=""),"",
IF(H862="",Pole_Calc!A$9,
IF(H862="MP",Pole_Calc!A$10,
IF(H862="AnMP",Pole_Calc!A$11,
IF(H862="A",Pole_Calc!A$12,
IF(H862="S/A",Pole_Calc!A$13,
IF(H862="A/S",Pole_Calc!A$14,"Poner a mano")))))))</f>
        <v>App.7-V11I-P9.5.1.1</v>
      </c>
      <c r="BE862" s="429" t="s">
        <v>118</v>
      </c>
      <c r="BF862" s="289"/>
      <c r="BG862" s="289"/>
      <c r="BH862" s="290"/>
      <c r="BI862" s="289"/>
    </row>
    <row r="863" spans="1:61" ht="15.75" customHeight="1">
      <c r="A863" s="685" t="s">
        <v>305</v>
      </c>
      <c r="B863" s="686"/>
      <c r="C863" s="687"/>
      <c r="D863" s="688"/>
      <c r="E863" s="689"/>
      <c r="F863" s="689"/>
      <c r="G863" s="690">
        <v>50</v>
      </c>
      <c r="H863" s="691"/>
      <c r="I863" s="689"/>
      <c r="J863" s="687"/>
      <c r="K863" s="691"/>
      <c r="L863" s="691"/>
      <c r="M863" s="691" t="str">
        <f>IF(L863="","",
IF(AX863="PT",VLOOKUP(L863,Foundation_Calc!$V$79:$X$113,VLOOKUP(AX863,Foundation_Calc!$I$10:$J$13,2,FALSE),0),
IF(AX863="K",VLOOKUP(L863,Foundation_Calc!$V$117:$X$151,VLOOKUP(AX863,Foundation_Calc!$I$10:$J$13,2,FALSE),0),"")))</f>
        <v/>
      </c>
      <c r="N863" s="691"/>
      <c r="O863" s="691"/>
      <c r="P863" s="691"/>
      <c r="Q863" s="689"/>
      <c r="R863" s="690"/>
      <c r="S863" s="690"/>
      <c r="T863" s="689"/>
      <c r="U863" s="689"/>
      <c r="V863" s="689"/>
      <c r="W863" s="695"/>
      <c r="X863" s="692"/>
      <c r="Y863" s="692"/>
      <c r="Z863" s="692"/>
      <c r="AA863" s="692"/>
      <c r="AB863" s="692"/>
      <c r="AC863" s="691" t="str">
        <f t="shared" si="104"/>
        <v/>
      </c>
      <c r="AD863" s="691"/>
      <c r="AE863" s="691"/>
      <c r="AF863" s="689"/>
      <c r="AG863" s="688"/>
      <c r="AH863" s="689"/>
      <c r="AI863" s="689"/>
      <c r="AJ863" s="691"/>
      <c r="AK863" s="691"/>
      <c r="AL863" s="691"/>
      <c r="AM863" s="691"/>
      <c r="AN863" s="693"/>
      <c r="AO863" s="692"/>
      <c r="AP863" s="692"/>
      <c r="AQ863" s="692">
        <f>+FL_2($T$864,$T$862,$G$863,1200,9.28,-1*$F$864)</f>
        <v>-0.36839079999999996</v>
      </c>
      <c r="AR863" s="692"/>
      <c r="AS863" s="692"/>
      <c r="AT863" s="692"/>
      <c r="AU863" s="694"/>
      <c r="AV863" s="694"/>
      <c r="AW863" s="691" t="str">
        <f>IF(C863&gt;0,VLOOKUP(C863,Foundation_Calc!$A$2:$C$13,3,1),
IF(J863&gt;0,VLOOKUP(J863,Foundation_Calc!$A$2:$C$13,3,1),""))</f>
        <v/>
      </c>
      <c r="AX863" s="691" t="str">
        <f>IF(C863&gt;0,VLOOKUP(C863,Foundation_Calc!$E$2:$G$33,3,1),
IF(J863&gt;0,VLOOKUP(J863,Foundation_Calc!$E$2:$G$33,3,1),""))</f>
        <v/>
      </c>
      <c r="AY863" s="693" t="str">
        <f>IF(L863="","",
IF(AX863="PT",VLOOKUP(L863,Foundation_Calc!$K$79:$R$113,VLOOKUP(AW863,Foundation_Calc!$I$2:$J$8,2,FALSE),0),
IF(AX863="K",VLOOKUP(L863,Foundation_Calc!$K$117:$R$151,VLOOKUP(AW863,Foundation_Calc!$I$2:$J$8,2,FALSE),0),"")))</f>
        <v/>
      </c>
      <c r="AZ863" s="693" t="str">
        <f>IF(K863="","",
IF(AX863="PT",VLOOKUP(K863,Foundation_Calc!$K$79:$R$113,VLOOKUP(AW863,Foundation_Calc!$I$2:$J$8,2,FALSE),0),
IF(AX863="K",VLOOKUP(K863,Foundation_Calc!$K$117:$R$151,VLOOKUP(AW863,Foundation_Calc!$I$2:$J$8,2,FALSE),0),"")))</f>
        <v/>
      </c>
      <c r="BA863" s="495" t="str">
        <f t="shared" si="105"/>
        <v/>
      </c>
      <c r="BB863" s="495" t="str">
        <f t="shared" si="106"/>
        <v/>
      </c>
      <c r="BC863" s="495" t="str">
        <f t="shared" si="107"/>
        <v/>
      </c>
      <c r="BD863" s="513" t="str">
        <f>IF(AND(L863="",H863=""),"",
IF(H863="",Pole_Calc!A$9,
IF(H863="MP",Pole_Calc!A$10,
IF(H863="AnMP",Pole_Calc!A$11,
IF(H863="A",Pole_Calc!A$12,
IF(H863="S/A",Pole_Calc!A$13,
IF(H863="A/S",Pole_Calc!A$14,"Poner a mano")))))))</f>
        <v/>
      </c>
      <c r="BE863" s="429" t="s">
        <v>118</v>
      </c>
      <c r="BF863" s="290"/>
      <c r="BG863" s="290"/>
      <c r="BH863" s="290"/>
      <c r="BI863" s="290"/>
    </row>
    <row r="864" spans="1:61" ht="15.75" customHeight="1">
      <c r="A864" s="518"/>
      <c r="B864" s="720" t="s">
        <v>692</v>
      </c>
      <c r="C864" s="3">
        <f>+$C$862+$G$863</f>
        <v>50772.880000000005</v>
      </c>
      <c r="D864" s="83"/>
      <c r="E864" s="4"/>
      <c r="F864" s="4">
        <f>IF(C864&gt;0,VLOOKUP(C864,'ALIGNMENT TRACK'!$A$1:$K$81,9,1))</f>
        <v>0</v>
      </c>
      <c r="G864" s="6"/>
      <c r="H864" s="449"/>
      <c r="I864" s="4"/>
      <c r="J864" s="3"/>
      <c r="K864" s="449"/>
      <c r="L864" s="449" t="s">
        <v>153</v>
      </c>
      <c r="M864" s="449" t="str">
        <f>IF(L864="","",
IF(AX864="PT",VLOOKUP(L864,Foundation_Calc!$V$79:$X$113,VLOOKUP(AX864,Foundation_Calc!$I$10:$J$13,2,FALSE),0),
IF(AX864="K",VLOOKUP(L864,Foundation_Calc!$V$117:$X$151,VLOOKUP(AX864,Foundation_Calc!$I$10:$J$13,2,FALSE),0),"")))</f>
        <v>C3R</v>
      </c>
      <c r="N864" s="449" t="s">
        <v>124</v>
      </c>
      <c r="O864" s="449"/>
      <c r="P864" s="449"/>
      <c r="Q864" s="4"/>
      <c r="R864" s="6"/>
      <c r="S864" s="6"/>
      <c r="T864" s="4">
        <v>-35</v>
      </c>
      <c r="U864" s="4"/>
      <c r="V864" s="4"/>
      <c r="W864" s="572">
        <v>0.6</v>
      </c>
      <c r="X864" s="9"/>
      <c r="Y864" s="9"/>
      <c r="Z864" s="9"/>
      <c r="AA864" s="9"/>
      <c r="AB864" s="9"/>
      <c r="AC864" s="449" t="str">
        <f t="shared" si="104"/>
        <v>PHQ</v>
      </c>
      <c r="AD864" s="449"/>
      <c r="AE864" s="449"/>
      <c r="AF864" s="4"/>
      <c r="AG864" s="83"/>
      <c r="AH864" s="4"/>
      <c r="AI864" s="4"/>
      <c r="AJ864" s="449"/>
      <c r="AK864" s="449"/>
      <c r="AL864" s="449"/>
      <c r="AM864" s="449" t="s">
        <v>552</v>
      </c>
      <c r="AN864" s="10">
        <v>5.15</v>
      </c>
      <c r="AO864" s="9"/>
      <c r="AP864" s="9"/>
      <c r="AQ864" s="9"/>
      <c r="AR864" s="9"/>
      <c r="AS864" s="9"/>
      <c r="AT864" s="9">
        <f>+ab($T$864,$T$862,$T$866,$G$863,$G$865,-1*$F$864,1200)</f>
        <v>-6.3892577057281645</v>
      </c>
      <c r="AU864" s="428"/>
      <c r="AV864" s="428"/>
      <c r="AW864" s="449" t="str">
        <f>IF(C864&gt;0,VLOOKUP(C864,Foundation_Calc!$A$2:$C$13,3,1),
IF(J864&gt;0,VLOOKUP(J864,Foundation_Calc!$A$2:$C$13,3,1),""))</f>
        <v>Multi Soil</v>
      </c>
      <c r="AX864" s="449" t="str">
        <f>IF(C864&gt;0,VLOOKUP(C864,Foundation_Calc!$E$2:$G$33,3,1),
IF(J864&gt;0,VLOOKUP(J864,Foundation_Calc!$E$2:$G$33,3,1),""))</f>
        <v>PT</v>
      </c>
      <c r="AY864" s="10">
        <f>IF(L864="","",
IF(AX864="PT",VLOOKUP(L864,Foundation_Calc!$K$79:$R$113,VLOOKUP(AW864,Foundation_Calc!$I$2:$J$8,2,FALSE),0),
IF(AX864="K",VLOOKUP(L864,Foundation_Calc!$K$117:$R$151,VLOOKUP(AW864,Foundation_Calc!$I$2:$J$8,2,FALSE),0),"")))</f>
        <v>3.5</v>
      </c>
      <c r="AZ864" s="10" t="str">
        <f>IF(K864="","",
IF(AX864="PT",VLOOKUP(K864,Foundation_Calc!$K$79:$R$113,VLOOKUP(AW864,Foundation_Calc!$I$2:$J$8,2,FALSE),0),
IF(AX864="K",VLOOKUP(K864,Foundation_Calc!$K$117:$R$151,VLOOKUP(AW864,Foundation_Calc!$I$2:$J$8,2,FALSE),0),"")))</f>
        <v/>
      </c>
      <c r="BA864" s="495" t="str">
        <f t="shared" si="105"/>
        <v>ü</v>
      </c>
      <c r="BB864" s="495" t="str">
        <f t="shared" si="106"/>
        <v/>
      </c>
      <c r="BC864" s="495" t="str">
        <f t="shared" si="107"/>
        <v/>
      </c>
      <c r="BD864" s="513" t="str">
        <f>IF(AND(L864="",H864=""),"",
IF(H864="",Pole_Calc!A$9,
IF(H864="MP",Pole_Calc!A$10,
IF(H864="AnMP",Pole_Calc!A$11,
IF(H864="A",Pole_Calc!A$12,
IF(H864="S/A",Pole_Calc!A$13,
IF(H864="A/S",Pole_Calc!A$14,"Poner a mano")))))))</f>
        <v>App.7-V11I-P9.5.1.1</v>
      </c>
      <c r="BE864" s="429" t="s">
        <v>118</v>
      </c>
      <c r="BF864" s="289"/>
      <c r="BG864" s="289"/>
      <c r="BH864" s="290"/>
      <c r="BI864" s="289"/>
    </row>
    <row r="865" spans="1:61" ht="15.75" customHeight="1">
      <c r="A865" s="514" t="s">
        <v>469</v>
      </c>
      <c r="B865" s="450"/>
      <c r="C865" s="3"/>
      <c r="D865" s="83"/>
      <c r="E865" s="4"/>
      <c r="F865" s="4"/>
      <c r="G865" s="6">
        <v>44</v>
      </c>
      <c r="H865" s="449"/>
      <c r="I865" s="4"/>
      <c r="J865" s="3"/>
      <c r="K865" s="449"/>
      <c r="L865" s="449"/>
      <c r="M865" s="449" t="str">
        <f>IF(L865="","",
IF(AX865="PT",VLOOKUP(L865,Foundation_Calc!$V$79:$X$113,VLOOKUP(AX865,Foundation_Calc!$I$10:$J$13,2,FALSE),0),
IF(AX865="K",VLOOKUP(L865,Foundation_Calc!$V$117:$X$151,VLOOKUP(AX865,Foundation_Calc!$I$10:$J$13,2,FALSE),0),"")))</f>
        <v/>
      </c>
      <c r="N865" s="561"/>
      <c r="O865" s="449"/>
      <c r="P865" s="449"/>
      <c r="Q865" s="4"/>
      <c r="R865" s="6"/>
      <c r="S865" s="6"/>
      <c r="T865" s="4"/>
      <c r="U865" s="4"/>
      <c r="V865" s="4"/>
      <c r="W865" s="572"/>
      <c r="X865" s="9"/>
      <c r="Y865" s="9"/>
      <c r="Z865" s="9"/>
      <c r="AA865" s="9"/>
      <c r="AB865" s="9"/>
      <c r="AC865" s="449" t="str">
        <f t="shared" si="104"/>
        <v/>
      </c>
      <c r="AD865" s="449"/>
      <c r="AE865" s="449"/>
      <c r="AF865" s="4"/>
      <c r="AG865" s="83"/>
      <c r="AH865" s="4"/>
      <c r="AI865" s="4"/>
      <c r="AJ865" s="449"/>
      <c r="AK865" s="449"/>
      <c r="AL865" s="449"/>
      <c r="AM865" s="449"/>
      <c r="AN865" s="10"/>
      <c r="AO865" s="9"/>
      <c r="AP865" s="9"/>
      <c r="AQ865" s="9">
        <f>+FL_1($T$866,$T$864,$G$865,1200,9.28,-1*$F$866)</f>
        <v>0.35078837199999996</v>
      </c>
      <c r="AR865" s="9"/>
      <c r="AS865" s="9"/>
      <c r="AT865" s="9"/>
      <c r="AU865" s="428"/>
      <c r="AV865" s="428"/>
      <c r="AW865" s="449" t="str">
        <f>IF(C865&gt;0,VLOOKUP(C865,Foundation_Calc!$A$2:$C$13,3,1),
IF(J865&gt;0,VLOOKUP(J865,Foundation_Calc!$A$2:$C$13,3,1),""))</f>
        <v/>
      </c>
      <c r="AX865" s="449" t="str">
        <f>IF(C865&gt;0,VLOOKUP(C865,Foundation_Calc!$E$2:$G$33,3,1),
IF(J865&gt;0,VLOOKUP(J865,Foundation_Calc!$E$2:$G$33,3,1),""))</f>
        <v/>
      </c>
      <c r="AY865" s="10" t="str">
        <f>IF(L865="","",
IF(AX865="PT",VLOOKUP(L865,Foundation_Calc!$K$79:$R$113,VLOOKUP(AW865,Foundation_Calc!$I$2:$J$8,2,FALSE),0),
IF(AX865="K",VLOOKUP(L865,Foundation_Calc!$K$117:$R$151,VLOOKUP(AW865,Foundation_Calc!$I$2:$J$8,2,FALSE),0),"")))</f>
        <v/>
      </c>
      <c r="AZ865" s="10" t="str">
        <f>IF(K865="","",
IF(AX865="PT",VLOOKUP(K865,Foundation_Calc!$K$79:$R$113,VLOOKUP(AW865,Foundation_Calc!$I$2:$J$8,2,FALSE),0),
IF(AX865="K",VLOOKUP(K865,Foundation_Calc!$K$117:$R$151,VLOOKUP(AW865,Foundation_Calc!$I$2:$J$8,2,FALSE),0),"")))</f>
        <v/>
      </c>
      <c r="BA865" s="495" t="str">
        <f t="shared" si="105"/>
        <v/>
      </c>
      <c r="BB865" s="495" t="str">
        <f t="shared" si="106"/>
        <v/>
      </c>
      <c r="BC865" s="495" t="str">
        <f t="shared" si="107"/>
        <v/>
      </c>
      <c r="BD865" s="513" t="str">
        <f>IF(AND(L865="",H865=""),"",
IF(H865="",Pole_Calc!A$9,
IF(H865="MP",Pole_Calc!A$10,
IF(H865="AnMP",Pole_Calc!A$11,
IF(H865="A",Pole_Calc!A$12,
IF(H865="S/A",Pole_Calc!A$13,
IF(H865="A/S",Pole_Calc!A$14,"Poner a mano")))))))</f>
        <v/>
      </c>
      <c r="BE865" s="429" t="s">
        <v>118</v>
      </c>
      <c r="BF865" s="290"/>
      <c r="BG865" s="290"/>
      <c r="BH865" s="290"/>
      <c r="BI865" s="290"/>
    </row>
    <row r="866" spans="1:61" ht="15.75" customHeight="1">
      <c r="A866" s="514"/>
      <c r="B866" s="450" t="s">
        <v>693</v>
      </c>
      <c r="C866" s="3">
        <f>+$C$864+$G$865</f>
        <v>50816.880000000005</v>
      </c>
      <c r="D866" s="83"/>
      <c r="E866" s="4"/>
      <c r="F866" s="4">
        <f>IF(C866&gt;0,VLOOKUP(C866,'ALIGNMENT TRACK'!$A$1:$K$81,9,1))</f>
        <v>0</v>
      </c>
      <c r="G866" s="6"/>
      <c r="H866" s="449"/>
      <c r="I866" s="4"/>
      <c r="J866" s="3"/>
      <c r="K866" s="449"/>
      <c r="L866" s="449" t="s">
        <v>153</v>
      </c>
      <c r="M866" s="449" t="str">
        <f>IF(L866="","",
IF(AX866="PT",VLOOKUP(L866,Foundation_Calc!$V$79:$X$113,VLOOKUP(AX866,Foundation_Calc!$I$10:$J$13,2,FALSE),0),
IF(AX866="K",VLOOKUP(L866,Foundation_Calc!$V$117:$X$151,VLOOKUP(AX866,Foundation_Calc!$I$10:$J$13,2,FALSE),0),"")))</f>
        <v>C3R</v>
      </c>
      <c r="N866" s="449" t="s">
        <v>134</v>
      </c>
      <c r="O866" s="449"/>
      <c r="P866" s="449"/>
      <c r="Q866" s="4"/>
      <c r="R866" s="6"/>
      <c r="S866" s="6"/>
      <c r="T866" s="4">
        <v>35</v>
      </c>
      <c r="U866" s="4"/>
      <c r="V866" s="4"/>
      <c r="W866" s="572">
        <v>0.6</v>
      </c>
      <c r="X866" s="9"/>
      <c r="Y866" s="9"/>
      <c r="Z866" s="9"/>
      <c r="AA866" s="9"/>
      <c r="AB866" s="9"/>
      <c r="AC866" s="449" t="str">
        <f t="shared" si="104"/>
        <v>PHQ</v>
      </c>
      <c r="AD866" s="449"/>
      <c r="AE866" s="449"/>
      <c r="AF866" s="4"/>
      <c r="AG866" s="83"/>
      <c r="AH866" s="4"/>
      <c r="AI866" s="4"/>
      <c r="AJ866" s="449"/>
      <c r="AK866" s="449"/>
      <c r="AL866" s="449"/>
      <c r="AM866" s="449" t="s">
        <v>552</v>
      </c>
      <c r="AN866" s="10">
        <v>5.15</v>
      </c>
      <c r="AO866" s="9"/>
      <c r="AP866" s="9"/>
      <c r="AQ866" s="9"/>
      <c r="AR866" s="9"/>
      <c r="AS866" s="9"/>
      <c r="AT866" s="9">
        <f>+ab($T$866,$T$864,$T$868,$G$865,$G$867,-1*$F$866,1200)</f>
        <v>5.8054367964457496</v>
      </c>
      <c r="AU866" s="428"/>
      <c r="AV866" s="428"/>
      <c r="AW866" s="449" t="str">
        <f>IF(C866&gt;0,VLOOKUP(C866,Foundation_Calc!$A$2:$C$13,3,1),
IF(J866&gt;0,VLOOKUP(J866,Foundation_Calc!$A$2:$C$13,3,1),""))</f>
        <v>Multi Soil</v>
      </c>
      <c r="AX866" s="449" t="str">
        <f>IF(C866&gt;0,VLOOKUP(C866,Foundation_Calc!$E$2:$G$33,3,1),
IF(J866&gt;0,VLOOKUP(J866,Foundation_Calc!$E$2:$G$33,3,1),""))</f>
        <v>PT</v>
      </c>
      <c r="AY866" s="10">
        <f>IF(L866="","",
IF(AX866="PT",VLOOKUP(L866,Foundation_Calc!$K$79:$R$113,VLOOKUP(AW866,Foundation_Calc!$I$2:$J$8,2,FALSE),0),
IF(AX866="K",VLOOKUP(L866,Foundation_Calc!$K$117:$R$151,VLOOKUP(AW866,Foundation_Calc!$I$2:$J$8,2,FALSE),0),"")))</f>
        <v>3.5</v>
      </c>
      <c r="AZ866" s="10" t="str">
        <f>IF(K866="","",
IF(AX866="PT",VLOOKUP(K866,Foundation_Calc!$K$79:$R$113,VLOOKUP(AW866,Foundation_Calc!$I$2:$J$8,2,FALSE),0),
IF(AX866="K",VLOOKUP(K866,Foundation_Calc!$K$117:$R$151,VLOOKUP(AW866,Foundation_Calc!$I$2:$J$8,2,FALSE),0),"")))</f>
        <v/>
      </c>
      <c r="BA866" s="495" t="str">
        <f t="shared" si="105"/>
        <v>ü</v>
      </c>
      <c r="BB866" s="495" t="str">
        <f t="shared" si="106"/>
        <v/>
      </c>
      <c r="BC866" s="495" t="str">
        <f t="shared" si="107"/>
        <v/>
      </c>
      <c r="BD866" s="513" t="str">
        <f>IF(AND(L866="",H866=""),"",
IF(H866="",Pole_Calc!A$9,
IF(H866="MP",Pole_Calc!A$10,
IF(H866="AnMP",Pole_Calc!A$11,
IF(H866="A",Pole_Calc!A$12,
IF(H866="S/A",Pole_Calc!A$13,
IF(H866="A/S",Pole_Calc!A$14,"Poner a mano")))))))</f>
        <v>App.7-V11I-P9.5.1.1</v>
      </c>
      <c r="BE866" s="429" t="s">
        <v>118</v>
      </c>
      <c r="BF866" s="289"/>
      <c r="BG866" s="289"/>
      <c r="BH866" s="290"/>
      <c r="BI866" s="289"/>
    </row>
    <row r="867" spans="1:61" ht="15.75" customHeight="1">
      <c r="A867" s="514"/>
      <c r="B867" s="450"/>
      <c r="C867" s="3"/>
      <c r="D867" s="83"/>
      <c r="E867" s="4"/>
      <c r="F867" s="4"/>
      <c r="G867" s="6">
        <v>41.1</v>
      </c>
      <c r="H867" s="449"/>
      <c r="I867" s="4"/>
      <c r="J867" s="3"/>
      <c r="K867" s="449"/>
      <c r="L867" s="449"/>
      <c r="M867" s="449" t="str">
        <f>IF(L867="","",
IF(AX867="PT",VLOOKUP(L867,Foundation_Calc!$V$79:$X$113,VLOOKUP(AX867,Foundation_Calc!$I$10:$J$13,2,FALSE),0),
IF(AX867="K",VLOOKUP(L867,Foundation_Calc!$V$117:$X$151,VLOOKUP(AX867,Foundation_Calc!$I$10:$J$13,2,FALSE),0),"")))</f>
        <v/>
      </c>
      <c r="N867" s="449"/>
      <c r="O867" s="449"/>
      <c r="P867" s="449"/>
      <c r="Q867" s="4"/>
      <c r="R867" s="6"/>
      <c r="S867" s="6"/>
      <c r="T867" s="4"/>
      <c r="U867" s="4"/>
      <c r="V867" s="4"/>
      <c r="W867" s="572"/>
      <c r="X867" s="9"/>
      <c r="Y867" s="9"/>
      <c r="Z867" s="9"/>
      <c r="AA867" s="9"/>
      <c r="AB867" s="9"/>
      <c r="AC867" s="449" t="str">
        <f t="shared" si="104"/>
        <v/>
      </c>
      <c r="AD867" s="449"/>
      <c r="AE867" s="449"/>
      <c r="AF867" s="4"/>
      <c r="AG867" s="83"/>
      <c r="AH867" s="4"/>
      <c r="AI867" s="4"/>
      <c r="AJ867" s="449"/>
      <c r="AK867" s="449"/>
      <c r="AL867" s="449"/>
      <c r="AM867" s="449"/>
      <c r="AN867" s="10"/>
      <c r="AO867" s="9"/>
      <c r="AP867" s="9"/>
      <c r="AQ867" s="9">
        <f>+FL_1($T$868,$T$866,$G$867,1200,9.28,-1*$F$868)</f>
        <v>0.35000000000000031</v>
      </c>
      <c r="AR867" s="9"/>
      <c r="AS867" s="9"/>
      <c r="AT867" s="9"/>
      <c r="AU867" s="428"/>
      <c r="AV867" s="428"/>
      <c r="AW867" s="449" t="str">
        <f>IF(C867&gt;0,VLOOKUP(C867,Foundation_Calc!$A$2:$C$13,3,1),
IF(J867&gt;0,VLOOKUP(J867,Foundation_Calc!$A$2:$C$13,3,1),""))</f>
        <v/>
      </c>
      <c r="AX867" s="449" t="str">
        <f>IF(C867&gt;0,VLOOKUP(C867,Foundation_Calc!$E$2:$G$33,3,1),
IF(J867&gt;0,VLOOKUP(J867,Foundation_Calc!$E$2:$G$33,3,1),""))</f>
        <v/>
      </c>
      <c r="AY867" s="10" t="str">
        <f>IF(L867="","",
IF(AX867="PT",VLOOKUP(L867,Foundation_Calc!$K$79:$R$113,VLOOKUP(AW867,Foundation_Calc!$I$2:$J$8,2,FALSE),0),
IF(AX867="K",VLOOKUP(L867,Foundation_Calc!$K$117:$R$151,VLOOKUP(AW867,Foundation_Calc!$I$2:$J$8,2,FALSE),0),"")))</f>
        <v/>
      </c>
      <c r="AZ867" s="10" t="str">
        <f>IF(K867="","",
IF(AX867="PT",VLOOKUP(K867,Foundation_Calc!$K$79:$R$113,VLOOKUP(AW867,Foundation_Calc!$I$2:$J$8,2,FALSE),0),
IF(AX867="K",VLOOKUP(K867,Foundation_Calc!$K$117:$R$151,VLOOKUP(AW867,Foundation_Calc!$I$2:$J$8,2,FALSE),0),"")))</f>
        <v/>
      </c>
      <c r="BA867" s="495" t="str">
        <f t="shared" si="105"/>
        <v/>
      </c>
      <c r="BB867" s="495" t="str">
        <f t="shared" si="106"/>
        <v/>
      </c>
      <c r="BC867" s="495" t="str">
        <f t="shared" si="107"/>
        <v/>
      </c>
      <c r="BD867" s="513" t="str">
        <f>IF(AND(L867="",H867=""),"",
IF(H867="",Pole_Calc!A$9,
IF(H867="MP",Pole_Calc!A$10,
IF(H867="AnMP",Pole_Calc!A$11,
IF(H867="A",Pole_Calc!A$12,
IF(H867="S/A",Pole_Calc!A$13,
IF(H867="A/S",Pole_Calc!A$14,"Poner a mano")))))))</f>
        <v/>
      </c>
      <c r="BE867" s="429" t="s">
        <v>118</v>
      </c>
      <c r="BF867" s="290"/>
      <c r="BG867" s="290"/>
      <c r="BH867" s="290"/>
      <c r="BI867" s="290"/>
    </row>
    <row r="868" spans="1:61" ht="15.75" customHeight="1">
      <c r="A868" s="514"/>
      <c r="B868" s="450" t="s">
        <v>694</v>
      </c>
      <c r="C868" s="3">
        <f>+$C$866+$G$867</f>
        <v>50857.98</v>
      </c>
      <c r="D868" s="83"/>
      <c r="E868" s="4"/>
      <c r="F868" s="4">
        <f>IF(C868&gt;0,VLOOKUP(C868,'ALIGNMENT TRACK'!$A$1:$K$81,9,1))</f>
        <v>0</v>
      </c>
      <c r="G868" s="6"/>
      <c r="H868" s="449"/>
      <c r="I868" s="4"/>
      <c r="J868" s="3"/>
      <c r="K868" s="449"/>
      <c r="L868" s="449" t="s">
        <v>153</v>
      </c>
      <c r="M868" s="449" t="str">
        <f>IF(L868="","",
IF(AX868="PT",VLOOKUP(L868,Foundation_Calc!$V$79:$X$113,VLOOKUP(AX868,Foundation_Calc!$I$10:$J$13,2,FALSE),0),
IF(AX868="K",VLOOKUP(L868,Foundation_Calc!$V$117:$X$151,VLOOKUP(AX868,Foundation_Calc!$I$10:$J$13,2,FALSE),0),"")))</f>
        <v>C3R</v>
      </c>
      <c r="N868" s="449" t="s">
        <v>124</v>
      </c>
      <c r="O868" s="449"/>
      <c r="P868" s="449"/>
      <c r="Q868" s="4"/>
      <c r="R868" s="6"/>
      <c r="S868" s="6"/>
      <c r="T868" s="4">
        <v>-35</v>
      </c>
      <c r="U868" s="4"/>
      <c r="V868" s="4"/>
      <c r="W868" s="572">
        <v>0.8</v>
      </c>
      <c r="X868" s="9"/>
      <c r="Y868" s="9"/>
      <c r="Z868" s="9"/>
      <c r="AA868" s="9"/>
      <c r="AB868" s="9"/>
      <c r="AC868" s="449" t="str">
        <f t="shared" si="104"/>
        <v>PHQ</v>
      </c>
      <c r="AD868" s="449"/>
      <c r="AE868" s="449"/>
      <c r="AF868" s="4"/>
      <c r="AG868" s="83"/>
      <c r="AH868" s="4"/>
      <c r="AI868" s="4"/>
      <c r="AJ868" s="449"/>
      <c r="AK868" s="449"/>
      <c r="AL868" s="449"/>
      <c r="AM868" s="449" t="s">
        <v>552</v>
      </c>
      <c r="AN868" s="10">
        <f>AN866+0.06</f>
        <v>5.21</v>
      </c>
      <c r="AO868" s="9"/>
      <c r="AP868" s="9"/>
      <c r="AQ868" s="9"/>
      <c r="AR868" s="9"/>
      <c r="AS868" s="9"/>
      <c r="AT868" s="9">
        <f>+ab($T$868,$T$866,$T$870,$G$867,$G$869,-1*$F$868,1200)</f>
        <v>-6.1599416605257931</v>
      </c>
      <c r="AU868" s="428"/>
      <c r="AV868" s="428"/>
      <c r="AW868" s="449" t="str">
        <f>IF(C868&gt;0,VLOOKUP(C868,Foundation_Calc!$A$2:$C$13,3,1),
IF(J868&gt;0,VLOOKUP(J868,Foundation_Calc!$A$2:$C$13,3,1),""))</f>
        <v>Multi Soil</v>
      </c>
      <c r="AX868" s="449" t="str">
        <f>IF(C868&gt;0,VLOOKUP(C868,Foundation_Calc!$E$2:$G$33,3,1),
IF(J868&gt;0,VLOOKUP(J868,Foundation_Calc!$E$2:$G$33,3,1),""))</f>
        <v>PT</v>
      </c>
      <c r="AY868" s="10">
        <f>IF(L868="","",
IF(AX868="PT",VLOOKUP(L868,Foundation_Calc!$K$79:$R$113,VLOOKUP(AW868,Foundation_Calc!$I$2:$J$8,2,FALSE),0),
IF(AX868="K",VLOOKUP(L868,Foundation_Calc!$K$117:$R$151,VLOOKUP(AW868,Foundation_Calc!$I$2:$J$8,2,FALSE),0),"")))</f>
        <v>3.5</v>
      </c>
      <c r="AZ868" s="10" t="str">
        <f>IF(K868="","",
IF(AX868="PT",VLOOKUP(K868,Foundation_Calc!$K$79:$R$113,VLOOKUP(AW868,Foundation_Calc!$I$2:$J$8,2,FALSE),0),
IF(AX868="K",VLOOKUP(K868,Foundation_Calc!$K$117:$R$151,VLOOKUP(AW868,Foundation_Calc!$I$2:$J$8,2,FALSE),0),"")))</f>
        <v/>
      </c>
      <c r="BA868" s="495" t="str">
        <f t="shared" si="105"/>
        <v>ü</v>
      </c>
      <c r="BB868" s="495" t="str">
        <f t="shared" si="106"/>
        <v/>
      </c>
      <c r="BC868" s="495" t="str">
        <f t="shared" si="107"/>
        <v/>
      </c>
      <c r="BD868" s="513" t="str">
        <f>IF(AND(L868="",H868=""),"",
IF(H868="",Pole_Calc!A$9,
IF(H868="MP",Pole_Calc!A$10,
IF(H868="AnMP",Pole_Calc!A$11,
IF(H868="A",Pole_Calc!A$12,
IF(H868="S/A",Pole_Calc!A$13,
IF(H868="A/S",Pole_Calc!A$14,"Poner a mano")))))))</f>
        <v>App.7-V11I-P9.5.1.1</v>
      </c>
      <c r="BE868" s="429" t="s">
        <v>118</v>
      </c>
      <c r="BF868" s="289"/>
      <c r="BG868" s="289"/>
      <c r="BH868" s="290"/>
      <c r="BI868" s="289"/>
    </row>
    <row r="869" spans="1:61" ht="15.75" customHeight="1">
      <c r="A869" s="514"/>
      <c r="B869" s="450"/>
      <c r="C869" s="3"/>
      <c r="D869" s="83"/>
      <c r="E869" s="4"/>
      <c r="F869" s="4"/>
      <c r="G869" s="6">
        <v>50</v>
      </c>
      <c r="H869" s="449"/>
      <c r="I869" s="4"/>
      <c r="J869" s="3"/>
      <c r="K869" s="449"/>
      <c r="L869" s="449"/>
      <c r="M869" s="449" t="str">
        <f>IF(L869="","",
IF(AX869="PT",VLOOKUP(L869,Foundation_Calc!$V$79:$X$113,VLOOKUP(AX869,Foundation_Calc!$I$10:$J$13,2,FALSE),0),
IF(AX869="K",VLOOKUP(L869,Foundation_Calc!$V$117:$X$151,VLOOKUP(AX869,Foundation_Calc!$I$10:$J$13,2,FALSE),0),"")))</f>
        <v/>
      </c>
      <c r="N869" s="449"/>
      <c r="O869" s="449"/>
      <c r="P869" s="449"/>
      <c r="Q869" s="4"/>
      <c r="R869" s="6"/>
      <c r="S869" s="6"/>
      <c r="T869" s="4"/>
      <c r="U869" s="4"/>
      <c r="V869" s="4"/>
      <c r="W869" s="572"/>
      <c r="X869" s="9"/>
      <c r="Y869" s="9"/>
      <c r="Z869" s="9"/>
      <c r="AA869" s="9"/>
      <c r="AB869" s="9"/>
      <c r="AC869" s="449" t="str">
        <f t="shared" si="104"/>
        <v/>
      </c>
      <c r="AD869" s="449"/>
      <c r="AE869" s="449"/>
      <c r="AF869" s="4"/>
      <c r="AG869" s="83"/>
      <c r="AH869" s="4"/>
      <c r="AI869" s="4"/>
      <c r="AJ869" s="449"/>
      <c r="AK869" s="449"/>
      <c r="AL869" s="449"/>
      <c r="AM869" s="449"/>
      <c r="AN869" s="10"/>
      <c r="AO869" s="9"/>
      <c r="AP869" s="9"/>
      <c r="AQ869" s="9">
        <f>+FL_1($T$870,$T$868,$G$869,1200,9.28,-1*$F$870)</f>
        <v>0.36839079999999996</v>
      </c>
      <c r="AR869" s="9"/>
      <c r="AS869" s="9"/>
      <c r="AT869" s="9"/>
      <c r="AU869" s="428"/>
      <c r="AV869" s="428"/>
      <c r="AW869" s="449" t="str">
        <f>IF(C869&gt;0,VLOOKUP(C869,Foundation_Calc!$A$2:$C$13,3,1),
IF(J869&gt;0,VLOOKUP(J869,Foundation_Calc!$A$2:$C$13,3,1),""))</f>
        <v/>
      </c>
      <c r="AX869" s="449" t="str">
        <f>IF(C869&gt;0,VLOOKUP(C869,Foundation_Calc!$E$2:$G$33,3,1),
IF(J869&gt;0,VLOOKUP(J869,Foundation_Calc!$E$2:$G$33,3,1),""))</f>
        <v/>
      </c>
      <c r="AY869" s="10" t="str">
        <f>IF(L869="","",
IF(AX869="PT",VLOOKUP(L869,Foundation_Calc!$K$79:$R$113,VLOOKUP(AW869,Foundation_Calc!$I$2:$J$8,2,FALSE),0),
IF(AX869="K",VLOOKUP(L869,Foundation_Calc!$K$117:$R$151,VLOOKUP(AW869,Foundation_Calc!$I$2:$J$8,2,FALSE),0),"")))</f>
        <v/>
      </c>
      <c r="AZ869" s="10" t="str">
        <f>IF(K869="","",
IF(AX869="PT",VLOOKUP(K869,Foundation_Calc!$K$79:$R$113,VLOOKUP(AW869,Foundation_Calc!$I$2:$J$8,2,FALSE),0),
IF(AX869="K",VLOOKUP(K869,Foundation_Calc!$K$117:$R$151,VLOOKUP(AW869,Foundation_Calc!$I$2:$J$8,2,FALSE),0),"")))</f>
        <v/>
      </c>
      <c r="BA869" s="495" t="str">
        <f t="shared" si="105"/>
        <v/>
      </c>
      <c r="BB869" s="495" t="str">
        <f t="shared" si="106"/>
        <v/>
      </c>
      <c r="BC869" s="495" t="str">
        <f t="shared" si="107"/>
        <v/>
      </c>
      <c r="BD869" s="513" t="str">
        <f>IF(AND(L869="",H869=""),"",
IF(H869="",Pole_Calc!A$9,
IF(H869="MP",Pole_Calc!A$10,
IF(H869="AnMP",Pole_Calc!A$11,
IF(H869="A",Pole_Calc!A$12,
IF(H869="S/A",Pole_Calc!A$13,
IF(H869="A/S",Pole_Calc!A$14,"Poner a mano")))))))</f>
        <v/>
      </c>
      <c r="BE869" s="429" t="s">
        <v>118</v>
      </c>
      <c r="BF869" s="290"/>
      <c r="BG869" s="290"/>
      <c r="BH869" s="290"/>
      <c r="BI869" s="290"/>
    </row>
    <row r="870" spans="1:61" ht="15.75" customHeight="1">
      <c r="A870" s="518"/>
      <c r="B870" s="450" t="s">
        <v>695</v>
      </c>
      <c r="C870" s="3">
        <f>+$C$868+$G$869</f>
        <v>50907.98</v>
      </c>
      <c r="D870" s="83"/>
      <c r="E870" s="4"/>
      <c r="F870" s="4">
        <f>IF(C870&gt;0,VLOOKUP(C870,'ALIGNMENT TRACK'!$A$1:$K$81,9,1))</f>
        <v>0</v>
      </c>
      <c r="G870" s="6"/>
      <c r="H870" s="449"/>
      <c r="I870" s="4"/>
      <c r="J870" s="3"/>
      <c r="K870" s="449"/>
      <c r="L870" s="449" t="s">
        <v>153</v>
      </c>
      <c r="M870" s="449" t="str">
        <f>IF(L870="","",
IF(AX870="PT",VLOOKUP(L870,Foundation_Calc!$V$79:$X$113,VLOOKUP(AX870,Foundation_Calc!$I$10:$J$13,2,FALSE),0),
IF(AX870="K",VLOOKUP(L870,Foundation_Calc!$V$117:$X$151,VLOOKUP(AX870,Foundation_Calc!$I$10:$J$13,2,FALSE),0),"")))</f>
        <v>C3R</v>
      </c>
      <c r="N870" s="449" t="s">
        <v>134</v>
      </c>
      <c r="O870" s="449"/>
      <c r="P870" s="449"/>
      <c r="Q870" s="4"/>
      <c r="R870" s="6"/>
      <c r="S870" s="6"/>
      <c r="T870" s="4">
        <v>35</v>
      </c>
      <c r="U870" s="4"/>
      <c r="V870" s="4"/>
      <c r="W870" s="572">
        <v>1.2</v>
      </c>
      <c r="X870" s="9"/>
      <c r="Y870" s="9"/>
      <c r="Z870" s="9"/>
      <c r="AA870" s="9"/>
      <c r="AB870" s="9"/>
      <c r="AC870" s="449" t="str">
        <f t="shared" si="104"/>
        <v>PHQ</v>
      </c>
      <c r="AD870" s="449"/>
      <c r="AE870" s="449"/>
      <c r="AF870" s="4"/>
      <c r="AG870" s="83"/>
      <c r="AH870" s="4"/>
      <c r="AI870" s="4"/>
      <c r="AJ870" s="449"/>
      <c r="AK870" s="449"/>
      <c r="AL870" s="449"/>
      <c r="AM870" s="449" t="s">
        <v>552</v>
      </c>
      <c r="AN870" s="10">
        <f>AN868+0.1</f>
        <v>5.31</v>
      </c>
      <c r="AO870" s="9"/>
      <c r="AP870" s="9"/>
      <c r="AQ870" s="9"/>
      <c r="AR870" s="9"/>
      <c r="AS870" s="9"/>
      <c r="AT870" s="9">
        <f>+ab($T$870,$T$868,$T$872,$G$869,$G$871,-1*$F$870,1200)</f>
        <v>7.1424146886693025</v>
      </c>
      <c r="AU870" s="428"/>
      <c r="AV870" s="428"/>
      <c r="AW870" s="449" t="str">
        <f>IF(C870&gt;0,VLOOKUP(C870,Foundation_Calc!$A$2:$C$13,3,1),
IF(J870&gt;0,VLOOKUP(J870,Foundation_Calc!$A$2:$C$13,3,1),""))</f>
        <v>Multi Soil</v>
      </c>
      <c r="AX870" s="449" t="str">
        <f>IF(C870&gt;0,VLOOKUP(C870,Foundation_Calc!$E$2:$G$33,3,1),
IF(J870&gt;0,VLOOKUP(J870,Foundation_Calc!$E$2:$G$33,3,1),""))</f>
        <v>PT</v>
      </c>
      <c r="AY870" s="10">
        <f>IF(L870="","",
IF(AX870="PT",VLOOKUP(L870,Foundation_Calc!$K$79:$R$113,VLOOKUP(AW870,Foundation_Calc!$I$2:$J$8,2,FALSE),0),
IF(AX870="K",VLOOKUP(L870,Foundation_Calc!$K$117:$R$151,VLOOKUP(AW870,Foundation_Calc!$I$2:$J$8,2,FALSE),0),"")))</f>
        <v>3.5</v>
      </c>
      <c r="AZ870" s="10" t="str">
        <f>IF(K870="","",
IF(AX870="PT",VLOOKUP(K870,Foundation_Calc!$K$79:$R$113,VLOOKUP(AW870,Foundation_Calc!$I$2:$J$8,2,FALSE),0),
IF(AX870="K",VLOOKUP(K870,Foundation_Calc!$K$117:$R$151,VLOOKUP(AW870,Foundation_Calc!$I$2:$J$8,2,FALSE),0),"")))</f>
        <v/>
      </c>
      <c r="BA870" s="495" t="str">
        <f t="shared" si="105"/>
        <v>ü</v>
      </c>
      <c r="BB870" s="495" t="str">
        <f t="shared" si="106"/>
        <v/>
      </c>
      <c r="BC870" s="495" t="str">
        <f t="shared" si="107"/>
        <v/>
      </c>
      <c r="BD870" s="513" t="str">
        <f>IF(AND(L870="",H870=""),"",
IF(H870="",Pole_Calc!A$9,
IF(H870="MP",Pole_Calc!A$10,
IF(H870="AnMP",Pole_Calc!A$11,
IF(H870="A",Pole_Calc!A$12,
IF(H870="S/A",Pole_Calc!A$13,
IF(H870="A/S",Pole_Calc!A$14,"Poner a mano")))))))</f>
        <v>App.7-V11I-P9.5.1.1</v>
      </c>
      <c r="BE870" s="429" t="s">
        <v>118</v>
      </c>
      <c r="BF870" s="289"/>
      <c r="BG870" s="289"/>
      <c r="BH870" s="290"/>
      <c r="BI870" s="289"/>
    </row>
    <row r="871" spans="1:61" ht="15.75" customHeight="1">
      <c r="A871" s="518"/>
      <c r="B871" s="450"/>
      <c r="C871" s="3"/>
      <c r="D871" s="83"/>
      <c r="E871" s="4"/>
      <c r="F871" s="4"/>
      <c r="G871" s="6">
        <v>55</v>
      </c>
      <c r="H871" s="449"/>
      <c r="I871" s="4"/>
      <c r="J871" s="3">
        <f>C872-7.5</f>
        <v>50955.48</v>
      </c>
      <c r="K871" s="449" t="s">
        <v>166</v>
      </c>
      <c r="L871" s="449"/>
      <c r="M871" s="449" t="str">
        <f>IF(L871="","",
IF(AX871="PT",VLOOKUP(L871,Foundation_Calc!$V$79:$X$113,VLOOKUP(AX871,Foundation_Calc!$I$10:$J$13,2,FALSE),0),
IF(AX871="K",VLOOKUP(L871,Foundation_Calc!$V$117:$X$151,VLOOKUP(AX871,Foundation_Calc!$I$10:$J$13,2,FALSE),0),"")))</f>
        <v/>
      </c>
      <c r="N871" s="561"/>
      <c r="O871" s="449"/>
      <c r="P871" s="449"/>
      <c r="Q871" s="4"/>
      <c r="R871" s="6"/>
      <c r="S871" s="6"/>
      <c r="T871" s="4"/>
      <c r="U871" s="4"/>
      <c r="V871" s="4"/>
      <c r="W871" s="9"/>
      <c r="X871" s="9"/>
      <c r="Y871" s="9"/>
      <c r="Z871" s="9"/>
      <c r="AA871" s="9"/>
      <c r="AB871" s="9"/>
      <c r="AC871" s="449" t="str">
        <f t="shared" si="104"/>
        <v/>
      </c>
      <c r="AD871" s="449"/>
      <c r="AE871" s="449"/>
      <c r="AF871" s="4"/>
      <c r="AG871" s="83"/>
      <c r="AH871" s="4"/>
      <c r="AI871" s="4"/>
      <c r="AJ871" s="449"/>
      <c r="AK871" s="449"/>
      <c r="AL871" s="449"/>
      <c r="AM871" s="449"/>
      <c r="AN871" s="10"/>
      <c r="AO871" s="9"/>
      <c r="AP871" s="9"/>
      <c r="AQ871" s="9">
        <f>+FL_1($T$872,$T$870,$G$871,1200,9.28,-1*$F$872)</f>
        <v>0.39714735709090898</v>
      </c>
      <c r="AR871" s="9"/>
      <c r="AS871" s="9"/>
      <c r="AT871" s="9"/>
      <c r="AU871" s="428"/>
      <c r="AV871" s="428"/>
      <c r="AW871" s="449" t="str">
        <f>IF(C871&gt;0,VLOOKUP(C871,Foundation_Calc!$A$2:$C$13,3,1),
IF(J871&gt;0,VLOOKUP(J871,Foundation_Calc!$A$2:$C$13,3,1),""))</f>
        <v>Multi Soil</v>
      </c>
      <c r="AX871" s="449" t="str">
        <f>IF(C871&gt;0,VLOOKUP(C871,Foundation_Calc!$E$2:$G$33,3,1),
IF(J871&gt;0,VLOOKUP(J871,Foundation_Calc!$E$2:$G$33,3,1),""))</f>
        <v>PT</v>
      </c>
      <c r="AY871" s="10" t="str">
        <f>IF(L871="","",
IF(AX871="PT",VLOOKUP(L871,Foundation_Calc!$K$79:$R$113,VLOOKUP(AW871,Foundation_Calc!$I$2:$J$8,2,FALSE),0),
IF(AX871="K",VLOOKUP(L871,Foundation_Calc!$K$117:$R$151,VLOOKUP(AW871,Foundation_Calc!$I$2:$J$8,2,FALSE),0),"")))</f>
        <v/>
      </c>
      <c r="AZ871" s="10">
        <f>IF(K871="","",
IF(AX871="PT",VLOOKUP(K871,Foundation_Calc!$K$79:$R$113,VLOOKUP(AW871,Foundation_Calc!$I$2:$J$8,2,FALSE),0),
IF(AX871="K",VLOOKUP(K871,Foundation_Calc!$K$117:$R$151,VLOOKUP(AW871,Foundation_Calc!$I$2:$J$8,2,FALSE),0),"")))</f>
        <v>2.8</v>
      </c>
      <c r="BA871" s="495" t="str">
        <f t="shared" si="105"/>
        <v/>
      </c>
      <c r="BB871" s="495" t="str">
        <f t="shared" si="106"/>
        <v>ü</v>
      </c>
      <c r="BC871" s="495" t="str">
        <f t="shared" si="107"/>
        <v/>
      </c>
      <c r="BD871" s="513" t="str">
        <f>IF(AND(L871="",H871=""),"",
IF(H871="",Pole_Calc!A$9,
IF(H871="MP",Pole_Calc!A$10,
IF(H871="AnMP",Pole_Calc!A$11,
IF(H871="A",Pole_Calc!A$12,
IF(H871="S/A",Pole_Calc!A$13,
IF(H871="A/S",Pole_Calc!A$14,"Poner a mano")))))))</f>
        <v/>
      </c>
      <c r="BE871" s="429" t="s">
        <v>118</v>
      </c>
      <c r="BF871" s="290"/>
      <c r="BG871" s="290"/>
      <c r="BH871" s="290"/>
      <c r="BI871" s="290"/>
    </row>
    <row r="872" spans="1:61" ht="15.75" customHeight="1">
      <c r="A872" s="514"/>
      <c r="B872" s="450" t="s">
        <v>696</v>
      </c>
      <c r="C872" s="3">
        <f>+$C$870+$G$871</f>
        <v>50962.98</v>
      </c>
      <c r="D872" s="83"/>
      <c r="E872" s="4"/>
      <c r="F872" s="4">
        <f>IF(C872&gt;0,VLOOKUP(C872,'ALIGNMENT TRACK'!$A$1:$K$81,9,1))</f>
        <v>0</v>
      </c>
      <c r="G872" s="6"/>
      <c r="H872" s="449" t="s">
        <v>168</v>
      </c>
      <c r="I872" s="4"/>
      <c r="J872" s="3"/>
      <c r="K872" s="449"/>
      <c r="L872" s="449" t="s">
        <v>158</v>
      </c>
      <c r="M872" s="449" t="str">
        <f>IF(L872="","",
IF(AX872="PT",VLOOKUP(L872,Foundation_Calc!$V$79:$X$113,VLOOKUP(AX872,Foundation_Calc!$I$10:$J$13,2,FALSE),0),
IF(AX872="K",VLOOKUP(L872,Foundation_Calc!$V$117:$X$151,VLOOKUP(AX872,Foundation_Calc!$I$10:$J$13,2,FALSE),0),"")))</f>
        <v>C4R</v>
      </c>
      <c r="N872" s="449" t="s">
        <v>124</v>
      </c>
      <c r="O872" s="449"/>
      <c r="P872" s="449"/>
      <c r="Q872" s="4"/>
      <c r="R872" s="6"/>
      <c r="S872" s="6"/>
      <c r="T872" s="4">
        <v>-35</v>
      </c>
      <c r="U872" s="4"/>
      <c r="V872" s="4"/>
      <c r="W872" s="9">
        <v>1.4</v>
      </c>
      <c r="X872" s="9"/>
      <c r="Y872" s="9"/>
      <c r="Z872" s="9"/>
      <c r="AA872" s="9"/>
      <c r="AB872" s="9"/>
      <c r="AC872" s="449" t="str">
        <f t="shared" si="104"/>
        <v>PHQ</v>
      </c>
      <c r="AD872" s="449"/>
      <c r="AE872" s="449"/>
      <c r="AF872" s="4"/>
      <c r="AG872" s="83"/>
      <c r="AH872" s="4"/>
      <c r="AI872" s="4"/>
      <c r="AJ872" s="449"/>
      <c r="AK872" s="449"/>
      <c r="AL872" s="449"/>
      <c r="AM872" s="449" t="s">
        <v>552</v>
      </c>
      <c r="AN872" s="10">
        <f>AN874-0.08</f>
        <v>5.42</v>
      </c>
      <c r="AO872" s="9"/>
      <c r="AP872" s="9"/>
      <c r="AQ872" s="9"/>
      <c r="AR872" s="9"/>
      <c r="AS872" s="9"/>
      <c r="AT872" s="9">
        <f>+ab($T$872,$T$870,$T$874,$G$871,$G$873,-1*$F$872,1200)</f>
        <v>-7.8175501667728815</v>
      </c>
      <c r="AU872" s="428"/>
      <c r="AV872" s="428"/>
      <c r="AW872" s="449" t="str">
        <f>IF(C872&gt;0,VLOOKUP(C872,Foundation_Calc!$A$2:$C$13,3,1),
IF(J872&gt;0,VLOOKUP(J872,Foundation_Calc!$A$2:$C$13,3,1),""))</f>
        <v>Multi Soil</v>
      </c>
      <c r="AX872" s="449" t="str">
        <f>IF(C872&gt;0,VLOOKUP(C872,Foundation_Calc!$E$2:$G$33,3,1),
IF(J872&gt;0,VLOOKUP(J872,Foundation_Calc!$E$2:$G$33,3,1),""))</f>
        <v>PT</v>
      </c>
      <c r="AY872" s="10">
        <f>IF(L872="","",
IF(AX872="PT",VLOOKUP(L872,Foundation_Calc!$K$79:$R$113,VLOOKUP(AW872,Foundation_Calc!$I$2:$J$8,2,FALSE),0),
IF(AX872="K",VLOOKUP(L872,Foundation_Calc!$K$117:$R$151,VLOOKUP(AW872,Foundation_Calc!$I$2:$J$8,2,FALSE),0),"")))</f>
        <v>3.5</v>
      </c>
      <c r="AZ872" s="10" t="str">
        <f>IF(K872="","",
IF(AX872="PT",VLOOKUP(K872,Foundation_Calc!$K$79:$R$113,VLOOKUP(AW872,Foundation_Calc!$I$2:$J$8,2,FALSE),0),
IF(AX872="K",VLOOKUP(K872,Foundation_Calc!$K$117:$R$151,VLOOKUP(AW872,Foundation_Calc!$I$2:$J$8,2,FALSE),0),"")))</f>
        <v/>
      </c>
      <c r="BA872" s="495" t="str">
        <f t="shared" si="105"/>
        <v>ü</v>
      </c>
      <c r="BB872" s="495" t="str">
        <f t="shared" si="106"/>
        <v/>
      </c>
      <c r="BC872" s="495" t="str">
        <f t="shared" si="107"/>
        <v/>
      </c>
      <c r="BD872" s="513" t="str">
        <f>IF(AND(L872="",H872=""),"",
IF(H872="",Pole_Calc!A$9,
IF(H872="MP",Pole_Calc!A$10,
IF(H872="AnMP",Pole_Calc!A$11,
IF(H872="A",Pole_Calc!A$12,
IF(H872="S/A",Pole_Calc!A$13,
IF(H872="A/S",Pole_Calc!A$14,"Poner a mano")))))))</f>
        <v>App.7-V11I-P9.5.1.3</v>
      </c>
      <c r="BE872" s="429" t="s">
        <v>118</v>
      </c>
      <c r="BF872" s="289"/>
      <c r="BG872" s="289"/>
      <c r="BH872" s="290"/>
      <c r="BI872" s="289"/>
    </row>
    <row r="873" spans="1:61" ht="15.75" customHeight="1">
      <c r="A873" s="514"/>
      <c r="B873" s="450"/>
      <c r="C873" s="3"/>
      <c r="D873" s="83"/>
      <c r="E873" s="4"/>
      <c r="F873" s="4"/>
      <c r="G873" s="6">
        <v>60</v>
      </c>
      <c r="H873" s="449"/>
      <c r="I873" s="4">
        <f>SUM(G855:G873)</f>
        <v>539.1</v>
      </c>
      <c r="J873" s="3"/>
      <c r="K873" s="449"/>
      <c r="L873" s="449"/>
      <c r="M873" s="449" t="str">
        <f>IF(L873="","",
IF(AX873="PT",VLOOKUP(L873,Foundation_Calc!$V$79:$X$113,VLOOKUP(AX873,Foundation_Calc!$I$10:$J$13,2,FALSE),0),
IF(AX873="K",VLOOKUP(L873,Foundation_Calc!$V$117:$X$151,VLOOKUP(AX873,Foundation_Calc!$I$10:$J$13,2,FALSE),0),"")))</f>
        <v/>
      </c>
      <c r="N873" s="449"/>
      <c r="O873" s="449"/>
      <c r="P873" s="449"/>
      <c r="Q873" s="4"/>
      <c r="R873" s="6"/>
      <c r="S873" s="6"/>
      <c r="T873" s="4"/>
      <c r="U873" s="4"/>
      <c r="V873" s="4"/>
      <c r="W873" s="9"/>
      <c r="X873" s="9"/>
      <c r="Y873" s="9"/>
      <c r="Z873" s="9"/>
      <c r="AA873" s="9"/>
      <c r="AB873" s="9"/>
      <c r="AC873" s="449" t="str">
        <f t="shared" si="104"/>
        <v/>
      </c>
      <c r="AD873" s="449"/>
      <c r="AE873" s="449"/>
      <c r="AF873" s="4"/>
      <c r="AG873" s="83"/>
      <c r="AH873" s="4"/>
      <c r="AI873" s="4"/>
      <c r="AJ873" s="449"/>
      <c r="AK873" s="449"/>
      <c r="AL873" s="449"/>
      <c r="AM873" s="449"/>
      <c r="AN873" s="10"/>
      <c r="AO873" s="9"/>
      <c r="AP873" s="9"/>
      <c r="AQ873" s="9">
        <f>+FL_1($T$874,$T$872,$G$873,1200,9.28,-1*$F$874)</f>
        <v>0.43600286799999999</v>
      </c>
      <c r="AR873" s="9"/>
      <c r="AS873" s="9"/>
      <c r="AT873" s="9"/>
      <c r="AU873" s="428"/>
      <c r="AV873" s="428"/>
      <c r="AW873" s="449" t="str">
        <f>IF(C873&gt;0,VLOOKUP(C873,Foundation_Calc!$A$2:$C$13,3,1),
IF(J873&gt;0,VLOOKUP(J873,Foundation_Calc!$A$2:$C$13,3,1),""))</f>
        <v/>
      </c>
      <c r="AX873" s="449" t="str">
        <f>IF(C873&gt;0,VLOOKUP(C873,Foundation_Calc!$E$2:$G$33,3,1),
IF(J873&gt;0,VLOOKUP(J873,Foundation_Calc!$E$2:$G$33,3,1),""))</f>
        <v/>
      </c>
      <c r="AY873" s="10" t="str">
        <f>IF(L873="","",
IF(AX873="PT",VLOOKUP(L873,Foundation_Calc!$K$79:$R$113,VLOOKUP(AW873,Foundation_Calc!$I$2:$J$8,2,FALSE),0),
IF(AX873="K",VLOOKUP(L873,Foundation_Calc!$K$117:$R$151,VLOOKUP(AW873,Foundation_Calc!$I$2:$J$8,2,FALSE),0),"")))</f>
        <v/>
      </c>
      <c r="AZ873" s="10" t="str">
        <f>IF(K873="","",
IF(AX873="PT",VLOOKUP(K873,Foundation_Calc!$K$79:$R$113,VLOOKUP(AW873,Foundation_Calc!$I$2:$J$8,2,FALSE),0),
IF(AX873="K",VLOOKUP(K873,Foundation_Calc!$K$117:$R$151,VLOOKUP(AW873,Foundation_Calc!$I$2:$J$8,2,FALSE),0),"")))</f>
        <v/>
      </c>
      <c r="BA873" s="495" t="str">
        <f t="shared" si="105"/>
        <v/>
      </c>
      <c r="BB873" s="495" t="str">
        <f t="shared" si="106"/>
        <v/>
      </c>
      <c r="BC873" s="495" t="str">
        <f t="shared" si="107"/>
        <v/>
      </c>
      <c r="BD873" s="513" t="str">
        <f>IF(AND(L873="",H873=""),"",
IF(H873="",Pole_Calc!A$9,
IF(H873="MP",Pole_Calc!A$10,
IF(H873="AnMP",Pole_Calc!A$11,
IF(H873="A",Pole_Calc!A$12,
IF(H873="S/A",Pole_Calc!A$13,
IF(H873="A/S",Pole_Calc!A$14,"Poner a mano")))))))</f>
        <v/>
      </c>
      <c r="BE873" s="429" t="s">
        <v>118</v>
      </c>
      <c r="BF873" s="290"/>
      <c r="BG873" s="290"/>
      <c r="BH873" s="290"/>
      <c r="BI873" s="290"/>
    </row>
    <row r="874" spans="1:61" ht="15.75" customHeight="1">
      <c r="A874" s="514"/>
      <c r="B874" s="450" t="s">
        <v>697</v>
      </c>
      <c r="C874" s="3">
        <f>+$C$872+$G$873</f>
        <v>51022.98</v>
      </c>
      <c r="D874" s="83"/>
      <c r="E874" s="4"/>
      <c r="F874" s="4">
        <f>IF(C874&gt;0,VLOOKUP(C874,'ALIGNMENT TRACK'!$A$1:$K$81,9,1))</f>
        <v>0</v>
      </c>
      <c r="G874" s="6"/>
      <c r="H874" s="449" t="s">
        <v>171</v>
      </c>
      <c r="I874" s="4"/>
      <c r="J874" s="3"/>
      <c r="K874" s="449"/>
      <c r="L874" s="449" t="s">
        <v>153</v>
      </c>
      <c r="M874" s="449" t="str">
        <f>IF(L874="","",
IF(AX874="PT",VLOOKUP(L874,Foundation_Calc!$V$79:$X$113,VLOOKUP(AX874,Foundation_Calc!$I$10:$J$13,2,FALSE),0),
IF(AX874="K",VLOOKUP(L874,Foundation_Calc!$V$117:$X$151,VLOOKUP(AX874,Foundation_Calc!$I$10:$J$13,2,FALSE),0),"")))</f>
        <v>C3R</v>
      </c>
      <c r="N874" s="449" t="s">
        <v>134</v>
      </c>
      <c r="O874" s="449"/>
      <c r="P874" s="449"/>
      <c r="Q874" s="4"/>
      <c r="R874" s="6"/>
      <c r="S874" s="6"/>
      <c r="T874" s="4">
        <v>35</v>
      </c>
      <c r="U874" s="4"/>
      <c r="V874" s="4"/>
      <c r="W874" s="9">
        <v>1.4</v>
      </c>
      <c r="X874" s="9"/>
      <c r="Y874" s="9"/>
      <c r="Z874" s="9"/>
      <c r="AA874" s="9"/>
      <c r="AB874" s="9"/>
      <c r="AC874" s="449" t="str">
        <f t="shared" si="104"/>
        <v>PHQ</v>
      </c>
      <c r="AD874" s="449"/>
      <c r="AE874" s="449"/>
      <c r="AF874" s="4"/>
      <c r="AG874" s="83"/>
      <c r="AH874" s="4"/>
      <c r="AI874" s="4"/>
      <c r="AJ874" s="449"/>
      <c r="AK874" s="449"/>
      <c r="AL874" s="449"/>
      <c r="AM874" s="449" t="s">
        <v>552</v>
      </c>
      <c r="AN874" s="10">
        <v>5.5</v>
      </c>
      <c r="AO874" s="9"/>
      <c r="AP874" s="9"/>
      <c r="AQ874" s="9"/>
      <c r="AR874" s="9"/>
      <c r="AS874" s="9"/>
      <c r="AT874" s="9">
        <f>+ab($T$874,$T$872,$T$876,$G$873,$G$875,-1*$F$874,1200)</f>
        <v>7.8175137683875535</v>
      </c>
      <c r="AU874" s="428"/>
      <c r="AV874" s="428"/>
      <c r="AW874" s="449" t="str">
        <f>IF(C874&gt;0,VLOOKUP(C874,Foundation_Calc!$A$2:$C$13,3,1),
IF(J874&gt;0,VLOOKUP(J874,Foundation_Calc!$A$2:$C$13,3,1),""))</f>
        <v>Multi Soil</v>
      </c>
      <c r="AX874" s="449" t="str">
        <f>IF(C874&gt;0,VLOOKUP(C874,Foundation_Calc!$E$2:$G$33,3,1),
IF(J874&gt;0,VLOOKUP(J874,Foundation_Calc!$E$2:$G$33,3,1),""))</f>
        <v>PT</v>
      </c>
      <c r="AY874" s="10">
        <f>IF(L874="","",
IF(AX874="PT",VLOOKUP(L874,Foundation_Calc!$K$79:$R$113,VLOOKUP(AW874,Foundation_Calc!$I$2:$J$8,2,FALSE),0),
IF(AX874="K",VLOOKUP(L874,Foundation_Calc!$K$117:$R$151,VLOOKUP(AW874,Foundation_Calc!$I$2:$J$8,2,FALSE),0),"")))</f>
        <v>3.5</v>
      </c>
      <c r="AZ874" s="10" t="str">
        <f>IF(K874="","",
IF(AX874="PT",VLOOKUP(K874,Foundation_Calc!$K$79:$R$113,VLOOKUP(AW874,Foundation_Calc!$I$2:$J$8,2,FALSE),0),
IF(AX874="K",VLOOKUP(K874,Foundation_Calc!$K$117:$R$151,VLOOKUP(AW874,Foundation_Calc!$I$2:$J$8,2,FALSE),0),"")))</f>
        <v/>
      </c>
      <c r="BA874" s="495" t="str">
        <f t="shared" si="105"/>
        <v>ü</v>
      </c>
      <c r="BB874" s="495" t="str">
        <f t="shared" si="106"/>
        <v/>
      </c>
      <c r="BC874" s="495" t="str">
        <f t="shared" si="107"/>
        <v/>
      </c>
      <c r="BD874" s="513" t="str">
        <f>IF(AND(L874="",H874=""),"",
IF(H874="",Pole_Calc!A$9,
IF(H874="MP",Pole_Calc!A$10,
IF(H874="AnMP",Pole_Calc!A$11,
IF(H874="A",Pole_Calc!A$12,
IF(H874="S/A",Pole_Calc!A$13,
IF(H874="A/S",Pole_Calc!A$14,"Poner a mano")))))))</f>
        <v>App.7-V11I-P9.5.1.2</v>
      </c>
      <c r="BE874" s="429" t="s">
        <v>118</v>
      </c>
      <c r="BF874" s="289"/>
      <c r="BG874" s="289"/>
      <c r="BH874" s="290"/>
      <c r="BI874" s="289"/>
    </row>
    <row r="875" spans="1:61" ht="15.75" customHeight="1">
      <c r="A875" s="514"/>
      <c r="B875" s="450"/>
      <c r="C875" s="3"/>
      <c r="D875" s="83"/>
      <c r="E875" s="4"/>
      <c r="F875" s="4"/>
      <c r="G875" s="6">
        <v>55</v>
      </c>
      <c r="H875" s="449"/>
      <c r="I875" s="4">
        <f>SUM(G875:G891)</f>
        <v>430</v>
      </c>
      <c r="J875" s="3"/>
      <c r="K875" s="449"/>
      <c r="L875" s="449"/>
      <c r="M875" s="449" t="str">
        <f>IF(L875="","",
IF(AX875="PT",VLOOKUP(L875,Foundation_Calc!$V$79:$X$113,VLOOKUP(AX875,Foundation_Calc!$I$10:$J$13,2,FALSE),0),
IF(AX875="K",VLOOKUP(L875,Foundation_Calc!$V$117:$X$151,VLOOKUP(AX875,Foundation_Calc!$I$10:$J$13,2,FALSE),0),"")))</f>
        <v/>
      </c>
      <c r="N875" s="449"/>
      <c r="O875" s="449"/>
      <c r="P875" s="449"/>
      <c r="Q875" s="4"/>
      <c r="R875" s="6"/>
      <c r="S875" s="6"/>
      <c r="T875" s="4"/>
      <c r="U875" s="4"/>
      <c r="V875" s="4"/>
      <c r="W875" s="9"/>
      <c r="X875" s="9"/>
      <c r="Y875" s="9"/>
      <c r="Z875" s="9"/>
      <c r="AA875" s="9"/>
      <c r="AB875" s="9"/>
      <c r="AC875" s="449" t="str">
        <f t="shared" si="104"/>
        <v/>
      </c>
      <c r="AD875" s="449"/>
      <c r="AE875" s="449"/>
      <c r="AF875" s="4"/>
      <c r="AG875" s="83"/>
      <c r="AH875" s="4"/>
      <c r="AI875" s="4"/>
      <c r="AJ875" s="449"/>
      <c r="AK875" s="449"/>
      <c r="AL875" s="449"/>
      <c r="AM875" s="449"/>
      <c r="AN875" s="10"/>
      <c r="AO875" s="9"/>
      <c r="AP875" s="9"/>
      <c r="AQ875" s="9">
        <f>+FL_2($T$876,$T$874,$G$875,1200,9.28,-1*$F$876)</f>
        <v>-0.40114866847004271</v>
      </c>
      <c r="AR875" s="9"/>
      <c r="AS875" s="9"/>
      <c r="AT875" s="9"/>
      <c r="AU875" s="428"/>
      <c r="AV875" s="428"/>
      <c r="AW875" s="449" t="str">
        <f>IF(C875&gt;0,VLOOKUP(C875,Foundation_Calc!$A$2:$C$13,3,1),
IF(J875&gt;0,VLOOKUP(J875,Foundation_Calc!$A$2:$C$13,3,1),""))</f>
        <v/>
      </c>
      <c r="AX875" s="449" t="str">
        <f>IF(C875&gt;0,VLOOKUP(C875,Foundation_Calc!$E$2:$G$33,3,1),
IF(J875&gt;0,VLOOKUP(J875,Foundation_Calc!$E$2:$G$33,3,1),""))</f>
        <v/>
      </c>
      <c r="AY875" s="10" t="str">
        <f>IF(L875="","",
IF(AX875="PT",VLOOKUP(L875,Foundation_Calc!$K$79:$R$113,VLOOKUP(AW875,Foundation_Calc!$I$2:$J$8,2,FALSE),0),
IF(AX875="K",VLOOKUP(L875,Foundation_Calc!$K$117:$R$151,VLOOKUP(AW875,Foundation_Calc!$I$2:$J$8,2,FALSE),0),"")))</f>
        <v/>
      </c>
      <c r="AZ875" s="10" t="str">
        <f>IF(K875="","",
IF(AX875="PT",VLOOKUP(K875,Foundation_Calc!$K$79:$R$113,VLOOKUP(AW875,Foundation_Calc!$I$2:$J$8,2,FALSE),0),
IF(AX875="K",VLOOKUP(K875,Foundation_Calc!$K$117:$R$151,VLOOKUP(AW875,Foundation_Calc!$I$2:$J$8,2,FALSE),0),"")))</f>
        <v/>
      </c>
      <c r="BA875" s="495" t="str">
        <f t="shared" si="105"/>
        <v/>
      </c>
      <c r="BB875" s="495" t="str">
        <f t="shared" si="106"/>
        <v/>
      </c>
      <c r="BC875" s="495" t="str">
        <f t="shared" si="107"/>
        <v/>
      </c>
      <c r="BD875" s="513" t="str">
        <f>IF(AND(L875="",H875=""),"",
IF(H875="",Pole_Calc!A$9,
IF(H875="MP",Pole_Calc!A$10,
IF(H875="AnMP",Pole_Calc!A$11,
IF(H875="A",Pole_Calc!A$12,
IF(H875="S/A",Pole_Calc!A$13,
IF(H875="A/S",Pole_Calc!A$14,"Poner a mano")))))))</f>
        <v/>
      </c>
      <c r="BE875" s="429" t="s">
        <v>118</v>
      </c>
      <c r="BF875" s="290"/>
      <c r="BG875" s="290"/>
      <c r="BH875" s="290"/>
      <c r="BI875" s="290"/>
    </row>
    <row r="876" spans="1:61" ht="15.75" customHeight="1">
      <c r="A876" s="518"/>
      <c r="B876" s="450" t="s">
        <v>698</v>
      </c>
      <c r="C876" s="3">
        <f>+$C$874+$G$875</f>
        <v>51077.98</v>
      </c>
      <c r="D876" s="83"/>
      <c r="E876" s="4"/>
      <c r="F876" s="4">
        <f>-(345^2)/(C876-51076.04)</f>
        <v>-61353.092783431523</v>
      </c>
      <c r="G876" s="6"/>
      <c r="H876" s="449" t="s">
        <v>168</v>
      </c>
      <c r="I876" s="4"/>
      <c r="J876" s="3"/>
      <c r="K876" s="449"/>
      <c r="L876" s="449" t="s">
        <v>158</v>
      </c>
      <c r="M876" s="449" t="str">
        <f>IF(L876="","",
IF(AX876="PT",VLOOKUP(L876,Foundation_Calc!$V$79:$X$113,VLOOKUP(AX876,Foundation_Calc!$I$10:$J$13,2,FALSE),0),
IF(AX876="K",VLOOKUP(L876,Foundation_Calc!$V$117:$X$151,VLOOKUP(AX876,Foundation_Calc!$I$10:$J$13,2,FALSE),0),"")))</f>
        <v>C4R</v>
      </c>
      <c r="N876" s="449" t="s">
        <v>124</v>
      </c>
      <c r="O876" s="449"/>
      <c r="P876" s="449"/>
      <c r="Q876" s="4"/>
      <c r="R876" s="6"/>
      <c r="S876" s="6"/>
      <c r="T876" s="4">
        <v>-35</v>
      </c>
      <c r="U876" s="4"/>
      <c r="V876" s="4"/>
      <c r="W876" s="9">
        <v>1.4</v>
      </c>
      <c r="X876" s="9"/>
      <c r="Y876" s="9"/>
      <c r="Z876" s="9"/>
      <c r="AA876" s="9"/>
      <c r="AB876" s="9"/>
      <c r="AC876" s="449" t="str">
        <f t="shared" si="104"/>
        <v>PHQ</v>
      </c>
      <c r="AD876" s="449"/>
      <c r="AE876" s="449"/>
      <c r="AF876" s="4"/>
      <c r="AG876" s="83"/>
      <c r="AH876" s="4"/>
      <c r="AI876" s="4"/>
      <c r="AJ876" s="449"/>
      <c r="AK876" s="449"/>
      <c r="AL876" s="449"/>
      <c r="AM876" s="449" t="s">
        <v>552</v>
      </c>
      <c r="AN876" s="10">
        <v>5.5</v>
      </c>
      <c r="AO876" s="9"/>
      <c r="AP876" s="9"/>
      <c r="AQ876" s="9"/>
      <c r="AR876" s="9"/>
      <c r="AS876" s="9"/>
      <c r="AT876" s="9">
        <f>+ab($T$876,$T$874,$T$878,$G$875,$G$877,-1*$F$876,1200)</f>
        <v>-7.6692089153277339</v>
      </c>
      <c r="AU876" s="428"/>
      <c r="AV876" s="428"/>
      <c r="AW876" s="449" t="str">
        <f>IF(C876&gt;0,VLOOKUP(C876,Foundation_Calc!$A$2:$C$13,3,1),
IF(J876&gt;0,VLOOKUP(J876,Foundation_Calc!$A$2:$C$13,3,1),""))</f>
        <v>Multi Soil</v>
      </c>
      <c r="AX876" s="449" t="str">
        <f>IF(C876&gt;0,VLOOKUP(C876,Foundation_Calc!$E$2:$G$33,3,1),
IF(J876&gt;0,VLOOKUP(J876,Foundation_Calc!$E$2:$G$33,3,1),""))</f>
        <v>PT</v>
      </c>
      <c r="AY876" s="10">
        <f>IF(L876="","",
IF(AX876="PT",VLOOKUP(L876,Foundation_Calc!$K$79:$R$113,VLOOKUP(AW876,Foundation_Calc!$I$2:$J$8,2,FALSE),0),
IF(AX876="K",VLOOKUP(L876,Foundation_Calc!$K$117:$R$151,VLOOKUP(AW876,Foundation_Calc!$I$2:$J$8,2,FALSE),0),"")))</f>
        <v>3.5</v>
      </c>
      <c r="AZ876" s="10" t="str">
        <f>IF(K876="","",
IF(AX876="PT",VLOOKUP(K876,Foundation_Calc!$K$79:$R$113,VLOOKUP(AW876,Foundation_Calc!$I$2:$J$8,2,FALSE),0),
IF(AX876="K",VLOOKUP(K876,Foundation_Calc!$K$117:$R$151,VLOOKUP(AW876,Foundation_Calc!$I$2:$J$8,2,FALSE),0),"")))</f>
        <v/>
      </c>
      <c r="BA876" s="495" t="str">
        <f t="shared" si="105"/>
        <v>ü</v>
      </c>
      <c r="BB876" s="495" t="str">
        <f t="shared" si="106"/>
        <v/>
      </c>
      <c r="BC876" s="495" t="str">
        <f t="shared" si="107"/>
        <v/>
      </c>
      <c r="BD876" s="513" t="str">
        <f>IF(AND(L876="",H876=""),"",
IF(H876="",Pole_Calc!A$9,
IF(H876="MP",Pole_Calc!A$10,
IF(H876="AnMP",Pole_Calc!A$11,
IF(H876="A",Pole_Calc!A$12,
IF(H876="S/A",Pole_Calc!A$13,
IF(H876="A/S",Pole_Calc!A$14,"Poner a mano")))))))</f>
        <v>App.7-V11I-P9.5.1.3</v>
      </c>
      <c r="BE876" s="429" t="s">
        <v>118</v>
      </c>
      <c r="BF876" s="289"/>
      <c r="BG876" s="289"/>
      <c r="BH876" s="290"/>
      <c r="BI876" s="289"/>
    </row>
    <row r="877" spans="1:61" ht="15.75" customHeight="1">
      <c r="A877" s="518"/>
      <c r="B877" s="450"/>
      <c r="C877" s="3"/>
      <c r="D877" s="83"/>
      <c r="E877" s="4"/>
      <c r="F877" s="4"/>
      <c r="G877" s="6">
        <v>50</v>
      </c>
      <c r="H877" s="449"/>
      <c r="I877" s="4"/>
      <c r="J877" s="3">
        <f>C876+7.5</f>
        <v>51085.48</v>
      </c>
      <c r="K877" s="449" t="s">
        <v>166</v>
      </c>
      <c r="L877" s="449"/>
      <c r="M877" s="449" t="str">
        <f>IF(L877="","",
IF(AX877="PT",VLOOKUP(L877,Foundation_Calc!$V$79:$X$113,VLOOKUP(AX877,Foundation_Calc!$I$10:$J$13,2,FALSE),0),
IF(AX877="K",VLOOKUP(L877,Foundation_Calc!$V$117:$X$151,VLOOKUP(AX877,Foundation_Calc!$I$10:$J$13,2,FALSE),0),"")))</f>
        <v/>
      </c>
      <c r="N877" s="561"/>
      <c r="O877" s="449"/>
      <c r="P877" s="449"/>
      <c r="Q877" s="4"/>
      <c r="R877" s="6"/>
      <c r="S877" s="6"/>
      <c r="T877" s="4"/>
      <c r="U877" s="4"/>
      <c r="V877" s="4"/>
      <c r="W877" s="9"/>
      <c r="X877" s="9"/>
      <c r="Y877" s="9"/>
      <c r="Z877" s="9"/>
      <c r="AA877" s="9"/>
      <c r="AB877" s="9"/>
      <c r="AC877" s="449" t="str">
        <f t="shared" si="104"/>
        <v/>
      </c>
      <c r="AD877" s="449"/>
      <c r="AE877" s="449"/>
      <c r="AF877" s="4"/>
      <c r="AG877" s="83"/>
      <c r="AH877" s="4"/>
      <c r="AI877" s="4"/>
      <c r="AJ877" s="449"/>
      <c r="AK877" s="449"/>
      <c r="AL877" s="449"/>
      <c r="AM877" s="449"/>
      <c r="AN877" s="10"/>
      <c r="AO877" s="9"/>
      <c r="AP877" s="9"/>
      <c r="AQ877" s="9">
        <f>+FL_2($T$878,$T$876,$G$877,1200,9.28,-1*$F$878)</f>
        <v>-0.47288908689141806</v>
      </c>
      <c r="AR877" s="9"/>
      <c r="AS877" s="9"/>
      <c r="AT877" s="9"/>
      <c r="AU877" s="428"/>
      <c r="AV877" s="428"/>
      <c r="AW877" s="449" t="str">
        <f>IF(C877&gt;0,VLOOKUP(C877,Foundation_Calc!$A$2:$C$13,3,1),
IF(J877&gt;0,VLOOKUP(J877,Foundation_Calc!$A$2:$C$13,3,1),""))</f>
        <v>Multi Soil</v>
      </c>
      <c r="AX877" s="449" t="str">
        <f>IF(C877&gt;0,VLOOKUP(C877,Foundation_Calc!$E$2:$G$33,3,1),
IF(J877&gt;0,VLOOKUP(J877,Foundation_Calc!$E$2:$G$33,3,1),""))</f>
        <v>PT</v>
      </c>
      <c r="AY877" s="10" t="str">
        <f>IF(L877="","",
IF(AX877="PT",VLOOKUP(L877,Foundation_Calc!$K$79:$R$113,VLOOKUP(AW877,Foundation_Calc!$I$2:$J$8,2,FALSE),0),
IF(AX877="K",VLOOKUP(L877,Foundation_Calc!$K$117:$R$151,VLOOKUP(AW877,Foundation_Calc!$I$2:$J$8,2,FALSE),0),"")))</f>
        <v/>
      </c>
      <c r="AZ877" s="10">
        <f>IF(K877="","",
IF(AX877="PT",VLOOKUP(K877,Foundation_Calc!$K$79:$R$113,VLOOKUP(AW877,Foundation_Calc!$I$2:$J$8,2,FALSE),0),
IF(AX877="K",VLOOKUP(K877,Foundation_Calc!$K$117:$R$151,VLOOKUP(AW877,Foundation_Calc!$I$2:$J$8,2,FALSE),0),"")))</f>
        <v>2.8</v>
      </c>
      <c r="BA877" s="495" t="str">
        <f t="shared" si="105"/>
        <v/>
      </c>
      <c r="BB877" s="495" t="str">
        <f t="shared" si="106"/>
        <v>ü</v>
      </c>
      <c r="BC877" s="495" t="str">
        <f t="shared" si="107"/>
        <v/>
      </c>
      <c r="BD877" s="513" t="str">
        <f>IF(AND(L877="",H877=""),"",
IF(H877="",Pole_Calc!A$9,
IF(H877="MP",Pole_Calc!A$10,
IF(H877="AnMP",Pole_Calc!A$11,
IF(H877="A",Pole_Calc!A$12,
IF(H877="S/A",Pole_Calc!A$13,
IF(H877="A/S",Pole_Calc!A$14,"Poner a mano")))))))</f>
        <v/>
      </c>
      <c r="BE877" s="429" t="s">
        <v>118</v>
      </c>
      <c r="BF877" s="290"/>
      <c r="BG877" s="290"/>
      <c r="BH877" s="290"/>
      <c r="BI877" s="290"/>
    </row>
    <row r="878" spans="1:61" ht="15.75" customHeight="1">
      <c r="A878" s="514"/>
      <c r="B878" s="450" t="s">
        <v>699</v>
      </c>
      <c r="C878" s="3">
        <f>+$C$876+$G$877</f>
        <v>51127.98</v>
      </c>
      <c r="D878" s="83"/>
      <c r="E878" s="4"/>
      <c r="F878" s="4">
        <f>-(345^2)/(C878-51076.04)</f>
        <v>-2291.5864458990118</v>
      </c>
      <c r="G878" s="6"/>
      <c r="H878" s="449"/>
      <c r="I878" s="4"/>
      <c r="J878" s="3"/>
      <c r="K878" s="449"/>
      <c r="L878" s="449" t="s">
        <v>158</v>
      </c>
      <c r="M878" s="449" t="str">
        <f>IF(L878="","",
IF(AX878="PT",VLOOKUP(L878,Foundation_Calc!$V$79:$X$113,VLOOKUP(AX878,Foundation_Calc!$I$10:$J$13,2,FALSE),0),
IF(AX878="K",VLOOKUP(L878,Foundation_Calc!$V$117:$X$151,VLOOKUP(AX878,Foundation_Calc!$I$10:$J$13,2,FALSE),0),"")))</f>
        <v>C4R</v>
      </c>
      <c r="N878" s="449" t="s">
        <v>134</v>
      </c>
      <c r="O878" s="449"/>
      <c r="P878" s="449"/>
      <c r="Q878" s="4"/>
      <c r="R878" s="6"/>
      <c r="S878" s="6"/>
      <c r="T878" s="4">
        <v>30</v>
      </c>
      <c r="U878" s="4"/>
      <c r="V878" s="4"/>
      <c r="W878" s="9">
        <v>1.4</v>
      </c>
      <c r="X878" s="9"/>
      <c r="Y878" s="9"/>
      <c r="Z878" s="9"/>
      <c r="AA878" s="9"/>
      <c r="AB878" s="9"/>
      <c r="AC878" s="449" t="str">
        <f t="shared" si="104"/>
        <v>PHQ</v>
      </c>
      <c r="AD878" s="449"/>
      <c r="AE878" s="449"/>
      <c r="AF878" s="4"/>
      <c r="AG878" s="83"/>
      <c r="AH878" s="4"/>
      <c r="AI878" s="4"/>
      <c r="AJ878" s="449"/>
      <c r="AK878" s="449"/>
      <c r="AL878" s="449"/>
      <c r="AM878" s="449" t="s">
        <v>552</v>
      </c>
      <c r="AN878" s="10">
        <v>5.5</v>
      </c>
      <c r="AO878" s="9"/>
      <c r="AP878" s="9"/>
      <c r="AQ878" s="9"/>
      <c r="AR878" s="9"/>
      <c r="AS878" s="9"/>
      <c r="AT878" s="9">
        <f>+ab($T$878,$T$876,$T$880,$G$877,$G$879,-1*$F$878,1200)</f>
        <v>5.5988576790441851</v>
      </c>
      <c r="AU878" s="428"/>
      <c r="AV878" s="428"/>
      <c r="AW878" s="449" t="str">
        <f>IF(C878&gt;0,VLOOKUP(C878,Foundation_Calc!$A$2:$C$13,3,1),
IF(J878&gt;0,VLOOKUP(J878,Foundation_Calc!$A$2:$C$13,3,1),""))</f>
        <v>Multi Soil</v>
      </c>
      <c r="AX878" s="449" t="str">
        <f>IF(C878&gt;0,VLOOKUP(C878,Foundation_Calc!$E$2:$G$33,3,1),
IF(J878&gt;0,VLOOKUP(J878,Foundation_Calc!$E$2:$G$33,3,1),""))</f>
        <v>PT</v>
      </c>
      <c r="AY878" s="10">
        <f>IF(L878="","",
IF(AX878="PT",VLOOKUP(L878,Foundation_Calc!$K$79:$R$113,VLOOKUP(AW878,Foundation_Calc!$I$2:$J$8,2,FALSE),0),
IF(AX878="K",VLOOKUP(L878,Foundation_Calc!$K$117:$R$151,VLOOKUP(AW878,Foundation_Calc!$I$2:$J$8,2,FALSE),0),"")))</f>
        <v>3.5</v>
      </c>
      <c r="AZ878" s="10" t="str">
        <f>IF(K878="","",
IF(AX878="PT",VLOOKUP(K878,Foundation_Calc!$K$79:$R$113,VLOOKUP(AW878,Foundation_Calc!$I$2:$J$8,2,FALSE),0),
IF(AX878="K",VLOOKUP(K878,Foundation_Calc!$K$117:$R$151,VLOOKUP(AW878,Foundation_Calc!$I$2:$J$8,2,FALSE),0),"")))</f>
        <v/>
      </c>
      <c r="BA878" s="495" t="str">
        <f t="shared" si="105"/>
        <v>ü</v>
      </c>
      <c r="BB878" s="495" t="str">
        <f t="shared" si="106"/>
        <v/>
      </c>
      <c r="BC878" s="495" t="str">
        <f t="shared" si="107"/>
        <v/>
      </c>
      <c r="BD878" s="513" t="str">
        <f>IF(AND(L878="",H878=""),"",
IF(H878="",Pole_Calc!A$9,
IF(H878="MP",Pole_Calc!A$10,
IF(H878="AnMP",Pole_Calc!A$11,
IF(H878="A",Pole_Calc!A$12,
IF(H878="S/A",Pole_Calc!A$13,
IF(H878="A/S",Pole_Calc!A$14,"Poner a mano")))))))</f>
        <v>App.7-V11I-P9.5.1.1</v>
      </c>
      <c r="BE878" s="429" t="s">
        <v>118</v>
      </c>
      <c r="BF878" s="289"/>
      <c r="BG878" s="289"/>
      <c r="BH878" s="290"/>
      <c r="BI878" s="289"/>
    </row>
    <row r="879" spans="1:61" ht="15.75" customHeight="1">
      <c r="A879" s="514"/>
      <c r="B879" s="450"/>
      <c r="C879" s="3"/>
      <c r="D879" s="83"/>
      <c r="E879" s="4"/>
      <c r="F879" s="4"/>
      <c r="G879" s="6">
        <v>47</v>
      </c>
      <c r="H879" s="449"/>
      <c r="I879" s="4"/>
      <c r="J879" s="3"/>
      <c r="K879" s="449"/>
      <c r="L879" s="449"/>
      <c r="M879" s="449" t="str">
        <f>IF(L879="","",
IF(AX879="PT",VLOOKUP(L879,Foundation_Calc!$V$79:$X$113,VLOOKUP(AX879,Foundation_Calc!$I$10:$J$13,2,FALSE),0),
IF(AX879="K",VLOOKUP(L879,Foundation_Calc!$V$117:$X$151,VLOOKUP(AX879,Foundation_Calc!$I$10:$J$13,2,FALSE),0),"")))</f>
        <v/>
      </c>
      <c r="N879" s="449"/>
      <c r="O879" s="449"/>
      <c r="P879" s="449"/>
      <c r="Q879" s="4"/>
      <c r="R879" s="6"/>
      <c r="S879" s="6"/>
      <c r="T879" s="4"/>
      <c r="U879" s="4"/>
      <c r="V879" s="4"/>
      <c r="W879" s="9"/>
      <c r="X879" s="9"/>
      <c r="Y879" s="9"/>
      <c r="Z879" s="9"/>
      <c r="AA879" s="9"/>
      <c r="AB879" s="9"/>
      <c r="AC879" s="449" t="str">
        <f t="shared" si="104"/>
        <v/>
      </c>
      <c r="AD879" s="449"/>
      <c r="AE879" s="449"/>
      <c r="AF879" s="4"/>
      <c r="AG879" s="83"/>
      <c r="AH879" s="4"/>
      <c r="AI879" s="4"/>
      <c r="AJ879" s="449"/>
      <c r="AK879" s="449"/>
      <c r="AL879" s="449"/>
      <c r="AM879" s="449"/>
      <c r="AN879" s="10"/>
      <c r="AO879" s="9"/>
      <c r="AP879" s="9"/>
      <c r="AQ879" s="9">
        <f>+FL_1($T$880,$T$878,$G$879,1200,9.28,-1*$F$880)</f>
        <v>0.30000626798592889</v>
      </c>
      <c r="AR879" s="9"/>
      <c r="AS879" s="9"/>
      <c r="AT879" s="9"/>
      <c r="AU879" s="428"/>
      <c r="AV879" s="428"/>
      <c r="AW879" s="449" t="str">
        <f>IF(C879&gt;0,VLOOKUP(C879,Foundation_Calc!$A$2:$C$13,3,1),
IF(J879&gt;0,VLOOKUP(J879,Foundation_Calc!$A$2:$C$13,3,1),""))</f>
        <v/>
      </c>
      <c r="AX879" s="449" t="str">
        <f>IF(C879&gt;0,VLOOKUP(C879,Foundation_Calc!$E$2:$G$33,3,1),
IF(J879&gt;0,VLOOKUP(J879,Foundation_Calc!$E$2:$G$33,3,1),""))</f>
        <v/>
      </c>
      <c r="AY879" s="10" t="str">
        <f>IF(L879="","",
IF(AX879="PT",VLOOKUP(L879,Foundation_Calc!$K$79:$R$113,VLOOKUP(AW879,Foundation_Calc!$I$2:$J$8,2,FALSE),0),
IF(AX879="K",VLOOKUP(L879,Foundation_Calc!$K$117:$R$151,VLOOKUP(AW879,Foundation_Calc!$I$2:$J$8,2,FALSE),0),"")))</f>
        <v/>
      </c>
      <c r="AZ879" s="10" t="str">
        <f>IF(K879="","",
IF(AX879="PT",VLOOKUP(K879,Foundation_Calc!$K$79:$R$113,VLOOKUP(AW879,Foundation_Calc!$I$2:$J$8,2,FALSE),0),
IF(AX879="K",VLOOKUP(K879,Foundation_Calc!$K$117:$R$151,VLOOKUP(AW879,Foundation_Calc!$I$2:$J$8,2,FALSE),0),"")))</f>
        <v/>
      </c>
      <c r="BA879" s="495" t="str">
        <f t="shared" si="105"/>
        <v/>
      </c>
      <c r="BB879" s="495" t="str">
        <f t="shared" si="106"/>
        <v/>
      </c>
      <c r="BC879" s="495" t="str">
        <f t="shared" si="107"/>
        <v/>
      </c>
      <c r="BD879" s="513" t="str">
        <f>IF(AND(L879="",H879=""),"",
IF(H879="",Pole_Calc!A$9,
IF(H879="MP",Pole_Calc!A$10,
IF(H879="AnMP",Pole_Calc!A$11,
IF(H879="A",Pole_Calc!A$12,
IF(H879="S/A",Pole_Calc!A$13,
IF(H879="A/S",Pole_Calc!A$14,"Poner a mano")))))))</f>
        <v/>
      </c>
      <c r="BE879" s="429" t="s">
        <v>118</v>
      </c>
      <c r="BF879" s="290"/>
      <c r="BG879" s="290"/>
      <c r="BH879" s="290"/>
      <c r="BI879" s="290"/>
    </row>
    <row r="880" spans="1:61" ht="15.75" customHeight="1">
      <c r="A880" s="514"/>
      <c r="B880" s="450" t="s">
        <v>700</v>
      </c>
      <c r="C880" s="3">
        <f>+$C$878+$G$879</f>
        <v>51174.98</v>
      </c>
      <c r="D880" s="83"/>
      <c r="E880" s="4"/>
      <c r="F880" s="4">
        <f>IF(C880&gt;0,VLOOKUP(C880,'ALIGNMENT TRACK'!$A$1:$K$81,9,1))</f>
        <v>-1250</v>
      </c>
      <c r="G880" s="6"/>
      <c r="H880" s="449"/>
      <c r="I880" s="4"/>
      <c r="J880" s="3"/>
      <c r="K880" s="449"/>
      <c r="L880" s="449" t="s">
        <v>158</v>
      </c>
      <c r="M880" s="449" t="str">
        <f>IF(L880="","",
IF(AX880="PT",VLOOKUP(L880,Foundation_Calc!$V$79:$X$113,VLOOKUP(AX880,Foundation_Calc!$I$10:$J$13,2,FALSE),0),
IF(AX880="K",VLOOKUP(L880,Foundation_Calc!$V$117:$X$151,VLOOKUP(AX880,Foundation_Calc!$I$10:$J$13,2,FALSE),0),"")))</f>
        <v>C4R</v>
      </c>
      <c r="N880" s="449" t="s">
        <v>134</v>
      </c>
      <c r="O880" s="449"/>
      <c r="P880" s="449"/>
      <c r="Q880" s="4"/>
      <c r="R880" s="6"/>
      <c r="S880" s="6"/>
      <c r="T880" s="4">
        <v>30</v>
      </c>
      <c r="U880" s="4"/>
      <c r="V880" s="4"/>
      <c r="W880" s="9">
        <v>1.4</v>
      </c>
      <c r="X880" s="9"/>
      <c r="Y880" s="9"/>
      <c r="Z880" s="9"/>
      <c r="AA880" s="9"/>
      <c r="AB880" s="9"/>
      <c r="AC880" s="449" t="str">
        <f t="shared" si="104"/>
        <v>PHQ</v>
      </c>
      <c r="AD880" s="449"/>
      <c r="AE880" s="449"/>
      <c r="AF880" s="4"/>
      <c r="AG880" s="83"/>
      <c r="AH880" s="4"/>
      <c r="AI880" s="4"/>
      <c r="AJ880" s="449"/>
      <c r="AK880" s="449"/>
      <c r="AL880" s="449"/>
      <c r="AM880" s="449" t="s">
        <v>552</v>
      </c>
      <c r="AN880" s="10">
        <v>5.5</v>
      </c>
      <c r="AO880" s="9"/>
      <c r="AP880" s="9"/>
      <c r="AQ880" s="9"/>
      <c r="AR880" s="9"/>
      <c r="AS880" s="9"/>
      <c r="AT880" s="9">
        <f>+ab($T$880,$T$878,$T$882,$G$879,$G$881,-1*$F$880,1200)</f>
        <v>5.0900949403260363</v>
      </c>
      <c r="AU880" s="428"/>
      <c r="AV880" s="428"/>
      <c r="AW880" s="449" t="str">
        <f>IF(C880&gt;0,VLOOKUP(C880,Foundation_Calc!$A$2:$C$13,3,1),
IF(J880&gt;0,VLOOKUP(J880,Foundation_Calc!$A$2:$C$13,3,1),""))</f>
        <v>Multi Soil</v>
      </c>
      <c r="AX880" s="449" t="str">
        <f>IF(C880&gt;0,VLOOKUP(C880,Foundation_Calc!$E$2:$G$33,3,1),
IF(J880&gt;0,VLOOKUP(J880,Foundation_Calc!$E$2:$G$33,3,1),""))</f>
        <v>PT</v>
      </c>
      <c r="AY880" s="10">
        <f>IF(L880="","",
IF(AX880="PT",VLOOKUP(L880,Foundation_Calc!$K$79:$R$113,VLOOKUP(AW880,Foundation_Calc!$I$2:$J$8,2,FALSE),0),
IF(AX880="K",VLOOKUP(L880,Foundation_Calc!$K$117:$R$151,VLOOKUP(AW880,Foundation_Calc!$I$2:$J$8,2,FALSE),0),"")))</f>
        <v>3.5</v>
      </c>
      <c r="AZ880" s="10" t="str">
        <f>IF(K880="","",
IF(AX880="PT",VLOOKUP(K880,Foundation_Calc!$K$79:$R$113,VLOOKUP(AW880,Foundation_Calc!$I$2:$J$8,2,FALSE),0),
IF(AX880="K",VLOOKUP(K880,Foundation_Calc!$K$117:$R$151,VLOOKUP(AW880,Foundation_Calc!$I$2:$J$8,2,FALSE),0),"")))</f>
        <v/>
      </c>
      <c r="BA880" s="495" t="str">
        <f t="shared" si="105"/>
        <v>ü</v>
      </c>
      <c r="BB880" s="495" t="str">
        <f t="shared" si="106"/>
        <v/>
      </c>
      <c r="BC880" s="495" t="str">
        <f t="shared" si="107"/>
        <v/>
      </c>
      <c r="BD880" s="513" t="str">
        <f>IF(AND(L880="",H880=""),"",
IF(H880="",Pole_Calc!A$9,
IF(H880="MP",Pole_Calc!A$10,
IF(H880="AnMP",Pole_Calc!A$11,
IF(H880="A",Pole_Calc!A$12,
IF(H880="S/A",Pole_Calc!A$13,
IF(H880="A/S",Pole_Calc!A$14,"Poner a mano")))))))</f>
        <v>App.7-V11I-P9.5.1.1</v>
      </c>
      <c r="BE880" s="429" t="s">
        <v>118</v>
      </c>
      <c r="BF880" s="289"/>
      <c r="BG880" s="289"/>
      <c r="BH880" s="290"/>
      <c r="BI880" s="289"/>
    </row>
    <row r="881" spans="1:61" ht="15.75" customHeight="1">
      <c r="A881" s="514"/>
      <c r="B881" s="450"/>
      <c r="C881" s="3"/>
      <c r="D881" s="83"/>
      <c r="E881" s="4"/>
      <c r="F881" s="4"/>
      <c r="G881" s="6">
        <v>47</v>
      </c>
      <c r="H881" s="449"/>
      <c r="I881" s="4"/>
      <c r="J881" s="3"/>
      <c r="K881" s="449"/>
      <c r="L881" s="449"/>
      <c r="M881" s="449" t="str">
        <f>IF(L881="","",
IF(AX881="PT",VLOOKUP(L881,Foundation_Calc!$V$79:$X$113,VLOOKUP(AX881,Foundation_Calc!$I$10:$J$13,2,FALSE),0),
IF(AX881="K",VLOOKUP(L881,Foundation_Calc!$V$117:$X$151,VLOOKUP(AX881,Foundation_Calc!$I$10:$J$13,2,FALSE),0),"")))</f>
        <v/>
      </c>
      <c r="N881" s="449"/>
      <c r="O881" s="449"/>
      <c r="P881" s="449"/>
      <c r="Q881" s="4"/>
      <c r="R881" s="6"/>
      <c r="S881" s="6"/>
      <c r="T881" s="4"/>
      <c r="U881" s="4"/>
      <c r="V881" s="4"/>
      <c r="W881" s="9"/>
      <c r="X881" s="9"/>
      <c r="Y881" s="9"/>
      <c r="Z881" s="9"/>
      <c r="AA881" s="9"/>
      <c r="AB881" s="9"/>
      <c r="AC881" s="449" t="str">
        <f t="shared" si="104"/>
        <v/>
      </c>
      <c r="AD881" s="449"/>
      <c r="AE881" s="449"/>
      <c r="AF881" s="4"/>
      <c r="AG881" s="83"/>
      <c r="AH881" s="4"/>
      <c r="AI881" s="4"/>
      <c r="AJ881" s="449"/>
      <c r="AK881" s="449"/>
      <c r="AL881" s="449"/>
      <c r="AM881" s="449"/>
      <c r="AN881" s="10"/>
      <c r="AO881" s="9"/>
      <c r="AP881" s="9"/>
      <c r="AQ881" s="9">
        <f>+FL_1($T$882,$T$880,$G$881,1200,9.28,-1*$F$882)</f>
        <v>0.30000626798592889</v>
      </c>
      <c r="AR881" s="9"/>
      <c r="AS881" s="9"/>
      <c r="AT881" s="9"/>
      <c r="AU881" s="428"/>
      <c r="AV881" s="428"/>
      <c r="AW881" s="449" t="str">
        <f>IF(C881&gt;0,VLOOKUP(C881,Foundation_Calc!$A$2:$C$13,3,1),
IF(J881&gt;0,VLOOKUP(J881,Foundation_Calc!$A$2:$C$13,3,1),""))</f>
        <v/>
      </c>
      <c r="AX881" s="449" t="str">
        <f>IF(C881&gt;0,VLOOKUP(C881,Foundation_Calc!$E$2:$G$33,3,1),
IF(J881&gt;0,VLOOKUP(J881,Foundation_Calc!$E$2:$G$33,3,1),""))</f>
        <v/>
      </c>
      <c r="AY881" s="10" t="str">
        <f>IF(L881="","",
IF(AX881="PT",VLOOKUP(L881,Foundation_Calc!$K$79:$R$113,VLOOKUP(AW881,Foundation_Calc!$I$2:$J$8,2,FALSE),0),
IF(AX881="K",VLOOKUP(L881,Foundation_Calc!$K$117:$R$151,VLOOKUP(AW881,Foundation_Calc!$I$2:$J$8,2,FALSE),0),"")))</f>
        <v/>
      </c>
      <c r="AZ881" s="10" t="str">
        <f>IF(K881="","",
IF(AX881="PT",VLOOKUP(K881,Foundation_Calc!$K$79:$R$113,VLOOKUP(AW881,Foundation_Calc!$I$2:$J$8,2,FALSE),0),
IF(AX881="K",VLOOKUP(K881,Foundation_Calc!$K$117:$R$151,VLOOKUP(AW881,Foundation_Calc!$I$2:$J$8,2,FALSE),0),"")))</f>
        <v/>
      </c>
      <c r="BA881" s="495" t="str">
        <f t="shared" si="105"/>
        <v/>
      </c>
      <c r="BB881" s="495" t="str">
        <f t="shared" si="106"/>
        <v/>
      </c>
      <c r="BC881" s="495" t="str">
        <f t="shared" si="107"/>
        <v/>
      </c>
      <c r="BD881" s="513" t="str">
        <f>IF(AND(L881="",H881=""),"",
IF(H881="",Pole_Calc!A$9,
IF(H881="MP",Pole_Calc!A$10,
IF(H881="AnMP",Pole_Calc!A$11,
IF(H881="A",Pole_Calc!A$12,
IF(H881="S/A",Pole_Calc!A$13,
IF(H881="A/S",Pole_Calc!A$14,"Poner a mano")))))))</f>
        <v/>
      </c>
      <c r="BE881" s="429" t="s">
        <v>118</v>
      </c>
      <c r="BF881" s="290"/>
      <c r="BG881" s="290"/>
      <c r="BH881" s="290"/>
      <c r="BI881" s="290"/>
    </row>
    <row r="882" spans="1:61" ht="15.75" customHeight="1">
      <c r="A882" s="518"/>
      <c r="B882" s="450" t="s">
        <v>701</v>
      </c>
      <c r="C882" s="3">
        <f>+$C$880+$G$881</f>
        <v>51221.98</v>
      </c>
      <c r="D882" s="83"/>
      <c r="E882" s="4"/>
      <c r="F882" s="4">
        <f>IF(C882&gt;0,VLOOKUP(C882,'ALIGNMENT TRACK'!$A$1:$K$81,9,1))</f>
        <v>-1250</v>
      </c>
      <c r="G882" s="6"/>
      <c r="H882" s="449"/>
      <c r="I882" s="4"/>
      <c r="J882" s="3"/>
      <c r="K882" s="449"/>
      <c r="L882" s="449" t="s">
        <v>158</v>
      </c>
      <c r="M882" s="449" t="str">
        <f>IF(L882="","",
IF(AX882="PT",VLOOKUP(L882,Foundation_Calc!$V$79:$X$113,VLOOKUP(AX882,Foundation_Calc!$I$10:$J$13,2,FALSE),0),
IF(AX882="K",VLOOKUP(L882,Foundation_Calc!$V$117:$X$151,VLOOKUP(AX882,Foundation_Calc!$I$10:$J$13,2,FALSE),0),"")))</f>
        <v>C4R</v>
      </c>
      <c r="N882" s="449" t="s">
        <v>134</v>
      </c>
      <c r="O882" s="449"/>
      <c r="P882" s="449"/>
      <c r="Q882" s="4"/>
      <c r="R882" s="6"/>
      <c r="S882" s="6"/>
      <c r="T882" s="4">
        <v>30</v>
      </c>
      <c r="U882" s="4"/>
      <c r="V882" s="4"/>
      <c r="W882" s="9">
        <v>1.4</v>
      </c>
      <c r="X882" s="9"/>
      <c r="Y882" s="9"/>
      <c r="Z882" s="9"/>
      <c r="AA882" s="9"/>
      <c r="AB882" s="9"/>
      <c r="AC882" s="449" t="str">
        <f t="shared" si="104"/>
        <v>PHQ</v>
      </c>
      <c r="AD882" s="449"/>
      <c r="AE882" s="449"/>
      <c r="AF882" s="4"/>
      <c r="AG882" s="83"/>
      <c r="AH882" s="4"/>
      <c r="AI882" s="4"/>
      <c r="AJ882" s="449"/>
      <c r="AK882" s="449"/>
      <c r="AL882" s="449"/>
      <c r="AM882" s="449" t="s">
        <v>552</v>
      </c>
      <c r="AN882" s="10">
        <f>AN880-0.07</f>
        <v>5.43</v>
      </c>
      <c r="AO882" s="9"/>
      <c r="AP882" s="9"/>
      <c r="AQ882" s="9"/>
      <c r="AR882" s="9"/>
      <c r="AS882" s="9"/>
      <c r="AT882" s="9">
        <f>+ab($T$882,$T$880,$T$884,$G$881,$G$883,-1*$F$882,1200)</f>
        <v>5.0900949403260363</v>
      </c>
      <c r="AU882" s="428"/>
      <c r="AV882" s="428"/>
      <c r="AW882" s="449" t="str">
        <f>IF(C882&gt;0,VLOOKUP(C882,Foundation_Calc!$A$2:$C$13,3,1),
IF(J882&gt;0,VLOOKUP(J882,Foundation_Calc!$A$2:$C$13,3,1),""))</f>
        <v>Multi Soil</v>
      </c>
      <c r="AX882" s="449" t="str">
        <f>IF(C882&gt;0,VLOOKUP(C882,Foundation_Calc!$E$2:$G$33,3,1),
IF(J882&gt;0,VLOOKUP(J882,Foundation_Calc!$E$2:$G$33,3,1),""))</f>
        <v>PT</v>
      </c>
      <c r="AY882" s="10">
        <f>IF(L882="","",
IF(AX882="PT",VLOOKUP(L882,Foundation_Calc!$K$79:$R$113,VLOOKUP(AW882,Foundation_Calc!$I$2:$J$8,2,FALSE),0),
IF(AX882="K",VLOOKUP(L882,Foundation_Calc!$K$117:$R$151,VLOOKUP(AW882,Foundation_Calc!$I$2:$J$8,2,FALSE),0),"")))</f>
        <v>3.5</v>
      </c>
      <c r="AZ882" s="10" t="str">
        <f>IF(K882="","",
IF(AX882="PT",VLOOKUP(K882,Foundation_Calc!$K$79:$R$113,VLOOKUP(AW882,Foundation_Calc!$I$2:$J$8,2,FALSE),0),
IF(AX882="K",VLOOKUP(K882,Foundation_Calc!$K$117:$R$151,VLOOKUP(AW882,Foundation_Calc!$I$2:$J$8,2,FALSE),0),"")))</f>
        <v/>
      </c>
      <c r="BA882" s="495" t="str">
        <f t="shared" si="105"/>
        <v>ü</v>
      </c>
      <c r="BB882" s="495" t="str">
        <f t="shared" si="106"/>
        <v/>
      </c>
      <c r="BC882" s="495" t="str">
        <f t="shared" si="107"/>
        <v/>
      </c>
      <c r="BD882" s="513" t="str">
        <f>IF(AND(L882="",H882=""),"",
IF(H882="",Pole_Calc!A$9,
IF(H882="MP",Pole_Calc!A$10,
IF(H882="AnMP",Pole_Calc!A$11,
IF(H882="A",Pole_Calc!A$12,
IF(H882="S/A",Pole_Calc!A$13,
IF(H882="A/S",Pole_Calc!A$14,"Poner a mano")))))))</f>
        <v>App.7-V11I-P9.5.1.1</v>
      </c>
      <c r="BE882" s="429" t="s">
        <v>118</v>
      </c>
      <c r="BF882" s="289"/>
      <c r="BG882" s="289"/>
      <c r="BH882" s="290"/>
      <c r="BI882" s="289"/>
    </row>
    <row r="883" spans="1:61" ht="15.75" customHeight="1">
      <c r="A883" s="518"/>
      <c r="B883" s="450"/>
      <c r="C883" s="3"/>
      <c r="D883" s="83"/>
      <c r="E883" s="4"/>
      <c r="F883" s="4"/>
      <c r="G883" s="6">
        <v>47</v>
      </c>
      <c r="H883" s="449"/>
      <c r="I883" s="4"/>
      <c r="J883" s="3"/>
      <c r="K883" s="449"/>
      <c r="L883" s="449"/>
      <c r="M883" s="449" t="str">
        <f>IF(L883="","",
IF(AX883="PT",VLOOKUP(L883,Foundation_Calc!$V$79:$X$113,VLOOKUP(AX883,Foundation_Calc!$I$10:$J$13,2,FALSE),0),
IF(AX883="K",VLOOKUP(L883,Foundation_Calc!$V$117:$X$151,VLOOKUP(AX883,Foundation_Calc!$I$10:$J$13,2,FALSE),0),"")))</f>
        <v/>
      </c>
      <c r="N883" s="561"/>
      <c r="O883" s="449"/>
      <c r="P883" s="449"/>
      <c r="Q883" s="4"/>
      <c r="R883" s="6"/>
      <c r="S883" s="6"/>
      <c r="T883" s="4"/>
      <c r="U883" s="4"/>
      <c r="V883" s="4"/>
      <c r="W883" s="9"/>
      <c r="X883" s="9"/>
      <c r="Y883" s="9"/>
      <c r="Z883" s="9"/>
      <c r="AA883" s="9"/>
      <c r="AB883" s="9"/>
      <c r="AC883" s="449" t="str">
        <f t="shared" si="104"/>
        <v/>
      </c>
      <c r="AD883" s="449"/>
      <c r="AE883" s="449"/>
      <c r="AF883" s="4"/>
      <c r="AG883" s="83"/>
      <c r="AH883" s="4"/>
      <c r="AI883" s="4"/>
      <c r="AJ883" s="449"/>
      <c r="AK883" s="449"/>
      <c r="AL883" s="449"/>
      <c r="AM883" s="449"/>
      <c r="AN883" s="10"/>
      <c r="AO883" s="9"/>
      <c r="AP883" s="9"/>
      <c r="AQ883" s="9">
        <f>+FL_1($T$884,$T$882,$G$883,1200,9.28,-1*$F$884)</f>
        <v>0.30000626798592889</v>
      </c>
      <c r="AR883" s="9"/>
      <c r="AS883" s="9"/>
      <c r="AT883" s="9"/>
      <c r="AU883" s="428"/>
      <c r="AV883" s="428"/>
      <c r="AW883" s="449" t="str">
        <f>IF(C883&gt;0,VLOOKUP(C883,Foundation_Calc!$A$2:$C$13,3,1),
IF(J883&gt;0,VLOOKUP(J883,Foundation_Calc!$A$2:$C$13,3,1),""))</f>
        <v/>
      </c>
      <c r="AX883" s="449" t="str">
        <f>IF(C883&gt;0,VLOOKUP(C883,Foundation_Calc!$E$2:$G$33,3,1),
IF(J883&gt;0,VLOOKUP(J883,Foundation_Calc!$E$2:$G$33,3,1),""))</f>
        <v/>
      </c>
      <c r="AY883" s="10" t="str">
        <f>IF(L883="","",
IF(AX883="PT",VLOOKUP(L883,Foundation_Calc!$K$79:$R$113,VLOOKUP(AW883,Foundation_Calc!$I$2:$J$8,2,FALSE),0),
IF(AX883="K",VLOOKUP(L883,Foundation_Calc!$K$117:$R$151,VLOOKUP(AW883,Foundation_Calc!$I$2:$J$8,2,FALSE),0),"")))</f>
        <v/>
      </c>
      <c r="AZ883" s="10" t="str">
        <f>IF(K883="","",
IF(AX883="PT",VLOOKUP(K883,Foundation_Calc!$K$79:$R$113,VLOOKUP(AW883,Foundation_Calc!$I$2:$J$8,2,FALSE),0),
IF(AX883="K",VLOOKUP(K883,Foundation_Calc!$K$117:$R$151,VLOOKUP(AW883,Foundation_Calc!$I$2:$J$8,2,FALSE),0),"")))</f>
        <v/>
      </c>
      <c r="BA883" s="495" t="str">
        <f t="shared" si="105"/>
        <v/>
      </c>
      <c r="BB883" s="495" t="str">
        <f t="shared" si="106"/>
        <v/>
      </c>
      <c r="BC883" s="495" t="str">
        <f t="shared" si="107"/>
        <v/>
      </c>
      <c r="BD883" s="513" t="str">
        <f>IF(AND(L883="",H883=""),"",
IF(H883="",Pole_Calc!A$9,
IF(H883="MP",Pole_Calc!A$10,
IF(H883="AnMP",Pole_Calc!A$11,
IF(H883="A",Pole_Calc!A$12,
IF(H883="S/A",Pole_Calc!A$13,
IF(H883="A/S",Pole_Calc!A$14,"Poner a mano")))))))</f>
        <v/>
      </c>
      <c r="BE883" s="429" t="s">
        <v>118</v>
      </c>
      <c r="BF883" s="290"/>
      <c r="BG883" s="290"/>
      <c r="BH883" s="290"/>
      <c r="BI883" s="290"/>
    </row>
    <row r="884" spans="1:61" ht="15.75" customHeight="1">
      <c r="A884" s="514"/>
      <c r="B884" s="450" t="s">
        <v>702</v>
      </c>
      <c r="C884" s="3">
        <f>+$C$882+$G$883</f>
        <v>51268.98</v>
      </c>
      <c r="D884" s="83"/>
      <c r="E884" s="4"/>
      <c r="F884" s="4">
        <f>IF(C884&gt;0,VLOOKUP(C884,'ALIGNMENT TRACK'!$A$1:$K$81,9,1))</f>
        <v>-1250</v>
      </c>
      <c r="G884" s="6"/>
      <c r="H884" s="449"/>
      <c r="I884" s="4"/>
      <c r="J884" s="3"/>
      <c r="K884" s="449"/>
      <c r="L884" s="449" t="s">
        <v>158</v>
      </c>
      <c r="M884" s="449" t="str">
        <f>IF(L884="","",
IF(AX884="PT",VLOOKUP(L884,Foundation_Calc!$V$79:$X$113,VLOOKUP(AX884,Foundation_Calc!$I$10:$J$13,2,FALSE),0),
IF(AX884="K",VLOOKUP(L884,Foundation_Calc!$V$117:$X$151,VLOOKUP(AX884,Foundation_Calc!$I$10:$J$13,2,FALSE),0),"")))</f>
        <v>C4R</v>
      </c>
      <c r="N884" s="449" t="s">
        <v>134</v>
      </c>
      <c r="O884" s="449"/>
      <c r="P884" s="449"/>
      <c r="Q884" s="4"/>
      <c r="R884" s="6"/>
      <c r="S884" s="6"/>
      <c r="T884" s="4">
        <v>30</v>
      </c>
      <c r="U884" s="4"/>
      <c r="V884" s="4"/>
      <c r="W884" s="9">
        <v>1.4</v>
      </c>
      <c r="X884" s="9"/>
      <c r="Y884" s="9"/>
      <c r="Z884" s="9"/>
      <c r="AA884" s="9"/>
      <c r="AB884" s="9"/>
      <c r="AC884" s="449" t="str">
        <f t="shared" si="104"/>
        <v>PHQ</v>
      </c>
      <c r="AD884" s="449"/>
      <c r="AE884" s="449"/>
      <c r="AF884" s="4"/>
      <c r="AG884" s="83"/>
      <c r="AH884" s="4"/>
      <c r="AI884" s="4"/>
      <c r="AJ884" s="449"/>
      <c r="AK884" s="449"/>
      <c r="AL884" s="449"/>
      <c r="AM884" s="449" t="s">
        <v>552</v>
      </c>
      <c r="AN884" s="10">
        <f>AN882-0.11</f>
        <v>5.3199999999999994</v>
      </c>
      <c r="AO884" s="9"/>
      <c r="AP884" s="9"/>
      <c r="AQ884" s="9"/>
      <c r="AR884" s="9"/>
      <c r="AS884" s="9"/>
      <c r="AT884" s="9">
        <f>+ab($T$884,$T$882,$T$886,$G$883,$G$885,-1*$F$884,1200)</f>
        <v>5.2001489107794079</v>
      </c>
      <c r="AU884" s="428"/>
      <c r="AV884" s="428"/>
      <c r="AW884" s="449" t="str">
        <f>IF(C884&gt;0,VLOOKUP(C884,Foundation_Calc!$A$2:$C$13,3,1),
IF(J884&gt;0,VLOOKUP(J884,Foundation_Calc!$A$2:$C$13,3,1),""))</f>
        <v>Multi Soil</v>
      </c>
      <c r="AX884" s="449" t="str">
        <f>IF(C884&gt;0,VLOOKUP(C884,Foundation_Calc!$E$2:$G$33,3,1),
IF(J884&gt;0,VLOOKUP(J884,Foundation_Calc!$E$2:$G$33,3,1),""))</f>
        <v>PT</v>
      </c>
      <c r="AY884" s="10">
        <f>IF(L884="","",
IF(AX884="PT",VLOOKUP(L884,Foundation_Calc!$K$79:$R$113,VLOOKUP(AW884,Foundation_Calc!$I$2:$J$8,2,FALSE),0),
IF(AX884="K",VLOOKUP(L884,Foundation_Calc!$K$117:$R$151,VLOOKUP(AW884,Foundation_Calc!$I$2:$J$8,2,FALSE),0),"")))</f>
        <v>3.5</v>
      </c>
      <c r="AZ884" s="10" t="str">
        <f>IF(K884="","",
IF(AX884="PT",VLOOKUP(K884,Foundation_Calc!$K$79:$R$113,VLOOKUP(AW884,Foundation_Calc!$I$2:$J$8,2,FALSE),0),
IF(AX884="K",VLOOKUP(K884,Foundation_Calc!$K$117:$R$151,VLOOKUP(AW884,Foundation_Calc!$I$2:$J$8,2,FALSE),0),"")))</f>
        <v/>
      </c>
      <c r="BA884" s="495" t="str">
        <f t="shared" si="105"/>
        <v>ü</v>
      </c>
      <c r="BB884" s="495" t="str">
        <f t="shared" si="106"/>
        <v/>
      </c>
      <c r="BC884" s="495" t="str">
        <f t="shared" si="107"/>
        <v/>
      </c>
      <c r="BD884" s="513" t="str">
        <f>IF(AND(L884="",H884=""),"",
IF(H884="",Pole_Calc!A$9,
IF(H884="MP",Pole_Calc!A$10,
IF(H884="AnMP",Pole_Calc!A$11,
IF(H884="A",Pole_Calc!A$12,
IF(H884="S/A",Pole_Calc!A$13,
IF(H884="A/S",Pole_Calc!A$14,"Poner a mano")))))))</f>
        <v>App.7-V11I-P9.5.1.1</v>
      </c>
      <c r="BE884" s="429" t="s">
        <v>118</v>
      </c>
      <c r="BF884" s="289"/>
      <c r="BG884" s="289"/>
      <c r="BH884" s="290"/>
      <c r="BI884" s="289"/>
    </row>
    <row r="885" spans="1:61" ht="15.75" customHeight="1">
      <c r="A885" s="514"/>
      <c r="B885" s="450"/>
      <c r="C885" s="3"/>
      <c r="D885" s="83"/>
      <c r="E885" s="4"/>
      <c r="F885" s="4"/>
      <c r="G885" s="6">
        <v>45</v>
      </c>
      <c r="H885" s="449"/>
      <c r="I885" s="4"/>
      <c r="J885" s="3">
        <f>C886-7.5</f>
        <v>51306.48</v>
      </c>
      <c r="K885" s="449" t="s">
        <v>117</v>
      </c>
      <c r="L885" s="449"/>
      <c r="M885" s="449" t="str">
        <f>IF(L885="","",
IF(AX885="PT",VLOOKUP(L885,Foundation_Calc!$V$79:$X$113,VLOOKUP(AX885,Foundation_Calc!$I$10:$J$13,2,FALSE),0),
IF(AX885="K",VLOOKUP(L885,Foundation_Calc!$V$117:$X$151,VLOOKUP(AX885,Foundation_Calc!$I$10:$J$13,2,FALSE),0),"")))</f>
        <v/>
      </c>
      <c r="N885" s="449"/>
      <c r="O885" s="449"/>
      <c r="P885" s="449"/>
      <c r="Q885" s="4"/>
      <c r="R885" s="6"/>
      <c r="S885" s="6"/>
      <c r="T885" s="4"/>
      <c r="U885" s="4"/>
      <c r="V885" s="4"/>
      <c r="W885" s="9"/>
      <c r="X885" s="9"/>
      <c r="Y885" s="9"/>
      <c r="Z885" s="9"/>
      <c r="AA885" s="9"/>
      <c r="AB885" s="9"/>
      <c r="AC885" s="449" t="str">
        <f t="shared" si="104"/>
        <v/>
      </c>
      <c r="AD885" s="449"/>
      <c r="AE885" s="449"/>
      <c r="AF885" s="4"/>
      <c r="AG885" s="83"/>
      <c r="AH885" s="4"/>
      <c r="AI885" s="4"/>
      <c r="AJ885" s="449"/>
      <c r="AK885" s="449"/>
      <c r="AL885" s="449"/>
      <c r="AM885" s="449"/>
      <c r="AN885" s="10"/>
      <c r="AO885" s="9"/>
      <c r="AP885" s="9"/>
      <c r="AQ885" s="9">
        <f>+FL_1($T$886,$T$884,$G$885,1200,9.28,-1*$F$886)</f>
        <v>0.30000600132041177</v>
      </c>
      <c r="AR885" s="9"/>
      <c r="AS885" s="9"/>
      <c r="AT885" s="9"/>
      <c r="AU885" s="428"/>
      <c r="AV885" s="428"/>
      <c r="AW885" s="449" t="str">
        <f>IF(C885&gt;0,VLOOKUP(C885,Foundation_Calc!$A$2:$C$13,3,1),
IF(J885&gt;0,VLOOKUP(J885,Foundation_Calc!$A$2:$C$13,3,1),""))</f>
        <v>Multi Soil</v>
      </c>
      <c r="AX885" s="449" t="str">
        <f>IF(C885&gt;0,VLOOKUP(C885,Foundation_Calc!$E$2:$G$33,3,1),
IF(J885&gt;0,VLOOKUP(J885,Foundation_Calc!$E$2:$G$33,3,1),""))</f>
        <v>PT</v>
      </c>
      <c r="AY885" s="10" t="str">
        <f>IF(L885="","",
IF(AX885="PT",VLOOKUP(L885,Foundation_Calc!$K$79:$R$113,VLOOKUP(AW885,Foundation_Calc!$I$2:$J$8,2,FALSE),0),
IF(AX885="K",VLOOKUP(L885,Foundation_Calc!$K$117:$R$151,VLOOKUP(AW885,Foundation_Calc!$I$2:$J$8,2,FALSE),0),"")))</f>
        <v/>
      </c>
      <c r="AZ885" s="10">
        <f>IF(K885="","",
IF(AX885="PT",VLOOKUP(K885,Foundation_Calc!$K$79:$R$113,VLOOKUP(AW885,Foundation_Calc!$I$2:$J$8,2,FALSE),0),
IF(AX885="K",VLOOKUP(K885,Foundation_Calc!$K$117:$R$151,VLOOKUP(AW885,Foundation_Calc!$I$2:$J$8,2,FALSE),0),"")))</f>
        <v>3.9</v>
      </c>
      <c r="BA885" s="495" t="str">
        <f t="shared" si="105"/>
        <v/>
      </c>
      <c r="BB885" s="495" t="str">
        <f t="shared" si="106"/>
        <v>ü</v>
      </c>
      <c r="BC885" s="495" t="str">
        <f t="shared" si="107"/>
        <v/>
      </c>
      <c r="BD885" s="513" t="str">
        <f>IF(AND(L885="",H885=""),"",
IF(H885="",Pole_Calc!A$9,
IF(H885="MP",Pole_Calc!A$10,
IF(H885="AnMP",Pole_Calc!A$11,
IF(H885="A",Pole_Calc!A$12,
IF(H885="S/A",Pole_Calc!A$13,
IF(H885="A/S",Pole_Calc!A$14,"Poner a mano")))))))</f>
        <v/>
      </c>
      <c r="BE885" s="429" t="s">
        <v>118</v>
      </c>
      <c r="BF885" s="290"/>
      <c r="BG885" s="290"/>
      <c r="BH885" s="290"/>
      <c r="BI885" s="290"/>
    </row>
    <row r="886" spans="1:61" ht="15.75" customHeight="1">
      <c r="A886" s="514"/>
      <c r="B886" s="450" t="s">
        <v>703</v>
      </c>
      <c r="C886" s="3">
        <f>+$C$884+$G$885</f>
        <v>51313.98</v>
      </c>
      <c r="D886" s="83"/>
      <c r="E886" s="4"/>
      <c r="F886" s="4">
        <f>IF(C886&gt;0,VLOOKUP(C886,'ALIGNMENT TRACK'!$A$1:$K$81,9,1))</f>
        <v>-1250</v>
      </c>
      <c r="G886" s="6"/>
      <c r="H886" s="449" t="s">
        <v>121</v>
      </c>
      <c r="I886" s="4" t="s">
        <v>122</v>
      </c>
      <c r="J886" s="3"/>
      <c r="K886" s="449"/>
      <c r="L886" s="449" t="s">
        <v>151</v>
      </c>
      <c r="M886" s="449" t="str">
        <f>IF(L886="","",
IF(AX886="PT",VLOOKUP(L886,Foundation_Calc!$V$79:$X$113,VLOOKUP(AX886,Foundation_Calc!$I$10:$J$13,2,FALSE),0),
IF(AX886="K",VLOOKUP(L886,Foundation_Calc!$V$117:$X$151,VLOOKUP(AX886,Foundation_Calc!$I$10:$J$13,2,FALSE),0),"")))</f>
        <v>C4R</v>
      </c>
      <c r="N886" s="449" t="s">
        <v>134</v>
      </c>
      <c r="O886" s="449"/>
      <c r="P886" s="449"/>
      <c r="Q886" s="4"/>
      <c r="R886" s="6"/>
      <c r="S886" s="6"/>
      <c r="T886" s="4">
        <v>30</v>
      </c>
      <c r="U886" s="4"/>
      <c r="V886" s="4"/>
      <c r="W886" s="9">
        <v>1.4</v>
      </c>
      <c r="X886" s="9"/>
      <c r="Y886" s="9"/>
      <c r="Z886" s="9"/>
      <c r="AA886" s="9"/>
      <c r="AB886" s="9"/>
      <c r="AC886" s="449" t="str">
        <f t="shared" si="104"/>
        <v>PHC</v>
      </c>
      <c r="AD886" s="449"/>
      <c r="AE886" s="449"/>
      <c r="AF886" s="4"/>
      <c r="AG886" s="83"/>
      <c r="AH886" s="4"/>
      <c r="AI886" s="4"/>
      <c r="AJ886" s="449"/>
      <c r="AK886" s="449"/>
      <c r="AL886" s="449"/>
      <c r="AM886" s="449" t="s">
        <v>552</v>
      </c>
      <c r="AN886" s="10">
        <f>AN888+0.06</f>
        <v>5.21</v>
      </c>
      <c r="AO886" s="9"/>
      <c r="AP886" s="9"/>
      <c r="AQ886" s="9"/>
      <c r="AR886" s="9"/>
      <c r="AS886" s="9"/>
      <c r="AT886" s="9">
        <f>+ab($T$886,$T$884,$U$888,$G$885,$G$887,-1*$F$886,1200)</f>
        <v>4.2669308033719657</v>
      </c>
      <c r="AU886" s="428"/>
      <c r="AV886" s="428"/>
      <c r="AW886" s="449" t="str">
        <f>IF(C886&gt;0,VLOOKUP(C886,Foundation_Calc!$A$2:$C$13,3,1),
IF(J886&gt;0,VLOOKUP(J886,Foundation_Calc!$A$2:$C$13,3,1),""))</f>
        <v>Multi Soil</v>
      </c>
      <c r="AX886" s="449" t="str">
        <f>IF(C886&gt;0,VLOOKUP(C886,Foundation_Calc!$E$2:$G$33,3,1),
IF(J886&gt;0,VLOOKUP(J886,Foundation_Calc!$E$2:$G$33,3,1),""))</f>
        <v>PT</v>
      </c>
      <c r="AY886" s="10">
        <f>IF(L886="","",
IF(AX886="PT",VLOOKUP(L886,Foundation_Calc!$K$79:$R$113,VLOOKUP(AW886,Foundation_Calc!$I$2:$J$8,2,FALSE),0),
IF(AX886="K",VLOOKUP(L886,Foundation_Calc!$K$117:$R$151,VLOOKUP(AW886,Foundation_Calc!$I$2:$J$8,2,FALSE),0),"")))</f>
        <v>3.5</v>
      </c>
      <c r="AZ886" s="10" t="str">
        <f>IF(K886="","",
IF(AX886="PT",VLOOKUP(K886,Foundation_Calc!$K$79:$R$113,VLOOKUP(AW886,Foundation_Calc!$I$2:$J$8,2,FALSE),0),
IF(AX886="K",VLOOKUP(K886,Foundation_Calc!$K$117:$R$151,VLOOKUP(AW886,Foundation_Calc!$I$2:$J$8,2,FALSE),0),"")))</f>
        <v/>
      </c>
      <c r="BA886" s="495" t="str">
        <f t="shared" si="105"/>
        <v>ü</v>
      </c>
      <c r="BB886" s="495" t="str">
        <f t="shared" si="106"/>
        <v/>
      </c>
      <c r="BC886" s="495" t="str">
        <f t="shared" si="107"/>
        <v/>
      </c>
      <c r="BD886" s="513" t="str">
        <f>IF(AND(L886="",H886=""),"",
IF(H886="",Pole_Calc!A$9,
IF(H886="MP",Pole_Calc!A$10,
IF(H886="AnMP",Pole_Calc!A$11,
IF(H886="A",Pole_Calc!A$12,
IF(H886="S/A",Pole_Calc!A$13,
IF(H886="A/S",Pole_Calc!A$14,"Poner a mano")))))))</f>
        <v>App.7-V11I-P9.5.1.6</v>
      </c>
      <c r="BE886" s="429" t="s">
        <v>118</v>
      </c>
      <c r="BF886" s="289"/>
      <c r="BG886" s="289"/>
      <c r="BH886" s="290"/>
      <c r="BI886" s="289"/>
    </row>
    <row r="887" spans="1:61" ht="15.75" customHeight="1">
      <c r="A887" s="514"/>
      <c r="B887" s="450"/>
      <c r="C887" s="3"/>
      <c r="D887" s="83"/>
      <c r="E887" s="4"/>
      <c r="F887" s="4"/>
      <c r="G887" s="6">
        <v>45</v>
      </c>
      <c r="H887" s="449"/>
      <c r="I887" s="4"/>
      <c r="J887" s="3"/>
      <c r="K887" s="449"/>
      <c r="L887" s="449"/>
      <c r="M887" s="449" t="str">
        <f>IF(L887="","",
IF(AX887="PT",VLOOKUP(L887,Foundation_Calc!$V$79:$X$113,VLOOKUP(AX887,Foundation_Calc!$I$10:$J$13,2,FALSE),0),
IF(AX887="K",VLOOKUP(L887,Foundation_Calc!$V$117:$X$151,VLOOKUP(AX887,Foundation_Calc!$I$10:$J$13,2,FALSE),0),"")))</f>
        <v/>
      </c>
      <c r="N887" s="449"/>
      <c r="O887" s="449"/>
      <c r="P887" s="449"/>
      <c r="Q887" s="4"/>
      <c r="R887" s="6"/>
      <c r="S887" s="6"/>
      <c r="T887" s="4"/>
      <c r="U887" s="4"/>
      <c r="V887" s="4"/>
      <c r="W887" s="9"/>
      <c r="X887" s="9"/>
      <c r="Y887" s="9"/>
      <c r="Z887" s="9"/>
      <c r="AA887" s="9"/>
      <c r="AB887" s="9"/>
      <c r="AC887" s="449" t="str">
        <f t="shared" si="104"/>
        <v/>
      </c>
      <c r="AD887" s="449"/>
      <c r="AE887" s="449"/>
      <c r="AF887" s="4"/>
      <c r="AG887" s="83"/>
      <c r="AH887" s="4"/>
      <c r="AI887" s="4"/>
      <c r="AJ887" s="449"/>
      <c r="AK887" s="449"/>
      <c r="AL887" s="449"/>
      <c r="AM887" s="449"/>
      <c r="AN887" s="10"/>
      <c r="AO887" s="9"/>
      <c r="AP887" s="9"/>
      <c r="AQ887" s="9">
        <f>+FL_2($U$888,$T$886,$G$887,1200,9.28,-1*$F$888)</f>
        <v>-0.32337425688250154</v>
      </c>
      <c r="AR887" s="9"/>
      <c r="AS887" s="9"/>
      <c r="AT887" s="9"/>
      <c r="AU887" s="428"/>
      <c r="AV887" s="428"/>
      <c r="AW887" s="449" t="str">
        <f>IF(C887&gt;0,VLOOKUP(C887,Foundation_Calc!$A$2:$C$13,3,1),
IF(J887&gt;0,VLOOKUP(J887,Foundation_Calc!$A$2:$C$13,3,1),""))</f>
        <v/>
      </c>
      <c r="AX887" s="449" t="str">
        <f>IF(C887&gt;0,VLOOKUP(C887,Foundation_Calc!$E$2:$G$33,3,1),
IF(J887&gt;0,VLOOKUP(J887,Foundation_Calc!$E$2:$G$33,3,1),""))</f>
        <v/>
      </c>
      <c r="AY887" s="10" t="str">
        <f>IF(L887="","",
IF(AX887="PT",VLOOKUP(L887,Foundation_Calc!$K$79:$R$113,VLOOKUP(AW887,Foundation_Calc!$I$2:$J$8,2,FALSE),0),
IF(AX887="K",VLOOKUP(L887,Foundation_Calc!$K$117:$R$151,VLOOKUP(AW887,Foundation_Calc!$I$2:$J$8,2,FALSE),0),"")))</f>
        <v/>
      </c>
      <c r="AZ887" s="10" t="str">
        <f>IF(K887="","",
IF(AX887="PT",VLOOKUP(K887,Foundation_Calc!$K$79:$R$113,VLOOKUP(AW887,Foundation_Calc!$I$2:$J$8,2,FALSE),0),
IF(AX887="K",VLOOKUP(K887,Foundation_Calc!$K$117:$R$151,VLOOKUP(AW887,Foundation_Calc!$I$2:$J$8,2,FALSE),0),"")))</f>
        <v/>
      </c>
      <c r="BA887" s="495" t="str">
        <f t="shared" si="105"/>
        <v/>
      </c>
      <c r="BB887" s="495" t="str">
        <f t="shared" si="106"/>
        <v/>
      </c>
      <c r="BC887" s="495" t="str">
        <f t="shared" si="107"/>
        <v/>
      </c>
      <c r="BD887" s="513" t="str">
        <f>IF(AND(L887="",H887=""),"",
IF(H887="",Pole_Calc!A$9,
IF(H887="MP",Pole_Calc!A$10,
IF(H887="AnMP",Pole_Calc!A$11,
IF(H887="A",Pole_Calc!A$12,
IF(H887="S/A",Pole_Calc!A$13,
IF(H887="A/S",Pole_Calc!A$14,"Poner a mano")))))))</f>
        <v/>
      </c>
      <c r="BE887" s="429" t="s">
        <v>118</v>
      </c>
      <c r="BF887" s="290"/>
      <c r="BG887" s="290"/>
      <c r="BH887" s="290"/>
      <c r="BI887" s="290"/>
    </row>
    <row r="888" spans="1:61" ht="15.75" customHeight="1">
      <c r="A888" s="518"/>
      <c r="B888" s="450" t="s">
        <v>704</v>
      </c>
      <c r="C888" s="3">
        <f>+$C$886+$G$887</f>
        <v>51358.98</v>
      </c>
      <c r="D888" s="83"/>
      <c r="E888" s="4"/>
      <c r="F888" s="4">
        <f>IF(C888&gt;0,VLOOKUP(C888,'ALIGNMENT TRACK'!$A$1:$K$81,9,1))</f>
        <v>-1250</v>
      </c>
      <c r="G888" s="6"/>
      <c r="H888" s="449" t="s">
        <v>131</v>
      </c>
      <c r="I888" s="4"/>
      <c r="J888" s="3"/>
      <c r="K888" s="449"/>
      <c r="L888" s="449" t="s">
        <v>183</v>
      </c>
      <c r="M888" s="449" t="str">
        <f>IF(L888="","",
IF(AX888="PT",VLOOKUP(L888,Foundation_Calc!$V$79:$X$113,VLOOKUP(AX888,Foundation_Calc!$I$10:$J$13,2,FALSE),0),
IF(AX888="K",VLOOKUP(L888,Foundation_Calc!$V$117:$X$151,VLOOKUP(AX888,Foundation_Calc!$I$10:$J$13,2,FALSE),0),"")))</f>
        <v>2C3R</v>
      </c>
      <c r="N888" s="449" t="s">
        <v>133</v>
      </c>
      <c r="O888" s="449" t="s">
        <v>134</v>
      </c>
      <c r="P888" s="449"/>
      <c r="Q888" s="4"/>
      <c r="R888" s="6"/>
      <c r="S888" s="6"/>
      <c r="T888" s="4">
        <v>35</v>
      </c>
      <c r="U888" s="4">
        <v>-10</v>
      </c>
      <c r="V888" s="4"/>
      <c r="W888" s="9">
        <v>1.4</v>
      </c>
      <c r="X888" s="9">
        <v>2</v>
      </c>
      <c r="Y888" s="9"/>
      <c r="Z888" s="9">
        <v>0.4</v>
      </c>
      <c r="AA888" s="9"/>
      <c r="AB888" s="9"/>
      <c r="AC888" s="449"/>
      <c r="AD888" s="449"/>
      <c r="AE888" s="449"/>
      <c r="AF888" s="4"/>
      <c r="AG888" s="83"/>
      <c r="AH888" s="4"/>
      <c r="AI888" s="4"/>
      <c r="AJ888" s="449"/>
      <c r="AK888" s="449"/>
      <c r="AL888" s="449"/>
      <c r="AM888" s="449" t="s">
        <v>552</v>
      </c>
      <c r="AN888" s="10">
        <v>5.15</v>
      </c>
      <c r="AO888" s="9"/>
      <c r="AP888" s="9"/>
      <c r="AQ888" s="9"/>
      <c r="AR888" s="9"/>
      <c r="AS888" s="9"/>
      <c r="AT888" s="9">
        <f>+ab($U$888,$T$886,$U$890,$G$887,$G$889,-1*$F$888,1200)</f>
        <v>6.5934507957355866</v>
      </c>
      <c r="AU888" s="428"/>
      <c r="AV888" s="428"/>
      <c r="AW888" s="449" t="str">
        <f>IF(C888&gt;0,VLOOKUP(C888,Foundation_Calc!$A$2:$C$13,3,1),
IF(J888&gt;0,VLOOKUP(J888,Foundation_Calc!$A$2:$C$13,3,1),""))</f>
        <v>Multi Soil</v>
      </c>
      <c r="AX888" s="449" t="str">
        <f>IF(C888&gt;0,VLOOKUP(C888,Foundation_Calc!$E$2:$G$33,3,1),
IF(J888&gt;0,VLOOKUP(J888,Foundation_Calc!$E$2:$G$33,3,1),""))</f>
        <v>PT</v>
      </c>
      <c r="AY888" s="10">
        <f>IF(L888="","",
IF(AX888="PT",VLOOKUP(L888,Foundation_Calc!$K$79:$R$113,VLOOKUP(AW888,Foundation_Calc!$I$2:$J$8,2,FALSE),0),
IF(AX888="K",VLOOKUP(L888,Foundation_Calc!$K$117:$R$151,VLOOKUP(AW888,Foundation_Calc!$I$2:$J$8,2,FALSE),0),"")))</f>
        <v>3.7</v>
      </c>
      <c r="AZ888" s="10" t="str">
        <f>IF(K888="","",
IF(AX888="PT",VLOOKUP(K888,Foundation_Calc!$K$79:$R$113,VLOOKUP(AW888,Foundation_Calc!$I$2:$J$8,2,FALSE),0),
IF(AX888="K",VLOOKUP(K888,Foundation_Calc!$K$117:$R$151,VLOOKUP(AW888,Foundation_Calc!$I$2:$J$8,2,FALSE),0),"")))</f>
        <v/>
      </c>
      <c r="BA888" s="495" t="str">
        <f t="shared" si="105"/>
        <v>ü</v>
      </c>
      <c r="BB888" s="495" t="str">
        <f t="shared" si="106"/>
        <v/>
      </c>
      <c r="BC888" s="495" t="str">
        <f t="shared" si="107"/>
        <v/>
      </c>
      <c r="BD888" s="513" t="str">
        <f>IF(AND(L888="",H888=""),"",
IF(H888="",Pole_Calc!A$9,
IF(H888="MP",Pole_Calc!A$10,
IF(H888="AnMP",Pole_Calc!A$11,
IF(H888="A",Pole_Calc!A$12,
IF(H888="S/A",Pole_Calc!A$13,
IF(H888="A/S",Pole_Calc!A$14,"Poner a mano")))))))</f>
        <v>App.7-V11I-P9.5.1.5</v>
      </c>
      <c r="BE888" s="429" t="s">
        <v>118</v>
      </c>
      <c r="BF888" s="289"/>
      <c r="BG888" s="289"/>
      <c r="BH888" s="290"/>
      <c r="BI888" s="289"/>
    </row>
    <row r="889" spans="1:61" ht="15.75" customHeight="1">
      <c r="A889" s="518"/>
      <c r="B889" s="450"/>
      <c r="C889" s="3"/>
      <c r="D889" s="83"/>
      <c r="E889" s="4"/>
      <c r="F889" s="4"/>
      <c r="G889" s="6">
        <v>47</v>
      </c>
      <c r="H889" s="449"/>
      <c r="I889" s="4"/>
      <c r="J889" s="3"/>
      <c r="K889" s="449"/>
      <c r="L889" s="449"/>
      <c r="M889" s="449" t="str">
        <f>IF(L889="","",
IF(AX889="PT",VLOOKUP(L889,Foundation_Calc!$V$79:$X$113,VLOOKUP(AX889,Foundation_Calc!$I$10:$J$13,2,FALSE),0),
IF(AX889="K",VLOOKUP(L889,Foundation_Calc!$V$117:$X$151,VLOOKUP(AX889,Foundation_Calc!$I$10:$J$13,2,FALSE),0),"")))</f>
        <v/>
      </c>
      <c r="N889" s="561"/>
      <c r="O889" s="449"/>
      <c r="P889" s="449"/>
      <c r="Q889" s="4"/>
      <c r="R889" s="6"/>
      <c r="S889" s="6"/>
      <c r="T889" s="4"/>
      <c r="U889" s="4"/>
      <c r="V889" s="4"/>
      <c r="W889" s="9"/>
      <c r="X889" s="9"/>
      <c r="Y889" s="9"/>
      <c r="Z889" s="9"/>
      <c r="AA889" s="9"/>
      <c r="AB889" s="9"/>
      <c r="AC889" s="449" t="str">
        <f t="shared" si="104"/>
        <v/>
      </c>
      <c r="AD889" s="449"/>
      <c r="AE889" s="449"/>
      <c r="AF889" s="4"/>
      <c r="AG889" s="83"/>
      <c r="AH889" s="4"/>
      <c r="AI889" s="4"/>
      <c r="AJ889" s="449"/>
      <c r="AK889" s="449"/>
      <c r="AL889" s="449"/>
      <c r="AM889" s="449"/>
      <c r="AN889" s="10"/>
      <c r="AO889" s="9"/>
      <c r="AP889" s="9"/>
      <c r="AQ889" s="9">
        <f>+FL_2($T$890,$U$888,$G$889,1200,9.28,-1*$F$890)</f>
        <v>-0.3574724887659595</v>
      </c>
      <c r="AR889" s="9"/>
      <c r="AS889" s="9"/>
      <c r="AT889" s="9"/>
      <c r="AU889" s="428"/>
      <c r="AV889" s="428"/>
      <c r="AW889" s="449" t="str">
        <f>IF(C889&gt;0,VLOOKUP(C889,Foundation_Calc!$A$2:$C$13,3,1),
IF(J889&gt;0,VLOOKUP(J889,Foundation_Calc!$A$2:$C$13,3,1),""))</f>
        <v/>
      </c>
      <c r="AX889" s="449" t="str">
        <f>IF(C889&gt;0,VLOOKUP(C889,Foundation_Calc!$E$2:$G$33,3,1),
IF(J889&gt;0,VLOOKUP(J889,Foundation_Calc!$E$2:$G$33,3,1),""))</f>
        <v/>
      </c>
      <c r="AY889" s="10" t="str">
        <f>IF(L889="","",
IF(AX889="PT",VLOOKUP(L889,Foundation_Calc!$K$79:$R$113,VLOOKUP(AW889,Foundation_Calc!$I$2:$J$8,2,FALSE),0),
IF(AX889="K",VLOOKUP(L889,Foundation_Calc!$K$117:$R$151,VLOOKUP(AW889,Foundation_Calc!$I$2:$J$8,2,FALSE),0),"")))</f>
        <v/>
      </c>
      <c r="AZ889" s="10" t="str">
        <f>IF(K889="","",
IF(AX889="PT",VLOOKUP(K889,Foundation_Calc!$K$79:$R$113,VLOOKUP(AW889,Foundation_Calc!$I$2:$J$8,2,FALSE),0),
IF(AX889="K",VLOOKUP(K889,Foundation_Calc!$K$117:$R$151,VLOOKUP(AW889,Foundation_Calc!$I$2:$J$8,2,FALSE),0),"")))</f>
        <v/>
      </c>
      <c r="BA889" s="495" t="str">
        <f t="shared" si="105"/>
        <v/>
      </c>
      <c r="BB889" s="495" t="str">
        <f t="shared" si="106"/>
        <v/>
      </c>
      <c r="BC889" s="495" t="str">
        <f t="shared" si="107"/>
        <v/>
      </c>
      <c r="BD889" s="513" t="str">
        <f>IF(AND(L889="",H889=""),"",
IF(H889="",Pole_Calc!A$9,
IF(H889="MP",Pole_Calc!A$10,
IF(H889="AnMP",Pole_Calc!A$11,
IF(H889="A",Pole_Calc!A$12,
IF(H889="S/A",Pole_Calc!A$13,
IF(H889="A/S",Pole_Calc!A$14,"Poner a mano")))))))</f>
        <v/>
      </c>
      <c r="BE889" s="429" t="s">
        <v>118</v>
      </c>
      <c r="BF889" s="290"/>
      <c r="BG889" s="290"/>
      <c r="BH889" s="290"/>
      <c r="BI889" s="290"/>
    </row>
    <row r="890" spans="1:61" ht="15.75" customHeight="1">
      <c r="A890" s="514" t="s">
        <v>705</v>
      </c>
      <c r="B890" s="450" t="s">
        <v>706</v>
      </c>
      <c r="C890" s="3">
        <f>+$C$888+$G$889</f>
        <v>51405.98</v>
      </c>
      <c r="D890" s="83"/>
      <c r="E890" s="4"/>
      <c r="F890" s="4">
        <f>IF(C890&gt;0,VLOOKUP(C890,'ALIGNMENT TRACK'!$A$1:$K$81,9,1))</f>
        <v>-1250</v>
      </c>
      <c r="G890" s="6"/>
      <c r="H890" s="449" t="s">
        <v>131</v>
      </c>
      <c r="I890" s="4" t="s">
        <v>132</v>
      </c>
      <c r="J890" s="3"/>
      <c r="K890" s="449"/>
      <c r="L890" s="449" t="s">
        <v>183</v>
      </c>
      <c r="M890" s="449" t="str">
        <f>IF(L890="","",
IF(AX890="PT",VLOOKUP(L890,Foundation_Calc!$V$79:$X$113,VLOOKUP(AX890,Foundation_Calc!$I$10:$J$13,2,FALSE),0),
IF(AX890="K",VLOOKUP(L890,Foundation_Calc!$V$117:$X$151,VLOOKUP(AX890,Foundation_Calc!$I$10:$J$13,2,FALSE),0),"")))</f>
        <v>2C3R</v>
      </c>
      <c r="N890" s="449" t="s">
        <v>134</v>
      </c>
      <c r="O890" s="449" t="s">
        <v>133</v>
      </c>
      <c r="P890" s="449"/>
      <c r="Q890" s="4"/>
      <c r="R890" s="6"/>
      <c r="S890" s="6"/>
      <c r="T890" s="4">
        <v>30</v>
      </c>
      <c r="U890" s="4">
        <v>-15</v>
      </c>
      <c r="V890" s="4"/>
      <c r="W890" s="9">
        <v>1.4</v>
      </c>
      <c r="X890" s="9">
        <v>2</v>
      </c>
      <c r="Y890" s="9"/>
      <c r="Z890" s="9"/>
      <c r="AA890" s="9">
        <v>0.4</v>
      </c>
      <c r="AB890" s="9"/>
      <c r="AC890" s="449" t="str">
        <f t="shared" si="104"/>
        <v>PHQ</v>
      </c>
      <c r="AD890" s="449"/>
      <c r="AE890" s="449"/>
      <c r="AF890" s="4"/>
      <c r="AG890" s="83"/>
      <c r="AH890" s="4"/>
      <c r="AI890" s="4"/>
      <c r="AJ890" s="449" t="s">
        <v>233</v>
      </c>
      <c r="AK890" s="449"/>
      <c r="AL890" s="449"/>
      <c r="AM890" s="449" t="s">
        <v>552</v>
      </c>
      <c r="AN890" s="10">
        <v>5.15</v>
      </c>
      <c r="AO890" s="9"/>
      <c r="AP890" s="9"/>
      <c r="AQ890" s="9"/>
      <c r="AR890" s="9"/>
      <c r="AS890" s="9"/>
      <c r="AT890" s="9">
        <f>+ab($T$890,$T$888,$T$892,$G$889,$G$891,-1*$F$890,1200)</f>
        <v>5.2374913924338298</v>
      </c>
      <c r="AU890" s="428"/>
      <c r="AV890" s="428"/>
      <c r="AW890" s="449" t="str">
        <f>IF(C890&gt;0,VLOOKUP(C890,Foundation_Calc!$A$2:$C$13,3,1),
IF(J890&gt;0,VLOOKUP(J890,Foundation_Calc!$A$2:$C$13,3,1),""))</f>
        <v>Multi Soil</v>
      </c>
      <c r="AX890" s="449" t="str">
        <f>IF(C890&gt;0,VLOOKUP(C890,Foundation_Calc!$E$2:$G$33,3,1),
IF(J890&gt;0,VLOOKUP(J890,Foundation_Calc!$E$2:$G$33,3,1),""))</f>
        <v>PT</v>
      </c>
      <c r="AY890" s="10">
        <f>IF(L890="","",
IF(AX890="PT",VLOOKUP(L890,Foundation_Calc!$K$79:$R$113,VLOOKUP(AW890,Foundation_Calc!$I$2:$J$8,2,FALSE),0),
IF(AX890="K",VLOOKUP(L890,Foundation_Calc!$K$117:$R$151,VLOOKUP(AW890,Foundation_Calc!$I$2:$J$8,2,FALSE),0),"")))</f>
        <v>3.7</v>
      </c>
      <c r="AZ890" s="10" t="str">
        <f>IF(K890="","",
IF(AX890="PT",VLOOKUP(K890,Foundation_Calc!$K$79:$R$113,VLOOKUP(AW890,Foundation_Calc!$I$2:$J$8,2,FALSE),0),
IF(AX890="K",VLOOKUP(K890,Foundation_Calc!$K$117:$R$151,VLOOKUP(AW890,Foundation_Calc!$I$2:$J$8,2,FALSE),0),"")))</f>
        <v/>
      </c>
      <c r="BA890" s="495" t="str">
        <f t="shared" si="105"/>
        <v>ü</v>
      </c>
      <c r="BB890" s="495" t="str">
        <f t="shared" si="106"/>
        <v/>
      </c>
      <c r="BC890" s="495" t="str">
        <f t="shared" si="107"/>
        <v/>
      </c>
      <c r="BD890" s="513" t="str">
        <f>IF(AND(L890="",H890=""),"",
IF(H890="",Pole_Calc!A$9,
IF(H890="MP",Pole_Calc!A$10,
IF(H890="AnMP",Pole_Calc!A$11,
IF(H890="A",Pole_Calc!A$12,
IF(H890="S/A",Pole_Calc!A$13,
IF(H890="A/S",Pole_Calc!A$14,"Poner a mano")))))))</f>
        <v>App.7-V11I-P9.5.1.5</v>
      </c>
      <c r="BE890" s="429" t="s">
        <v>118</v>
      </c>
      <c r="BF890" s="289"/>
      <c r="BG890" s="289"/>
      <c r="BH890" s="290"/>
      <c r="BI890" s="289"/>
    </row>
    <row r="891" spans="1:61" ht="15.75" customHeight="1">
      <c r="A891" s="514"/>
      <c r="B891" s="450"/>
      <c r="C891" s="3"/>
      <c r="D891" s="83"/>
      <c r="E891" s="4"/>
      <c r="F891" s="4"/>
      <c r="G891" s="6">
        <v>47</v>
      </c>
      <c r="H891" s="449"/>
      <c r="I891" s="4" t="s">
        <v>122</v>
      </c>
      <c r="J891" s="3"/>
      <c r="K891" s="449"/>
      <c r="L891" s="449"/>
      <c r="M891" s="449" t="str">
        <f>IF(L891="","",
IF(AX891="PT",VLOOKUP(L891,Foundation_Calc!$V$79:$X$113,VLOOKUP(AX891,Foundation_Calc!$I$10:$J$13,2,FALSE),0),
IF(AX891="K",VLOOKUP(L891,Foundation_Calc!$V$117:$X$151,VLOOKUP(AX891,Foundation_Calc!$I$10:$J$13,2,FALSE),0),"")))</f>
        <v/>
      </c>
      <c r="N891" s="449"/>
      <c r="O891" s="449"/>
      <c r="P891" s="449"/>
      <c r="Q891" s="4"/>
      <c r="R891" s="6"/>
      <c r="S891" s="6"/>
      <c r="T891" s="4"/>
      <c r="U891" s="4"/>
      <c r="V891" s="4"/>
      <c r="W891" s="9"/>
      <c r="X891" s="9"/>
      <c r="Y891" s="9"/>
      <c r="Z891" s="9"/>
      <c r="AA891" s="9"/>
      <c r="AB891" s="9"/>
      <c r="AC891" s="449" t="str">
        <f t="shared" si="104"/>
        <v/>
      </c>
      <c r="AD891" s="449"/>
      <c r="AE891" s="449"/>
      <c r="AF891" s="4"/>
      <c r="AG891" s="83"/>
      <c r="AH891" s="4"/>
      <c r="AI891" s="4"/>
      <c r="AJ891" s="449"/>
      <c r="AK891" s="449"/>
      <c r="AL891" s="449"/>
      <c r="AM891" s="449"/>
      <c r="AN891" s="10"/>
      <c r="AO891" s="9"/>
      <c r="AP891" s="9"/>
      <c r="AQ891" s="9">
        <f>+FL_1($T$892,$T$890,$G$891,1200,9.28,-1*$F$892)</f>
        <v>0.33292250123106693</v>
      </c>
      <c r="AR891" s="9"/>
      <c r="AS891" s="9"/>
      <c r="AT891" s="9"/>
      <c r="AU891" s="428"/>
      <c r="AV891" s="428"/>
      <c r="AW891" s="449" t="str">
        <f>IF(C891&gt;0,VLOOKUP(C891,Foundation_Calc!$A$2:$C$13,3,1),
IF(J891&gt;0,VLOOKUP(J891,Foundation_Calc!$A$2:$C$13,3,1),""))</f>
        <v/>
      </c>
      <c r="AX891" s="449" t="str">
        <f>IF(C891&gt;0,VLOOKUP(C891,Foundation_Calc!$E$2:$G$33,3,1),
IF(J891&gt;0,VLOOKUP(J891,Foundation_Calc!$E$2:$G$33,3,1),""))</f>
        <v/>
      </c>
      <c r="AY891" s="10" t="str">
        <f>IF(L891="","",
IF(AX891="PT",VLOOKUP(L891,Foundation_Calc!$K$79:$R$113,VLOOKUP(AW891,Foundation_Calc!$I$2:$J$8,2,FALSE),0),
IF(AX891="K",VLOOKUP(L891,Foundation_Calc!$K$117:$R$151,VLOOKUP(AW891,Foundation_Calc!$I$2:$J$8,2,FALSE),0),"")))</f>
        <v/>
      </c>
      <c r="AZ891" s="10" t="str">
        <f>IF(K891="","",
IF(AX891="PT",VLOOKUP(K891,Foundation_Calc!$K$79:$R$113,VLOOKUP(AW891,Foundation_Calc!$I$2:$J$8,2,FALSE),0),
IF(AX891="K",VLOOKUP(K891,Foundation_Calc!$K$117:$R$151,VLOOKUP(AW891,Foundation_Calc!$I$2:$J$8,2,FALSE),0),"")))</f>
        <v/>
      </c>
      <c r="BA891" s="495" t="str">
        <f t="shared" si="105"/>
        <v/>
      </c>
      <c r="BB891" s="495" t="str">
        <f t="shared" si="106"/>
        <v/>
      </c>
      <c r="BC891" s="495" t="str">
        <f t="shared" si="107"/>
        <v/>
      </c>
      <c r="BD891" s="513" t="str">
        <f>IF(AND(L891="",H891=""),"",
IF(H891="",Pole_Calc!A$9,
IF(H891="MP",Pole_Calc!A$10,
IF(H891="AnMP",Pole_Calc!A$11,
IF(H891="A",Pole_Calc!A$12,
IF(H891="S/A",Pole_Calc!A$13,
IF(H891="A/S",Pole_Calc!A$14,"Poner a mano")))))))</f>
        <v/>
      </c>
      <c r="BE891" s="429" t="s">
        <v>118</v>
      </c>
      <c r="BF891" s="290"/>
      <c r="BG891" s="290"/>
      <c r="BH891" s="290"/>
      <c r="BI891" s="290"/>
    </row>
    <row r="892" spans="1:61" ht="15.75" customHeight="1">
      <c r="A892" s="514"/>
      <c r="B892" s="450" t="s">
        <v>707</v>
      </c>
      <c r="C892" s="3">
        <f>+$C$890+$G$891-0.38</f>
        <v>51452.600000000006</v>
      </c>
      <c r="D892" s="83"/>
      <c r="E892" s="4"/>
      <c r="F892" s="4">
        <f>(345^2)/(C892-51530.45)</f>
        <v>-1528.9017341042177</v>
      </c>
      <c r="G892" s="6"/>
      <c r="H892" s="449" t="s">
        <v>551</v>
      </c>
      <c r="I892" s="4"/>
      <c r="J892" s="3"/>
      <c r="K892" s="449"/>
      <c r="L892" s="449" t="s">
        <v>206</v>
      </c>
      <c r="M892" s="449" t="str">
        <f>IF(L892="","",
IF(AX892="PT",VLOOKUP(L892,Foundation_Calc!$V$79:$X$113,VLOOKUP(AX892,Foundation_Calc!$I$10:$J$13,2,FALSE),0),
IF(AX892="K",VLOOKUP(L892,Foundation_Calc!$V$117:$X$151,VLOOKUP(AX892,Foundation_Calc!$I$10:$J$13,2,FALSE),0),"")))</f>
        <v>2C4R</v>
      </c>
      <c r="N892" s="449" t="s">
        <v>134</v>
      </c>
      <c r="O892" s="449"/>
      <c r="P892" s="449"/>
      <c r="Q892" s="4"/>
      <c r="R892" s="6"/>
      <c r="S892" s="6"/>
      <c r="T892" s="4">
        <v>30</v>
      </c>
      <c r="U892" s="4"/>
      <c r="V892" s="4"/>
      <c r="W892" s="9">
        <v>1.4</v>
      </c>
      <c r="X892" s="9"/>
      <c r="Y892" s="9"/>
      <c r="Z892" s="9"/>
      <c r="AA892" s="9"/>
      <c r="AB892" s="9"/>
      <c r="AC892" s="449" t="str">
        <f t="shared" si="104"/>
        <v>PHC</v>
      </c>
      <c r="AD892" s="449"/>
      <c r="AE892" s="449"/>
      <c r="AF892" s="4"/>
      <c r="AG892" s="83"/>
      <c r="AH892" s="4"/>
      <c r="AI892" s="4"/>
      <c r="AJ892" s="449"/>
      <c r="AK892" s="449"/>
      <c r="AL892" s="449"/>
      <c r="AM892" s="449" t="s">
        <v>552</v>
      </c>
      <c r="AN892" s="10">
        <v>5.15</v>
      </c>
      <c r="AO892" s="9"/>
      <c r="AP892" s="9"/>
      <c r="AQ892" s="9"/>
      <c r="AR892" s="9"/>
      <c r="AS892" s="9"/>
      <c r="AT892" s="9">
        <f>+ab($T$892,$T$890,$U$894,$G$891,$G$893,-1*$F$892,1200)</f>
        <v>4.5894622267356144</v>
      </c>
      <c r="AU892" s="428"/>
      <c r="AV892" s="428"/>
      <c r="AW892" s="449" t="str">
        <f>IF(C892&gt;0,VLOOKUP(C892,Foundation_Calc!$A$2:$C$13,3,1),
IF(J892&gt;0,VLOOKUP(J892,Foundation_Calc!$A$2:$C$13,3,1),""))</f>
        <v>Multi Soil</v>
      </c>
      <c r="AX892" s="449" t="str">
        <f>IF(C892&gt;0,VLOOKUP(C892,Foundation_Calc!$E$2:$G$33,3,1),
IF(J892&gt;0,VLOOKUP(J892,Foundation_Calc!$E$2:$G$33,3,1),""))</f>
        <v>PT</v>
      </c>
      <c r="AY892" s="10">
        <f>IF(L892="","",
IF(AX892="PT",VLOOKUP(L892,Foundation_Calc!$K$79:$R$113,VLOOKUP(AW892,Foundation_Calc!$I$2:$J$8,2,FALSE),0),
IF(AX892="K",VLOOKUP(L892,Foundation_Calc!$K$117:$R$151,VLOOKUP(AW892,Foundation_Calc!$I$2:$J$8,2,FALSE),0),"")))</f>
        <v>4</v>
      </c>
      <c r="AZ892" s="10" t="str">
        <f>IF(K892="","",
IF(AX892="PT",VLOOKUP(K892,Foundation_Calc!$K$79:$R$113,VLOOKUP(AW892,Foundation_Calc!$I$2:$J$8,2,FALSE),0),
IF(AX892="K",VLOOKUP(K892,Foundation_Calc!$K$117:$R$151,VLOOKUP(AW892,Foundation_Calc!$I$2:$J$8,2,FALSE),0),"")))</f>
        <v/>
      </c>
      <c r="BA892" s="495" t="str">
        <f t="shared" si="105"/>
        <v>ü</v>
      </c>
      <c r="BB892" s="495" t="str">
        <f t="shared" si="106"/>
        <v/>
      </c>
      <c r="BC892" s="495" t="str">
        <f t="shared" si="107"/>
        <v/>
      </c>
      <c r="BD892" s="513" t="str">
        <f>Pole_Calc!A$167</f>
        <v>App.7-V11I-P9.5.15.2</v>
      </c>
      <c r="BE892" s="429" t="s">
        <v>118</v>
      </c>
      <c r="BF892" s="289"/>
      <c r="BG892" s="289"/>
      <c r="BH892" s="290"/>
      <c r="BI892" s="289"/>
    </row>
    <row r="893" spans="1:61" ht="15.75" customHeight="1">
      <c r="A893" s="514"/>
      <c r="B893" s="450"/>
      <c r="C893" s="3"/>
      <c r="D893" s="83"/>
      <c r="E893" s="4"/>
      <c r="F893" s="4"/>
      <c r="G893" s="6">
        <v>50</v>
      </c>
      <c r="H893" s="449"/>
      <c r="I893" s="4" t="s">
        <v>122</v>
      </c>
      <c r="J893" s="3"/>
      <c r="K893" s="449"/>
      <c r="L893" s="449"/>
      <c r="M893" s="449" t="str">
        <f>IF(L893="","",
IF(AX893="PT",VLOOKUP(L893,Foundation_Calc!$V$79:$X$113,VLOOKUP(AX893,Foundation_Calc!$I$10:$J$13,2,FALSE),0),
IF(AX893="K",VLOOKUP(L893,Foundation_Calc!$V$117:$X$151,VLOOKUP(AX893,Foundation_Calc!$I$10:$J$13,2,FALSE),0),"")))</f>
        <v/>
      </c>
      <c r="N893" s="449"/>
      <c r="O893" s="449"/>
      <c r="P893" s="449"/>
      <c r="Q893" s="4"/>
      <c r="R893" s="6"/>
      <c r="S893" s="6"/>
      <c r="T893" s="4"/>
      <c r="U893" s="4"/>
      <c r="V893" s="4"/>
      <c r="W893" s="9"/>
      <c r="X893" s="9"/>
      <c r="Y893" s="9"/>
      <c r="Z893" s="9"/>
      <c r="AA893" s="9"/>
      <c r="AB893" s="9"/>
      <c r="AC893" s="449" t="str">
        <f t="shared" si="104"/>
        <v/>
      </c>
      <c r="AD893" s="449"/>
      <c r="AE893" s="449"/>
      <c r="AF893" s="4"/>
      <c r="AG893" s="83"/>
      <c r="AH893" s="4"/>
      <c r="AI893" s="4"/>
      <c r="AJ893" s="449"/>
      <c r="AK893" s="449"/>
      <c r="AL893" s="449"/>
      <c r="AM893" s="449"/>
      <c r="AN893" s="10"/>
      <c r="AO893" s="9"/>
      <c r="AP893" s="9"/>
      <c r="AQ893" s="9">
        <f>+FL_2($U$894,$T$892,$G$893,1200,9.28,-1*$F$894)</f>
        <v>-0.31442401821128219</v>
      </c>
      <c r="AR893" s="9"/>
      <c r="AS893" s="9"/>
      <c r="AT893" s="9"/>
      <c r="AU893" s="428"/>
      <c r="AV893" s="428"/>
      <c r="AW893" s="449" t="str">
        <f>IF(C893&gt;0,VLOOKUP(C893,Foundation_Calc!$A$2:$C$13,3,1),
IF(J893&gt;0,VLOOKUP(J893,Foundation_Calc!$A$2:$C$13,3,1),""))</f>
        <v/>
      </c>
      <c r="AX893" s="449" t="str">
        <f>IF(C893&gt;0,VLOOKUP(C893,Foundation_Calc!$E$2:$G$33,3,1),
IF(J893&gt;0,VLOOKUP(J893,Foundation_Calc!$E$2:$G$33,3,1),""))</f>
        <v/>
      </c>
      <c r="AY893" s="10" t="str">
        <f>IF(L893="","",
IF(AX893="PT",VLOOKUP(L893,Foundation_Calc!$K$79:$R$113,VLOOKUP(AW893,Foundation_Calc!$I$2:$J$8,2,FALSE),0),
IF(AX893="K",VLOOKUP(L893,Foundation_Calc!$K$117:$R$151,VLOOKUP(AW893,Foundation_Calc!$I$2:$J$8,2,FALSE),0),"")))</f>
        <v/>
      </c>
      <c r="AZ893" s="10" t="str">
        <f>IF(K893="","",
IF(AX893="PT",VLOOKUP(K893,Foundation_Calc!$K$79:$R$113,VLOOKUP(AW893,Foundation_Calc!$I$2:$J$8,2,FALSE),0),
IF(AX893="K",VLOOKUP(K893,Foundation_Calc!$K$117:$R$151,VLOOKUP(AW893,Foundation_Calc!$I$2:$J$8,2,FALSE),0),"")))</f>
        <v/>
      </c>
      <c r="BA893" s="495" t="str">
        <f t="shared" si="105"/>
        <v/>
      </c>
      <c r="BB893" s="495" t="str">
        <f t="shared" si="106"/>
        <v/>
      </c>
      <c r="BC893" s="495" t="str">
        <f t="shared" si="107"/>
        <v/>
      </c>
      <c r="BD893" s="513" t="str">
        <f>IF(AND(L893="",H893=""),"",
IF(H893="",Pole_Calc!A$9,
IF(H893="MP",Pole_Calc!A$10,
IF(H893="AnMP",Pole_Calc!A$11,
IF(H893="A",Pole_Calc!A$12,
IF(H893="S/A",Pole_Calc!A$13,
IF(H893="A/S",Pole_Calc!A$14,"Poner a mano")))))))</f>
        <v/>
      </c>
      <c r="BE893" s="429" t="s">
        <v>118</v>
      </c>
      <c r="BF893" s="290"/>
      <c r="BG893" s="290"/>
      <c r="BH893" s="290"/>
      <c r="BI893" s="290"/>
    </row>
    <row r="894" spans="1:61" ht="15.75" customHeight="1">
      <c r="A894" s="518"/>
      <c r="B894" s="450" t="s">
        <v>708</v>
      </c>
      <c r="C894" s="3">
        <f>+$C$892+$G$893</f>
        <v>51502.600000000006</v>
      </c>
      <c r="D894" s="83"/>
      <c r="E894" s="4"/>
      <c r="F894" s="4">
        <f>(345^2)/(C894-51530.45)</f>
        <v>-4273.7881508092396</v>
      </c>
      <c r="G894" s="6"/>
      <c r="H894" s="449" t="s">
        <v>131</v>
      </c>
      <c r="I894" s="4">
        <v>265</v>
      </c>
      <c r="J894" s="3"/>
      <c r="K894" s="449"/>
      <c r="L894" s="449" t="s">
        <v>183</v>
      </c>
      <c r="M894" s="449" t="str">
        <f>IF(L894="","",
IF(AX894="PT",VLOOKUP(L894,Foundation_Calc!$V$79:$X$113,VLOOKUP(AX894,Foundation_Calc!$I$10:$J$13,2,FALSE),0),
IF(AX894="K",VLOOKUP(L894,Foundation_Calc!$V$117:$X$151,VLOOKUP(AX894,Foundation_Calc!$I$10:$J$13,2,FALSE),0),"")))</f>
        <v>2C3R</v>
      </c>
      <c r="N894" s="554" t="s">
        <v>133</v>
      </c>
      <c r="O894" s="449" t="s">
        <v>124</v>
      </c>
      <c r="P894" s="449"/>
      <c r="Q894" s="4"/>
      <c r="R894" s="6"/>
      <c r="S894" s="6"/>
      <c r="T894" s="4">
        <v>-55</v>
      </c>
      <c r="U894" s="4">
        <v>-20</v>
      </c>
      <c r="V894" s="4"/>
      <c r="W894" s="9">
        <v>2</v>
      </c>
      <c r="X894" s="9">
        <v>1.4</v>
      </c>
      <c r="Y894" s="9"/>
      <c r="Z894" s="9">
        <v>0.45</v>
      </c>
      <c r="AA894" s="9"/>
      <c r="AB894" s="9"/>
      <c r="AC894" s="449"/>
      <c r="AD894" s="449"/>
      <c r="AE894" s="449"/>
      <c r="AF894" s="4"/>
      <c r="AG894" s="83"/>
      <c r="AH894" s="4"/>
      <c r="AI894" s="4"/>
      <c r="AJ894" s="449"/>
      <c r="AK894" s="449"/>
      <c r="AL894" s="449"/>
      <c r="AM894" s="449" t="s">
        <v>552</v>
      </c>
      <c r="AN894" s="10">
        <v>5.15</v>
      </c>
      <c r="AO894" s="9"/>
      <c r="AP894" s="9"/>
      <c r="AQ894" s="9"/>
      <c r="AR894" s="9"/>
      <c r="AS894" s="9"/>
      <c r="AT894" s="9">
        <f>+ab($U$894,$T$892,$U$896,$G$893,$G$895,-1*$F$894,1200)</f>
        <v>-23.463928703843127</v>
      </c>
      <c r="AU894" s="428"/>
      <c r="AV894" s="428"/>
      <c r="AW894" s="449" t="str">
        <f>IF(C894&gt;0,VLOOKUP(C894,Foundation_Calc!$A$2:$C$13,3,1),
IF(J894&gt;0,VLOOKUP(J894,Foundation_Calc!$A$2:$C$13,3,1),""))</f>
        <v>Multi Soil</v>
      </c>
      <c r="AX894" s="449" t="str">
        <f>IF(C894&gt;0,VLOOKUP(C894,Foundation_Calc!$E$2:$G$33,3,1),
IF(J894&gt;0,VLOOKUP(J894,Foundation_Calc!$E$2:$G$33,3,1),""))</f>
        <v>PT</v>
      </c>
      <c r="AY894" s="10">
        <f>IF(L894="","",
IF(AX894="PT",VLOOKUP(L894,Foundation_Calc!$K$79:$R$113,VLOOKUP(AW894,Foundation_Calc!$I$2:$J$8,2,FALSE),0),
IF(AX894="K",VLOOKUP(L894,Foundation_Calc!$K$117:$R$151,VLOOKUP(AW894,Foundation_Calc!$I$2:$J$8,2,FALSE),0),"")))</f>
        <v>3.7</v>
      </c>
      <c r="AZ894" s="10" t="str">
        <f>IF(K894="","",
IF(AX894="PT",VLOOKUP(K894,Foundation_Calc!$K$79:$R$113,VLOOKUP(AW894,Foundation_Calc!$I$2:$J$8,2,FALSE),0),
IF(AX894="K",VLOOKUP(K894,Foundation_Calc!$K$117:$R$151,VLOOKUP(AW894,Foundation_Calc!$I$2:$J$8,2,FALSE),0),"")))</f>
        <v/>
      </c>
      <c r="BA894" s="495" t="str">
        <f t="shared" si="105"/>
        <v>ü</v>
      </c>
      <c r="BB894" s="495" t="str">
        <f t="shared" si="106"/>
        <v/>
      </c>
      <c r="BC894" s="495" t="str">
        <f t="shared" si="107"/>
        <v/>
      </c>
      <c r="BD894" s="513" t="str">
        <f>IF(AND(L894="",H894=""),"",
IF(H894="",Pole_Calc!A$9,
IF(H894="MP",Pole_Calc!A$10,
IF(H894="AnMP",Pole_Calc!A$11,
IF(H894="A",Pole_Calc!A$12,
IF(H894="S/A",Pole_Calc!A$13,
IF(H894="A/S",Pole_Calc!A$14,"Poner a mano")))))))</f>
        <v>App.7-V11I-P9.5.1.5</v>
      </c>
      <c r="BE894" s="429" t="s">
        <v>118</v>
      </c>
      <c r="BF894" s="289"/>
      <c r="BG894" s="289"/>
      <c r="BH894" s="290"/>
      <c r="BI894" s="289"/>
    </row>
    <row r="895" spans="1:61" ht="15.75" customHeight="1">
      <c r="A895" s="685" t="s">
        <v>305</v>
      </c>
      <c r="B895" s="686"/>
      <c r="C895" s="687"/>
      <c r="D895" s="688"/>
      <c r="E895" s="689"/>
      <c r="F895" s="689"/>
      <c r="G895" s="690">
        <v>55</v>
      </c>
      <c r="H895" s="691"/>
      <c r="I895" s="689"/>
      <c r="J895" s="687"/>
      <c r="K895" s="691"/>
      <c r="L895" s="691"/>
      <c r="M895" s="691" t="str">
        <f>IF(L895="","",
IF(AX895="PT",VLOOKUP(L895,Foundation_Calc!$V$79:$X$113,VLOOKUP(AX895,Foundation_Calc!$I$10:$J$13,2,FALSE),0),
IF(AX895="K",VLOOKUP(L895,Foundation_Calc!$V$117:$X$151,VLOOKUP(AX895,Foundation_Calc!$I$10:$J$13,2,FALSE),0),"")))</f>
        <v/>
      </c>
      <c r="N895" s="744"/>
      <c r="O895" s="691"/>
      <c r="P895" s="691"/>
      <c r="Q895" s="689"/>
      <c r="R895" s="690"/>
      <c r="S895" s="690"/>
      <c r="T895" s="689"/>
      <c r="U895" s="689"/>
      <c r="V895" s="689"/>
      <c r="W895" s="692"/>
      <c r="X895" s="692"/>
      <c r="Y895" s="692"/>
      <c r="Z895" s="692"/>
      <c r="AA895" s="692"/>
      <c r="AB895" s="692"/>
      <c r="AC895" s="691" t="str">
        <f t="shared" si="104"/>
        <v/>
      </c>
      <c r="AD895" s="691"/>
      <c r="AE895" s="691"/>
      <c r="AF895" s="689"/>
      <c r="AG895" s="688"/>
      <c r="AH895" s="689"/>
      <c r="AI895" s="689"/>
      <c r="AJ895" s="691"/>
      <c r="AK895" s="691"/>
      <c r="AL895" s="691"/>
      <c r="AM895" s="691"/>
      <c r="AN895" s="693"/>
      <c r="AO895" s="692"/>
      <c r="AP895" s="692"/>
      <c r="AQ895" s="692">
        <f>+FL_2($U$896,$U$894,$G$895,1200,9.28,-1*$F$896)</f>
        <v>-0.28207183866666657</v>
      </c>
      <c r="AR895" s="692"/>
      <c r="AS895" s="692"/>
      <c r="AT895" s="692"/>
      <c r="AU895" s="694"/>
      <c r="AV895" s="694"/>
      <c r="AW895" s="691" t="str">
        <f>IF(C895&gt;0,VLOOKUP(C895,Foundation_Calc!$A$2:$C$13,3,1),
IF(J895&gt;0,VLOOKUP(J895,Foundation_Calc!$A$2:$C$13,3,1),""))</f>
        <v/>
      </c>
      <c r="AX895" s="691" t="str">
        <f>IF(C895&gt;0,VLOOKUP(C895,Foundation_Calc!$E$2:$G$33,3,1),
IF(J895&gt;0,VLOOKUP(J895,Foundation_Calc!$E$2:$G$33,3,1),""))</f>
        <v/>
      </c>
      <c r="AY895" s="693" t="str">
        <f>IF(L895="","",
IF(AX895="PT",VLOOKUP(L895,Foundation_Calc!$K$79:$R$113,VLOOKUP(AW895,Foundation_Calc!$I$2:$J$8,2,FALSE),0),
IF(AX895="K",VLOOKUP(L895,Foundation_Calc!$K$117:$R$151,VLOOKUP(AW895,Foundation_Calc!$I$2:$J$8,2,FALSE),0),"")))</f>
        <v/>
      </c>
      <c r="AZ895" s="693" t="str">
        <f>IF(K895="","",
IF(AX895="PT",VLOOKUP(K895,Foundation_Calc!$K$79:$R$113,VLOOKUP(AW895,Foundation_Calc!$I$2:$J$8,2,FALSE),0),
IF(AX895="K",VLOOKUP(K895,Foundation_Calc!$K$117:$R$151,VLOOKUP(AW895,Foundation_Calc!$I$2:$J$8,2,FALSE),0),"")))</f>
        <v/>
      </c>
      <c r="BA895" s="495" t="str">
        <f t="shared" si="105"/>
        <v/>
      </c>
      <c r="BB895" s="495" t="str">
        <f t="shared" si="106"/>
        <v/>
      </c>
      <c r="BC895" s="495" t="str">
        <f t="shared" si="107"/>
        <v/>
      </c>
      <c r="BD895" s="513" t="str">
        <f>IF(AND(L895="",H895=""),"",
IF(H895="",Pole_Calc!A$9,
IF(H895="MP",Pole_Calc!A$10,
IF(H895="AnMP",Pole_Calc!A$11,
IF(H895="A",Pole_Calc!A$12,
IF(H895="S/A",Pole_Calc!A$13,
IF(H895="A/S",Pole_Calc!A$14,"Poner a mano")))))))</f>
        <v/>
      </c>
      <c r="BE895" s="429" t="s">
        <v>118</v>
      </c>
      <c r="BF895" s="290"/>
      <c r="BG895" s="290"/>
      <c r="BH895" s="290"/>
      <c r="BI895" s="290"/>
    </row>
    <row r="896" spans="1:61" ht="15.75" customHeight="1">
      <c r="A896" s="514"/>
      <c r="B896" s="450" t="s">
        <v>709</v>
      </c>
      <c r="C896" s="3">
        <f>+$C$894+$G$895</f>
        <v>51557.600000000006</v>
      </c>
      <c r="D896" s="83"/>
      <c r="E896" s="4"/>
      <c r="F896" s="4">
        <f>IF(C896&gt;0,VLOOKUP(C896,'ALIGNMENT TRACK'!$A$1:$K$81,9,1))</f>
        <v>0</v>
      </c>
      <c r="G896" s="6"/>
      <c r="H896" s="449" t="s">
        <v>238</v>
      </c>
      <c r="I896" s="4"/>
      <c r="J896" s="3"/>
      <c r="K896" s="449"/>
      <c r="L896" s="449" t="s">
        <v>183</v>
      </c>
      <c r="M896" s="449" t="str">
        <f>IF(L896="","",
IF(AX896="PT",VLOOKUP(L896,Foundation_Calc!$V$79:$X$113,VLOOKUP(AX896,Foundation_Calc!$I$10:$J$13,2,FALSE),0),
IF(AX896="K",VLOOKUP(L896,Foundation_Calc!$V$117:$X$151,VLOOKUP(AX896,Foundation_Calc!$I$10:$J$13,2,FALSE),0),"")))</f>
        <v>2C3R</v>
      </c>
      <c r="N896" s="554" t="s">
        <v>124</v>
      </c>
      <c r="O896" s="449" t="s">
        <v>134</v>
      </c>
      <c r="P896" s="449"/>
      <c r="Q896" s="4"/>
      <c r="R896" s="6"/>
      <c r="S896" s="6"/>
      <c r="T896" s="4">
        <v>20</v>
      </c>
      <c r="U896" s="4">
        <v>35</v>
      </c>
      <c r="V896" s="4"/>
      <c r="W896" s="572">
        <v>1.8</v>
      </c>
      <c r="X896" s="572">
        <v>1.4</v>
      </c>
      <c r="Y896" s="9"/>
      <c r="Z896" s="9"/>
      <c r="AA896" s="9">
        <v>0.45</v>
      </c>
      <c r="AB896" s="9"/>
      <c r="AC896" s="449" t="str">
        <f t="shared" si="104"/>
        <v>PH</v>
      </c>
      <c r="AD896" s="449"/>
      <c r="AE896" s="449"/>
      <c r="AF896" s="4"/>
      <c r="AG896" s="83"/>
      <c r="AH896" s="4"/>
      <c r="AI896" s="4"/>
      <c r="AJ896" s="449" t="s">
        <v>239</v>
      </c>
      <c r="AK896" s="449"/>
      <c r="AL896" s="449"/>
      <c r="AM896" s="449" t="s">
        <v>552</v>
      </c>
      <c r="AN896" s="10">
        <v>5.15</v>
      </c>
      <c r="AO896" s="9"/>
      <c r="AP896" s="9"/>
      <c r="AQ896" s="9"/>
      <c r="AR896" s="9"/>
      <c r="AS896" s="9"/>
      <c r="AT896" s="9">
        <f>+ab($U$896,$U$894,$T$898,$G$895,$G$897,-1*$F$896,1200)</f>
        <v>8.4331599804397257</v>
      </c>
      <c r="AU896" s="428"/>
      <c r="AV896" s="428"/>
      <c r="AW896" s="449" t="str">
        <f>IF(C896&gt;0,VLOOKUP(C896,Foundation_Calc!$A$2:$C$13,3,1),
IF(J896&gt;0,VLOOKUP(J896,Foundation_Calc!$A$2:$C$13,3,1),""))</f>
        <v>Multi Soil</v>
      </c>
      <c r="AX896" s="449" t="str">
        <f>IF(C896&gt;0,VLOOKUP(C896,Foundation_Calc!$E$2:$G$33,3,1),
IF(J896&gt;0,VLOOKUP(J896,Foundation_Calc!$E$2:$G$33,3,1),""))</f>
        <v>PT</v>
      </c>
      <c r="AY896" s="10">
        <f>IF(L896="","",
IF(AX896="PT",VLOOKUP(L896,Foundation_Calc!$K$79:$R$113,VLOOKUP(AW896,Foundation_Calc!$I$2:$J$8,2,FALSE),0),
IF(AX896="K",VLOOKUP(L896,Foundation_Calc!$K$117:$R$151,VLOOKUP(AW896,Foundation_Calc!$I$2:$J$8,2,FALSE),0),"")))</f>
        <v>3.7</v>
      </c>
      <c r="AZ896" s="10" t="str">
        <f>IF(K896="","",
IF(AX896="PT",VLOOKUP(K896,Foundation_Calc!$K$79:$R$113,VLOOKUP(AW896,Foundation_Calc!$I$2:$J$8,2,FALSE),0),
IF(AX896="K",VLOOKUP(K896,Foundation_Calc!$K$117:$R$151,VLOOKUP(AW896,Foundation_Calc!$I$2:$J$8,2,FALSE),0),"")))</f>
        <v/>
      </c>
      <c r="BA896" s="495" t="str">
        <f t="shared" si="105"/>
        <v>ü</v>
      </c>
      <c r="BB896" s="495" t="str">
        <f t="shared" si="106"/>
        <v/>
      </c>
      <c r="BC896" s="495" t="str">
        <f t="shared" si="107"/>
        <v/>
      </c>
      <c r="BD896" s="513" t="str">
        <f>Pole_Calc!A$13</f>
        <v>App.7-V11I-P9.5.1.5</v>
      </c>
      <c r="BE896" s="429" t="s">
        <v>118</v>
      </c>
      <c r="BF896" s="289"/>
      <c r="BG896" s="289"/>
      <c r="BH896" s="290"/>
      <c r="BI896" s="289"/>
    </row>
    <row r="897" spans="1:61" ht="15.75" customHeight="1">
      <c r="A897" s="514"/>
      <c r="B897" s="450"/>
      <c r="C897" s="3"/>
      <c r="D897" s="83"/>
      <c r="E897" s="4"/>
      <c r="F897" s="4"/>
      <c r="G897" s="6">
        <v>55.6</v>
      </c>
      <c r="H897" s="449"/>
      <c r="I897" s="4"/>
      <c r="J897" s="3"/>
      <c r="K897" s="449"/>
      <c r="L897" s="449"/>
      <c r="M897" s="449" t="str">
        <f>IF(L897="","",
IF(AX897="PT",VLOOKUP(L897,Foundation_Calc!$V$79:$X$113,VLOOKUP(AX897,Foundation_Calc!$I$10:$J$13,2,FALSE),0),
IF(AX897="K",VLOOKUP(L897,Foundation_Calc!$V$117:$X$151,VLOOKUP(AX897,Foundation_Calc!$I$10:$J$13,2,FALSE),0),"")))</f>
        <v/>
      </c>
      <c r="N897" s="449"/>
      <c r="O897" s="449"/>
      <c r="P897" s="449"/>
      <c r="Q897" s="4"/>
      <c r="R897" s="6"/>
      <c r="S897" s="6"/>
      <c r="T897" s="4"/>
      <c r="U897" s="4"/>
      <c r="V897" s="4"/>
      <c r="W897" s="572"/>
      <c r="X897" s="572"/>
      <c r="Y897" s="9"/>
      <c r="Z897" s="9"/>
      <c r="AA897" s="9"/>
      <c r="AB897" s="9"/>
      <c r="AC897" s="449" t="str">
        <f t="shared" si="104"/>
        <v/>
      </c>
      <c r="AD897" s="449"/>
      <c r="AE897" s="449"/>
      <c r="AF897" s="4"/>
      <c r="AG897" s="83"/>
      <c r="AH897" s="4"/>
      <c r="AI897" s="4"/>
      <c r="AJ897" s="449"/>
      <c r="AK897" s="449"/>
      <c r="AL897" s="449"/>
      <c r="AM897" s="449"/>
      <c r="AN897" s="10"/>
      <c r="AO897" s="9"/>
      <c r="AP897" s="9"/>
      <c r="AQ897" s="9">
        <f>+FL_2($T$898,$U$896,$G$897,1200,9.28,-1*$F$898)</f>
        <v>-0.40131398077697839</v>
      </c>
      <c r="AR897" s="9"/>
      <c r="AS897" s="9"/>
      <c r="AT897" s="9"/>
      <c r="AU897" s="428"/>
      <c r="AV897" s="428"/>
      <c r="AW897" s="449" t="str">
        <f>IF(C897&gt;0,VLOOKUP(C897,Foundation_Calc!$A$2:$C$13,3,1),
IF(J897&gt;0,VLOOKUP(J897,Foundation_Calc!$A$2:$C$13,3,1),""))</f>
        <v/>
      </c>
      <c r="AX897" s="449" t="str">
        <f>IF(C897&gt;0,VLOOKUP(C897,Foundation_Calc!$E$2:$G$33,3,1),
IF(J897&gt;0,VLOOKUP(J897,Foundation_Calc!$E$2:$G$33,3,1),""))</f>
        <v/>
      </c>
      <c r="AY897" s="10" t="str">
        <f>IF(L897="","",
IF(AX897="PT",VLOOKUP(L897,Foundation_Calc!$K$79:$R$113,VLOOKUP(AW897,Foundation_Calc!$I$2:$J$8,2,FALSE),0),
IF(AX897="K",VLOOKUP(L897,Foundation_Calc!$K$117:$R$151,VLOOKUP(AW897,Foundation_Calc!$I$2:$J$8,2,FALSE),0),"")))</f>
        <v/>
      </c>
      <c r="AZ897" s="10" t="str">
        <f>IF(K897="","",
IF(AX897="PT",VLOOKUP(K897,Foundation_Calc!$K$79:$R$113,VLOOKUP(AW897,Foundation_Calc!$I$2:$J$8,2,FALSE),0),
IF(AX897="K",VLOOKUP(K897,Foundation_Calc!$K$117:$R$151,VLOOKUP(AW897,Foundation_Calc!$I$2:$J$8,2,FALSE),0),"")))</f>
        <v/>
      </c>
      <c r="BA897" s="495" t="str">
        <f t="shared" si="105"/>
        <v/>
      </c>
      <c r="BB897" s="495" t="str">
        <f t="shared" si="106"/>
        <v/>
      </c>
      <c r="BC897" s="495" t="str">
        <f t="shared" si="107"/>
        <v/>
      </c>
      <c r="BD897" s="513" t="str">
        <f>IF(AND(L897="",H897=""),"",
IF(H897="",Pole_Calc!A$9,
IF(H897="MP",Pole_Calc!A$10,
IF(H897="AnMP",Pole_Calc!A$11,
IF(H897="A",Pole_Calc!A$12,
IF(H897="S/A",Pole_Calc!A$13,
IF(H897="A/S",Pole_Calc!A$14,"Poner a mano")))))))</f>
        <v/>
      </c>
      <c r="BE897" s="429" t="s">
        <v>118</v>
      </c>
      <c r="BF897" s="290"/>
      <c r="BG897" s="290"/>
      <c r="BH897" s="290"/>
      <c r="BI897" s="290"/>
    </row>
    <row r="898" spans="1:61" ht="15.75" customHeight="1">
      <c r="A898" s="514"/>
      <c r="B898" s="450" t="s">
        <v>710</v>
      </c>
      <c r="C898" s="3">
        <f>+$C$896+$G$897</f>
        <v>51613.200000000004</v>
      </c>
      <c r="D898" s="83"/>
      <c r="E898" s="4"/>
      <c r="F898" s="4">
        <f>IF(C898&gt;0,VLOOKUP(C898,'ALIGNMENT TRACK'!$A$1:$K$81,9,1))</f>
        <v>0</v>
      </c>
      <c r="G898" s="6"/>
      <c r="H898" s="449"/>
      <c r="I898" s="4"/>
      <c r="J898" s="3"/>
      <c r="K898" s="449"/>
      <c r="L898" s="449" t="s">
        <v>153</v>
      </c>
      <c r="M898" s="449" t="str">
        <f>IF(L898="","",
IF(AX898="PT",VLOOKUP(L898,Foundation_Calc!$V$79:$X$113,VLOOKUP(AX898,Foundation_Calc!$I$10:$J$13,2,FALSE),0),
IF(AX898="K",VLOOKUP(L898,Foundation_Calc!$V$117:$X$151,VLOOKUP(AX898,Foundation_Calc!$I$10:$J$13,2,FALSE),0),"")))</f>
        <v>C3R</v>
      </c>
      <c r="N898" s="449" t="s">
        <v>124</v>
      </c>
      <c r="O898" s="449"/>
      <c r="P898" s="449"/>
      <c r="Q898" s="4"/>
      <c r="R898" s="6"/>
      <c r="S898" s="6"/>
      <c r="T898" s="4">
        <v>-35</v>
      </c>
      <c r="U898" s="4"/>
      <c r="V898" s="4"/>
      <c r="W898" s="572">
        <v>1.2</v>
      </c>
      <c r="X898" s="572"/>
      <c r="Y898" s="9"/>
      <c r="Z898" s="9"/>
      <c r="AA898" s="9"/>
      <c r="AB898" s="9"/>
      <c r="AC898" s="449" t="str">
        <f t="shared" si="104"/>
        <v>PHQ</v>
      </c>
      <c r="AD898" s="449"/>
      <c r="AE898" s="449"/>
      <c r="AF898" s="4"/>
      <c r="AG898" s="83"/>
      <c r="AH898" s="4"/>
      <c r="AI898" s="4"/>
      <c r="AJ898" s="449"/>
      <c r="AK898" s="449"/>
      <c r="AL898" s="449"/>
      <c r="AM898" s="449" t="s">
        <v>552</v>
      </c>
      <c r="AN898" s="10">
        <v>5.15</v>
      </c>
      <c r="AO898" s="9"/>
      <c r="AP898" s="9"/>
      <c r="AQ898" s="9"/>
      <c r="AR898" s="9"/>
      <c r="AS898" s="9"/>
      <c r="AT898" s="9">
        <f>+ab($T$898,$U$896,$T$900,$G$897,$G$899,-1*$F$898,1200)</f>
        <v>-6.4057793112474259</v>
      </c>
      <c r="AU898" s="428"/>
      <c r="AV898" s="428"/>
      <c r="AW898" s="449" t="str">
        <f>IF(C898&gt;0,VLOOKUP(C898,Foundation_Calc!$A$2:$C$13,3,1),
IF(J898&gt;0,VLOOKUP(J898,Foundation_Calc!$A$2:$C$13,3,1),""))</f>
        <v>Multi Soil</v>
      </c>
      <c r="AX898" s="449" t="str">
        <f>IF(C898&gt;0,VLOOKUP(C898,Foundation_Calc!$E$2:$G$33,3,1),
IF(J898&gt;0,VLOOKUP(J898,Foundation_Calc!$E$2:$G$33,3,1),""))</f>
        <v>PT</v>
      </c>
      <c r="AY898" s="10">
        <f>IF(L898="","",
IF(AX898="PT",VLOOKUP(L898,Foundation_Calc!$K$79:$R$113,VLOOKUP(AW898,Foundation_Calc!$I$2:$J$8,2,FALSE),0),
IF(AX898="K",VLOOKUP(L898,Foundation_Calc!$K$117:$R$151,VLOOKUP(AW898,Foundation_Calc!$I$2:$J$8,2,FALSE),0),"")))</f>
        <v>3.5</v>
      </c>
      <c r="AZ898" s="10" t="str">
        <f>IF(K898="","",
IF(AX898="PT",VLOOKUP(K898,Foundation_Calc!$K$79:$R$113,VLOOKUP(AW898,Foundation_Calc!$I$2:$J$8,2,FALSE),0),
IF(AX898="K",VLOOKUP(K898,Foundation_Calc!$K$117:$R$151,VLOOKUP(AW898,Foundation_Calc!$I$2:$J$8,2,FALSE),0),"")))</f>
        <v/>
      </c>
      <c r="BA898" s="495" t="str">
        <f t="shared" si="105"/>
        <v>ü</v>
      </c>
      <c r="BB898" s="495" t="str">
        <f t="shared" si="106"/>
        <v/>
      </c>
      <c r="BC898" s="495" t="str">
        <f t="shared" si="107"/>
        <v/>
      </c>
      <c r="BD898" s="513" t="str">
        <f>IF(AND(L898="",H898=""),"",
IF(H898="",Pole_Calc!A$9,
IF(H898="MP",Pole_Calc!A$10,
IF(H898="AnMP",Pole_Calc!A$11,
IF(H898="A",Pole_Calc!A$12,
IF(H898="S/A",Pole_Calc!A$13,
IF(H898="A/S",Pole_Calc!A$14,"Poner a mano")))))))</f>
        <v>App.7-V11I-P9.5.1.1</v>
      </c>
      <c r="BE898" s="429" t="s">
        <v>118</v>
      </c>
      <c r="BF898" s="289"/>
      <c r="BG898" s="289"/>
      <c r="BH898" s="290"/>
      <c r="BI898" s="289"/>
    </row>
    <row r="899" spans="1:61" ht="15.75" customHeight="1">
      <c r="A899" s="514" t="s">
        <v>169</v>
      </c>
      <c r="B899" s="450"/>
      <c r="C899" s="3"/>
      <c r="D899" s="83"/>
      <c r="E899" s="4"/>
      <c r="F899" s="4"/>
      <c r="G899" s="6">
        <v>40.6</v>
      </c>
      <c r="H899" s="449"/>
      <c r="I899" s="4"/>
      <c r="J899" s="3"/>
      <c r="K899" s="449"/>
      <c r="L899" s="449"/>
      <c r="M899" s="449" t="str">
        <f>IF(L899="","",
IF(AX899="PT",VLOOKUP(L899,Foundation_Calc!$V$79:$X$113,VLOOKUP(AX899,Foundation_Calc!$I$10:$J$13,2,FALSE),0),
IF(AX899="K",VLOOKUP(L899,Foundation_Calc!$V$117:$X$151,VLOOKUP(AX899,Foundation_Calc!$I$10:$J$13,2,FALSE),0),"")))</f>
        <v/>
      </c>
      <c r="N899" s="449"/>
      <c r="O899" s="449"/>
      <c r="P899" s="449"/>
      <c r="Q899" s="4"/>
      <c r="R899" s="6"/>
      <c r="S899" s="6"/>
      <c r="T899" s="4"/>
      <c r="U899" s="4"/>
      <c r="V899" s="4"/>
      <c r="W899" s="572"/>
      <c r="X899" s="572"/>
      <c r="Y899" s="9"/>
      <c r="Z899" s="9"/>
      <c r="AA899" s="9"/>
      <c r="AB899" s="9"/>
      <c r="AC899" s="449" t="str">
        <f t="shared" si="104"/>
        <v/>
      </c>
      <c r="AD899" s="449"/>
      <c r="AE899" s="449"/>
      <c r="AF899" s="4"/>
      <c r="AG899" s="83"/>
      <c r="AH899" s="4"/>
      <c r="AI899" s="4"/>
      <c r="AJ899" s="449"/>
      <c r="AK899" s="449"/>
      <c r="AL899" s="449"/>
      <c r="AM899" s="449"/>
      <c r="AN899" s="10"/>
      <c r="AO899" s="9"/>
      <c r="AP899" s="9"/>
      <c r="AQ899" s="9">
        <f>+FL_2($T$900,$T$898,$G$899,1200,9.28,-1*$F$900)</f>
        <v>-0.35000000000000059</v>
      </c>
      <c r="AR899" s="9"/>
      <c r="AS899" s="9"/>
      <c r="AT899" s="9"/>
      <c r="AU899" s="428"/>
      <c r="AV899" s="428"/>
      <c r="AW899" s="449" t="str">
        <f>IF(C899&gt;0,VLOOKUP(C899,Foundation_Calc!$A$2:$C$13,3,1),
IF(J899&gt;0,VLOOKUP(J899,Foundation_Calc!$A$2:$C$13,3,1),""))</f>
        <v/>
      </c>
      <c r="AX899" s="449" t="str">
        <f>IF(C899&gt;0,VLOOKUP(C899,Foundation_Calc!$E$2:$G$33,3,1),
IF(J899&gt;0,VLOOKUP(J899,Foundation_Calc!$E$2:$G$33,3,1),""))</f>
        <v/>
      </c>
      <c r="AY899" s="10" t="str">
        <f>IF(L899="","",
IF(AX899="PT",VLOOKUP(L899,Foundation_Calc!$K$79:$R$113,VLOOKUP(AW899,Foundation_Calc!$I$2:$J$8,2,FALSE),0),
IF(AX899="K",VLOOKUP(L899,Foundation_Calc!$K$117:$R$151,VLOOKUP(AW899,Foundation_Calc!$I$2:$J$8,2,FALSE),0),"")))</f>
        <v/>
      </c>
      <c r="AZ899" s="10" t="str">
        <f>IF(K899="","",
IF(AX899="PT",VLOOKUP(K899,Foundation_Calc!$K$79:$R$113,VLOOKUP(AW899,Foundation_Calc!$I$2:$J$8,2,FALSE),0),
IF(AX899="K",VLOOKUP(K899,Foundation_Calc!$K$117:$R$151,VLOOKUP(AW899,Foundation_Calc!$I$2:$J$8,2,FALSE),0),"")))</f>
        <v/>
      </c>
      <c r="BA899" s="495" t="str">
        <f t="shared" si="105"/>
        <v/>
      </c>
      <c r="BB899" s="495" t="str">
        <f t="shared" si="106"/>
        <v/>
      </c>
      <c r="BC899" s="495" t="str">
        <f t="shared" si="107"/>
        <v/>
      </c>
      <c r="BD899" s="513" t="str">
        <f>IF(AND(L899="",H899=""),"",
IF(H899="",Pole_Calc!A$9,
IF(H899="MP",Pole_Calc!A$10,
IF(H899="AnMP",Pole_Calc!A$11,
IF(H899="A",Pole_Calc!A$12,
IF(H899="S/A",Pole_Calc!A$13,
IF(H899="A/S",Pole_Calc!A$14,"Poner a mano")))))))</f>
        <v/>
      </c>
      <c r="BE899" s="429" t="s">
        <v>118</v>
      </c>
      <c r="BF899" s="290"/>
      <c r="BG899" s="290"/>
      <c r="BH899" s="290"/>
      <c r="BI899" s="290"/>
    </row>
    <row r="900" spans="1:61" ht="15.75" customHeight="1">
      <c r="A900" s="518"/>
      <c r="B900" s="450" t="s">
        <v>711</v>
      </c>
      <c r="C900" s="3">
        <f>+$C$898+$G$899</f>
        <v>51653.8</v>
      </c>
      <c r="D900" s="83"/>
      <c r="E900" s="4"/>
      <c r="F900" s="4">
        <f>IF(C900&gt;0,VLOOKUP(C900,'ALIGNMENT TRACK'!$A$1:$K$81,9,1))</f>
        <v>0</v>
      </c>
      <c r="G900" s="6"/>
      <c r="H900" s="449"/>
      <c r="I900" s="4"/>
      <c r="J900" s="3"/>
      <c r="K900" s="449"/>
      <c r="L900" s="449" t="s">
        <v>232</v>
      </c>
      <c r="M900" s="449" t="str">
        <f>IF(L900="","",
IF(AX900="PT",VLOOKUP(L900,Foundation_Calc!$V$79:$X$113,VLOOKUP(AX900,Foundation_Calc!$I$10:$J$13,2,FALSE),0),
IF(AX900="K",VLOOKUP(L900,Foundation_Calc!$V$117:$X$151,VLOOKUP(AX900,Foundation_Calc!$I$10:$J$13,2,FALSE),0),"")))</f>
        <v>C5R</v>
      </c>
      <c r="N900" s="449" t="s">
        <v>134</v>
      </c>
      <c r="O900" s="449"/>
      <c r="P900" s="449"/>
      <c r="Q900" s="4"/>
      <c r="R900" s="6"/>
      <c r="S900" s="6"/>
      <c r="T900" s="4">
        <v>35</v>
      </c>
      <c r="U900" s="4"/>
      <c r="V900" s="4"/>
      <c r="W900" s="572">
        <v>1</v>
      </c>
      <c r="X900" s="572"/>
      <c r="Y900" s="9"/>
      <c r="Z900" s="9"/>
      <c r="AA900" s="9"/>
      <c r="AB900" s="9"/>
      <c r="AC900" s="449" t="str">
        <f t="shared" si="104"/>
        <v>PHC</v>
      </c>
      <c r="AD900" s="449"/>
      <c r="AE900" s="449"/>
      <c r="AF900" s="4"/>
      <c r="AG900" s="83"/>
      <c r="AH900" s="4"/>
      <c r="AI900" s="4"/>
      <c r="AJ900" s="449"/>
      <c r="AK900" s="449"/>
      <c r="AL900" s="449" t="s">
        <v>241</v>
      </c>
      <c r="AM900" s="449" t="s">
        <v>552</v>
      </c>
      <c r="AN900" s="10">
        <v>5.15</v>
      </c>
      <c r="AO900" s="9"/>
      <c r="AP900" s="9"/>
      <c r="AQ900" s="9"/>
      <c r="AR900" s="9"/>
      <c r="AS900" s="9"/>
      <c r="AT900" s="9">
        <f>+ab($T$900,$T$898,$T$902,$G$899,$G$901,-1*$F$900,1200)</f>
        <v>4.47551606382497</v>
      </c>
      <c r="AU900" s="428"/>
      <c r="AV900" s="428"/>
      <c r="AW900" s="449" t="str">
        <f>IF(C900&gt;0,VLOOKUP(C900,Foundation_Calc!$A$2:$C$13,3,1),
IF(J900&gt;0,VLOOKUP(J900,Foundation_Calc!$A$2:$C$13,3,1),""))</f>
        <v>Multi Soil</v>
      </c>
      <c r="AX900" s="449" t="str">
        <f>IF(C900&gt;0,VLOOKUP(C900,Foundation_Calc!$E$2:$G$33,3,1),
IF(J900&gt;0,VLOOKUP(J900,Foundation_Calc!$E$2:$G$33,3,1),""))</f>
        <v>PT</v>
      </c>
      <c r="AY900" s="10">
        <f>IF(L900="","",
IF(AX900="PT",VLOOKUP(L900,Foundation_Calc!$K$79:$R$113,VLOOKUP(AW900,Foundation_Calc!$I$2:$J$8,2,FALSE),0),
IF(AX900="K",VLOOKUP(L900,Foundation_Calc!$K$117:$R$151,VLOOKUP(AW900,Foundation_Calc!$I$2:$J$8,2,FALSE),0),"")))</f>
        <v>3.5</v>
      </c>
      <c r="AZ900" s="10" t="str">
        <f>IF(K900="","",
IF(AX900="PT",VLOOKUP(K900,Foundation_Calc!$K$79:$R$113,VLOOKUP(AW900,Foundation_Calc!$I$2:$J$8,2,FALSE),0),
IF(AX900="K",VLOOKUP(K900,Foundation_Calc!$K$117:$R$151,VLOOKUP(AW900,Foundation_Calc!$I$2:$J$8,2,FALSE),0),"")))</f>
        <v/>
      </c>
      <c r="BA900" s="495" t="str">
        <f t="shared" si="105"/>
        <v>ü</v>
      </c>
      <c r="BB900" s="495" t="str">
        <f t="shared" si="106"/>
        <v/>
      </c>
      <c r="BC900" s="495" t="str">
        <f t="shared" si="107"/>
        <v/>
      </c>
      <c r="BD900" s="513" t="str">
        <f>Pole_Calc!A$251</f>
        <v>App.8-V08H-P10.3</v>
      </c>
      <c r="BE900" s="429" t="s">
        <v>118</v>
      </c>
      <c r="BF900" s="289"/>
      <c r="BG900" s="289"/>
      <c r="BH900" s="290"/>
      <c r="BI900" s="289"/>
    </row>
    <row r="901" spans="1:61" ht="15.75" customHeight="1">
      <c r="A901" s="514" t="s">
        <v>169</v>
      </c>
      <c r="B901" s="450"/>
      <c r="C901" s="3"/>
      <c r="D901" s="83"/>
      <c r="E901" s="4"/>
      <c r="F901" s="4"/>
      <c r="G901" s="6">
        <v>27.4</v>
      </c>
      <c r="H901" s="449"/>
      <c r="I901" s="4"/>
      <c r="J901" s="3"/>
      <c r="K901" s="449"/>
      <c r="L901" s="449"/>
      <c r="M901" s="449" t="str">
        <f>IF(L901="","",
IF(AX901="PT",VLOOKUP(L901,Foundation_Calc!$V$79:$X$113,VLOOKUP(AX901,Foundation_Calc!$I$10:$J$13,2,FALSE),0),
IF(AX901="K",VLOOKUP(L901,Foundation_Calc!$V$117:$X$151,VLOOKUP(AX901,Foundation_Calc!$I$10:$J$13,2,FALSE),0),"")))</f>
        <v/>
      </c>
      <c r="N901" s="561"/>
      <c r="O901" s="449"/>
      <c r="P901" s="449"/>
      <c r="Q901" s="4"/>
      <c r="R901" s="6"/>
      <c r="S901" s="6"/>
      <c r="T901" s="4"/>
      <c r="U901" s="4"/>
      <c r="V901" s="4"/>
      <c r="W901" s="572"/>
      <c r="X901" s="572"/>
      <c r="Y901" s="9"/>
      <c r="Z901" s="9"/>
      <c r="AA901" s="9"/>
      <c r="AB901" s="9"/>
      <c r="AC901" s="449" t="str">
        <f t="shared" si="104"/>
        <v/>
      </c>
      <c r="AD901" s="449"/>
      <c r="AE901" s="449"/>
      <c r="AF901" s="4"/>
      <c r="AG901" s="83"/>
      <c r="AH901" s="4"/>
      <c r="AI901" s="4"/>
      <c r="AJ901" s="449"/>
      <c r="AK901" s="449"/>
      <c r="AL901" s="449"/>
      <c r="AM901" s="449"/>
      <c r="AN901" s="10"/>
      <c r="AO901" s="9"/>
      <c r="AP901" s="9"/>
      <c r="AQ901" s="9">
        <f>+FL_1($T$902,$T$900,$G$901,1200,9.28,-1*$F$902)</f>
        <v>0.35000000000002218</v>
      </c>
      <c r="AR901" s="9"/>
      <c r="AS901" s="9"/>
      <c r="AT901" s="9"/>
      <c r="AU901" s="428"/>
      <c r="AV901" s="428"/>
      <c r="AW901" s="449" t="str">
        <f>IF(C901&gt;0,VLOOKUP(C901,Foundation_Calc!$A$2:$C$13,3,1),
IF(J901&gt;0,VLOOKUP(J901,Foundation_Calc!$A$2:$C$13,3,1),""))</f>
        <v/>
      </c>
      <c r="AX901" s="449" t="str">
        <f>IF(C901&gt;0,VLOOKUP(C901,Foundation_Calc!$E$2:$G$33,3,1),
IF(J901&gt;0,VLOOKUP(J901,Foundation_Calc!$E$2:$G$33,3,1),""))</f>
        <v/>
      </c>
      <c r="AY901" s="10" t="str">
        <f>IF(L901="","",
IF(AX901="PT",VLOOKUP(L901,Foundation_Calc!$K$79:$R$113,VLOOKUP(AW901,Foundation_Calc!$I$2:$J$8,2,FALSE),0),
IF(AX901="K",VLOOKUP(L901,Foundation_Calc!$K$117:$R$151,VLOOKUP(AW901,Foundation_Calc!$I$2:$J$8,2,FALSE),0),"")))</f>
        <v/>
      </c>
      <c r="AZ901" s="10" t="str">
        <f>IF(K901="","",
IF(AX901="PT",VLOOKUP(K901,Foundation_Calc!$K$79:$R$113,VLOOKUP(AW901,Foundation_Calc!$I$2:$J$8,2,FALSE),0),
IF(AX901="K",VLOOKUP(K901,Foundation_Calc!$K$117:$R$151,VLOOKUP(AW901,Foundation_Calc!$I$2:$J$8,2,FALSE),0),"")))</f>
        <v/>
      </c>
      <c r="BA901" s="495" t="str">
        <f t="shared" si="105"/>
        <v/>
      </c>
      <c r="BB901" s="495" t="str">
        <f t="shared" si="106"/>
        <v/>
      </c>
      <c r="BC901" s="495" t="str">
        <f t="shared" si="107"/>
        <v/>
      </c>
      <c r="BD901" s="513" t="str">
        <f>IF(AND(L901="",H901=""),"",
IF(H901="",Pole_Calc!A$9,
IF(H901="MP",Pole_Calc!A$10,
IF(H901="AnMP",Pole_Calc!A$11,
IF(H901="A",Pole_Calc!A$12,
IF(H901="S/A",Pole_Calc!A$13,
IF(H901="A/S",Pole_Calc!A$14,"Poner a mano")))))))</f>
        <v/>
      </c>
      <c r="BE901" s="429" t="s">
        <v>118</v>
      </c>
      <c r="BF901" s="290"/>
      <c r="BG901" s="290"/>
      <c r="BH901" s="290"/>
      <c r="BI901" s="290"/>
    </row>
    <row r="902" spans="1:61" ht="15.75" customHeight="1">
      <c r="A902" s="514" t="s">
        <v>712</v>
      </c>
      <c r="B902" s="450" t="s">
        <v>713</v>
      </c>
      <c r="C902" s="3">
        <f>+$C$900+$G$901</f>
        <v>51681.200000000004</v>
      </c>
      <c r="D902" s="83"/>
      <c r="E902" s="4"/>
      <c r="F902" s="4">
        <f>IF(C902&gt;0,VLOOKUP(C902,'ALIGNMENT TRACK'!$A$1:$K$81,9,1))</f>
        <v>0</v>
      </c>
      <c r="G902" s="6"/>
      <c r="H902" s="449"/>
      <c r="I902" s="4"/>
      <c r="J902" s="3"/>
      <c r="K902" s="449"/>
      <c r="L902" s="449" t="s">
        <v>232</v>
      </c>
      <c r="M902" s="449" t="str">
        <f>IF(L902="","",
IF(AX902="PT",VLOOKUP(L902,Foundation_Calc!$V$79:$X$113,VLOOKUP(AX902,Foundation_Calc!$I$10:$J$13,2,FALSE),0),
IF(AX902="K",VLOOKUP(L902,Foundation_Calc!$V$117:$X$151,VLOOKUP(AX902,Foundation_Calc!$I$10:$J$13,2,FALSE),0),"")))</f>
        <v>C5R</v>
      </c>
      <c r="N902" s="449" t="s">
        <v>124</v>
      </c>
      <c r="O902" s="449"/>
      <c r="P902" s="449"/>
      <c r="Q902" s="4"/>
      <c r="R902" s="6"/>
      <c r="S902" s="6"/>
      <c r="T902" s="4">
        <v>-35</v>
      </c>
      <c r="U902" s="4"/>
      <c r="V902" s="4"/>
      <c r="W902" s="572">
        <v>0.7</v>
      </c>
      <c r="X902" s="572"/>
      <c r="Y902" s="9"/>
      <c r="Z902" s="9"/>
      <c r="AA902" s="9"/>
      <c r="AB902" s="9"/>
      <c r="AC902" s="449" t="str">
        <f t="shared" si="104"/>
        <v>PHC</v>
      </c>
      <c r="AD902" s="449"/>
      <c r="AE902" s="449"/>
      <c r="AF902" s="4"/>
      <c r="AG902" s="83"/>
      <c r="AH902" s="4"/>
      <c r="AI902" s="4"/>
      <c r="AJ902" s="449" t="s">
        <v>251</v>
      </c>
      <c r="AK902" s="449"/>
      <c r="AL902" s="449" t="s">
        <v>241</v>
      </c>
      <c r="AM902" s="449" t="s">
        <v>552</v>
      </c>
      <c r="AN902" s="10">
        <v>5.15</v>
      </c>
      <c r="AO902" s="9"/>
      <c r="AP902" s="9"/>
      <c r="AQ902" s="9"/>
      <c r="AR902" s="9"/>
      <c r="AS902" s="9"/>
      <c r="AT902" s="9">
        <f>+ab($T$902,$T$900,$T$904,$G$901,$G$903,-1*$F$902,1200)</f>
        <v>-4.4030301925432918</v>
      </c>
      <c r="AU902" s="428"/>
      <c r="AV902" s="428"/>
      <c r="AW902" s="449" t="str">
        <f>IF(C902&gt;0,VLOOKUP(C902,Foundation_Calc!$A$2:$C$13,3,1),
IF(J902&gt;0,VLOOKUP(J902,Foundation_Calc!$A$2:$C$13,3,1),""))</f>
        <v>Multi Soil</v>
      </c>
      <c r="AX902" s="449" t="str">
        <f>IF(C902&gt;0,VLOOKUP(C902,Foundation_Calc!$E$2:$G$33,3,1),
IF(J902&gt;0,VLOOKUP(J902,Foundation_Calc!$E$2:$G$33,3,1),""))</f>
        <v>PT</v>
      </c>
      <c r="AY902" s="10">
        <f>IF(L902="","",
IF(AX902="PT",VLOOKUP(L902,Foundation_Calc!$K$79:$R$113,VLOOKUP(AW902,Foundation_Calc!$I$2:$J$8,2,FALSE),0),
IF(AX902="K",VLOOKUP(L902,Foundation_Calc!$K$117:$R$151,VLOOKUP(AW902,Foundation_Calc!$I$2:$J$8,2,FALSE),0),"")))</f>
        <v>3.5</v>
      </c>
      <c r="AZ902" s="10" t="str">
        <f>IF(K902="","",
IF(AX902="PT",VLOOKUP(K902,Foundation_Calc!$K$79:$R$113,VLOOKUP(AW902,Foundation_Calc!$I$2:$J$8,2,FALSE),0),
IF(AX902="K",VLOOKUP(K902,Foundation_Calc!$K$117:$R$151,VLOOKUP(AW902,Foundation_Calc!$I$2:$J$8,2,FALSE),0),"")))</f>
        <v/>
      </c>
      <c r="BA902" s="495" t="str">
        <f t="shared" si="105"/>
        <v>ü</v>
      </c>
      <c r="BB902" s="495" t="str">
        <f t="shared" si="106"/>
        <v/>
      </c>
      <c r="BC902" s="495" t="str">
        <f t="shared" si="107"/>
        <v/>
      </c>
      <c r="BD902" s="513" t="str">
        <f>Pole_Calc!A$251</f>
        <v>App.8-V08H-P10.3</v>
      </c>
      <c r="BE902" s="429" t="s">
        <v>118</v>
      </c>
      <c r="BF902" s="289"/>
      <c r="BG902" s="289"/>
      <c r="BH902" s="290"/>
      <c r="BI902" s="289"/>
    </row>
    <row r="903" spans="1:61" ht="15.75" customHeight="1">
      <c r="A903" s="514" t="s">
        <v>199</v>
      </c>
      <c r="B903" s="450"/>
      <c r="C903" s="3"/>
      <c r="D903" s="83"/>
      <c r="E903" s="4"/>
      <c r="F903" s="4"/>
      <c r="G903" s="6">
        <v>39</v>
      </c>
      <c r="H903" s="449"/>
      <c r="I903" s="4"/>
      <c r="J903" s="3"/>
      <c r="K903" s="449"/>
      <c r="L903" s="449"/>
      <c r="M903" s="449" t="str">
        <f>IF(L903="","",
IF(AX903="PT",VLOOKUP(L903,Foundation_Calc!$V$79:$X$113,VLOOKUP(AX903,Foundation_Calc!$I$10:$J$13,2,FALSE),0),
IF(AX903="K",VLOOKUP(L903,Foundation_Calc!$V$117:$X$151,VLOOKUP(AX903,Foundation_Calc!$I$10:$J$13,2,FALSE),0),"")))</f>
        <v/>
      </c>
      <c r="N903" s="449"/>
      <c r="O903" s="449"/>
      <c r="P903" s="449"/>
      <c r="Q903" s="4"/>
      <c r="R903" s="6"/>
      <c r="S903" s="6"/>
      <c r="T903" s="4"/>
      <c r="U903" s="4"/>
      <c r="V903" s="4"/>
      <c r="W903" s="572"/>
      <c r="X903" s="572"/>
      <c r="Y903" s="9"/>
      <c r="Z903" s="9"/>
      <c r="AA903" s="9"/>
      <c r="AB903" s="9"/>
      <c r="AC903" s="449" t="str">
        <f t="shared" si="104"/>
        <v/>
      </c>
      <c r="AD903" s="449"/>
      <c r="AE903" s="449"/>
      <c r="AF903" s="4"/>
      <c r="AG903" s="83"/>
      <c r="AH903" s="4"/>
      <c r="AI903" s="4"/>
      <c r="AJ903" s="449"/>
      <c r="AK903" s="449"/>
      <c r="AL903" s="449"/>
      <c r="AM903" s="449"/>
      <c r="AN903" s="10"/>
      <c r="AO903" s="9"/>
      <c r="AP903" s="9"/>
      <c r="AQ903" s="9">
        <f>+FL_2($T$904,$T$902,$G$903,1200,9.28,-1*$F$904)</f>
        <v>-0.35000000000000225</v>
      </c>
      <c r="AR903" s="9"/>
      <c r="AS903" s="9"/>
      <c r="AT903" s="9"/>
      <c r="AU903" s="428"/>
      <c r="AV903" s="428"/>
      <c r="AW903" s="449" t="str">
        <f>IF(C903&gt;0,VLOOKUP(C903,Foundation_Calc!$A$2:$C$13,3,1),
IF(J903&gt;0,VLOOKUP(J903,Foundation_Calc!$A$2:$C$13,3,1),""))</f>
        <v/>
      </c>
      <c r="AX903" s="449" t="str">
        <f>IF(C903&gt;0,VLOOKUP(C903,Foundation_Calc!$E$2:$G$33,3,1),
IF(J903&gt;0,VLOOKUP(J903,Foundation_Calc!$E$2:$G$33,3,1),""))</f>
        <v/>
      </c>
      <c r="AY903" s="10" t="str">
        <f>IF(L903="","",
IF(AX903="PT",VLOOKUP(L903,Foundation_Calc!$K$79:$R$113,VLOOKUP(AW903,Foundation_Calc!$I$2:$J$8,2,FALSE),0),
IF(AX903="K",VLOOKUP(L903,Foundation_Calc!$K$117:$R$151,VLOOKUP(AW903,Foundation_Calc!$I$2:$J$8,2,FALSE),0),"")))</f>
        <v/>
      </c>
      <c r="AZ903" s="10" t="str">
        <f>IF(K903="","",
IF(AX903="PT",VLOOKUP(K903,Foundation_Calc!$K$79:$R$113,VLOOKUP(AW903,Foundation_Calc!$I$2:$J$8,2,FALSE),0),
IF(AX903="K",VLOOKUP(K903,Foundation_Calc!$K$117:$R$151,VLOOKUP(AW903,Foundation_Calc!$I$2:$J$8,2,FALSE),0),"")))</f>
        <v/>
      </c>
      <c r="BA903" s="495" t="str">
        <f t="shared" si="105"/>
        <v/>
      </c>
      <c r="BB903" s="495" t="str">
        <f t="shared" si="106"/>
        <v/>
      </c>
      <c r="BC903" s="495" t="str">
        <f t="shared" si="107"/>
        <v/>
      </c>
      <c r="BD903" s="513"/>
      <c r="BE903" s="429" t="s">
        <v>118</v>
      </c>
      <c r="BF903" s="290"/>
      <c r="BG903" s="290"/>
      <c r="BH903" s="290"/>
      <c r="BI903" s="290"/>
    </row>
    <row r="904" spans="1:61" ht="15.75" customHeight="1">
      <c r="A904" s="733" t="s">
        <v>199</v>
      </c>
      <c r="B904" s="450" t="s">
        <v>714</v>
      </c>
      <c r="C904" s="3">
        <f>+$C$902+$G$903</f>
        <v>51720.200000000004</v>
      </c>
      <c r="D904" s="83"/>
      <c r="E904" s="4"/>
      <c r="F904" s="4">
        <f>IF(C904&gt;0,VLOOKUP(C904,'ALIGNMENT TRACK'!$A$1:$K$81,9,1))</f>
        <v>0</v>
      </c>
      <c r="G904" s="6"/>
      <c r="H904" s="449"/>
      <c r="I904" s="4"/>
      <c r="J904" s="3"/>
      <c r="K904" s="449"/>
      <c r="L904" s="449" t="s">
        <v>201</v>
      </c>
      <c r="M904" s="449" t="str">
        <f>IF(L904="","",
IF(AX904="PT",VLOOKUP(L904,Foundation_Calc!$V$79:$X$113,VLOOKUP(AX904,Foundation_Calc!$I$10:$J$13,2,FALSE),0),
IF(AX904="K",VLOOKUP(L904,Foundation_Calc!$V$117:$X$151,VLOOKUP(AX904,Foundation_Calc!$I$10:$J$13,2,FALSE),0),"")))</f>
        <v/>
      </c>
      <c r="N904" s="449" t="s">
        <v>134</v>
      </c>
      <c r="O904" s="449"/>
      <c r="P904" s="449"/>
      <c r="Q904" s="4"/>
      <c r="R904" s="6"/>
      <c r="S904" s="6"/>
      <c r="T904" s="4">
        <v>35</v>
      </c>
      <c r="U904" s="4"/>
      <c r="V904" s="4"/>
      <c r="W904" s="572">
        <v>0.7</v>
      </c>
      <c r="X904" s="572"/>
      <c r="Y904" s="9"/>
      <c r="Z904" s="9"/>
      <c r="AA904" s="9"/>
      <c r="AB904" s="9"/>
      <c r="AC904" s="449" t="str">
        <f t="shared" si="104"/>
        <v>PHQ</v>
      </c>
      <c r="AD904" s="449"/>
      <c r="AE904" s="449"/>
      <c r="AF904" s="4"/>
      <c r="AG904" s="83"/>
      <c r="AH904" s="4"/>
      <c r="AI904" s="4"/>
      <c r="AJ904" s="449"/>
      <c r="AK904" s="449" t="s">
        <v>715</v>
      </c>
      <c r="AL904" s="449"/>
      <c r="AM904" s="449" t="s">
        <v>716</v>
      </c>
      <c r="AN904" s="10">
        <v>5.15</v>
      </c>
      <c r="AO904" s="9"/>
      <c r="AP904" s="9"/>
      <c r="AQ904" s="9"/>
      <c r="AR904" s="9"/>
      <c r="AS904" s="9"/>
      <c r="AT904" s="9">
        <f>+ab($T$904,$T$902,$T$906,$G$903,$G$905,-1*$F$904,1200)</f>
        <v>5.6251273264622439</v>
      </c>
      <c r="AU904" s="428"/>
      <c r="AV904" s="428"/>
      <c r="AW904" s="449"/>
      <c r="AX904" s="449"/>
      <c r="AY904" s="10" t="str">
        <f>IF(L904="","",
IF(AX904="PT",VLOOKUP(L904,Foundation_Calc!$K$79:$R$113,VLOOKUP(AW904,Foundation_Calc!$I$2:$J$8,2,FALSE),0),
IF(AX904="K",VLOOKUP(L904,Foundation_Calc!$K$117:$R$151,VLOOKUP(AW904,Foundation_Calc!$I$2:$J$8,2,FALSE),0),"")))</f>
        <v/>
      </c>
      <c r="AZ904" s="10" t="str">
        <f>IF(K904="","",
IF(AX904="PT",VLOOKUP(K904,Foundation_Calc!$K$79:$R$113,VLOOKUP(AW904,Foundation_Calc!$I$2:$J$8,2,FALSE),0),
IF(AX904="K",VLOOKUP(K904,Foundation_Calc!$K$117:$R$151,VLOOKUP(AW904,Foundation_Calc!$I$2:$J$8,2,FALSE),0),"")))</f>
        <v/>
      </c>
      <c r="BA904" s="495" t="str">
        <f t="shared" si="105"/>
        <v/>
      </c>
      <c r="BB904" s="495" t="str">
        <f t="shared" si="106"/>
        <v/>
      </c>
      <c r="BC904" s="495" t="str">
        <f t="shared" si="107"/>
        <v/>
      </c>
      <c r="BD904" s="513"/>
      <c r="BE904" s="429" t="s">
        <v>118</v>
      </c>
      <c r="BF904" s="289"/>
      <c r="BG904" s="289"/>
      <c r="BH904" s="290"/>
      <c r="BI904" s="289"/>
    </row>
    <row r="905" spans="1:61" ht="15.75" customHeight="1">
      <c r="A905" s="514" t="s">
        <v>199</v>
      </c>
      <c r="B905" s="450"/>
      <c r="C905" s="3"/>
      <c r="D905" s="83"/>
      <c r="E905" s="4"/>
      <c r="F905" s="4"/>
      <c r="G905" s="6">
        <v>43.6</v>
      </c>
      <c r="H905" s="449"/>
      <c r="I905" s="4"/>
      <c r="J905" s="3"/>
      <c r="K905" s="449"/>
      <c r="L905" s="449"/>
      <c r="M905" s="449" t="str">
        <f>IF(L905="","",
IF(AX905="PT",VLOOKUP(L905,Foundation_Calc!$V$79:$X$113,VLOOKUP(AX905,Foundation_Calc!$I$10:$J$13,2,FALSE),0),
IF(AX905="K",VLOOKUP(L905,Foundation_Calc!$V$117:$X$151,VLOOKUP(AX905,Foundation_Calc!$I$10:$J$13,2,FALSE),0),"")))</f>
        <v/>
      </c>
      <c r="N905" s="449"/>
      <c r="O905" s="449"/>
      <c r="P905" s="449"/>
      <c r="Q905" s="4"/>
      <c r="R905" s="6"/>
      <c r="S905" s="6"/>
      <c r="T905" s="4"/>
      <c r="U905" s="4"/>
      <c r="V905" s="4"/>
      <c r="W905" s="572"/>
      <c r="X905" s="572"/>
      <c r="Y905" s="9"/>
      <c r="Z905" s="9"/>
      <c r="AA905" s="9"/>
      <c r="AB905" s="9"/>
      <c r="AC905" s="449" t="str">
        <f t="shared" si="104"/>
        <v/>
      </c>
      <c r="AD905" s="449"/>
      <c r="AE905" s="449"/>
      <c r="AF905" s="4"/>
      <c r="AG905" s="83"/>
      <c r="AH905" s="4"/>
      <c r="AI905" s="4"/>
      <c r="AJ905" s="449"/>
      <c r="AK905" s="449"/>
      <c r="AL905" s="449"/>
      <c r="AM905" s="449"/>
      <c r="AN905" s="10"/>
      <c r="AO905" s="9"/>
      <c r="AP905" s="9"/>
      <c r="AQ905" s="9">
        <f>+FL_1($T$906,$T$904,$G$905,1200,9.28,-1*$F$906)</f>
        <v>0.35041754696024452</v>
      </c>
      <c r="AR905" s="9"/>
      <c r="AS905" s="9"/>
      <c r="AT905" s="9"/>
      <c r="AU905" s="428"/>
      <c r="AV905" s="428"/>
      <c r="AW905" s="449" t="str">
        <f>IF(C905&gt;0,VLOOKUP(C905,Foundation_Calc!$A$2:$C$13,3,1),
IF(J905&gt;0,VLOOKUP(J905,Foundation_Calc!$A$2:$C$13,3,1),""))</f>
        <v/>
      </c>
      <c r="AX905" s="449" t="str">
        <f>IF(C905&gt;0,VLOOKUP(C905,Foundation_Calc!$E$2:$G$33,3,1),
IF(J905&gt;0,VLOOKUP(J905,Foundation_Calc!$E$2:$G$33,3,1),""))</f>
        <v/>
      </c>
      <c r="AY905" s="10" t="str">
        <f>IF(L905="","",
IF(AX905="PT",VLOOKUP(L905,Foundation_Calc!$K$79:$R$113,VLOOKUP(AW905,Foundation_Calc!$I$2:$J$8,2,FALSE),0),
IF(AX905="K",VLOOKUP(L905,Foundation_Calc!$K$117:$R$151,VLOOKUP(AW905,Foundation_Calc!$I$2:$J$8,2,FALSE),0),"")))</f>
        <v/>
      </c>
      <c r="AZ905" s="10" t="str">
        <f>IF(K905="","",
IF(AX905="PT",VLOOKUP(K905,Foundation_Calc!$K$79:$R$113,VLOOKUP(AW905,Foundation_Calc!$I$2:$J$8,2,FALSE),0),
IF(AX905="K",VLOOKUP(K905,Foundation_Calc!$K$117:$R$151,VLOOKUP(AW905,Foundation_Calc!$I$2:$J$8,2,FALSE),0),"")))</f>
        <v/>
      </c>
      <c r="BA905" s="495" t="str">
        <f t="shared" si="105"/>
        <v/>
      </c>
      <c r="BB905" s="495" t="str">
        <f t="shared" si="106"/>
        <v/>
      </c>
      <c r="BC905" s="495" t="str">
        <f t="shared" si="107"/>
        <v/>
      </c>
      <c r="BD905" s="513"/>
      <c r="BE905" s="429" t="s">
        <v>118</v>
      </c>
      <c r="BF905" s="290"/>
      <c r="BG905" s="290"/>
      <c r="BH905" s="290"/>
      <c r="BI905" s="290"/>
    </row>
    <row r="906" spans="1:61" ht="15.75" customHeight="1">
      <c r="A906" s="518"/>
      <c r="B906" s="450" t="s">
        <v>717</v>
      </c>
      <c r="C906" s="3">
        <f>+$C$904+$G$905</f>
        <v>51763.8</v>
      </c>
      <c r="D906" s="83"/>
      <c r="E906" s="4"/>
      <c r="F906" s="4">
        <f>IF(C906&gt;0,VLOOKUP(C906,'ALIGNMENT TRACK'!$A$1:$K$81,9,1))</f>
        <v>0</v>
      </c>
      <c r="G906" s="6"/>
      <c r="H906" s="449"/>
      <c r="I906" s="4"/>
      <c r="J906" s="3"/>
      <c r="K906" s="449"/>
      <c r="L906" s="449" t="s">
        <v>232</v>
      </c>
      <c r="M906" s="449" t="str">
        <f>IF(L906="","",
IF(AX906="PT",VLOOKUP(L906,Foundation_Calc!$V$79:$X$113,VLOOKUP(AX906,Foundation_Calc!$I$10:$J$13,2,FALSE),0),
IF(AX906="K",VLOOKUP(L906,Foundation_Calc!$V$117:$X$151,VLOOKUP(AX906,Foundation_Calc!$I$10:$J$13,2,FALSE),0),"")))</f>
        <v>C5R</v>
      </c>
      <c r="N906" s="449" t="s">
        <v>124</v>
      </c>
      <c r="O906" s="449"/>
      <c r="P906" s="449"/>
      <c r="Q906" s="4"/>
      <c r="R906" s="6"/>
      <c r="S906" s="6"/>
      <c r="T906" s="4">
        <v>-35</v>
      </c>
      <c r="U906" s="4"/>
      <c r="V906" s="4"/>
      <c r="W906" s="572">
        <v>0.7</v>
      </c>
      <c r="X906" s="572"/>
      <c r="Y906" s="9"/>
      <c r="Z906" s="9"/>
      <c r="AA906" s="9"/>
      <c r="AB906" s="9"/>
      <c r="AC906" s="449" t="str">
        <f t="shared" si="104"/>
        <v>PHQ</v>
      </c>
      <c r="AD906" s="449"/>
      <c r="AE906" s="449"/>
      <c r="AF906" s="4"/>
      <c r="AG906" s="83"/>
      <c r="AH906" s="4"/>
      <c r="AI906" s="4"/>
      <c r="AJ906" s="449"/>
      <c r="AK906" s="449"/>
      <c r="AL906" s="449" t="s">
        <v>241</v>
      </c>
      <c r="AM906" s="449" t="s">
        <v>552</v>
      </c>
      <c r="AN906" s="10">
        <v>5.15</v>
      </c>
      <c r="AO906" s="9"/>
      <c r="AP906" s="9"/>
      <c r="AQ906" s="9"/>
      <c r="AR906" s="9"/>
      <c r="AS906" s="9"/>
      <c r="AT906" s="9">
        <f>+ab($T$906,$T$904,$T$908,$G$905,$G$907,-1*$F$906,1200)</f>
        <v>-5.6998717106651107</v>
      </c>
      <c r="AU906" s="428"/>
      <c r="AV906" s="428"/>
      <c r="AW906" s="449" t="str">
        <f>IF(C906&gt;0,VLOOKUP(C906,Foundation_Calc!$A$2:$C$13,3,1),
IF(J906&gt;0,VLOOKUP(J906,Foundation_Calc!$A$2:$C$13,3,1),""))</f>
        <v>Multi Soil</v>
      </c>
      <c r="AX906" s="449" t="str">
        <f>IF(C906&gt;0,VLOOKUP(C906,Foundation_Calc!$E$2:$G$33,3,1),
IF(J906&gt;0,VLOOKUP(J906,Foundation_Calc!$E$2:$G$33,3,1),""))</f>
        <v>PT</v>
      </c>
      <c r="AY906" s="10">
        <f>IF(L906="","",
IF(AX906="PT",VLOOKUP(L906,Foundation_Calc!$K$79:$R$113,VLOOKUP(AW906,Foundation_Calc!$I$2:$J$8,2,FALSE),0),
IF(AX906="K",VLOOKUP(L906,Foundation_Calc!$K$117:$R$151,VLOOKUP(AW906,Foundation_Calc!$I$2:$J$8,2,FALSE),0),"")))</f>
        <v>3.5</v>
      </c>
      <c r="AZ906" s="10" t="str">
        <f>IF(K906="","",
IF(AX906="PT",VLOOKUP(K906,Foundation_Calc!$K$79:$R$113,VLOOKUP(AW906,Foundation_Calc!$I$2:$J$8,2,FALSE),0),
IF(AX906="K",VLOOKUP(K906,Foundation_Calc!$K$117:$R$151,VLOOKUP(AW906,Foundation_Calc!$I$2:$J$8,2,FALSE),0),"")))</f>
        <v/>
      </c>
      <c r="BA906" s="495" t="str">
        <f t="shared" si="105"/>
        <v>ü</v>
      </c>
      <c r="BB906" s="495" t="str">
        <f t="shared" si="106"/>
        <v/>
      </c>
      <c r="BC906" s="495" t="str">
        <f t="shared" si="107"/>
        <v/>
      </c>
      <c r="BD906" s="513" t="str">
        <f>Pole_Calc!A$251</f>
        <v>App.8-V08H-P10.3</v>
      </c>
      <c r="BE906" s="429" t="s">
        <v>118</v>
      </c>
      <c r="BF906" s="289"/>
      <c r="BG906" s="289"/>
      <c r="BH906" s="290"/>
      <c r="BI906" s="289"/>
    </row>
    <row r="907" spans="1:61" ht="15.75" customHeight="1">
      <c r="A907" s="518"/>
      <c r="B907" s="450"/>
      <c r="C907" s="3"/>
      <c r="D907" s="83"/>
      <c r="E907" s="4"/>
      <c r="F907" s="4"/>
      <c r="G907" s="6">
        <v>40</v>
      </c>
      <c r="H907" s="449"/>
      <c r="I907" s="4"/>
      <c r="J907" s="3">
        <f>C908-7.5</f>
        <v>51796.3</v>
      </c>
      <c r="K907" s="449" t="s">
        <v>166</v>
      </c>
      <c r="L907" s="449"/>
      <c r="M907" s="449" t="str">
        <f>IF(L907="","",
IF(AX907="PT",VLOOKUP(L907,Foundation_Calc!$V$79:$X$113,VLOOKUP(AX907,Foundation_Calc!$I$10:$J$13,2,FALSE),0),
IF(AX907="K",VLOOKUP(L907,Foundation_Calc!$V$117:$X$151,VLOOKUP(AX907,Foundation_Calc!$I$10:$J$13,2,FALSE),0),"")))</f>
        <v/>
      </c>
      <c r="N907" s="561"/>
      <c r="O907" s="449"/>
      <c r="P907" s="449"/>
      <c r="Q907" s="4"/>
      <c r="R907" s="6"/>
      <c r="S907" s="6"/>
      <c r="T907" s="4"/>
      <c r="U907" s="4"/>
      <c r="V907" s="4"/>
      <c r="W907" s="572"/>
      <c r="X907" s="9"/>
      <c r="Y907" s="9"/>
      <c r="Z907" s="9"/>
      <c r="AA907" s="9"/>
      <c r="AB907" s="9"/>
      <c r="AC907" s="449" t="str">
        <f t="shared" ref="AC907:AC970" si="108">IF(OR(AT907&gt;8,AT907&lt;-8),"PH",
IF(OR(AT907&gt;5,AT907&lt;-5),"PHQ",
IF(OR(AT907&gt;1,AT907&lt;-1),
"PHC","")))</f>
        <v/>
      </c>
      <c r="AD907" s="449"/>
      <c r="AE907" s="449"/>
      <c r="AF907" s="4"/>
      <c r="AG907" s="83"/>
      <c r="AH907" s="4"/>
      <c r="AI907" s="4"/>
      <c r="AJ907" s="449"/>
      <c r="AK907" s="449"/>
      <c r="AL907" s="449"/>
      <c r="AM907" s="449"/>
      <c r="AN907" s="10"/>
      <c r="AO907" s="9"/>
      <c r="AP907" s="9"/>
      <c r="AQ907" s="9">
        <f>+FL_2($T$908,$T$906,$G$907,1200,9.28,-1*$F$908)</f>
        <v>-0.35000000000000125</v>
      </c>
      <c r="AR907" s="9"/>
      <c r="AS907" s="9"/>
      <c r="AT907" s="9"/>
      <c r="AU907" s="428"/>
      <c r="AV907" s="428"/>
      <c r="AW907" s="449" t="str">
        <f>IF(C907&gt;0,VLOOKUP(C907,Foundation_Calc!$A$2:$C$13,3,1),
IF(J907&gt;0,VLOOKUP(J907,Foundation_Calc!$A$2:$C$13,3,1),""))</f>
        <v>Multi Soil</v>
      </c>
      <c r="AX907" s="449" t="str">
        <f>IF(C907&gt;0,VLOOKUP(C907,Foundation_Calc!$E$2:$G$33,3,1),
IF(J907&gt;0,VLOOKUP(J907,Foundation_Calc!$E$2:$G$33,3,1),""))</f>
        <v>PT</v>
      </c>
      <c r="AY907" s="10" t="str">
        <f>IF(L907="","",
IF(AX907="PT",VLOOKUP(L907,Foundation_Calc!$K$79:$R$113,VLOOKUP(AW907,Foundation_Calc!$I$2:$J$8,2,FALSE),0),
IF(AX907="K",VLOOKUP(L907,Foundation_Calc!$K$117:$R$151,VLOOKUP(AW907,Foundation_Calc!$I$2:$J$8,2,FALSE),0),"")))</f>
        <v/>
      </c>
      <c r="AZ907" s="10">
        <f>IF(K907="","",
IF(AX907="PT",VLOOKUP(K907,Foundation_Calc!$K$79:$R$113,VLOOKUP(AW907,Foundation_Calc!$I$2:$J$8,2,FALSE),0),
IF(AX907="K",VLOOKUP(K907,Foundation_Calc!$K$117:$R$151,VLOOKUP(AW907,Foundation_Calc!$I$2:$J$8,2,FALSE),0),"")))</f>
        <v>2.8</v>
      </c>
      <c r="BA907" s="495" t="str">
        <f t="shared" si="105"/>
        <v/>
      </c>
      <c r="BB907" s="495" t="str">
        <f t="shared" si="106"/>
        <v>ü</v>
      </c>
      <c r="BC907" s="495" t="str">
        <f t="shared" si="107"/>
        <v/>
      </c>
      <c r="BD907" s="513"/>
      <c r="BE907" s="429" t="s">
        <v>118</v>
      </c>
      <c r="BF907" s="290"/>
      <c r="BG907" s="290"/>
      <c r="BH907" s="290"/>
      <c r="BI907" s="290"/>
    </row>
    <row r="908" spans="1:61" ht="15.75" customHeight="1">
      <c r="A908" s="514"/>
      <c r="B908" s="450" t="s">
        <v>718</v>
      </c>
      <c r="C908" s="3">
        <f>+$C$906+$G$907</f>
        <v>51803.8</v>
      </c>
      <c r="D908" s="83"/>
      <c r="E908" s="4"/>
      <c r="F908" s="4">
        <f>IF(C908&gt;0,VLOOKUP(C908,'ALIGNMENT TRACK'!$A$1:$K$81,9,1))</f>
        <v>0</v>
      </c>
      <c r="G908" s="6"/>
      <c r="H908" s="449" t="s">
        <v>168</v>
      </c>
      <c r="I908" s="4"/>
      <c r="J908" s="3"/>
      <c r="K908" s="449"/>
      <c r="L908" s="449" t="s">
        <v>232</v>
      </c>
      <c r="M908" s="449" t="str">
        <f>IF(L908="","",
IF(AX908="PT",VLOOKUP(L908,Foundation_Calc!$V$79:$X$113,VLOOKUP(AX908,Foundation_Calc!$I$10:$J$13,2,FALSE),0),
IF(AX908="K",VLOOKUP(L908,Foundation_Calc!$V$117:$X$151,VLOOKUP(AX908,Foundation_Calc!$I$10:$J$13,2,FALSE),0),"")))</f>
        <v>C5R</v>
      </c>
      <c r="N908" s="449" t="s">
        <v>134</v>
      </c>
      <c r="O908" s="449"/>
      <c r="P908" s="449"/>
      <c r="Q908" s="4"/>
      <c r="R908" s="6"/>
      <c r="S908" s="6"/>
      <c r="T908" s="4">
        <v>35</v>
      </c>
      <c r="U908" s="4"/>
      <c r="V908" s="4"/>
      <c r="W908" s="572">
        <v>1</v>
      </c>
      <c r="X908" s="9"/>
      <c r="Y908" s="9"/>
      <c r="Z908" s="9"/>
      <c r="AA908" s="9"/>
      <c r="AB908" s="9"/>
      <c r="AC908" s="449" t="str">
        <f t="shared" si="108"/>
        <v>PHQ</v>
      </c>
      <c r="AD908" s="449"/>
      <c r="AE908" s="449"/>
      <c r="AF908" s="4"/>
      <c r="AG908" s="83"/>
      <c r="AH908" s="4"/>
      <c r="AI908" s="4"/>
      <c r="AJ908" s="449"/>
      <c r="AK908" s="449"/>
      <c r="AL908" s="449" t="s">
        <v>241</v>
      </c>
      <c r="AM908" s="449" t="s">
        <v>552</v>
      </c>
      <c r="AN908" s="10">
        <f>AN906+0.06</f>
        <v>5.21</v>
      </c>
      <c r="AO908" s="9"/>
      <c r="AP908" s="9"/>
      <c r="AQ908" s="9"/>
      <c r="AR908" s="9"/>
      <c r="AS908" s="9"/>
      <c r="AT908" s="9">
        <f>+ab($T$908,$T$906,$T$910,$G$907,$G$909,-1*$F$908,1200)</f>
        <v>5.7854058789738403</v>
      </c>
      <c r="AU908" s="428"/>
      <c r="AV908" s="428"/>
      <c r="AW908" s="449" t="str">
        <f>IF(C908&gt;0,VLOOKUP(C908,Foundation_Calc!$A$2:$C$13,3,1),
IF(J908&gt;0,VLOOKUP(J908,Foundation_Calc!$A$2:$C$13,3,1),""))</f>
        <v>Multi Soil</v>
      </c>
      <c r="AX908" s="449" t="str">
        <f>IF(C908&gt;0,VLOOKUP(C908,Foundation_Calc!$E$2:$G$33,3,1),
IF(J908&gt;0,VLOOKUP(J908,Foundation_Calc!$E$2:$G$33,3,1),""))</f>
        <v>PT</v>
      </c>
      <c r="AY908" s="10">
        <f>IF(L908="","",
IF(AX908="PT",VLOOKUP(L908,Foundation_Calc!$K$79:$R$113,VLOOKUP(AW908,Foundation_Calc!$I$2:$J$8,2,FALSE),0),
IF(AX908="K",VLOOKUP(L908,Foundation_Calc!$K$117:$R$151,VLOOKUP(AW908,Foundation_Calc!$I$2:$J$8,2,FALSE),0),"")))</f>
        <v>3.5</v>
      </c>
      <c r="AZ908" s="10" t="str">
        <f>IF(K908="","",
IF(AX908="PT",VLOOKUP(K908,Foundation_Calc!$K$79:$R$113,VLOOKUP(AW908,Foundation_Calc!$I$2:$J$8,2,FALSE),0),
IF(AX908="K",VLOOKUP(K908,Foundation_Calc!$K$117:$R$151,VLOOKUP(AW908,Foundation_Calc!$I$2:$J$8,2,FALSE),0),"")))</f>
        <v/>
      </c>
      <c r="BA908" s="495" t="str">
        <f t="shared" si="105"/>
        <v>ü</v>
      </c>
      <c r="BB908" s="495" t="str">
        <f t="shared" si="106"/>
        <v/>
      </c>
      <c r="BC908" s="495" t="str">
        <f t="shared" si="107"/>
        <v/>
      </c>
      <c r="BD908" s="513" t="str">
        <f>Pole_Calc!A$251</f>
        <v>App.8-V08H-P10.3</v>
      </c>
      <c r="BE908" s="429" t="s">
        <v>118</v>
      </c>
      <c r="BF908" s="289"/>
      <c r="BG908" s="289"/>
      <c r="BH908" s="290"/>
      <c r="BI908" s="289"/>
    </row>
    <row r="909" spans="1:61" ht="15.75" customHeight="1">
      <c r="A909" s="514"/>
      <c r="B909" s="450"/>
      <c r="C909" s="3"/>
      <c r="D909" s="83"/>
      <c r="E909" s="4"/>
      <c r="F909" s="4"/>
      <c r="G909" s="6">
        <v>45</v>
      </c>
      <c r="H909" s="449"/>
      <c r="I909" s="4">
        <f>SUM(G887:G909)</f>
        <v>535.20000000000005</v>
      </c>
      <c r="J909" s="3"/>
      <c r="K909" s="449"/>
      <c r="L909" s="449"/>
      <c r="M909" s="449" t="str">
        <f>IF(L909="","",
IF(AX909="PT",VLOOKUP(L909,Foundation_Calc!$V$79:$X$113,VLOOKUP(AX909,Foundation_Calc!$I$10:$J$13,2,FALSE),0),
IF(AX909="K",VLOOKUP(L909,Foundation_Calc!$V$117:$X$151,VLOOKUP(AX909,Foundation_Calc!$I$10:$J$13,2,FALSE),0),"")))</f>
        <v/>
      </c>
      <c r="N909" s="449"/>
      <c r="O909" s="449"/>
      <c r="P909" s="449"/>
      <c r="Q909" s="4"/>
      <c r="R909" s="6"/>
      <c r="S909" s="6"/>
      <c r="T909" s="4"/>
      <c r="U909" s="4"/>
      <c r="V909" s="4"/>
      <c r="W909" s="572"/>
      <c r="X909" s="9"/>
      <c r="Y909" s="9"/>
      <c r="Z909" s="9"/>
      <c r="AA909" s="9"/>
      <c r="AB909" s="9"/>
      <c r="AC909" s="449" t="str">
        <f t="shared" si="108"/>
        <v/>
      </c>
      <c r="AD909" s="449"/>
      <c r="AE909" s="449"/>
      <c r="AF909" s="4"/>
      <c r="AG909" s="83"/>
      <c r="AH909" s="4"/>
      <c r="AI909" s="4"/>
      <c r="AJ909" s="449"/>
      <c r="AK909" s="449"/>
      <c r="AL909" s="449"/>
      <c r="AM909" s="449"/>
      <c r="AN909" s="10"/>
      <c r="AO909" s="9"/>
      <c r="AP909" s="9"/>
      <c r="AQ909" s="9">
        <f>+FL_2($T$910,$T$908,$G$909,1200,9.28,-1*$F$910)</f>
        <v>-0.35219954355555555</v>
      </c>
      <c r="AR909" s="9"/>
      <c r="AS909" s="9"/>
      <c r="AT909" s="9"/>
      <c r="AU909" s="428"/>
      <c r="AV909" s="428"/>
      <c r="AW909" s="449" t="str">
        <f>IF(C909&gt;0,VLOOKUP(C909,Foundation_Calc!$A$2:$C$13,3,1),
IF(J909&gt;0,VLOOKUP(J909,Foundation_Calc!$A$2:$C$13,3,1),""))</f>
        <v/>
      </c>
      <c r="AX909" s="449" t="str">
        <f>IF(C909&gt;0,VLOOKUP(C909,Foundation_Calc!$E$2:$G$33,3,1),
IF(J909&gt;0,VLOOKUP(J909,Foundation_Calc!$E$2:$G$33,3,1),""))</f>
        <v/>
      </c>
      <c r="AY909" s="10" t="str">
        <f>IF(L909="","",
IF(AX909="PT",VLOOKUP(L909,Foundation_Calc!$K$79:$R$113,VLOOKUP(AW909,Foundation_Calc!$I$2:$J$8,2,FALSE),0),
IF(AX909="K",VLOOKUP(L909,Foundation_Calc!$K$117:$R$151,VLOOKUP(AW909,Foundation_Calc!$I$2:$J$8,2,FALSE),0),"")))</f>
        <v/>
      </c>
      <c r="AZ909" s="10" t="str">
        <f>IF(K909="","",
IF(AX909="PT",VLOOKUP(K909,Foundation_Calc!$K$79:$R$113,VLOOKUP(AW909,Foundation_Calc!$I$2:$J$8,2,FALSE),0),
IF(AX909="K",VLOOKUP(K909,Foundation_Calc!$K$117:$R$151,VLOOKUP(AW909,Foundation_Calc!$I$2:$J$8,2,FALSE),0),"")))</f>
        <v/>
      </c>
      <c r="BA909" s="495" t="str">
        <f t="shared" si="105"/>
        <v/>
      </c>
      <c r="BB909" s="495" t="str">
        <f t="shared" si="106"/>
        <v/>
      </c>
      <c r="BC909" s="495" t="str">
        <f t="shared" si="107"/>
        <v/>
      </c>
      <c r="BD909" s="513"/>
      <c r="BE909" s="429" t="s">
        <v>118</v>
      </c>
      <c r="BF909" s="290"/>
      <c r="BG909" s="290"/>
      <c r="BH909" s="290"/>
      <c r="BI909" s="290"/>
    </row>
    <row r="910" spans="1:61" ht="15.75" customHeight="1">
      <c r="A910" s="514"/>
      <c r="B910" s="450" t="s">
        <v>719</v>
      </c>
      <c r="C910" s="3">
        <f>+$C$908+$G$909</f>
        <v>51848.800000000003</v>
      </c>
      <c r="D910" s="83"/>
      <c r="E910" s="4"/>
      <c r="F910" s="4">
        <f>IF(C910&gt;0,VLOOKUP(C910,'ALIGNMENT TRACK'!$A$1:$K$81,9,1))</f>
        <v>0</v>
      </c>
      <c r="G910" s="6"/>
      <c r="H910" s="449" t="s">
        <v>171</v>
      </c>
      <c r="I910" s="4"/>
      <c r="J910" s="3"/>
      <c r="K910" s="449"/>
      <c r="L910" s="449" t="s">
        <v>232</v>
      </c>
      <c r="M910" s="449" t="str">
        <f>IF(L910="","",
IF(AX910="PT",VLOOKUP(L910,Foundation_Calc!$V$79:$X$113,VLOOKUP(AX910,Foundation_Calc!$I$10:$J$13,2,FALSE),0),
IF(AX910="K",VLOOKUP(L910,Foundation_Calc!$V$117:$X$151,VLOOKUP(AX910,Foundation_Calc!$I$10:$J$13,2,FALSE),0),"")))</f>
        <v>C5R</v>
      </c>
      <c r="N910" s="449" t="s">
        <v>124</v>
      </c>
      <c r="O910" s="449"/>
      <c r="P910" s="449"/>
      <c r="Q910" s="4"/>
      <c r="R910" s="6"/>
      <c r="S910" s="6"/>
      <c r="T910" s="4">
        <v>-35</v>
      </c>
      <c r="U910" s="4"/>
      <c r="V910" s="4"/>
      <c r="W910" s="572">
        <v>1</v>
      </c>
      <c r="X910" s="9"/>
      <c r="Y910" s="9"/>
      <c r="Z910" s="9"/>
      <c r="AA910" s="9"/>
      <c r="AB910" s="9"/>
      <c r="AC910" s="449" t="str">
        <f t="shared" si="108"/>
        <v>PHQ</v>
      </c>
      <c r="AD910" s="449"/>
      <c r="AE910" s="449"/>
      <c r="AF910" s="4"/>
      <c r="AG910" s="83"/>
      <c r="AH910" s="4"/>
      <c r="AI910" s="4"/>
      <c r="AJ910" s="449"/>
      <c r="AK910" s="449"/>
      <c r="AL910" s="449" t="s">
        <v>241</v>
      </c>
      <c r="AM910" s="449" t="s">
        <v>552</v>
      </c>
      <c r="AN910" s="10">
        <f>AN908+0.11</f>
        <v>5.32</v>
      </c>
      <c r="AO910" s="9"/>
      <c r="AP910" s="9"/>
      <c r="AQ910" s="9"/>
      <c r="AR910" s="9"/>
      <c r="AS910" s="9"/>
      <c r="AT910" s="9">
        <f>+ab($T$910,$T$908,$T$912,$G$909,$G$911,-1*$F$910,1200)</f>
        <v>-5.3811096612138529</v>
      </c>
      <c r="AU910" s="428"/>
      <c r="AV910" s="428"/>
      <c r="AW910" s="449" t="str">
        <f>IF(C910&gt;0,VLOOKUP(C910,Foundation_Calc!$A$2:$C$13,3,1),
IF(J910&gt;0,VLOOKUP(J910,Foundation_Calc!$A$2:$C$13,3,1),""))</f>
        <v>Multi Soil</v>
      </c>
      <c r="AX910" s="449" t="str">
        <f>IF(C910&gt;0,VLOOKUP(C910,Foundation_Calc!$E$2:$G$33,3,1),
IF(J910&gt;0,VLOOKUP(J910,Foundation_Calc!$E$2:$G$33,3,1),""))</f>
        <v>PT</v>
      </c>
      <c r="AY910" s="10">
        <f>IF(L910="","",
IF(AX910="PT",VLOOKUP(L910,Foundation_Calc!$K$79:$R$113,VLOOKUP(AW910,Foundation_Calc!$I$2:$J$8,2,FALSE),0),
IF(AX910="K",VLOOKUP(L910,Foundation_Calc!$K$117:$R$151,VLOOKUP(AW910,Foundation_Calc!$I$2:$J$8,2,FALSE),0),"")))</f>
        <v>3.5</v>
      </c>
      <c r="AZ910" s="10" t="str">
        <f>IF(K910="","",
IF(AX910="PT",VLOOKUP(K910,Foundation_Calc!$K$79:$R$113,VLOOKUP(AW910,Foundation_Calc!$I$2:$J$8,2,FALSE),0),
IF(AX910="K",VLOOKUP(K910,Foundation_Calc!$K$117:$R$151,VLOOKUP(AW910,Foundation_Calc!$I$2:$J$8,2,FALSE),0),"")))</f>
        <v/>
      </c>
      <c r="BA910" s="495" t="str">
        <f t="shared" si="105"/>
        <v>ü</v>
      </c>
      <c r="BB910" s="495" t="str">
        <f t="shared" si="106"/>
        <v/>
      </c>
      <c r="BC910" s="495" t="str">
        <f t="shared" si="107"/>
        <v/>
      </c>
      <c r="BD910" s="513" t="str">
        <f>Pole_Calc!A$251</f>
        <v>App.8-V08H-P10.3</v>
      </c>
      <c r="BE910" s="429" t="s">
        <v>118</v>
      </c>
      <c r="BF910" s="289"/>
      <c r="BG910" s="289"/>
      <c r="BH910" s="290"/>
      <c r="BI910" s="289"/>
    </row>
    <row r="911" spans="1:61" ht="15.75" customHeight="1">
      <c r="A911" s="514"/>
      <c r="B911" s="450"/>
      <c r="C911" s="3"/>
      <c r="D911" s="83"/>
      <c r="E911" s="4"/>
      <c r="F911" s="4"/>
      <c r="G911" s="6">
        <v>35</v>
      </c>
      <c r="H911" s="449"/>
      <c r="I911" s="4">
        <f>SUM(G911:G937)</f>
        <v>617.20000000000005</v>
      </c>
      <c r="J911" s="3"/>
      <c r="K911" s="449"/>
      <c r="L911" s="449"/>
      <c r="M911" s="449" t="str">
        <f>IF(L911="","",
IF(AX911="PT",VLOOKUP(L911,Foundation_Calc!$V$79:$X$113,VLOOKUP(AX911,Foundation_Calc!$I$10:$J$13,2,FALSE),0),
IF(AX911="K",VLOOKUP(L911,Foundation_Calc!$V$117:$X$151,VLOOKUP(AX911,Foundation_Calc!$I$10:$J$13,2,FALSE),0),"")))</f>
        <v/>
      </c>
      <c r="N911" s="449"/>
      <c r="O911" s="449"/>
      <c r="P911" s="449"/>
      <c r="Q911" s="4"/>
      <c r="R911" s="6"/>
      <c r="S911" s="6"/>
      <c r="T911" s="4"/>
      <c r="U911" s="4"/>
      <c r="V911" s="4"/>
      <c r="W911" s="9"/>
      <c r="X911" s="9"/>
      <c r="Y911" s="9"/>
      <c r="Z911" s="9"/>
      <c r="AA911" s="9"/>
      <c r="AB911" s="9"/>
      <c r="AC911" s="449" t="str">
        <f t="shared" si="108"/>
        <v/>
      </c>
      <c r="AD911" s="449"/>
      <c r="AE911" s="449"/>
      <c r="AF911" s="4"/>
      <c r="AG911" s="83"/>
      <c r="AH911" s="4"/>
      <c r="AI911" s="4"/>
      <c r="AJ911" s="449"/>
      <c r="AK911" s="449"/>
      <c r="AL911" s="449"/>
      <c r="AM911" s="449"/>
      <c r="AN911" s="10"/>
      <c r="AO911" s="9"/>
      <c r="AP911" s="9"/>
      <c r="AQ911" s="9">
        <f>+FL_2($T$912,$T$910,$G$911,1200,9.28,-1*$F$912)</f>
        <v>-0.35000000000001025</v>
      </c>
      <c r="AR911" s="9"/>
      <c r="AS911" s="9"/>
      <c r="AT911" s="9"/>
      <c r="AU911" s="428"/>
      <c r="AV911" s="428"/>
      <c r="AW911" s="449" t="str">
        <f>IF(C911&gt;0,VLOOKUP(C911,Foundation_Calc!$A$2:$C$13,3,1),
IF(J911&gt;0,VLOOKUP(J911,Foundation_Calc!$A$2:$C$13,3,1),""))</f>
        <v/>
      </c>
      <c r="AX911" s="449" t="str">
        <f>IF(C911&gt;0,VLOOKUP(C911,Foundation_Calc!$E$2:$G$33,3,1),
IF(J911&gt;0,VLOOKUP(J911,Foundation_Calc!$E$2:$G$33,3,1),""))</f>
        <v/>
      </c>
      <c r="AY911" s="10" t="str">
        <f>IF(L911="","",
IF(AX911="PT",VLOOKUP(L911,Foundation_Calc!$K$79:$R$113,VLOOKUP(AW911,Foundation_Calc!$I$2:$J$8,2,FALSE),0),
IF(AX911="K",VLOOKUP(L911,Foundation_Calc!$K$117:$R$151,VLOOKUP(AW911,Foundation_Calc!$I$2:$J$8,2,FALSE),0),"")))</f>
        <v/>
      </c>
      <c r="AZ911" s="10" t="str">
        <f>IF(K911="","",
IF(AX911="PT",VLOOKUP(K911,Foundation_Calc!$K$79:$R$113,VLOOKUP(AW911,Foundation_Calc!$I$2:$J$8,2,FALSE),0),
IF(AX911="K",VLOOKUP(K911,Foundation_Calc!$K$117:$R$151,VLOOKUP(AW911,Foundation_Calc!$I$2:$J$8,2,FALSE),0),"")))</f>
        <v/>
      </c>
      <c r="BA911" s="495" t="str">
        <f t="shared" si="105"/>
        <v/>
      </c>
      <c r="BB911" s="495" t="str">
        <f t="shared" si="106"/>
        <v/>
      </c>
      <c r="BC911" s="495" t="str">
        <f t="shared" si="107"/>
        <v/>
      </c>
      <c r="BD911" s="513"/>
      <c r="BE911" s="429" t="s">
        <v>118</v>
      </c>
      <c r="BF911" s="290"/>
      <c r="BG911" s="290"/>
      <c r="BH911" s="290"/>
      <c r="BI911" s="290"/>
    </row>
    <row r="912" spans="1:61" ht="15.75" customHeight="1">
      <c r="A912" s="518"/>
      <c r="B912" s="450" t="s">
        <v>720</v>
      </c>
      <c r="C912" s="3">
        <f>+$C$910+$G$911</f>
        <v>51883.8</v>
      </c>
      <c r="D912" s="83"/>
      <c r="E912" s="4"/>
      <c r="F912" s="4">
        <f>IF(C912&gt;0,VLOOKUP(C912,'ALIGNMENT TRACK'!$A$1:$K$81,9,1))</f>
        <v>0</v>
      </c>
      <c r="G912" s="6"/>
      <c r="H912" s="449" t="s">
        <v>168</v>
      </c>
      <c r="I912" s="4"/>
      <c r="J912" s="3"/>
      <c r="K912" s="449"/>
      <c r="L912" s="449" t="s">
        <v>232</v>
      </c>
      <c r="M912" s="449" t="str">
        <f>IF(L912="","",
IF(AX912="PT",VLOOKUP(L912,Foundation_Calc!$V$79:$X$113,VLOOKUP(AX912,Foundation_Calc!$I$10:$J$13,2,FALSE),0),
IF(AX912="K",VLOOKUP(L912,Foundation_Calc!$V$117:$X$151,VLOOKUP(AX912,Foundation_Calc!$I$10:$J$13,2,FALSE),0),"")))</f>
        <v>C5R</v>
      </c>
      <c r="N912" s="449" t="s">
        <v>134</v>
      </c>
      <c r="O912" s="449"/>
      <c r="P912" s="449"/>
      <c r="Q912" s="4"/>
      <c r="R912" s="6"/>
      <c r="S912" s="6"/>
      <c r="T912" s="4">
        <v>35</v>
      </c>
      <c r="U912" s="4"/>
      <c r="V912" s="4"/>
      <c r="W912" s="572">
        <v>1</v>
      </c>
      <c r="X912" s="9"/>
      <c r="Y912" s="9"/>
      <c r="Z912" s="9"/>
      <c r="AA912" s="9"/>
      <c r="AB912" s="9"/>
      <c r="AC912" s="449" t="str">
        <f t="shared" si="108"/>
        <v>PHQ</v>
      </c>
      <c r="AD912" s="449"/>
      <c r="AE912" s="449"/>
      <c r="AF912" s="4"/>
      <c r="AG912" s="83"/>
      <c r="AH912" s="4"/>
      <c r="AI912" s="4"/>
      <c r="AJ912" s="449"/>
      <c r="AK912" s="449"/>
      <c r="AL912" s="449" t="s">
        <v>241</v>
      </c>
      <c r="AM912" s="449" t="s">
        <v>552</v>
      </c>
      <c r="AN912" s="10">
        <f>AN914-0.07</f>
        <v>5.43</v>
      </c>
      <c r="AO912" s="9"/>
      <c r="AP912" s="9"/>
      <c r="AQ912" s="9"/>
      <c r="AR912" s="9"/>
      <c r="AS912" s="9"/>
      <c r="AT912" s="9">
        <f>+ab($T$912,$T$910,$T$914,$G$911,$G$913,-1*$F$912,1200)</f>
        <v>5.5536128109084748</v>
      </c>
      <c r="AU912" s="428"/>
      <c r="AV912" s="428"/>
      <c r="AW912" s="449" t="str">
        <f>IF(C912&gt;0,VLOOKUP(C912,Foundation_Calc!$A$2:$C$13,3,1),
IF(J912&gt;0,VLOOKUP(J912,Foundation_Calc!$A$2:$C$13,3,1),""))</f>
        <v>Multi Soil</v>
      </c>
      <c r="AX912" s="449" t="str">
        <f>IF(C912&gt;0,VLOOKUP(C912,Foundation_Calc!$E$2:$G$33,3,1),
IF(J912&gt;0,VLOOKUP(J912,Foundation_Calc!$E$2:$G$33,3,1),""))</f>
        <v>PT</v>
      </c>
      <c r="AY912" s="10">
        <f>IF(L912="","",
IF(AX912="PT",VLOOKUP(L912,Foundation_Calc!$K$79:$R$113,VLOOKUP(AW912,Foundation_Calc!$I$2:$J$8,2,FALSE),0),
IF(AX912="K",VLOOKUP(L912,Foundation_Calc!$K$117:$R$151,VLOOKUP(AW912,Foundation_Calc!$I$2:$J$8,2,FALSE),0),"")))</f>
        <v>3.5</v>
      </c>
      <c r="AZ912" s="10" t="str">
        <f>IF(K912="","",
IF(AX912="PT",VLOOKUP(K912,Foundation_Calc!$K$79:$R$113,VLOOKUP(AW912,Foundation_Calc!$I$2:$J$8,2,FALSE),0),
IF(AX912="K",VLOOKUP(K912,Foundation_Calc!$K$117:$R$151,VLOOKUP(AW912,Foundation_Calc!$I$2:$J$8,2,FALSE),0),"")))</f>
        <v/>
      </c>
      <c r="BA912" s="495" t="str">
        <f t="shared" si="105"/>
        <v>ü</v>
      </c>
      <c r="BB912" s="495" t="str">
        <f t="shared" si="106"/>
        <v/>
      </c>
      <c r="BC912" s="495" t="str">
        <f t="shared" si="107"/>
        <v/>
      </c>
      <c r="BD912" s="513" t="str">
        <f>Pole_Calc!A$251</f>
        <v>App.8-V08H-P10.3</v>
      </c>
      <c r="BE912" s="429" t="s">
        <v>118</v>
      </c>
      <c r="BF912" s="289"/>
      <c r="BG912" s="289"/>
      <c r="BH912" s="290"/>
      <c r="BI912" s="289"/>
    </row>
    <row r="913" spans="1:61" ht="15.75" customHeight="1">
      <c r="A913" s="514" t="s">
        <v>430</v>
      </c>
      <c r="B913" s="450"/>
      <c r="C913" s="3"/>
      <c r="D913" s="83"/>
      <c r="E913" s="4"/>
      <c r="F913" s="4"/>
      <c r="G913" s="6">
        <v>45</v>
      </c>
      <c r="H913" s="449"/>
      <c r="I913" s="4"/>
      <c r="J913" s="3">
        <f>C912+7.5</f>
        <v>51891.3</v>
      </c>
      <c r="K913" s="449" t="s">
        <v>117</v>
      </c>
      <c r="L913" s="449"/>
      <c r="M913" s="449" t="str">
        <f>IF(L913="","",
IF(AX913="PT",VLOOKUP(L913,Foundation_Calc!$V$79:$X$113,VLOOKUP(AX913,Foundation_Calc!$I$10:$J$13,2,FALSE),0),
IF(AX913="K",VLOOKUP(L913,Foundation_Calc!$V$117:$X$151,VLOOKUP(AX913,Foundation_Calc!$I$10:$J$13,2,FALSE),0),"")))</f>
        <v/>
      </c>
      <c r="N913" s="561"/>
      <c r="O913" s="449"/>
      <c r="P913" s="449"/>
      <c r="Q913" s="4"/>
      <c r="R913" s="6"/>
      <c r="S913" s="6"/>
      <c r="T913" s="4"/>
      <c r="U913" s="4"/>
      <c r="V913" s="4"/>
      <c r="W913" s="572"/>
      <c r="X913" s="9"/>
      <c r="Y913" s="9"/>
      <c r="Z913" s="9"/>
      <c r="AA913" s="9"/>
      <c r="AB913" s="9"/>
      <c r="AC913" s="449" t="str">
        <f t="shared" si="108"/>
        <v/>
      </c>
      <c r="AD913" s="449"/>
      <c r="AE913" s="449"/>
      <c r="AF913" s="4"/>
      <c r="AG913" s="83"/>
      <c r="AH913" s="4"/>
      <c r="AI913" s="4"/>
      <c r="AJ913" s="449"/>
      <c r="AK913" s="449"/>
      <c r="AL913" s="449"/>
      <c r="AM913" s="449"/>
      <c r="AN913" s="10"/>
      <c r="AO913" s="9"/>
      <c r="AP913" s="9"/>
      <c r="AQ913" s="9">
        <f>+FL_1($T$914,$T$912,$G$913,1200,9.28,-1*$F$914)</f>
        <v>0.35564782755555563</v>
      </c>
      <c r="AR913" s="9"/>
      <c r="AS913" s="9"/>
      <c r="AT913" s="9"/>
      <c r="AU913" s="428"/>
      <c r="AV913" s="428"/>
      <c r="AW913" s="449" t="str">
        <f>IF(C913&gt;0,VLOOKUP(C913,Foundation_Calc!$A$2:$C$13,3,1),
IF(J913&gt;0,VLOOKUP(J913,Foundation_Calc!$A$2:$C$13,3,1),""))</f>
        <v>Multi Soil</v>
      </c>
      <c r="AX913" s="449" t="str">
        <f>IF(C913&gt;0,VLOOKUP(C913,Foundation_Calc!$E$2:$G$33,3,1),
IF(J913&gt;0,VLOOKUP(J913,Foundation_Calc!$E$2:$G$33,3,1),""))</f>
        <v>PT</v>
      </c>
      <c r="AY913" s="10" t="str">
        <f>IF(L913="","",
IF(AX913="PT",VLOOKUP(L913,Foundation_Calc!$K$79:$R$113,VLOOKUP(AW913,Foundation_Calc!$I$2:$J$8,2,FALSE),0),
IF(AX913="K",VLOOKUP(L913,Foundation_Calc!$K$117:$R$151,VLOOKUP(AW913,Foundation_Calc!$I$2:$J$8,2,FALSE),0),"")))</f>
        <v/>
      </c>
      <c r="AZ913" s="10">
        <f>IF(K913="","",
IF(AX913="PT",VLOOKUP(K913,Foundation_Calc!$K$79:$R$113,VLOOKUP(AW913,Foundation_Calc!$I$2:$J$8,2,FALSE),0),
IF(AX913="K",VLOOKUP(K913,Foundation_Calc!$K$117:$R$151,VLOOKUP(AW913,Foundation_Calc!$I$2:$J$8,2,FALSE),0),"")))</f>
        <v>3.9</v>
      </c>
      <c r="BA913" s="495" t="str">
        <f t="shared" si="105"/>
        <v/>
      </c>
      <c r="BB913" s="495" t="str">
        <f t="shared" si="106"/>
        <v>ü</v>
      </c>
      <c r="BC913" s="495" t="str">
        <f t="shared" si="107"/>
        <v/>
      </c>
      <c r="BD913" s="513"/>
      <c r="BE913" s="429" t="s">
        <v>118</v>
      </c>
      <c r="BF913" s="290"/>
      <c r="BG913" s="290"/>
      <c r="BH913" s="290"/>
      <c r="BI913" s="290"/>
    </row>
    <row r="914" spans="1:61" ht="15.75" customHeight="1">
      <c r="A914" s="517"/>
      <c r="B914" s="450" t="s">
        <v>721</v>
      </c>
      <c r="C914" s="3">
        <f>+$C$912+$G$913</f>
        <v>51928.800000000003</v>
      </c>
      <c r="D914" s="83"/>
      <c r="E914" s="4"/>
      <c r="F914" s="4">
        <f>IF(C914&gt;0,VLOOKUP(C914,'ALIGNMENT TRACK'!$A$1:$K$81,9,1))</f>
        <v>0</v>
      </c>
      <c r="G914" s="6"/>
      <c r="H914" s="449"/>
      <c r="I914" s="4"/>
      <c r="J914" s="3"/>
      <c r="K914" s="449"/>
      <c r="L914" s="449" t="s">
        <v>250</v>
      </c>
      <c r="M914" s="449" t="str">
        <f>IF(L914="","",
IF(AX914="PT",VLOOKUP(L914,Foundation_Calc!$V$79:$X$113,VLOOKUP(AX914,Foundation_Calc!$I$10:$J$13,2,FALSE),0),
IF(AX914="K",VLOOKUP(L914,Foundation_Calc!$V$117:$X$151,VLOOKUP(AX914,Foundation_Calc!$I$10:$J$13,2,FALSE),0),"")))</f>
        <v>2C4R</v>
      </c>
      <c r="N914" s="449" t="s">
        <v>124</v>
      </c>
      <c r="O914" s="449"/>
      <c r="P914" s="449"/>
      <c r="Q914" s="4"/>
      <c r="R914" s="6"/>
      <c r="S914" s="6"/>
      <c r="T914" s="4">
        <v>-30</v>
      </c>
      <c r="U914" s="4"/>
      <c r="V914" s="4"/>
      <c r="W914" s="572">
        <v>1</v>
      </c>
      <c r="X914" s="9"/>
      <c r="Y914" s="9"/>
      <c r="Z914" s="9"/>
      <c r="AA914" s="9"/>
      <c r="AB914" s="9"/>
      <c r="AC914" s="449" t="str">
        <f t="shared" si="108"/>
        <v>PH</v>
      </c>
      <c r="AD914" s="449"/>
      <c r="AE914" s="449"/>
      <c r="AF914" s="4"/>
      <c r="AG914" s="83"/>
      <c r="AH914" s="4"/>
      <c r="AI914" s="4"/>
      <c r="AJ914" s="449"/>
      <c r="AK914" s="449"/>
      <c r="AL914" s="449" t="s">
        <v>252</v>
      </c>
      <c r="AM914" s="449" t="s">
        <v>552</v>
      </c>
      <c r="AN914" s="10">
        <v>5.5</v>
      </c>
      <c r="AO914" s="9"/>
      <c r="AP914" s="9"/>
      <c r="AQ914" s="9"/>
      <c r="AR914" s="9"/>
      <c r="AS914" s="9"/>
      <c r="AT914" s="9">
        <f>+ab($T$914,$T$912,$T$916,$G$913,$G$915,-1*$F$914,1200)</f>
        <v>-11.365536425929946</v>
      </c>
      <c r="AU914" s="428"/>
      <c r="AV914" s="428"/>
      <c r="AW914" s="449" t="str">
        <f>IF(C914&gt;0,VLOOKUP(C914,Foundation_Calc!$A$2:$C$13,3,1),
IF(J914&gt;0,VLOOKUP(J914,Foundation_Calc!$A$2:$C$13,3,1),""))</f>
        <v>Multi Soil</v>
      </c>
      <c r="AX914" s="449" t="str">
        <f>IF(C914&gt;0,VLOOKUP(C914,Foundation_Calc!$E$2:$G$33,3,1),
IF(J914&gt;0,VLOOKUP(J914,Foundation_Calc!$E$2:$G$33,3,1),""))</f>
        <v>PT</v>
      </c>
      <c r="AY914" s="10">
        <f>IF(L914="","",
IF(AX914="PT",VLOOKUP(L914,Foundation_Calc!$K$79:$R$113,VLOOKUP(AW914,Foundation_Calc!$I$2:$J$8,2,FALSE),0),
IF(AX914="K",VLOOKUP(L914,Foundation_Calc!$K$117:$R$151,VLOOKUP(AW914,Foundation_Calc!$I$2:$J$8,2,FALSE),0),"")))</f>
        <v>5.6</v>
      </c>
      <c r="AZ914" s="10" t="str">
        <f>IF(K914="","",
IF(AX914="PT",VLOOKUP(K914,Foundation_Calc!$K$79:$R$113,VLOOKUP(AW914,Foundation_Calc!$I$2:$J$8,2,FALSE),0),
IF(AX914="K",VLOOKUP(K914,Foundation_Calc!$K$117:$R$151,VLOOKUP(AW914,Foundation_Calc!$I$2:$J$8,2,FALSE),0),"")))</f>
        <v/>
      </c>
      <c r="BA914" s="495" t="str">
        <f t="shared" si="105"/>
        <v>ü</v>
      </c>
      <c r="BB914" s="495" t="str">
        <f t="shared" si="106"/>
        <v/>
      </c>
      <c r="BC914" s="495" t="str">
        <f t="shared" si="107"/>
        <v/>
      </c>
      <c r="BD914" s="513" t="str">
        <f>Pole_Calc!A$251</f>
        <v>App.8-V08H-P10.3</v>
      </c>
      <c r="BE914" s="429" t="s">
        <v>118</v>
      </c>
      <c r="BF914" s="289"/>
      <c r="BG914" s="289"/>
      <c r="BH914" s="290"/>
      <c r="BI914" s="289"/>
    </row>
    <row r="915" spans="1:61" ht="15.75" customHeight="1">
      <c r="A915" s="514" t="s">
        <v>438</v>
      </c>
      <c r="B915" s="450"/>
      <c r="C915" s="3"/>
      <c r="D915" s="83"/>
      <c r="E915" s="4"/>
      <c r="F915" s="4"/>
      <c r="G915" s="6">
        <v>45.1</v>
      </c>
      <c r="H915" s="449"/>
      <c r="I915" s="4"/>
      <c r="J915" s="3"/>
      <c r="K915" s="449"/>
      <c r="L915" s="449"/>
      <c r="M915" s="449" t="str">
        <f>IF(L915="","",
IF(AX915="PT",VLOOKUP(L915,Foundation_Calc!$V$79:$X$113,VLOOKUP(AX915,Foundation_Calc!$I$10:$J$13,2,FALSE),0),
IF(AX915="K",VLOOKUP(L915,Foundation_Calc!$V$117:$X$151,VLOOKUP(AX915,Foundation_Calc!$I$10:$J$13,2,FALSE),0),"")))</f>
        <v/>
      </c>
      <c r="N915" s="449"/>
      <c r="O915" s="449"/>
      <c r="P915" s="449"/>
      <c r="Q915" s="4"/>
      <c r="R915" s="6"/>
      <c r="S915" s="6"/>
      <c r="T915" s="4"/>
      <c r="U915" s="4"/>
      <c r="V915" s="4"/>
      <c r="W915" s="572"/>
      <c r="X915" s="9"/>
      <c r="Y915" s="9"/>
      <c r="Z915" s="9"/>
      <c r="AA915" s="9"/>
      <c r="AB915" s="9"/>
      <c r="AC915" s="449" t="str">
        <f t="shared" si="108"/>
        <v/>
      </c>
      <c r="AD915" s="449"/>
      <c r="AE915" s="449"/>
      <c r="AF915" s="4"/>
      <c r="AG915" s="83"/>
      <c r="AH915" s="4"/>
      <c r="AI915" s="4"/>
      <c r="AJ915" s="449"/>
      <c r="AK915" s="449"/>
      <c r="AL915" s="449"/>
      <c r="AM915" s="449"/>
      <c r="AN915" s="10"/>
      <c r="AO915" s="9"/>
      <c r="AP915" s="9"/>
      <c r="AQ915" s="9">
        <f>+FL_2($T$916,$T$914,$G$915,1200,9.28,-1*$F$916)</f>
        <v>-0.44979966836363638</v>
      </c>
      <c r="AR915" s="9"/>
      <c r="AS915" s="9"/>
      <c r="AT915" s="9"/>
      <c r="AU915" s="428"/>
      <c r="AV915" s="428"/>
      <c r="AW915" s="449" t="str">
        <f>IF(C915&gt;0,VLOOKUP(C915,Foundation_Calc!$A$2:$C$13,3,1),
IF(J915&gt;0,VLOOKUP(J915,Foundation_Calc!$A$2:$C$13,3,1),""))</f>
        <v/>
      </c>
      <c r="AX915" s="449" t="str">
        <f>IF(C915&gt;0,VLOOKUP(C915,Foundation_Calc!$E$2:$G$33,3,1),
IF(J915&gt;0,VLOOKUP(J915,Foundation_Calc!$E$2:$G$33,3,1),""))</f>
        <v/>
      </c>
      <c r="AY915" s="10" t="str">
        <f>IF(L915="","",
IF(AX915="PT",VLOOKUP(L915,Foundation_Calc!$K$79:$R$113,VLOOKUP(AW915,Foundation_Calc!$I$2:$J$8,2,FALSE),0),
IF(AX915="K",VLOOKUP(L915,Foundation_Calc!$K$117:$R$151,VLOOKUP(AW915,Foundation_Calc!$I$2:$J$8,2,FALSE),0),"")))</f>
        <v/>
      </c>
      <c r="AZ915" s="10" t="str">
        <f>IF(K915="","",
IF(AX915="PT",VLOOKUP(K915,Foundation_Calc!$K$79:$R$113,VLOOKUP(AW915,Foundation_Calc!$I$2:$J$8,2,FALSE),0),
IF(AX915="K",VLOOKUP(K915,Foundation_Calc!$K$117:$R$151,VLOOKUP(AW915,Foundation_Calc!$I$2:$J$8,2,FALSE),0),"")))</f>
        <v/>
      </c>
      <c r="BA915" s="495" t="str">
        <f t="shared" ref="BA915:BA918" si="109">IF(AY915="","",IF(AY915&gt;0,"ü",""))</f>
        <v/>
      </c>
      <c r="BB915" s="495" t="str">
        <f t="shared" ref="BB915:BB918" si="110">IF(AZ915="","",IF(AZ915&gt;0,"ü",""))</f>
        <v/>
      </c>
      <c r="BC915" s="495" t="str">
        <f t="shared" ref="BC915:BC918" si="111">IF(M915="","",IF(M915="U.S.","ü",IF(M915="U.S. N.D.","ü","")))</f>
        <v/>
      </c>
      <c r="BD915" s="513"/>
      <c r="BE915" s="429" t="s">
        <v>118</v>
      </c>
      <c r="BF915" s="290"/>
      <c r="BG915" s="290"/>
      <c r="BH915" s="290"/>
      <c r="BI915" s="290"/>
    </row>
    <row r="916" spans="1:61" ht="15.75" customHeight="1">
      <c r="A916" s="517" t="s">
        <v>438</v>
      </c>
      <c r="B916" s="450" t="s">
        <v>722</v>
      </c>
      <c r="C916" s="3">
        <f>+$C$914+$G$915</f>
        <v>51973.9</v>
      </c>
      <c r="D916" s="83"/>
      <c r="E916" s="4"/>
      <c r="F916" s="4">
        <f>IF(C916&gt;0,VLOOKUP(C916,'ALIGNMENT TRACK'!$A$1:$K$81,9,1))</f>
        <v>0</v>
      </c>
      <c r="G916" s="6"/>
      <c r="H916" s="449"/>
      <c r="I916" s="4"/>
      <c r="J916" s="3"/>
      <c r="K916" s="449"/>
      <c r="L916" s="449"/>
      <c r="M916" s="449"/>
      <c r="N916" s="449" t="s">
        <v>343</v>
      </c>
      <c r="O916" s="449"/>
      <c r="P916" s="449"/>
      <c r="Q916" s="4"/>
      <c r="R916" s="6"/>
      <c r="S916" s="6"/>
      <c r="T916" s="4">
        <v>-20</v>
      </c>
      <c r="U916" s="4"/>
      <c r="V916" s="4"/>
      <c r="W916" s="572">
        <v>1.2</v>
      </c>
      <c r="X916" s="9"/>
      <c r="Y916" s="9"/>
      <c r="Z916" s="9"/>
      <c r="AA916" s="9"/>
      <c r="AB916" s="9"/>
      <c r="AC916" s="449" t="str">
        <f t="shared" si="108"/>
        <v>PH</v>
      </c>
      <c r="AD916" s="449"/>
      <c r="AE916" s="449"/>
      <c r="AF916" s="4"/>
      <c r="AG916" s="83"/>
      <c r="AH916" s="4"/>
      <c r="AI916" s="4"/>
      <c r="AJ916" s="449"/>
      <c r="AK916" s="449" t="s">
        <v>451</v>
      </c>
      <c r="AL916" s="449"/>
      <c r="AM916" s="449" t="s">
        <v>716</v>
      </c>
      <c r="AN916" s="10">
        <v>5.5</v>
      </c>
      <c r="AO916" s="9"/>
      <c r="AP916" s="9"/>
      <c r="AQ916" s="9"/>
      <c r="AR916" s="9"/>
      <c r="AS916" s="9"/>
      <c r="AT916" s="9">
        <f>+ab($T$916,$T$914,$T$918,$G$915,$G$917,-1*$F$916,1200)</f>
        <v>56.493041449533742</v>
      </c>
      <c r="AU916" s="428"/>
      <c r="AV916" s="428"/>
      <c r="AW916" s="449"/>
      <c r="AX916" s="449"/>
      <c r="AY916" s="10" t="str">
        <f>IF(L916="","",
IF(AX916="PT",VLOOKUP(L916,Foundation_Calc!$K$79:$R$113,VLOOKUP(AW916,Foundation_Calc!$I$2:$J$8,2,FALSE),0),
IF(AX916="K",VLOOKUP(L916,Foundation_Calc!$K$117:$R$151,VLOOKUP(AW916,Foundation_Calc!$I$2:$J$8,2,FALSE),0),"")))</f>
        <v/>
      </c>
      <c r="AZ916" s="10" t="str">
        <f>IF(K916="","",
IF(AX916="PT",VLOOKUP(K916,Foundation_Calc!$K$79:$R$113,VLOOKUP(AW916,Foundation_Calc!$I$2:$J$8,2,FALSE),0),
IF(AX916="K",VLOOKUP(K916,Foundation_Calc!$K$117:$R$151,VLOOKUP(AW916,Foundation_Calc!$I$2:$J$8,2,FALSE),0),"")))</f>
        <v/>
      </c>
      <c r="BA916" s="495" t="str">
        <f t="shared" si="109"/>
        <v/>
      </c>
      <c r="BB916" s="495" t="str">
        <f t="shared" si="110"/>
        <v/>
      </c>
      <c r="BC916" s="495" t="str">
        <f t="shared" si="111"/>
        <v/>
      </c>
      <c r="BD916" s="513"/>
      <c r="BE916" s="429" t="s">
        <v>118</v>
      </c>
      <c r="BF916" s="289"/>
      <c r="BG916" s="289"/>
      <c r="BH916" s="290"/>
      <c r="BI916" s="289"/>
    </row>
    <row r="917" spans="1:61" ht="15.75" customHeight="1">
      <c r="A917" s="517" t="s">
        <v>438</v>
      </c>
      <c r="B917" s="450"/>
      <c r="C917" s="3"/>
      <c r="D917" s="83"/>
      <c r="E917" s="4"/>
      <c r="F917" s="4"/>
      <c r="G917" s="6">
        <v>43</v>
      </c>
      <c r="H917" s="449"/>
      <c r="I917" s="4"/>
      <c r="J917" s="3"/>
      <c r="K917" s="449"/>
      <c r="L917" s="449"/>
      <c r="M917" s="449" t="str">
        <f>IF(L917="","",
IF(AX917="PT",VLOOKUP(L917,Foundation_Calc!$V$79:$X$113,VLOOKUP(AX917,Foundation_Calc!$I$10:$J$13,2,FALSE),0),
IF(AX917="K",VLOOKUP(L917,Foundation_Calc!$V$117:$X$151,VLOOKUP(AX917,Foundation_Calc!$I$10:$J$13,2,FALSE),0),"")))</f>
        <v/>
      </c>
      <c r="N917" s="449"/>
      <c r="O917" s="449"/>
      <c r="P917" s="449"/>
      <c r="Q917" s="4"/>
      <c r="R917" s="6"/>
      <c r="S917" s="6"/>
      <c r="T917" s="4"/>
      <c r="U917" s="4"/>
      <c r="V917" s="4"/>
      <c r="W917" s="9"/>
      <c r="X917" s="9"/>
      <c r="Y917" s="9"/>
      <c r="Z917" s="9"/>
      <c r="AA917" s="9"/>
      <c r="AB917" s="9"/>
      <c r="AC917" s="449" t="str">
        <f t="shared" si="108"/>
        <v/>
      </c>
      <c r="AD917" s="449"/>
      <c r="AE917" s="449"/>
      <c r="AF917" s="4"/>
      <c r="AG917" s="83"/>
      <c r="AH917" s="4"/>
      <c r="AI917" s="4"/>
      <c r="AJ917" s="449"/>
      <c r="AK917" s="449"/>
      <c r="AL917" s="449"/>
      <c r="AM917" s="449"/>
      <c r="AN917" s="10"/>
      <c r="AO917" s="9"/>
      <c r="AP917" s="9"/>
      <c r="AQ917" s="9">
        <f>+FL_2($T$918,$T$916,$G$917,1200,9.28,-1*$F$918)</f>
        <v>-0.37873666666666667</v>
      </c>
      <c r="AR917" s="9"/>
      <c r="AS917" s="9"/>
      <c r="AT917" s="9"/>
      <c r="AU917" s="428"/>
      <c r="AV917" s="428"/>
      <c r="AW917" s="449"/>
      <c r="AX917" s="449"/>
      <c r="AY917" s="10" t="str">
        <f>IF(L917="","",
IF(AX917="PT",VLOOKUP(L917,Foundation_Calc!$K$79:$R$113,VLOOKUP(AW917,Foundation_Calc!$I$2:$J$8,2,FALSE),0),
IF(AX917="K",VLOOKUP(L917,Foundation_Calc!$K$117:$R$151,VLOOKUP(AW917,Foundation_Calc!$I$2:$J$8,2,FALSE),0),"")))</f>
        <v/>
      </c>
      <c r="AZ917" s="10" t="str">
        <f>IF(K917="","",
IF(AX917="PT",VLOOKUP(K917,Foundation_Calc!$K$79:$R$113,VLOOKUP(AW917,Foundation_Calc!$I$2:$J$8,2,FALSE),0),
IF(AX917="K",VLOOKUP(K917,Foundation_Calc!$K$117:$R$151,VLOOKUP(AW917,Foundation_Calc!$I$2:$J$8,2,FALSE),0),"")))</f>
        <v/>
      </c>
      <c r="BA917" s="495" t="str">
        <f t="shared" si="109"/>
        <v/>
      </c>
      <c r="BB917" s="495" t="str">
        <f t="shared" si="110"/>
        <v/>
      </c>
      <c r="BC917" s="495" t="str">
        <f t="shared" si="111"/>
        <v/>
      </c>
      <c r="BD917" s="513"/>
      <c r="BE917" s="429" t="s">
        <v>118</v>
      </c>
      <c r="BF917" s="290"/>
      <c r="BG917" s="290"/>
      <c r="BH917" s="290"/>
      <c r="BI917" s="290"/>
    </row>
    <row r="918" spans="1:61" ht="15.75" customHeight="1">
      <c r="A918" s="517" t="s">
        <v>438</v>
      </c>
      <c r="B918" s="450" t="s">
        <v>723</v>
      </c>
      <c r="C918" s="3">
        <f>+$C$916+$G$917</f>
        <v>52016.9</v>
      </c>
      <c r="D918" s="83"/>
      <c r="E918" s="4"/>
      <c r="F918" s="4">
        <f>IF(C918&gt;0,VLOOKUP(C918,'ALIGNMENT TRACK'!$A$1:$K$81,9,1))</f>
        <v>0</v>
      </c>
      <c r="G918" s="6"/>
      <c r="H918" s="449"/>
      <c r="I918" s="4"/>
      <c r="J918" s="3"/>
      <c r="K918" s="449"/>
      <c r="L918" s="449" t="s">
        <v>455</v>
      </c>
      <c r="M918" s="449" t="s">
        <v>450</v>
      </c>
      <c r="N918" s="449" t="s">
        <v>343</v>
      </c>
      <c r="O918" s="449"/>
      <c r="P918" s="449"/>
      <c r="Q918" s="4"/>
      <c r="R918" s="6"/>
      <c r="S918" s="6"/>
      <c r="T918" s="4">
        <v>-20</v>
      </c>
      <c r="U918" s="4"/>
      <c r="V918" s="4"/>
      <c r="W918" s="572">
        <v>1.2</v>
      </c>
      <c r="X918" s="9"/>
      <c r="Y918" s="9"/>
      <c r="Z918" s="9"/>
      <c r="AA918" s="9"/>
      <c r="AB918" s="9"/>
      <c r="AC918" s="449" t="str">
        <f t="shared" si="108"/>
        <v>PH</v>
      </c>
      <c r="AD918" s="449"/>
      <c r="AE918" s="449"/>
      <c r="AF918" s="4"/>
      <c r="AG918" s="83"/>
      <c r="AH918" s="4"/>
      <c r="AI918" s="4"/>
      <c r="AJ918" s="449"/>
      <c r="AK918" s="449" t="s">
        <v>451</v>
      </c>
      <c r="AL918" s="449" t="s">
        <v>456</v>
      </c>
      <c r="AM918" s="449" t="s">
        <v>716</v>
      </c>
      <c r="AN918" s="10">
        <v>5.5</v>
      </c>
      <c r="AO918" s="9"/>
      <c r="AP918" s="9"/>
      <c r="AQ918" s="9"/>
      <c r="AR918" s="9"/>
      <c r="AS918" s="9"/>
      <c r="AT918" s="9">
        <f>+ab($T$918,$T$916,$T$920,$G$917,$G$919,-1*$F$918,1200)</f>
        <v>89.999019706841693</v>
      </c>
      <c r="AU918" s="428"/>
      <c r="AV918" s="428"/>
      <c r="AW918" s="449"/>
      <c r="AX918" s="449"/>
      <c r="AY918" s="10" t="str">
        <f>IF(L918="","",
IF(AX918="PT",VLOOKUP(L918,Foundation_Calc!$K$79:$R$113,VLOOKUP(AW918,Foundation_Calc!$I$2:$J$8,2,FALSE),0),
IF(AX918="K",VLOOKUP(L918,Foundation_Calc!$K$117:$R$151,VLOOKUP(AW918,Foundation_Calc!$I$2:$J$8,2,FALSE),0),"")))</f>
        <v/>
      </c>
      <c r="AZ918" s="10" t="str">
        <f>IF(K918="","",
IF(AX918="PT",VLOOKUP(K918,Foundation_Calc!$K$79:$R$113,VLOOKUP(AW918,Foundation_Calc!$I$2:$J$8,2,FALSE),0),
IF(AX918="K",VLOOKUP(K918,Foundation_Calc!$K$117:$R$151,VLOOKUP(AW918,Foundation_Calc!$I$2:$J$8,2,FALSE),0),"")))</f>
        <v/>
      </c>
      <c r="BA918" s="495" t="str">
        <f t="shared" si="109"/>
        <v/>
      </c>
      <c r="BB918" s="495" t="str">
        <f t="shared" si="110"/>
        <v/>
      </c>
      <c r="BC918" s="495" t="str">
        <f t="shared" si="111"/>
        <v>ü</v>
      </c>
      <c r="BD918" s="513" t="str">
        <f>Pole_Calc!A$251</f>
        <v>App.8-V08H-P10.3</v>
      </c>
      <c r="BE918" s="429" t="s">
        <v>118</v>
      </c>
      <c r="BF918" s="289"/>
      <c r="BG918" s="289"/>
      <c r="BH918" s="290"/>
      <c r="BI918" s="289"/>
    </row>
    <row r="919" spans="1:61" ht="15.75" customHeight="1">
      <c r="A919" s="732" t="s">
        <v>724</v>
      </c>
      <c r="B919" s="722"/>
      <c r="C919" s="723"/>
      <c r="D919" s="724"/>
      <c r="E919" s="725"/>
      <c r="F919" s="725"/>
      <c r="G919" s="726">
        <v>47</v>
      </c>
      <c r="H919" s="727"/>
      <c r="I919" s="725"/>
      <c r="J919" s="723"/>
      <c r="K919" s="727"/>
      <c r="L919" s="727"/>
      <c r="M919" s="727" t="str">
        <f>IF(L919="","",
IF(AX919="PT",VLOOKUP(L919,Foundation_Calc!$V$79:$X$113,VLOOKUP(AX919,Foundation_Calc!$I$10:$J$13,2,FALSE),0),
IF(AX919="K",VLOOKUP(L919,Foundation_Calc!$V$117:$X$151,VLOOKUP(AX919,Foundation_Calc!$I$10:$J$13,2,FALSE),0),"")))</f>
        <v/>
      </c>
      <c r="N919" s="746"/>
      <c r="O919" s="727"/>
      <c r="P919" s="727"/>
      <c r="Q919" s="725"/>
      <c r="R919" s="726"/>
      <c r="S919" s="726"/>
      <c r="T919" s="725"/>
      <c r="U919" s="725"/>
      <c r="V919" s="725"/>
      <c r="W919" s="728"/>
      <c r="X919" s="728"/>
      <c r="Y919" s="728"/>
      <c r="Z919" s="728"/>
      <c r="AA919" s="728"/>
      <c r="AB919" s="728"/>
      <c r="AC919" s="727" t="str">
        <f t="shared" si="108"/>
        <v/>
      </c>
      <c r="AD919" s="727"/>
      <c r="AE919" s="727"/>
      <c r="AF919" s="725"/>
      <c r="AG919" s="724"/>
      <c r="AH919" s="725"/>
      <c r="AI919" s="725"/>
      <c r="AJ919" s="727"/>
      <c r="AK919" s="727"/>
      <c r="AL919" s="727"/>
      <c r="AM919" s="727"/>
      <c r="AN919" s="729"/>
      <c r="AO919" s="728"/>
      <c r="AP919" s="728"/>
      <c r="AQ919" s="728">
        <f>+FL_1($T$920,$T$918,$G$919,1200,9.28,-1*$F$920)</f>
        <v>1.3536666666666641E-2</v>
      </c>
      <c r="AR919" s="728"/>
      <c r="AS919" s="728"/>
      <c r="AT919" s="728"/>
      <c r="AU919" s="730"/>
      <c r="AV919" s="730"/>
      <c r="AW919" s="727"/>
      <c r="AX919" s="727"/>
      <c r="AY919" s="729" t="str">
        <f>IF(L919="","",
IF(AX919="PT",VLOOKUP(L919,Foundation_Calc!$K$79:$R$113,VLOOKUP(AW919,Foundation_Calc!$I$2:$J$8,2,FALSE),0),
IF(AX919="K",VLOOKUP(L919,Foundation_Calc!$K$117:$R$151,VLOOKUP(AW919,Foundation_Calc!$I$2:$J$8,2,FALSE),0),"")))</f>
        <v/>
      </c>
      <c r="AZ919" s="729" t="str">
        <f>IF(K919="","",
IF(AX919="PT",VLOOKUP(K919,Foundation_Calc!$K$79:$R$113,VLOOKUP(AW919,Foundation_Calc!$I$2:$J$8,2,FALSE),0),
IF(AX919="K",VLOOKUP(K919,Foundation_Calc!$K$117:$R$151,VLOOKUP(AW919,Foundation_Calc!$I$2:$J$8,2,FALSE),0),"")))</f>
        <v/>
      </c>
      <c r="BA919" s="495"/>
      <c r="BB919" s="495"/>
      <c r="BC919" s="495"/>
      <c r="BD919" s="513"/>
      <c r="BE919" s="429" t="s">
        <v>118</v>
      </c>
      <c r="BF919" s="290"/>
      <c r="BG919" s="290"/>
      <c r="BH919" s="290"/>
      <c r="BI919" s="290"/>
    </row>
    <row r="920" spans="1:61" ht="15.75" customHeight="1">
      <c r="A920" s="518" t="s">
        <v>438</v>
      </c>
      <c r="B920" s="450" t="s">
        <v>725</v>
      </c>
      <c r="C920" s="3">
        <f>+$C$918+$G$919</f>
        <v>52063.9</v>
      </c>
      <c r="D920" s="83"/>
      <c r="E920" s="4"/>
      <c r="F920" s="4">
        <f>IF(C920&gt;0,VLOOKUP(C920,'ALIGNMENT TRACK'!$A$1:$K$81,9,1))</f>
        <v>0</v>
      </c>
      <c r="G920" s="6"/>
      <c r="H920" s="449"/>
      <c r="I920" s="4"/>
      <c r="J920" s="3"/>
      <c r="K920" s="449"/>
      <c r="L920" s="449"/>
      <c r="M920" s="449"/>
      <c r="N920" s="449" t="s">
        <v>343</v>
      </c>
      <c r="O920" s="449"/>
      <c r="P920" s="449"/>
      <c r="Q920" s="4"/>
      <c r="R920" s="6"/>
      <c r="S920" s="6"/>
      <c r="T920" s="4">
        <v>-20</v>
      </c>
      <c r="U920" s="4"/>
      <c r="V920" s="4"/>
      <c r="W920" s="572">
        <v>1.1000000000000001</v>
      </c>
      <c r="X920" s="9"/>
      <c r="Y920" s="9"/>
      <c r="Z920" s="9"/>
      <c r="AA920" s="9"/>
      <c r="AB920" s="9"/>
      <c r="AC920" s="449" t="str">
        <f t="shared" si="108"/>
        <v>PH</v>
      </c>
      <c r="AD920" s="449"/>
      <c r="AE920" s="449"/>
      <c r="AF920" s="4"/>
      <c r="AG920" s="83"/>
      <c r="AH920" s="4"/>
      <c r="AI920" s="4"/>
      <c r="AJ920" s="449"/>
      <c r="AK920" s="449" t="s">
        <v>451</v>
      </c>
      <c r="AL920" s="449"/>
      <c r="AM920" s="449" t="s">
        <v>716</v>
      </c>
      <c r="AN920" s="10">
        <v>5.5</v>
      </c>
      <c r="AO920" s="9"/>
      <c r="AP920" s="9"/>
      <c r="AQ920" s="9"/>
      <c r="AR920" s="9"/>
      <c r="AS920" s="9"/>
      <c r="AT920" s="9">
        <f>+ab($T$920,$T$918,$T$922,$G$919,$G$921,-1*$F$920,1200)</f>
        <v>-24.528442448769255</v>
      </c>
      <c r="AU920" s="428"/>
      <c r="AV920" s="428"/>
      <c r="AW920" s="449"/>
      <c r="AX920" s="449"/>
      <c r="AY920" s="10" t="str">
        <f>IF(L920="","",
IF(AX920="PT",VLOOKUP(L920,Foundation_Calc!$K$79:$R$113,VLOOKUP(AW920,Foundation_Calc!$I$2:$J$8,2,FALSE),0),
IF(AX920="K",VLOOKUP(L920,Foundation_Calc!$K$117:$R$151,VLOOKUP(AW920,Foundation_Calc!$I$2:$J$8,2,FALSE),0),"")))</f>
        <v/>
      </c>
      <c r="AZ920" s="10" t="str">
        <f>IF(K920="","",
IF(AX920="PT",VLOOKUP(K920,Foundation_Calc!$K$79:$R$113,VLOOKUP(AW920,Foundation_Calc!$I$2:$J$8,2,FALSE),0),
IF(AX920="K",VLOOKUP(K920,Foundation_Calc!$K$117:$R$151,VLOOKUP(AW920,Foundation_Calc!$I$2:$J$8,2,FALSE),0),"")))</f>
        <v/>
      </c>
      <c r="BA920" s="495"/>
      <c r="BB920" s="495"/>
      <c r="BC920" s="495"/>
      <c r="BD920" s="513"/>
      <c r="BE920" s="429" t="s">
        <v>118</v>
      </c>
      <c r="BF920" s="289"/>
      <c r="BG920" s="289"/>
      <c r="BH920" s="290"/>
      <c r="BI920" s="289"/>
    </row>
    <row r="921" spans="1:61" ht="15.75" customHeight="1">
      <c r="A921" s="514" t="s">
        <v>413</v>
      </c>
      <c r="B921" s="450"/>
      <c r="C921" s="3"/>
      <c r="D921" s="83"/>
      <c r="E921" s="4"/>
      <c r="F921" s="4"/>
      <c r="G921" s="6">
        <v>54.5</v>
      </c>
      <c r="H921" s="449"/>
      <c r="I921" s="4"/>
      <c r="J921" s="3"/>
      <c r="K921" s="449"/>
      <c r="L921" s="449"/>
      <c r="M921" s="449" t="str">
        <f>IF(L921="","",
IF(AX921="PT",VLOOKUP(L921,Foundation_Calc!$V$79:$X$113,VLOOKUP(AX921,Foundation_Calc!$I$10:$J$13,2,FALSE),0),
IF(AX921="K",VLOOKUP(L921,Foundation_Calc!$V$117:$X$151,VLOOKUP(AX921,Foundation_Calc!$I$10:$J$13,2,FALSE),0),"")))</f>
        <v/>
      </c>
      <c r="N921" s="449"/>
      <c r="O921" s="449"/>
      <c r="P921" s="449"/>
      <c r="Q921" s="4"/>
      <c r="R921" s="6"/>
      <c r="S921" s="6"/>
      <c r="T921" s="4"/>
      <c r="U921" s="4"/>
      <c r="V921" s="4"/>
      <c r="W921" s="572"/>
      <c r="X921" s="9"/>
      <c r="Y921" s="9"/>
      <c r="Z921" s="9"/>
      <c r="AA921" s="9"/>
      <c r="AB921" s="9"/>
      <c r="AC921" s="449" t="str">
        <f t="shared" si="108"/>
        <v/>
      </c>
      <c r="AD921" s="449"/>
      <c r="AE921" s="449"/>
      <c r="AF921" s="4"/>
      <c r="AG921" s="83"/>
      <c r="AH921" s="4"/>
      <c r="AI921" s="4"/>
      <c r="AJ921" s="449"/>
      <c r="AK921" s="449"/>
      <c r="AL921" s="449"/>
      <c r="AM921" s="449"/>
      <c r="AN921" s="10"/>
      <c r="AO921" s="9"/>
      <c r="AP921" s="9"/>
      <c r="AQ921" s="9">
        <f>+FL_2($T$922,$T$920,$G$921,1200,9.28,-1*$F$922)</f>
        <v>-0.32195230414678905</v>
      </c>
      <c r="AR921" s="9"/>
      <c r="AS921" s="9"/>
      <c r="AT921" s="9"/>
      <c r="AU921" s="428"/>
      <c r="AV921" s="428"/>
      <c r="AW921" s="449"/>
      <c r="AX921" s="449"/>
      <c r="AY921" s="10" t="str">
        <f>IF(L921="","",
IF(AX921="PT",VLOOKUP(L921,Foundation_Calc!$K$79:$R$113,VLOOKUP(AW921,Foundation_Calc!$I$2:$J$8,2,FALSE),0),
IF(AX921="K",VLOOKUP(L921,Foundation_Calc!$K$117:$R$151,VLOOKUP(AW921,Foundation_Calc!$I$2:$J$8,2,FALSE),0),"")))</f>
        <v/>
      </c>
      <c r="AZ921" s="10" t="str">
        <f>IF(K921="","",
IF(AX921="PT",VLOOKUP(K921,Foundation_Calc!$K$79:$R$113,VLOOKUP(AW921,Foundation_Calc!$I$2:$J$8,2,FALSE),0),
IF(AX921="K",VLOOKUP(K921,Foundation_Calc!$K$117:$R$151,VLOOKUP(AW921,Foundation_Calc!$I$2:$J$8,2,FALSE),0),"")))</f>
        <v/>
      </c>
      <c r="BA921" s="495"/>
      <c r="BB921" s="495"/>
      <c r="BC921" s="495"/>
      <c r="BD921" s="513"/>
      <c r="BE921" s="429" t="s">
        <v>118</v>
      </c>
      <c r="BF921" s="290"/>
      <c r="BG921" s="290"/>
      <c r="BH921" s="290"/>
      <c r="BI921" s="290"/>
    </row>
    <row r="922" spans="1:61" ht="15.75" customHeight="1">
      <c r="A922" s="517" t="s">
        <v>438</v>
      </c>
      <c r="B922" s="450" t="s">
        <v>726</v>
      </c>
      <c r="C922" s="3">
        <f>+$C$920+$G$921</f>
        <v>52118.400000000001</v>
      </c>
      <c r="D922" s="83"/>
      <c r="E922" s="4"/>
      <c r="F922" s="4">
        <f>IF(C922&gt;0,VLOOKUP(C922,'ALIGNMENT TRACK'!$A$1:$K$81,9,1))</f>
        <v>0</v>
      </c>
      <c r="G922" s="6"/>
      <c r="H922" s="449"/>
      <c r="I922" s="4"/>
      <c r="J922" s="3"/>
      <c r="K922" s="449"/>
      <c r="L922" s="449"/>
      <c r="M922" s="449"/>
      <c r="N922" s="449" t="s">
        <v>453</v>
      </c>
      <c r="O922" s="449"/>
      <c r="P922" s="449"/>
      <c r="Q922" s="4"/>
      <c r="R922" s="6"/>
      <c r="S922" s="6"/>
      <c r="T922" s="4">
        <v>20</v>
      </c>
      <c r="U922" s="4"/>
      <c r="V922" s="4"/>
      <c r="W922" s="572">
        <v>0.9</v>
      </c>
      <c r="X922" s="9"/>
      <c r="Y922" s="9"/>
      <c r="Z922" s="9"/>
      <c r="AA922" s="9"/>
      <c r="AB922" s="9"/>
      <c r="AC922" s="449" t="str">
        <f t="shared" si="108"/>
        <v>PH</v>
      </c>
      <c r="AD922" s="449"/>
      <c r="AE922" s="449"/>
      <c r="AF922" s="4"/>
      <c r="AG922" s="83"/>
      <c r="AH922" s="4"/>
      <c r="AI922" s="4"/>
      <c r="AJ922" s="449"/>
      <c r="AK922" s="449" t="s">
        <v>451</v>
      </c>
      <c r="AL922" s="449"/>
      <c r="AM922" s="449" t="s">
        <v>716</v>
      </c>
      <c r="AN922" s="10">
        <v>5.5</v>
      </c>
      <c r="AO922" s="9"/>
      <c r="AP922" s="9"/>
      <c r="AQ922" s="9"/>
      <c r="AR922" s="9"/>
      <c r="AS922" s="9"/>
      <c r="AT922" s="9">
        <f>+ab($T$922,$T$920,$T$924,$G$921,$G$923,-1*$F$922,1200)</f>
        <v>24.528146138068362</v>
      </c>
      <c r="AU922" s="428"/>
      <c r="AV922" s="428"/>
      <c r="AW922" s="449"/>
      <c r="AX922" s="449"/>
      <c r="AY922" s="10" t="str">
        <f>IF(L922="","",
IF(AX922="PT",VLOOKUP(L922,Foundation_Calc!$K$79:$R$113,VLOOKUP(AW922,Foundation_Calc!$I$2:$J$8,2,FALSE),0),
IF(AX922="K",VLOOKUP(L922,Foundation_Calc!$K$117:$R$151,VLOOKUP(AW922,Foundation_Calc!$I$2:$J$8,2,FALSE),0),"")))</f>
        <v/>
      </c>
      <c r="AZ922" s="10" t="str">
        <f>IF(K922="","",
IF(AX922="PT",VLOOKUP(K922,Foundation_Calc!$K$79:$R$113,VLOOKUP(AW922,Foundation_Calc!$I$2:$J$8,2,FALSE),0),
IF(AX922="K",VLOOKUP(K922,Foundation_Calc!$K$117:$R$151,VLOOKUP(AW922,Foundation_Calc!$I$2:$J$8,2,FALSE),0),"")))</f>
        <v/>
      </c>
      <c r="BA922" s="495"/>
      <c r="BB922" s="495"/>
      <c r="BC922" s="495"/>
      <c r="BD922" s="513"/>
      <c r="BE922" s="429" t="s">
        <v>118</v>
      </c>
      <c r="BF922" s="289"/>
      <c r="BG922" s="289"/>
      <c r="BH922" s="290"/>
      <c r="BI922" s="289"/>
    </row>
    <row r="923" spans="1:61" ht="15.75" customHeight="1">
      <c r="A923" s="514" t="s">
        <v>430</v>
      </c>
      <c r="B923" s="450"/>
      <c r="C923" s="3"/>
      <c r="D923" s="83"/>
      <c r="E923" s="4"/>
      <c r="F923" s="4"/>
      <c r="G923" s="6">
        <v>45</v>
      </c>
      <c r="H923" s="449"/>
      <c r="I923" s="4"/>
      <c r="J923" s="3"/>
      <c r="K923" s="449"/>
      <c r="L923" s="449"/>
      <c r="M923" s="449" t="str">
        <f>IF(L923="","",
IF(AX923="PT",VLOOKUP(L923,Foundation_Calc!$V$79:$X$113,VLOOKUP(AX923,Foundation_Calc!$I$10:$J$13,2,FALSE),0),
IF(AX923="K",VLOOKUP(L923,Foundation_Calc!$V$117:$X$151,VLOOKUP(AX923,Foundation_Calc!$I$10:$J$13,2,FALSE),0),"")))</f>
        <v/>
      </c>
      <c r="N923" s="449"/>
      <c r="O923" s="449"/>
      <c r="P923" s="449"/>
      <c r="Q923" s="4"/>
      <c r="R923" s="6"/>
      <c r="S923" s="6"/>
      <c r="T923" s="4"/>
      <c r="U923" s="4"/>
      <c r="V923" s="4"/>
      <c r="W923" s="572"/>
      <c r="X923" s="9"/>
      <c r="Y923" s="9"/>
      <c r="Z923" s="9"/>
      <c r="AA923" s="9"/>
      <c r="AB923" s="9"/>
      <c r="AC923" s="449" t="str">
        <f t="shared" si="108"/>
        <v/>
      </c>
      <c r="AD923" s="449"/>
      <c r="AE923" s="449"/>
      <c r="AF923" s="4"/>
      <c r="AG923" s="83"/>
      <c r="AH923" s="4"/>
      <c r="AI923" s="4"/>
      <c r="AJ923" s="449"/>
      <c r="AK923" s="449"/>
      <c r="AL923" s="449"/>
      <c r="AM923" s="449"/>
      <c r="AN923" s="10"/>
      <c r="AO923" s="9"/>
      <c r="AP923" s="9"/>
      <c r="AQ923" s="9">
        <f>+FL_1($T$924,$T$922,$G$923,1200,9.28,-1*$F$924)</f>
        <v>0.39574999999999999</v>
      </c>
      <c r="AR923" s="9"/>
      <c r="AS923" s="9"/>
      <c r="AT923" s="9"/>
      <c r="AU923" s="428"/>
      <c r="AV923" s="428"/>
      <c r="AW923" s="449"/>
      <c r="AX923" s="449"/>
      <c r="AY923" s="10" t="str">
        <f>IF(L923="","",
IF(AX923="PT",VLOOKUP(L923,Foundation_Calc!$K$79:$R$113,VLOOKUP(AW923,Foundation_Calc!$I$2:$J$8,2,FALSE),0),
IF(AX923="K",VLOOKUP(L923,Foundation_Calc!$K$117:$R$151,VLOOKUP(AW923,Foundation_Calc!$I$2:$J$8,2,FALSE),0),"")))</f>
        <v/>
      </c>
      <c r="AZ923" s="10" t="str">
        <f>IF(K923="","",
IF(AX923="PT",VLOOKUP(K923,Foundation_Calc!$K$79:$R$113,VLOOKUP(AW923,Foundation_Calc!$I$2:$J$8,2,FALSE),0),
IF(AX923="K",VLOOKUP(K923,Foundation_Calc!$K$117:$R$151,VLOOKUP(AW923,Foundation_Calc!$I$2:$J$8,2,FALSE),0),"")))</f>
        <v/>
      </c>
      <c r="BA923" s="495"/>
      <c r="BB923" s="495"/>
      <c r="BC923" s="495"/>
      <c r="BD923" s="513"/>
      <c r="BE923" s="429" t="s">
        <v>118</v>
      </c>
      <c r="BF923" s="290"/>
      <c r="BG923" s="290"/>
      <c r="BH923" s="290"/>
      <c r="BI923" s="290"/>
    </row>
    <row r="924" spans="1:61" ht="15.75" customHeight="1">
      <c r="A924" s="517" t="s">
        <v>438</v>
      </c>
      <c r="B924" s="450" t="s">
        <v>727</v>
      </c>
      <c r="C924" s="3">
        <f>+$C$922+$G$923</f>
        <v>52163.4</v>
      </c>
      <c r="D924" s="83"/>
      <c r="E924" s="4"/>
      <c r="F924" s="4">
        <f>IF(C924&gt;0,VLOOKUP(C924,'ALIGNMENT TRACK'!$A$1:$K$81,9,1))</f>
        <v>0</v>
      </c>
      <c r="G924" s="6"/>
      <c r="H924" s="449"/>
      <c r="I924" s="4"/>
      <c r="J924" s="3"/>
      <c r="K924" s="449"/>
      <c r="L924" s="449" t="s">
        <v>250</v>
      </c>
      <c r="M924" s="449" t="s">
        <v>450</v>
      </c>
      <c r="N924" s="449" t="s">
        <v>453</v>
      </c>
      <c r="O924" s="449"/>
      <c r="P924" s="449"/>
      <c r="Q924" s="4"/>
      <c r="R924" s="6"/>
      <c r="S924" s="6"/>
      <c r="T924" s="4">
        <v>20</v>
      </c>
      <c r="U924" s="4"/>
      <c r="V924" s="4"/>
      <c r="W924" s="572">
        <v>0.9</v>
      </c>
      <c r="X924" s="9"/>
      <c r="Y924" s="9"/>
      <c r="Z924" s="9"/>
      <c r="AA924" s="9"/>
      <c r="AB924" s="9"/>
      <c r="AC924" s="449" t="str">
        <f t="shared" si="108"/>
        <v>PH</v>
      </c>
      <c r="AD924" s="449"/>
      <c r="AE924" s="449"/>
      <c r="AF924" s="4"/>
      <c r="AG924" s="83"/>
      <c r="AH924" s="4"/>
      <c r="AI924" s="4"/>
      <c r="AJ924" s="449"/>
      <c r="AK924" s="449" t="s">
        <v>451</v>
      </c>
      <c r="AL924" s="449" t="s">
        <v>252</v>
      </c>
      <c r="AM924" s="449" t="s">
        <v>716</v>
      </c>
      <c r="AN924" s="10">
        <v>5.5</v>
      </c>
      <c r="AO924" s="9"/>
      <c r="AP924" s="9"/>
      <c r="AQ924" s="9"/>
      <c r="AR924" s="9"/>
      <c r="AS924" s="9"/>
      <c r="AT924" s="9">
        <f>+ab($T$924,$T$922,$T$926,$G$923,$G$925,-1*$F$924,1200)</f>
        <v>20.645324400051482</v>
      </c>
      <c r="AU924" s="428"/>
      <c r="AV924" s="428"/>
      <c r="AW924" s="449"/>
      <c r="AX924" s="449"/>
      <c r="AY924" s="10" t="str">
        <f>IF(L924="","",
IF(AX924="PT",VLOOKUP(L924,Foundation_Calc!$K$79:$R$113,VLOOKUP(AW924,Foundation_Calc!$I$2:$J$8,2,FALSE),0),
IF(AX924="K",VLOOKUP(L924,Foundation_Calc!$K$117:$R$151,VLOOKUP(AW924,Foundation_Calc!$I$2:$J$8,2,FALSE),0),"")))</f>
        <v/>
      </c>
      <c r="AZ924" s="10" t="str">
        <f>IF(K924="","",
IF(AX924="PT",VLOOKUP(K924,Foundation_Calc!$K$79:$R$113,VLOOKUP(AW924,Foundation_Calc!$I$2:$J$8,2,FALSE),0),
IF(AX924="K",VLOOKUP(K924,Foundation_Calc!$K$117:$R$151,VLOOKUP(AW924,Foundation_Calc!$I$2:$J$8,2,FALSE),0),"")))</f>
        <v/>
      </c>
      <c r="BA924" s="495" t="str">
        <f t="shared" ref="BA924:BA926" si="112">IF(AY924="","",IF(AY924&gt;0,"ü",""))</f>
        <v/>
      </c>
      <c r="BB924" s="495" t="str">
        <f t="shared" ref="BB924:BB926" si="113">IF(AZ924="","",IF(AZ924&gt;0,"ü",""))</f>
        <v/>
      </c>
      <c r="BC924" s="495" t="str">
        <f t="shared" ref="BC924:BC926" si="114">IF(M924="","",IF(M924="U.S.","ü",IF(M924="U.S. N.D.","ü","")))</f>
        <v>ü</v>
      </c>
      <c r="BD924" s="513" t="str">
        <f>Pole_Calc!A$251</f>
        <v>App.8-V08H-P10.3</v>
      </c>
      <c r="BE924" s="429" t="s">
        <v>118</v>
      </c>
      <c r="BF924" s="289"/>
      <c r="BG924" s="289"/>
      <c r="BH924" s="290"/>
      <c r="BI924" s="289"/>
    </row>
    <row r="925" spans="1:61" ht="15.75" customHeight="1">
      <c r="A925" s="517" t="s">
        <v>438</v>
      </c>
      <c r="B925" s="450"/>
      <c r="C925" s="3"/>
      <c r="D925" s="83"/>
      <c r="E925" s="4"/>
      <c r="F925" s="4"/>
      <c r="G925" s="6">
        <v>45</v>
      </c>
      <c r="H925" s="449"/>
      <c r="I925" s="4"/>
      <c r="J925" s="3"/>
      <c r="K925" s="449"/>
      <c r="L925" s="449"/>
      <c r="M925" s="449" t="str">
        <f>IF(L925="","",
IF(AX925="PT",VLOOKUP(L925,Foundation_Calc!$V$79:$X$113,VLOOKUP(AX925,Foundation_Calc!$I$10:$J$13,2,FALSE),0),
IF(AX925="K",VLOOKUP(L925,Foundation_Calc!$V$117:$X$151,VLOOKUP(AX925,Foundation_Calc!$I$10:$J$13,2,FALSE),0),"")))</f>
        <v/>
      </c>
      <c r="N925" s="561"/>
      <c r="O925" s="449"/>
      <c r="P925" s="449"/>
      <c r="Q925" s="4"/>
      <c r="R925" s="6"/>
      <c r="S925" s="6"/>
      <c r="T925" s="4"/>
      <c r="U925" s="4"/>
      <c r="V925" s="4"/>
      <c r="W925" s="572"/>
      <c r="X925" s="9"/>
      <c r="Y925" s="9"/>
      <c r="Z925" s="9"/>
      <c r="AA925" s="9"/>
      <c r="AB925" s="9"/>
      <c r="AC925" s="449" t="str">
        <f t="shared" si="108"/>
        <v/>
      </c>
      <c r="AD925" s="449"/>
      <c r="AE925" s="449"/>
      <c r="AF925" s="4"/>
      <c r="AG925" s="83"/>
      <c r="AH925" s="4"/>
      <c r="AI925" s="4"/>
      <c r="AJ925" s="449"/>
      <c r="AK925" s="449"/>
      <c r="AL925" s="449"/>
      <c r="AM925" s="449"/>
      <c r="AN925" s="10"/>
      <c r="AO925" s="9"/>
      <c r="AP925" s="9"/>
      <c r="AQ925" s="9">
        <f>+FL_2($T$926,$T$924,$G$925,1200,9.28,-1*$F$926)</f>
        <v>-0.24683556133333334</v>
      </c>
      <c r="AR925" s="9"/>
      <c r="AS925" s="9"/>
      <c r="AT925" s="9"/>
      <c r="AU925" s="428"/>
      <c r="AV925" s="428"/>
      <c r="AW925" s="449" t="str">
        <f>IF(C925&gt;0,VLOOKUP(C925,Foundation_Calc!$A$2:$C$13,3,1),
IF(J925&gt;0,VLOOKUP(J925,Foundation_Calc!$A$2:$C$13,3,1),""))</f>
        <v/>
      </c>
      <c r="AX925" s="449" t="str">
        <f>IF(C925&gt;0,VLOOKUP(C925,Foundation_Calc!$E$2:$G$33,3,1),
IF(J925&gt;0,VLOOKUP(J925,Foundation_Calc!$E$2:$G$33,3,1),""))</f>
        <v/>
      </c>
      <c r="AY925" s="10" t="str">
        <f>IF(L925="","",
IF(AX925="PT",VLOOKUP(L925,Foundation_Calc!$K$79:$R$113,VLOOKUP(AW925,Foundation_Calc!$I$2:$J$8,2,FALSE),0),
IF(AX925="K",VLOOKUP(L925,Foundation_Calc!$K$117:$R$151,VLOOKUP(AW925,Foundation_Calc!$I$2:$J$8,2,FALSE),0),"")))</f>
        <v/>
      </c>
      <c r="AZ925" s="10" t="str">
        <f>IF(K925="","",
IF(AX925="PT",VLOOKUP(K925,Foundation_Calc!$K$79:$R$113,VLOOKUP(AW925,Foundation_Calc!$I$2:$J$8,2,FALSE),0),
IF(AX925="K",VLOOKUP(K925,Foundation_Calc!$K$117:$R$151,VLOOKUP(AW925,Foundation_Calc!$I$2:$J$8,2,FALSE),0),"")))</f>
        <v/>
      </c>
      <c r="BA925" s="495" t="str">
        <f t="shared" si="112"/>
        <v/>
      </c>
      <c r="BB925" s="495" t="str">
        <f t="shared" si="113"/>
        <v/>
      </c>
      <c r="BC925" s="495" t="str">
        <f t="shared" si="114"/>
        <v/>
      </c>
      <c r="BD925" s="513" t="str">
        <f>IF(AND(L925="",H925=""),"",
IF(H925="",Pole_Calc!A$9,
IF(H925="MP",Pole_Calc!A$10,
IF(H925="AnMP",Pole_Calc!A$11,
IF(H925="A",Pole_Calc!A$12,
IF(H925="S/A",Pole_Calc!A$13,
IF(H925="A/S",Pole_Calc!A$14,"Poner a mano")))))))</f>
        <v/>
      </c>
      <c r="BE925" s="429" t="s">
        <v>118</v>
      </c>
      <c r="BF925" s="290"/>
      <c r="BG925" s="290"/>
      <c r="BH925" s="290"/>
      <c r="BI925" s="290"/>
    </row>
    <row r="926" spans="1:61" ht="15.75" customHeight="1">
      <c r="A926" s="517" t="s">
        <v>438</v>
      </c>
      <c r="B926" s="450" t="s">
        <v>728</v>
      </c>
      <c r="C926" s="3">
        <f>+$C$924+$G$925</f>
        <v>52208.4</v>
      </c>
      <c r="D926" s="83"/>
      <c r="E926" s="4"/>
      <c r="F926" s="4">
        <f>IF(C926&gt;0,VLOOKUP(C926,'ALIGNMENT TRACK'!$A$1:$K$81,9,1))</f>
        <v>0</v>
      </c>
      <c r="G926" s="6"/>
      <c r="H926" s="449"/>
      <c r="I926" s="4"/>
      <c r="J926" s="3"/>
      <c r="K926" s="449"/>
      <c r="L926" s="449" t="s">
        <v>250</v>
      </c>
      <c r="M926" s="449" t="s">
        <v>450</v>
      </c>
      <c r="N926" s="449" t="s">
        <v>343</v>
      </c>
      <c r="O926" s="449"/>
      <c r="P926" s="449"/>
      <c r="Q926" s="4"/>
      <c r="R926" s="6"/>
      <c r="S926" s="6"/>
      <c r="T926" s="4">
        <v>-20</v>
      </c>
      <c r="U926" s="4"/>
      <c r="V926" s="4"/>
      <c r="W926" s="572">
        <v>1.1000000000000001</v>
      </c>
      <c r="X926" s="9"/>
      <c r="Y926" s="9"/>
      <c r="Z926" s="9"/>
      <c r="AA926" s="9"/>
      <c r="AB926" s="9"/>
      <c r="AC926" s="449" t="str">
        <f t="shared" si="108"/>
        <v>PH</v>
      </c>
      <c r="AD926" s="449"/>
      <c r="AE926" s="449"/>
      <c r="AF926" s="4"/>
      <c r="AG926" s="83"/>
      <c r="AH926" s="4"/>
      <c r="AI926" s="4"/>
      <c r="AJ926" s="449"/>
      <c r="AK926" s="449" t="s">
        <v>451</v>
      </c>
      <c r="AL926" s="449" t="s">
        <v>252</v>
      </c>
      <c r="AM926" s="449" t="s">
        <v>716</v>
      </c>
      <c r="AN926" s="10">
        <v>5.5</v>
      </c>
      <c r="AO926" s="9"/>
      <c r="AP926" s="9"/>
      <c r="AQ926" s="9"/>
      <c r="AR926" s="9"/>
      <c r="AS926" s="9"/>
      <c r="AT926" s="9">
        <f>+ab($T$926,$T$924,$T$928,$G$925,$G$927,-1*$F$926,1200)</f>
        <v>-9.0259415314450866</v>
      </c>
      <c r="AU926" s="428"/>
      <c r="AV926" s="428"/>
      <c r="AW926" s="449"/>
      <c r="AX926" s="449"/>
      <c r="AY926" s="10"/>
      <c r="AZ926" s="10"/>
      <c r="BA926" s="495" t="str">
        <f t="shared" si="112"/>
        <v/>
      </c>
      <c r="BB926" s="495" t="str">
        <f t="shared" si="113"/>
        <v/>
      </c>
      <c r="BC926" s="495" t="str">
        <f t="shared" si="114"/>
        <v>ü</v>
      </c>
      <c r="BD926" s="513" t="str">
        <f>Pole_Calc!A$251</f>
        <v>App.8-V08H-P10.3</v>
      </c>
      <c r="BE926" s="429" t="s">
        <v>118</v>
      </c>
      <c r="BF926" s="289"/>
      <c r="BG926" s="289"/>
      <c r="BH926" s="290"/>
      <c r="BI926" s="289"/>
    </row>
    <row r="927" spans="1:61" ht="15.75" customHeight="1">
      <c r="A927" s="517" t="s">
        <v>438</v>
      </c>
      <c r="B927" s="450"/>
      <c r="C927" s="3"/>
      <c r="D927" s="83"/>
      <c r="E927" s="4"/>
      <c r="F927" s="4"/>
      <c r="G927" s="6">
        <v>41</v>
      </c>
      <c r="H927" s="449"/>
      <c r="I927" s="4"/>
      <c r="J927" s="3"/>
      <c r="K927" s="9"/>
      <c r="L927" s="449"/>
      <c r="M927" s="449" t="str">
        <f>IF(L927="","",
IF(AX927="PT",VLOOKUP(L927,Foundation_Calc!$V$79:$X$113,VLOOKUP(AX927,Foundation_Calc!$I$10:$J$13,2,FALSE),0),
IF(AX927="K",VLOOKUP(L927,Foundation_Calc!$V$117:$X$151,VLOOKUP(AX927,Foundation_Calc!$I$10:$J$13,2,FALSE),0),"")))</f>
        <v/>
      </c>
      <c r="N927" s="449"/>
      <c r="O927" s="449"/>
      <c r="P927" s="449"/>
      <c r="Q927" s="4"/>
      <c r="R927" s="6"/>
      <c r="S927" s="6"/>
      <c r="T927" s="4"/>
      <c r="U927" s="4"/>
      <c r="V927" s="4"/>
      <c r="W927" s="9"/>
      <c r="X927" s="9"/>
      <c r="Y927" s="9"/>
      <c r="Z927" s="9"/>
      <c r="AA927" s="9"/>
      <c r="AB927" s="9"/>
      <c r="AC927" s="449" t="str">
        <f t="shared" si="108"/>
        <v/>
      </c>
      <c r="AD927" s="449"/>
      <c r="AE927" s="449"/>
      <c r="AF927" s="4"/>
      <c r="AG927" s="83"/>
      <c r="AH927" s="4"/>
      <c r="AI927" s="4"/>
      <c r="AJ927" s="449"/>
      <c r="AK927" s="449"/>
      <c r="AL927" s="449"/>
      <c r="AM927" s="449"/>
      <c r="AN927" s="10"/>
      <c r="AO927" s="9"/>
      <c r="AP927" s="9"/>
      <c r="AQ927" s="9">
        <f>+FL_1($T$928,$T$926,$G$927,1200,9.28,-1*$F$928)</f>
        <v>0.30865248517073168</v>
      </c>
      <c r="AR927" s="9"/>
      <c r="AS927" s="9"/>
      <c r="AT927" s="9"/>
      <c r="AU927" s="428"/>
      <c r="AV927" s="428"/>
      <c r="AW927" s="449"/>
      <c r="AX927" s="449"/>
      <c r="AY927" s="10"/>
      <c r="AZ927" s="10"/>
      <c r="BA927" s="495" t="str">
        <f t="shared" ref="BA927:BA978" si="115">IF(AY927="","",IF(AY927&gt;0,"ü",""))</f>
        <v/>
      </c>
      <c r="BB927" s="495" t="str">
        <f t="shared" ref="BB927:BB978" si="116">IF(AZ927="","",IF(AZ927&gt;0,"ü",""))</f>
        <v/>
      </c>
      <c r="BC927" s="495" t="str">
        <f t="shared" ref="BC927:BC978" si="117">IF(M927="","",IF(M927="U.S.","ü",IF(M927="U.S. N.D.","ü","")))</f>
        <v/>
      </c>
      <c r="BD927" s="513"/>
      <c r="BE927" s="429" t="s">
        <v>118</v>
      </c>
      <c r="BF927" s="290"/>
      <c r="BG927" s="290"/>
      <c r="BH927" s="290"/>
      <c r="BI927" s="290"/>
    </row>
    <row r="928" spans="1:61" ht="15.75" customHeight="1">
      <c r="A928" s="517" t="s">
        <v>438</v>
      </c>
      <c r="B928" s="450" t="s">
        <v>729</v>
      </c>
      <c r="C928" s="3">
        <f>+$C$926+$G$927</f>
        <v>52249.4</v>
      </c>
      <c r="D928" s="83"/>
      <c r="E928" s="4"/>
      <c r="F928" s="4">
        <f>IF(C928&gt;0,VLOOKUP(C928,'ALIGNMENT TRACK'!$A$1:$K$81,9,1))</f>
        <v>0</v>
      </c>
      <c r="G928" s="6"/>
      <c r="H928" s="449"/>
      <c r="I928" s="4"/>
      <c r="J928" s="3"/>
      <c r="K928" s="449"/>
      <c r="L928" s="449" t="s">
        <v>250</v>
      </c>
      <c r="M928" s="449" t="s">
        <v>450</v>
      </c>
      <c r="N928" s="449" t="s">
        <v>453</v>
      </c>
      <c r="O928" s="449"/>
      <c r="P928" s="449"/>
      <c r="Q928" s="4"/>
      <c r="R928" s="6"/>
      <c r="S928" s="6"/>
      <c r="T928" s="4">
        <v>30</v>
      </c>
      <c r="U928" s="4"/>
      <c r="V928" s="4"/>
      <c r="W928" s="9">
        <v>1.4</v>
      </c>
      <c r="X928" s="9"/>
      <c r="Y928" s="9"/>
      <c r="Z928" s="9"/>
      <c r="AA928" s="9"/>
      <c r="AB928" s="9"/>
      <c r="AC928" s="449" t="str">
        <f t="shared" si="108"/>
        <v>PHQ</v>
      </c>
      <c r="AD928" s="449"/>
      <c r="AE928" s="449"/>
      <c r="AF928" s="4"/>
      <c r="AG928" s="83"/>
      <c r="AH928" s="4"/>
      <c r="AI928" s="4"/>
      <c r="AJ928" s="449"/>
      <c r="AK928" s="449" t="s">
        <v>451</v>
      </c>
      <c r="AL928" s="449" t="s">
        <v>252</v>
      </c>
      <c r="AM928" s="449" t="s">
        <v>716</v>
      </c>
      <c r="AN928" s="10">
        <v>5.5</v>
      </c>
      <c r="AO928" s="9"/>
      <c r="AP928" s="9"/>
      <c r="AQ928" s="9"/>
      <c r="AR928" s="9"/>
      <c r="AS928" s="9"/>
      <c r="AT928" s="9">
        <f>+ab($T$928,$T$926,$T$930,$G$927,$G$929,-1*$F$928,1200)</f>
        <v>7.122744074855146</v>
      </c>
      <c r="AU928" s="428"/>
      <c r="AV928" s="428"/>
      <c r="AW928" s="449"/>
      <c r="AX928" s="449"/>
      <c r="AY928" s="10"/>
      <c r="AZ928" s="10"/>
      <c r="BA928" s="495" t="str">
        <f t="shared" si="115"/>
        <v/>
      </c>
      <c r="BB928" s="495" t="str">
        <f t="shared" si="116"/>
        <v/>
      </c>
      <c r="BC928" s="495" t="str">
        <f t="shared" si="117"/>
        <v>ü</v>
      </c>
      <c r="BD928" s="513" t="str">
        <f>Pole_Calc!A$251</f>
        <v>App.8-V08H-P10.3</v>
      </c>
      <c r="BE928" s="429" t="s">
        <v>118</v>
      </c>
      <c r="BF928" s="289"/>
      <c r="BG928" s="289"/>
      <c r="BH928" s="290"/>
      <c r="BI928" s="289"/>
    </row>
    <row r="929" spans="1:61" ht="15.75" customHeight="1">
      <c r="A929" s="514" t="s">
        <v>438</v>
      </c>
      <c r="B929" s="450"/>
      <c r="C929" s="3"/>
      <c r="D929" s="83"/>
      <c r="E929" s="4"/>
      <c r="F929" s="4"/>
      <c r="G929" s="6">
        <v>44.5</v>
      </c>
      <c r="H929" s="449"/>
      <c r="I929" s="4"/>
      <c r="J929" s="3">
        <f>C930-7.5</f>
        <v>52286.400000000001</v>
      </c>
      <c r="K929" s="449" t="s">
        <v>166</v>
      </c>
      <c r="L929" s="449"/>
      <c r="M929" s="449" t="str">
        <f>IF(L929="","",
IF(AX929="PT",VLOOKUP(L929,Foundation_Calc!$V$79:$X$113,VLOOKUP(AX929,Foundation_Calc!$I$10:$J$13,2,FALSE),0),
IF(AX929="K",VLOOKUP(L929,Foundation_Calc!$V$117:$X$151,VLOOKUP(AX929,Foundation_Calc!$I$10:$J$13,2,FALSE),0),"")))</f>
        <v/>
      </c>
      <c r="N929" s="449"/>
      <c r="O929" s="449"/>
      <c r="P929" s="449"/>
      <c r="Q929" s="4"/>
      <c r="R929" s="6"/>
      <c r="S929" s="6"/>
      <c r="T929" s="4"/>
      <c r="U929" s="4"/>
      <c r="V929" s="4"/>
      <c r="W929" s="9"/>
      <c r="X929" s="9"/>
      <c r="Y929" s="9"/>
      <c r="Z929" s="9"/>
      <c r="AA929" s="9"/>
      <c r="AB929" s="9"/>
      <c r="AC929" s="449" t="str">
        <f t="shared" si="108"/>
        <v/>
      </c>
      <c r="AD929" s="449"/>
      <c r="AE929" s="449"/>
      <c r="AF929" s="4"/>
      <c r="AG929" s="83"/>
      <c r="AH929" s="4"/>
      <c r="AI929" s="4"/>
      <c r="AJ929" s="449"/>
      <c r="AK929" s="449"/>
      <c r="AL929" s="449"/>
      <c r="AM929" s="449"/>
      <c r="AN929" s="10"/>
      <c r="AO929" s="9"/>
      <c r="AP929" s="9"/>
      <c r="AQ929" s="9">
        <f>+FL_2($T$930,$T$928,$G$929,1200,9.28,-1*$F$930)</f>
        <v>-0.35437043631460668</v>
      </c>
      <c r="AR929" s="9"/>
      <c r="AS929" s="9"/>
      <c r="AT929" s="9"/>
      <c r="AU929" s="428"/>
      <c r="AV929" s="428"/>
      <c r="AW929" s="449" t="str">
        <f>IF(C929&gt;0,VLOOKUP(C929,Foundation_Calc!$A$2:$C$13,3,1),
IF(J929&gt;0,VLOOKUP(J929,Foundation_Calc!$A$2:$C$13,3,1),""))</f>
        <v>Multi Soil</v>
      </c>
      <c r="AX929" s="449" t="str">
        <f>IF(C929&gt;0,VLOOKUP(C929,Foundation_Calc!$E$2:$G$33,3,1),
IF(J929&gt;0,VLOOKUP(J929,Foundation_Calc!$E$2:$G$33,3,1),""))</f>
        <v>PT</v>
      </c>
      <c r="AY929" s="10" t="str">
        <f>IF(L929="","",
IF(AX929="PT",VLOOKUP(L929,Foundation_Calc!$K$79:$R$113,VLOOKUP(AW929,Foundation_Calc!$I$2:$J$8,2,FALSE),0),
IF(AX929="K",VLOOKUP(L929,Foundation_Calc!$K$117:$R$151,VLOOKUP(AW929,Foundation_Calc!$I$2:$J$8,2,FALSE),0),"")))</f>
        <v/>
      </c>
      <c r="AZ929" s="10">
        <f>IF(K929="","",
IF(AX929="PT",VLOOKUP(K929,Foundation_Calc!$K$79:$R$113,VLOOKUP(AW929,Foundation_Calc!$I$2:$J$8,2,FALSE),0),
IF(AX929="K",VLOOKUP(K929,Foundation_Calc!$K$117:$R$151,VLOOKUP(AW929,Foundation_Calc!$I$2:$J$8,2,FALSE),0),"")))</f>
        <v>2.8</v>
      </c>
      <c r="BA929" s="495" t="str">
        <f t="shared" si="115"/>
        <v/>
      </c>
      <c r="BB929" s="495" t="str">
        <f t="shared" si="116"/>
        <v>ü</v>
      </c>
      <c r="BC929" s="495" t="str">
        <f t="shared" si="117"/>
        <v/>
      </c>
      <c r="BD929" s="513" t="str">
        <f>IF(AND(L929="",H929=""),"",
IF(H929="",Pole_Calc!A$9,
IF(H929="MP",Pole_Calc!A$10,
IF(H929="AnMP",Pole_Calc!A$11,
IF(H929="A",Pole_Calc!A$12,
IF(H929="S/A",Pole_Calc!A$13,
IF(H929="A/S",Pole_Calc!A$14,"Poner a mano")))))))</f>
        <v/>
      </c>
      <c r="BE929" s="429" t="s">
        <v>118</v>
      </c>
      <c r="BF929" s="290"/>
      <c r="BG929" s="290"/>
      <c r="BH929" s="290"/>
      <c r="BI929" s="290"/>
    </row>
    <row r="930" spans="1:61" ht="15.75" customHeight="1">
      <c r="A930" s="514"/>
      <c r="B930" s="450" t="s">
        <v>730</v>
      </c>
      <c r="C930" s="3">
        <f>+$C$928+$G$929</f>
        <v>52293.9</v>
      </c>
      <c r="D930" s="83"/>
      <c r="E930" s="4"/>
      <c r="F930" s="4">
        <f>IF(C930&gt;0,VLOOKUP(C930,'ALIGNMENT TRACK'!$A$1:$K$81,9,1))</f>
        <v>0</v>
      </c>
      <c r="G930" s="6"/>
      <c r="H930" s="449"/>
      <c r="I930" s="4" t="s">
        <v>549</v>
      </c>
      <c r="J930" s="3"/>
      <c r="K930" s="449"/>
      <c r="L930" s="449" t="s">
        <v>232</v>
      </c>
      <c r="M930" s="449" t="str">
        <f>IF(L930="","",
IF(AX930="PT",VLOOKUP(L930,Foundation_Calc!$V$79:$X$113,VLOOKUP(AX930,Foundation_Calc!$I$10:$J$13,2,FALSE),0),
IF(AX930="K",VLOOKUP(L930,Foundation_Calc!$V$117:$X$151,VLOOKUP(AX930,Foundation_Calc!$I$10:$J$13,2,FALSE),0),"")))</f>
        <v>C5R</v>
      </c>
      <c r="N930" s="449" t="s">
        <v>124</v>
      </c>
      <c r="O930" s="449"/>
      <c r="P930" s="449"/>
      <c r="Q930" s="4"/>
      <c r="R930" s="6"/>
      <c r="S930" s="6"/>
      <c r="T930" s="4">
        <v>-35</v>
      </c>
      <c r="U930" s="4"/>
      <c r="V930" s="4"/>
      <c r="W930" s="9">
        <v>1.4</v>
      </c>
      <c r="X930" s="9"/>
      <c r="Y930" s="9"/>
      <c r="Z930" s="9"/>
      <c r="AA930" s="9"/>
      <c r="AB930" s="9"/>
      <c r="AC930" s="449" t="str">
        <f t="shared" si="108"/>
        <v>PHQ</v>
      </c>
      <c r="AD930" s="449"/>
      <c r="AE930" s="449"/>
      <c r="AF930" s="4"/>
      <c r="AG930" s="83"/>
      <c r="AH930" s="4"/>
      <c r="AI930" s="4"/>
      <c r="AJ930" s="449"/>
      <c r="AK930" s="449"/>
      <c r="AL930" s="449" t="s">
        <v>241</v>
      </c>
      <c r="AM930" s="449" t="s">
        <v>552</v>
      </c>
      <c r="AN930" s="10">
        <v>5.5</v>
      </c>
      <c r="AO930" s="9"/>
      <c r="AP930" s="9"/>
      <c r="AQ930" s="9"/>
      <c r="AR930" s="9"/>
      <c r="AS930" s="9"/>
      <c r="AT930" s="9">
        <f>+ab($T$930,$T$928,$T$932,$G$929,$G$931,-1*$F$930,1200)</f>
        <v>-5.873675844691963</v>
      </c>
      <c r="AU930" s="428"/>
      <c r="AV930" s="428"/>
      <c r="AW930" s="449" t="str">
        <f>IF(C930&gt;0,VLOOKUP(C930,Foundation_Calc!$A$2:$C$13,3,1),
IF(J930&gt;0,VLOOKUP(J930,Foundation_Calc!$A$2:$C$13,3,1),""))</f>
        <v>Multi Soil</v>
      </c>
      <c r="AX930" s="449" t="str">
        <f>IF(C930&gt;0,VLOOKUP(C930,Foundation_Calc!$E$2:$G$33,3,1),
IF(J930&gt;0,VLOOKUP(J930,Foundation_Calc!$E$2:$G$33,3,1),""))</f>
        <v>PT</v>
      </c>
      <c r="AY930" s="10">
        <f>IF(L930="","",
IF(AX930="PT",VLOOKUP(L930,Foundation_Calc!$K$79:$R$113,VLOOKUP(AW930,Foundation_Calc!$I$2:$J$8,2,FALSE),0),
IF(AX930="K",VLOOKUP(L930,Foundation_Calc!$K$117:$R$151,VLOOKUP(AW930,Foundation_Calc!$I$2:$J$8,2,FALSE),0),"")))</f>
        <v>3.5</v>
      </c>
      <c r="AZ930" s="10" t="str">
        <f>IF(K930="","",
IF(AX930="PT",VLOOKUP(K930,Foundation_Calc!$K$79:$R$113,VLOOKUP(AW930,Foundation_Calc!$I$2:$J$8,2,FALSE),0),
IF(AX930="K",VLOOKUP(K930,Foundation_Calc!$K$117:$R$151,VLOOKUP(AW930,Foundation_Calc!$I$2:$J$8,2,FALSE),0),"")))</f>
        <v/>
      </c>
      <c r="BA930" s="495" t="str">
        <f t="shared" si="115"/>
        <v>ü</v>
      </c>
      <c r="BB930" s="495" t="str">
        <f t="shared" si="116"/>
        <v/>
      </c>
      <c r="BC930" s="495" t="str">
        <f t="shared" si="117"/>
        <v/>
      </c>
      <c r="BD930" s="513" t="str">
        <f>Pole_Calc!A$251</f>
        <v>App.8-V08H-P10.3</v>
      </c>
      <c r="BE930" s="429" t="s">
        <v>118</v>
      </c>
      <c r="BF930" s="289"/>
      <c r="BG930" s="289"/>
      <c r="BH930" s="290"/>
      <c r="BI930" s="289"/>
    </row>
    <row r="931" spans="1:61" ht="15.75" customHeight="1">
      <c r="A931" s="685" t="s">
        <v>305</v>
      </c>
      <c r="B931" s="686"/>
      <c r="C931" s="687"/>
      <c r="D931" s="688"/>
      <c r="E931" s="689"/>
      <c r="F931" s="689"/>
      <c r="G931" s="690">
        <v>39</v>
      </c>
      <c r="H931" s="691"/>
      <c r="I931" s="689"/>
      <c r="J931" s="687">
        <f>C932-7.5</f>
        <v>52325.4</v>
      </c>
      <c r="K931" s="691" t="s">
        <v>117</v>
      </c>
      <c r="L931" s="691"/>
      <c r="M931" s="691" t="str">
        <f>IF(L931="","",
IF(AX931="PT",VLOOKUP(L931,Foundation_Calc!$V$79:$X$113,VLOOKUP(AX931,Foundation_Calc!$I$10:$J$13,2,FALSE),0),
IF(AX931="K",VLOOKUP(L931,Foundation_Calc!$V$117:$X$151,VLOOKUP(AX931,Foundation_Calc!$I$10:$J$13,2,FALSE),0),"")))</f>
        <v/>
      </c>
      <c r="N931" s="744"/>
      <c r="O931" s="691"/>
      <c r="P931" s="691"/>
      <c r="Q931" s="689"/>
      <c r="R931" s="690"/>
      <c r="S931" s="690"/>
      <c r="T931" s="689"/>
      <c r="U931" s="689"/>
      <c r="V931" s="689"/>
      <c r="W931" s="692"/>
      <c r="X931" s="692"/>
      <c r="Y931" s="692"/>
      <c r="Z931" s="692"/>
      <c r="AA931" s="692"/>
      <c r="AB931" s="692"/>
      <c r="AC931" s="691" t="str">
        <f t="shared" si="108"/>
        <v/>
      </c>
      <c r="AD931" s="691"/>
      <c r="AE931" s="691"/>
      <c r="AF931" s="689"/>
      <c r="AG931" s="688"/>
      <c r="AH931" s="689"/>
      <c r="AI931" s="689"/>
      <c r="AJ931" s="691"/>
      <c r="AK931" s="691"/>
      <c r="AL931" s="691"/>
      <c r="AM931" s="691"/>
      <c r="AN931" s="693"/>
      <c r="AO931" s="692"/>
      <c r="AP931" s="692"/>
      <c r="AQ931" s="692">
        <f>+FL_2($T$932,$T$930,$G$931,1200,9.28,-1*$F$932)</f>
        <v>-0.35000000000000225</v>
      </c>
      <c r="AR931" s="692"/>
      <c r="AS931" s="692"/>
      <c r="AT931" s="692"/>
      <c r="AU931" s="694"/>
      <c r="AV931" s="694"/>
      <c r="AW931" s="691" t="str">
        <f>IF(C931&gt;0,VLOOKUP(C931,Foundation_Calc!$A$2:$C$13,3,1),
IF(J931&gt;0,VLOOKUP(J931,Foundation_Calc!$A$2:$C$13,3,1),""))</f>
        <v>Multi Soil</v>
      </c>
      <c r="AX931" s="691" t="str">
        <f>IF(C931&gt;0,VLOOKUP(C931,Foundation_Calc!$E$2:$G$33,3,1),
IF(J931&gt;0,VLOOKUP(J931,Foundation_Calc!$E$2:$G$33,3,1),""))</f>
        <v>PT</v>
      </c>
      <c r="AY931" s="693" t="str">
        <f>IF(L931="","",
IF(AX931="PT",VLOOKUP(L931,Foundation_Calc!$K$79:$R$113,VLOOKUP(AW931,Foundation_Calc!$I$2:$J$8,2,FALSE),0),
IF(AX931="K",VLOOKUP(L931,Foundation_Calc!$K$117:$R$151,VLOOKUP(AW931,Foundation_Calc!$I$2:$J$8,2,FALSE),0),"")))</f>
        <v/>
      </c>
      <c r="AZ931" s="693">
        <f>IF(K931="","",
IF(AX931="PT",VLOOKUP(K931,Foundation_Calc!$K$79:$R$113,VLOOKUP(AW931,Foundation_Calc!$I$2:$J$8,2,FALSE),0),
IF(AX931="K",VLOOKUP(K931,Foundation_Calc!$K$117:$R$151,VLOOKUP(AW931,Foundation_Calc!$I$2:$J$8,2,FALSE),0),"")))</f>
        <v>3.9</v>
      </c>
      <c r="BA931" s="495" t="str">
        <f t="shared" si="115"/>
        <v/>
      </c>
      <c r="BB931" s="495" t="str">
        <f t="shared" si="116"/>
        <v>ü</v>
      </c>
      <c r="BC931" s="495" t="str">
        <f t="shared" si="117"/>
        <v/>
      </c>
      <c r="BD931" s="513" t="str">
        <f>IF(AND(L931="",H931=""),"",
IF(H931="",Pole_Calc!A$9,
IF(H931="MP",Pole_Calc!A$10,
IF(H931="AnMP",Pole_Calc!A$11,
IF(H931="A",Pole_Calc!A$12,
IF(H931="S/A",Pole_Calc!A$13,
IF(H931="A/S",Pole_Calc!A$14,"Poner a mano")))))))</f>
        <v/>
      </c>
      <c r="BE931" s="429" t="s">
        <v>118</v>
      </c>
      <c r="BF931" s="290"/>
      <c r="BG931" s="290"/>
      <c r="BH931" s="290"/>
      <c r="BI931" s="290"/>
    </row>
    <row r="932" spans="1:61" ht="15.75" customHeight="1">
      <c r="A932" s="514"/>
      <c r="B932" s="450" t="s">
        <v>731</v>
      </c>
      <c r="C932" s="3">
        <f>+$C$930+$G$931</f>
        <v>52332.9</v>
      </c>
      <c r="D932" s="83"/>
      <c r="E932" s="4"/>
      <c r="F932" s="4">
        <f>IF(C932&gt;0,VLOOKUP(C932,'ALIGNMENT TRACK'!$A$1:$K$81,9,1))</f>
        <v>0</v>
      </c>
      <c r="G932" s="6"/>
      <c r="H932" s="449" t="s">
        <v>121</v>
      </c>
      <c r="I932" s="4" t="s">
        <v>162</v>
      </c>
      <c r="J932" s="3"/>
      <c r="K932" s="449"/>
      <c r="L932" s="449" t="s">
        <v>151</v>
      </c>
      <c r="M932" s="449" t="str">
        <f>IF(L932="","",
IF(AX932="PT",VLOOKUP(L932,Foundation_Calc!$V$79:$X$113,VLOOKUP(AX932,Foundation_Calc!$I$10:$J$13,2,FALSE),0),
IF(AX932="K",VLOOKUP(L932,Foundation_Calc!$V$117:$X$151,VLOOKUP(AX932,Foundation_Calc!$I$10:$J$13,2,FALSE),0),"")))</f>
        <v>C4R</v>
      </c>
      <c r="N932" s="449" t="s">
        <v>134</v>
      </c>
      <c r="O932" s="449"/>
      <c r="P932" s="449"/>
      <c r="Q932" s="4"/>
      <c r="R932" s="6"/>
      <c r="S932" s="6"/>
      <c r="T932" s="4">
        <v>35</v>
      </c>
      <c r="U932" s="4"/>
      <c r="V932" s="4"/>
      <c r="W932" s="9">
        <v>1.4</v>
      </c>
      <c r="X932" s="9"/>
      <c r="Y932" s="9"/>
      <c r="Z932" s="9"/>
      <c r="AA932" s="9"/>
      <c r="AB932" s="9"/>
      <c r="AC932" s="449" t="str">
        <f t="shared" si="108"/>
        <v>PHQ</v>
      </c>
      <c r="AD932" s="449"/>
      <c r="AE932" s="449"/>
      <c r="AF932" s="4"/>
      <c r="AG932" s="83"/>
      <c r="AH932" s="4"/>
      <c r="AI932" s="4"/>
      <c r="AJ932" s="449"/>
      <c r="AK932" s="449"/>
      <c r="AL932" s="449"/>
      <c r="AM932" s="449" t="s">
        <v>552</v>
      </c>
      <c r="AN932" s="10">
        <v>5.5</v>
      </c>
      <c r="AO932" s="9"/>
      <c r="AP932" s="9"/>
      <c r="AQ932" s="9"/>
      <c r="AR932" s="9"/>
      <c r="AS932" s="9"/>
      <c r="AT932" s="9">
        <f>+ab($T$932,$T$930,$U$934,$G$931,$G$933,-1*$F$932,1200)</f>
        <v>5.4012919066152447</v>
      </c>
      <c r="AU932" s="428"/>
      <c r="AV932" s="428"/>
      <c r="AW932" s="449" t="str">
        <f>IF(C932&gt;0,VLOOKUP(C932,Foundation_Calc!$A$2:$C$13,3,1),
IF(J932&gt;0,VLOOKUP(J932,Foundation_Calc!$A$2:$C$13,3,1),""))</f>
        <v>Multi Soil</v>
      </c>
      <c r="AX932" s="449" t="str">
        <f>IF(C932&gt;0,VLOOKUP(C932,Foundation_Calc!$E$2:$G$33,3,1),
IF(J932&gt;0,VLOOKUP(J932,Foundation_Calc!$E$2:$G$33,3,1),""))</f>
        <v>PT</v>
      </c>
      <c r="AY932" s="10">
        <f>IF(L932="","",
IF(AX932="PT",VLOOKUP(L932,Foundation_Calc!$K$79:$R$113,VLOOKUP(AW932,Foundation_Calc!$I$2:$J$8,2,FALSE),0),
IF(AX932="K",VLOOKUP(L932,Foundation_Calc!$K$117:$R$151,VLOOKUP(AW932,Foundation_Calc!$I$2:$J$8,2,FALSE),0),"")))</f>
        <v>3.5</v>
      </c>
      <c r="AZ932" s="10" t="str">
        <f>IF(K932="","",
IF(AX932="PT",VLOOKUP(K932,Foundation_Calc!$K$79:$R$113,VLOOKUP(AW932,Foundation_Calc!$I$2:$J$8,2,FALSE),0),
IF(AX932="K",VLOOKUP(K932,Foundation_Calc!$K$117:$R$151,VLOOKUP(AW932,Foundation_Calc!$I$2:$J$8,2,FALSE),0),"")))</f>
        <v/>
      </c>
      <c r="BA932" s="495" t="str">
        <f t="shared" si="115"/>
        <v>ü</v>
      </c>
      <c r="BB932" s="495" t="str">
        <f t="shared" si="116"/>
        <v/>
      </c>
      <c r="BC932" s="495" t="str">
        <f t="shared" si="117"/>
        <v/>
      </c>
      <c r="BD932" s="513" t="str">
        <f>IF(AND(L932="",H932=""),"",
IF(H932="",Pole_Calc!A$9,
IF(H932="MP",Pole_Calc!A$10,
IF(H932="AnMP",Pole_Calc!A$11,
IF(H932="A",Pole_Calc!A$12,
IF(H932="S/A",Pole_Calc!A$13,
IF(H932="A/S",Pole_Calc!A$14,"Poner a mano")))))))</f>
        <v>App.7-V11I-P9.5.1.6</v>
      </c>
      <c r="BE932" s="429" t="s">
        <v>118</v>
      </c>
      <c r="BF932" s="289"/>
      <c r="BG932" s="289"/>
      <c r="BH932" s="290"/>
      <c r="BI932" s="289"/>
    </row>
    <row r="933" spans="1:61" ht="15.75" customHeight="1">
      <c r="A933" s="514"/>
      <c r="B933" s="450"/>
      <c r="C933" s="3"/>
      <c r="D933" s="83"/>
      <c r="E933" s="4"/>
      <c r="F933" s="4"/>
      <c r="G933" s="6">
        <v>37.200000000000003</v>
      </c>
      <c r="H933" s="449"/>
      <c r="I933" s="4"/>
      <c r="J933" s="3"/>
      <c r="K933" s="449"/>
      <c r="L933" s="449"/>
      <c r="M933" s="449" t="str">
        <f>IF(L933="","",
IF(AX933="PT",VLOOKUP(L933,Foundation_Calc!$V$79:$X$113,VLOOKUP(AX933,Foundation_Calc!$I$10:$J$13,2,FALSE),0),
IF(AX933="K",VLOOKUP(L933,Foundation_Calc!$V$117:$X$151,VLOOKUP(AX933,Foundation_Calc!$I$10:$J$13,2,FALSE),0),"")))</f>
        <v/>
      </c>
      <c r="N933" s="449"/>
      <c r="O933" s="449"/>
      <c r="P933" s="449"/>
      <c r="Q933" s="4"/>
      <c r="R933" s="6"/>
      <c r="S933" s="6"/>
      <c r="T933" s="4"/>
      <c r="U933" s="4"/>
      <c r="V933" s="4"/>
      <c r="W933" s="9"/>
      <c r="X933" s="9"/>
      <c r="Y933" s="9"/>
      <c r="Z933" s="9"/>
      <c r="AA933" s="9"/>
      <c r="AB933" s="9"/>
      <c r="AC933" s="449" t="str">
        <f t="shared" si="108"/>
        <v/>
      </c>
      <c r="AD933" s="449"/>
      <c r="AE933" s="449"/>
      <c r="AF933" s="4"/>
      <c r="AG933" s="83"/>
      <c r="AH933" s="4"/>
      <c r="AI933" s="4"/>
      <c r="AJ933" s="449"/>
      <c r="AK933" s="449"/>
      <c r="AL933" s="449"/>
      <c r="AM933" s="449"/>
      <c r="AN933" s="10"/>
      <c r="AO933" s="9"/>
      <c r="AP933" s="9"/>
      <c r="AQ933" s="9">
        <f>+FL_1($U$934,$T$932,$G$933,1200,9.28,-1*$F$934)</f>
        <v>0.35000000000000353</v>
      </c>
      <c r="AR933" s="9"/>
      <c r="AS933" s="9"/>
      <c r="AT933" s="9"/>
      <c r="AU933" s="428"/>
      <c r="AV933" s="428"/>
      <c r="AW933" s="449" t="str">
        <f>IF(C933&gt;0,VLOOKUP(C933,Foundation_Calc!$A$2:$C$13,3,1),
IF(J933&gt;0,VLOOKUP(J933,Foundation_Calc!$A$2:$C$13,3,1),""))</f>
        <v/>
      </c>
      <c r="AX933" s="449" t="str">
        <f>IF(C933&gt;0,VLOOKUP(C933,Foundation_Calc!$E$2:$G$33,3,1),
IF(J933&gt;0,VLOOKUP(J933,Foundation_Calc!$E$2:$G$33,3,1),""))</f>
        <v/>
      </c>
      <c r="AY933" s="10" t="str">
        <f>IF(L933="","",
IF(AX933="PT",VLOOKUP(L933,Foundation_Calc!$K$79:$R$113,VLOOKUP(AW933,Foundation_Calc!$I$2:$J$8,2,FALSE),0),
IF(AX933="K",VLOOKUP(L933,Foundation_Calc!$K$117:$R$151,VLOOKUP(AW933,Foundation_Calc!$I$2:$J$8,2,FALSE),0),"")))</f>
        <v/>
      </c>
      <c r="AZ933" s="10" t="str">
        <f>IF(K933="","",
IF(AX933="PT",VLOOKUP(K933,Foundation_Calc!$K$79:$R$113,VLOOKUP(AW933,Foundation_Calc!$I$2:$J$8,2,FALSE),0),
IF(AX933="K",VLOOKUP(K933,Foundation_Calc!$K$117:$R$151,VLOOKUP(AW933,Foundation_Calc!$I$2:$J$8,2,FALSE),0),"")))</f>
        <v/>
      </c>
      <c r="BA933" s="495" t="str">
        <f t="shared" si="115"/>
        <v/>
      </c>
      <c r="BB933" s="495" t="str">
        <f t="shared" si="116"/>
        <v/>
      </c>
      <c r="BC933" s="495" t="str">
        <f t="shared" si="117"/>
        <v/>
      </c>
      <c r="BD933" s="513"/>
      <c r="BE933" s="429" t="s">
        <v>118</v>
      </c>
      <c r="BF933" s="290"/>
      <c r="BG933" s="290"/>
      <c r="BH933" s="290"/>
      <c r="BI933" s="290"/>
    </row>
    <row r="934" spans="1:61" ht="15.75" customHeight="1">
      <c r="A934" s="514" t="s">
        <v>732</v>
      </c>
      <c r="B934" s="450" t="s">
        <v>733</v>
      </c>
      <c r="C934" s="3">
        <f>+$C$932+$G$933</f>
        <v>52370.1</v>
      </c>
      <c r="D934" s="83"/>
      <c r="E934" s="4"/>
      <c r="F934" s="4">
        <f>IF(C934&gt;0,VLOOKUP(C934,'ALIGNMENT TRACK'!$A$1:$K$81,9,1))</f>
        <v>0</v>
      </c>
      <c r="G934" s="6"/>
      <c r="H934" s="449" t="s">
        <v>131</v>
      </c>
      <c r="I934" s="4" t="s">
        <v>132</v>
      </c>
      <c r="J934" s="3"/>
      <c r="K934" s="449"/>
      <c r="L934" s="449" t="s">
        <v>250</v>
      </c>
      <c r="M934" s="449" t="str">
        <f>IF(L934="","",
IF(AX934="PT",VLOOKUP(L934,Foundation_Calc!$V$79:$X$113,VLOOKUP(AX934,Foundation_Calc!$I$10:$J$13,2,FALSE),0),
IF(AX934="K",VLOOKUP(L934,Foundation_Calc!$V$117:$X$151,VLOOKUP(AX934,Foundation_Calc!$I$10:$J$13,2,FALSE),0),"")))</f>
        <v>2C4R</v>
      </c>
      <c r="N934" s="449" t="s">
        <v>133</v>
      </c>
      <c r="O934" s="449" t="s">
        <v>124</v>
      </c>
      <c r="P934" s="449"/>
      <c r="Q934" s="4"/>
      <c r="R934" s="6"/>
      <c r="S934" s="6"/>
      <c r="T934" s="4">
        <v>15</v>
      </c>
      <c r="U934" s="4">
        <v>-30</v>
      </c>
      <c r="V934" s="4"/>
      <c r="W934" s="9">
        <v>1.4</v>
      </c>
      <c r="X934" s="9">
        <v>1.8</v>
      </c>
      <c r="Y934" s="9"/>
      <c r="Z934" s="9">
        <v>0.5</v>
      </c>
      <c r="AA934" s="9"/>
      <c r="AB934" s="9"/>
      <c r="AC934" s="449"/>
      <c r="AD934" s="449"/>
      <c r="AE934" s="449"/>
      <c r="AF934" s="4"/>
      <c r="AG934" s="83"/>
      <c r="AH934" s="4"/>
      <c r="AI934" s="4"/>
      <c r="AJ934" s="449" t="s">
        <v>441</v>
      </c>
      <c r="AK934" s="449"/>
      <c r="AL934" s="449" t="s">
        <v>252</v>
      </c>
      <c r="AM934" s="449" t="s">
        <v>552</v>
      </c>
      <c r="AN934" s="10">
        <v>5.5</v>
      </c>
      <c r="AO934" s="9"/>
      <c r="AP934" s="9"/>
      <c r="AQ934" s="9"/>
      <c r="AR934" s="9"/>
      <c r="AS934" s="9"/>
      <c r="AT934" s="9">
        <f>+ab($U$934,$T$932,$U$936,$G$933,$G$935,-1*$F$934,1200)</f>
        <v>-9.3572254233609495</v>
      </c>
      <c r="AU934" s="428"/>
      <c r="AV934" s="428"/>
      <c r="AW934" s="449" t="str">
        <f>IF(C934&gt;0,VLOOKUP(C934,Foundation_Calc!$A$2:$C$13,3,1),
IF(J934&gt;0,VLOOKUP(J934,Foundation_Calc!$A$2:$C$13,3,1),""))</f>
        <v>Multi Soil</v>
      </c>
      <c r="AX934" s="449" t="str">
        <f>IF(C934&gt;0,VLOOKUP(C934,Foundation_Calc!$E$2:$G$33,3,1),
IF(J934&gt;0,VLOOKUP(J934,Foundation_Calc!$E$2:$G$33,3,1),""))</f>
        <v>PT</v>
      </c>
      <c r="AY934" s="10">
        <f>IF(L934="","",
IF(AX934="PT",VLOOKUP(L934,Foundation_Calc!$K$79:$R$113,VLOOKUP(AW934,Foundation_Calc!$I$2:$J$8,2,FALSE),0),
IF(AX934="K",VLOOKUP(L934,Foundation_Calc!$K$117:$R$151,VLOOKUP(AW934,Foundation_Calc!$I$2:$J$8,2,FALSE),0),"")))</f>
        <v>5.6</v>
      </c>
      <c r="AZ934" s="10" t="str">
        <f>IF(K934="","",
IF(AX934="PT",VLOOKUP(K934,Foundation_Calc!$K$79:$R$113,VLOOKUP(AW934,Foundation_Calc!$I$2:$J$8,2,FALSE),0),
IF(AX934="K",VLOOKUP(K934,Foundation_Calc!$K$117:$R$151,VLOOKUP(AW934,Foundation_Calc!$I$2:$J$8,2,FALSE),0),"")))</f>
        <v/>
      </c>
      <c r="BA934" s="495" t="str">
        <f t="shared" si="115"/>
        <v>ü</v>
      </c>
      <c r="BB934" s="495" t="str">
        <f t="shared" si="116"/>
        <v/>
      </c>
      <c r="BC934" s="495" t="str">
        <f t="shared" si="117"/>
        <v/>
      </c>
      <c r="BD934" s="513" t="str">
        <f>Pole_Calc!A$251</f>
        <v>App.8-V08H-P10.3</v>
      </c>
      <c r="BE934" s="429" t="s">
        <v>118</v>
      </c>
      <c r="BF934" s="289"/>
      <c r="BG934" s="289"/>
      <c r="BH934" s="290"/>
      <c r="BI934" s="289"/>
    </row>
    <row r="935" spans="1:61" ht="15.75" customHeight="1">
      <c r="A935" s="514"/>
      <c r="B935" s="450"/>
      <c r="C935" s="3"/>
      <c r="D935" s="83"/>
      <c r="E935" s="4"/>
      <c r="F935" s="4"/>
      <c r="G935" s="6">
        <v>52.6</v>
      </c>
      <c r="H935" s="449"/>
      <c r="I935" s="4"/>
      <c r="J935" s="3"/>
      <c r="K935" s="449"/>
      <c r="L935" s="449"/>
      <c r="M935" s="449" t="str">
        <f>IF(L935="","",
IF(AX935="PT",VLOOKUP(L935,Foundation_Calc!$V$79:$X$113,VLOOKUP(AX935,Foundation_Calc!$I$10:$J$13,2,FALSE),0),
IF(AX935="K",VLOOKUP(L935,Foundation_Calc!$V$117:$X$151,VLOOKUP(AX935,Foundation_Calc!$I$10:$J$13,2,FALSE),0),"")))</f>
        <v/>
      </c>
      <c r="N935" s="449"/>
      <c r="O935" s="449"/>
      <c r="P935" s="449"/>
      <c r="Q935" s="4"/>
      <c r="R935" s="6"/>
      <c r="S935" s="6"/>
      <c r="T935" s="4"/>
      <c r="U935" s="4"/>
      <c r="V935" s="4"/>
      <c r="W935" s="9"/>
      <c r="X935" s="9"/>
      <c r="Y935" s="9"/>
      <c r="Z935" s="9"/>
      <c r="AA935" s="9"/>
      <c r="AB935" s="9"/>
      <c r="AC935" s="449" t="str">
        <f t="shared" si="108"/>
        <v/>
      </c>
      <c r="AD935" s="449"/>
      <c r="AE935" s="449"/>
      <c r="AF935" s="4"/>
      <c r="AG935" s="83"/>
      <c r="AH935" s="4"/>
      <c r="AI935" s="4"/>
      <c r="AJ935" s="449"/>
      <c r="AK935" s="449"/>
      <c r="AL935" s="449"/>
      <c r="AM935" s="449"/>
      <c r="AN935" s="10"/>
      <c r="AO935" s="9"/>
      <c r="AP935" s="9"/>
      <c r="AQ935" s="9">
        <f>+FL_1($T$936,$U$934,$G$935,1200,9.28,-1*$F$936)</f>
        <v>0.3515802505703422</v>
      </c>
      <c r="AR935" s="9"/>
      <c r="AS935" s="9"/>
      <c r="AT935" s="9"/>
      <c r="AU935" s="428"/>
      <c r="AV935" s="428"/>
      <c r="AW935" s="449" t="str">
        <f>IF(C935&gt;0,VLOOKUP(C935,Foundation_Calc!$A$2:$C$13,3,1),
IF(J935&gt;0,VLOOKUP(J935,Foundation_Calc!$A$2:$C$13,3,1),""))</f>
        <v/>
      </c>
      <c r="AX935" s="449" t="str">
        <f>IF(C935&gt;0,VLOOKUP(C935,Foundation_Calc!$E$2:$G$33,3,1),
IF(J935&gt;0,VLOOKUP(J935,Foundation_Calc!$E$2:$G$33,3,1),""))</f>
        <v/>
      </c>
      <c r="AY935" s="10" t="str">
        <f>IF(L935="","",
IF(AX935="PT",VLOOKUP(L935,Foundation_Calc!$K$79:$R$113,VLOOKUP(AW935,Foundation_Calc!$I$2:$J$8,2,FALSE),0),
IF(AX935="K",VLOOKUP(L935,Foundation_Calc!$K$117:$R$151,VLOOKUP(AW935,Foundation_Calc!$I$2:$J$8,2,FALSE),0),"")))</f>
        <v/>
      </c>
      <c r="AZ935" s="10" t="str">
        <f>IF(K935="","",
IF(AX935="PT",VLOOKUP(K935,Foundation_Calc!$K$79:$R$113,VLOOKUP(AW935,Foundation_Calc!$I$2:$J$8,2,FALSE),0),
IF(AX935="K",VLOOKUP(K935,Foundation_Calc!$K$117:$R$151,VLOOKUP(AW935,Foundation_Calc!$I$2:$J$8,2,FALSE),0),"")))</f>
        <v/>
      </c>
      <c r="BA935" s="495" t="str">
        <f t="shared" si="115"/>
        <v/>
      </c>
      <c r="BB935" s="495" t="str">
        <f t="shared" si="116"/>
        <v/>
      </c>
      <c r="BC935" s="495" t="str">
        <f t="shared" si="117"/>
        <v/>
      </c>
      <c r="BD935" s="513" t="str">
        <f>IF(AND(L935="",H935=""),"",
IF(H935="",Pole_Calc!A$9,
IF(H935="MP",Pole_Calc!A$10,
IF(H935="AnMP",Pole_Calc!A$11,
IF(H935="A",Pole_Calc!A$12,
IF(H935="S/A",Pole_Calc!A$13,
IF(H935="A/S",Pole_Calc!A$14,"Poner a mano")))))))</f>
        <v/>
      </c>
      <c r="BE935" s="429" t="s">
        <v>118</v>
      </c>
      <c r="BF935" s="290"/>
      <c r="BG935" s="290"/>
      <c r="BH935" s="290"/>
      <c r="BI935" s="290"/>
    </row>
    <row r="936" spans="1:61" ht="15.75" customHeight="1">
      <c r="A936" s="518"/>
      <c r="B936" s="450" t="s">
        <v>734</v>
      </c>
      <c r="C936" s="3">
        <f>+$C$934+$G$935</f>
        <v>52422.7</v>
      </c>
      <c r="D936" s="83"/>
      <c r="E936" s="4"/>
      <c r="F936" s="4">
        <f>IF(C936&gt;0,VLOOKUP(C936,'ALIGNMENT TRACK'!$A$1:$K$81,9,1))</f>
        <v>0</v>
      </c>
      <c r="G936" s="6"/>
      <c r="H936" s="449" t="s">
        <v>131</v>
      </c>
      <c r="I936" s="4"/>
      <c r="J936" s="3"/>
      <c r="K936" s="449"/>
      <c r="L936" s="449" t="s">
        <v>183</v>
      </c>
      <c r="M936" s="449" t="str">
        <f>IF(L936="","",
IF(AX936="PT",VLOOKUP(L936,Foundation_Calc!$V$79:$X$113,VLOOKUP(AX936,Foundation_Calc!$I$10:$J$13,2,FALSE),0),
IF(AX936="K",VLOOKUP(L936,Foundation_Calc!$V$117:$X$151,VLOOKUP(AX936,Foundation_Calc!$I$10:$J$13,2,FALSE),0),"")))</f>
        <v>2C3R</v>
      </c>
      <c r="N936" s="449" t="s">
        <v>134</v>
      </c>
      <c r="O936" s="449" t="s">
        <v>133</v>
      </c>
      <c r="P936" s="449"/>
      <c r="Q936" s="4"/>
      <c r="R936" s="6"/>
      <c r="S936" s="6"/>
      <c r="T936" s="4">
        <v>30</v>
      </c>
      <c r="U936" s="4">
        <v>-15</v>
      </c>
      <c r="V936" s="4"/>
      <c r="W936" s="9">
        <v>1.4</v>
      </c>
      <c r="X936" s="9">
        <v>2</v>
      </c>
      <c r="Y936" s="9"/>
      <c r="Z936" s="9"/>
      <c r="AA936" s="9">
        <v>0.5</v>
      </c>
      <c r="AB936" s="9"/>
      <c r="AC936" s="449" t="str">
        <f t="shared" si="108"/>
        <v>PH</v>
      </c>
      <c r="AD936" s="449"/>
      <c r="AE936" s="449"/>
      <c r="AF936" s="4"/>
      <c r="AG936" s="83"/>
      <c r="AH936" s="4"/>
      <c r="AI936" s="4"/>
      <c r="AJ936" s="449"/>
      <c r="AK936" s="449"/>
      <c r="AL936" s="449"/>
      <c r="AM936" s="449" t="s">
        <v>552</v>
      </c>
      <c r="AN936" s="10">
        <v>5.5</v>
      </c>
      <c r="AO936" s="9"/>
      <c r="AP936" s="9"/>
      <c r="AQ936" s="9"/>
      <c r="AR936" s="9"/>
      <c r="AS936" s="9"/>
      <c r="AT936" s="9">
        <f>+ab($T$936,$T$934,$T$938,$G$935,$G$937,-1*$F$936,1200)</f>
        <v>10.619000610762766</v>
      </c>
      <c r="AU936" s="428"/>
      <c r="AV936" s="428"/>
      <c r="AW936" s="449" t="str">
        <f>IF(C936&gt;0,VLOOKUP(C936,Foundation_Calc!$A$2:$C$13,3,1),
IF(J936&gt;0,VLOOKUP(J936,Foundation_Calc!$A$2:$C$13,3,1),""))</f>
        <v>Multi Soil</v>
      </c>
      <c r="AX936" s="449" t="str">
        <f>IF(C936&gt;0,VLOOKUP(C936,Foundation_Calc!$E$2:$G$33,3,1),
IF(J936&gt;0,VLOOKUP(J936,Foundation_Calc!$E$2:$G$33,3,1),""))</f>
        <v>PT</v>
      </c>
      <c r="AY936" s="10">
        <f>IF(L936="","",
IF(AX936="PT",VLOOKUP(L936,Foundation_Calc!$K$79:$R$113,VLOOKUP(AW936,Foundation_Calc!$I$2:$J$8,2,FALSE),0),
IF(AX936="K",VLOOKUP(L936,Foundation_Calc!$K$117:$R$151,VLOOKUP(AW936,Foundation_Calc!$I$2:$J$8,2,FALSE),0),"")))</f>
        <v>3.7</v>
      </c>
      <c r="AZ936" s="10" t="str">
        <f>IF(K936="","",
IF(AX936="PT",VLOOKUP(K936,Foundation_Calc!$K$79:$R$113,VLOOKUP(AW936,Foundation_Calc!$I$2:$J$8,2,FALSE),0),
IF(AX936="K",VLOOKUP(K936,Foundation_Calc!$K$117:$R$151,VLOOKUP(AW936,Foundation_Calc!$I$2:$J$8,2,FALSE),0),"")))</f>
        <v/>
      </c>
      <c r="BA936" s="495" t="str">
        <f t="shared" si="115"/>
        <v>ü</v>
      </c>
      <c r="BB936" s="495" t="str">
        <f t="shared" si="116"/>
        <v/>
      </c>
      <c r="BC936" s="495" t="str">
        <f t="shared" si="117"/>
        <v/>
      </c>
      <c r="BD936" s="513" t="str">
        <f>IF(AND(L936="",H936=""),"",
IF(H936="",Pole_Calc!A$9,
IF(H936="MP",Pole_Calc!A$10,
IF(H936="AnMP",Pole_Calc!A$11,
IF(H936="A",Pole_Calc!A$12,
IF(H936="S/A",Pole_Calc!A$13,
IF(H936="A/S",Pole_Calc!A$14,"Poner a mano")))))))</f>
        <v>App.7-V11I-P9.5.1.5</v>
      </c>
      <c r="BE936" s="429" t="s">
        <v>118</v>
      </c>
      <c r="BF936" s="289"/>
      <c r="BG936" s="289"/>
      <c r="BH936" s="290"/>
      <c r="BI936" s="289"/>
    </row>
    <row r="937" spans="1:61" ht="15.75" customHeight="1">
      <c r="A937" s="518"/>
      <c r="B937" s="450"/>
      <c r="C937" s="3"/>
      <c r="D937" s="83"/>
      <c r="E937" s="4"/>
      <c r="F937" s="4"/>
      <c r="G937" s="6">
        <v>43.3</v>
      </c>
      <c r="H937" s="449"/>
      <c r="I937" s="4"/>
      <c r="J937" s="3"/>
      <c r="K937" s="449"/>
      <c r="L937" s="449"/>
      <c r="M937" s="449" t="str">
        <f>IF(L937="","",
IF(AX937="PT",VLOOKUP(L937,Foundation_Calc!$V$79:$X$113,VLOOKUP(AX937,Foundation_Calc!$I$10:$J$13,2,FALSE),0),
IF(AX937="K",VLOOKUP(L937,Foundation_Calc!$V$117:$X$151,VLOOKUP(AX937,Foundation_Calc!$I$10:$J$13,2,FALSE),0),"")))</f>
        <v/>
      </c>
      <c r="N937" s="561"/>
      <c r="O937" s="449"/>
      <c r="P937" s="449"/>
      <c r="Q937" s="4"/>
      <c r="R937" s="6"/>
      <c r="S937" s="6"/>
      <c r="T937" s="4"/>
      <c r="U937" s="4"/>
      <c r="V937" s="4"/>
      <c r="W937" s="9"/>
      <c r="X937" s="9"/>
      <c r="Y937" s="9"/>
      <c r="Z937" s="9"/>
      <c r="AA937" s="9"/>
      <c r="AB937" s="9"/>
      <c r="AC937" s="449" t="str">
        <f t="shared" si="108"/>
        <v/>
      </c>
      <c r="AD937" s="449"/>
      <c r="AE937" s="449"/>
      <c r="AF937" s="4"/>
      <c r="AG937" s="83"/>
      <c r="AH937" s="4"/>
      <c r="AI937" s="4"/>
      <c r="AJ937" s="449"/>
      <c r="AK937" s="449"/>
      <c r="AL937" s="449"/>
      <c r="AM937" s="449"/>
      <c r="AN937" s="10"/>
      <c r="AO937" s="9"/>
      <c r="AP937" s="9"/>
      <c r="AQ937" s="9">
        <f>+FL_2($T$938,$T$936,$G$937,1200,9.28,-1*$F$938)</f>
        <v>-0.35193756861585834</v>
      </c>
      <c r="AR937" s="9"/>
      <c r="AS937" s="9"/>
      <c r="AT937" s="9"/>
      <c r="AU937" s="428"/>
      <c r="AV937" s="428"/>
      <c r="AW937" s="449" t="str">
        <f>IF(C937&gt;0,VLOOKUP(C937,Foundation_Calc!$A$2:$C$13,3,1),
IF(J937&gt;0,VLOOKUP(J937,Foundation_Calc!$A$2:$C$13,3,1),""))</f>
        <v/>
      </c>
      <c r="AX937" s="449" t="str">
        <f>IF(C937&gt;0,VLOOKUP(C937,Foundation_Calc!$E$2:$G$33,3,1),
IF(J937&gt;0,VLOOKUP(J937,Foundation_Calc!$E$2:$G$33,3,1),""))</f>
        <v/>
      </c>
      <c r="AY937" s="10" t="str">
        <f>IF(L937="","",
IF(AX937="PT",VLOOKUP(L937,Foundation_Calc!$K$79:$R$113,VLOOKUP(AW937,Foundation_Calc!$I$2:$J$8,2,FALSE),0),
IF(AX937="K",VLOOKUP(L937,Foundation_Calc!$K$117:$R$151,VLOOKUP(AW937,Foundation_Calc!$I$2:$J$8,2,FALSE),0),"")))</f>
        <v/>
      </c>
      <c r="AZ937" s="10" t="str">
        <f>IF(K937="","",
IF(AX937="PT",VLOOKUP(K937,Foundation_Calc!$K$79:$R$113,VLOOKUP(AW937,Foundation_Calc!$I$2:$J$8,2,FALSE),0),
IF(AX937="K",VLOOKUP(K937,Foundation_Calc!$K$117:$R$151,VLOOKUP(AW937,Foundation_Calc!$I$2:$J$8,2,FALSE),0),"")))</f>
        <v/>
      </c>
      <c r="BA937" s="495" t="str">
        <f t="shared" si="115"/>
        <v/>
      </c>
      <c r="BB937" s="495" t="str">
        <f t="shared" si="116"/>
        <v/>
      </c>
      <c r="BC937" s="495" t="str">
        <f t="shared" si="117"/>
        <v/>
      </c>
      <c r="BD937" s="513" t="str">
        <f>IF(AND(L937="",H937=""),"",
IF(H937="",Pole_Calc!A$9,
IF(H937="MP",Pole_Calc!A$10,
IF(H937="AnMP",Pole_Calc!A$11,
IF(H937="A",Pole_Calc!A$12,
IF(H937="S/A",Pole_Calc!A$13,
IF(H937="A/S",Pole_Calc!A$14,"Poner a mano")))))))</f>
        <v/>
      </c>
      <c r="BE937" s="429" t="s">
        <v>118</v>
      </c>
      <c r="BF937" s="290"/>
      <c r="BG937" s="290"/>
      <c r="BH937" s="290"/>
      <c r="BI937" s="290"/>
    </row>
    <row r="938" spans="1:61" ht="15.75" customHeight="1">
      <c r="A938" s="514"/>
      <c r="B938" s="450" t="s">
        <v>735</v>
      </c>
      <c r="C938" s="3">
        <f>+$C$936+$G$937</f>
        <v>52466</v>
      </c>
      <c r="D938" s="83"/>
      <c r="E938" s="4"/>
      <c r="F938" s="4">
        <f>IF(C938&gt;0,VLOOKUP(C938,'ALIGNMENT TRACK'!$A$1:$K$81,9,1))</f>
        <v>0</v>
      </c>
      <c r="G938" s="6"/>
      <c r="H938" s="449" t="s">
        <v>121</v>
      </c>
      <c r="I938" s="4" t="s">
        <v>122</v>
      </c>
      <c r="J938" s="3"/>
      <c r="K938" s="449"/>
      <c r="L938" s="449" t="s">
        <v>151</v>
      </c>
      <c r="M938" s="449" t="str">
        <f>IF(L938="","",
IF(AX938="PT",VLOOKUP(L938,Foundation_Calc!$V$79:$X$113,VLOOKUP(AX938,Foundation_Calc!$I$10:$J$13,2,FALSE),0),
IF(AX938="K",VLOOKUP(L938,Foundation_Calc!$V$117:$X$151,VLOOKUP(AX938,Foundation_Calc!$I$10:$J$13,2,FALSE),0),"")))</f>
        <v>C4R</v>
      </c>
      <c r="N938" s="449" t="s">
        <v>124</v>
      </c>
      <c r="O938" s="449"/>
      <c r="P938" s="449"/>
      <c r="Q938" s="4"/>
      <c r="R938" s="6"/>
      <c r="S938" s="6"/>
      <c r="T938" s="4">
        <v>-35</v>
      </c>
      <c r="U938" s="4"/>
      <c r="V938" s="4"/>
      <c r="W938" s="9">
        <v>1.4</v>
      </c>
      <c r="X938" s="9"/>
      <c r="Y938" s="9"/>
      <c r="Z938" s="9"/>
      <c r="AA938" s="9"/>
      <c r="AB938" s="9"/>
      <c r="AC938" s="449" t="str">
        <f t="shared" si="108"/>
        <v>PHQ</v>
      </c>
      <c r="AD938" s="449"/>
      <c r="AE938" s="449"/>
      <c r="AF938" s="4"/>
      <c r="AG938" s="83"/>
      <c r="AH938" s="4"/>
      <c r="AI938" s="4"/>
      <c r="AJ938" s="449"/>
      <c r="AK938" s="449"/>
      <c r="AL938" s="449"/>
      <c r="AM938" s="449" t="s">
        <v>552</v>
      </c>
      <c r="AN938" s="10">
        <v>5.5</v>
      </c>
      <c r="AO938" s="9"/>
      <c r="AP938" s="9"/>
      <c r="AQ938" s="9"/>
      <c r="AR938" s="9"/>
      <c r="AS938" s="9"/>
      <c r="AT938" s="9">
        <f>+ab($T$938,$T$936,$T$940,$G$937,$G$939,-1*$F$938,1200)</f>
        <v>-6.9240666045709736</v>
      </c>
      <c r="AU938" s="428"/>
      <c r="AV938" s="428"/>
      <c r="AW938" s="449" t="str">
        <f>IF(C938&gt;0,VLOOKUP(C938,Foundation_Calc!$A$2:$C$13,3,1),
IF(J938&gt;0,VLOOKUP(J938,Foundation_Calc!$A$2:$C$13,3,1),""))</f>
        <v>Multi Soil</v>
      </c>
      <c r="AX938" s="449" t="str">
        <f>IF(C938&gt;0,VLOOKUP(C938,Foundation_Calc!$E$2:$G$33,3,1),
IF(J938&gt;0,VLOOKUP(J938,Foundation_Calc!$E$2:$G$33,3,1),""))</f>
        <v>PT</v>
      </c>
      <c r="AY938" s="10">
        <f>IF(L938="","",
IF(AX938="PT",VLOOKUP(L938,Foundation_Calc!$K$79:$R$113,VLOOKUP(AW938,Foundation_Calc!$I$2:$J$8,2,FALSE),0),
IF(AX938="K",VLOOKUP(L938,Foundation_Calc!$K$117:$R$151,VLOOKUP(AW938,Foundation_Calc!$I$2:$J$8,2,FALSE),0),"")))</f>
        <v>3.5</v>
      </c>
      <c r="AZ938" s="10" t="str">
        <f>IF(K938="","",
IF(AX938="PT",VLOOKUP(K938,Foundation_Calc!$K$79:$R$113,VLOOKUP(AW938,Foundation_Calc!$I$2:$J$8,2,FALSE),0),
IF(AX938="K",VLOOKUP(K938,Foundation_Calc!$K$117:$R$151,VLOOKUP(AW938,Foundation_Calc!$I$2:$J$8,2,FALSE),0),"")))</f>
        <v/>
      </c>
      <c r="BA938" s="495" t="str">
        <f t="shared" si="115"/>
        <v>ü</v>
      </c>
      <c r="BB938" s="495" t="str">
        <f t="shared" si="116"/>
        <v/>
      </c>
      <c r="BC938" s="495" t="str">
        <f t="shared" si="117"/>
        <v/>
      </c>
      <c r="BD938" s="513" t="str">
        <f>IF(AND(L938="",H938=""),"",
IF(H938="",Pole_Calc!A$9,
IF(H938="MP",Pole_Calc!A$10,
IF(H938="AnMP",Pole_Calc!A$11,
IF(H938="A",Pole_Calc!A$12,
IF(H938="S/A",Pole_Calc!A$13,
IF(H938="A/S",Pole_Calc!A$14,"Poner a mano")))))))</f>
        <v>App.7-V11I-P9.5.1.6</v>
      </c>
      <c r="BE938" s="429" t="s">
        <v>118</v>
      </c>
      <c r="BF938" s="289"/>
      <c r="BG938" s="289"/>
      <c r="BH938" s="290"/>
      <c r="BI938" s="289"/>
    </row>
    <row r="939" spans="1:61" ht="15.75" customHeight="1">
      <c r="A939" s="514"/>
      <c r="B939" s="450"/>
      <c r="C939" s="3"/>
      <c r="D939" s="83"/>
      <c r="E939" s="4"/>
      <c r="F939" s="4"/>
      <c r="G939" s="6">
        <v>55.7</v>
      </c>
      <c r="H939" s="449"/>
      <c r="I939" s="4"/>
      <c r="J939" s="3">
        <f>C938+7.5</f>
        <v>52473.5</v>
      </c>
      <c r="K939" s="449" t="s">
        <v>117</v>
      </c>
      <c r="L939" s="449"/>
      <c r="M939" s="449" t="str">
        <f>IF(L939="","",
IF(AX939="PT",VLOOKUP(L939,Foundation_Calc!$V$79:$X$113,VLOOKUP(AX939,Foundation_Calc!$I$10:$J$13,2,FALSE),0),
IF(AX939="K",VLOOKUP(L939,Foundation_Calc!$V$117:$X$151,VLOOKUP(AX939,Foundation_Calc!$I$10:$J$13,2,FALSE),0),"")))</f>
        <v/>
      </c>
      <c r="N939" s="449"/>
      <c r="O939" s="449"/>
      <c r="P939" s="449"/>
      <c r="Q939" s="4"/>
      <c r="R939" s="6"/>
      <c r="S939" s="6"/>
      <c r="T939" s="4"/>
      <c r="U939" s="4"/>
      <c r="V939" s="4"/>
      <c r="W939" s="9"/>
      <c r="X939" s="9"/>
      <c r="Y939" s="9"/>
      <c r="Z939" s="9"/>
      <c r="AA939" s="9"/>
      <c r="AB939" s="9"/>
      <c r="AC939" s="449" t="str">
        <f t="shared" si="108"/>
        <v/>
      </c>
      <c r="AD939" s="449"/>
      <c r="AE939" s="449"/>
      <c r="AF939" s="4"/>
      <c r="AG939" s="83"/>
      <c r="AH939" s="4"/>
      <c r="AI939" s="4"/>
      <c r="AJ939" s="449"/>
      <c r="AK939" s="449"/>
      <c r="AL939" s="449"/>
      <c r="AM939" s="449"/>
      <c r="AN939" s="10"/>
      <c r="AO939" s="9"/>
      <c r="AP939" s="9"/>
      <c r="AQ939" s="9">
        <f>+FL_2($T$940,$T$938,$G$939,1200,9.28,-1*$F$940)</f>
        <v>-0.40202223052064634</v>
      </c>
      <c r="AR939" s="9"/>
      <c r="AS939" s="9"/>
      <c r="AT939" s="9"/>
      <c r="AU939" s="428"/>
      <c r="AV939" s="428"/>
      <c r="AW939" s="449" t="str">
        <f>IF(C939&gt;0,VLOOKUP(C939,Foundation_Calc!$A$2:$C$13,3,1),
IF(J939&gt;0,VLOOKUP(J939,Foundation_Calc!$A$2:$C$13,3,1),""))</f>
        <v>Multi Soil</v>
      </c>
      <c r="AX939" s="449" t="str">
        <f>IF(C939&gt;0,VLOOKUP(C939,Foundation_Calc!$E$2:$G$33,3,1),
IF(J939&gt;0,VLOOKUP(J939,Foundation_Calc!$E$2:$G$33,3,1),""))</f>
        <v>PT</v>
      </c>
      <c r="AY939" s="10" t="str">
        <f>IF(L939="","",
IF(AX939="PT",VLOOKUP(L939,Foundation_Calc!$K$79:$R$113,VLOOKUP(AW939,Foundation_Calc!$I$2:$J$8,2,FALSE),0),
IF(AX939="K",VLOOKUP(L939,Foundation_Calc!$K$117:$R$151,VLOOKUP(AW939,Foundation_Calc!$I$2:$J$8,2,FALSE),0),"")))</f>
        <v/>
      </c>
      <c r="AZ939" s="10">
        <f>IF(K939="","",
IF(AX939="PT",VLOOKUP(K939,Foundation_Calc!$K$79:$R$113,VLOOKUP(AW939,Foundation_Calc!$I$2:$J$8,2,FALSE),0),
IF(AX939="K",VLOOKUP(K939,Foundation_Calc!$K$117:$R$151,VLOOKUP(AW939,Foundation_Calc!$I$2:$J$8,2,FALSE),0),"")))</f>
        <v>3.9</v>
      </c>
      <c r="BA939" s="495" t="str">
        <f t="shared" si="115"/>
        <v/>
      </c>
      <c r="BB939" s="495" t="str">
        <f t="shared" si="116"/>
        <v>ü</v>
      </c>
      <c r="BC939" s="495" t="str">
        <f t="shared" si="117"/>
        <v/>
      </c>
      <c r="BD939" s="513" t="str">
        <f>IF(AND(L939="",H939=""),"",
IF(H939="",Pole_Calc!A$9,
IF(H939="MP",Pole_Calc!A$10,
IF(H939="AnMP",Pole_Calc!A$11,
IF(H939="A",Pole_Calc!A$12,
IF(H939="S/A",Pole_Calc!A$13,
IF(H939="A/S",Pole_Calc!A$14,"Poner a mano")))))))</f>
        <v/>
      </c>
      <c r="BE939" s="429" t="s">
        <v>118</v>
      </c>
      <c r="BF939" s="290"/>
      <c r="BG939" s="290"/>
      <c r="BH939" s="290"/>
      <c r="BI939" s="290"/>
    </row>
    <row r="940" spans="1:61" ht="15.75" customHeight="1">
      <c r="A940" s="514"/>
      <c r="B940" s="450" t="s">
        <v>736</v>
      </c>
      <c r="C940" s="3">
        <f>+$C$938+$G$939</f>
        <v>52521.7</v>
      </c>
      <c r="D940" s="83"/>
      <c r="E940" s="4"/>
      <c r="F940" s="4">
        <f>IF(C940&gt;0,VLOOKUP(C940,'ALIGNMENT TRACK'!$A$1:$K$81,9,1))</f>
        <v>0</v>
      </c>
      <c r="G940" s="6"/>
      <c r="H940" s="449" t="s">
        <v>238</v>
      </c>
      <c r="I940" s="4"/>
      <c r="J940" s="3"/>
      <c r="K940" s="449"/>
      <c r="L940" s="449" t="s">
        <v>183</v>
      </c>
      <c r="M940" s="449" t="str">
        <f>IF(L940="","",
IF(AX940="PT",VLOOKUP(L940,Foundation_Calc!$V$79:$X$113,VLOOKUP(AX940,Foundation_Calc!$I$10:$J$13,2,FALSE),0),
IF(AX940="K",VLOOKUP(L940,Foundation_Calc!$V$117:$X$151,VLOOKUP(AX940,Foundation_Calc!$I$10:$J$13,2,FALSE),0),"")))</f>
        <v>2C3R</v>
      </c>
      <c r="N940" s="449" t="s">
        <v>134</v>
      </c>
      <c r="O940" s="554" t="s">
        <v>124</v>
      </c>
      <c r="P940" s="449"/>
      <c r="Q940" s="4"/>
      <c r="R940" s="6"/>
      <c r="S940" s="6"/>
      <c r="T940" s="4">
        <v>35</v>
      </c>
      <c r="U940" s="4">
        <v>20</v>
      </c>
      <c r="V940" s="4"/>
      <c r="W940" s="9">
        <v>1.4</v>
      </c>
      <c r="X940" s="9">
        <v>2</v>
      </c>
      <c r="Y940" s="9"/>
      <c r="Z940" s="9"/>
      <c r="AA940" s="9"/>
      <c r="AB940" s="9"/>
      <c r="AC940" s="449" t="str">
        <f t="shared" si="108"/>
        <v>PH</v>
      </c>
      <c r="AD940" s="449"/>
      <c r="AE940" s="449"/>
      <c r="AF940" s="4"/>
      <c r="AG940" s="83"/>
      <c r="AH940" s="4"/>
      <c r="AI940" s="4"/>
      <c r="AJ940" s="449" t="s">
        <v>239</v>
      </c>
      <c r="AK940" s="449"/>
      <c r="AL940" s="449"/>
      <c r="AM940" s="449" t="s">
        <v>552</v>
      </c>
      <c r="AN940" s="10">
        <v>5.5</v>
      </c>
      <c r="AO940" s="9"/>
      <c r="AP940" s="9"/>
      <c r="AQ940" s="9"/>
      <c r="AR940" s="9"/>
      <c r="AS940" s="9"/>
      <c r="AT940" s="9">
        <f>+ab($T$940,$T$938,$T$942,$G$939,$G$941,-1*$F$940,1200)</f>
        <v>8.0881428337703554</v>
      </c>
      <c r="AU940" s="428"/>
      <c r="AV940" s="428"/>
      <c r="AW940" s="449" t="str">
        <f>IF(C940&gt;0,VLOOKUP(C940,Foundation_Calc!$A$2:$C$13,3,1),
IF(J940&gt;0,VLOOKUP(J940,Foundation_Calc!$A$2:$C$13,3,1),""))</f>
        <v>Multi Soil</v>
      </c>
      <c r="AX940" s="449" t="str">
        <f>IF(C940&gt;0,VLOOKUP(C940,Foundation_Calc!$E$2:$G$33,3,1),
IF(J940&gt;0,VLOOKUP(J940,Foundation_Calc!$E$2:$G$33,3,1),""))</f>
        <v>PT</v>
      </c>
      <c r="AY940" s="10">
        <f>IF(L940="","",
IF(AX940="PT",VLOOKUP(L940,Foundation_Calc!$K$79:$R$113,VLOOKUP(AW940,Foundation_Calc!$I$2:$J$8,2,FALSE),0),
IF(AX940="K",VLOOKUP(L940,Foundation_Calc!$K$117:$R$151,VLOOKUP(AW940,Foundation_Calc!$I$2:$J$8,2,FALSE),0),"")))</f>
        <v>3.7</v>
      </c>
      <c r="AZ940" s="10" t="str">
        <f>IF(K940="","",
IF(AX940="PT",VLOOKUP(K940,Foundation_Calc!$K$79:$R$113,VLOOKUP(AW940,Foundation_Calc!$I$2:$J$8,2,FALSE),0),
IF(AX940="K",VLOOKUP(K940,Foundation_Calc!$K$117:$R$151,VLOOKUP(AW940,Foundation_Calc!$I$2:$J$8,2,FALSE),0),"")))</f>
        <v/>
      </c>
      <c r="BA940" s="495" t="str">
        <f t="shared" si="115"/>
        <v>ü</v>
      </c>
      <c r="BB940" s="495" t="str">
        <f t="shared" si="116"/>
        <v/>
      </c>
      <c r="BC940" s="495" t="str">
        <f t="shared" si="117"/>
        <v/>
      </c>
      <c r="BD940" s="513" t="str">
        <f>Pole_Calc!A$113</f>
        <v>App.7-V11I-P9.5.11.1</v>
      </c>
      <c r="BE940" s="429" t="s">
        <v>118</v>
      </c>
      <c r="BF940" s="289"/>
      <c r="BG940" s="289"/>
      <c r="BH940" s="290"/>
      <c r="BI940" s="289"/>
    </row>
    <row r="941" spans="1:61" ht="15.75" customHeight="1">
      <c r="A941" s="514"/>
      <c r="B941" s="450"/>
      <c r="C941" s="3"/>
      <c r="D941" s="83"/>
      <c r="E941" s="4"/>
      <c r="F941" s="4"/>
      <c r="G941" s="6">
        <v>50</v>
      </c>
      <c r="H941" s="449"/>
      <c r="I941" s="4"/>
      <c r="J941" s="3"/>
      <c r="K941" s="449"/>
      <c r="L941" s="449"/>
      <c r="M941" s="449" t="str">
        <f>IF(L941="","",
IF(AX941="PT",VLOOKUP(L941,Foundation_Calc!$V$79:$X$113,VLOOKUP(AX941,Foundation_Calc!$I$10:$J$13,2,FALSE),0),
IF(AX941="K",VLOOKUP(L941,Foundation_Calc!$V$117:$X$151,VLOOKUP(AX941,Foundation_Calc!$I$10:$J$13,2,FALSE),0),"")))</f>
        <v/>
      </c>
      <c r="N941" s="449"/>
      <c r="O941" s="449"/>
      <c r="P941" s="449"/>
      <c r="Q941" s="4"/>
      <c r="R941" s="6"/>
      <c r="S941" s="6"/>
      <c r="T941" s="4"/>
      <c r="U941" s="4"/>
      <c r="V941" s="4"/>
      <c r="W941" s="9"/>
      <c r="X941" s="9"/>
      <c r="Y941" s="9"/>
      <c r="Z941" s="9"/>
      <c r="AA941" s="9"/>
      <c r="AB941" s="9"/>
      <c r="AC941" s="449" t="str">
        <f t="shared" si="108"/>
        <v/>
      </c>
      <c r="AD941" s="449"/>
      <c r="AE941" s="449"/>
      <c r="AF941" s="4"/>
      <c r="AG941" s="83"/>
      <c r="AH941" s="4"/>
      <c r="AI941" s="4"/>
      <c r="AJ941" s="449"/>
      <c r="AK941" s="449"/>
      <c r="AL941" s="449"/>
      <c r="AM941" s="449"/>
      <c r="AN941" s="10"/>
      <c r="AO941" s="9"/>
      <c r="AP941" s="9"/>
      <c r="AQ941" s="9">
        <f>+FL_1($T$942,$T$940,$G$941,1200,9.28,-1*$F$942)</f>
        <v>0.36555510737469055</v>
      </c>
      <c r="AR941" s="9"/>
      <c r="AS941" s="9"/>
      <c r="AT941" s="9"/>
      <c r="AU941" s="428"/>
      <c r="AV941" s="428"/>
      <c r="AW941" s="449" t="str">
        <f>IF(C941&gt;0,VLOOKUP(C941,Foundation_Calc!$A$2:$C$13,3,1),
IF(J941&gt;0,VLOOKUP(J941,Foundation_Calc!$A$2:$C$13,3,1),""))</f>
        <v/>
      </c>
      <c r="AX941" s="449" t="str">
        <f>IF(C941&gt;0,VLOOKUP(C941,Foundation_Calc!$E$2:$G$33,3,1),
IF(J941&gt;0,VLOOKUP(J941,Foundation_Calc!$E$2:$G$33,3,1),""))</f>
        <v/>
      </c>
      <c r="AY941" s="10" t="str">
        <f>IF(L941="","",
IF(AX941="PT",VLOOKUP(L941,Foundation_Calc!$K$79:$R$113,VLOOKUP(AW941,Foundation_Calc!$I$2:$J$8,2,FALSE),0),
IF(AX941="K",VLOOKUP(L941,Foundation_Calc!$K$117:$R$151,VLOOKUP(AW941,Foundation_Calc!$I$2:$J$8,2,FALSE),0),"")))</f>
        <v/>
      </c>
      <c r="AZ941" s="10" t="str">
        <f>IF(K941="","",
IF(AX941="PT",VLOOKUP(K941,Foundation_Calc!$K$79:$R$113,VLOOKUP(AW941,Foundation_Calc!$I$2:$J$8,2,FALSE),0),
IF(AX941="K",VLOOKUP(K941,Foundation_Calc!$K$117:$R$151,VLOOKUP(AW941,Foundation_Calc!$I$2:$J$8,2,FALSE),0),"")))</f>
        <v/>
      </c>
      <c r="BA941" s="495" t="str">
        <f t="shared" si="115"/>
        <v/>
      </c>
      <c r="BB941" s="495" t="str">
        <f t="shared" si="116"/>
        <v/>
      </c>
      <c r="BC941" s="495" t="str">
        <f t="shared" si="117"/>
        <v/>
      </c>
      <c r="BD941" s="513" t="str">
        <f>IF(AND(L941="",H941=""),"",
IF(H941="",Pole_Calc!A$9,
IF(H941="MP",Pole_Calc!A$10,
IF(H941="AnMP",Pole_Calc!A$11,
IF(H941="A",Pole_Calc!A$12,
IF(H941="S/A",Pole_Calc!A$13,
IF(H941="A/S",Pole_Calc!A$14,"Poner a mano")))))))</f>
        <v/>
      </c>
      <c r="BE941" s="429" t="s">
        <v>118</v>
      </c>
      <c r="BF941" s="290"/>
      <c r="BG941" s="290"/>
      <c r="BH941" s="290"/>
      <c r="BI941" s="290"/>
    </row>
    <row r="942" spans="1:61" ht="15.75" customHeight="1">
      <c r="A942" s="518"/>
      <c r="B942" s="450" t="s">
        <v>737</v>
      </c>
      <c r="C942" s="3">
        <f>+$C$940+$G$941</f>
        <v>52571.7</v>
      </c>
      <c r="D942" s="83"/>
      <c r="E942" s="4"/>
      <c r="F942" s="4">
        <f>-(346^2)/(C942-52552.74)</f>
        <v>-6314.1350210973369</v>
      </c>
      <c r="G942" s="6"/>
      <c r="H942" s="449" t="s">
        <v>236</v>
      </c>
      <c r="I942" s="4" t="s">
        <v>122</v>
      </c>
      <c r="J942" s="3"/>
      <c r="K942" s="449"/>
      <c r="L942" s="449" t="s">
        <v>206</v>
      </c>
      <c r="M942" s="449" t="str">
        <f>IF(L942="","",
IF(AX942="PT",VLOOKUP(L942,Foundation_Calc!$V$79:$X$113,VLOOKUP(AX942,Foundation_Calc!$I$10:$J$13,2,FALSE),0),
IF(AX942="K",VLOOKUP(L942,Foundation_Calc!$V$117:$X$151,VLOOKUP(AX942,Foundation_Calc!$I$10:$J$13,2,FALSE),0),"")))</f>
        <v>2C4R</v>
      </c>
      <c r="N942" s="449" t="s">
        <v>124</v>
      </c>
      <c r="O942" s="554" t="s">
        <v>133</v>
      </c>
      <c r="P942" s="449"/>
      <c r="Q942" s="4"/>
      <c r="R942" s="6"/>
      <c r="S942" s="6"/>
      <c r="T942" s="4">
        <v>-20</v>
      </c>
      <c r="U942" s="4">
        <v>-55</v>
      </c>
      <c r="V942" s="4"/>
      <c r="W942" s="9">
        <v>1.4</v>
      </c>
      <c r="X942" s="9">
        <v>2</v>
      </c>
      <c r="Y942" s="9"/>
      <c r="Z942" s="9"/>
      <c r="AA942" s="9">
        <v>0.45</v>
      </c>
      <c r="AB942" s="9"/>
      <c r="AC942" s="449" t="str">
        <f t="shared" si="108"/>
        <v>PH</v>
      </c>
      <c r="AD942" s="449"/>
      <c r="AE942" s="449"/>
      <c r="AF942" s="4"/>
      <c r="AG942" s="83"/>
      <c r="AH942" s="4"/>
      <c r="AI942" s="4"/>
      <c r="AJ942" s="449"/>
      <c r="AK942" s="449"/>
      <c r="AL942" s="449"/>
      <c r="AM942" s="449" t="s">
        <v>552</v>
      </c>
      <c r="AN942" s="10">
        <v>5.5</v>
      </c>
      <c r="AO942" s="9"/>
      <c r="AP942" s="9"/>
      <c r="AQ942" s="9"/>
      <c r="AR942" s="9"/>
      <c r="AS942" s="9"/>
      <c r="AT942" s="9">
        <f>+ab($T$942,$T$940,$U$944,$G$941,$G$943,-1*$F$942,1200)</f>
        <v>-32.177686289833311</v>
      </c>
      <c r="AU942" s="428"/>
      <c r="AV942" s="428"/>
      <c r="AW942" s="449" t="str">
        <f>IF(C942&gt;0,VLOOKUP(C942,Foundation_Calc!$A$2:$C$13,3,1),
IF(J942&gt;0,VLOOKUP(J942,Foundation_Calc!$A$2:$C$13,3,1),""))</f>
        <v>Multi Soil</v>
      </c>
      <c r="AX942" s="449" t="str">
        <f>IF(C942&gt;0,VLOOKUP(C942,Foundation_Calc!$E$2:$G$33,3,1),
IF(J942&gt;0,VLOOKUP(J942,Foundation_Calc!$E$2:$G$33,3,1),""))</f>
        <v>PT</v>
      </c>
      <c r="AY942" s="10">
        <f>IF(L942="","",
IF(AX942="PT",VLOOKUP(L942,Foundation_Calc!$K$79:$R$113,VLOOKUP(AW942,Foundation_Calc!$I$2:$J$8,2,FALSE),0),
IF(AX942="K",VLOOKUP(L942,Foundation_Calc!$K$117:$R$151,VLOOKUP(AW942,Foundation_Calc!$I$2:$J$8,2,FALSE),0),"")))</f>
        <v>4</v>
      </c>
      <c r="AZ942" s="10" t="str">
        <f>IF(K942="","",
IF(AX942="PT",VLOOKUP(K942,Foundation_Calc!$K$79:$R$113,VLOOKUP(AW942,Foundation_Calc!$I$2:$J$8,2,FALSE),0),
IF(AX942="K",VLOOKUP(K942,Foundation_Calc!$K$117:$R$151,VLOOKUP(AW942,Foundation_Calc!$I$2:$J$8,2,FALSE),0),"")))</f>
        <v/>
      </c>
      <c r="BA942" s="495" t="str">
        <f t="shared" si="115"/>
        <v>ü</v>
      </c>
      <c r="BB942" s="495" t="str">
        <f t="shared" si="116"/>
        <v/>
      </c>
      <c r="BC942" s="495" t="str">
        <f t="shared" si="117"/>
        <v/>
      </c>
      <c r="BD942" s="513" t="str">
        <f>Pole_Calc!A$168</f>
        <v>App.7-V11I-P9.5.15.3</v>
      </c>
      <c r="BE942" s="429" t="s">
        <v>118</v>
      </c>
      <c r="BF942" s="289"/>
      <c r="BG942" s="289"/>
      <c r="BH942" s="290"/>
      <c r="BI942" s="289"/>
    </row>
    <row r="943" spans="1:61" ht="15.75" customHeight="1">
      <c r="A943" s="514"/>
      <c r="B943" s="450"/>
      <c r="C943" s="3"/>
      <c r="D943" s="83"/>
      <c r="E943" s="4"/>
      <c r="F943" s="4"/>
      <c r="G943" s="6">
        <v>48</v>
      </c>
      <c r="H943" s="449"/>
      <c r="I943" s="4">
        <v>290</v>
      </c>
      <c r="J943" s="3"/>
      <c r="K943" s="449"/>
      <c r="L943" s="449"/>
      <c r="M943" s="449" t="str">
        <f>IF(L943="","",
IF(AX943="PT",VLOOKUP(L943,Foundation_Calc!$V$79:$X$113,VLOOKUP(AX943,Foundation_Calc!$I$10:$J$13,2,FALSE),0),
IF(AX943="K",VLOOKUP(L943,Foundation_Calc!$V$117:$X$151,VLOOKUP(AX943,Foundation_Calc!$I$10:$J$13,2,FALSE),0),"")))</f>
        <v/>
      </c>
      <c r="N943" s="561"/>
      <c r="O943" s="449"/>
      <c r="P943" s="449"/>
      <c r="Q943" s="4"/>
      <c r="R943" s="6"/>
      <c r="S943" s="6"/>
      <c r="T943" s="4"/>
      <c r="U943" s="4"/>
      <c r="V943" s="4"/>
      <c r="W943" s="9"/>
      <c r="X943" s="9"/>
      <c r="Y943" s="9"/>
      <c r="Z943" s="9"/>
      <c r="AA943" s="9"/>
      <c r="AB943" s="9"/>
      <c r="AC943" s="449" t="str">
        <f t="shared" si="108"/>
        <v/>
      </c>
      <c r="AD943" s="449"/>
      <c r="AE943" s="449"/>
      <c r="AF943" s="4"/>
      <c r="AG943" s="83"/>
      <c r="AH943" s="4"/>
      <c r="AI943" s="4"/>
      <c r="AJ943" s="449"/>
      <c r="AK943" s="449"/>
      <c r="AL943" s="449"/>
      <c r="AM943" s="449"/>
      <c r="AN943" s="10"/>
      <c r="AO943" s="9"/>
      <c r="AP943" s="9"/>
      <c r="AQ943" s="9">
        <f>+FL_2($U$944,$T$942,$G$943,1200,9.28,-1*$F$944)</f>
        <v>-0.53544085418620824</v>
      </c>
      <c r="AR943" s="9"/>
      <c r="AS943" s="9"/>
      <c r="AT943" s="9"/>
      <c r="AU943" s="428"/>
      <c r="AV943" s="428"/>
      <c r="AW943" s="449" t="str">
        <f>IF(C943&gt;0,VLOOKUP(C943,Foundation_Calc!$A$2:$C$13,3,1),
IF(J943&gt;0,VLOOKUP(J943,Foundation_Calc!$A$2:$C$13,3,1),""))</f>
        <v/>
      </c>
      <c r="AX943" s="449" t="str">
        <f>IF(C943&gt;0,VLOOKUP(C943,Foundation_Calc!$E$2:$G$33,3,1),
IF(J943&gt;0,VLOOKUP(J943,Foundation_Calc!$E$2:$G$33,3,1),""))</f>
        <v/>
      </c>
      <c r="AY943" s="10" t="str">
        <f>IF(L943="","",
IF(AX943="PT",VLOOKUP(L943,Foundation_Calc!$K$79:$R$113,VLOOKUP(AW943,Foundation_Calc!$I$2:$J$8,2,FALSE),0),
IF(AX943="K",VLOOKUP(L943,Foundation_Calc!$K$117:$R$151,VLOOKUP(AW943,Foundation_Calc!$I$2:$J$8,2,FALSE),0),"")))</f>
        <v/>
      </c>
      <c r="AZ943" s="10" t="str">
        <f>IF(K943="","",
IF(AX943="PT",VLOOKUP(K943,Foundation_Calc!$K$79:$R$113,VLOOKUP(AW943,Foundation_Calc!$I$2:$J$8,2,FALSE),0),
IF(AX943="K",VLOOKUP(K943,Foundation_Calc!$K$117:$R$151,VLOOKUP(AW943,Foundation_Calc!$I$2:$J$8,2,FALSE),0),"")))</f>
        <v/>
      </c>
      <c r="BA943" s="495" t="str">
        <f t="shared" si="115"/>
        <v/>
      </c>
      <c r="BB943" s="495" t="str">
        <f t="shared" si="116"/>
        <v/>
      </c>
      <c r="BC943" s="495" t="str">
        <f t="shared" si="117"/>
        <v/>
      </c>
      <c r="BD943" s="513" t="str">
        <f>IF(AND(L943="",H943=""),"",
IF(H943="",Pole_Calc!A$9,
IF(H943="MP",Pole_Calc!A$10,
IF(H943="AnMP",Pole_Calc!A$11,
IF(H943="A",Pole_Calc!A$12,
IF(H943="S/A",Pole_Calc!A$13,
IF(H943="A/S",Pole_Calc!A$14,"Poner a mano")))))))</f>
        <v/>
      </c>
      <c r="BE943" s="429" t="s">
        <v>118</v>
      </c>
      <c r="BF943" s="290"/>
      <c r="BG943" s="290"/>
      <c r="BH943" s="290"/>
      <c r="BI943" s="290"/>
    </row>
    <row r="944" spans="1:61" ht="15.75" customHeight="1">
      <c r="A944" s="514"/>
      <c r="B944" s="450" t="s">
        <v>738</v>
      </c>
      <c r="C944" s="3">
        <f>+$C$942+$G$943</f>
        <v>52619.7</v>
      </c>
      <c r="D944" s="83"/>
      <c r="E944" s="4"/>
      <c r="F944" s="4">
        <f>-(346^2)/(C944-52552.74)</f>
        <v>-1787.8733572282192</v>
      </c>
      <c r="G944" s="6"/>
      <c r="H944" s="449" t="s">
        <v>230</v>
      </c>
      <c r="I944" s="4" t="s">
        <v>122</v>
      </c>
      <c r="J944" s="3"/>
      <c r="K944" s="449"/>
      <c r="L944" s="449" t="s">
        <v>206</v>
      </c>
      <c r="M944" s="449" t="str">
        <f>IF(L944="","",
IF(AX944="PT",VLOOKUP(L944,Foundation_Calc!$V$79:$X$113,VLOOKUP(AX944,Foundation_Calc!$I$10:$J$13,2,FALSE),0),
IF(AX944="K",VLOOKUP(L944,Foundation_Calc!$V$117:$X$151,VLOOKUP(AX944,Foundation_Calc!$I$10:$J$13,2,FALSE),0),"")))</f>
        <v>2C4R</v>
      </c>
      <c r="N944" s="449" t="s">
        <v>133</v>
      </c>
      <c r="O944" s="449" t="s">
        <v>134</v>
      </c>
      <c r="P944" s="449"/>
      <c r="Q944" s="4"/>
      <c r="R944" s="6"/>
      <c r="S944" s="6"/>
      <c r="T944" s="4">
        <v>35</v>
      </c>
      <c r="U944" s="4">
        <v>-10</v>
      </c>
      <c r="V944" s="4"/>
      <c r="W944" s="9">
        <v>1.4</v>
      </c>
      <c r="X944" s="9">
        <v>2</v>
      </c>
      <c r="Y944" s="9"/>
      <c r="Z944" s="9">
        <v>0.4</v>
      </c>
      <c r="AA944" s="9"/>
      <c r="AB944" s="9"/>
      <c r="AC944" s="449" t="str">
        <f t="shared" si="108"/>
        <v>PH</v>
      </c>
      <c r="AD944" s="449"/>
      <c r="AE944" s="449"/>
      <c r="AF944" s="4"/>
      <c r="AG944" s="83"/>
      <c r="AH944" s="4"/>
      <c r="AI944" s="4"/>
      <c r="AJ944" s="449"/>
      <c r="AK944" s="449"/>
      <c r="AL944" s="449"/>
      <c r="AM944" s="449" t="s">
        <v>552</v>
      </c>
      <c r="AN944" s="10">
        <v>5.5</v>
      </c>
      <c r="AO944" s="9"/>
      <c r="AP944" s="9"/>
      <c r="AQ944" s="9"/>
      <c r="AR944" s="9"/>
      <c r="AS944" s="9"/>
      <c r="AT944" s="9">
        <f>+ab($U$944,$T$942,$T$946,$G$943,$G$945,-1*$F$944,1200)</f>
        <v>9.8933373704688155</v>
      </c>
      <c r="AU944" s="428"/>
      <c r="AV944" s="428"/>
      <c r="AW944" s="449" t="str">
        <f>IF(C944&gt;0,VLOOKUP(C944,Foundation_Calc!$A$2:$C$13,3,1),
IF(J944&gt;0,VLOOKUP(J944,Foundation_Calc!$A$2:$C$13,3,1),""))</f>
        <v>Multi Soil</v>
      </c>
      <c r="AX944" s="449" t="str">
        <f>IF(C944&gt;0,VLOOKUP(C944,Foundation_Calc!$E$2:$G$33,3,1),
IF(J944&gt;0,VLOOKUP(J944,Foundation_Calc!$E$2:$G$33,3,1),""))</f>
        <v>PT</v>
      </c>
      <c r="AY944" s="10">
        <f>IF(L944="","",
IF(AX944="PT",VLOOKUP(L944,Foundation_Calc!$K$79:$R$113,VLOOKUP(AW944,Foundation_Calc!$I$2:$J$8,2,FALSE),0),
IF(AX944="K",VLOOKUP(L944,Foundation_Calc!$K$117:$R$151,VLOOKUP(AW944,Foundation_Calc!$I$2:$J$8,2,FALSE),0),"")))</f>
        <v>4</v>
      </c>
      <c r="AZ944" s="10" t="str">
        <f>IF(K944="","",
IF(AX944="PT",VLOOKUP(K944,Foundation_Calc!$K$79:$R$113,VLOOKUP(AW944,Foundation_Calc!$I$2:$J$8,2,FALSE),0),
IF(AX944="K",VLOOKUP(K944,Foundation_Calc!$K$117:$R$151,VLOOKUP(AW944,Foundation_Calc!$I$2:$J$8,2,FALSE),0),"")))</f>
        <v/>
      </c>
      <c r="BA944" s="495" t="str">
        <f t="shared" si="115"/>
        <v>ü</v>
      </c>
      <c r="BB944" s="495" t="str">
        <f t="shared" si="116"/>
        <v/>
      </c>
      <c r="BC944" s="495" t="str">
        <f t="shared" si="117"/>
        <v/>
      </c>
      <c r="BD944" s="513" t="str">
        <f>Pole_Calc!A$168</f>
        <v>App.7-V11I-P9.5.15.3</v>
      </c>
      <c r="BE944" s="429" t="s">
        <v>118</v>
      </c>
      <c r="BF944" s="289"/>
      <c r="BG944" s="289"/>
      <c r="BH944" s="290"/>
      <c r="BI944" s="289"/>
    </row>
    <row r="945" spans="1:61" ht="15.75" customHeight="1">
      <c r="A945" s="514" t="s">
        <v>234</v>
      </c>
      <c r="B945" s="450"/>
      <c r="C945" s="3"/>
      <c r="D945" s="83"/>
      <c r="E945" s="4"/>
      <c r="F945" s="4"/>
      <c r="G945" s="6">
        <v>45</v>
      </c>
      <c r="H945" s="449"/>
      <c r="I945" s="4"/>
      <c r="J945" s="3"/>
      <c r="K945" s="449"/>
      <c r="L945" s="449"/>
      <c r="M945" s="449" t="str">
        <f>IF(L945="","",
IF(AX945="PT",VLOOKUP(L945,Foundation_Calc!$V$79:$X$113,VLOOKUP(AX945,Foundation_Calc!$I$10:$J$13,2,FALSE),0),
IF(AX945="K",VLOOKUP(L945,Foundation_Calc!$V$117:$X$151,VLOOKUP(AX945,Foundation_Calc!$I$10:$J$13,2,FALSE),0),"")))</f>
        <v/>
      </c>
      <c r="N945" s="449"/>
      <c r="O945" s="449"/>
      <c r="P945" s="449"/>
      <c r="Q945" s="4"/>
      <c r="R945" s="6"/>
      <c r="S945" s="6"/>
      <c r="T945" s="4"/>
      <c r="U945" s="4"/>
      <c r="V945" s="4"/>
      <c r="W945" s="9"/>
      <c r="X945" s="9"/>
      <c r="Y945" s="9"/>
      <c r="Z945" s="9"/>
      <c r="AA945" s="9"/>
      <c r="AB945" s="9"/>
      <c r="AC945" s="449" t="str">
        <f t="shared" si="108"/>
        <v/>
      </c>
      <c r="AD945" s="449"/>
      <c r="AE945" s="449"/>
      <c r="AF945" s="4"/>
      <c r="AG945" s="83"/>
      <c r="AH945" s="4"/>
      <c r="AI945" s="4"/>
      <c r="AJ945" s="449"/>
      <c r="AK945" s="449"/>
      <c r="AL945" s="449"/>
      <c r="AM945" s="449"/>
      <c r="AN945" s="10"/>
      <c r="AO945" s="9"/>
      <c r="AP945" s="9"/>
      <c r="AQ945" s="9">
        <f>+FL_2($T$946,$U$944,$G$945,1200,9.28,-1*$F$946)</f>
        <v>-0.35562203215451094</v>
      </c>
      <c r="AR945" s="9"/>
      <c r="AS945" s="9"/>
      <c r="AT945" s="9"/>
      <c r="AU945" s="428"/>
      <c r="AV945" s="428"/>
      <c r="AW945" s="449" t="str">
        <f>IF(C945&gt;0,VLOOKUP(C945,Foundation_Calc!$A$2:$C$13,3,1),
IF(J945&gt;0,VLOOKUP(J945,Foundation_Calc!$A$2:$C$13,3,1),""))</f>
        <v/>
      </c>
      <c r="AX945" s="449" t="str">
        <f>IF(C945&gt;0,VLOOKUP(C945,Foundation_Calc!$E$2:$G$33,3,1),
IF(J945&gt;0,VLOOKUP(J945,Foundation_Calc!$E$2:$G$33,3,1),""))</f>
        <v/>
      </c>
      <c r="AY945" s="10" t="str">
        <f>IF(L945="","",
IF(AX945="PT",VLOOKUP(L945,Foundation_Calc!$K$79:$R$113,VLOOKUP(AW945,Foundation_Calc!$I$2:$J$8,2,FALSE),0),
IF(AX945="K",VLOOKUP(L945,Foundation_Calc!$K$117:$R$151,VLOOKUP(AW945,Foundation_Calc!$I$2:$J$8,2,FALSE),0),"")))</f>
        <v/>
      </c>
      <c r="AZ945" s="10" t="str">
        <f>IF(K945="","",
IF(AX945="PT",VLOOKUP(K945,Foundation_Calc!$K$79:$R$113,VLOOKUP(AW945,Foundation_Calc!$I$2:$J$8,2,FALSE),0),
IF(AX945="K",VLOOKUP(K945,Foundation_Calc!$K$117:$R$151,VLOOKUP(AW945,Foundation_Calc!$I$2:$J$8,2,FALSE),0),"")))</f>
        <v/>
      </c>
      <c r="BA945" s="495" t="str">
        <f t="shared" si="115"/>
        <v/>
      </c>
      <c r="BB945" s="495" t="str">
        <f t="shared" si="116"/>
        <v/>
      </c>
      <c r="BC945" s="495" t="str">
        <f t="shared" si="117"/>
        <v/>
      </c>
      <c r="BD945" s="513" t="str">
        <f>IF(AND(L945="",H945=""),"",
IF(H945="",Pole_Calc!A$9,
IF(H945="MP",Pole_Calc!A$10,
IF(H945="AnMP",Pole_Calc!A$11,
IF(H945="A",Pole_Calc!A$12,
IF(H945="S/A",Pole_Calc!A$13,
IF(H945="A/S",Pole_Calc!A$14,"Poner a mano")))))))</f>
        <v/>
      </c>
      <c r="BE945" s="429" t="s">
        <v>118</v>
      </c>
      <c r="BF945" s="290"/>
      <c r="BG945" s="290"/>
      <c r="BH945" s="290"/>
      <c r="BI945" s="290"/>
    </row>
    <row r="946" spans="1:61" ht="15.75" customHeight="1">
      <c r="A946" s="514" t="s">
        <v>739</v>
      </c>
      <c r="B946" s="450" t="s">
        <v>740</v>
      </c>
      <c r="C946" s="3">
        <f>+$C$944+$G$945</f>
        <v>52664.7</v>
      </c>
      <c r="D946" s="83"/>
      <c r="E946" s="4"/>
      <c r="F946" s="4">
        <f>-(346^2)/(C946-52552.74)</f>
        <v>-1069.2747409789295</v>
      </c>
      <c r="G946" s="6"/>
      <c r="H946" s="449" t="s">
        <v>131</v>
      </c>
      <c r="I946" s="4" t="s">
        <v>132</v>
      </c>
      <c r="J946" s="3"/>
      <c r="K946" s="449"/>
      <c r="L946" s="449" t="s">
        <v>298</v>
      </c>
      <c r="M946" s="449" t="str">
        <f>IF(L946="","",
IF(AX946="PT",VLOOKUP(L946,Foundation_Calc!$V$79:$X$113,VLOOKUP(AX946,Foundation_Calc!$I$10:$J$13,2,FALSE),0),
IF(AX946="K",VLOOKUP(L946,Foundation_Calc!$V$117:$X$151,VLOOKUP(AX946,Foundation_Calc!$I$10:$J$13,2,FALSE),0),"")))</f>
        <v>2C3R</v>
      </c>
      <c r="N946" s="449" t="s">
        <v>134</v>
      </c>
      <c r="O946" s="449" t="s">
        <v>133</v>
      </c>
      <c r="P946" s="449"/>
      <c r="Q946" s="4"/>
      <c r="R946" s="6"/>
      <c r="S946" s="6"/>
      <c r="T946" s="4">
        <v>30</v>
      </c>
      <c r="U946" s="4">
        <v>-15</v>
      </c>
      <c r="V946" s="4"/>
      <c r="W946" s="9">
        <v>1.4</v>
      </c>
      <c r="X946" s="9">
        <v>2.2999999999999998</v>
      </c>
      <c r="Y946" s="9"/>
      <c r="Z946" s="9"/>
      <c r="AA946" s="9">
        <v>0.4</v>
      </c>
      <c r="AB946" s="9"/>
      <c r="AC946" s="449" t="str">
        <f t="shared" si="108"/>
        <v>PHC</v>
      </c>
      <c r="AD946" s="449"/>
      <c r="AE946" s="449"/>
      <c r="AF946" s="4"/>
      <c r="AG946" s="83"/>
      <c r="AH946" s="4"/>
      <c r="AI946" s="4"/>
      <c r="AJ946" s="449" t="s">
        <v>233</v>
      </c>
      <c r="AK946" s="449"/>
      <c r="AL946" s="449"/>
      <c r="AM946" s="449" t="s">
        <v>552</v>
      </c>
      <c r="AN946" s="10">
        <v>5.5</v>
      </c>
      <c r="AO946" s="9"/>
      <c r="AP946" s="9"/>
      <c r="AQ946" s="9"/>
      <c r="AR946" s="9"/>
      <c r="AS946" s="9"/>
      <c r="AT946" s="9">
        <f>+ab($T$946,$U$944,$T$948,$G$945,$G$947,-1*$F$946,1200)</f>
        <v>3.9019138839398537</v>
      </c>
      <c r="AU946" s="428"/>
      <c r="AV946" s="428"/>
      <c r="AW946" s="449" t="str">
        <f>IF(C946&gt;0,VLOOKUP(C946,Foundation_Calc!$A$2:$C$13,3,1),
IF(J946&gt;0,VLOOKUP(J946,Foundation_Calc!$A$2:$C$13,3,1),""))</f>
        <v>Multi Soil</v>
      </c>
      <c r="AX946" s="449" t="str">
        <f>IF(C946&gt;0,VLOOKUP(C946,Foundation_Calc!$E$2:$G$33,3,1),
IF(J946&gt;0,VLOOKUP(J946,Foundation_Calc!$E$2:$G$33,3,1),""))</f>
        <v>PT</v>
      </c>
      <c r="AY946" s="10">
        <f>IF(L946="","",
IF(AX946="PT",VLOOKUP(L946,Foundation_Calc!$K$79:$R$113,VLOOKUP(AW946,Foundation_Calc!$I$2:$J$8,2,FALSE),0),
IF(AX946="K",VLOOKUP(L946,Foundation_Calc!$K$117:$R$151,VLOOKUP(AW946,Foundation_Calc!$I$2:$J$8,2,FALSE),0),"")))</f>
        <v>4</v>
      </c>
      <c r="AZ946" s="10" t="str">
        <f>IF(K946="","",
IF(AX946="PT",VLOOKUP(K946,Foundation_Calc!$K$79:$R$113,VLOOKUP(AW946,Foundation_Calc!$I$2:$J$8,2,FALSE),0),
IF(AX946="K",VLOOKUP(K946,Foundation_Calc!$K$117:$R$151,VLOOKUP(AW946,Foundation_Calc!$I$2:$J$8,2,FALSE),0),"")))</f>
        <v/>
      </c>
      <c r="BA946" s="495" t="str">
        <f t="shared" si="115"/>
        <v>ü</v>
      </c>
      <c r="BB946" s="495" t="str">
        <f t="shared" si="116"/>
        <v/>
      </c>
      <c r="BC946" s="495" t="str">
        <f t="shared" si="117"/>
        <v/>
      </c>
      <c r="BD946" s="513" t="str">
        <f>IF(AND(L946="",H946=""),"",
IF(H946="",Pole_Calc!A$9,
IF(H946="MP",Pole_Calc!A$10,
IF(H946="AnMP",Pole_Calc!A$11,
IF(H946="A",Pole_Calc!A$12,
IF(H946="S/A",Pole_Calc!A$13,
IF(H946="A/S",Pole_Calc!A$14,"Poner a mano")))))))</f>
        <v>App.7-V11I-P9.5.1.5</v>
      </c>
      <c r="BE946" s="429" t="s">
        <v>118</v>
      </c>
      <c r="BF946" s="289"/>
      <c r="BG946" s="289"/>
      <c r="BH946" s="290"/>
      <c r="BI946" s="289"/>
    </row>
    <row r="947" spans="1:61" ht="15.75" customHeight="1">
      <c r="A947" s="514"/>
      <c r="B947" s="450"/>
      <c r="C947" s="3"/>
      <c r="D947" s="83"/>
      <c r="E947" s="4"/>
      <c r="F947" s="4"/>
      <c r="G947" s="6">
        <v>41</v>
      </c>
      <c r="H947" s="449"/>
      <c r="I947" s="4">
        <f>SUM(G933:G947)</f>
        <v>372.8</v>
      </c>
      <c r="J947" s="3"/>
      <c r="K947" s="449"/>
      <c r="L947" s="449"/>
      <c r="M947" s="449" t="str">
        <f>IF(L947="","",
IF(AX947="PT",VLOOKUP(L947,Foundation_Calc!$V$79:$X$113,VLOOKUP(AX947,Foundation_Calc!$I$10:$J$13,2,FALSE),0),
IF(AX947="K",VLOOKUP(L947,Foundation_Calc!$V$117:$X$151,VLOOKUP(AX947,Foundation_Calc!$I$10:$J$13,2,FALSE),0),"")))</f>
        <v/>
      </c>
      <c r="N947" s="449"/>
      <c r="O947" s="449"/>
      <c r="P947" s="449"/>
      <c r="Q947" s="4"/>
      <c r="R947" s="6"/>
      <c r="S947" s="6"/>
      <c r="T947" s="4"/>
      <c r="U947" s="4"/>
      <c r="V947" s="4"/>
      <c r="W947" s="9"/>
      <c r="X947" s="9"/>
      <c r="Y947" s="9"/>
      <c r="Z947" s="9"/>
      <c r="AA947" s="9"/>
      <c r="AB947" s="9"/>
      <c r="AC947" s="449" t="str">
        <f t="shared" si="108"/>
        <v/>
      </c>
      <c r="AD947" s="449"/>
      <c r="AE947" s="449"/>
      <c r="AF947" s="4"/>
      <c r="AG947" s="83"/>
      <c r="AH947" s="4"/>
      <c r="AI947" s="4"/>
      <c r="AJ947" s="449"/>
      <c r="AK947" s="449"/>
      <c r="AL947" s="449"/>
      <c r="AM947" s="449"/>
      <c r="AN947" s="10"/>
      <c r="AO947" s="9"/>
      <c r="AP947" s="9"/>
      <c r="AQ947" s="9">
        <f>+FL_2($T$948,$T$946,$G$947,1200,9.28,-1*$F$948)</f>
        <v>-0.1310174531029504</v>
      </c>
      <c r="AR947" s="9"/>
      <c r="AS947" s="9"/>
      <c r="AT947" s="9"/>
      <c r="AU947" s="428"/>
      <c r="AV947" s="428"/>
      <c r="AW947" s="449" t="str">
        <f>IF(C947&gt;0,VLOOKUP(C947,Foundation_Calc!$A$2:$C$13,3,1),
IF(J947&gt;0,VLOOKUP(J947,Foundation_Calc!$A$2:$C$13,3,1),""))</f>
        <v/>
      </c>
      <c r="AX947" s="449" t="str">
        <f>IF(C947&gt;0,VLOOKUP(C947,Foundation_Calc!$E$2:$G$33,3,1),
IF(J947&gt;0,VLOOKUP(J947,Foundation_Calc!$E$2:$G$33,3,1),""))</f>
        <v/>
      </c>
      <c r="AY947" s="10" t="str">
        <f>IF(L947="","",
IF(AX947="PT",VLOOKUP(L947,Foundation_Calc!$K$79:$R$113,VLOOKUP(AW947,Foundation_Calc!$I$2:$J$8,2,FALSE),0),
IF(AX947="K",VLOOKUP(L947,Foundation_Calc!$K$117:$R$151,VLOOKUP(AW947,Foundation_Calc!$I$2:$J$8,2,FALSE),0),"")))</f>
        <v/>
      </c>
      <c r="AZ947" s="10" t="str">
        <f>IF(K947="","",
IF(AX947="PT",VLOOKUP(K947,Foundation_Calc!$K$79:$R$113,VLOOKUP(AW947,Foundation_Calc!$I$2:$J$8,2,FALSE),0),
IF(AX947="K",VLOOKUP(K947,Foundation_Calc!$K$117:$R$151,VLOOKUP(AW947,Foundation_Calc!$I$2:$J$8,2,FALSE),0),"")))</f>
        <v/>
      </c>
      <c r="BA947" s="495" t="str">
        <f t="shared" si="115"/>
        <v/>
      </c>
      <c r="BB947" s="495" t="str">
        <f t="shared" si="116"/>
        <v/>
      </c>
      <c r="BC947" s="495" t="str">
        <f t="shared" si="117"/>
        <v/>
      </c>
      <c r="BD947" s="513" t="str">
        <f>IF(AND(L947="",H947=""),"",
IF(H947="",Pole_Calc!A$9,
IF(H947="MP",Pole_Calc!A$10,
IF(H947="AnMP",Pole_Calc!A$11,
IF(H947="A",Pole_Calc!A$12,
IF(H947="S/A",Pole_Calc!A$13,
IF(H947="A/S",Pole_Calc!A$14,"Poner a mano")))))))</f>
        <v/>
      </c>
      <c r="BE947" s="429" t="s">
        <v>118</v>
      </c>
      <c r="BF947" s="290"/>
      <c r="BG947" s="290"/>
      <c r="BH947" s="290"/>
      <c r="BI947" s="290"/>
    </row>
    <row r="948" spans="1:61" ht="15.75" customHeight="1">
      <c r="A948" s="518"/>
      <c r="B948" s="450" t="s">
        <v>741</v>
      </c>
      <c r="C948" s="3">
        <f>+$C$946+$G$947</f>
        <v>52705.7</v>
      </c>
      <c r="D948" s="83"/>
      <c r="E948" s="4"/>
      <c r="F948" s="4">
        <f>-(346^2)/(C948-52552.74)</f>
        <v>-782.66213389121788</v>
      </c>
      <c r="G948" s="6"/>
      <c r="H948" s="449" t="s">
        <v>121</v>
      </c>
      <c r="I948" s="4" t="s">
        <v>122</v>
      </c>
      <c r="J948" s="3"/>
      <c r="K948" s="449"/>
      <c r="L948" s="449" t="s">
        <v>268</v>
      </c>
      <c r="M948" s="449" t="str">
        <f>IF(L948="","",
IF(AX948="PT",VLOOKUP(L948,Foundation_Calc!$V$79:$X$113,VLOOKUP(AX948,Foundation_Calc!$I$10:$J$13,2,FALSE),0),
IF(AX948="K",VLOOKUP(L948,Foundation_Calc!$V$117:$X$151,VLOOKUP(AX948,Foundation_Calc!$I$10:$J$13,2,FALSE),0),"")))</f>
        <v>C7R</v>
      </c>
      <c r="N948" s="449" t="s">
        <v>134</v>
      </c>
      <c r="O948" s="449"/>
      <c r="P948" s="449"/>
      <c r="Q948" s="4"/>
      <c r="R948" s="6"/>
      <c r="S948" s="6"/>
      <c r="T948" s="4">
        <v>30</v>
      </c>
      <c r="U948" s="4"/>
      <c r="V948" s="4"/>
      <c r="W948" s="9">
        <v>1.4</v>
      </c>
      <c r="X948" s="9"/>
      <c r="Y948" s="9"/>
      <c r="Z948" s="9"/>
      <c r="AA948" s="9"/>
      <c r="AB948" s="9"/>
      <c r="AC948" s="449" t="str">
        <f t="shared" si="108"/>
        <v>PHC</v>
      </c>
      <c r="AD948" s="449"/>
      <c r="AE948" s="449"/>
      <c r="AF948" s="4"/>
      <c r="AG948" s="83"/>
      <c r="AH948" s="4"/>
      <c r="AI948" s="4"/>
      <c r="AJ948" s="449"/>
      <c r="AK948" s="449"/>
      <c r="AL948" s="449" t="s">
        <v>269</v>
      </c>
      <c r="AM948" s="449" t="s">
        <v>552</v>
      </c>
      <c r="AN948" s="10">
        <v>5.5</v>
      </c>
      <c r="AO948" s="9"/>
      <c r="AP948" s="9"/>
      <c r="AQ948" s="9"/>
      <c r="AR948" s="9"/>
      <c r="AS948" s="9"/>
      <c r="AT948" s="9">
        <f>+ab($T$948,$T$946,$T$950,$G$947,$G$949,-1*$F$948,1200)</f>
        <v>3.6581218430471028</v>
      </c>
      <c r="AU948" s="428"/>
      <c r="AV948" s="428"/>
      <c r="AW948" s="449" t="str">
        <f>IF(C948&gt;0,VLOOKUP(C948,Foundation_Calc!$A$2:$C$13,3,1),
IF(J948&gt;0,VLOOKUP(J948,Foundation_Calc!$A$2:$C$13,3,1),""))</f>
        <v>Multi Soil</v>
      </c>
      <c r="AX948" s="449" t="str">
        <f>IF(C948&gt;0,VLOOKUP(C948,Foundation_Calc!$E$2:$G$33,3,1),
IF(J948&gt;0,VLOOKUP(J948,Foundation_Calc!$E$2:$G$33,3,1),""))</f>
        <v>PT</v>
      </c>
      <c r="AY948" s="10">
        <f>IF(L948="","",
IF(AX948="PT",VLOOKUP(L948,Foundation_Calc!$K$79:$R$113,VLOOKUP(AW948,Foundation_Calc!$I$2:$J$8,2,FALSE),0),
IF(AX948="K",VLOOKUP(L948,Foundation_Calc!$K$117:$R$151,VLOOKUP(AW948,Foundation_Calc!$I$2:$J$8,2,FALSE),0),"")))</f>
        <v>4</v>
      </c>
      <c r="AZ948" s="10" t="str">
        <f>IF(K948="","",
IF(AX948="PT",VLOOKUP(K948,Foundation_Calc!$K$79:$R$113,VLOOKUP(AW948,Foundation_Calc!$I$2:$J$8,2,FALSE),0),
IF(AX948="K",VLOOKUP(K948,Foundation_Calc!$K$117:$R$151,VLOOKUP(AW948,Foundation_Calc!$I$2:$J$8,2,FALSE),0),"")))</f>
        <v/>
      </c>
      <c r="BA948" s="495" t="str">
        <f t="shared" si="115"/>
        <v>ü</v>
      </c>
      <c r="BB948" s="495" t="str">
        <f t="shared" si="116"/>
        <v/>
      </c>
      <c r="BC948" s="495" t="str">
        <f t="shared" si="117"/>
        <v/>
      </c>
      <c r="BD948" s="513" t="str">
        <f>Pole_Calc!A$251</f>
        <v>App.8-V08H-P10.3</v>
      </c>
      <c r="BE948" s="429" t="s">
        <v>118</v>
      </c>
      <c r="BF948" s="289"/>
      <c r="BG948" s="289"/>
      <c r="BH948" s="290"/>
      <c r="BI948" s="289"/>
    </row>
    <row r="949" spans="1:61" ht="15.75" customHeight="1">
      <c r="A949" s="518"/>
      <c r="B949" s="450"/>
      <c r="C949" s="3"/>
      <c r="D949" s="83"/>
      <c r="E949" s="4"/>
      <c r="F949" s="4"/>
      <c r="G949" s="6">
        <v>41</v>
      </c>
      <c r="H949" s="449"/>
      <c r="I949" s="4"/>
      <c r="J949" s="3">
        <f>C948+7.5</f>
        <v>52713.2</v>
      </c>
      <c r="K949" s="449" t="s">
        <v>117</v>
      </c>
      <c r="L949" s="449"/>
      <c r="M949" s="449" t="str">
        <f>IF(L949="","",
IF(AX949="PT",VLOOKUP(L949,Foundation_Calc!$V$79:$X$113,VLOOKUP(AX949,Foundation_Calc!$I$10:$J$13,2,FALSE),0),
IF(AX949="K",VLOOKUP(L949,Foundation_Calc!$V$117:$X$151,VLOOKUP(AX949,Foundation_Calc!$I$10:$J$13,2,FALSE),0),"")))</f>
        <v/>
      </c>
      <c r="N949" s="561"/>
      <c r="O949" s="449"/>
      <c r="P949" s="449"/>
      <c r="Q949" s="4"/>
      <c r="R949" s="6"/>
      <c r="S949" s="6"/>
      <c r="T949" s="4"/>
      <c r="U949" s="4"/>
      <c r="V949" s="4"/>
      <c r="W949" s="9"/>
      <c r="X949" s="9"/>
      <c r="Y949" s="9"/>
      <c r="Z949" s="9"/>
      <c r="AA949" s="9"/>
      <c r="AB949" s="9"/>
      <c r="AC949" s="449" t="str">
        <f t="shared" si="108"/>
        <v/>
      </c>
      <c r="AD949" s="449"/>
      <c r="AE949" s="449"/>
      <c r="AF949" s="4"/>
      <c r="AG949" s="83"/>
      <c r="AH949" s="4"/>
      <c r="AI949" s="4"/>
      <c r="AJ949" s="449"/>
      <c r="AK949" s="449"/>
      <c r="AL949" s="449"/>
      <c r="AM949" s="449"/>
      <c r="AN949" s="10"/>
      <c r="AO949" s="9"/>
      <c r="AP949" s="9"/>
      <c r="AQ949" s="9">
        <f>+FL_1($T$950,$T$948,$G$949,1200,9.28,-1*$F$950)</f>
        <v>0.3</v>
      </c>
      <c r="AR949" s="9"/>
      <c r="AS949" s="9"/>
      <c r="AT949" s="9"/>
      <c r="AU949" s="428"/>
      <c r="AV949" s="428"/>
      <c r="AW949" s="449" t="str">
        <f>IF(C949&gt;0,VLOOKUP(C949,Foundation_Calc!$A$2:$C$13,3,1),
IF(J949&gt;0,VLOOKUP(J949,Foundation_Calc!$A$2:$C$13,3,1),""))</f>
        <v>Multi Soil</v>
      </c>
      <c r="AX949" s="449" t="str">
        <f>IF(C949&gt;0,VLOOKUP(C949,Foundation_Calc!$E$2:$G$33,3,1),
IF(J949&gt;0,VLOOKUP(J949,Foundation_Calc!$E$2:$G$33,3,1),""))</f>
        <v>PT</v>
      </c>
      <c r="AY949" s="10" t="str">
        <f>IF(L949="","",
IF(AX949="PT",VLOOKUP(L949,Foundation_Calc!$K$79:$R$113,VLOOKUP(AW949,Foundation_Calc!$I$2:$J$8,2,FALSE),0),
IF(AX949="K",VLOOKUP(L949,Foundation_Calc!$K$117:$R$151,VLOOKUP(AW949,Foundation_Calc!$I$2:$J$8,2,FALSE),0),"")))</f>
        <v/>
      </c>
      <c r="AZ949" s="10">
        <f>IF(K949="","",
IF(AX949="PT",VLOOKUP(K949,Foundation_Calc!$K$79:$R$113,VLOOKUP(AW949,Foundation_Calc!$I$2:$J$8,2,FALSE),0),
IF(AX949="K",VLOOKUP(K949,Foundation_Calc!$K$117:$R$151,VLOOKUP(AW949,Foundation_Calc!$I$2:$J$8,2,FALSE),0),"")))</f>
        <v>3.9</v>
      </c>
      <c r="BA949" s="495" t="str">
        <f t="shared" si="115"/>
        <v/>
      </c>
      <c r="BB949" s="495" t="str">
        <f t="shared" si="116"/>
        <v>ü</v>
      </c>
      <c r="BC949" s="495" t="str">
        <f t="shared" si="117"/>
        <v/>
      </c>
      <c r="BD949" s="513" t="str">
        <f>IF(AND(L949="",H949=""),"",
IF(H949="",Pole_Calc!A$9,
IF(H949="MP",Pole_Calc!A$10,
IF(H949="AnMP",Pole_Calc!A$11,
IF(H949="A",Pole_Calc!A$12,
IF(H949="S/A",Pole_Calc!A$13,
IF(H949="A/S",Pole_Calc!A$14,"Poner a mano")))))))</f>
        <v/>
      </c>
      <c r="BE949" s="429" t="s">
        <v>118</v>
      </c>
      <c r="BF949" s="290"/>
      <c r="BG949" s="290"/>
      <c r="BH949" s="290"/>
      <c r="BI949" s="290"/>
    </row>
    <row r="950" spans="1:61" ht="15.75" customHeight="1">
      <c r="A950" s="514"/>
      <c r="B950" s="450" t="s">
        <v>742</v>
      </c>
      <c r="C950" s="3">
        <f>+$C$948+$G$949</f>
        <v>52746.7</v>
      </c>
      <c r="D950" s="83"/>
      <c r="E950" s="4"/>
      <c r="F950" s="4">
        <f>IF(C950&gt;0,VLOOKUP(C950,'ALIGNMENT TRACK'!$A$1:$K$81,9,1))</f>
        <v>-750</v>
      </c>
      <c r="G950" s="6"/>
      <c r="H950" s="449"/>
      <c r="I950" s="4"/>
      <c r="J950" s="3"/>
      <c r="K950" s="449"/>
      <c r="L950" s="449" t="s">
        <v>232</v>
      </c>
      <c r="M950" s="449" t="str">
        <f>IF(L950="","",
IF(AX950="PT",VLOOKUP(L950,Foundation_Calc!$V$79:$X$113,VLOOKUP(AX950,Foundation_Calc!$I$10:$J$13,2,FALSE),0),
IF(AX950="K",VLOOKUP(L950,Foundation_Calc!$V$117:$X$151,VLOOKUP(AX950,Foundation_Calc!$I$10:$J$13,2,FALSE),0),"")))</f>
        <v>C5R</v>
      </c>
      <c r="N950" s="449" t="s">
        <v>134</v>
      </c>
      <c r="O950" s="449"/>
      <c r="P950" s="449"/>
      <c r="Q950" s="4"/>
      <c r="R950" s="6"/>
      <c r="S950" s="6"/>
      <c r="T950" s="4">
        <v>30</v>
      </c>
      <c r="U950" s="4"/>
      <c r="V950" s="4"/>
      <c r="W950" s="9">
        <v>1.4</v>
      </c>
      <c r="X950" s="9"/>
      <c r="Y950" s="9"/>
      <c r="Z950" s="9"/>
      <c r="AA950" s="9"/>
      <c r="AB950" s="9"/>
      <c r="AC950" s="449" t="str">
        <f t="shared" si="108"/>
        <v>PHC</v>
      </c>
      <c r="AD950" s="449"/>
      <c r="AE950" s="449"/>
      <c r="AF950" s="4"/>
      <c r="AG950" s="83"/>
      <c r="AH950" s="4"/>
      <c r="AI950" s="4"/>
      <c r="AJ950" s="449"/>
      <c r="AK950" s="449"/>
      <c r="AL950" s="449" t="s">
        <v>241</v>
      </c>
      <c r="AM950" s="449" t="s">
        <v>552</v>
      </c>
      <c r="AN950" s="10">
        <v>5.5</v>
      </c>
      <c r="AO950" s="9"/>
      <c r="AP950" s="9"/>
      <c r="AQ950" s="9"/>
      <c r="AR950" s="9"/>
      <c r="AS950" s="9"/>
      <c r="AT950" s="9">
        <f>+ab($T$950,$T$948,$T$952,$G$949,$G$951,-1*$F$950,1200)</f>
        <v>3.5058497590400011</v>
      </c>
      <c r="AU950" s="428"/>
      <c r="AV950" s="428"/>
      <c r="AW950" s="449" t="str">
        <f>IF(C950&gt;0,VLOOKUP(C950,Foundation_Calc!$A$2:$C$13,3,1),
IF(J950&gt;0,VLOOKUP(J950,Foundation_Calc!$A$2:$C$13,3,1),""))</f>
        <v>Multi Soil</v>
      </c>
      <c r="AX950" s="449" t="str">
        <f>IF(C950&gt;0,VLOOKUP(C950,Foundation_Calc!$E$2:$G$33,3,1),
IF(J950&gt;0,VLOOKUP(J950,Foundation_Calc!$E$2:$G$33,3,1),""))</f>
        <v>PT</v>
      </c>
      <c r="AY950" s="10">
        <f>IF(L950="","",
IF(AX950="PT",VLOOKUP(L950,Foundation_Calc!$K$79:$R$113,VLOOKUP(AW950,Foundation_Calc!$I$2:$J$8,2,FALSE),0),
IF(AX950="K",VLOOKUP(L950,Foundation_Calc!$K$117:$R$151,VLOOKUP(AW950,Foundation_Calc!$I$2:$J$8,2,FALSE),0),"")))</f>
        <v>3.5</v>
      </c>
      <c r="AZ950" s="10" t="str">
        <f>IF(K950="","",
IF(AX950="PT",VLOOKUP(K950,Foundation_Calc!$K$79:$R$113,VLOOKUP(AW950,Foundation_Calc!$I$2:$J$8,2,FALSE),0),
IF(AX950="K",VLOOKUP(K950,Foundation_Calc!$K$117:$R$151,VLOOKUP(AW950,Foundation_Calc!$I$2:$J$8,2,FALSE),0),"")))</f>
        <v/>
      </c>
      <c r="BA950" s="495" t="str">
        <f t="shared" si="115"/>
        <v>ü</v>
      </c>
      <c r="BB950" s="495" t="str">
        <f t="shared" si="116"/>
        <v/>
      </c>
      <c r="BC950" s="495" t="str">
        <f t="shared" si="117"/>
        <v/>
      </c>
      <c r="BD950" s="513" t="str">
        <f>Pole_Calc!A$251</f>
        <v>App.8-V08H-P10.3</v>
      </c>
      <c r="BE950" s="429" t="s">
        <v>118</v>
      </c>
      <c r="BF950" s="289"/>
      <c r="BG950" s="289"/>
      <c r="BH950" s="290"/>
      <c r="BI950" s="289"/>
    </row>
    <row r="951" spans="1:61" ht="15.75" customHeight="1">
      <c r="A951" s="514"/>
      <c r="B951" s="450"/>
      <c r="C951" s="3"/>
      <c r="D951" s="83"/>
      <c r="E951" s="4"/>
      <c r="F951" s="4"/>
      <c r="G951" s="6">
        <v>41</v>
      </c>
      <c r="H951" s="449"/>
      <c r="I951" s="4"/>
      <c r="J951" s="3"/>
      <c r="K951" s="449"/>
      <c r="L951" s="449"/>
      <c r="M951" s="449" t="str">
        <f>IF(L951="","",
IF(AX951="PT",VLOOKUP(L951,Foundation_Calc!$V$79:$X$113,VLOOKUP(AX951,Foundation_Calc!$I$10:$J$13,2,FALSE),0),
IF(AX951="K",VLOOKUP(L951,Foundation_Calc!$V$117:$X$151,VLOOKUP(AX951,Foundation_Calc!$I$10:$J$13,2,FALSE),0),"")))</f>
        <v/>
      </c>
      <c r="N951" s="449"/>
      <c r="O951" s="449"/>
      <c r="P951" s="449"/>
      <c r="Q951" s="4"/>
      <c r="R951" s="6"/>
      <c r="S951" s="6"/>
      <c r="T951" s="4"/>
      <c r="U951" s="4"/>
      <c r="V951" s="4"/>
      <c r="W951" s="9"/>
      <c r="X951" s="9"/>
      <c r="Y951" s="9"/>
      <c r="Z951" s="9"/>
      <c r="AA951" s="9"/>
      <c r="AB951" s="9"/>
      <c r="AC951" s="449" t="str">
        <f t="shared" si="108"/>
        <v/>
      </c>
      <c r="AD951" s="449"/>
      <c r="AE951" s="449"/>
      <c r="AF951" s="4"/>
      <c r="AG951" s="83"/>
      <c r="AH951" s="4"/>
      <c r="AI951" s="4"/>
      <c r="AJ951" s="449"/>
      <c r="AK951" s="449"/>
      <c r="AL951" s="449"/>
      <c r="AM951" s="449"/>
      <c r="AN951" s="10"/>
      <c r="AO951" s="9"/>
      <c r="AP951" s="9"/>
      <c r="AQ951" s="9">
        <f>+FL_1($T$952,$T$950,$G$951,1200,9.28,-1*$F$952)</f>
        <v>0.3</v>
      </c>
      <c r="AR951" s="9"/>
      <c r="AS951" s="9"/>
      <c r="AT951" s="9"/>
      <c r="AU951" s="428"/>
      <c r="AV951" s="428"/>
      <c r="AW951" s="449" t="str">
        <f>IF(C951&gt;0,VLOOKUP(C951,Foundation_Calc!$A$2:$C$13,3,1),
IF(J951&gt;0,VLOOKUP(J951,Foundation_Calc!$A$2:$C$13,3,1),""))</f>
        <v/>
      </c>
      <c r="AX951" s="449" t="str">
        <f>IF(C951&gt;0,VLOOKUP(C951,Foundation_Calc!$E$2:$G$33,3,1),
IF(J951&gt;0,VLOOKUP(J951,Foundation_Calc!$E$2:$G$33,3,1),""))</f>
        <v/>
      </c>
      <c r="AY951" s="10" t="str">
        <f>IF(L951="","",
IF(AX951="PT",VLOOKUP(L951,Foundation_Calc!$K$79:$R$113,VLOOKUP(AW951,Foundation_Calc!$I$2:$J$8,2,FALSE),0),
IF(AX951="K",VLOOKUP(L951,Foundation_Calc!$K$117:$R$151,VLOOKUP(AW951,Foundation_Calc!$I$2:$J$8,2,FALSE),0),"")))</f>
        <v/>
      </c>
      <c r="AZ951" s="10" t="str">
        <f>IF(K951="","",
IF(AX951="PT",VLOOKUP(K951,Foundation_Calc!$K$79:$R$113,VLOOKUP(AW951,Foundation_Calc!$I$2:$J$8,2,FALSE),0),
IF(AX951="K",VLOOKUP(K951,Foundation_Calc!$K$117:$R$151,VLOOKUP(AW951,Foundation_Calc!$I$2:$J$8,2,FALSE),0),"")))</f>
        <v/>
      </c>
      <c r="BA951" s="495" t="str">
        <f t="shared" si="115"/>
        <v/>
      </c>
      <c r="BB951" s="495" t="str">
        <f t="shared" si="116"/>
        <v/>
      </c>
      <c r="BC951" s="495" t="str">
        <f t="shared" si="117"/>
        <v/>
      </c>
      <c r="BD951" s="513" t="str">
        <f>IF(AND(L951="",H951=""),"",
IF(H951="",Pole_Calc!A$9,
IF(H951="MP",Pole_Calc!A$10,
IF(H951="AnMP",Pole_Calc!A$11,
IF(H951="A",Pole_Calc!A$12,
IF(H951="S/A",Pole_Calc!A$13,
IF(H951="A/S",Pole_Calc!A$14,"Poner a mano")))))))</f>
        <v/>
      </c>
      <c r="BE951" s="429" t="s">
        <v>118</v>
      </c>
      <c r="BF951" s="290"/>
      <c r="BG951" s="290"/>
      <c r="BH951" s="290"/>
      <c r="BI951" s="290"/>
    </row>
    <row r="952" spans="1:61" ht="15.75" customHeight="1">
      <c r="A952" s="514"/>
      <c r="B952" s="450" t="s">
        <v>743</v>
      </c>
      <c r="C952" s="3">
        <f>+$C$950+$G$951+2.09</f>
        <v>52789.789999999994</v>
      </c>
      <c r="D952" s="83"/>
      <c r="E952" s="4"/>
      <c r="F952" s="4">
        <f>IF(C952&gt;0,VLOOKUP(C952,'ALIGNMENT TRACK'!$A$1:$K$81,9,1))</f>
        <v>-750</v>
      </c>
      <c r="G952" s="6"/>
      <c r="H952" s="449"/>
      <c r="I952" s="4"/>
      <c r="J952" s="3"/>
      <c r="K952" s="449"/>
      <c r="L952" s="449" t="s">
        <v>158</v>
      </c>
      <c r="M952" s="449" t="str">
        <f>IF(L952="","",
IF(AX952="PT",VLOOKUP(L952,Foundation_Calc!$V$79:$X$113,VLOOKUP(AX952,Foundation_Calc!$I$10:$J$13,2,FALSE),0),
IF(AX952="K",VLOOKUP(L952,Foundation_Calc!$V$117:$X$151,VLOOKUP(AX952,Foundation_Calc!$I$10:$J$13,2,FALSE),0),"")))</f>
        <v>C4R</v>
      </c>
      <c r="N952" s="449" t="s">
        <v>134</v>
      </c>
      <c r="O952" s="449"/>
      <c r="P952" s="449"/>
      <c r="Q952" s="4"/>
      <c r="R952" s="6"/>
      <c r="S952" s="6"/>
      <c r="T952" s="4">
        <v>30</v>
      </c>
      <c r="U952" s="4"/>
      <c r="V952" s="4"/>
      <c r="W952" s="9">
        <v>1.4</v>
      </c>
      <c r="X952" s="9"/>
      <c r="Y952" s="9"/>
      <c r="Z952" s="9"/>
      <c r="AA952" s="9"/>
      <c r="AB952" s="9"/>
      <c r="AC952" s="449" t="str">
        <f t="shared" si="108"/>
        <v>PHC</v>
      </c>
      <c r="AD952" s="449"/>
      <c r="AE952" s="449"/>
      <c r="AF952" s="4"/>
      <c r="AG952" s="83"/>
      <c r="AH952" s="4"/>
      <c r="AI952" s="4"/>
      <c r="AJ952" s="449"/>
      <c r="AK952" s="449"/>
      <c r="AL952" s="449"/>
      <c r="AM952" s="449" t="s">
        <v>552</v>
      </c>
      <c r="AN952" s="10">
        <v>5.5</v>
      </c>
      <c r="AO952" s="9"/>
      <c r="AP952" s="9"/>
      <c r="AQ952" s="9"/>
      <c r="AR952" s="9"/>
      <c r="AS952" s="9"/>
      <c r="AT952" s="9">
        <f>+ab($T$952,$T$950,$T$954,$G$951,$G$953,-1*$F$952,1200)</f>
        <v>3.5058497590400011</v>
      </c>
      <c r="AU952" s="428"/>
      <c r="AV952" s="428"/>
      <c r="AW952" s="449" t="str">
        <f>IF(C952&gt;0,VLOOKUP(C952,Foundation_Calc!$A$2:$C$13,3,1),
IF(J952&gt;0,VLOOKUP(J952,Foundation_Calc!$A$2:$C$13,3,1),""))</f>
        <v>Multi Soil</v>
      </c>
      <c r="AX952" s="449" t="str">
        <f>IF(C952&gt;0,VLOOKUP(C952,Foundation_Calc!$E$2:$G$33,3,1),
IF(J952&gt;0,VLOOKUP(J952,Foundation_Calc!$E$2:$G$33,3,1),""))</f>
        <v>PT</v>
      </c>
      <c r="AY952" s="10">
        <f>IF(L952="","",
IF(AX952="PT",VLOOKUP(L952,Foundation_Calc!$K$79:$R$113,VLOOKUP(AW952,Foundation_Calc!$I$2:$J$8,2,FALSE),0),
IF(AX952="K",VLOOKUP(L952,Foundation_Calc!$K$117:$R$151,VLOOKUP(AW952,Foundation_Calc!$I$2:$J$8,2,FALSE),0),"")))</f>
        <v>3.5</v>
      </c>
      <c r="AZ952" s="10" t="str">
        <f>IF(K952="","",
IF(AX952="PT",VLOOKUP(K952,Foundation_Calc!$K$79:$R$113,VLOOKUP(AW952,Foundation_Calc!$I$2:$J$8,2,FALSE),0),
IF(AX952="K",VLOOKUP(K952,Foundation_Calc!$K$117:$R$151,VLOOKUP(AW952,Foundation_Calc!$I$2:$J$8,2,FALSE),0),"")))</f>
        <v/>
      </c>
      <c r="BA952" s="495" t="str">
        <f t="shared" si="115"/>
        <v>ü</v>
      </c>
      <c r="BB952" s="495" t="str">
        <f t="shared" si="116"/>
        <v/>
      </c>
      <c r="BC952" s="495" t="str">
        <f t="shared" si="117"/>
        <v/>
      </c>
      <c r="BD952" s="513" t="str">
        <f>IF(AND(L952="",H952=""),"",
IF(H952="",Pole_Calc!A$9,
IF(H952="MP",Pole_Calc!A$10,
IF(H952="AnMP",Pole_Calc!A$11,
IF(H952="A",Pole_Calc!A$12,
IF(H952="S/A",Pole_Calc!A$13,
IF(H952="A/S",Pole_Calc!A$14,"Poner a mano")))))))</f>
        <v>App.7-V11I-P9.5.1.1</v>
      </c>
      <c r="BE952" s="429" t="s">
        <v>118</v>
      </c>
      <c r="BF952" s="289"/>
      <c r="BG952" s="289"/>
      <c r="BH952" s="290"/>
      <c r="BI952" s="289"/>
    </row>
    <row r="953" spans="1:61" ht="15.75" customHeight="1">
      <c r="A953" s="514"/>
      <c r="B953" s="450"/>
      <c r="C953" s="3"/>
      <c r="D953" s="83"/>
      <c r="E953" s="4"/>
      <c r="F953" s="4"/>
      <c r="G953" s="6">
        <v>41</v>
      </c>
      <c r="H953" s="449"/>
      <c r="I953" s="4"/>
      <c r="J953" s="3"/>
      <c r="K953" s="449"/>
      <c r="L953" s="449"/>
      <c r="M953" s="449" t="str">
        <f>IF(L953="","",
IF(AX953="PT",VLOOKUP(L953,Foundation_Calc!$V$79:$X$113,VLOOKUP(AX953,Foundation_Calc!$I$10:$J$13,2,FALSE),0),
IF(AX953="K",VLOOKUP(L953,Foundation_Calc!$V$117:$X$151,VLOOKUP(AX953,Foundation_Calc!$I$10:$J$13,2,FALSE),0),"")))</f>
        <v/>
      </c>
      <c r="N953" s="449"/>
      <c r="O953" s="449"/>
      <c r="P953" s="449"/>
      <c r="Q953" s="4"/>
      <c r="R953" s="6"/>
      <c r="S953" s="6"/>
      <c r="T953" s="4"/>
      <c r="U953" s="4"/>
      <c r="V953" s="4"/>
      <c r="W953" s="9"/>
      <c r="X953" s="9"/>
      <c r="Y953" s="9"/>
      <c r="Z953" s="9"/>
      <c r="AA953" s="9"/>
      <c r="AB953" s="9"/>
      <c r="AC953" s="449" t="str">
        <f t="shared" si="108"/>
        <v/>
      </c>
      <c r="AD953" s="449"/>
      <c r="AE953" s="449"/>
      <c r="AF953" s="4"/>
      <c r="AG953" s="83"/>
      <c r="AH953" s="4"/>
      <c r="AI953" s="4"/>
      <c r="AJ953" s="449"/>
      <c r="AK953" s="449"/>
      <c r="AL953" s="449"/>
      <c r="AM953" s="449"/>
      <c r="AN953" s="10"/>
      <c r="AO953" s="9"/>
      <c r="AP953" s="9"/>
      <c r="AQ953" s="9">
        <f>+FL_1($T$954,$T$952,$G$953,1200,9.28,-1*$F$954)</f>
        <v>0.3</v>
      </c>
      <c r="AR953" s="9"/>
      <c r="AS953" s="9"/>
      <c r="AT953" s="9"/>
      <c r="AU953" s="428"/>
      <c r="AV953" s="428"/>
      <c r="AW953" s="449" t="str">
        <f>IF(C953&gt;0,VLOOKUP(C953,Foundation_Calc!$A$2:$C$13,3,1),
IF(J953&gt;0,VLOOKUP(J953,Foundation_Calc!$A$2:$C$13,3,1),""))</f>
        <v/>
      </c>
      <c r="AX953" s="449" t="str">
        <f>IF(C953&gt;0,VLOOKUP(C953,Foundation_Calc!$E$2:$G$33,3,1),
IF(J953&gt;0,VLOOKUP(J953,Foundation_Calc!$E$2:$G$33,3,1),""))</f>
        <v/>
      </c>
      <c r="AY953" s="10" t="str">
        <f>IF(L953="","",
IF(AX953="PT",VLOOKUP(L953,Foundation_Calc!$K$79:$R$113,VLOOKUP(AW953,Foundation_Calc!$I$2:$J$8,2,FALSE),0),
IF(AX953="K",VLOOKUP(L953,Foundation_Calc!$K$117:$R$151,VLOOKUP(AW953,Foundation_Calc!$I$2:$J$8,2,FALSE),0),"")))</f>
        <v/>
      </c>
      <c r="AZ953" s="10" t="str">
        <f>IF(K953="","",
IF(AX953="PT",VLOOKUP(K953,Foundation_Calc!$K$79:$R$113,VLOOKUP(AW953,Foundation_Calc!$I$2:$J$8,2,FALSE),0),
IF(AX953="K",VLOOKUP(K953,Foundation_Calc!$K$117:$R$151,VLOOKUP(AW953,Foundation_Calc!$I$2:$J$8,2,FALSE),0),"")))</f>
        <v/>
      </c>
      <c r="BA953" s="495" t="str">
        <f t="shared" si="115"/>
        <v/>
      </c>
      <c r="BB953" s="495" t="str">
        <f t="shared" si="116"/>
        <v/>
      </c>
      <c r="BC953" s="495" t="str">
        <f t="shared" si="117"/>
        <v/>
      </c>
      <c r="BD953" s="513" t="str">
        <f>IF(AND(L953="",H953=""),"",
IF(H953="",Pole_Calc!A$9,
IF(H953="MP",Pole_Calc!A$10,
IF(H953="AnMP",Pole_Calc!A$11,
IF(H953="A",Pole_Calc!A$12,
IF(H953="S/A",Pole_Calc!A$13,
IF(H953="A/S",Pole_Calc!A$14,"Poner a mano")))))))</f>
        <v/>
      </c>
      <c r="BE953" s="429" t="s">
        <v>118</v>
      </c>
      <c r="BF953" s="290"/>
      <c r="BG953" s="290"/>
      <c r="BH953" s="290"/>
      <c r="BI953" s="290"/>
    </row>
    <row r="954" spans="1:61" ht="15.75" customHeight="1">
      <c r="A954" s="518"/>
      <c r="B954" s="450" t="s">
        <v>744</v>
      </c>
      <c r="C954" s="3">
        <f>+$C$952+$G$953</f>
        <v>52830.789999999994</v>
      </c>
      <c r="D954" s="83"/>
      <c r="E954" s="4"/>
      <c r="F954" s="4">
        <f>IF(C954&gt;0,VLOOKUP(C954,'ALIGNMENT TRACK'!$A$1:$K$81,9,1))</f>
        <v>-750</v>
      </c>
      <c r="G954" s="6"/>
      <c r="H954" s="449"/>
      <c r="I954" s="4"/>
      <c r="J954" s="3"/>
      <c r="K954" s="449"/>
      <c r="L954" s="449" t="s">
        <v>158</v>
      </c>
      <c r="M954" s="449" t="str">
        <f>IF(L954="","",
IF(AX954="PT",VLOOKUP(L954,Foundation_Calc!$V$79:$X$113,VLOOKUP(AX954,Foundation_Calc!$I$10:$J$13,2,FALSE),0),
IF(AX954="K",VLOOKUP(L954,Foundation_Calc!$V$117:$X$151,VLOOKUP(AX954,Foundation_Calc!$I$10:$J$13,2,FALSE),0),"")))</f>
        <v>C4R</v>
      </c>
      <c r="N954" s="449" t="s">
        <v>134</v>
      </c>
      <c r="O954" s="449"/>
      <c r="P954" s="449"/>
      <c r="Q954" s="4"/>
      <c r="R954" s="6"/>
      <c r="S954" s="6"/>
      <c r="T954" s="4">
        <v>30</v>
      </c>
      <c r="U954" s="4"/>
      <c r="V954" s="4"/>
      <c r="W954" s="9">
        <v>1.4</v>
      </c>
      <c r="X954" s="9"/>
      <c r="Y954" s="9"/>
      <c r="Z954" s="9"/>
      <c r="AA954" s="9"/>
      <c r="AB954" s="9"/>
      <c r="AC954" s="449" t="str">
        <f t="shared" si="108"/>
        <v>PHC</v>
      </c>
      <c r="AD954" s="449"/>
      <c r="AE954" s="449"/>
      <c r="AF954" s="4"/>
      <c r="AG954" s="83"/>
      <c r="AH954" s="4"/>
      <c r="AI954" s="4"/>
      <c r="AJ954" s="449"/>
      <c r="AK954" s="449"/>
      <c r="AL954" s="449"/>
      <c r="AM954" s="449" t="s">
        <v>552</v>
      </c>
      <c r="AN954" s="10">
        <v>5.5</v>
      </c>
      <c r="AO954" s="9"/>
      <c r="AP954" s="9"/>
      <c r="AQ954" s="9"/>
      <c r="AR954" s="9"/>
      <c r="AS954" s="9"/>
      <c r="AT954" s="9">
        <f>+ab($T$954,$T$952,$T$956,$G$953,$G$955,-1*$F$954,1200)</f>
        <v>3.5058497590400011</v>
      </c>
      <c r="AU954" s="428"/>
      <c r="AV954" s="428"/>
      <c r="AW954" s="449" t="str">
        <f>IF(C954&gt;0,VLOOKUP(C954,Foundation_Calc!$A$2:$C$13,3,1),
IF(J954&gt;0,VLOOKUP(J954,Foundation_Calc!$A$2:$C$13,3,1),""))</f>
        <v>Multi Soil</v>
      </c>
      <c r="AX954" s="449" t="str">
        <f>IF(C954&gt;0,VLOOKUP(C954,Foundation_Calc!$E$2:$G$33,3,1),
IF(J954&gt;0,VLOOKUP(J954,Foundation_Calc!$E$2:$G$33,3,1),""))</f>
        <v>PT</v>
      </c>
      <c r="AY954" s="10">
        <f>IF(L954="","",
IF(AX954="PT",VLOOKUP(L954,Foundation_Calc!$K$79:$R$113,VLOOKUP(AW954,Foundation_Calc!$I$2:$J$8,2,FALSE),0),
IF(AX954="K",VLOOKUP(L954,Foundation_Calc!$K$117:$R$151,VLOOKUP(AW954,Foundation_Calc!$I$2:$J$8,2,FALSE),0),"")))</f>
        <v>3.5</v>
      </c>
      <c r="AZ954" s="10" t="str">
        <f>IF(K954="","",
IF(AX954="PT",VLOOKUP(K954,Foundation_Calc!$K$79:$R$113,VLOOKUP(AW954,Foundation_Calc!$I$2:$J$8,2,FALSE),0),
IF(AX954="K",VLOOKUP(K954,Foundation_Calc!$K$117:$R$151,VLOOKUP(AW954,Foundation_Calc!$I$2:$J$8,2,FALSE),0),"")))</f>
        <v/>
      </c>
      <c r="BA954" s="495" t="str">
        <f t="shared" si="115"/>
        <v>ü</v>
      </c>
      <c r="BB954" s="495" t="str">
        <f t="shared" si="116"/>
        <v/>
      </c>
      <c r="BC954" s="495" t="str">
        <f t="shared" si="117"/>
        <v/>
      </c>
      <c r="BD954" s="513" t="str">
        <f>IF(AND(L954="",H954=""),"",
IF(H954="",Pole_Calc!A$9,
IF(H954="MP",Pole_Calc!A$10,
IF(H954="AnMP",Pole_Calc!A$11,
IF(H954="A",Pole_Calc!A$12,
IF(H954="S/A",Pole_Calc!A$13,
IF(H954="A/S",Pole_Calc!A$14,"Poner a mano")))))))</f>
        <v>App.7-V11I-P9.5.1.1</v>
      </c>
      <c r="BE954" s="429" t="s">
        <v>118</v>
      </c>
      <c r="BF954" s="289"/>
      <c r="BG954" s="289"/>
      <c r="BH954" s="290"/>
      <c r="BI954" s="289"/>
    </row>
    <row r="955" spans="1:61" ht="15.75" customHeight="1">
      <c r="A955" s="696" t="s">
        <v>745</v>
      </c>
      <c r="B955" s="697"/>
      <c r="C955" s="698"/>
      <c r="D955" s="699"/>
      <c r="E955" s="700"/>
      <c r="F955" s="700"/>
      <c r="G955" s="701">
        <v>41</v>
      </c>
      <c r="H955" s="702"/>
      <c r="I955" s="700"/>
      <c r="J955" s="698">
        <f>C956-7.5</f>
        <v>52864.289999999994</v>
      </c>
      <c r="K955" s="702" t="s">
        <v>166</v>
      </c>
      <c r="L955" s="702"/>
      <c r="M955" s="702" t="str">
        <f>IF(L955="","",
IF(AX955="PT",VLOOKUP(L955,Foundation_Calc!$V$79:$X$113,VLOOKUP(AX955,Foundation_Calc!$I$10:$J$13,2,FALSE),0),
IF(AX955="K",VLOOKUP(L955,Foundation_Calc!$V$117:$X$151,VLOOKUP(AX955,Foundation_Calc!$I$10:$J$13,2,FALSE),0),"")))</f>
        <v/>
      </c>
      <c r="N955" s="738"/>
      <c r="O955" s="702"/>
      <c r="P955" s="702"/>
      <c r="Q955" s="700"/>
      <c r="R955" s="701"/>
      <c r="S955" s="701"/>
      <c r="T955" s="700"/>
      <c r="U955" s="700"/>
      <c r="V955" s="700"/>
      <c r="W955" s="703"/>
      <c r="X955" s="703"/>
      <c r="Y955" s="703"/>
      <c r="Z955" s="703"/>
      <c r="AA955" s="703"/>
      <c r="AB955" s="703"/>
      <c r="AC955" s="702" t="str">
        <f t="shared" si="108"/>
        <v/>
      </c>
      <c r="AD955" s="702"/>
      <c r="AE955" s="702"/>
      <c r="AF955" s="700"/>
      <c r="AG955" s="699"/>
      <c r="AH955" s="700"/>
      <c r="AI955" s="700"/>
      <c r="AJ955" s="702"/>
      <c r="AK955" s="702"/>
      <c r="AL955" s="702"/>
      <c r="AM955" s="702"/>
      <c r="AN955" s="704"/>
      <c r="AO955" s="703"/>
      <c r="AP955" s="703"/>
      <c r="AQ955" s="703">
        <f>+FL_1($T$956,$T$954,$G$955,1200,9.28,-1*$F$956)</f>
        <v>0.3</v>
      </c>
      <c r="AR955" s="703"/>
      <c r="AS955" s="703"/>
      <c r="AT955" s="703"/>
      <c r="AU955" s="705"/>
      <c r="AV955" s="705"/>
      <c r="AW955" s="702" t="str">
        <f>IF(C955&gt;0,VLOOKUP(C955,Foundation_Calc!$A$2:$C$13,3,1),
IF(J955&gt;0,VLOOKUP(J955,Foundation_Calc!$A$2:$C$13,3,1),""))</f>
        <v>Multi Soil</v>
      </c>
      <c r="AX955" s="702" t="str">
        <f>IF(C955&gt;0,VLOOKUP(C955,Foundation_Calc!$E$2:$G$33,3,1),
IF(J955&gt;0,VLOOKUP(J955,Foundation_Calc!$E$2:$G$33,3,1),""))</f>
        <v>PT</v>
      </c>
      <c r="AY955" s="704" t="str">
        <f>IF(L955="","",
IF(AX955="PT",VLOOKUP(L955,Foundation_Calc!$K$79:$R$113,VLOOKUP(AW955,Foundation_Calc!$I$2:$J$8,2,FALSE),0),
IF(AX955="K",VLOOKUP(L955,Foundation_Calc!$K$117:$R$151,VLOOKUP(AW955,Foundation_Calc!$I$2:$J$8,2,FALSE),0),"")))</f>
        <v/>
      </c>
      <c r="AZ955" s="704">
        <f>IF(K955="","",
IF(AX955="PT",VLOOKUP(K955,Foundation_Calc!$K$79:$R$113,VLOOKUP(AW955,Foundation_Calc!$I$2:$J$8,2,FALSE),0),
IF(AX955="K",VLOOKUP(K955,Foundation_Calc!$K$117:$R$151,VLOOKUP(AW955,Foundation_Calc!$I$2:$J$8,2,FALSE),0),"")))</f>
        <v>2.8</v>
      </c>
      <c r="BA955" s="495" t="str">
        <f t="shared" si="115"/>
        <v/>
      </c>
      <c r="BB955" s="495" t="str">
        <f t="shared" si="116"/>
        <v>ü</v>
      </c>
      <c r="BC955" s="495" t="str">
        <f t="shared" si="117"/>
        <v/>
      </c>
      <c r="BD955" s="513" t="str">
        <f>IF(AND(L955="",H955=""),"",
IF(H955="",Pole_Calc!A$9,
IF(H955="MP",Pole_Calc!A$10,
IF(H955="AnMP",Pole_Calc!A$11,
IF(H955="A",Pole_Calc!A$12,
IF(H955="S/A",Pole_Calc!A$13,
IF(H955="A/S",Pole_Calc!A$14,"Poner a mano")))))))</f>
        <v/>
      </c>
      <c r="BE955" s="429" t="s">
        <v>118</v>
      </c>
      <c r="BF955" s="290"/>
      <c r="BG955" s="290"/>
      <c r="BH955" s="290"/>
      <c r="BI955" s="290"/>
    </row>
    <row r="956" spans="1:61" ht="15.75" customHeight="1">
      <c r="A956" s="514"/>
      <c r="B956" s="450" t="s">
        <v>746</v>
      </c>
      <c r="C956" s="3">
        <f>+$C$954+$G$955</f>
        <v>52871.789999999994</v>
      </c>
      <c r="D956" s="83"/>
      <c r="E956" s="4"/>
      <c r="F956" s="4">
        <f>IF(C956&gt;0,VLOOKUP(C956,'ALIGNMENT TRACK'!$A$1:$K$81,9,1))</f>
        <v>-750</v>
      </c>
      <c r="G956" s="6"/>
      <c r="H956" s="449" t="s">
        <v>168</v>
      </c>
      <c r="I956" s="4"/>
      <c r="J956" s="3"/>
      <c r="K956" s="449"/>
      <c r="L956" s="449" t="s">
        <v>398</v>
      </c>
      <c r="M956" s="449" t="str">
        <f>IF(L956="","",
IF(AX956="PT",VLOOKUP(L956,Foundation_Calc!$V$79:$X$113,VLOOKUP(AX956,Foundation_Calc!$I$10:$J$13,2,FALSE),0),
IF(AX956="K",VLOOKUP(L956,Foundation_Calc!$V$117:$X$151,VLOOKUP(AX956,Foundation_Calc!$I$10:$J$13,2,FALSE),0),"")))</f>
        <v>C5R</v>
      </c>
      <c r="N956" s="449" t="s">
        <v>134</v>
      </c>
      <c r="O956" s="449"/>
      <c r="P956" s="449"/>
      <c r="Q956" s="4"/>
      <c r="R956" s="6"/>
      <c r="S956" s="6"/>
      <c r="T956" s="4">
        <v>30</v>
      </c>
      <c r="U956" s="4"/>
      <c r="V956" s="4"/>
      <c r="W956" s="9">
        <v>1.4</v>
      </c>
      <c r="X956" s="9"/>
      <c r="Y956" s="9"/>
      <c r="Z956" s="9"/>
      <c r="AA956" s="9"/>
      <c r="AB956" s="9"/>
      <c r="AC956" s="449" t="str">
        <f t="shared" si="108"/>
        <v>PHC</v>
      </c>
      <c r="AD956" s="449"/>
      <c r="AE956" s="449"/>
      <c r="AF956" s="4"/>
      <c r="AG956" s="83"/>
      <c r="AH956" s="4"/>
      <c r="AI956" s="4"/>
      <c r="AJ956" s="449"/>
      <c r="AK956" s="449"/>
      <c r="AL956" s="449"/>
      <c r="AM956" s="449" t="s">
        <v>552</v>
      </c>
      <c r="AN956" s="10">
        <v>5.5</v>
      </c>
      <c r="AO956" s="9"/>
      <c r="AP956" s="9"/>
      <c r="AQ956" s="9"/>
      <c r="AR956" s="9"/>
      <c r="AS956" s="9"/>
      <c r="AT956" s="9">
        <f>+ab($T$956,$T$954,$T$958,$G$955,$G$957,-1*$F$956,1200)</f>
        <v>3.7328782204313913</v>
      </c>
      <c r="AU956" s="428"/>
      <c r="AV956" s="428"/>
      <c r="AW956" s="449" t="str">
        <f>IF(C956&gt;0,VLOOKUP(C956,Foundation_Calc!$A$2:$C$13,3,1),
IF(J956&gt;0,VLOOKUP(J956,Foundation_Calc!$A$2:$C$13,3,1),""))</f>
        <v>Multi Soil</v>
      </c>
      <c r="AX956" s="449" t="str">
        <f>IF(C956&gt;0,VLOOKUP(C956,Foundation_Calc!$E$2:$G$33,3,1),
IF(J956&gt;0,VLOOKUP(J956,Foundation_Calc!$E$2:$G$33,3,1),""))</f>
        <v>PT</v>
      </c>
      <c r="AY956" s="10">
        <f>IF(L956="","",
IF(AX956="PT",VLOOKUP(L956,Foundation_Calc!$K$79:$R$113,VLOOKUP(AW956,Foundation_Calc!$I$2:$J$8,2,FALSE),0),
IF(AX956="K",VLOOKUP(L956,Foundation_Calc!$K$117:$R$151,VLOOKUP(AW956,Foundation_Calc!$I$2:$J$8,2,FALSE),0),"")))</f>
        <v>3.5</v>
      </c>
      <c r="AZ956" s="10" t="str">
        <f>IF(K956="","",
IF(AX956="PT",VLOOKUP(K956,Foundation_Calc!$K$79:$R$113,VLOOKUP(AW956,Foundation_Calc!$I$2:$J$8,2,FALSE),0),
IF(AX956="K",VLOOKUP(K956,Foundation_Calc!$K$117:$R$151,VLOOKUP(AW956,Foundation_Calc!$I$2:$J$8,2,FALSE),0),"")))</f>
        <v/>
      </c>
      <c r="BA956" s="495" t="str">
        <f t="shared" si="115"/>
        <v>ü</v>
      </c>
      <c r="BB956" s="495" t="str">
        <f t="shared" si="116"/>
        <v/>
      </c>
      <c r="BC956" s="495" t="str">
        <f t="shared" si="117"/>
        <v/>
      </c>
      <c r="BD956" s="513" t="str">
        <f>IF(AND(L956="",H956=""),"",
IF(H956="",Pole_Calc!A$9,
IF(H956="MP",Pole_Calc!A$10,
IF(H956="AnMP",Pole_Calc!A$11,
IF(H956="A",Pole_Calc!A$12,
IF(H956="S/A",Pole_Calc!A$13,
IF(H956="A/S",Pole_Calc!A$14,"Poner a mano")))))))</f>
        <v>App.7-V11I-P9.5.1.3</v>
      </c>
      <c r="BE956" s="429" t="s">
        <v>118</v>
      </c>
      <c r="BF956" s="289"/>
      <c r="BG956" s="289"/>
      <c r="BH956" s="290"/>
      <c r="BI956" s="289"/>
    </row>
    <row r="957" spans="1:61" ht="15.75" customHeight="1">
      <c r="A957" s="514"/>
      <c r="B957" s="450"/>
      <c r="C957" s="3"/>
      <c r="D957" s="83"/>
      <c r="E957" s="4"/>
      <c r="F957" s="4"/>
      <c r="G957" s="6">
        <v>36</v>
      </c>
      <c r="H957" s="449"/>
      <c r="I957" s="4">
        <f>SUM(G943:G957)</f>
        <v>334</v>
      </c>
      <c r="J957" s="3"/>
      <c r="K957" s="449"/>
      <c r="L957" s="449"/>
      <c r="M957" s="449" t="str">
        <f>IF(L957="","",
IF(AX957="PT",VLOOKUP(L957,Foundation_Calc!$V$79:$X$113,VLOOKUP(AX957,Foundation_Calc!$I$10:$J$13,2,FALSE),0),
IF(AX957="K",VLOOKUP(L957,Foundation_Calc!$V$117:$X$151,VLOOKUP(AX957,Foundation_Calc!$I$10:$J$13,2,FALSE),0),"")))</f>
        <v/>
      </c>
      <c r="N957" s="449"/>
      <c r="O957" s="449"/>
      <c r="P957" s="449"/>
      <c r="Q957" s="4"/>
      <c r="R957" s="6"/>
      <c r="S957" s="6"/>
      <c r="T957" s="4"/>
      <c r="U957" s="4"/>
      <c r="V957" s="4"/>
      <c r="W957" s="9"/>
      <c r="X957" s="9"/>
      <c r="Y957" s="9"/>
      <c r="Z957" s="9"/>
      <c r="AA957" s="9"/>
      <c r="AB957" s="9"/>
      <c r="AC957" s="449" t="str">
        <f t="shared" si="108"/>
        <v/>
      </c>
      <c r="AD957" s="449"/>
      <c r="AE957" s="449"/>
      <c r="AF957" s="4"/>
      <c r="AG957" s="83"/>
      <c r="AH957" s="4"/>
      <c r="AI957" s="4"/>
      <c r="AJ957" s="449"/>
      <c r="AK957" s="449"/>
      <c r="AL957" s="449"/>
      <c r="AM957" s="449"/>
      <c r="AN957" s="10"/>
      <c r="AO957" s="9"/>
      <c r="AP957" s="9"/>
      <c r="AQ957" s="9">
        <f>+FL_1($T$958,$T$956,$G$957,1200,9.28,-1*$F$958)</f>
        <v>0.3</v>
      </c>
      <c r="AR957" s="9"/>
      <c r="AS957" s="9"/>
      <c r="AT957" s="9"/>
      <c r="AU957" s="428"/>
      <c r="AV957" s="428"/>
      <c r="AW957" s="449" t="str">
        <f>IF(C957&gt;0,VLOOKUP(C957,Foundation_Calc!$A$2:$C$13,3,1),
IF(J957&gt;0,VLOOKUP(J957,Foundation_Calc!$A$2:$C$13,3,1),""))</f>
        <v/>
      </c>
      <c r="AX957" s="449" t="str">
        <f>IF(C957&gt;0,VLOOKUP(C957,Foundation_Calc!$E$2:$G$33,3,1),
IF(J957&gt;0,VLOOKUP(J957,Foundation_Calc!$E$2:$G$33,3,1),""))</f>
        <v/>
      </c>
      <c r="AY957" s="10" t="str">
        <f>IF(L957="","",
IF(AX957="PT",VLOOKUP(L957,Foundation_Calc!$K$79:$R$113,VLOOKUP(AW957,Foundation_Calc!$I$2:$J$8,2,FALSE),0),
IF(AX957="K",VLOOKUP(L957,Foundation_Calc!$K$117:$R$151,VLOOKUP(AW957,Foundation_Calc!$I$2:$J$8,2,FALSE),0),"")))</f>
        <v/>
      </c>
      <c r="AZ957" s="10" t="str">
        <f>IF(K957="","",
IF(AX957="PT",VLOOKUP(K957,Foundation_Calc!$K$79:$R$113,VLOOKUP(AW957,Foundation_Calc!$I$2:$J$8,2,FALSE),0),
IF(AX957="K",VLOOKUP(K957,Foundation_Calc!$K$117:$R$151,VLOOKUP(AW957,Foundation_Calc!$I$2:$J$8,2,FALSE),0),"")))</f>
        <v/>
      </c>
      <c r="BA957" s="495" t="str">
        <f t="shared" si="115"/>
        <v/>
      </c>
      <c r="BB957" s="495" t="str">
        <f t="shared" si="116"/>
        <v/>
      </c>
      <c r="BC957" s="495" t="str">
        <f t="shared" si="117"/>
        <v/>
      </c>
      <c r="BD957" s="513" t="str">
        <f>IF(AND(L957="",H957=""),"",
IF(H957="",Pole_Calc!A$9,
IF(H957="MP",Pole_Calc!A$10,
IF(H957="AnMP",Pole_Calc!A$11,
IF(H957="A",Pole_Calc!A$12,
IF(H957="S/A",Pole_Calc!A$13,
IF(H957="A/S",Pole_Calc!A$14,"Poner a mano")))))))</f>
        <v/>
      </c>
      <c r="BE957" s="429" t="s">
        <v>118</v>
      </c>
      <c r="BF957" s="290"/>
      <c r="BG957" s="290"/>
      <c r="BH957" s="290"/>
      <c r="BI957" s="290"/>
    </row>
    <row r="958" spans="1:61" ht="15.75" customHeight="1">
      <c r="A958" s="514"/>
      <c r="B958" s="450" t="s">
        <v>747</v>
      </c>
      <c r="C958" s="3">
        <f>+$C$956+$G$957</f>
        <v>52907.789999999994</v>
      </c>
      <c r="D958" s="83"/>
      <c r="E958" s="4"/>
      <c r="F958" s="4">
        <f>IF(C958&gt;0,VLOOKUP(C958,'ALIGNMENT TRACK'!$A$1:$K$81,9,1))</f>
        <v>-750</v>
      </c>
      <c r="G958" s="6"/>
      <c r="H958" s="449" t="s">
        <v>171</v>
      </c>
      <c r="I958" s="4"/>
      <c r="J958" s="3"/>
      <c r="K958" s="449"/>
      <c r="L958" s="449" t="s">
        <v>158</v>
      </c>
      <c r="M958" s="449" t="str">
        <f>IF(L958="","",
IF(AX958="PT",VLOOKUP(L958,Foundation_Calc!$V$79:$X$113,VLOOKUP(AX958,Foundation_Calc!$I$10:$J$13,2,FALSE),0),
IF(AX958="K",VLOOKUP(L958,Foundation_Calc!$V$117:$X$151,VLOOKUP(AX958,Foundation_Calc!$I$10:$J$13,2,FALSE),0),"")))</f>
        <v>C4R</v>
      </c>
      <c r="N958" s="449" t="s">
        <v>134</v>
      </c>
      <c r="O958" s="449"/>
      <c r="P958" s="449"/>
      <c r="Q958" s="4"/>
      <c r="R958" s="6"/>
      <c r="S958" s="6"/>
      <c r="T958" s="4">
        <v>30</v>
      </c>
      <c r="U958" s="4"/>
      <c r="V958" s="4"/>
      <c r="W958" s="9">
        <v>1.4</v>
      </c>
      <c r="X958" s="9"/>
      <c r="Y958" s="9"/>
      <c r="Z958" s="9"/>
      <c r="AA958" s="9"/>
      <c r="AB958" s="9"/>
      <c r="AC958" s="449" t="str">
        <f t="shared" si="108"/>
        <v>PHC</v>
      </c>
      <c r="AD958" s="449"/>
      <c r="AE958" s="449"/>
      <c r="AF958" s="4"/>
      <c r="AG958" s="83"/>
      <c r="AH958" s="4"/>
      <c r="AI958" s="4"/>
      <c r="AJ958" s="449"/>
      <c r="AK958" s="449"/>
      <c r="AL958" s="449"/>
      <c r="AM958" s="449" t="s">
        <v>552</v>
      </c>
      <c r="AN958" s="10">
        <v>5.5</v>
      </c>
      <c r="AO958" s="9"/>
      <c r="AP958" s="9"/>
      <c r="AQ958" s="9"/>
      <c r="AR958" s="9"/>
      <c r="AS958" s="9"/>
      <c r="AT958" s="9">
        <f>+ab($T$958,$T$956,$T$960,$G$957,$G$959,-1*$F$958,1200)</f>
        <v>3.9912951206966776</v>
      </c>
      <c r="AU958" s="428"/>
      <c r="AV958" s="428"/>
      <c r="AW958" s="449" t="str">
        <f>IF(C958&gt;0,VLOOKUP(C958,Foundation_Calc!$A$2:$C$13,3,1),
IF(J958&gt;0,VLOOKUP(J958,Foundation_Calc!$A$2:$C$13,3,1),""))</f>
        <v>Multi Soil</v>
      </c>
      <c r="AX958" s="449" t="str">
        <f>IF(C958&gt;0,VLOOKUP(C958,Foundation_Calc!$E$2:$G$33,3,1),
IF(J958&gt;0,VLOOKUP(J958,Foundation_Calc!$E$2:$G$33,3,1),""))</f>
        <v>PT</v>
      </c>
      <c r="AY958" s="10">
        <f>IF(L958="","",
IF(AX958="PT",VLOOKUP(L958,Foundation_Calc!$K$79:$R$113,VLOOKUP(AW958,Foundation_Calc!$I$2:$J$8,2,FALSE),0),
IF(AX958="K",VLOOKUP(L958,Foundation_Calc!$K$117:$R$151,VLOOKUP(AW958,Foundation_Calc!$I$2:$J$8,2,FALSE),0),"")))</f>
        <v>3.5</v>
      </c>
      <c r="AZ958" s="10" t="str">
        <f>IF(K958="","",
IF(AX958="PT",VLOOKUP(K958,Foundation_Calc!$K$79:$R$113,VLOOKUP(AW958,Foundation_Calc!$I$2:$J$8,2,FALSE),0),
IF(AX958="K",VLOOKUP(K958,Foundation_Calc!$K$117:$R$151,VLOOKUP(AW958,Foundation_Calc!$I$2:$J$8,2,FALSE),0),"")))</f>
        <v/>
      </c>
      <c r="BA958" s="495" t="str">
        <f t="shared" si="115"/>
        <v>ü</v>
      </c>
      <c r="BB958" s="495" t="str">
        <f t="shared" si="116"/>
        <v/>
      </c>
      <c r="BC958" s="495" t="str">
        <f t="shared" si="117"/>
        <v/>
      </c>
      <c r="BD958" s="513" t="str">
        <f>IF(AND(L958="",H958=""),"",
IF(H958="",Pole_Calc!A$9,
IF(H958="MP",Pole_Calc!A$10,
IF(H958="AnMP",Pole_Calc!A$11,
IF(H958="A",Pole_Calc!A$12,
IF(H958="S/A",Pole_Calc!A$13,
IF(H958="A/S",Pole_Calc!A$14,"Poner a mano")))))))</f>
        <v>App.7-V11I-P9.5.1.2</v>
      </c>
      <c r="BE958" s="429" t="s">
        <v>118</v>
      </c>
      <c r="BF958" s="289"/>
      <c r="BG958" s="289"/>
      <c r="BH958" s="290"/>
      <c r="BI958" s="289"/>
    </row>
    <row r="959" spans="1:61" ht="15.75" customHeight="1">
      <c r="A959" s="514"/>
      <c r="B959" s="450"/>
      <c r="C959" s="3"/>
      <c r="D959" s="83"/>
      <c r="E959" s="4"/>
      <c r="F959" s="4"/>
      <c r="G959" s="6">
        <v>36</v>
      </c>
      <c r="H959" s="449"/>
      <c r="I959" s="4">
        <f>SUM(G959:G975)</f>
        <v>379.1</v>
      </c>
      <c r="J959" s="3"/>
      <c r="K959" s="449"/>
      <c r="L959" s="449"/>
      <c r="M959" s="449" t="str">
        <f>IF(L959="","",
IF(AX959="PT",VLOOKUP(L959,Foundation_Calc!$V$79:$X$113,VLOOKUP(AX959,Foundation_Calc!$I$10:$J$13,2,FALSE),0),
IF(AX959="K",VLOOKUP(L959,Foundation_Calc!$V$117:$X$151,VLOOKUP(AX959,Foundation_Calc!$I$10:$J$13,2,FALSE),0),"")))</f>
        <v/>
      </c>
      <c r="N959" s="449"/>
      <c r="O959" s="449"/>
      <c r="P959" s="449"/>
      <c r="Q959" s="4"/>
      <c r="R959" s="6"/>
      <c r="S959" s="6"/>
      <c r="T959" s="4"/>
      <c r="U959" s="4"/>
      <c r="V959" s="4"/>
      <c r="W959" s="9"/>
      <c r="X959" s="9"/>
      <c r="Y959" s="9"/>
      <c r="Z959" s="9"/>
      <c r="AA959" s="9"/>
      <c r="AB959" s="9"/>
      <c r="AC959" s="449" t="str">
        <f t="shared" si="108"/>
        <v/>
      </c>
      <c r="AD959" s="449"/>
      <c r="AE959" s="449"/>
      <c r="AF959" s="4"/>
      <c r="AG959" s="83"/>
      <c r="AH959" s="4"/>
      <c r="AI959" s="4"/>
      <c r="AJ959" s="449"/>
      <c r="AK959" s="449"/>
      <c r="AL959" s="449"/>
      <c r="AM959" s="449"/>
      <c r="AN959" s="10"/>
      <c r="AO959" s="9"/>
      <c r="AP959" s="9"/>
      <c r="AQ959" s="9">
        <f>+FL_1($T$960,$T$958,$G$959,1200,9.28,-1*$F$960)</f>
        <v>0.3</v>
      </c>
      <c r="AR959" s="9"/>
      <c r="AS959" s="9"/>
      <c r="AT959" s="9"/>
      <c r="AU959" s="428"/>
      <c r="AV959" s="428"/>
      <c r="AW959" s="449" t="str">
        <f>IF(C959&gt;0,VLOOKUP(C959,Foundation_Calc!$A$2:$C$13,3,1),
IF(J959&gt;0,VLOOKUP(J959,Foundation_Calc!$A$2:$C$13,3,1),""))</f>
        <v/>
      </c>
      <c r="AX959" s="449" t="str">
        <f>IF(C959&gt;0,VLOOKUP(C959,Foundation_Calc!$E$2:$G$33,3,1),
IF(J959&gt;0,VLOOKUP(J959,Foundation_Calc!$E$2:$G$33,3,1),""))</f>
        <v/>
      </c>
      <c r="AY959" s="10" t="str">
        <f>IF(L959="","",
IF(AX959="PT",VLOOKUP(L959,Foundation_Calc!$K$79:$R$113,VLOOKUP(AW959,Foundation_Calc!$I$2:$J$8,2,FALSE),0),
IF(AX959="K",VLOOKUP(L959,Foundation_Calc!$K$117:$R$151,VLOOKUP(AW959,Foundation_Calc!$I$2:$J$8,2,FALSE),0),"")))</f>
        <v/>
      </c>
      <c r="AZ959" s="10" t="str">
        <f>IF(K959="","",
IF(AX959="PT",VLOOKUP(K959,Foundation_Calc!$K$79:$R$113,VLOOKUP(AW959,Foundation_Calc!$I$2:$J$8,2,FALSE),0),
IF(AX959="K",VLOOKUP(K959,Foundation_Calc!$K$117:$R$151,VLOOKUP(AW959,Foundation_Calc!$I$2:$J$8,2,FALSE),0),"")))</f>
        <v/>
      </c>
      <c r="BA959" s="495" t="str">
        <f t="shared" si="115"/>
        <v/>
      </c>
      <c r="BB959" s="495" t="str">
        <f t="shared" si="116"/>
        <v/>
      </c>
      <c r="BC959" s="495" t="str">
        <f t="shared" si="117"/>
        <v/>
      </c>
      <c r="BD959" s="513" t="str">
        <f>IF(AND(L959="",H959=""),"",
IF(H959="",Pole_Calc!A$9,
IF(H959="MP",Pole_Calc!A$10,
IF(H959="AnMP",Pole_Calc!A$11,
IF(H959="A",Pole_Calc!A$12,
IF(H959="S/A",Pole_Calc!A$13,
IF(H959="A/S",Pole_Calc!A$14,"Poner a mano")))))))</f>
        <v/>
      </c>
      <c r="BE959" s="429" t="s">
        <v>118</v>
      </c>
      <c r="BF959" s="290"/>
      <c r="BG959" s="290"/>
      <c r="BH959" s="290"/>
      <c r="BI959" s="290"/>
    </row>
    <row r="960" spans="1:61" ht="15.75" customHeight="1">
      <c r="A960" s="518"/>
      <c r="B960" s="450" t="s">
        <v>748</v>
      </c>
      <c r="C960" s="3">
        <f>+$C$958+$G$959</f>
        <v>52943.789999999994</v>
      </c>
      <c r="D960" s="83"/>
      <c r="E960" s="4"/>
      <c r="F960" s="4">
        <f>IF(C960&gt;0,VLOOKUP(C960,'ALIGNMENT TRACK'!$A$1:$K$81,9,1))</f>
        <v>-750</v>
      </c>
      <c r="G960" s="6"/>
      <c r="H960" s="449" t="s">
        <v>168</v>
      </c>
      <c r="I960" s="4"/>
      <c r="J960" s="3"/>
      <c r="K960" s="449"/>
      <c r="L960" s="449" t="s">
        <v>398</v>
      </c>
      <c r="M960" s="449" t="str">
        <f>IF(L960="","",
IF(AX960="PT",VLOOKUP(L960,Foundation_Calc!$V$79:$X$113,VLOOKUP(AX960,Foundation_Calc!$I$10:$J$13,2,FALSE),0),
IF(AX960="K",VLOOKUP(L960,Foundation_Calc!$V$117:$X$151,VLOOKUP(AX960,Foundation_Calc!$I$10:$J$13,2,FALSE),0),"")))</f>
        <v>C5R</v>
      </c>
      <c r="N960" s="449" t="s">
        <v>134</v>
      </c>
      <c r="O960" s="449"/>
      <c r="P960" s="449"/>
      <c r="Q960" s="4"/>
      <c r="R960" s="6"/>
      <c r="S960" s="6"/>
      <c r="T960" s="4">
        <v>30</v>
      </c>
      <c r="U960" s="4"/>
      <c r="V960" s="4"/>
      <c r="W960" s="9">
        <v>1.4</v>
      </c>
      <c r="X960" s="9"/>
      <c r="Y960" s="9"/>
      <c r="Z960" s="9"/>
      <c r="AA960" s="9"/>
      <c r="AB960" s="9"/>
      <c r="AC960" s="449" t="str">
        <f t="shared" si="108"/>
        <v>PHC</v>
      </c>
      <c r="AD960" s="449"/>
      <c r="AE960" s="449"/>
      <c r="AF960" s="4"/>
      <c r="AG960" s="83"/>
      <c r="AH960" s="4"/>
      <c r="AI960" s="4"/>
      <c r="AJ960" s="449"/>
      <c r="AK960" s="449"/>
      <c r="AL960" s="449"/>
      <c r="AM960" s="449" t="s">
        <v>552</v>
      </c>
      <c r="AN960" s="10">
        <v>5.5</v>
      </c>
      <c r="AO960" s="9"/>
      <c r="AP960" s="9"/>
      <c r="AQ960" s="9"/>
      <c r="AR960" s="9"/>
      <c r="AS960" s="9"/>
      <c r="AT960" s="9">
        <f>+ab($T$960,$T$958,$T$962,$G$959,$G$961,-1*$F$960,1200)</f>
        <v>3.7328782204313913</v>
      </c>
      <c r="AU960" s="428"/>
      <c r="AV960" s="428"/>
      <c r="AW960" s="449" t="str">
        <f>IF(C960&gt;0,VLOOKUP(C960,Foundation_Calc!$A$2:$C$13,3,1),
IF(J960&gt;0,VLOOKUP(J960,Foundation_Calc!$A$2:$C$13,3,1),""))</f>
        <v>Multi Soil</v>
      </c>
      <c r="AX960" s="449" t="str">
        <f>IF(C960&gt;0,VLOOKUP(C960,Foundation_Calc!$E$2:$G$33,3,1),
IF(J960&gt;0,VLOOKUP(J960,Foundation_Calc!$E$2:$G$33,3,1),""))</f>
        <v>PT</v>
      </c>
      <c r="AY960" s="10">
        <f>IF(L960="","",
IF(AX960="PT",VLOOKUP(L960,Foundation_Calc!$K$79:$R$113,VLOOKUP(AW960,Foundation_Calc!$I$2:$J$8,2,FALSE),0),
IF(AX960="K",VLOOKUP(L960,Foundation_Calc!$K$117:$R$151,VLOOKUP(AW960,Foundation_Calc!$I$2:$J$8,2,FALSE),0),"")))</f>
        <v>3.5</v>
      </c>
      <c r="AZ960" s="10" t="str">
        <f>IF(K960="","",
IF(AX960="PT",VLOOKUP(K960,Foundation_Calc!$K$79:$R$113,VLOOKUP(AW960,Foundation_Calc!$I$2:$J$8,2,FALSE),0),
IF(AX960="K",VLOOKUP(K960,Foundation_Calc!$K$117:$R$151,VLOOKUP(AW960,Foundation_Calc!$I$2:$J$8,2,FALSE),0),"")))</f>
        <v/>
      </c>
      <c r="BA960" s="495" t="str">
        <f t="shared" si="115"/>
        <v>ü</v>
      </c>
      <c r="BB960" s="495" t="str">
        <f t="shared" si="116"/>
        <v/>
      </c>
      <c r="BC960" s="495" t="str">
        <f t="shared" si="117"/>
        <v/>
      </c>
      <c r="BD960" s="513" t="str">
        <f>IF(AND(L960="",H960=""),"",
IF(H960="",Pole_Calc!A$9,
IF(H960="MP",Pole_Calc!A$10,
IF(H960="AnMP",Pole_Calc!A$11,
IF(H960="A",Pole_Calc!A$12,
IF(H960="S/A",Pole_Calc!A$13,
IF(H960="A/S",Pole_Calc!A$14,"Poner a mano")))))))</f>
        <v>App.7-V11I-P9.5.1.3</v>
      </c>
      <c r="BE960" s="429" t="s">
        <v>118</v>
      </c>
      <c r="BF960" s="289"/>
      <c r="BG960" s="289"/>
      <c r="BH960" s="290"/>
      <c r="BI960" s="289"/>
    </row>
    <row r="961" spans="1:61" ht="15.75" customHeight="1">
      <c r="A961" s="514" t="s">
        <v>169</v>
      </c>
      <c r="B961" s="450"/>
      <c r="C961" s="3"/>
      <c r="D961" s="83"/>
      <c r="E961" s="4"/>
      <c r="F961" s="4"/>
      <c r="G961" s="6">
        <v>41</v>
      </c>
      <c r="H961" s="449"/>
      <c r="I961" s="4"/>
      <c r="J961" s="3">
        <f>C960+7.5</f>
        <v>52951.289999999994</v>
      </c>
      <c r="K961" s="449" t="s">
        <v>166</v>
      </c>
      <c r="L961" s="449"/>
      <c r="M961" s="449" t="str">
        <f>IF(L961="","",
IF(AX961="PT",VLOOKUP(L961,Foundation_Calc!$V$79:$X$113,VLOOKUP(AX961,Foundation_Calc!$I$10:$J$13,2,FALSE),0),
IF(AX961="K",VLOOKUP(L961,Foundation_Calc!$V$117:$X$151,VLOOKUP(AX961,Foundation_Calc!$I$10:$J$13,2,FALSE),0),"")))</f>
        <v/>
      </c>
      <c r="N961" s="561"/>
      <c r="O961" s="449"/>
      <c r="P961" s="449"/>
      <c r="Q961" s="4"/>
      <c r="R961" s="6"/>
      <c r="S961" s="6"/>
      <c r="T961" s="4"/>
      <c r="U961" s="4"/>
      <c r="V961" s="4"/>
      <c r="W961" s="9"/>
      <c r="X961" s="9"/>
      <c r="Y961" s="9"/>
      <c r="Z961" s="9"/>
      <c r="AA961" s="9"/>
      <c r="AB961" s="9"/>
      <c r="AC961" s="449" t="str">
        <f t="shared" si="108"/>
        <v/>
      </c>
      <c r="AD961" s="449"/>
      <c r="AE961" s="449"/>
      <c r="AF961" s="4"/>
      <c r="AG961" s="83"/>
      <c r="AH961" s="4"/>
      <c r="AI961" s="4"/>
      <c r="AJ961" s="449"/>
      <c r="AK961" s="449"/>
      <c r="AL961" s="449"/>
      <c r="AM961" s="449"/>
      <c r="AN961" s="10"/>
      <c r="AO961" s="9"/>
      <c r="AP961" s="9"/>
      <c r="AQ961" s="9">
        <f>+FL_1($T$962,$T$960,$G$961,1200,9.28,-1*$F$962)</f>
        <v>0.3</v>
      </c>
      <c r="AR961" s="9"/>
      <c r="AS961" s="9"/>
      <c r="AT961" s="9"/>
      <c r="AU961" s="428"/>
      <c r="AV961" s="428"/>
      <c r="AW961" s="449" t="str">
        <f>IF(C961&gt;0,VLOOKUP(C961,Foundation_Calc!$A$2:$C$13,3,1),
IF(J961&gt;0,VLOOKUP(J961,Foundation_Calc!$A$2:$C$13,3,1),""))</f>
        <v>Multi Soil</v>
      </c>
      <c r="AX961" s="449" t="str">
        <f>IF(C961&gt;0,VLOOKUP(C961,Foundation_Calc!$E$2:$G$33,3,1),
IF(J961&gt;0,VLOOKUP(J961,Foundation_Calc!$E$2:$G$33,3,1),""))</f>
        <v>PT</v>
      </c>
      <c r="AY961" s="10" t="str">
        <f>IF(L961="","",
IF(AX961="PT",VLOOKUP(L961,Foundation_Calc!$K$79:$R$113,VLOOKUP(AW961,Foundation_Calc!$I$2:$J$8,2,FALSE),0),
IF(AX961="K",VLOOKUP(L961,Foundation_Calc!$K$117:$R$151,VLOOKUP(AW961,Foundation_Calc!$I$2:$J$8,2,FALSE),0),"")))</f>
        <v/>
      </c>
      <c r="AZ961" s="10">
        <f>IF(K961="","",
IF(AX961="PT",VLOOKUP(K961,Foundation_Calc!$K$79:$R$113,VLOOKUP(AW961,Foundation_Calc!$I$2:$J$8,2,FALSE),0),
IF(AX961="K",VLOOKUP(K961,Foundation_Calc!$K$117:$R$151,VLOOKUP(AW961,Foundation_Calc!$I$2:$J$8,2,FALSE),0),"")))</f>
        <v>2.8</v>
      </c>
      <c r="BA961" s="495" t="str">
        <f t="shared" si="115"/>
        <v/>
      </c>
      <c r="BB961" s="495" t="str">
        <f t="shared" si="116"/>
        <v>ü</v>
      </c>
      <c r="BC961" s="495" t="str">
        <f t="shared" si="117"/>
        <v/>
      </c>
      <c r="BD961" s="513" t="str">
        <f>IF(AND(L961="",H961=""),"",
IF(H961="",Pole_Calc!A$9,
IF(H961="MP",Pole_Calc!A$10,
IF(H961="AnMP",Pole_Calc!A$11,
IF(H961="A",Pole_Calc!A$12,
IF(H961="S/A",Pole_Calc!A$13,
IF(H961="A/S",Pole_Calc!A$14,"Poner a mano")))))))</f>
        <v/>
      </c>
      <c r="BE961" s="429" t="s">
        <v>118</v>
      </c>
      <c r="BF961" s="290"/>
      <c r="BG961" s="290"/>
      <c r="BH961" s="290"/>
      <c r="BI961" s="290"/>
    </row>
    <row r="962" spans="1:61" ht="15.75" customHeight="1">
      <c r="A962" s="514"/>
      <c r="B962" s="450" t="s">
        <v>749</v>
      </c>
      <c r="C962" s="3">
        <f>+$C$960+$G$961</f>
        <v>52984.789999999994</v>
      </c>
      <c r="D962" s="83"/>
      <c r="E962" s="4"/>
      <c r="F962" s="4">
        <f>IF(C962&gt;0,VLOOKUP(C962,'ALIGNMENT TRACK'!$A$1:$K$81,9,1))</f>
        <v>-750</v>
      </c>
      <c r="G962" s="6"/>
      <c r="H962" s="449"/>
      <c r="I962" s="4"/>
      <c r="J962" s="3"/>
      <c r="K962" s="449"/>
      <c r="L962" s="449" t="s">
        <v>158</v>
      </c>
      <c r="M962" s="449" t="str">
        <f>IF(L962="","",
IF(AX962="PT",VLOOKUP(L962,Foundation_Calc!$V$79:$X$113,VLOOKUP(AX962,Foundation_Calc!$I$10:$J$13,2,FALSE),0),
IF(AX962="K",VLOOKUP(L962,Foundation_Calc!$V$117:$X$151,VLOOKUP(AX962,Foundation_Calc!$I$10:$J$13,2,FALSE),0),"")))</f>
        <v>C4R</v>
      </c>
      <c r="N962" s="449" t="s">
        <v>134</v>
      </c>
      <c r="O962" s="449"/>
      <c r="P962" s="449"/>
      <c r="Q962" s="4"/>
      <c r="R962" s="6"/>
      <c r="S962" s="6"/>
      <c r="T962" s="4">
        <v>30</v>
      </c>
      <c r="U962" s="4"/>
      <c r="V962" s="4"/>
      <c r="W962" s="9">
        <v>1.4</v>
      </c>
      <c r="X962" s="9"/>
      <c r="Y962" s="9"/>
      <c r="Z962" s="9"/>
      <c r="AA962" s="9"/>
      <c r="AB962" s="9"/>
      <c r="AC962" s="449" t="str">
        <f t="shared" si="108"/>
        <v>PHC</v>
      </c>
      <c r="AD962" s="449"/>
      <c r="AE962" s="449"/>
      <c r="AF962" s="4"/>
      <c r="AG962" s="83"/>
      <c r="AH962" s="4"/>
      <c r="AI962" s="4"/>
      <c r="AJ962" s="449"/>
      <c r="AK962" s="449"/>
      <c r="AL962" s="449"/>
      <c r="AM962" s="449" t="s">
        <v>552</v>
      </c>
      <c r="AN962" s="10">
        <v>5.5</v>
      </c>
      <c r="AO962" s="9"/>
      <c r="AP962" s="9"/>
      <c r="AQ962" s="9"/>
      <c r="AR962" s="9"/>
      <c r="AS962" s="9"/>
      <c r="AT962" s="9">
        <f>+ab($T$962,$T$960,$T$964,$G$961,$G$963,-1*$F$962,1200)</f>
        <v>3.7328782204313913</v>
      </c>
      <c r="AU962" s="428"/>
      <c r="AV962" s="428"/>
      <c r="AW962" s="449" t="str">
        <f>IF(C962&gt;0,VLOOKUP(C962,Foundation_Calc!$A$2:$C$13,3,1),
IF(J962&gt;0,VLOOKUP(J962,Foundation_Calc!$A$2:$C$13,3,1),""))</f>
        <v>Multi Soil</v>
      </c>
      <c r="AX962" s="449" t="str">
        <f>IF(C962&gt;0,VLOOKUP(C962,Foundation_Calc!$E$2:$G$33,3,1),
IF(J962&gt;0,VLOOKUP(J962,Foundation_Calc!$E$2:$G$33,3,1),""))</f>
        <v>PT</v>
      </c>
      <c r="AY962" s="10">
        <f>IF(L962="","",
IF(AX962="PT",VLOOKUP(L962,Foundation_Calc!$K$79:$R$113,VLOOKUP(AW962,Foundation_Calc!$I$2:$J$8,2,FALSE),0),
IF(AX962="K",VLOOKUP(L962,Foundation_Calc!$K$117:$R$151,VLOOKUP(AW962,Foundation_Calc!$I$2:$J$8,2,FALSE),0),"")))</f>
        <v>3.5</v>
      </c>
      <c r="AZ962" s="10" t="str">
        <f>IF(K962="","",
IF(AX962="PT",VLOOKUP(K962,Foundation_Calc!$K$79:$R$113,VLOOKUP(AW962,Foundation_Calc!$I$2:$J$8,2,FALSE),0),
IF(AX962="K",VLOOKUP(K962,Foundation_Calc!$K$117:$R$151,VLOOKUP(AW962,Foundation_Calc!$I$2:$J$8,2,FALSE),0),"")))</f>
        <v/>
      </c>
      <c r="BA962" s="495" t="str">
        <f t="shared" si="115"/>
        <v>ü</v>
      </c>
      <c r="BB962" s="495" t="str">
        <f t="shared" si="116"/>
        <v/>
      </c>
      <c r="BC962" s="495" t="str">
        <f t="shared" si="117"/>
        <v/>
      </c>
      <c r="BD962" s="513" t="str">
        <f>IF(AND(L962="",H962=""),"",
IF(H962="",Pole_Calc!A$9,
IF(H962="MP",Pole_Calc!A$10,
IF(H962="AnMP",Pole_Calc!A$11,
IF(H962="A",Pole_Calc!A$12,
IF(H962="S/A",Pole_Calc!A$13,
IF(H962="A/S",Pole_Calc!A$14,"Poner a mano")))))))</f>
        <v>App.7-V11I-P9.5.1.1</v>
      </c>
      <c r="BE962" s="429" t="s">
        <v>118</v>
      </c>
      <c r="BF962" s="289"/>
      <c r="BG962" s="289"/>
      <c r="BH962" s="290"/>
      <c r="BI962" s="289"/>
    </row>
    <row r="963" spans="1:61" ht="15.75" customHeight="1">
      <c r="A963" s="514"/>
      <c r="B963" s="450"/>
      <c r="C963" s="3"/>
      <c r="D963" s="83"/>
      <c r="E963" s="4"/>
      <c r="F963" s="4"/>
      <c r="G963" s="6">
        <v>36</v>
      </c>
      <c r="H963" s="449"/>
      <c r="I963" s="4"/>
      <c r="J963" s="3"/>
      <c r="K963" s="449"/>
      <c r="L963" s="449"/>
      <c r="M963" s="449" t="str">
        <f>IF(L963="","",
IF(AX963="PT",VLOOKUP(L963,Foundation_Calc!$V$79:$X$113,VLOOKUP(AX963,Foundation_Calc!$I$10:$J$13,2,FALSE),0),
IF(AX963="K",VLOOKUP(L963,Foundation_Calc!$V$117:$X$151,VLOOKUP(AX963,Foundation_Calc!$I$10:$J$13,2,FALSE),0),"")))</f>
        <v/>
      </c>
      <c r="N963" s="449"/>
      <c r="O963" s="449"/>
      <c r="P963" s="449"/>
      <c r="Q963" s="4"/>
      <c r="R963" s="6"/>
      <c r="S963" s="6"/>
      <c r="T963" s="4"/>
      <c r="U963" s="4"/>
      <c r="V963" s="4"/>
      <c r="W963" s="9"/>
      <c r="X963" s="9"/>
      <c r="Y963" s="9"/>
      <c r="Z963" s="9"/>
      <c r="AA963" s="9"/>
      <c r="AB963" s="9"/>
      <c r="AC963" s="449" t="str">
        <f t="shared" si="108"/>
        <v/>
      </c>
      <c r="AD963" s="449"/>
      <c r="AE963" s="449"/>
      <c r="AF963" s="4"/>
      <c r="AG963" s="83"/>
      <c r="AH963" s="4"/>
      <c r="AI963" s="4"/>
      <c r="AJ963" s="449"/>
      <c r="AK963" s="449"/>
      <c r="AL963" s="449"/>
      <c r="AM963" s="449"/>
      <c r="AN963" s="10"/>
      <c r="AO963" s="9"/>
      <c r="AP963" s="9"/>
      <c r="AQ963" s="9">
        <f>+FL_1($T$964,$T$962,$G$963,1200,9.28,-1*$F$964)</f>
        <v>0.3</v>
      </c>
      <c r="AR963" s="9"/>
      <c r="AS963" s="9"/>
      <c r="AT963" s="9"/>
      <c r="AU963" s="428"/>
      <c r="AV963" s="428"/>
      <c r="AW963" s="449" t="str">
        <f>IF(C963&gt;0,VLOOKUP(C963,Foundation_Calc!$A$2:$C$13,3,1),
IF(J963&gt;0,VLOOKUP(J963,Foundation_Calc!$A$2:$C$13,3,1),""))</f>
        <v/>
      </c>
      <c r="AX963" s="449" t="str">
        <f>IF(C963&gt;0,VLOOKUP(C963,Foundation_Calc!$E$2:$G$33,3,1),
IF(J963&gt;0,VLOOKUP(J963,Foundation_Calc!$E$2:$G$33,3,1),""))</f>
        <v/>
      </c>
      <c r="AY963" s="10" t="str">
        <f>IF(L963="","",
IF(AX963="PT",VLOOKUP(L963,Foundation_Calc!$K$79:$R$113,VLOOKUP(AW963,Foundation_Calc!$I$2:$J$8,2,FALSE),0),
IF(AX963="K",VLOOKUP(L963,Foundation_Calc!$K$117:$R$151,VLOOKUP(AW963,Foundation_Calc!$I$2:$J$8,2,FALSE),0),"")))</f>
        <v/>
      </c>
      <c r="AZ963" s="10" t="str">
        <f>IF(K963="","",
IF(AX963="PT",VLOOKUP(K963,Foundation_Calc!$K$79:$R$113,VLOOKUP(AW963,Foundation_Calc!$I$2:$J$8,2,FALSE),0),
IF(AX963="K",VLOOKUP(K963,Foundation_Calc!$K$117:$R$151,VLOOKUP(AW963,Foundation_Calc!$I$2:$J$8,2,FALSE),0),"")))</f>
        <v/>
      </c>
      <c r="BA963" s="495" t="str">
        <f t="shared" si="115"/>
        <v/>
      </c>
      <c r="BB963" s="495" t="str">
        <f t="shared" si="116"/>
        <v/>
      </c>
      <c r="BC963" s="495" t="str">
        <f t="shared" si="117"/>
        <v/>
      </c>
      <c r="BD963" s="513" t="str">
        <f>IF(AND(L963="",H963=""),"",
IF(H963="",Pole_Calc!A$9,
IF(H963="MP",Pole_Calc!A$10,
IF(H963="AnMP",Pole_Calc!A$11,
IF(H963="A",Pole_Calc!A$12,
IF(H963="S/A",Pole_Calc!A$13,
IF(H963="A/S",Pole_Calc!A$14,"Poner a mano")))))))</f>
        <v/>
      </c>
      <c r="BE963" s="429" t="s">
        <v>118</v>
      </c>
      <c r="BF963" s="290"/>
      <c r="BG963" s="290"/>
      <c r="BH963" s="290"/>
      <c r="BI963" s="290"/>
    </row>
    <row r="964" spans="1:61" ht="15.75" customHeight="1">
      <c r="A964" s="514"/>
      <c r="B964" s="450" t="s">
        <v>750</v>
      </c>
      <c r="C964" s="3">
        <f>+$C$962+$G$963</f>
        <v>53020.789999999994</v>
      </c>
      <c r="D964" s="83"/>
      <c r="E964" s="4"/>
      <c r="F964" s="4">
        <f>IF(C964&gt;0,VLOOKUP(C964,'ALIGNMENT TRACK'!$A$1:$K$81,9,1))</f>
        <v>-750</v>
      </c>
      <c r="G964" s="6"/>
      <c r="H964" s="449"/>
      <c r="I964" s="4"/>
      <c r="J964" s="3"/>
      <c r="K964" s="449"/>
      <c r="L964" s="449" t="s">
        <v>158</v>
      </c>
      <c r="M964" s="449" t="str">
        <f>IF(L964="","",
IF(AX964="PT",VLOOKUP(L964,Foundation_Calc!$V$79:$X$113,VLOOKUP(AX964,Foundation_Calc!$I$10:$J$13,2,FALSE),0),
IF(AX964="K",VLOOKUP(L964,Foundation_Calc!$V$117:$X$151,VLOOKUP(AX964,Foundation_Calc!$I$10:$J$13,2,FALSE),0),"")))</f>
        <v>C4R</v>
      </c>
      <c r="N964" s="449" t="s">
        <v>134</v>
      </c>
      <c r="O964" s="449"/>
      <c r="P964" s="449"/>
      <c r="Q964" s="4"/>
      <c r="R964" s="6"/>
      <c r="S964" s="6"/>
      <c r="T964" s="4">
        <v>30</v>
      </c>
      <c r="U964" s="4"/>
      <c r="V964" s="4"/>
      <c r="W964" s="9">
        <v>1.4</v>
      </c>
      <c r="X964" s="9"/>
      <c r="Y964" s="9"/>
      <c r="Z964" s="9"/>
      <c r="AA964" s="9"/>
      <c r="AB964" s="9"/>
      <c r="AC964" s="449" t="str">
        <f t="shared" si="108"/>
        <v>PHC</v>
      </c>
      <c r="AD964" s="449"/>
      <c r="AE964" s="449"/>
      <c r="AF964" s="4"/>
      <c r="AG964" s="83"/>
      <c r="AH964" s="4"/>
      <c r="AI964" s="4"/>
      <c r="AJ964" s="449"/>
      <c r="AK964" s="449"/>
      <c r="AL964" s="449"/>
      <c r="AM964" s="449" t="s">
        <v>552</v>
      </c>
      <c r="AN964" s="10">
        <v>5.5</v>
      </c>
      <c r="AO964" s="9"/>
      <c r="AP964" s="9"/>
      <c r="AQ964" s="9"/>
      <c r="AR964" s="9"/>
      <c r="AS964" s="9"/>
      <c r="AT964" s="9">
        <f>+ab($T$964,$T$962,$T$966,$G$963,$G$965,-1*$F$964,1200)</f>
        <v>3.7818534237489043</v>
      </c>
      <c r="AU964" s="428"/>
      <c r="AV964" s="428"/>
      <c r="AW964" s="449" t="str">
        <f>IF(C964&gt;0,VLOOKUP(C964,Foundation_Calc!$A$2:$C$13,3,1),
IF(J964&gt;0,VLOOKUP(J964,Foundation_Calc!$A$2:$C$13,3,1),""))</f>
        <v>Multi Soil</v>
      </c>
      <c r="AX964" s="449" t="str">
        <f>IF(C964&gt;0,VLOOKUP(C964,Foundation_Calc!$E$2:$G$33,3,1),
IF(J964&gt;0,VLOOKUP(J964,Foundation_Calc!$E$2:$G$33,3,1),""))</f>
        <v>PT</v>
      </c>
      <c r="AY964" s="10">
        <f>IF(L964="","",
IF(AX964="PT",VLOOKUP(L964,Foundation_Calc!$K$79:$R$113,VLOOKUP(AW964,Foundation_Calc!$I$2:$J$8,2,FALSE),0),
IF(AX964="K",VLOOKUP(L964,Foundation_Calc!$K$117:$R$151,VLOOKUP(AW964,Foundation_Calc!$I$2:$J$8,2,FALSE),0),"")))</f>
        <v>3.5</v>
      </c>
      <c r="AZ964" s="10" t="str">
        <f>IF(K964="","",
IF(AX964="PT",VLOOKUP(K964,Foundation_Calc!$K$79:$R$113,VLOOKUP(AW964,Foundation_Calc!$I$2:$J$8,2,FALSE),0),
IF(AX964="K",VLOOKUP(K964,Foundation_Calc!$K$117:$R$151,VLOOKUP(AW964,Foundation_Calc!$I$2:$J$8,2,FALSE),0),"")))</f>
        <v/>
      </c>
      <c r="BA964" s="495" t="str">
        <f t="shared" si="115"/>
        <v>ü</v>
      </c>
      <c r="BB964" s="495" t="str">
        <f t="shared" si="116"/>
        <v/>
      </c>
      <c r="BC964" s="495" t="str">
        <f t="shared" si="117"/>
        <v/>
      </c>
      <c r="BD964" s="513" t="str">
        <f>IF(AND(L964="",H964=""),"",
IF(H964="",Pole_Calc!A$9,
IF(H964="MP",Pole_Calc!A$10,
IF(H964="AnMP",Pole_Calc!A$11,
IF(H964="A",Pole_Calc!A$12,
IF(H964="S/A",Pole_Calc!A$13,
IF(H964="A/S",Pole_Calc!A$14,"Poner a mano")))))))</f>
        <v>App.7-V11I-P9.5.1.1</v>
      </c>
      <c r="BE964" s="429" t="s">
        <v>118</v>
      </c>
      <c r="BF964" s="289"/>
      <c r="BG964" s="289"/>
      <c r="BH964" s="290"/>
      <c r="BI964" s="289"/>
    </row>
    <row r="965" spans="1:61" ht="15.75" customHeight="1">
      <c r="A965" s="514"/>
      <c r="B965" s="450"/>
      <c r="C965" s="3"/>
      <c r="D965" s="83"/>
      <c r="E965" s="4"/>
      <c r="F965" s="4"/>
      <c r="G965" s="6">
        <v>40</v>
      </c>
      <c r="H965" s="449"/>
      <c r="I965" s="4"/>
      <c r="J965" s="3"/>
      <c r="K965" s="449"/>
      <c r="L965" s="449"/>
      <c r="M965" s="449" t="str">
        <f>IF(L965="","",
IF(AX965="PT",VLOOKUP(L965,Foundation_Calc!$V$79:$X$113,VLOOKUP(AX965,Foundation_Calc!$I$10:$J$13,2,FALSE),0),
IF(AX965="K",VLOOKUP(L965,Foundation_Calc!$V$117:$X$151,VLOOKUP(AX965,Foundation_Calc!$I$10:$J$13,2,FALSE),0),"")))</f>
        <v/>
      </c>
      <c r="N965" s="449"/>
      <c r="O965" s="449"/>
      <c r="P965" s="449"/>
      <c r="Q965" s="4"/>
      <c r="R965" s="6"/>
      <c r="S965" s="6"/>
      <c r="T965" s="4"/>
      <c r="U965" s="4"/>
      <c r="V965" s="4"/>
      <c r="W965" s="9"/>
      <c r="X965" s="9"/>
      <c r="Y965" s="9"/>
      <c r="Z965" s="9"/>
      <c r="AA965" s="9"/>
      <c r="AB965" s="9"/>
      <c r="AC965" s="449" t="str">
        <f t="shared" si="108"/>
        <v/>
      </c>
      <c r="AD965" s="449"/>
      <c r="AE965" s="449"/>
      <c r="AF965" s="4"/>
      <c r="AG965" s="83"/>
      <c r="AH965" s="4"/>
      <c r="AI965" s="4"/>
      <c r="AJ965" s="449"/>
      <c r="AK965" s="449"/>
      <c r="AL965" s="449"/>
      <c r="AM965" s="449"/>
      <c r="AN965" s="10"/>
      <c r="AO965" s="9"/>
      <c r="AP965" s="9"/>
      <c r="AQ965" s="9">
        <f>+FL_1($T$966,$T$964,$G$965,1200,9.28,-1*$F$966)</f>
        <v>0.3</v>
      </c>
      <c r="AR965" s="9"/>
      <c r="AS965" s="9"/>
      <c r="AT965" s="9"/>
      <c r="AU965" s="428"/>
      <c r="AV965" s="428"/>
      <c r="AW965" s="449" t="str">
        <f>IF(C965&gt;0,VLOOKUP(C965,Foundation_Calc!$A$2:$C$13,3,1),
IF(J965&gt;0,VLOOKUP(J965,Foundation_Calc!$A$2:$C$13,3,1),""))</f>
        <v/>
      </c>
      <c r="AX965" s="449" t="str">
        <f>IF(C965&gt;0,VLOOKUP(C965,Foundation_Calc!$E$2:$G$33,3,1),
IF(J965&gt;0,VLOOKUP(J965,Foundation_Calc!$E$2:$G$33,3,1),""))</f>
        <v/>
      </c>
      <c r="AY965" s="10" t="str">
        <f>IF(L965="","",
IF(AX965="PT",VLOOKUP(L965,Foundation_Calc!$K$79:$R$113,VLOOKUP(AW965,Foundation_Calc!$I$2:$J$8,2,FALSE),0),
IF(AX965="K",VLOOKUP(L965,Foundation_Calc!$K$117:$R$151,VLOOKUP(AW965,Foundation_Calc!$I$2:$J$8,2,FALSE),0),"")))</f>
        <v/>
      </c>
      <c r="AZ965" s="10" t="str">
        <f>IF(K965="","",
IF(AX965="PT",VLOOKUP(K965,Foundation_Calc!$K$79:$R$113,VLOOKUP(AW965,Foundation_Calc!$I$2:$J$8,2,FALSE),0),
IF(AX965="K",VLOOKUP(K965,Foundation_Calc!$K$117:$R$151,VLOOKUP(AW965,Foundation_Calc!$I$2:$J$8,2,FALSE),0),"")))</f>
        <v/>
      </c>
      <c r="BA965" s="495" t="str">
        <f t="shared" si="115"/>
        <v/>
      </c>
      <c r="BB965" s="495" t="str">
        <f t="shared" si="116"/>
        <v/>
      </c>
      <c r="BC965" s="495" t="str">
        <f t="shared" si="117"/>
        <v/>
      </c>
      <c r="BD965" s="513" t="str">
        <f>IF(AND(L965="",H965=""),"",
IF(H965="",Pole_Calc!A$9,
IF(H965="MP",Pole_Calc!A$10,
IF(H965="AnMP",Pole_Calc!A$11,
IF(H965="A",Pole_Calc!A$12,
IF(H965="S/A",Pole_Calc!A$13,
IF(H965="A/S",Pole_Calc!A$14,"Poner a mano")))))))</f>
        <v/>
      </c>
      <c r="BE965" s="429" t="s">
        <v>118</v>
      </c>
      <c r="BF965" s="290"/>
      <c r="BG965" s="290"/>
      <c r="BH965" s="290"/>
      <c r="BI965" s="290"/>
    </row>
    <row r="966" spans="1:61" ht="15.75" customHeight="1">
      <c r="A966" s="518"/>
      <c r="B966" s="450" t="s">
        <v>751</v>
      </c>
      <c r="C966" s="3">
        <f>+$C$964+$G$965</f>
        <v>53060.789999999994</v>
      </c>
      <c r="D966" s="83"/>
      <c r="E966" s="4"/>
      <c r="F966" s="4">
        <f>IF(C966&gt;0,VLOOKUP(C966,'ALIGNMENT TRACK'!$A$1:$K$81,9,1))</f>
        <v>-750</v>
      </c>
      <c r="G966" s="6"/>
      <c r="H966" s="449"/>
      <c r="I966" s="4"/>
      <c r="J966" s="3"/>
      <c r="K966" s="449"/>
      <c r="L966" s="449" t="s">
        <v>158</v>
      </c>
      <c r="M966" s="449" t="str">
        <f>IF(L966="","",
IF(AX966="PT",VLOOKUP(L966,Foundation_Calc!$V$79:$X$113,VLOOKUP(AX966,Foundation_Calc!$I$10:$J$13,2,FALSE),0),
IF(AX966="K",VLOOKUP(L966,Foundation_Calc!$V$117:$X$151,VLOOKUP(AX966,Foundation_Calc!$I$10:$J$13,2,FALSE),0),"")))</f>
        <v>C4R</v>
      </c>
      <c r="N966" s="449" t="s">
        <v>134</v>
      </c>
      <c r="O966" s="449"/>
      <c r="P966" s="449"/>
      <c r="Q966" s="4"/>
      <c r="R966" s="6"/>
      <c r="S966" s="6"/>
      <c r="T966" s="4">
        <v>30</v>
      </c>
      <c r="U966" s="4"/>
      <c r="V966" s="4"/>
      <c r="W966" s="9">
        <v>1.4</v>
      </c>
      <c r="X966" s="9"/>
      <c r="Y966" s="9"/>
      <c r="Z966" s="9"/>
      <c r="AA966" s="9"/>
      <c r="AB966" s="9"/>
      <c r="AC966" s="449" t="str">
        <f t="shared" si="108"/>
        <v>PHC</v>
      </c>
      <c r="AD966" s="449"/>
      <c r="AE966" s="449"/>
      <c r="AF966" s="4"/>
      <c r="AG966" s="83"/>
      <c r="AH966" s="4"/>
      <c r="AI966" s="4"/>
      <c r="AJ966" s="449"/>
      <c r="AK966" s="449"/>
      <c r="AL966" s="449"/>
      <c r="AM966" s="449" t="s">
        <v>552</v>
      </c>
      <c r="AN966" s="10">
        <v>5.5</v>
      </c>
      <c r="AO966" s="9"/>
      <c r="AP966" s="9"/>
      <c r="AQ966" s="9"/>
      <c r="AR966" s="9"/>
      <c r="AS966" s="9"/>
      <c r="AT966" s="9">
        <f>+ab($T$966,$T$964,$T$968,$G$965,$G$967,-1*$F$966,1200)</f>
        <v>3.5932691577248321</v>
      </c>
      <c r="AU966" s="428"/>
      <c r="AV966" s="428"/>
      <c r="AW966" s="449" t="str">
        <f>IF(C966&gt;0,VLOOKUP(C966,Foundation_Calc!$A$2:$C$13,3,1),
IF(J966&gt;0,VLOOKUP(J966,Foundation_Calc!$A$2:$C$13,3,1),""))</f>
        <v>Multi Soil</v>
      </c>
      <c r="AX966" s="449" t="str">
        <f>IF(C966&gt;0,VLOOKUP(C966,Foundation_Calc!$E$2:$G$33,3,1),
IF(J966&gt;0,VLOOKUP(J966,Foundation_Calc!$E$2:$G$33,3,1),""))</f>
        <v>PT</v>
      </c>
      <c r="AY966" s="10">
        <f>IF(L966="","",
IF(AX966="PT",VLOOKUP(L966,Foundation_Calc!$K$79:$R$113,VLOOKUP(AW966,Foundation_Calc!$I$2:$J$8,2,FALSE),0),
IF(AX966="K",VLOOKUP(L966,Foundation_Calc!$K$117:$R$151,VLOOKUP(AW966,Foundation_Calc!$I$2:$J$8,2,FALSE),0),"")))</f>
        <v>3.5</v>
      </c>
      <c r="AZ966" s="10" t="str">
        <f>IF(K966="","",
IF(AX966="PT",VLOOKUP(K966,Foundation_Calc!$K$79:$R$113,VLOOKUP(AW966,Foundation_Calc!$I$2:$J$8,2,FALSE),0),
IF(AX966="K",VLOOKUP(K966,Foundation_Calc!$K$117:$R$151,VLOOKUP(AW966,Foundation_Calc!$I$2:$J$8,2,FALSE),0),"")))</f>
        <v/>
      </c>
      <c r="BA966" s="495" t="str">
        <f t="shared" si="115"/>
        <v>ü</v>
      </c>
      <c r="BB966" s="495" t="str">
        <f t="shared" si="116"/>
        <v/>
      </c>
      <c r="BC966" s="495" t="str">
        <f t="shared" si="117"/>
        <v/>
      </c>
      <c r="BD966" s="513" t="str">
        <f>IF(AND(L966="",H966=""),"",
IF(H966="",Pole_Calc!A$9,
IF(H966="MP",Pole_Calc!A$10,
IF(H966="AnMP",Pole_Calc!A$11,
IF(H966="A",Pole_Calc!A$12,
IF(H966="S/A",Pole_Calc!A$13,
IF(H966="A/S",Pole_Calc!A$14,"Poner a mano")))))))</f>
        <v>App.7-V11I-P9.5.1.1</v>
      </c>
      <c r="BE966" s="429" t="s">
        <v>118</v>
      </c>
      <c r="BF966" s="289"/>
      <c r="BG966" s="289"/>
      <c r="BH966" s="290"/>
      <c r="BI966" s="289"/>
    </row>
    <row r="967" spans="1:61" ht="15.75" customHeight="1">
      <c r="A967" s="518"/>
      <c r="B967" s="450"/>
      <c r="C967" s="3"/>
      <c r="D967" s="83"/>
      <c r="E967" s="4"/>
      <c r="F967" s="4"/>
      <c r="G967" s="6">
        <v>40</v>
      </c>
      <c r="H967" s="449"/>
      <c r="I967" s="4"/>
      <c r="J967" s="3"/>
      <c r="K967" s="449"/>
      <c r="L967" s="449"/>
      <c r="M967" s="449" t="str">
        <f>IF(L967="","",
IF(AX967="PT",VLOOKUP(L967,Foundation_Calc!$V$79:$X$113,VLOOKUP(AX967,Foundation_Calc!$I$10:$J$13,2,FALSE),0),
IF(AX967="K",VLOOKUP(L967,Foundation_Calc!$V$117:$X$151,VLOOKUP(AX967,Foundation_Calc!$I$10:$J$13,2,FALSE),0),"")))</f>
        <v/>
      </c>
      <c r="N967" s="561"/>
      <c r="O967" s="449"/>
      <c r="P967" s="449"/>
      <c r="Q967" s="4"/>
      <c r="R967" s="6"/>
      <c r="S967" s="6"/>
      <c r="T967" s="4"/>
      <c r="U967" s="4"/>
      <c r="V967" s="4"/>
      <c r="W967" s="9"/>
      <c r="X967" s="9"/>
      <c r="Y967" s="9"/>
      <c r="Z967" s="9"/>
      <c r="AA967" s="9"/>
      <c r="AB967" s="9"/>
      <c r="AC967" s="449" t="str">
        <f t="shared" si="108"/>
        <v/>
      </c>
      <c r="AD967" s="449"/>
      <c r="AE967" s="449"/>
      <c r="AF967" s="4"/>
      <c r="AG967" s="83"/>
      <c r="AH967" s="4"/>
      <c r="AI967" s="4"/>
      <c r="AJ967" s="449"/>
      <c r="AK967" s="449"/>
      <c r="AL967" s="449"/>
      <c r="AM967" s="449"/>
      <c r="AN967" s="10"/>
      <c r="AO967" s="9"/>
      <c r="AP967" s="9"/>
      <c r="AQ967" s="9">
        <f>+FL_1($T$968,$T$966,$G$967,1200,9.28,-1*$F$968)</f>
        <v>0.3</v>
      </c>
      <c r="AR967" s="9"/>
      <c r="AS967" s="9"/>
      <c r="AT967" s="9"/>
      <c r="AU967" s="428"/>
      <c r="AV967" s="428"/>
      <c r="AW967" s="449" t="str">
        <f>IF(C967&gt;0,VLOOKUP(C967,Foundation_Calc!$A$2:$C$13,3,1),
IF(J967&gt;0,VLOOKUP(J967,Foundation_Calc!$A$2:$C$13,3,1),""))</f>
        <v/>
      </c>
      <c r="AX967" s="449" t="str">
        <f>IF(C967&gt;0,VLOOKUP(C967,Foundation_Calc!$E$2:$G$33,3,1),
IF(J967&gt;0,VLOOKUP(J967,Foundation_Calc!$E$2:$G$33,3,1),""))</f>
        <v/>
      </c>
      <c r="AY967" s="10" t="str">
        <f>IF(L967="","",
IF(AX967="PT",VLOOKUP(L967,Foundation_Calc!$K$79:$R$113,VLOOKUP(AW967,Foundation_Calc!$I$2:$J$8,2,FALSE),0),
IF(AX967="K",VLOOKUP(L967,Foundation_Calc!$K$117:$R$151,VLOOKUP(AW967,Foundation_Calc!$I$2:$J$8,2,FALSE),0),"")))</f>
        <v/>
      </c>
      <c r="AZ967" s="10" t="str">
        <f>IF(K967="","",
IF(AX967="PT",VLOOKUP(K967,Foundation_Calc!$K$79:$R$113,VLOOKUP(AW967,Foundation_Calc!$I$2:$J$8,2,FALSE),0),
IF(AX967="K",VLOOKUP(K967,Foundation_Calc!$K$117:$R$151,VLOOKUP(AW967,Foundation_Calc!$I$2:$J$8,2,FALSE),0),"")))</f>
        <v/>
      </c>
      <c r="BA967" s="495" t="str">
        <f t="shared" si="115"/>
        <v/>
      </c>
      <c r="BB967" s="495" t="str">
        <f t="shared" si="116"/>
        <v/>
      </c>
      <c r="BC967" s="495" t="str">
        <f t="shared" si="117"/>
        <v/>
      </c>
      <c r="BD967" s="513" t="str">
        <f>IF(AND(L967="",H967=""),"",
IF(H967="",Pole_Calc!A$9,
IF(H967="MP",Pole_Calc!A$10,
IF(H967="AnMP",Pole_Calc!A$11,
IF(H967="A",Pole_Calc!A$12,
IF(H967="S/A",Pole_Calc!A$13,
IF(H967="A/S",Pole_Calc!A$14,"Poner a mano")))))))</f>
        <v/>
      </c>
      <c r="BE967" s="429" t="s">
        <v>118</v>
      </c>
      <c r="BF967" s="290"/>
      <c r="BG967" s="290"/>
      <c r="BH967" s="290"/>
      <c r="BI967" s="290"/>
    </row>
    <row r="968" spans="1:61" ht="15.75" customHeight="1">
      <c r="A968" s="514"/>
      <c r="B968" s="450" t="s">
        <v>752</v>
      </c>
      <c r="C968" s="3">
        <f>+$C$966+$G$967</f>
        <v>53100.789999999994</v>
      </c>
      <c r="D968" s="83"/>
      <c r="E968" s="4"/>
      <c r="F968" s="4">
        <f>(346^2)/(C968-53246.27)</f>
        <v>-822.90349188890139</v>
      </c>
      <c r="G968" s="6"/>
      <c r="H968" s="449"/>
      <c r="I968" s="4"/>
      <c r="J968" s="3"/>
      <c r="K968" s="449"/>
      <c r="L968" s="449" t="s">
        <v>158</v>
      </c>
      <c r="M968" s="449" t="str">
        <f>IF(L968="","",
IF(AX968="PT",VLOOKUP(L968,Foundation_Calc!$V$79:$X$113,VLOOKUP(AX968,Foundation_Calc!$I$10:$J$13,2,FALSE),0),
IF(AX968="K",VLOOKUP(L968,Foundation_Calc!$V$117:$X$151,VLOOKUP(AX968,Foundation_Calc!$I$10:$J$13,2,FALSE),0),"")))</f>
        <v>C4R</v>
      </c>
      <c r="N968" s="449" t="s">
        <v>134</v>
      </c>
      <c r="O968" s="449"/>
      <c r="P968" s="449"/>
      <c r="Q968" s="4"/>
      <c r="R968" s="6"/>
      <c r="S968" s="6"/>
      <c r="T968" s="4">
        <v>30</v>
      </c>
      <c r="U968" s="4"/>
      <c r="V968" s="4"/>
      <c r="W968" s="9">
        <v>1.4</v>
      </c>
      <c r="X968" s="9"/>
      <c r="Y968" s="9"/>
      <c r="Z968" s="9"/>
      <c r="AA968" s="9"/>
      <c r="AB968" s="9"/>
      <c r="AC968" s="449" t="str">
        <f t="shared" si="108"/>
        <v>PHC</v>
      </c>
      <c r="AD968" s="449"/>
      <c r="AE968" s="449"/>
      <c r="AF968" s="4"/>
      <c r="AG968" s="83"/>
      <c r="AH968" s="4"/>
      <c r="AI968" s="4"/>
      <c r="AJ968" s="449"/>
      <c r="AK968" s="449"/>
      <c r="AL968" s="449"/>
      <c r="AM968" s="449" t="s">
        <v>552</v>
      </c>
      <c r="AN968" s="10">
        <v>5.5</v>
      </c>
      <c r="AO968" s="9"/>
      <c r="AP968" s="9"/>
      <c r="AQ968" s="9"/>
      <c r="AR968" s="9"/>
      <c r="AS968" s="9"/>
      <c r="AT968" s="9">
        <f>+ab($T$968,$T$966,$T$970,$G$967,$G$969,-1*$F$968,1200)</f>
        <v>3.941499275809063</v>
      </c>
      <c r="AU968" s="428"/>
      <c r="AV968" s="428"/>
      <c r="AW968" s="449" t="str">
        <f>IF(C968&gt;0,VLOOKUP(C968,Foundation_Calc!$A$2:$C$13,3,1),
IF(J968&gt;0,VLOOKUP(J968,Foundation_Calc!$A$2:$C$13,3,1),""))</f>
        <v>Multi Soil</v>
      </c>
      <c r="AX968" s="449" t="str">
        <f>IF(C968&gt;0,VLOOKUP(C968,Foundation_Calc!$E$2:$G$33,3,1),
IF(J968&gt;0,VLOOKUP(J968,Foundation_Calc!$E$2:$G$33,3,1),""))</f>
        <v>PT</v>
      </c>
      <c r="AY968" s="10">
        <f>IF(L968="","",
IF(AX968="PT",VLOOKUP(L968,Foundation_Calc!$K$79:$R$113,VLOOKUP(AW968,Foundation_Calc!$I$2:$J$8,2,FALSE),0),
IF(AX968="K",VLOOKUP(L968,Foundation_Calc!$K$117:$R$151,VLOOKUP(AW968,Foundation_Calc!$I$2:$J$8,2,FALSE),0),"")))</f>
        <v>3.5</v>
      </c>
      <c r="AZ968" s="10" t="str">
        <f>IF(K968="","",
IF(AX968="PT",VLOOKUP(K968,Foundation_Calc!$K$79:$R$113,VLOOKUP(AW968,Foundation_Calc!$I$2:$J$8,2,FALSE),0),
IF(AX968="K",VLOOKUP(K968,Foundation_Calc!$K$117:$R$151,VLOOKUP(AW968,Foundation_Calc!$I$2:$J$8,2,FALSE),0),"")))</f>
        <v/>
      </c>
      <c r="BA968" s="495" t="str">
        <f t="shared" si="115"/>
        <v>ü</v>
      </c>
      <c r="BB968" s="495" t="str">
        <f t="shared" si="116"/>
        <v/>
      </c>
      <c r="BC968" s="495" t="str">
        <f t="shared" si="117"/>
        <v/>
      </c>
      <c r="BD968" s="513" t="str">
        <f>IF(AND(L968="",H968=""),"",
IF(H968="",Pole_Calc!A$9,
IF(H968="MP",Pole_Calc!A$10,
IF(H968="AnMP",Pole_Calc!A$11,
IF(H968="A",Pole_Calc!A$12,
IF(H968="S/A",Pole_Calc!A$13,
IF(H968="A/S",Pole_Calc!A$14,"Poner a mano")))))))</f>
        <v>App.7-V11I-P9.5.1.1</v>
      </c>
      <c r="BE968" s="429" t="s">
        <v>118</v>
      </c>
      <c r="BF968" s="289"/>
      <c r="BG968" s="289"/>
      <c r="BH968" s="290"/>
      <c r="BI968" s="289"/>
    </row>
    <row r="969" spans="1:61" ht="15.75" customHeight="1">
      <c r="A969" s="514"/>
      <c r="B969" s="450"/>
      <c r="C969" s="3"/>
      <c r="D969" s="83"/>
      <c r="E969" s="4"/>
      <c r="F969" s="4"/>
      <c r="G969" s="6">
        <v>40</v>
      </c>
      <c r="H969" s="449"/>
      <c r="I969" s="4"/>
      <c r="J969" s="3">
        <f>C970-7.5</f>
        <v>53133.289999999994</v>
      </c>
      <c r="K969" s="449" t="s">
        <v>117</v>
      </c>
      <c r="L969" s="449"/>
      <c r="M969" s="449" t="str">
        <f>IF(L969="","",
IF(AX969="PT",VLOOKUP(L969,Foundation_Calc!$V$79:$X$113,VLOOKUP(AX969,Foundation_Calc!$I$10:$J$13,2,FALSE),0),
IF(AX969="K",VLOOKUP(L969,Foundation_Calc!$V$117:$X$151,VLOOKUP(AX969,Foundation_Calc!$I$10:$J$13,2,FALSE),0),"")))</f>
        <v/>
      </c>
      <c r="N969" s="449"/>
      <c r="O969" s="449"/>
      <c r="P969" s="449"/>
      <c r="Q969" s="4"/>
      <c r="R969" s="6"/>
      <c r="S969" s="6"/>
      <c r="T969" s="4"/>
      <c r="U969" s="4"/>
      <c r="V969" s="4"/>
      <c r="W969" s="9"/>
      <c r="X969" s="9"/>
      <c r="Y969" s="9"/>
      <c r="Z969" s="9"/>
      <c r="AA969" s="9"/>
      <c r="AB969" s="9"/>
      <c r="AC969" s="449" t="str">
        <f t="shared" si="108"/>
        <v/>
      </c>
      <c r="AD969" s="449"/>
      <c r="AE969" s="449"/>
      <c r="AF969" s="4"/>
      <c r="AG969" s="83"/>
      <c r="AH969" s="4"/>
      <c r="AI969" s="4"/>
      <c r="AJ969" s="449"/>
      <c r="AK969" s="449"/>
      <c r="AL969" s="449"/>
      <c r="AM969" s="449"/>
      <c r="AN969" s="10"/>
      <c r="AO969" s="9"/>
      <c r="AP969" s="9"/>
      <c r="AQ969" s="9">
        <f>+FL_1($T$970,$T$968,$G$969,1200,9.28,-1*$F$970)</f>
        <v>0.3</v>
      </c>
      <c r="AR969" s="9"/>
      <c r="AS969" s="9"/>
      <c r="AT969" s="9"/>
      <c r="AU969" s="428"/>
      <c r="AV969" s="428"/>
      <c r="AW969" s="449" t="str">
        <f>IF(C969&gt;0,VLOOKUP(C969,Foundation_Calc!$A$2:$C$13,3,1),
IF(J969&gt;0,VLOOKUP(J969,Foundation_Calc!$A$2:$C$13,3,1),""))</f>
        <v>Multi Soil</v>
      </c>
      <c r="AX969" s="449" t="str">
        <f>IF(C969&gt;0,VLOOKUP(C969,Foundation_Calc!$E$2:$G$33,3,1),
IF(J969&gt;0,VLOOKUP(J969,Foundation_Calc!$E$2:$G$33,3,1),""))</f>
        <v>PT</v>
      </c>
      <c r="AY969" s="10" t="str">
        <f>IF(L969="","",
IF(AX969="PT",VLOOKUP(L969,Foundation_Calc!$K$79:$R$113,VLOOKUP(AW969,Foundation_Calc!$I$2:$J$8,2,FALSE),0),
IF(AX969="K",VLOOKUP(L969,Foundation_Calc!$K$117:$R$151,VLOOKUP(AW969,Foundation_Calc!$I$2:$J$8,2,FALSE),0),"")))</f>
        <v/>
      </c>
      <c r="AZ969" s="10">
        <f>IF(K969="","",
IF(AX969="PT",VLOOKUP(K969,Foundation_Calc!$K$79:$R$113,VLOOKUP(AW969,Foundation_Calc!$I$2:$J$8,2,FALSE),0),
IF(AX969="K",VLOOKUP(K969,Foundation_Calc!$K$117:$R$151,VLOOKUP(AW969,Foundation_Calc!$I$2:$J$8,2,FALSE),0),"")))</f>
        <v>3.9</v>
      </c>
      <c r="BA969" s="495" t="str">
        <f t="shared" si="115"/>
        <v/>
      </c>
      <c r="BB969" s="495" t="str">
        <f t="shared" si="116"/>
        <v>ü</v>
      </c>
      <c r="BC969" s="495" t="str">
        <f t="shared" si="117"/>
        <v/>
      </c>
      <c r="BD969" s="513" t="str">
        <f>IF(AND(L969="",H969=""),"",
IF(H969="",Pole_Calc!A$9,
IF(H969="MP",Pole_Calc!A$10,
IF(H969="AnMP",Pole_Calc!A$11,
IF(H969="A",Pole_Calc!A$12,
IF(H969="S/A",Pole_Calc!A$13,
IF(H969="A/S",Pole_Calc!A$14,"Poner a mano")))))))</f>
        <v/>
      </c>
      <c r="BE969" s="429" t="s">
        <v>118</v>
      </c>
      <c r="BF969" s="290"/>
      <c r="BG969" s="290"/>
      <c r="BH969" s="290"/>
      <c r="BI969" s="290"/>
    </row>
    <row r="970" spans="1:61" ht="15.75" customHeight="1">
      <c r="A970" s="514"/>
      <c r="B970" s="450" t="s">
        <v>753</v>
      </c>
      <c r="C970" s="3">
        <f>+$C$968+$G$969</f>
        <v>53140.789999999994</v>
      </c>
      <c r="D970" s="83"/>
      <c r="E970" s="4"/>
      <c r="F970" s="4">
        <f>(346^2)/(C970-53246.27)</f>
        <v>-1134.9639742130864</v>
      </c>
      <c r="G970" s="6"/>
      <c r="H970" s="449" t="s">
        <v>121</v>
      </c>
      <c r="I970" s="4" t="s">
        <v>122</v>
      </c>
      <c r="J970" s="3"/>
      <c r="K970" s="449"/>
      <c r="L970" s="449" t="s">
        <v>181</v>
      </c>
      <c r="M970" s="449" t="str">
        <f>IF(L970="","",
IF(AX970="PT",VLOOKUP(L970,Foundation_Calc!$V$79:$X$113,VLOOKUP(AX970,Foundation_Calc!$I$10:$J$13,2,FALSE),0),
IF(AX970="K",VLOOKUP(L970,Foundation_Calc!$V$117:$X$151,VLOOKUP(AX970,Foundation_Calc!$I$10:$J$13,2,FALSE),0),"")))</f>
        <v>C5R</v>
      </c>
      <c r="N970" s="449" t="s">
        <v>134</v>
      </c>
      <c r="O970" s="449"/>
      <c r="P970" s="449"/>
      <c r="Q970" s="4"/>
      <c r="R970" s="6"/>
      <c r="S970" s="6"/>
      <c r="T970" s="4">
        <v>30</v>
      </c>
      <c r="U970" s="4"/>
      <c r="V970" s="4"/>
      <c r="W970" s="9">
        <v>1.4</v>
      </c>
      <c r="X970" s="9"/>
      <c r="Y970" s="9"/>
      <c r="Z970" s="9"/>
      <c r="AA970" s="9"/>
      <c r="AB970" s="9"/>
      <c r="AC970" s="449" t="str">
        <f t="shared" si="108"/>
        <v>PHC</v>
      </c>
      <c r="AD970" s="449"/>
      <c r="AE970" s="449"/>
      <c r="AF970" s="4"/>
      <c r="AG970" s="83"/>
      <c r="AH970" s="4"/>
      <c r="AI970" s="4"/>
      <c r="AJ970" s="449"/>
      <c r="AK970" s="449"/>
      <c r="AL970" s="449"/>
      <c r="AM970" s="449" t="s">
        <v>552</v>
      </c>
      <c r="AN970" s="10">
        <v>5.5</v>
      </c>
      <c r="AO970" s="9"/>
      <c r="AP970" s="9"/>
      <c r="AQ970" s="9"/>
      <c r="AR970" s="9"/>
      <c r="AS970" s="9"/>
      <c r="AT970" s="9">
        <f>+ab($T$970,$T$968,$U$972,$G$969,$G$971,-1*$F$970,1200)</f>
        <v>4.5340180516292756</v>
      </c>
      <c r="AU970" s="428"/>
      <c r="AV970" s="428"/>
      <c r="AW970" s="449" t="str">
        <f>IF(C970&gt;0,VLOOKUP(C970,Foundation_Calc!$A$2:$C$13,3,1),
IF(J970&gt;0,VLOOKUP(J970,Foundation_Calc!$A$2:$C$13,3,1),""))</f>
        <v>Multi Soil</v>
      </c>
      <c r="AX970" s="449" t="str">
        <f>IF(C970&gt;0,VLOOKUP(C970,Foundation_Calc!$E$2:$G$33,3,1),
IF(J970&gt;0,VLOOKUP(J970,Foundation_Calc!$E$2:$G$33,3,1),""))</f>
        <v>PT</v>
      </c>
      <c r="AY970" s="10">
        <f>IF(L970="","",
IF(AX970="PT",VLOOKUP(L970,Foundation_Calc!$K$79:$R$113,VLOOKUP(AW970,Foundation_Calc!$I$2:$J$8,2,FALSE),0),
IF(AX970="K",VLOOKUP(L970,Foundation_Calc!$K$117:$R$151,VLOOKUP(AW970,Foundation_Calc!$I$2:$J$8,2,FALSE),0),"")))</f>
        <v>3.5</v>
      </c>
      <c r="AZ970" s="10" t="str">
        <f>IF(K970="","",
IF(AX970="PT",VLOOKUP(K970,Foundation_Calc!$K$79:$R$113,VLOOKUP(AW970,Foundation_Calc!$I$2:$J$8,2,FALSE),0),
IF(AX970="K",VLOOKUP(K970,Foundation_Calc!$K$117:$R$151,VLOOKUP(AW970,Foundation_Calc!$I$2:$J$8,2,FALSE),0),"")))</f>
        <v/>
      </c>
      <c r="BA970" s="495" t="str">
        <f t="shared" si="115"/>
        <v>ü</v>
      </c>
      <c r="BB970" s="495" t="str">
        <f t="shared" si="116"/>
        <v/>
      </c>
      <c r="BC970" s="495" t="str">
        <f t="shared" si="117"/>
        <v/>
      </c>
      <c r="BD970" s="513" t="str">
        <f>IF(AND(L970="",H970=""),"",
IF(H970="",Pole_Calc!A$9,
IF(H970="MP",Pole_Calc!A$10,
IF(H970="AnMP",Pole_Calc!A$11,
IF(H970="A",Pole_Calc!A$12,
IF(H970="S/A",Pole_Calc!A$13,
IF(H970="A/S",Pole_Calc!A$14,"Poner a mano")))))))</f>
        <v>App.7-V11I-P9.5.1.6</v>
      </c>
      <c r="BE970" s="429" t="s">
        <v>118</v>
      </c>
      <c r="BF970" s="289"/>
      <c r="BG970" s="289"/>
      <c r="BH970" s="290"/>
      <c r="BI970" s="289"/>
    </row>
    <row r="971" spans="1:61" ht="15.75" customHeight="1">
      <c r="A971" s="514"/>
      <c r="B971" s="450"/>
      <c r="C971" s="3"/>
      <c r="D971" s="83"/>
      <c r="E971" s="4"/>
      <c r="F971" s="4"/>
      <c r="G971" s="6">
        <v>46</v>
      </c>
      <c r="H971" s="449"/>
      <c r="I971" s="4"/>
      <c r="J971" s="3"/>
      <c r="K971" s="449"/>
      <c r="L971" s="449"/>
      <c r="M971" s="449" t="str">
        <f>IF(L971="","",
IF(AX971="PT",VLOOKUP(L971,Foundation_Calc!$V$79:$X$113,VLOOKUP(AX971,Foundation_Calc!$I$10:$J$13,2,FALSE),0),
IF(AX971="K",VLOOKUP(L971,Foundation_Calc!$V$117:$X$151,VLOOKUP(AX971,Foundation_Calc!$I$10:$J$13,2,FALSE),0),"")))</f>
        <v/>
      </c>
      <c r="N971" s="449"/>
      <c r="O971" s="449"/>
      <c r="P971" s="449"/>
      <c r="Q971" s="4"/>
      <c r="R971" s="6"/>
      <c r="S971" s="6"/>
      <c r="T971" s="4"/>
      <c r="U971" s="4"/>
      <c r="V971" s="4"/>
      <c r="W971" s="9"/>
      <c r="X971" s="9"/>
      <c r="Y971" s="9"/>
      <c r="Z971" s="9"/>
      <c r="AA971" s="9"/>
      <c r="AB971" s="9"/>
      <c r="AC971" s="449" t="str">
        <f t="shared" ref="AC971:AC1034" si="118">IF(OR(AT971&gt;8,AT971&lt;-8),"PH",
IF(OR(AT971&gt;5,AT971&lt;-5),"PHQ",
IF(OR(AT971&gt;1,AT971&lt;-1),
"PHC","")))</f>
        <v/>
      </c>
      <c r="AD971" s="449"/>
      <c r="AE971" s="449"/>
      <c r="AF971" s="4"/>
      <c r="AG971" s="83"/>
      <c r="AH971" s="4"/>
      <c r="AI971" s="4"/>
      <c r="AJ971" s="449"/>
      <c r="AK971" s="449"/>
      <c r="AL971" s="449"/>
      <c r="AM971" s="449"/>
      <c r="AN971" s="10"/>
      <c r="AO971" s="9"/>
      <c r="AP971" s="9"/>
      <c r="AQ971" s="9">
        <f>+FL_1($U$972,$T$970,$G$971,1200,9.28,-1*$F$972)</f>
        <v>0.30731544608874128</v>
      </c>
      <c r="AR971" s="9"/>
      <c r="AS971" s="9"/>
      <c r="AT971" s="9"/>
      <c r="AU971" s="428"/>
      <c r="AV971" s="428"/>
      <c r="AW971" s="449" t="str">
        <f>IF(C971&gt;0,VLOOKUP(C971,Foundation_Calc!$A$2:$C$13,3,1),
IF(J971&gt;0,VLOOKUP(J971,Foundation_Calc!$A$2:$C$13,3,1),""))</f>
        <v/>
      </c>
      <c r="AX971" s="449" t="str">
        <f>IF(C971&gt;0,VLOOKUP(C971,Foundation_Calc!$E$2:$G$33,3,1),
IF(J971&gt;0,VLOOKUP(J971,Foundation_Calc!$E$2:$G$33,3,1),""))</f>
        <v/>
      </c>
      <c r="AY971" s="10" t="str">
        <f>IF(L971="","",
IF(AX971="PT",VLOOKUP(L971,Foundation_Calc!$K$79:$R$113,VLOOKUP(AW971,Foundation_Calc!$I$2:$J$8,2,FALSE),0),
IF(AX971="K",VLOOKUP(L971,Foundation_Calc!$K$117:$R$151,VLOOKUP(AW971,Foundation_Calc!$I$2:$J$8,2,FALSE),0),"")))</f>
        <v/>
      </c>
      <c r="AZ971" s="10" t="str">
        <f>IF(K971="","",
IF(AX971="PT",VLOOKUP(K971,Foundation_Calc!$K$79:$R$113,VLOOKUP(AW971,Foundation_Calc!$I$2:$J$8,2,FALSE),0),
IF(AX971="K",VLOOKUP(K971,Foundation_Calc!$K$117:$R$151,VLOOKUP(AW971,Foundation_Calc!$I$2:$J$8,2,FALSE),0),"")))</f>
        <v/>
      </c>
      <c r="BA971" s="495" t="str">
        <f t="shared" si="115"/>
        <v/>
      </c>
      <c r="BB971" s="495" t="str">
        <f t="shared" si="116"/>
        <v/>
      </c>
      <c r="BC971" s="495" t="str">
        <f t="shared" si="117"/>
        <v/>
      </c>
      <c r="BD971" s="513" t="str">
        <f>IF(AND(L971="",H971=""),"",
IF(H971="",Pole_Calc!A$9,
IF(H971="MP",Pole_Calc!A$10,
IF(H971="AnMP",Pole_Calc!A$11,
IF(H971="A",Pole_Calc!A$12,
IF(H971="S/A",Pole_Calc!A$13,
IF(H971="A/S",Pole_Calc!A$14,"Poner a mano")))))))</f>
        <v/>
      </c>
      <c r="BE971" s="429" t="s">
        <v>118</v>
      </c>
      <c r="BF971" s="290"/>
      <c r="BG971" s="290"/>
      <c r="BH971" s="290"/>
      <c r="BI971" s="290"/>
    </row>
    <row r="972" spans="1:61" ht="15.75" customHeight="1">
      <c r="A972" s="518"/>
      <c r="B972" s="450" t="s">
        <v>754</v>
      </c>
      <c r="C972" s="3">
        <f>+$C$970+$G$971</f>
        <v>53186.789999999994</v>
      </c>
      <c r="D972" s="83"/>
      <c r="E972" s="4"/>
      <c r="F972" s="4">
        <f>(346^2)/(C972-53246.27)</f>
        <v>-2012.7101546737317</v>
      </c>
      <c r="G972" s="6"/>
      <c r="H972" s="449" t="s">
        <v>131</v>
      </c>
      <c r="I972" s="4"/>
      <c r="J972" s="3"/>
      <c r="K972" s="449"/>
      <c r="L972" s="449" t="s">
        <v>183</v>
      </c>
      <c r="M972" s="449" t="str">
        <f>IF(L972="","",
IF(AX972="PT",VLOOKUP(L972,Foundation_Calc!$V$79:$X$113,VLOOKUP(AX972,Foundation_Calc!$I$10:$J$13,2,FALSE),0),
IF(AX972="K",VLOOKUP(L972,Foundation_Calc!$V$117:$X$151,VLOOKUP(AX972,Foundation_Calc!$I$10:$J$13,2,FALSE),0),"")))</f>
        <v>2C3R</v>
      </c>
      <c r="N972" s="449" t="s">
        <v>133</v>
      </c>
      <c r="O972" s="449" t="s">
        <v>134</v>
      </c>
      <c r="P972" s="449"/>
      <c r="Q972" s="4"/>
      <c r="R972" s="6"/>
      <c r="S972" s="6"/>
      <c r="T972" s="4">
        <v>30</v>
      </c>
      <c r="U972" s="4">
        <v>10</v>
      </c>
      <c r="V972" s="4"/>
      <c r="W972" s="9">
        <v>1.4</v>
      </c>
      <c r="X972" s="9">
        <v>2.2999999999999998</v>
      </c>
      <c r="Y972" s="9"/>
      <c r="Z972" s="9">
        <v>0.45</v>
      </c>
      <c r="AA972" s="9"/>
      <c r="AB972" s="9"/>
      <c r="AC972" s="449"/>
      <c r="AD972" s="449"/>
      <c r="AE972" s="449"/>
      <c r="AF972" s="4"/>
      <c r="AG972" s="83"/>
      <c r="AH972" s="4"/>
      <c r="AI972" s="4"/>
      <c r="AJ972" s="449"/>
      <c r="AK972" s="449"/>
      <c r="AL972" s="449"/>
      <c r="AM972" s="449" t="s">
        <v>552</v>
      </c>
      <c r="AN972" s="10">
        <v>5.5</v>
      </c>
      <c r="AO972" s="9"/>
      <c r="AP972" s="9"/>
      <c r="AQ972" s="9"/>
      <c r="AR972" s="9"/>
      <c r="AS972" s="9"/>
      <c r="AT972" s="9">
        <f>+ab($U$972,$T$970,$U$974,$G$971,$G$973,-1*$F$972,1200)</f>
        <v>6.7021930577721776</v>
      </c>
      <c r="AU972" s="428"/>
      <c r="AV972" s="428"/>
      <c r="AW972" s="449" t="str">
        <f>IF(C972&gt;0,VLOOKUP(C972,Foundation_Calc!$A$2:$C$13,3,1),
IF(J972&gt;0,VLOOKUP(J972,Foundation_Calc!$A$2:$C$13,3,1),""))</f>
        <v>Multi Soil</v>
      </c>
      <c r="AX972" s="449" t="str">
        <f>IF(C972&gt;0,VLOOKUP(C972,Foundation_Calc!$E$2:$G$33,3,1),
IF(J972&gt;0,VLOOKUP(J972,Foundation_Calc!$E$2:$G$33,3,1),""))</f>
        <v>PT</v>
      </c>
      <c r="AY972" s="10">
        <f>IF(L972="","",
IF(AX972="PT",VLOOKUP(L972,Foundation_Calc!$K$79:$R$113,VLOOKUP(AW972,Foundation_Calc!$I$2:$J$8,2,FALSE),0),
IF(AX972="K",VLOOKUP(L972,Foundation_Calc!$K$117:$R$151,VLOOKUP(AW972,Foundation_Calc!$I$2:$J$8,2,FALSE),0),"")))</f>
        <v>3.7</v>
      </c>
      <c r="AZ972" s="10" t="str">
        <f>IF(K972="","",
IF(AX972="PT",VLOOKUP(K972,Foundation_Calc!$K$79:$R$113,VLOOKUP(AW972,Foundation_Calc!$I$2:$J$8,2,FALSE),0),
IF(AX972="K",VLOOKUP(K972,Foundation_Calc!$K$117:$R$151,VLOOKUP(AW972,Foundation_Calc!$I$2:$J$8,2,FALSE),0),"")))</f>
        <v/>
      </c>
      <c r="BA972" s="495" t="str">
        <f t="shared" si="115"/>
        <v>ü</v>
      </c>
      <c r="BB972" s="495" t="str">
        <f t="shared" si="116"/>
        <v/>
      </c>
      <c r="BC972" s="495" t="str">
        <f t="shared" si="117"/>
        <v/>
      </c>
      <c r="BD972" s="513" t="str">
        <f>IF(AND(L972="",H972=""),"",
IF(H972="",Pole_Calc!A$9,
IF(H972="MP",Pole_Calc!A$10,
IF(H972="AnMP",Pole_Calc!A$11,
IF(H972="A",Pole_Calc!A$12,
IF(H972="S/A",Pole_Calc!A$13,
IF(H972="A/S",Pole_Calc!A$14,"Poner a mano")))))))</f>
        <v>App.7-V11I-P9.5.1.5</v>
      </c>
      <c r="BE972" s="429" t="s">
        <v>118</v>
      </c>
      <c r="BF972" s="289"/>
      <c r="BG972" s="289"/>
      <c r="BH972" s="290"/>
      <c r="BI972" s="289"/>
    </row>
    <row r="973" spans="1:61" ht="15.75" customHeight="1">
      <c r="A973" s="518"/>
      <c r="B973" s="450"/>
      <c r="C973" s="3"/>
      <c r="D973" s="83"/>
      <c r="E973" s="4"/>
      <c r="F973" s="4"/>
      <c r="G973" s="6">
        <v>50</v>
      </c>
      <c r="H973" s="449"/>
      <c r="I973" s="4"/>
      <c r="J973" s="3"/>
      <c r="K973" s="449"/>
      <c r="L973" s="449"/>
      <c r="M973" s="449" t="str">
        <f>IF(L973="","",
IF(AX973="PT",VLOOKUP(L973,Foundation_Calc!$V$79:$X$113,VLOOKUP(AX973,Foundation_Calc!$I$10:$J$13,2,FALSE),0),
IF(AX973="K",VLOOKUP(L973,Foundation_Calc!$V$117:$X$151,VLOOKUP(AX973,Foundation_Calc!$I$10:$J$13,2,FALSE),0),"")))</f>
        <v/>
      </c>
      <c r="N973" s="561"/>
      <c r="O973" s="449"/>
      <c r="P973" s="449"/>
      <c r="Q973" s="4"/>
      <c r="R973" s="6"/>
      <c r="S973" s="6"/>
      <c r="T973" s="4"/>
      <c r="U973" s="4"/>
      <c r="V973" s="4"/>
      <c r="W973" s="9"/>
      <c r="X973" s="9"/>
      <c r="Y973" s="9"/>
      <c r="Z973" s="9"/>
      <c r="AA973" s="9"/>
      <c r="AB973" s="9"/>
      <c r="AC973" s="449" t="str">
        <f t="shared" si="118"/>
        <v/>
      </c>
      <c r="AD973" s="449"/>
      <c r="AE973" s="449"/>
      <c r="AF973" s="4"/>
      <c r="AG973" s="83"/>
      <c r="AH973" s="4"/>
      <c r="AI973" s="4"/>
      <c r="AJ973" s="449"/>
      <c r="AK973" s="449"/>
      <c r="AL973" s="449"/>
      <c r="AM973" s="449"/>
      <c r="AN973" s="10"/>
      <c r="AO973" s="9"/>
      <c r="AP973" s="9"/>
      <c r="AQ973" s="9">
        <f>+FL_2($T$974,$U$972,$G$973,1200,9.28,-1*$F$974)</f>
        <v>-0.3060751433483726</v>
      </c>
      <c r="AR973" s="9"/>
      <c r="AS973" s="9"/>
      <c r="AT973" s="9"/>
      <c r="AU973" s="428"/>
      <c r="AV973" s="428"/>
      <c r="AW973" s="449" t="str">
        <f>IF(C973&gt;0,VLOOKUP(C973,Foundation_Calc!$A$2:$C$13,3,1),
IF(J973&gt;0,VLOOKUP(J973,Foundation_Calc!$A$2:$C$13,3,1),""))</f>
        <v/>
      </c>
      <c r="AX973" s="449" t="str">
        <f>IF(C973&gt;0,VLOOKUP(C973,Foundation_Calc!$E$2:$G$33,3,1),
IF(J973&gt;0,VLOOKUP(J973,Foundation_Calc!$E$2:$G$33,3,1),""))</f>
        <v/>
      </c>
      <c r="AY973" s="10" t="str">
        <f>IF(L973="","",
IF(AX973="PT",VLOOKUP(L973,Foundation_Calc!$K$79:$R$113,VLOOKUP(AW973,Foundation_Calc!$I$2:$J$8,2,FALSE),0),
IF(AX973="K",VLOOKUP(L973,Foundation_Calc!$K$117:$R$151,VLOOKUP(AW973,Foundation_Calc!$I$2:$J$8,2,FALSE),0),"")))</f>
        <v/>
      </c>
      <c r="AZ973" s="10" t="str">
        <f>IF(K973="","",
IF(AX973="PT",VLOOKUP(K973,Foundation_Calc!$K$79:$R$113,VLOOKUP(AW973,Foundation_Calc!$I$2:$J$8,2,FALSE),0),
IF(AX973="K",VLOOKUP(K973,Foundation_Calc!$K$117:$R$151,VLOOKUP(AW973,Foundation_Calc!$I$2:$J$8,2,FALSE),0),"")))</f>
        <v/>
      </c>
      <c r="BA973" s="495" t="str">
        <f t="shared" si="115"/>
        <v/>
      </c>
      <c r="BB973" s="495" t="str">
        <f t="shared" si="116"/>
        <v/>
      </c>
      <c r="BC973" s="495" t="str">
        <f t="shared" si="117"/>
        <v/>
      </c>
      <c r="BD973" s="513" t="str">
        <f>IF(AND(L973="",H973=""),"",
IF(H973="",Pole_Calc!A$9,
IF(H973="MP",Pole_Calc!A$10,
IF(H973="AnMP",Pole_Calc!A$11,
IF(H973="A",Pole_Calc!A$12,
IF(H973="S/A",Pole_Calc!A$13,
IF(H973="A/S",Pole_Calc!A$14,"Poner a mano")))))))</f>
        <v/>
      </c>
      <c r="BE973" s="429" t="s">
        <v>118</v>
      </c>
      <c r="BF973" s="290"/>
      <c r="BG973" s="290"/>
      <c r="BH973" s="290"/>
      <c r="BI973" s="290"/>
    </row>
    <row r="974" spans="1:61" ht="15.75" customHeight="1">
      <c r="A974" s="514"/>
      <c r="B974" s="450" t="s">
        <v>755</v>
      </c>
      <c r="C974" s="3">
        <f>+$C$972+$G$973</f>
        <v>53236.789999999994</v>
      </c>
      <c r="D974" s="83"/>
      <c r="E974" s="4"/>
      <c r="F974" s="4">
        <f>(346^2)/(C974-53246.27)</f>
        <v>-12628.270042189828</v>
      </c>
      <c r="G974" s="6"/>
      <c r="H974" s="449" t="s">
        <v>131</v>
      </c>
      <c r="I974" s="4"/>
      <c r="J974" s="3"/>
      <c r="K974" s="449"/>
      <c r="L974" s="449" t="s">
        <v>183</v>
      </c>
      <c r="M974" s="449" t="str">
        <f>IF(L974="","",
IF(AX974="PT",VLOOKUP(L974,Foundation_Calc!$V$79:$X$113,VLOOKUP(AX974,Foundation_Calc!$I$10:$J$13,2,FALSE),0),
IF(AX974="K",VLOOKUP(L974,Foundation_Calc!$V$117:$X$151,VLOOKUP(AX974,Foundation_Calc!$I$10:$J$13,2,FALSE),0),"")))</f>
        <v>2C3R</v>
      </c>
      <c r="N974" s="449" t="s">
        <v>124</v>
      </c>
      <c r="O974" s="449" t="s">
        <v>133</v>
      </c>
      <c r="P974" s="449"/>
      <c r="Q974" s="4"/>
      <c r="R974" s="6"/>
      <c r="S974" s="6"/>
      <c r="T974" s="4">
        <v>-15</v>
      </c>
      <c r="U974" s="4">
        <v>-35</v>
      </c>
      <c r="V974" s="4"/>
      <c r="W974" s="9">
        <v>1.4</v>
      </c>
      <c r="X974" s="9">
        <v>2.2999999999999998</v>
      </c>
      <c r="Y974" s="9"/>
      <c r="Z974" s="9"/>
      <c r="AA974" s="9">
        <v>0.45</v>
      </c>
      <c r="AB974" s="9"/>
      <c r="AC974" s="449" t="str">
        <f t="shared" si="118"/>
        <v>PH</v>
      </c>
      <c r="AD974" s="449"/>
      <c r="AE974" s="449"/>
      <c r="AF974" s="4"/>
      <c r="AG974" s="83"/>
      <c r="AH974" s="4"/>
      <c r="AI974" s="4"/>
      <c r="AJ974" s="449"/>
      <c r="AK974" s="449"/>
      <c r="AL974" s="449"/>
      <c r="AM974" s="449" t="s">
        <v>552</v>
      </c>
      <c r="AN974" s="10">
        <v>5.5</v>
      </c>
      <c r="AO974" s="9"/>
      <c r="AP974" s="9"/>
      <c r="AQ974" s="9"/>
      <c r="AR974" s="9"/>
      <c r="AS974" s="9"/>
      <c r="AT974" s="9">
        <f>+ab($T$974,$T$972,$T$976,$G$973,$G$975,-1*$F$974,1200)</f>
        <v>-14.424809551156653</v>
      </c>
      <c r="AU974" s="428"/>
      <c r="AV974" s="428"/>
      <c r="AW974" s="449" t="str">
        <f>IF(C974&gt;0,VLOOKUP(C974,Foundation_Calc!$A$2:$C$13,3,1),
IF(J974&gt;0,VLOOKUP(J974,Foundation_Calc!$A$2:$C$13,3,1),""))</f>
        <v>Multi Soil</v>
      </c>
      <c r="AX974" s="449" t="str">
        <f>IF(C974&gt;0,VLOOKUP(C974,Foundation_Calc!$E$2:$G$33,3,1),
IF(J974&gt;0,VLOOKUP(J974,Foundation_Calc!$E$2:$G$33,3,1),""))</f>
        <v>PT</v>
      </c>
      <c r="AY974" s="10">
        <f>IF(L974="","",
IF(AX974="PT",VLOOKUP(L974,Foundation_Calc!$K$79:$R$113,VLOOKUP(AW974,Foundation_Calc!$I$2:$J$8,2,FALSE),0),
IF(AX974="K",VLOOKUP(L974,Foundation_Calc!$K$117:$R$151,VLOOKUP(AW974,Foundation_Calc!$I$2:$J$8,2,FALSE),0),"")))</f>
        <v>3.7</v>
      </c>
      <c r="AZ974" s="10" t="str">
        <f>IF(K974="","",
IF(AX974="PT",VLOOKUP(K974,Foundation_Calc!$K$79:$R$113,VLOOKUP(AW974,Foundation_Calc!$I$2:$J$8,2,FALSE),0),
IF(AX974="K",VLOOKUP(K974,Foundation_Calc!$K$117:$R$151,VLOOKUP(AW974,Foundation_Calc!$I$2:$J$8,2,FALSE),0),"")))</f>
        <v/>
      </c>
      <c r="BA974" s="495" t="str">
        <f t="shared" si="115"/>
        <v>ü</v>
      </c>
      <c r="BB974" s="495" t="str">
        <f t="shared" si="116"/>
        <v/>
      </c>
      <c r="BC974" s="495" t="str">
        <f t="shared" si="117"/>
        <v/>
      </c>
      <c r="BD974" s="513" t="str">
        <f>IF(AND(L974="",H974=""),"",
IF(H974="",Pole_Calc!A$9,
IF(H974="MP",Pole_Calc!A$10,
IF(H974="AnMP",Pole_Calc!A$11,
IF(H974="A",Pole_Calc!A$12,
IF(H974="S/A",Pole_Calc!A$13,
IF(H974="A/S",Pole_Calc!A$14,"Poner a mano")))))))</f>
        <v>App.7-V11I-P9.5.1.5</v>
      </c>
      <c r="BE974" s="429" t="s">
        <v>118</v>
      </c>
      <c r="BF974" s="289"/>
      <c r="BG974" s="289"/>
      <c r="BH974" s="290"/>
      <c r="BI974" s="289"/>
    </row>
    <row r="975" spans="1:61" ht="15.75" customHeight="1">
      <c r="A975" s="514"/>
      <c r="B975" s="450"/>
      <c r="C975" s="3"/>
      <c r="D975" s="83"/>
      <c r="E975" s="4"/>
      <c r="F975" s="4"/>
      <c r="G975" s="6">
        <v>50.1</v>
      </c>
      <c r="H975" s="449"/>
      <c r="I975" s="4"/>
      <c r="J975" s="3"/>
      <c r="K975" s="449"/>
      <c r="L975" s="449"/>
      <c r="M975" s="449" t="str">
        <f>IF(L975="","",
IF(AX975="PT",VLOOKUP(L975,Foundation_Calc!$V$79:$X$113,VLOOKUP(AX975,Foundation_Calc!$I$10:$J$13,2,FALSE),0),
IF(AX975="K",VLOOKUP(L975,Foundation_Calc!$V$117:$X$151,VLOOKUP(AX975,Foundation_Calc!$I$10:$J$13,2,FALSE),0),"")))</f>
        <v/>
      </c>
      <c r="N975" s="449"/>
      <c r="O975" s="449"/>
      <c r="P975" s="449"/>
      <c r="Q975" s="4"/>
      <c r="R975" s="6"/>
      <c r="S975" s="6"/>
      <c r="T975" s="4"/>
      <c r="U975" s="4"/>
      <c r="V975" s="4"/>
      <c r="W975" s="9"/>
      <c r="X975" s="9"/>
      <c r="Y975" s="9"/>
      <c r="Z975" s="9"/>
      <c r="AA975" s="9"/>
      <c r="AB975" s="9"/>
      <c r="AC975" s="449" t="str">
        <f t="shared" si="118"/>
        <v/>
      </c>
      <c r="AD975" s="449"/>
      <c r="AE975" s="449"/>
      <c r="AF975" s="4"/>
      <c r="AG975" s="83"/>
      <c r="AH975" s="4"/>
      <c r="AI975" s="4"/>
      <c r="AJ975" s="449"/>
      <c r="AK975" s="449"/>
      <c r="AL975" s="449"/>
      <c r="AM975" s="449"/>
      <c r="AN975" s="10"/>
      <c r="AO975" s="9"/>
      <c r="AP975" s="9"/>
      <c r="AQ975" s="9">
        <f>+FL_1($T$976,$T$974,$G$975,1200,9.28,-1*$F$976)</f>
        <v>0.3338485815808383</v>
      </c>
      <c r="AR975" s="9"/>
      <c r="AS975" s="9"/>
      <c r="AT975" s="9"/>
      <c r="AU975" s="428"/>
      <c r="AV975" s="428"/>
      <c r="AW975" s="449" t="str">
        <f>IF(C975&gt;0,VLOOKUP(C975,Foundation_Calc!$A$2:$C$13,3,1),
IF(J975&gt;0,VLOOKUP(J975,Foundation_Calc!$A$2:$C$13,3,1),""))</f>
        <v/>
      </c>
      <c r="AX975" s="449" t="str">
        <f>IF(C975&gt;0,VLOOKUP(C975,Foundation_Calc!$E$2:$G$33,3,1),
IF(J975&gt;0,VLOOKUP(J975,Foundation_Calc!$E$2:$G$33,3,1),""))</f>
        <v/>
      </c>
      <c r="AY975" s="10" t="str">
        <f>IF(L975="","",
IF(AX975="PT",VLOOKUP(L975,Foundation_Calc!$K$79:$R$113,VLOOKUP(AW975,Foundation_Calc!$I$2:$J$8,2,FALSE),0),
IF(AX975="K",VLOOKUP(L975,Foundation_Calc!$K$117:$R$151,VLOOKUP(AW975,Foundation_Calc!$I$2:$J$8,2,FALSE),0),"")))</f>
        <v/>
      </c>
      <c r="AZ975" s="10" t="str">
        <f>IF(K975="","",
IF(AX975="PT",VLOOKUP(K975,Foundation_Calc!$K$79:$R$113,VLOOKUP(AW975,Foundation_Calc!$I$2:$J$8,2,FALSE),0),
IF(AX975="K",VLOOKUP(K975,Foundation_Calc!$K$117:$R$151,VLOOKUP(AW975,Foundation_Calc!$I$2:$J$8,2,FALSE),0),"")))</f>
        <v/>
      </c>
      <c r="BA975" s="495" t="str">
        <f t="shared" si="115"/>
        <v/>
      </c>
      <c r="BB975" s="495" t="str">
        <f t="shared" si="116"/>
        <v/>
      </c>
      <c r="BC975" s="495" t="str">
        <f t="shared" si="117"/>
        <v/>
      </c>
      <c r="BD975" s="513" t="str">
        <f>IF(AND(L975="",H975=""),"",
IF(H975="",Pole_Calc!A$9,
IF(H975="MP",Pole_Calc!A$10,
IF(H975="AnMP",Pole_Calc!A$11,
IF(H975="A",Pole_Calc!A$12,
IF(H975="S/A",Pole_Calc!A$13,
IF(H975="A/S",Pole_Calc!A$14,"Poner a mano")))))))</f>
        <v/>
      </c>
      <c r="BE975" s="429" t="s">
        <v>118</v>
      </c>
      <c r="BF975" s="290"/>
      <c r="BG975" s="290"/>
      <c r="BH975" s="290"/>
      <c r="BI975" s="290"/>
    </row>
    <row r="976" spans="1:61" ht="15.75" customHeight="1">
      <c r="A976" s="514"/>
      <c r="B976" s="450" t="s">
        <v>756</v>
      </c>
      <c r="C976" s="3">
        <f>+$C$974+$G$975-1.56</f>
        <v>53285.329999999994</v>
      </c>
      <c r="D976" s="83"/>
      <c r="E976" s="4"/>
      <c r="F976" s="4">
        <f>IF(C976&gt;0,VLOOKUP(C976,'ALIGNMENT TRACK'!$A$1:$K$81,9,1))</f>
        <v>0</v>
      </c>
      <c r="G976" s="6"/>
      <c r="H976" s="449" t="s">
        <v>121</v>
      </c>
      <c r="I976" s="4" t="s">
        <v>122</v>
      </c>
      <c r="J976" s="3"/>
      <c r="K976" s="449"/>
      <c r="L976" s="449" t="s">
        <v>151</v>
      </c>
      <c r="M976" s="449" t="str">
        <f>IF(L976="","",
IF(AX976="PT",VLOOKUP(L976,Foundation_Calc!$V$79:$X$113,VLOOKUP(AX976,Foundation_Calc!$I$10:$J$13,2,FALSE),0),
IF(AX976="K",VLOOKUP(L976,Foundation_Calc!$V$117:$X$151,VLOOKUP(AX976,Foundation_Calc!$I$10:$J$13,2,FALSE),0),"")))</f>
        <v>C4R</v>
      </c>
      <c r="N976" s="449" t="s">
        <v>134</v>
      </c>
      <c r="O976" s="449"/>
      <c r="P976" s="449"/>
      <c r="Q976" s="4"/>
      <c r="R976" s="6"/>
      <c r="S976" s="6"/>
      <c r="T976" s="4">
        <v>25</v>
      </c>
      <c r="U976" s="4"/>
      <c r="V976" s="4"/>
      <c r="W976" s="9">
        <v>1.4</v>
      </c>
      <c r="X976" s="9"/>
      <c r="Y976" s="9"/>
      <c r="Z976" s="9"/>
      <c r="AA976" s="9"/>
      <c r="AB976" s="9"/>
      <c r="AC976" s="449" t="str">
        <f t="shared" si="118"/>
        <v>PH</v>
      </c>
      <c r="AD976" s="449"/>
      <c r="AE976" s="449"/>
      <c r="AF976" s="4"/>
      <c r="AG976" s="83"/>
      <c r="AH976" s="4"/>
      <c r="AI976" s="4"/>
      <c r="AJ976" s="449"/>
      <c r="AK976" s="449"/>
      <c r="AL976" s="449"/>
      <c r="AM976" s="449" t="s">
        <v>552</v>
      </c>
      <c r="AN976" s="10">
        <v>5.5</v>
      </c>
      <c r="AO976" s="9"/>
      <c r="AP976" s="9"/>
      <c r="AQ976" s="9"/>
      <c r="AR976" s="9"/>
      <c r="AS976" s="9"/>
      <c r="AT976" s="9">
        <f>+ab($T$976,$T$974,$T$978,$G$975,$G$977,-1*$F$976,1200)</f>
        <v>9.5138613698874952</v>
      </c>
      <c r="AU976" s="428"/>
      <c r="AV976" s="428"/>
      <c r="AW976" s="449" t="str">
        <f>IF(C976&gt;0,VLOOKUP(C976,Foundation_Calc!$A$2:$C$13,3,1),
IF(J976&gt;0,VLOOKUP(J976,Foundation_Calc!$A$2:$C$13,3,1),""))</f>
        <v>Multi Soil</v>
      </c>
      <c r="AX976" s="449" t="str">
        <f>IF(C976&gt;0,VLOOKUP(C976,Foundation_Calc!$E$2:$G$33,3,1),
IF(J976&gt;0,VLOOKUP(J976,Foundation_Calc!$E$2:$G$33,3,1),""))</f>
        <v>PT</v>
      </c>
      <c r="AY976" s="10">
        <f>IF(L976="","",
IF(AX976="PT",VLOOKUP(L976,Foundation_Calc!$K$79:$R$113,VLOOKUP(AW976,Foundation_Calc!$I$2:$J$8,2,FALSE),0),
IF(AX976="K",VLOOKUP(L976,Foundation_Calc!$K$117:$R$151,VLOOKUP(AW976,Foundation_Calc!$I$2:$J$8,2,FALSE),0),"")))</f>
        <v>3.5</v>
      </c>
      <c r="AZ976" s="10" t="str">
        <f>IF(K976="","",
IF(AX976="PT",VLOOKUP(K976,Foundation_Calc!$K$79:$R$113,VLOOKUP(AW976,Foundation_Calc!$I$2:$J$8,2,FALSE),0),
IF(AX976="K",VLOOKUP(K976,Foundation_Calc!$K$117:$R$151,VLOOKUP(AW976,Foundation_Calc!$I$2:$J$8,2,FALSE),0),"")))</f>
        <v/>
      </c>
      <c r="BA976" s="495" t="str">
        <f t="shared" si="115"/>
        <v>ü</v>
      </c>
      <c r="BB976" s="495" t="str">
        <f t="shared" si="116"/>
        <v/>
      </c>
      <c r="BC976" s="495" t="str">
        <f t="shared" si="117"/>
        <v/>
      </c>
      <c r="BD976" s="513" t="str">
        <f>IF(AND(L976="",H976=""),"",
IF(H976="",Pole_Calc!A$9,
IF(H976="MP",Pole_Calc!A$10,
IF(H976="AnMP",Pole_Calc!A$11,
IF(H976="A",Pole_Calc!A$12,
IF(H976="S/A",Pole_Calc!A$13,
IF(H976="A/S",Pole_Calc!A$14,"Poner a mano")))))))</f>
        <v>App.7-V11I-P9.5.1.6</v>
      </c>
      <c r="BE976" s="429" t="s">
        <v>118</v>
      </c>
      <c r="BF976" s="289"/>
      <c r="BG976" s="289"/>
      <c r="BH976" s="290"/>
      <c r="BI976" s="289"/>
    </row>
    <row r="977" spans="1:61" ht="15.75" customHeight="1">
      <c r="A977" s="696" t="s">
        <v>757</v>
      </c>
      <c r="B977" s="697"/>
      <c r="C977" s="698"/>
      <c r="D977" s="699"/>
      <c r="E977" s="700"/>
      <c r="F977" s="700"/>
      <c r="G977" s="701">
        <v>50</v>
      </c>
      <c r="H977" s="702"/>
      <c r="I977" s="700"/>
      <c r="J977" s="698">
        <f>C976+7.5</f>
        <v>53292.829999999994</v>
      </c>
      <c r="K977" s="702" t="s">
        <v>117</v>
      </c>
      <c r="L977" s="702"/>
      <c r="M977" s="702" t="str">
        <f>IF(L977="","",
IF(AX977="PT",VLOOKUP(L977,Foundation_Calc!$V$79:$X$113,VLOOKUP(AX977,Foundation_Calc!$I$10:$J$13,2,FALSE),0),
IF(AX977="K",VLOOKUP(L977,Foundation_Calc!$V$117:$X$151,VLOOKUP(AX977,Foundation_Calc!$I$10:$J$13,2,FALSE),0),"")))</f>
        <v/>
      </c>
      <c r="N977" s="702"/>
      <c r="O977" s="702"/>
      <c r="P977" s="702"/>
      <c r="Q977" s="700"/>
      <c r="R977" s="701"/>
      <c r="S977" s="701"/>
      <c r="T977" s="700"/>
      <c r="U977" s="700"/>
      <c r="V977" s="700"/>
      <c r="W977" s="703"/>
      <c r="X977" s="703"/>
      <c r="Y977" s="703"/>
      <c r="Z977" s="703"/>
      <c r="AA977" s="703"/>
      <c r="AB977" s="703"/>
      <c r="AC977" s="702" t="str">
        <f t="shared" si="118"/>
        <v/>
      </c>
      <c r="AD977" s="702"/>
      <c r="AE977" s="702"/>
      <c r="AF977" s="700"/>
      <c r="AG977" s="699"/>
      <c r="AH977" s="700"/>
      <c r="AI977" s="700"/>
      <c r="AJ977" s="702"/>
      <c r="AK977" s="702"/>
      <c r="AL977" s="702"/>
      <c r="AM977" s="702"/>
      <c r="AN977" s="704"/>
      <c r="AO977" s="703"/>
      <c r="AP977" s="703"/>
      <c r="AQ977" s="703">
        <f>+FL_2($T$978,$T$976,$G$977,1200,9.28,-1*$F$978)</f>
        <v>-0.384770112</v>
      </c>
      <c r="AR977" s="703"/>
      <c r="AS977" s="703"/>
      <c r="AT977" s="703"/>
      <c r="AU977" s="705"/>
      <c r="AV977" s="705"/>
      <c r="AW977" s="702" t="str">
        <f>IF(C977&gt;0,VLOOKUP(C977,Foundation_Calc!$A$2:$C$13,3,1),
IF(J977&gt;0,VLOOKUP(J977,Foundation_Calc!$A$2:$C$13,3,1),""))</f>
        <v>Multi Soil</v>
      </c>
      <c r="AX977" s="702" t="str">
        <f>IF(C977&gt;0,VLOOKUP(C977,Foundation_Calc!$E$2:$G$33,3,1),
IF(J977&gt;0,VLOOKUP(J977,Foundation_Calc!$E$2:$G$33,3,1),""))</f>
        <v>PT</v>
      </c>
      <c r="AY977" s="704" t="str">
        <f>IF(L977="","",
IF(AX977="PT",VLOOKUP(L977,Foundation_Calc!$K$79:$R$113,VLOOKUP(AW977,Foundation_Calc!$I$2:$J$8,2,FALSE),0),
IF(AX977="K",VLOOKUP(L977,Foundation_Calc!$K$117:$R$151,VLOOKUP(AW977,Foundation_Calc!$I$2:$J$8,2,FALSE),0),"")))</f>
        <v/>
      </c>
      <c r="AZ977" s="704">
        <f>IF(K977="","",
IF(AX977="PT",VLOOKUP(K977,Foundation_Calc!$K$79:$R$113,VLOOKUP(AW977,Foundation_Calc!$I$2:$J$8,2,FALSE),0),
IF(AX977="K",VLOOKUP(K977,Foundation_Calc!$K$117:$R$151,VLOOKUP(AW977,Foundation_Calc!$I$2:$J$8,2,FALSE),0),"")))</f>
        <v>3.9</v>
      </c>
      <c r="BA977" s="495" t="str">
        <f t="shared" si="115"/>
        <v/>
      </c>
      <c r="BB977" s="495" t="str">
        <f t="shared" si="116"/>
        <v>ü</v>
      </c>
      <c r="BC977" s="495" t="str">
        <f t="shared" si="117"/>
        <v/>
      </c>
      <c r="BD977" s="513" t="str">
        <f>IF(AND(L977="",H977=""),"",
IF(H977="",Pole_Calc!A$9,
IF(H977="MP",Pole_Calc!A$10,
IF(H977="AnMP",Pole_Calc!A$11,
IF(H977="A",Pole_Calc!A$12,
IF(H977="S/A",Pole_Calc!A$13,
IF(H977="A/S",Pole_Calc!A$14,"Poner a mano")))))))</f>
        <v/>
      </c>
      <c r="BE977" s="429" t="s">
        <v>118</v>
      </c>
      <c r="BF977" s="290"/>
      <c r="BG977" s="290"/>
      <c r="BH977" s="290"/>
      <c r="BI977" s="290"/>
    </row>
    <row r="978" spans="1:61" ht="15.75" customHeight="1">
      <c r="A978" s="518"/>
      <c r="B978" s="450" t="s">
        <v>758</v>
      </c>
      <c r="C978" s="3">
        <f>+$C$976+$G$977</f>
        <v>53335.329999999994</v>
      </c>
      <c r="D978" s="83"/>
      <c r="E978" s="4"/>
      <c r="F978" s="4">
        <f>IF(C978&gt;0,VLOOKUP(C978,'ALIGNMENT TRACK'!$A$1:$K$81,9,1))</f>
        <v>0</v>
      </c>
      <c r="G978" s="6"/>
      <c r="H978" s="449"/>
      <c r="I978" s="4"/>
      <c r="J978" s="3"/>
      <c r="K978" s="449"/>
      <c r="L978" s="449" t="s">
        <v>153</v>
      </c>
      <c r="M978" s="449" t="str">
        <f>IF(L978="","",
IF(AX978="PT",VLOOKUP(L978,Foundation_Calc!$V$79:$X$113,VLOOKUP(AX978,Foundation_Calc!$I$10:$J$13,2,FALSE),0),
IF(AX978="K",VLOOKUP(L978,Foundation_Calc!$V$117:$X$151,VLOOKUP(AX978,Foundation_Calc!$I$10:$J$13,2,FALSE),0),"")))</f>
        <v>C3R</v>
      </c>
      <c r="N978" s="449" t="s">
        <v>124</v>
      </c>
      <c r="O978" s="449"/>
      <c r="P978" s="449"/>
      <c r="Q978" s="4"/>
      <c r="R978" s="6"/>
      <c r="S978" s="6"/>
      <c r="T978" s="4">
        <v>-35</v>
      </c>
      <c r="U978" s="4"/>
      <c r="V978" s="4"/>
      <c r="W978" s="9">
        <v>1.4</v>
      </c>
      <c r="X978" s="9"/>
      <c r="Y978" s="9"/>
      <c r="Z978" s="9"/>
      <c r="AA978" s="9"/>
      <c r="AB978" s="9"/>
      <c r="AC978" s="449" t="str">
        <f t="shared" si="118"/>
        <v>PHQ</v>
      </c>
      <c r="AD978" s="449"/>
      <c r="AE978" s="449"/>
      <c r="AF978" s="4"/>
      <c r="AG978" s="83"/>
      <c r="AH978" s="4"/>
      <c r="AI978" s="4"/>
      <c r="AJ978" s="449"/>
      <c r="AK978" s="449"/>
      <c r="AL978" s="449"/>
      <c r="AM978" s="449" t="s">
        <v>552</v>
      </c>
      <c r="AN978" s="10">
        <v>5.5</v>
      </c>
      <c r="AO978" s="9"/>
      <c r="AP978" s="9"/>
      <c r="AQ978" s="9"/>
      <c r="AR978" s="9"/>
      <c r="AS978" s="9"/>
      <c r="AT978" s="9">
        <f>+ab($T$978,$T$976,$T$980,$G$977,$G$979,-1*$F$978,1200)</f>
        <v>-7.9217688487470204</v>
      </c>
      <c r="AU978" s="428"/>
      <c r="AV978" s="428"/>
      <c r="AW978" s="449" t="str">
        <f>IF(C978&gt;0,VLOOKUP(C978,Foundation_Calc!$A$2:$C$13,3,1),
IF(J978&gt;0,VLOOKUP(J978,Foundation_Calc!$A$2:$C$13,3,1),""))</f>
        <v>Multi Soil</v>
      </c>
      <c r="AX978" s="449" t="str">
        <f>IF(C978&gt;0,VLOOKUP(C978,Foundation_Calc!$E$2:$G$33,3,1),
IF(J978&gt;0,VLOOKUP(J978,Foundation_Calc!$E$2:$G$33,3,1),""))</f>
        <v>PT</v>
      </c>
      <c r="AY978" s="10">
        <f>IF(L978="","",
IF(AX978="PT",VLOOKUP(L978,Foundation_Calc!$K$79:$R$113,VLOOKUP(AW978,Foundation_Calc!$I$2:$J$8,2,FALSE),0),
IF(AX978="K",VLOOKUP(L978,Foundation_Calc!$K$117:$R$151,VLOOKUP(AW978,Foundation_Calc!$I$2:$J$8,2,FALSE),0),"")))</f>
        <v>3.5</v>
      </c>
      <c r="AZ978" s="10" t="str">
        <f>IF(K978="","",
IF(AX978="PT",VLOOKUP(K978,Foundation_Calc!$K$79:$R$113,VLOOKUP(AW978,Foundation_Calc!$I$2:$J$8,2,FALSE),0),
IF(AX978="K",VLOOKUP(K978,Foundation_Calc!$K$117:$R$151,VLOOKUP(AW978,Foundation_Calc!$I$2:$J$8,2,FALSE),0),"")))</f>
        <v/>
      </c>
      <c r="BA978" s="495" t="str">
        <f t="shared" si="115"/>
        <v>ü</v>
      </c>
      <c r="BB978" s="495" t="str">
        <f t="shared" si="116"/>
        <v/>
      </c>
      <c r="BC978" s="495" t="str">
        <f t="shared" si="117"/>
        <v/>
      </c>
      <c r="BD978" s="513" t="str">
        <f>IF(AND(L978="",H978=""),"",
IF(H978="",Pole_Calc!A$9,
IF(H978="MP",Pole_Calc!A$10,
IF(H978="AnMP",Pole_Calc!A$11,
IF(H978="A",Pole_Calc!A$12,
IF(H978="S/A",Pole_Calc!A$13,
IF(H978="A/S",Pole_Calc!A$14,"Poner a mano")))))))</f>
        <v>App.7-V11I-P9.5.1.1</v>
      </c>
      <c r="BE978" s="429" t="s">
        <v>118</v>
      </c>
      <c r="BF978" s="289"/>
      <c r="BG978" s="289"/>
      <c r="BH978" s="290"/>
      <c r="BI978" s="289"/>
    </row>
    <row r="979" spans="1:61" ht="15.75" customHeight="1">
      <c r="A979" s="514" t="s">
        <v>169</v>
      </c>
      <c r="B979" s="450"/>
      <c r="C979" s="3"/>
      <c r="D979" s="83"/>
      <c r="E979" s="4"/>
      <c r="F979" s="4"/>
      <c r="G979" s="6">
        <v>58</v>
      </c>
      <c r="H979" s="449"/>
      <c r="I979" s="4"/>
      <c r="J979" s="3"/>
      <c r="K979" s="449"/>
      <c r="L979" s="449"/>
      <c r="M979" s="449" t="str">
        <f>IF(L979="","",
IF(AX979="PT",VLOOKUP(L979,Foundation_Calc!$V$79:$X$113,VLOOKUP(AX979,Foundation_Calc!$I$10:$J$13,2,FALSE),0),
IF(AX979="K",VLOOKUP(L979,Foundation_Calc!$V$117:$X$151,VLOOKUP(AX979,Foundation_Calc!$I$10:$J$13,2,FALSE),0),"")))</f>
        <v/>
      </c>
      <c r="N979" s="561"/>
      <c r="O979" s="449"/>
      <c r="P979" s="449"/>
      <c r="Q979" s="4"/>
      <c r="R979" s="6"/>
      <c r="S979" s="6"/>
      <c r="T979" s="4"/>
      <c r="U979" s="4"/>
      <c r="V979" s="4"/>
      <c r="W979" s="9"/>
      <c r="X979" s="9"/>
      <c r="Y979" s="9"/>
      <c r="Z979" s="9"/>
      <c r="AA979" s="9"/>
      <c r="AB979" s="9"/>
      <c r="AC979" s="449" t="str">
        <f t="shared" si="118"/>
        <v/>
      </c>
      <c r="AD979" s="449"/>
      <c r="AE979" s="449"/>
      <c r="AF979" s="4"/>
      <c r="AG979" s="83"/>
      <c r="AH979" s="4"/>
      <c r="AI979" s="4"/>
      <c r="AJ979" s="449"/>
      <c r="AK979" s="449"/>
      <c r="AL979" s="449"/>
      <c r="AM979" s="449"/>
      <c r="AN979" s="10"/>
      <c r="AO979" s="9"/>
      <c r="AP979" s="9"/>
      <c r="AQ979" s="9">
        <f>+FL_1($T$980,$T$978,$G$979,1200,9.28,-1*$F$980)</f>
        <v>0.41936333972413792</v>
      </c>
      <c r="AR979" s="9"/>
      <c r="AS979" s="9"/>
      <c r="AT979" s="9"/>
      <c r="AU979" s="428"/>
      <c r="AV979" s="428"/>
      <c r="AW979" s="449" t="str">
        <f>IF(C979&gt;0,VLOOKUP(C979,Foundation_Calc!$A$2:$C$13,3,1),
IF(J979&gt;0,VLOOKUP(J979,Foundation_Calc!$A$2:$C$13,3,1),""))</f>
        <v/>
      </c>
      <c r="AX979" s="449" t="str">
        <f>IF(C979&gt;0,VLOOKUP(C979,Foundation_Calc!$E$2:$G$33,3,1),
IF(J979&gt;0,VLOOKUP(J979,Foundation_Calc!$E$2:$G$33,3,1),""))</f>
        <v/>
      </c>
      <c r="AY979" s="10" t="str">
        <f>IF(L979="","",
IF(AX979="PT",VLOOKUP(L979,Foundation_Calc!$K$79:$R$113,VLOOKUP(AW979,Foundation_Calc!$I$2:$J$8,2,FALSE),0),
IF(AX979="K",VLOOKUP(L979,Foundation_Calc!$K$117:$R$151,VLOOKUP(AW979,Foundation_Calc!$I$2:$J$8,2,FALSE),0),"")))</f>
        <v/>
      </c>
      <c r="AZ979" s="10" t="str">
        <f>IF(K979="","",
IF(AX979="PT",VLOOKUP(K979,Foundation_Calc!$K$79:$R$113,VLOOKUP(AW979,Foundation_Calc!$I$2:$J$8,2,FALSE),0),
IF(AX979="K",VLOOKUP(K979,Foundation_Calc!$K$117:$R$151,VLOOKUP(AW979,Foundation_Calc!$I$2:$J$8,2,FALSE),0),"")))</f>
        <v/>
      </c>
      <c r="BA979" s="495" t="str">
        <f t="shared" ref="BA979:BA1042" si="119">IF(AY979="","",IF(AY979&gt;0,"ü",""))</f>
        <v/>
      </c>
      <c r="BB979" s="495" t="str">
        <f t="shared" ref="BB979:BB1042" si="120">IF(AZ979="","",IF(AZ979&gt;0,"ü",""))</f>
        <v/>
      </c>
      <c r="BC979" s="495" t="str">
        <f t="shared" ref="BC979:BC1042" si="121">IF(M979="","",IF(M979="U.S.","ü",IF(M979="U.S. N.D.","ü","")))</f>
        <v/>
      </c>
      <c r="BD979" s="513" t="str">
        <f>IF(AND(L979="",H979=""),"",
IF(H979="",Pole_Calc!A$9,
IF(H979="MP",Pole_Calc!A$10,
IF(H979="AnMP",Pole_Calc!A$11,
IF(H979="A",Pole_Calc!A$12,
IF(H979="S/A",Pole_Calc!A$13,
IF(H979="A/S",Pole_Calc!A$14,"Poner a mano")))))))</f>
        <v/>
      </c>
      <c r="BE979" s="429" t="s">
        <v>118</v>
      </c>
      <c r="BF979" s="290"/>
      <c r="BG979" s="290"/>
      <c r="BH979" s="290"/>
      <c r="BI979" s="290"/>
    </row>
    <row r="980" spans="1:61" ht="15.75" customHeight="1">
      <c r="A980" s="514"/>
      <c r="B980" s="450" t="s">
        <v>759</v>
      </c>
      <c r="C980" s="3">
        <f>+$C$978+$G$979</f>
        <v>53393.329999999994</v>
      </c>
      <c r="D980" s="83"/>
      <c r="E980" s="4"/>
      <c r="F980" s="4">
        <f>IF(C980&gt;0,VLOOKUP(C980,'ALIGNMENT TRACK'!$A$1:$K$81,9,1))</f>
        <v>0</v>
      </c>
      <c r="G980" s="6"/>
      <c r="H980" s="449"/>
      <c r="I980" s="4"/>
      <c r="J980" s="3"/>
      <c r="K980" s="449"/>
      <c r="L980" s="449" t="s">
        <v>153</v>
      </c>
      <c r="M980" s="449" t="str">
        <f>IF(L980="","",
IF(AX980="PT",VLOOKUP(L980,Foundation_Calc!$V$79:$X$113,VLOOKUP(AX980,Foundation_Calc!$I$10:$J$13,2,FALSE),0),
IF(AX980="K",VLOOKUP(L980,Foundation_Calc!$V$117:$X$151,VLOOKUP(AX980,Foundation_Calc!$I$10:$J$13,2,FALSE),0),"")))</f>
        <v>C3R</v>
      </c>
      <c r="N980" s="449" t="s">
        <v>134</v>
      </c>
      <c r="O980" s="449"/>
      <c r="P980" s="449"/>
      <c r="Q980" s="4"/>
      <c r="R980" s="6"/>
      <c r="S980" s="6"/>
      <c r="T980" s="4">
        <v>35</v>
      </c>
      <c r="U980" s="4"/>
      <c r="V980" s="4"/>
      <c r="W980" s="9">
        <v>1.4</v>
      </c>
      <c r="X980" s="9"/>
      <c r="Y980" s="9"/>
      <c r="Z980" s="9"/>
      <c r="AA980" s="9"/>
      <c r="AB980" s="9"/>
      <c r="AC980" s="449" t="str">
        <f t="shared" si="118"/>
        <v>PH</v>
      </c>
      <c r="AD980" s="449"/>
      <c r="AE980" s="449"/>
      <c r="AF980" s="4"/>
      <c r="AG980" s="83"/>
      <c r="AH980" s="4"/>
      <c r="AI980" s="4"/>
      <c r="AJ980" s="449"/>
      <c r="AK980" s="449"/>
      <c r="AL980" s="449"/>
      <c r="AM980" s="449" t="s">
        <v>552</v>
      </c>
      <c r="AN980" s="10">
        <v>5.5</v>
      </c>
      <c r="AO980" s="9"/>
      <c r="AP980" s="9"/>
      <c r="AQ980" s="9"/>
      <c r="AR980" s="9"/>
      <c r="AS980" s="9"/>
      <c r="AT980" s="9">
        <f>+ab($T$980,$T$978,$T$982,$G$979,$G$981,-1*$F$980,1200)</f>
        <v>8.0315395844366186</v>
      </c>
      <c r="AU980" s="428"/>
      <c r="AV980" s="428"/>
      <c r="AW980" s="449" t="str">
        <f>IF(C980&gt;0,VLOOKUP(C980,Foundation_Calc!$A$2:$C$13,3,1),
IF(J980&gt;0,VLOOKUP(J980,Foundation_Calc!$A$2:$C$13,3,1),""))</f>
        <v>Multi Soil</v>
      </c>
      <c r="AX980" s="449" t="str">
        <f>IF(C980&gt;0,VLOOKUP(C980,Foundation_Calc!$E$2:$G$33,3,1),
IF(J980&gt;0,VLOOKUP(J980,Foundation_Calc!$E$2:$G$33,3,1),""))</f>
        <v>PT</v>
      </c>
      <c r="AY980" s="10">
        <f>IF(L980="","",
IF(AX980="PT",VLOOKUP(L980,Foundation_Calc!$K$79:$R$113,VLOOKUP(AW980,Foundation_Calc!$I$2:$J$8,2,FALSE),0),
IF(AX980="K",VLOOKUP(L980,Foundation_Calc!$K$117:$R$151,VLOOKUP(AW980,Foundation_Calc!$I$2:$J$8,2,FALSE),0),"")))</f>
        <v>3.5</v>
      </c>
      <c r="AZ980" s="10" t="str">
        <f>IF(K980="","",
IF(AX980="PT",VLOOKUP(K980,Foundation_Calc!$K$79:$R$113,VLOOKUP(AW980,Foundation_Calc!$I$2:$J$8,2,FALSE),0),
IF(AX980="K",VLOOKUP(K980,Foundation_Calc!$K$117:$R$151,VLOOKUP(AW980,Foundation_Calc!$I$2:$J$8,2,FALSE),0),"")))</f>
        <v/>
      </c>
      <c r="BA980" s="495" t="str">
        <f t="shared" si="119"/>
        <v>ü</v>
      </c>
      <c r="BB980" s="495" t="str">
        <f t="shared" si="120"/>
        <v/>
      </c>
      <c r="BC980" s="495" t="str">
        <f t="shared" si="121"/>
        <v/>
      </c>
      <c r="BD980" s="513" t="str">
        <f>IF(AND(L980="",H980=""),"",
IF(H980="",Pole_Calc!A$9,
IF(H980="MP",Pole_Calc!A$10,
IF(H980="AnMP",Pole_Calc!A$11,
IF(H980="A",Pole_Calc!A$12,
IF(H980="S/A",Pole_Calc!A$13,
IF(H980="A/S",Pole_Calc!A$14,"Poner a mano")))))))</f>
        <v>App.7-V11I-P9.5.1.1</v>
      </c>
      <c r="BE980" s="429" t="s">
        <v>118</v>
      </c>
      <c r="BF980" s="289"/>
      <c r="BG980" s="289"/>
      <c r="BH980" s="290"/>
      <c r="BI980" s="289"/>
    </row>
    <row r="981" spans="1:61" ht="15.75" customHeight="1">
      <c r="A981" s="514"/>
      <c r="B981" s="450"/>
      <c r="C981" s="3"/>
      <c r="D981" s="83"/>
      <c r="E981" s="4"/>
      <c r="F981" s="4"/>
      <c r="G981" s="6">
        <v>60</v>
      </c>
      <c r="H981" s="449"/>
      <c r="I981" s="4"/>
      <c r="J981" s="3"/>
      <c r="K981" s="449"/>
      <c r="L981" s="449"/>
      <c r="M981" s="449" t="str">
        <f>IF(L981="","",
IF(AX981="PT",VLOOKUP(L981,Foundation_Calc!$V$79:$X$113,VLOOKUP(AX981,Foundation_Calc!$I$10:$J$13,2,FALSE),0),
IF(AX981="K",VLOOKUP(L981,Foundation_Calc!$V$117:$X$151,VLOOKUP(AX981,Foundation_Calc!$I$10:$J$13,2,FALSE),0),"")))</f>
        <v/>
      </c>
      <c r="N981" s="449"/>
      <c r="O981" s="449"/>
      <c r="P981" s="449"/>
      <c r="Q981" s="4"/>
      <c r="R981" s="6"/>
      <c r="S981" s="6"/>
      <c r="T981" s="4"/>
      <c r="U981" s="4"/>
      <c r="V981" s="4"/>
      <c r="W981" s="9"/>
      <c r="X981" s="9"/>
      <c r="Y981" s="9"/>
      <c r="Z981" s="9"/>
      <c r="AA981" s="9"/>
      <c r="AB981" s="9"/>
      <c r="AC981" s="449" t="str">
        <f t="shared" si="118"/>
        <v/>
      </c>
      <c r="AD981" s="449"/>
      <c r="AE981" s="449"/>
      <c r="AF981" s="4"/>
      <c r="AG981" s="83"/>
      <c r="AH981" s="4"/>
      <c r="AI981" s="4"/>
      <c r="AJ981" s="449"/>
      <c r="AK981" s="449"/>
      <c r="AL981" s="449"/>
      <c r="AM981" s="449"/>
      <c r="AN981" s="10"/>
      <c r="AO981" s="9"/>
      <c r="AP981" s="9"/>
      <c r="AQ981" s="9">
        <f>+FL_2($T$982,$T$980,$G$981,1200,9.28,-1*$F$982)</f>
        <v>-0.43600286799999999</v>
      </c>
      <c r="AR981" s="9"/>
      <c r="AS981" s="9"/>
      <c r="AT981" s="9"/>
      <c r="AU981" s="428"/>
      <c r="AV981" s="428"/>
      <c r="AW981" s="449" t="str">
        <f>IF(C981&gt;0,VLOOKUP(C981,Foundation_Calc!$A$2:$C$13,3,1),
IF(J981&gt;0,VLOOKUP(J981,Foundation_Calc!$A$2:$C$13,3,1),""))</f>
        <v/>
      </c>
      <c r="AX981" s="449" t="str">
        <f>IF(C981&gt;0,VLOOKUP(C981,Foundation_Calc!$E$2:$G$33,3,1),
IF(J981&gt;0,VLOOKUP(J981,Foundation_Calc!$E$2:$G$33,3,1),""))</f>
        <v/>
      </c>
      <c r="AY981" s="10" t="str">
        <f>IF(L981="","",
IF(AX981="PT",VLOOKUP(L981,Foundation_Calc!$K$79:$R$113,VLOOKUP(AW981,Foundation_Calc!$I$2:$J$8,2,FALSE),0),
IF(AX981="K",VLOOKUP(L981,Foundation_Calc!$K$117:$R$151,VLOOKUP(AW981,Foundation_Calc!$I$2:$J$8,2,FALSE),0),"")))</f>
        <v/>
      </c>
      <c r="AZ981" s="10" t="str">
        <f>IF(K981="","",
IF(AX981="PT",VLOOKUP(K981,Foundation_Calc!$K$79:$R$113,VLOOKUP(AW981,Foundation_Calc!$I$2:$J$8,2,FALSE),0),
IF(AX981="K",VLOOKUP(K981,Foundation_Calc!$K$117:$R$151,VLOOKUP(AW981,Foundation_Calc!$I$2:$J$8,2,FALSE),0),"")))</f>
        <v/>
      </c>
      <c r="BA981" s="495" t="str">
        <f t="shared" si="119"/>
        <v/>
      </c>
      <c r="BB981" s="495" t="str">
        <f t="shared" si="120"/>
        <v/>
      </c>
      <c r="BC981" s="495" t="str">
        <f t="shared" si="121"/>
        <v/>
      </c>
      <c r="BD981" s="513" t="str">
        <f>IF(AND(L981="",H981=""),"",
IF(H981="",Pole_Calc!A$9,
IF(H981="MP",Pole_Calc!A$10,
IF(H981="AnMP",Pole_Calc!A$11,
IF(H981="A",Pole_Calc!A$12,
IF(H981="S/A",Pole_Calc!A$13,
IF(H981="A/S",Pole_Calc!A$14,"Poner a mano")))))))</f>
        <v/>
      </c>
      <c r="BE981" s="429" t="s">
        <v>118</v>
      </c>
      <c r="BF981" s="290"/>
      <c r="BG981" s="290"/>
      <c r="BH981" s="290"/>
      <c r="BI981" s="290"/>
    </row>
    <row r="982" spans="1:61" ht="15.75" customHeight="1">
      <c r="A982" s="514"/>
      <c r="B982" s="450" t="s">
        <v>760</v>
      </c>
      <c r="C982" s="3">
        <f>+$C$980+$G$981</f>
        <v>53453.329999999994</v>
      </c>
      <c r="D982" s="83"/>
      <c r="E982" s="4"/>
      <c r="F982" s="4">
        <f>IF(C982&gt;0,VLOOKUP(C982,'ALIGNMENT TRACK'!$A$1:$K$81,9,1))</f>
        <v>0</v>
      </c>
      <c r="G982" s="6"/>
      <c r="H982" s="449"/>
      <c r="I982" s="4"/>
      <c r="J982" s="3"/>
      <c r="K982" s="449"/>
      <c r="L982" s="449" t="s">
        <v>153</v>
      </c>
      <c r="M982" s="449" t="str">
        <f>IF(L982="","",
IF(AX982="PT",VLOOKUP(L982,Foundation_Calc!$V$79:$X$113,VLOOKUP(AX982,Foundation_Calc!$I$10:$J$13,2,FALSE),0),
IF(AX982="K",VLOOKUP(L982,Foundation_Calc!$V$117:$X$151,VLOOKUP(AX982,Foundation_Calc!$I$10:$J$13,2,FALSE),0),"")))</f>
        <v>C3R</v>
      </c>
      <c r="N982" s="449" t="s">
        <v>124</v>
      </c>
      <c r="O982" s="449"/>
      <c r="P982" s="449"/>
      <c r="Q982" s="4"/>
      <c r="R982" s="6"/>
      <c r="S982" s="6"/>
      <c r="T982" s="4">
        <v>-35</v>
      </c>
      <c r="U982" s="4"/>
      <c r="V982" s="4"/>
      <c r="W982" s="9">
        <v>1.4</v>
      </c>
      <c r="X982" s="9"/>
      <c r="Y982" s="9"/>
      <c r="Z982" s="9"/>
      <c r="AA982" s="9"/>
      <c r="AB982" s="9"/>
      <c r="AC982" s="449" t="str">
        <f t="shared" si="118"/>
        <v>PH</v>
      </c>
      <c r="AD982" s="449"/>
      <c r="AE982" s="449"/>
      <c r="AF982" s="4"/>
      <c r="AG982" s="83"/>
      <c r="AH982" s="4"/>
      <c r="AI982" s="4"/>
      <c r="AJ982" s="449"/>
      <c r="AK982" s="449"/>
      <c r="AL982" s="449"/>
      <c r="AM982" s="449" t="s">
        <v>552</v>
      </c>
      <c r="AN982" s="10">
        <v>5.5</v>
      </c>
      <c r="AO982" s="9"/>
      <c r="AP982" s="9"/>
      <c r="AQ982" s="9"/>
      <c r="AR982" s="9"/>
      <c r="AS982" s="9"/>
      <c r="AT982" s="9">
        <f>+ab($T$982,$T$980,$T$984,$G$981,$G$983,-1*$F$982,1200)</f>
        <v>-8.1682020423530854</v>
      </c>
      <c r="AU982" s="428"/>
      <c r="AV982" s="428"/>
      <c r="AW982" s="449" t="str">
        <f>IF(C982&gt;0,VLOOKUP(C982,Foundation_Calc!$A$2:$C$13,3,1),
IF(J982&gt;0,VLOOKUP(J982,Foundation_Calc!$A$2:$C$13,3,1),""))</f>
        <v>Multi Soil</v>
      </c>
      <c r="AX982" s="449" t="str">
        <f>IF(C982&gt;0,VLOOKUP(C982,Foundation_Calc!$E$2:$G$33,3,1),
IF(J982&gt;0,VLOOKUP(J982,Foundation_Calc!$E$2:$G$33,3,1),""))</f>
        <v>PT</v>
      </c>
      <c r="AY982" s="10">
        <f>IF(L982="","",
IF(AX982="PT",VLOOKUP(L982,Foundation_Calc!$K$79:$R$113,VLOOKUP(AW982,Foundation_Calc!$I$2:$J$8,2,FALSE),0),
IF(AX982="K",VLOOKUP(L982,Foundation_Calc!$K$117:$R$151,VLOOKUP(AW982,Foundation_Calc!$I$2:$J$8,2,FALSE),0),"")))</f>
        <v>3.5</v>
      </c>
      <c r="AZ982" s="10" t="str">
        <f>IF(K982="","",
IF(AX982="PT",VLOOKUP(K982,Foundation_Calc!$K$79:$R$113,VLOOKUP(AW982,Foundation_Calc!$I$2:$J$8,2,FALSE),0),
IF(AX982="K",VLOOKUP(K982,Foundation_Calc!$K$117:$R$151,VLOOKUP(AW982,Foundation_Calc!$I$2:$J$8,2,FALSE),0),"")))</f>
        <v/>
      </c>
      <c r="BA982" s="495" t="str">
        <f t="shared" si="119"/>
        <v>ü</v>
      </c>
      <c r="BB982" s="495" t="str">
        <f t="shared" si="120"/>
        <v/>
      </c>
      <c r="BC982" s="495" t="str">
        <f t="shared" si="121"/>
        <v/>
      </c>
      <c r="BD982" s="513" t="str">
        <f>IF(AND(L982="",H982=""),"",
IF(H982="",Pole_Calc!A$9,
IF(H982="MP",Pole_Calc!A$10,
IF(H982="AnMP",Pole_Calc!A$11,
IF(H982="A",Pole_Calc!A$12,
IF(H982="S/A",Pole_Calc!A$13,
IF(H982="A/S",Pole_Calc!A$14,"Poner a mano")))))))</f>
        <v>App.7-V11I-P9.5.1.1</v>
      </c>
      <c r="BE982" s="429" t="s">
        <v>118</v>
      </c>
      <c r="BF982" s="289"/>
      <c r="BG982" s="289"/>
      <c r="BH982" s="290"/>
      <c r="BI982" s="289"/>
    </row>
    <row r="983" spans="1:61" ht="15.75" customHeight="1">
      <c r="A983" s="514"/>
      <c r="B983" s="450"/>
      <c r="C983" s="3"/>
      <c r="D983" s="83"/>
      <c r="E983" s="4"/>
      <c r="F983" s="4"/>
      <c r="G983" s="6">
        <v>60</v>
      </c>
      <c r="H983" s="449"/>
      <c r="I983" s="4"/>
      <c r="J983" s="3"/>
      <c r="K983" s="449"/>
      <c r="L983" s="449"/>
      <c r="M983" s="449" t="str">
        <f>IF(L983="","",
IF(AX983="PT",VLOOKUP(L983,Foundation_Calc!$V$79:$X$113,VLOOKUP(AX983,Foundation_Calc!$I$10:$J$13,2,FALSE),0),
IF(AX983="K",VLOOKUP(L983,Foundation_Calc!$V$117:$X$151,VLOOKUP(AX983,Foundation_Calc!$I$10:$J$13,2,FALSE),0),"")))</f>
        <v/>
      </c>
      <c r="N983" s="449"/>
      <c r="O983" s="449"/>
      <c r="P983" s="449"/>
      <c r="Q983" s="4"/>
      <c r="R983" s="6"/>
      <c r="S983" s="6"/>
      <c r="T983" s="4"/>
      <c r="U983" s="4"/>
      <c r="V983" s="4"/>
      <c r="W983" s="9"/>
      <c r="X983" s="9"/>
      <c r="Y983" s="9"/>
      <c r="Z983" s="9"/>
      <c r="AA983" s="9"/>
      <c r="AB983" s="9"/>
      <c r="AC983" s="449" t="str">
        <f t="shared" si="118"/>
        <v/>
      </c>
      <c r="AD983" s="449"/>
      <c r="AE983" s="449"/>
      <c r="AF983" s="4"/>
      <c r="AG983" s="83"/>
      <c r="AH983" s="4"/>
      <c r="AI983" s="4"/>
      <c r="AJ983" s="449"/>
      <c r="AK983" s="449"/>
      <c r="AL983" s="449"/>
      <c r="AM983" s="449"/>
      <c r="AN983" s="10"/>
      <c r="AO983" s="9"/>
      <c r="AP983" s="9"/>
      <c r="AQ983" s="9">
        <f>+FL_1($T$984,$T$982,$G$983,1200,9.28,-1*$F$984)</f>
        <v>0.43600286799999999</v>
      </c>
      <c r="AR983" s="9"/>
      <c r="AS983" s="9"/>
      <c r="AT983" s="9"/>
      <c r="AU983" s="428"/>
      <c r="AV983" s="428"/>
      <c r="AW983" s="449" t="str">
        <f>IF(C983&gt;0,VLOOKUP(C983,Foundation_Calc!$A$2:$C$13,3,1),
IF(J983&gt;0,VLOOKUP(J983,Foundation_Calc!$A$2:$C$13,3,1),""))</f>
        <v/>
      </c>
      <c r="AX983" s="449" t="str">
        <f>IF(C983&gt;0,VLOOKUP(C983,Foundation_Calc!$E$2:$G$33,3,1),
IF(J983&gt;0,VLOOKUP(J983,Foundation_Calc!$E$2:$G$33,3,1),""))</f>
        <v/>
      </c>
      <c r="AY983" s="10" t="str">
        <f>IF(L983="","",
IF(AX983="PT",VLOOKUP(L983,Foundation_Calc!$K$79:$R$113,VLOOKUP(AW983,Foundation_Calc!$I$2:$J$8,2,FALSE),0),
IF(AX983="K",VLOOKUP(L983,Foundation_Calc!$K$117:$R$151,VLOOKUP(AW983,Foundation_Calc!$I$2:$J$8,2,FALSE),0),"")))</f>
        <v/>
      </c>
      <c r="AZ983" s="10" t="str">
        <f>IF(K983="","",
IF(AX983="PT",VLOOKUP(K983,Foundation_Calc!$K$79:$R$113,VLOOKUP(AW983,Foundation_Calc!$I$2:$J$8,2,FALSE),0),
IF(AX983="K",VLOOKUP(K983,Foundation_Calc!$K$117:$R$151,VLOOKUP(AW983,Foundation_Calc!$I$2:$J$8,2,FALSE),0),"")))</f>
        <v/>
      </c>
      <c r="BA983" s="495" t="str">
        <f t="shared" si="119"/>
        <v/>
      </c>
      <c r="BB983" s="495" t="str">
        <f t="shared" si="120"/>
        <v/>
      </c>
      <c r="BC983" s="495" t="str">
        <f t="shared" si="121"/>
        <v/>
      </c>
      <c r="BD983" s="513" t="str">
        <f>IF(AND(L983="",H983=""),"",
IF(H983="",Pole_Calc!A$9,
IF(H983="MP",Pole_Calc!A$10,
IF(H983="AnMP",Pole_Calc!A$11,
IF(H983="A",Pole_Calc!A$12,
IF(H983="S/A",Pole_Calc!A$13,
IF(H983="A/S",Pole_Calc!A$14,"Poner a mano")))))))</f>
        <v/>
      </c>
      <c r="BE983" s="429" t="s">
        <v>118</v>
      </c>
      <c r="BF983" s="290"/>
      <c r="BG983" s="290"/>
      <c r="BH983" s="290"/>
      <c r="BI983" s="290"/>
    </row>
    <row r="984" spans="1:61" ht="15.75" customHeight="1">
      <c r="A984" s="518"/>
      <c r="B984" s="450" t="s">
        <v>761</v>
      </c>
      <c r="C984" s="3">
        <f>+$C$982+$G$983</f>
        <v>53513.329999999994</v>
      </c>
      <c r="D984" s="83"/>
      <c r="E984" s="4"/>
      <c r="F984" s="4">
        <f>IF(C984&gt;0,VLOOKUP(C984,'ALIGNMENT TRACK'!$A$1:$K$81,9,1))</f>
        <v>0</v>
      </c>
      <c r="G984" s="6"/>
      <c r="H984" s="449"/>
      <c r="I984" s="4"/>
      <c r="J984" s="3"/>
      <c r="K984" s="449"/>
      <c r="L984" s="449" t="s">
        <v>153</v>
      </c>
      <c r="M984" s="449" t="str">
        <f>IF(L984="","",
IF(AX984="PT",VLOOKUP(L984,Foundation_Calc!$V$79:$X$113,VLOOKUP(AX984,Foundation_Calc!$I$10:$J$13,2,FALSE),0),
IF(AX984="K",VLOOKUP(L984,Foundation_Calc!$V$117:$X$151,VLOOKUP(AX984,Foundation_Calc!$I$10:$J$13,2,FALSE),0),"")))</f>
        <v>C3R</v>
      </c>
      <c r="N984" s="449" t="s">
        <v>134</v>
      </c>
      <c r="O984" s="449"/>
      <c r="P984" s="449"/>
      <c r="Q984" s="4"/>
      <c r="R984" s="6"/>
      <c r="S984" s="6"/>
      <c r="T984" s="4">
        <v>35</v>
      </c>
      <c r="U984" s="4"/>
      <c r="V984" s="4"/>
      <c r="W984" s="9">
        <v>1.4</v>
      </c>
      <c r="X984" s="9"/>
      <c r="Y984" s="9"/>
      <c r="Z984" s="9"/>
      <c r="AA984" s="9"/>
      <c r="AB984" s="9"/>
      <c r="AC984" s="449" t="str">
        <f t="shared" si="118"/>
        <v>PH</v>
      </c>
      <c r="AD984" s="449"/>
      <c r="AE984" s="449"/>
      <c r="AF984" s="4"/>
      <c r="AG984" s="83"/>
      <c r="AH984" s="4"/>
      <c r="AI984" s="4"/>
      <c r="AJ984" s="449"/>
      <c r="AK984" s="449"/>
      <c r="AL984" s="449"/>
      <c r="AM984" s="449" t="s">
        <v>552</v>
      </c>
      <c r="AN984" s="10">
        <v>5.5</v>
      </c>
      <c r="AO984" s="9"/>
      <c r="AP984" s="9"/>
      <c r="AQ984" s="9"/>
      <c r="AR984" s="9"/>
      <c r="AS984" s="9"/>
      <c r="AT984" s="9">
        <f>+ab($T$984,$T$982,$T$986,$G$983,$G$985,-1*$F$984,1200)</f>
        <v>8.3002133012442592</v>
      </c>
      <c r="AU984" s="428"/>
      <c r="AV984" s="428"/>
      <c r="AW984" s="449" t="str">
        <f>IF(C984&gt;0,VLOOKUP(C984,Foundation_Calc!$A$2:$C$13,3,1),
IF(J984&gt;0,VLOOKUP(J984,Foundation_Calc!$A$2:$C$13,3,1),""))</f>
        <v>Multi Soil</v>
      </c>
      <c r="AX984" s="449" t="str">
        <f>IF(C984&gt;0,VLOOKUP(C984,Foundation_Calc!$E$2:$G$33,3,1),
IF(J984&gt;0,VLOOKUP(J984,Foundation_Calc!$E$2:$G$33,3,1),""))</f>
        <v>PT</v>
      </c>
      <c r="AY984" s="10">
        <f>IF(L984="","",
IF(AX984="PT",VLOOKUP(L984,Foundation_Calc!$K$79:$R$113,VLOOKUP(AW984,Foundation_Calc!$I$2:$J$8,2,FALSE),0),
IF(AX984="K",VLOOKUP(L984,Foundation_Calc!$K$117:$R$151,VLOOKUP(AW984,Foundation_Calc!$I$2:$J$8,2,FALSE),0),"")))</f>
        <v>3.5</v>
      </c>
      <c r="AZ984" s="10" t="str">
        <f>IF(K984="","",
IF(AX984="PT",VLOOKUP(K984,Foundation_Calc!$K$79:$R$113,VLOOKUP(AW984,Foundation_Calc!$I$2:$J$8,2,FALSE),0),
IF(AX984="K",VLOOKUP(K984,Foundation_Calc!$K$117:$R$151,VLOOKUP(AW984,Foundation_Calc!$I$2:$J$8,2,FALSE),0),"")))</f>
        <v/>
      </c>
      <c r="BA984" s="495" t="str">
        <f t="shared" si="119"/>
        <v>ü</v>
      </c>
      <c r="BB984" s="495" t="str">
        <f t="shared" si="120"/>
        <v/>
      </c>
      <c r="BC984" s="495" t="str">
        <f t="shared" si="121"/>
        <v/>
      </c>
      <c r="BD984" s="513" t="str">
        <f>IF(AND(L984="",H984=""),"",
IF(H984="",Pole_Calc!A$9,
IF(H984="MP",Pole_Calc!A$10,
IF(H984="AnMP",Pole_Calc!A$11,
IF(H984="A",Pole_Calc!A$12,
IF(H984="S/A",Pole_Calc!A$13,
IF(H984="A/S",Pole_Calc!A$14,"Poner a mano")))))))</f>
        <v>App.7-V11I-P9.5.1.1</v>
      </c>
      <c r="BE984" s="429" t="s">
        <v>118</v>
      </c>
      <c r="BF984" s="289"/>
      <c r="BG984" s="289"/>
      <c r="BH984" s="290"/>
      <c r="BI984" s="289"/>
    </row>
    <row r="985" spans="1:61" ht="15.75" customHeight="1">
      <c r="A985" s="518"/>
      <c r="B985" s="450"/>
      <c r="C985" s="3"/>
      <c r="D985" s="83"/>
      <c r="E985" s="4"/>
      <c r="F985" s="4"/>
      <c r="G985" s="6">
        <v>62</v>
      </c>
      <c r="H985" s="449"/>
      <c r="I985" s="4"/>
      <c r="J985" s="3"/>
      <c r="K985" s="449"/>
      <c r="L985" s="449"/>
      <c r="M985" s="449" t="str">
        <f>IF(L985="","",
IF(AX985="PT",VLOOKUP(L985,Foundation_Calc!$V$79:$X$113,VLOOKUP(AX985,Foundation_Calc!$I$10:$J$13,2,FALSE),0),
IF(AX985="K",VLOOKUP(L985,Foundation_Calc!$V$117:$X$151,VLOOKUP(AX985,Foundation_Calc!$I$10:$J$13,2,FALSE),0),"")))</f>
        <v/>
      </c>
      <c r="N985" s="561"/>
      <c r="O985" s="449"/>
      <c r="P985" s="449"/>
      <c r="Q985" s="4"/>
      <c r="R985" s="6"/>
      <c r="S985" s="6"/>
      <c r="T985" s="4"/>
      <c r="U985" s="4"/>
      <c r="V985" s="4"/>
      <c r="W985" s="9"/>
      <c r="X985" s="9"/>
      <c r="Y985" s="9"/>
      <c r="Z985" s="9"/>
      <c r="AA985" s="9"/>
      <c r="AB985" s="9"/>
      <c r="AC985" s="449" t="str">
        <f t="shared" si="118"/>
        <v/>
      </c>
      <c r="AD985" s="449"/>
      <c r="AE985" s="449"/>
      <c r="AF985" s="4"/>
      <c r="AG985" s="83"/>
      <c r="AH985" s="4"/>
      <c r="AI985" s="4"/>
      <c r="AJ985" s="449"/>
      <c r="AK985" s="449"/>
      <c r="AL985" s="449"/>
      <c r="AM985" s="449"/>
      <c r="AN985" s="10"/>
      <c r="AO985" s="9"/>
      <c r="AP985" s="9"/>
      <c r="AQ985" s="9">
        <f>+FL_2($T$986,$T$984,$G$985,1200,9.28,-1*$F$986)</f>
        <v>-0.45400350967741931</v>
      </c>
      <c r="AR985" s="9"/>
      <c r="AS985" s="9"/>
      <c r="AT985" s="9"/>
      <c r="AU985" s="428"/>
      <c r="AV985" s="428"/>
      <c r="AW985" s="449" t="str">
        <f>IF(C985&gt;0,VLOOKUP(C985,Foundation_Calc!$A$2:$C$13,3,1),
IF(J985&gt;0,VLOOKUP(J985,Foundation_Calc!$A$2:$C$13,3,1),""))</f>
        <v/>
      </c>
      <c r="AX985" s="449" t="str">
        <f>IF(C985&gt;0,VLOOKUP(C985,Foundation_Calc!$E$2:$G$33,3,1),
IF(J985&gt;0,VLOOKUP(J985,Foundation_Calc!$E$2:$G$33,3,1),""))</f>
        <v/>
      </c>
      <c r="AY985" s="10" t="str">
        <f>IF(L985="","",
IF(AX985="PT",VLOOKUP(L985,Foundation_Calc!$K$79:$R$113,VLOOKUP(AW985,Foundation_Calc!$I$2:$J$8,2,FALSE),0),
IF(AX985="K",VLOOKUP(L985,Foundation_Calc!$K$117:$R$151,VLOOKUP(AW985,Foundation_Calc!$I$2:$J$8,2,FALSE),0),"")))</f>
        <v/>
      </c>
      <c r="AZ985" s="10" t="str">
        <f>IF(K985="","",
IF(AX985="PT",VLOOKUP(K985,Foundation_Calc!$K$79:$R$113,VLOOKUP(AW985,Foundation_Calc!$I$2:$J$8,2,FALSE),0),
IF(AX985="K",VLOOKUP(K985,Foundation_Calc!$K$117:$R$151,VLOOKUP(AW985,Foundation_Calc!$I$2:$J$8,2,FALSE),0),"")))</f>
        <v/>
      </c>
      <c r="BA985" s="495" t="str">
        <f t="shared" si="119"/>
        <v/>
      </c>
      <c r="BB985" s="495" t="str">
        <f t="shared" si="120"/>
        <v/>
      </c>
      <c r="BC985" s="495" t="str">
        <f t="shared" si="121"/>
        <v/>
      </c>
      <c r="BD985" s="513" t="str">
        <f>IF(AND(L985="",H985=""),"",
IF(H985="",Pole_Calc!A$9,
IF(H985="MP",Pole_Calc!A$10,
IF(H985="AnMP",Pole_Calc!A$11,
IF(H985="A",Pole_Calc!A$12,
IF(H985="S/A",Pole_Calc!A$13,
IF(H985="A/S",Pole_Calc!A$14,"Poner a mano")))))))</f>
        <v/>
      </c>
      <c r="BE985" s="429" t="s">
        <v>118</v>
      </c>
      <c r="BF985" s="290"/>
      <c r="BG985" s="290"/>
      <c r="BH985" s="290"/>
      <c r="BI985" s="290"/>
    </row>
    <row r="986" spans="1:61" ht="15.75" customHeight="1">
      <c r="A986" s="514"/>
      <c r="B986" s="450" t="s">
        <v>762</v>
      </c>
      <c r="C986" s="3">
        <f>+$C$984+$G$985</f>
        <v>53575.329999999994</v>
      </c>
      <c r="D986" s="83"/>
      <c r="E986" s="4"/>
      <c r="F986" s="4">
        <f>IF(C986&gt;0,VLOOKUP(C986,'ALIGNMENT TRACK'!$A$1:$K$81,9,1))</f>
        <v>0</v>
      </c>
      <c r="G986" s="6"/>
      <c r="H986" s="449"/>
      <c r="I986" s="4"/>
      <c r="J986" s="3"/>
      <c r="K986" s="449"/>
      <c r="L986" s="449" t="s">
        <v>153</v>
      </c>
      <c r="M986" s="449" t="str">
        <f>IF(L986="","",
IF(AX986="PT",VLOOKUP(L986,Foundation_Calc!$V$79:$X$113,VLOOKUP(AX986,Foundation_Calc!$I$10:$J$13,2,FALSE),0),
IF(AX986="K",VLOOKUP(L986,Foundation_Calc!$V$117:$X$151,VLOOKUP(AX986,Foundation_Calc!$I$10:$J$13,2,FALSE),0),"")))</f>
        <v>C3R</v>
      </c>
      <c r="N986" s="449" t="s">
        <v>124</v>
      </c>
      <c r="O986" s="449"/>
      <c r="P986" s="449"/>
      <c r="Q986" s="4"/>
      <c r="R986" s="6"/>
      <c r="S986" s="6"/>
      <c r="T986" s="4">
        <v>-35</v>
      </c>
      <c r="U986" s="4"/>
      <c r="V986" s="4"/>
      <c r="W986" s="9">
        <v>1.4</v>
      </c>
      <c r="X986" s="9"/>
      <c r="Y986" s="9"/>
      <c r="Z986" s="9"/>
      <c r="AA986" s="9"/>
      <c r="AB986" s="9"/>
      <c r="AC986" s="449" t="str">
        <f t="shared" si="118"/>
        <v>PH</v>
      </c>
      <c r="AD986" s="449"/>
      <c r="AE986" s="449"/>
      <c r="AF986" s="4"/>
      <c r="AG986" s="83"/>
      <c r="AH986" s="4"/>
      <c r="AI986" s="4"/>
      <c r="AJ986" s="449"/>
      <c r="AK986" s="449"/>
      <c r="AL986" s="449"/>
      <c r="AM986" s="449" t="s">
        <v>552</v>
      </c>
      <c r="AN986" s="10">
        <v>5.5</v>
      </c>
      <c r="AO986" s="9"/>
      <c r="AP986" s="9"/>
      <c r="AQ986" s="9"/>
      <c r="AR986" s="9"/>
      <c r="AS986" s="9"/>
      <c r="AT986" s="9">
        <f>+ab($T$986,$T$984,$T$988,$G$985,$G$987,-1*$F$986,1200)</f>
        <v>-8.4366201521118445</v>
      </c>
      <c r="AU986" s="428"/>
      <c r="AV986" s="428"/>
      <c r="AW986" s="449" t="str">
        <f>IF(C986&gt;0,VLOOKUP(C986,Foundation_Calc!$A$2:$C$13,3,1),
IF(J986&gt;0,VLOOKUP(J986,Foundation_Calc!$A$2:$C$13,3,1),""))</f>
        <v>Multi Soil</v>
      </c>
      <c r="AX986" s="449" t="str">
        <f>IF(C986&gt;0,VLOOKUP(C986,Foundation_Calc!$E$2:$G$33,3,1),
IF(J986&gt;0,VLOOKUP(J986,Foundation_Calc!$E$2:$G$33,3,1),""))</f>
        <v>PT</v>
      </c>
      <c r="AY986" s="10">
        <f>IF(L986="","",
IF(AX986="PT",VLOOKUP(L986,Foundation_Calc!$K$79:$R$113,VLOOKUP(AW986,Foundation_Calc!$I$2:$J$8,2,FALSE),0),
IF(AX986="K",VLOOKUP(L986,Foundation_Calc!$K$117:$R$151,VLOOKUP(AW986,Foundation_Calc!$I$2:$J$8,2,FALSE),0),"")))</f>
        <v>3.5</v>
      </c>
      <c r="AZ986" s="10" t="str">
        <f>IF(K986="","",
IF(AX986="PT",VLOOKUP(K986,Foundation_Calc!$K$79:$R$113,VLOOKUP(AW986,Foundation_Calc!$I$2:$J$8,2,FALSE),0),
IF(AX986="K",VLOOKUP(K986,Foundation_Calc!$K$117:$R$151,VLOOKUP(AW986,Foundation_Calc!$I$2:$J$8,2,FALSE),0),"")))</f>
        <v/>
      </c>
      <c r="BA986" s="495" t="str">
        <f t="shared" si="119"/>
        <v>ü</v>
      </c>
      <c r="BB986" s="495" t="str">
        <f t="shared" si="120"/>
        <v/>
      </c>
      <c r="BC986" s="495" t="str">
        <f t="shared" si="121"/>
        <v/>
      </c>
      <c r="BD986" s="513" t="str">
        <f>IF(AND(L986="",H986=""),"",
IF(H986="",Pole_Calc!A$9,
IF(H986="MP",Pole_Calc!A$10,
IF(H986="AnMP",Pole_Calc!A$11,
IF(H986="A",Pole_Calc!A$12,
IF(H986="S/A",Pole_Calc!A$13,
IF(H986="A/S",Pole_Calc!A$14,"Poner a mano")))))))</f>
        <v>App.7-V11I-P9.5.1.1</v>
      </c>
      <c r="BE986" s="429" t="s">
        <v>118</v>
      </c>
      <c r="BF986" s="289"/>
      <c r="BG986" s="289"/>
      <c r="BH986" s="290"/>
      <c r="BI986" s="289"/>
    </row>
    <row r="987" spans="1:61" ht="15.75" customHeight="1">
      <c r="A987" s="514"/>
      <c r="B987" s="450"/>
      <c r="C987" s="3"/>
      <c r="D987" s="83"/>
      <c r="E987" s="4"/>
      <c r="F987" s="4"/>
      <c r="G987" s="6">
        <v>62</v>
      </c>
      <c r="H987" s="449"/>
      <c r="I987" s="4"/>
      <c r="J987" s="3"/>
      <c r="K987" s="449"/>
      <c r="L987" s="449"/>
      <c r="M987" s="449" t="str">
        <f>IF(L987="","",
IF(AX987="PT",VLOOKUP(L987,Foundation_Calc!$V$79:$X$113,VLOOKUP(AX987,Foundation_Calc!$I$10:$J$13,2,FALSE),0),
IF(AX987="K",VLOOKUP(L987,Foundation_Calc!$V$117:$X$151,VLOOKUP(AX987,Foundation_Calc!$I$10:$J$13,2,FALSE),0),"")))</f>
        <v/>
      </c>
      <c r="N987" s="449"/>
      <c r="O987" s="449"/>
      <c r="P987" s="449"/>
      <c r="Q987" s="4"/>
      <c r="R987" s="6"/>
      <c r="S987" s="6"/>
      <c r="T987" s="4"/>
      <c r="U987" s="4"/>
      <c r="V987" s="4"/>
      <c r="W987" s="9"/>
      <c r="X987" s="9"/>
      <c r="Y987" s="9"/>
      <c r="Z987" s="9"/>
      <c r="AA987" s="9"/>
      <c r="AB987" s="9"/>
      <c r="AC987" s="449" t="str">
        <f t="shared" si="118"/>
        <v/>
      </c>
      <c r="AD987" s="449"/>
      <c r="AE987" s="449"/>
      <c r="AF987" s="4"/>
      <c r="AG987" s="83"/>
      <c r="AH987" s="4"/>
      <c r="AI987" s="4"/>
      <c r="AJ987" s="449"/>
      <c r="AK987" s="449"/>
      <c r="AL987" s="449"/>
      <c r="AM987" s="449"/>
      <c r="AN987" s="10"/>
      <c r="AO987" s="9"/>
      <c r="AP987" s="9"/>
      <c r="AQ987" s="9">
        <f>+FL_1($T$988,$T$986,$G$987,1200,9.28,-1*$F$988)</f>
        <v>0.45400350967741931</v>
      </c>
      <c r="AR987" s="9"/>
      <c r="AS987" s="9"/>
      <c r="AT987" s="9"/>
      <c r="AU987" s="428"/>
      <c r="AV987" s="428"/>
      <c r="AW987" s="449" t="str">
        <f>IF(C987&gt;0,VLOOKUP(C987,Foundation_Calc!$A$2:$C$13,3,1),
IF(J987&gt;0,VLOOKUP(J987,Foundation_Calc!$A$2:$C$13,3,1),""))</f>
        <v/>
      </c>
      <c r="AX987" s="449" t="str">
        <f>IF(C987&gt;0,VLOOKUP(C987,Foundation_Calc!$E$2:$G$33,3,1),
IF(J987&gt;0,VLOOKUP(J987,Foundation_Calc!$E$2:$G$33,3,1),""))</f>
        <v/>
      </c>
      <c r="AY987" s="10" t="str">
        <f>IF(L987="","",
IF(AX987="PT",VLOOKUP(L987,Foundation_Calc!$K$79:$R$113,VLOOKUP(AW987,Foundation_Calc!$I$2:$J$8,2,FALSE),0),
IF(AX987="K",VLOOKUP(L987,Foundation_Calc!$K$117:$R$151,VLOOKUP(AW987,Foundation_Calc!$I$2:$J$8,2,FALSE),0),"")))</f>
        <v/>
      </c>
      <c r="AZ987" s="10" t="str">
        <f>IF(K987="","",
IF(AX987="PT",VLOOKUP(K987,Foundation_Calc!$K$79:$R$113,VLOOKUP(AW987,Foundation_Calc!$I$2:$J$8,2,FALSE),0),
IF(AX987="K",VLOOKUP(K987,Foundation_Calc!$K$117:$R$151,VLOOKUP(AW987,Foundation_Calc!$I$2:$J$8,2,FALSE),0),"")))</f>
        <v/>
      </c>
      <c r="BA987" s="495" t="str">
        <f t="shared" si="119"/>
        <v/>
      </c>
      <c r="BB987" s="495" t="str">
        <f t="shared" si="120"/>
        <v/>
      </c>
      <c r="BC987" s="495" t="str">
        <f t="shared" si="121"/>
        <v/>
      </c>
      <c r="BD987" s="513" t="str">
        <f>IF(AND(L987="",H987=""),"",
IF(H987="",Pole_Calc!A$9,
IF(H987="MP",Pole_Calc!A$10,
IF(H987="AnMP",Pole_Calc!A$11,
IF(H987="A",Pole_Calc!A$12,
IF(H987="S/A",Pole_Calc!A$13,
IF(H987="A/S",Pole_Calc!A$14,"Poner a mano")))))))</f>
        <v/>
      </c>
      <c r="BE987" s="429" t="s">
        <v>118</v>
      </c>
      <c r="BF987" s="290"/>
      <c r="BG987" s="290"/>
      <c r="BH987" s="290"/>
      <c r="BI987" s="290"/>
    </row>
    <row r="988" spans="1:61" ht="15.75" customHeight="1">
      <c r="A988" s="514"/>
      <c r="B988" s="450" t="s">
        <v>763</v>
      </c>
      <c r="C988" s="3">
        <f>+$C$986+$G$987</f>
        <v>53637.329999999994</v>
      </c>
      <c r="D988" s="83"/>
      <c r="E988" s="4"/>
      <c r="F988" s="4">
        <f>IF(C988&gt;0,VLOOKUP(C988,'ALIGNMENT TRACK'!$A$1:$K$81,9,1))</f>
        <v>0</v>
      </c>
      <c r="G988" s="6"/>
      <c r="H988" s="449"/>
      <c r="I988" s="4"/>
      <c r="J988" s="3"/>
      <c r="K988" s="449"/>
      <c r="L988" s="449" t="s">
        <v>153</v>
      </c>
      <c r="M988" s="449" t="str">
        <f>IF(L988="","",
IF(AX988="PT",VLOOKUP(L988,Foundation_Calc!$V$79:$X$113,VLOOKUP(AX988,Foundation_Calc!$I$10:$J$13,2,FALSE),0),
IF(AX988="K",VLOOKUP(L988,Foundation_Calc!$V$117:$X$151,VLOOKUP(AX988,Foundation_Calc!$I$10:$J$13,2,FALSE),0),"")))</f>
        <v>C3R</v>
      </c>
      <c r="N988" s="449" t="s">
        <v>134</v>
      </c>
      <c r="O988" s="449"/>
      <c r="P988" s="449"/>
      <c r="Q988" s="4"/>
      <c r="R988" s="6"/>
      <c r="S988" s="6"/>
      <c r="T988" s="4">
        <v>35</v>
      </c>
      <c r="U988" s="4"/>
      <c r="V988" s="4"/>
      <c r="W988" s="9">
        <v>1.4</v>
      </c>
      <c r="X988" s="9"/>
      <c r="Y988" s="9"/>
      <c r="Z988" s="9"/>
      <c r="AA988" s="9"/>
      <c r="AB988" s="9"/>
      <c r="AC988" s="449" t="str">
        <f t="shared" si="118"/>
        <v>PH</v>
      </c>
      <c r="AD988" s="449"/>
      <c r="AE988" s="449"/>
      <c r="AF988" s="4"/>
      <c r="AG988" s="83"/>
      <c r="AH988" s="4"/>
      <c r="AI988" s="4"/>
      <c r="AJ988" s="449"/>
      <c r="AK988" s="449"/>
      <c r="AL988" s="449"/>
      <c r="AM988" s="449" t="s">
        <v>552</v>
      </c>
      <c r="AN988" s="10">
        <v>5.5</v>
      </c>
      <c r="AO988" s="9"/>
      <c r="AP988" s="9"/>
      <c r="AQ988" s="9"/>
      <c r="AR988" s="9"/>
      <c r="AS988" s="9"/>
      <c r="AT988" s="9">
        <f>+ab($T$988,$T$986,$T$990,$G$987,$G$989,-1*$F$988,1200)</f>
        <v>8.4365744899000195</v>
      </c>
      <c r="AU988" s="428"/>
      <c r="AV988" s="428"/>
      <c r="AW988" s="449" t="str">
        <f>IF(C988&gt;0,VLOOKUP(C988,Foundation_Calc!$A$2:$C$13,3,1),
IF(J988&gt;0,VLOOKUP(J988,Foundation_Calc!$A$2:$C$13,3,1),""))</f>
        <v>Multi Soil</v>
      </c>
      <c r="AX988" s="449" t="str">
        <f>IF(C988&gt;0,VLOOKUP(C988,Foundation_Calc!$E$2:$G$33,3,1),
IF(J988&gt;0,VLOOKUP(J988,Foundation_Calc!$E$2:$G$33,3,1),""))</f>
        <v>PT</v>
      </c>
      <c r="AY988" s="10">
        <f>IF(L988="","",
IF(AX988="PT",VLOOKUP(L988,Foundation_Calc!$K$79:$R$113,VLOOKUP(AW988,Foundation_Calc!$I$2:$J$8,2,FALSE),0),
IF(AX988="K",VLOOKUP(L988,Foundation_Calc!$K$117:$R$151,VLOOKUP(AW988,Foundation_Calc!$I$2:$J$8,2,FALSE),0),"")))</f>
        <v>3.5</v>
      </c>
      <c r="AZ988" s="10" t="str">
        <f>IF(K988="","",
IF(AX988="PT",VLOOKUP(K988,Foundation_Calc!$K$79:$R$113,VLOOKUP(AW988,Foundation_Calc!$I$2:$J$8,2,FALSE),0),
IF(AX988="K",VLOOKUP(K988,Foundation_Calc!$K$117:$R$151,VLOOKUP(AW988,Foundation_Calc!$I$2:$J$8,2,FALSE),0),"")))</f>
        <v/>
      </c>
      <c r="BA988" s="495" t="str">
        <f t="shared" si="119"/>
        <v>ü</v>
      </c>
      <c r="BB988" s="495" t="str">
        <f t="shared" si="120"/>
        <v/>
      </c>
      <c r="BC988" s="495" t="str">
        <f t="shared" si="121"/>
        <v/>
      </c>
      <c r="BD988" s="513" t="str">
        <f>IF(AND(L988="",H988=""),"",
IF(H988="",Pole_Calc!A$9,
IF(H988="MP",Pole_Calc!A$10,
IF(H988="AnMP",Pole_Calc!A$11,
IF(H988="A",Pole_Calc!A$12,
IF(H988="S/A",Pole_Calc!A$13,
IF(H988="A/S",Pole_Calc!A$14,"Poner a mano")))))))</f>
        <v>App.7-V11I-P9.5.1.1</v>
      </c>
      <c r="BE988" s="429" t="s">
        <v>118</v>
      </c>
      <c r="BF988" s="289"/>
      <c r="BG988" s="289"/>
      <c r="BH988" s="290"/>
      <c r="BI988" s="289"/>
    </row>
    <row r="989" spans="1:61" ht="15.75" customHeight="1">
      <c r="A989" s="514"/>
      <c r="B989" s="450"/>
      <c r="C989" s="3"/>
      <c r="D989" s="83"/>
      <c r="E989" s="4"/>
      <c r="F989" s="4"/>
      <c r="G989" s="6">
        <v>62</v>
      </c>
      <c r="H989" s="449"/>
      <c r="I989" s="4"/>
      <c r="J989" s="3">
        <f>C990-7.5</f>
        <v>53691.829999999994</v>
      </c>
      <c r="K989" s="449" t="s">
        <v>166</v>
      </c>
      <c r="L989" s="449"/>
      <c r="M989" s="449" t="str">
        <f>IF(L989="","",
IF(AX989="PT",VLOOKUP(L989,Foundation_Calc!$V$79:$X$113,VLOOKUP(AX989,Foundation_Calc!$I$10:$J$13,2,FALSE),0),
IF(AX989="K",VLOOKUP(L989,Foundation_Calc!$V$117:$X$151,VLOOKUP(AX989,Foundation_Calc!$I$10:$J$13,2,FALSE),0),"")))</f>
        <v/>
      </c>
      <c r="N989" s="449"/>
      <c r="O989" s="449"/>
      <c r="P989" s="449"/>
      <c r="Q989" s="4"/>
      <c r="R989" s="6"/>
      <c r="S989" s="6"/>
      <c r="T989" s="4"/>
      <c r="U989" s="4"/>
      <c r="V989" s="4"/>
      <c r="W989" s="9"/>
      <c r="X989" s="9"/>
      <c r="Y989" s="9"/>
      <c r="Z989" s="9"/>
      <c r="AA989" s="9"/>
      <c r="AB989" s="9"/>
      <c r="AC989" s="449" t="str">
        <f t="shared" si="118"/>
        <v/>
      </c>
      <c r="AD989" s="449"/>
      <c r="AE989" s="449"/>
      <c r="AF989" s="4"/>
      <c r="AG989" s="83"/>
      <c r="AH989" s="4"/>
      <c r="AI989" s="4"/>
      <c r="AJ989" s="449"/>
      <c r="AK989" s="449"/>
      <c r="AL989" s="449"/>
      <c r="AM989" s="449"/>
      <c r="AN989" s="10"/>
      <c r="AO989" s="9"/>
      <c r="AP989" s="9"/>
      <c r="AQ989" s="9">
        <f>+FL_2($T$990,$T$988,$G$989,1200,9.28,-1*$F$990)</f>
        <v>-0.45400350967741931</v>
      </c>
      <c r="AR989" s="9"/>
      <c r="AS989" s="9"/>
      <c r="AT989" s="9"/>
      <c r="AU989" s="428"/>
      <c r="AV989" s="428"/>
      <c r="AW989" s="449" t="str">
        <f>IF(C989&gt;0,VLOOKUP(C989,Foundation_Calc!$A$2:$C$13,3,1),
IF(J989&gt;0,VLOOKUP(J989,Foundation_Calc!$A$2:$C$13,3,1),""))</f>
        <v>Multi Soil</v>
      </c>
      <c r="AX989" s="449" t="str">
        <f>IF(C989&gt;0,VLOOKUP(C989,Foundation_Calc!$E$2:$G$33,3,1),
IF(J989&gt;0,VLOOKUP(J989,Foundation_Calc!$E$2:$G$33,3,1),""))</f>
        <v>PT</v>
      </c>
      <c r="AY989" s="10" t="str">
        <f>IF(L989="","",
IF(AX989="PT",VLOOKUP(L989,Foundation_Calc!$K$79:$R$113,VLOOKUP(AW989,Foundation_Calc!$I$2:$J$8,2,FALSE),0),
IF(AX989="K",VLOOKUP(L989,Foundation_Calc!$K$117:$R$151,VLOOKUP(AW989,Foundation_Calc!$I$2:$J$8,2,FALSE),0),"")))</f>
        <v/>
      </c>
      <c r="AZ989" s="10">
        <f>IF(K989="","",
IF(AX989="PT",VLOOKUP(K989,Foundation_Calc!$K$79:$R$113,VLOOKUP(AW989,Foundation_Calc!$I$2:$J$8,2,FALSE),0),
IF(AX989="K",VLOOKUP(K989,Foundation_Calc!$K$117:$R$151,VLOOKUP(AW989,Foundation_Calc!$I$2:$J$8,2,FALSE),0),"")))</f>
        <v>2.8</v>
      </c>
      <c r="BA989" s="495" t="str">
        <f t="shared" si="119"/>
        <v/>
      </c>
      <c r="BB989" s="495" t="str">
        <f t="shared" si="120"/>
        <v>ü</v>
      </c>
      <c r="BC989" s="495" t="str">
        <f t="shared" si="121"/>
        <v/>
      </c>
      <c r="BD989" s="513" t="str">
        <f>IF(AND(L989="",H989=""),"",
IF(H989="",Pole_Calc!A$9,
IF(H989="MP",Pole_Calc!A$10,
IF(H989="AnMP",Pole_Calc!A$11,
IF(H989="A",Pole_Calc!A$12,
IF(H989="S/A",Pole_Calc!A$13,
IF(H989="A/S",Pole_Calc!A$14,"Poner a mano")))))))</f>
        <v/>
      </c>
      <c r="BE989" s="429" t="s">
        <v>118</v>
      </c>
      <c r="BF989" s="290"/>
      <c r="BG989" s="290"/>
      <c r="BH989" s="290"/>
      <c r="BI989" s="290"/>
    </row>
    <row r="990" spans="1:61" ht="15.75" customHeight="1">
      <c r="A990" s="518"/>
      <c r="B990" s="450" t="s">
        <v>764</v>
      </c>
      <c r="C990" s="3">
        <f>+$C$988+$G$989</f>
        <v>53699.329999999994</v>
      </c>
      <c r="D990" s="83"/>
      <c r="E990" s="4"/>
      <c r="F990" s="4">
        <f>IF(C990&gt;0,VLOOKUP(C990,'ALIGNMENT TRACK'!$A$1:$K$81,9,1))</f>
        <v>0</v>
      </c>
      <c r="G990" s="6"/>
      <c r="H990" s="449" t="s">
        <v>168</v>
      </c>
      <c r="I990" s="4"/>
      <c r="J990" s="3"/>
      <c r="K990" s="449"/>
      <c r="L990" s="449" t="s">
        <v>158</v>
      </c>
      <c r="M990" s="449" t="str">
        <f>IF(L990="","",
IF(AX990="PT",VLOOKUP(L990,Foundation_Calc!$V$79:$X$113,VLOOKUP(AX990,Foundation_Calc!$I$10:$J$13,2,FALSE),0),
IF(AX990="K",VLOOKUP(L990,Foundation_Calc!$V$117:$X$151,VLOOKUP(AX990,Foundation_Calc!$I$10:$J$13,2,FALSE),0),"")))</f>
        <v>C4R</v>
      </c>
      <c r="N990" s="449" t="s">
        <v>124</v>
      </c>
      <c r="O990" s="449"/>
      <c r="P990" s="449"/>
      <c r="Q990" s="4"/>
      <c r="R990" s="6"/>
      <c r="S990" s="6"/>
      <c r="T990" s="4">
        <v>-35</v>
      </c>
      <c r="U990" s="4"/>
      <c r="V990" s="4"/>
      <c r="W990" s="9">
        <v>1.4</v>
      </c>
      <c r="X990" s="9"/>
      <c r="Y990" s="9"/>
      <c r="Z990" s="9"/>
      <c r="AA990" s="9"/>
      <c r="AB990" s="9"/>
      <c r="AC990" s="449" t="str">
        <f t="shared" si="118"/>
        <v>PH</v>
      </c>
      <c r="AD990" s="449"/>
      <c r="AE990" s="449"/>
      <c r="AF990" s="4"/>
      <c r="AG990" s="83"/>
      <c r="AH990" s="4"/>
      <c r="AI990" s="4"/>
      <c r="AJ990" s="449"/>
      <c r="AK990" s="449"/>
      <c r="AL990" s="449"/>
      <c r="AM990" s="449" t="s">
        <v>552</v>
      </c>
      <c r="AN990" s="10">
        <v>5.5</v>
      </c>
      <c r="AO990" s="9"/>
      <c r="AP990" s="9"/>
      <c r="AQ990" s="9"/>
      <c r="AR990" s="9"/>
      <c r="AS990" s="9"/>
      <c r="AT990" s="9">
        <f>+ab($T$990,$T$988,$T$992,$G$989,$G$991,-1*$F$990,1200)</f>
        <v>-8.4366201521118445</v>
      </c>
      <c r="AU990" s="428"/>
      <c r="AV990" s="428"/>
      <c r="AW990" s="449" t="str">
        <f>IF(C990&gt;0,VLOOKUP(C990,Foundation_Calc!$A$2:$C$13,3,1),
IF(J990&gt;0,VLOOKUP(J990,Foundation_Calc!$A$2:$C$13,3,1),""))</f>
        <v>Multi Soil</v>
      </c>
      <c r="AX990" s="449" t="str">
        <f>IF(C990&gt;0,VLOOKUP(C990,Foundation_Calc!$E$2:$G$33,3,1),
IF(J990&gt;0,VLOOKUP(J990,Foundation_Calc!$E$2:$G$33,3,1),""))</f>
        <v>PT</v>
      </c>
      <c r="AY990" s="10">
        <f>IF(L990="","",
IF(AX990="PT",VLOOKUP(L990,Foundation_Calc!$K$79:$R$113,VLOOKUP(AW990,Foundation_Calc!$I$2:$J$8,2,FALSE),0),
IF(AX990="K",VLOOKUP(L990,Foundation_Calc!$K$117:$R$151,VLOOKUP(AW990,Foundation_Calc!$I$2:$J$8,2,FALSE),0),"")))</f>
        <v>3.5</v>
      </c>
      <c r="AZ990" s="10" t="str">
        <f>IF(K990="","",
IF(AX990="PT",VLOOKUP(K990,Foundation_Calc!$K$79:$R$113,VLOOKUP(AW990,Foundation_Calc!$I$2:$J$8,2,FALSE),0),
IF(AX990="K",VLOOKUP(K990,Foundation_Calc!$K$117:$R$151,VLOOKUP(AW990,Foundation_Calc!$I$2:$J$8,2,FALSE),0),"")))</f>
        <v/>
      </c>
      <c r="BA990" s="495" t="str">
        <f t="shared" si="119"/>
        <v>ü</v>
      </c>
      <c r="BB990" s="495" t="str">
        <f t="shared" si="120"/>
        <v/>
      </c>
      <c r="BC990" s="495" t="str">
        <f t="shared" si="121"/>
        <v/>
      </c>
      <c r="BD990" s="513" t="str">
        <f>IF(AND(L990="",H990=""),"",
IF(H990="",Pole_Calc!A$9,
IF(H990="MP",Pole_Calc!A$10,
IF(H990="AnMP",Pole_Calc!A$11,
IF(H990="A",Pole_Calc!A$12,
IF(H990="S/A",Pole_Calc!A$13,
IF(H990="A/S",Pole_Calc!A$14,"Poner a mano")))))))</f>
        <v>App.7-V11I-P9.5.1.3</v>
      </c>
      <c r="BE990" s="429" t="s">
        <v>118</v>
      </c>
      <c r="BF990" s="289"/>
      <c r="BG990" s="289"/>
      <c r="BH990" s="290"/>
      <c r="BI990" s="289"/>
    </row>
    <row r="991" spans="1:61" ht="15.75" customHeight="1">
      <c r="A991" s="518"/>
      <c r="B991" s="450"/>
      <c r="C991" s="3"/>
      <c r="D991" s="83"/>
      <c r="E991" s="4"/>
      <c r="F991" s="4"/>
      <c r="G991" s="6">
        <v>62</v>
      </c>
      <c r="H991" s="449"/>
      <c r="I991" s="4">
        <f>SUM(G971:G991)</f>
        <v>622.1</v>
      </c>
      <c r="J991" s="3"/>
      <c r="K991" s="449"/>
      <c r="L991" s="449"/>
      <c r="M991" s="449" t="str">
        <f>IF(L991="","",
IF(AX991="PT",VLOOKUP(L991,Foundation_Calc!$V$79:$X$113,VLOOKUP(AX991,Foundation_Calc!$I$10:$J$13,2,FALSE),0),
IF(AX991="K",VLOOKUP(L991,Foundation_Calc!$V$117:$X$151,VLOOKUP(AX991,Foundation_Calc!$I$10:$J$13,2,FALSE),0),"")))</f>
        <v/>
      </c>
      <c r="N991" s="561"/>
      <c r="O991" s="449"/>
      <c r="P991" s="449"/>
      <c r="Q991" s="4"/>
      <c r="R991" s="6"/>
      <c r="S991" s="6"/>
      <c r="T991" s="4"/>
      <c r="U991" s="4"/>
      <c r="V991" s="4"/>
      <c r="W991" s="9"/>
      <c r="X991" s="9"/>
      <c r="Y991" s="9"/>
      <c r="Z991" s="9"/>
      <c r="AA991" s="9"/>
      <c r="AB991" s="9"/>
      <c r="AC991" s="449" t="str">
        <f t="shared" si="118"/>
        <v/>
      </c>
      <c r="AD991" s="449"/>
      <c r="AE991" s="449"/>
      <c r="AF991" s="4"/>
      <c r="AG991" s="83"/>
      <c r="AH991" s="4"/>
      <c r="AI991" s="4"/>
      <c r="AJ991" s="449"/>
      <c r="AK991" s="449"/>
      <c r="AL991" s="449"/>
      <c r="AM991" s="449"/>
      <c r="AN991" s="10"/>
      <c r="AO991" s="9"/>
      <c r="AP991" s="9"/>
      <c r="AQ991" s="9">
        <f>+FL_1($T$992,$T$990,$G$991,1200,9.28,-1*$F$992)</f>
        <v>0.45400350967741931</v>
      </c>
      <c r="AR991" s="9"/>
      <c r="AS991" s="9"/>
      <c r="AT991" s="9"/>
      <c r="AU991" s="428"/>
      <c r="AV991" s="428"/>
      <c r="AW991" s="449" t="str">
        <f>IF(C991&gt;0,VLOOKUP(C991,Foundation_Calc!$A$2:$C$13,3,1),
IF(J991&gt;0,VLOOKUP(J991,Foundation_Calc!$A$2:$C$13,3,1),""))</f>
        <v/>
      </c>
      <c r="AX991" s="449" t="str">
        <f>IF(C991&gt;0,VLOOKUP(C991,Foundation_Calc!$E$2:$G$33,3,1),
IF(J991&gt;0,VLOOKUP(J991,Foundation_Calc!$E$2:$G$33,3,1),""))</f>
        <v/>
      </c>
      <c r="AY991" s="10" t="str">
        <f>IF(L991="","",
IF(AX991="PT",VLOOKUP(L991,Foundation_Calc!$K$79:$R$113,VLOOKUP(AW991,Foundation_Calc!$I$2:$J$8,2,FALSE),0),
IF(AX991="K",VLOOKUP(L991,Foundation_Calc!$K$117:$R$151,VLOOKUP(AW991,Foundation_Calc!$I$2:$J$8,2,FALSE),0),"")))</f>
        <v/>
      </c>
      <c r="AZ991" s="10" t="str">
        <f>IF(K991="","",
IF(AX991="PT",VLOOKUP(K991,Foundation_Calc!$K$79:$R$113,VLOOKUP(AW991,Foundation_Calc!$I$2:$J$8,2,FALSE),0),
IF(AX991="K",VLOOKUP(K991,Foundation_Calc!$K$117:$R$151,VLOOKUP(AW991,Foundation_Calc!$I$2:$J$8,2,FALSE),0),"")))</f>
        <v/>
      </c>
      <c r="BA991" s="495" t="str">
        <f t="shared" si="119"/>
        <v/>
      </c>
      <c r="BB991" s="495" t="str">
        <f t="shared" si="120"/>
        <v/>
      </c>
      <c r="BC991" s="495" t="str">
        <f t="shared" si="121"/>
        <v/>
      </c>
      <c r="BD991" s="513" t="str">
        <f>IF(AND(L991="",H991=""),"",
IF(H991="",Pole_Calc!A$9,
IF(H991="MP",Pole_Calc!A$10,
IF(H991="AnMP",Pole_Calc!A$11,
IF(H991="A",Pole_Calc!A$12,
IF(H991="S/A",Pole_Calc!A$13,
IF(H991="A/S",Pole_Calc!A$14,"Poner a mano")))))))</f>
        <v/>
      </c>
      <c r="BE991" s="429" t="s">
        <v>118</v>
      </c>
      <c r="BF991" s="290"/>
      <c r="BG991" s="290"/>
      <c r="BH991" s="290"/>
      <c r="BI991" s="290"/>
    </row>
    <row r="992" spans="1:61" ht="15.75" customHeight="1">
      <c r="A992" s="514"/>
      <c r="B992" s="450" t="s">
        <v>765</v>
      </c>
      <c r="C992" s="3">
        <f>+$C$990+$G$991</f>
        <v>53761.329999999994</v>
      </c>
      <c r="D992" s="83"/>
      <c r="E992" s="4"/>
      <c r="F992" s="4">
        <f>IF(C992&gt;0,VLOOKUP(C992,'ALIGNMENT TRACK'!$A$1:$K$81,9,1))</f>
        <v>0</v>
      </c>
      <c r="G992" s="6"/>
      <c r="H992" s="449" t="s">
        <v>171</v>
      </c>
      <c r="I992" s="4"/>
      <c r="J992" s="3"/>
      <c r="K992" s="449"/>
      <c r="L992" s="449" t="s">
        <v>153</v>
      </c>
      <c r="M992" s="449" t="str">
        <f>IF(L992="","",
IF(AX992="PT",VLOOKUP(L992,Foundation_Calc!$V$79:$X$113,VLOOKUP(AX992,Foundation_Calc!$I$10:$J$13,2,FALSE),0),
IF(AX992="K",VLOOKUP(L992,Foundation_Calc!$V$117:$X$151,VLOOKUP(AX992,Foundation_Calc!$I$10:$J$13,2,FALSE),0),"")))</f>
        <v>C3R</v>
      </c>
      <c r="N992" s="449" t="s">
        <v>134</v>
      </c>
      <c r="O992" s="449"/>
      <c r="P992" s="449"/>
      <c r="Q992" s="4"/>
      <c r="R992" s="6"/>
      <c r="S992" s="6"/>
      <c r="T992" s="4">
        <v>35</v>
      </c>
      <c r="U992" s="4"/>
      <c r="V992" s="4"/>
      <c r="W992" s="9">
        <v>1.4</v>
      </c>
      <c r="X992" s="9"/>
      <c r="Y992" s="9"/>
      <c r="Z992" s="9"/>
      <c r="AA992" s="9"/>
      <c r="AB992" s="9"/>
      <c r="AC992" s="449" t="str">
        <f t="shared" si="118"/>
        <v>PH</v>
      </c>
      <c r="AD992" s="449"/>
      <c r="AE992" s="449"/>
      <c r="AF992" s="4"/>
      <c r="AG992" s="83"/>
      <c r="AH992" s="4"/>
      <c r="AI992" s="4"/>
      <c r="AJ992" s="449"/>
      <c r="AK992" s="449"/>
      <c r="AL992" s="449"/>
      <c r="AM992" s="449" t="s">
        <v>552</v>
      </c>
      <c r="AN992" s="10">
        <v>5.5</v>
      </c>
      <c r="AO992" s="9"/>
      <c r="AP992" s="9"/>
      <c r="AQ992" s="9"/>
      <c r="AR992" s="9"/>
      <c r="AS992" s="9"/>
      <c r="AT992" s="9">
        <f>+ab($T$992,$T$990,$T$994,$G$991,$G$993,-1*$F$992,1200)</f>
        <v>8.3002133012442592</v>
      </c>
      <c r="AU992" s="428"/>
      <c r="AV992" s="428"/>
      <c r="AW992" s="449" t="str">
        <f>IF(C992&gt;0,VLOOKUP(C992,Foundation_Calc!$A$2:$C$13,3,1),
IF(J992&gt;0,VLOOKUP(J992,Foundation_Calc!$A$2:$C$13,3,1),""))</f>
        <v>Multi Soil</v>
      </c>
      <c r="AX992" s="449" t="str">
        <f>IF(C992&gt;0,VLOOKUP(C992,Foundation_Calc!$E$2:$G$33,3,1),
IF(J992&gt;0,VLOOKUP(J992,Foundation_Calc!$E$2:$G$33,3,1),""))</f>
        <v>PT</v>
      </c>
      <c r="AY992" s="10">
        <f>IF(L992="","",
IF(AX992="PT",VLOOKUP(L992,Foundation_Calc!$K$79:$R$113,VLOOKUP(AW992,Foundation_Calc!$I$2:$J$8,2,FALSE),0),
IF(AX992="K",VLOOKUP(L992,Foundation_Calc!$K$117:$R$151,VLOOKUP(AW992,Foundation_Calc!$I$2:$J$8,2,FALSE),0),"")))</f>
        <v>3.5</v>
      </c>
      <c r="AZ992" s="10" t="str">
        <f>IF(K992="","",
IF(AX992="PT",VLOOKUP(K992,Foundation_Calc!$K$79:$R$113,VLOOKUP(AW992,Foundation_Calc!$I$2:$J$8,2,FALSE),0),
IF(AX992="K",VLOOKUP(K992,Foundation_Calc!$K$117:$R$151,VLOOKUP(AW992,Foundation_Calc!$I$2:$J$8,2,FALSE),0),"")))</f>
        <v/>
      </c>
      <c r="BA992" s="495" t="str">
        <f t="shared" si="119"/>
        <v>ü</v>
      </c>
      <c r="BB992" s="495" t="str">
        <f t="shared" si="120"/>
        <v/>
      </c>
      <c r="BC992" s="495" t="str">
        <f t="shared" si="121"/>
        <v/>
      </c>
      <c r="BD992" s="513" t="str">
        <f>IF(AND(L992="",H992=""),"",
IF(H992="",Pole_Calc!A$9,
IF(H992="MP",Pole_Calc!A$10,
IF(H992="AnMP",Pole_Calc!A$11,
IF(H992="A",Pole_Calc!A$12,
IF(H992="S/A",Pole_Calc!A$13,
IF(H992="A/S",Pole_Calc!A$14,"Poner a mano")))))))</f>
        <v>App.7-V11I-P9.5.1.2</v>
      </c>
      <c r="BE992" s="429" t="s">
        <v>118</v>
      </c>
      <c r="BF992" s="289"/>
      <c r="BG992" s="289"/>
      <c r="BH992" s="290"/>
      <c r="BI992" s="289"/>
    </row>
    <row r="993" spans="1:61" ht="15.75" customHeight="1">
      <c r="A993" s="514"/>
      <c r="B993" s="450"/>
      <c r="C993" s="3"/>
      <c r="D993" s="83"/>
      <c r="E993" s="4"/>
      <c r="F993" s="4"/>
      <c r="G993" s="6">
        <v>60</v>
      </c>
      <c r="H993" s="449"/>
      <c r="I993" s="4">
        <f>SUM(G993:G1013)</f>
        <v>609</v>
      </c>
      <c r="J993" s="3"/>
      <c r="K993" s="449"/>
      <c r="L993" s="449"/>
      <c r="M993" s="449" t="str">
        <f>IF(L993="","",
IF(AX993="PT",VLOOKUP(L993,Foundation_Calc!$V$79:$X$113,VLOOKUP(AX993,Foundation_Calc!$I$10:$J$13,2,FALSE),0),
IF(AX993="K",VLOOKUP(L993,Foundation_Calc!$V$117:$X$151,VLOOKUP(AX993,Foundation_Calc!$I$10:$J$13,2,FALSE),0),"")))</f>
        <v/>
      </c>
      <c r="N993" s="449"/>
      <c r="O993" s="449"/>
      <c r="P993" s="449"/>
      <c r="Q993" s="4"/>
      <c r="R993" s="6"/>
      <c r="S993" s="6"/>
      <c r="T993" s="4"/>
      <c r="U993" s="4"/>
      <c r="V993" s="4"/>
      <c r="W993" s="9"/>
      <c r="X993" s="9"/>
      <c r="Y993" s="9"/>
      <c r="Z993" s="9"/>
      <c r="AA993" s="9"/>
      <c r="AB993" s="9"/>
      <c r="AC993" s="449" t="str">
        <f t="shared" si="118"/>
        <v/>
      </c>
      <c r="AD993" s="449"/>
      <c r="AE993" s="449"/>
      <c r="AF993" s="4"/>
      <c r="AG993" s="83"/>
      <c r="AH993" s="4"/>
      <c r="AI993" s="4"/>
      <c r="AJ993" s="449"/>
      <c r="AK993" s="449"/>
      <c r="AL993" s="449"/>
      <c r="AM993" s="449"/>
      <c r="AN993" s="10"/>
      <c r="AO993" s="9"/>
      <c r="AP993" s="9"/>
      <c r="AQ993" s="9">
        <f>+FL_2($T$994,$T$992,$G$993,1200,9.28,-1*$F$994)</f>
        <v>-0.43600286799999999</v>
      </c>
      <c r="AR993" s="9"/>
      <c r="AS993" s="9"/>
      <c r="AT993" s="9"/>
      <c r="AU993" s="428"/>
      <c r="AV993" s="428"/>
      <c r="AW993" s="449" t="str">
        <f>IF(C993&gt;0,VLOOKUP(C993,Foundation_Calc!$A$2:$C$13,3,1),
IF(J993&gt;0,VLOOKUP(J993,Foundation_Calc!$A$2:$C$13,3,1),""))</f>
        <v/>
      </c>
      <c r="AX993" s="449" t="str">
        <f>IF(C993&gt;0,VLOOKUP(C993,Foundation_Calc!$E$2:$G$33,3,1),
IF(J993&gt;0,VLOOKUP(J993,Foundation_Calc!$E$2:$G$33,3,1),""))</f>
        <v/>
      </c>
      <c r="AY993" s="10" t="str">
        <f>IF(L993="","",
IF(AX993="PT",VLOOKUP(L993,Foundation_Calc!$K$79:$R$113,VLOOKUP(AW993,Foundation_Calc!$I$2:$J$8,2,FALSE),0),
IF(AX993="K",VLOOKUP(L993,Foundation_Calc!$K$117:$R$151,VLOOKUP(AW993,Foundation_Calc!$I$2:$J$8,2,FALSE),0),"")))</f>
        <v/>
      </c>
      <c r="AZ993" s="10" t="str">
        <f>IF(K993="","",
IF(AX993="PT",VLOOKUP(K993,Foundation_Calc!$K$79:$R$113,VLOOKUP(AW993,Foundation_Calc!$I$2:$J$8,2,FALSE),0),
IF(AX993="K",VLOOKUP(K993,Foundation_Calc!$K$117:$R$151,VLOOKUP(AW993,Foundation_Calc!$I$2:$J$8,2,FALSE),0),"")))</f>
        <v/>
      </c>
      <c r="BA993" s="495" t="str">
        <f t="shared" si="119"/>
        <v/>
      </c>
      <c r="BB993" s="495" t="str">
        <f t="shared" si="120"/>
        <v/>
      </c>
      <c r="BC993" s="495" t="str">
        <f t="shared" si="121"/>
        <v/>
      </c>
      <c r="BD993" s="513" t="str">
        <f>IF(AND(L993="",H993=""),"",
IF(H993="",Pole_Calc!A$9,
IF(H993="MP",Pole_Calc!A$10,
IF(H993="AnMP",Pole_Calc!A$11,
IF(H993="A",Pole_Calc!A$12,
IF(H993="S/A",Pole_Calc!A$13,
IF(H993="A/S",Pole_Calc!A$14,"Poner a mano")))))))</f>
        <v/>
      </c>
      <c r="BE993" s="429" t="s">
        <v>118</v>
      </c>
      <c r="BF993" s="290"/>
      <c r="BG993" s="290"/>
      <c r="BH993" s="290"/>
      <c r="BI993" s="290"/>
    </row>
    <row r="994" spans="1:61" ht="15.75" customHeight="1">
      <c r="A994" s="514"/>
      <c r="B994" s="450" t="s">
        <v>766</v>
      </c>
      <c r="C994" s="3">
        <f>+$C$992+$G$993</f>
        <v>53821.329999999994</v>
      </c>
      <c r="D994" s="83"/>
      <c r="E994" s="4"/>
      <c r="F994" s="4">
        <f>IF(C994&gt;0,VLOOKUP(C994,'ALIGNMENT TRACK'!$A$1:$K$81,9,1))</f>
        <v>0</v>
      </c>
      <c r="G994" s="6"/>
      <c r="H994" s="449" t="s">
        <v>168</v>
      </c>
      <c r="I994" s="4"/>
      <c r="J994" s="3"/>
      <c r="K994" s="449"/>
      <c r="L994" s="449" t="s">
        <v>158</v>
      </c>
      <c r="M994" s="449" t="str">
        <f>IF(L994="","",
IF(AX994="PT",VLOOKUP(L994,Foundation_Calc!$V$79:$X$113,VLOOKUP(AX994,Foundation_Calc!$I$10:$J$13,2,FALSE),0),
IF(AX994="K",VLOOKUP(L994,Foundation_Calc!$V$117:$X$151,VLOOKUP(AX994,Foundation_Calc!$I$10:$J$13,2,FALSE),0),"")))</f>
        <v>C4RT</v>
      </c>
      <c r="N994" s="449" t="s">
        <v>124</v>
      </c>
      <c r="O994" s="449"/>
      <c r="P994" s="449"/>
      <c r="Q994" s="4"/>
      <c r="R994" s="6"/>
      <c r="S994" s="6"/>
      <c r="T994" s="4">
        <v>-35</v>
      </c>
      <c r="U994" s="4"/>
      <c r="V994" s="4"/>
      <c r="W994" s="9">
        <v>1.4</v>
      </c>
      <c r="X994" s="9"/>
      <c r="Y994" s="9"/>
      <c r="Z994" s="9"/>
      <c r="AA994" s="9"/>
      <c r="AB994" s="9"/>
      <c r="AC994" s="449" t="str">
        <f t="shared" si="118"/>
        <v>PHQ</v>
      </c>
      <c r="AD994" s="449"/>
      <c r="AE994" s="449"/>
      <c r="AF994" s="4"/>
      <c r="AG994" s="83"/>
      <c r="AH994" s="4"/>
      <c r="AI994" s="4"/>
      <c r="AJ994" s="449"/>
      <c r="AK994" s="449"/>
      <c r="AL994" s="449"/>
      <c r="AM994" s="449" t="s">
        <v>552</v>
      </c>
      <c r="AN994" s="10">
        <v>5.5</v>
      </c>
      <c r="AO994" s="9"/>
      <c r="AP994" s="9"/>
      <c r="AQ994" s="9"/>
      <c r="AR994" s="9"/>
      <c r="AS994" s="9"/>
      <c r="AT994" s="9">
        <f>+ab($T$994,$T$992,$T$996,$G$993,$G$995,-1*$F$994,1200)</f>
        <v>-7.8175501667728815</v>
      </c>
      <c r="AU994" s="428"/>
      <c r="AV994" s="428"/>
      <c r="AW994" s="449" t="str">
        <f>IF(C994&gt;0,VLOOKUP(C994,Foundation_Calc!$A$2:$C$13,3,1),
IF(J994&gt;0,VLOOKUP(J994,Foundation_Calc!$A$2:$C$13,3,1),""))</f>
        <v>Multi Soil</v>
      </c>
      <c r="AX994" s="449" t="str">
        <f>IF(C994&gt;0,VLOOKUP(C994,Foundation_Calc!$E$2:$G$33,3,1),
IF(J994&gt;0,VLOOKUP(J994,Foundation_Calc!$E$2:$G$33,3,1),""))</f>
        <v>K</v>
      </c>
      <c r="AY994" s="10">
        <f>IF(L994="","",
IF(AX994="PT",VLOOKUP(L994,Foundation_Calc!$K$79:$R$113,VLOOKUP(AW994,Foundation_Calc!$I$2:$J$8,2,FALSE),0),
IF(AX994="K",VLOOKUP(L994,Foundation_Calc!$K$117:$R$151,VLOOKUP(AW994,Foundation_Calc!$I$2:$J$8,2,FALSE),0),"")))</f>
        <v>4.2</v>
      </c>
      <c r="AZ994" s="10" t="str">
        <f>IF(K994="","",
IF(AX994="PT",VLOOKUP(K994,Foundation_Calc!$K$79:$R$113,VLOOKUP(AW994,Foundation_Calc!$I$2:$J$8,2,FALSE),0),
IF(AX994="K",VLOOKUP(K994,Foundation_Calc!$K$117:$R$151,VLOOKUP(AW994,Foundation_Calc!$I$2:$J$8,2,FALSE),0),"")))</f>
        <v/>
      </c>
      <c r="BA994" s="495" t="str">
        <f t="shared" si="119"/>
        <v>ü</v>
      </c>
      <c r="BB994" s="495" t="str">
        <f t="shared" si="120"/>
        <v/>
      </c>
      <c r="BC994" s="495" t="str">
        <f t="shared" si="121"/>
        <v/>
      </c>
      <c r="BD994" s="513" t="str">
        <f>IF(AND(L994="",H994=""),"",
IF(H994="",Pole_Calc!A$9,
IF(H994="MP",Pole_Calc!A$10,
IF(H994="AnMP",Pole_Calc!A$11,
IF(H994="A",Pole_Calc!A$12,
IF(H994="S/A",Pole_Calc!A$13,
IF(H994="A/S",Pole_Calc!A$14,"Poner a mano")))))))</f>
        <v>App.7-V11I-P9.5.1.3</v>
      </c>
      <c r="BE994" s="429" t="s">
        <v>118</v>
      </c>
      <c r="BF994" s="289"/>
      <c r="BG994" s="289"/>
      <c r="BH994" s="290"/>
      <c r="BI994" s="289"/>
    </row>
    <row r="995" spans="1:61" ht="15.75" customHeight="1">
      <c r="A995" s="514"/>
      <c r="B995" s="450"/>
      <c r="C995" s="3"/>
      <c r="D995" s="83"/>
      <c r="E995" s="4"/>
      <c r="F995" s="4"/>
      <c r="G995" s="6">
        <v>55</v>
      </c>
      <c r="H995" s="449"/>
      <c r="I995" s="4"/>
      <c r="J995" s="3">
        <f>C994+7.5</f>
        <v>53828.829999999994</v>
      </c>
      <c r="K995" s="449" t="s">
        <v>324</v>
      </c>
      <c r="L995" s="449"/>
      <c r="M995" s="449" t="str">
        <f>IF(L995="","",
IF(AX995="PT",VLOOKUP(L995,Foundation_Calc!$V$79:$X$113,VLOOKUP(AX995,Foundation_Calc!$I$10:$J$13,2,FALSE),0),
IF(AX995="K",VLOOKUP(L995,Foundation_Calc!$V$117:$X$151,VLOOKUP(AX995,Foundation_Calc!$I$10:$J$13,2,FALSE),0),"")))</f>
        <v/>
      </c>
      <c r="N995" s="449"/>
      <c r="O995" s="449"/>
      <c r="P995" s="449"/>
      <c r="Q995" s="4"/>
      <c r="R995" s="6"/>
      <c r="S995" s="6"/>
      <c r="T995" s="4"/>
      <c r="U995" s="4"/>
      <c r="V995" s="4"/>
      <c r="W995" s="9"/>
      <c r="X995" s="9"/>
      <c r="Y995" s="9"/>
      <c r="Z995" s="9"/>
      <c r="AA995" s="9"/>
      <c r="AB995" s="9"/>
      <c r="AC995" s="449" t="str">
        <f t="shared" si="118"/>
        <v/>
      </c>
      <c r="AD995" s="449"/>
      <c r="AE995" s="449"/>
      <c r="AF995" s="4"/>
      <c r="AG995" s="83"/>
      <c r="AH995" s="4"/>
      <c r="AI995" s="4"/>
      <c r="AJ995" s="449"/>
      <c r="AK995" s="449"/>
      <c r="AL995" s="449"/>
      <c r="AM995" s="449"/>
      <c r="AN995" s="10"/>
      <c r="AO995" s="9"/>
      <c r="AP995" s="9"/>
      <c r="AQ995" s="9">
        <f>+FL_2($T$996,$T$994,$G$995,1200,9.28,-1*$F$996)</f>
        <v>-0.39714735709090898</v>
      </c>
      <c r="AR995" s="9"/>
      <c r="AS995" s="9"/>
      <c r="AT995" s="9"/>
      <c r="AU995" s="428"/>
      <c r="AV995" s="428"/>
      <c r="AW995" s="449" t="str">
        <f>IF(C995&gt;0,VLOOKUP(C995,Foundation_Calc!$A$2:$C$13,3,1),
IF(J995&gt;0,VLOOKUP(J995,Foundation_Calc!$A$2:$C$13,3,1),""))</f>
        <v>Multi Soil</v>
      </c>
      <c r="AX995" s="449" t="str">
        <f>IF(C995&gt;0,VLOOKUP(C995,Foundation_Calc!$E$2:$G$33,3,1),
IF(J995&gt;0,VLOOKUP(J995,Foundation_Calc!$E$2:$G$33,3,1),""))</f>
        <v>K</v>
      </c>
      <c r="AY995" s="10" t="str">
        <f>IF(L995="","",
IF(AX995="PT",VLOOKUP(L995,Foundation_Calc!$K$79:$R$113,VLOOKUP(AW995,Foundation_Calc!$I$2:$J$8,2,FALSE),0),
IF(AX995="K",VLOOKUP(L995,Foundation_Calc!$K$117:$R$151,VLOOKUP(AW995,Foundation_Calc!$I$2:$J$8,2,FALSE),0),"")))</f>
        <v/>
      </c>
      <c r="AZ995" s="10">
        <f>IF(K995="","",
IF(AX995="PT",VLOOKUP(K995,Foundation_Calc!$K$79:$R$113,VLOOKUP(AW995,Foundation_Calc!$I$2:$J$8,2,FALSE),0),
IF(AX995="K",VLOOKUP(K995,Foundation_Calc!$K$117:$R$151,VLOOKUP(AW995,Foundation_Calc!$I$2:$J$8,2,FALSE),0),"")))</f>
        <v>2.8</v>
      </c>
      <c r="BA995" s="495" t="str">
        <f t="shared" si="119"/>
        <v/>
      </c>
      <c r="BB995" s="495" t="str">
        <f t="shared" si="120"/>
        <v>ü</v>
      </c>
      <c r="BC995" s="495" t="str">
        <f t="shared" si="121"/>
        <v/>
      </c>
      <c r="BD995" s="513" t="str">
        <f>IF(AND(L995="",H995=""),"",
IF(H995="",Pole_Calc!A$9,
IF(H995="MP",Pole_Calc!A$10,
IF(H995="AnMP",Pole_Calc!A$11,
IF(H995="A",Pole_Calc!A$12,
IF(H995="S/A",Pole_Calc!A$13,
IF(H995="A/S",Pole_Calc!A$14,"Poner a mano")))))))</f>
        <v/>
      </c>
      <c r="BE995" s="429" t="s">
        <v>118</v>
      </c>
      <c r="BF995" s="290"/>
      <c r="BG995" s="290"/>
      <c r="BH995" s="290"/>
      <c r="BI995" s="290"/>
    </row>
    <row r="996" spans="1:61" ht="15.75" customHeight="1">
      <c r="A996" s="518"/>
      <c r="B996" s="450" t="s">
        <v>767</v>
      </c>
      <c r="C996" s="3">
        <f>+$C$994+$G$995</f>
        <v>53876.329999999994</v>
      </c>
      <c r="D996" s="83"/>
      <c r="E996" s="4"/>
      <c r="F996" s="4">
        <f>IF(C996&gt;0,VLOOKUP(C996,'ALIGNMENT TRACK'!$A$1:$K$81,9,1))</f>
        <v>0</v>
      </c>
      <c r="G996" s="6"/>
      <c r="H996" s="449"/>
      <c r="I996" s="4"/>
      <c r="J996" s="3"/>
      <c r="K996" s="449"/>
      <c r="L996" s="449" t="s">
        <v>153</v>
      </c>
      <c r="M996" s="449" t="str">
        <f>IF(L996="","",
IF(AX996="PT",VLOOKUP(L996,Foundation_Calc!$V$79:$X$113,VLOOKUP(AX996,Foundation_Calc!$I$10:$J$13,2,FALSE),0),
IF(AX996="K",VLOOKUP(L996,Foundation_Calc!$V$117:$X$151,VLOOKUP(AX996,Foundation_Calc!$I$10:$J$13,2,FALSE),0),"")))</f>
        <v>C3RT</v>
      </c>
      <c r="N996" s="449" t="s">
        <v>134</v>
      </c>
      <c r="O996" s="449"/>
      <c r="P996" s="449"/>
      <c r="Q996" s="4"/>
      <c r="R996" s="6"/>
      <c r="S996" s="6"/>
      <c r="T996" s="4">
        <v>35</v>
      </c>
      <c r="U996" s="4"/>
      <c r="V996" s="4"/>
      <c r="W996" s="9">
        <v>1.4</v>
      </c>
      <c r="X996" s="9"/>
      <c r="Y996" s="9"/>
      <c r="Z996" s="9"/>
      <c r="AA996" s="9"/>
      <c r="AB996" s="9"/>
      <c r="AC996" s="449" t="str">
        <f t="shared" si="118"/>
        <v>PHQ</v>
      </c>
      <c r="AD996" s="449"/>
      <c r="AE996" s="449"/>
      <c r="AF996" s="4"/>
      <c r="AG996" s="83"/>
      <c r="AH996" s="4"/>
      <c r="AI996" s="4"/>
      <c r="AJ996" s="449"/>
      <c r="AK996" s="449"/>
      <c r="AL996" s="449"/>
      <c r="AM996" s="449" t="s">
        <v>552</v>
      </c>
      <c r="AN996" s="10">
        <v>5.5</v>
      </c>
      <c r="AO996" s="9"/>
      <c r="AP996" s="9"/>
      <c r="AQ996" s="9"/>
      <c r="AR996" s="9"/>
      <c r="AS996" s="9"/>
      <c r="AT996" s="9">
        <f>+ab($T$996,$T$994,$T$998,$G$995,$G$997,-1*$F$996,1200)</f>
        <v>7.4955682572493121</v>
      </c>
      <c r="AU996" s="428"/>
      <c r="AV996" s="428"/>
      <c r="AW996" s="449" t="str">
        <f>IF(C996&gt;0,VLOOKUP(C996,Foundation_Calc!$A$2:$C$13,3,1),
IF(J996&gt;0,VLOOKUP(J996,Foundation_Calc!$A$2:$C$13,3,1),""))</f>
        <v>Multi Soil</v>
      </c>
      <c r="AX996" s="449" t="str">
        <f>IF(C996&gt;0,VLOOKUP(C996,Foundation_Calc!$E$2:$G$33,3,1),
IF(J996&gt;0,VLOOKUP(J996,Foundation_Calc!$E$2:$G$33,3,1),""))</f>
        <v>K</v>
      </c>
      <c r="AY996" s="10">
        <f>IF(L996="","",
IF(AX996="PT",VLOOKUP(L996,Foundation_Calc!$K$79:$R$113,VLOOKUP(AW996,Foundation_Calc!$I$2:$J$8,2,FALSE),0),
IF(AX996="K",VLOOKUP(L996,Foundation_Calc!$K$117:$R$151,VLOOKUP(AW996,Foundation_Calc!$I$2:$J$8,2,FALSE),0),"")))</f>
        <v>4</v>
      </c>
      <c r="AZ996" s="10" t="str">
        <f>IF(K996="","",
IF(AX996="PT",VLOOKUP(K996,Foundation_Calc!$K$79:$R$113,VLOOKUP(AW996,Foundation_Calc!$I$2:$J$8,2,FALSE),0),
IF(AX996="K",VLOOKUP(K996,Foundation_Calc!$K$117:$R$151,VLOOKUP(AW996,Foundation_Calc!$I$2:$J$8,2,FALSE),0),"")))</f>
        <v/>
      </c>
      <c r="BA996" s="495" t="str">
        <f t="shared" si="119"/>
        <v>ü</v>
      </c>
      <c r="BB996" s="495" t="str">
        <f t="shared" si="120"/>
        <v/>
      </c>
      <c r="BC996" s="495" t="str">
        <f t="shared" si="121"/>
        <v/>
      </c>
      <c r="BD996" s="513" t="str">
        <f>IF(AND(L996="",H996=""),"",
IF(H996="",Pole_Calc!A$9,
IF(H996="MP",Pole_Calc!A$10,
IF(H996="AnMP",Pole_Calc!A$11,
IF(H996="A",Pole_Calc!A$12,
IF(H996="S/A",Pole_Calc!A$13,
IF(H996="A/S",Pole_Calc!A$14,"Poner a mano")))))))</f>
        <v>App.7-V11I-P9.5.1.1</v>
      </c>
      <c r="BE996" s="429" t="s">
        <v>118</v>
      </c>
      <c r="BF996" s="289"/>
      <c r="BG996" s="289"/>
      <c r="BH996" s="290"/>
      <c r="BI996" s="289"/>
    </row>
    <row r="997" spans="1:61" ht="15.75" customHeight="1">
      <c r="A997" s="518"/>
      <c r="B997" s="450"/>
      <c r="C997" s="3"/>
      <c r="D997" s="83"/>
      <c r="E997" s="4"/>
      <c r="F997" s="4"/>
      <c r="G997" s="6">
        <v>55</v>
      </c>
      <c r="H997" s="449"/>
      <c r="I997" s="4"/>
      <c r="J997" s="3"/>
      <c r="K997" s="449"/>
      <c r="L997" s="449"/>
      <c r="M997" s="449" t="str">
        <f>IF(L997="","",
IF(AX997="PT",VLOOKUP(L997,Foundation_Calc!$V$79:$X$113,VLOOKUP(AX997,Foundation_Calc!$I$10:$J$13,2,FALSE),0),
IF(AX997="K",VLOOKUP(L997,Foundation_Calc!$V$117:$X$151,VLOOKUP(AX997,Foundation_Calc!$I$10:$J$13,2,FALSE),0),"")))</f>
        <v/>
      </c>
      <c r="N997" s="561"/>
      <c r="O997" s="449"/>
      <c r="P997" s="449"/>
      <c r="Q997" s="4"/>
      <c r="R997" s="6"/>
      <c r="S997" s="6"/>
      <c r="T997" s="4"/>
      <c r="U997" s="4"/>
      <c r="V997" s="4"/>
      <c r="W997" s="9"/>
      <c r="X997" s="9"/>
      <c r="Y997" s="9"/>
      <c r="Z997" s="9"/>
      <c r="AA997" s="9"/>
      <c r="AB997" s="9"/>
      <c r="AC997" s="449" t="str">
        <f t="shared" si="118"/>
        <v/>
      </c>
      <c r="AD997" s="449"/>
      <c r="AE997" s="449"/>
      <c r="AF997" s="4"/>
      <c r="AG997" s="83"/>
      <c r="AH997" s="4"/>
      <c r="AI997" s="4"/>
      <c r="AJ997" s="449"/>
      <c r="AK997" s="449"/>
      <c r="AL997" s="449"/>
      <c r="AM997" s="449"/>
      <c r="AN997" s="10"/>
      <c r="AO997" s="9"/>
      <c r="AP997" s="9"/>
      <c r="AQ997" s="9">
        <f>+FL_1($T$998,$T$996,$G$997,1200,9.28,-1*$F$998)</f>
        <v>0.39714735709090898</v>
      </c>
      <c r="AR997" s="9"/>
      <c r="AS997" s="9"/>
      <c r="AT997" s="9"/>
      <c r="AU997" s="428"/>
      <c r="AV997" s="428"/>
      <c r="AW997" s="449" t="str">
        <f>IF(C997&gt;0,VLOOKUP(C997,Foundation_Calc!$A$2:$C$13,3,1),
IF(J997&gt;0,VLOOKUP(J997,Foundation_Calc!$A$2:$C$13,3,1),""))</f>
        <v/>
      </c>
      <c r="AX997" s="449" t="str">
        <f>IF(C997&gt;0,VLOOKUP(C997,Foundation_Calc!$E$2:$G$33,3,1),
IF(J997&gt;0,VLOOKUP(J997,Foundation_Calc!$E$2:$G$33,3,1),""))</f>
        <v/>
      </c>
      <c r="AY997" s="10" t="str">
        <f>IF(L997="","",
IF(AX997="PT",VLOOKUP(L997,Foundation_Calc!$K$79:$R$113,VLOOKUP(AW997,Foundation_Calc!$I$2:$J$8,2,FALSE),0),
IF(AX997="K",VLOOKUP(L997,Foundation_Calc!$K$117:$R$151,VLOOKUP(AW997,Foundation_Calc!$I$2:$J$8,2,FALSE),0),"")))</f>
        <v/>
      </c>
      <c r="AZ997" s="10" t="str">
        <f>IF(K997="","",
IF(AX997="PT",VLOOKUP(K997,Foundation_Calc!$K$79:$R$113,VLOOKUP(AW997,Foundation_Calc!$I$2:$J$8,2,FALSE),0),
IF(AX997="K",VLOOKUP(K997,Foundation_Calc!$K$117:$R$151,VLOOKUP(AW997,Foundation_Calc!$I$2:$J$8,2,FALSE),0),"")))</f>
        <v/>
      </c>
      <c r="BA997" s="495" t="str">
        <f t="shared" si="119"/>
        <v/>
      </c>
      <c r="BB997" s="495" t="str">
        <f t="shared" si="120"/>
        <v/>
      </c>
      <c r="BC997" s="495" t="str">
        <f t="shared" si="121"/>
        <v/>
      </c>
      <c r="BD997" s="513" t="str">
        <f>IF(AND(L997="",H997=""),"",
IF(H997="",Pole_Calc!A$9,
IF(H997="MP",Pole_Calc!A$10,
IF(H997="AnMP",Pole_Calc!A$11,
IF(H997="A",Pole_Calc!A$12,
IF(H997="S/A",Pole_Calc!A$13,
IF(H997="A/S",Pole_Calc!A$14,"Poner a mano")))))))</f>
        <v/>
      </c>
      <c r="BE997" s="429" t="s">
        <v>118</v>
      </c>
      <c r="BF997" s="290"/>
      <c r="BG997" s="290"/>
      <c r="BH997" s="290"/>
      <c r="BI997" s="290"/>
    </row>
    <row r="998" spans="1:61" ht="15.75" customHeight="1">
      <c r="A998" s="514"/>
      <c r="B998" s="450" t="s">
        <v>768</v>
      </c>
      <c r="C998" s="3">
        <f>+$C$996+$G$997</f>
        <v>53931.329999999994</v>
      </c>
      <c r="D998" s="83"/>
      <c r="E998" s="4"/>
      <c r="F998" s="4">
        <f>IF(C998&gt;0,VLOOKUP(C998,'ALIGNMENT TRACK'!$A$1:$K$81,9,1))</f>
        <v>0</v>
      </c>
      <c r="G998" s="6"/>
      <c r="H998" s="449"/>
      <c r="I998" s="4"/>
      <c r="J998" s="3"/>
      <c r="K998" s="449"/>
      <c r="L998" s="449" t="s">
        <v>153</v>
      </c>
      <c r="M998" s="449" t="str">
        <f>IF(L998="","",
IF(AX998="PT",VLOOKUP(L998,Foundation_Calc!$V$79:$X$113,VLOOKUP(AX998,Foundation_Calc!$I$10:$J$13,2,FALSE),0),
IF(AX998="K",VLOOKUP(L998,Foundation_Calc!$V$117:$X$151,VLOOKUP(AX998,Foundation_Calc!$I$10:$J$13,2,FALSE),0),"")))</f>
        <v>C3RT</v>
      </c>
      <c r="N998" s="449" t="s">
        <v>124</v>
      </c>
      <c r="O998" s="449"/>
      <c r="P998" s="449"/>
      <c r="Q998" s="4"/>
      <c r="R998" s="6"/>
      <c r="S998" s="6"/>
      <c r="T998" s="4">
        <v>-35</v>
      </c>
      <c r="U998" s="4"/>
      <c r="V998" s="4"/>
      <c r="W998" s="9">
        <v>1.4</v>
      </c>
      <c r="X998" s="9"/>
      <c r="Y998" s="9"/>
      <c r="Z998" s="9"/>
      <c r="AA998" s="9"/>
      <c r="AB998" s="9"/>
      <c r="AC998" s="449" t="str">
        <f t="shared" si="118"/>
        <v>PHQ</v>
      </c>
      <c r="AD998" s="449"/>
      <c r="AE998" s="449"/>
      <c r="AF998" s="4"/>
      <c r="AG998" s="83"/>
      <c r="AH998" s="4"/>
      <c r="AI998" s="4"/>
      <c r="AJ998" s="449"/>
      <c r="AK998" s="449"/>
      <c r="AL998" s="449"/>
      <c r="AM998" s="449" t="s">
        <v>552</v>
      </c>
      <c r="AN998" s="10">
        <v>5.5</v>
      </c>
      <c r="AO998" s="9"/>
      <c r="AP998" s="9"/>
      <c r="AQ998" s="9"/>
      <c r="AR998" s="9"/>
      <c r="AS998" s="9"/>
      <c r="AT998" s="9">
        <f>+ab($T$998,$T$996,$T$1000,$G$997,$G$999,-1*$F$998,1200)</f>
        <v>-7.495600280563588</v>
      </c>
      <c r="AU998" s="428"/>
      <c r="AV998" s="428"/>
      <c r="AW998" s="449" t="str">
        <f>IF(C998&gt;0,VLOOKUP(C998,Foundation_Calc!$A$2:$C$13,3,1),
IF(J998&gt;0,VLOOKUP(J998,Foundation_Calc!$A$2:$C$13,3,1),""))</f>
        <v>Multi Soil</v>
      </c>
      <c r="AX998" s="449" t="str">
        <f>IF(C998&gt;0,VLOOKUP(C998,Foundation_Calc!$E$2:$G$33,3,1),
IF(J998&gt;0,VLOOKUP(J998,Foundation_Calc!$E$2:$G$33,3,1),""))</f>
        <v>K</v>
      </c>
      <c r="AY998" s="10">
        <f>IF(L998="","",
IF(AX998="PT",VLOOKUP(L998,Foundation_Calc!$K$79:$R$113,VLOOKUP(AW998,Foundation_Calc!$I$2:$J$8,2,FALSE),0),
IF(AX998="K",VLOOKUP(L998,Foundation_Calc!$K$117:$R$151,VLOOKUP(AW998,Foundation_Calc!$I$2:$J$8,2,FALSE),0),"")))</f>
        <v>4</v>
      </c>
      <c r="AZ998" s="10" t="str">
        <f>IF(K998="","",
IF(AX998="PT",VLOOKUP(K998,Foundation_Calc!$K$79:$R$113,VLOOKUP(AW998,Foundation_Calc!$I$2:$J$8,2,FALSE),0),
IF(AX998="K",VLOOKUP(K998,Foundation_Calc!$K$117:$R$151,VLOOKUP(AW998,Foundation_Calc!$I$2:$J$8,2,FALSE),0),"")))</f>
        <v/>
      </c>
      <c r="BA998" s="495" t="str">
        <f t="shared" si="119"/>
        <v>ü</v>
      </c>
      <c r="BB998" s="495" t="str">
        <f t="shared" si="120"/>
        <v/>
      </c>
      <c r="BC998" s="495" t="str">
        <f t="shared" si="121"/>
        <v/>
      </c>
      <c r="BD998" s="513" t="str">
        <f>IF(AND(L998="",H998=""),"",
IF(H998="",Pole_Calc!A$9,
IF(H998="MP",Pole_Calc!A$10,
IF(H998="AnMP",Pole_Calc!A$11,
IF(H998="A",Pole_Calc!A$12,
IF(H998="S/A",Pole_Calc!A$13,
IF(H998="A/S",Pole_Calc!A$14,"Poner a mano")))))))</f>
        <v>App.7-V11I-P9.5.1.1</v>
      </c>
      <c r="BE998" s="429" t="s">
        <v>118</v>
      </c>
      <c r="BF998" s="289"/>
      <c r="BG998" s="289"/>
      <c r="BH998" s="290"/>
      <c r="BI998" s="289"/>
    </row>
    <row r="999" spans="1:61" ht="15.75" customHeight="1">
      <c r="A999" s="514"/>
      <c r="B999" s="450"/>
      <c r="C999" s="3"/>
      <c r="D999" s="83"/>
      <c r="E999" s="4"/>
      <c r="F999" s="4"/>
      <c r="G999" s="6">
        <v>55</v>
      </c>
      <c r="H999" s="449"/>
      <c r="I999" s="4"/>
      <c r="J999" s="3"/>
      <c r="K999" s="449"/>
      <c r="L999" s="449"/>
      <c r="M999" s="449" t="str">
        <f>IF(L999="","",
IF(AX999="PT",VLOOKUP(L999,Foundation_Calc!$V$79:$X$113,VLOOKUP(AX999,Foundation_Calc!$I$10:$J$13,2,FALSE),0),
IF(AX999="K",VLOOKUP(L999,Foundation_Calc!$V$117:$X$151,VLOOKUP(AX999,Foundation_Calc!$I$10:$J$13,2,FALSE),0),"")))</f>
        <v/>
      </c>
      <c r="N999" s="449"/>
      <c r="O999" s="449"/>
      <c r="P999" s="449"/>
      <c r="Q999" s="4"/>
      <c r="R999" s="6"/>
      <c r="S999" s="6"/>
      <c r="T999" s="4"/>
      <c r="U999" s="4"/>
      <c r="V999" s="4"/>
      <c r="W999" s="9"/>
      <c r="X999" s="9"/>
      <c r="Y999" s="9"/>
      <c r="Z999" s="9"/>
      <c r="AA999" s="9"/>
      <c r="AB999" s="9"/>
      <c r="AC999" s="449" t="str">
        <f t="shared" si="118"/>
        <v/>
      </c>
      <c r="AD999" s="449"/>
      <c r="AE999" s="449"/>
      <c r="AF999" s="4"/>
      <c r="AG999" s="83"/>
      <c r="AH999" s="4"/>
      <c r="AI999" s="4"/>
      <c r="AJ999" s="449"/>
      <c r="AK999" s="449"/>
      <c r="AL999" s="449"/>
      <c r="AM999" s="449"/>
      <c r="AN999" s="10"/>
      <c r="AO999" s="9"/>
      <c r="AP999" s="9"/>
      <c r="AQ999" s="9">
        <f>+FL_2($T$1000,$T$998,$G$999,1200,9.28,-1*$F$1000)</f>
        <v>-0.39714735709090898</v>
      </c>
      <c r="AR999" s="9"/>
      <c r="AS999" s="9"/>
      <c r="AT999" s="9"/>
      <c r="AU999" s="428"/>
      <c r="AV999" s="428"/>
      <c r="AW999" s="449" t="str">
        <f>IF(C999&gt;0,VLOOKUP(C999,Foundation_Calc!$A$2:$C$13,3,1),
IF(J999&gt;0,VLOOKUP(J999,Foundation_Calc!$A$2:$C$13,3,1),""))</f>
        <v/>
      </c>
      <c r="AX999" s="449" t="str">
        <f>IF(C999&gt;0,VLOOKUP(C999,Foundation_Calc!$E$2:$G$33,3,1),
IF(J999&gt;0,VLOOKUP(J999,Foundation_Calc!$E$2:$G$33,3,1),""))</f>
        <v/>
      </c>
      <c r="AY999" s="10" t="str">
        <f>IF(L999="","",
IF(AX999="PT",VLOOKUP(L999,Foundation_Calc!$K$79:$R$113,VLOOKUP(AW999,Foundation_Calc!$I$2:$J$8,2,FALSE),0),
IF(AX999="K",VLOOKUP(L999,Foundation_Calc!$K$117:$R$151,VLOOKUP(AW999,Foundation_Calc!$I$2:$J$8,2,FALSE),0),"")))</f>
        <v/>
      </c>
      <c r="AZ999" s="10" t="str">
        <f>IF(K999="","",
IF(AX999="PT",VLOOKUP(K999,Foundation_Calc!$K$79:$R$113,VLOOKUP(AW999,Foundation_Calc!$I$2:$J$8,2,FALSE),0),
IF(AX999="K",VLOOKUP(K999,Foundation_Calc!$K$117:$R$151,VLOOKUP(AW999,Foundation_Calc!$I$2:$J$8,2,FALSE),0),"")))</f>
        <v/>
      </c>
      <c r="BA999" s="495" t="str">
        <f t="shared" si="119"/>
        <v/>
      </c>
      <c r="BB999" s="495" t="str">
        <f t="shared" si="120"/>
        <v/>
      </c>
      <c r="BC999" s="495" t="str">
        <f t="shared" si="121"/>
        <v/>
      </c>
      <c r="BD999" s="513" t="str">
        <f>IF(AND(L999="",H999=""),"",
IF(H999="",Pole_Calc!A$9,
IF(H999="MP",Pole_Calc!A$10,
IF(H999="AnMP",Pole_Calc!A$11,
IF(H999="A",Pole_Calc!A$12,
IF(H999="S/A",Pole_Calc!A$13,
IF(H999="A/S",Pole_Calc!A$14,"Poner a mano")))))))</f>
        <v/>
      </c>
      <c r="BE999" s="429" t="s">
        <v>118</v>
      </c>
      <c r="BF999" s="290"/>
      <c r="BG999" s="290"/>
      <c r="BH999" s="290"/>
      <c r="BI999" s="290"/>
    </row>
    <row r="1000" spans="1:61" ht="15.75" customHeight="1">
      <c r="A1000" s="514"/>
      <c r="B1000" s="450" t="s">
        <v>769</v>
      </c>
      <c r="C1000" s="3">
        <f>+$C$998+$G$999</f>
        <v>53986.329999999994</v>
      </c>
      <c r="D1000" s="83"/>
      <c r="E1000" s="4"/>
      <c r="F1000" s="4">
        <f>IF(C1000&gt;0,VLOOKUP(C1000,'ALIGNMENT TRACK'!$A$1:$K$81,9,1))</f>
        <v>0</v>
      </c>
      <c r="G1000" s="6"/>
      <c r="H1000" s="449"/>
      <c r="I1000" s="4"/>
      <c r="J1000" s="3"/>
      <c r="K1000" s="449"/>
      <c r="L1000" s="449" t="s">
        <v>153</v>
      </c>
      <c r="M1000" s="449" t="str">
        <f>IF(L1000="","",
IF(AX1000="PT",VLOOKUP(L1000,Foundation_Calc!$V$79:$X$113,VLOOKUP(AX1000,Foundation_Calc!$I$10:$J$13,2,FALSE),0),
IF(AX1000="K",VLOOKUP(L1000,Foundation_Calc!$V$117:$X$151,VLOOKUP(AX1000,Foundation_Calc!$I$10:$J$13,2,FALSE),0),"")))</f>
        <v>C3RT</v>
      </c>
      <c r="N1000" s="449" t="s">
        <v>134</v>
      </c>
      <c r="O1000" s="449"/>
      <c r="P1000" s="449"/>
      <c r="Q1000" s="4"/>
      <c r="R1000" s="6"/>
      <c r="S1000" s="6"/>
      <c r="T1000" s="4">
        <v>35</v>
      </c>
      <c r="U1000" s="4"/>
      <c r="V1000" s="4"/>
      <c r="W1000" s="9">
        <v>1.4</v>
      </c>
      <c r="X1000" s="9"/>
      <c r="Y1000" s="9"/>
      <c r="Z1000" s="9"/>
      <c r="AA1000" s="9"/>
      <c r="AB1000" s="9"/>
      <c r="AC1000" s="449" t="str">
        <f t="shared" si="118"/>
        <v>PHQ</v>
      </c>
      <c r="AD1000" s="449"/>
      <c r="AE1000" s="449"/>
      <c r="AF1000" s="4"/>
      <c r="AG1000" s="83"/>
      <c r="AH1000" s="4"/>
      <c r="AI1000" s="4"/>
      <c r="AJ1000" s="449"/>
      <c r="AK1000" s="449"/>
      <c r="AL1000" s="449"/>
      <c r="AM1000" s="449" t="s">
        <v>552</v>
      </c>
      <c r="AN1000" s="10">
        <v>5.5</v>
      </c>
      <c r="AO1000" s="9"/>
      <c r="AP1000" s="9"/>
      <c r="AQ1000" s="9"/>
      <c r="AR1000" s="9"/>
      <c r="AS1000" s="9"/>
      <c r="AT1000" s="9">
        <f>+ab($T$1000,$T$998,$T$1002,$G$999,$G$1001,-1*$F$1000,1200)</f>
        <v>7.8175137683875535</v>
      </c>
      <c r="AU1000" s="428"/>
      <c r="AV1000" s="428"/>
      <c r="AW1000" s="449" t="str">
        <f>IF(C1000&gt;0,VLOOKUP(C1000,Foundation_Calc!$A$2:$C$13,3,1),
IF(J1000&gt;0,VLOOKUP(J1000,Foundation_Calc!$A$2:$C$13,3,1),""))</f>
        <v>Multi Soil</v>
      </c>
      <c r="AX1000" s="449" t="str">
        <f>IF(C1000&gt;0,VLOOKUP(C1000,Foundation_Calc!$E$2:$G$33,3,1),
IF(J1000&gt;0,VLOOKUP(J1000,Foundation_Calc!$E$2:$G$33,3,1),""))</f>
        <v>K</v>
      </c>
      <c r="AY1000" s="10">
        <f>IF(L1000="","",
IF(AX1000="PT",VLOOKUP(L1000,Foundation_Calc!$K$79:$R$113,VLOOKUP(AW1000,Foundation_Calc!$I$2:$J$8,2,FALSE),0),
IF(AX1000="K",VLOOKUP(L1000,Foundation_Calc!$K$117:$R$151,VLOOKUP(AW1000,Foundation_Calc!$I$2:$J$8,2,FALSE),0),"")))</f>
        <v>4</v>
      </c>
      <c r="AZ1000" s="10" t="str">
        <f>IF(K1000="","",
IF(AX1000="PT",VLOOKUP(K1000,Foundation_Calc!$K$79:$R$113,VLOOKUP(AW1000,Foundation_Calc!$I$2:$J$8,2,FALSE),0),
IF(AX1000="K",VLOOKUP(K1000,Foundation_Calc!$K$117:$R$151,VLOOKUP(AW1000,Foundation_Calc!$I$2:$J$8,2,FALSE),0),"")))</f>
        <v/>
      </c>
      <c r="BA1000" s="495" t="str">
        <f t="shared" si="119"/>
        <v>ü</v>
      </c>
      <c r="BB1000" s="495" t="str">
        <f t="shared" si="120"/>
        <v/>
      </c>
      <c r="BC1000" s="495" t="str">
        <f t="shared" si="121"/>
        <v/>
      </c>
      <c r="BD1000" s="513" t="str">
        <f>IF(AND(L1000="",H1000=""),"",
IF(H1000="",Pole_Calc!A$9,
IF(H1000="MP",Pole_Calc!A$10,
IF(H1000="AnMP",Pole_Calc!A$11,
IF(H1000="A",Pole_Calc!A$12,
IF(H1000="S/A",Pole_Calc!A$13,
IF(H1000="A/S",Pole_Calc!A$14,"Poner a mano")))))))</f>
        <v>App.7-V11I-P9.5.1.1</v>
      </c>
      <c r="BE1000" s="429" t="s">
        <v>118</v>
      </c>
      <c r="BF1000" s="289"/>
      <c r="BG1000" s="289"/>
      <c r="BH1000" s="290"/>
      <c r="BI1000" s="289"/>
    </row>
    <row r="1001" spans="1:61" ht="15.75" customHeight="1">
      <c r="A1001" s="514"/>
      <c r="B1001" s="450"/>
      <c r="C1001" s="3"/>
      <c r="D1001" s="83"/>
      <c r="E1001" s="4"/>
      <c r="F1001" s="4"/>
      <c r="G1001" s="6">
        <v>60</v>
      </c>
      <c r="H1001" s="449"/>
      <c r="I1001" s="4"/>
      <c r="J1001" s="3"/>
      <c r="K1001" s="449"/>
      <c r="L1001" s="449"/>
      <c r="M1001" s="449" t="str">
        <f>IF(L1001="","",
IF(AX1001="PT",VLOOKUP(L1001,Foundation_Calc!$V$79:$X$113,VLOOKUP(AX1001,Foundation_Calc!$I$10:$J$13,2,FALSE),0),
IF(AX1001="K",VLOOKUP(L1001,Foundation_Calc!$V$117:$X$151,VLOOKUP(AX1001,Foundation_Calc!$I$10:$J$13,2,FALSE),0),"")))</f>
        <v/>
      </c>
      <c r="N1001" s="449"/>
      <c r="O1001" s="449"/>
      <c r="P1001" s="449"/>
      <c r="Q1001" s="4"/>
      <c r="R1001" s="6"/>
      <c r="S1001" s="6"/>
      <c r="T1001" s="4"/>
      <c r="U1001" s="4"/>
      <c r="V1001" s="4"/>
      <c r="W1001" s="9"/>
      <c r="X1001" s="9"/>
      <c r="Y1001" s="9"/>
      <c r="Z1001" s="9"/>
      <c r="AA1001" s="9"/>
      <c r="AB1001" s="9"/>
      <c r="AC1001" s="449" t="str">
        <f t="shared" si="118"/>
        <v/>
      </c>
      <c r="AD1001" s="449"/>
      <c r="AE1001" s="449"/>
      <c r="AF1001" s="4"/>
      <c r="AG1001" s="83"/>
      <c r="AH1001" s="4"/>
      <c r="AI1001" s="4"/>
      <c r="AJ1001" s="449"/>
      <c r="AK1001" s="449"/>
      <c r="AL1001" s="449"/>
      <c r="AM1001" s="449"/>
      <c r="AN1001" s="10"/>
      <c r="AO1001" s="9"/>
      <c r="AP1001" s="9"/>
      <c r="AQ1001" s="9">
        <f>+FL_2($T$1002,$T$1000,$G$1001,1200,9.28,-1*$F$1002)</f>
        <v>-0.43600286799999999</v>
      </c>
      <c r="AR1001" s="9"/>
      <c r="AS1001" s="9"/>
      <c r="AT1001" s="9"/>
      <c r="AU1001" s="428"/>
      <c r="AV1001" s="428"/>
      <c r="AW1001" s="449" t="str">
        <f>IF(C1001&gt;0,VLOOKUP(C1001,Foundation_Calc!$A$2:$C$13,3,1),
IF(J1001&gt;0,VLOOKUP(J1001,Foundation_Calc!$A$2:$C$13,3,1),""))</f>
        <v/>
      </c>
      <c r="AX1001" s="449" t="str">
        <f>IF(C1001&gt;0,VLOOKUP(C1001,Foundation_Calc!$E$2:$G$33,3,1),
IF(J1001&gt;0,VLOOKUP(J1001,Foundation_Calc!$E$2:$G$33,3,1),""))</f>
        <v/>
      </c>
      <c r="AY1001" s="10" t="str">
        <f>IF(L1001="","",
IF(AX1001="PT",VLOOKUP(L1001,Foundation_Calc!$K$79:$R$113,VLOOKUP(AW1001,Foundation_Calc!$I$2:$J$8,2,FALSE),0),
IF(AX1001="K",VLOOKUP(L1001,Foundation_Calc!$K$117:$R$151,VLOOKUP(AW1001,Foundation_Calc!$I$2:$J$8,2,FALSE),0),"")))</f>
        <v/>
      </c>
      <c r="AZ1001" s="10" t="str">
        <f>IF(K1001="","",
IF(AX1001="PT",VLOOKUP(K1001,Foundation_Calc!$K$79:$R$113,VLOOKUP(AW1001,Foundation_Calc!$I$2:$J$8,2,FALSE),0),
IF(AX1001="K",VLOOKUP(K1001,Foundation_Calc!$K$117:$R$151,VLOOKUP(AW1001,Foundation_Calc!$I$2:$J$8,2,FALSE),0),"")))</f>
        <v/>
      </c>
      <c r="BA1001" s="495" t="str">
        <f t="shared" si="119"/>
        <v/>
      </c>
      <c r="BB1001" s="495" t="str">
        <f t="shared" si="120"/>
        <v/>
      </c>
      <c r="BC1001" s="495" t="str">
        <f t="shared" si="121"/>
        <v/>
      </c>
      <c r="BD1001" s="513" t="str">
        <f>IF(AND(L1001="",H1001=""),"",
IF(H1001="",Pole_Calc!A$9,
IF(H1001="MP",Pole_Calc!A$10,
IF(H1001="AnMP",Pole_Calc!A$11,
IF(H1001="A",Pole_Calc!A$12,
IF(H1001="S/A",Pole_Calc!A$13,
IF(H1001="A/S",Pole_Calc!A$14,"Poner a mano")))))))</f>
        <v/>
      </c>
      <c r="BE1001" s="429" t="s">
        <v>118</v>
      </c>
      <c r="BF1001" s="290"/>
      <c r="BG1001" s="290"/>
      <c r="BH1001" s="290"/>
      <c r="BI1001" s="290"/>
    </row>
    <row r="1002" spans="1:61" ht="15.75" customHeight="1">
      <c r="A1002" s="518"/>
      <c r="B1002" s="450" t="s">
        <v>770</v>
      </c>
      <c r="C1002" s="3">
        <f>+$C$1000+$G$1001</f>
        <v>54046.329999999994</v>
      </c>
      <c r="D1002" s="83"/>
      <c r="E1002" s="4"/>
      <c r="F1002" s="4">
        <f>IF(C1002&gt;0,VLOOKUP(C1002,'ALIGNMENT TRACK'!$A$1:$K$81,9,1))</f>
        <v>0</v>
      </c>
      <c r="G1002" s="6"/>
      <c r="H1002" s="449"/>
      <c r="I1002" s="4"/>
      <c r="J1002" s="3"/>
      <c r="K1002" s="449"/>
      <c r="L1002" s="449" t="s">
        <v>153</v>
      </c>
      <c r="M1002" s="449" t="str">
        <f>IF(L1002="","",
IF(AX1002="PT",VLOOKUP(L1002,Foundation_Calc!$V$79:$X$113,VLOOKUP(AX1002,Foundation_Calc!$I$10:$J$13,2,FALSE),0),
IF(AX1002="K",VLOOKUP(L1002,Foundation_Calc!$V$117:$X$151,VLOOKUP(AX1002,Foundation_Calc!$I$10:$J$13,2,FALSE),0),"")))</f>
        <v>C3RT</v>
      </c>
      <c r="N1002" s="449" t="s">
        <v>124</v>
      </c>
      <c r="O1002" s="449"/>
      <c r="P1002" s="449"/>
      <c r="Q1002" s="4"/>
      <c r="R1002" s="6"/>
      <c r="S1002" s="6"/>
      <c r="T1002" s="4">
        <v>-35</v>
      </c>
      <c r="U1002" s="4"/>
      <c r="V1002" s="4"/>
      <c r="W1002" s="9">
        <v>1.4</v>
      </c>
      <c r="X1002" s="9"/>
      <c r="Y1002" s="9"/>
      <c r="Z1002" s="9"/>
      <c r="AA1002" s="9"/>
      <c r="AB1002" s="9"/>
      <c r="AC1002" s="449" t="str">
        <f t="shared" si="118"/>
        <v>PH</v>
      </c>
      <c r="AD1002" s="449"/>
      <c r="AE1002" s="449"/>
      <c r="AF1002" s="4"/>
      <c r="AG1002" s="83"/>
      <c r="AH1002" s="4"/>
      <c r="AI1002" s="4"/>
      <c r="AJ1002" s="449"/>
      <c r="AK1002" s="449"/>
      <c r="AL1002" s="449"/>
      <c r="AM1002" s="449" t="s">
        <v>552</v>
      </c>
      <c r="AN1002" s="10">
        <v>5.5</v>
      </c>
      <c r="AO1002" s="9"/>
      <c r="AP1002" s="9"/>
      <c r="AQ1002" s="9"/>
      <c r="AR1002" s="9"/>
      <c r="AS1002" s="9"/>
      <c r="AT1002" s="9">
        <f>+ab($T$1002,$T$1000,$T$1004,$G$1001,$G$1003,-1*$F$1002,1200)</f>
        <v>-8.1682020423530854</v>
      </c>
      <c r="AU1002" s="428"/>
      <c r="AV1002" s="428"/>
      <c r="AW1002" s="449" t="str">
        <f>IF(C1002&gt;0,VLOOKUP(C1002,Foundation_Calc!$A$2:$C$13,3,1),
IF(J1002&gt;0,VLOOKUP(J1002,Foundation_Calc!$A$2:$C$13,3,1),""))</f>
        <v>Multi Soil</v>
      </c>
      <c r="AX1002" s="449" t="str">
        <f>IF(C1002&gt;0,VLOOKUP(C1002,Foundation_Calc!$E$2:$G$33,3,1),
IF(J1002&gt;0,VLOOKUP(J1002,Foundation_Calc!$E$2:$G$33,3,1),""))</f>
        <v>K</v>
      </c>
      <c r="AY1002" s="10">
        <f>IF(L1002="","",
IF(AX1002="PT",VLOOKUP(L1002,Foundation_Calc!$K$79:$R$113,VLOOKUP(AW1002,Foundation_Calc!$I$2:$J$8,2,FALSE),0),
IF(AX1002="K",VLOOKUP(L1002,Foundation_Calc!$K$117:$R$151,VLOOKUP(AW1002,Foundation_Calc!$I$2:$J$8,2,FALSE),0),"")))</f>
        <v>4</v>
      </c>
      <c r="AZ1002" s="10" t="str">
        <f>IF(K1002="","",
IF(AX1002="PT",VLOOKUP(K1002,Foundation_Calc!$K$79:$R$113,VLOOKUP(AW1002,Foundation_Calc!$I$2:$J$8,2,FALSE),0),
IF(AX1002="K",VLOOKUP(K1002,Foundation_Calc!$K$117:$R$151,VLOOKUP(AW1002,Foundation_Calc!$I$2:$J$8,2,FALSE),0),"")))</f>
        <v/>
      </c>
      <c r="BA1002" s="495" t="str">
        <f t="shared" si="119"/>
        <v>ü</v>
      </c>
      <c r="BB1002" s="495" t="str">
        <f t="shared" si="120"/>
        <v/>
      </c>
      <c r="BC1002" s="495" t="str">
        <f t="shared" si="121"/>
        <v/>
      </c>
      <c r="BD1002" s="513" t="str">
        <f>IF(AND(L1002="",H1002=""),"",
IF(H1002="",Pole_Calc!A$9,
IF(H1002="MP",Pole_Calc!A$10,
IF(H1002="AnMP",Pole_Calc!A$11,
IF(H1002="A",Pole_Calc!A$12,
IF(H1002="S/A",Pole_Calc!A$13,
IF(H1002="A/S",Pole_Calc!A$14,"Poner a mano")))))))</f>
        <v>App.7-V11I-P9.5.1.1</v>
      </c>
      <c r="BE1002" s="429" t="s">
        <v>118</v>
      </c>
      <c r="BF1002" s="289"/>
      <c r="BG1002" s="289"/>
      <c r="BH1002" s="290"/>
      <c r="BI1002" s="289"/>
    </row>
    <row r="1003" spans="1:61" ht="15.75" customHeight="1">
      <c r="A1003" s="518"/>
      <c r="B1003" s="450"/>
      <c r="C1003" s="3"/>
      <c r="D1003" s="83"/>
      <c r="E1003" s="4"/>
      <c r="F1003" s="4"/>
      <c r="G1003" s="6">
        <v>60</v>
      </c>
      <c r="H1003" s="449"/>
      <c r="I1003" s="4"/>
      <c r="J1003" s="3"/>
      <c r="K1003" s="449"/>
      <c r="L1003" s="449"/>
      <c r="M1003" s="449" t="str">
        <f>IF(L1003="","",
IF(AX1003="PT",VLOOKUP(L1003,Foundation_Calc!$V$79:$X$113,VLOOKUP(AX1003,Foundation_Calc!$I$10:$J$13,2,FALSE),0),
IF(AX1003="K",VLOOKUP(L1003,Foundation_Calc!$V$117:$X$151,VLOOKUP(AX1003,Foundation_Calc!$I$10:$J$13,2,FALSE),0),"")))</f>
        <v/>
      </c>
      <c r="N1003" s="561"/>
      <c r="O1003" s="449"/>
      <c r="P1003" s="449"/>
      <c r="Q1003" s="4"/>
      <c r="R1003" s="6"/>
      <c r="S1003" s="6"/>
      <c r="T1003" s="4"/>
      <c r="U1003" s="4"/>
      <c r="V1003" s="4"/>
      <c r="W1003" s="9"/>
      <c r="X1003" s="9"/>
      <c r="Y1003" s="9"/>
      <c r="Z1003" s="9"/>
      <c r="AA1003" s="9"/>
      <c r="AB1003" s="9"/>
      <c r="AC1003" s="449" t="str">
        <f t="shared" si="118"/>
        <v/>
      </c>
      <c r="AD1003" s="449"/>
      <c r="AE1003" s="449"/>
      <c r="AF1003" s="4"/>
      <c r="AG1003" s="83"/>
      <c r="AH1003" s="4"/>
      <c r="AI1003" s="4"/>
      <c r="AJ1003" s="449"/>
      <c r="AK1003" s="449"/>
      <c r="AL1003" s="449"/>
      <c r="AM1003" s="449"/>
      <c r="AN1003" s="10"/>
      <c r="AO1003" s="9"/>
      <c r="AP1003" s="9"/>
      <c r="AQ1003" s="9">
        <f>+FL_1($T$1004,$T$1002,$G$1003,1200,9.28,-1*$F$1004)</f>
        <v>0.43600286799999999</v>
      </c>
      <c r="AR1003" s="9"/>
      <c r="AS1003" s="9"/>
      <c r="AT1003" s="9"/>
      <c r="AU1003" s="428"/>
      <c r="AV1003" s="428"/>
      <c r="AW1003" s="449" t="str">
        <f>IF(C1003&gt;0,VLOOKUP(C1003,Foundation_Calc!$A$2:$C$13,3,1),
IF(J1003&gt;0,VLOOKUP(J1003,Foundation_Calc!$A$2:$C$13,3,1),""))</f>
        <v/>
      </c>
      <c r="AX1003" s="449" t="str">
        <f>IF(C1003&gt;0,VLOOKUP(C1003,Foundation_Calc!$E$2:$G$33,3,1),
IF(J1003&gt;0,VLOOKUP(J1003,Foundation_Calc!$E$2:$G$33,3,1),""))</f>
        <v/>
      </c>
      <c r="AY1003" s="10" t="str">
        <f>IF(L1003="","",
IF(AX1003="PT",VLOOKUP(L1003,Foundation_Calc!$K$79:$R$113,VLOOKUP(AW1003,Foundation_Calc!$I$2:$J$8,2,FALSE),0),
IF(AX1003="K",VLOOKUP(L1003,Foundation_Calc!$K$117:$R$151,VLOOKUP(AW1003,Foundation_Calc!$I$2:$J$8,2,FALSE),0),"")))</f>
        <v/>
      </c>
      <c r="AZ1003" s="10" t="str">
        <f>IF(K1003="","",
IF(AX1003="PT",VLOOKUP(K1003,Foundation_Calc!$K$79:$R$113,VLOOKUP(AW1003,Foundation_Calc!$I$2:$J$8,2,FALSE),0),
IF(AX1003="K",VLOOKUP(K1003,Foundation_Calc!$K$117:$R$151,VLOOKUP(AW1003,Foundation_Calc!$I$2:$J$8,2,FALSE),0),"")))</f>
        <v/>
      </c>
      <c r="BA1003" s="495" t="str">
        <f t="shared" si="119"/>
        <v/>
      </c>
      <c r="BB1003" s="495" t="str">
        <f t="shared" si="120"/>
        <v/>
      </c>
      <c r="BC1003" s="495" t="str">
        <f t="shared" si="121"/>
        <v/>
      </c>
      <c r="BD1003" s="513" t="str">
        <f>IF(AND(L1003="",H1003=""),"",
IF(H1003="",Pole_Calc!A$9,
IF(H1003="MP",Pole_Calc!A$10,
IF(H1003="AnMP",Pole_Calc!A$11,
IF(H1003="A",Pole_Calc!A$12,
IF(H1003="S/A",Pole_Calc!A$13,
IF(H1003="A/S",Pole_Calc!A$14,"Poner a mano")))))))</f>
        <v/>
      </c>
      <c r="BE1003" s="429" t="s">
        <v>118</v>
      </c>
      <c r="BF1003" s="290"/>
      <c r="BG1003" s="290"/>
      <c r="BH1003" s="290"/>
      <c r="BI1003" s="290"/>
    </row>
    <row r="1004" spans="1:61" ht="15.75" customHeight="1">
      <c r="A1004" s="514"/>
      <c r="B1004" s="450" t="s">
        <v>771</v>
      </c>
      <c r="C1004" s="3">
        <f>+$C$1002+$G$1003</f>
        <v>54106.329999999994</v>
      </c>
      <c r="D1004" s="83"/>
      <c r="E1004" s="4"/>
      <c r="F1004" s="4">
        <f>IF(C1004&gt;0,VLOOKUP(C1004,'ALIGNMENT TRACK'!$A$1:$K$81,9,1))</f>
        <v>0</v>
      </c>
      <c r="G1004" s="6"/>
      <c r="H1004" s="449"/>
      <c r="I1004" s="4"/>
      <c r="J1004" s="3"/>
      <c r="K1004" s="449"/>
      <c r="L1004" s="449" t="s">
        <v>153</v>
      </c>
      <c r="M1004" s="449" t="str">
        <f>IF(L1004="","",
IF(AX1004="PT",VLOOKUP(L1004,Foundation_Calc!$V$79:$X$113,VLOOKUP(AX1004,Foundation_Calc!$I$10:$J$13,2,FALSE),0),
IF(AX1004="K",VLOOKUP(L1004,Foundation_Calc!$V$117:$X$151,VLOOKUP(AX1004,Foundation_Calc!$I$10:$J$13,2,FALSE),0),"")))</f>
        <v>C3RT</v>
      </c>
      <c r="N1004" s="449" t="s">
        <v>134</v>
      </c>
      <c r="O1004" s="449"/>
      <c r="P1004" s="449"/>
      <c r="Q1004" s="4"/>
      <c r="R1004" s="6"/>
      <c r="S1004" s="6"/>
      <c r="T1004" s="4">
        <v>35</v>
      </c>
      <c r="U1004" s="4"/>
      <c r="V1004" s="4"/>
      <c r="W1004" s="9">
        <v>1.4</v>
      </c>
      <c r="X1004" s="9"/>
      <c r="Y1004" s="9"/>
      <c r="Z1004" s="9"/>
      <c r="AA1004" s="9"/>
      <c r="AB1004" s="9"/>
      <c r="AC1004" s="449" t="str">
        <f t="shared" si="118"/>
        <v>PH</v>
      </c>
      <c r="AD1004" s="449"/>
      <c r="AE1004" s="449"/>
      <c r="AF1004" s="4"/>
      <c r="AG1004" s="83"/>
      <c r="AH1004" s="4"/>
      <c r="AI1004" s="4"/>
      <c r="AJ1004" s="449"/>
      <c r="AK1004" s="449"/>
      <c r="AL1004" s="449"/>
      <c r="AM1004" s="449" t="s">
        <v>552</v>
      </c>
      <c r="AN1004" s="10">
        <v>5.5</v>
      </c>
      <c r="AO1004" s="9"/>
      <c r="AP1004" s="9"/>
      <c r="AQ1004" s="9"/>
      <c r="AR1004" s="9"/>
      <c r="AS1004" s="9"/>
      <c r="AT1004" s="9">
        <f>+ab($T$1004,$T$1002,$T$1006,$G$1003,$G$1005,-1*$F$1004,1200)</f>
        <v>8.1161681364187448</v>
      </c>
      <c r="AU1004" s="428"/>
      <c r="AV1004" s="428"/>
      <c r="AW1004" s="449" t="str">
        <f>IF(C1004&gt;0,VLOOKUP(C1004,Foundation_Calc!$A$2:$C$13,3,1),
IF(J1004&gt;0,VLOOKUP(J1004,Foundation_Calc!$A$2:$C$13,3,1),""))</f>
        <v>Multi Soil</v>
      </c>
      <c r="AX1004" s="449" t="str">
        <f>IF(C1004&gt;0,VLOOKUP(C1004,Foundation_Calc!$E$2:$G$33,3,1),
IF(J1004&gt;0,VLOOKUP(J1004,Foundation_Calc!$E$2:$G$33,3,1),""))</f>
        <v>K</v>
      </c>
      <c r="AY1004" s="10">
        <f>IF(L1004="","",
IF(AX1004="PT",VLOOKUP(L1004,Foundation_Calc!$K$79:$R$113,VLOOKUP(AW1004,Foundation_Calc!$I$2:$J$8,2,FALSE),0),
IF(AX1004="K",VLOOKUP(L1004,Foundation_Calc!$K$117:$R$151,VLOOKUP(AW1004,Foundation_Calc!$I$2:$J$8,2,FALSE),0),"")))</f>
        <v>4</v>
      </c>
      <c r="AZ1004" s="10" t="str">
        <f>IF(K1004="","",
IF(AX1004="PT",VLOOKUP(K1004,Foundation_Calc!$K$79:$R$113,VLOOKUP(AW1004,Foundation_Calc!$I$2:$J$8,2,FALSE),0),
IF(AX1004="K",VLOOKUP(K1004,Foundation_Calc!$K$117:$R$151,VLOOKUP(AW1004,Foundation_Calc!$I$2:$J$8,2,FALSE),0),"")))</f>
        <v/>
      </c>
      <c r="BA1004" s="495" t="str">
        <f t="shared" si="119"/>
        <v>ü</v>
      </c>
      <c r="BB1004" s="495" t="str">
        <f t="shared" si="120"/>
        <v/>
      </c>
      <c r="BC1004" s="495" t="str">
        <f t="shared" si="121"/>
        <v/>
      </c>
      <c r="BD1004" s="513" t="str">
        <f>IF(AND(L1004="",H1004=""),"",
IF(H1004="",Pole_Calc!A$9,
IF(H1004="MP",Pole_Calc!A$10,
IF(H1004="AnMP",Pole_Calc!A$11,
IF(H1004="A",Pole_Calc!A$12,
IF(H1004="S/A",Pole_Calc!A$13,
IF(H1004="A/S",Pole_Calc!A$14,"Poner a mano")))))))</f>
        <v>App.7-V11I-P9.5.1.1</v>
      </c>
      <c r="BE1004" s="429" t="s">
        <v>118</v>
      </c>
      <c r="BF1004" s="289"/>
      <c r="BG1004" s="289"/>
      <c r="BH1004" s="290"/>
      <c r="BI1004" s="289"/>
    </row>
    <row r="1005" spans="1:61" ht="15.75" customHeight="1">
      <c r="A1005" s="514" t="s">
        <v>169</v>
      </c>
      <c r="B1005" s="450"/>
      <c r="C1005" s="3"/>
      <c r="D1005" s="83"/>
      <c r="E1005" s="4"/>
      <c r="F1005" s="4"/>
      <c r="G1005" s="6">
        <v>55</v>
      </c>
      <c r="H1005" s="449"/>
      <c r="I1005" s="4"/>
      <c r="J1005" s="3"/>
      <c r="K1005" s="449"/>
      <c r="L1005" s="449"/>
      <c r="M1005" s="449" t="str">
        <f>IF(L1005="","",
IF(AX1005="PT",VLOOKUP(L1005,Foundation_Calc!$V$79:$X$113,VLOOKUP(AX1005,Foundation_Calc!$I$10:$J$13,2,FALSE),0),
IF(AX1005="K",VLOOKUP(L1005,Foundation_Calc!$V$117:$X$151,VLOOKUP(AX1005,Foundation_Calc!$I$10:$J$13,2,FALSE),0),"")))</f>
        <v/>
      </c>
      <c r="N1005" s="449"/>
      <c r="O1005" s="449"/>
      <c r="P1005" s="449"/>
      <c r="Q1005" s="4"/>
      <c r="R1005" s="6"/>
      <c r="S1005" s="6"/>
      <c r="T1005" s="4"/>
      <c r="U1005" s="4"/>
      <c r="V1005" s="4"/>
      <c r="W1005" s="9"/>
      <c r="X1005" s="9"/>
      <c r="Y1005" s="9"/>
      <c r="Z1005" s="9"/>
      <c r="AA1005" s="9"/>
      <c r="AB1005" s="9"/>
      <c r="AC1005" s="449" t="str">
        <f t="shared" si="118"/>
        <v/>
      </c>
      <c r="AD1005" s="449"/>
      <c r="AE1005" s="449"/>
      <c r="AF1005" s="4"/>
      <c r="AG1005" s="83"/>
      <c r="AH1005" s="4"/>
      <c r="AI1005" s="4"/>
      <c r="AJ1005" s="449"/>
      <c r="AK1005" s="449"/>
      <c r="AL1005" s="449"/>
      <c r="AM1005" s="449"/>
      <c r="AN1005" s="10"/>
      <c r="AO1005" s="9"/>
      <c r="AP1005" s="9"/>
      <c r="AQ1005" s="9">
        <f>+FL_1($T$1006,$T$1004,$G$1005,1200,9.28,-1*$F$1006)</f>
        <v>0.39060490200526377</v>
      </c>
      <c r="AR1005" s="9"/>
      <c r="AS1005" s="9"/>
      <c r="AT1005" s="9"/>
      <c r="AU1005" s="428"/>
      <c r="AV1005" s="428"/>
      <c r="AW1005" s="449" t="str">
        <f>IF(C1005&gt;0,VLOOKUP(C1005,Foundation_Calc!$A$2:$C$13,3,1),
IF(J1005&gt;0,VLOOKUP(J1005,Foundation_Calc!$A$2:$C$13,3,1),""))</f>
        <v/>
      </c>
      <c r="AX1005" s="449" t="str">
        <f>IF(C1005&gt;0,VLOOKUP(C1005,Foundation_Calc!$E$2:$G$33,3,1),
IF(J1005&gt;0,VLOOKUP(J1005,Foundation_Calc!$E$2:$G$33,3,1),""))</f>
        <v/>
      </c>
      <c r="AY1005" s="10" t="str">
        <f>IF(L1005="","",
IF(AX1005="PT",VLOOKUP(L1005,Foundation_Calc!$K$79:$R$113,VLOOKUP(AW1005,Foundation_Calc!$I$2:$J$8,2,FALSE),0),
IF(AX1005="K",VLOOKUP(L1005,Foundation_Calc!$K$117:$R$151,VLOOKUP(AW1005,Foundation_Calc!$I$2:$J$8,2,FALSE),0),"")))</f>
        <v/>
      </c>
      <c r="AZ1005" s="10" t="str">
        <f>IF(K1005="","",
IF(AX1005="PT",VLOOKUP(K1005,Foundation_Calc!$K$79:$R$113,VLOOKUP(AW1005,Foundation_Calc!$I$2:$J$8,2,FALSE),0),
IF(AX1005="K",VLOOKUP(K1005,Foundation_Calc!$K$117:$R$151,VLOOKUP(AW1005,Foundation_Calc!$I$2:$J$8,2,FALSE),0),"")))</f>
        <v/>
      </c>
      <c r="BA1005" s="495" t="str">
        <f t="shared" si="119"/>
        <v/>
      </c>
      <c r="BB1005" s="495" t="str">
        <f t="shared" si="120"/>
        <v/>
      </c>
      <c r="BC1005" s="495" t="str">
        <f t="shared" si="121"/>
        <v/>
      </c>
      <c r="BD1005" s="513" t="str">
        <f>IF(AND(L1005="",H1005=""),"",
IF(H1005="",Pole_Calc!A$9,
IF(H1005="MP",Pole_Calc!A$10,
IF(H1005="AnMP",Pole_Calc!A$11,
IF(H1005="A",Pole_Calc!A$12,
IF(H1005="S/A",Pole_Calc!A$13,
IF(H1005="A/S",Pole_Calc!A$14,"Poner a mano")))))))</f>
        <v/>
      </c>
      <c r="BE1005" s="429" t="s">
        <v>118</v>
      </c>
      <c r="BF1005" s="290"/>
      <c r="BG1005" s="290"/>
      <c r="BH1005" s="290"/>
      <c r="BI1005" s="290"/>
    </row>
    <row r="1006" spans="1:61" ht="15.75" customHeight="1">
      <c r="A1006" s="514"/>
      <c r="B1006" s="450" t="s">
        <v>772</v>
      </c>
      <c r="C1006" s="3">
        <f>+$C$1004+$G$1005</f>
        <v>54161.329999999994</v>
      </c>
      <c r="D1006" s="83"/>
      <c r="E1006" s="4"/>
      <c r="F1006" s="4">
        <f>-(571^2)/(C1006-54139.01)</f>
        <v>-14607.571684592765</v>
      </c>
      <c r="G1006" s="6"/>
      <c r="H1006" s="449"/>
      <c r="I1006" s="4"/>
      <c r="J1006" s="3"/>
      <c r="K1006" s="449"/>
      <c r="L1006" s="449" t="s">
        <v>153</v>
      </c>
      <c r="M1006" s="449" t="str">
        <f>IF(L1006="","",
IF(AX1006="PT",VLOOKUP(L1006,Foundation_Calc!$V$79:$X$113,VLOOKUP(AX1006,Foundation_Calc!$I$10:$J$13,2,FALSE),0),
IF(AX1006="K",VLOOKUP(L1006,Foundation_Calc!$V$117:$X$151,VLOOKUP(AX1006,Foundation_Calc!$I$10:$J$13,2,FALSE),0),"")))</f>
        <v>C3RT</v>
      </c>
      <c r="N1006" s="449" t="s">
        <v>124</v>
      </c>
      <c r="O1006" s="449"/>
      <c r="P1006" s="449"/>
      <c r="Q1006" s="4"/>
      <c r="R1006" s="6"/>
      <c r="S1006" s="6"/>
      <c r="T1006" s="4">
        <v>-30</v>
      </c>
      <c r="U1006" s="4"/>
      <c r="V1006" s="4"/>
      <c r="W1006" s="9">
        <v>1.4</v>
      </c>
      <c r="X1006" s="9"/>
      <c r="Y1006" s="9"/>
      <c r="Z1006" s="9"/>
      <c r="AA1006" s="9"/>
      <c r="AB1006" s="9"/>
      <c r="AC1006" s="449" t="str">
        <f t="shared" si="118"/>
        <v>PH</v>
      </c>
      <c r="AD1006" s="449"/>
      <c r="AE1006" s="449"/>
      <c r="AF1006" s="4"/>
      <c r="AG1006" s="83"/>
      <c r="AH1006" s="4"/>
      <c r="AI1006" s="4"/>
      <c r="AJ1006" s="449"/>
      <c r="AK1006" s="449"/>
      <c r="AL1006" s="449"/>
      <c r="AM1006" s="449" t="s">
        <v>552</v>
      </c>
      <c r="AN1006" s="10">
        <v>5.5</v>
      </c>
      <c r="AO1006" s="9"/>
      <c r="AP1006" s="9"/>
      <c r="AQ1006" s="9"/>
      <c r="AR1006" s="9"/>
      <c r="AS1006" s="9"/>
      <c r="AT1006" s="9">
        <f>+ab($T$1006,$T$1004,$T$1008,$G$1005,$G$1007,-1*$F$1006,1200)</f>
        <v>-10.413382796941764</v>
      </c>
      <c r="AU1006" s="428"/>
      <c r="AV1006" s="428"/>
      <c r="AW1006" s="449" t="str">
        <f>IF(C1006&gt;0,VLOOKUP(C1006,Foundation_Calc!$A$2:$C$13,3,1),
IF(J1006&gt;0,VLOOKUP(J1006,Foundation_Calc!$A$2:$C$13,3,1),""))</f>
        <v>Multi Soil</v>
      </c>
      <c r="AX1006" s="449" t="str">
        <f>IF(C1006&gt;0,VLOOKUP(C1006,Foundation_Calc!$E$2:$G$33,3,1),
IF(J1006&gt;0,VLOOKUP(J1006,Foundation_Calc!$E$2:$G$33,3,1),""))</f>
        <v>K</v>
      </c>
      <c r="AY1006" s="10">
        <f>IF(L1006="","",
IF(AX1006="PT",VLOOKUP(L1006,Foundation_Calc!$K$79:$R$113,VLOOKUP(AW1006,Foundation_Calc!$I$2:$J$8,2,FALSE),0),
IF(AX1006="K",VLOOKUP(L1006,Foundation_Calc!$K$117:$R$151,VLOOKUP(AW1006,Foundation_Calc!$I$2:$J$8,2,FALSE),0),"")))</f>
        <v>4</v>
      </c>
      <c r="AZ1006" s="10" t="str">
        <f>IF(K1006="","",
IF(AX1006="PT",VLOOKUP(K1006,Foundation_Calc!$K$79:$R$113,VLOOKUP(AW1006,Foundation_Calc!$I$2:$J$8,2,FALSE),0),
IF(AX1006="K",VLOOKUP(K1006,Foundation_Calc!$K$117:$R$151,VLOOKUP(AW1006,Foundation_Calc!$I$2:$J$8,2,FALSE),0),"")))</f>
        <v/>
      </c>
      <c r="BA1006" s="495" t="str">
        <f t="shared" si="119"/>
        <v>ü</v>
      </c>
      <c r="BB1006" s="495" t="str">
        <f t="shared" si="120"/>
        <v/>
      </c>
      <c r="BC1006" s="495" t="str">
        <f t="shared" si="121"/>
        <v/>
      </c>
      <c r="BD1006" s="513" t="str">
        <f>IF(AND(L1006="",H1006=""),"",
IF(H1006="",Pole_Calc!A$9,
IF(H1006="MP",Pole_Calc!A$10,
IF(H1006="AnMP",Pole_Calc!A$11,
IF(H1006="A",Pole_Calc!A$12,
IF(H1006="S/A",Pole_Calc!A$13,
IF(H1006="A/S",Pole_Calc!A$14,"Poner a mano")))))))</f>
        <v>App.7-V11I-P9.5.1.1</v>
      </c>
      <c r="BE1006" s="429" t="s">
        <v>118</v>
      </c>
      <c r="BF1006" s="289"/>
      <c r="BG1006" s="289"/>
      <c r="BH1006" s="290"/>
      <c r="BI1006" s="289"/>
    </row>
    <row r="1007" spans="1:61" ht="15.75" customHeight="1">
      <c r="A1007" s="514"/>
      <c r="B1007" s="450"/>
      <c r="C1007" s="3"/>
      <c r="D1007" s="83"/>
      <c r="E1007" s="4"/>
      <c r="F1007" s="4"/>
      <c r="G1007" s="6">
        <v>50</v>
      </c>
      <c r="H1007" s="449"/>
      <c r="I1007" s="4"/>
      <c r="J1007" s="3">
        <f>C1008-7.5</f>
        <v>54203.829999999994</v>
      </c>
      <c r="K1007" s="449" t="s">
        <v>315</v>
      </c>
      <c r="L1007" s="449"/>
      <c r="M1007" s="449" t="str">
        <f>IF(L1007="","",
IF(AX1007="PT",VLOOKUP(L1007,Foundation_Calc!$V$79:$X$113,VLOOKUP(AX1007,Foundation_Calc!$I$10:$J$13,2,FALSE),0),
IF(AX1007="K",VLOOKUP(L1007,Foundation_Calc!$V$117:$X$151,VLOOKUP(AX1007,Foundation_Calc!$I$10:$J$13,2,FALSE),0),"")))</f>
        <v/>
      </c>
      <c r="N1007" s="449"/>
      <c r="O1007" s="449"/>
      <c r="P1007" s="449"/>
      <c r="Q1007" s="4"/>
      <c r="R1007" s="6"/>
      <c r="S1007" s="6"/>
      <c r="T1007" s="4"/>
      <c r="U1007" s="4"/>
      <c r="V1007" s="4"/>
      <c r="W1007" s="9"/>
      <c r="X1007" s="9"/>
      <c r="Y1007" s="9"/>
      <c r="Z1007" s="9"/>
      <c r="AA1007" s="9"/>
      <c r="AB1007" s="9"/>
      <c r="AC1007" s="449" t="str">
        <f t="shared" si="118"/>
        <v/>
      </c>
      <c r="AD1007" s="449"/>
      <c r="AE1007" s="449"/>
      <c r="AF1007" s="4"/>
      <c r="AG1007" s="83"/>
      <c r="AH1007" s="4"/>
      <c r="AI1007" s="4"/>
      <c r="AJ1007" s="449"/>
      <c r="AK1007" s="449"/>
      <c r="AL1007" s="449"/>
      <c r="AM1007" s="449"/>
      <c r="AN1007" s="10"/>
      <c r="AO1007" s="9"/>
      <c r="AP1007" s="9"/>
      <c r="AQ1007" s="9">
        <f>+FL_2($T$1008,$T$1006,$G$1007,1200,9.28,-1*$F$1008)</f>
        <v>-0.41122736363059287</v>
      </c>
      <c r="AR1007" s="9"/>
      <c r="AS1007" s="9"/>
      <c r="AT1007" s="9"/>
      <c r="AU1007" s="428"/>
      <c r="AV1007" s="428"/>
      <c r="AW1007" s="449" t="str">
        <f>IF(C1007&gt;0,VLOOKUP(C1007,Foundation_Calc!$A$2:$C$13,3,1),
IF(J1007&gt;0,VLOOKUP(J1007,Foundation_Calc!$A$2:$C$13,3,1),""))</f>
        <v>Multi Soil</v>
      </c>
      <c r="AX1007" s="449" t="str">
        <f>IF(C1007&gt;0,VLOOKUP(C1007,Foundation_Calc!$E$2:$G$33,3,1),
IF(J1007&gt;0,VLOOKUP(J1007,Foundation_Calc!$E$2:$G$33,3,1),""))</f>
        <v>K</v>
      </c>
      <c r="AY1007" s="10" t="str">
        <f>IF(L1007="","",
IF(AX1007="PT",VLOOKUP(L1007,Foundation_Calc!$K$79:$R$113,VLOOKUP(AW1007,Foundation_Calc!$I$2:$J$8,2,FALSE),0),
IF(AX1007="K",VLOOKUP(L1007,Foundation_Calc!$K$117:$R$151,VLOOKUP(AW1007,Foundation_Calc!$I$2:$J$8,2,FALSE),0),"")))</f>
        <v/>
      </c>
      <c r="AZ1007" s="10">
        <f>IF(K1007="","",
IF(AX1007="PT",VLOOKUP(K1007,Foundation_Calc!$K$79:$R$113,VLOOKUP(AW1007,Foundation_Calc!$I$2:$J$8,2,FALSE),0),
IF(AX1007="K",VLOOKUP(K1007,Foundation_Calc!$K$117:$R$151,VLOOKUP(AW1007,Foundation_Calc!$I$2:$J$8,2,FALSE),0),"")))</f>
        <v>3.9</v>
      </c>
      <c r="BA1007" s="495" t="str">
        <f t="shared" si="119"/>
        <v/>
      </c>
      <c r="BB1007" s="495" t="str">
        <f t="shared" si="120"/>
        <v>ü</v>
      </c>
      <c r="BC1007" s="495" t="str">
        <f t="shared" si="121"/>
        <v/>
      </c>
      <c r="BD1007" s="513" t="str">
        <f>IF(AND(L1007="",H1007=""),"",
IF(H1007="",Pole_Calc!A$9,
IF(H1007="MP",Pole_Calc!A$10,
IF(H1007="AnMP",Pole_Calc!A$11,
IF(H1007="A",Pole_Calc!A$12,
IF(H1007="S/A",Pole_Calc!A$13,
IF(H1007="A/S",Pole_Calc!A$14,"Poner a mano")))))))</f>
        <v/>
      </c>
      <c r="BE1007" s="429" t="s">
        <v>118</v>
      </c>
      <c r="BF1007" s="290"/>
      <c r="BG1007" s="290"/>
      <c r="BH1007" s="290"/>
      <c r="BI1007" s="290"/>
    </row>
    <row r="1008" spans="1:61" ht="15.75" customHeight="1">
      <c r="A1008" s="518"/>
      <c r="B1008" s="450" t="s">
        <v>773</v>
      </c>
      <c r="C1008" s="3">
        <f>+$C$1006+$G$1007</f>
        <v>54211.329999999994</v>
      </c>
      <c r="D1008" s="83"/>
      <c r="E1008" s="4"/>
      <c r="F1008" s="4">
        <f>-(571^2)/(C1008-54139.01)</f>
        <v>-4508.3102876110916</v>
      </c>
      <c r="G1008" s="6"/>
      <c r="H1008" s="449" t="s">
        <v>121</v>
      </c>
      <c r="I1008" s="4" t="s">
        <v>122</v>
      </c>
      <c r="J1008" s="3"/>
      <c r="K1008" s="449"/>
      <c r="L1008" s="449" t="s">
        <v>151</v>
      </c>
      <c r="M1008" s="449" t="str">
        <f>IF(L1008="","",
IF(AX1008="PT",VLOOKUP(L1008,Foundation_Calc!$V$79:$X$113,VLOOKUP(AX1008,Foundation_Calc!$I$10:$J$13,2,FALSE),0),
IF(AX1008="K",VLOOKUP(L1008,Foundation_Calc!$V$117:$X$151,VLOOKUP(AX1008,Foundation_Calc!$I$10:$J$13,2,FALSE),0),"")))</f>
        <v>C4RT</v>
      </c>
      <c r="N1008" s="449" t="s">
        <v>134</v>
      </c>
      <c r="O1008" s="449"/>
      <c r="P1008" s="449"/>
      <c r="Q1008" s="4"/>
      <c r="R1008" s="6"/>
      <c r="S1008" s="6"/>
      <c r="T1008" s="4">
        <v>20</v>
      </c>
      <c r="U1008" s="4"/>
      <c r="V1008" s="4"/>
      <c r="W1008" s="9">
        <v>1.4</v>
      </c>
      <c r="X1008" s="9"/>
      <c r="Y1008" s="9"/>
      <c r="Z1008" s="9"/>
      <c r="AA1008" s="9"/>
      <c r="AB1008" s="9"/>
      <c r="AC1008" s="449" t="str">
        <f t="shared" si="118"/>
        <v>PH</v>
      </c>
      <c r="AD1008" s="449"/>
      <c r="AE1008" s="449"/>
      <c r="AF1008" s="4"/>
      <c r="AG1008" s="83"/>
      <c r="AH1008" s="4"/>
      <c r="AI1008" s="4"/>
      <c r="AJ1008" s="449"/>
      <c r="AK1008" s="449"/>
      <c r="AL1008" s="449"/>
      <c r="AM1008" s="449" t="s">
        <v>552</v>
      </c>
      <c r="AN1008" s="10">
        <v>5.5</v>
      </c>
      <c r="AO1008" s="9"/>
      <c r="AP1008" s="9"/>
      <c r="AQ1008" s="9"/>
      <c r="AR1008" s="9"/>
      <c r="AS1008" s="9"/>
      <c r="AT1008" s="9">
        <f>+ab($T$1008,$T$1006,$U$1010,$G$1007,$G$1009,-1*$F$1008,1200)</f>
        <v>8.1761983764665516</v>
      </c>
      <c r="AU1008" s="428"/>
      <c r="AV1008" s="428"/>
      <c r="AW1008" s="449" t="str">
        <f>IF(C1008&gt;0,VLOOKUP(C1008,Foundation_Calc!$A$2:$C$13,3,1),
IF(J1008&gt;0,VLOOKUP(J1008,Foundation_Calc!$A$2:$C$13,3,1),""))</f>
        <v>Multi Soil</v>
      </c>
      <c r="AX1008" s="449" t="str">
        <f>IF(C1008&gt;0,VLOOKUP(C1008,Foundation_Calc!$E$2:$G$33,3,1),
IF(J1008&gt;0,VLOOKUP(J1008,Foundation_Calc!$E$2:$G$33,3,1),""))</f>
        <v>K</v>
      </c>
      <c r="AY1008" s="10">
        <f>IF(L1008="","",
IF(AX1008="PT",VLOOKUP(L1008,Foundation_Calc!$K$79:$R$113,VLOOKUP(AW1008,Foundation_Calc!$I$2:$J$8,2,FALSE),0),
IF(AX1008="K",VLOOKUP(L1008,Foundation_Calc!$K$117:$R$151,VLOOKUP(AW1008,Foundation_Calc!$I$2:$J$8,2,FALSE),0),"")))</f>
        <v>4.2</v>
      </c>
      <c r="AZ1008" s="10" t="str">
        <f>IF(K1008="","",
IF(AX1008="PT",VLOOKUP(K1008,Foundation_Calc!$K$79:$R$113,VLOOKUP(AW1008,Foundation_Calc!$I$2:$J$8,2,FALSE),0),
IF(AX1008="K",VLOOKUP(K1008,Foundation_Calc!$K$117:$R$151,VLOOKUP(AW1008,Foundation_Calc!$I$2:$J$8,2,FALSE),0),"")))</f>
        <v/>
      </c>
      <c r="BA1008" s="495" t="str">
        <f t="shared" si="119"/>
        <v>ü</v>
      </c>
      <c r="BB1008" s="495" t="str">
        <f t="shared" si="120"/>
        <v/>
      </c>
      <c r="BC1008" s="495" t="str">
        <f t="shared" si="121"/>
        <v/>
      </c>
      <c r="BD1008" s="513" t="str">
        <f>IF(AND(L1008="",H1008=""),"",
IF(H1008="",Pole_Calc!A$9,
IF(H1008="MP",Pole_Calc!A$10,
IF(H1008="AnMP",Pole_Calc!A$11,
IF(H1008="A",Pole_Calc!A$12,
IF(H1008="S/A",Pole_Calc!A$13,
IF(H1008="A/S",Pole_Calc!A$14,"Poner a mano")))))))</f>
        <v>App.7-V11I-P9.5.1.6</v>
      </c>
      <c r="BE1008" s="429" t="s">
        <v>118</v>
      </c>
      <c r="BF1008" s="289"/>
      <c r="BG1008" s="289"/>
      <c r="BH1008" s="290"/>
      <c r="BI1008" s="289"/>
    </row>
    <row r="1009" spans="1:61" ht="15.75" customHeight="1">
      <c r="A1009" s="518"/>
      <c r="B1009" s="450"/>
      <c r="C1009" s="3"/>
      <c r="D1009" s="83"/>
      <c r="E1009" s="4"/>
      <c r="F1009" s="4"/>
      <c r="G1009" s="6">
        <v>53</v>
      </c>
      <c r="H1009" s="449"/>
      <c r="I1009" s="4" t="s">
        <v>549</v>
      </c>
      <c r="J1009" s="3">
        <f>C1010-7.5</f>
        <v>54256.829999999994</v>
      </c>
      <c r="K1009" s="449" t="s">
        <v>324</v>
      </c>
      <c r="L1009" s="449"/>
      <c r="M1009" s="449" t="str">
        <f>IF(L1009="","",
IF(AX1009="PT",VLOOKUP(L1009,Foundation_Calc!$V$79:$X$113,VLOOKUP(AX1009,Foundation_Calc!$I$10:$J$13,2,FALSE),0),
IF(AX1009="K",VLOOKUP(L1009,Foundation_Calc!$V$117:$X$151,VLOOKUP(AX1009,Foundation_Calc!$I$10:$J$13,2,FALSE),0),"")))</f>
        <v/>
      </c>
      <c r="N1009" s="561"/>
      <c r="O1009" s="449"/>
      <c r="P1009" s="449"/>
      <c r="Q1009" s="4"/>
      <c r="R1009" s="6"/>
      <c r="S1009" s="6"/>
      <c r="T1009" s="4"/>
      <c r="U1009" s="4"/>
      <c r="V1009" s="4"/>
      <c r="W1009" s="9"/>
      <c r="X1009" s="9"/>
      <c r="Y1009" s="9"/>
      <c r="Z1009" s="9"/>
      <c r="AA1009" s="9"/>
      <c r="AB1009" s="9"/>
      <c r="AC1009" s="449" t="str">
        <f t="shared" si="118"/>
        <v/>
      </c>
      <c r="AD1009" s="449"/>
      <c r="AE1009" s="449"/>
      <c r="AF1009" s="4"/>
      <c r="AG1009" s="83"/>
      <c r="AH1009" s="4"/>
      <c r="AI1009" s="4"/>
      <c r="AJ1009" s="449"/>
      <c r="AK1009" s="449"/>
      <c r="AL1009" s="449"/>
      <c r="AM1009" s="449"/>
      <c r="AN1009" s="10"/>
      <c r="AO1009" s="9"/>
      <c r="AP1009" s="9"/>
      <c r="AQ1009" s="9">
        <f>+FL_1($U$1010,$T$1008,$G$1009,1200,9.28,-1*$F$1010)</f>
        <v>0.29114812332619855</v>
      </c>
      <c r="AR1009" s="9"/>
      <c r="AS1009" s="9"/>
      <c r="AT1009" s="9"/>
      <c r="AU1009" s="428"/>
      <c r="AV1009" s="428"/>
      <c r="AW1009" s="449" t="str">
        <f>IF(C1009&gt;0,VLOOKUP(C1009,Foundation_Calc!$A$2:$C$13,3,1),
IF(J1009&gt;0,VLOOKUP(J1009,Foundation_Calc!$A$2:$C$13,3,1),""))</f>
        <v>Multi Soil</v>
      </c>
      <c r="AX1009" s="449" t="str">
        <f>IF(C1009&gt;0,VLOOKUP(C1009,Foundation_Calc!$E$2:$G$33,3,1),
IF(J1009&gt;0,VLOOKUP(J1009,Foundation_Calc!$E$2:$G$33,3,1),""))</f>
        <v>K</v>
      </c>
      <c r="AY1009" s="10" t="str">
        <f>IF(L1009="","",
IF(AX1009="PT",VLOOKUP(L1009,Foundation_Calc!$K$79:$R$113,VLOOKUP(AW1009,Foundation_Calc!$I$2:$J$8,2,FALSE),0),
IF(AX1009="K",VLOOKUP(L1009,Foundation_Calc!$K$117:$R$151,VLOOKUP(AW1009,Foundation_Calc!$I$2:$J$8,2,FALSE),0),"")))</f>
        <v/>
      </c>
      <c r="AZ1009" s="10">
        <f>IF(K1009="","",
IF(AX1009="PT",VLOOKUP(K1009,Foundation_Calc!$K$79:$R$113,VLOOKUP(AW1009,Foundation_Calc!$I$2:$J$8,2,FALSE),0),
IF(AX1009="K",VLOOKUP(K1009,Foundation_Calc!$K$117:$R$151,VLOOKUP(AW1009,Foundation_Calc!$I$2:$J$8,2,FALSE),0),"")))</f>
        <v>2.8</v>
      </c>
      <c r="BA1009" s="495" t="str">
        <f t="shared" si="119"/>
        <v/>
      </c>
      <c r="BB1009" s="495" t="str">
        <f t="shared" si="120"/>
        <v>ü</v>
      </c>
      <c r="BC1009" s="495" t="str">
        <f t="shared" si="121"/>
        <v/>
      </c>
      <c r="BD1009" s="513" t="str">
        <f>IF(AND(L1009="",H1009=""),"",
IF(H1009="",Pole_Calc!A$9,
IF(H1009="MP",Pole_Calc!A$10,
IF(H1009="AnMP",Pole_Calc!A$11,
IF(H1009="A",Pole_Calc!A$12,
IF(H1009="S/A",Pole_Calc!A$13,
IF(H1009="A/S",Pole_Calc!A$14,"Poner a mano")))))))</f>
        <v/>
      </c>
      <c r="BE1009" s="429" t="s">
        <v>118</v>
      </c>
      <c r="BF1009" s="290"/>
      <c r="BG1009" s="290"/>
      <c r="BH1009" s="290"/>
      <c r="BI1009" s="290"/>
    </row>
    <row r="1010" spans="1:61" ht="15.75" customHeight="1">
      <c r="A1010" s="514"/>
      <c r="B1010" s="450" t="s">
        <v>774</v>
      </c>
      <c r="C1010" s="3">
        <f>+$C$1008+$G$1009</f>
        <v>54264.329999999994</v>
      </c>
      <c r="D1010" s="83"/>
      <c r="E1010" s="4"/>
      <c r="F1010" s="4">
        <f>-(571^2)/(C1010-54139.01)</f>
        <v>-2601.6677306097963</v>
      </c>
      <c r="G1010" s="6"/>
      <c r="H1010" s="449" t="s">
        <v>131</v>
      </c>
      <c r="I1010" s="4"/>
      <c r="J1010" s="3"/>
      <c r="K1010" s="449"/>
      <c r="L1010" s="449" t="s">
        <v>183</v>
      </c>
      <c r="M1010" s="449" t="str">
        <f>IF(L1010="","",
IF(AX1010="PT",VLOOKUP(L1010,Foundation_Calc!$V$79:$X$113,VLOOKUP(AX1010,Foundation_Calc!$I$10:$J$13,2,FALSE),0),
IF(AX1010="K",VLOOKUP(L1010,Foundation_Calc!$V$117:$X$151,VLOOKUP(AX1010,Foundation_Calc!$I$10:$J$13,2,FALSE),0),"")))</f>
        <v>2C3RT</v>
      </c>
      <c r="N1010" s="449" t="s">
        <v>133</v>
      </c>
      <c r="O1010" s="449" t="s">
        <v>134</v>
      </c>
      <c r="P1010" s="449"/>
      <c r="Q1010" s="4"/>
      <c r="R1010" s="6"/>
      <c r="S1010" s="6"/>
      <c r="T1010" s="4">
        <v>30</v>
      </c>
      <c r="U1010" s="4">
        <v>10</v>
      </c>
      <c r="V1010" s="4"/>
      <c r="W1010" s="9">
        <v>1.4</v>
      </c>
      <c r="X1010" s="9">
        <v>2.2999999999999998</v>
      </c>
      <c r="Y1010" s="9"/>
      <c r="Z1010" s="9">
        <v>0.5</v>
      </c>
      <c r="AA1010" s="9"/>
      <c r="AB1010" s="9"/>
      <c r="AC1010" s="449"/>
      <c r="AD1010" s="449"/>
      <c r="AE1010" s="449"/>
      <c r="AF1010" s="4"/>
      <c r="AG1010" s="83"/>
      <c r="AH1010" s="4"/>
      <c r="AI1010" s="4"/>
      <c r="AJ1010" s="449"/>
      <c r="AK1010" s="449"/>
      <c r="AL1010" s="449"/>
      <c r="AM1010" s="449" t="s">
        <v>552</v>
      </c>
      <c r="AN1010" s="10">
        <v>5.5</v>
      </c>
      <c r="AO1010" s="9"/>
      <c r="AP1010" s="9"/>
      <c r="AQ1010" s="9"/>
      <c r="AR1010" s="9"/>
      <c r="AS1010" s="9"/>
      <c r="AT1010" s="9">
        <f>+ab($U$1010,$T$1008,$U$1012,$G$1009,$G$1011,-1*$F$1010,1200)</f>
        <v>10.269719322710005</v>
      </c>
      <c r="AU1010" s="428"/>
      <c r="AV1010" s="428"/>
      <c r="AW1010" s="449" t="str">
        <f>IF(C1010&gt;0,VLOOKUP(C1010,Foundation_Calc!$A$2:$C$13,3,1),
IF(J1010&gt;0,VLOOKUP(J1010,Foundation_Calc!$A$2:$C$13,3,1),""))</f>
        <v>Multi Soil</v>
      </c>
      <c r="AX1010" s="449" t="str">
        <f>IF(C1010&gt;0,VLOOKUP(C1010,Foundation_Calc!$E$2:$G$33,3,1),
IF(J1010&gt;0,VLOOKUP(J1010,Foundation_Calc!$E$2:$G$33,3,1),""))</f>
        <v>K</v>
      </c>
      <c r="AY1010" s="10">
        <f>IF(L1010="","",
IF(AX1010="PT",VLOOKUP(L1010,Foundation_Calc!$K$79:$R$113,VLOOKUP(AW1010,Foundation_Calc!$I$2:$J$8,2,FALSE),0),
IF(AX1010="K",VLOOKUP(L1010,Foundation_Calc!$K$117:$R$151,VLOOKUP(AW1010,Foundation_Calc!$I$2:$J$8,2,FALSE),0),"")))</f>
        <v>4.5</v>
      </c>
      <c r="AZ1010" s="10" t="str">
        <f>IF(K1010="","",
IF(AX1010="PT",VLOOKUP(K1010,Foundation_Calc!$K$79:$R$113,VLOOKUP(AW1010,Foundation_Calc!$I$2:$J$8,2,FALSE),0),
IF(AX1010="K",VLOOKUP(K1010,Foundation_Calc!$K$117:$R$151,VLOOKUP(AW1010,Foundation_Calc!$I$2:$J$8,2,FALSE),0),"")))</f>
        <v/>
      </c>
      <c r="BA1010" s="495" t="str">
        <f t="shared" si="119"/>
        <v>ü</v>
      </c>
      <c r="BB1010" s="495" t="str">
        <f t="shared" si="120"/>
        <v/>
      </c>
      <c r="BC1010" s="495" t="str">
        <f t="shared" si="121"/>
        <v/>
      </c>
      <c r="BD1010" s="513" t="str">
        <f>IF(AND(L1010="",H1010=""),"",
IF(H1010="",Pole_Calc!A$9,
IF(H1010="MP",Pole_Calc!A$10,
IF(H1010="AnMP",Pole_Calc!A$11,
IF(H1010="A",Pole_Calc!A$12,
IF(H1010="S/A",Pole_Calc!A$13,
IF(H1010="A/S",Pole_Calc!A$14,"Poner a mano")))))))</f>
        <v>App.7-V11I-P9.5.1.5</v>
      </c>
      <c r="BE1010" s="429" t="s">
        <v>118</v>
      </c>
      <c r="BF1010" s="289"/>
      <c r="BG1010" s="289"/>
      <c r="BH1010" s="290"/>
      <c r="BI1010" s="289"/>
    </row>
    <row r="1011" spans="1:61" ht="15.75" customHeight="1">
      <c r="A1011" s="514"/>
      <c r="B1011" s="450"/>
      <c r="C1011" s="3"/>
      <c r="D1011" s="83"/>
      <c r="E1011" s="4"/>
      <c r="F1011" s="4"/>
      <c r="G1011" s="6">
        <v>53</v>
      </c>
      <c r="H1011" s="449"/>
      <c r="I1011" s="4" t="s">
        <v>549</v>
      </c>
      <c r="J1011" s="3">
        <f>C1010+7.5</f>
        <v>54271.829999999994</v>
      </c>
      <c r="K1011" s="449" t="s">
        <v>324</v>
      </c>
      <c r="L1011" s="449"/>
      <c r="M1011" s="449" t="str">
        <f>IF(L1011="","",
IF(AX1011="PT",VLOOKUP(L1011,Foundation_Calc!$V$79:$X$113,VLOOKUP(AX1011,Foundation_Calc!$I$10:$J$13,2,FALSE),0),
IF(AX1011="K",VLOOKUP(L1011,Foundation_Calc!$V$117:$X$151,VLOOKUP(AX1011,Foundation_Calc!$I$10:$J$13,2,FALSE),0),"")))</f>
        <v/>
      </c>
      <c r="N1011" s="449"/>
      <c r="O1011" s="449"/>
      <c r="P1011" s="449"/>
      <c r="Q1011" s="4"/>
      <c r="R1011" s="6"/>
      <c r="S1011" s="6"/>
      <c r="T1011" s="4"/>
      <c r="U1011" s="4"/>
      <c r="V1011" s="4"/>
      <c r="W1011" s="9"/>
      <c r="X1011" s="9"/>
      <c r="Y1011" s="9"/>
      <c r="Z1011" s="9"/>
      <c r="AA1011" s="9"/>
      <c r="AB1011" s="9"/>
      <c r="AC1011" s="449" t="str">
        <f t="shared" si="118"/>
        <v/>
      </c>
      <c r="AD1011" s="449"/>
      <c r="AE1011" s="449"/>
      <c r="AF1011" s="4"/>
      <c r="AG1011" s="83"/>
      <c r="AH1011" s="4"/>
      <c r="AI1011" s="4"/>
      <c r="AJ1011" s="449"/>
      <c r="AK1011" s="449"/>
      <c r="AL1011" s="449"/>
      <c r="AM1011" s="449"/>
      <c r="AN1011" s="10"/>
      <c r="AO1011" s="9"/>
      <c r="AP1011" s="9"/>
      <c r="AQ1011" s="9">
        <f>+FL_1($T$1012,$U$1010,$G$1011,1200,9.28,-1*$F$1012)</f>
        <v>0.33990092705233665</v>
      </c>
      <c r="AR1011" s="9"/>
      <c r="AS1011" s="9"/>
      <c r="AT1011" s="9"/>
      <c r="AU1011" s="428"/>
      <c r="AV1011" s="428"/>
      <c r="AW1011" s="449" t="str">
        <f>IF(C1011&gt;0,VLOOKUP(C1011,Foundation_Calc!$A$2:$C$13,3,1),
IF(J1011&gt;0,VLOOKUP(J1011,Foundation_Calc!$A$2:$C$13,3,1),""))</f>
        <v>Multi Soil</v>
      </c>
      <c r="AX1011" s="449" t="str">
        <f>IF(C1011&gt;0,VLOOKUP(C1011,Foundation_Calc!$E$2:$G$33,3,1),
IF(J1011&gt;0,VLOOKUP(J1011,Foundation_Calc!$E$2:$G$33,3,1),""))</f>
        <v>K</v>
      </c>
      <c r="AY1011" s="10" t="str">
        <f>IF(L1011="","",
IF(AX1011="PT",VLOOKUP(L1011,Foundation_Calc!$K$79:$R$113,VLOOKUP(AW1011,Foundation_Calc!$I$2:$J$8,2,FALSE),0),
IF(AX1011="K",VLOOKUP(L1011,Foundation_Calc!$K$117:$R$151,VLOOKUP(AW1011,Foundation_Calc!$I$2:$J$8,2,FALSE),0),"")))</f>
        <v/>
      </c>
      <c r="AZ1011" s="10">
        <f>IF(K1011="","",
IF(AX1011="PT",VLOOKUP(K1011,Foundation_Calc!$K$79:$R$113,VLOOKUP(AW1011,Foundation_Calc!$I$2:$J$8,2,FALSE),0),
IF(AX1011="K",VLOOKUP(K1011,Foundation_Calc!$K$117:$R$151,VLOOKUP(AW1011,Foundation_Calc!$I$2:$J$8,2,FALSE),0),"")))</f>
        <v>2.8</v>
      </c>
      <c r="BA1011" s="495" t="str">
        <f t="shared" si="119"/>
        <v/>
      </c>
      <c r="BB1011" s="495" t="str">
        <f t="shared" si="120"/>
        <v>ü</v>
      </c>
      <c r="BC1011" s="495" t="str">
        <f t="shared" si="121"/>
        <v/>
      </c>
      <c r="BD1011" s="513" t="str">
        <f>IF(AND(L1011="",H1011=""),"",
IF(H1011="",Pole_Calc!A$9,
IF(H1011="MP",Pole_Calc!A$10,
IF(H1011="AnMP",Pole_Calc!A$11,
IF(H1011="A",Pole_Calc!A$12,
IF(H1011="S/A",Pole_Calc!A$13,
IF(H1011="A/S",Pole_Calc!A$14,"Poner a mano")))))))</f>
        <v/>
      </c>
      <c r="BE1011" s="429" t="s">
        <v>118</v>
      </c>
      <c r="BF1011" s="290"/>
      <c r="BG1011" s="290"/>
      <c r="BH1011" s="290"/>
      <c r="BI1011" s="290"/>
    </row>
    <row r="1012" spans="1:61" ht="15.75" customHeight="1">
      <c r="A1012" s="514"/>
      <c r="B1012" s="450" t="s">
        <v>775</v>
      </c>
      <c r="C1012" s="3">
        <f>+$C$1010+$G$1011+0.3</f>
        <v>54317.63</v>
      </c>
      <c r="D1012" s="83"/>
      <c r="E1012" s="4"/>
      <c r="F1012" s="4">
        <f>IF(C1012&gt;0,VLOOKUP(C1012,'ALIGNMENT TRACK'!$A$1:$K$81,9,1))</f>
        <v>-2300</v>
      </c>
      <c r="G1012" s="6"/>
      <c r="H1012" s="449" t="s">
        <v>131</v>
      </c>
      <c r="I1012" s="4"/>
      <c r="J1012" s="3"/>
      <c r="K1012" s="449"/>
      <c r="L1012" s="449" t="s">
        <v>183</v>
      </c>
      <c r="M1012" s="449" t="str">
        <f>IF(L1012="","",
IF(AX1012="PT",VLOOKUP(L1012,Foundation_Calc!$V$79:$X$113,VLOOKUP(AX1012,Foundation_Calc!$I$10:$J$13,2,FALSE),0),
IF(AX1012="K",VLOOKUP(L1012,Foundation_Calc!$V$117:$X$151,VLOOKUP(AX1012,Foundation_Calc!$I$10:$J$13,2,FALSE),0),"")))</f>
        <v>2C3RT</v>
      </c>
      <c r="N1012" s="449" t="s">
        <v>134</v>
      </c>
      <c r="O1012" s="449" t="s">
        <v>133</v>
      </c>
      <c r="P1012" s="449"/>
      <c r="Q1012" s="4"/>
      <c r="R1012" s="6"/>
      <c r="S1012" s="6"/>
      <c r="T1012" s="4">
        <v>30</v>
      </c>
      <c r="U1012" s="4">
        <v>10</v>
      </c>
      <c r="V1012" s="4"/>
      <c r="W1012" s="9">
        <v>1.4</v>
      </c>
      <c r="X1012" s="9">
        <v>2.2999999999999998</v>
      </c>
      <c r="Y1012" s="9"/>
      <c r="Z1012" s="9"/>
      <c r="AA1012" s="9">
        <v>0.5</v>
      </c>
      <c r="AB1012" s="9"/>
      <c r="AC1012" s="449" t="str">
        <f t="shared" si="118"/>
        <v>PH</v>
      </c>
      <c r="AD1012" s="449"/>
      <c r="AE1012" s="449"/>
      <c r="AF1012" s="4"/>
      <c r="AG1012" s="83"/>
      <c r="AH1012" s="4"/>
      <c r="AI1012" s="4"/>
      <c r="AJ1012" s="449"/>
      <c r="AK1012" s="449"/>
      <c r="AL1012" s="449"/>
      <c r="AM1012" s="449" t="s">
        <v>552</v>
      </c>
      <c r="AN1012" s="10">
        <v>5.5</v>
      </c>
      <c r="AO1012" s="9"/>
      <c r="AP1012" s="9"/>
      <c r="AQ1012" s="9"/>
      <c r="AR1012" s="9"/>
      <c r="AS1012" s="9"/>
      <c r="AT1012" s="9">
        <f>+ab($T$1012,$T$1010,$T$1014,$G$1011,$G$1013,-1*$F$1012,1200)</f>
        <v>8.2695134397950589</v>
      </c>
      <c r="AU1012" s="428"/>
      <c r="AV1012" s="428"/>
      <c r="AW1012" s="449" t="str">
        <f>IF(C1012&gt;0,VLOOKUP(C1012,Foundation_Calc!$A$2:$C$13,3,1),
IF(J1012&gt;0,VLOOKUP(J1012,Foundation_Calc!$A$2:$C$13,3,1),""))</f>
        <v>Multi Soil</v>
      </c>
      <c r="AX1012" s="449" t="str">
        <f>IF(C1012&gt;0,VLOOKUP(C1012,Foundation_Calc!$E$2:$G$33,3,1),
IF(J1012&gt;0,VLOOKUP(J1012,Foundation_Calc!$E$2:$G$33,3,1),""))</f>
        <v>K</v>
      </c>
      <c r="AY1012" s="10">
        <f>IF(L1012="","",
IF(AX1012="PT",VLOOKUP(L1012,Foundation_Calc!$K$79:$R$113,VLOOKUP(AW1012,Foundation_Calc!$I$2:$J$8,2,FALSE),0),
IF(AX1012="K",VLOOKUP(L1012,Foundation_Calc!$K$117:$R$151,VLOOKUP(AW1012,Foundation_Calc!$I$2:$J$8,2,FALSE),0),"")))</f>
        <v>4.5</v>
      </c>
      <c r="AZ1012" s="10" t="str">
        <f>IF(K1012="","",
IF(AX1012="PT",VLOOKUP(K1012,Foundation_Calc!$K$79:$R$113,VLOOKUP(AW1012,Foundation_Calc!$I$2:$J$8,2,FALSE),0),
IF(AX1012="K",VLOOKUP(K1012,Foundation_Calc!$K$117:$R$151,VLOOKUP(AW1012,Foundation_Calc!$I$2:$J$8,2,FALSE),0),"")))</f>
        <v/>
      </c>
      <c r="BA1012" s="495" t="str">
        <f t="shared" si="119"/>
        <v>ü</v>
      </c>
      <c r="BB1012" s="495" t="str">
        <f t="shared" si="120"/>
        <v/>
      </c>
      <c r="BC1012" s="495" t="str">
        <f t="shared" si="121"/>
        <v/>
      </c>
      <c r="BD1012" s="513" t="str">
        <f>IF(AND(L1012="",H1012=""),"",
IF(H1012="",Pole_Calc!A$9,
IF(H1012="MP",Pole_Calc!A$10,
IF(H1012="AnMP",Pole_Calc!A$11,
IF(H1012="A",Pole_Calc!A$12,
IF(H1012="S/A",Pole_Calc!A$13,
IF(H1012="A/S",Pole_Calc!A$14,"Poner a mano")))))))</f>
        <v>App.7-V11I-P9.5.1.5</v>
      </c>
      <c r="BE1012" s="429" t="s">
        <v>118</v>
      </c>
      <c r="BF1012" s="289"/>
      <c r="BG1012" s="289"/>
      <c r="BH1012" s="290"/>
      <c r="BI1012" s="289"/>
    </row>
    <row r="1013" spans="1:61" ht="15.75" customHeight="1">
      <c r="A1013" s="514"/>
      <c r="B1013" s="450"/>
      <c r="C1013" s="3"/>
      <c r="D1013" s="83"/>
      <c r="E1013" s="4"/>
      <c r="F1013" s="4"/>
      <c r="G1013" s="6">
        <v>53</v>
      </c>
      <c r="H1013" s="449"/>
      <c r="I1013" s="4"/>
      <c r="J1013" s="3"/>
      <c r="K1013" s="449"/>
      <c r="L1013" s="449"/>
      <c r="M1013" s="449" t="str">
        <f>IF(L1013="","",
IF(AX1013="PT",VLOOKUP(L1013,Foundation_Calc!$V$79:$X$113,VLOOKUP(AX1013,Foundation_Calc!$I$10:$J$13,2,FALSE),0),
IF(AX1013="K",VLOOKUP(L1013,Foundation_Calc!$V$117:$X$151,VLOOKUP(AX1013,Foundation_Calc!$I$10:$J$13,2,FALSE),0),"")))</f>
        <v/>
      </c>
      <c r="N1013" s="449"/>
      <c r="O1013" s="449"/>
      <c r="P1013" s="449"/>
      <c r="Q1013" s="4"/>
      <c r="R1013" s="6"/>
      <c r="S1013" s="6"/>
      <c r="T1013" s="4"/>
      <c r="U1013" s="4"/>
      <c r="V1013" s="4"/>
      <c r="W1013" s="9"/>
      <c r="X1013" s="9"/>
      <c r="Y1013" s="9"/>
      <c r="Z1013" s="9"/>
      <c r="AA1013" s="9"/>
      <c r="AB1013" s="9"/>
      <c r="AC1013" s="449" t="str">
        <f t="shared" si="118"/>
        <v/>
      </c>
      <c r="AD1013" s="449"/>
      <c r="AE1013" s="449"/>
      <c r="AF1013" s="4"/>
      <c r="AG1013" s="83"/>
      <c r="AH1013" s="4"/>
      <c r="AI1013" s="4"/>
      <c r="AJ1013" s="449"/>
      <c r="AK1013" s="449"/>
      <c r="AL1013" s="449"/>
      <c r="AM1013" s="449"/>
      <c r="AN1013" s="10"/>
      <c r="AO1013" s="9"/>
      <c r="AP1013" s="9"/>
      <c r="AQ1013" s="9">
        <f>+FL_1($T$1014,$T$1012,$G$1013,1200,9.28,-1*$F$1014)</f>
        <v>0.41886855632932174</v>
      </c>
      <c r="AR1013" s="9"/>
      <c r="AS1013" s="9"/>
      <c r="AT1013" s="9"/>
      <c r="AU1013" s="428"/>
      <c r="AV1013" s="428"/>
      <c r="AW1013" s="449" t="str">
        <f>IF(C1013&gt;0,VLOOKUP(C1013,Foundation_Calc!$A$2:$C$13,3,1),
IF(J1013&gt;0,VLOOKUP(J1013,Foundation_Calc!$A$2:$C$13,3,1),""))</f>
        <v/>
      </c>
      <c r="AX1013" s="449" t="str">
        <f>IF(C1013&gt;0,VLOOKUP(C1013,Foundation_Calc!$E$2:$G$33,3,1),
IF(J1013&gt;0,VLOOKUP(J1013,Foundation_Calc!$E$2:$G$33,3,1),""))</f>
        <v/>
      </c>
      <c r="AY1013" s="10" t="str">
        <f>IF(L1013="","",
IF(AX1013="PT",VLOOKUP(L1013,Foundation_Calc!$K$79:$R$113,VLOOKUP(AW1013,Foundation_Calc!$I$2:$J$8,2,FALSE),0),
IF(AX1013="K",VLOOKUP(L1013,Foundation_Calc!$K$117:$R$151,VLOOKUP(AW1013,Foundation_Calc!$I$2:$J$8,2,FALSE),0),"")))</f>
        <v/>
      </c>
      <c r="AZ1013" s="10" t="str">
        <f>IF(K1013="","",
IF(AX1013="PT",VLOOKUP(K1013,Foundation_Calc!$K$79:$R$113,VLOOKUP(AW1013,Foundation_Calc!$I$2:$J$8,2,FALSE),0),
IF(AX1013="K",VLOOKUP(K1013,Foundation_Calc!$K$117:$R$151,VLOOKUP(AW1013,Foundation_Calc!$I$2:$J$8,2,FALSE),0),"")))</f>
        <v/>
      </c>
      <c r="BA1013" s="495" t="str">
        <f t="shared" si="119"/>
        <v/>
      </c>
      <c r="BB1013" s="495" t="str">
        <f t="shared" si="120"/>
        <v/>
      </c>
      <c r="BC1013" s="495" t="str">
        <f t="shared" si="121"/>
        <v/>
      </c>
      <c r="BD1013" s="513" t="str">
        <f>IF(AND(L1013="",H1013=""),"",
IF(H1013="",Pole_Calc!A$9,
IF(H1013="MP",Pole_Calc!A$10,
IF(H1013="AnMP",Pole_Calc!A$11,
IF(H1013="A",Pole_Calc!A$12,
IF(H1013="S/A",Pole_Calc!A$13,
IF(H1013="A/S",Pole_Calc!A$14,"Poner a mano")))))))</f>
        <v/>
      </c>
      <c r="BE1013" s="429" t="s">
        <v>118</v>
      </c>
      <c r="BF1013" s="290"/>
      <c r="BG1013" s="290"/>
      <c r="BH1013" s="290"/>
      <c r="BI1013" s="290"/>
    </row>
    <row r="1014" spans="1:61" ht="15.75" customHeight="1">
      <c r="A1014" s="518"/>
      <c r="B1014" s="450" t="s">
        <v>776</v>
      </c>
      <c r="C1014" s="3">
        <f>+$C$1012+$G$1013</f>
        <v>54370.63</v>
      </c>
      <c r="D1014" s="83"/>
      <c r="E1014" s="4"/>
      <c r="F1014" s="4">
        <f>IF(C1014&gt;0,VLOOKUP(C1014,'ALIGNMENT TRACK'!$A$1:$K$81,9,1))</f>
        <v>-2300</v>
      </c>
      <c r="G1014" s="6"/>
      <c r="H1014" s="449" t="s">
        <v>121</v>
      </c>
      <c r="I1014" s="4" t="s">
        <v>122</v>
      </c>
      <c r="J1014" s="3"/>
      <c r="K1014" s="449"/>
      <c r="L1014" s="449" t="s">
        <v>181</v>
      </c>
      <c r="M1014" s="449" t="str">
        <f>IF(L1014="","",
IF(AX1014="PT",VLOOKUP(L1014,Foundation_Calc!$V$79:$X$113,VLOOKUP(AX1014,Foundation_Calc!$I$10:$J$13,2,FALSE),0),
IF(AX1014="K",VLOOKUP(L1014,Foundation_Calc!$V$117:$X$151,VLOOKUP(AX1014,Foundation_Calc!$I$10:$J$13,2,FALSE),0),"")))</f>
        <v>C5RT</v>
      </c>
      <c r="N1014" s="449" t="s">
        <v>134</v>
      </c>
      <c r="O1014" s="449"/>
      <c r="P1014" s="449"/>
      <c r="Q1014" s="4"/>
      <c r="R1014" s="6"/>
      <c r="S1014" s="6"/>
      <c r="T1014" s="4">
        <v>30</v>
      </c>
      <c r="U1014" s="4"/>
      <c r="V1014" s="4"/>
      <c r="W1014" s="9">
        <v>1.4</v>
      </c>
      <c r="X1014" s="9"/>
      <c r="Y1014" s="9"/>
      <c r="Z1014" s="9"/>
      <c r="AA1014" s="9"/>
      <c r="AB1014" s="9"/>
      <c r="AC1014" s="449" t="str">
        <f t="shared" si="118"/>
        <v>PH</v>
      </c>
      <c r="AD1014" s="449"/>
      <c r="AE1014" s="449"/>
      <c r="AF1014" s="4"/>
      <c r="AG1014" s="83"/>
      <c r="AH1014" s="4"/>
      <c r="AI1014" s="4"/>
      <c r="AJ1014" s="449"/>
      <c r="AK1014" s="449"/>
      <c r="AL1014" s="449"/>
      <c r="AM1014" s="449" t="s">
        <v>552</v>
      </c>
      <c r="AN1014" s="10">
        <v>5.5</v>
      </c>
      <c r="AO1014" s="9"/>
      <c r="AP1014" s="9"/>
      <c r="AQ1014" s="9"/>
      <c r="AR1014" s="9"/>
      <c r="AS1014" s="9"/>
      <c r="AT1014" s="9">
        <f>+ab($T$1014,$T$1012,$T$1016,$G$1013,$G$1015,-1*$F$1014,1200)</f>
        <v>8.2695134397950589</v>
      </c>
      <c r="AU1014" s="428"/>
      <c r="AV1014" s="428"/>
      <c r="AW1014" s="449" t="str">
        <f>IF(C1014&gt;0,VLOOKUP(C1014,Foundation_Calc!$A$2:$C$13,3,1),
IF(J1014&gt;0,VLOOKUP(J1014,Foundation_Calc!$A$2:$C$13,3,1),""))</f>
        <v>Multi Soil</v>
      </c>
      <c r="AX1014" s="449" t="str">
        <f>IF(C1014&gt;0,VLOOKUP(C1014,Foundation_Calc!$E$2:$G$33,3,1),
IF(J1014&gt;0,VLOOKUP(J1014,Foundation_Calc!$E$2:$G$33,3,1),""))</f>
        <v>K</v>
      </c>
      <c r="AY1014" s="10">
        <f>IF(L1014="","",
IF(AX1014="PT",VLOOKUP(L1014,Foundation_Calc!$K$79:$R$113,VLOOKUP(AW1014,Foundation_Calc!$I$2:$J$8,2,FALSE),0),
IF(AX1014="K",VLOOKUP(L1014,Foundation_Calc!$K$117:$R$151,VLOOKUP(AW1014,Foundation_Calc!$I$2:$J$8,2,FALSE),0),"")))</f>
        <v>4</v>
      </c>
      <c r="AZ1014" s="10" t="str">
        <f>IF(K1014="","",
IF(AX1014="PT",VLOOKUP(K1014,Foundation_Calc!$K$79:$R$113,VLOOKUP(AW1014,Foundation_Calc!$I$2:$J$8,2,FALSE),0),
IF(AX1014="K",VLOOKUP(K1014,Foundation_Calc!$K$117:$R$151,VLOOKUP(AW1014,Foundation_Calc!$I$2:$J$8,2,FALSE),0),"")))</f>
        <v/>
      </c>
      <c r="BA1014" s="495" t="str">
        <f t="shared" si="119"/>
        <v>ü</v>
      </c>
      <c r="BB1014" s="495" t="str">
        <f t="shared" si="120"/>
        <v/>
      </c>
      <c r="BC1014" s="495" t="str">
        <f t="shared" si="121"/>
        <v/>
      </c>
      <c r="BD1014" s="513" t="str">
        <f>IF(AND(L1014="",H1014=""),"",
IF(H1014="",Pole_Calc!A$9,
IF(H1014="MP",Pole_Calc!A$10,
IF(H1014="AnMP",Pole_Calc!A$11,
IF(H1014="A",Pole_Calc!A$12,
IF(H1014="S/A",Pole_Calc!A$13,
IF(H1014="A/S",Pole_Calc!A$14,"Poner a mano")))))))</f>
        <v>App.7-V11I-P9.5.1.6</v>
      </c>
      <c r="BE1014" s="429" t="s">
        <v>118</v>
      </c>
      <c r="BF1014" s="289"/>
      <c r="BG1014" s="289"/>
      <c r="BH1014" s="290"/>
      <c r="BI1014" s="289"/>
    </row>
    <row r="1015" spans="1:61" ht="15.75" customHeight="1">
      <c r="A1015" s="518"/>
      <c r="B1015" s="450"/>
      <c r="C1015" s="3"/>
      <c r="D1015" s="83"/>
      <c r="E1015" s="4"/>
      <c r="F1015" s="4"/>
      <c r="G1015" s="6">
        <v>53</v>
      </c>
      <c r="H1015" s="449"/>
      <c r="I1015" s="4"/>
      <c r="J1015" s="3">
        <f>C1014+7.5</f>
        <v>54378.13</v>
      </c>
      <c r="K1015" s="449" t="s">
        <v>315</v>
      </c>
      <c r="L1015" s="449"/>
      <c r="M1015" s="449" t="str">
        <f>IF(L1015="","",
IF(AX1015="PT",VLOOKUP(L1015,Foundation_Calc!$V$79:$X$113,VLOOKUP(AX1015,Foundation_Calc!$I$10:$J$13,2,FALSE),0),
IF(AX1015="K",VLOOKUP(L1015,Foundation_Calc!$V$117:$X$151,VLOOKUP(AX1015,Foundation_Calc!$I$10:$J$13,2,FALSE),0),"")))</f>
        <v/>
      </c>
      <c r="N1015" s="561"/>
      <c r="O1015" s="449"/>
      <c r="P1015" s="449"/>
      <c r="Q1015" s="4"/>
      <c r="R1015" s="6"/>
      <c r="S1015" s="6"/>
      <c r="T1015" s="4"/>
      <c r="U1015" s="4"/>
      <c r="V1015" s="4"/>
      <c r="W1015" s="9"/>
      <c r="X1015" s="9"/>
      <c r="Y1015" s="9"/>
      <c r="Z1015" s="9"/>
      <c r="AA1015" s="9"/>
      <c r="AB1015" s="9"/>
      <c r="AC1015" s="449" t="str">
        <f t="shared" si="118"/>
        <v/>
      </c>
      <c r="AD1015" s="449"/>
      <c r="AE1015" s="449"/>
      <c r="AF1015" s="4"/>
      <c r="AG1015" s="83"/>
      <c r="AH1015" s="4"/>
      <c r="AI1015" s="4"/>
      <c r="AJ1015" s="449"/>
      <c r="AK1015" s="449"/>
      <c r="AL1015" s="449"/>
      <c r="AM1015" s="449"/>
      <c r="AN1015" s="10"/>
      <c r="AO1015" s="9"/>
      <c r="AP1015" s="9"/>
      <c r="AQ1015" s="9">
        <f>+FL_1($T$1016,$T$1014,$G$1015,1200,9.28,-1*$F$1016)</f>
        <v>0.41886855632932174</v>
      </c>
      <c r="AR1015" s="9"/>
      <c r="AS1015" s="9"/>
      <c r="AT1015" s="9"/>
      <c r="AU1015" s="428"/>
      <c r="AV1015" s="428"/>
      <c r="AW1015" s="449" t="str">
        <f>IF(C1015&gt;0,VLOOKUP(C1015,Foundation_Calc!$A$2:$C$13,3,1),
IF(J1015&gt;0,VLOOKUP(J1015,Foundation_Calc!$A$2:$C$13,3,1),""))</f>
        <v>Multi Soil</v>
      </c>
      <c r="AX1015" s="449" t="str">
        <f>IF(C1015&gt;0,VLOOKUP(C1015,Foundation_Calc!$E$2:$G$33,3,1),
IF(J1015&gt;0,VLOOKUP(J1015,Foundation_Calc!$E$2:$G$33,3,1),""))</f>
        <v>K</v>
      </c>
      <c r="AY1015" s="10" t="str">
        <f>IF(L1015="","",
IF(AX1015="PT",VLOOKUP(L1015,Foundation_Calc!$K$79:$R$113,VLOOKUP(AW1015,Foundation_Calc!$I$2:$J$8,2,FALSE),0),
IF(AX1015="K",VLOOKUP(L1015,Foundation_Calc!$K$117:$R$151,VLOOKUP(AW1015,Foundation_Calc!$I$2:$J$8,2,FALSE),0),"")))</f>
        <v/>
      </c>
      <c r="AZ1015" s="10">
        <f>IF(K1015="","",
IF(AX1015="PT",VLOOKUP(K1015,Foundation_Calc!$K$79:$R$113,VLOOKUP(AW1015,Foundation_Calc!$I$2:$J$8,2,FALSE),0),
IF(AX1015="K",VLOOKUP(K1015,Foundation_Calc!$K$117:$R$151,VLOOKUP(AW1015,Foundation_Calc!$I$2:$J$8,2,FALSE),0),"")))</f>
        <v>3.9</v>
      </c>
      <c r="BA1015" s="495" t="str">
        <f t="shared" si="119"/>
        <v/>
      </c>
      <c r="BB1015" s="495" t="str">
        <f t="shared" si="120"/>
        <v>ü</v>
      </c>
      <c r="BC1015" s="495" t="str">
        <f t="shared" si="121"/>
        <v/>
      </c>
      <c r="BD1015" s="513" t="str">
        <f>IF(AND(L1015="",H1015=""),"",
IF(H1015="",Pole_Calc!A$9,
IF(H1015="MP",Pole_Calc!A$10,
IF(H1015="AnMP",Pole_Calc!A$11,
IF(H1015="A",Pole_Calc!A$12,
IF(H1015="S/A",Pole_Calc!A$13,
IF(H1015="A/S",Pole_Calc!A$14,"Poner a mano")))))))</f>
        <v/>
      </c>
      <c r="BE1015" s="429" t="s">
        <v>118</v>
      </c>
      <c r="BF1015" s="290"/>
      <c r="BG1015" s="290"/>
      <c r="BH1015" s="290"/>
      <c r="BI1015" s="290"/>
    </row>
    <row r="1016" spans="1:61" ht="15.75" customHeight="1">
      <c r="A1016" s="514"/>
      <c r="B1016" s="450" t="s">
        <v>777</v>
      </c>
      <c r="C1016" s="3">
        <f>+$C$1014+$G$1015</f>
        <v>54423.63</v>
      </c>
      <c r="D1016" s="83"/>
      <c r="E1016" s="4"/>
      <c r="F1016" s="4">
        <f>IF(C1016&gt;0,VLOOKUP(C1016,'ALIGNMENT TRACK'!$A$1:$K$81,9,1))</f>
        <v>-2300</v>
      </c>
      <c r="G1016" s="6"/>
      <c r="H1016" s="449"/>
      <c r="I1016" s="4"/>
      <c r="J1016" s="3"/>
      <c r="K1016" s="449"/>
      <c r="L1016" s="449" t="s">
        <v>158</v>
      </c>
      <c r="M1016" s="449" t="str">
        <f>IF(L1016="","",
IF(AX1016="PT",VLOOKUP(L1016,Foundation_Calc!$V$79:$X$113,VLOOKUP(AX1016,Foundation_Calc!$I$10:$J$13,2,FALSE),0),
IF(AX1016="K",VLOOKUP(L1016,Foundation_Calc!$V$117:$X$151,VLOOKUP(AX1016,Foundation_Calc!$I$10:$J$13,2,FALSE),0),"")))</f>
        <v>C4RT</v>
      </c>
      <c r="N1016" s="449" t="s">
        <v>134</v>
      </c>
      <c r="O1016" s="449"/>
      <c r="P1016" s="449"/>
      <c r="Q1016" s="4"/>
      <c r="R1016" s="6"/>
      <c r="S1016" s="6"/>
      <c r="T1016" s="4">
        <v>30</v>
      </c>
      <c r="U1016" s="4"/>
      <c r="V1016" s="4"/>
      <c r="W1016" s="9">
        <v>1.4</v>
      </c>
      <c r="X1016" s="9"/>
      <c r="Y1016" s="9"/>
      <c r="Z1016" s="9"/>
      <c r="AA1016" s="9"/>
      <c r="AB1016" s="9"/>
      <c r="AC1016" s="449" t="str">
        <f t="shared" si="118"/>
        <v>PH</v>
      </c>
      <c r="AD1016" s="449"/>
      <c r="AE1016" s="449"/>
      <c r="AF1016" s="4"/>
      <c r="AG1016" s="83"/>
      <c r="AH1016" s="4"/>
      <c r="AI1016" s="4"/>
      <c r="AJ1016" s="449"/>
      <c r="AK1016" s="449"/>
      <c r="AL1016" s="449"/>
      <c r="AM1016" s="449" t="s">
        <v>552</v>
      </c>
      <c r="AN1016" s="10">
        <v>5.5</v>
      </c>
      <c r="AO1016" s="9"/>
      <c r="AP1016" s="9"/>
      <c r="AQ1016" s="9"/>
      <c r="AR1016" s="9"/>
      <c r="AS1016" s="9"/>
      <c r="AT1016" s="9">
        <f>+ab($T$1016,$T$1014,$T$1018,$G$1015,$G$1017,-1*$F$1016,1200)</f>
        <v>8.2695134397950589</v>
      </c>
      <c r="AU1016" s="428"/>
      <c r="AV1016" s="428"/>
      <c r="AW1016" s="449" t="str">
        <f>IF(C1016&gt;0,VLOOKUP(C1016,Foundation_Calc!$A$2:$C$13,3,1),
IF(J1016&gt;0,VLOOKUP(J1016,Foundation_Calc!$A$2:$C$13,3,1),""))</f>
        <v>Multi Soil</v>
      </c>
      <c r="AX1016" s="449" t="str">
        <f>IF(C1016&gt;0,VLOOKUP(C1016,Foundation_Calc!$E$2:$G$33,3,1),
IF(J1016&gt;0,VLOOKUP(J1016,Foundation_Calc!$E$2:$G$33,3,1),""))</f>
        <v>K</v>
      </c>
      <c r="AY1016" s="10">
        <f>IF(L1016="","",
IF(AX1016="PT",VLOOKUP(L1016,Foundation_Calc!$K$79:$R$113,VLOOKUP(AW1016,Foundation_Calc!$I$2:$J$8,2,FALSE),0),
IF(AX1016="K",VLOOKUP(L1016,Foundation_Calc!$K$117:$R$151,VLOOKUP(AW1016,Foundation_Calc!$I$2:$J$8,2,FALSE),0),"")))</f>
        <v>4.2</v>
      </c>
      <c r="AZ1016" s="10" t="str">
        <f>IF(K1016="","",
IF(AX1016="PT",VLOOKUP(K1016,Foundation_Calc!$K$79:$R$113,VLOOKUP(AW1016,Foundation_Calc!$I$2:$J$8,2,FALSE),0),
IF(AX1016="K",VLOOKUP(K1016,Foundation_Calc!$K$117:$R$151,VLOOKUP(AW1016,Foundation_Calc!$I$2:$J$8,2,FALSE),0),"")))</f>
        <v/>
      </c>
      <c r="BA1016" s="495" t="str">
        <f t="shared" si="119"/>
        <v>ü</v>
      </c>
      <c r="BB1016" s="495" t="str">
        <f t="shared" si="120"/>
        <v/>
      </c>
      <c r="BC1016" s="495" t="str">
        <f t="shared" si="121"/>
        <v/>
      </c>
      <c r="BD1016" s="513" t="str">
        <f>IF(AND(L1016="",H1016=""),"",
IF(H1016="",Pole_Calc!A$9,
IF(H1016="MP",Pole_Calc!A$10,
IF(H1016="AnMP",Pole_Calc!A$11,
IF(H1016="A",Pole_Calc!A$12,
IF(H1016="S/A",Pole_Calc!A$13,
IF(H1016="A/S",Pole_Calc!A$14,"Poner a mano")))))))</f>
        <v>App.7-V11I-P9.5.1.1</v>
      </c>
      <c r="BE1016" s="429" t="s">
        <v>118</v>
      </c>
      <c r="BF1016" s="289"/>
      <c r="BG1016" s="289"/>
      <c r="BH1016" s="290"/>
      <c r="BI1016" s="289"/>
    </row>
    <row r="1017" spans="1:61" ht="15.75" customHeight="1">
      <c r="A1017" s="514"/>
      <c r="B1017" s="450"/>
      <c r="C1017" s="3"/>
      <c r="D1017" s="83"/>
      <c r="E1017" s="4"/>
      <c r="F1017" s="4"/>
      <c r="G1017" s="6">
        <v>53</v>
      </c>
      <c r="H1017" s="449"/>
      <c r="I1017" s="4"/>
      <c r="J1017" s="3"/>
      <c r="K1017" s="449"/>
      <c r="L1017" s="449"/>
      <c r="M1017" s="449" t="str">
        <f>IF(L1017="","",
IF(AX1017="PT",VLOOKUP(L1017,Foundation_Calc!$V$79:$X$113,VLOOKUP(AX1017,Foundation_Calc!$I$10:$J$13,2,FALSE),0),
IF(AX1017="K",VLOOKUP(L1017,Foundation_Calc!$V$117:$X$151,VLOOKUP(AX1017,Foundation_Calc!$I$10:$J$13,2,FALSE),0),"")))</f>
        <v/>
      </c>
      <c r="N1017" s="449"/>
      <c r="O1017" s="449"/>
      <c r="P1017" s="449"/>
      <c r="Q1017" s="4"/>
      <c r="R1017" s="6"/>
      <c r="S1017" s="6"/>
      <c r="T1017" s="4"/>
      <c r="U1017" s="4"/>
      <c r="V1017" s="4"/>
      <c r="W1017" s="9"/>
      <c r="X1017" s="9"/>
      <c r="Y1017" s="9"/>
      <c r="Z1017" s="9"/>
      <c r="AA1017" s="9"/>
      <c r="AB1017" s="9"/>
      <c r="AC1017" s="449" t="str">
        <f t="shared" si="118"/>
        <v/>
      </c>
      <c r="AD1017" s="449"/>
      <c r="AE1017" s="449"/>
      <c r="AF1017" s="4"/>
      <c r="AG1017" s="83"/>
      <c r="AH1017" s="4"/>
      <c r="AI1017" s="4"/>
      <c r="AJ1017" s="449"/>
      <c r="AK1017" s="449"/>
      <c r="AL1017" s="449"/>
      <c r="AM1017" s="449"/>
      <c r="AN1017" s="10"/>
      <c r="AO1017" s="9"/>
      <c r="AP1017" s="9"/>
      <c r="AQ1017" s="9">
        <f>+FL_1($T$1018,$T$1016,$G$1017,1200,9.28,-1*$F$1018)</f>
        <v>0.41886855632932174</v>
      </c>
      <c r="AR1017" s="9"/>
      <c r="AS1017" s="9"/>
      <c r="AT1017" s="9"/>
      <c r="AU1017" s="428"/>
      <c r="AV1017" s="428"/>
      <c r="AW1017" s="449" t="str">
        <f>IF(C1017&gt;0,VLOOKUP(C1017,Foundation_Calc!$A$2:$C$13,3,1),
IF(J1017&gt;0,VLOOKUP(J1017,Foundation_Calc!$A$2:$C$13,3,1),""))</f>
        <v/>
      </c>
      <c r="AX1017" s="449" t="str">
        <f>IF(C1017&gt;0,VLOOKUP(C1017,Foundation_Calc!$E$2:$G$33,3,1),
IF(J1017&gt;0,VLOOKUP(J1017,Foundation_Calc!$E$2:$G$33,3,1),""))</f>
        <v/>
      </c>
      <c r="AY1017" s="10" t="str">
        <f>IF(L1017="","",
IF(AX1017="PT",VLOOKUP(L1017,Foundation_Calc!$K$79:$R$113,VLOOKUP(AW1017,Foundation_Calc!$I$2:$J$8,2,FALSE),0),
IF(AX1017="K",VLOOKUP(L1017,Foundation_Calc!$K$117:$R$151,VLOOKUP(AW1017,Foundation_Calc!$I$2:$J$8,2,FALSE),0),"")))</f>
        <v/>
      </c>
      <c r="AZ1017" s="10" t="str">
        <f>IF(K1017="","",
IF(AX1017="PT",VLOOKUP(K1017,Foundation_Calc!$K$79:$R$113,VLOOKUP(AW1017,Foundation_Calc!$I$2:$J$8,2,FALSE),0),
IF(AX1017="K",VLOOKUP(K1017,Foundation_Calc!$K$117:$R$151,VLOOKUP(AW1017,Foundation_Calc!$I$2:$J$8,2,FALSE),0),"")))</f>
        <v/>
      </c>
      <c r="BA1017" s="495" t="str">
        <f t="shared" si="119"/>
        <v/>
      </c>
      <c r="BB1017" s="495" t="str">
        <f t="shared" si="120"/>
        <v/>
      </c>
      <c r="BC1017" s="495" t="str">
        <f t="shared" si="121"/>
        <v/>
      </c>
      <c r="BD1017" s="513" t="str">
        <f>IF(AND(L1017="",H1017=""),"",
IF(H1017="",Pole_Calc!A$9,
IF(H1017="MP",Pole_Calc!A$10,
IF(H1017="AnMP",Pole_Calc!A$11,
IF(H1017="A",Pole_Calc!A$12,
IF(H1017="S/A",Pole_Calc!A$13,
IF(H1017="A/S",Pole_Calc!A$14,"Poner a mano")))))))</f>
        <v/>
      </c>
      <c r="BE1017" s="429" t="s">
        <v>118</v>
      </c>
      <c r="BF1017" s="290"/>
      <c r="BG1017" s="290"/>
      <c r="BH1017" s="290"/>
      <c r="BI1017" s="290"/>
    </row>
    <row r="1018" spans="1:61" ht="15.75" customHeight="1">
      <c r="A1018" s="514"/>
      <c r="B1018" s="450" t="s">
        <v>778</v>
      </c>
      <c r="C1018" s="3">
        <f>+$C$1016+$G$1017</f>
        <v>54476.63</v>
      </c>
      <c r="D1018" s="83"/>
      <c r="E1018" s="4"/>
      <c r="F1018" s="4">
        <f>IF(C1018&gt;0,VLOOKUP(C1018,'ALIGNMENT TRACK'!$A$1:$K$81,9,1))</f>
        <v>-2300</v>
      </c>
      <c r="G1018" s="6"/>
      <c r="H1018" s="449"/>
      <c r="I1018" s="4"/>
      <c r="J1018" s="3"/>
      <c r="K1018" s="449"/>
      <c r="L1018" s="449" t="s">
        <v>158</v>
      </c>
      <c r="M1018" s="449" t="str">
        <f>IF(L1018="","",
IF(AX1018="PT",VLOOKUP(L1018,Foundation_Calc!$V$79:$X$113,VLOOKUP(AX1018,Foundation_Calc!$I$10:$J$13,2,FALSE),0),
IF(AX1018="K",VLOOKUP(L1018,Foundation_Calc!$V$117:$X$151,VLOOKUP(AX1018,Foundation_Calc!$I$10:$J$13,2,FALSE),0),"")))</f>
        <v>C4RT</v>
      </c>
      <c r="N1018" s="449" t="s">
        <v>134</v>
      </c>
      <c r="O1018" s="449"/>
      <c r="P1018" s="449"/>
      <c r="Q1018" s="4"/>
      <c r="R1018" s="6"/>
      <c r="S1018" s="6"/>
      <c r="T1018" s="4">
        <v>30</v>
      </c>
      <c r="U1018" s="4"/>
      <c r="V1018" s="4"/>
      <c r="W1018" s="9">
        <v>1.4</v>
      </c>
      <c r="X1018" s="9"/>
      <c r="Y1018" s="9"/>
      <c r="Z1018" s="9"/>
      <c r="AA1018" s="9"/>
      <c r="AB1018" s="9"/>
      <c r="AC1018" s="449" t="str">
        <f t="shared" si="118"/>
        <v>PH</v>
      </c>
      <c r="AD1018" s="449"/>
      <c r="AE1018" s="449"/>
      <c r="AF1018" s="4"/>
      <c r="AG1018" s="83"/>
      <c r="AH1018" s="4"/>
      <c r="AI1018" s="4"/>
      <c r="AJ1018" s="449"/>
      <c r="AK1018" s="449"/>
      <c r="AL1018" s="449"/>
      <c r="AM1018" s="449" t="s">
        <v>552</v>
      </c>
      <c r="AN1018" s="10">
        <v>5.5</v>
      </c>
      <c r="AO1018" s="9"/>
      <c r="AP1018" s="9"/>
      <c r="AQ1018" s="9"/>
      <c r="AR1018" s="9"/>
      <c r="AS1018" s="9"/>
      <c r="AT1018" s="9">
        <f>+ab($T$1018,$T$1016,$T$1020,$G$1017,$G$1019,-1*$F$1018,1200)</f>
        <v>8.2695134397950589</v>
      </c>
      <c r="AU1018" s="428"/>
      <c r="AV1018" s="428"/>
      <c r="AW1018" s="449" t="str">
        <f>IF(C1018&gt;0,VLOOKUP(C1018,Foundation_Calc!$A$2:$C$13,3,1),
IF(J1018&gt;0,VLOOKUP(J1018,Foundation_Calc!$A$2:$C$13,3,1),""))</f>
        <v>Multi Soil</v>
      </c>
      <c r="AX1018" s="449" t="str">
        <f>IF(C1018&gt;0,VLOOKUP(C1018,Foundation_Calc!$E$2:$G$33,3,1),
IF(J1018&gt;0,VLOOKUP(J1018,Foundation_Calc!$E$2:$G$33,3,1),""))</f>
        <v>K</v>
      </c>
      <c r="AY1018" s="10">
        <f>IF(L1018="","",
IF(AX1018="PT",VLOOKUP(L1018,Foundation_Calc!$K$79:$R$113,VLOOKUP(AW1018,Foundation_Calc!$I$2:$J$8,2,FALSE),0),
IF(AX1018="K",VLOOKUP(L1018,Foundation_Calc!$K$117:$R$151,VLOOKUP(AW1018,Foundation_Calc!$I$2:$J$8,2,FALSE),0),"")))</f>
        <v>4.2</v>
      </c>
      <c r="AZ1018" s="10" t="str">
        <f>IF(K1018="","",
IF(AX1018="PT",VLOOKUP(K1018,Foundation_Calc!$K$79:$R$113,VLOOKUP(AW1018,Foundation_Calc!$I$2:$J$8,2,FALSE),0),
IF(AX1018="K",VLOOKUP(K1018,Foundation_Calc!$K$117:$R$151,VLOOKUP(AW1018,Foundation_Calc!$I$2:$J$8,2,FALSE),0),"")))</f>
        <v/>
      </c>
      <c r="BA1018" s="495" t="str">
        <f t="shared" si="119"/>
        <v>ü</v>
      </c>
      <c r="BB1018" s="495" t="str">
        <f t="shared" si="120"/>
        <v/>
      </c>
      <c r="BC1018" s="495" t="str">
        <f t="shared" si="121"/>
        <v/>
      </c>
      <c r="BD1018" s="513" t="str">
        <f>IF(AND(L1018="",H1018=""),"",
IF(H1018="",Pole_Calc!A$9,
IF(H1018="MP",Pole_Calc!A$10,
IF(H1018="AnMP",Pole_Calc!A$11,
IF(H1018="A",Pole_Calc!A$12,
IF(H1018="S/A",Pole_Calc!A$13,
IF(H1018="A/S",Pole_Calc!A$14,"Poner a mano")))))))</f>
        <v>App.7-V11I-P9.5.1.1</v>
      </c>
      <c r="BE1018" s="429" t="s">
        <v>118</v>
      </c>
      <c r="BF1018" s="289"/>
      <c r="BG1018" s="289"/>
      <c r="BH1018" s="290"/>
      <c r="BI1018" s="289"/>
    </row>
    <row r="1019" spans="1:61" ht="15.75" customHeight="1">
      <c r="A1019" s="514"/>
      <c r="B1019" s="450"/>
      <c r="C1019" s="3"/>
      <c r="D1019" s="83"/>
      <c r="E1019" s="4"/>
      <c r="F1019" s="4"/>
      <c r="G1019" s="6">
        <v>53</v>
      </c>
      <c r="H1019" s="449"/>
      <c r="I1019" s="4"/>
      <c r="J1019" s="3"/>
      <c r="K1019" s="449"/>
      <c r="L1019" s="449"/>
      <c r="M1019" s="449" t="str">
        <f>IF(L1019="","",
IF(AX1019="PT",VLOOKUP(L1019,Foundation_Calc!$V$79:$X$113,VLOOKUP(AX1019,Foundation_Calc!$I$10:$J$13,2,FALSE),0),
IF(AX1019="K",VLOOKUP(L1019,Foundation_Calc!$V$117:$X$151,VLOOKUP(AX1019,Foundation_Calc!$I$10:$J$13,2,FALSE),0),"")))</f>
        <v/>
      </c>
      <c r="N1019" s="449"/>
      <c r="O1019" s="449"/>
      <c r="P1019" s="449"/>
      <c r="Q1019" s="4"/>
      <c r="R1019" s="6"/>
      <c r="S1019" s="6"/>
      <c r="T1019" s="4"/>
      <c r="U1019" s="4"/>
      <c r="V1019" s="4"/>
      <c r="W1019" s="9"/>
      <c r="X1019" s="9"/>
      <c r="Y1019" s="9"/>
      <c r="Z1019" s="9"/>
      <c r="AA1019" s="9"/>
      <c r="AB1019" s="9"/>
      <c r="AC1019" s="449" t="str">
        <f t="shared" si="118"/>
        <v/>
      </c>
      <c r="AD1019" s="449"/>
      <c r="AE1019" s="449"/>
      <c r="AF1019" s="4"/>
      <c r="AG1019" s="83"/>
      <c r="AH1019" s="4"/>
      <c r="AI1019" s="4"/>
      <c r="AJ1019" s="449"/>
      <c r="AK1019" s="449"/>
      <c r="AL1019" s="449"/>
      <c r="AM1019" s="449"/>
      <c r="AN1019" s="10"/>
      <c r="AO1019" s="9"/>
      <c r="AP1019" s="9"/>
      <c r="AQ1019" s="9">
        <f>+FL_1($T$1020,$T$1018,$G$1019,1200,9.28,-1*$F$1020)</f>
        <v>0.41886855632932174</v>
      </c>
      <c r="AR1019" s="9"/>
      <c r="AS1019" s="9"/>
      <c r="AT1019" s="9"/>
      <c r="AU1019" s="428"/>
      <c r="AV1019" s="428"/>
      <c r="AW1019" s="449" t="str">
        <f>IF(C1019&gt;0,VLOOKUP(C1019,Foundation_Calc!$A$2:$C$13,3,1),
IF(J1019&gt;0,VLOOKUP(J1019,Foundation_Calc!$A$2:$C$13,3,1),""))</f>
        <v/>
      </c>
      <c r="AX1019" s="449" t="str">
        <f>IF(C1019&gt;0,VLOOKUP(C1019,Foundation_Calc!$E$2:$G$33,3,1),
IF(J1019&gt;0,VLOOKUP(J1019,Foundation_Calc!$E$2:$G$33,3,1),""))</f>
        <v/>
      </c>
      <c r="AY1019" s="10" t="str">
        <f>IF(L1019="","",
IF(AX1019="PT",VLOOKUP(L1019,Foundation_Calc!$K$79:$R$113,VLOOKUP(AW1019,Foundation_Calc!$I$2:$J$8,2,FALSE),0),
IF(AX1019="K",VLOOKUP(L1019,Foundation_Calc!$K$117:$R$151,VLOOKUP(AW1019,Foundation_Calc!$I$2:$J$8,2,FALSE),0),"")))</f>
        <v/>
      </c>
      <c r="AZ1019" s="10" t="str">
        <f>IF(K1019="","",
IF(AX1019="PT",VLOOKUP(K1019,Foundation_Calc!$K$79:$R$113,VLOOKUP(AW1019,Foundation_Calc!$I$2:$J$8,2,FALSE),0),
IF(AX1019="K",VLOOKUP(K1019,Foundation_Calc!$K$117:$R$151,VLOOKUP(AW1019,Foundation_Calc!$I$2:$J$8,2,FALSE),0),"")))</f>
        <v/>
      </c>
      <c r="BA1019" s="495" t="str">
        <f t="shared" si="119"/>
        <v/>
      </c>
      <c r="BB1019" s="495" t="str">
        <f t="shared" si="120"/>
        <v/>
      </c>
      <c r="BC1019" s="495" t="str">
        <f t="shared" si="121"/>
        <v/>
      </c>
      <c r="BD1019" s="513" t="str">
        <f>IF(AND(L1019="",H1019=""),"",
IF(H1019="",Pole_Calc!A$9,
IF(H1019="MP",Pole_Calc!A$10,
IF(H1019="AnMP",Pole_Calc!A$11,
IF(H1019="A",Pole_Calc!A$12,
IF(H1019="S/A",Pole_Calc!A$13,
IF(H1019="A/S",Pole_Calc!A$14,"Poner a mano")))))))</f>
        <v/>
      </c>
      <c r="BE1019" s="429" t="s">
        <v>118</v>
      </c>
      <c r="BF1019" s="290"/>
      <c r="BG1019" s="290"/>
      <c r="BH1019" s="290"/>
      <c r="BI1019" s="290"/>
    </row>
    <row r="1020" spans="1:61" ht="15.75" customHeight="1">
      <c r="A1020" s="518"/>
      <c r="B1020" s="450" t="s">
        <v>779</v>
      </c>
      <c r="C1020" s="3">
        <f>+$C$1018+$G$1019</f>
        <v>54529.63</v>
      </c>
      <c r="D1020" s="83"/>
      <c r="E1020" s="4"/>
      <c r="F1020" s="4">
        <f>IF(C1020&gt;0,VLOOKUP(C1020,'ALIGNMENT TRACK'!$A$1:$K$81,9,1))</f>
        <v>-2300</v>
      </c>
      <c r="G1020" s="6"/>
      <c r="H1020" s="449"/>
      <c r="I1020" s="4"/>
      <c r="J1020" s="3"/>
      <c r="K1020" s="449"/>
      <c r="L1020" s="449" t="s">
        <v>158</v>
      </c>
      <c r="M1020" s="449" t="str">
        <f>IF(L1020="","",
IF(AX1020="PT",VLOOKUP(L1020,Foundation_Calc!$V$79:$X$113,VLOOKUP(AX1020,Foundation_Calc!$I$10:$J$13,2,FALSE),0),
IF(AX1020="K",VLOOKUP(L1020,Foundation_Calc!$V$117:$X$151,VLOOKUP(AX1020,Foundation_Calc!$I$10:$J$13,2,FALSE),0),"")))</f>
        <v>C4RT</v>
      </c>
      <c r="N1020" s="449" t="s">
        <v>134</v>
      </c>
      <c r="O1020" s="449"/>
      <c r="P1020" s="449"/>
      <c r="Q1020" s="4"/>
      <c r="R1020" s="6"/>
      <c r="S1020" s="6"/>
      <c r="T1020" s="4">
        <v>30</v>
      </c>
      <c r="U1020" s="4"/>
      <c r="V1020" s="4"/>
      <c r="W1020" s="9">
        <v>1.4</v>
      </c>
      <c r="X1020" s="9"/>
      <c r="Y1020" s="9"/>
      <c r="Z1020" s="9"/>
      <c r="AA1020" s="9"/>
      <c r="AB1020" s="9"/>
      <c r="AC1020" s="449" t="str">
        <f t="shared" si="118"/>
        <v>PH</v>
      </c>
      <c r="AD1020" s="449"/>
      <c r="AE1020" s="449"/>
      <c r="AF1020" s="4"/>
      <c r="AG1020" s="83"/>
      <c r="AH1020" s="4"/>
      <c r="AI1020" s="4"/>
      <c r="AJ1020" s="449"/>
      <c r="AK1020" s="449"/>
      <c r="AL1020" s="449"/>
      <c r="AM1020" s="449" t="s">
        <v>552</v>
      </c>
      <c r="AN1020" s="10">
        <v>5.5</v>
      </c>
      <c r="AO1020" s="9"/>
      <c r="AP1020" s="9"/>
      <c r="AQ1020" s="9"/>
      <c r="AR1020" s="9"/>
      <c r="AS1020" s="9"/>
      <c r="AT1020" s="9">
        <f>+ab($T$1020,$T$1018,$T$1022,$G$1019,$G$1021,-1*$F$1020,1200)</f>
        <v>8.2695134397950589</v>
      </c>
      <c r="AU1020" s="428"/>
      <c r="AV1020" s="428"/>
      <c r="AW1020" s="449" t="str">
        <f>IF(C1020&gt;0,VLOOKUP(C1020,Foundation_Calc!$A$2:$C$13,3,1),
IF(J1020&gt;0,VLOOKUP(J1020,Foundation_Calc!$A$2:$C$13,3,1),""))</f>
        <v>Multi Soil</v>
      </c>
      <c r="AX1020" s="449" t="str">
        <f>IF(C1020&gt;0,VLOOKUP(C1020,Foundation_Calc!$E$2:$G$33,3,1),
IF(J1020&gt;0,VLOOKUP(J1020,Foundation_Calc!$E$2:$G$33,3,1),""))</f>
        <v>K</v>
      </c>
      <c r="AY1020" s="10">
        <f>IF(L1020="","",
IF(AX1020="PT",VLOOKUP(L1020,Foundation_Calc!$K$79:$R$113,VLOOKUP(AW1020,Foundation_Calc!$I$2:$J$8,2,FALSE),0),
IF(AX1020="K",VLOOKUP(L1020,Foundation_Calc!$K$117:$R$151,VLOOKUP(AW1020,Foundation_Calc!$I$2:$J$8,2,FALSE),0),"")))</f>
        <v>4.2</v>
      </c>
      <c r="AZ1020" s="10" t="str">
        <f>IF(K1020="","",
IF(AX1020="PT",VLOOKUP(K1020,Foundation_Calc!$K$79:$R$113,VLOOKUP(AW1020,Foundation_Calc!$I$2:$J$8,2,FALSE),0),
IF(AX1020="K",VLOOKUP(K1020,Foundation_Calc!$K$117:$R$151,VLOOKUP(AW1020,Foundation_Calc!$I$2:$J$8,2,FALSE),0),"")))</f>
        <v/>
      </c>
      <c r="BA1020" s="495" t="str">
        <f t="shared" si="119"/>
        <v>ü</v>
      </c>
      <c r="BB1020" s="495" t="str">
        <f t="shared" si="120"/>
        <v/>
      </c>
      <c r="BC1020" s="495" t="str">
        <f t="shared" si="121"/>
        <v/>
      </c>
      <c r="BD1020" s="513" t="str">
        <f>IF(AND(L1020="",H1020=""),"",
IF(H1020="",Pole_Calc!A$9,
IF(H1020="MP",Pole_Calc!A$10,
IF(H1020="AnMP",Pole_Calc!A$11,
IF(H1020="A",Pole_Calc!A$12,
IF(H1020="S/A",Pole_Calc!A$13,
IF(H1020="A/S",Pole_Calc!A$14,"Poner a mano")))))))</f>
        <v>App.7-V11I-P9.5.1.1</v>
      </c>
      <c r="BE1020" s="429" t="s">
        <v>118</v>
      </c>
      <c r="BF1020" s="289"/>
      <c r="BG1020" s="289"/>
      <c r="BH1020" s="290"/>
      <c r="BI1020" s="289"/>
    </row>
    <row r="1021" spans="1:61" ht="15.75" customHeight="1">
      <c r="A1021" s="518"/>
      <c r="B1021" s="450"/>
      <c r="C1021" s="3"/>
      <c r="D1021" s="83"/>
      <c r="E1021" s="4"/>
      <c r="F1021" s="4"/>
      <c r="G1021" s="6">
        <v>53</v>
      </c>
      <c r="H1021" s="449"/>
      <c r="I1021" s="4"/>
      <c r="J1021" s="3"/>
      <c r="K1021" s="449"/>
      <c r="L1021" s="449"/>
      <c r="M1021" s="449" t="str">
        <f>IF(L1021="","",
IF(AX1021="PT",VLOOKUP(L1021,Foundation_Calc!$V$79:$X$113,VLOOKUP(AX1021,Foundation_Calc!$I$10:$J$13,2,FALSE),0),
IF(AX1021="K",VLOOKUP(L1021,Foundation_Calc!$V$117:$X$151,VLOOKUP(AX1021,Foundation_Calc!$I$10:$J$13,2,FALSE),0),"")))</f>
        <v/>
      </c>
      <c r="N1021" s="561"/>
      <c r="O1021" s="449"/>
      <c r="P1021" s="449"/>
      <c r="Q1021" s="4"/>
      <c r="R1021" s="6"/>
      <c r="S1021" s="6"/>
      <c r="T1021" s="4"/>
      <c r="U1021" s="4"/>
      <c r="V1021" s="4"/>
      <c r="W1021" s="9"/>
      <c r="X1021" s="9"/>
      <c r="Y1021" s="9"/>
      <c r="Z1021" s="9"/>
      <c r="AA1021" s="9"/>
      <c r="AB1021" s="9"/>
      <c r="AC1021" s="449" t="str">
        <f t="shared" si="118"/>
        <v/>
      </c>
      <c r="AD1021" s="449"/>
      <c r="AE1021" s="449"/>
      <c r="AF1021" s="4"/>
      <c r="AG1021" s="83"/>
      <c r="AH1021" s="4"/>
      <c r="AI1021" s="4"/>
      <c r="AJ1021" s="449"/>
      <c r="AK1021" s="449"/>
      <c r="AL1021" s="449"/>
      <c r="AM1021" s="449"/>
      <c r="AN1021" s="10"/>
      <c r="AO1021" s="9"/>
      <c r="AP1021" s="9"/>
      <c r="AQ1021" s="9">
        <f>+FL_1($T$1022,$T$1020,$G$1021,1200,9.28,-1*$F$1022)</f>
        <v>0.43101422235653053</v>
      </c>
      <c r="AR1021" s="9"/>
      <c r="AS1021" s="9"/>
      <c r="AT1021" s="9"/>
      <c r="AU1021" s="428"/>
      <c r="AV1021" s="428"/>
      <c r="AW1021" s="449" t="str">
        <f>IF(C1021&gt;0,VLOOKUP(C1021,Foundation_Calc!$A$2:$C$13,3,1),
IF(J1021&gt;0,VLOOKUP(J1021,Foundation_Calc!$A$2:$C$13,3,1),""))</f>
        <v/>
      </c>
      <c r="AX1021" s="449" t="str">
        <f>IF(C1021&gt;0,VLOOKUP(C1021,Foundation_Calc!$E$2:$G$33,3,1),
IF(J1021&gt;0,VLOOKUP(J1021,Foundation_Calc!$E$2:$G$33,3,1),""))</f>
        <v/>
      </c>
      <c r="AY1021" s="10" t="str">
        <f>IF(L1021="","",
IF(AX1021="PT",VLOOKUP(L1021,Foundation_Calc!$K$79:$R$113,VLOOKUP(AW1021,Foundation_Calc!$I$2:$J$8,2,FALSE),0),
IF(AX1021="K",VLOOKUP(L1021,Foundation_Calc!$K$117:$R$151,VLOOKUP(AW1021,Foundation_Calc!$I$2:$J$8,2,FALSE),0),"")))</f>
        <v/>
      </c>
      <c r="AZ1021" s="10" t="str">
        <f>IF(K1021="","",
IF(AX1021="PT",VLOOKUP(K1021,Foundation_Calc!$K$79:$R$113,VLOOKUP(AW1021,Foundation_Calc!$I$2:$J$8,2,FALSE),0),
IF(AX1021="K",VLOOKUP(K1021,Foundation_Calc!$K$117:$R$151,VLOOKUP(AW1021,Foundation_Calc!$I$2:$J$8,2,FALSE),0),"")))</f>
        <v/>
      </c>
      <c r="BA1021" s="495" t="str">
        <f t="shared" si="119"/>
        <v/>
      </c>
      <c r="BB1021" s="495" t="str">
        <f t="shared" si="120"/>
        <v/>
      </c>
      <c r="BC1021" s="495" t="str">
        <f t="shared" si="121"/>
        <v/>
      </c>
      <c r="BD1021" s="513" t="str">
        <f>IF(AND(L1021="",H1021=""),"",
IF(H1021="",Pole_Calc!A$9,
IF(H1021="MP",Pole_Calc!A$10,
IF(H1021="AnMP",Pole_Calc!A$11,
IF(H1021="A",Pole_Calc!A$12,
IF(H1021="S/A",Pole_Calc!A$13,
IF(H1021="A/S",Pole_Calc!A$14,"Poner a mano")))))))</f>
        <v/>
      </c>
      <c r="BE1021" s="429" t="s">
        <v>118</v>
      </c>
      <c r="BF1021" s="290"/>
      <c r="BG1021" s="290"/>
      <c r="BH1021" s="290"/>
      <c r="BI1021" s="290"/>
    </row>
    <row r="1022" spans="1:61" ht="15.75" customHeight="1">
      <c r="A1022" s="514"/>
      <c r="B1022" s="450" t="s">
        <v>780</v>
      </c>
      <c r="C1022" s="3">
        <f>+$C$1020+$G$1021</f>
        <v>54582.63</v>
      </c>
      <c r="D1022" s="83"/>
      <c r="E1022" s="4"/>
      <c r="F1022" s="4">
        <f>(571^2)/(C1022-54713.11)</f>
        <v>-2498.7814224401595</v>
      </c>
      <c r="G1022" s="6"/>
      <c r="H1022" s="449"/>
      <c r="I1022" s="4"/>
      <c r="J1022" s="3"/>
      <c r="K1022" s="449"/>
      <c r="L1022" s="449" t="s">
        <v>158</v>
      </c>
      <c r="M1022" s="449" t="str">
        <f>IF(L1022="","",
IF(AX1022="PT",VLOOKUP(L1022,Foundation_Calc!$V$79:$X$113,VLOOKUP(AX1022,Foundation_Calc!$I$10:$J$13,2,FALSE),0),
IF(AX1022="K",VLOOKUP(L1022,Foundation_Calc!$V$117:$X$151,VLOOKUP(AX1022,Foundation_Calc!$I$10:$J$13,2,FALSE),0),"")))</f>
        <v>C4RT</v>
      </c>
      <c r="N1022" s="449" t="s">
        <v>134</v>
      </c>
      <c r="O1022" s="449"/>
      <c r="P1022" s="449"/>
      <c r="Q1022" s="4"/>
      <c r="R1022" s="6"/>
      <c r="S1022" s="6"/>
      <c r="T1022" s="4">
        <v>30</v>
      </c>
      <c r="U1022" s="4"/>
      <c r="V1022" s="4"/>
      <c r="W1022" s="9">
        <v>1.4</v>
      </c>
      <c r="X1022" s="9"/>
      <c r="Y1022" s="9"/>
      <c r="Z1022" s="9"/>
      <c r="AA1022" s="9"/>
      <c r="AB1022" s="9"/>
      <c r="AC1022" s="449" t="str">
        <f t="shared" si="118"/>
        <v>PH</v>
      </c>
      <c r="AD1022" s="449"/>
      <c r="AE1022" s="449"/>
      <c r="AF1022" s="4"/>
      <c r="AG1022" s="83"/>
      <c r="AH1022" s="4"/>
      <c r="AI1022" s="4"/>
      <c r="AJ1022" s="449"/>
      <c r="AK1022" s="449"/>
      <c r="AL1022" s="449"/>
      <c r="AM1022" s="449" t="s">
        <v>552</v>
      </c>
      <c r="AN1022" s="10">
        <v>5.5</v>
      </c>
      <c r="AO1022" s="9"/>
      <c r="AP1022" s="9"/>
      <c r="AQ1022" s="9"/>
      <c r="AR1022" s="9"/>
      <c r="AS1022" s="9"/>
      <c r="AT1022" s="9">
        <f>+ab($T$1022,$T$1020,$T$1024,$G$1021,$G$1023,-1*$F$1022,1200)</f>
        <v>8.2505687809051143</v>
      </c>
      <c r="AU1022" s="428"/>
      <c r="AV1022" s="428"/>
      <c r="AW1022" s="449" t="str">
        <f>IF(C1022&gt;0,VLOOKUP(C1022,Foundation_Calc!$A$2:$C$13,3,1),
IF(J1022&gt;0,VLOOKUP(J1022,Foundation_Calc!$A$2:$C$13,3,1),""))</f>
        <v>Multi Soil</v>
      </c>
      <c r="AX1022" s="449" t="str">
        <f>IF(C1022&gt;0,VLOOKUP(C1022,Foundation_Calc!$E$2:$G$33,3,1),
IF(J1022&gt;0,VLOOKUP(J1022,Foundation_Calc!$E$2:$G$33,3,1),""))</f>
        <v>K</v>
      </c>
      <c r="AY1022" s="10">
        <f>IF(L1022="","",
IF(AX1022="PT",VLOOKUP(L1022,Foundation_Calc!$K$79:$R$113,VLOOKUP(AW1022,Foundation_Calc!$I$2:$J$8,2,FALSE),0),
IF(AX1022="K",VLOOKUP(L1022,Foundation_Calc!$K$117:$R$151,VLOOKUP(AW1022,Foundation_Calc!$I$2:$J$8,2,FALSE),0),"")))</f>
        <v>4.2</v>
      </c>
      <c r="AZ1022" s="10" t="str">
        <f>IF(K1022="","",
IF(AX1022="PT",VLOOKUP(K1022,Foundation_Calc!$K$79:$R$113,VLOOKUP(AW1022,Foundation_Calc!$I$2:$J$8,2,FALSE),0),
IF(AX1022="K",VLOOKUP(K1022,Foundation_Calc!$K$117:$R$151,VLOOKUP(AW1022,Foundation_Calc!$I$2:$J$8,2,FALSE),0),"")))</f>
        <v/>
      </c>
      <c r="BA1022" s="495" t="str">
        <f t="shared" si="119"/>
        <v>ü</v>
      </c>
      <c r="BB1022" s="495" t="str">
        <f t="shared" si="120"/>
        <v/>
      </c>
      <c r="BC1022" s="495" t="str">
        <f t="shared" si="121"/>
        <v/>
      </c>
      <c r="BD1022" s="513" t="str">
        <f>IF(AND(L1022="",H1022=""),"",
IF(H1022="",Pole_Calc!A$9,
IF(H1022="MP",Pole_Calc!A$10,
IF(H1022="AnMP",Pole_Calc!A$11,
IF(H1022="A",Pole_Calc!A$12,
IF(H1022="S/A",Pole_Calc!A$13,
IF(H1022="A/S",Pole_Calc!A$14,"Poner a mano")))))))</f>
        <v>App.7-V11I-P9.5.1.1</v>
      </c>
      <c r="BE1022" s="429" t="s">
        <v>118</v>
      </c>
      <c r="BF1022" s="289"/>
      <c r="BG1022" s="289"/>
      <c r="BH1022" s="290"/>
      <c r="BI1022" s="289"/>
    </row>
    <row r="1023" spans="1:61" ht="15.75" customHeight="1">
      <c r="A1023" s="514"/>
      <c r="B1023" s="450"/>
      <c r="C1023" s="3"/>
      <c r="D1023" s="83"/>
      <c r="E1023" s="4"/>
      <c r="F1023" s="4"/>
      <c r="G1023" s="6">
        <v>53</v>
      </c>
      <c r="H1023" s="449"/>
      <c r="I1023" s="4"/>
      <c r="J1023" s="3"/>
      <c r="K1023" s="449"/>
      <c r="L1023" s="449"/>
      <c r="M1023" s="449" t="str">
        <f>IF(L1023="","",
IF(AX1023="PT",VLOOKUP(L1023,Foundation_Calc!$V$79:$X$113,VLOOKUP(AX1023,Foundation_Calc!$I$10:$J$13,2,FALSE),0),
IF(AX1023="K",VLOOKUP(L1023,Foundation_Calc!$V$117:$X$151,VLOOKUP(AX1023,Foundation_Calc!$I$10:$J$13,2,FALSE),0),"")))</f>
        <v/>
      </c>
      <c r="N1023" s="449"/>
      <c r="O1023" s="449"/>
      <c r="P1023" s="449"/>
      <c r="Q1023" s="4"/>
      <c r="R1023" s="6"/>
      <c r="S1023" s="6"/>
      <c r="T1023" s="4"/>
      <c r="U1023" s="4"/>
      <c r="V1023" s="4"/>
      <c r="W1023" s="9"/>
      <c r="X1023" s="9"/>
      <c r="Y1023" s="9"/>
      <c r="Z1023" s="9"/>
      <c r="AA1023" s="9"/>
      <c r="AB1023" s="9"/>
      <c r="AC1023" s="449" t="str">
        <f t="shared" si="118"/>
        <v/>
      </c>
      <c r="AD1023" s="449"/>
      <c r="AE1023" s="449"/>
      <c r="AF1023" s="4"/>
      <c r="AG1023" s="83"/>
      <c r="AH1023" s="4"/>
      <c r="AI1023" s="4"/>
      <c r="AJ1023" s="449"/>
      <c r="AK1023" s="449"/>
      <c r="AL1023" s="449"/>
      <c r="AM1023" s="449"/>
      <c r="AN1023" s="10"/>
      <c r="AO1023" s="9"/>
      <c r="AP1023" s="9"/>
      <c r="AQ1023" s="9">
        <f>+FL_1($T$1024,$T$1022,$G$1023,1200,9.28,-1*$F$1024)</f>
        <v>0.44141771085652348</v>
      </c>
      <c r="AR1023" s="9"/>
      <c r="AS1023" s="9"/>
      <c r="AT1023" s="9"/>
      <c r="AU1023" s="428"/>
      <c r="AV1023" s="428"/>
      <c r="AW1023" s="449" t="str">
        <f>IF(C1023&gt;0,VLOOKUP(C1023,Foundation_Calc!$A$2:$C$13,3,1),
IF(J1023&gt;0,VLOOKUP(J1023,Foundation_Calc!$A$2:$C$13,3,1),""))</f>
        <v/>
      </c>
      <c r="AX1023" s="449" t="str">
        <f>IF(C1023&gt;0,VLOOKUP(C1023,Foundation_Calc!$E$2:$G$33,3,1),
IF(J1023&gt;0,VLOOKUP(J1023,Foundation_Calc!$E$2:$G$33,3,1),""))</f>
        <v/>
      </c>
      <c r="AY1023" s="10" t="str">
        <f>IF(L1023="","",
IF(AX1023="PT",VLOOKUP(L1023,Foundation_Calc!$K$79:$R$113,VLOOKUP(AW1023,Foundation_Calc!$I$2:$J$8,2,FALSE),0),
IF(AX1023="K",VLOOKUP(L1023,Foundation_Calc!$K$117:$R$151,VLOOKUP(AW1023,Foundation_Calc!$I$2:$J$8,2,FALSE),0),"")))</f>
        <v/>
      </c>
      <c r="AZ1023" s="10" t="str">
        <f>IF(K1023="","",
IF(AX1023="PT",VLOOKUP(K1023,Foundation_Calc!$K$79:$R$113,VLOOKUP(AW1023,Foundation_Calc!$I$2:$J$8,2,FALSE),0),
IF(AX1023="K",VLOOKUP(K1023,Foundation_Calc!$K$117:$R$151,VLOOKUP(AW1023,Foundation_Calc!$I$2:$J$8,2,FALSE),0),"")))</f>
        <v/>
      </c>
      <c r="BA1023" s="495" t="str">
        <f t="shared" si="119"/>
        <v/>
      </c>
      <c r="BB1023" s="495" t="str">
        <f t="shared" si="120"/>
        <v/>
      </c>
      <c r="BC1023" s="495" t="str">
        <f t="shared" si="121"/>
        <v/>
      </c>
      <c r="BD1023" s="513" t="str">
        <f>IF(AND(L1023="",H1023=""),"",
IF(H1023="",Pole_Calc!A$9,
IF(H1023="MP",Pole_Calc!A$10,
IF(H1023="AnMP",Pole_Calc!A$11,
IF(H1023="A",Pole_Calc!A$12,
IF(H1023="S/A",Pole_Calc!A$13,
IF(H1023="A/S",Pole_Calc!A$14,"Poner a mano")))))))</f>
        <v/>
      </c>
      <c r="BE1023" s="429" t="s">
        <v>118</v>
      </c>
      <c r="BF1023" s="290"/>
      <c r="BG1023" s="290"/>
      <c r="BH1023" s="290"/>
      <c r="BI1023" s="290"/>
    </row>
    <row r="1024" spans="1:61" ht="15.75" customHeight="1">
      <c r="A1024" s="514"/>
      <c r="B1024" s="450" t="s">
        <v>781</v>
      </c>
      <c r="C1024" s="3">
        <f>+$C$1022+$G$1023</f>
        <v>54635.63</v>
      </c>
      <c r="D1024" s="83"/>
      <c r="E1024" s="4"/>
      <c r="F1024" s="4">
        <f>(571^2)/(C1024-54713.11)</f>
        <v>-4208.0665978315246</v>
      </c>
      <c r="G1024" s="6"/>
      <c r="H1024" s="449"/>
      <c r="I1024" s="4"/>
      <c r="J1024" s="3"/>
      <c r="K1024" s="449"/>
      <c r="L1024" s="449" t="s">
        <v>153</v>
      </c>
      <c r="M1024" s="449" t="str">
        <f>IF(L1024="","",
IF(AX1024="PT",VLOOKUP(L1024,Foundation_Calc!$V$79:$X$113,VLOOKUP(AX1024,Foundation_Calc!$I$10:$J$13,2,FALSE),0),
IF(AX1024="K",VLOOKUP(L1024,Foundation_Calc!$V$117:$X$151,VLOOKUP(AX1024,Foundation_Calc!$I$10:$J$13,2,FALSE),0),"")))</f>
        <v>C3RT</v>
      </c>
      <c r="N1024" s="449" t="s">
        <v>134</v>
      </c>
      <c r="O1024" s="449"/>
      <c r="P1024" s="449"/>
      <c r="Q1024" s="4"/>
      <c r="R1024" s="6"/>
      <c r="S1024" s="6"/>
      <c r="T1024" s="4">
        <v>20</v>
      </c>
      <c r="U1024" s="4"/>
      <c r="V1024" s="4"/>
      <c r="W1024" s="9">
        <v>1.4</v>
      </c>
      <c r="X1024" s="9"/>
      <c r="Y1024" s="9"/>
      <c r="Z1024" s="9"/>
      <c r="AA1024" s="9"/>
      <c r="AB1024" s="9"/>
      <c r="AC1024" s="449" t="str">
        <f t="shared" si="118"/>
        <v>PH</v>
      </c>
      <c r="AD1024" s="449"/>
      <c r="AE1024" s="449"/>
      <c r="AF1024" s="4"/>
      <c r="AG1024" s="83"/>
      <c r="AH1024" s="4"/>
      <c r="AI1024" s="4"/>
      <c r="AJ1024" s="449"/>
      <c r="AK1024" s="449"/>
      <c r="AL1024" s="449"/>
      <c r="AM1024" s="449" t="s">
        <v>552</v>
      </c>
      <c r="AN1024" s="10">
        <v>5.5</v>
      </c>
      <c r="AO1024" s="9"/>
      <c r="AP1024" s="9"/>
      <c r="AQ1024" s="9"/>
      <c r="AR1024" s="9"/>
      <c r="AS1024" s="9"/>
      <c r="AT1024" s="9">
        <f>+ab($T$1024,$T$1022,$T$1026,$G$1023,$G$1025,-1*$F$1024,1200)</f>
        <v>9.4893725292783735</v>
      </c>
      <c r="AU1024" s="428"/>
      <c r="AV1024" s="428"/>
      <c r="AW1024" s="449" t="str">
        <f>IF(C1024&gt;0,VLOOKUP(C1024,Foundation_Calc!$A$2:$C$13,3,1),
IF(J1024&gt;0,VLOOKUP(J1024,Foundation_Calc!$A$2:$C$13,3,1),""))</f>
        <v>Multi Soil</v>
      </c>
      <c r="AX1024" s="449" t="str">
        <f>IF(C1024&gt;0,VLOOKUP(C1024,Foundation_Calc!$E$2:$G$33,3,1),
IF(J1024&gt;0,VLOOKUP(J1024,Foundation_Calc!$E$2:$G$33,3,1),""))</f>
        <v>K</v>
      </c>
      <c r="AY1024" s="10">
        <f>IF(L1024="","",
IF(AX1024="PT",VLOOKUP(L1024,Foundation_Calc!$K$79:$R$113,VLOOKUP(AW1024,Foundation_Calc!$I$2:$J$8,2,FALSE),0),
IF(AX1024="K",VLOOKUP(L1024,Foundation_Calc!$K$117:$R$151,VLOOKUP(AW1024,Foundation_Calc!$I$2:$J$8,2,FALSE),0),"")))</f>
        <v>4</v>
      </c>
      <c r="AZ1024" s="10" t="str">
        <f>IF(K1024="","",
IF(AX1024="PT",VLOOKUP(K1024,Foundation_Calc!$K$79:$R$113,VLOOKUP(AW1024,Foundation_Calc!$I$2:$J$8,2,FALSE),0),
IF(AX1024="K",VLOOKUP(K1024,Foundation_Calc!$K$117:$R$151,VLOOKUP(AW1024,Foundation_Calc!$I$2:$J$8,2,FALSE),0),"")))</f>
        <v/>
      </c>
      <c r="BA1024" s="495" t="str">
        <f t="shared" si="119"/>
        <v>ü</v>
      </c>
      <c r="BB1024" s="495" t="str">
        <f t="shared" si="120"/>
        <v/>
      </c>
      <c r="BC1024" s="495" t="str">
        <f t="shared" si="121"/>
        <v/>
      </c>
      <c r="BD1024" s="513" t="str">
        <f>IF(AND(L1024="",H1024=""),"",
IF(H1024="",Pole_Calc!A$9,
IF(H1024="MP",Pole_Calc!A$10,
IF(H1024="AnMP",Pole_Calc!A$11,
IF(H1024="A",Pole_Calc!A$12,
IF(H1024="S/A",Pole_Calc!A$13,
IF(H1024="A/S",Pole_Calc!A$14,"Poner a mano")))))))</f>
        <v>App.7-V11I-P9.5.1.1</v>
      </c>
      <c r="BE1024" s="429" t="s">
        <v>118</v>
      </c>
      <c r="BF1024" s="289"/>
      <c r="BG1024" s="289"/>
      <c r="BH1024" s="290"/>
      <c r="BI1024" s="289"/>
    </row>
    <row r="1025" spans="1:61" ht="15.75" customHeight="1">
      <c r="A1025" s="514"/>
      <c r="B1025" s="450"/>
      <c r="C1025" s="3"/>
      <c r="D1025" s="83"/>
      <c r="E1025" s="4"/>
      <c r="F1025" s="4"/>
      <c r="G1025" s="6">
        <v>55</v>
      </c>
      <c r="H1025" s="449"/>
      <c r="I1025" s="4"/>
      <c r="J1025" s="3"/>
      <c r="K1025" s="449"/>
      <c r="L1025" s="449"/>
      <c r="M1025" s="449" t="str">
        <f>IF(L1025="","",
IF(AX1025="PT",VLOOKUP(L1025,Foundation_Calc!$V$79:$X$113,VLOOKUP(AX1025,Foundation_Calc!$I$10:$J$13,2,FALSE),0),
IF(AX1025="K",VLOOKUP(L1025,Foundation_Calc!$V$117:$X$151,VLOOKUP(AX1025,Foundation_Calc!$I$10:$J$13,2,FALSE),0),"")))</f>
        <v/>
      </c>
      <c r="N1025" s="449"/>
      <c r="O1025" s="449"/>
      <c r="P1025" s="449"/>
      <c r="Q1025" s="4"/>
      <c r="R1025" s="6"/>
      <c r="S1025" s="6"/>
      <c r="T1025" s="4"/>
      <c r="U1025" s="4"/>
      <c r="V1025" s="4"/>
      <c r="W1025" s="9"/>
      <c r="X1025" s="9"/>
      <c r="Y1025" s="9"/>
      <c r="Z1025" s="9"/>
      <c r="AA1025" s="9"/>
      <c r="AB1025" s="9"/>
      <c r="AC1025" s="449" t="str">
        <f t="shared" si="118"/>
        <v/>
      </c>
      <c r="AD1025" s="449"/>
      <c r="AE1025" s="449"/>
      <c r="AF1025" s="4"/>
      <c r="AG1025" s="83"/>
      <c r="AH1025" s="4"/>
      <c r="AI1025" s="4"/>
      <c r="AJ1025" s="449"/>
      <c r="AK1025" s="449"/>
      <c r="AL1025" s="449"/>
      <c r="AM1025" s="449"/>
      <c r="AN1025" s="10"/>
      <c r="AO1025" s="9"/>
      <c r="AP1025" s="9"/>
      <c r="AQ1025" s="9">
        <f>+FL_2($T$1026,$T$1024,$G$1025,1200,9.28,-1*$F$1026)</f>
        <v>-0.41754775472106692</v>
      </c>
      <c r="AR1025" s="9"/>
      <c r="AS1025" s="9"/>
      <c r="AT1025" s="9"/>
      <c r="AU1025" s="428"/>
      <c r="AV1025" s="428"/>
      <c r="AW1025" s="449" t="str">
        <f>IF(C1025&gt;0,VLOOKUP(C1025,Foundation_Calc!$A$2:$C$13,3,1),
IF(J1025&gt;0,VLOOKUP(J1025,Foundation_Calc!$A$2:$C$13,3,1),""))</f>
        <v/>
      </c>
      <c r="AX1025" s="449" t="str">
        <f>IF(C1025&gt;0,VLOOKUP(C1025,Foundation_Calc!$E$2:$G$33,3,1),
IF(J1025&gt;0,VLOOKUP(J1025,Foundation_Calc!$E$2:$G$33,3,1),""))</f>
        <v/>
      </c>
      <c r="AY1025" s="10" t="str">
        <f>IF(L1025="","",
IF(AX1025="PT",VLOOKUP(L1025,Foundation_Calc!$K$79:$R$113,VLOOKUP(AW1025,Foundation_Calc!$I$2:$J$8,2,FALSE),0),
IF(AX1025="K",VLOOKUP(L1025,Foundation_Calc!$K$117:$R$151,VLOOKUP(AW1025,Foundation_Calc!$I$2:$J$8,2,FALSE),0),"")))</f>
        <v/>
      </c>
      <c r="AZ1025" s="10" t="str">
        <f>IF(K1025="","",
IF(AX1025="PT",VLOOKUP(K1025,Foundation_Calc!$K$79:$R$113,VLOOKUP(AW1025,Foundation_Calc!$I$2:$J$8,2,FALSE),0),
IF(AX1025="K",VLOOKUP(K1025,Foundation_Calc!$K$117:$R$151,VLOOKUP(AW1025,Foundation_Calc!$I$2:$J$8,2,FALSE),0),"")))</f>
        <v/>
      </c>
      <c r="BA1025" s="495" t="str">
        <f t="shared" si="119"/>
        <v/>
      </c>
      <c r="BB1025" s="495" t="str">
        <f t="shared" si="120"/>
        <v/>
      </c>
      <c r="BC1025" s="495" t="str">
        <f t="shared" si="121"/>
        <v/>
      </c>
      <c r="BD1025" s="513" t="str">
        <f>IF(AND(L1025="",H1025=""),"",
IF(H1025="",Pole_Calc!A$9,
IF(H1025="MP",Pole_Calc!A$10,
IF(H1025="AnMP",Pole_Calc!A$11,
IF(H1025="A",Pole_Calc!A$12,
IF(H1025="S/A",Pole_Calc!A$13,
IF(H1025="A/S",Pole_Calc!A$14,"Poner a mano")))))))</f>
        <v/>
      </c>
      <c r="BE1025" s="429" t="s">
        <v>118</v>
      </c>
      <c r="BF1025" s="290"/>
      <c r="BG1025" s="290"/>
      <c r="BH1025" s="290"/>
      <c r="BI1025" s="290"/>
    </row>
    <row r="1026" spans="1:61" ht="15.75" customHeight="1">
      <c r="A1026" s="518"/>
      <c r="B1026" s="450" t="s">
        <v>782</v>
      </c>
      <c r="C1026" s="3">
        <f>+$C$1024+$G$1025</f>
        <v>54690.63</v>
      </c>
      <c r="D1026" s="83"/>
      <c r="E1026" s="4"/>
      <c r="F1026" s="4">
        <f>(571^2)/(C1026-54713.11)</f>
        <v>-14503.60320284491</v>
      </c>
      <c r="G1026" s="6"/>
      <c r="H1026" s="449"/>
      <c r="I1026" s="4"/>
      <c r="J1026" s="3"/>
      <c r="K1026" s="449"/>
      <c r="L1026" s="449" t="s">
        <v>153</v>
      </c>
      <c r="M1026" s="449" t="str">
        <f>IF(L1026="","",
IF(AX1026="PT",VLOOKUP(L1026,Foundation_Calc!$V$79:$X$113,VLOOKUP(AX1026,Foundation_Calc!$I$10:$J$13,2,FALSE),0),
IF(AX1026="K",VLOOKUP(L1026,Foundation_Calc!$V$117:$X$151,VLOOKUP(AX1026,Foundation_Calc!$I$10:$J$13,2,FALSE),0),"")))</f>
        <v>C3RT</v>
      </c>
      <c r="N1026" s="449" t="s">
        <v>124</v>
      </c>
      <c r="O1026" s="449"/>
      <c r="P1026" s="449"/>
      <c r="Q1026" s="4"/>
      <c r="R1026" s="6"/>
      <c r="S1026" s="6"/>
      <c r="T1026" s="4">
        <v>-30</v>
      </c>
      <c r="U1026" s="4"/>
      <c r="V1026" s="4"/>
      <c r="W1026" s="9">
        <v>1.4</v>
      </c>
      <c r="X1026" s="9"/>
      <c r="Y1026" s="9"/>
      <c r="Z1026" s="9"/>
      <c r="AA1026" s="9"/>
      <c r="AB1026" s="9"/>
      <c r="AC1026" s="449" t="str">
        <f t="shared" si="118"/>
        <v>PH</v>
      </c>
      <c r="AD1026" s="449"/>
      <c r="AE1026" s="449"/>
      <c r="AF1026" s="4"/>
      <c r="AG1026" s="83"/>
      <c r="AH1026" s="4"/>
      <c r="AI1026" s="4"/>
      <c r="AJ1026" s="449"/>
      <c r="AK1026" s="449"/>
      <c r="AL1026" s="449"/>
      <c r="AM1026" s="449" t="s">
        <v>552</v>
      </c>
      <c r="AN1026" s="10">
        <v>5.5</v>
      </c>
      <c r="AO1026" s="9"/>
      <c r="AP1026" s="9"/>
      <c r="AQ1026" s="9"/>
      <c r="AR1026" s="9"/>
      <c r="AS1026" s="9"/>
      <c r="AT1026" s="9">
        <f>+ab($T$1026,$T$1024,$T$1028,$G$1025,$G$1027,-1*$F$1026,1200)</f>
        <v>-11.851593547225709</v>
      </c>
      <c r="AU1026" s="428"/>
      <c r="AV1026" s="428"/>
      <c r="AW1026" s="449" t="str">
        <f>IF(C1026&gt;0,VLOOKUP(C1026,Foundation_Calc!$A$2:$C$13,3,1),
IF(J1026&gt;0,VLOOKUP(J1026,Foundation_Calc!$A$2:$C$13,3,1),""))</f>
        <v>Multi Soil</v>
      </c>
      <c r="AX1026" s="449" t="str">
        <f>IF(C1026&gt;0,VLOOKUP(C1026,Foundation_Calc!$E$2:$G$33,3,1),
IF(J1026&gt;0,VLOOKUP(J1026,Foundation_Calc!$E$2:$G$33,3,1),""))</f>
        <v>K</v>
      </c>
      <c r="AY1026" s="10">
        <f>IF(L1026="","",
IF(AX1026="PT",VLOOKUP(L1026,Foundation_Calc!$K$79:$R$113,VLOOKUP(AW1026,Foundation_Calc!$I$2:$J$8,2,FALSE),0),
IF(AX1026="K",VLOOKUP(L1026,Foundation_Calc!$K$117:$R$151,VLOOKUP(AW1026,Foundation_Calc!$I$2:$J$8,2,FALSE),0),"")))</f>
        <v>4</v>
      </c>
      <c r="AZ1026" s="10" t="str">
        <f>IF(K1026="","",
IF(AX1026="PT",VLOOKUP(K1026,Foundation_Calc!$K$79:$R$113,VLOOKUP(AW1026,Foundation_Calc!$I$2:$J$8,2,FALSE),0),
IF(AX1026="K",VLOOKUP(K1026,Foundation_Calc!$K$117:$R$151,VLOOKUP(AW1026,Foundation_Calc!$I$2:$J$8,2,FALSE),0),"")))</f>
        <v/>
      </c>
      <c r="BA1026" s="495" t="str">
        <f t="shared" si="119"/>
        <v>ü</v>
      </c>
      <c r="BB1026" s="495" t="str">
        <f t="shared" si="120"/>
        <v/>
      </c>
      <c r="BC1026" s="495" t="str">
        <f t="shared" si="121"/>
        <v/>
      </c>
      <c r="BD1026" s="513" t="str">
        <f>IF(AND(L1026="",H1026=""),"",
IF(H1026="",Pole_Calc!A$9,
IF(H1026="MP",Pole_Calc!A$10,
IF(H1026="AnMP",Pole_Calc!A$11,
IF(H1026="A",Pole_Calc!A$12,
IF(H1026="S/A",Pole_Calc!A$13,
IF(H1026="A/S",Pole_Calc!A$14,"Poner a mano")))))))</f>
        <v>App.7-V11I-P9.5.1.1</v>
      </c>
      <c r="BE1026" s="429" t="s">
        <v>118</v>
      </c>
      <c r="BF1026" s="289"/>
      <c r="BG1026" s="289"/>
      <c r="BH1026" s="290"/>
      <c r="BI1026" s="289"/>
    </row>
    <row r="1027" spans="1:61" ht="15.75" customHeight="1">
      <c r="A1027" s="518"/>
      <c r="B1027" s="450"/>
      <c r="C1027" s="3"/>
      <c r="D1027" s="83"/>
      <c r="E1027" s="4"/>
      <c r="F1027" s="4"/>
      <c r="G1027" s="6">
        <v>60</v>
      </c>
      <c r="H1027" s="449"/>
      <c r="I1027" s="4"/>
      <c r="J1027" s="3"/>
      <c r="K1027" s="449"/>
      <c r="L1027" s="449"/>
      <c r="M1027" s="449" t="str">
        <f>IF(L1027="","",
IF(AX1027="PT",VLOOKUP(L1027,Foundation_Calc!$V$79:$X$113,VLOOKUP(AX1027,Foundation_Calc!$I$10:$J$13,2,FALSE),0),
IF(AX1027="K",VLOOKUP(L1027,Foundation_Calc!$V$117:$X$151,VLOOKUP(AX1027,Foundation_Calc!$I$10:$J$13,2,FALSE),0),"")))</f>
        <v/>
      </c>
      <c r="N1027" s="561"/>
      <c r="O1027" s="449"/>
      <c r="P1027" s="449"/>
      <c r="Q1027" s="4"/>
      <c r="R1027" s="6"/>
      <c r="S1027" s="6"/>
      <c r="T1027" s="4"/>
      <c r="U1027" s="4"/>
      <c r="V1027" s="4"/>
      <c r="W1027" s="9"/>
      <c r="X1027" s="9"/>
      <c r="Y1027" s="9"/>
      <c r="Z1027" s="9"/>
      <c r="AA1027" s="9"/>
      <c r="AB1027" s="9"/>
      <c r="AC1027" s="449" t="str">
        <f t="shared" si="118"/>
        <v/>
      </c>
      <c r="AD1027" s="449"/>
      <c r="AE1027" s="449"/>
      <c r="AF1027" s="4"/>
      <c r="AG1027" s="83"/>
      <c r="AH1027" s="4"/>
      <c r="AI1027" s="4"/>
      <c r="AJ1027" s="449"/>
      <c r="AK1027" s="449"/>
      <c r="AL1027" s="449"/>
      <c r="AM1027" s="449"/>
      <c r="AN1027" s="10"/>
      <c r="AO1027" s="9"/>
      <c r="AP1027" s="9"/>
      <c r="AQ1027" s="9">
        <f>+FL_1($T$1028,$T$1026,$G$1027,1200,9.28,-1*$F$1028)</f>
        <v>0.44888002799999999</v>
      </c>
      <c r="AR1027" s="9"/>
      <c r="AS1027" s="9"/>
      <c r="AT1027" s="9"/>
      <c r="AU1027" s="428"/>
      <c r="AV1027" s="428"/>
      <c r="AW1027" s="449" t="str">
        <f>IF(C1027&gt;0,VLOOKUP(C1027,Foundation_Calc!$A$2:$C$13,3,1),
IF(J1027&gt;0,VLOOKUP(J1027,Foundation_Calc!$A$2:$C$13,3,1),""))</f>
        <v/>
      </c>
      <c r="AX1027" s="449" t="str">
        <f>IF(C1027&gt;0,VLOOKUP(C1027,Foundation_Calc!$E$2:$G$33,3,1),
IF(J1027&gt;0,VLOOKUP(J1027,Foundation_Calc!$E$2:$G$33,3,1),""))</f>
        <v/>
      </c>
      <c r="AY1027" s="10" t="str">
        <f>IF(L1027="","",
IF(AX1027="PT",VLOOKUP(L1027,Foundation_Calc!$K$79:$R$113,VLOOKUP(AW1027,Foundation_Calc!$I$2:$J$8,2,FALSE),0),
IF(AX1027="K",VLOOKUP(L1027,Foundation_Calc!$K$117:$R$151,VLOOKUP(AW1027,Foundation_Calc!$I$2:$J$8,2,FALSE),0),"")))</f>
        <v/>
      </c>
      <c r="AZ1027" s="10" t="str">
        <f>IF(K1027="","",
IF(AX1027="PT",VLOOKUP(K1027,Foundation_Calc!$K$79:$R$113,VLOOKUP(AW1027,Foundation_Calc!$I$2:$J$8,2,FALSE),0),
IF(AX1027="K",VLOOKUP(K1027,Foundation_Calc!$K$117:$R$151,VLOOKUP(AW1027,Foundation_Calc!$I$2:$J$8,2,FALSE),0),"")))</f>
        <v/>
      </c>
      <c r="BA1027" s="495" t="str">
        <f t="shared" si="119"/>
        <v/>
      </c>
      <c r="BB1027" s="495" t="str">
        <f t="shared" si="120"/>
        <v/>
      </c>
      <c r="BC1027" s="495" t="str">
        <f t="shared" si="121"/>
        <v/>
      </c>
      <c r="BD1027" s="513" t="str">
        <f>IF(AND(L1027="",H1027=""),"",
IF(H1027="",Pole_Calc!A$9,
IF(H1027="MP",Pole_Calc!A$10,
IF(H1027="AnMP",Pole_Calc!A$11,
IF(H1027="A",Pole_Calc!A$12,
IF(H1027="S/A",Pole_Calc!A$13,
IF(H1027="A/S",Pole_Calc!A$14,"Poner a mano")))))))</f>
        <v/>
      </c>
      <c r="BE1027" s="429" t="s">
        <v>118</v>
      </c>
      <c r="BF1027" s="290"/>
      <c r="BG1027" s="290"/>
      <c r="BH1027" s="290"/>
      <c r="BI1027" s="290"/>
    </row>
    <row r="1028" spans="1:61" ht="15.75" customHeight="1">
      <c r="A1028" s="514"/>
      <c r="B1028" s="450" t="s">
        <v>783</v>
      </c>
      <c r="C1028" s="3">
        <f>+$C$1026+$G$1027</f>
        <v>54750.63</v>
      </c>
      <c r="D1028" s="83"/>
      <c r="E1028" s="4"/>
      <c r="F1028" s="4">
        <f>IF(C1028&gt;0,VLOOKUP(C1028,'ALIGNMENT TRACK'!$A$1:$K$81,9,1))</f>
        <v>0</v>
      </c>
      <c r="G1028" s="6"/>
      <c r="H1028" s="449"/>
      <c r="I1028" s="4"/>
      <c r="J1028" s="3"/>
      <c r="K1028" s="449"/>
      <c r="L1028" s="449" t="s">
        <v>153</v>
      </c>
      <c r="M1028" s="449" t="str">
        <f>IF(L1028="","",
IF(AX1028="PT",VLOOKUP(L1028,Foundation_Calc!$V$79:$X$113,VLOOKUP(AX1028,Foundation_Calc!$I$10:$J$13,2,FALSE),0),
IF(AX1028="K",VLOOKUP(L1028,Foundation_Calc!$V$117:$X$151,VLOOKUP(AX1028,Foundation_Calc!$I$10:$J$13,2,FALSE),0),"")))</f>
        <v>C3R</v>
      </c>
      <c r="N1028" s="449" t="s">
        <v>134</v>
      </c>
      <c r="O1028" s="449"/>
      <c r="P1028" s="449"/>
      <c r="Q1028" s="4"/>
      <c r="R1028" s="6"/>
      <c r="S1028" s="6"/>
      <c r="T1028" s="4">
        <v>35</v>
      </c>
      <c r="U1028" s="4"/>
      <c r="V1028" s="4"/>
      <c r="W1028" s="9">
        <v>1.4</v>
      </c>
      <c r="X1028" s="9"/>
      <c r="Y1028" s="9"/>
      <c r="Z1028" s="9"/>
      <c r="AA1028" s="9"/>
      <c r="AB1028" s="9"/>
      <c r="AC1028" s="449" t="str">
        <f t="shared" si="118"/>
        <v>PH</v>
      </c>
      <c r="AD1028" s="449"/>
      <c r="AE1028" s="449"/>
      <c r="AF1028" s="4"/>
      <c r="AG1028" s="83"/>
      <c r="AH1028" s="4"/>
      <c r="AI1028" s="4"/>
      <c r="AJ1028" s="449"/>
      <c r="AK1028" s="449"/>
      <c r="AL1028" s="449"/>
      <c r="AM1028" s="449" t="s">
        <v>552</v>
      </c>
      <c r="AN1028" s="10">
        <v>5.5</v>
      </c>
      <c r="AO1028" s="9"/>
      <c r="AP1028" s="9"/>
      <c r="AQ1028" s="9"/>
      <c r="AR1028" s="9"/>
      <c r="AS1028" s="9"/>
      <c r="AT1028" s="9">
        <f>+ab($T$1028,$T$1026,$T$1030,$G$1027,$G$1029,-1*$F$1028,1200)</f>
        <v>8.6082565622482612</v>
      </c>
      <c r="AU1028" s="428"/>
      <c r="AV1028" s="428"/>
      <c r="AW1028" s="449" t="str">
        <f>IF(C1028&gt;0,VLOOKUP(C1028,Foundation_Calc!$A$2:$C$13,3,1),
IF(J1028&gt;0,VLOOKUP(J1028,Foundation_Calc!$A$2:$C$13,3,1),""))</f>
        <v>Multi Soil</v>
      </c>
      <c r="AX1028" s="449" t="str">
        <f>IF(C1028&gt;0,VLOOKUP(C1028,Foundation_Calc!$E$2:$G$33,3,1),
IF(J1028&gt;0,VLOOKUP(J1028,Foundation_Calc!$E$2:$G$33,3,1),""))</f>
        <v>PT</v>
      </c>
      <c r="AY1028" s="10">
        <f>IF(L1028="","",
IF(AX1028="PT",VLOOKUP(L1028,Foundation_Calc!$K$79:$R$113,VLOOKUP(AW1028,Foundation_Calc!$I$2:$J$8,2,FALSE),0),
IF(AX1028="K",VLOOKUP(L1028,Foundation_Calc!$K$117:$R$151,VLOOKUP(AW1028,Foundation_Calc!$I$2:$J$8,2,FALSE),0),"")))</f>
        <v>3.5</v>
      </c>
      <c r="AZ1028" s="10" t="str">
        <f>IF(K1028="","",
IF(AX1028="PT",VLOOKUP(K1028,Foundation_Calc!$K$79:$R$113,VLOOKUP(AW1028,Foundation_Calc!$I$2:$J$8,2,FALSE),0),
IF(AX1028="K",VLOOKUP(K1028,Foundation_Calc!$K$117:$R$151,VLOOKUP(AW1028,Foundation_Calc!$I$2:$J$8,2,FALSE),0),"")))</f>
        <v/>
      </c>
      <c r="BA1028" s="495" t="str">
        <f t="shared" si="119"/>
        <v>ü</v>
      </c>
      <c r="BB1028" s="495" t="str">
        <f t="shared" si="120"/>
        <v/>
      </c>
      <c r="BC1028" s="495" t="str">
        <f t="shared" si="121"/>
        <v/>
      </c>
      <c r="BD1028" s="513" t="str">
        <f>IF(AND(L1028="",H1028=""),"",
IF(H1028="",Pole_Calc!A$9,
IF(H1028="MP",Pole_Calc!A$10,
IF(H1028="AnMP",Pole_Calc!A$11,
IF(H1028="A",Pole_Calc!A$12,
IF(H1028="S/A",Pole_Calc!A$13,
IF(H1028="A/S",Pole_Calc!A$14,"Poner a mano")))))))</f>
        <v>App.7-V11I-P9.5.1.1</v>
      </c>
      <c r="BE1028" s="429" t="s">
        <v>118</v>
      </c>
      <c r="BF1028" s="289"/>
      <c r="BG1028" s="289"/>
      <c r="BH1028" s="290"/>
      <c r="BI1028" s="289"/>
    </row>
    <row r="1029" spans="1:61" ht="15.75" customHeight="1">
      <c r="A1029" s="685" t="s">
        <v>305</v>
      </c>
      <c r="B1029" s="686"/>
      <c r="C1029" s="687"/>
      <c r="D1029" s="688"/>
      <c r="E1029" s="689"/>
      <c r="F1029" s="689"/>
      <c r="G1029" s="690">
        <v>62</v>
      </c>
      <c r="H1029" s="691"/>
      <c r="I1029" s="689"/>
      <c r="J1029" s="687">
        <f>C1030-7.5</f>
        <v>54805.13</v>
      </c>
      <c r="K1029" s="691" t="s">
        <v>166</v>
      </c>
      <c r="L1029" s="691"/>
      <c r="M1029" s="691" t="str">
        <f>IF(L1029="","",
IF(AX1029="PT",VLOOKUP(L1029,Foundation_Calc!$V$79:$X$113,VLOOKUP(AX1029,Foundation_Calc!$I$10:$J$13,2,FALSE),0),
IF(AX1029="K",VLOOKUP(L1029,Foundation_Calc!$V$117:$X$151,VLOOKUP(AX1029,Foundation_Calc!$I$10:$J$13,2,FALSE),0),"")))</f>
        <v/>
      </c>
      <c r="N1029" s="691"/>
      <c r="O1029" s="691"/>
      <c r="P1029" s="691"/>
      <c r="Q1029" s="689"/>
      <c r="R1029" s="690"/>
      <c r="S1029" s="690"/>
      <c r="T1029" s="689"/>
      <c r="U1029" s="689"/>
      <c r="V1029" s="689"/>
      <c r="W1029" s="692"/>
      <c r="X1029" s="692"/>
      <c r="Y1029" s="692"/>
      <c r="Z1029" s="692"/>
      <c r="AA1029" s="692"/>
      <c r="AB1029" s="692"/>
      <c r="AC1029" s="691" t="str">
        <f t="shared" si="118"/>
        <v/>
      </c>
      <c r="AD1029" s="691"/>
      <c r="AE1029" s="691"/>
      <c r="AF1029" s="689"/>
      <c r="AG1029" s="688"/>
      <c r="AH1029" s="689"/>
      <c r="AI1029" s="689"/>
      <c r="AJ1029" s="691"/>
      <c r="AK1029" s="691"/>
      <c r="AL1029" s="691"/>
      <c r="AM1029" s="691"/>
      <c r="AN1029" s="693"/>
      <c r="AO1029" s="692"/>
      <c r="AP1029" s="692"/>
      <c r="AQ1029" s="692">
        <f>+FL_2($T$1030,$T$1028,$G$1029,1200,9.28,-1*$F$1030)</f>
        <v>-0.45400350967741931</v>
      </c>
      <c r="AR1029" s="692"/>
      <c r="AS1029" s="692"/>
      <c r="AT1029" s="692"/>
      <c r="AU1029" s="694"/>
      <c r="AV1029" s="694"/>
      <c r="AW1029" s="691" t="str">
        <f>IF(C1029&gt;0,VLOOKUP(C1029,Foundation_Calc!$A$2:$C$13,3,1),
IF(J1029&gt;0,VLOOKUP(J1029,Foundation_Calc!$A$2:$C$13,3,1),""))</f>
        <v>Multi Soil</v>
      </c>
      <c r="AX1029" s="691" t="str">
        <f>IF(C1029&gt;0,VLOOKUP(C1029,Foundation_Calc!$E$2:$G$33,3,1),
IF(J1029&gt;0,VLOOKUP(J1029,Foundation_Calc!$E$2:$G$33,3,1),""))</f>
        <v>PT</v>
      </c>
      <c r="AY1029" s="693" t="str">
        <f>IF(L1029="","",
IF(AX1029="PT",VLOOKUP(L1029,Foundation_Calc!$K$79:$R$113,VLOOKUP(AW1029,Foundation_Calc!$I$2:$J$8,2,FALSE),0),
IF(AX1029="K",VLOOKUP(L1029,Foundation_Calc!$K$117:$R$151,VLOOKUP(AW1029,Foundation_Calc!$I$2:$J$8,2,FALSE),0),"")))</f>
        <v/>
      </c>
      <c r="AZ1029" s="693">
        <f>IF(K1029="","",
IF(AX1029="PT",VLOOKUP(K1029,Foundation_Calc!$K$79:$R$113,VLOOKUP(AW1029,Foundation_Calc!$I$2:$J$8,2,FALSE),0),
IF(AX1029="K",VLOOKUP(K1029,Foundation_Calc!$K$117:$R$151,VLOOKUP(AW1029,Foundation_Calc!$I$2:$J$8,2,FALSE),0),"")))</f>
        <v>2.8</v>
      </c>
      <c r="BA1029" s="495" t="str">
        <f t="shared" si="119"/>
        <v/>
      </c>
      <c r="BB1029" s="495" t="str">
        <f t="shared" si="120"/>
        <v>ü</v>
      </c>
      <c r="BC1029" s="495" t="str">
        <f t="shared" si="121"/>
        <v/>
      </c>
      <c r="BD1029" s="513" t="str">
        <f>IF(AND(L1029="",H1029=""),"",
IF(H1029="",Pole_Calc!A$9,
IF(H1029="MP",Pole_Calc!A$10,
IF(H1029="AnMP",Pole_Calc!A$11,
IF(H1029="A",Pole_Calc!A$12,
IF(H1029="S/A",Pole_Calc!A$13,
IF(H1029="A/S",Pole_Calc!A$14,"Poner a mano")))))))</f>
        <v/>
      </c>
      <c r="BE1029" s="429" t="s">
        <v>118</v>
      </c>
      <c r="BF1029" s="290"/>
      <c r="BG1029" s="290"/>
      <c r="BH1029" s="290"/>
      <c r="BI1029" s="290"/>
    </row>
    <row r="1030" spans="1:61" ht="15.75" customHeight="1">
      <c r="A1030" s="514"/>
      <c r="B1030" s="450" t="s">
        <v>784</v>
      </c>
      <c r="C1030" s="3">
        <f>+$C$1028+$G$1029</f>
        <v>54812.63</v>
      </c>
      <c r="D1030" s="83"/>
      <c r="E1030" s="4"/>
      <c r="F1030" s="4">
        <f>IF(C1030&gt;0,VLOOKUP(C1030,'ALIGNMENT TRACK'!$A$1:$K$81,9,1))</f>
        <v>0</v>
      </c>
      <c r="G1030" s="6"/>
      <c r="H1030" s="449" t="s">
        <v>168</v>
      </c>
      <c r="I1030" s="4"/>
      <c r="J1030" s="3"/>
      <c r="K1030" s="449"/>
      <c r="L1030" s="449" t="s">
        <v>158</v>
      </c>
      <c r="M1030" s="449" t="str">
        <f>IF(L1030="","",
IF(AX1030="PT",VLOOKUP(L1030,Foundation_Calc!$V$79:$X$113,VLOOKUP(AX1030,Foundation_Calc!$I$10:$J$13,2,FALSE),0),
IF(AX1030="K",VLOOKUP(L1030,Foundation_Calc!$V$117:$X$151,VLOOKUP(AX1030,Foundation_Calc!$I$10:$J$13,2,FALSE),0),"")))</f>
        <v>C4R</v>
      </c>
      <c r="N1030" s="449" t="s">
        <v>124</v>
      </c>
      <c r="O1030" s="449"/>
      <c r="P1030" s="449"/>
      <c r="Q1030" s="4"/>
      <c r="R1030" s="6"/>
      <c r="S1030" s="6"/>
      <c r="T1030" s="4">
        <v>-35</v>
      </c>
      <c r="U1030" s="4"/>
      <c r="V1030" s="4"/>
      <c r="W1030" s="9">
        <v>1.4</v>
      </c>
      <c r="X1030" s="9"/>
      <c r="Y1030" s="9"/>
      <c r="Z1030" s="9"/>
      <c r="AA1030" s="9"/>
      <c r="AB1030" s="9"/>
      <c r="AC1030" s="449" t="str">
        <f t="shared" si="118"/>
        <v>PH</v>
      </c>
      <c r="AD1030" s="449"/>
      <c r="AE1030" s="449"/>
      <c r="AF1030" s="4"/>
      <c r="AG1030" s="83"/>
      <c r="AH1030" s="4"/>
      <c r="AI1030" s="4"/>
      <c r="AJ1030" s="449"/>
      <c r="AK1030" s="449"/>
      <c r="AL1030" s="449"/>
      <c r="AM1030" s="449" t="s">
        <v>552</v>
      </c>
      <c r="AN1030" s="10">
        <v>5.5</v>
      </c>
      <c r="AO1030" s="9"/>
      <c r="AP1030" s="9"/>
      <c r="AQ1030" s="9"/>
      <c r="AR1030" s="9"/>
      <c r="AS1030" s="9"/>
      <c r="AT1030" s="9">
        <f>+ab($T$1030,$T$1028,$T$1032,$G$1029,$G$1031,-1*$F$1030,1200)</f>
        <v>-8.4366201521118445</v>
      </c>
      <c r="AU1030" s="428"/>
      <c r="AV1030" s="428"/>
      <c r="AW1030" s="449" t="str">
        <f>IF(C1030&gt;0,VLOOKUP(C1030,Foundation_Calc!$A$2:$C$13,3,1),
IF(J1030&gt;0,VLOOKUP(J1030,Foundation_Calc!$A$2:$C$13,3,1),""))</f>
        <v>Multi Soil</v>
      </c>
      <c r="AX1030" s="449" t="str">
        <f>IF(C1030&gt;0,VLOOKUP(C1030,Foundation_Calc!$E$2:$G$33,3,1),
IF(J1030&gt;0,VLOOKUP(J1030,Foundation_Calc!$E$2:$G$33,3,1),""))</f>
        <v>PT</v>
      </c>
      <c r="AY1030" s="10">
        <f>IF(L1030="","",
IF(AX1030="PT",VLOOKUP(L1030,Foundation_Calc!$K$79:$R$113,VLOOKUP(AW1030,Foundation_Calc!$I$2:$J$8,2,FALSE),0),
IF(AX1030="K",VLOOKUP(L1030,Foundation_Calc!$K$117:$R$151,VLOOKUP(AW1030,Foundation_Calc!$I$2:$J$8,2,FALSE),0),"")))</f>
        <v>3.5</v>
      </c>
      <c r="AZ1030" s="10" t="str">
        <f>IF(K1030="","",
IF(AX1030="PT",VLOOKUP(K1030,Foundation_Calc!$K$79:$R$113,VLOOKUP(AW1030,Foundation_Calc!$I$2:$J$8,2,FALSE),0),
IF(AX1030="K",VLOOKUP(K1030,Foundation_Calc!$K$117:$R$151,VLOOKUP(AW1030,Foundation_Calc!$I$2:$J$8,2,FALSE),0),"")))</f>
        <v/>
      </c>
      <c r="BA1030" s="495" t="str">
        <f t="shared" si="119"/>
        <v>ü</v>
      </c>
      <c r="BB1030" s="495" t="str">
        <f t="shared" si="120"/>
        <v/>
      </c>
      <c r="BC1030" s="495" t="str">
        <f t="shared" si="121"/>
        <v/>
      </c>
      <c r="BD1030" s="513" t="str">
        <f>IF(AND(L1030="",H1030=""),"",
IF(H1030="",Pole_Calc!A$9,
IF(H1030="MP",Pole_Calc!A$10,
IF(H1030="AnMP",Pole_Calc!A$11,
IF(H1030="A",Pole_Calc!A$12,
IF(H1030="S/A",Pole_Calc!A$13,
IF(H1030="A/S",Pole_Calc!A$14,"Poner a mano")))))))</f>
        <v>App.7-V11I-P9.5.1.3</v>
      </c>
      <c r="BE1030" s="429" t="s">
        <v>118</v>
      </c>
      <c r="BF1030" s="289"/>
      <c r="BG1030" s="289"/>
      <c r="BH1030" s="290"/>
      <c r="BI1030" s="289"/>
    </row>
    <row r="1031" spans="1:61" ht="15.75" customHeight="1">
      <c r="A1031" s="514"/>
      <c r="B1031" s="450"/>
      <c r="C1031" s="3"/>
      <c r="D1031" s="83"/>
      <c r="E1031" s="4"/>
      <c r="F1031" s="4"/>
      <c r="G1031" s="6">
        <v>62</v>
      </c>
      <c r="H1031" s="449"/>
      <c r="I1031" s="4">
        <f>SUM(G1009:G1031)</f>
        <v>663</v>
      </c>
      <c r="J1031" s="3"/>
      <c r="K1031" s="449"/>
      <c r="L1031" s="449"/>
      <c r="M1031" s="449" t="str">
        <f>IF(L1031="","",
IF(AX1031="PT",VLOOKUP(L1031,Foundation_Calc!$V$79:$X$113,VLOOKUP(AX1031,Foundation_Calc!$I$10:$J$13,2,FALSE),0),
IF(AX1031="K",VLOOKUP(L1031,Foundation_Calc!$V$117:$X$151,VLOOKUP(AX1031,Foundation_Calc!$I$10:$J$13,2,FALSE),0),"")))</f>
        <v/>
      </c>
      <c r="N1031" s="449"/>
      <c r="O1031" s="449"/>
      <c r="P1031" s="449"/>
      <c r="Q1031" s="4"/>
      <c r="R1031" s="6"/>
      <c r="S1031" s="6"/>
      <c r="T1031" s="4"/>
      <c r="U1031" s="4"/>
      <c r="V1031" s="4"/>
      <c r="W1031" s="9"/>
      <c r="X1031" s="9"/>
      <c r="Y1031" s="9"/>
      <c r="Z1031" s="9"/>
      <c r="AA1031" s="9"/>
      <c r="AB1031" s="9"/>
      <c r="AC1031" s="449" t="str">
        <f t="shared" si="118"/>
        <v/>
      </c>
      <c r="AD1031" s="449"/>
      <c r="AE1031" s="449"/>
      <c r="AF1031" s="4"/>
      <c r="AG1031" s="83"/>
      <c r="AH1031" s="4"/>
      <c r="AI1031" s="4"/>
      <c r="AJ1031" s="449"/>
      <c r="AK1031" s="449"/>
      <c r="AL1031" s="449"/>
      <c r="AM1031" s="449"/>
      <c r="AN1031" s="10"/>
      <c r="AO1031" s="9"/>
      <c r="AP1031" s="9"/>
      <c r="AQ1031" s="9">
        <f>+FL_1($T$1032,$T$1030,$G$1031,1200,9.28,-1*$F$1032)</f>
        <v>0.45400350967741931</v>
      </c>
      <c r="AR1031" s="9"/>
      <c r="AS1031" s="9"/>
      <c r="AT1031" s="9"/>
      <c r="AU1031" s="428"/>
      <c r="AV1031" s="428"/>
      <c r="AW1031" s="449" t="str">
        <f>IF(C1031&gt;0,VLOOKUP(C1031,Foundation_Calc!$A$2:$C$13,3,1),
IF(J1031&gt;0,VLOOKUP(J1031,Foundation_Calc!$A$2:$C$13,3,1),""))</f>
        <v/>
      </c>
      <c r="AX1031" s="449" t="str">
        <f>IF(C1031&gt;0,VLOOKUP(C1031,Foundation_Calc!$E$2:$G$33,3,1),
IF(J1031&gt;0,VLOOKUP(J1031,Foundation_Calc!$E$2:$G$33,3,1),""))</f>
        <v/>
      </c>
      <c r="AY1031" s="10" t="str">
        <f>IF(L1031="","",
IF(AX1031="PT",VLOOKUP(L1031,Foundation_Calc!$K$79:$R$113,VLOOKUP(AW1031,Foundation_Calc!$I$2:$J$8,2,FALSE),0),
IF(AX1031="K",VLOOKUP(L1031,Foundation_Calc!$K$117:$R$151,VLOOKUP(AW1031,Foundation_Calc!$I$2:$J$8,2,FALSE),0),"")))</f>
        <v/>
      </c>
      <c r="AZ1031" s="10" t="str">
        <f>IF(K1031="","",
IF(AX1031="PT",VLOOKUP(K1031,Foundation_Calc!$K$79:$R$113,VLOOKUP(AW1031,Foundation_Calc!$I$2:$J$8,2,FALSE),0),
IF(AX1031="K",VLOOKUP(K1031,Foundation_Calc!$K$117:$R$151,VLOOKUP(AW1031,Foundation_Calc!$I$2:$J$8,2,FALSE),0),"")))</f>
        <v/>
      </c>
      <c r="BA1031" s="495" t="str">
        <f t="shared" si="119"/>
        <v/>
      </c>
      <c r="BB1031" s="495" t="str">
        <f t="shared" si="120"/>
        <v/>
      </c>
      <c r="BC1031" s="495" t="str">
        <f t="shared" si="121"/>
        <v/>
      </c>
      <c r="BD1031" s="513" t="str">
        <f>IF(AND(L1031="",H1031=""),"",
IF(H1031="",Pole_Calc!A$9,
IF(H1031="MP",Pole_Calc!A$10,
IF(H1031="AnMP",Pole_Calc!A$11,
IF(H1031="A",Pole_Calc!A$12,
IF(H1031="S/A",Pole_Calc!A$13,
IF(H1031="A/S",Pole_Calc!A$14,"Poner a mano")))))))</f>
        <v/>
      </c>
      <c r="BE1031" s="429" t="s">
        <v>118</v>
      </c>
      <c r="BF1031" s="290"/>
      <c r="BG1031" s="290"/>
      <c r="BH1031" s="290"/>
      <c r="BI1031" s="290"/>
    </row>
    <row r="1032" spans="1:61" ht="15.75" customHeight="1">
      <c r="A1032" s="518"/>
      <c r="B1032" s="450" t="s">
        <v>785</v>
      </c>
      <c r="C1032" s="3">
        <f>+$C$1030+$G$1031</f>
        <v>54874.63</v>
      </c>
      <c r="D1032" s="83"/>
      <c r="E1032" s="4"/>
      <c r="F1032" s="4">
        <f>IF(C1032&gt;0,VLOOKUP(C1032,'ALIGNMENT TRACK'!$A$1:$K$81,9,1))</f>
        <v>0</v>
      </c>
      <c r="G1032" s="6"/>
      <c r="H1032" s="449" t="s">
        <v>171</v>
      </c>
      <c r="I1032" s="4"/>
      <c r="J1032" s="3"/>
      <c r="K1032" s="449"/>
      <c r="L1032" s="449" t="s">
        <v>153</v>
      </c>
      <c r="M1032" s="449" t="str">
        <f>IF(L1032="","",
IF(AX1032="PT",VLOOKUP(L1032,Foundation_Calc!$V$79:$X$113,VLOOKUP(AX1032,Foundation_Calc!$I$10:$J$13,2,FALSE),0),
IF(AX1032="K",VLOOKUP(L1032,Foundation_Calc!$V$117:$X$151,VLOOKUP(AX1032,Foundation_Calc!$I$10:$J$13,2,FALSE),0),"")))</f>
        <v>C3R</v>
      </c>
      <c r="N1032" s="449" t="s">
        <v>134</v>
      </c>
      <c r="O1032" s="449"/>
      <c r="P1032" s="449"/>
      <c r="Q1032" s="4"/>
      <c r="R1032" s="6"/>
      <c r="S1032" s="6"/>
      <c r="T1032" s="4">
        <v>35</v>
      </c>
      <c r="U1032" s="4"/>
      <c r="V1032" s="4"/>
      <c r="W1032" s="9">
        <v>1.4</v>
      </c>
      <c r="X1032" s="9"/>
      <c r="Y1032" s="9"/>
      <c r="Z1032" s="9"/>
      <c r="AA1032" s="9"/>
      <c r="AB1032" s="9"/>
      <c r="AC1032" s="449" t="str">
        <f t="shared" si="118"/>
        <v>PH</v>
      </c>
      <c r="AD1032" s="449"/>
      <c r="AE1032" s="449"/>
      <c r="AF1032" s="4"/>
      <c r="AG1032" s="83"/>
      <c r="AH1032" s="4"/>
      <c r="AI1032" s="4"/>
      <c r="AJ1032" s="449"/>
      <c r="AK1032" s="449"/>
      <c r="AL1032" s="449"/>
      <c r="AM1032" s="449" t="s">
        <v>552</v>
      </c>
      <c r="AN1032" s="10">
        <v>5.5</v>
      </c>
      <c r="AO1032" s="9"/>
      <c r="AP1032" s="9"/>
      <c r="AQ1032" s="9"/>
      <c r="AR1032" s="9"/>
      <c r="AS1032" s="9"/>
      <c r="AT1032" s="9">
        <f>+ab($T$1032,$T$1030,$T$1034,$G$1031,$G$1033,-1*$F$1032,1200)</f>
        <v>8.4365744899000195</v>
      </c>
      <c r="AU1032" s="428"/>
      <c r="AV1032" s="428"/>
      <c r="AW1032" s="449" t="str">
        <f>IF(C1032&gt;0,VLOOKUP(C1032,Foundation_Calc!$A$2:$C$13,3,1),
IF(J1032&gt;0,VLOOKUP(J1032,Foundation_Calc!$A$2:$C$13,3,1),""))</f>
        <v>Multi Soil</v>
      </c>
      <c r="AX1032" s="449" t="str">
        <f>IF(C1032&gt;0,VLOOKUP(C1032,Foundation_Calc!$E$2:$G$33,3,1),
IF(J1032&gt;0,VLOOKUP(J1032,Foundation_Calc!$E$2:$G$33,3,1),""))</f>
        <v>PT</v>
      </c>
      <c r="AY1032" s="10">
        <f>IF(L1032="","",
IF(AX1032="PT",VLOOKUP(L1032,Foundation_Calc!$K$79:$R$113,VLOOKUP(AW1032,Foundation_Calc!$I$2:$J$8,2,FALSE),0),
IF(AX1032="K",VLOOKUP(L1032,Foundation_Calc!$K$117:$R$151,VLOOKUP(AW1032,Foundation_Calc!$I$2:$J$8,2,FALSE),0),"")))</f>
        <v>3.5</v>
      </c>
      <c r="AZ1032" s="10" t="str">
        <f>IF(K1032="","",
IF(AX1032="PT",VLOOKUP(K1032,Foundation_Calc!$K$79:$R$113,VLOOKUP(AW1032,Foundation_Calc!$I$2:$J$8,2,FALSE),0),
IF(AX1032="K",VLOOKUP(K1032,Foundation_Calc!$K$117:$R$151,VLOOKUP(AW1032,Foundation_Calc!$I$2:$J$8,2,FALSE),0),"")))</f>
        <v/>
      </c>
      <c r="BA1032" s="495" t="str">
        <f t="shared" si="119"/>
        <v>ü</v>
      </c>
      <c r="BB1032" s="495" t="str">
        <f t="shared" si="120"/>
        <v/>
      </c>
      <c r="BC1032" s="495" t="str">
        <f t="shared" si="121"/>
        <v/>
      </c>
      <c r="BD1032" s="513" t="str">
        <f>IF(AND(L1032="",H1032=""),"",
IF(H1032="",Pole_Calc!A$9,
IF(H1032="MP",Pole_Calc!A$10,
IF(H1032="AnMP",Pole_Calc!A$11,
IF(H1032="A",Pole_Calc!A$12,
IF(H1032="S/A",Pole_Calc!A$13,
IF(H1032="A/S",Pole_Calc!A$14,"Poner a mano")))))))</f>
        <v>App.7-V11I-P9.5.1.2</v>
      </c>
      <c r="BE1032" s="429" t="s">
        <v>118</v>
      </c>
      <c r="BF1032" s="289"/>
      <c r="BG1032" s="289"/>
      <c r="BH1032" s="290"/>
      <c r="BI1032" s="289"/>
    </row>
    <row r="1033" spans="1:61" ht="15.75" customHeight="1">
      <c r="A1033" s="518"/>
      <c r="B1033" s="450"/>
      <c r="C1033" s="3"/>
      <c r="D1033" s="83"/>
      <c r="E1033" s="4"/>
      <c r="F1033" s="4"/>
      <c r="G1033" s="6">
        <v>62</v>
      </c>
      <c r="H1033" s="449"/>
      <c r="I1033" s="4">
        <f>SUM(G1033:G1053)</f>
        <v>680</v>
      </c>
      <c r="J1033" s="3"/>
      <c r="K1033" s="449"/>
      <c r="L1033" s="449"/>
      <c r="M1033" s="449" t="str">
        <f>IF(L1033="","",
IF(AX1033="PT",VLOOKUP(L1033,Foundation_Calc!$V$79:$X$113,VLOOKUP(AX1033,Foundation_Calc!$I$10:$J$13,2,FALSE),0),
IF(AX1033="K",VLOOKUP(L1033,Foundation_Calc!$V$117:$X$151,VLOOKUP(AX1033,Foundation_Calc!$I$10:$J$13,2,FALSE),0),"")))</f>
        <v/>
      </c>
      <c r="N1033" s="561"/>
      <c r="O1033" s="449"/>
      <c r="P1033" s="449"/>
      <c r="Q1033" s="4"/>
      <c r="R1033" s="6"/>
      <c r="S1033" s="6"/>
      <c r="T1033" s="4"/>
      <c r="U1033" s="4"/>
      <c r="V1033" s="4"/>
      <c r="W1033" s="9"/>
      <c r="X1033" s="9"/>
      <c r="Y1033" s="9"/>
      <c r="Z1033" s="9"/>
      <c r="AA1033" s="9"/>
      <c r="AB1033" s="9"/>
      <c r="AC1033" s="449" t="str">
        <f t="shared" si="118"/>
        <v/>
      </c>
      <c r="AD1033" s="449"/>
      <c r="AE1033" s="449"/>
      <c r="AF1033" s="4"/>
      <c r="AG1033" s="83"/>
      <c r="AH1033" s="4"/>
      <c r="AI1033" s="4"/>
      <c r="AJ1033" s="449"/>
      <c r="AK1033" s="449"/>
      <c r="AL1033" s="449"/>
      <c r="AM1033" s="449"/>
      <c r="AN1033" s="10"/>
      <c r="AO1033" s="9"/>
      <c r="AP1033" s="9"/>
      <c r="AQ1033" s="9">
        <f>+FL_2($T$1034,$T$1032,$G$1033,1200,9.28,-1*$F$1034)</f>
        <v>-0.45400350967741931</v>
      </c>
      <c r="AR1033" s="9"/>
      <c r="AS1033" s="9"/>
      <c r="AT1033" s="9"/>
      <c r="AU1033" s="428"/>
      <c r="AV1033" s="428"/>
      <c r="AW1033" s="449" t="str">
        <f>IF(C1033&gt;0,VLOOKUP(C1033,Foundation_Calc!$A$2:$C$13,3,1),
IF(J1033&gt;0,VLOOKUP(J1033,Foundation_Calc!$A$2:$C$13,3,1),""))</f>
        <v/>
      </c>
      <c r="AX1033" s="449" t="str">
        <f>IF(C1033&gt;0,VLOOKUP(C1033,Foundation_Calc!$E$2:$G$33,3,1),
IF(J1033&gt;0,VLOOKUP(J1033,Foundation_Calc!$E$2:$G$33,3,1),""))</f>
        <v/>
      </c>
      <c r="AY1033" s="10" t="str">
        <f>IF(L1033="","",
IF(AX1033="PT",VLOOKUP(L1033,Foundation_Calc!$K$79:$R$113,VLOOKUP(AW1033,Foundation_Calc!$I$2:$J$8,2,FALSE),0),
IF(AX1033="K",VLOOKUP(L1033,Foundation_Calc!$K$117:$R$151,VLOOKUP(AW1033,Foundation_Calc!$I$2:$J$8,2,FALSE),0),"")))</f>
        <v/>
      </c>
      <c r="AZ1033" s="10" t="str">
        <f>IF(K1033="","",
IF(AX1033="PT",VLOOKUP(K1033,Foundation_Calc!$K$79:$R$113,VLOOKUP(AW1033,Foundation_Calc!$I$2:$J$8,2,FALSE),0),
IF(AX1033="K",VLOOKUP(K1033,Foundation_Calc!$K$117:$R$151,VLOOKUP(AW1033,Foundation_Calc!$I$2:$J$8,2,FALSE),0),"")))</f>
        <v/>
      </c>
      <c r="BA1033" s="495" t="str">
        <f t="shared" si="119"/>
        <v/>
      </c>
      <c r="BB1033" s="495" t="str">
        <f t="shared" si="120"/>
        <v/>
      </c>
      <c r="BC1033" s="495" t="str">
        <f t="shared" si="121"/>
        <v/>
      </c>
      <c r="BD1033" s="513" t="str">
        <f>IF(AND(L1033="",H1033=""),"",
IF(H1033="",Pole_Calc!A$9,
IF(H1033="MP",Pole_Calc!A$10,
IF(H1033="AnMP",Pole_Calc!A$11,
IF(H1033="A",Pole_Calc!A$12,
IF(H1033="S/A",Pole_Calc!A$13,
IF(H1033="A/S",Pole_Calc!A$14,"Poner a mano")))))))</f>
        <v/>
      </c>
      <c r="BE1033" s="429" t="s">
        <v>118</v>
      </c>
      <c r="BF1033" s="290"/>
      <c r="BG1033" s="290"/>
      <c r="BH1033" s="290"/>
      <c r="BI1033" s="290"/>
    </row>
    <row r="1034" spans="1:61" ht="15.75" customHeight="1">
      <c r="A1034" s="514"/>
      <c r="B1034" s="450" t="s">
        <v>786</v>
      </c>
      <c r="C1034" s="3">
        <f>+$C$1032+$G$1033</f>
        <v>54936.63</v>
      </c>
      <c r="D1034" s="83"/>
      <c r="E1034" s="4"/>
      <c r="F1034" s="4">
        <f>IF(C1034&gt;0,VLOOKUP(C1034,'ALIGNMENT TRACK'!$A$1:$K$81,9,1))</f>
        <v>0</v>
      </c>
      <c r="G1034" s="6"/>
      <c r="H1034" s="449" t="s">
        <v>168</v>
      </c>
      <c r="I1034" s="4"/>
      <c r="J1034" s="3"/>
      <c r="K1034" s="449"/>
      <c r="L1034" s="449" t="s">
        <v>158</v>
      </c>
      <c r="M1034" s="449" t="str">
        <f>IF(L1034="","",
IF(AX1034="PT",VLOOKUP(L1034,Foundation_Calc!$V$79:$X$113,VLOOKUP(AX1034,Foundation_Calc!$I$10:$J$13,2,FALSE),0),
IF(AX1034="K",VLOOKUP(L1034,Foundation_Calc!$V$117:$X$151,VLOOKUP(AX1034,Foundation_Calc!$I$10:$J$13,2,FALSE),0),"")))</f>
        <v>C4R</v>
      </c>
      <c r="N1034" s="449" t="s">
        <v>124</v>
      </c>
      <c r="O1034" s="449"/>
      <c r="P1034" s="449"/>
      <c r="Q1034" s="4"/>
      <c r="R1034" s="6"/>
      <c r="S1034" s="6"/>
      <c r="T1034" s="4">
        <v>-35</v>
      </c>
      <c r="U1034" s="4"/>
      <c r="V1034" s="4"/>
      <c r="W1034" s="9">
        <v>1.4</v>
      </c>
      <c r="X1034" s="9"/>
      <c r="Y1034" s="9"/>
      <c r="Z1034" s="9"/>
      <c r="AA1034" s="9"/>
      <c r="AB1034" s="9"/>
      <c r="AC1034" s="449" t="str">
        <f t="shared" si="118"/>
        <v>PH</v>
      </c>
      <c r="AD1034" s="449"/>
      <c r="AE1034" s="449"/>
      <c r="AF1034" s="4"/>
      <c r="AG1034" s="83"/>
      <c r="AH1034" s="4"/>
      <c r="AI1034" s="4"/>
      <c r="AJ1034" s="449"/>
      <c r="AK1034" s="449"/>
      <c r="AL1034" s="449"/>
      <c r="AM1034" s="449" t="s">
        <v>552</v>
      </c>
      <c r="AN1034" s="10">
        <v>5.5</v>
      </c>
      <c r="AO1034" s="9"/>
      <c r="AP1034" s="9"/>
      <c r="AQ1034" s="9"/>
      <c r="AR1034" s="9"/>
      <c r="AS1034" s="9"/>
      <c r="AT1034" s="9">
        <f>+ab($T$1034,$T$1032,$T$1036,$G$1033,$G$1035,-1*$F$1034,1200)</f>
        <v>-8.4366201521118445</v>
      </c>
      <c r="AU1034" s="428"/>
      <c r="AV1034" s="428"/>
      <c r="AW1034" s="449" t="str">
        <f>IF(C1034&gt;0,VLOOKUP(C1034,Foundation_Calc!$A$2:$C$13,3,1),
IF(J1034&gt;0,VLOOKUP(J1034,Foundation_Calc!$A$2:$C$13,3,1),""))</f>
        <v>Multi Soil</v>
      </c>
      <c r="AX1034" s="449" t="str">
        <f>IF(C1034&gt;0,VLOOKUP(C1034,Foundation_Calc!$E$2:$G$33,3,1),
IF(J1034&gt;0,VLOOKUP(J1034,Foundation_Calc!$E$2:$G$33,3,1),""))</f>
        <v>PT</v>
      </c>
      <c r="AY1034" s="10">
        <f>IF(L1034="","",
IF(AX1034="PT",VLOOKUP(L1034,Foundation_Calc!$K$79:$R$113,VLOOKUP(AW1034,Foundation_Calc!$I$2:$J$8,2,FALSE),0),
IF(AX1034="K",VLOOKUP(L1034,Foundation_Calc!$K$117:$R$151,VLOOKUP(AW1034,Foundation_Calc!$I$2:$J$8,2,FALSE),0),"")))</f>
        <v>3.5</v>
      </c>
      <c r="AZ1034" s="10" t="str">
        <f>IF(K1034="","",
IF(AX1034="PT",VLOOKUP(K1034,Foundation_Calc!$K$79:$R$113,VLOOKUP(AW1034,Foundation_Calc!$I$2:$J$8,2,FALSE),0),
IF(AX1034="K",VLOOKUP(K1034,Foundation_Calc!$K$117:$R$151,VLOOKUP(AW1034,Foundation_Calc!$I$2:$J$8,2,FALSE),0),"")))</f>
        <v/>
      </c>
      <c r="BA1034" s="495" t="str">
        <f t="shared" si="119"/>
        <v>ü</v>
      </c>
      <c r="BB1034" s="495" t="str">
        <f t="shared" si="120"/>
        <v/>
      </c>
      <c r="BC1034" s="495" t="str">
        <f t="shared" si="121"/>
        <v/>
      </c>
      <c r="BD1034" s="513" t="str">
        <f>IF(AND(L1034="",H1034=""),"",
IF(H1034="",Pole_Calc!A$9,
IF(H1034="MP",Pole_Calc!A$10,
IF(H1034="AnMP",Pole_Calc!A$11,
IF(H1034="A",Pole_Calc!A$12,
IF(H1034="S/A",Pole_Calc!A$13,
IF(H1034="A/S",Pole_Calc!A$14,"Poner a mano")))))))</f>
        <v>App.7-V11I-P9.5.1.3</v>
      </c>
      <c r="BE1034" s="429" t="s">
        <v>118</v>
      </c>
      <c r="BF1034" s="289"/>
      <c r="BG1034" s="289"/>
      <c r="BH1034" s="290"/>
      <c r="BI1034" s="289"/>
    </row>
    <row r="1035" spans="1:61" ht="15.75" customHeight="1">
      <c r="A1035" s="514"/>
      <c r="B1035" s="450"/>
      <c r="C1035" s="3"/>
      <c r="D1035" s="83"/>
      <c r="E1035" s="4"/>
      <c r="F1035" s="4"/>
      <c r="G1035" s="6">
        <v>62</v>
      </c>
      <c r="H1035" s="449"/>
      <c r="I1035" s="4"/>
      <c r="J1035" s="3">
        <f>C1034+7.5</f>
        <v>54944.13</v>
      </c>
      <c r="K1035" s="449" t="s">
        <v>166</v>
      </c>
      <c r="L1035" s="449"/>
      <c r="M1035" s="449" t="str">
        <f>IF(L1035="","",
IF(AX1035="PT",VLOOKUP(L1035,Foundation_Calc!$V$79:$X$113,VLOOKUP(AX1035,Foundation_Calc!$I$10:$J$13,2,FALSE),0),
IF(AX1035="K",VLOOKUP(L1035,Foundation_Calc!$V$117:$X$151,VLOOKUP(AX1035,Foundation_Calc!$I$10:$J$13,2,FALSE),0),"")))</f>
        <v/>
      </c>
      <c r="N1035" s="449"/>
      <c r="O1035" s="449"/>
      <c r="P1035" s="449"/>
      <c r="Q1035" s="4"/>
      <c r="R1035" s="6"/>
      <c r="S1035" s="6"/>
      <c r="T1035" s="4"/>
      <c r="U1035" s="4"/>
      <c r="V1035" s="4"/>
      <c r="W1035" s="9"/>
      <c r="X1035" s="9"/>
      <c r="Y1035" s="9"/>
      <c r="Z1035" s="9"/>
      <c r="AA1035" s="9"/>
      <c r="AB1035" s="9"/>
      <c r="AC1035" s="449" t="str">
        <f t="shared" ref="AC1035:AC1098" si="122">IF(OR(AT1035&gt;8,AT1035&lt;-8),"PH",
IF(OR(AT1035&gt;5,AT1035&lt;-5),"PHQ",
IF(OR(AT1035&gt;1,AT1035&lt;-1),
"PHC","")))</f>
        <v/>
      </c>
      <c r="AD1035" s="449"/>
      <c r="AE1035" s="449"/>
      <c r="AF1035" s="4"/>
      <c r="AG1035" s="83"/>
      <c r="AH1035" s="4"/>
      <c r="AI1035" s="4"/>
      <c r="AJ1035" s="449"/>
      <c r="AK1035" s="449"/>
      <c r="AL1035" s="449"/>
      <c r="AM1035" s="449"/>
      <c r="AN1035" s="10"/>
      <c r="AO1035" s="9"/>
      <c r="AP1035" s="9"/>
      <c r="AQ1035" s="9">
        <f>+FL_1($T$1036,$T$1034,$G$1035,1200,9.28,-1*$F$1036)</f>
        <v>0.45400350967741931</v>
      </c>
      <c r="AR1035" s="9"/>
      <c r="AS1035" s="9"/>
      <c r="AT1035" s="9"/>
      <c r="AU1035" s="428"/>
      <c r="AV1035" s="428"/>
      <c r="AW1035" s="449" t="str">
        <f>IF(C1035&gt;0,VLOOKUP(C1035,Foundation_Calc!$A$2:$C$13,3,1),
IF(J1035&gt;0,VLOOKUP(J1035,Foundation_Calc!$A$2:$C$13,3,1),""))</f>
        <v>Multi Soil</v>
      </c>
      <c r="AX1035" s="449" t="str">
        <f>IF(C1035&gt;0,VLOOKUP(C1035,Foundation_Calc!$E$2:$G$33,3,1),
IF(J1035&gt;0,VLOOKUP(J1035,Foundation_Calc!$E$2:$G$33,3,1),""))</f>
        <v>PT</v>
      </c>
      <c r="AY1035" s="10" t="str">
        <f>IF(L1035="","",
IF(AX1035="PT",VLOOKUP(L1035,Foundation_Calc!$K$79:$R$113,VLOOKUP(AW1035,Foundation_Calc!$I$2:$J$8,2,FALSE),0),
IF(AX1035="K",VLOOKUP(L1035,Foundation_Calc!$K$117:$R$151,VLOOKUP(AW1035,Foundation_Calc!$I$2:$J$8,2,FALSE),0),"")))</f>
        <v/>
      </c>
      <c r="AZ1035" s="10">
        <f>IF(K1035="","",
IF(AX1035="PT",VLOOKUP(K1035,Foundation_Calc!$K$79:$R$113,VLOOKUP(AW1035,Foundation_Calc!$I$2:$J$8,2,FALSE),0),
IF(AX1035="K",VLOOKUP(K1035,Foundation_Calc!$K$117:$R$151,VLOOKUP(AW1035,Foundation_Calc!$I$2:$J$8,2,FALSE),0),"")))</f>
        <v>2.8</v>
      </c>
      <c r="BA1035" s="495" t="str">
        <f t="shared" si="119"/>
        <v/>
      </c>
      <c r="BB1035" s="495" t="str">
        <f t="shared" si="120"/>
        <v>ü</v>
      </c>
      <c r="BC1035" s="495" t="str">
        <f t="shared" si="121"/>
        <v/>
      </c>
      <c r="BD1035" s="513" t="str">
        <f>IF(AND(L1035="",H1035=""),"",
IF(H1035="",Pole_Calc!A$9,
IF(H1035="MP",Pole_Calc!A$10,
IF(H1035="AnMP",Pole_Calc!A$11,
IF(H1035="A",Pole_Calc!A$12,
IF(H1035="S/A",Pole_Calc!A$13,
IF(H1035="A/S",Pole_Calc!A$14,"Poner a mano")))))))</f>
        <v/>
      </c>
      <c r="BE1035" s="429" t="s">
        <v>118</v>
      </c>
      <c r="BF1035" s="290"/>
      <c r="BG1035" s="290"/>
      <c r="BH1035" s="290"/>
      <c r="BI1035" s="290"/>
    </row>
    <row r="1036" spans="1:61" ht="15.75" customHeight="1">
      <c r="A1036" s="514"/>
      <c r="B1036" s="450" t="s">
        <v>787</v>
      </c>
      <c r="C1036" s="3">
        <f>+$C$1034+$G$1035</f>
        <v>54998.63</v>
      </c>
      <c r="D1036" s="83"/>
      <c r="E1036" s="4"/>
      <c r="F1036" s="4">
        <f>IF(C1036&gt;0,VLOOKUP(C1036,'ALIGNMENT TRACK'!$A$1:$K$81,9,1))</f>
        <v>0</v>
      </c>
      <c r="G1036" s="6"/>
      <c r="H1036" s="449"/>
      <c r="I1036" s="4"/>
      <c r="J1036" s="3"/>
      <c r="K1036" s="449"/>
      <c r="L1036" s="449" t="s">
        <v>153</v>
      </c>
      <c r="M1036" s="449" t="str">
        <f>IF(L1036="","",
IF(AX1036="PT",VLOOKUP(L1036,Foundation_Calc!$V$79:$X$113,VLOOKUP(AX1036,Foundation_Calc!$I$10:$J$13,2,FALSE),0),
IF(AX1036="K",VLOOKUP(L1036,Foundation_Calc!$V$117:$X$151,VLOOKUP(AX1036,Foundation_Calc!$I$10:$J$13,2,FALSE),0),"")))</f>
        <v>C3R</v>
      </c>
      <c r="N1036" s="449" t="s">
        <v>134</v>
      </c>
      <c r="O1036" s="449"/>
      <c r="P1036" s="449"/>
      <c r="Q1036" s="4"/>
      <c r="R1036" s="6"/>
      <c r="S1036" s="6"/>
      <c r="T1036" s="4">
        <v>35</v>
      </c>
      <c r="U1036" s="4"/>
      <c r="V1036" s="4"/>
      <c r="W1036" s="9">
        <v>1.4</v>
      </c>
      <c r="X1036" s="9"/>
      <c r="Y1036" s="9"/>
      <c r="Z1036" s="9"/>
      <c r="AA1036" s="9"/>
      <c r="AB1036" s="9"/>
      <c r="AC1036" s="449" t="str">
        <f t="shared" si="122"/>
        <v>PH</v>
      </c>
      <c r="AD1036" s="449"/>
      <c r="AE1036" s="449"/>
      <c r="AF1036" s="4"/>
      <c r="AG1036" s="83"/>
      <c r="AH1036" s="4"/>
      <c r="AI1036" s="4"/>
      <c r="AJ1036" s="449"/>
      <c r="AK1036" s="449"/>
      <c r="AL1036" s="449"/>
      <c r="AM1036" s="449" t="s">
        <v>552</v>
      </c>
      <c r="AN1036" s="10">
        <v>5.5</v>
      </c>
      <c r="AO1036" s="9"/>
      <c r="AP1036" s="9"/>
      <c r="AQ1036" s="9"/>
      <c r="AR1036" s="9"/>
      <c r="AS1036" s="9"/>
      <c r="AT1036" s="9">
        <f>+ab($T$1036,$T$1034,$T$1038,$G$1035,$G$1037,-1*$F$1036,1200)</f>
        <v>8.4365744899000195</v>
      </c>
      <c r="AU1036" s="428"/>
      <c r="AV1036" s="428"/>
      <c r="AW1036" s="449" t="str">
        <f>IF(C1036&gt;0,VLOOKUP(C1036,Foundation_Calc!$A$2:$C$13,3,1),
IF(J1036&gt;0,VLOOKUP(J1036,Foundation_Calc!$A$2:$C$13,3,1),""))</f>
        <v>Multi Soil</v>
      </c>
      <c r="AX1036" s="449" t="str">
        <f>IF(C1036&gt;0,VLOOKUP(C1036,Foundation_Calc!$E$2:$G$33,3,1),
IF(J1036&gt;0,VLOOKUP(J1036,Foundation_Calc!$E$2:$G$33,3,1),""))</f>
        <v>PT</v>
      </c>
      <c r="AY1036" s="10">
        <f>IF(L1036="","",
IF(AX1036="PT",VLOOKUP(L1036,Foundation_Calc!$K$79:$R$113,VLOOKUP(AW1036,Foundation_Calc!$I$2:$J$8,2,FALSE),0),
IF(AX1036="K",VLOOKUP(L1036,Foundation_Calc!$K$117:$R$151,VLOOKUP(AW1036,Foundation_Calc!$I$2:$J$8,2,FALSE),0),"")))</f>
        <v>3.5</v>
      </c>
      <c r="AZ1036" s="10" t="str">
        <f>IF(K1036="","",
IF(AX1036="PT",VLOOKUP(K1036,Foundation_Calc!$K$79:$R$113,VLOOKUP(AW1036,Foundation_Calc!$I$2:$J$8,2,FALSE),0),
IF(AX1036="K",VLOOKUP(K1036,Foundation_Calc!$K$117:$R$151,VLOOKUP(AW1036,Foundation_Calc!$I$2:$J$8,2,FALSE),0),"")))</f>
        <v/>
      </c>
      <c r="BA1036" s="495" t="str">
        <f t="shared" si="119"/>
        <v>ü</v>
      </c>
      <c r="BB1036" s="495" t="str">
        <f t="shared" si="120"/>
        <v/>
      </c>
      <c r="BC1036" s="495" t="str">
        <f t="shared" si="121"/>
        <v/>
      </c>
      <c r="BD1036" s="513" t="str">
        <f>IF(AND(L1036="",H1036=""),"",
IF(H1036="",Pole_Calc!A$9,
IF(H1036="MP",Pole_Calc!A$10,
IF(H1036="AnMP",Pole_Calc!A$11,
IF(H1036="A",Pole_Calc!A$12,
IF(H1036="S/A",Pole_Calc!A$13,
IF(H1036="A/S",Pole_Calc!A$14,"Poner a mano")))))))</f>
        <v>App.7-V11I-P9.5.1.1</v>
      </c>
      <c r="BE1036" s="429" t="s">
        <v>118</v>
      </c>
      <c r="BF1036" s="289"/>
      <c r="BG1036" s="289"/>
      <c r="BH1036" s="290"/>
      <c r="BI1036" s="289"/>
    </row>
    <row r="1037" spans="1:61" ht="15.75" customHeight="1">
      <c r="A1037" s="514"/>
      <c r="B1037" s="450"/>
      <c r="C1037" s="3"/>
      <c r="D1037" s="83"/>
      <c r="E1037" s="4"/>
      <c r="F1037" s="4"/>
      <c r="G1037" s="6">
        <v>62</v>
      </c>
      <c r="H1037" s="449"/>
      <c r="I1037" s="4"/>
      <c r="J1037" s="3"/>
      <c r="K1037" s="449"/>
      <c r="L1037" s="449"/>
      <c r="M1037" s="449" t="str">
        <f>IF(L1037="","",
IF(AX1037="PT",VLOOKUP(L1037,Foundation_Calc!$V$79:$X$113,VLOOKUP(AX1037,Foundation_Calc!$I$10:$J$13,2,FALSE),0),
IF(AX1037="K",VLOOKUP(L1037,Foundation_Calc!$V$117:$X$151,VLOOKUP(AX1037,Foundation_Calc!$I$10:$J$13,2,FALSE),0),"")))</f>
        <v/>
      </c>
      <c r="N1037" s="449"/>
      <c r="O1037" s="449"/>
      <c r="P1037" s="449"/>
      <c r="Q1037" s="4"/>
      <c r="R1037" s="6"/>
      <c r="S1037" s="6"/>
      <c r="T1037" s="4"/>
      <c r="U1037" s="4"/>
      <c r="V1037" s="4"/>
      <c r="W1037" s="9"/>
      <c r="X1037" s="9"/>
      <c r="Y1037" s="9"/>
      <c r="Z1037" s="9"/>
      <c r="AA1037" s="9"/>
      <c r="AB1037" s="9"/>
      <c r="AC1037" s="449" t="str">
        <f t="shared" si="122"/>
        <v/>
      </c>
      <c r="AD1037" s="449"/>
      <c r="AE1037" s="449"/>
      <c r="AF1037" s="4"/>
      <c r="AG1037" s="83"/>
      <c r="AH1037" s="4"/>
      <c r="AI1037" s="4"/>
      <c r="AJ1037" s="449"/>
      <c r="AK1037" s="449"/>
      <c r="AL1037" s="449"/>
      <c r="AM1037" s="449"/>
      <c r="AN1037" s="10"/>
      <c r="AO1037" s="9"/>
      <c r="AP1037" s="9"/>
      <c r="AQ1037" s="9">
        <f>+FL_2($T$1038,$T$1036,$G$1037,1200,9.28,-1*$F$1038)</f>
        <v>-0.45400350967741931</v>
      </c>
      <c r="AR1037" s="9"/>
      <c r="AS1037" s="9"/>
      <c r="AT1037" s="9"/>
      <c r="AU1037" s="428"/>
      <c r="AV1037" s="428"/>
      <c r="AW1037" s="449" t="str">
        <f>IF(C1037&gt;0,VLOOKUP(C1037,Foundation_Calc!$A$2:$C$13,3,1),
IF(J1037&gt;0,VLOOKUP(J1037,Foundation_Calc!$A$2:$C$13,3,1),""))</f>
        <v/>
      </c>
      <c r="AX1037" s="449" t="str">
        <f>IF(C1037&gt;0,VLOOKUP(C1037,Foundation_Calc!$E$2:$G$33,3,1),
IF(J1037&gt;0,VLOOKUP(J1037,Foundation_Calc!$E$2:$G$33,3,1),""))</f>
        <v/>
      </c>
      <c r="AY1037" s="10" t="str">
        <f>IF(L1037="","",
IF(AX1037="PT",VLOOKUP(L1037,Foundation_Calc!$K$79:$R$113,VLOOKUP(AW1037,Foundation_Calc!$I$2:$J$8,2,FALSE),0),
IF(AX1037="K",VLOOKUP(L1037,Foundation_Calc!$K$117:$R$151,VLOOKUP(AW1037,Foundation_Calc!$I$2:$J$8,2,FALSE),0),"")))</f>
        <v/>
      </c>
      <c r="AZ1037" s="10" t="str">
        <f>IF(K1037="","",
IF(AX1037="PT",VLOOKUP(K1037,Foundation_Calc!$K$79:$R$113,VLOOKUP(AW1037,Foundation_Calc!$I$2:$J$8,2,FALSE),0),
IF(AX1037="K",VLOOKUP(K1037,Foundation_Calc!$K$117:$R$151,VLOOKUP(AW1037,Foundation_Calc!$I$2:$J$8,2,FALSE),0),"")))</f>
        <v/>
      </c>
      <c r="BA1037" s="495" t="str">
        <f t="shared" si="119"/>
        <v/>
      </c>
      <c r="BB1037" s="495" t="str">
        <f t="shared" si="120"/>
        <v/>
      </c>
      <c r="BC1037" s="495" t="str">
        <f t="shared" si="121"/>
        <v/>
      </c>
      <c r="BD1037" s="513" t="str">
        <f>IF(AND(L1037="",H1037=""),"",
IF(H1037="",Pole_Calc!A$9,
IF(H1037="MP",Pole_Calc!A$10,
IF(H1037="AnMP",Pole_Calc!A$11,
IF(H1037="A",Pole_Calc!A$12,
IF(H1037="S/A",Pole_Calc!A$13,
IF(H1037="A/S",Pole_Calc!A$14,"Poner a mano")))))))</f>
        <v/>
      </c>
      <c r="BE1037" s="429" t="s">
        <v>118</v>
      </c>
      <c r="BF1037" s="290"/>
      <c r="BG1037" s="290"/>
      <c r="BH1037" s="290"/>
      <c r="BI1037" s="290"/>
    </row>
    <row r="1038" spans="1:61" ht="15.75" customHeight="1">
      <c r="A1038" s="518"/>
      <c r="B1038" s="450" t="s">
        <v>788</v>
      </c>
      <c r="C1038" s="3">
        <f>+$C$1036+$G$1037</f>
        <v>55060.63</v>
      </c>
      <c r="D1038" s="83"/>
      <c r="E1038" s="4"/>
      <c r="F1038" s="4">
        <f>IF(C1038&gt;0,VLOOKUP(C1038,'ALIGNMENT TRACK'!$A$1:$K$81,9,1))</f>
        <v>0</v>
      </c>
      <c r="G1038" s="6"/>
      <c r="H1038" s="449"/>
      <c r="I1038" s="4"/>
      <c r="J1038" s="3"/>
      <c r="K1038" s="449"/>
      <c r="L1038" s="449" t="s">
        <v>153</v>
      </c>
      <c r="M1038" s="449" t="str">
        <f>IF(L1038="","",
IF(AX1038="PT",VLOOKUP(L1038,Foundation_Calc!$V$79:$X$113,VLOOKUP(AX1038,Foundation_Calc!$I$10:$J$13,2,FALSE),0),
IF(AX1038="K",VLOOKUP(L1038,Foundation_Calc!$V$117:$X$151,VLOOKUP(AX1038,Foundation_Calc!$I$10:$J$13,2,FALSE),0),"")))</f>
        <v>C3R</v>
      </c>
      <c r="N1038" s="449" t="s">
        <v>124</v>
      </c>
      <c r="O1038" s="449"/>
      <c r="P1038" s="449"/>
      <c r="Q1038" s="4"/>
      <c r="R1038" s="6"/>
      <c r="S1038" s="6"/>
      <c r="T1038" s="4">
        <v>-35</v>
      </c>
      <c r="U1038" s="4"/>
      <c r="V1038" s="4"/>
      <c r="W1038" s="9">
        <v>1.4</v>
      </c>
      <c r="X1038" s="9"/>
      <c r="Y1038" s="9"/>
      <c r="Z1038" s="9"/>
      <c r="AA1038" s="9"/>
      <c r="AB1038" s="9"/>
      <c r="AC1038" s="449" t="str">
        <f t="shared" si="122"/>
        <v>PH</v>
      </c>
      <c r="AD1038" s="449"/>
      <c r="AE1038" s="449"/>
      <c r="AF1038" s="4"/>
      <c r="AG1038" s="83"/>
      <c r="AH1038" s="4"/>
      <c r="AI1038" s="4"/>
      <c r="AJ1038" s="449"/>
      <c r="AK1038" s="449"/>
      <c r="AL1038" s="449"/>
      <c r="AM1038" s="449" t="s">
        <v>552</v>
      </c>
      <c r="AN1038" s="10">
        <v>5.5</v>
      </c>
      <c r="AO1038" s="9"/>
      <c r="AP1038" s="9"/>
      <c r="AQ1038" s="9"/>
      <c r="AR1038" s="9"/>
      <c r="AS1038" s="9"/>
      <c r="AT1038" s="9">
        <f>+ab($T$1038,$T$1036,$T$1040,$G$1037,$G$1039,-1*$F$1038,1200)</f>
        <v>-8.4366201521118445</v>
      </c>
      <c r="AU1038" s="428"/>
      <c r="AV1038" s="428"/>
      <c r="AW1038" s="449" t="str">
        <f>IF(C1038&gt;0,VLOOKUP(C1038,Foundation_Calc!$A$2:$C$13,3,1),
IF(J1038&gt;0,VLOOKUP(J1038,Foundation_Calc!$A$2:$C$13,3,1),""))</f>
        <v>Multi Soil</v>
      </c>
      <c r="AX1038" s="449" t="str">
        <f>IF(C1038&gt;0,VLOOKUP(C1038,Foundation_Calc!$E$2:$G$33,3,1),
IF(J1038&gt;0,VLOOKUP(J1038,Foundation_Calc!$E$2:$G$33,3,1),""))</f>
        <v>PT</v>
      </c>
      <c r="AY1038" s="10">
        <f>IF(L1038="","",
IF(AX1038="PT",VLOOKUP(L1038,Foundation_Calc!$K$79:$R$113,VLOOKUP(AW1038,Foundation_Calc!$I$2:$J$8,2,FALSE),0),
IF(AX1038="K",VLOOKUP(L1038,Foundation_Calc!$K$117:$R$151,VLOOKUP(AW1038,Foundation_Calc!$I$2:$J$8,2,FALSE),0),"")))</f>
        <v>3.5</v>
      </c>
      <c r="AZ1038" s="10" t="str">
        <f>IF(K1038="","",
IF(AX1038="PT",VLOOKUP(K1038,Foundation_Calc!$K$79:$R$113,VLOOKUP(AW1038,Foundation_Calc!$I$2:$J$8,2,FALSE),0),
IF(AX1038="K",VLOOKUP(K1038,Foundation_Calc!$K$117:$R$151,VLOOKUP(AW1038,Foundation_Calc!$I$2:$J$8,2,FALSE),0),"")))</f>
        <v/>
      </c>
      <c r="BA1038" s="495" t="str">
        <f t="shared" si="119"/>
        <v>ü</v>
      </c>
      <c r="BB1038" s="495" t="str">
        <f t="shared" si="120"/>
        <v/>
      </c>
      <c r="BC1038" s="495" t="str">
        <f t="shared" si="121"/>
        <v/>
      </c>
      <c r="BD1038" s="513" t="str">
        <f>IF(AND(L1038="",H1038=""),"",
IF(H1038="",Pole_Calc!A$9,
IF(H1038="MP",Pole_Calc!A$10,
IF(H1038="AnMP",Pole_Calc!A$11,
IF(H1038="A",Pole_Calc!A$12,
IF(H1038="S/A",Pole_Calc!A$13,
IF(H1038="A/S",Pole_Calc!A$14,"Poner a mano")))))))</f>
        <v>App.7-V11I-P9.5.1.1</v>
      </c>
      <c r="BE1038" s="429" t="s">
        <v>118</v>
      </c>
      <c r="BF1038" s="289"/>
      <c r="BG1038" s="289"/>
      <c r="BH1038" s="290"/>
      <c r="BI1038" s="289"/>
    </row>
    <row r="1039" spans="1:61" ht="15.75" customHeight="1">
      <c r="A1039" s="518"/>
      <c r="B1039" s="450"/>
      <c r="C1039" s="3"/>
      <c r="D1039" s="83"/>
      <c r="E1039" s="4"/>
      <c r="F1039" s="4"/>
      <c r="G1039" s="6">
        <v>62</v>
      </c>
      <c r="H1039" s="449"/>
      <c r="I1039" s="4"/>
      <c r="J1039" s="3"/>
      <c r="K1039" s="449"/>
      <c r="L1039" s="449"/>
      <c r="M1039" s="449" t="str">
        <f>IF(L1039="","",
IF(AX1039="PT",VLOOKUP(L1039,Foundation_Calc!$V$79:$X$113,VLOOKUP(AX1039,Foundation_Calc!$I$10:$J$13,2,FALSE),0),
IF(AX1039="K",VLOOKUP(L1039,Foundation_Calc!$V$117:$X$151,VLOOKUP(AX1039,Foundation_Calc!$I$10:$J$13,2,FALSE),0),"")))</f>
        <v/>
      </c>
      <c r="N1039" s="561"/>
      <c r="O1039" s="449"/>
      <c r="P1039" s="449"/>
      <c r="Q1039" s="4"/>
      <c r="R1039" s="6"/>
      <c r="S1039" s="6"/>
      <c r="T1039" s="4"/>
      <c r="U1039" s="4"/>
      <c r="V1039" s="4"/>
      <c r="W1039" s="9"/>
      <c r="X1039" s="9"/>
      <c r="Y1039" s="9"/>
      <c r="Z1039" s="9"/>
      <c r="AA1039" s="9"/>
      <c r="AB1039" s="9"/>
      <c r="AC1039" s="449" t="str">
        <f t="shared" si="122"/>
        <v/>
      </c>
      <c r="AD1039" s="449"/>
      <c r="AE1039" s="449"/>
      <c r="AF1039" s="4"/>
      <c r="AG1039" s="83"/>
      <c r="AH1039" s="4"/>
      <c r="AI1039" s="4"/>
      <c r="AJ1039" s="449"/>
      <c r="AK1039" s="449"/>
      <c r="AL1039" s="449"/>
      <c r="AM1039" s="449"/>
      <c r="AN1039" s="10"/>
      <c r="AO1039" s="9"/>
      <c r="AP1039" s="9"/>
      <c r="AQ1039" s="9">
        <f>+FL_1($T$1040,$T$1038,$G$1039,1200,9.28,-1*$F$1040)</f>
        <v>0.45400350967741931</v>
      </c>
      <c r="AR1039" s="9"/>
      <c r="AS1039" s="9"/>
      <c r="AT1039" s="9"/>
      <c r="AU1039" s="428"/>
      <c r="AV1039" s="428"/>
      <c r="AW1039" s="449" t="str">
        <f>IF(C1039&gt;0,VLOOKUP(C1039,Foundation_Calc!$A$2:$C$13,3,1),
IF(J1039&gt;0,VLOOKUP(J1039,Foundation_Calc!$A$2:$C$13,3,1),""))</f>
        <v/>
      </c>
      <c r="AX1039" s="449" t="str">
        <f>IF(C1039&gt;0,VLOOKUP(C1039,Foundation_Calc!$E$2:$G$33,3,1),
IF(J1039&gt;0,VLOOKUP(J1039,Foundation_Calc!$E$2:$G$33,3,1),""))</f>
        <v/>
      </c>
      <c r="AY1039" s="10" t="str">
        <f>IF(L1039="","",
IF(AX1039="PT",VLOOKUP(L1039,Foundation_Calc!$K$79:$R$113,VLOOKUP(AW1039,Foundation_Calc!$I$2:$J$8,2,FALSE),0),
IF(AX1039="K",VLOOKUP(L1039,Foundation_Calc!$K$117:$R$151,VLOOKUP(AW1039,Foundation_Calc!$I$2:$J$8,2,FALSE),0),"")))</f>
        <v/>
      </c>
      <c r="AZ1039" s="10" t="str">
        <f>IF(K1039="","",
IF(AX1039="PT",VLOOKUP(K1039,Foundation_Calc!$K$79:$R$113,VLOOKUP(AW1039,Foundation_Calc!$I$2:$J$8,2,FALSE),0),
IF(AX1039="K",VLOOKUP(K1039,Foundation_Calc!$K$117:$R$151,VLOOKUP(AW1039,Foundation_Calc!$I$2:$J$8,2,FALSE),0),"")))</f>
        <v/>
      </c>
      <c r="BA1039" s="495" t="str">
        <f t="shared" si="119"/>
        <v/>
      </c>
      <c r="BB1039" s="495" t="str">
        <f t="shared" si="120"/>
        <v/>
      </c>
      <c r="BC1039" s="495" t="str">
        <f t="shared" si="121"/>
        <v/>
      </c>
      <c r="BD1039" s="513" t="str">
        <f>IF(AND(L1039="",H1039=""),"",
IF(H1039="",Pole_Calc!A$9,
IF(H1039="MP",Pole_Calc!A$10,
IF(H1039="AnMP",Pole_Calc!A$11,
IF(H1039="A",Pole_Calc!A$12,
IF(H1039="S/A",Pole_Calc!A$13,
IF(H1039="A/S",Pole_Calc!A$14,"Poner a mano")))))))</f>
        <v/>
      </c>
      <c r="BE1039" s="429" t="s">
        <v>118</v>
      </c>
      <c r="BF1039" s="290"/>
      <c r="BG1039" s="290"/>
      <c r="BH1039" s="290"/>
      <c r="BI1039" s="290"/>
    </row>
    <row r="1040" spans="1:61" ht="15.75" customHeight="1">
      <c r="A1040" s="514"/>
      <c r="B1040" s="450" t="s">
        <v>789</v>
      </c>
      <c r="C1040" s="3">
        <f>+$C$1038+$G$1039</f>
        <v>55122.63</v>
      </c>
      <c r="D1040" s="83"/>
      <c r="E1040" s="4"/>
      <c r="F1040" s="4">
        <f>IF(C1040&gt;0,VLOOKUP(C1040,'ALIGNMENT TRACK'!$A$1:$K$81,9,1))</f>
        <v>0</v>
      </c>
      <c r="G1040" s="6"/>
      <c r="H1040" s="449"/>
      <c r="I1040" s="4"/>
      <c r="J1040" s="3"/>
      <c r="K1040" s="449"/>
      <c r="L1040" s="449" t="s">
        <v>153</v>
      </c>
      <c r="M1040" s="449" t="str">
        <f>IF(L1040="","",
IF(AX1040="PT",VLOOKUP(L1040,Foundation_Calc!$V$79:$X$113,VLOOKUP(AX1040,Foundation_Calc!$I$10:$J$13,2,FALSE),0),
IF(AX1040="K",VLOOKUP(L1040,Foundation_Calc!$V$117:$X$151,VLOOKUP(AX1040,Foundation_Calc!$I$10:$J$13,2,FALSE),0),"")))</f>
        <v>C3R</v>
      </c>
      <c r="N1040" s="449" t="s">
        <v>134</v>
      </c>
      <c r="O1040" s="449"/>
      <c r="P1040" s="449"/>
      <c r="Q1040" s="4"/>
      <c r="R1040" s="6"/>
      <c r="S1040" s="6"/>
      <c r="T1040" s="4">
        <v>35</v>
      </c>
      <c r="U1040" s="4"/>
      <c r="V1040" s="4"/>
      <c r="W1040" s="9">
        <v>1.4</v>
      </c>
      <c r="X1040" s="9"/>
      <c r="Y1040" s="9"/>
      <c r="Z1040" s="9"/>
      <c r="AA1040" s="9"/>
      <c r="AB1040" s="9"/>
      <c r="AC1040" s="449" t="str">
        <f t="shared" si="122"/>
        <v>PH</v>
      </c>
      <c r="AD1040" s="449"/>
      <c r="AE1040" s="449"/>
      <c r="AF1040" s="4"/>
      <c r="AG1040" s="83"/>
      <c r="AH1040" s="4"/>
      <c r="AI1040" s="4"/>
      <c r="AJ1040" s="449"/>
      <c r="AK1040" s="449"/>
      <c r="AL1040" s="449"/>
      <c r="AM1040" s="449" t="s">
        <v>552</v>
      </c>
      <c r="AN1040" s="10">
        <v>5.5</v>
      </c>
      <c r="AO1040" s="9"/>
      <c r="AP1040" s="9"/>
      <c r="AQ1040" s="9"/>
      <c r="AR1040" s="9"/>
      <c r="AS1040" s="9"/>
      <c r="AT1040" s="9">
        <f>+ab($T$1040,$T$1038,$T$1042,$G$1039,$G$1041,-1*$F$1040,1200)</f>
        <v>8.4365744899000195</v>
      </c>
      <c r="AU1040" s="428"/>
      <c r="AV1040" s="428"/>
      <c r="AW1040" s="449" t="str">
        <f>IF(C1040&gt;0,VLOOKUP(C1040,Foundation_Calc!$A$2:$C$13,3,1),
IF(J1040&gt;0,VLOOKUP(J1040,Foundation_Calc!$A$2:$C$13,3,1),""))</f>
        <v>Multi Soil</v>
      </c>
      <c r="AX1040" s="449" t="str">
        <f>IF(C1040&gt;0,VLOOKUP(C1040,Foundation_Calc!$E$2:$G$33,3,1),
IF(J1040&gt;0,VLOOKUP(J1040,Foundation_Calc!$E$2:$G$33,3,1),""))</f>
        <v>PT</v>
      </c>
      <c r="AY1040" s="10">
        <f>IF(L1040="","",
IF(AX1040="PT",VLOOKUP(L1040,Foundation_Calc!$K$79:$R$113,VLOOKUP(AW1040,Foundation_Calc!$I$2:$J$8,2,FALSE),0),
IF(AX1040="K",VLOOKUP(L1040,Foundation_Calc!$K$117:$R$151,VLOOKUP(AW1040,Foundation_Calc!$I$2:$J$8,2,FALSE),0),"")))</f>
        <v>3.5</v>
      </c>
      <c r="AZ1040" s="10" t="str">
        <f>IF(K1040="","",
IF(AX1040="PT",VLOOKUP(K1040,Foundation_Calc!$K$79:$R$113,VLOOKUP(AW1040,Foundation_Calc!$I$2:$J$8,2,FALSE),0),
IF(AX1040="K",VLOOKUP(K1040,Foundation_Calc!$K$117:$R$151,VLOOKUP(AW1040,Foundation_Calc!$I$2:$J$8,2,FALSE),0),"")))</f>
        <v/>
      </c>
      <c r="BA1040" s="495" t="str">
        <f t="shared" si="119"/>
        <v>ü</v>
      </c>
      <c r="BB1040" s="495" t="str">
        <f t="shared" si="120"/>
        <v/>
      </c>
      <c r="BC1040" s="495" t="str">
        <f t="shared" si="121"/>
        <v/>
      </c>
      <c r="BD1040" s="513" t="str">
        <f>IF(AND(L1040="",H1040=""),"",
IF(H1040="",Pole_Calc!A$9,
IF(H1040="MP",Pole_Calc!A$10,
IF(H1040="AnMP",Pole_Calc!A$11,
IF(H1040="A",Pole_Calc!A$12,
IF(H1040="S/A",Pole_Calc!A$13,
IF(H1040="A/S",Pole_Calc!A$14,"Poner a mano")))))))</f>
        <v>App.7-V11I-P9.5.1.1</v>
      </c>
      <c r="BE1040" s="429" t="s">
        <v>118</v>
      </c>
      <c r="BF1040" s="289"/>
      <c r="BG1040" s="289"/>
      <c r="BH1040" s="290"/>
      <c r="BI1040" s="289"/>
    </row>
    <row r="1041" spans="1:61" ht="15.75" customHeight="1">
      <c r="A1041" s="514"/>
      <c r="B1041" s="450"/>
      <c r="C1041" s="3"/>
      <c r="D1041" s="83"/>
      <c r="E1041" s="4"/>
      <c r="F1041" s="4"/>
      <c r="G1041" s="6">
        <v>62</v>
      </c>
      <c r="H1041" s="449"/>
      <c r="I1041" s="4"/>
      <c r="J1041" s="3"/>
      <c r="K1041" s="449"/>
      <c r="L1041" s="449"/>
      <c r="M1041" s="449" t="str">
        <f>IF(L1041="","",
IF(AX1041="PT",VLOOKUP(L1041,Foundation_Calc!$V$79:$X$113,VLOOKUP(AX1041,Foundation_Calc!$I$10:$J$13,2,FALSE),0),
IF(AX1041="K",VLOOKUP(L1041,Foundation_Calc!$V$117:$X$151,VLOOKUP(AX1041,Foundation_Calc!$I$10:$J$13,2,FALSE),0),"")))</f>
        <v/>
      </c>
      <c r="N1041" s="449"/>
      <c r="O1041" s="449"/>
      <c r="P1041" s="449"/>
      <c r="Q1041" s="4"/>
      <c r="R1041" s="6"/>
      <c r="S1041" s="6"/>
      <c r="T1041" s="4"/>
      <c r="U1041" s="4"/>
      <c r="V1041" s="4"/>
      <c r="W1041" s="9"/>
      <c r="X1041" s="9"/>
      <c r="Y1041" s="9"/>
      <c r="Z1041" s="9"/>
      <c r="AA1041" s="9"/>
      <c r="AB1041" s="9"/>
      <c r="AC1041" s="449" t="str">
        <f t="shared" si="122"/>
        <v/>
      </c>
      <c r="AD1041" s="449"/>
      <c r="AE1041" s="449"/>
      <c r="AF1041" s="4"/>
      <c r="AG1041" s="83"/>
      <c r="AH1041" s="4"/>
      <c r="AI1041" s="4"/>
      <c r="AJ1041" s="449"/>
      <c r="AK1041" s="449"/>
      <c r="AL1041" s="449"/>
      <c r="AM1041" s="449"/>
      <c r="AN1041" s="10"/>
      <c r="AO1041" s="9"/>
      <c r="AP1041" s="9"/>
      <c r="AQ1041" s="9">
        <f>+FL_2($T$1042,$T$1040,$G$1041,1200,9.28,-1*$F$1042)</f>
        <v>-0.45400350967741931</v>
      </c>
      <c r="AR1041" s="9"/>
      <c r="AS1041" s="9"/>
      <c r="AT1041" s="9"/>
      <c r="AU1041" s="428"/>
      <c r="AV1041" s="428"/>
      <c r="AW1041" s="449" t="str">
        <f>IF(C1041&gt;0,VLOOKUP(C1041,Foundation_Calc!$A$2:$C$13,3,1),
IF(J1041&gt;0,VLOOKUP(J1041,Foundation_Calc!$A$2:$C$13,3,1),""))</f>
        <v/>
      </c>
      <c r="AX1041" s="449" t="str">
        <f>IF(C1041&gt;0,VLOOKUP(C1041,Foundation_Calc!$E$2:$G$33,3,1),
IF(J1041&gt;0,VLOOKUP(J1041,Foundation_Calc!$E$2:$G$33,3,1),""))</f>
        <v/>
      </c>
      <c r="AY1041" s="10" t="str">
        <f>IF(L1041="","",
IF(AX1041="PT",VLOOKUP(L1041,Foundation_Calc!$K$79:$R$113,VLOOKUP(AW1041,Foundation_Calc!$I$2:$J$8,2,FALSE),0),
IF(AX1041="K",VLOOKUP(L1041,Foundation_Calc!$K$117:$R$151,VLOOKUP(AW1041,Foundation_Calc!$I$2:$J$8,2,FALSE),0),"")))</f>
        <v/>
      </c>
      <c r="AZ1041" s="10" t="str">
        <f>IF(K1041="","",
IF(AX1041="PT",VLOOKUP(K1041,Foundation_Calc!$K$79:$R$113,VLOOKUP(AW1041,Foundation_Calc!$I$2:$J$8,2,FALSE),0),
IF(AX1041="K",VLOOKUP(K1041,Foundation_Calc!$K$117:$R$151,VLOOKUP(AW1041,Foundation_Calc!$I$2:$J$8,2,FALSE),0),"")))</f>
        <v/>
      </c>
      <c r="BA1041" s="495" t="str">
        <f t="shared" si="119"/>
        <v/>
      </c>
      <c r="BB1041" s="495" t="str">
        <f t="shared" si="120"/>
        <v/>
      </c>
      <c r="BC1041" s="495" t="str">
        <f t="shared" si="121"/>
        <v/>
      </c>
      <c r="BD1041" s="513" t="str">
        <f>IF(AND(L1041="",H1041=""),"",
IF(H1041="",Pole_Calc!A$9,
IF(H1041="MP",Pole_Calc!A$10,
IF(H1041="AnMP",Pole_Calc!A$11,
IF(H1041="A",Pole_Calc!A$12,
IF(H1041="S/A",Pole_Calc!A$13,
IF(H1041="A/S",Pole_Calc!A$14,"Poner a mano")))))))</f>
        <v/>
      </c>
      <c r="BE1041" s="429" t="s">
        <v>118</v>
      </c>
      <c r="BF1041" s="290"/>
      <c r="BG1041" s="290"/>
      <c r="BH1041" s="290"/>
      <c r="BI1041" s="290"/>
    </row>
    <row r="1042" spans="1:61" ht="15.75" customHeight="1">
      <c r="A1042" s="514"/>
      <c r="B1042" s="450" t="s">
        <v>790</v>
      </c>
      <c r="C1042" s="3">
        <f>+$C$1040+$G$1041</f>
        <v>55184.63</v>
      </c>
      <c r="D1042" s="83"/>
      <c r="E1042" s="4"/>
      <c r="F1042" s="4">
        <f>IF(C1042&gt;0,VLOOKUP(C1042,'ALIGNMENT TRACK'!$A$1:$K$81,9,1))</f>
        <v>0</v>
      </c>
      <c r="G1042" s="6"/>
      <c r="H1042" s="449"/>
      <c r="I1042" s="4"/>
      <c r="J1042" s="3"/>
      <c r="K1042" s="449"/>
      <c r="L1042" s="449" t="s">
        <v>153</v>
      </c>
      <c r="M1042" s="449" t="str">
        <f>IF(L1042="","",
IF(AX1042="PT",VLOOKUP(L1042,Foundation_Calc!$V$79:$X$113,VLOOKUP(AX1042,Foundation_Calc!$I$10:$J$13,2,FALSE),0),
IF(AX1042="K",VLOOKUP(L1042,Foundation_Calc!$V$117:$X$151,VLOOKUP(AX1042,Foundation_Calc!$I$10:$J$13,2,FALSE),0),"")))</f>
        <v>C3R</v>
      </c>
      <c r="N1042" s="449" t="s">
        <v>124</v>
      </c>
      <c r="O1042" s="449"/>
      <c r="P1042" s="449"/>
      <c r="Q1042" s="4"/>
      <c r="R1042" s="6"/>
      <c r="S1042" s="6"/>
      <c r="T1042" s="4">
        <v>-35</v>
      </c>
      <c r="U1042" s="4"/>
      <c r="V1042" s="4"/>
      <c r="W1042" s="9">
        <v>1.4</v>
      </c>
      <c r="X1042" s="9"/>
      <c r="Y1042" s="9"/>
      <c r="Z1042" s="9"/>
      <c r="AA1042" s="9"/>
      <c r="AB1042" s="9"/>
      <c r="AC1042" s="449" t="str">
        <f t="shared" si="122"/>
        <v>PH</v>
      </c>
      <c r="AD1042" s="449"/>
      <c r="AE1042" s="449"/>
      <c r="AF1042" s="4"/>
      <c r="AG1042" s="83"/>
      <c r="AH1042" s="4"/>
      <c r="AI1042" s="4"/>
      <c r="AJ1042" s="449"/>
      <c r="AK1042" s="449"/>
      <c r="AL1042" s="449"/>
      <c r="AM1042" s="449" t="s">
        <v>552</v>
      </c>
      <c r="AN1042" s="10">
        <v>5.5</v>
      </c>
      <c r="AO1042" s="9"/>
      <c r="AP1042" s="9"/>
      <c r="AQ1042" s="9"/>
      <c r="AR1042" s="9"/>
      <c r="AS1042" s="9"/>
      <c r="AT1042" s="9">
        <f>+ab($T$1042,$T$1040,$T$1044,$G$1041,$G$1043,-1*$F$1042,1200)</f>
        <v>-8.4366201521118445</v>
      </c>
      <c r="AU1042" s="428"/>
      <c r="AV1042" s="428"/>
      <c r="AW1042" s="449" t="str">
        <f>IF(C1042&gt;0,VLOOKUP(C1042,Foundation_Calc!$A$2:$C$13,3,1),
IF(J1042&gt;0,VLOOKUP(J1042,Foundation_Calc!$A$2:$C$13,3,1),""))</f>
        <v>Multi Soil</v>
      </c>
      <c r="AX1042" s="449" t="str">
        <f>IF(C1042&gt;0,VLOOKUP(C1042,Foundation_Calc!$E$2:$G$33,3,1),
IF(J1042&gt;0,VLOOKUP(J1042,Foundation_Calc!$E$2:$G$33,3,1),""))</f>
        <v>PT</v>
      </c>
      <c r="AY1042" s="10">
        <f>IF(L1042="","",
IF(AX1042="PT",VLOOKUP(L1042,Foundation_Calc!$K$79:$R$113,VLOOKUP(AW1042,Foundation_Calc!$I$2:$J$8,2,FALSE),0),
IF(AX1042="K",VLOOKUP(L1042,Foundation_Calc!$K$117:$R$151,VLOOKUP(AW1042,Foundation_Calc!$I$2:$J$8,2,FALSE),0),"")))</f>
        <v>3.5</v>
      </c>
      <c r="AZ1042" s="10" t="str">
        <f>IF(K1042="","",
IF(AX1042="PT",VLOOKUP(K1042,Foundation_Calc!$K$79:$R$113,VLOOKUP(AW1042,Foundation_Calc!$I$2:$J$8,2,FALSE),0),
IF(AX1042="K",VLOOKUP(K1042,Foundation_Calc!$K$117:$R$151,VLOOKUP(AW1042,Foundation_Calc!$I$2:$J$8,2,FALSE),0),"")))</f>
        <v/>
      </c>
      <c r="BA1042" s="495" t="str">
        <f t="shared" si="119"/>
        <v>ü</v>
      </c>
      <c r="BB1042" s="495" t="str">
        <f t="shared" si="120"/>
        <v/>
      </c>
      <c r="BC1042" s="495" t="str">
        <f t="shared" si="121"/>
        <v/>
      </c>
      <c r="BD1042" s="513" t="str">
        <f>IF(AND(L1042="",H1042=""),"",
IF(H1042="",Pole_Calc!A$9,
IF(H1042="MP",Pole_Calc!A$10,
IF(H1042="AnMP",Pole_Calc!A$11,
IF(H1042="A",Pole_Calc!A$12,
IF(H1042="S/A",Pole_Calc!A$13,
IF(H1042="A/S",Pole_Calc!A$14,"Poner a mano")))))))</f>
        <v>App.7-V11I-P9.5.1.1</v>
      </c>
      <c r="BE1042" s="429" t="s">
        <v>118</v>
      </c>
      <c r="BF1042" s="289"/>
      <c r="BG1042" s="289"/>
      <c r="BH1042" s="290"/>
      <c r="BI1042" s="289"/>
    </row>
    <row r="1043" spans="1:61" ht="15.75" customHeight="1">
      <c r="A1043" s="514"/>
      <c r="B1043" s="450"/>
      <c r="C1043" s="3"/>
      <c r="D1043" s="83"/>
      <c r="E1043" s="4"/>
      <c r="F1043" s="4"/>
      <c r="G1043" s="6">
        <v>62</v>
      </c>
      <c r="H1043" s="449"/>
      <c r="I1043" s="4"/>
      <c r="J1043" s="3"/>
      <c r="K1043" s="449"/>
      <c r="L1043" s="449"/>
      <c r="M1043" s="449" t="str">
        <f>IF(L1043="","",
IF(AX1043="PT",VLOOKUP(L1043,Foundation_Calc!$V$79:$X$113,VLOOKUP(AX1043,Foundation_Calc!$I$10:$J$13,2,FALSE),0),
IF(AX1043="K",VLOOKUP(L1043,Foundation_Calc!$V$117:$X$151,VLOOKUP(AX1043,Foundation_Calc!$I$10:$J$13,2,FALSE),0),"")))</f>
        <v/>
      </c>
      <c r="N1043" s="449"/>
      <c r="O1043" s="449"/>
      <c r="P1043" s="449"/>
      <c r="Q1043" s="4"/>
      <c r="R1043" s="6"/>
      <c r="S1043" s="6"/>
      <c r="T1043" s="4"/>
      <c r="U1043" s="4"/>
      <c r="V1043" s="4"/>
      <c r="W1043" s="9"/>
      <c r="X1043" s="9"/>
      <c r="Y1043" s="9"/>
      <c r="Z1043" s="9"/>
      <c r="AA1043" s="9"/>
      <c r="AB1043" s="9"/>
      <c r="AC1043" s="449" t="str">
        <f t="shared" si="122"/>
        <v/>
      </c>
      <c r="AD1043" s="449"/>
      <c r="AE1043" s="449"/>
      <c r="AF1043" s="4"/>
      <c r="AG1043" s="83"/>
      <c r="AH1043" s="4"/>
      <c r="AI1043" s="4"/>
      <c r="AJ1043" s="449"/>
      <c r="AK1043" s="449"/>
      <c r="AL1043" s="449"/>
      <c r="AM1043" s="449"/>
      <c r="AN1043" s="10"/>
      <c r="AO1043" s="9"/>
      <c r="AP1043" s="9"/>
      <c r="AQ1043" s="9">
        <f>+FL_1($T$1044,$T$1042,$G$1043,1200,9.28,-1*$F$1044)</f>
        <v>0.45400350967741931</v>
      </c>
      <c r="AR1043" s="9"/>
      <c r="AS1043" s="9"/>
      <c r="AT1043" s="9"/>
      <c r="AU1043" s="428"/>
      <c r="AV1043" s="428"/>
      <c r="AW1043" s="449" t="str">
        <f>IF(C1043&gt;0,VLOOKUP(C1043,Foundation_Calc!$A$2:$C$13,3,1),
IF(J1043&gt;0,VLOOKUP(J1043,Foundation_Calc!$A$2:$C$13,3,1),""))</f>
        <v/>
      </c>
      <c r="AX1043" s="449" t="str">
        <f>IF(C1043&gt;0,VLOOKUP(C1043,Foundation_Calc!$E$2:$G$33,3,1),
IF(J1043&gt;0,VLOOKUP(J1043,Foundation_Calc!$E$2:$G$33,3,1),""))</f>
        <v/>
      </c>
      <c r="AY1043" s="10" t="str">
        <f>IF(L1043="","",
IF(AX1043="PT",VLOOKUP(L1043,Foundation_Calc!$K$79:$R$113,VLOOKUP(AW1043,Foundation_Calc!$I$2:$J$8,2,FALSE),0),
IF(AX1043="K",VLOOKUP(L1043,Foundation_Calc!$K$117:$R$151,VLOOKUP(AW1043,Foundation_Calc!$I$2:$J$8,2,FALSE),0),"")))</f>
        <v/>
      </c>
      <c r="AZ1043" s="10" t="str">
        <f>IF(K1043="","",
IF(AX1043="PT",VLOOKUP(K1043,Foundation_Calc!$K$79:$R$113,VLOOKUP(AW1043,Foundation_Calc!$I$2:$J$8,2,FALSE),0),
IF(AX1043="K",VLOOKUP(K1043,Foundation_Calc!$K$117:$R$151,VLOOKUP(AW1043,Foundation_Calc!$I$2:$J$8,2,FALSE),0),"")))</f>
        <v/>
      </c>
      <c r="BA1043" s="495" t="str">
        <f t="shared" ref="BA1043:BA1106" si="123">IF(AY1043="","",IF(AY1043&gt;0,"ü",""))</f>
        <v/>
      </c>
      <c r="BB1043" s="495" t="str">
        <f t="shared" ref="BB1043:BB1106" si="124">IF(AZ1043="","",IF(AZ1043&gt;0,"ü",""))</f>
        <v/>
      </c>
      <c r="BC1043" s="495" t="str">
        <f t="shared" ref="BC1043:BC1106" si="125">IF(M1043="","",IF(M1043="U.S.","ü",IF(M1043="U.S. N.D.","ü","")))</f>
        <v/>
      </c>
      <c r="BD1043" s="513" t="str">
        <f>IF(AND(L1043="",H1043=""),"",
IF(H1043="",Pole_Calc!A$9,
IF(H1043="MP",Pole_Calc!A$10,
IF(H1043="AnMP",Pole_Calc!A$11,
IF(H1043="A",Pole_Calc!A$12,
IF(H1043="S/A",Pole_Calc!A$13,
IF(H1043="A/S",Pole_Calc!A$14,"Poner a mano")))))))</f>
        <v/>
      </c>
      <c r="BE1043" s="429" t="s">
        <v>118</v>
      </c>
      <c r="BF1043" s="290"/>
      <c r="BG1043" s="290"/>
      <c r="BH1043" s="290"/>
      <c r="BI1043" s="290"/>
    </row>
    <row r="1044" spans="1:61" ht="15.75" customHeight="1">
      <c r="A1044" s="518"/>
      <c r="B1044" s="450" t="s">
        <v>791</v>
      </c>
      <c r="C1044" s="3">
        <f>+$C$1042+$G$1043</f>
        <v>55246.63</v>
      </c>
      <c r="D1044" s="83"/>
      <c r="E1044" s="4"/>
      <c r="F1044" s="4">
        <f>IF(C1044&gt;0,VLOOKUP(C1044,'ALIGNMENT TRACK'!$A$1:$K$81,9,1))</f>
        <v>0</v>
      </c>
      <c r="G1044" s="6"/>
      <c r="H1044" s="449"/>
      <c r="I1044" s="4"/>
      <c r="J1044" s="3"/>
      <c r="K1044" s="449"/>
      <c r="L1044" s="449" t="s">
        <v>153</v>
      </c>
      <c r="M1044" s="449" t="str">
        <f>IF(L1044="","",
IF(AX1044="PT",VLOOKUP(L1044,Foundation_Calc!$V$79:$X$113,VLOOKUP(AX1044,Foundation_Calc!$I$10:$J$13,2,FALSE),0),
IF(AX1044="K",VLOOKUP(L1044,Foundation_Calc!$V$117:$X$151,VLOOKUP(AX1044,Foundation_Calc!$I$10:$J$13,2,FALSE),0),"")))</f>
        <v>C3R</v>
      </c>
      <c r="N1044" s="449" t="s">
        <v>134</v>
      </c>
      <c r="O1044" s="449"/>
      <c r="P1044" s="449"/>
      <c r="Q1044" s="4"/>
      <c r="R1044" s="6"/>
      <c r="S1044" s="6"/>
      <c r="T1044" s="4">
        <v>35</v>
      </c>
      <c r="U1044" s="4"/>
      <c r="V1044" s="4"/>
      <c r="W1044" s="9">
        <v>1.4</v>
      </c>
      <c r="X1044" s="9"/>
      <c r="Y1044" s="9"/>
      <c r="Z1044" s="9"/>
      <c r="AA1044" s="9"/>
      <c r="AB1044" s="9"/>
      <c r="AC1044" s="449" t="str">
        <f t="shared" si="122"/>
        <v>PH</v>
      </c>
      <c r="AD1044" s="449"/>
      <c r="AE1044" s="449"/>
      <c r="AF1044" s="4"/>
      <c r="AG1044" s="83"/>
      <c r="AH1044" s="4"/>
      <c r="AI1044" s="4"/>
      <c r="AJ1044" s="449"/>
      <c r="AK1044" s="449"/>
      <c r="AL1044" s="449"/>
      <c r="AM1044" s="449" t="s">
        <v>552</v>
      </c>
      <c r="AN1044" s="10">
        <v>5.5</v>
      </c>
      <c r="AO1044" s="9"/>
      <c r="AP1044" s="9"/>
      <c r="AQ1044" s="9"/>
      <c r="AR1044" s="9"/>
      <c r="AS1044" s="9"/>
      <c r="AT1044" s="9">
        <f>+ab($T$1044,$T$1042,$T$1046,$G$1043,$G$1045,-1*$F$1044,1200)</f>
        <v>8.4365744899000195</v>
      </c>
      <c r="AU1044" s="428"/>
      <c r="AV1044" s="428"/>
      <c r="AW1044" s="449" t="str">
        <f>IF(C1044&gt;0,VLOOKUP(C1044,Foundation_Calc!$A$2:$C$13,3,1),
IF(J1044&gt;0,VLOOKUP(J1044,Foundation_Calc!$A$2:$C$13,3,1),""))</f>
        <v>Multi Soil</v>
      </c>
      <c r="AX1044" s="449" t="str">
        <f>IF(C1044&gt;0,VLOOKUP(C1044,Foundation_Calc!$E$2:$G$33,3,1),
IF(J1044&gt;0,VLOOKUP(J1044,Foundation_Calc!$E$2:$G$33,3,1),""))</f>
        <v>PT</v>
      </c>
      <c r="AY1044" s="10">
        <f>IF(L1044="","",
IF(AX1044="PT",VLOOKUP(L1044,Foundation_Calc!$K$79:$R$113,VLOOKUP(AW1044,Foundation_Calc!$I$2:$J$8,2,FALSE),0),
IF(AX1044="K",VLOOKUP(L1044,Foundation_Calc!$K$117:$R$151,VLOOKUP(AW1044,Foundation_Calc!$I$2:$J$8,2,FALSE),0),"")))</f>
        <v>3.5</v>
      </c>
      <c r="AZ1044" s="10" t="str">
        <f>IF(K1044="","",
IF(AX1044="PT",VLOOKUP(K1044,Foundation_Calc!$K$79:$R$113,VLOOKUP(AW1044,Foundation_Calc!$I$2:$J$8,2,FALSE),0),
IF(AX1044="K",VLOOKUP(K1044,Foundation_Calc!$K$117:$R$151,VLOOKUP(AW1044,Foundation_Calc!$I$2:$J$8,2,FALSE),0),"")))</f>
        <v/>
      </c>
      <c r="BA1044" s="495" t="str">
        <f t="shared" si="123"/>
        <v>ü</v>
      </c>
      <c r="BB1044" s="495" t="str">
        <f t="shared" si="124"/>
        <v/>
      </c>
      <c r="BC1044" s="495" t="str">
        <f t="shared" si="125"/>
        <v/>
      </c>
      <c r="BD1044" s="513" t="str">
        <f>IF(AND(L1044="",H1044=""),"",
IF(H1044="",Pole_Calc!A$9,
IF(H1044="MP",Pole_Calc!A$10,
IF(H1044="AnMP",Pole_Calc!A$11,
IF(H1044="A",Pole_Calc!A$12,
IF(H1044="S/A",Pole_Calc!A$13,
IF(H1044="A/S",Pole_Calc!A$14,"Poner a mano")))))))</f>
        <v>App.7-V11I-P9.5.1.1</v>
      </c>
      <c r="BE1044" s="429" t="s">
        <v>118</v>
      </c>
      <c r="BF1044" s="289"/>
      <c r="BG1044" s="289"/>
      <c r="BH1044" s="290"/>
      <c r="BI1044" s="289"/>
    </row>
    <row r="1045" spans="1:61" ht="15.75" customHeight="1">
      <c r="A1045" s="518"/>
      <c r="B1045" s="450"/>
      <c r="C1045" s="3"/>
      <c r="D1045" s="83"/>
      <c r="E1045" s="4"/>
      <c r="F1045" s="4"/>
      <c r="G1045" s="6">
        <v>62</v>
      </c>
      <c r="H1045" s="449"/>
      <c r="I1045" s="4"/>
      <c r="J1045" s="3"/>
      <c r="K1045" s="449"/>
      <c r="L1045" s="449"/>
      <c r="M1045" s="449" t="str">
        <f>IF(L1045="","",
IF(AX1045="PT",VLOOKUP(L1045,Foundation_Calc!$V$79:$X$113,VLOOKUP(AX1045,Foundation_Calc!$I$10:$J$13,2,FALSE),0),
IF(AX1045="K",VLOOKUP(L1045,Foundation_Calc!$V$117:$X$151,VLOOKUP(AX1045,Foundation_Calc!$I$10:$J$13,2,FALSE),0),"")))</f>
        <v/>
      </c>
      <c r="N1045" s="561"/>
      <c r="O1045" s="449"/>
      <c r="P1045" s="449"/>
      <c r="Q1045" s="4"/>
      <c r="R1045" s="6"/>
      <c r="S1045" s="6"/>
      <c r="T1045" s="4"/>
      <c r="U1045" s="4"/>
      <c r="V1045" s="4"/>
      <c r="W1045" s="9"/>
      <c r="X1045" s="9"/>
      <c r="Y1045" s="9"/>
      <c r="Z1045" s="9"/>
      <c r="AA1045" s="9"/>
      <c r="AB1045" s="9"/>
      <c r="AC1045" s="449" t="str">
        <f t="shared" si="122"/>
        <v/>
      </c>
      <c r="AD1045" s="449"/>
      <c r="AE1045" s="449"/>
      <c r="AF1045" s="4"/>
      <c r="AG1045" s="83"/>
      <c r="AH1045" s="4"/>
      <c r="AI1045" s="4"/>
      <c r="AJ1045" s="449"/>
      <c r="AK1045" s="449"/>
      <c r="AL1045" s="449"/>
      <c r="AM1045" s="449"/>
      <c r="AN1045" s="10"/>
      <c r="AO1045" s="9"/>
      <c r="AP1045" s="9"/>
      <c r="AQ1045" s="9">
        <f>+FL_2($T$1046,$T$1044,$G$1045,1200,9.28,-1*$F$1046)</f>
        <v>-0.45400350967741931</v>
      </c>
      <c r="AR1045" s="9"/>
      <c r="AS1045" s="9"/>
      <c r="AT1045" s="9"/>
      <c r="AU1045" s="428"/>
      <c r="AV1045" s="428"/>
      <c r="AW1045" s="449" t="str">
        <f>IF(C1045&gt;0,VLOOKUP(C1045,Foundation_Calc!$A$2:$C$13,3,1),
IF(J1045&gt;0,VLOOKUP(J1045,Foundation_Calc!$A$2:$C$13,3,1),""))</f>
        <v/>
      </c>
      <c r="AX1045" s="449" t="str">
        <f>IF(C1045&gt;0,VLOOKUP(C1045,Foundation_Calc!$E$2:$G$33,3,1),
IF(J1045&gt;0,VLOOKUP(J1045,Foundation_Calc!$E$2:$G$33,3,1),""))</f>
        <v/>
      </c>
      <c r="AY1045" s="10" t="str">
        <f>IF(L1045="","",
IF(AX1045="PT",VLOOKUP(L1045,Foundation_Calc!$K$79:$R$113,VLOOKUP(AW1045,Foundation_Calc!$I$2:$J$8,2,FALSE),0),
IF(AX1045="K",VLOOKUP(L1045,Foundation_Calc!$K$117:$R$151,VLOOKUP(AW1045,Foundation_Calc!$I$2:$J$8,2,FALSE),0),"")))</f>
        <v/>
      </c>
      <c r="AZ1045" s="10" t="str">
        <f>IF(K1045="","",
IF(AX1045="PT",VLOOKUP(K1045,Foundation_Calc!$K$79:$R$113,VLOOKUP(AW1045,Foundation_Calc!$I$2:$J$8,2,FALSE),0),
IF(AX1045="K",VLOOKUP(K1045,Foundation_Calc!$K$117:$R$151,VLOOKUP(AW1045,Foundation_Calc!$I$2:$J$8,2,FALSE),0),"")))</f>
        <v/>
      </c>
      <c r="BA1045" s="495" t="str">
        <f t="shared" si="123"/>
        <v/>
      </c>
      <c r="BB1045" s="495" t="str">
        <f t="shared" si="124"/>
        <v/>
      </c>
      <c r="BC1045" s="495" t="str">
        <f t="shared" si="125"/>
        <v/>
      </c>
      <c r="BD1045" s="513" t="str">
        <f>IF(AND(L1045="",H1045=""),"",
IF(H1045="",Pole_Calc!A$9,
IF(H1045="MP",Pole_Calc!A$10,
IF(H1045="AnMP",Pole_Calc!A$11,
IF(H1045="A",Pole_Calc!A$12,
IF(H1045="S/A",Pole_Calc!A$13,
IF(H1045="A/S",Pole_Calc!A$14,"Poner a mano")))))))</f>
        <v/>
      </c>
      <c r="BE1045" s="429" t="s">
        <v>118</v>
      </c>
      <c r="BF1045" s="290"/>
      <c r="BG1045" s="290"/>
      <c r="BH1045" s="290"/>
      <c r="BI1045" s="290"/>
    </row>
    <row r="1046" spans="1:61" ht="15.75" customHeight="1">
      <c r="A1046" s="514"/>
      <c r="B1046" s="450" t="s">
        <v>792</v>
      </c>
      <c r="C1046" s="3">
        <f>+$C$1044+$G$1045</f>
        <v>55308.63</v>
      </c>
      <c r="D1046" s="83"/>
      <c r="E1046" s="4"/>
      <c r="F1046" s="4">
        <f>IF(C1046&gt;0,VLOOKUP(C1046,'ALIGNMENT TRACK'!$A$1:$K$81,9,1))</f>
        <v>0</v>
      </c>
      <c r="G1046" s="6"/>
      <c r="H1046" s="449"/>
      <c r="I1046" s="4"/>
      <c r="J1046" s="3"/>
      <c r="K1046" s="449"/>
      <c r="L1046" s="449" t="s">
        <v>153</v>
      </c>
      <c r="M1046" s="449" t="str">
        <f>IF(L1046="","",
IF(AX1046="PT",VLOOKUP(L1046,Foundation_Calc!$V$79:$X$113,VLOOKUP(AX1046,Foundation_Calc!$I$10:$J$13,2,FALSE),0),
IF(AX1046="K",VLOOKUP(L1046,Foundation_Calc!$V$117:$X$151,VLOOKUP(AX1046,Foundation_Calc!$I$10:$J$13,2,FALSE),0),"")))</f>
        <v>C3R</v>
      </c>
      <c r="N1046" s="449" t="s">
        <v>124</v>
      </c>
      <c r="O1046" s="449"/>
      <c r="P1046" s="449"/>
      <c r="Q1046" s="4"/>
      <c r="R1046" s="6"/>
      <c r="S1046" s="6"/>
      <c r="T1046" s="4">
        <v>-35</v>
      </c>
      <c r="U1046" s="4"/>
      <c r="V1046" s="4"/>
      <c r="W1046" s="9">
        <v>1.4</v>
      </c>
      <c r="X1046" s="9"/>
      <c r="Y1046" s="9"/>
      <c r="Z1046" s="9"/>
      <c r="AA1046" s="9"/>
      <c r="AB1046" s="9"/>
      <c r="AC1046" s="449" t="str">
        <f t="shared" si="122"/>
        <v>PH</v>
      </c>
      <c r="AD1046" s="449"/>
      <c r="AE1046" s="449"/>
      <c r="AF1046" s="4"/>
      <c r="AG1046" s="83"/>
      <c r="AH1046" s="4"/>
      <c r="AI1046" s="4"/>
      <c r="AJ1046" s="449"/>
      <c r="AK1046" s="449"/>
      <c r="AL1046" s="449"/>
      <c r="AM1046" s="449" t="s">
        <v>552</v>
      </c>
      <c r="AN1046" s="10">
        <v>5.5</v>
      </c>
      <c r="AO1046" s="9"/>
      <c r="AP1046" s="9"/>
      <c r="AQ1046" s="9"/>
      <c r="AR1046" s="9"/>
      <c r="AS1046" s="9"/>
      <c r="AT1046" s="9">
        <f>+ab($T$1046,$T$1044,$T$1048,$G$1045,$G$1047,-1*$F$1046,1200)</f>
        <v>-8.4366201521118445</v>
      </c>
      <c r="AU1046" s="428"/>
      <c r="AV1046" s="428"/>
      <c r="AW1046" s="449" t="str">
        <f>IF(C1046&gt;0,VLOOKUP(C1046,Foundation_Calc!$A$2:$C$13,3,1),
IF(J1046&gt;0,VLOOKUP(J1046,Foundation_Calc!$A$2:$C$13,3,1),""))</f>
        <v>Multi Soil</v>
      </c>
      <c r="AX1046" s="449" t="str">
        <f>IF(C1046&gt;0,VLOOKUP(C1046,Foundation_Calc!$E$2:$G$33,3,1),
IF(J1046&gt;0,VLOOKUP(J1046,Foundation_Calc!$E$2:$G$33,3,1),""))</f>
        <v>PT</v>
      </c>
      <c r="AY1046" s="10">
        <f>IF(L1046="","",
IF(AX1046="PT",VLOOKUP(L1046,Foundation_Calc!$K$79:$R$113,VLOOKUP(AW1046,Foundation_Calc!$I$2:$J$8,2,FALSE),0),
IF(AX1046="K",VLOOKUP(L1046,Foundation_Calc!$K$117:$R$151,VLOOKUP(AW1046,Foundation_Calc!$I$2:$J$8,2,FALSE),0),"")))</f>
        <v>3.5</v>
      </c>
      <c r="AZ1046" s="10" t="str">
        <f>IF(K1046="","",
IF(AX1046="PT",VLOOKUP(K1046,Foundation_Calc!$K$79:$R$113,VLOOKUP(AW1046,Foundation_Calc!$I$2:$J$8,2,FALSE),0),
IF(AX1046="K",VLOOKUP(K1046,Foundation_Calc!$K$117:$R$151,VLOOKUP(AW1046,Foundation_Calc!$I$2:$J$8,2,FALSE),0),"")))</f>
        <v/>
      </c>
      <c r="BA1046" s="495" t="str">
        <f t="shared" si="123"/>
        <v>ü</v>
      </c>
      <c r="BB1046" s="495" t="str">
        <f t="shared" si="124"/>
        <v/>
      </c>
      <c r="BC1046" s="495" t="str">
        <f t="shared" si="125"/>
        <v/>
      </c>
      <c r="BD1046" s="513" t="str">
        <f>IF(AND(L1046="",H1046=""),"",
IF(H1046="",Pole_Calc!A$9,
IF(H1046="MP",Pole_Calc!A$10,
IF(H1046="AnMP",Pole_Calc!A$11,
IF(H1046="A",Pole_Calc!A$12,
IF(H1046="S/A",Pole_Calc!A$13,
IF(H1046="A/S",Pole_Calc!A$14,"Poner a mano")))))))</f>
        <v>App.7-V11I-P9.5.1.1</v>
      </c>
      <c r="BE1046" s="429" t="s">
        <v>118</v>
      </c>
      <c r="BF1046" s="289"/>
      <c r="BG1046" s="289"/>
      <c r="BH1046" s="290"/>
      <c r="BI1046" s="289"/>
    </row>
    <row r="1047" spans="1:61" ht="15.6" customHeight="1">
      <c r="A1047" s="514"/>
      <c r="B1047" s="450"/>
      <c r="C1047" s="3"/>
      <c r="D1047" s="83"/>
      <c r="E1047" s="4"/>
      <c r="F1047" s="4"/>
      <c r="G1047" s="6">
        <v>62</v>
      </c>
      <c r="H1047" s="449"/>
      <c r="I1047" s="4"/>
      <c r="J1047" s="3">
        <f>C1048-7.5</f>
        <v>55363.13</v>
      </c>
      <c r="K1047" s="449" t="s">
        <v>117</v>
      </c>
      <c r="L1047" s="449"/>
      <c r="M1047" s="449" t="str">
        <f>IF(L1047="","",
IF(AX1047="PT",VLOOKUP(L1047,Foundation_Calc!$V$79:$X$113,VLOOKUP(AX1047,Foundation_Calc!$I$10:$J$13,2,FALSE),0),
IF(AX1047="K",VLOOKUP(L1047,Foundation_Calc!$V$117:$X$151,VLOOKUP(AX1047,Foundation_Calc!$I$10:$J$13,2,FALSE),0),"")))</f>
        <v/>
      </c>
      <c r="N1047" s="449"/>
      <c r="O1047" s="449"/>
      <c r="P1047" s="449"/>
      <c r="Q1047" s="4"/>
      <c r="R1047" s="6"/>
      <c r="S1047" s="6"/>
      <c r="T1047" s="4"/>
      <c r="U1047" s="4"/>
      <c r="V1047" s="4"/>
      <c r="W1047" s="9"/>
      <c r="X1047" s="9"/>
      <c r="Y1047" s="9"/>
      <c r="Z1047" s="9"/>
      <c r="AA1047" s="9"/>
      <c r="AB1047" s="9"/>
      <c r="AC1047" s="449" t="str">
        <f t="shared" si="122"/>
        <v/>
      </c>
      <c r="AD1047" s="449"/>
      <c r="AE1047" s="449"/>
      <c r="AF1047" s="4"/>
      <c r="AG1047" s="83"/>
      <c r="AH1047" s="4"/>
      <c r="AI1047" s="4"/>
      <c r="AJ1047" s="449"/>
      <c r="AK1047" s="449"/>
      <c r="AL1047" s="449"/>
      <c r="AM1047" s="449"/>
      <c r="AN1047" s="10"/>
      <c r="AO1047" s="9"/>
      <c r="AP1047" s="9"/>
      <c r="AQ1047" s="9">
        <f>+FL_1($T$1048,$T$1046,$G$1047,1200,9.28,-1*$F$1048)</f>
        <v>0.45400350967741931</v>
      </c>
      <c r="AR1047" s="9"/>
      <c r="AS1047" s="9"/>
      <c r="AT1047" s="9"/>
      <c r="AU1047" s="428"/>
      <c r="AV1047" s="428"/>
      <c r="AW1047" s="449" t="str">
        <f>IF(C1047&gt;0,VLOOKUP(C1047,Foundation_Calc!$A$2:$C$13,3,1),
IF(J1047&gt;0,VLOOKUP(J1047,Foundation_Calc!$A$2:$C$13,3,1),""))</f>
        <v>Multi Soil</v>
      </c>
      <c r="AX1047" s="449" t="str">
        <f>IF(C1047&gt;0,VLOOKUP(C1047,Foundation_Calc!$E$2:$G$33,3,1),
IF(J1047&gt;0,VLOOKUP(J1047,Foundation_Calc!$E$2:$G$33,3,1),""))</f>
        <v>PT</v>
      </c>
      <c r="AY1047" s="10" t="str">
        <f>IF(L1047="","",
IF(AX1047="PT",VLOOKUP(L1047,Foundation_Calc!$K$79:$R$113,VLOOKUP(AW1047,Foundation_Calc!$I$2:$J$8,2,FALSE),0),
IF(AX1047="K",VLOOKUP(L1047,Foundation_Calc!$K$117:$R$151,VLOOKUP(AW1047,Foundation_Calc!$I$2:$J$8,2,FALSE),0),"")))</f>
        <v/>
      </c>
      <c r="AZ1047" s="10">
        <f>IF(K1047="","",
IF(AX1047="PT",VLOOKUP(K1047,Foundation_Calc!$K$79:$R$113,VLOOKUP(AW1047,Foundation_Calc!$I$2:$J$8,2,FALSE),0),
IF(AX1047="K",VLOOKUP(K1047,Foundation_Calc!$K$117:$R$151,VLOOKUP(AW1047,Foundation_Calc!$I$2:$J$8,2,FALSE),0),"")))</f>
        <v>3.9</v>
      </c>
      <c r="BA1047" s="495" t="str">
        <f t="shared" si="123"/>
        <v/>
      </c>
      <c r="BB1047" s="495" t="str">
        <f t="shared" si="124"/>
        <v>ü</v>
      </c>
      <c r="BC1047" s="495" t="str">
        <f t="shared" si="125"/>
        <v/>
      </c>
      <c r="BD1047" s="513" t="str">
        <f>IF(AND(L1047="",H1047=""),"",
IF(H1047="",Pole_Calc!A$9,
IF(H1047="MP",Pole_Calc!A$10,
IF(H1047="AnMP",Pole_Calc!A$11,
IF(H1047="A",Pole_Calc!A$12,
IF(H1047="S/A",Pole_Calc!A$13,
IF(H1047="A/S",Pole_Calc!A$14,"Poner a mano")))))))</f>
        <v/>
      </c>
      <c r="BE1047" s="429" t="s">
        <v>118</v>
      </c>
      <c r="BF1047" s="290"/>
      <c r="BG1047" s="290"/>
      <c r="BH1047" s="290"/>
      <c r="BI1047" s="290"/>
    </row>
    <row r="1048" spans="1:61" ht="15.6" customHeight="1">
      <c r="A1048" s="514"/>
      <c r="B1048" s="450" t="s">
        <v>793</v>
      </c>
      <c r="C1048" s="3">
        <f>+$C$1046+$G$1047</f>
        <v>55370.63</v>
      </c>
      <c r="D1048" s="83"/>
      <c r="E1048" s="4"/>
      <c r="F1048" s="4">
        <f>IF(C1048&gt;0,VLOOKUP(C1048,'ALIGNMENT TRACK'!$A$1:$K$81,9,1))</f>
        <v>0</v>
      </c>
      <c r="G1048" s="6"/>
      <c r="H1048" s="449" t="s">
        <v>121</v>
      </c>
      <c r="I1048" s="4" t="s">
        <v>122</v>
      </c>
      <c r="J1048" s="3"/>
      <c r="K1048" s="449"/>
      <c r="L1048" s="449" t="s">
        <v>151</v>
      </c>
      <c r="M1048" s="449" t="str">
        <f>IF(L1048="","",
IF(AX1048="PT",VLOOKUP(L1048,Foundation_Calc!$V$79:$X$113,VLOOKUP(AX1048,Foundation_Calc!$I$10:$J$13,2,FALSE),0),
IF(AX1048="K",VLOOKUP(L1048,Foundation_Calc!$V$117:$X$151,VLOOKUP(AX1048,Foundation_Calc!$I$10:$J$13,2,FALSE),0),"")))</f>
        <v>C4R</v>
      </c>
      <c r="N1048" s="449" t="s">
        <v>134</v>
      </c>
      <c r="O1048" s="449"/>
      <c r="P1048" s="449"/>
      <c r="Q1048" s="4"/>
      <c r="R1048" s="6"/>
      <c r="S1048" s="6"/>
      <c r="T1048" s="4">
        <v>35</v>
      </c>
      <c r="U1048" s="4"/>
      <c r="V1048" s="4"/>
      <c r="W1048" s="9">
        <v>1.4</v>
      </c>
      <c r="X1048" s="9"/>
      <c r="Y1048" s="9"/>
      <c r="Z1048" s="9"/>
      <c r="AA1048" s="9"/>
      <c r="AB1048" s="9"/>
      <c r="AC1048" s="449" t="str">
        <f t="shared" si="122"/>
        <v>PH</v>
      </c>
      <c r="AD1048" s="449"/>
      <c r="AE1048" s="449"/>
      <c r="AF1048" s="4"/>
      <c r="AG1048" s="83"/>
      <c r="AH1048" s="4"/>
      <c r="AI1048" s="4"/>
      <c r="AJ1048" s="449"/>
      <c r="AK1048" s="449"/>
      <c r="AL1048" s="449"/>
      <c r="AM1048" s="449" t="s">
        <v>552</v>
      </c>
      <c r="AN1048" s="10">
        <v>5.5</v>
      </c>
      <c r="AO1048" s="9"/>
      <c r="AP1048" s="9"/>
      <c r="AQ1048" s="9"/>
      <c r="AR1048" s="9"/>
      <c r="AS1048" s="9"/>
      <c r="AT1048" s="9">
        <f>+ab($T$1048,$T$1046,$U$1050,$G$1047,$G$1049,-1*$F$1048,1200)</f>
        <v>8.4365744899000195</v>
      </c>
      <c r="AU1048" s="428"/>
      <c r="AV1048" s="428"/>
      <c r="AW1048" s="449" t="str">
        <f>IF(C1048&gt;0,VLOOKUP(C1048,Foundation_Calc!$A$2:$C$13,3,1),
IF(J1048&gt;0,VLOOKUP(J1048,Foundation_Calc!$A$2:$C$13,3,1),""))</f>
        <v>Multi Soil</v>
      </c>
      <c r="AX1048" s="449" t="str">
        <f>IF(C1048&gt;0,VLOOKUP(C1048,Foundation_Calc!$E$2:$G$33,3,1),
IF(J1048&gt;0,VLOOKUP(J1048,Foundation_Calc!$E$2:$G$33,3,1),""))</f>
        <v>PT</v>
      </c>
      <c r="AY1048" s="10">
        <f>IF(L1048="","",
IF(AX1048="PT",VLOOKUP(L1048,Foundation_Calc!$K$79:$R$113,VLOOKUP(AW1048,Foundation_Calc!$I$2:$J$8,2,FALSE),0),
IF(AX1048="K",VLOOKUP(L1048,Foundation_Calc!$K$117:$R$151,VLOOKUP(AW1048,Foundation_Calc!$I$2:$J$8,2,FALSE),0),"")))</f>
        <v>3.5</v>
      </c>
      <c r="AZ1048" s="10" t="str">
        <f>IF(K1048="","",
IF(AX1048="PT",VLOOKUP(K1048,Foundation_Calc!$K$79:$R$113,VLOOKUP(AW1048,Foundation_Calc!$I$2:$J$8,2,FALSE),0),
IF(AX1048="K",VLOOKUP(K1048,Foundation_Calc!$K$117:$R$151,VLOOKUP(AW1048,Foundation_Calc!$I$2:$J$8,2,FALSE),0),"")))</f>
        <v/>
      </c>
      <c r="BA1048" s="495" t="str">
        <f t="shared" si="123"/>
        <v>ü</v>
      </c>
      <c r="BB1048" s="495" t="str">
        <f t="shared" si="124"/>
        <v/>
      </c>
      <c r="BC1048" s="495" t="str">
        <f t="shared" si="125"/>
        <v/>
      </c>
      <c r="BD1048" s="513" t="str">
        <f>IF(AND(L1048="",H1048=""),"",
IF(H1048="",Pole_Calc!A$9,
IF(H1048="MP",Pole_Calc!A$10,
IF(H1048="AnMP",Pole_Calc!A$11,
IF(H1048="A",Pole_Calc!A$12,
IF(H1048="S/A",Pole_Calc!A$13,
IF(H1048="A/S",Pole_Calc!A$14,"Poner a mano")))))))</f>
        <v>App.7-V11I-P9.5.1.6</v>
      </c>
      <c r="BE1048" s="429" t="s">
        <v>118</v>
      </c>
      <c r="BF1048" s="289"/>
      <c r="BG1048" s="289"/>
      <c r="BH1048" s="290"/>
      <c r="BI1048" s="289"/>
    </row>
    <row r="1049" spans="1:61" ht="15.6" customHeight="1">
      <c r="A1049" s="514"/>
      <c r="B1049" s="450"/>
      <c r="C1049" s="3"/>
      <c r="D1049" s="83"/>
      <c r="E1049" s="4"/>
      <c r="F1049" s="4"/>
      <c r="G1049" s="6">
        <v>62</v>
      </c>
      <c r="H1049" s="449"/>
      <c r="I1049" s="4"/>
      <c r="J1049" s="3"/>
      <c r="K1049" s="449"/>
      <c r="L1049" s="449"/>
      <c r="M1049" s="449" t="str">
        <f>IF(L1049="","",
IF(AX1049="PT",VLOOKUP(L1049,Foundation_Calc!$V$79:$X$113,VLOOKUP(AX1049,Foundation_Calc!$I$10:$J$13,2,FALSE),0),
IF(AX1049="K",VLOOKUP(L1049,Foundation_Calc!$V$117:$X$151,VLOOKUP(AX1049,Foundation_Calc!$I$10:$J$13,2,FALSE),0),"")))</f>
        <v/>
      </c>
      <c r="N1049" s="449"/>
      <c r="O1049" s="449"/>
      <c r="P1049" s="449"/>
      <c r="Q1049" s="4"/>
      <c r="R1049" s="6"/>
      <c r="S1049" s="6"/>
      <c r="T1049" s="4"/>
      <c r="U1049" s="4"/>
      <c r="V1049" s="4"/>
      <c r="W1049" s="9"/>
      <c r="X1049" s="9"/>
      <c r="Y1049" s="9"/>
      <c r="Z1049" s="9"/>
      <c r="AA1049" s="9"/>
      <c r="AB1049" s="9"/>
      <c r="AC1049" s="449" t="str">
        <f t="shared" si="122"/>
        <v/>
      </c>
      <c r="AD1049" s="449"/>
      <c r="AE1049" s="449"/>
      <c r="AF1049" s="4"/>
      <c r="AG1049" s="83"/>
      <c r="AH1049" s="4"/>
      <c r="AI1049" s="4"/>
      <c r="AJ1049" s="449"/>
      <c r="AK1049" s="449"/>
      <c r="AL1049" s="449"/>
      <c r="AM1049" s="449"/>
      <c r="AN1049" s="10"/>
      <c r="AO1049" s="9"/>
      <c r="AP1049" s="9"/>
      <c r="AQ1049" s="9">
        <f>+FL_2($U$1050,$T$1048,$G$1049,1200,9.28,-1*$F$1050)</f>
        <v>-0.45400350967741931</v>
      </c>
      <c r="AR1049" s="9"/>
      <c r="AS1049" s="9"/>
      <c r="AT1049" s="9"/>
      <c r="AU1049" s="428"/>
      <c r="AV1049" s="428"/>
      <c r="AW1049" s="449" t="str">
        <f>IF(C1049&gt;0,VLOOKUP(C1049,Foundation_Calc!$A$2:$C$13,3,1),
IF(J1049&gt;0,VLOOKUP(J1049,Foundation_Calc!$A$2:$C$13,3,1),""))</f>
        <v/>
      </c>
      <c r="AX1049" s="449" t="str">
        <f>IF(C1049&gt;0,VLOOKUP(C1049,Foundation_Calc!$E$2:$G$33,3,1),
IF(J1049&gt;0,VLOOKUP(J1049,Foundation_Calc!$E$2:$G$33,3,1),""))</f>
        <v/>
      </c>
      <c r="AY1049" s="10" t="str">
        <f>IF(L1049="","",
IF(AX1049="PT",VLOOKUP(L1049,Foundation_Calc!$K$79:$R$113,VLOOKUP(AW1049,Foundation_Calc!$I$2:$J$8,2,FALSE),0),
IF(AX1049="K",VLOOKUP(L1049,Foundation_Calc!$K$117:$R$151,VLOOKUP(AW1049,Foundation_Calc!$I$2:$J$8,2,FALSE),0),"")))</f>
        <v/>
      </c>
      <c r="AZ1049" s="10" t="str">
        <f>IF(K1049="","",
IF(AX1049="PT",VLOOKUP(K1049,Foundation_Calc!$K$79:$R$113,VLOOKUP(AW1049,Foundation_Calc!$I$2:$J$8,2,FALSE),0),
IF(AX1049="K",VLOOKUP(K1049,Foundation_Calc!$K$117:$R$151,VLOOKUP(AW1049,Foundation_Calc!$I$2:$J$8,2,FALSE),0),"")))</f>
        <v/>
      </c>
      <c r="BA1049" s="495" t="str">
        <f t="shared" si="123"/>
        <v/>
      </c>
      <c r="BB1049" s="495" t="str">
        <f t="shared" si="124"/>
        <v/>
      </c>
      <c r="BC1049" s="495" t="str">
        <f t="shared" si="125"/>
        <v/>
      </c>
      <c r="BD1049" s="513" t="str">
        <f>IF(AND(L1049="",H1049=""),"",
IF(H1049="",Pole_Calc!A$9,
IF(H1049="MP",Pole_Calc!A$10,
IF(H1049="AnMP",Pole_Calc!A$11,
IF(H1049="A",Pole_Calc!A$12,
IF(H1049="S/A",Pole_Calc!A$13,
IF(H1049="A/S",Pole_Calc!A$14,"Poner a mano")))))))</f>
        <v/>
      </c>
      <c r="BE1049" s="429" t="s">
        <v>118</v>
      </c>
      <c r="BF1049" s="290"/>
      <c r="BG1049" s="290"/>
      <c r="BH1049" s="290"/>
      <c r="BI1049" s="290"/>
    </row>
    <row r="1050" spans="1:61" ht="15.6" customHeight="1">
      <c r="A1050" s="518"/>
      <c r="B1050" s="450" t="s">
        <v>794</v>
      </c>
      <c r="C1050" s="3">
        <f>+$C$1048+$G$1049</f>
        <v>55432.63</v>
      </c>
      <c r="D1050" s="83"/>
      <c r="E1050" s="4"/>
      <c r="F1050" s="4">
        <f>IF(C1050&gt;0,VLOOKUP(C1050,'ALIGNMENT TRACK'!$A$1:$K$81,9,1))</f>
        <v>0</v>
      </c>
      <c r="G1050" s="6"/>
      <c r="H1050" s="449" t="s">
        <v>131</v>
      </c>
      <c r="I1050" s="4"/>
      <c r="J1050" s="3"/>
      <c r="K1050" s="449"/>
      <c r="L1050" s="449" t="s">
        <v>158</v>
      </c>
      <c r="M1050" s="449" t="str">
        <f>IF(L1050="","",
IF(AX1050="PT",VLOOKUP(L1050,Foundation_Calc!$V$79:$X$113,VLOOKUP(AX1050,Foundation_Calc!$I$10:$J$13,2,FALSE),0),
IF(AX1050="K",VLOOKUP(L1050,Foundation_Calc!$V$117:$X$151,VLOOKUP(AX1050,Foundation_Calc!$I$10:$J$13,2,FALSE),0),"")))</f>
        <v>C4R</v>
      </c>
      <c r="N1050" s="449" t="s">
        <v>133</v>
      </c>
      <c r="O1050" s="449" t="s">
        <v>124</v>
      </c>
      <c r="P1050" s="449"/>
      <c r="Q1050" s="4"/>
      <c r="R1050" s="6"/>
      <c r="S1050" s="6"/>
      <c r="T1050" s="4">
        <v>-15</v>
      </c>
      <c r="U1050" s="4">
        <v>-35</v>
      </c>
      <c r="V1050" s="4"/>
      <c r="W1050" s="9">
        <v>1.4</v>
      </c>
      <c r="X1050" s="9">
        <v>2.2999999999999998</v>
      </c>
      <c r="Y1050" s="9"/>
      <c r="Z1050" s="9">
        <v>0.6</v>
      </c>
      <c r="AA1050" s="9"/>
      <c r="AB1050" s="9"/>
      <c r="AC1050" s="449"/>
      <c r="AD1050" s="449"/>
      <c r="AE1050" s="449"/>
      <c r="AF1050" s="4"/>
      <c r="AG1050" s="83"/>
      <c r="AH1050" s="4"/>
      <c r="AI1050" s="4"/>
      <c r="AJ1050" s="449"/>
      <c r="AK1050" s="449"/>
      <c r="AL1050" s="449"/>
      <c r="AM1050" s="449" t="s">
        <v>552</v>
      </c>
      <c r="AN1050" s="10">
        <v>5.5</v>
      </c>
      <c r="AO1050" s="9"/>
      <c r="AP1050" s="9"/>
      <c r="AQ1050" s="9"/>
      <c r="AR1050" s="9"/>
      <c r="AS1050" s="9"/>
      <c r="AT1050" s="9">
        <f>+ab($U$1050,$T$1048,$U$1052,$G$1049,$G$1051,-1*$F$1050,1200)</f>
        <v>-9.817269950503789</v>
      </c>
      <c r="AU1050" s="428"/>
      <c r="AV1050" s="428"/>
      <c r="AW1050" s="449" t="str">
        <f>IF(C1050&gt;0,VLOOKUP(C1050,Foundation_Calc!$A$2:$C$13,3,1),
IF(J1050&gt;0,VLOOKUP(J1050,Foundation_Calc!$A$2:$C$13,3,1),""))</f>
        <v>Multi Soil</v>
      </c>
      <c r="AX1050" s="449" t="str">
        <f>IF(C1050&gt;0,VLOOKUP(C1050,Foundation_Calc!$E$2:$G$33,3,1),
IF(J1050&gt;0,VLOOKUP(J1050,Foundation_Calc!$E$2:$G$33,3,1),""))</f>
        <v>PT</v>
      </c>
      <c r="AY1050" s="10">
        <f>IF(L1050="","",
IF(AX1050="PT",VLOOKUP(L1050,Foundation_Calc!$K$79:$R$113,VLOOKUP(AW1050,Foundation_Calc!$I$2:$J$8,2,FALSE),0),
IF(AX1050="K",VLOOKUP(L1050,Foundation_Calc!$K$117:$R$151,VLOOKUP(AW1050,Foundation_Calc!$I$2:$J$8,2,FALSE),0),"")))</f>
        <v>3.5</v>
      </c>
      <c r="AZ1050" s="10" t="str">
        <f>IF(K1050="","",
IF(AX1050="PT",VLOOKUP(K1050,Foundation_Calc!$K$79:$R$113,VLOOKUP(AW1050,Foundation_Calc!$I$2:$J$8,2,FALSE),0),
IF(AX1050="K",VLOOKUP(K1050,Foundation_Calc!$K$117:$R$151,VLOOKUP(AW1050,Foundation_Calc!$I$2:$J$8,2,FALSE),0),"")))</f>
        <v/>
      </c>
      <c r="BA1050" s="495" t="str">
        <f t="shared" si="123"/>
        <v>ü</v>
      </c>
      <c r="BB1050" s="495" t="str">
        <f t="shared" si="124"/>
        <v/>
      </c>
      <c r="BC1050" s="495" t="str">
        <f t="shared" si="125"/>
        <v/>
      </c>
      <c r="BD1050" s="513" t="str">
        <f>IF(AND(L1050="",H1050=""),"",
IF(H1050="",Pole_Calc!A$9,
IF(H1050="MP",Pole_Calc!A$10,
IF(H1050="AnMP",Pole_Calc!A$11,
IF(H1050="A",Pole_Calc!A$12,
IF(H1050="S/A",Pole_Calc!A$13,
IF(H1050="A/S",Pole_Calc!A$14,"Poner a mano")))))))</f>
        <v>App.7-V11I-P9.5.1.5</v>
      </c>
      <c r="BE1050" s="429" t="s">
        <v>118</v>
      </c>
      <c r="BF1050" s="289"/>
      <c r="BG1050" s="289"/>
      <c r="BH1050" s="290"/>
      <c r="BI1050" s="289"/>
    </row>
    <row r="1051" spans="1:61" ht="15.6" customHeight="1">
      <c r="A1051" s="518"/>
      <c r="B1051" s="450"/>
      <c r="C1051" s="3"/>
      <c r="D1051" s="83"/>
      <c r="E1051" s="4"/>
      <c r="F1051" s="4"/>
      <c r="G1051" s="6">
        <v>62</v>
      </c>
      <c r="H1051" s="449"/>
      <c r="I1051" s="4"/>
      <c r="J1051" s="3"/>
      <c r="K1051" s="449"/>
      <c r="L1051" s="449"/>
      <c r="M1051" s="449" t="str">
        <f>IF(L1051="","",
IF(AX1051="PT",VLOOKUP(L1051,Foundation_Calc!$V$79:$X$113,VLOOKUP(AX1051,Foundation_Calc!$I$10:$J$13,2,FALSE),0),
IF(AX1051="K",VLOOKUP(L1051,Foundation_Calc!$V$117:$X$151,VLOOKUP(AX1051,Foundation_Calc!$I$10:$J$13,2,FALSE),0),"")))</f>
        <v/>
      </c>
      <c r="N1051" s="561"/>
      <c r="O1051" s="449"/>
      <c r="P1051" s="449"/>
      <c r="Q1051" s="4"/>
      <c r="R1051" s="6"/>
      <c r="S1051" s="6"/>
      <c r="T1051" s="4"/>
      <c r="U1051" s="4"/>
      <c r="V1051" s="4"/>
      <c r="W1051" s="9"/>
      <c r="X1051" s="9"/>
      <c r="Y1051" s="9"/>
      <c r="Z1051" s="9"/>
      <c r="AA1051" s="9"/>
      <c r="AB1051" s="9"/>
      <c r="AC1051" s="449" t="str">
        <f t="shared" si="122"/>
        <v/>
      </c>
      <c r="AD1051" s="449"/>
      <c r="AE1051" s="449"/>
      <c r="AF1051" s="4"/>
      <c r="AG1051" s="83"/>
      <c r="AH1051" s="4"/>
      <c r="AI1051" s="4"/>
      <c r="AJ1051" s="449"/>
      <c r="AK1051" s="449"/>
      <c r="AL1051" s="449"/>
      <c r="AM1051" s="449"/>
      <c r="AN1051" s="10"/>
      <c r="AO1051" s="9"/>
      <c r="AP1051" s="9"/>
      <c r="AQ1051" s="9">
        <f>+FL_1($T$1052,$U$1050,$G$1051,1200,9.28,-1*$F$1052)</f>
        <v>0.45400350967741931</v>
      </c>
      <c r="AR1051" s="9"/>
      <c r="AS1051" s="9"/>
      <c r="AT1051" s="9"/>
      <c r="AU1051" s="428"/>
      <c r="AV1051" s="428"/>
      <c r="AW1051" s="449" t="str">
        <f>IF(C1051&gt;0,VLOOKUP(C1051,Foundation_Calc!$A$2:$C$13,3,1),
IF(J1051&gt;0,VLOOKUP(J1051,Foundation_Calc!$A$2:$C$13,3,1),""))</f>
        <v/>
      </c>
      <c r="AX1051" s="449" t="str">
        <f>IF(C1051&gt;0,VLOOKUP(C1051,Foundation_Calc!$E$2:$G$33,3,1),
IF(J1051&gt;0,VLOOKUP(J1051,Foundation_Calc!$E$2:$G$33,3,1),""))</f>
        <v/>
      </c>
      <c r="AY1051" s="10" t="str">
        <f>IF(L1051="","",
IF(AX1051="PT",VLOOKUP(L1051,Foundation_Calc!$K$79:$R$113,VLOOKUP(AW1051,Foundation_Calc!$I$2:$J$8,2,FALSE),0),
IF(AX1051="K",VLOOKUP(L1051,Foundation_Calc!$K$117:$R$151,VLOOKUP(AW1051,Foundation_Calc!$I$2:$J$8,2,FALSE),0),"")))</f>
        <v/>
      </c>
      <c r="AZ1051" s="10" t="str">
        <f>IF(K1051="","",
IF(AX1051="PT",VLOOKUP(K1051,Foundation_Calc!$K$79:$R$113,VLOOKUP(AW1051,Foundation_Calc!$I$2:$J$8,2,FALSE),0),
IF(AX1051="K",VLOOKUP(K1051,Foundation_Calc!$K$117:$R$151,VLOOKUP(AW1051,Foundation_Calc!$I$2:$J$8,2,FALSE),0),"")))</f>
        <v/>
      </c>
      <c r="BA1051" s="495" t="str">
        <f t="shared" si="123"/>
        <v/>
      </c>
      <c r="BB1051" s="495" t="str">
        <f t="shared" si="124"/>
        <v/>
      </c>
      <c r="BC1051" s="495" t="str">
        <f t="shared" si="125"/>
        <v/>
      </c>
      <c r="BD1051" s="513" t="str">
        <f>IF(AND(L1051="",H1051=""),"",
IF(H1051="",Pole_Calc!A$9,
IF(H1051="MP",Pole_Calc!A$10,
IF(H1051="AnMP",Pole_Calc!A$11,
IF(H1051="A",Pole_Calc!A$12,
IF(H1051="S/A",Pole_Calc!A$13,
IF(H1051="A/S",Pole_Calc!A$14,"Poner a mano")))))))</f>
        <v/>
      </c>
      <c r="BE1051" s="429" t="s">
        <v>118</v>
      </c>
      <c r="BF1051" s="290"/>
      <c r="BG1051" s="290"/>
      <c r="BH1051" s="290"/>
      <c r="BI1051" s="290"/>
    </row>
    <row r="1052" spans="1:61" ht="15.6" customHeight="1">
      <c r="A1052" s="514"/>
      <c r="B1052" s="450" t="s">
        <v>795</v>
      </c>
      <c r="C1052" s="3">
        <f>+$C$1050+$G$1051</f>
        <v>55494.63</v>
      </c>
      <c r="D1052" s="83"/>
      <c r="E1052" s="4"/>
      <c r="F1052" s="4">
        <f>IF(C1052&gt;0,VLOOKUP(C1052,'ALIGNMENT TRACK'!$A$1:$K$81,9,1))</f>
        <v>0</v>
      </c>
      <c r="G1052" s="6"/>
      <c r="H1052" s="449" t="s">
        <v>131</v>
      </c>
      <c r="I1052" s="4"/>
      <c r="J1052" s="3"/>
      <c r="K1052" s="449"/>
      <c r="L1052" s="449" t="s">
        <v>158</v>
      </c>
      <c r="M1052" s="449" t="str">
        <f>IF(L1052="","",
IF(AX1052="PT",VLOOKUP(L1052,Foundation_Calc!$V$79:$X$113,VLOOKUP(AX1052,Foundation_Calc!$I$10:$J$13,2,FALSE),0),
IF(AX1052="K",VLOOKUP(L1052,Foundation_Calc!$V$117:$X$151,VLOOKUP(AX1052,Foundation_Calc!$I$10:$J$13,2,FALSE),0),"")))</f>
        <v>C4R</v>
      </c>
      <c r="N1052" s="449" t="s">
        <v>134</v>
      </c>
      <c r="O1052" s="449" t="s">
        <v>133</v>
      </c>
      <c r="P1052" s="449"/>
      <c r="Q1052" s="4"/>
      <c r="R1052" s="6"/>
      <c r="S1052" s="6"/>
      <c r="T1052" s="4">
        <v>35</v>
      </c>
      <c r="U1052" s="4">
        <v>15</v>
      </c>
      <c r="V1052" s="4"/>
      <c r="W1052" s="9">
        <v>1.4</v>
      </c>
      <c r="X1052" s="9">
        <v>2.2999999999999998</v>
      </c>
      <c r="Y1052" s="9"/>
      <c r="Z1052" s="9"/>
      <c r="AA1052" s="9">
        <v>0.6</v>
      </c>
      <c r="AB1052" s="9"/>
      <c r="AC1052" s="449" t="str">
        <f t="shared" si="122"/>
        <v>PH</v>
      </c>
      <c r="AD1052" s="449"/>
      <c r="AE1052" s="449"/>
      <c r="AF1052" s="4"/>
      <c r="AG1052" s="83"/>
      <c r="AH1052" s="4"/>
      <c r="AI1052" s="4"/>
      <c r="AJ1052" s="449"/>
      <c r="AK1052" s="449"/>
      <c r="AL1052" s="449"/>
      <c r="AM1052" s="449" t="s">
        <v>552</v>
      </c>
      <c r="AN1052" s="10">
        <v>5.5</v>
      </c>
      <c r="AO1052" s="9"/>
      <c r="AP1052" s="9"/>
      <c r="AQ1052" s="9"/>
      <c r="AR1052" s="9"/>
      <c r="AS1052" s="9"/>
      <c r="AT1052" s="9">
        <f>+ab($T$1052,$T$1050,$T$1054,$G$1051,$G$1053,-1*$F$1052,1200)</f>
        <v>9.6335023281421872</v>
      </c>
      <c r="AU1052" s="428"/>
      <c r="AV1052" s="428"/>
      <c r="AW1052" s="449" t="str">
        <f>IF(C1052&gt;0,VLOOKUP(C1052,Foundation_Calc!$A$2:$C$13,3,1),
IF(J1052&gt;0,VLOOKUP(J1052,Foundation_Calc!$A$2:$C$13,3,1),""))</f>
        <v>Multi Soil</v>
      </c>
      <c r="AX1052" s="449" t="str">
        <f>IF(C1052&gt;0,VLOOKUP(C1052,Foundation_Calc!$E$2:$G$33,3,1),
IF(J1052&gt;0,VLOOKUP(J1052,Foundation_Calc!$E$2:$G$33,3,1),""))</f>
        <v>PT</v>
      </c>
      <c r="AY1052" s="10">
        <f>IF(L1052="","",
IF(AX1052="PT",VLOOKUP(L1052,Foundation_Calc!$K$79:$R$113,VLOOKUP(AW1052,Foundation_Calc!$I$2:$J$8,2,FALSE),0),
IF(AX1052="K",VLOOKUP(L1052,Foundation_Calc!$K$117:$R$151,VLOOKUP(AW1052,Foundation_Calc!$I$2:$J$8,2,FALSE),0),"")))</f>
        <v>3.5</v>
      </c>
      <c r="AZ1052" s="10" t="str">
        <f>IF(K1052="","",
IF(AX1052="PT",VLOOKUP(K1052,Foundation_Calc!$K$79:$R$113,VLOOKUP(AW1052,Foundation_Calc!$I$2:$J$8,2,FALSE),0),
IF(AX1052="K",VLOOKUP(K1052,Foundation_Calc!$K$117:$R$151,VLOOKUP(AW1052,Foundation_Calc!$I$2:$J$8,2,FALSE),0),"")))</f>
        <v/>
      </c>
      <c r="BA1052" s="495" t="str">
        <f t="shared" si="123"/>
        <v>ü</v>
      </c>
      <c r="BB1052" s="495" t="str">
        <f t="shared" si="124"/>
        <v/>
      </c>
      <c r="BC1052" s="495" t="str">
        <f t="shared" si="125"/>
        <v/>
      </c>
      <c r="BD1052" s="513" t="str">
        <f>IF(AND(L1052="",H1052=""),"",
IF(H1052="",Pole_Calc!A$9,
IF(H1052="MP",Pole_Calc!A$10,
IF(H1052="AnMP",Pole_Calc!A$11,
IF(H1052="A",Pole_Calc!A$12,
IF(H1052="S/A",Pole_Calc!A$13,
IF(H1052="A/S",Pole_Calc!A$14,"Poner a mano")))))))</f>
        <v>App.7-V11I-P9.5.1.5</v>
      </c>
      <c r="BE1052" s="429" t="s">
        <v>118</v>
      </c>
      <c r="BF1052" s="289"/>
      <c r="BG1052" s="289"/>
      <c r="BH1052" s="290"/>
      <c r="BI1052" s="289"/>
    </row>
    <row r="1053" spans="1:61" ht="15.6" customHeight="1">
      <c r="A1053" s="514" t="s">
        <v>169</v>
      </c>
      <c r="B1053" s="450"/>
      <c r="C1053" s="3"/>
      <c r="D1053" s="83"/>
      <c r="E1053" s="4"/>
      <c r="F1053" s="4"/>
      <c r="G1053" s="6">
        <v>60</v>
      </c>
      <c r="H1053" s="449"/>
      <c r="I1053" s="4"/>
      <c r="J1053" s="3"/>
      <c r="K1053" s="449"/>
      <c r="L1053" s="449"/>
      <c r="M1053" s="449" t="str">
        <f>IF(L1053="","",
IF(AX1053="PT",VLOOKUP(L1053,Foundation_Calc!$V$79:$X$113,VLOOKUP(AX1053,Foundation_Calc!$I$10:$J$13,2,FALSE),0),
IF(AX1053="K",VLOOKUP(L1053,Foundation_Calc!$V$117:$X$151,VLOOKUP(AX1053,Foundation_Calc!$I$10:$J$13,2,FALSE),0),"")))</f>
        <v/>
      </c>
      <c r="N1053" s="449"/>
      <c r="O1053" s="449"/>
      <c r="P1053" s="449"/>
      <c r="Q1053" s="4"/>
      <c r="R1053" s="6"/>
      <c r="S1053" s="6"/>
      <c r="T1053" s="4"/>
      <c r="U1053" s="4"/>
      <c r="V1053" s="4"/>
      <c r="W1053" s="9"/>
      <c r="X1053" s="9"/>
      <c r="Y1053" s="9"/>
      <c r="Z1053" s="9"/>
      <c r="AA1053" s="9"/>
      <c r="AB1053" s="9"/>
      <c r="AC1053" s="449" t="str">
        <f t="shared" si="122"/>
        <v/>
      </c>
      <c r="AD1053" s="449"/>
      <c r="AE1053" s="449"/>
      <c r="AF1053" s="4"/>
      <c r="AG1053" s="83"/>
      <c r="AH1053" s="4"/>
      <c r="AI1053" s="4"/>
      <c r="AJ1053" s="449"/>
      <c r="AK1053" s="449"/>
      <c r="AL1053" s="449"/>
      <c r="AM1053" s="449"/>
      <c r="AN1053" s="10"/>
      <c r="AO1053" s="9"/>
      <c r="AP1053" s="9"/>
      <c r="AQ1053" s="9">
        <f>+FL_2($T$1054,$T$1052,$G$1053,1200,9.28,-1*$F$1054)</f>
        <v>-0.43600286799999999</v>
      </c>
      <c r="AR1053" s="9"/>
      <c r="AS1053" s="9"/>
      <c r="AT1053" s="9"/>
      <c r="AU1053" s="428"/>
      <c r="AV1053" s="428"/>
      <c r="AW1053" s="449" t="str">
        <f>IF(C1053&gt;0,VLOOKUP(C1053,Foundation_Calc!$A$2:$C$13,3,1),
IF(J1053&gt;0,VLOOKUP(J1053,Foundation_Calc!$A$2:$C$13,3,1),""))</f>
        <v/>
      </c>
      <c r="AX1053" s="449" t="str">
        <f>IF(C1053&gt;0,VLOOKUP(C1053,Foundation_Calc!$E$2:$G$33,3,1),
IF(J1053&gt;0,VLOOKUP(J1053,Foundation_Calc!$E$2:$G$33,3,1),""))</f>
        <v/>
      </c>
      <c r="AY1053" s="10" t="str">
        <f>IF(L1053="","",
IF(AX1053="PT",VLOOKUP(L1053,Foundation_Calc!$K$79:$R$113,VLOOKUP(AW1053,Foundation_Calc!$I$2:$J$8,2,FALSE),0),
IF(AX1053="K",VLOOKUP(L1053,Foundation_Calc!$K$117:$R$151,VLOOKUP(AW1053,Foundation_Calc!$I$2:$J$8,2,FALSE),0),"")))</f>
        <v/>
      </c>
      <c r="AZ1053" s="10" t="str">
        <f>IF(K1053="","",
IF(AX1053="PT",VLOOKUP(K1053,Foundation_Calc!$K$79:$R$113,VLOOKUP(AW1053,Foundation_Calc!$I$2:$J$8,2,FALSE),0),
IF(AX1053="K",VLOOKUP(K1053,Foundation_Calc!$K$117:$R$151,VLOOKUP(AW1053,Foundation_Calc!$I$2:$J$8,2,FALSE),0),"")))</f>
        <v/>
      </c>
      <c r="BA1053" s="495" t="str">
        <f t="shared" si="123"/>
        <v/>
      </c>
      <c r="BB1053" s="495" t="str">
        <f t="shared" si="124"/>
        <v/>
      </c>
      <c r="BC1053" s="495" t="str">
        <f t="shared" si="125"/>
        <v/>
      </c>
      <c r="BD1053" s="513" t="str">
        <f>IF(AND(L1053="",H1053=""),"",
IF(H1053="",Pole_Calc!A$9,
IF(H1053="MP",Pole_Calc!A$10,
IF(H1053="AnMP",Pole_Calc!A$11,
IF(H1053="A",Pole_Calc!A$12,
IF(H1053="S/A",Pole_Calc!A$13,
IF(H1053="A/S",Pole_Calc!A$14,"Poner a mano")))))))</f>
        <v/>
      </c>
      <c r="BE1053" s="429" t="s">
        <v>118</v>
      </c>
      <c r="BF1053" s="290"/>
      <c r="BG1053" s="290"/>
      <c r="BH1053" s="290"/>
      <c r="BI1053" s="290"/>
    </row>
    <row r="1054" spans="1:61" ht="15.6" customHeight="1">
      <c r="A1054" s="514"/>
      <c r="B1054" s="450" t="s">
        <v>796</v>
      </c>
      <c r="C1054" s="3">
        <f>+$C$1052+$G$1053+0.49</f>
        <v>55555.119999999995</v>
      </c>
      <c r="D1054" s="83"/>
      <c r="E1054" s="4"/>
      <c r="F1054" s="4">
        <f>IF(C1054&gt;0,VLOOKUP(C1054,'ALIGNMENT TRACK'!$A$1:$K$81,9,1))</f>
        <v>0</v>
      </c>
      <c r="G1054" s="6"/>
      <c r="H1054" s="449" t="s">
        <v>121</v>
      </c>
      <c r="I1054" s="4" t="s">
        <v>122</v>
      </c>
      <c r="J1054" s="3"/>
      <c r="K1054" s="449"/>
      <c r="L1054" s="449" t="s">
        <v>151</v>
      </c>
      <c r="M1054" s="449" t="str">
        <f>IF(L1054="","",
IF(AX1054="PT",VLOOKUP(L1054,Foundation_Calc!$V$79:$X$113,VLOOKUP(AX1054,Foundation_Calc!$I$10:$J$13,2,FALSE),0),
IF(AX1054="K",VLOOKUP(L1054,Foundation_Calc!$V$117:$X$151,VLOOKUP(AX1054,Foundation_Calc!$I$10:$J$13,2,FALSE),0),"")))</f>
        <v>C4R</v>
      </c>
      <c r="N1054" s="449" t="s">
        <v>124</v>
      </c>
      <c r="O1054" s="449"/>
      <c r="P1054" s="449"/>
      <c r="Q1054" s="4"/>
      <c r="R1054" s="6"/>
      <c r="S1054" s="6"/>
      <c r="T1054" s="4">
        <v>-35</v>
      </c>
      <c r="U1054" s="4"/>
      <c r="V1054" s="4"/>
      <c r="W1054" s="9">
        <v>1.4</v>
      </c>
      <c r="X1054" s="9"/>
      <c r="Y1054" s="9"/>
      <c r="Z1054" s="9"/>
      <c r="AA1054" s="9"/>
      <c r="AB1054" s="9"/>
      <c r="AC1054" s="449" t="str">
        <f t="shared" si="122"/>
        <v>PHQ</v>
      </c>
      <c r="AD1054" s="449"/>
      <c r="AE1054" s="449"/>
      <c r="AF1054" s="4"/>
      <c r="AG1054" s="83"/>
      <c r="AH1054" s="4"/>
      <c r="AI1054" s="4"/>
      <c r="AJ1054" s="449"/>
      <c r="AK1054" s="449"/>
      <c r="AL1054" s="449"/>
      <c r="AM1054" s="449" t="s">
        <v>552</v>
      </c>
      <c r="AN1054" s="10">
        <v>5.5</v>
      </c>
      <c r="AO1054" s="9"/>
      <c r="AP1054" s="9"/>
      <c r="AQ1054" s="9"/>
      <c r="AR1054" s="9"/>
      <c r="AS1054" s="9"/>
      <c r="AT1054" s="9">
        <f>+ab($T$1054,$T$1052,$T$1056,$G$1053,$G$1055,-1*$F$1054,1200)</f>
        <v>-7.8175501667728815</v>
      </c>
      <c r="AU1054" s="428"/>
      <c r="AV1054" s="428"/>
      <c r="AW1054" s="449" t="str">
        <f>IF(C1054&gt;0,VLOOKUP(C1054,Foundation_Calc!$A$2:$C$13,3,1),
IF(J1054&gt;0,VLOOKUP(J1054,Foundation_Calc!$A$2:$C$13,3,1),""))</f>
        <v>Multi Soil</v>
      </c>
      <c r="AX1054" s="449" t="str">
        <f>IF(C1054&gt;0,VLOOKUP(C1054,Foundation_Calc!$E$2:$G$33,3,1),
IF(J1054&gt;0,VLOOKUP(J1054,Foundation_Calc!$E$2:$G$33,3,1),""))</f>
        <v>PT</v>
      </c>
      <c r="AY1054" s="10">
        <f>IF(L1054="","",
IF(AX1054="PT",VLOOKUP(L1054,Foundation_Calc!$K$79:$R$113,VLOOKUP(AW1054,Foundation_Calc!$I$2:$J$8,2,FALSE),0),
IF(AX1054="K",VLOOKUP(L1054,Foundation_Calc!$K$117:$R$151,VLOOKUP(AW1054,Foundation_Calc!$I$2:$J$8,2,FALSE),0),"")))</f>
        <v>3.5</v>
      </c>
      <c r="AZ1054" s="10" t="str">
        <f>IF(K1054="","",
IF(AX1054="PT",VLOOKUP(K1054,Foundation_Calc!$K$79:$R$113,VLOOKUP(AW1054,Foundation_Calc!$I$2:$J$8,2,FALSE),0),
IF(AX1054="K",VLOOKUP(K1054,Foundation_Calc!$K$117:$R$151,VLOOKUP(AW1054,Foundation_Calc!$I$2:$J$8,2,FALSE),0),"")))</f>
        <v/>
      </c>
      <c r="BA1054" s="495" t="str">
        <f t="shared" si="123"/>
        <v>ü</v>
      </c>
      <c r="BB1054" s="495" t="str">
        <f t="shared" si="124"/>
        <v/>
      </c>
      <c r="BC1054" s="495" t="str">
        <f t="shared" si="125"/>
        <v/>
      </c>
      <c r="BD1054" s="513" t="str">
        <f>IF(AND(L1054="",H1054=""),"",
IF(H1054="",Pole_Calc!A$9,
IF(H1054="MP",Pole_Calc!A$10,
IF(H1054="AnMP",Pole_Calc!A$11,
IF(H1054="A",Pole_Calc!A$12,
IF(H1054="S/A",Pole_Calc!A$13,
IF(H1054="A/S",Pole_Calc!A$14,"Poner a mano")))))))</f>
        <v>App.7-V11I-P9.5.1.6</v>
      </c>
      <c r="BE1054" s="429" t="s">
        <v>118</v>
      </c>
      <c r="BF1054" s="289"/>
      <c r="BG1054" s="289"/>
      <c r="BH1054" s="290"/>
      <c r="BI1054" s="289"/>
    </row>
    <row r="1055" spans="1:61" ht="15.6" customHeight="1">
      <c r="A1055" s="514"/>
      <c r="B1055" s="450"/>
      <c r="C1055" s="3"/>
      <c r="D1055" s="83"/>
      <c r="E1055" s="4"/>
      <c r="F1055" s="4"/>
      <c r="G1055" s="6">
        <v>55</v>
      </c>
      <c r="H1055" s="449"/>
      <c r="I1055" s="4"/>
      <c r="J1055" s="3">
        <f>C1054+7.5</f>
        <v>55562.619999999995</v>
      </c>
      <c r="K1055" s="449" t="s">
        <v>117</v>
      </c>
      <c r="L1055" s="449"/>
      <c r="M1055" s="449" t="str">
        <f>IF(L1055="","",
IF(AX1055="PT",VLOOKUP(L1055,Foundation_Calc!$V$79:$X$113,VLOOKUP(AX1055,Foundation_Calc!$I$10:$J$13,2,FALSE),0),
IF(AX1055="K",VLOOKUP(L1055,Foundation_Calc!$V$117:$X$151,VLOOKUP(AX1055,Foundation_Calc!$I$10:$J$13,2,FALSE),0),"")))</f>
        <v/>
      </c>
      <c r="N1055" s="449"/>
      <c r="O1055" s="449"/>
      <c r="P1055" s="449"/>
      <c r="Q1055" s="4"/>
      <c r="R1055" s="6"/>
      <c r="S1055" s="6"/>
      <c r="T1055" s="4"/>
      <c r="U1055" s="4"/>
      <c r="V1055" s="4"/>
      <c r="W1055" s="9"/>
      <c r="X1055" s="9"/>
      <c r="Y1055" s="9"/>
      <c r="Z1055" s="9"/>
      <c r="AA1055" s="9"/>
      <c r="AB1055" s="9"/>
      <c r="AC1055" s="449" t="str">
        <f t="shared" si="122"/>
        <v/>
      </c>
      <c r="AD1055" s="449"/>
      <c r="AE1055" s="449"/>
      <c r="AF1055" s="4"/>
      <c r="AG1055" s="83"/>
      <c r="AH1055" s="4"/>
      <c r="AI1055" s="4"/>
      <c r="AJ1055" s="449"/>
      <c r="AK1055" s="449"/>
      <c r="AL1055" s="449"/>
      <c r="AM1055" s="449"/>
      <c r="AN1055" s="10"/>
      <c r="AO1055" s="9"/>
      <c r="AP1055" s="9"/>
      <c r="AQ1055" s="9">
        <f>+FL_2($T$1056,$T$1054,$G$1055,1200,9.28,-1*$F$1056)</f>
        <v>-0.39714735709090898</v>
      </c>
      <c r="AR1055" s="9"/>
      <c r="AS1055" s="9"/>
      <c r="AT1055" s="9"/>
      <c r="AU1055" s="428"/>
      <c r="AV1055" s="428"/>
      <c r="AW1055" s="449" t="str">
        <f>IF(C1055&gt;0,VLOOKUP(C1055,Foundation_Calc!$A$2:$C$13,3,1),
IF(J1055&gt;0,VLOOKUP(J1055,Foundation_Calc!$A$2:$C$13,3,1),""))</f>
        <v>Multi Soil</v>
      </c>
      <c r="AX1055" s="449" t="str">
        <f>IF(C1055&gt;0,VLOOKUP(C1055,Foundation_Calc!$E$2:$G$33,3,1),
IF(J1055&gt;0,VLOOKUP(J1055,Foundation_Calc!$E$2:$G$33,3,1),""))</f>
        <v>PT</v>
      </c>
      <c r="AY1055" s="10" t="str">
        <f>IF(L1055="","",
IF(AX1055="PT",VLOOKUP(L1055,Foundation_Calc!$K$79:$R$113,VLOOKUP(AW1055,Foundation_Calc!$I$2:$J$8,2,FALSE),0),
IF(AX1055="K",VLOOKUP(L1055,Foundation_Calc!$K$117:$R$151,VLOOKUP(AW1055,Foundation_Calc!$I$2:$J$8,2,FALSE),0),"")))</f>
        <v/>
      </c>
      <c r="AZ1055" s="10">
        <f>IF(K1055="","",
IF(AX1055="PT",VLOOKUP(K1055,Foundation_Calc!$K$79:$R$113,VLOOKUP(AW1055,Foundation_Calc!$I$2:$J$8,2,FALSE),0),
IF(AX1055="K",VLOOKUP(K1055,Foundation_Calc!$K$117:$R$151,VLOOKUP(AW1055,Foundation_Calc!$I$2:$J$8,2,FALSE),0),"")))</f>
        <v>3.9</v>
      </c>
      <c r="BA1055" s="495" t="str">
        <f t="shared" si="123"/>
        <v/>
      </c>
      <c r="BB1055" s="495" t="str">
        <f t="shared" si="124"/>
        <v>ü</v>
      </c>
      <c r="BC1055" s="495" t="str">
        <f t="shared" si="125"/>
        <v/>
      </c>
      <c r="BD1055" s="513" t="str">
        <f>IF(AND(L1055="",H1055=""),"",
IF(H1055="",Pole_Calc!A$9,
IF(H1055="MP",Pole_Calc!A$10,
IF(H1055="AnMP",Pole_Calc!A$11,
IF(H1055="A",Pole_Calc!A$12,
IF(H1055="S/A",Pole_Calc!A$13,
IF(H1055="A/S",Pole_Calc!A$14,"Poner a mano")))))))</f>
        <v/>
      </c>
      <c r="BE1055" s="429" t="s">
        <v>118</v>
      </c>
      <c r="BF1055" s="290"/>
      <c r="BG1055" s="290"/>
      <c r="BH1055" s="290"/>
      <c r="BI1055" s="290"/>
    </row>
    <row r="1056" spans="1:61" ht="15.6" customHeight="1">
      <c r="A1056" s="518"/>
      <c r="B1056" s="450" t="s">
        <v>797</v>
      </c>
      <c r="C1056" s="3">
        <f>+$C$1054+$G$1055</f>
        <v>55610.119999999995</v>
      </c>
      <c r="D1056" s="83"/>
      <c r="E1056" s="4"/>
      <c r="F1056" s="4">
        <f>IF(C1056&gt;0,VLOOKUP(C1056,'ALIGNMENT TRACK'!$A$1:$K$81,9,1))</f>
        <v>0</v>
      </c>
      <c r="G1056" s="6"/>
      <c r="H1056" s="449"/>
      <c r="I1056" s="4"/>
      <c r="J1056" s="3"/>
      <c r="K1056" s="449"/>
      <c r="L1056" s="449" t="s">
        <v>153</v>
      </c>
      <c r="M1056" s="449" t="str">
        <f>IF(L1056="","",
IF(AX1056="PT",VLOOKUP(L1056,Foundation_Calc!$V$79:$X$113,VLOOKUP(AX1056,Foundation_Calc!$I$10:$J$13,2,FALSE),0),
IF(AX1056="K",VLOOKUP(L1056,Foundation_Calc!$V$117:$X$151,VLOOKUP(AX1056,Foundation_Calc!$I$10:$J$13,2,FALSE),0),"")))</f>
        <v>C3R</v>
      </c>
      <c r="N1056" s="449" t="s">
        <v>134</v>
      </c>
      <c r="O1056" s="449"/>
      <c r="P1056" s="449"/>
      <c r="Q1056" s="4"/>
      <c r="R1056" s="6"/>
      <c r="S1056" s="6"/>
      <c r="T1056" s="4">
        <v>35</v>
      </c>
      <c r="U1056" s="4"/>
      <c r="V1056" s="4"/>
      <c r="W1056" s="9">
        <v>1.4</v>
      </c>
      <c r="X1056" s="9"/>
      <c r="Y1056" s="9"/>
      <c r="Z1056" s="9"/>
      <c r="AA1056" s="9"/>
      <c r="AB1056" s="9"/>
      <c r="AC1056" s="449" t="str">
        <f t="shared" si="122"/>
        <v>PHQ</v>
      </c>
      <c r="AD1056" s="449"/>
      <c r="AE1056" s="449"/>
      <c r="AF1056" s="4"/>
      <c r="AG1056" s="83"/>
      <c r="AH1056" s="4"/>
      <c r="AI1056" s="4"/>
      <c r="AJ1056" s="449"/>
      <c r="AK1056" s="449"/>
      <c r="AL1056" s="449"/>
      <c r="AM1056" s="449" t="s">
        <v>552</v>
      </c>
      <c r="AN1056" s="10">
        <v>5.5</v>
      </c>
      <c r="AO1056" s="9"/>
      <c r="AP1056" s="9"/>
      <c r="AQ1056" s="9"/>
      <c r="AR1056" s="9"/>
      <c r="AS1056" s="9"/>
      <c r="AT1056" s="9">
        <f>+ab($T$1056,$T$1054,$T$1058,$G$1055,$G$1057,-1*$F$1056,1200)</f>
        <v>7.4955682572493121</v>
      </c>
      <c r="AU1056" s="428"/>
      <c r="AV1056" s="428"/>
      <c r="AW1056" s="449" t="str">
        <f>IF(C1056&gt;0,VLOOKUP(C1056,Foundation_Calc!$A$2:$C$13,3,1),
IF(J1056&gt;0,VLOOKUP(J1056,Foundation_Calc!$A$2:$C$13,3,1),""))</f>
        <v>Multi Soil</v>
      </c>
      <c r="AX1056" s="449" t="str">
        <f>IF(C1056&gt;0,VLOOKUP(C1056,Foundation_Calc!$E$2:$G$33,3,1),
IF(J1056&gt;0,VLOOKUP(J1056,Foundation_Calc!$E$2:$G$33,3,1),""))</f>
        <v>PT</v>
      </c>
      <c r="AY1056" s="10">
        <f>IF(L1056="","",
IF(AX1056="PT",VLOOKUP(L1056,Foundation_Calc!$K$79:$R$113,VLOOKUP(AW1056,Foundation_Calc!$I$2:$J$8,2,FALSE),0),
IF(AX1056="K",VLOOKUP(L1056,Foundation_Calc!$K$117:$R$151,VLOOKUP(AW1056,Foundation_Calc!$I$2:$J$8,2,FALSE),0),"")))</f>
        <v>3.5</v>
      </c>
      <c r="AZ1056" s="10" t="str">
        <f>IF(K1056="","",
IF(AX1056="PT",VLOOKUP(K1056,Foundation_Calc!$K$79:$R$113,VLOOKUP(AW1056,Foundation_Calc!$I$2:$J$8,2,FALSE),0),
IF(AX1056="K",VLOOKUP(K1056,Foundation_Calc!$K$117:$R$151,VLOOKUP(AW1056,Foundation_Calc!$I$2:$J$8,2,FALSE),0),"")))</f>
        <v/>
      </c>
      <c r="BA1056" s="495" t="str">
        <f t="shared" si="123"/>
        <v>ü</v>
      </c>
      <c r="BB1056" s="495" t="str">
        <f t="shared" si="124"/>
        <v/>
      </c>
      <c r="BC1056" s="495" t="str">
        <f t="shared" si="125"/>
        <v/>
      </c>
      <c r="BD1056" s="513" t="str">
        <f>IF(AND(L1056="",H1056=""),"",
IF(H1056="",Pole_Calc!A$9,
IF(H1056="MP",Pole_Calc!A$10,
IF(H1056="AnMP",Pole_Calc!A$11,
IF(H1056="A",Pole_Calc!A$12,
IF(H1056="S/A",Pole_Calc!A$13,
IF(H1056="A/S",Pole_Calc!A$14,"Poner a mano")))))))</f>
        <v>App.7-V11I-P9.5.1.1</v>
      </c>
      <c r="BE1056" s="429" t="s">
        <v>118</v>
      </c>
      <c r="BF1056" s="289"/>
      <c r="BG1056" s="289"/>
      <c r="BH1056" s="290"/>
      <c r="BI1056" s="289"/>
    </row>
    <row r="1057" spans="1:61" ht="15.6" customHeight="1">
      <c r="A1057" s="518"/>
      <c r="B1057" s="450"/>
      <c r="C1057" s="3"/>
      <c r="D1057" s="83"/>
      <c r="E1057" s="4"/>
      <c r="F1057" s="4"/>
      <c r="G1057" s="6">
        <v>55</v>
      </c>
      <c r="H1057" s="449"/>
      <c r="I1057" s="4"/>
      <c r="J1057" s="3"/>
      <c r="K1057" s="449"/>
      <c r="L1057" s="449"/>
      <c r="M1057" s="449" t="str">
        <f>IF(L1057="","",
IF(AX1057="PT",VLOOKUP(L1057,Foundation_Calc!$V$79:$X$113,VLOOKUP(AX1057,Foundation_Calc!$I$10:$J$13,2,FALSE),0),
IF(AX1057="K",VLOOKUP(L1057,Foundation_Calc!$V$117:$X$151,VLOOKUP(AX1057,Foundation_Calc!$I$10:$J$13,2,FALSE),0),"")))</f>
        <v/>
      </c>
      <c r="N1057" s="561"/>
      <c r="O1057" s="449"/>
      <c r="P1057" s="449"/>
      <c r="Q1057" s="4"/>
      <c r="R1057" s="6"/>
      <c r="S1057" s="6"/>
      <c r="T1057" s="4"/>
      <c r="U1057" s="4"/>
      <c r="V1057" s="4"/>
      <c r="W1057" s="9"/>
      <c r="X1057" s="9"/>
      <c r="Y1057" s="9"/>
      <c r="Z1057" s="9"/>
      <c r="AA1057" s="9"/>
      <c r="AB1057" s="9"/>
      <c r="AC1057" s="449" t="str">
        <f t="shared" si="122"/>
        <v/>
      </c>
      <c r="AD1057" s="449"/>
      <c r="AE1057" s="449"/>
      <c r="AF1057" s="4"/>
      <c r="AG1057" s="83"/>
      <c r="AH1057" s="4"/>
      <c r="AI1057" s="4"/>
      <c r="AJ1057" s="449"/>
      <c r="AK1057" s="449"/>
      <c r="AL1057" s="449"/>
      <c r="AM1057" s="449"/>
      <c r="AN1057" s="10"/>
      <c r="AO1057" s="9"/>
      <c r="AP1057" s="9"/>
      <c r="AQ1057" s="9">
        <f>+FL_1($T$1058,$T$1056,$G$1057,1200,9.28,-1*$F$1058)</f>
        <v>0.39714735709090898</v>
      </c>
      <c r="AR1057" s="9"/>
      <c r="AS1057" s="9"/>
      <c r="AT1057" s="9"/>
      <c r="AU1057" s="428"/>
      <c r="AV1057" s="428"/>
      <c r="AW1057" s="449" t="str">
        <f>IF(C1057&gt;0,VLOOKUP(C1057,Foundation_Calc!$A$2:$C$13,3,1),
IF(J1057&gt;0,VLOOKUP(J1057,Foundation_Calc!$A$2:$C$13,3,1),""))</f>
        <v/>
      </c>
      <c r="AX1057" s="449" t="str">
        <f>IF(C1057&gt;0,VLOOKUP(C1057,Foundation_Calc!$E$2:$G$33,3,1),
IF(J1057&gt;0,VLOOKUP(J1057,Foundation_Calc!$E$2:$G$33,3,1),""))</f>
        <v/>
      </c>
      <c r="AY1057" s="10" t="str">
        <f>IF(L1057="","",
IF(AX1057="PT",VLOOKUP(L1057,Foundation_Calc!$K$79:$R$113,VLOOKUP(AW1057,Foundation_Calc!$I$2:$J$8,2,FALSE),0),
IF(AX1057="K",VLOOKUP(L1057,Foundation_Calc!$K$117:$R$151,VLOOKUP(AW1057,Foundation_Calc!$I$2:$J$8,2,FALSE),0),"")))</f>
        <v/>
      </c>
      <c r="AZ1057" s="10" t="str">
        <f>IF(K1057="","",
IF(AX1057="PT",VLOOKUP(K1057,Foundation_Calc!$K$79:$R$113,VLOOKUP(AW1057,Foundation_Calc!$I$2:$J$8,2,FALSE),0),
IF(AX1057="K",VLOOKUP(K1057,Foundation_Calc!$K$117:$R$151,VLOOKUP(AW1057,Foundation_Calc!$I$2:$J$8,2,FALSE),0),"")))</f>
        <v/>
      </c>
      <c r="BA1057" s="495" t="str">
        <f t="shared" si="123"/>
        <v/>
      </c>
      <c r="BB1057" s="495" t="str">
        <f t="shared" si="124"/>
        <v/>
      </c>
      <c r="BC1057" s="495" t="str">
        <f t="shared" si="125"/>
        <v/>
      </c>
      <c r="BD1057" s="513" t="str">
        <f>IF(AND(L1057="",H1057=""),"",
IF(H1057="",Pole_Calc!A$9,
IF(H1057="MP",Pole_Calc!A$10,
IF(H1057="AnMP",Pole_Calc!A$11,
IF(H1057="A",Pole_Calc!A$12,
IF(H1057="S/A",Pole_Calc!A$13,
IF(H1057="A/S",Pole_Calc!A$14,"Poner a mano")))))))</f>
        <v/>
      </c>
      <c r="BE1057" s="429" t="s">
        <v>118</v>
      </c>
      <c r="BF1057" s="290"/>
      <c r="BG1057" s="290"/>
      <c r="BH1057" s="290"/>
      <c r="BI1057" s="290"/>
    </row>
    <row r="1058" spans="1:61" ht="15.6" customHeight="1">
      <c r="A1058" s="514"/>
      <c r="B1058" s="450" t="s">
        <v>798</v>
      </c>
      <c r="C1058" s="3">
        <f>+$C$1056+$G$1057</f>
        <v>55665.119999999995</v>
      </c>
      <c r="D1058" s="83"/>
      <c r="E1058" s="4"/>
      <c r="F1058" s="4">
        <f>IF(C1058&gt;0,VLOOKUP(C1058,'ALIGNMENT TRACK'!$A$1:$K$81,9,1))</f>
        <v>0</v>
      </c>
      <c r="G1058" s="6"/>
      <c r="H1058" s="449"/>
      <c r="I1058" s="4"/>
      <c r="J1058" s="3"/>
      <c r="K1058" s="449"/>
      <c r="L1058" s="449" t="s">
        <v>153</v>
      </c>
      <c r="M1058" s="449" t="str">
        <f>IF(L1058="","",
IF(AX1058="PT",VLOOKUP(L1058,Foundation_Calc!$V$79:$X$113,VLOOKUP(AX1058,Foundation_Calc!$I$10:$J$13,2,FALSE),0),
IF(AX1058="K",VLOOKUP(L1058,Foundation_Calc!$V$117:$X$151,VLOOKUP(AX1058,Foundation_Calc!$I$10:$J$13,2,FALSE),0),"")))</f>
        <v>C3R</v>
      </c>
      <c r="N1058" s="449" t="s">
        <v>124</v>
      </c>
      <c r="O1058" s="449"/>
      <c r="P1058" s="449"/>
      <c r="Q1058" s="4"/>
      <c r="R1058" s="6"/>
      <c r="S1058" s="6"/>
      <c r="T1058" s="4">
        <v>-35</v>
      </c>
      <c r="U1058" s="4"/>
      <c r="V1058" s="4"/>
      <c r="W1058" s="9">
        <v>1.4</v>
      </c>
      <c r="X1058" s="9"/>
      <c r="Y1058" s="9"/>
      <c r="Z1058" s="9"/>
      <c r="AA1058" s="9"/>
      <c r="AB1058" s="9"/>
      <c r="AC1058" s="449" t="str">
        <f t="shared" si="122"/>
        <v>PHQ</v>
      </c>
      <c r="AD1058" s="449"/>
      <c r="AE1058" s="449"/>
      <c r="AF1058" s="4"/>
      <c r="AG1058" s="83"/>
      <c r="AH1058" s="4"/>
      <c r="AI1058" s="4"/>
      <c r="AJ1058" s="449"/>
      <c r="AK1058" s="449"/>
      <c r="AL1058" s="449"/>
      <c r="AM1058" s="449" t="s">
        <v>552</v>
      </c>
      <c r="AN1058" s="10">
        <v>5.5</v>
      </c>
      <c r="AO1058" s="9"/>
      <c r="AP1058" s="9"/>
      <c r="AQ1058" s="9"/>
      <c r="AR1058" s="9"/>
      <c r="AS1058" s="9"/>
      <c r="AT1058" s="9">
        <f>+ab($T$1058,$T$1056,$T$1060,$G$1057,$G$1059,-1*$F$1058,1200)</f>
        <v>-7.495600280563588</v>
      </c>
      <c r="AU1058" s="428"/>
      <c r="AV1058" s="428"/>
      <c r="AW1058" s="449" t="str">
        <f>IF(C1058&gt;0,VLOOKUP(C1058,Foundation_Calc!$A$2:$C$13,3,1),
IF(J1058&gt;0,VLOOKUP(J1058,Foundation_Calc!$A$2:$C$13,3,1),""))</f>
        <v>Multi Soil</v>
      </c>
      <c r="AX1058" s="449" t="str">
        <f>IF(C1058&gt;0,VLOOKUP(C1058,Foundation_Calc!$E$2:$G$33,3,1),
IF(J1058&gt;0,VLOOKUP(J1058,Foundation_Calc!$E$2:$G$33,3,1),""))</f>
        <v>PT</v>
      </c>
      <c r="AY1058" s="10">
        <f>IF(L1058="","",
IF(AX1058="PT",VLOOKUP(L1058,Foundation_Calc!$K$79:$R$113,VLOOKUP(AW1058,Foundation_Calc!$I$2:$J$8,2,FALSE),0),
IF(AX1058="K",VLOOKUP(L1058,Foundation_Calc!$K$117:$R$151,VLOOKUP(AW1058,Foundation_Calc!$I$2:$J$8,2,FALSE),0),"")))</f>
        <v>3.5</v>
      </c>
      <c r="AZ1058" s="10" t="str">
        <f>IF(K1058="","",
IF(AX1058="PT",VLOOKUP(K1058,Foundation_Calc!$K$79:$R$113,VLOOKUP(AW1058,Foundation_Calc!$I$2:$J$8,2,FALSE),0),
IF(AX1058="K",VLOOKUP(K1058,Foundation_Calc!$K$117:$R$151,VLOOKUP(AW1058,Foundation_Calc!$I$2:$J$8,2,FALSE),0),"")))</f>
        <v/>
      </c>
      <c r="BA1058" s="495" t="str">
        <f t="shared" si="123"/>
        <v>ü</v>
      </c>
      <c r="BB1058" s="495" t="str">
        <f t="shared" si="124"/>
        <v/>
      </c>
      <c r="BC1058" s="495" t="str">
        <f t="shared" si="125"/>
        <v/>
      </c>
      <c r="BD1058" s="513" t="str">
        <f>IF(AND(L1058="",H1058=""),"",
IF(H1058="",Pole_Calc!A$9,
IF(H1058="MP",Pole_Calc!A$10,
IF(H1058="AnMP",Pole_Calc!A$11,
IF(H1058="A",Pole_Calc!A$12,
IF(H1058="S/A",Pole_Calc!A$13,
IF(H1058="A/S",Pole_Calc!A$14,"Poner a mano")))))))</f>
        <v>App.7-V11I-P9.5.1.1</v>
      </c>
      <c r="BE1058" s="429" t="s">
        <v>118</v>
      </c>
      <c r="BF1058" s="289"/>
      <c r="BG1058" s="289"/>
      <c r="BH1058" s="290"/>
      <c r="BI1058" s="289"/>
    </row>
    <row r="1059" spans="1:61" ht="15.6" customHeight="1">
      <c r="A1059" s="514"/>
      <c r="B1059" s="450"/>
      <c r="C1059" s="3"/>
      <c r="D1059" s="83"/>
      <c r="E1059" s="4"/>
      <c r="F1059" s="4"/>
      <c r="G1059" s="6">
        <v>55</v>
      </c>
      <c r="H1059" s="449"/>
      <c r="I1059" s="4"/>
      <c r="J1059" s="3"/>
      <c r="K1059" s="449"/>
      <c r="L1059" s="449"/>
      <c r="M1059" s="449" t="str">
        <f>IF(L1059="","",
IF(AX1059="PT",VLOOKUP(L1059,Foundation_Calc!$V$79:$X$113,VLOOKUP(AX1059,Foundation_Calc!$I$10:$J$13,2,FALSE),0),
IF(AX1059="K",VLOOKUP(L1059,Foundation_Calc!$V$117:$X$151,VLOOKUP(AX1059,Foundation_Calc!$I$10:$J$13,2,FALSE),0),"")))</f>
        <v/>
      </c>
      <c r="N1059" s="449"/>
      <c r="O1059" s="449"/>
      <c r="P1059" s="449"/>
      <c r="Q1059" s="4"/>
      <c r="R1059" s="6"/>
      <c r="S1059" s="6"/>
      <c r="T1059" s="4"/>
      <c r="U1059" s="4"/>
      <c r="V1059" s="4"/>
      <c r="W1059" s="9"/>
      <c r="X1059" s="9"/>
      <c r="Y1059" s="9"/>
      <c r="Z1059" s="9"/>
      <c r="AA1059" s="9"/>
      <c r="AB1059" s="9"/>
      <c r="AC1059" s="449" t="str">
        <f t="shared" si="122"/>
        <v/>
      </c>
      <c r="AD1059" s="449"/>
      <c r="AE1059" s="449"/>
      <c r="AF1059" s="4"/>
      <c r="AG1059" s="83"/>
      <c r="AH1059" s="4"/>
      <c r="AI1059" s="4"/>
      <c r="AJ1059" s="449"/>
      <c r="AK1059" s="449"/>
      <c r="AL1059" s="449"/>
      <c r="AM1059" s="449"/>
      <c r="AN1059" s="10"/>
      <c r="AO1059" s="9"/>
      <c r="AP1059" s="9"/>
      <c r="AQ1059" s="9">
        <f>+FL_2($T$1060,$T$1058,$G$1059,1200,9.28,-1*$F$1060)</f>
        <v>-0.39714735709090898</v>
      </c>
      <c r="AR1059" s="9"/>
      <c r="AS1059" s="9"/>
      <c r="AT1059" s="9"/>
      <c r="AU1059" s="428"/>
      <c r="AV1059" s="428"/>
      <c r="AW1059" s="449" t="str">
        <f>IF(C1059&gt;0,VLOOKUP(C1059,Foundation_Calc!$A$2:$C$13,3,1),
IF(J1059&gt;0,VLOOKUP(J1059,Foundation_Calc!$A$2:$C$13,3,1),""))</f>
        <v/>
      </c>
      <c r="AX1059" s="449" t="str">
        <f>IF(C1059&gt;0,VLOOKUP(C1059,Foundation_Calc!$E$2:$G$33,3,1),
IF(J1059&gt;0,VLOOKUP(J1059,Foundation_Calc!$E$2:$G$33,3,1),""))</f>
        <v/>
      </c>
      <c r="AY1059" s="10" t="str">
        <f>IF(L1059="","",
IF(AX1059="PT",VLOOKUP(L1059,Foundation_Calc!$K$79:$R$113,VLOOKUP(AW1059,Foundation_Calc!$I$2:$J$8,2,FALSE),0),
IF(AX1059="K",VLOOKUP(L1059,Foundation_Calc!$K$117:$R$151,VLOOKUP(AW1059,Foundation_Calc!$I$2:$J$8,2,FALSE),0),"")))</f>
        <v/>
      </c>
      <c r="AZ1059" s="10" t="str">
        <f>IF(K1059="","",
IF(AX1059="PT",VLOOKUP(K1059,Foundation_Calc!$K$79:$R$113,VLOOKUP(AW1059,Foundation_Calc!$I$2:$J$8,2,FALSE),0),
IF(AX1059="K",VLOOKUP(K1059,Foundation_Calc!$K$117:$R$151,VLOOKUP(AW1059,Foundation_Calc!$I$2:$J$8,2,FALSE),0),"")))</f>
        <v/>
      </c>
      <c r="BA1059" s="495" t="str">
        <f t="shared" si="123"/>
        <v/>
      </c>
      <c r="BB1059" s="495" t="str">
        <f t="shared" si="124"/>
        <v/>
      </c>
      <c r="BC1059" s="495" t="str">
        <f t="shared" si="125"/>
        <v/>
      </c>
      <c r="BD1059" s="513" t="str">
        <f>IF(AND(L1059="",H1059=""),"",
IF(H1059="",Pole_Calc!A$9,
IF(H1059="MP",Pole_Calc!A$10,
IF(H1059="AnMP",Pole_Calc!A$11,
IF(H1059="A",Pole_Calc!A$12,
IF(H1059="S/A",Pole_Calc!A$13,
IF(H1059="A/S",Pole_Calc!A$14,"Poner a mano")))))))</f>
        <v/>
      </c>
      <c r="BE1059" s="429" t="s">
        <v>118</v>
      </c>
      <c r="BF1059" s="290"/>
      <c r="BG1059" s="290"/>
      <c r="BH1059" s="290"/>
      <c r="BI1059" s="290"/>
    </row>
    <row r="1060" spans="1:61" ht="15.6" customHeight="1">
      <c r="A1060" s="514"/>
      <c r="B1060" s="450" t="s">
        <v>799</v>
      </c>
      <c r="C1060" s="3">
        <f>+$C$1058+$G$1059</f>
        <v>55720.119999999995</v>
      </c>
      <c r="D1060" s="83"/>
      <c r="E1060" s="4"/>
      <c r="F1060" s="4">
        <f>IF(C1060&gt;0,VLOOKUP(C1060,'ALIGNMENT TRACK'!$A$1:$K$81,9,1))</f>
        <v>0</v>
      </c>
      <c r="G1060" s="6"/>
      <c r="H1060" s="449"/>
      <c r="I1060" s="4"/>
      <c r="J1060" s="3"/>
      <c r="K1060" s="449"/>
      <c r="L1060" s="449" t="s">
        <v>153</v>
      </c>
      <c r="M1060" s="449" t="str">
        <f>IF(L1060="","",
IF(AX1060="PT",VLOOKUP(L1060,Foundation_Calc!$V$79:$X$113,VLOOKUP(AX1060,Foundation_Calc!$I$10:$J$13,2,FALSE),0),
IF(AX1060="K",VLOOKUP(L1060,Foundation_Calc!$V$117:$X$151,VLOOKUP(AX1060,Foundation_Calc!$I$10:$J$13,2,FALSE),0),"")))</f>
        <v>C3R</v>
      </c>
      <c r="N1060" s="449" t="s">
        <v>134</v>
      </c>
      <c r="O1060" s="449"/>
      <c r="P1060" s="449"/>
      <c r="Q1060" s="4"/>
      <c r="R1060" s="6"/>
      <c r="S1060" s="6"/>
      <c r="T1060" s="4">
        <v>35</v>
      </c>
      <c r="U1060" s="4"/>
      <c r="V1060" s="4"/>
      <c r="W1060" s="9">
        <v>1.4</v>
      </c>
      <c r="X1060" s="9"/>
      <c r="Y1060" s="9"/>
      <c r="Z1060" s="9"/>
      <c r="AA1060" s="9"/>
      <c r="AB1060" s="9"/>
      <c r="AC1060" s="449" t="str">
        <f t="shared" si="122"/>
        <v>PHQ</v>
      </c>
      <c r="AD1060" s="449"/>
      <c r="AE1060" s="449"/>
      <c r="AF1060" s="4"/>
      <c r="AG1060" s="83"/>
      <c r="AH1060" s="4"/>
      <c r="AI1060" s="4"/>
      <c r="AJ1060" s="449"/>
      <c r="AK1060" s="449"/>
      <c r="AL1060" s="449"/>
      <c r="AM1060" s="449" t="s">
        <v>552</v>
      </c>
      <c r="AN1060" s="10">
        <v>5.5</v>
      </c>
      <c r="AO1060" s="9"/>
      <c r="AP1060" s="9"/>
      <c r="AQ1060" s="9"/>
      <c r="AR1060" s="9"/>
      <c r="AS1060" s="9"/>
      <c r="AT1060" s="9">
        <f>+ab($T$1060,$T$1058,$T$1062,$G$1059,$G$1061,-1*$F$1060,1200)</f>
        <v>7.4955682572493121</v>
      </c>
      <c r="AU1060" s="428"/>
      <c r="AV1060" s="428"/>
      <c r="AW1060" s="449" t="str">
        <f>IF(C1060&gt;0,VLOOKUP(C1060,Foundation_Calc!$A$2:$C$13,3,1),
IF(J1060&gt;0,VLOOKUP(J1060,Foundation_Calc!$A$2:$C$13,3,1),""))</f>
        <v>Multi Soil</v>
      </c>
      <c r="AX1060" s="449" t="str">
        <f>IF(C1060&gt;0,VLOOKUP(C1060,Foundation_Calc!$E$2:$G$33,3,1),
IF(J1060&gt;0,VLOOKUP(J1060,Foundation_Calc!$E$2:$G$33,3,1),""))</f>
        <v>PT</v>
      </c>
      <c r="AY1060" s="10">
        <f>IF(L1060="","",
IF(AX1060="PT",VLOOKUP(L1060,Foundation_Calc!$K$79:$R$113,VLOOKUP(AW1060,Foundation_Calc!$I$2:$J$8,2,FALSE),0),
IF(AX1060="K",VLOOKUP(L1060,Foundation_Calc!$K$117:$R$151,VLOOKUP(AW1060,Foundation_Calc!$I$2:$J$8,2,FALSE),0),"")))</f>
        <v>3.5</v>
      </c>
      <c r="AZ1060" s="10" t="str">
        <f>IF(K1060="","",
IF(AX1060="PT",VLOOKUP(K1060,Foundation_Calc!$K$79:$R$113,VLOOKUP(AW1060,Foundation_Calc!$I$2:$J$8,2,FALSE),0),
IF(AX1060="K",VLOOKUP(K1060,Foundation_Calc!$K$117:$R$151,VLOOKUP(AW1060,Foundation_Calc!$I$2:$J$8,2,FALSE),0),"")))</f>
        <v/>
      </c>
      <c r="BA1060" s="495" t="str">
        <f t="shared" si="123"/>
        <v>ü</v>
      </c>
      <c r="BB1060" s="495" t="str">
        <f t="shared" si="124"/>
        <v/>
      </c>
      <c r="BC1060" s="495" t="str">
        <f t="shared" si="125"/>
        <v/>
      </c>
      <c r="BD1060" s="513" t="str">
        <f>IF(AND(L1060="",H1060=""),"",
IF(H1060="",Pole_Calc!A$9,
IF(H1060="MP",Pole_Calc!A$10,
IF(H1060="AnMP",Pole_Calc!A$11,
IF(H1060="A",Pole_Calc!A$12,
IF(H1060="S/A",Pole_Calc!A$13,
IF(H1060="A/S",Pole_Calc!A$14,"Poner a mano")))))))</f>
        <v>App.7-V11I-P9.5.1.1</v>
      </c>
      <c r="BE1060" s="429" t="s">
        <v>118</v>
      </c>
      <c r="BF1060" s="289"/>
      <c r="BG1060" s="289"/>
      <c r="BH1060" s="290"/>
      <c r="BI1060" s="289"/>
    </row>
    <row r="1061" spans="1:61" ht="15.6" customHeight="1">
      <c r="A1061" s="514"/>
      <c r="B1061" s="450"/>
      <c r="C1061" s="3"/>
      <c r="D1061" s="83"/>
      <c r="E1061" s="4"/>
      <c r="F1061" s="4"/>
      <c r="G1061" s="6">
        <v>55</v>
      </c>
      <c r="H1061" s="449"/>
      <c r="I1061" s="4"/>
      <c r="J1061" s="3"/>
      <c r="K1061" s="449"/>
      <c r="L1061" s="449"/>
      <c r="M1061" s="449" t="str">
        <f>IF(L1061="","",
IF(AX1061="PT",VLOOKUP(L1061,Foundation_Calc!$V$79:$X$113,VLOOKUP(AX1061,Foundation_Calc!$I$10:$J$13,2,FALSE),0),
IF(AX1061="K",VLOOKUP(L1061,Foundation_Calc!$V$117:$X$151,VLOOKUP(AX1061,Foundation_Calc!$I$10:$J$13,2,FALSE),0),"")))</f>
        <v/>
      </c>
      <c r="N1061" s="449"/>
      <c r="O1061" s="449"/>
      <c r="P1061" s="449"/>
      <c r="Q1061" s="4"/>
      <c r="R1061" s="6"/>
      <c r="S1061" s="6"/>
      <c r="T1061" s="4"/>
      <c r="U1061" s="4"/>
      <c r="V1061" s="4"/>
      <c r="W1061" s="9"/>
      <c r="X1061" s="9"/>
      <c r="Y1061" s="9"/>
      <c r="Z1061" s="9"/>
      <c r="AA1061" s="9"/>
      <c r="AB1061" s="9"/>
      <c r="AC1061" s="449" t="str">
        <f t="shared" si="122"/>
        <v/>
      </c>
      <c r="AD1061" s="449"/>
      <c r="AE1061" s="449"/>
      <c r="AF1061" s="4"/>
      <c r="AG1061" s="83"/>
      <c r="AH1061" s="4"/>
      <c r="AI1061" s="4"/>
      <c r="AJ1061" s="449"/>
      <c r="AK1061" s="449"/>
      <c r="AL1061" s="449"/>
      <c r="AM1061" s="449"/>
      <c r="AN1061" s="10"/>
      <c r="AO1061" s="9"/>
      <c r="AP1061" s="9"/>
      <c r="AQ1061" s="9">
        <f>+FL_1($T$1062,$T$1060,$G$1061,1200,9.28,-1*$F$1062)</f>
        <v>0.39714735709090898</v>
      </c>
      <c r="AR1061" s="9"/>
      <c r="AS1061" s="9"/>
      <c r="AT1061" s="9"/>
      <c r="AU1061" s="428"/>
      <c r="AV1061" s="428"/>
      <c r="AW1061" s="449" t="str">
        <f>IF(C1061&gt;0,VLOOKUP(C1061,Foundation_Calc!$A$2:$C$13,3,1),
IF(J1061&gt;0,VLOOKUP(J1061,Foundation_Calc!$A$2:$C$13,3,1),""))</f>
        <v/>
      </c>
      <c r="AX1061" s="449" t="str">
        <f>IF(C1061&gt;0,VLOOKUP(C1061,Foundation_Calc!$E$2:$G$33,3,1),
IF(J1061&gt;0,VLOOKUP(J1061,Foundation_Calc!$E$2:$G$33,3,1),""))</f>
        <v/>
      </c>
      <c r="AY1061" s="10" t="str">
        <f>IF(L1061="","",
IF(AX1061="PT",VLOOKUP(L1061,Foundation_Calc!$K$79:$R$113,VLOOKUP(AW1061,Foundation_Calc!$I$2:$J$8,2,FALSE),0),
IF(AX1061="K",VLOOKUP(L1061,Foundation_Calc!$K$117:$R$151,VLOOKUP(AW1061,Foundation_Calc!$I$2:$J$8,2,FALSE),0),"")))</f>
        <v/>
      </c>
      <c r="AZ1061" s="10" t="str">
        <f>IF(K1061="","",
IF(AX1061="PT",VLOOKUP(K1061,Foundation_Calc!$K$79:$R$113,VLOOKUP(AW1061,Foundation_Calc!$I$2:$J$8,2,FALSE),0),
IF(AX1061="K",VLOOKUP(K1061,Foundation_Calc!$K$117:$R$151,VLOOKUP(AW1061,Foundation_Calc!$I$2:$J$8,2,FALSE),0),"")))</f>
        <v/>
      </c>
      <c r="BA1061" s="495" t="str">
        <f t="shared" si="123"/>
        <v/>
      </c>
      <c r="BB1061" s="495" t="str">
        <f t="shared" si="124"/>
        <v/>
      </c>
      <c r="BC1061" s="495" t="str">
        <f t="shared" si="125"/>
        <v/>
      </c>
      <c r="BD1061" s="513" t="str">
        <f>IF(AND(L1061="",H1061=""),"",
IF(H1061="",Pole_Calc!A$9,
IF(H1061="MP",Pole_Calc!A$10,
IF(H1061="AnMP",Pole_Calc!A$11,
IF(H1061="A",Pole_Calc!A$12,
IF(H1061="S/A",Pole_Calc!A$13,
IF(H1061="A/S",Pole_Calc!A$14,"Poner a mano")))))))</f>
        <v/>
      </c>
      <c r="BE1061" s="429" t="s">
        <v>118</v>
      </c>
      <c r="BF1061" s="290"/>
      <c r="BG1061" s="290"/>
      <c r="BH1061" s="290"/>
      <c r="BI1061" s="290"/>
    </row>
    <row r="1062" spans="1:61" ht="15.6" customHeight="1">
      <c r="A1062" s="518"/>
      <c r="B1062" s="450" t="s">
        <v>800</v>
      </c>
      <c r="C1062" s="3">
        <f>+$C$1060+$G$1061</f>
        <v>55775.119999999995</v>
      </c>
      <c r="D1062" s="83"/>
      <c r="E1062" s="4"/>
      <c r="F1062" s="4">
        <f>IF(C1062&gt;0,VLOOKUP(C1062,'ALIGNMENT TRACK'!$A$1:$K$81,9,1))</f>
        <v>0</v>
      </c>
      <c r="G1062" s="6"/>
      <c r="H1062" s="449"/>
      <c r="I1062" s="4"/>
      <c r="J1062" s="3"/>
      <c r="K1062" s="449"/>
      <c r="L1062" s="449" t="s">
        <v>153</v>
      </c>
      <c r="M1062" s="449" t="str">
        <f>IF(L1062="","",
IF(AX1062="PT",VLOOKUP(L1062,Foundation_Calc!$V$79:$X$113,VLOOKUP(AX1062,Foundation_Calc!$I$10:$J$13,2,FALSE),0),
IF(AX1062="K",VLOOKUP(L1062,Foundation_Calc!$V$117:$X$151,VLOOKUP(AX1062,Foundation_Calc!$I$10:$J$13,2,FALSE),0),"")))</f>
        <v>C3R</v>
      </c>
      <c r="N1062" s="449" t="s">
        <v>124</v>
      </c>
      <c r="O1062" s="449"/>
      <c r="P1062" s="449"/>
      <c r="Q1062" s="4"/>
      <c r="R1062" s="6"/>
      <c r="S1062" s="6"/>
      <c r="T1062" s="4">
        <v>-35</v>
      </c>
      <c r="U1062" s="4"/>
      <c r="V1062" s="4"/>
      <c r="W1062" s="9">
        <v>1.4</v>
      </c>
      <c r="X1062" s="9"/>
      <c r="Y1062" s="9"/>
      <c r="Z1062" s="9"/>
      <c r="AA1062" s="9"/>
      <c r="AB1062" s="9"/>
      <c r="AC1062" s="449" t="str">
        <f t="shared" si="122"/>
        <v>PHQ</v>
      </c>
      <c r="AD1062" s="449"/>
      <c r="AE1062" s="449"/>
      <c r="AF1062" s="4"/>
      <c r="AG1062" s="83"/>
      <c r="AH1062" s="4"/>
      <c r="AI1062" s="4"/>
      <c r="AJ1062" s="449"/>
      <c r="AK1062" s="449"/>
      <c r="AL1062" s="449"/>
      <c r="AM1062" s="449" t="s">
        <v>552</v>
      </c>
      <c r="AN1062" s="10">
        <v>5.5</v>
      </c>
      <c r="AO1062" s="9"/>
      <c r="AP1062" s="9"/>
      <c r="AQ1062" s="9"/>
      <c r="AR1062" s="9"/>
      <c r="AS1062" s="9"/>
      <c r="AT1062" s="9">
        <f>+ab($T$1062,$T$1060,$T$1064,$G$1061,$G$1063,-1*$F$1062,1200)</f>
        <v>-7.8175501667728815</v>
      </c>
      <c r="AU1062" s="428"/>
      <c r="AV1062" s="428"/>
      <c r="AW1062" s="449" t="str">
        <f>IF(C1062&gt;0,VLOOKUP(C1062,Foundation_Calc!$A$2:$C$13,3,1),
IF(J1062&gt;0,VLOOKUP(J1062,Foundation_Calc!$A$2:$C$13,3,1),""))</f>
        <v>Multi Soil</v>
      </c>
      <c r="AX1062" s="449" t="str">
        <f>IF(C1062&gt;0,VLOOKUP(C1062,Foundation_Calc!$E$2:$G$33,3,1),
IF(J1062&gt;0,VLOOKUP(J1062,Foundation_Calc!$E$2:$G$33,3,1),""))</f>
        <v>PT</v>
      </c>
      <c r="AY1062" s="10">
        <f>IF(L1062="","",
IF(AX1062="PT",VLOOKUP(L1062,Foundation_Calc!$K$79:$R$113,VLOOKUP(AW1062,Foundation_Calc!$I$2:$J$8,2,FALSE),0),
IF(AX1062="K",VLOOKUP(L1062,Foundation_Calc!$K$117:$R$151,VLOOKUP(AW1062,Foundation_Calc!$I$2:$J$8,2,FALSE),0),"")))</f>
        <v>3.5</v>
      </c>
      <c r="AZ1062" s="10" t="str">
        <f>IF(K1062="","",
IF(AX1062="PT",VLOOKUP(K1062,Foundation_Calc!$K$79:$R$113,VLOOKUP(AW1062,Foundation_Calc!$I$2:$J$8,2,FALSE),0),
IF(AX1062="K",VLOOKUP(K1062,Foundation_Calc!$K$117:$R$151,VLOOKUP(AW1062,Foundation_Calc!$I$2:$J$8,2,FALSE),0),"")))</f>
        <v/>
      </c>
      <c r="BA1062" s="495" t="str">
        <f t="shared" si="123"/>
        <v>ü</v>
      </c>
      <c r="BB1062" s="495" t="str">
        <f t="shared" si="124"/>
        <v/>
      </c>
      <c r="BC1062" s="495" t="str">
        <f t="shared" si="125"/>
        <v/>
      </c>
      <c r="BD1062" s="513" t="str">
        <f>IF(AND(L1062="",H1062=""),"",
IF(H1062="",Pole_Calc!A$9,
IF(H1062="MP",Pole_Calc!A$10,
IF(H1062="AnMP",Pole_Calc!A$11,
IF(H1062="A",Pole_Calc!A$12,
IF(H1062="S/A",Pole_Calc!A$13,
IF(H1062="A/S",Pole_Calc!A$14,"Poner a mano")))))))</f>
        <v>App.7-V11I-P9.5.1.1</v>
      </c>
      <c r="BE1062" s="429" t="s">
        <v>118</v>
      </c>
      <c r="BF1062" s="289"/>
      <c r="BG1062" s="289"/>
      <c r="BH1062" s="290"/>
      <c r="BI1062" s="289"/>
    </row>
    <row r="1063" spans="1:61" ht="15.6" customHeight="1">
      <c r="A1063" s="518"/>
      <c r="B1063" s="450"/>
      <c r="C1063" s="3"/>
      <c r="D1063" s="83"/>
      <c r="E1063" s="4"/>
      <c r="F1063" s="4"/>
      <c r="G1063" s="6">
        <v>60</v>
      </c>
      <c r="H1063" s="449"/>
      <c r="I1063" s="4"/>
      <c r="J1063" s="3"/>
      <c r="K1063" s="449"/>
      <c r="L1063" s="449"/>
      <c r="M1063" s="449" t="str">
        <f>IF(L1063="","",
IF(AX1063="PT",VLOOKUP(L1063,Foundation_Calc!$V$79:$X$113,VLOOKUP(AX1063,Foundation_Calc!$I$10:$J$13,2,FALSE),0),
IF(AX1063="K",VLOOKUP(L1063,Foundation_Calc!$V$117:$X$151,VLOOKUP(AX1063,Foundation_Calc!$I$10:$J$13,2,FALSE),0),"")))</f>
        <v/>
      </c>
      <c r="N1063" s="561"/>
      <c r="O1063" s="449"/>
      <c r="P1063" s="449"/>
      <c r="Q1063" s="4"/>
      <c r="R1063" s="6"/>
      <c r="S1063" s="6"/>
      <c r="T1063" s="4"/>
      <c r="U1063" s="4"/>
      <c r="V1063" s="4"/>
      <c r="W1063" s="9"/>
      <c r="X1063" s="9"/>
      <c r="Y1063" s="9"/>
      <c r="Z1063" s="9"/>
      <c r="AA1063" s="9"/>
      <c r="AB1063" s="9"/>
      <c r="AC1063" s="449" t="str">
        <f t="shared" si="122"/>
        <v/>
      </c>
      <c r="AD1063" s="449"/>
      <c r="AE1063" s="449"/>
      <c r="AF1063" s="4"/>
      <c r="AG1063" s="83"/>
      <c r="AH1063" s="4"/>
      <c r="AI1063" s="4"/>
      <c r="AJ1063" s="449"/>
      <c r="AK1063" s="449"/>
      <c r="AL1063" s="449"/>
      <c r="AM1063" s="449"/>
      <c r="AN1063" s="10"/>
      <c r="AO1063" s="9"/>
      <c r="AP1063" s="9"/>
      <c r="AQ1063" s="9">
        <f>+FL_1($T$1064,$T$1062,$G$1063,1200,9.28,-1*$F$1064)</f>
        <v>0.43600286799999999</v>
      </c>
      <c r="AR1063" s="9"/>
      <c r="AS1063" s="9"/>
      <c r="AT1063" s="9"/>
      <c r="AU1063" s="428"/>
      <c r="AV1063" s="428"/>
      <c r="AW1063" s="449" t="str">
        <f>IF(C1063&gt;0,VLOOKUP(C1063,Foundation_Calc!$A$2:$C$13,3,1),
IF(J1063&gt;0,VLOOKUP(J1063,Foundation_Calc!$A$2:$C$13,3,1),""))</f>
        <v/>
      </c>
      <c r="AX1063" s="449" t="str">
        <f>IF(C1063&gt;0,VLOOKUP(C1063,Foundation_Calc!$E$2:$G$33,3,1),
IF(J1063&gt;0,VLOOKUP(J1063,Foundation_Calc!$E$2:$G$33,3,1),""))</f>
        <v/>
      </c>
      <c r="AY1063" s="10" t="str">
        <f>IF(L1063="","",
IF(AX1063="PT",VLOOKUP(L1063,Foundation_Calc!$K$79:$R$113,VLOOKUP(AW1063,Foundation_Calc!$I$2:$J$8,2,FALSE),0),
IF(AX1063="K",VLOOKUP(L1063,Foundation_Calc!$K$117:$R$151,VLOOKUP(AW1063,Foundation_Calc!$I$2:$J$8,2,FALSE),0),"")))</f>
        <v/>
      </c>
      <c r="AZ1063" s="10" t="str">
        <f>IF(K1063="","",
IF(AX1063="PT",VLOOKUP(K1063,Foundation_Calc!$K$79:$R$113,VLOOKUP(AW1063,Foundation_Calc!$I$2:$J$8,2,FALSE),0),
IF(AX1063="K",VLOOKUP(K1063,Foundation_Calc!$K$117:$R$151,VLOOKUP(AW1063,Foundation_Calc!$I$2:$J$8,2,FALSE),0),"")))</f>
        <v/>
      </c>
      <c r="BA1063" s="495" t="str">
        <f t="shared" si="123"/>
        <v/>
      </c>
      <c r="BB1063" s="495" t="str">
        <f t="shared" si="124"/>
        <v/>
      </c>
      <c r="BC1063" s="495" t="str">
        <f t="shared" si="125"/>
        <v/>
      </c>
      <c r="BD1063" s="513" t="str">
        <f>IF(AND(L1063="",H1063=""),"",
IF(H1063="",Pole_Calc!A$9,
IF(H1063="MP",Pole_Calc!A$10,
IF(H1063="AnMP",Pole_Calc!A$11,
IF(H1063="A",Pole_Calc!A$12,
IF(H1063="S/A",Pole_Calc!A$13,
IF(H1063="A/S",Pole_Calc!A$14,"Poner a mano")))))))</f>
        <v/>
      </c>
      <c r="BE1063" s="429" t="s">
        <v>118</v>
      </c>
      <c r="BF1063" s="290"/>
      <c r="BG1063" s="290"/>
      <c r="BH1063" s="290"/>
      <c r="BI1063" s="290"/>
    </row>
    <row r="1064" spans="1:61" ht="15.6" customHeight="1">
      <c r="A1064" s="514"/>
      <c r="B1064" s="450" t="s">
        <v>801</v>
      </c>
      <c r="C1064" s="3">
        <f>+$C$1062+$G$1063</f>
        <v>55835.119999999995</v>
      </c>
      <c r="D1064" s="83"/>
      <c r="E1064" s="4"/>
      <c r="F1064" s="4">
        <f>IF(C1064&gt;0,VLOOKUP(C1064,'ALIGNMENT TRACK'!$A$1:$K$81,9,1))</f>
        <v>0</v>
      </c>
      <c r="G1064" s="6"/>
      <c r="H1064" s="449"/>
      <c r="I1064" s="4"/>
      <c r="J1064" s="3"/>
      <c r="K1064" s="449"/>
      <c r="L1064" s="449" t="s">
        <v>153</v>
      </c>
      <c r="M1064" s="449" t="str">
        <f>IF(L1064="","",
IF(AX1064="PT",VLOOKUP(L1064,Foundation_Calc!$V$79:$X$113,VLOOKUP(AX1064,Foundation_Calc!$I$10:$J$13,2,FALSE),0),
IF(AX1064="K",VLOOKUP(L1064,Foundation_Calc!$V$117:$X$151,VLOOKUP(AX1064,Foundation_Calc!$I$10:$J$13,2,FALSE),0),"")))</f>
        <v>C3R</v>
      </c>
      <c r="N1064" s="449" t="s">
        <v>134</v>
      </c>
      <c r="O1064" s="449"/>
      <c r="P1064" s="449"/>
      <c r="Q1064" s="4"/>
      <c r="R1064" s="6"/>
      <c r="S1064" s="6"/>
      <c r="T1064" s="4">
        <v>35</v>
      </c>
      <c r="U1064" s="4"/>
      <c r="V1064" s="4"/>
      <c r="W1064" s="9">
        <v>1.4</v>
      </c>
      <c r="X1064" s="9"/>
      <c r="Y1064" s="9"/>
      <c r="Z1064" s="9"/>
      <c r="AA1064" s="9"/>
      <c r="AB1064" s="9"/>
      <c r="AC1064" s="449" t="str">
        <f t="shared" si="122"/>
        <v>PH</v>
      </c>
      <c r="AD1064" s="449"/>
      <c r="AE1064" s="449"/>
      <c r="AF1064" s="4"/>
      <c r="AG1064" s="83"/>
      <c r="AH1064" s="4"/>
      <c r="AI1064" s="4"/>
      <c r="AJ1064" s="449"/>
      <c r="AK1064" s="449"/>
      <c r="AL1064" s="449"/>
      <c r="AM1064" s="449" t="s">
        <v>552</v>
      </c>
      <c r="AN1064" s="10">
        <v>5.5</v>
      </c>
      <c r="AO1064" s="9"/>
      <c r="AP1064" s="9"/>
      <c r="AQ1064" s="9"/>
      <c r="AR1064" s="9"/>
      <c r="AS1064" s="9"/>
      <c r="AT1064" s="9">
        <f>+ab($T$1064,$T$1062,$T$1066,$G$1063,$G$1065,-1*$F$1064,1200)</f>
        <v>8.3002133012442592</v>
      </c>
      <c r="AU1064" s="428"/>
      <c r="AV1064" s="428"/>
      <c r="AW1064" s="449" t="str">
        <f>IF(C1064&gt;0,VLOOKUP(C1064,Foundation_Calc!$A$2:$C$13,3,1),
IF(J1064&gt;0,VLOOKUP(J1064,Foundation_Calc!$A$2:$C$13,3,1),""))</f>
        <v>Multi Soil</v>
      </c>
      <c r="AX1064" s="449" t="str">
        <f>IF(C1064&gt;0,VLOOKUP(C1064,Foundation_Calc!$E$2:$G$33,3,1),
IF(J1064&gt;0,VLOOKUP(J1064,Foundation_Calc!$E$2:$G$33,3,1),""))</f>
        <v>PT</v>
      </c>
      <c r="AY1064" s="10">
        <f>IF(L1064="","",
IF(AX1064="PT",VLOOKUP(L1064,Foundation_Calc!$K$79:$R$113,VLOOKUP(AW1064,Foundation_Calc!$I$2:$J$8,2,FALSE),0),
IF(AX1064="K",VLOOKUP(L1064,Foundation_Calc!$K$117:$R$151,VLOOKUP(AW1064,Foundation_Calc!$I$2:$J$8,2,FALSE),0),"")))</f>
        <v>3.5</v>
      </c>
      <c r="AZ1064" s="10" t="str">
        <f>IF(K1064="","",
IF(AX1064="PT",VLOOKUP(K1064,Foundation_Calc!$K$79:$R$113,VLOOKUP(AW1064,Foundation_Calc!$I$2:$J$8,2,FALSE),0),
IF(AX1064="K",VLOOKUP(K1064,Foundation_Calc!$K$117:$R$151,VLOOKUP(AW1064,Foundation_Calc!$I$2:$J$8,2,FALSE),0),"")))</f>
        <v/>
      </c>
      <c r="BA1064" s="495" t="str">
        <f t="shared" si="123"/>
        <v>ü</v>
      </c>
      <c r="BB1064" s="495" t="str">
        <f t="shared" si="124"/>
        <v/>
      </c>
      <c r="BC1064" s="495" t="str">
        <f t="shared" si="125"/>
        <v/>
      </c>
      <c r="BD1064" s="513" t="str">
        <f>IF(AND(L1064="",H1064=""),"",
IF(H1064="",Pole_Calc!A$9,
IF(H1064="MP",Pole_Calc!A$10,
IF(H1064="AnMP",Pole_Calc!A$11,
IF(H1064="A",Pole_Calc!A$12,
IF(H1064="S/A",Pole_Calc!A$13,
IF(H1064="A/S",Pole_Calc!A$14,"Poner a mano")))))))</f>
        <v>App.7-V11I-P9.5.1.1</v>
      </c>
      <c r="BE1064" s="429" t="s">
        <v>118</v>
      </c>
      <c r="BF1064" s="289"/>
      <c r="BG1064" s="289"/>
      <c r="BH1064" s="290"/>
      <c r="BI1064" s="289"/>
    </row>
    <row r="1065" spans="1:61" ht="15.6" customHeight="1">
      <c r="A1065" s="659" t="s">
        <v>178</v>
      </c>
      <c r="B1065" s="660"/>
      <c r="C1065" s="661"/>
      <c r="D1065" s="662"/>
      <c r="E1065" s="663"/>
      <c r="F1065" s="663"/>
      <c r="G1065" s="664">
        <v>62</v>
      </c>
      <c r="H1065" s="665"/>
      <c r="I1065" s="663"/>
      <c r="J1065" s="661"/>
      <c r="K1065" s="665"/>
      <c r="L1065" s="665"/>
      <c r="M1065" s="665" t="str">
        <f>IF(L1065="","",
IF(AX1065="PT",VLOOKUP(L1065,Foundation_Calc!$V$79:$X$113,VLOOKUP(AX1065,Foundation_Calc!$I$10:$J$13,2,FALSE),0),
IF(AX1065="K",VLOOKUP(L1065,Foundation_Calc!$V$117:$X$151,VLOOKUP(AX1065,Foundation_Calc!$I$10:$J$13,2,FALSE),0),"")))</f>
        <v/>
      </c>
      <c r="N1065" s="665"/>
      <c r="O1065" s="665"/>
      <c r="P1065" s="665"/>
      <c r="Q1065" s="663"/>
      <c r="R1065" s="664"/>
      <c r="S1065" s="664"/>
      <c r="T1065" s="663"/>
      <c r="U1065" s="663"/>
      <c r="V1065" s="663"/>
      <c r="W1065" s="666"/>
      <c r="X1065" s="666"/>
      <c r="Y1065" s="666"/>
      <c r="Z1065" s="666"/>
      <c r="AA1065" s="666"/>
      <c r="AB1065" s="666"/>
      <c r="AC1065" s="665" t="str">
        <f t="shared" si="122"/>
        <v/>
      </c>
      <c r="AD1065" s="665"/>
      <c r="AE1065" s="665"/>
      <c r="AF1065" s="663"/>
      <c r="AG1065" s="662"/>
      <c r="AH1065" s="663"/>
      <c r="AI1065" s="663"/>
      <c r="AJ1065" s="665"/>
      <c r="AK1065" s="665"/>
      <c r="AL1065" s="665"/>
      <c r="AM1065" s="665"/>
      <c r="AN1065" s="667"/>
      <c r="AO1065" s="666"/>
      <c r="AP1065" s="666"/>
      <c r="AQ1065" s="666">
        <f>+FL_2($T$1066,$T$1064,$G$1065,1200,9.28,-1*$F$1066)</f>
        <v>-0.45400350967741931</v>
      </c>
      <c r="AR1065" s="666"/>
      <c r="AS1065" s="666"/>
      <c r="AT1065" s="666"/>
      <c r="AU1065" s="668"/>
      <c r="AV1065" s="668"/>
      <c r="AW1065" s="665" t="str">
        <f>IF(C1065&gt;0,VLOOKUP(C1065,Foundation_Calc!$A$2:$C$13,3,1),
IF(J1065&gt;0,VLOOKUP(J1065,Foundation_Calc!$A$2:$C$13,3,1),""))</f>
        <v/>
      </c>
      <c r="AX1065" s="665" t="str">
        <f>IF(C1065&gt;0,VLOOKUP(C1065,Foundation_Calc!$E$2:$G$33,3,1),
IF(J1065&gt;0,VLOOKUP(J1065,Foundation_Calc!$E$2:$G$33,3,1),""))</f>
        <v/>
      </c>
      <c r="AY1065" s="667" t="str">
        <f>IF(L1065="","",
IF(AX1065="PT",VLOOKUP(L1065,Foundation_Calc!$K$79:$R$113,VLOOKUP(AW1065,Foundation_Calc!$I$2:$J$8,2,FALSE),0),
IF(AX1065="K",VLOOKUP(L1065,Foundation_Calc!$K$117:$R$151,VLOOKUP(AW1065,Foundation_Calc!$I$2:$J$8,2,FALSE),0),"")))</f>
        <v/>
      </c>
      <c r="AZ1065" s="667" t="str">
        <f>IF(K1065="","",
IF(AX1065="PT",VLOOKUP(K1065,Foundation_Calc!$K$79:$R$113,VLOOKUP(AW1065,Foundation_Calc!$I$2:$J$8,2,FALSE),0),
IF(AX1065="K",VLOOKUP(K1065,Foundation_Calc!$K$117:$R$151,VLOOKUP(AW1065,Foundation_Calc!$I$2:$J$8,2,FALSE),0),"")))</f>
        <v/>
      </c>
      <c r="BA1065" s="495" t="str">
        <f t="shared" si="123"/>
        <v/>
      </c>
      <c r="BB1065" s="495" t="str">
        <f t="shared" si="124"/>
        <v/>
      </c>
      <c r="BC1065" s="495" t="str">
        <f t="shared" si="125"/>
        <v/>
      </c>
      <c r="BD1065" s="513" t="str">
        <f>IF(AND(L1065="",H1065=""),"",
IF(H1065="",Pole_Calc!A$9,
IF(H1065="MP",Pole_Calc!A$10,
IF(H1065="AnMP",Pole_Calc!A$11,
IF(H1065="A",Pole_Calc!A$12,
IF(H1065="S/A",Pole_Calc!A$13,
IF(H1065="A/S",Pole_Calc!A$14,"Poner a mano")))))))</f>
        <v/>
      </c>
      <c r="BE1065" s="429" t="s">
        <v>118</v>
      </c>
      <c r="BF1065" s="290"/>
      <c r="BG1065" s="290"/>
      <c r="BH1065" s="290"/>
      <c r="BI1065" s="290"/>
    </row>
    <row r="1066" spans="1:61" ht="15.6" customHeight="1">
      <c r="A1066" s="514"/>
      <c r="B1066" s="450" t="s">
        <v>802</v>
      </c>
      <c r="C1066" s="3">
        <f>+$C$1064+$G$1065</f>
        <v>55897.119999999995</v>
      </c>
      <c r="D1066" s="83"/>
      <c r="E1066" s="4"/>
      <c r="F1066" s="4">
        <f>IF(C1066&gt;0,VLOOKUP(C1066,'ALIGNMENT TRACK'!$A$1:$K$81,9,1))</f>
        <v>0</v>
      </c>
      <c r="G1066" s="6"/>
      <c r="H1066" s="449"/>
      <c r="I1066" s="4"/>
      <c r="J1066" s="3"/>
      <c r="K1066" s="449"/>
      <c r="L1066" s="449" t="s">
        <v>153</v>
      </c>
      <c r="M1066" s="449" t="str">
        <f>IF(L1066="","",
IF(AX1066="PT",VLOOKUP(L1066,Foundation_Calc!$V$79:$X$113,VLOOKUP(AX1066,Foundation_Calc!$I$10:$J$13,2,FALSE),0),
IF(AX1066="K",VLOOKUP(L1066,Foundation_Calc!$V$117:$X$151,VLOOKUP(AX1066,Foundation_Calc!$I$10:$J$13,2,FALSE),0),"")))</f>
        <v>C3R</v>
      </c>
      <c r="N1066" s="449" t="s">
        <v>124</v>
      </c>
      <c r="O1066" s="449"/>
      <c r="P1066" s="449"/>
      <c r="Q1066" s="4"/>
      <c r="R1066" s="6"/>
      <c r="S1066" s="6"/>
      <c r="T1066" s="4">
        <v>-35</v>
      </c>
      <c r="U1066" s="4"/>
      <c r="V1066" s="4"/>
      <c r="W1066" s="9">
        <v>1.4</v>
      </c>
      <c r="X1066" s="9"/>
      <c r="Y1066" s="9"/>
      <c r="Z1066" s="9"/>
      <c r="AA1066" s="9"/>
      <c r="AB1066" s="9"/>
      <c r="AC1066" s="449" t="str">
        <f t="shared" si="122"/>
        <v>PH</v>
      </c>
      <c r="AD1066" s="449"/>
      <c r="AE1066" s="449"/>
      <c r="AF1066" s="4"/>
      <c r="AG1066" s="83"/>
      <c r="AH1066" s="4"/>
      <c r="AI1066" s="4"/>
      <c r="AJ1066" s="449"/>
      <c r="AK1066" s="449"/>
      <c r="AL1066" s="449"/>
      <c r="AM1066" s="449" t="s">
        <v>552</v>
      </c>
      <c r="AN1066" s="10">
        <v>5.5</v>
      </c>
      <c r="AO1066" s="9"/>
      <c r="AP1066" s="9"/>
      <c r="AQ1066" s="9"/>
      <c r="AR1066" s="9"/>
      <c r="AS1066" s="9"/>
      <c r="AT1066" s="9">
        <f>+ab($T$1066,$T$1064,$T$1068,$G$1065,$G$1067,-1*$F$1066,1200)</f>
        <v>-8.4366201521118445</v>
      </c>
      <c r="AU1066" s="428"/>
      <c r="AV1066" s="428"/>
      <c r="AW1066" s="449" t="str">
        <f>IF(C1066&gt;0,VLOOKUP(C1066,Foundation_Calc!$A$2:$C$13,3,1),
IF(J1066&gt;0,VLOOKUP(J1066,Foundation_Calc!$A$2:$C$13,3,1),""))</f>
        <v>Multi Soil</v>
      </c>
      <c r="AX1066" s="449" t="str">
        <f>IF(C1066&gt;0,VLOOKUP(C1066,Foundation_Calc!$E$2:$G$33,3,1),
IF(J1066&gt;0,VLOOKUP(J1066,Foundation_Calc!$E$2:$G$33,3,1),""))</f>
        <v>PT</v>
      </c>
      <c r="AY1066" s="10">
        <f>IF(L1066="","",
IF(AX1066="PT",VLOOKUP(L1066,Foundation_Calc!$K$79:$R$113,VLOOKUP(AW1066,Foundation_Calc!$I$2:$J$8,2,FALSE),0),
IF(AX1066="K",VLOOKUP(L1066,Foundation_Calc!$K$117:$R$151,VLOOKUP(AW1066,Foundation_Calc!$I$2:$J$8,2,FALSE),0),"")))</f>
        <v>3.5</v>
      </c>
      <c r="AZ1066" s="10" t="str">
        <f>IF(K1066="","",
IF(AX1066="PT",VLOOKUP(K1066,Foundation_Calc!$K$79:$R$113,VLOOKUP(AW1066,Foundation_Calc!$I$2:$J$8,2,FALSE),0),
IF(AX1066="K",VLOOKUP(K1066,Foundation_Calc!$K$117:$R$151,VLOOKUP(AW1066,Foundation_Calc!$I$2:$J$8,2,FALSE),0),"")))</f>
        <v/>
      </c>
      <c r="BA1066" s="495" t="str">
        <f t="shared" si="123"/>
        <v>ü</v>
      </c>
      <c r="BB1066" s="495" t="str">
        <f t="shared" si="124"/>
        <v/>
      </c>
      <c r="BC1066" s="495" t="str">
        <f t="shared" si="125"/>
        <v/>
      </c>
      <c r="BD1066" s="513" t="str">
        <f>IF(AND(L1066="",H1066=""),"",
IF(H1066="",Pole_Calc!A$9,
IF(H1066="MP",Pole_Calc!A$10,
IF(H1066="AnMP",Pole_Calc!A$11,
IF(H1066="A",Pole_Calc!A$12,
IF(H1066="S/A",Pole_Calc!A$13,
IF(H1066="A/S",Pole_Calc!A$14,"Poner a mano")))))))</f>
        <v>App.7-V11I-P9.5.1.1</v>
      </c>
      <c r="BE1066" s="429" t="s">
        <v>118</v>
      </c>
      <c r="BF1066" s="289"/>
      <c r="BG1066" s="289"/>
      <c r="BH1066" s="290"/>
      <c r="BI1066" s="289"/>
    </row>
    <row r="1067" spans="1:61" ht="15.6" customHeight="1">
      <c r="A1067" s="514"/>
      <c r="B1067" s="450"/>
      <c r="C1067" s="3"/>
      <c r="D1067" s="83"/>
      <c r="E1067" s="4"/>
      <c r="F1067" s="4"/>
      <c r="G1067" s="6">
        <v>62</v>
      </c>
      <c r="H1067" s="449"/>
      <c r="I1067" s="4"/>
      <c r="J1067" s="3">
        <f>C1068-7.5</f>
        <v>55951.619999999995</v>
      </c>
      <c r="K1067" s="449" t="s">
        <v>166</v>
      </c>
      <c r="L1067" s="449"/>
      <c r="M1067" s="449" t="str">
        <f>IF(L1067="","",
IF(AX1067="PT",VLOOKUP(L1067,Foundation_Calc!$V$79:$X$113,VLOOKUP(AX1067,Foundation_Calc!$I$10:$J$13,2,FALSE),0),
IF(AX1067="K",VLOOKUP(L1067,Foundation_Calc!$V$117:$X$151,VLOOKUP(AX1067,Foundation_Calc!$I$10:$J$13,2,FALSE),0),"")))</f>
        <v/>
      </c>
      <c r="N1067" s="449"/>
      <c r="O1067" s="449"/>
      <c r="P1067" s="449"/>
      <c r="Q1067" s="4"/>
      <c r="R1067" s="6"/>
      <c r="S1067" s="6"/>
      <c r="T1067" s="4"/>
      <c r="U1067" s="4"/>
      <c r="V1067" s="4"/>
      <c r="W1067" s="9"/>
      <c r="X1067" s="9"/>
      <c r="Y1067" s="9"/>
      <c r="Z1067" s="9"/>
      <c r="AA1067" s="9"/>
      <c r="AB1067" s="9"/>
      <c r="AC1067" s="449" t="str">
        <f t="shared" si="122"/>
        <v/>
      </c>
      <c r="AD1067" s="449"/>
      <c r="AE1067" s="449"/>
      <c r="AF1067" s="4"/>
      <c r="AG1067" s="83"/>
      <c r="AH1067" s="4"/>
      <c r="AI1067" s="4"/>
      <c r="AJ1067" s="449"/>
      <c r="AK1067" s="449"/>
      <c r="AL1067" s="449"/>
      <c r="AM1067" s="449"/>
      <c r="AN1067" s="10"/>
      <c r="AO1067" s="9"/>
      <c r="AP1067" s="9"/>
      <c r="AQ1067" s="9">
        <f>+FL_1($T$1068,$T$1066,$G$1067,1200,9.28,-1*$F$1068)</f>
        <v>0.45400350967741931</v>
      </c>
      <c r="AR1067" s="9"/>
      <c r="AS1067" s="9"/>
      <c r="AT1067" s="9"/>
      <c r="AU1067" s="428"/>
      <c r="AV1067" s="428"/>
      <c r="AW1067" s="449" t="str">
        <f>IF(C1067&gt;0,VLOOKUP(C1067,Foundation_Calc!$A$2:$C$13,3,1),
IF(J1067&gt;0,VLOOKUP(J1067,Foundation_Calc!$A$2:$C$13,3,1),""))</f>
        <v>Multi Soil</v>
      </c>
      <c r="AX1067" s="449" t="str">
        <f>IF(C1067&gt;0,VLOOKUP(C1067,Foundation_Calc!$E$2:$G$33,3,1),
IF(J1067&gt;0,VLOOKUP(J1067,Foundation_Calc!$E$2:$G$33,3,1),""))</f>
        <v>PT</v>
      </c>
      <c r="AY1067" s="10" t="str">
        <f>IF(L1067="","",
IF(AX1067="PT",VLOOKUP(L1067,Foundation_Calc!$K$79:$R$113,VLOOKUP(AW1067,Foundation_Calc!$I$2:$J$8,2,FALSE),0),
IF(AX1067="K",VLOOKUP(L1067,Foundation_Calc!$K$117:$R$151,VLOOKUP(AW1067,Foundation_Calc!$I$2:$J$8,2,FALSE),0),"")))</f>
        <v/>
      </c>
      <c r="AZ1067" s="10">
        <f>IF(K1067="","",
IF(AX1067="PT",VLOOKUP(K1067,Foundation_Calc!$K$79:$R$113,VLOOKUP(AW1067,Foundation_Calc!$I$2:$J$8,2,FALSE),0),
IF(AX1067="K",VLOOKUP(K1067,Foundation_Calc!$K$117:$R$151,VLOOKUP(AW1067,Foundation_Calc!$I$2:$J$8,2,FALSE),0),"")))</f>
        <v>2.8</v>
      </c>
      <c r="BA1067" s="495" t="str">
        <f t="shared" si="123"/>
        <v/>
      </c>
      <c r="BB1067" s="495" t="str">
        <f t="shared" si="124"/>
        <v>ü</v>
      </c>
      <c r="BC1067" s="495" t="str">
        <f t="shared" si="125"/>
        <v/>
      </c>
      <c r="BD1067" s="513" t="str">
        <f>IF(AND(L1067="",H1067=""),"",
IF(H1067="",Pole_Calc!A$9,
IF(H1067="MP",Pole_Calc!A$10,
IF(H1067="AnMP",Pole_Calc!A$11,
IF(H1067="A",Pole_Calc!A$12,
IF(H1067="S/A",Pole_Calc!A$13,
IF(H1067="A/S",Pole_Calc!A$14,"Poner a mano")))))))</f>
        <v/>
      </c>
      <c r="BE1067" s="429" t="s">
        <v>118</v>
      </c>
      <c r="BF1067" s="290"/>
      <c r="BG1067" s="290"/>
      <c r="BH1067" s="290"/>
      <c r="BI1067" s="290"/>
    </row>
    <row r="1068" spans="1:61" ht="15.6" customHeight="1">
      <c r="A1068" s="518"/>
      <c r="B1068" s="450" t="s">
        <v>803</v>
      </c>
      <c r="C1068" s="3">
        <f>+$C$1066+$G$1067</f>
        <v>55959.119999999995</v>
      </c>
      <c r="D1068" s="83"/>
      <c r="E1068" s="4"/>
      <c r="F1068" s="4">
        <f>IF(C1068&gt;0,VLOOKUP(C1068,'ALIGNMENT TRACK'!$A$1:$K$81,9,1))</f>
        <v>0</v>
      </c>
      <c r="G1068" s="6"/>
      <c r="H1068" s="449" t="s">
        <v>168</v>
      </c>
      <c r="I1068" s="4"/>
      <c r="J1068" s="3"/>
      <c r="K1068" s="449"/>
      <c r="L1068" s="449" t="s">
        <v>158</v>
      </c>
      <c r="M1068" s="449" t="str">
        <f>IF(L1068="","",
IF(AX1068="PT",VLOOKUP(L1068,Foundation_Calc!$V$79:$X$113,VLOOKUP(AX1068,Foundation_Calc!$I$10:$J$13,2,FALSE),0),
IF(AX1068="K",VLOOKUP(L1068,Foundation_Calc!$V$117:$X$151,VLOOKUP(AX1068,Foundation_Calc!$I$10:$J$13,2,FALSE),0),"")))</f>
        <v>C4R</v>
      </c>
      <c r="N1068" s="449" t="s">
        <v>134</v>
      </c>
      <c r="O1068" s="449"/>
      <c r="P1068" s="449"/>
      <c r="Q1068" s="4"/>
      <c r="R1068" s="6"/>
      <c r="S1068" s="6"/>
      <c r="T1068" s="4">
        <v>35</v>
      </c>
      <c r="U1068" s="4"/>
      <c r="V1068" s="4"/>
      <c r="W1068" s="9">
        <v>1.4</v>
      </c>
      <c r="X1068" s="9"/>
      <c r="Y1068" s="9"/>
      <c r="Z1068" s="9"/>
      <c r="AA1068" s="9"/>
      <c r="AB1068" s="9"/>
      <c r="AC1068" s="449" t="str">
        <f t="shared" si="122"/>
        <v>PH</v>
      </c>
      <c r="AD1068" s="449"/>
      <c r="AE1068" s="449"/>
      <c r="AF1068" s="4"/>
      <c r="AG1068" s="83"/>
      <c r="AH1068" s="4"/>
      <c r="AI1068" s="4"/>
      <c r="AJ1068" s="449"/>
      <c r="AK1068" s="449"/>
      <c r="AL1068" s="449"/>
      <c r="AM1068" s="449" t="s">
        <v>552</v>
      </c>
      <c r="AN1068" s="10">
        <v>5.5</v>
      </c>
      <c r="AO1068" s="9"/>
      <c r="AP1068" s="9"/>
      <c r="AQ1068" s="9"/>
      <c r="AR1068" s="9"/>
      <c r="AS1068" s="9"/>
      <c r="AT1068" s="9">
        <f>+ab($T$1068,$T$1066,$T$1070,$G$1067,$G$1069,-1*$F$1068,1200)</f>
        <v>8.4365744899000195</v>
      </c>
      <c r="AU1068" s="428"/>
      <c r="AV1068" s="428"/>
      <c r="AW1068" s="449" t="str">
        <f>IF(C1068&gt;0,VLOOKUP(C1068,Foundation_Calc!$A$2:$C$13,3,1),
IF(J1068&gt;0,VLOOKUP(J1068,Foundation_Calc!$A$2:$C$13,3,1),""))</f>
        <v>Multi Soil</v>
      </c>
      <c r="AX1068" s="449" t="str">
        <f>IF(C1068&gt;0,VLOOKUP(C1068,Foundation_Calc!$E$2:$G$33,3,1),
IF(J1068&gt;0,VLOOKUP(J1068,Foundation_Calc!$E$2:$G$33,3,1),""))</f>
        <v>PT</v>
      </c>
      <c r="AY1068" s="10">
        <f>IF(L1068="","",
IF(AX1068="PT",VLOOKUP(L1068,Foundation_Calc!$K$79:$R$113,VLOOKUP(AW1068,Foundation_Calc!$I$2:$J$8,2,FALSE),0),
IF(AX1068="K",VLOOKUP(L1068,Foundation_Calc!$K$117:$R$151,VLOOKUP(AW1068,Foundation_Calc!$I$2:$J$8,2,FALSE),0),"")))</f>
        <v>3.5</v>
      </c>
      <c r="AZ1068" s="10" t="str">
        <f>IF(K1068="","",
IF(AX1068="PT",VLOOKUP(K1068,Foundation_Calc!$K$79:$R$113,VLOOKUP(AW1068,Foundation_Calc!$I$2:$J$8,2,FALSE),0),
IF(AX1068="K",VLOOKUP(K1068,Foundation_Calc!$K$117:$R$151,VLOOKUP(AW1068,Foundation_Calc!$I$2:$J$8,2,FALSE),0),"")))</f>
        <v/>
      </c>
      <c r="BA1068" s="495" t="str">
        <f t="shared" si="123"/>
        <v>ü</v>
      </c>
      <c r="BB1068" s="495" t="str">
        <f t="shared" si="124"/>
        <v/>
      </c>
      <c r="BC1068" s="495" t="str">
        <f t="shared" si="125"/>
        <v/>
      </c>
      <c r="BD1068" s="513" t="str">
        <f>IF(AND(L1068="",H1068=""),"",
IF(H1068="",Pole_Calc!A$9,
IF(H1068="MP",Pole_Calc!A$10,
IF(H1068="AnMP",Pole_Calc!A$11,
IF(H1068="A",Pole_Calc!A$12,
IF(H1068="S/A",Pole_Calc!A$13,
IF(H1068="A/S",Pole_Calc!A$14,"Poner a mano")))))))</f>
        <v>App.7-V11I-P9.5.1.3</v>
      </c>
      <c r="BE1068" s="429" t="s">
        <v>118</v>
      </c>
      <c r="BF1068" s="289"/>
      <c r="BG1068" s="289"/>
      <c r="BH1068" s="290"/>
      <c r="BI1068" s="289"/>
    </row>
    <row r="1069" spans="1:61" ht="15.6" customHeight="1">
      <c r="A1069" s="518"/>
      <c r="B1069" s="450"/>
      <c r="C1069" s="3"/>
      <c r="D1069" s="83"/>
      <c r="E1069" s="4"/>
      <c r="F1069" s="4"/>
      <c r="G1069" s="6">
        <v>62</v>
      </c>
      <c r="H1069" s="449"/>
      <c r="I1069" s="4">
        <f>SUM(G1049:G1069)</f>
        <v>650</v>
      </c>
      <c r="J1069" s="3"/>
      <c r="K1069" s="449"/>
      <c r="L1069" s="449"/>
      <c r="M1069" s="449" t="str">
        <f>IF(L1069="","",
IF(AX1069="PT",VLOOKUP(L1069,Foundation_Calc!$V$79:$X$113,VLOOKUP(AX1069,Foundation_Calc!$I$10:$J$13,2,FALSE),0),
IF(AX1069="K",VLOOKUP(L1069,Foundation_Calc!$V$117:$X$151,VLOOKUP(AX1069,Foundation_Calc!$I$10:$J$13,2,FALSE),0),"")))</f>
        <v/>
      </c>
      <c r="N1069" s="561"/>
      <c r="O1069" s="449"/>
      <c r="P1069" s="449"/>
      <c r="Q1069" s="4"/>
      <c r="R1069" s="6"/>
      <c r="S1069" s="6"/>
      <c r="T1069" s="4"/>
      <c r="U1069" s="4"/>
      <c r="V1069" s="4"/>
      <c r="W1069" s="9"/>
      <c r="X1069" s="9"/>
      <c r="Y1069" s="9"/>
      <c r="Z1069" s="9"/>
      <c r="AA1069" s="9"/>
      <c r="AB1069" s="9"/>
      <c r="AC1069" s="449" t="str">
        <f t="shared" si="122"/>
        <v/>
      </c>
      <c r="AD1069" s="449"/>
      <c r="AE1069" s="449"/>
      <c r="AF1069" s="4"/>
      <c r="AG1069" s="83"/>
      <c r="AH1069" s="4"/>
      <c r="AI1069" s="4"/>
      <c r="AJ1069" s="449"/>
      <c r="AK1069" s="449"/>
      <c r="AL1069" s="449"/>
      <c r="AM1069" s="449"/>
      <c r="AN1069" s="10"/>
      <c r="AO1069" s="9"/>
      <c r="AP1069" s="9"/>
      <c r="AQ1069" s="9">
        <f>+FL_2($T$1070,$T$1068,$G$1069,1200,9.28,-1*$F$1070)</f>
        <v>-0.45400350967741931</v>
      </c>
      <c r="AR1069" s="9"/>
      <c r="AS1069" s="9"/>
      <c r="AT1069" s="9"/>
      <c r="AU1069" s="428"/>
      <c r="AV1069" s="428"/>
      <c r="AW1069" s="449" t="str">
        <f>IF(C1069&gt;0,VLOOKUP(C1069,Foundation_Calc!$A$2:$C$13,3,1),
IF(J1069&gt;0,VLOOKUP(J1069,Foundation_Calc!$A$2:$C$13,3,1),""))</f>
        <v/>
      </c>
      <c r="AX1069" s="449" t="str">
        <f>IF(C1069&gt;0,VLOOKUP(C1069,Foundation_Calc!$E$2:$G$33,3,1),
IF(J1069&gt;0,VLOOKUP(J1069,Foundation_Calc!$E$2:$G$33,3,1),""))</f>
        <v/>
      </c>
      <c r="AY1069" s="10" t="str">
        <f>IF(L1069="","",
IF(AX1069="PT",VLOOKUP(L1069,Foundation_Calc!$K$79:$R$113,VLOOKUP(AW1069,Foundation_Calc!$I$2:$J$8,2,FALSE),0),
IF(AX1069="K",VLOOKUP(L1069,Foundation_Calc!$K$117:$R$151,VLOOKUP(AW1069,Foundation_Calc!$I$2:$J$8,2,FALSE),0),"")))</f>
        <v/>
      </c>
      <c r="AZ1069" s="10" t="str">
        <f>IF(K1069="","",
IF(AX1069="PT",VLOOKUP(K1069,Foundation_Calc!$K$79:$R$113,VLOOKUP(AW1069,Foundation_Calc!$I$2:$J$8,2,FALSE),0),
IF(AX1069="K",VLOOKUP(K1069,Foundation_Calc!$K$117:$R$151,VLOOKUP(AW1069,Foundation_Calc!$I$2:$J$8,2,FALSE),0),"")))</f>
        <v/>
      </c>
      <c r="BA1069" s="495" t="str">
        <f t="shared" si="123"/>
        <v/>
      </c>
      <c r="BB1069" s="495" t="str">
        <f t="shared" si="124"/>
        <v/>
      </c>
      <c r="BC1069" s="495" t="str">
        <f t="shared" si="125"/>
        <v/>
      </c>
      <c r="BD1069" s="513" t="str">
        <f>IF(AND(L1069="",H1069=""),"",
IF(H1069="",Pole_Calc!A$9,
IF(H1069="MP",Pole_Calc!A$10,
IF(H1069="AnMP",Pole_Calc!A$11,
IF(H1069="A",Pole_Calc!A$12,
IF(H1069="S/A",Pole_Calc!A$13,
IF(H1069="A/S",Pole_Calc!A$14,"Poner a mano")))))))</f>
        <v/>
      </c>
      <c r="BE1069" s="429" t="s">
        <v>118</v>
      </c>
      <c r="BF1069" s="290"/>
      <c r="BG1069" s="290"/>
      <c r="BH1069" s="290"/>
      <c r="BI1069" s="290"/>
    </row>
    <row r="1070" spans="1:61" ht="15.6" customHeight="1">
      <c r="A1070" s="514"/>
      <c r="B1070" s="450" t="s">
        <v>804</v>
      </c>
      <c r="C1070" s="3">
        <f>+$C$1068+$G$1069</f>
        <v>56021.119999999995</v>
      </c>
      <c r="D1070" s="83"/>
      <c r="E1070" s="4"/>
      <c r="F1070" s="4">
        <f>IF(C1070&gt;0,VLOOKUP(C1070,'ALIGNMENT TRACK'!$A$1:$K$81,9,1))</f>
        <v>0</v>
      </c>
      <c r="G1070" s="6"/>
      <c r="H1070" s="449" t="s">
        <v>171</v>
      </c>
      <c r="I1070" s="4"/>
      <c r="J1070" s="3"/>
      <c r="K1070" s="449"/>
      <c r="L1070" s="449" t="s">
        <v>153</v>
      </c>
      <c r="M1070" s="449" t="str">
        <f>IF(L1070="","",
IF(AX1070="PT",VLOOKUP(L1070,Foundation_Calc!$V$79:$X$113,VLOOKUP(AX1070,Foundation_Calc!$I$10:$J$13,2,FALSE),0),
IF(AX1070="K",VLOOKUP(L1070,Foundation_Calc!$V$117:$X$151,VLOOKUP(AX1070,Foundation_Calc!$I$10:$J$13,2,FALSE),0),"")))</f>
        <v>C3R</v>
      </c>
      <c r="N1070" s="449" t="s">
        <v>124</v>
      </c>
      <c r="O1070" s="449"/>
      <c r="P1070" s="449"/>
      <c r="Q1070" s="4"/>
      <c r="R1070" s="6"/>
      <c r="S1070" s="6"/>
      <c r="T1070" s="4">
        <v>-35</v>
      </c>
      <c r="U1070" s="4"/>
      <c r="V1070" s="4"/>
      <c r="W1070" s="9">
        <v>1.4</v>
      </c>
      <c r="X1070" s="9"/>
      <c r="Y1070" s="9"/>
      <c r="Z1070" s="9"/>
      <c r="AA1070" s="9"/>
      <c r="AB1070" s="9"/>
      <c r="AC1070" s="449" t="str">
        <f t="shared" si="122"/>
        <v>PH</v>
      </c>
      <c r="AD1070" s="449"/>
      <c r="AE1070" s="449"/>
      <c r="AF1070" s="4"/>
      <c r="AG1070" s="83"/>
      <c r="AH1070" s="4"/>
      <c r="AI1070" s="4"/>
      <c r="AJ1070" s="449"/>
      <c r="AK1070" s="449"/>
      <c r="AL1070" s="449"/>
      <c r="AM1070" s="449" t="s">
        <v>552</v>
      </c>
      <c r="AN1070" s="10">
        <v>5.5</v>
      </c>
      <c r="AO1070" s="9"/>
      <c r="AP1070" s="9"/>
      <c r="AQ1070" s="9"/>
      <c r="AR1070" s="9"/>
      <c r="AS1070" s="9"/>
      <c r="AT1070" s="9">
        <f>+ab($T$1070,$T$1068,$T$1072,$G$1069,$G$1071,-1*$F$1070,1200)</f>
        <v>-8.4366201521118445</v>
      </c>
      <c r="AU1070" s="428"/>
      <c r="AV1070" s="428"/>
      <c r="AW1070" s="449" t="str">
        <f>IF(C1070&gt;0,VLOOKUP(C1070,Foundation_Calc!$A$2:$C$13,3,1),
IF(J1070&gt;0,VLOOKUP(J1070,Foundation_Calc!$A$2:$C$13,3,1),""))</f>
        <v>Multi Soil</v>
      </c>
      <c r="AX1070" s="449" t="str">
        <f>IF(C1070&gt;0,VLOOKUP(C1070,Foundation_Calc!$E$2:$G$33,3,1),
IF(J1070&gt;0,VLOOKUP(J1070,Foundation_Calc!$E$2:$G$33,3,1),""))</f>
        <v>PT</v>
      </c>
      <c r="AY1070" s="10">
        <f>IF(L1070="","",
IF(AX1070="PT",VLOOKUP(L1070,Foundation_Calc!$K$79:$R$113,VLOOKUP(AW1070,Foundation_Calc!$I$2:$J$8,2,FALSE),0),
IF(AX1070="K",VLOOKUP(L1070,Foundation_Calc!$K$117:$R$151,VLOOKUP(AW1070,Foundation_Calc!$I$2:$J$8,2,FALSE),0),"")))</f>
        <v>3.5</v>
      </c>
      <c r="AZ1070" s="10" t="str">
        <f>IF(K1070="","",
IF(AX1070="PT",VLOOKUP(K1070,Foundation_Calc!$K$79:$R$113,VLOOKUP(AW1070,Foundation_Calc!$I$2:$J$8,2,FALSE),0),
IF(AX1070="K",VLOOKUP(K1070,Foundation_Calc!$K$117:$R$151,VLOOKUP(AW1070,Foundation_Calc!$I$2:$J$8,2,FALSE),0),"")))</f>
        <v/>
      </c>
      <c r="BA1070" s="495" t="str">
        <f t="shared" si="123"/>
        <v>ü</v>
      </c>
      <c r="BB1070" s="495" t="str">
        <f t="shared" si="124"/>
        <v/>
      </c>
      <c r="BC1070" s="495" t="str">
        <f t="shared" si="125"/>
        <v/>
      </c>
      <c r="BD1070" s="513" t="str">
        <f>IF(AND(L1070="",H1070=""),"",
IF(H1070="",Pole_Calc!A$9,
IF(H1070="MP",Pole_Calc!A$10,
IF(H1070="AnMP",Pole_Calc!A$11,
IF(H1070="A",Pole_Calc!A$12,
IF(H1070="S/A",Pole_Calc!A$13,
IF(H1070="A/S",Pole_Calc!A$14,"Poner a mano")))))))</f>
        <v>App.7-V11I-P9.5.1.2</v>
      </c>
      <c r="BE1070" s="429" t="s">
        <v>118</v>
      </c>
      <c r="BF1070" s="289"/>
      <c r="BG1070" s="289"/>
      <c r="BH1070" s="290"/>
      <c r="BI1070" s="289"/>
    </row>
    <row r="1071" spans="1:61" ht="15.6" customHeight="1">
      <c r="A1071" s="514"/>
      <c r="B1071" s="450"/>
      <c r="C1071" s="3"/>
      <c r="D1071" s="83"/>
      <c r="E1071" s="4"/>
      <c r="F1071" s="4"/>
      <c r="G1071" s="6">
        <v>62</v>
      </c>
      <c r="H1071" s="449"/>
      <c r="I1071" s="4">
        <f>SUM(G1071:G1091)</f>
        <v>682</v>
      </c>
      <c r="J1071" s="3"/>
      <c r="K1071" s="449"/>
      <c r="L1071" s="449"/>
      <c r="M1071" s="449" t="str">
        <f>IF(L1071="","",
IF(AX1071="PT",VLOOKUP(L1071,Foundation_Calc!$V$79:$X$113,VLOOKUP(AX1071,Foundation_Calc!$I$10:$J$13,2,FALSE),0),
IF(AX1071="K",VLOOKUP(L1071,Foundation_Calc!$V$117:$X$151,VLOOKUP(AX1071,Foundation_Calc!$I$10:$J$13,2,FALSE),0),"")))</f>
        <v/>
      </c>
      <c r="N1071" s="449"/>
      <c r="O1071" s="449"/>
      <c r="P1071" s="449"/>
      <c r="Q1071" s="4"/>
      <c r="R1071" s="6"/>
      <c r="S1071" s="6"/>
      <c r="T1071" s="4"/>
      <c r="U1071" s="4"/>
      <c r="V1071" s="4"/>
      <c r="W1071" s="9"/>
      <c r="X1071" s="9"/>
      <c r="Y1071" s="9"/>
      <c r="Z1071" s="9"/>
      <c r="AA1071" s="9"/>
      <c r="AB1071" s="9"/>
      <c r="AC1071" s="449" t="str">
        <f t="shared" si="122"/>
        <v/>
      </c>
      <c r="AD1071" s="449"/>
      <c r="AE1071" s="449"/>
      <c r="AF1071" s="4"/>
      <c r="AG1071" s="83"/>
      <c r="AH1071" s="4"/>
      <c r="AI1071" s="4"/>
      <c r="AJ1071" s="449"/>
      <c r="AK1071" s="449"/>
      <c r="AL1071" s="449"/>
      <c r="AM1071" s="449"/>
      <c r="AN1071" s="10"/>
      <c r="AO1071" s="9"/>
      <c r="AP1071" s="9"/>
      <c r="AQ1071" s="9">
        <f>+FL_1($T$1072,$T$1070,$G$1071,1200,9.28,-1*$F$1072)</f>
        <v>0.45400350967741931</v>
      </c>
      <c r="AR1071" s="9"/>
      <c r="AS1071" s="9"/>
      <c r="AT1071" s="9"/>
      <c r="AU1071" s="428"/>
      <c r="AV1071" s="428"/>
      <c r="AW1071" s="449" t="str">
        <f>IF(C1071&gt;0,VLOOKUP(C1071,Foundation_Calc!$A$2:$C$13,3,1),
IF(J1071&gt;0,VLOOKUP(J1071,Foundation_Calc!$A$2:$C$13,3,1),""))</f>
        <v/>
      </c>
      <c r="AX1071" s="449" t="str">
        <f>IF(C1071&gt;0,VLOOKUP(C1071,Foundation_Calc!$E$2:$G$33,3,1),
IF(J1071&gt;0,VLOOKUP(J1071,Foundation_Calc!$E$2:$G$33,3,1),""))</f>
        <v/>
      </c>
      <c r="AY1071" s="10" t="str">
        <f>IF(L1071="","",
IF(AX1071="PT",VLOOKUP(L1071,Foundation_Calc!$K$79:$R$113,VLOOKUP(AW1071,Foundation_Calc!$I$2:$J$8,2,FALSE),0),
IF(AX1071="K",VLOOKUP(L1071,Foundation_Calc!$K$117:$R$151,VLOOKUP(AW1071,Foundation_Calc!$I$2:$J$8,2,FALSE),0),"")))</f>
        <v/>
      </c>
      <c r="AZ1071" s="10" t="str">
        <f>IF(K1071="","",
IF(AX1071="PT",VLOOKUP(K1071,Foundation_Calc!$K$79:$R$113,VLOOKUP(AW1071,Foundation_Calc!$I$2:$J$8,2,FALSE),0),
IF(AX1071="K",VLOOKUP(K1071,Foundation_Calc!$K$117:$R$151,VLOOKUP(AW1071,Foundation_Calc!$I$2:$J$8,2,FALSE),0),"")))</f>
        <v/>
      </c>
      <c r="BA1071" s="495" t="str">
        <f t="shared" si="123"/>
        <v/>
      </c>
      <c r="BB1071" s="495" t="str">
        <f t="shared" si="124"/>
        <v/>
      </c>
      <c r="BC1071" s="495" t="str">
        <f t="shared" si="125"/>
        <v/>
      </c>
      <c r="BD1071" s="513" t="str">
        <f>IF(AND(L1071="",H1071=""),"",
IF(H1071="",Pole_Calc!A$9,
IF(H1071="MP",Pole_Calc!A$10,
IF(H1071="AnMP",Pole_Calc!A$11,
IF(H1071="A",Pole_Calc!A$12,
IF(H1071="S/A",Pole_Calc!A$13,
IF(H1071="A/S",Pole_Calc!A$14,"Poner a mano")))))))</f>
        <v/>
      </c>
      <c r="BE1071" s="429" t="s">
        <v>118</v>
      </c>
      <c r="BF1071" s="290"/>
      <c r="BG1071" s="290"/>
      <c r="BH1071" s="290"/>
      <c r="BI1071" s="290"/>
    </row>
    <row r="1072" spans="1:61" ht="15.6" customHeight="1">
      <c r="A1072" s="514"/>
      <c r="B1072" s="450" t="s">
        <v>805</v>
      </c>
      <c r="C1072" s="3">
        <f>+$C$1070+$G$1071</f>
        <v>56083.119999999995</v>
      </c>
      <c r="D1072" s="83"/>
      <c r="E1072" s="4"/>
      <c r="F1072" s="4">
        <f>IF(C1072&gt;0,VLOOKUP(C1072,'ALIGNMENT TRACK'!$A$1:$K$81,9,1))</f>
        <v>0</v>
      </c>
      <c r="G1072" s="6"/>
      <c r="H1072" s="449" t="s">
        <v>168</v>
      </c>
      <c r="I1072" s="4"/>
      <c r="J1072" s="3"/>
      <c r="K1072" s="449"/>
      <c r="L1072" s="449" t="s">
        <v>158</v>
      </c>
      <c r="M1072" s="449" t="str">
        <f>IF(L1072="","",
IF(AX1072="PT",VLOOKUP(L1072,Foundation_Calc!$V$79:$X$113,VLOOKUP(AX1072,Foundation_Calc!$I$10:$J$13,2,FALSE),0),
IF(AX1072="K",VLOOKUP(L1072,Foundation_Calc!$V$117:$X$151,VLOOKUP(AX1072,Foundation_Calc!$I$10:$J$13,2,FALSE),0),"")))</f>
        <v>C4R</v>
      </c>
      <c r="N1072" s="449" t="s">
        <v>134</v>
      </c>
      <c r="O1072" s="449"/>
      <c r="P1072" s="449"/>
      <c r="Q1072" s="4"/>
      <c r="R1072" s="6"/>
      <c r="S1072" s="6"/>
      <c r="T1072" s="4">
        <v>35</v>
      </c>
      <c r="U1072" s="4"/>
      <c r="V1072" s="4"/>
      <c r="W1072" s="9">
        <v>1.4</v>
      </c>
      <c r="X1072" s="9"/>
      <c r="Y1072" s="9"/>
      <c r="Z1072" s="9"/>
      <c r="AA1072" s="9"/>
      <c r="AB1072" s="9"/>
      <c r="AC1072" s="449" t="str">
        <f t="shared" si="122"/>
        <v>PH</v>
      </c>
      <c r="AD1072" s="449"/>
      <c r="AE1072" s="449"/>
      <c r="AF1072" s="4"/>
      <c r="AG1072" s="83"/>
      <c r="AH1072" s="4"/>
      <c r="AI1072" s="4"/>
      <c r="AJ1072" s="449"/>
      <c r="AK1072" s="449"/>
      <c r="AL1072" s="449"/>
      <c r="AM1072" s="449" t="s">
        <v>552</v>
      </c>
      <c r="AN1072" s="10">
        <v>5.5</v>
      </c>
      <c r="AO1072" s="9"/>
      <c r="AP1072" s="9"/>
      <c r="AQ1072" s="9"/>
      <c r="AR1072" s="9"/>
      <c r="AS1072" s="9"/>
      <c r="AT1072" s="9">
        <f>+ab($T$1072,$T$1070,$T$1074,$G$1071,$G$1073,-1*$F$1072,1200)</f>
        <v>8.4365744899000195</v>
      </c>
      <c r="AU1072" s="428"/>
      <c r="AV1072" s="428"/>
      <c r="AW1072" s="449" t="str">
        <f>IF(C1072&gt;0,VLOOKUP(C1072,Foundation_Calc!$A$2:$C$13,3,1),
IF(J1072&gt;0,VLOOKUP(J1072,Foundation_Calc!$A$2:$C$13,3,1),""))</f>
        <v>Multi Soil</v>
      </c>
      <c r="AX1072" s="449" t="str">
        <f>IF(C1072&gt;0,VLOOKUP(C1072,Foundation_Calc!$E$2:$G$33,3,1),
IF(J1072&gt;0,VLOOKUP(J1072,Foundation_Calc!$E$2:$G$33,3,1),""))</f>
        <v>PT</v>
      </c>
      <c r="AY1072" s="10">
        <f>IF(L1072="","",
IF(AX1072="PT",VLOOKUP(L1072,Foundation_Calc!$K$79:$R$113,VLOOKUP(AW1072,Foundation_Calc!$I$2:$J$8,2,FALSE),0),
IF(AX1072="K",VLOOKUP(L1072,Foundation_Calc!$K$117:$R$151,VLOOKUP(AW1072,Foundation_Calc!$I$2:$J$8,2,FALSE),0),"")))</f>
        <v>3.5</v>
      </c>
      <c r="AZ1072" s="10" t="str">
        <f>IF(K1072="","",
IF(AX1072="PT",VLOOKUP(K1072,Foundation_Calc!$K$79:$R$113,VLOOKUP(AW1072,Foundation_Calc!$I$2:$J$8,2,FALSE),0),
IF(AX1072="K",VLOOKUP(K1072,Foundation_Calc!$K$117:$R$151,VLOOKUP(AW1072,Foundation_Calc!$I$2:$J$8,2,FALSE),0),"")))</f>
        <v/>
      </c>
      <c r="BA1072" s="495" t="str">
        <f t="shared" si="123"/>
        <v>ü</v>
      </c>
      <c r="BB1072" s="495" t="str">
        <f t="shared" si="124"/>
        <v/>
      </c>
      <c r="BC1072" s="495" t="str">
        <f t="shared" si="125"/>
        <v/>
      </c>
      <c r="BD1072" s="513" t="str">
        <f>IF(AND(L1072="",H1072=""),"",
IF(H1072="",Pole_Calc!A$9,
IF(H1072="MP",Pole_Calc!A$10,
IF(H1072="AnMP",Pole_Calc!A$11,
IF(H1072="A",Pole_Calc!A$12,
IF(H1072="S/A",Pole_Calc!A$13,
IF(H1072="A/S",Pole_Calc!A$14,"Poner a mano")))))))</f>
        <v>App.7-V11I-P9.5.1.3</v>
      </c>
      <c r="BE1072" s="429" t="s">
        <v>118</v>
      </c>
      <c r="BF1072" s="289"/>
      <c r="BG1072" s="289"/>
      <c r="BH1072" s="290"/>
      <c r="BI1072" s="289"/>
    </row>
    <row r="1073" spans="1:61" ht="15.6" customHeight="1">
      <c r="A1073" s="514"/>
      <c r="B1073" s="450"/>
      <c r="C1073" s="3"/>
      <c r="D1073" s="83"/>
      <c r="E1073" s="4"/>
      <c r="F1073" s="4"/>
      <c r="G1073" s="6">
        <v>62</v>
      </c>
      <c r="H1073" s="449"/>
      <c r="I1073" s="4"/>
      <c r="J1073" s="3">
        <f>C1072+7.5</f>
        <v>56090.619999999995</v>
      </c>
      <c r="K1073" s="449" t="s">
        <v>166</v>
      </c>
      <c r="L1073" s="449"/>
      <c r="M1073" s="449" t="str">
        <f>IF(L1073="","",
IF(AX1073="PT",VLOOKUP(L1073,Foundation_Calc!$V$79:$X$113,VLOOKUP(AX1073,Foundation_Calc!$I$10:$J$13,2,FALSE),0),
IF(AX1073="K",VLOOKUP(L1073,Foundation_Calc!$V$117:$X$151,VLOOKUP(AX1073,Foundation_Calc!$I$10:$J$13,2,FALSE),0),"")))</f>
        <v/>
      </c>
      <c r="N1073" s="449"/>
      <c r="O1073" s="449"/>
      <c r="P1073" s="449"/>
      <c r="Q1073" s="4"/>
      <c r="R1073" s="6"/>
      <c r="S1073" s="6"/>
      <c r="T1073" s="4"/>
      <c r="U1073" s="4"/>
      <c r="V1073" s="4"/>
      <c r="W1073" s="9"/>
      <c r="X1073" s="9"/>
      <c r="Y1073" s="9"/>
      <c r="Z1073" s="9"/>
      <c r="AA1073" s="9"/>
      <c r="AB1073" s="9"/>
      <c r="AC1073" s="449" t="str">
        <f t="shared" si="122"/>
        <v/>
      </c>
      <c r="AD1073" s="449"/>
      <c r="AE1073" s="449"/>
      <c r="AF1073" s="4"/>
      <c r="AG1073" s="83"/>
      <c r="AH1073" s="4"/>
      <c r="AI1073" s="4"/>
      <c r="AJ1073" s="449"/>
      <c r="AK1073" s="449"/>
      <c r="AL1073" s="449"/>
      <c r="AM1073" s="449"/>
      <c r="AN1073" s="10"/>
      <c r="AO1073" s="9"/>
      <c r="AP1073" s="9"/>
      <c r="AQ1073" s="9">
        <f>+FL_2($T$1074,$T$1072,$G$1073,1200,9.28,-1*$F$1074)</f>
        <v>-0.45400350967741931</v>
      </c>
      <c r="AR1073" s="9"/>
      <c r="AS1073" s="9"/>
      <c r="AT1073" s="9"/>
      <c r="AU1073" s="428"/>
      <c r="AV1073" s="428"/>
      <c r="AW1073" s="449" t="str">
        <f>IF(C1073&gt;0,VLOOKUP(C1073,Foundation_Calc!$A$2:$C$13,3,1),
IF(J1073&gt;0,VLOOKUP(J1073,Foundation_Calc!$A$2:$C$13,3,1),""))</f>
        <v>Multi Soil</v>
      </c>
      <c r="AX1073" s="449" t="str">
        <f>IF(C1073&gt;0,VLOOKUP(C1073,Foundation_Calc!$E$2:$G$33,3,1),
IF(J1073&gt;0,VLOOKUP(J1073,Foundation_Calc!$E$2:$G$33,3,1),""))</f>
        <v>PT</v>
      </c>
      <c r="AY1073" s="10" t="str">
        <f>IF(L1073="","",
IF(AX1073="PT",VLOOKUP(L1073,Foundation_Calc!$K$79:$R$113,VLOOKUP(AW1073,Foundation_Calc!$I$2:$J$8,2,FALSE),0),
IF(AX1073="K",VLOOKUP(L1073,Foundation_Calc!$K$117:$R$151,VLOOKUP(AW1073,Foundation_Calc!$I$2:$J$8,2,FALSE),0),"")))</f>
        <v/>
      </c>
      <c r="AZ1073" s="10">
        <f>IF(K1073="","",
IF(AX1073="PT",VLOOKUP(K1073,Foundation_Calc!$K$79:$R$113,VLOOKUP(AW1073,Foundation_Calc!$I$2:$J$8,2,FALSE),0),
IF(AX1073="K",VLOOKUP(K1073,Foundation_Calc!$K$117:$R$151,VLOOKUP(AW1073,Foundation_Calc!$I$2:$J$8,2,FALSE),0),"")))</f>
        <v>2.8</v>
      </c>
      <c r="BA1073" s="495" t="str">
        <f t="shared" si="123"/>
        <v/>
      </c>
      <c r="BB1073" s="495" t="str">
        <f t="shared" si="124"/>
        <v>ü</v>
      </c>
      <c r="BC1073" s="495" t="str">
        <f t="shared" si="125"/>
        <v/>
      </c>
      <c r="BD1073" s="513" t="str">
        <f>IF(AND(L1073="",H1073=""),"",
IF(H1073="",Pole_Calc!A$9,
IF(H1073="MP",Pole_Calc!A$10,
IF(H1073="AnMP",Pole_Calc!A$11,
IF(H1073="A",Pole_Calc!A$12,
IF(H1073="S/A",Pole_Calc!A$13,
IF(H1073="A/S",Pole_Calc!A$14,"Poner a mano")))))))</f>
        <v/>
      </c>
      <c r="BE1073" s="429" t="s">
        <v>118</v>
      </c>
      <c r="BF1073" s="290"/>
      <c r="BG1073" s="290"/>
      <c r="BH1073" s="290"/>
      <c r="BI1073" s="290"/>
    </row>
    <row r="1074" spans="1:61" ht="15.6" customHeight="1">
      <c r="A1074" s="518"/>
      <c r="B1074" s="450" t="s">
        <v>806</v>
      </c>
      <c r="C1074" s="3">
        <f>+$C$1072+$G$1073</f>
        <v>56145.119999999995</v>
      </c>
      <c r="D1074" s="83"/>
      <c r="E1074" s="4"/>
      <c r="F1074" s="4">
        <f>IF(C1074&gt;0,VLOOKUP(C1074,'ALIGNMENT TRACK'!$A$1:$K$81,9,1))</f>
        <v>0</v>
      </c>
      <c r="G1074" s="6"/>
      <c r="H1074" s="449"/>
      <c r="I1074" s="4"/>
      <c r="J1074" s="3"/>
      <c r="K1074" s="449"/>
      <c r="L1074" s="449" t="s">
        <v>153</v>
      </c>
      <c r="M1074" s="449" t="str">
        <f>IF(L1074="","",
IF(AX1074="PT",VLOOKUP(L1074,Foundation_Calc!$V$79:$X$113,VLOOKUP(AX1074,Foundation_Calc!$I$10:$J$13,2,FALSE),0),
IF(AX1074="K",VLOOKUP(L1074,Foundation_Calc!$V$117:$X$151,VLOOKUP(AX1074,Foundation_Calc!$I$10:$J$13,2,FALSE),0),"")))</f>
        <v>C3R</v>
      </c>
      <c r="N1074" s="449" t="s">
        <v>124</v>
      </c>
      <c r="O1074" s="449"/>
      <c r="P1074" s="449"/>
      <c r="Q1074" s="4"/>
      <c r="R1074" s="6"/>
      <c r="S1074" s="6"/>
      <c r="T1074" s="4">
        <v>-35</v>
      </c>
      <c r="U1074" s="4"/>
      <c r="V1074" s="4"/>
      <c r="W1074" s="9">
        <v>1.4</v>
      </c>
      <c r="X1074" s="9"/>
      <c r="Y1074" s="9"/>
      <c r="Z1074" s="9"/>
      <c r="AA1074" s="9"/>
      <c r="AB1074" s="9"/>
      <c r="AC1074" s="449" t="str">
        <f t="shared" si="122"/>
        <v>PH</v>
      </c>
      <c r="AD1074" s="449"/>
      <c r="AE1074" s="449"/>
      <c r="AF1074" s="4"/>
      <c r="AG1074" s="83"/>
      <c r="AH1074" s="4"/>
      <c r="AI1074" s="4"/>
      <c r="AJ1074" s="449"/>
      <c r="AK1074" s="449"/>
      <c r="AL1074" s="449"/>
      <c r="AM1074" s="449" t="s">
        <v>552</v>
      </c>
      <c r="AN1074" s="10">
        <v>5.5</v>
      </c>
      <c r="AO1074" s="9"/>
      <c r="AP1074" s="9"/>
      <c r="AQ1074" s="9"/>
      <c r="AR1074" s="9"/>
      <c r="AS1074" s="9"/>
      <c r="AT1074" s="9">
        <f>+ab($T$1074,$T$1072,$T$1076,$G$1073,$G$1075,-1*$F$1074,1200)</f>
        <v>-8.4366201521118445</v>
      </c>
      <c r="AU1074" s="428"/>
      <c r="AV1074" s="428"/>
      <c r="AW1074" s="449" t="str">
        <f>IF(C1074&gt;0,VLOOKUP(C1074,Foundation_Calc!$A$2:$C$13,3,1),
IF(J1074&gt;0,VLOOKUP(J1074,Foundation_Calc!$A$2:$C$13,3,1),""))</f>
        <v>Multi Soil</v>
      </c>
      <c r="AX1074" s="449" t="str">
        <f>IF(C1074&gt;0,VLOOKUP(C1074,Foundation_Calc!$E$2:$G$33,3,1),
IF(J1074&gt;0,VLOOKUP(J1074,Foundation_Calc!$E$2:$G$33,3,1),""))</f>
        <v>PT</v>
      </c>
      <c r="AY1074" s="10">
        <f>IF(L1074="","",
IF(AX1074="PT",VLOOKUP(L1074,Foundation_Calc!$K$79:$R$113,VLOOKUP(AW1074,Foundation_Calc!$I$2:$J$8,2,FALSE),0),
IF(AX1074="K",VLOOKUP(L1074,Foundation_Calc!$K$117:$R$151,VLOOKUP(AW1074,Foundation_Calc!$I$2:$J$8,2,FALSE),0),"")))</f>
        <v>3.5</v>
      </c>
      <c r="AZ1074" s="10" t="str">
        <f>IF(K1074="","",
IF(AX1074="PT",VLOOKUP(K1074,Foundation_Calc!$K$79:$R$113,VLOOKUP(AW1074,Foundation_Calc!$I$2:$J$8,2,FALSE),0),
IF(AX1074="K",VLOOKUP(K1074,Foundation_Calc!$K$117:$R$151,VLOOKUP(AW1074,Foundation_Calc!$I$2:$J$8,2,FALSE),0),"")))</f>
        <v/>
      </c>
      <c r="BA1074" s="495" t="str">
        <f t="shared" si="123"/>
        <v>ü</v>
      </c>
      <c r="BB1074" s="495" t="str">
        <f t="shared" si="124"/>
        <v/>
      </c>
      <c r="BC1074" s="495" t="str">
        <f t="shared" si="125"/>
        <v/>
      </c>
      <c r="BD1074" s="513" t="str">
        <f>IF(AND(L1074="",H1074=""),"",
IF(H1074="",Pole_Calc!A$9,
IF(H1074="MP",Pole_Calc!A$10,
IF(H1074="AnMP",Pole_Calc!A$11,
IF(H1074="A",Pole_Calc!A$12,
IF(H1074="S/A",Pole_Calc!A$13,
IF(H1074="A/S",Pole_Calc!A$14,"Poner a mano")))))))</f>
        <v>App.7-V11I-P9.5.1.1</v>
      </c>
      <c r="BE1074" s="429" t="s">
        <v>118</v>
      </c>
      <c r="BF1074" s="289"/>
      <c r="BG1074" s="289"/>
      <c r="BH1074" s="290"/>
      <c r="BI1074" s="289"/>
    </row>
    <row r="1075" spans="1:61" ht="15.6" customHeight="1">
      <c r="A1075" s="518"/>
      <c r="B1075" s="450"/>
      <c r="C1075" s="3"/>
      <c r="D1075" s="83"/>
      <c r="E1075" s="4"/>
      <c r="F1075" s="4"/>
      <c r="G1075" s="6">
        <v>62</v>
      </c>
      <c r="H1075" s="449"/>
      <c r="I1075" s="4"/>
      <c r="J1075" s="3"/>
      <c r="K1075" s="449"/>
      <c r="L1075" s="449"/>
      <c r="M1075" s="449" t="str">
        <f>IF(L1075="","",
IF(AX1075="PT",VLOOKUP(L1075,Foundation_Calc!$V$79:$X$113,VLOOKUP(AX1075,Foundation_Calc!$I$10:$J$13,2,FALSE),0),
IF(AX1075="K",VLOOKUP(L1075,Foundation_Calc!$V$117:$X$151,VLOOKUP(AX1075,Foundation_Calc!$I$10:$J$13,2,FALSE),0),"")))</f>
        <v/>
      </c>
      <c r="N1075" s="561"/>
      <c r="O1075" s="449"/>
      <c r="P1075" s="449"/>
      <c r="Q1075" s="4"/>
      <c r="R1075" s="6"/>
      <c r="S1075" s="6"/>
      <c r="T1075" s="4"/>
      <c r="U1075" s="4"/>
      <c r="V1075" s="4"/>
      <c r="W1075" s="9"/>
      <c r="X1075" s="9"/>
      <c r="Y1075" s="9"/>
      <c r="Z1075" s="9"/>
      <c r="AA1075" s="9"/>
      <c r="AB1075" s="9"/>
      <c r="AC1075" s="449" t="str">
        <f t="shared" si="122"/>
        <v/>
      </c>
      <c r="AD1075" s="449"/>
      <c r="AE1075" s="449"/>
      <c r="AF1075" s="4"/>
      <c r="AG1075" s="83"/>
      <c r="AH1075" s="4"/>
      <c r="AI1075" s="4"/>
      <c r="AJ1075" s="449"/>
      <c r="AK1075" s="449"/>
      <c r="AL1075" s="449"/>
      <c r="AM1075" s="449"/>
      <c r="AN1075" s="10"/>
      <c r="AO1075" s="9"/>
      <c r="AP1075" s="9"/>
      <c r="AQ1075" s="9">
        <f>+FL_1($T$1076,$T$1074,$G$1075,1200,9.28,-1*$F$1076)</f>
        <v>0.45400350967741931</v>
      </c>
      <c r="AR1075" s="9"/>
      <c r="AS1075" s="9"/>
      <c r="AT1075" s="9"/>
      <c r="AU1075" s="428"/>
      <c r="AV1075" s="428"/>
      <c r="AW1075" s="449" t="str">
        <f>IF(C1075&gt;0,VLOOKUP(C1075,Foundation_Calc!$A$2:$C$13,3,1),
IF(J1075&gt;0,VLOOKUP(J1075,Foundation_Calc!$A$2:$C$13,3,1),""))</f>
        <v/>
      </c>
      <c r="AX1075" s="449" t="str">
        <f>IF(C1075&gt;0,VLOOKUP(C1075,Foundation_Calc!$E$2:$G$33,3,1),
IF(J1075&gt;0,VLOOKUP(J1075,Foundation_Calc!$E$2:$G$33,3,1),""))</f>
        <v/>
      </c>
      <c r="AY1075" s="10" t="str">
        <f>IF(L1075="","",
IF(AX1075="PT",VLOOKUP(L1075,Foundation_Calc!$K$79:$R$113,VLOOKUP(AW1075,Foundation_Calc!$I$2:$J$8,2,FALSE),0),
IF(AX1075="K",VLOOKUP(L1075,Foundation_Calc!$K$117:$R$151,VLOOKUP(AW1075,Foundation_Calc!$I$2:$J$8,2,FALSE),0),"")))</f>
        <v/>
      </c>
      <c r="AZ1075" s="10" t="str">
        <f>IF(K1075="","",
IF(AX1075="PT",VLOOKUP(K1075,Foundation_Calc!$K$79:$R$113,VLOOKUP(AW1075,Foundation_Calc!$I$2:$J$8,2,FALSE),0),
IF(AX1075="K",VLOOKUP(K1075,Foundation_Calc!$K$117:$R$151,VLOOKUP(AW1075,Foundation_Calc!$I$2:$J$8,2,FALSE),0),"")))</f>
        <v/>
      </c>
      <c r="BA1075" s="495" t="str">
        <f t="shared" si="123"/>
        <v/>
      </c>
      <c r="BB1075" s="495" t="str">
        <f t="shared" si="124"/>
        <v/>
      </c>
      <c r="BC1075" s="495" t="str">
        <f t="shared" si="125"/>
        <v/>
      </c>
      <c r="BD1075" s="513" t="str">
        <f>IF(AND(L1075="",H1075=""),"",
IF(H1075="",Pole_Calc!A$9,
IF(H1075="MP",Pole_Calc!A$10,
IF(H1075="AnMP",Pole_Calc!A$11,
IF(H1075="A",Pole_Calc!A$12,
IF(H1075="S/A",Pole_Calc!A$13,
IF(H1075="A/S",Pole_Calc!A$14,"Poner a mano")))))))</f>
        <v/>
      </c>
      <c r="BE1075" s="429" t="s">
        <v>118</v>
      </c>
      <c r="BF1075" s="290"/>
      <c r="BG1075" s="290"/>
      <c r="BH1075" s="290"/>
      <c r="BI1075" s="290"/>
    </row>
    <row r="1076" spans="1:61" ht="15.6" customHeight="1">
      <c r="A1076" s="514"/>
      <c r="B1076" s="450" t="s">
        <v>807</v>
      </c>
      <c r="C1076" s="3">
        <f>+$C$1074+$G$1075</f>
        <v>56207.119999999995</v>
      </c>
      <c r="D1076" s="83"/>
      <c r="E1076" s="4"/>
      <c r="F1076" s="4">
        <f>IF(C1076&gt;0,VLOOKUP(C1076,'ALIGNMENT TRACK'!$A$1:$K$81,9,1))</f>
        <v>0</v>
      </c>
      <c r="G1076" s="6"/>
      <c r="H1076" s="449"/>
      <c r="I1076" s="4"/>
      <c r="J1076" s="3"/>
      <c r="K1076" s="449"/>
      <c r="L1076" s="449" t="s">
        <v>153</v>
      </c>
      <c r="M1076" s="449" t="str">
        <f>IF(L1076="","",
IF(AX1076="PT",VLOOKUP(L1076,Foundation_Calc!$V$79:$X$113,VLOOKUP(AX1076,Foundation_Calc!$I$10:$J$13,2,FALSE),0),
IF(AX1076="K",VLOOKUP(L1076,Foundation_Calc!$V$117:$X$151,VLOOKUP(AX1076,Foundation_Calc!$I$10:$J$13,2,FALSE),0),"")))</f>
        <v>C3R</v>
      </c>
      <c r="N1076" s="449" t="s">
        <v>134</v>
      </c>
      <c r="O1076" s="449"/>
      <c r="P1076" s="449"/>
      <c r="Q1076" s="4"/>
      <c r="R1076" s="6"/>
      <c r="S1076" s="6"/>
      <c r="T1076" s="4">
        <v>35</v>
      </c>
      <c r="U1076" s="4"/>
      <c r="V1076" s="4"/>
      <c r="W1076" s="9">
        <v>1.4</v>
      </c>
      <c r="X1076" s="9"/>
      <c r="Y1076" s="9"/>
      <c r="Z1076" s="9"/>
      <c r="AA1076" s="9"/>
      <c r="AB1076" s="9"/>
      <c r="AC1076" s="449" t="str">
        <f t="shared" si="122"/>
        <v>PH</v>
      </c>
      <c r="AD1076" s="449"/>
      <c r="AE1076" s="449"/>
      <c r="AF1076" s="4"/>
      <c r="AG1076" s="83"/>
      <c r="AH1076" s="4"/>
      <c r="AI1076" s="4"/>
      <c r="AJ1076" s="449"/>
      <c r="AK1076" s="449"/>
      <c r="AL1076" s="449"/>
      <c r="AM1076" s="449" t="s">
        <v>552</v>
      </c>
      <c r="AN1076" s="10">
        <v>5.5</v>
      </c>
      <c r="AO1076" s="9"/>
      <c r="AP1076" s="9"/>
      <c r="AQ1076" s="9"/>
      <c r="AR1076" s="9"/>
      <c r="AS1076" s="9"/>
      <c r="AT1076" s="9">
        <f>+ab($T$1076,$T$1074,$T$1078,$G$1075,$G$1077,-1*$F$1076,1200)</f>
        <v>8.4365744899000195</v>
      </c>
      <c r="AU1076" s="428"/>
      <c r="AV1076" s="428"/>
      <c r="AW1076" s="449" t="str">
        <f>IF(C1076&gt;0,VLOOKUP(C1076,Foundation_Calc!$A$2:$C$13,3,1),
IF(J1076&gt;0,VLOOKUP(J1076,Foundation_Calc!$A$2:$C$13,3,1),""))</f>
        <v>Multi Soil</v>
      </c>
      <c r="AX1076" s="449" t="str">
        <f>IF(C1076&gt;0,VLOOKUP(C1076,Foundation_Calc!$E$2:$G$33,3,1),
IF(J1076&gt;0,VLOOKUP(J1076,Foundation_Calc!$E$2:$G$33,3,1),""))</f>
        <v>PT</v>
      </c>
      <c r="AY1076" s="10">
        <f>IF(L1076="","",
IF(AX1076="PT",VLOOKUP(L1076,Foundation_Calc!$K$79:$R$113,VLOOKUP(AW1076,Foundation_Calc!$I$2:$J$8,2,FALSE),0),
IF(AX1076="K",VLOOKUP(L1076,Foundation_Calc!$K$117:$R$151,VLOOKUP(AW1076,Foundation_Calc!$I$2:$J$8,2,FALSE),0),"")))</f>
        <v>3.5</v>
      </c>
      <c r="AZ1076" s="10" t="str">
        <f>IF(K1076="","",
IF(AX1076="PT",VLOOKUP(K1076,Foundation_Calc!$K$79:$R$113,VLOOKUP(AW1076,Foundation_Calc!$I$2:$J$8,2,FALSE),0),
IF(AX1076="K",VLOOKUP(K1076,Foundation_Calc!$K$117:$R$151,VLOOKUP(AW1076,Foundation_Calc!$I$2:$J$8,2,FALSE),0),"")))</f>
        <v/>
      </c>
      <c r="BA1076" s="495" t="str">
        <f t="shared" si="123"/>
        <v>ü</v>
      </c>
      <c r="BB1076" s="495" t="str">
        <f t="shared" si="124"/>
        <v/>
      </c>
      <c r="BC1076" s="495" t="str">
        <f t="shared" si="125"/>
        <v/>
      </c>
      <c r="BD1076" s="513" t="str">
        <f>IF(AND(L1076="",H1076=""),"",
IF(H1076="",Pole_Calc!A$9,
IF(H1076="MP",Pole_Calc!A$10,
IF(H1076="AnMP",Pole_Calc!A$11,
IF(H1076="A",Pole_Calc!A$12,
IF(H1076="S/A",Pole_Calc!A$13,
IF(H1076="A/S",Pole_Calc!A$14,"Poner a mano")))))))</f>
        <v>App.7-V11I-P9.5.1.1</v>
      </c>
      <c r="BE1076" s="429" t="s">
        <v>118</v>
      </c>
      <c r="BF1076" s="289"/>
      <c r="BG1076" s="289"/>
      <c r="BH1076" s="290"/>
      <c r="BI1076" s="289"/>
    </row>
    <row r="1077" spans="1:61" ht="15.6" customHeight="1">
      <c r="A1077" s="514"/>
      <c r="B1077" s="450"/>
      <c r="C1077" s="3"/>
      <c r="D1077" s="83"/>
      <c r="E1077" s="4"/>
      <c r="F1077" s="4"/>
      <c r="G1077" s="6">
        <v>62</v>
      </c>
      <c r="H1077" s="449"/>
      <c r="I1077" s="4"/>
      <c r="J1077" s="3"/>
      <c r="K1077" s="449"/>
      <c r="L1077" s="449"/>
      <c r="M1077" s="449" t="str">
        <f>IF(L1077="","",
IF(AX1077="PT",VLOOKUP(L1077,Foundation_Calc!$V$79:$X$113,VLOOKUP(AX1077,Foundation_Calc!$I$10:$J$13,2,FALSE),0),
IF(AX1077="K",VLOOKUP(L1077,Foundation_Calc!$V$117:$X$151,VLOOKUP(AX1077,Foundation_Calc!$I$10:$J$13,2,FALSE),0),"")))</f>
        <v/>
      </c>
      <c r="N1077" s="449"/>
      <c r="O1077" s="449"/>
      <c r="P1077" s="449"/>
      <c r="Q1077" s="4"/>
      <c r="R1077" s="6"/>
      <c r="S1077" s="6"/>
      <c r="T1077" s="4"/>
      <c r="U1077" s="4"/>
      <c r="V1077" s="4"/>
      <c r="W1077" s="9"/>
      <c r="X1077" s="9"/>
      <c r="Y1077" s="9"/>
      <c r="Z1077" s="9"/>
      <c r="AA1077" s="9"/>
      <c r="AB1077" s="9"/>
      <c r="AC1077" s="449" t="str">
        <f t="shared" si="122"/>
        <v/>
      </c>
      <c r="AD1077" s="449"/>
      <c r="AE1077" s="449"/>
      <c r="AF1077" s="4"/>
      <c r="AG1077" s="83"/>
      <c r="AH1077" s="4"/>
      <c r="AI1077" s="4"/>
      <c r="AJ1077" s="449"/>
      <c r="AK1077" s="449"/>
      <c r="AL1077" s="449"/>
      <c r="AM1077" s="449"/>
      <c r="AN1077" s="10"/>
      <c r="AO1077" s="9"/>
      <c r="AP1077" s="9"/>
      <c r="AQ1077" s="9">
        <f>+FL_2($T$1078,$T$1076,$G$1077,1200,9.28,-1*$F$1078)</f>
        <v>-0.45400350967741931</v>
      </c>
      <c r="AR1077" s="9"/>
      <c r="AS1077" s="9"/>
      <c r="AT1077" s="9"/>
      <c r="AU1077" s="428"/>
      <c r="AV1077" s="428"/>
      <c r="AW1077" s="449" t="str">
        <f>IF(C1077&gt;0,VLOOKUP(C1077,Foundation_Calc!$A$2:$C$13,3,1),
IF(J1077&gt;0,VLOOKUP(J1077,Foundation_Calc!$A$2:$C$13,3,1),""))</f>
        <v/>
      </c>
      <c r="AX1077" s="449" t="str">
        <f>IF(C1077&gt;0,VLOOKUP(C1077,Foundation_Calc!$E$2:$G$33,3,1),
IF(J1077&gt;0,VLOOKUP(J1077,Foundation_Calc!$E$2:$G$33,3,1),""))</f>
        <v/>
      </c>
      <c r="AY1077" s="10" t="str">
        <f>IF(L1077="","",
IF(AX1077="PT",VLOOKUP(L1077,Foundation_Calc!$K$79:$R$113,VLOOKUP(AW1077,Foundation_Calc!$I$2:$J$8,2,FALSE),0),
IF(AX1077="K",VLOOKUP(L1077,Foundation_Calc!$K$117:$R$151,VLOOKUP(AW1077,Foundation_Calc!$I$2:$J$8,2,FALSE),0),"")))</f>
        <v/>
      </c>
      <c r="AZ1077" s="10" t="str">
        <f>IF(K1077="","",
IF(AX1077="PT",VLOOKUP(K1077,Foundation_Calc!$K$79:$R$113,VLOOKUP(AW1077,Foundation_Calc!$I$2:$J$8,2,FALSE),0),
IF(AX1077="K",VLOOKUP(K1077,Foundation_Calc!$K$117:$R$151,VLOOKUP(AW1077,Foundation_Calc!$I$2:$J$8,2,FALSE),0),"")))</f>
        <v/>
      </c>
      <c r="BA1077" s="495" t="str">
        <f t="shared" si="123"/>
        <v/>
      </c>
      <c r="BB1077" s="495" t="str">
        <f t="shared" si="124"/>
        <v/>
      </c>
      <c r="BC1077" s="495" t="str">
        <f t="shared" si="125"/>
        <v/>
      </c>
      <c r="BD1077" s="513" t="str">
        <f>IF(AND(L1077="",H1077=""),"",
IF(H1077="",Pole_Calc!A$9,
IF(H1077="MP",Pole_Calc!A$10,
IF(H1077="AnMP",Pole_Calc!A$11,
IF(H1077="A",Pole_Calc!A$12,
IF(H1077="S/A",Pole_Calc!A$13,
IF(H1077="A/S",Pole_Calc!A$14,"Poner a mano")))))))</f>
        <v/>
      </c>
      <c r="BE1077" s="429" t="s">
        <v>118</v>
      </c>
      <c r="BF1077" s="290"/>
      <c r="BG1077" s="290"/>
      <c r="BH1077" s="290"/>
      <c r="BI1077" s="290"/>
    </row>
    <row r="1078" spans="1:61" ht="15.6" customHeight="1">
      <c r="A1078" s="514"/>
      <c r="B1078" s="450" t="s">
        <v>808</v>
      </c>
      <c r="C1078" s="3">
        <f>+$C$1076+$G$1077</f>
        <v>56269.119999999995</v>
      </c>
      <c r="D1078" s="83"/>
      <c r="E1078" s="4"/>
      <c r="F1078" s="4">
        <f>IF(C1078&gt;0,VLOOKUP(C1078,'ALIGNMENT TRACK'!$A$1:$K$81,9,1))</f>
        <v>0</v>
      </c>
      <c r="G1078" s="6"/>
      <c r="H1078" s="449"/>
      <c r="I1078" s="4"/>
      <c r="J1078" s="3"/>
      <c r="K1078" s="449"/>
      <c r="L1078" s="449" t="s">
        <v>153</v>
      </c>
      <c r="M1078" s="449" t="str">
        <f>IF(L1078="","",
IF(AX1078="PT",VLOOKUP(L1078,Foundation_Calc!$V$79:$X$113,VLOOKUP(AX1078,Foundation_Calc!$I$10:$J$13,2,FALSE),0),
IF(AX1078="K",VLOOKUP(L1078,Foundation_Calc!$V$117:$X$151,VLOOKUP(AX1078,Foundation_Calc!$I$10:$J$13,2,FALSE),0),"")))</f>
        <v>C3R</v>
      </c>
      <c r="N1078" s="449" t="s">
        <v>124</v>
      </c>
      <c r="O1078" s="449"/>
      <c r="P1078" s="449"/>
      <c r="Q1078" s="4"/>
      <c r="R1078" s="6"/>
      <c r="S1078" s="6"/>
      <c r="T1078" s="4">
        <v>-35</v>
      </c>
      <c r="U1078" s="4"/>
      <c r="V1078" s="4"/>
      <c r="W1078" s="9">
        <v>1.4</v>
      </c>
      <c r="X1078" s="9"/>
      <c r="Y1078" s="9"/>
      <c r="Z1078" s="9"/>
      <c r="AA1078" s="9"/>
      <c r="AB1078" s="9"/>
      <c r="AC1078" s="449" t="str">
        <f t="shared" si="122"/>
        <v>PH</v>
      </c>
      <c r="AD1078" s="449"/>
      <c r="AE1078" s="449"/>
      <c r="AF1078" s="4"/>
      <c r="AG1078" s="83"/>
      <c r="AH1078" s="4"/>
      <c r="AI1078" s="4"/>
      <c r="AJ1078" s="449"/>
      <c r="AK1078" s="449"/>
      <c r="AL1078" s="449"/>
      <c r="AM1078" s="449" t="s">
        <v>552</v>
      </c>
      <c r="AN1078" s="10">
        <v>5.5</v>
      </c>
      <c r="AO1078" s="9"/>
      <c r="AP1078" s="9"/>
      <c r="AQ1078" s="9"/>
      <c r="AR1078" s="9"/>
      <c r="AS1078" s="9"/>
      <c r="AT1078" s="9">
        <f>+ab($T$1078,$T$1076,$T$1080,$G$1077,$G$1079,-1*$F$1078,1200)</f>
        <v>-8.4366201521118445</v>
      </c>
      <c r="AU1078" s="428"/>
      <c r="AV1078" s="428"/>
      <c r="AW1078" s="449" t="str">
        <f>IF(C1078&gt;0,VLOOKUP(C1078,Foundation_Calc!$A$2:$C$13,3,1),
IF(J1078&gt;0,VLOOKUP(J1078,Foundation_Calc!$A$2:$C$13,3,1),""))</f>
        <v>Multi Soil</v>
      </c>
      <c r="AX1078" s="449" t="str">
        <f>IF(C1078&gt;0,VLOOKUP(C1078,Foundation_Calc!$E$2:$G$33,3,1),
IF(J1078&gt;0,VLOOKUP(J1078,Foundation_Calc!$E$2:$G$33,3,1),""))</f>
        <v>PT</v>
      </c>
      <c r="AY1078" s="10">
        <f>IF(L1078="","",
IF(AX1078="PT",VLOOKUP(L1078,Foundation_Calc!$K$79:$R$113,VLOOKUP(AW1078,Foundation_Calc!$I$2:$J$8,2,FALSE),0),
IF(AX1078="K",VLOOKUP(L1078,Foundation_Calc!$K$117:$R$151,VLOOKUP(AW1078,Foundation_Calc!$I$2:$J$8,2,FALSE),0),"")))</f>
        <v>3.5</v>
      </c>
      <c r="AZ1078" s="10" t="str">
        <f>IF(K1078="","",
IF(AX1078="PT",VLOOKUP(K1078,Foundation_Calc!$K$79:$R$113,VLOOKUP(AW1078,Foundation_Calc!$I$2:$J$8,2,FALSE),0),
IF(AX1078="K",VLOOKUP(K1078,Foundation_Calc!$K$117:$R$151,VLOOKUP(AW1078,Foundation_Calc!$I$2:$J$8,2,FALSE),0),"")))</f>
        <v/>
      </c>
      <c r="BA1078" s="495" t="str">
        <f t="shared" si="123"/>
        <v>ü</v>
      </c>
      <c r="BB1078" s="495" t="str">
        <f t="shared" si="124"/>
        <v/>
      </c>
      <c r="BC1078" s="495" t="str">
        <f t="shared" si="125"/>
        <v/>
      </c>
      <c r="BD1078" s="513" t="str">
        <f>IF(AND(L1078="",H1078=""),"",
IF(H1078="",Pole_Calc!A$9,
IF(H1078="MP",Pole_Calc!A$10,
IF(H1078="AnMP",Pole_Calc!A$11,
IF(H1078="A",Pole_Calc!A$12,
IF(H1078="S/A",Pole_Calc!A$13,
IF(H1078="A/S",Pole_Calc!A$14,"Poner a mano")))))))</f>
        <v>App.7-V11I-P9.5.1.1</v>
      </c>
      <c r="BE1078" s="429" t="s">
        <v>118</v>
      </c>
      <c r="BF1078" s="289"/>
      <c r="BG1078" s="289"/>
      <c r="BH1078" s="290"/>
      <c r="BI1078" s="289"/>
    </row>
    <row r="1079" spans="1:61" ht="15.6" customHeight="1">
      <c r="A1079" s="514"/>
      <c r="B1079" s="450"/>
      <c r="C1079" s="3"/>
      <c r="D1079" s="83"/>
      <c r="E1079" s="4"/>
      <c r="F1079" s="4"/>
      <c r="G1079" s="6">
        <v>62</v>
      </c>
      <c r="H1079" s="449"/>
      <c r="I1079" s="4"/>
      <c r="J1079" s="3"/>
      <c r="K1079" s="449"/>
      <c r="L1079" s="449"/>
      <c r="M1079" s="449" t="str">
        <f>IF(L1079="","",
IF(AX1079="PT",VLOOKUP(L1079,Foundation_Calc!$V$79:$X$113,VLOOKUP(AX1079,Foundation_Calc!$I$10:$J$13,2,FALSE),0),
IF(AX1079="K",VLOOKUP(L1079,Foundation_Calc!$V$117:$X$151,VLOOKUP(AX1079,Foundation_Calc!$I$10:$J$13,2,FALSE),0),"")))</f>
        <v/>
      </c>
      <c r="N1079" s="449"/>
      <c r="O1079" s="449"/>
      <c r="P1079" s="449"/>
      <c r="Q1079" s="4"/>
      <c r="R1079" s="6"/>
      <c r="S1079" s="6"/>
      <c r="T1079" s="4"/>
      <c r="U1079" s="4"/>
      <c r="V1079" s="4"/>
      <c r="W1079" s="9"/>
      <c r="X1079" s="9"/>
      <c r="Y1079" s="9"/>
      <c r="Z1079" s="9"/>
      <c r="AA1079" s="9"/>
      <c r="AB1079" s="9"/>
      <c r="AC1079" s="449" t="str">
        <f t="shared" si="122"/>
        <v/>
      </c>
      <c r="AD1079" s="449"/>
      <c r="AE1079" s="449"/>
      <c r="AF1079" s="4"/>
      <c r="AG1079" s="83"/>
      <c r="AH1079" s="4"/>
      <c r="AI1079" s="4"/>
      <c r="AJ1079" s="449"/>
      <c r="AK1079" s="449"/>
      <c r="AL1079" s="449"/>
      <c r="AM1079" s="449"/>
      <c r="AN1079" s="10"/>
      <c r="AO1079" s="9"/>
      <c r="AP1079" s="9"/>
      <c r="AQ1079" s="9">
        <f>+FL_1($T$1080,$T$1078,$G$1079,1200,9.28,-1*$F$1080)</f>
        <v>0.45400350967741931</v>
      </c>
      <c r="AR1079" s="9"/>
      <c r="AS1079" s="9"/>
      <c r="AT1079" s="9"/>
      <c r="AU1079" s="428"/>
      <c r="AV1079" s="428"/>
      <c r="AW1079" s="449" t="str">
        <f>IF(C1079&gt;0,VLOOKUP(C1079,Foundation_Calc!$A$2:$C$13,3,1),
IF(J1079&gt;0,VLOOKUP(J1079,Foundation_Calc!$A$2:$C$13,3,1),""))</f>
        <v/>
      </c>
      <c r="AX1079" s="449" t="str">
        <f>IF(C1079&gt;0,VLOOKUP(C1079,Foundation_Calc!$E$2:$G$33,3,1),
IF(J1079&gt;0,VLOOKUP(J1079,Foundation_Calc!$E$2:$G$33,3,1),""))</f>
        <v/>
      </c>
      <c r="AY1079" s="10" t="str">
        <f>IF(L1079="","",
IF(AX1079="PT",VLOOKUP(L1079,Foundation_Calc!$K$79:$R$113,VLOOKUP(AW1079,Foundation_Calc!$I$2:$J$8,2,FALSE),0),
IF(AX1079="K",VLOOKUP(L1079,Foundation_Calc!$K$117:$R$151,VLOOKUP(AW1079,Foundation_Calc!$I$2:$J$8,2,FALSE),0),"")))</f>
        <v/>
      </c>
      <c r="AZ1079" s="10" t="str">
        <f>IF(K1079="","",
IF(AX1079="PT",VLOOKUP(K1079,Foundation_Calc!$K$79:$R$113,VLOOKUP(AW1079,Foundation_Calc!$I$2:$J$8,2,FALSE),0),
IF(AX1079="K",VLOOKUP(K1079,Foundation_Calc!$K$117:$R$151,VLOOKUP(AW1079,Foundation_Calc!$I$2:$J$8,2,FALSE),0),"")))</f>
        <v/>
      </c>
      <c r="BA1079" s="495" t="str">
        <f t="shared" si="123"/>
        <v/>
      </c>
      <c r="BB1079" s="495" t="str">
        <f t="shared" si="124"/>
        <v/>
      </c>
      <c r="BC1079" s="495" t="str">
        <f t="shared" si="125"/>
        <v/>
      </c>
      <c r="BD1079" s="513" t="str">
        <f>IF(AND(L1079="",H1079=""),"",
IF(H1079="",Pole_Calc!A$9,
IF(H1079="MP",Pole_Calc!A$10,
IF(H1079="AnMP",Pole_Calc!A$11,
IF(H1079="A",Pole_Calc!A$12,
IF(H1079="S/A",Pole_Calc!A$13,
IF(H1079="A/S",Pole_Calc!A$14,"Poner a mano")))))))</f>
        <v/>
      </c>
      <c r="BE1079" s="429" t="s">
        <v>118</v>
      </c>
      <c r="BF1079" s="290"/>
      <c r="BG1079" s="290"/>
      <c r="BH1079" s="290"/>
      <c r="BI1079" s="290"/>
    </row>
    <row r="1080" spans="1:61" ht="15.6" customHeight="1">
      <c r="A1080" s="518"/>
      <c r="B1080" s="450" t="s">
        <v>809</v>
      </c>
      <c r="C1080" s="3">
        <f>+$C$1078+$G$1079</f>
        <v>56331.119999999995</v>
      </c>
      <c r="D1080" s="83"/>
      <c r="E1080" s="4"/>
      <c r="F1080" s="4">
        <f>IF(C1080&gt;0,VLOOKUP(C1080,'ALIGNMENT TRACK'!$A$1:$K$81,9,1))</f>
        <v>0</v>
      </c>
      <c r="G1080" s="6"/>
      <c r="H1080" s="449"/>
      <c r="I1080" s="4"/>
      <c r="J1080" s="3"/>
      <c r="K1080" s="449"/>
      <c r="L1080" s="449" t="s">
        <v>153</v>
      </c>
      <c r="M1080" s="449" t="str">
        <f>IF(L1080="","",
IF(AX1080="PT",VLOOKUP(L1080,Foundation_Calc!$V$79:$X$113,VLOOKUP(AX1080,Foundation_Calc!$I$10:$J$13,2,FALSE),0),
IF(AX1080="K",VLOOKUP(L1080,Foundation_Calc!$V$117:$X$151,VLOOKUP(AX1080,Foundation_Calc!$I$10:$J$13,2,FALSE),0),"")))</f>
        <v>C3R</v>
      </c>
      <c r="N1080" s="449" t="s">
        <v>134</v>
      </c>
      <c r="O1080" s="449"/>
      <c r="P1080" s="449"/>
      <c r="Q1080" s="4"/>
      <c r="R1080" s="6"/>
      <c r="S1080" s="6"/>
      <c r="T1080" s="4">
        <v>35</v>
      </c>
      <c r="U1080" s="4"/>
      <c r="V1080" s="4"/>
      <c r="W1080" s="9">
        <v>1.4</v>
      </c>
      <c r="X1080" s="9"/>
      <c r="Y1080" s="9"/>
      <c r="Z1080" s="9"/>
      <c r="AA1080" s="9"/>
      <c r="AB1080" s="9"/>
      <c r="AC1080" s="449" t="str">
        <f t="shared" si="122"/>
        <v>PH</v>
      </c>
      <c r="AD1080" s="449"/>
      <c r="AE1080" s="449"/>
      <c r="AF1080" s="4"/>
      <c r="AG1080" s="83"/>
      <c r="AH1080" s="4"/>
      <c r="AI1080" s="4"/>
      <c r="AJ1080" s="449"/>
      <c r="AK1080" s="449"/>
      <c r="AL1080" s="449"/>
      <c r="AM1080" s="449" t="s">
        <v>552</v>
      </c>
      <c r="AN1080" s="10">
        <v>5.5</v>
      </c>
      <c r="AO1080" s="9"/>
      <c r="AP1080" s="9"/>
      <c r="AQ1080" s="9"/>
      <c r="AR1080" s="9"/>
      <c r="AS1080" s="9"/>
      <c r="AT1080" s="9">
        <f>+ab($T$1080,$T$1078,$T$1082,$G$1079,$G$1081,-1*$F$1080,1200)</f>
        <v>8.4365744899000195</v>
      </c>
      <c r="AU1080" s="428"/>
      <c r="AV1080" s="428"/>
      <c r="AW1080" s="449" t="str">
        <f>IF(C1080&gt;0,VLOOKUP(C1080,Foundation_Calc!$A$2:$C$13,3,1),
IF(J1080&gt;0,VLOOKUP(J1080,Foundation_Calc!$A$2:$C$13,3,1),""))</f>
        <v>Multi Soil</v>
      </c>
      <c r="AX1080" s="449" t="str">
        <f>IF(C1080&gt;0,VLOOKUP(C1080,Foundation_Calc!$E$2:$G$33,3,1),
IF(J1080&gt;0,VLOOKUP(J1080,Foundation_Calc!$E$2:$G$33,3,1),""))</f>
        <v>PT</v>
      </c>
      <c r="AY1080" s="10">
        <f>IF(L1080="","",
IF(AX1080="PT",VLOOKUP(L1080,Foundation_Calc!$K$79:$R$113,VLOOKUP(AW1080,Foundation_Calc!$I$2:$J$8,2,FALSE),0),
IF(AX1080="K",VLOOKUP(L1080,Foundation_Calc!$K$117:$R$151,VLOOKUP(AW1080,Foundation_Calc!$I$2:$J$8,2,FALSE),0),"")))</f>
        <v>3.5</v>
      </c>
      <c r="AZ1080" s="10" t="str">
        <f>IF(K1080="","",
IF(AX1080="PT",VLOOKUP(K1080,Foundation_Calc!$K$79:$R$113,VLOOKUP(AW1080,Foundation_Calc!$I$2:$J$8,2,FALSE),0),
IF(AX1080="K",VLOOKUP(K1080,Foundation_Calc!$K$117:$R$151,VLOOKUP(AW1080,Foundation_Calc!$I$2:$J$8,2,FALSE),0),"")))</f>
        <v/>
      </c>
      <c r="BA1080" s="495" t="str">
        <f t="shared" si="123"/>
        <v>ü</v>
      </c>
      <c r="BB1080" s="495" t="str">
        <f t="shared" si="124"/>
        <v/>
      </c>
      <c r="BC1080" s="495" t="str">
        <f t="shared" si="125"/>
        <v/>
      </c>
      <c r="BD1080" s="513" t="str">
        <f>IF(AND(L1080="",H1080=""),"",
IF(H1080="",Pole_Calc!A$9,
IF(H1080="MP",Pole_Calc!A$10,
IF(H1080="AnMP",Pole_Calc!A$11,
IF(H1080="A",Pole_Calc!A$12,
IF(H1080="S/A",Pole_Calc!A$13,
IF(H1080="A/S",Pole_Calc!A$14,"Poner a mano")))))))</f>
        <v>App.7-V11I-P9.5.1.1</v>
      </c>
      <c r="BE1080" s="429" t="s">
        <v>118</v>
      </c>
      <c r="BF1080" s="289"/>
      <c r="BG1080" s="289"/>
      <c r="BH1080" s="290"/>
      <c r="BI1080" s="289"/>
    </row>
    <row r="1081" spans="1:61" ht="15.6" customHeight="1">
      <c r="A1081" s="518"/>
      <c r="B1081" s="450"/>
      <c r="C1081" s="3"/>
      <c r="D1081" s="83"/>
      <c r="E1081" s="4"/>
      <c r="F1081" s="4"/>
      <c r="G1081" s="6">
        <v>62</v>
      </c>
      <c r="H1081" s="449"/>
      <c r="I1081" s="4"/>
      <c r="J1081" s="3"/>
      <c r="K1081" s="449"/>
      <c r="L1081" s="449"/>
      <c r="M1081" s="449" t="str">
        <f>IF(L1081="","",
IF(AX1081="PT",VLOOKUP(L1081,Foundation_Calc!$V$79:$X$113,VLOOKUP(AX1081,Foundation_Calc!$I$10:$J$13,2,FALSE),0),
IF(AX1081="K",VLOOKUP(L1081,Foundation_Calc!$V$117:$X$151,VLOOKUP(AX1081,Foundation_Calc!$I$10:$J$13,2,FALSE),0),"")))</f>
        <v/>
      </c>
      <c r="N1081" s="561"/>
      <c r="O1081" s="449"/>
      <c r="P1081" s="449"/>
      <c r="Q1081" s="4"/>
      <c r="R1081" s="6"/>
      <c r="S1081" s="6"/>
      <c r="T1081" s="4"/>
      <c r="U1081" s="4"/>
      <c r="V1081" s="4"/>
      <c r="W1081" s="9"/>
      <c r="X1081" s="9"/>
      <c r="Y1081" s="9"/>
      <c r="Z1081" s="9"/>
      <c r="AA1081" s="9"/>
      <c r="AB1081" s="9"/>
      <c r="AC1081" s="449" t="str">
        <f t="shared" si="122"/>
        <v/>
      </c>
      <c r="AD1081" s="449"/>
      <c r="AE1081" s="449"/>
      <c r="AF1081" s="4"/>
      <c r="AG1081" s="83"/>
      <c r="AH1081" s="4"/>
      <c r="AI1081" s="4"/>
      <c r="AJ1081" s="449"/>
      <c r="AK1081" s="449"/>
      <c r="AL1081" s="449"/>
      <c r="AM1081" s="449"/>
      <c r="AN1081" s="10"/>
      <c r="AO1081" s="9"/>
      <c r="AP1081" s="9"/>
      <c r="AQ1081" s="9">
        <f>+FL_2($T$1082,$T$1080,$G$1081,1200,9.28,-1*$F$1082)</f>
        <v>-0.45400350967741931</v>
      </c>
      <c r="AR1081" s="9"/>
      <c r="AS1081" s="9"/>
      <c r="AT1081" s="9"/>
      <c r="AU1081" s="428"/>
      <c r="AV1081" s="428"/>
      <c r="AW1081" s="449" t="str">
        <f>IF(C1081&gt;0,VLOOKUP(C1081,Foundation_Calc!$A$2:$C$13,3,1),
IF(J1081&gt;0,VLOOKUP(J1081,Foundation_Calc!$A$2:$C$13,3,1),""))</f>
        <v/>
      </c>
      <c r="AX1081" s="449" t="str">
        <f>IF(C1081&gt;0,VLOOKUP(C1081,Foundation_Calc!$E$2:$G$33,3,1),
IF(J1081&gt;0,VLOOKUP(J1081,Foundation_Calc!$E$2:$G$33,3,1),""))</f>
        <v/>
      </c>
      <c r="AY1081" s="10" t="str">
        <f>IF(L1081="","",
IF(AX1081="PT",VLOOKUP(L1081,Foundation_Calc!$K$79:$R$113,VLOOKUP(AW1081,Foundation_Calc!$I$2:$J$8,2,FALSE),0),
IF(AX1081="K",VLOOKUP(L1081,Foundation_Calc!$K$117:$R$151,VLOOKUP(AW1081,Foundation_Calc!$I$2:$J$8,2,FALSE),0),"")))</f>
        <v/>
      </c>
      <c r="AZ1081" s="10" t="str">
        <f>IF(K1081="","",
IF(AX1081="PT",VLOOKUP(K1081,Foundation_Calc!$K$79:$R$113,VLOOKUP(AW1081,Foundation_Calc!$I$2:$J$8,2,FALSE),0),
IF(AX1081="K",VLOOKUP(K1081,Foundation_Calc!$K$117:$R$151,VLOOKUP(AW1081,Foundation_Calc!$I$2:$J$8,2,FALSE),0),"")))</f>
        <v/>
      </c>
      <c r="BA1081" s="495" t="str">
        <f t="shared" si="123"/>
        <v/>
      </c>
      <c r="BB1081" s="495" t="str">
        <f t="shared" si="124"/>
        <v/>
      </c>
      <c r="BC1081" s="495" t="str">
        <f t="shared" si="125"/>
        <v/>
      </c>
      <c r="BD1081" s="513" t="str">
        <f>IF(AND(L1081="",H1081=""),"",
IF(H1081="",Pole_Calc!A$9,
IF(H1081="MP",Pole_Calc!A$10,
IF(H1081="AnMP",Pole_Calc!A$11,
IF(H1081="A",Pole_Calc!A$12,
IF(H1081="S/A",Pole_Calc!A$13,
IF(H1081="A/S",Pole_Calc!A$14,"Poner a mano")))))))</f>
        <v/>
      </c>
      <c r="BE1081" s="429" t="s">
        <v>118</v>
      </c>
      <c r="BF1081" s="290"/>
      <c r="BG1081" s="290"/>
      <c r="BH1081" s="290"/>
      <c r="BI1081" s="290"/>
    </row>
    <row r="1082" spans="1:61" ht="15.6" customHeight="1">
      <c r="A1082" s="514"/>
      <c r="B1082" s="450" t="s">
        <v>810</v>
      </c>
      <c r="C1082" s="3">
        <f>+$C$1080+$G$1081</f>
        <v>56393.119999999995</v>
      </c>
      <c r="D1082" s="83"/>
      <c r="E1082" s="4"/>
      <c r="F1082" s="4">
        <f>IF(C1082&gt;0,VLOOKUP(C1082,'ALIGNMENT TRACK'!$A$1:$K$81,9,1))</f>
        <v>0</v>
      </c>
      <c r="G1082" s="6"/>
      <c r="H1082" s="449"/>
      <c r="I1082" s="4"/>
      <c r="J1082" s="3"/>
      <c r="K1082" s="449"/>
      <c r="L1082" s="449" t="s">
        <v>153</v>
      </c>
      <c r="M1082" s="449" t="str">
        <f>IF(L1082="","",
IF(AX1082="PT",VLOOKUP(L1082,Foundation_Calc!$V$79:$X$113,VLOOKUP(AX1082,Foundation_Calc!$I$10:$J$13,2,FALSE),0),
IF(AX1082="K",VLOOKUP(L1082,Foundation_Calc!$V$117:$X$151,VLOOKUP(AX1082,Foundation_Calc!$I$10:$J$13,2,FALSE),0),"")))</f>
        <v>C3R</v>
      </c>
      <c r="N1082" s="449" t="s">
        <v>124</v>
      </c>
      <c r="O1082" s="449"/>
      <c r="P1082" s="449"/>
      <c r="Q1082" s="4"/>
      <c r="R1082" s="6"/>
      <c r="S1082" s="6"/>
      <c r="T1082" s="4">
        <v>-35</v>
      </c>
      <c r="U1082" s="4"/>
      <c r="V1082" s="4"/>
      <c r="W1082" s="9">
        <v>1.4</v>
      </c>
      <c r="X1082" s="9"/>
      <c r="Y1082" s="9"/>
      <c r="Z1082" s="9"/>
      <c r="AA1082" s="9"/>
      <c r="AB1082" s="9"/>
      <c r="AC1082" s="449" t="str">
        <f t="shared" si="122"/>
        <v>PH</v>
      </c>
      <c r="AD1082" s="449"/>
      <c r="AE1082" s="449"/>
      <c r="AF1082" s="4"/>
      <c r="AG1082" s="83"/>
      <c r="AH1082" s="4"/>
      <c r="AI1082" s="4"/>
      <c r="AJ1082" s="449"/>
      <c r="AK1082" s="449"/>
      <c r="AL1082" s="449"/>
      <c r="AM1082" s="449" t="s">
        <v>552</v>
      </c>
      <c r="AN1082" s="10">
        <v>5.5</v>
      </c>
      <c r="AO1082" s="9"/>
      <c r="AP1082" s="9"/>
      <c r="AQ1082" s="9"/>
      <c r="AR1082" s="9"/>
      <c r="AS1082" s="9"/>
      <c r="AT1082" s="9">
        <f>+ab($T$1082,$T$1080,$T$1084,$G$1081,$G$1083,-1*$F$1082,1200)</f>
        <v>-8.7443431418580957</v>
      </c>
      <c r="AU1082" s="428"/>
      <c r="AV1082" s="428"/>
      <c r="AW1082" s="449" t="str">
        <f>IF(C1082&gt;0,VLOOKUP(C1082,Foundation_Calc!$A$2:$C$13,3,1),
IF(J1082&gt;0,VLOOKUP(J1082,Foundation_Calc!$A$2:$C$13,3,1),""))</f>
        <v>Multi Soil</v>
      </c>
      <c r="AX1082" s="449" t="str">
        <f>IF(C1082&gt;0,VLOOKUP(C1082,Foundation_Calc!$E$2:$G$33,3,1),
IF(J1082&gt;0,VLOOKUP(J1082,Foundation_Calc!$E$2:$G$33,3,1),""))</f>
        <v>PT</v>
      </c>
      <c r="AY1082" s="10">
        <f>IF(L1082="","",
IF(AX1082="PT",VLOOKUP(L1082,Foundation_Calc!$K$79:$R$113,VLOOKUP(AW1082,Foundation_Calc!$I$2:$J$8,2,FALSE),0),
IF(AX1082="K",VLOOKUP(L1082,Foundation_Calc!$K$117:$R$151,VLOOKUP(AW1082,Foundation_Calc!$I$2:$J$8,2,FALSE),0),"")))</f>
        <v>3.5</v>
      </c>
      <c r="AZ1082" s="10" t="str">
        <f>IF(K1082="","",
IF(AX1082="PT",VLOOKUP(K1082,Foundation_Calc!$K$79:$R$113,VLOOKUP(AW1082,Foundation_Calc!$I$2:$J$8,2,FALSE),0),
IF(AX1082="K",VLOOKUP(K1082,Foundation_Calc!$K$117:$R$151,VLOOKUP(AW1082,Foundation_Calc!$I$2:$J$8,2,FALSE),0),"")))</f>
        <v/>
      </c>
      <c r="BA1082" s="495" t="str">
        <f t="shared" si="123"/>
        <v>ü</v>
      </c>
      <c r="BB1082" s="495" t="str">
        <f t="shared" si="124"/>
        <v/>
      </c>
      <c r="BC1082" s="495" t="str">
        <f t="shared" si="125"/>
        <v/>
      </c>
      <c r="BD1082" s="513" t="str">
        <f>IF(AND(L1082="",H1082=""),"",
IF(H1082="",Pole_Calc!A$9,
IF(H1082="MP",Pole_Calc!A$10,
IF(H1082="AnMP",Pole_Calc!A$11,
IF(H1082="A",Pole_Calc!A$12,
IF(H1082="S/A",Pole_Calc!A$13,
IF(H1082="A/S",Pole_Calc!A$14,"Poner a mano")))))))</f>
        <v>App.7-V11I-P9.5.1.1</v>
      </c>
      <c r="BE1082" s="429" t="s">
        <v>118</v>
      </c>
      <c r="BF1082" s="289"/>
      <c r="BG1082" s="289"/>
      <c r="BH1082" s="290"/>
      <c r="BI1082" s="289"/>
    </row>
    <row r="1083" spans="1:61" ht="15.6" customHeight="1">
      <c r="A1083" s="514"/>
      <c r="B1083" s="450"/>
      <c r="C1083" s="3"/>
      <c r="D1083" s="83"/>
      <c r="E1083" s="4"/>
      <c r="F1083" s="4"/>
      <c r="G1083" s="6">
        <v>62</v>
      </c>
      <c r="H1083" s="449"/>
      <c r="I1083" s="4"/>
      <c r="J1083" s="3"/>
      <c r="K1083" s="449"/>
      <c r="L1083" s="449"/>
      <c r="M1083" s="449" t="str">
        <f>IF(L1083="","",
IF(AX1083="PT",VLOOKUP(L1083,Foundation_Calc!$V$79:$X$113,VLOOKUP(AX1083,Foundation_Calc!$I$10:$J$13,2,FALSE),0),
IF(AX1083="K",VLOOKUP(L1083,Foundation_Calc!$V$117:$X$151,VLOOKUP(AX1083,Foundation_Calc!$I$10:$J$13,2,FALSE),0),"")))</f>
        <v/>
      </c>
      <c r="N1083" s="449"/>
      <c r="O1083" s="449"/>
      <c r="P1083" s="449"/>
      <c r="Q1083" s="4"/>
      <c r="R1083" s="6"/>
      <c r="S1083" s="6"/>
      <c r="T1083" s="4"/>
      <c r="U1083" s="4"/>
      <c r="V1083" s="4"/>
      <c r="W1083" s="9"/>
      <c r="X1083" s="9"/>
      <c r="Y1083" s="9"/>
      <c r="Z1083" s="9"/>
      <c r="AA1083" s="9"/>
      <c r="AB1083" s="9"/>
      <c r="AC1083" s="449" t="str">
        <f t="shared" si="122"/>
        <v/>
      </c>
      <c r="AD1083" s="449"/>
      <c r="AE1083" s="449"/>
      <c r="AF1083" s="4"/>
      <c r="AG1083" s="83"/>
      <c r="AH1083" s="4"/>
      <c r="AI1083" s="4"/>
      <c r="AJ1083" s="449"/>
      <c r="AK1083" s="449"/>
      <c r="AL1083" s="449"/>
      <c r="AM1083" s="449"/>
      <c r="AN1083" s="10"/>
      <c r="AO1083" s="9"/>
      <c r="AP1083" s="9"/>
      <c r="AQ1083" s="9">
        <f>+FL_2($T$1084,$T$1082,$G$1083,1200,9.28,-1*$F$1084)</f>
        <v>-0.46765016498924739</v>
      </c>
      <c r="AR1083" s="9"/>
      <c r="AS1083" s="9"/>
      <c r="AT1083" s="9"/>
      <c r="AU1083" s="428"/>
      <c r="AV1083" s="428"/>
      <c r="AW1083" s="449" t="str">
        <f>IF(C1083&gt;0,VLOOKUP(C1083,Foundation_Calc!$A$2:$C$13,3,1),
IF(J1083&gt;0,VLOOKUP(J1083,Foundation_Calc!$A$2:$C$13,3,1),""))</f>
        <v/>
      </c>
      <c r="AX1083" s="449" t="str">
        <f>IF(C1083&gt;0,VLOOKUP(C1083,Foundation_Calc!$E$2:$G$33,3,1),
IF(J1083&gt;0,VLOOKUP(J1083,Foundation_Calc!$E$2:$G$33,3,1),""))</f>
        <v/>
      </c>
      <c r="AY1083" s="10" t="str">
        <f>IF(L1083="","",
IF(AX1083="PT",VLOOKUP(L1083,Foundation_Calc!$K$79:$R$113,VLOOKUP(AW1083,Foundation_Calc!$I$2:$J$8,2,FALSE),0),
IF(AX1083="K",VLOOKUP(L1083,Foundation_Calc!$K$117:$R$151,VLOOKUP(AW1083,Foundation_Calc!$I$2:$J$8,2,FALSE),0),"")))</f>
        <v/>
      </c>
      <c r="AZ1083" s="10" t="str">
        <f>IF(K1083="","",
IF(AX1083="PT",VLOOKUP(K1083,Foundation_Calc!$K$79:$R$113,VLOOKUP(AW1083,Foundation_Calc!$I$2:$J$8,2,FALSE),0),
IF(AX1083="K",VLOOKUP(K1083,Foundation_Calc!$K$117:$R$151,VLOOKUP(AW1083,Foundation_Calc!$I$2:$J$8,2,FALSE),0),"")))</f>
        <v/>
      </c>
      <c r="BA1083" s="495" t="str">
        <f t="shared" si="123"/>
        <v/>
      </c>
      <c r="BB1083" s="495" t="str">
        <f t="shared" si="124"/>
        <v/>
      </c>
      <c r="BC1083" s="495" t="str">
        <f t="shared" si="125"/>
        <v/>
      </c>
      <c r="BD1083" s="513" t="str">
        <f>IF(AND(L1083="",H1083=""),"",
IF(H1083="",Pole_Calc!A$9,
IF(H1083="MP",Pole_Calc!A$10,
IF(H1083="AnMP",Pole_Calc!A$11,
IF(H1083="A",Pole_Calc!A$12,
IF(H1083="S/A",Pole_Calc!A$13,
IF(H1083="A/S",Pole_Calc!A$14,"Poner a mano")))))))</f>
        <v/>
      </c>
      <c r="BE1083" s="429" t="s">
        <v>118</v>
      </c>
      <c r="BF1083" s="290"/>
      <c r="BG1083" s="290"/>
      <c r="BH1083" s="290"/>
      <c r="BI1083" s="290"/>
    </row>
    <row r="1084" spans="1:61" ht="15.6" customHeight="1">
      <c r="A1084" s="514"/>
      <c r="B1084" s="450" t="s">
        <v>811</v>
      </c>
      <c r="C1084" s="3">
        <f>+$C$1082+$G$1083</f>
        <v>56455.119999999995</v>
      </c>
      <c r="D1084" s="83"/>
      <c r="E1084" s="4"/>
      <c r="F1084" s="4">
        <f>IF(C1084&gt;0,VLOOKUP(C1084,'ALIGNMENT TRACK'!$A$1:$K$81,9,1))</f>
        <v>0</v>
      </c>
      <c r="G1084" s="6"/>
      <c r="H1084" s="449"/>
      <c r="I1084" s="4"/>
      <c r="J1084" s="3"/>
      <c r="K1084" s="449"/>
      <c r="L1084" s="449" t="s">
        <v>153</v>
      </c>
      <c r="M1084" s="449" t="str">
        <f>IF(L1084="","",
IF(AX1084="PT",VLOOKUP(L1084,Foundation_Calc!$V$79:$X$113,VLOOKUP(AX1084,Foundation_Calc!$I$10:$J$13,2,FALSE),0),
IF(AX1084="K",VLOOKUP(L1084,Foundation_Calc!$V$117:$X$151,VLOOKUP(AX1084,Foundation_Calc!$I$10:$J$13,2,FALSE),0),"")))</f>
        <v>C3R</v>
      </c>
      <c r="N1084" s="449" t="s">
        <v>134</v>
      </c>
      <c r="O1084" s="449"/>
      <c r="P1084" s="449"/>
      <c r="Q1084" s="4"/>
      <c r="R1084" s="6"/>
      <c r="S1084" s="6"/>
      <c r="T1084" s="4">
        <v>30</v>
      </c>
      <c r="U1084" s="4"/>
      <c r="V1084" s="4"/>
      <c r="W1084" s="9">
        <v>1.4</v>
      </c>
      <c r="X1084" s="9"/>
      <c r="Y1084" s="9"/>
      <c r="Z1084" s="9"/>
      <c r="AA1084" s="9"/>
      <c r="AB1084" s="9"/>
      <c r="AC1084" s="449" t="str">
        <f t="shared" si="122"/>
        <v>PH</v>
      </c>
      <c r="AD1084" s="449"/>
      <c r="AE1084" s="449"/>
      <c r="AF1084" s="4"/>
      <c r="AG1084" s="83"/>
      <c r="AH1084" s="4"/>
      <c r="AI1084" s="4"/>
      <c r="AJ1084" s="449"/>
      <c r="AK1084" s="449"/>
      <c r="AL1084" s="449"/>
      <c r="AM1084" s="449" t="s">
        <v>552</v>
      </c>
      <c r="AN1084" s="10">
        <v>5.5</v>
      </c>
      <c r="AO1084" s="9"/>
      <c r="AP1084" s="9"/>
      <c r="AQ1084" s="9"/>
      <c r="AR1084" s="9"/>
      <c r="AS1084" s="9"/>
      <c r="AT1084" s="9">
        <f>+ab($T$1084,$T$1082,$T$1086,$G$1083,$G$1085,-1*$F$1084,1200)</f>
        <v>9.8172082785389527</v>
      </c>
      <c r="AU1084" s="428"/>
      <c r="AV1084" s="428"/>
      <c r="AW1084" s="449" t="str">
        <f>IF(C1084&gt;0,VLOOKUP(C1084,Foundation_Calc!$A$2:$C$13,3,1),
IF(J1084&gt;0,VLOOKUP(J1084,Foundation_Calc!$A$2:$C$13,3,1),""))</f>
        <v>Multi Soil</v>
      </c>
      <c r="AX1084" s="449" t="str">
        <f>IF(C1084&gt;0,VLOOKUP(C1084,Foundation_Calc!$E$2:$G$33,3,1),
IF(J1084&gt;0,VLOOKUP(J1084,Foundation_Calc!$E$2:$G$33,3,1),""))</f>
        <v>PT</v>
      </c>
      <c r="AY1084" s="10">
        <f>IF(L1084="","",
IF(AX1084="PT",VLOOKUP(L1084,Foundation_Calc!$K$79:$R$113,VLOOKUP(AW1084,Foundation_Calc!$I$2:$J$8,2,FALSE),0),
IF(AX1084="K",VLOOKUP(L1084,Foundation_Calc!$K$117:$R$151,VLOOKUP(AW1084,Foundation_Calc!$I$2:$J$8,2,FALSE),0),"")))</f>
        <v>3.5</v>
      </c>
      <c r="AZ1084" s="10" t="str">
        <f>IF(K1084="","",
IF(AX1084="PT",VLOOKUP(K1084,Foundation_Calc!$K$79:$R$113,VLOOKUP(AW1084,Foundation_Calc!$I$2:$J$8,2,FALSE),0),
IF(AX1084="K",VLOOKUP(K1084,Foundation_Calc!$K$117:$R$151,VLOOKUP(AW1084,Foundation_Calc!$I$2:$J$8,2,FALSE),0),"")))</f>
        <v/>
      </c>
      <c r="BA1084" s="495" t="str">
        <f t="shared" si="123"/>
        <v>ü</v>
      </c>
      <c r="BB1084" s="495" t="str">
        <f t="shared" si="124"/>
        <v/>
      </c>
      <c r="BC1084" s="495" t="str">
        <f t="shared" si="125"/>
        <v/>
      </c>
      <c r="BD1084" s="513" t="str">
        <f>IF(AND(L1084="",H1084=""),"",
IF(H1084="",Pole_Calc!A$9,
IF(H1084="MP",Pole_Calc!A$10,
IF(H1084="AnMP",Pole_Calc!A$11,
IF(H1084="A",Pole_Calc!A$12,
IF(H1084="S/A",Pole_Calc!A$13,
IF(H1084="A/S",Pole_Calc!A$14,"Poner a mano")))))))</f>
        <v>App.7-V11I-P9.5.1.1</v>
      </c>
      <c r="BE1084" s="429" t="s">
        <v>118</v>
      </c>
      <c r="BF1084" s="289"/>
      <c r="BG1084" s="289"/>
      <c r="BH1084" s="290"/>
      <c r="BI1084" s="289"/>
    </row>
    <row r="1085" spans="1:61" ht="15.6" customHeight="1">
      <c r="A1085" s="514"/>
      <c r="B1085" s="450"/>
      <c r="C1085" s="3"/>
      <c r="D1085" s="83"/>
      <c r="E1085" s="4"/>
      <c r="F1085" s="4"/>
      <c r="G1085" s="6">
        <v>62</v>
      </c>
      <c r="H1085" s="449"/>
      <c r="I1085" s="4"/>
      <c r="J1085" s="3">
        <f>C1086-7.5</f>
        <v>56509.619999999995</v>
      </c>
      <c r="K1085" s="449" t="s">
        <v>117</v>
      </c>
      <c r="L1085" s="449"/>
      <c r="M1085" s="449" t="str">
        <f>IF(L1085="","",
IF(AX1085="PT",VLOOKUP(L1085,Foundation_Calc!$V$79:$X$113,VLOOKUP(AX1085,Foundation_Calc!$I$10:$J$13,2,FALSE),0),
IF(AX1085="K",VLOOKUP(L1085,Foundation_Calc!$V$117:$X$151,VLOOKUP(AX1085,Foundation_Calc!$I$10:$J$13,2,FALSE),0),"")))</f>
        <v/>
      </c>
      <c r="N1085" s="449"/>
      <c r="O1085" s="449"/>
      <c r="P1085" s="449"/>
      <c r="Q1085" s="4"/>
      <c r="R1085" s="6"/>
      <c r="S1085" s="6"/>
      <c r="T1085" s="4"/>
      <c r="U1085" s="4"/>
      <c r="V1085" s="4"/>
      <c r="W1085" s="9"/>
      <c r="X1085" s="9"/>
      <c r="Y1085" s="9"/>
      <c r="Z1085" s="9"/>
      <c r="AA1085" s="9"/>
      <c r="AB1085" s="9"/>
      <c r="AC1085" s="449" t="str">
        <f t="shared" si="122"/>
        <v/>
      </c>
      <c r="AD1085" s="449"/>
      <c r="AE1085" s="449"/>
      <c r="AF1085" s="4"/>
      <c r="AG1085" s="83"/>
      <c r="AH1085" s="4"/>
      <c r="AI1085" s="4"/>
      <c r="AJ1085" s="449"/>
      <c r="AK1085" s="449"/>
      <c r="AL1085" s="449"/>
      <c r="AM1085" s="449"/>
      <c r="AN1085" s="10"/>
      <c r="AO1085" s="9"/>
      <c r="AP1085" s="9"/>
      <c r="AQ1085" s="9">
        <f>+FL_1($T$1086,$T$1084,$G$1085,1200,9.28,-1*$F$1086)</f>
        <v>0.44746645199999996</v>
      </c>
      <c r="AR1085" s="9"/>
      <c r="AS1085" s="9"/>
      <c r="AT1085" s="9"/>
      <c r="AU1085" s="428"/>
      <c r="AV1085" s="428"/>
      <c r="AW1085" s="449" t="str">
        <f>IF(C1085&gt;0,VLOOKUP(C1085,Foundation_Calc!$A$2:$C$13,3,1),
IF(J1085&gt;0,VLOOKUP(J1085,Foundation_Calc!$A$2:$C$13,3,1),""))</f>
        <v>Multi Soil</v>
      </c>
      <c r="AX1085" s="449" t="str">
        <f>IF(C1085&gt;0,VLOOKUP(C1085,Foundation_Calc!$E$2:$G$33,3,1),
IF(J1085&gt;0,VLOOKUP(J1085,Foundation_Calc!$E$2:$G$33,3,1),""))</f>
        <v>PT</v>
      </c>
      <c r="AY1085" s="10" t="str">
        <f>IF(L1085="","",
IF(AX1085="PT",VLOOKUP(L1085,Foundation_Calc!$K$79:$R$113,VLOOKUP(AW1085,Foundation_Calc!$I$2:$J$8,2,FALSE),0),
IF(AX1085="K",VLOOKUP(L1085,Foundation_Calc!$K$117:$R$151,VLOOKUP(AW1085,Foundation_Calc!$I$2:$J$8,2,FALSE),0),"")))</f>
        <v/>
      </c>
      <c r="AZ1085" s="10">
        <f>IF(K1085="","",
IF(AX1085="PT",VLOOKUP(K1085,Foundation_Calc!$K$79:$R$113,VLOOKUP(AW1085,Foundation_Calc!$I$2:$J$8,2,FALSE),0),
IF(AX1085="K",VLOOKUP(K1085,Foundation_Calc!$K$117:$R$151,VLOOKUP(AW1085,Foundation_Calc!$I$2:$J$8,2,FALSE),0),"")))</f>
        <v>3.9</v>
      </c>
      <c r="BA1085" s="495" t="str">
        <f t="shared" si="123"/>
        <v/>
      </c>
      <c r="BB1085" s="495" t="str">
        <f t="shared" si="124"/>
        <v>ü</v>
      </c>
      <c r="BC1085" s="495" t="str">
        <f t="shared" si="125"/>
        <v/>
      </c>
      <c r="BD1085" s="513" t="str">
        <f>IF(AND(L1085="",H1085=""),"",
IF(H1085="",Pole_Calc!A$9,
IF(H1085="MP",Pole_Calc!A$10,
IF(H1085="AnMP",Pole_Calc!A$11,
IF(H1085="A",Pole_Calc!A$12,
IF(H1085="S/A",Pole_Calc!A$13,
IF(H1085="A/S",Pole_Calc!A$14,"Poner a mano")))))))</f>
        <v/>
      </c>
      <c r="BE1085" s="429" t="s">
        <v>118</v>
      </c>
      <c r="BF1085" s="290"/>
      <c r="BG1085" s="290"/>
      <c r="BH1085" s="290"/>
      <c r="BI1085" s="290"/>
    </row>
    <row r="1086" spans="1:61" ht="15.6" customHeight="1">
      <c r="A1086" s="518"/>
      <c r="B1086" s="450" t="s">
        <v>812</v>
      </c>
      <c r="C1086" s="3">
        <f>+$C$1084+$G$1085</f>
        <v>56517.119999999995</v>
      </c>
      <c r="D1086" s="83"/>
      <c r="E1086" s="4"/>
      <c r="F1086" s="4">
        <f>IF(C1086&gt;0,VLOOKUP(C1086,'ALIGNMENT TRACK'!$A$1:$K$81,9,1))</f>
        <v>0</v>
      </c>
      <c r="G1086" s="6"/>
      <c r="H1086" s="449" t="s">
        <v>121</v>
      </c>
      <c r="I1086" s="4" t="s">
        <v>122</v>
      </c>
      <c r="J1086" s="3"/>
      <c r="K1086" s="449"/>
      <c r="L1086" s="449" t="s">
        <v>151</v>
      </c>
      <c r="M1086" s="449" t="str">
        <f>IF(L1086="","",
IF(AX1086="PT",VLOOKUP(L1086,Foundation_Calc!$V$79:$X$113,VLOOKUP(AX1086,Foundation_Calc!$I$10:$J$13,2,FALSE),0),
IF(AX1086="K",VLOOKUP(L1086,Foundation_Calc!$V$117:$X$151,VLOOKUP(AX1086,Foundation_Calc!$I$10:$J$13,2,FALSE),0),"")))</f>
        <v>C4R</v>
      </c>
      <c r="N1086" s="449" t="s">
        <v>124</v>
      </c>
      <c r="O1086" s="449"/>
      <c r="P1086" s="449"/>
      <c r="Q1086" s="4"/>
      <c r="R1086" s="6"/>
      <c r="S1086" s="6"/>
      <c r="T1086" s="4">
        <v>-25</v>
      </c>
      <c r="U1086" s="4"/>
      <c r="V1086" s="4"/>
      <c r="W1086" s="9">
        <v>1.4</v>
      </c>
      <c r="X1086" s="9"/>
      <c r="Y1086" s="9"/>
      <c r="Z1086" s="9"/>
      <c r="AA1086" s="9"/>
      <c r="AB1086" s="9"/>
      <c r="AC1086" s="449" t="str">
        <f t="shared" si="122"/>
        <v>PH</v>
      </c>
      <c r="AD1086" s="449"/>
      <c r="AE1086" s="449"/>
      <c r="AF1086" s="4"/>
      <c r="AG1086" s="83"/>
      <c r="AH1086" s="4"/>
      <c r="AI1086" s="4"/>
      <c r="AJ1086" s="449"/>
      <c r="AK1086" s="449"/>
      <c r="AL1086" s="449"/>
      <c r="AM1086" s="449" t="s">
        <v>552</v>
      </c>
      <c r="AN1086" s="10">
        <v>5.5</v>
      </c>
      <c r="AO1086" s="9"/>
      <c r="AP1086" s="9"/>
      <c r="AQ1086" s="9"/>
      <c r="AR1086" s="9"/>
      <c r="AS1086" s="9"/>
      <c r="AT1086" s="9">
        <f>+ab($T$1086,$T$1084,$U$1088,$G$1085,$G$1087,-1*$F$1086,1200)</f>
        <v>-12.329657504196032</v>
      </c>
      <c r="AU1086" s="428"/>
      <c r="AV1086" s="428"/>
      <c r="AW1086" s="449" t="str">
        <f>IF(C1086&gt;0,VLOOKUP(C1086,Foundation_Calc!$A$2:$C$13,3,1),
IF(J1086&gt;0,VLOOKUP(J1086,Foundation_Calc!$A$2:$C$13,3,1),""))</f>
        <v>Multi Soil</v>
      </c>
      <c r="AX1086" s="449" t="str">
        <f>IF(C1086&gt;0,VLOOKUP(C1086,Foundation_Calc!$E$2:$G$33,3,1),
IF(J1086&gt;0,VLOOKUP(J1086,Foundation_Calc!$E$2:$G$33,3,1),""))</f>
        <v>PT</v>
      </c>
      <c r="AY1086" s="10">
        <f>IF(L1086="","",
IF(AX1086="PT",VLOOKUP(L1086,Foundation_Calc!$K$79:$R$113,VLOOKUP(AW1086,Foundation_Calc!$I$2:$J$8,2,FALSE),0),
IF(AX1086="K",VLOOKUP(L1086,Foundation_Calc!$K$117:$R$151,VLOOKUP(AW1086,Foundation_Calc!$I$2:$J$8,2,FALSE),0),"")))</f>
        <v>3.5</v>
      </c>
      <c r="AZ1086" s="10" t="str">
        <f>IF(K1086="","",
IF(AX1086="PT",VLOOKUP(K1086,Foundation_Calc!$K$79:$R$113,VLOOKUP(AW1086,Foundation_Calc!$I$2:$J$8,2,FALSE),0),
IF(AX1086="K",VLOOKUP(K1086,Foundation_Calc!$K$117:$R$151,VLOOKUP(AW1086,Foundation_Calc!$I$2:$J$8,2,FALSE),0),"")))</f>
        <v/>
      </c>
      <c r="BA1086" s="495" t="str">
        <f t="shared" si="123"/>
        <v>ü</v>
      </c>
      <c r="BB1086" s="495" t="str">
        <f t="shared" si="124"/>
        <v/>
      </c>
      <c r="BC1086" s="495" t="str">
        <f t="shared" si="125"/>
        <v/>
      </c>
      <c r="BD1086" s="513" t="str">
        <f>IF(AND(L1086="",H1086=""),"",
IF(H1086="",Pole_Calc!A$9,
IF(H1086="MP",Pole_Calc!A$10,
IF(H1086="AnMP",Pole_Calc!A$11,
IF(H1086="A",Pole_Calc!A$12,
IF(H1086="S/A",Pole_Calc!A$13,
IF(H1086="A/S",Pole_Calc!A$14,"Poner a mano")))))))</f>
        <v>App.7-V11I-P9.5.1.6</v>
      </c>
      <c r="BE1086" s="429" t="s">
        <v>118</v>
      </c>
      <c r="BF1086" s="289"/>
      <c r="BG1086" s="289"/>
      <c r="BH1086" s="290"/>
      <c r="BI1086" s="289"/>
    </row>
    <row r="1087" spans="1:61" ht="15.6" customHeight="1">
      <c r="A1087" s="518"/>
      <c r="B1087" s="450"/>
      <c r="C1087" s="3"/>
      <c r="D1087" s="83"/>
      <c r="E1087" s="4"/>
      <c r="F1087" s="4"/>
      <c r="G1087" s="6">
        <v>62</v>
      </c>
      <c r="H1087" s="449"/>
      <c r="I1087" s="4"/>
      <c r="J1087" s="3"/>
      <c r="K1087" s="449"/>
      <c r="L1087" s="449"/>
      <c r="M1087" s="449" t="str">
        <f>IF(L1087="","",
IF(AX1087="PT",VLOOKUP(L1087,Foundation_Calc!$V$79:$X$113,VLOOKUP(AX1087,Foundation_Calc!$I$10:$J$13,2,FALSE),0),
IF(AX1087="K",VLOOKUP(L1087,Foundation_Calc!$V$117:$X$151,VLOOKUP(AX1087,Foundation_Calc!$I$10:$J$13,2,FALSE),0),"")))</f>
        <v/>
      </c>
      <c r="N1087" s="561"/>
      <c r="O1087" s="449"/>
      <c r="P1087" s="449"/>
      <c r="Q1087" s="4"/>
      <c r="R1087" s="6"/>
      <c r="S1087" s="6"/>
      <c r="T1087" s="4"/>
      <c r="U1087" s="4"/>
      <c r="V1087" s="4"/>
      <c r="W1087" s="9"/>
      <c r="X1087" s="9"/>
      <c r="Y1087" s="9"/>
      <c r="Z1087" s="9"/>
      <c r="AA1087" s="9"/>
      <c r="AB1087" s="9"/>
      <c r="AC1087" s="449" t="str">
        <f t="shared" si="122"/>
        <v/>
      </c>
      <c r="AD1087" s="449"/>
      <c r="AE1087" s="449"/>
      <c r="AF1087" s="4"/>
      <c r="AG1087" s="83"/>
      <c r="AH1087" s="4"/>
      <c r="AI1087" s="4"/>
      <c r="AJ1087" s="449"/>
      <c r="AK1087" s="449"/>
      <c r="AL1087" s="449"/>
      <c r="AM1087" s="449"/>
      <c r="AN1087" s="10"/>
      <c r="AO1087" s="9"/>
      <c r="AP1087" s="9"/>
      <c r="AQ1087" s="9">
        <f>+FL_2($U$1088,$T$1086,$G$1087,1200,9.28,-1*$F$1088)</f>
        <v>-0.44849828627956978</v>
      </c>
      <c r="AR1087" s="9"/>
      <c r="AS1087" s="9"/>
      <c r="AT1087" s="9"/>
      <c r="AU1087" s="428"/>
      <c r="AV1087" s="428"/>
      <c r="AW1087" s="449" t="str">
        <f>IF(C1087&gt;0,VLOOKUP(C1087,Foundation_Calc!$A$2:$C$13,3,1),
IF(J1087&gt;0,VLOOKUP(J1087,Foundation_Calc!$A$2:$C$13,3,1),""))</f>
        <v/>
      </c>
      <c r="AX1087" s="449" t="str">
        <f>IF(C1087&gt;0,VLOOKUP(C1087,Foundation_Calc!$E$2:$G$33,3,1),
IF(J1087&gt;0,VLOOKUP(J1087,Foundation_Calc!$E$2:$G$33,3,1),""))</f>
        <v/>
      </c>
      <c r="AY1087" s="10" t="str">
        <f>IF(L1087="","",
IF(AX1087="PT",VLOOKUP(L1087,Foundation_Calc!$K$79:$R$113,VLOOKUP(AW1087,Foundation_Calc!$I$2:$J$8,2,FALSE),0),
IF(AX1087="K",VLOOKUP(L1087,Foundation_Calc!$K$117:$R$151,VLOOKUP(AW1087,Foundation_Calc!$I$2:$J$8,2,FALSE),0),"")))</f>
        <v/>
      </c>
      <c r="AZ1087" s="10" t="str">
        <f>IF(K1087="","",
IF(AX1087="PT",VLOOKUP(K1087,Foundation_Calc!$K$79:$R$113,VLOOKUP(AW1087,Foundation_Calc!$I$2:$J$8,2,FALSE),0),
IF(AX1087="K",VLOOKUP(K1087,Foundation_Calc!$K$117:$R$151,VLOOKUP(AW1087,Foundation_Calc!$I$2:$J$8,2,FALSE),0),"")))</f>
        <v/>
      </c>
      <c r="BA1087" s="495" t="str">
        <f t="shared" si="123"/>
        <v/>
      </c>
      <c r="BB1087" s="495" t="str">
        <f t="shared" si="124"/>
        <v/>
      </c>
      <c r="BC1087" s="495" t="str">
        <f t="shared" si="125"/>
        <v/>
      </c>
      <c r="BD1087" s="513" t="str">
        <f>IF(AND(L1087="",H1087=""),"",
IF(H1087="",Pole_Calc!A$9,
IF(H1087="MP",Pole_Calc!A$10,
IF(H1087="AnMP",Pole_Calc!A$11,
IF(H1087="A",Pole_Calc!A$12,
IF(H1087="S/A",Pole_Calc!A$13,
IF(H1087="A/S",Pole_Calc!A$14,"Poner a mano")))))))</f>
        <v/>
      </c>
      <c r="BE1087" s="429" t="s">
        <v>118</v>
      </c>
      <c r="BF1087" s="290"/>
      <c r="BG1087" s="290"/>
      <c r="BH1087" s="290"/>
      <c r="BI1087" s="290"/>
    </row>
    <row r="1088" spans="1:61" ht="15.6" customHeight="1">
      <c r="A1088" s="514"/>
      <c r="B1088" s="450" t="s">
        <v>813</v>
      </c>
      <c r="C1088" s="3">
        <f>+$C$1086+$G$1087</f>
        <v>56579.119999999995</v>
      </c>
      <c r="D1088" s="83"/>
      <c r="E1088" s="4"/>
      <c r="F1088" s="4">
        <f>IF(C1088&gt;0,VLOOKUP(C1088,'ALIGNMENT TRACK'!$A$1:$K$81,9,1))</f>
        <v>0</v>
      </c>
      <c r="G1088" s="6"/>
      <c r="H1088" s="449" t="s">
        <v>131</v>
      </c>
      <c r="I1088" s="4"/>
      <c r="J1088" s="3"/>
      <c r="K1088" s="449"/>
      <c r="L1088" s="449" t="s">
        <v>158</v>
      </c>
      <c r="M1088" s="449" t="str">
        <f>IF(L1088="","",
IF(AX1088="PT",VLOOKUP(L1088,Foundation_Calc!$V$79:$X$113,VLOOKUP(AX1088,Foundation_Calc!$I$10:$J$13,2,FALSE),0),
IF(AX1088="K",VLOOKUP(L1088,Foundation_Calc!$V$117:$X$151,VLOOKUP(AX1088,Foundation_Calc!$I$10:$J$13,2,FALSE),0),"")))</f>
        <v>C4R</v>
      </c>
      <c r="N1088" s="449" t="s">
        <v>133</v>
      </c>
      <c r="O1088" s="449" t="s">
        <v>134</v>
      </c>
      <c r="P1088" s="449"/>
      <c r="Q1088" s="4"/>
      <c r="R1088" s="6"/>
      <c r="S1088" s="6"/>
      <c r="T1088" s="4">
        <v>35</v>
      </c>
      <c r="U1088" s="4">
        <v>15</v>
      </c>
      <c r="V1088" s="4"/>
      <c r="W1088" s="9">
        <v>1.4</v>
      </c>
      <c r="X1088" s="9">
        <v>2.2999999999999998</v>
      </c>
      <c r="Y1088" s="9"/>
      <c r="Z1088" s="9">
        <v>0.6</v>
      </c>
      <c r="AA1088" s="9"/>
      <c r="AB1088" s="9"/>
      <c r="AC1088" s="449"/>
      <c r="AD1088" s="449"/>
      <c r="AE1088" s="449"/>
      <c r="AF1088" s="4"/>
      <c r="AG1088" s="83"/>
      <c r="AH1088" s="4"/>
      <c r="AI1088" s="4"/>
      <c r="AJ1088" s="449"/>
      <c r="AK1088" s="449"/>
      <c r="AL1088" s="449"/>
      <c r="AM1088" s="449" t="s">
        <v>552</v>
      </c>
      <c r="AN1088" s="10">
        <v>5.5</v>
      </c>
      <c r="AO1088" s="9"/>
      <c r="AP1088" s="9"/>
      <c r="AQ1088" s="9"/>
      <c r="AR1088" s="9"/>
      <c r="AS1088" s="9"/>
      <c r="AT1088" s="9">
        <f>+ab($U$1088,$T$1086,$U$1090,$G$1087,$G$1089,-1*$F$1088,1200)</f>
        <v>12.991874828382032</v>
      </c>
      <c r="AU1088" s="428"/>
      <c r="AV1088" s="428"/>
      <c r="AW1088" s="449" t="str">
        <f>IF(C1088&gt;0,VLOOKUP(C1088,Foundation_Calc!$A$2:$C$13,3,1),
IF(J1088&gt;0,VLOOKUP(J1088,Foundation_Calc!$A$2:$C$13,3,1),""))</f>
        <v>Multi Soil</v>
      </c>
      <c r="AX1088" s="449" t="str">
        <f>IF(C1088&gt;0,VLOOKUP(C1088,Foundation_Calc!$E$2:$G$33,3,1),
IF(J1088&gt;0,VLOOKUP(J1088,Foundation_Calc!$E$2:$G$33,3,1),""))</f>
        <v>PT</v>
      </c>
      <c r="AY1088" s="10">
        <f>IF(L1088="","",
IF(AX1088="PT",VLOOKUP(L1088,Foundation_Calc!$K$79:$R$113,VLOOKUP(AW1088,Foundation_Calc!$I$2:$J$8,2,FALSE),0),
IF(AX1088="K",VLOOKUP(L1088,Foundation_Calc!$K$117:$R$151,VLOOKUP(AW1088,Foundation_Calc!$I$2:$J$8,2,FALSE),0),"")))</f>
        <v>3.5</v>
      </c>
      <c r="AZ1088" s="10" t="str">
        <f>IF(K1088="","",
IF(AX1088="PT",VLOOKUP(K1088,Foundation_Calc!$K$79:$R$113,VLOOKUP(AW1088,Foundation_Calc!$I$2:$J$8,2,FALSE),0),
IF(AX1088="K",VLOOKUP(K1088,Foundation_Calc!$K$117:$R$151,VLOOKUP(AW1088,Foundation_Calc!$I$2:$J$8,2,FALSE),0),"")))</f>
        <v/>
      </c>
      <c r="BA1088" s="495" t="str">
        <f t="shared" si="123"/>
        <v>ü</v>
      </c>
      <c r="BB1088" s="495" t="str">
        <f t="shared" si="124"/>
        <v/>
      </c>
      <c r="BC1088" s="495" t="str">
        <f t="shared" si="125"/>
        <v/>
      </c>
      <c r="BD1088" s="513" t="str">
        <f>IF(AND(L1088="",H1088=""),"",
IF(H1088="",Pole_Calc!A$9,
IF(H1088="MP",Pole_Calc!A$10,
IF(H1088="AnMP",Pole_Calc!A$11,
IF(H1088="A",Pole_Calc!A$12,
IF(H1088="S/A",Pole_Calc!A$13,
IF(H1088="A/S",Pole_Calc!A$14,"Poner a mano")))))))</f>
        <v>App.7-V11I-P9.5.1.5</v>
      </c>
      <c r="BE1088" s="429" t="s">
        <v>118</v>
      </c>
      <c r="BF1088" s="289"/>
      <c r="BG1088" s="289"/>
      <c r="BH1088" s="290"/>
      <c r="BI1088" s="289"/>
    </row>
    <row r="1089" spans="1:61" ht="15.6" customHeight="1">
      <c r="A1089" s="514"/>
      <c r="B1089" s="450"/>
      <c r="C1089" s="3"/>
      <c r="D1089" s="83"/>
      <c r="E1089" s="4"/>
      <c r="F1089" s="4"/>
      <c r="G1089" s="6">
        <v>62</v>
      </c>
      <c r="H1089" s="449"/>
      <c r="I1089" s="4" t="s">
        <v>549</v>
      </c>
      <c r="J1089" s="3">
        <f>C1090-7.5</f>
        <v>56633.619999999995</v>
      </c>
      <c r="K1089" s="449" t="s">
        <v>166</v>
      </c>
      <c r="L1089" s="449"/>
      <c r="M1089" s="449" t="str">
        <f>IF(L1089="","",
IF(AX1089="PT",VLOOKUP(L1089,Foundation_Calc!$V$79:$X$113,VLOOKUP(AX1089,Foundation_Calc!$I$10:$J$13,2,FALSE),0),
IF(AX1089="K",VLOOKUP(L1089,Foundation_Calc!$V$117:$X$151,VLOOKUP(AX1089,Foundation_Calc!$I$10:$J$13,2,FALSE),0),"")))</f>
        <v/>
      </c>
      <c r="N1089" s="449"/>
      <c r="O1089" s="449"/>
      <c r="P1089" s="449"/>
      <c r="Q1089" s="4"/>
      <c r="R1089" s="6"/>
      <c r="S1089" s="6"/>
      <c r="T1089" s="4"/>
      <c r="U1089" s="4"/>
      <c r="V1089" s="4"/>
      <c r="W1089" s="9"/>
      <c r="X1089" s="9"/>
      <c r="Y1089" s="9"/>
      <c r="Z1089" s="9"/>
      <c r="AA1089" s="9"/>
      <c r="AB1089" s="9"/>
      <c r="AC1089" s="449" t="str">
        <f t="shared" si="122"/>
        <v/>
      </c>
      <c r="AD1089" s="449"/>
      <c r="AE1089" s="449"/>
      <c r="AF1089" s="4"/>
      <c r="AG1089" s="83"/>
      <c r="AH1089" s="4"/>
      <c r="AI1089" s="4"/>
      <c r="AJ1089" s="449"/>
      <c r="AK1089" s="449"/>
      <c r="AL1089" s="449"/>
      <c r="AM1089" s="449"/>
      <c r="AN1089" s="10"/>
      <c r="AO1089" s="9"/>
      <c r="AP1089" s="9"/>
      <c r="AQ1089" s="9">
        <f>+FL_1($T$1090,$U$1088,$G$1089,1200,9.28,-1*$F$1090)</f>
        <v>0.3867244505806452</v>
      </c>
      <c r="AR1089" s="9"/>
      <c r="AS1089" s="9"/>
      <c r="AT1089" s="9"/>
      <c r="AU1089" s="428"/>
      <c r="AV1089" s="428"/>
      <c r="AW1089" s="449" t="str">
        <f>IF(C1089&gt;0,VLOOKUP(C1089,Foundation_Calc!$A$2:$C$13,3,1),
IF(J1089&gt;0,VLOOKUP(J1089,Foundation_Calc!$A$2:$C$13,3,1),""))</f>
        <v>Multi Soil</v>
      </c>
      <c r="AX1089" s="449" t="str">
        <f>IF(C1089&gt;0,VLOOKUP(C1089,Foundation_Calc!$E$2:$G$33,3,1),
IF(J1089&gt;0,VLOOKUP(J1089,Foundation_Calc!$E$2:$G$33,3,1),""))</f>
        <v>PT</v>
      </c>
      <c r="AY1089" s="10" t="str">
        <f>IF(L1089="","",
IF(AX1089="PT",VLOOKUP(L1089,Foundation_Calc!$K$79:$R$113,VLOOKUP(AW1089,Foundation_Calc!$I$2:$J$8,2,FALSE),0),
IF(AX1089="K",VLOOKUP(L1089,Foundation_Calc!$K$117:$R$151,VLOOKUP(AW1089,Foundation_Calc!$I$2:$J$8,2,FALSE),0),"")))</f>
        <v/>
      </c>
      <c r="AZ1089" s="10">
        <f>IF(K1089="","",
IF(AX1089="PT",VLOOKUP(K1089,Foundation_Calc!$K$79:$R$113,VLOOKUP(AW1089,Foundation_Calc!$I$2:$J$8,2,FALSE),0),
IF(AX1089="K",VLOOKUP(K1089,Foundation_Calc!$K$117:$R$151,VLOOKUP(AW1089,Foundation_Calc!$I$2:$J$8,2,FALSE),0),"")))</f>
        <v>2.8</v>
      </c>
      <c r="BA1089" s="495" t="str">
        <f t="shared" si="123"/>
        <v/>
      </c>
      <c r="BB1089" s="495" t="str">
        <f t="shared" si="124"/>
        <v>ü</v>
      </c>
      <c r="BC1089" s="495" t="str">
        <f t="shared" si="125"/>
        <v/>
      </c>
      <c r="BD1089" s="513" t="str">
        <f>IF(AND(L1089="",H1089=""),"",
IF(H1089="",Pole_Calc!A$9,
IF(H1089="MP",Pole_Calc!A$10,
IF(H1089="AnMP",Pole_Calc!A$11,
IF(H1089="A",Pole_Calc!A$12,
IF(H1089="S/A",Pole_Calc!A$13,
IF(H1089="A/S",Pole_Calc!A$14,"Poner a mano")))))))</f>
        <v/>
      </c>
      <c r="BE1089" s="429" t="s">
        <v>118</v>
      </c>
      <c r="BF1089" s="290"/>
      <c r="BG1089" s="290"/>
      <c r="BH1089" s="290"/>
      <c r="BI1089" s="290"/>
    </row>
    <row r="1090" spans="1:61" ht="15.6" customHeight="1">
      <c r="A1090" s="514"/>
      <c r="B1090" s="450" t="s">
        <v>814</v>
      </c>
      <c r="C1090" s="3">
        <f>+$C$1088+$G$1089</f>
        <v>56641.119999999995</v>
      </c>
      <c r="D1090" s="83"/>
      <c r="E1090" s="4"/>
      <c r="F1090" s="4">
        <f>IF(C1090&gt;0,VLOOKUP(C1090,'ALIGNMENT TRACK'!$A$1:$K$81,9,1))</f>
        <v>0</v>
      </c>
      <c r="G1090" s="6"/>
      <c r="H1090" s="449" t="s">
        <v>131</v>
      </c>
      <c r="I1090" s="4"/>
      <c r="J1090" s="3"/>
      <c r="K1090" s="449"/>
      <c r="L1090" s="449" t="s">
        <v>158</v>
      </c>
      <c r="M1090" s="449" t="str">
        <f>IF(L1090="","",
IF(AX1090="PT",VLOOKUP(L1090,Foundation_Calc!$V$79:$X$113,VLOOKUP(AX1090,Foundation_Calc!$I$10:$J$13,2,FALSE),0),
IF(AX1090="K",VLOOKUP(L1090,Foundation_Calc!$V$117:$X$151,VLOOKUP(AX1090,Foundation_Calc!$I$10:$J$13,2,FALSE),0),"")))</f>
        <v>C4R</v>
      </c>
      <c r="N1090" s="449" t="s">
        <v>124</v>
      </c>
      <c r="O1090" s="449" t="s">
        <v>133</v>
      </c>
      <c r="P1090" s="449"/>
      <c r="Q1090" s="4"/>
      <c r="R1090" s="6"/>
      <c r="S1090" s="6"/>
      <c r="T1090" s="4">
        <v>-15</v>
      </c>
      <c r="U1090" s="4">
        <v>-35</v>
      </c>
      <c r="V1090" s="4"/>
      <c r="W1090" s="9">
        <v>1.4</v>
      </c>
      <c r="X1090" s="9">
        <v>2.2999999999999998</v>
      </c>
      <c r="Y1090" s="9"/>
      <c r="Z1090" s="9"/>
      <c r="AA1090" s="9">
        <v>0.6</v>
      </c>
      <c r="AB1090" s="9"/>
      <c r="AC1090" s="449" t="str">
        <f t="shared" si="122"/>
        <v>PH</v>
      </c>
      <c r="AD1090" s="449"/>
      <c r="AE1090" s="449"/>
      <c r="AF1090" s="4"/>
      <c r="AG1090" s="83"/>
      <c r="AH1090" s="4"/>
      <c r="AI1090" s="4"/>
      <c r="AJ1090" s="449"/>
      <c r="AK1090" s="449"/>
      <c r="AL1090" s="449"/>
      <c r="AM1090" s="449" t="s">
        <v>126</v>
      </c>
      <c r="AN1090" s="10">
        <v>5.5</v>
      </c>
      <c r="AO1090" s="9"/>
      <c r="AP1090" s="9"/>
      <c r="AQ1090" s="9"/>
      <c r="AR1090" s="9"/>
      <c r="AS1090" s="9"/>
      <c r="AT1090" s="9">
        <f>+ab($T$1090,$T$1088,$T$1092,$G$1089,$G$1091,-1*$F$1090,1200)</f>
        <v>-12.99198204310364</v>
      </c>
      <c r="AU1090" s="428"/>
      <c r="AV1090" s="428"/>
      <c r="AW1090" s="449" t="str">
        <f>IF(C1090&gt;0,VLOOKUP(C1090,Foundation_Calc!$A$2:$C$13,3,1),
IF(J1090&gt;0,VLOOKUP(J1090,Foundation_Calc!$A$2:$C$13,3,1),""))</f>
        <v>Multi Soil</v>
      </c>
      <c r="AX1090" s="449" t="str">
        <f>IF(C1090&gt;0,VLOOKUP(C1090,Foundation_Calc!$E$2:$G$33,3,1),
IF(J1090&gt;0,VLOOKUP(J1090,Foundation_Calc!$E$2:$G$33,3,1),""))</f>
        <v>PT</v>
      </c>
      <c r="AY1090" s="10">
        <f>IF(L1090="","",
IF(AX1090="PT",VLOOKUP(L1090,Foundation_Calc!$K$79:$R$113,VLOOKUP(AW1090,Foundation_Calc!$I$2:$J$8,2,FALSE),0),
IF(AX1090="K",VLOOKUP(L1090,Foundation_Calc!$K$117:$R$151,VLOOKUP(AW1090,Foundation_Calc!$I$2:$J$8,2,FALSE),0),"")))</f>
        <v>3.5</v>
      </c>
      <c r="AZ1090" s="10" t="str">
        <f>IF(K1090="","",
IF(AX1090="PT",VLOOKUP(K1090,Foundation_Calc!$K$79:$R$113,VLOOKUP(AW1090,Foundation_Calc!$I$2:$J$8,2,FALSE),0),
IF(AX1090="K",VLOOKUP(K1090,Foundation_Calc!$K$117:$R$151,VLOOKUP(AW1090,Foundation_Calc!$I$2:$J$8,2,FALSE),0),"")))</f>
        <v/>
      </c>
      <c r="BA1090" s="495" t="str">
        <f t="shared" si="123"/>
        <v>ü</v>
      </c>
      <c r="BB1090" s="495" t="str">
        <f t="shared" si="124"/>
        <v/>
      </c>
      <c r="BC1090" s="495" t="str">
        <f t="shared" si="125"/>
        <v/>
      </c>
      <c r="BD1090" s="513" t="str">
        <f>IF(AND(L1090="",H1090=""),"",
IF(H1090="",Pole_Calc!A$9,
IF(H1090="MP",Pole_Calc!A$10,
IF(H1090="AnMP",Pole_Calc!A$11,
IF(H1090="A",Pole_Calc!A$12,
IF(H1090="S/A",Pole_Calc!A$13,
IF(H1090="A/S",Pole_Calc!A$14,"Poner a mano")))))))</f>
        <v>App.7-V11I-P9.5.1.5</v>
      </c>
      <c r="BE1090" s="429" t="s">
        <v>118</v>
      </c>
      <c r="BF1090" s="289"/>
      <c r="BG1090" s="289"/>
      <c r="BH1090" s="290"/>
      <c r="BI1090" s="289"/>
    </row>
    <row r="1091" spans="1:61" ht="15.6" customHeight="1">
      <c r="A1091" s="514"/>
      <c r="B1091" s="450"/>
      <c r="C1091" s="3"/>
      <c r="D1091" s="83"/>
      <c r="E1091" s="4"/>
      <c r="F1091" s="4"/>
      <c r="G1091" s="6">
        <v>62</v>
      </c>
      <c r="H1091" s="449"/>
      <c r="I1091" s="4" t="s">
        <v>549</v>
      </c>
      <c r="J1091" s="3">
        <f>C1090+7.5</f>
        <v>56648.619999999995</v>
      </c>
      <c r="K1091" s="449" t="s">
        <v>166</v>
      </c>
      <c r="L1091" s="449"/>
      <c r="M1091" s="449" t="str">
        <f>IF(L1091="","",
IF(AX1091="PT",VLOOKUP(L1091,Foundation_Calc!$V$79:$X$113,VLOOKUP(AX1091,Foundation_Calc!$I$10:$J$13,2,FALSE),0),
IF(AX1091="K",VLOOKUP(L1091,Foundation_Calc!$V$117:$X$151,VLOOKUP(AX1091,Foundation_Calc!$I$10:$J$13,2,FALSE),0),"")))</f>
        <v/>
      </c>
      <c r="N1091" s="449"/>
      <c r="O1091" s="449"/>
      <c r="P1091" s="449"/>
      <c r="Q1091" s="4"/>
      <c r="R1091" s="6"/>
      <c r="S1091" s="6"/>
      <c r="T1091" s="4"/>
      <c r="U1091" s="4"/>
      <c r="V1091" s="4"/>
      <c r="W1091" s="9"/>
      <c r="X1091" s="9"/>
      <c r="Y1091" s="9"/>
      <c r="Z1091" s="9"/>
      <c r="AA1091" s="9"/>
      <c r="AB1091" s="9"/>
      <c r="AC1091" s="449" t="str">
        <f t="shared" si="122"/>
        <v/>
      </c>
      <c r="AD1091" s="449"/>
      <c r="AE1091" s="449"/>
      <c r="AF1091" s="4"/>
      <c r="AG1091" s="83"/>
      <c r="AH1091" s="4"/>
      <c r="AI1091" s="4"/>
      <c r="AJ1091" s="449"/>
      <c r="AK1091" s="449"/>
      <c r="AL1091" s="449"/>
      <c r="AM1091" s="449"/>
      <c r="AN1091" s="10"/>
      <c r="AO1091" s="9"/>
      <c r="AP1091" s="9"/>
      <c r="AQ1091" s="9">
        <f>+FL_1($T$1092,$T$1090,$G$1091,1200,9.28,-1*$F$1092)</f>
        <v>0.44849828627956984</v>
      </c>
      <c r="AR1091" s="9"/>
      <c r="AS1091" s="9"/>
      <c r="AT1091" s="9"/>
      <c r="AU1091" s="428"/>
      <c r="AV1091" s="428"/>
      <c r="AW1091" s="449" t="str">
        <f>IF(C1091&gt;0,VLOOKUP(C1091,Foundation_Calc!$A$2:$C$13,3,1),
IF(J1091&gt;0,VLOOKUP(J1091,Foundation_Calc!$A$2:$C$13,3,1),""))</f>
        <v>Multi Soil</v>
      </c>
      <c r="AX1091" s="449" t="str">
        <f>IF(C1091&gt;0,VLOOKUP(C1091,Foundation_Calc!$E$2:$G$33,3,1),
IF(J1091&gt;0,VLOOKUP(J1091,Foundation_Calc!$E$2:$G$33,3,1),""))</f>
        <v>PT</v>
      </c>
      <c r="AY1091" s="10" t="str">
        <f>IF(L1091="","",
IF(AX1091="PT",VLOOKUP(L1091,Foundation_Calc!$K$79:$R$113,VLOOKUP(AW1091,Foundation_Calc!$I$2:$J$8,2,FALSE),0),
IF(AX1091="K",VLOOKUP(L1091,Foundation_Calc!$K$117:$R$151,VLOOKUP(AW1091,Foundation_Calc!$I$2:$J$8,2,FALSE),0),"")))</f>
        <v/>
      </c>
      <c r="AZ1091" s="10">
        <f>IF(K1091="","",
IF(AX1091="PT",VLOOKUP(K1091,Foundation_Calc!$K$79:$R$113,VLOOKUP(AW1091,Foundation_Calc!$I$2:$J$8,2,FALSE),0),
IF(AX1091="K",VLOOKUP(K1091,Foundation_Calc!$K$117:$R$151,VLOOKUP(AW1091,Foundation_Calc!$I$2:$J$8,2,FALSE),0),"")))</f>
        <v>2.8</v>
      </c>
      <c r="BA1091" s="495" t="str">
        <f t="shared" si="123"/>
        <v/>
      </c>
      <c r="BB1091" s="495" t="str">
        <f t="shared" si="124"/>
        <v>ü</v>
      </c>
      <c r="BC1091" s="495" t="str">
        <f t="shared" si="125"/>
        <v/>
      </c>
      <c r="BD1091" s="513" t="str">
        <f>IF(AND(L1091="",H1091=""),"",
IF(H1091="",Pole_Calc!A$9,
IF(H1091="MP",Pole_Calc!A$10,
IF(H1091="AnMP",Pole_Calc!A$11,
IF(H1091="A",Pole_Calc!A$12,
IF(H1091="S/A",Pole_Calc!A$13,
IF(H1091="A/S",Pole_Calc!A$14,"Poner a mano")))))))</f>
        <v/>
      </c>
      <c r="BE1091" s="429" t="s">
        <v>118</v>
      </c>
      <c r="BF1091" s="290"/>
      <c r="BG1091" s="290"/>
      <c r="BH1091" s="290"/>
      <c r="BI1091" s="290"/>
    </row>
    <row r="1092" spans="1:61" ht="15.6" customHeight="1">
      <c r="A1092" s="518"/>
      <c r="B1092" s="450" t="s">
        <v>815</v>
      </c>
      <c r="C1092" s="3">
        <f>+$C$1090+$G$1091</f>
        <v>56703.119999999995</v>
      </c>
      <c r="D1092" s="83"/>
      <c r="E1092" s="4"/>
      <c r="F1092" s="4">
        <f>IF(C1092&gt;0,VLOOKUP(C1092,'ALIGNMENT TRACK'!$A$1:$K$81,9,1))</f>
        <v>0</v>
      </c>
      <c r="G1092" s="6"/>
      <c r="H1092" s="449" t="s">
        <v>121</v>
      </c>
      <c r="I1092" s="4" t="s">
        <v>122</v>
      </c>
      <c r="J1092" s="3"/>
      <c r="K1092" s="449"/>
      <c r="L1092" s="449" t="s">
        <v>151</v>
      </c>
      <c r="M1092" s="449" t="str">
        <f>IF(L1092="","",
IF(AX1092="PT",VLOOKUP(L1092,Foundation_Calc!$V$79:$X$113,VLOOKUP(AX1092,Foundation_Calc!$I$10:$J$13,2,FALSE),0),
IF(AX1092="K",VLOOKUP(L1092,Foundation_Calc!$V$117:$X$151,VLOOKUP(AX1092,Foundation_Calc!$I$10:$J$13,2,FALSE),0),"")))</f>
        <v>C4R</v>
      </c>
      <c r="N1092" s="449" t="s">
        <v>134</v>
      </c>
      <c r="O1092" s="449"/>
      <c r="P1092" s="449"/>
      <c r="Q1092" s="4"/>
      <c r="R1092" s="6"/>
      <c r="S1092" s="6"/>
      <c r="T1092" s="4">
        <v>25</v>
      </c>
      <c r="U1092" s="4"/>
      <c r="V1092" s="4"/>
      <c r="W1092" s="9">
        <v>1.4</v>
      </c>
      <c r="X1092" s="9"/>
      <c r="Y1092" s="9"/>
      <c r="Z1092" s="9"/>
      <c r="AA1092" s="9"/>
      <c r="AB1092" s="9"/>
      <c r="AC1092" s="449" t="str">
        <f t="shared" si="122"/>
        <v>PH</v>
      </c>
      <c r="AD1092" s="449"/>
      <c r="AE1092" s="449"/>
      <c r="AF1092" s="4"/>
      <c r="AG1092" s="83"/>
      <c r="AH1092" s="4"/>
      <c r="AI1092" s="4"/>
      <c r="AJ1092" s="449"/>
      <c r="AK1092" s="449"/>
      <c r="AL1092" s="449"/>
      <c r="AM1092" s="449" t="s">
        <v>126</v>
      </c>
      <c r="AN1092" s="10">
        <v>5.5</v>
      </c>
      <c r="AO1092" s="9"/>
      <c r="AP1092" s="9"/>
      <c r="AQ1092" s="9"/>
      <c r="AR1092" s="9"/>
      <c r="AS1092" s="9"/>
      <c r="AT1092" s="9">
        <f>+ab($T$1092,$T$1090,$T$1094,$G$1091,$G$1093,-1*$F$1092,1200)</f>
        <v>11.73059750495942</v>
      </c>
      <c r="AU1092" s="428"/>
      <c r="AV1092" s="428"/>
      <c r="AW1092" s="449" t="str">
        <f>IF(C1092&gt;0,VLOOKUP(C1092,Foundation_Calc!$A$2:$C$13,3,1),
IF(J1092&gt;0,VLOOKUP(J1092,Foundation_Calc!$A$2:$C$13,3,1),""))</f>
        <v>Multi Soil</v>
      </c>
      <c r="AX1092" s="449" t="str">
        <f>IF(C1092&gt;0,VLOOKUP(C1092,Foundation_Calc!$E$2:$G$33,3,1),
IF(J1092&gt;0,VLOOKUP(J1092,Foundation_Calc!$E$2:$G$33,3,1),""))</f>
        <v>PT</v>
      </c>
      <c r="AY1092" s="10">
        <f>IF(L1092="","",
IF(AX1092="PT",VLOOKUP(L1092,Foundation_Calc!$K$79:$R$113,VLOOKUP(AW1092,Foundation_Calc!$I$2:$J$8,2,FALSE),0),
IF(AX1092="K",VLOOKUP(L1092,Foundation_Calc!$K$117:$R$151,VLOOKUP(AW1092,Foundation_Calc!$I$2:$J$8,2,FALSE),0),"")))</f>
        <v>3.5</v>
      </c>
      <c r="AZ1092" s="10" t="str">
        <f>IF(K1092="","",
IF(AX1092="PT",VLOOKUP(K1092,Foundation_Calc!$K$79:$R$113,VLOOKUP(AW1092,Foundation_Calc!$I$2:$J$8,2,FALSE),0),
IF(AX1092="K",VLOOKUP(K1092,Foundation_Calc!$K$117:$R$151,VLOOKUP(AW1092,Foundation_Calc!$I$2:$J$8,2,FALSE),0),"")))</f>
        <v/>
      </c>
      <c r="BA1092" s="495" t="str">
        <f t="shared" si="123"/>
        <v>ü</v>
      </c>
      <c r="BB1092" s="495" t="str">
        <f t="shared" si="124"/>
        <v/>
      </c>
      <c r="BC1092" s="495" t="str">
        <f t="shared" si="125"/>
        <v/>
      </c>
      <c r="BD1092" s="513" t="str">
        <f>IF(AND(L1092="",H1092=""),"",
IF(H1092="",Pole_Calc!A$9,
IF(H1092="MP",Pole_Calc!A$10,
IF(H1092="AnMP",Pole_Calc!A$11,
IF(H1092="A",Pole_Calc!A$12,
IF(H1092="S/A",Pole_Calc!A$13,
IF(H1092="A/S",Pole_Calc!A$14,"Poner a mano")))))))</f>
        <v>App.7-V11I-P9.5.1.6</v>
      </c>
      <c r="BE1092" s="429" t="s">
        <v>118</v>
      </c>
      <c r="BF1092" s="289"/>
      <c r="BG1092" s="289"/>
      <c r="BH1092" s="290"/>
      <c r="BI1092" s="289"/>
    </row>
    <row r="1093" spans="1:61" ht="15.6" customHeight="1">
      <c r="A1093" s="518"/>
      <c r="B1093" s="450"/>
      <c r="C1093" s="3"/>
      <c r="D1093" s="83"/>
      <c r="E1093" s="4"/>
      <c r="F1093" s="4"/>
      <c r="G1093" s="6">
        <v>62</v>
      </c>
      <c r="H1093" s="449"/>
      <c r="I1093" s="4"/>
      <c r="J1093" s="3">
        <f>C1092+7.5</f>
        <v>56710.619999999995</v>
      </c>
      <c r="K1093" s="449" t="s">
        <v>117</v>
      </c>
      <c r="L1093" s="449"/>
      <c r="M1093" s="449" t="str">
        <f>IF(L1093="","",
IF(AX1093="PT",VLOOKUP(L1093,Foundation_Calc!$V$79:$X$113,VLOOKUP(AX1093,Foundation_Calc!$I$10:$J$13,2,FALSE),0),
IF(AX1093="K",VLOOKUP(L1093,Foundation_Calc!$V$117:$X$151,VLOOKUP(AX1093,Foundation_Calc!$I$10:$J$13,2,FALSE),0),"")))</f>
        <v/>
      </c>
      <c r="N1093" s="561"/>
      <c r="O1093" s="449"/>
      <c r="P1093" s="449"/>
      <c r="Q1093" s="4"/>
      <c r="R1093" s="6"/>
      <c r="S1093" s="6"/>
      <c r="T1093" s="4"/>
      <c r="U1093" s="4"/>
      <c r="V1093" s="4"/>
      <c r="W1093" s="9"/>
      <c r="X1093" s="9"/>
      <c r="Y1093" s="9"/>
      <c r="Z1093" s="9"/>
      <c r="AA1093" s="9"/>
      <c r="AB1093" s="9"/>
      <c r="AC1093" s="449" t="str">
        <f t="shared" si="122"/>
        <v/>
      </c>
      <c r="AD1093" s="449"/>
      <c r="AE1093" s="449"/>
      <c r="AF1093" s="4"/>
      <c r="AG1093" s="83"/>
      <c r="AH1093" s="4"/>
      <c r="AI1093" s="4"/>
      <c r="AJ1093" s="449"/>
      <c r="AK1093" s="449"/>
      <c r="AL1093" s="449"/>
      <c r="AM1093" s="449"/>
      <c r="AN1093" s="10"/>
      <c r="AO1093" s="9"/>
      <c r="AP1093" s="9"/>
      <c r="AQ1093" s="9">
        <f>+FL_2($T$1094,$T$1092,$G$1093,1200,9.28,-1*$F$1094)</f>
        <v>-0.48213781079569884</v>
      </c>
      <c r="AR1093" s="9"/>
      <c r="AS1093" s="9"/>
      <c r="AT1093" s="9"/>
      <c r="AU1093" s="428"/>
      <c r="AV1093" s="428"/>
      <c r="AW1093" s="449" t="str">
        <f>IF(C1093&gt;0,VLOOKUP(C1093,Foundation_Calc!$A$2:$C$13,3,1),
IF(J1093&gt;0,VLOOKUP(J1093,Foundation_Calc!$A$2:$C$13,3,1),""))</f>
        <v>Multi Soil</v>
      </c>
      <c r="AX1093" s="449" t="str">
        <f>IF(C1093&gt;0,VLOOKUP(C1093,Foundation_Calc!$E$2:$G$33,3,1),
IF(J1093&gt;0,VLOOKUP(J1093,Foundation_Calc!$E$2:$G$33,3,1),""))</f>
        <v>PT</v>
      </c>
      <c r="AY1093" s="10" t="str">
        <f>IF(L1093="","",
IF(AX1093="PT",VLOOKUP(L1093,Foundation_Calc!$K$79:$R$113,VLOOKUP(AW1093,Foundation_Calc!$I$2:$J$8,2,FALSE),0),
IF(AX1093="K",VLOOKUP(L1093,Foundation_Calc!$K$117:$R$151,VLOOKUP(AW1093,Foundation_Calc!$I$2:$J$8,2,FALSE),0),"")))</f>
        <v/>
      </c>
      <c r="AZ1093" s="10">
        <f>IF(K1093="","",
IF(AX1093="PT",VLOOKUP(K1093,Foundation_Calc!$K$79:$R$113,VLOOKUP(AW1093,Foundation_Calc!$I$2:$J$8,2,FALSE),0),
IF(AX1093="K",VLOOKUP(K1093,Foundation_Calc!$K$117:$R$151,VLOOKUP(AW1093,Foundation_Calc!$I$2:$J$8,2,FALSE),0),"")))</f>
        <v>3.9</v>
      </c>
      <c r="BA1093" s="495" t="str">
        <f t="shared" si="123"/>
        <v/>
      </c>
      <c r="BB1093" s="495" t="str">
        <f t="shared" si="124"/>
        <v>ü</v>
      </c>
      <c r="BC1093" s="495" t="str">
        <f t="shared" si="125"/>
        <v/>
      </c>
      <c r="BD1093" s="513" t="str">
        <f>IF(AND(L1093="",H1093=""),"",
IF(H1093="",Pole_Calc!A$9,
IF(H1093="MP",Pole_Calc!A$10,
IF(H1093="AnMP",Pole_Calc!A$11,
IF(H1093="A",Pole_Calc!A$12,
IF(H1093="S/A",Pole_Calc!A$13,
IF(H1093="A/S",Pole_Calc!A$14,"Poner a mano")))))))</f>
        <v/>
      </c>
      <c r="BE1093" s="429" t="s">
        <v>118</v>
      </c>
      <c r="BF1093" s="290"/>
      <c r="BG1093" s="290"/>
      <c r="BH1093" s="290"/>
      <c r="BI1093" s="290"/>
    </row>
    <row r="1094" spans="1:61" ht="15.6" customHeight="1">
      <c r="A1094" s="514"/>
      <c r="B1094" s="450" t="s">
        <v>816</v>
      </c>
      <c r="C1094" s="3">
        <f>+$C$1092+$G$1093</f>
        <v>56765.119999999995</v>
      </c>
      <c r="D1094" s="83"/>
      <c r="E1094" s="4"/>
      <c r="F1094" s="4">
        <f>IF(C1094&gt;0,VLOOKUP(C1094,'ALIGNMENT TRACK'!$A$1:$K$81,9,1))</f>
        <v>0</v>
      </c>
      <c r="G1094" s="6"/>
      <c r="H1094" s="449"/>
      <c r="I1094" s="4"/>
      <c r="J1094" s="3"/>
      <c r="K1094" s="449"/>
      <c r="L1094" s="449" t="s">
        <v>153</v>
      </c>
      <c r="M1094" s="449" t="str">
        <f>IF(L1094="","",
IF(AX1094="PT",VLOOKUP(L1094,Foundation_Calc!$V$79:$X$113,VLOOKUP(AX1094,Foundation_Calc!$I$10:$J$13,2,FALSE),0),
IF(AX1094="K",VLOOKUP(L1094,Foundation_Calc!$V$117:$X$151,VLOOKUP(AX1094,Foundation_Calc!$I$10:$J$13,2,FALSE),0),"")))</f>
        <v>C3R</v>
      </c>
      <c r="N1094" s="449" t="s">
        <v>124</v>
      </c>
      <c r="O1094" s="449"/>
      <c r="P1094" s="449"/>
      <c r="Q1094" s="4"/>
      <c r="R1094" s="6"/>
      <c r="S1094" s="6"/>
      <c r="T1094" s="4">
        <v>-35</v>
      </c>
      <c r="U1094" s="4"/>
      <c r="V1094" s="4"/>
      <c r="W1094" s="9">
        <v>1.4</v>
      </c>
      <c r="X1094" s="9"/>
      <c r="Y1094" s="9"/>
      <c r="Z1094" s="9"/>
      <c r="AA1094" s="9"/>
      <c r="AB1094" s="9"/>
      <c r="AC1094" s="449" t="str">
        <f t="shared" si="122"/>
        <v>PH</v>
      </c>
      <c r="AD1094" s="449"/>
      <c r="AE1094" s="449"/>
      <c r="AF1094" s="4"/>
      <c r="AG1094" s="83"/>
      <c r="AH1094" s="4"/>
      <c r="AI1094" s="4"/>
      <c r="AJ1094" s="449"/>
      <c r="AK1094" s="449"/>
      <c r="AL1094" s="449"/>
      <c r="AM1094" s="449" t="s">
        <v>126</v>
      </c>
      <c r="AN1094" s="10">
        <v>5.5</v>
      </c>
      <c r="AO1094" s="9"/>
      <c r="AP1094" s="9"/>
      <c r="AQ1094" s="9"/>
      <c r="AR1094" s="9"/>
      <c r="AS1094" s="9"/>
      <c r="AT1094" s="9">
        <f>+ab($T$1094,$T$1092,$T$1096,$G$1093,$G$1095,-1*$F$1094,1200)</f>
        <v>-8.917746897143827</v>
      </c>
      <c r="AU1094" s="428"/>
      <c r="AV1094" s="428"/>
      <c r="AW1094" s="449" t="str">
        <f>IF(C1094&gt;0,VLOOKUP(C1094,Foundation_Calc!$A$2:$C$13,3,1),
IF(J1094&gt;0,VLOOKUP(J1094,Foundation_Calc!$A$2:$C$13,3,1),""))</f>
        <v>Multi Soil</v>
      </c>
      <c r="AX1094" s="449" t="str">
        <f>IF(C1094&gt;0,VLOOKUP(C1094,Foundation_Calc!$E$2:$G$33,3,1),
IF(J1094&gt;0,VLOOKUP(J1094,Foundation_Calc!$E$2:$G$33,3,1),""))</f>
        <v>PT</v>
      </c>
      <c r="AY1094" s="10">
        <f>IF(L1094="","",
IF(AX1094="PT",VLOOKUP(L1094,Foundation_Calc!$K$79:$R$113,VLOOKUP(AW1094,Foundation_Calc!$I$2:$J$8,2,FALSE),0),
IF(AX1094="K",VLOOKUP(L1094,Foundation_Calc!$K$117:$R$151,VLOOKUP(AW1094,Foundation_Calc!$I$2:$J$8,2,FALSE),0),"")))</f>
        <v>3.5</v>
      </c>
      <c r="AZ1094" s="10" t="str">
        <f>IF(K1094="","",
IF(AX1094="PT",VLOOKUP(K1094,Foundation_Calc!$K$79:$R$113,VLOOKUP(AW1094,Foundation_Calc!$I$2:$J$8,2,FALSE),0),
IF(AX1094="K",VLOOKUP(K1094,Foundation_Calc!$K$117:$R$151,VLOOKUP(AW1094,Foundation_Calc!$I$2:$J$8,2,FALSE),0),"")))</f>
        <v/>
      </c>
      <c r="BA1094" s="495" t="str">
        <f t="shared" si="123"/>
        <v>ü</v>
      </c>
      <c r="BB1094" s="495" t="str">
        <f t="shared" si="124"/>
        <v/>
      </c>
      <c r="BC1094" s="495" t="str">
        <f t="shared" si="125"/>
        <v/>
      </c>
      <c r="BD1094" s="513" t="str">
        <f>IF(AND(L1094="",H1094=""),"",
IF(H1094="",Pole_Calc!A$9,
IF(H1094="MP",Pole_Calc!A$10,
IF(H1094="AnMP",Pole_Calc!A$11,
IF(H1094="A",Pole_Calc!A$12,
IF(H1094="S/A",Pole_Calc!A$13,
IF(H1094="A/S",Pole_Calc!A$14,"Poner a mano")))))))</f>
        <v>App.7-V11I-P9.5.1.1</v>
      </c>
      <c r="BE1094" s="429" t="s">
        <v>118</v>
      </c>
      <c r="BF1094" s="289"/>
      <c r="BG1094" s="289"/>
      <c r="BH1094" s="290"/>
      <c r="BI1094" s="289"/>
    </row>
    <row r="1095" spans="1:61" ht="15.6" customHeight="1">
      <c r="A1095" s="514"/>
      <c r="B1095" s="450"/>
      <c r="C1095" s="3"/>
      <c r="D1095" s="83"/>
      <c r="E1095" s="4"/>
      <c r="F1095" s="4"/>
      <c r="G1095" s="6">
        <v>60</v>
      </c>
      <c r="H1095" s="449"/>
      <c r="I1095" s="4"/>
      <c r="J1095" s="3"/>
      <c r="K1095" s="449"/>
      <c r="L1095" s="449"/>
      <c r="M1095" s="449" t="str">
        <f>IF(L1095="","",
IF(AX1095="PT",VLOOKUP(L1095,Foundation_Calc!$V$79:$X$113,VLOOKUP(AX1095,Foundation_Calc!$I$10:$J$13,2,FALSE),0),
IF(AX1095="K",VLOOKUP(L1095,Foundation_Calc!$V$117:$X$151,VLOOKUP(AX1095,Foundation_Calc!$I$10:$J$13,2,FALSE),0),"")))</f>
        <v/>
      </c>
      <c r="N1095" s="449"/>
      <c r="O1095" s="449"/>
      <c r="P1095" s="449"/>
      <c r="Q1095" s="4"/>
      <c r="R1095" s="6"/>
      <c r="S1095" s="6"/>
      <c r="T1095" s="4"/>
      <c r="U1095" s="4"/>
      <c r="V1095" s="4"/>
      <c r="W1095" s="9"/>
      <c r="X1095" s="9"/>
      <c r="Y1095" s="9"/>
      <c r="Z1095" s="9"/>
      <c r="AA1095" s="9"/>
      <c r="AB1095" s="9"/>
      <c r="AC1095" s="449" t="str">
        <f t="shared" si="122"/>
        <v/>
      </c>
      <c r="AD1095" s="449"/>
      <c r="AE1095" s="449"/>
      <c r="AF1095" s="4"/>
      <c r="AG1095" s="83"/>
      <c r="AH1095" s="4"/>
      <c r="AI1095" s="4"/>
      <c r="AJ1095" s="449"/>
      <c r="AK1095" s="449"/>
      <c r="AL1095" s="449"/>
      <c r="AM1095" s="449"/>
      <c r="AN1095" s="10"/>
      <c r="AO1095" s="9"/>
      <c r="AP1095" s="9"/>
      <c r="AQ1095" s="9">
        <f>+FL_1($T$1096,$T$1094,$G$1095,1200,9.28,-1*$F$1096)</f>
        <v>0.43600286799999999</v>
      </c>
      <c r="AR1095" s="9"/>
      <c r="AS1095" s="9"/>
      <c r="AT1095" s="9"/>
      <c r="AU1095" s="428"/>
      <c r="AV1095" s="428"/>
      <c r="AW1095" s="449" t="str">
        <f>IF(C1095&gt;0,VLOOKUP(C1095,Foundation_Calc!$A$2:$C$13,3,1),
IF(J1095&gt;0,VLOOKUP(J1095,Foundation_Calc!$A$2:$C$13,3,1),""))</f>
        <v/>
      </c>
      <c r="AX1095" s="449" t="str">
        <f>IF(C1095&gt;0,VLOOKUP(C1095,Foundation_Calc!$E$2:$G$33,3,1),
IF(J1095&gt;0,VLOOKUP(J1095,Foundation_Calc!$E$2:$G$33,3,1),""))</f>
        <v/>
      </c>
      <c r="AY1095" s="10" t="str">
        <f>IF(L1095="","",
IF(AX1095="PT",VLOOKUP(L1095,Foundation_Calc!$K$79:$R$113,VLOOKUP(AW1095,Foundation_Calc!$I$2:$J$8,2,FALSE),0),
IF(AX1095="K",VLOOKUP(L1095,Foundation_Calc!$K$117:$R$151,VLOOKUP(AW1095,Foundation_Calc!$I$2:$J$8,2,FALSE),0),"")))</f>
        <v/>
      </c>
      <c r="AZ1095" s="10" t="str">
        <f>IF(K1095="","",
IF(AX1095="PT",VLOOKUP(K1095,Foundation_Calc!$K$79:$R$113,VLOOKUP(AW1095,Foundation_Calc!$I$2:$J$8,2,FALSE),0),
IF(AX1095="K",VLOOKUP(K1095,Foundation_Calc!$K$117:$R$151,VLOOKUP(AW1095,Foundation_Calc!$I$2:$J$8,2,FALSE),0),"")))</f>
        <v/>
      </c>
      <c r="BA1095" s="495" t="str">
        <f t="shared" si="123"/>
        <v/>
      </c>
      <c r="BB1095" s="495" t="str">
        <f t="shared" si="124"/>
        <v/>
      </c>
      <c r="BC1095" s="495" t="str">
        <f t="shared" si="125"/>
        <v/>
      </c>
      <c r="BD1095" s="513" t="str">
        <f>IF(AND(L1095="",H1095=""),"",
IF(H1095="",Pole_Calc!A$9,
IF(H1095="MP",Pole_Calc!A$10,
IF(H1095="AnMP",Pole_Calc!A$11,
IF(H1095="A",Pole_Calc!A$12,
IF(H1095="S/A",Pole_Calc!A$13,
IF(H1095="A/S",Pole_Calc!A$14,"Poner a mano")))))))</f>
        <v/>
      </c>
      <c r="BE1095" s="429" t="s">
        <v>118</v>
      </c>
      <c r="BF1095" s="290"/>
      <c r="BG1095" s="290"/>
      <c r="BH1095" s="290"/>
      <c r="BI1095" s="290"/>
    </row>
    <row r="1096" spans="1:61" ht="15.6" customHeight="1">
      <c r="A1096" s="514"/>
      <c r="B1096" s="450" t="s">
        <v>817</v>
      </c>
      <c r="C1096" s="3">
        <f>+$C$1094+$G$1095</f>
        <v>56825.119999999995</v>
      </c>
      <c r="D1096" s="83"/>
      <c r="E1096" s="4"/>
      <c r="F1096" s="4">
        <f>IF(C1096&gt;0,VLOOKUP(C1096,'ALIGNMENT TRACK'!$A$1:$K$81,9,1))</f>
        <v>0</v>
      </c>
      <c r="G1096" s="6"/>
      <c r="H1096" s="449"/>
      <c r="I1096" s="4"/>
      <c r="J1096" s="3"/>
      <c r="K1096" s="449"/>
      <c r="L1096" s="449" t="s">
        <v>153</v>
      </c>
      <c r="M1096" s="449" t="str">
        <f>IF(L1096="","",
IF(AX1096="PT",VLOOKUP(L1096,Foundation_Calc!$V$79:$X$113,VLOOKUP(AX1096,Foundation_Calc!$I$10:$J$13,2,FALSE),0),
IF(AX1096="K",VLOOKUP(L1096,Foundation_Calc!$V$117:$X$151,VLOOKUP(AX1096,Foundation_Calc!$I$10:$J$13,2,FALSE),0),"")))</f>
        <v>C3R</v>
      </c>
      <c r="N1096" s="449" t="s">
        <v>134</v>
      </c>
      <c r="O1096" s="449"/>
      <c r="P1096" s="449"/>
      <c r="Q1096" s="4"/>
      <c r="R1096" s="6"/>
      <c r="S1096" s="6"/>
      <c r="T1096" s="4">
        <v>35</v>
      </c>
      <c r="U1096" s="4"/>
      <c r="V1096" s="4"/>
      <c r="W1096" s="9">
        <v>1.4</v>
      </c>
      <c r="X1096" s="9"/>
      <c r="Y1096" s="9"/>
      <c r="Z1096" s="9"/>
      <c r="AA1096" s="9"/>
      <c r="AB1096" s="9"/>
      <c r="AC1096" s="449" t="str">
        <f t="shared" si="122"/>
        <v>PHQ</v>
      </c>
      <c r="AD1096" s="449"/>
      <c r="AE1096" s="449"/>
      <c r="AF1096" s="4"/>
      <c r="AG1096" s="83"/>
      <c r="AH1096" s="4"/>
      <c r="AI1096" s="4"/>
      <c r="AJ1096" s="449"/>
      <c r="AK1096" s="449"/>
      <c r="AL1096" s="449"/>
      <c r="AM1096" s="449" t="s">
        <v>126</v>
      </c>
      <c r="AN1096" s="10">
        <v>5.5</v>
      </c>
      <c r="AO1096" s="9"/>
      <c r="AP1096" s="9"/>
      <c r="AQ1096" s="9"/>
      <c r="AR1096" s="9"/>
      <c r="AS1096" s="9"/>
      <c r="AT1096" s="9">
        <f>+ab($T$1096,$T$1094,$T$1098,$G$1095,$G$1097,-1*$F$1096,1200)</f>
        <v>7.8175137683875535</v>
      </c>
      <c r="AU1096" s="428"/>
      <c r="AV1096" s="428"/>
      <c r="AW1096" s="449" t="str">
        <f>IF(C1096&gt;0,VLOOKUP(C1096,Foundation_Calc!$A$2:$C$13,3,1),
IF(J1096&gt;0,VLOOKUP(J1096,Foundation_Calc!$A$2:$C$13,3,1),""))</f>
        <v>Multi Soil</v>
      </c>
      <c r="AX1096" s="449" t="str">
        <f>IF(C1096&gt;0,VLOOKUP(C1096,Foundation_Calc!$E$2:$G$33,3,1),
IF(J1096&gt;0,VLOOKUP(J1096,Foundation_Calc!$E$2:$G$33,3,1),""))</f>
        <v>PT</v>
      </c>
      <c r="AY1096" s="10">
        <f>IF(L1096="","",
IF(AX1096="PT",VLOOKUP(L1096,Foundation_Calc!$K$79:$R$113,VLOOKUP(AW1096,Foundation_Calc!$I$2:$J$8,2,FALSE),0),
IF(AX1096="K",VLOOKUP(L1096,Foundation_Calc!$K$117:$R$151,VLOOKUP(AW1096,Foundation_Calc!$I$2:$J$8,2,FALSE),0),"")))</f>
        <v>3.5</v>
      </c>
      <c r="AZ1096" s="10" t="str">
        <f>IF(K1096="","",
IF(AX1096="PT",VLOOKUP(K1096,Foundation_Calc!$K$79:$R$113,VLOOKUP(AW1096,Foundation_Calc!$I$2:$J$8,2,FALSE),0),
IF(AX1096="K",VLOOKUP(K1096,Foundation_Calc!$K$117:$R$151,VLOOKUP(AW1096,Foundation_Calc!$I$2:$J$8,2,FALSE),0),"")))</f>
        <v/>
      </c>
      <c r="BA1096" s="495" t="str">
        <f t="shared" si="123"/>
        <v>ü</v>
      </c>
      <c r="BB1096" s="495" t="str">
        <f t="shared" si="124"/>
        <v/>
      </c>
      <c r="BC1096" s="495" t="str">
        <f t="shared" si="125"/>
        <v/>
      </c>
      <c r="BD1096" s="513" t="str">
        <f>IF(AND(L1096="",H1096=""),"",
IF(H1096="",Pole_Calc!A$9,
IF(H1096="MP",Pole_Calc!A$10,
IF(H1096="AnMP",Pole_Calc!A$11,
IF(H1096="A",Pole_Calc!A$12,
IF(H1096="S/A",Pole_Calc!A$13,
IF(H1096="A/S",Pole_Calc!A$14,"Poner a mano")))))))</f>
        <v>App.7-V11I-P9.5.1.1</v>
      </c>
      <c r="BE1096" s="429" t="s">
        <v>118</v>
      </c>
      <c r="BF1096" s="289"/>
      <c r="BG1096" s="289"/>
      <c r="BH1096" s="290"/>
      <c r="BI1096" s="289"/>
    </row>
    <row r="1097" spans="1:61" ht="15.6" customHeight="1">
      <c r="A1097" s="514"/>
      <c r="B1097" s="450"/>
      <c r="C1097" s="3"/>
      <c r="D1097" s="83"/>
      <c r="E1097" s="4"/>
      <c r="F1097" s="4"/>
      <c r="G1097" s="6">
        <v>55</v>
      </c>
      <c r="H1097" s="449"/>
      <c r="I1097" s="4"/>
      <c r="J1097" s="3"/>
      <c r="K1097" s="449"/>
      <c r="L1097" s="449"/>
      <c r="M1097" s="449" t="str">
        <f>IF(L1097="","",
IF(AX1097="PT",VLOOKUP(L1097,Foundation_Calc!$V$79:$X$113,VLOOKUP(AX1097,Foundation_Calc!$I$10:$J$13,2,FALSE),0),
IF(AX1097="K",VLOOKUP(L1097,Foundation_Calc!$V$117:$X$151,VLOOKUP(AX1097,Foundation_Calc!$I$10:$J$13,2,FALSE),0),"")))</f>
        <v/>
      </c>
      <c r="N1097" s="449"/>
      <c r="O1097" s="449"/>
      <c r="P1097" s="449"/>
      <c r="Q1097" s="4"/>
      <c r="R1097" s="6"/>
      <c r="S1097" s="6"/>
      <c r="T1097" s="4"/>
      <c r="U1097" s="4"/>
      <c r="V1097" s="4"/>
      <c r="W1097" s="9"/>
      <c r="X1097" s="9"/>
      <c r="Y1097" s="9"/>
      <c r="Z1097" s="9"/>
      <c r="AA1097" s="9"/>
      <c r="AB1097" s="9"/>
      <c r="AC1097" s="449" t="str">
        <f t="shared" si="122"/>
        <v/>
      </c>
      <c r="AD1097" s="449"/>
      <c r="AE1097" s="449"/>
      <c r="AF1097" s="4"/>
      <c r="AG1097" s="83"/>
      <c r="AH1097" s="4"/>
      <c r="AI1097" s="4"/>
      <c r="AJ1097" s="449"/>
      <c r="AK1097" s="449"/>
      <c r="AL1097" s="449"/>
      <c r="AM1097" s="449"/>
      <c r="AN1097" s="10"/>
      <c r="AO1097" s="9"/>
      <c r="AP1097" s="9"/>
      <c r="AQ1097" s="9">
        <f>+FL_1($T$1098,$T$1096,$G$1097,1200,9.28,-1*$F$1098)</f>
        <v>0.39714735709090898</v>
      </c>
      <c r="AR1097" s="9"/>
      <c r="AS1097" s="9"/>
      <c r="AT1097" s="9"/>
      <c r="AU1097" s="428"/>
      <c r="AV1097" s="428"/>
      <c r="AW1097" s="449" t="str">
        <f>IF(C1097&gt;0,VLOOKUP(C1097,Foundation_Calc!$A$2:$C$13,3,1),
IF(J1097&gt;0,VLOOKUP(J1097,Foundation_Calc!$A$2:$C$13,3,1),""))</f>
        <v/>
      </c>
      <c r="AX1097" s="449" t="str">
        <f>IF(C1097&gt;0,VLOOKUP(C1097,Foundation_Calc!$E$2:$G$33,3,1),
IF(J1097&gt;0,VLOOKUP(J1097,Foundation_Calc!$E$2:$G$33,3,1),""))</f>
        <v/>
      </c>
      <c r="AY1097" s="10" t="str">
        <f>IF(L1097="","",
IF(AX1097="PT",VLOOKUP(L1097,Foundation_Calc!$K$79:$R$113,VLOOKUP(AW1097,Foundation_Calc!$I$2:$J$8,2,FALSE),0),
IF(AX1097="K",VLOOKUP(L1097,Foundation_Calc!$K$117:$R$151,VLOOKUP(AW1097,Foundation_Calc!$I$2:$J$8,2,FALSE),0),"")))</f>
        <v/>
      </c>
      <c r="AZ1097" s="10" t="str">
        <f>IF(K1097="","",
IF(AX1097="PT",VLOOKUP(K1097,Foundation_Calc!$K$79:$R$113,VLOOKUP(AW1097,Foundation_Calc!$I$2:$J$8,2,FALSE),0),
IF(AX1097="K",VLOOKUP(K1097,Foundation_Calc!$K$117:$R$151,VLOOKUP(AW1097,Foundation_Calc!$I$2:$J$8,2,FALSE),0),"")))</f>
        <v/>
      </c>
      <c r="BA1097" s="495" t="str">
        <f t="shared" si="123"/>
        <v/>
      </c>
      <c r="BB1097" s="495" t="str">
        <f t="shared" si="124"/>
        <v/>
      </c>
      <c r="BC1097" s="495" t="str">
        <f t="shared" si="125"/>
        <v/>
      </c>
      <c r="BD1097" s="513" t="str">
        <f>IF(AND(L1097="",H1097=""),"",
IF(H1097="",Pole_Calc!A$9,
IF(H1097="MP",Pole_Calc!A$10,
IF(H1097="AnMP",Pole_Calc!A$11,
IF(H1097="A",Pole_Calc!A$12,
IF(H1097="S/A",Pole_Calc!A$13,
IF(H1097="A/S",Pole_Calc!A$14,"Poner a mano")))))))</f>
        <v/>
      </c>
      <c r="BE1097" s="429" t="s">
        <v>118</v>
      </c>
      <c r="BF1097" s="290"/>
      <c r="BG1097" s="290"/>
      <c r="BH1097" s="290"/>
      <c r="BI1097" s="290"/>
    </row>
    <row r="1098" spans="1:61" ht="15.6" customHeight="1">
      <c r="A1098" s="518"/>
      <c r="B1098" s="450" t="s">
        <v>818</v>
      </c>
      <c r="C1098" s="3">
        <f>+$C$1096+$G$1097</f>
        <v>56880.119999999995</v>
      </c>
      <c r="D1098" s="83"/>
      <c r="E1098" s="4"/>
      <c r="F1098" s="4">
        <f>IF(C1098&gt;0,VLOOKUP(C1098,'ALIGNMENT TRACK'!$A$1:$K$81,9,1))</f>
        <v>0</v>
      </c>
      <c r="G1098" s="6"/>
      <c r="H1098" s="449"/>
      <c r="I1098" s="4"/>
      <c r="J1098" s="3"/>
      <c r="K1098" s="449"/>
      <c r="L1098" s="449" t="s">
        <v>153</v>
      </c>
      <c r="M1098" s="449" t="str">
        <f>IF(L1098="","",
IF(AX1098="PT",VLOOKUP(L1098,Foundation_Calc!$V$79:$X$113,VLOOKUP(AX1098,Foundation_Calc!$I$10:$J$13,2,FALSE),0),
IF(AX1098="K",VLOOKUP(L1098,Foundation_Calc!$V$117:$X$151,VLOOKUP(AX1098,Foundation_Calc!$I$10:$J$13,2,FALSE),0),"")))</f>
        <v>C3R</v>
      </c>
      <c r="N1098" s="449" t="s">
        <v>124</v>
      </c>
      <c r="O1098" s="449"/>
      <c r="P1098" s="449"/>
      <c r="Q1098" s="4"/>
      <c r="R1098" s="6"/>
      <c r="S1098" s="6"/>
      <c r="T1098" s="4">
        <v>-35</v>
      </c>
      <c r="U1098" s="4"/>
      <c r="V1098" s="4"/>
      <c r="W1098" s="9">
        <v>1.4</v>
      </c>
      <c r="X1098" s="9"/>
      <c r="Y1098" s="9"/>
      <c r="Z1098" s="9"/>
      <c r="AA1098" s="9"/>
      <c r="AB1098" s="9"/>
      <c r="AC1098" s="449" t="str">
        <f t="shared" si="122"/>
        <v>PHQ</v>
      </c>
      <c r="AD1098" s="449"/>
      <c r="AE1098" s="449"/>
      <c r="AF1098" s="4"/>
      <c r="AG1098" s="83"/>
      <c r="AH1098" s="4"/>
      <c r="AI1098" s="4"/>
      <c r="AJ1098" s="449"/>
      <c r="AK1098" s="449"/>
      <c r="AL1098" s="449"/>
      <c r="AM1098" s="449" t="s">
        <v>126</v>
      </c>
      <c r="AN1098" s="10">
        <v>5.5</v>
      </c>
      <c r="AO1098" s="9"/>
      <c r="AP1098" s="9"/>
      <c r="AQ1098" s="9"/>
      <c r="AR1098" s="9"/>
      <c r="AS1098" s="9"/>
      <c r="AT1098" s="9">
        <f>+ab($T$1098,$T$1096,$T$1100,$G$1097,$G$1099,-1*$F$1098,1200)</f>
        <v>-7.9285784915288513</v>
      </c>
      <c r="AU1098" s="428"/>
      <c r="AV1098" s="428"/>
      <c r="AW1098" s="449" t="str">
        <f>IF(C1098&gt;0,VLOOKUP(C1098,Foundation_Calc!$A$2:$C$13,3,1),
IF(J1098&gt;0,VLOOKUP(J1098,Foundation_Calc!$A$2:$C$13,3,1),""))</f>
        <v>Multi Soil</v>
      </c>
      <c r="AX1098" s="449" t="str">
        <f>IF(C1098&gt;0,VLOOKUP(C1098,Foundation_Calc!$E$2:$G$33,3,1),
IF(J1098&gt;0,VLOOKUP(J1098,Foundation_Calc!$E$2:$G$33,3,1),""))</f>
        <v>PT</v>
      </c>
      <c r="AY1098" s="10">
        <f>IF(L1098="","",
IF(AX1098="PT",VLOOKUP(L1098,Foundation_Calc!$K$79:$R$113,VLOOKUP(AW1098,Foundation_Calc!$I$2:$J$8,2,FALSE),0),
IF(AX1098="K",VLOOKUP(L1098,Foundation_Calc!$K$117:$R$151,VLOOKUP(AW1098,Foundation_Calc!$I$2:$J$8,2,FALSE),0),"")))</f>
        <v>3.5</v>
      </c>
      <c r="AZ1098" s="10" t="str">
        <f>IF(K1098="","",
IF(AX1098="PT",VLOOKUP(K1098,Foundation_Calc!$K$79:$R$113,VLOOKUP(AW1098,Foundation_Calc!$I$2:$J$8,2,FALSE),0),
IF(AX1098="K",VLOOKUP(K1098,Foundation_Calc!$K$117:$R$151,VLOOKUP(AW1098,Foundation_Calc!$I$2:$J$8,2,FALSE),0),"")))</f>
        <v/>
      </c>
      <c r="BA1098" s="495" t="str">
        <f t="shared" si="123"/>
        <v>ü</v>
      </c>
      <c r="BB1098" s="495" t="str">
        <f t="shared" si="124"/>
        <v/>
      </c>
      <c r="BC1098" s="495" t="str">
        <f t="shared" si="125"/>
        <v/>
      </c>
      <c r="BD1098" s="513" t="str">
        <f>IF(AND(L1098="",H1098=""),"",
IF(H1098="",Pole_Calc!A$9,
IF(H1098="MP",Pole_Calc!A$10,
IF(H1098="AnMP",Pole_Calc!A$11,
IF(H1098="A",Pole_Calc!A$12,
IF(H1098="S/A",Pole_Calc!A$13,
IF(H1098="A/S",Pole_Calc!A$14,"Poner a mano")))))))</f>
        <v>App.7-V11I-P9.5.1.1</v>
      </c>
      <c r="BE1098" s="429" t="s">
        <v>118</v>
      </c>
      <c r="BF1098" s="289"/>
      <c r="BG1098" s="289"/>
      <c r="BH1098" s="290"/>
      <c r="BI1098" s="289"/>
    </row>
    <row r="1099" spans="1:61" ht="15.6" customHeight="1">
      <c r="A1099" s="518"/>
      <c r="B1099" s="450"/>
      <c r="C1099" s="3"/>
      <c r="D1099" s="83"/>
      <c r="E1099" s="4"/>
      <c r="F1099" s="4"/>
      <c r="G1099" s="6">
        <v>53</v>
      </c>
      <c r="H1099" s="449"/>
      <c r="I1099" s="4"/>
      <c r="J1099" s="3"/>
      <c r="K1099" s="449"/>
      <c r="L1099" s="449"/>
      <c r="M1099" s="449" t="str">
        <f>IF(L1099="","",
IF(AX1099="PT",VLOOKUP(L1099,Foundation_Calc!$V$79:$X$113,VLOOKUP(AX1099,Foundation_Calc!$I$10:$J$13,2,FALSE),0),
IF(AX1099="K",VLOOKUP(L1099,Foundation_Calc!$V$117:$X$151,VLOOKUP(AX1099,Foundation_Calc!$I$10:$J$13,2,FALSE),0),"")))</f>
        <v/>
      </c>
      <c r="N1099" s="561"/>
      <c r="O1099" s="449"/>
      <c r="P1099" s="449"/>
      <c r="Q1099" s="4"/>
      <c r="R1099" s="6"/>
      <c r="S1099" s="6"/>
      <c r="T1099" s="4"/>
      <c r="U1099" s="4"/>
      <c r="V1099" s="4"/>
      <c r="W1099" s="9"/>
      <c r="X1099" s="9"/>
      <c r="Y1099" s="9"/>
      <c r="Z1099" s="9"/>
      <c r="AA1099" s="9"/>
      <c r="AB1099" s="9"/>
      <c r="AC1099" s="449" t="str">
        <f t="shared" ref="AC1099:AC1162" si="126">IF(OR(AT1099&gt;8,AT1099&lt;-8),"PH",
IF(OR(AT1099&gt;5,AT1099&lt;-5),"PHQ",
IF(OR(AT1099&gt;1,AT1099&lt;-1),
"PHC","")))</f>
        <v/>
      </c>
      <c r="AD1099" s="449"/>
      <c r="AE1099" s="449"/>
      <c r="AF1099" s="4"/>
      <c r="AG1099" s="83"/>
      <c r="AH1099" s="4"/>
      <c r="AI1099" s="4"/>
      <c r="AJ1099" s="449"/>
      <c r="AK1099" s="449"/>
      <c r="AL1099" s="449"/>
      <c r="AM1099" s="449"/>
      <c r="AN1099" s="10"/>
      <c r="AO1099" s="9"/>
      <c r="AP1099" s="9"/>
      <c r="AQ1099" s="9">
        <f>+FL_2($T$1100,$T$1098,$G$1099,1200,9.28,-1*$F$1100)</f>
        <v>-0.43519938638814948</v>
      </c>
      <c r="AR1099" s="9"/>
      <c r="AS1099" s="9"/>
      <c r="AT1099" s="9"/>
      <c r="AU1099" s="428"/>
      <c r="AV1099" s="428"/>
      <c r="AW1099" s="449" t="str">
        <f>IF(C1099&gt;0,VLOOKUP(C1099,Foundation_Calc!$A$2:$C$13,3,1),
IF(J1099&gt;0,VLOOKUP(J1099,Foundation_Calc!$A$2:$C$13,3,1),""))</f>
        <v/>
      </c>
      <c r="AX1099" s="449" t="str">
        <f>IF(C1099&gt;0,VLOOKUP(C1099,Foundation_Calc!$E$2:$G$33,3,1),
IF(J1099&gt;0,VLOOKUP(J1099,Foundation_Calc!$E$2:$G$33,3,1),""))</f>
        <v/>
      </c>
      <c r="AY1099" s="10" t="str">
        <f>IF(L1099="","",
IF(AX1099="PT",VLOOKUP(L1099,Foundation_Calc!$K$79:$R$113,VLOOKUP(AW1099,Foundation_Calc!$I$2:$J$8,2,FALSE),0),
IF(AX1099="K",VLOOKUP(L1099,Foundation_Calc!$K$117:$R$151,VLOOKUP(AW1099,Foundation_Calc!$I$2:$J$8,2,FALSE),0),"")))</f>
        <v/>
      </c>
      <c r="AZ1099" s="10" t="str">
        <f>IF(K1099="","",
IF(AX1099="PT",VLOOKUP(K1099,Foundation_Calc!$K$79:$R$113,VLOOKUP(AW1099,Foundation_Calc!$I$2:$J$8,2,FALSE),0),
IF(AX1099="K",VLOOKUP(K1099,Foundation_Calc!$K$117:$R$151,VLOOKUP(AW1099,Foundation_Calc!$I$2:$J$8,2,FALSE),0),"")))</f>
        <v/>
      </c>
      <c r="BA1099" s="495" t="str">
        <f t="shared" si="123"/>
        <v/>
      </c>
      <c r="BB1099" s="495" t="str">
        <f t="shared" si="124"/>
        <v/>
      </c>
      <c r="BC1099" s="495" t="str">
        <f t="shared" si="125"/>
        <v/>
      </c>
      <c r="BD1099" s="513" t="str">
        <f>IF(AND(L1099="",H1099=""),"",
IF(H1099="",Pole_Calc!A$9,
IF(H1099="MP",Pole_Calc!A$10,
IF(H1099="AnMP",Pole_Calc!A$11,
IF(H1099="A",Pole_Calc!A$12,
IF(H1099="S/A",Pole_Calc!A$13,
IF(H1099="A/S",Pole_Calc!A$14,"Poner a mano")))))))</f>
        <v/>
      </c>
      <c r="BE1099" s="429" t="s">
        <v>118</v>
      </c>
      <c r="BF1099" s="290"/>
      <c r="BG1099" s="290"/>
      <c r="BH1099" s="290"/>
      <c r="BI1099" s="290"/>
    </row>
    <row r="1100" spans="1:61" ht="15.6" customHeight="1">
      <c r="A1100" s="514"/>
      <c r="B1100" s="450" t="s">
        <v>819</v>
      </c>
      <c r="C1100" s="3">
        <f>+$C$1098+$G$1099</f>
        <v>56933.119999999995</v>
      </c>
      <c r="D1100" s="83"/>
      <c r="E1100" s="4"/>
      <c r="F1100" s="4">
        <f>-(571^2)/(C1100-56894.24)</f>
        <v>-8385.8281893009771</v>
      </c>
      <c r="G1100" s="6"/>
      <c r="H1100" s="449"/>
      <c r="I1100" s="4"/>
      <c r="J1100" s="3"/>
      <c r="K1100" s="449"/>
      <c r="L1100" s="449" t="s">
        <v>153</v>
      </c>
      <c r="M1100" s="449" t="str">
        <f>IF(L1100="","",
IF(AX1100="PT",VLOOKUP(L1100,Foundation_Calc!$V$79:$X$113,VLOOKUP(AX1100,Foundation_Calc!$I$10:$J$13,2,FALSE),0),
IF(AX1100="K",VLOOKUP(L1100,Foundation_Calc!$V$117:$X$151,VLOOKUP(AX1100,Foundation_Calc!$I$10:$J$13,2,FALSE),0),"")))</f>
        <v>C3R</v>
      </c>
      <c r="N1100" s="449" t="s">
        <v>134</v>
      </c>
      <c r="O1100" s="449"/>
      <c r="P1100" s="449"/>
      <c r="Q1100" s="4"/>
      <c r="R1100" s="6"/>
      <c r="S1100" s="6"/>
      <c r="T1100" s="4">
        <v>25</v>
      </c>
      <c r="U1100" s="4"/>
      <c r="V1100" s="4"/>
      <c r="W1100" s="9">
        <v>1.4</v>
      </c>
      <c r="X1100" s="9"/>
      <c r="Y1100" s="9"/>
      <c r="Z1100" s="9"/>
      <c r="AA1100" s="9"/>
      <c r="AB1100" s="9"/>
      <c r="AC1100" s="449" t="str">
        <f t="shared" si="126"/>
        <v>PH</v>
      </c>
      <c r="AD1100" s="449"/>
      <c r="AE1100" s="449"/>
      <c r="AF1100" s="4"/>
      <c r="AG1100" s="83"/>
      <c r="AH1100" s="4"/>
      <c r="AI1100" s="4"/>
      <c r="AJ1100" s="449"/>
      <c r="AK1100" s="449"/>
      <c r="AL1100" s="449"/>
      <c r="AM1100" s="449" t="s">
        <v>126</v>
      </c>
      <c r="AN1100" s="10">
        <v>5.5</v>
      </c>
      <c r="AO1100" s="9"/>
      <c r="AP1100" s="9"/>
      <c r="AQ1100" s="9"/>
      <c r="AR1100" s="9"/>
      <c r="AS1100" s="9"/>
      <c r="AT1100" s="9">
        <f>+ab($T$1100,$T$1098,$T$1102,$G$1099,$G$1101,-1*$F$1100,1200)</f>
        <v>10.215852278498321</v>
      </c>
      <c r="AU1100" s="428"/>
      <c r="AV1100" s="428"/>
      <c r="AW1100" s="449" t="str">
        <f>IF(C1100&gt;0,VLOOKUP(C1100,Foundation_Calc!$A$2:$C$13,3,1),
IF(J1100&gt;0,VLOOKUP(J1100,Foundation_Calc!$A$2:$C$13,3,1),""))</f>
        <v>Multi Soil</v>
      </c>
      <c r="AX1100" s="449" t="str">
        <f>IF(C1100&gt;0,VLOOKUP(C1100,Foundation_Calc!$E$2:$G$33,3,1),
IF(J1100&gt;0,VLOOKUP(J1100,Foundation_Calc!$E$2:$G$33,3,1),""))</f>
        <v>PT</v>
      </c>
      <c r="AY1100" s="10">
        <f>IF(L1100="","",
IF(AX1100="PT",VLOOKUP(L1100,Foundation_Calc!$K$79:$R$113,VLOOKUP(AW1100,Foundation_Calc!$I$2:$J$8,2,FALSE),0),
IF(AX1100="K",VLOOKUP(L1100,Foundation_Calc!$K$117:$R$151,VLOOKUP(AW1100,Foundation_Calc!$I$2:$J$8,2,FALSE),0),"")))</f>
        <v>3.5</v>
      </c>
      <c r="AZ1100" s="10" t="str">
        <f>IF(K1100="","",
IF(AX1100="PT",VLOOKUP(K1100,Foundation_Calc!$K$79:$R$113,VLOOKUP(AW1100,Foundation_Calc!$I$2:$J$8,2,FALSE),0),
IF(AX1100="K",VLOOKUP(K1100,Foundation_Calc!$K$117:$R$151,VLOOKUP(AW1100,Foundation_Calc!$I$2:$J$8,2,FALSE),0),"")))</f>
        <v/>
      </c>
      <c r="BA1100" s="495" t="str">
        <f t="shared" si="123"/>
        <v>ü</v>
      </c>
      <c r="BB1100" s="495" t="str">
        <f t="shared" si="124"/>
        <v/>
      </c>
      <c r="BC1100" s="495" t="str">
        <f t="shared" si="125"/>
        <v/>
      </c>
      <c r="BD1100" s="513" t="str">
        <f>IF(AND(L1100="",H1100=""),"",
IF(H1100="",Pole_Calc!A$9,
IF(H1100="MP",Pole_Calc!A$10,
IF(H1100="AnMP",Pole_Calc!A$11,
IF(H1100="A",Pole_Calc!A$12,
IF(H1100="S/A",Pole_Calc!A$13,
IF(H1100="A/S",Pole_Calc!A$14,"Poner a mano")))))))</f>
        <v>App.7-V11I-P9.5.1.1</v>
      </c>
      <c r="BE1100" s="429" t="s">
        <v>118</v>
      </c>
      <c r="BF1100" s="289"/>
      <c r="BG1100" s="289"/>
      <c r="BH1100" s="290"/>
      <c r="BI1100" s="289"/>
    </row>
    <row r="1101" spans="1:61" ht="15.6" customHeight="1">
      <c r="A1101" s="514"/>
      <c r="B1101" s="450"/>
      <c r="C1101" s="3"/>
      <c r="D1101" s="83"/>
      <c r="E1101" s="4"/>
      <c r="F1101" s="4"/>
      <c r="G1101" s="6">
        <v>53</v>
      </c>
      <c r="H1101" s="449"/>
      <c r="I1101" s="4"/>
      <c r="J1101" s="3"/>
      <c r="K1101" s="449"/>
      <c r="L1101" s="449"/>
      <c r="M1101" s="449" t="str">
        <f>IF(L1101="","",
IF(AX1101="PT",VLOOKUP(L1101,Foundation_Calc!$V$79:$X$113,VLOOKUP(AX1101,Foundation_Calc!$I$10:$J$13,2,FALSE),0),
IF(AX1101="K",VLOOKUP(L1101,Foundation_Calc!$V$117:$X$151,VLOOKUP(AX1101,Foundation_Calc!$I$10:$J$13,2,FALSE),0),"")))</f>
        <v/>
      </c>
      <c r="N1101" s="449"/>
      <c r="O1101" s="449"/>
      <c r="P1101" s="449"/>
      <c r="Q1101" s="4"/>
      <c r="R1101" s="6"/>
      <c r="S1101" s="6"/>
      <c r="T1101" s="4"/>
      <c r="U1101" s="4"/>
      <c r="V1101" s="4"/>
      <c r="W1101" s="9"/>
      <c r="X1101" s="9"/>
      <c r="Y1101" s="9"/>
      <c r="Z1101" s="9"/>
      <c r="AA1101" s="9"/>
      <c r="AB1101" s="9"/>
      <c r="AC1101" s="449" t="str">
        <f t="shared" si="126"/>
        <v/>
      </c>
      <c r="AD1101" s="449"/>
      <c r="AE1101" s="449"/>
      <c r="AF1101" s="4"/>
      <c r="AG1101" s="83"/>
      <c r="AH1101" s="4"/>
      <c r="AI1101" s="4"/>
      <c r="AJ1101" s="449"/>
      <c r="AK1101" s="449"/>
      <c r="AL1101" s="449"/>
      <c r="AM1101" s="449"/>
      <c r="AN1101" s="10"/>
      <c r="AO1101" s="9"/>
      <c r="AP1101" s="9"/>
      <c r="AQ1101" s="9">
        <f>+FL_1($T$1102,$T$1100,$G$1101,1200,9.28,-1*$F$1102)</f>
        <v>0.39849183948740863</v>
      </c>
      <c r="AR1101" s="9"/>
      <c r="AS1101" s="9"/>
      <c r="AT1101" s="9"/>
      <c r="AU1101" s="428"/>
      <c r="AV1101" s="428"/>
      <c r="AW1101" s="449" t="str">
        <f>IF(C1101&gt;0,VLOOKUP(C1101,Foundation_Calc!$A$2:$C$13,3,1),
IF(J1101&gt;0,VLOOKUP(J1101,Foundation_Calc!$A$2:$C$13,3,1),""))</f>
        <v/>
      </c>
      <c r="AX1101" s="449" t="str">
        <f>IF(C1101&gt;0,VLOOKUP(C1101,Foundation_Calc!$E$2:$G$33,3,1),
IF(J1101&gt;0,VLOOKUP(J1101,Foundation_Calc!$E$2:$G$33,3,1),""))</f>
        <v/>
      </c>
      <c r="AY1101" s="10" t="str">
        <f>IF(L1101="","",
IF(AX1101="PT",VLOOKUP(L1101,Foundation_Calc!$K$79:$R$113,VLOOKUP(AW1101,Foundation_Calc!$I$2:$J$8,2,FALSE),0),
IF(AX1101="K",VLOOKUP(L1101,Foundation_Calc!$K$117:$R$151,VLOOKUP(AW1101,Foundation_Calc!$I$2:$J$8,2,FALSE),0),"")))</f>
        <v/>
      </c>
      <c r="AZ1101" s="10" t="str">
        <f>IF(K1101="","",
IF(AX1101="PT",VLOOKUP(K1101,Foundation_Calc!$K$79:$R$113,VLOOKUP(AW1101,Foundation_Calc!$I$2:$J$8,2,FALSE),0),
IF(AX1101="K",VLOOKUP(K1101,Foundation_Calc!$K$117:$R$151,VLOOKUP(AW1101,Foundation_Calc!$I$2:$J$8,2,FALSE),0),"")))</f>
        <v/>
      </c>
      <c r="BA1101" s="495" t="str">
        <f t="shared" si="123"/>
        <v/>
      </c>
      <c r="BB1101" s="495" t="str">
        <f t="shared" si="124"/>
        <v/>
      </c>
      <c r="BC1101" s="495" t="str">
        <f t="shared" si="125"/>
        <v/>
      </c>
      <c r="BD1101" s="513" t="str">
        <f>IF(AND(L1101="",H1101=""),"",
IF(H1101="",Pole_Calc!A$9,
IF(H1101="MP",Pole_Calc!A$10,
IF(H1101="AnMP",Pole_Calc!A$11,
IF(H1101="A",Pole_Calc!A$12,
IF(H1101="S/A",Pole_Calc!A$13,
IF(H1101="A/S",Pole_Calc!A$14,"Poner a mano")))))))</f>
        <v/>
      </c>
      <c r="BE1101" s="429" t="s">
        <v>118</v>
      </c>
      <c r="BF1101" s="290"/>
      <c r="BG1101" s="290"/>
      <c r="BH1101" s="290"/>
      <c r="BI1101" s="290"/>
    </row>
    <row r="1102" spans="1:61" ht="15.6" customHeight="1">
      <c r="A1102" s="514"/>
      <c r="B1102" s="450" t="s">
        <v>820</v>
      </c>
      <c r="C1102" s="3">
        <f>+$C$1100+$G$1101</f>
        <v>56986.119999999995</v>
      </c>
      <c r="D1102" s="83"/>
      <c r="E1102" s="4"/>
      <c r="F1102" s="4">
        <f>-(571^2)/(C1102-56894.24)</f>
        <v>-3548.5524597301837</v>
      </c>
      <c r="G1102" s="6"/>
      <c r="H1102" s="449"/>
      <c r="I1102" s="4"/>
      <c r="J1102" s="3"/>
      <c r="K1102" s="449"/>
      <c r="L1102" s="449" t="s">
        <v>153</v>
      </c>
      <c r="M1102" s="449" t="str">
        <f>IF(L1102="","",
IF(AX1102="PT",VLOOKUP(L1102,Foundation_Calc!$V$79:$X$113,VLOOKUP(AX1102,Foundation_Calc!$I$10:$J$13,2,FALSE),0),
IF(AX1102="K",VLOOKUP(L1102,Foundation_Calc!$V$117:$X$151,VLOOKUP(AX1102,Foundation_Calc!$I$10:$J$13,2,FALSE),0),"")))</f>
        <v>C3R</v>
      </c>
      <c r="N1102" s="449" t="s">
        <v>134</v>
      </c>
      <c r="O1102" s="449"/>
      <c r="P1102" s="449"/>
      <c r="Q1102" s="4"/>
      <c r="R1102" s="6"/>
      <c r="S1102" s="6"/>
      <c r="T1102" s="4">
        <v>20</v>
      </c>
      <c r="U1102" s="4"/>
      <c r="V1102" s="4"/>
      <c r="W1102" s="9">
        <v>1.4</v>
      </c>
      <c r="X1102" s="9"/>
      <c r="Y1102" s="9"/>
      <c r="Z1102" s="9"/>
      <c r="AA1102" s="9"/>
      <c r="AB1102" s="9"/>
      <c r="AC1102" s="449" t="str">
        <f t="shared" si="126"/>
        <v>PH</v>
      </c>
      <c r="AD1102" s="449"/>
      <c r="AE1102" s="449"/>
      <c r="AF1102" s="4"/>
      <c r="AG1102" s="83"/>
      <c r="AH1102" s="4"/>
      <c r="AI1102" s="4"/>
      <c r="AJ1102" s="449"/>
      <c r="AK1102" s="449"/>
      <c r="AL1102" s="449"/>
      <c r="AM1102" s="449" t="s">
        <v>126</v>
      </c>
      <c r="AN1102" s="10">
        <v>5.5</v>
      </c>
      <c r="AO1102" s="9"/>
      <c r="AP1102" s="9"/>
      <c r="AQ1102" s="9"/>
      <c r="AR1102" s="9"/>
      <c r="AS1102" s="9"/>
      <c r="AT1102" s="9">
        <f>+ab($T$1102,$T$1100,$T$1104,$G$1101,$G$1103,-1*$F$1102,1200)</f>
        <v>15.464886633161667</v>
      </c>
      <c r="AU1102" s="428"/>
      <c r="AV1102" s="428"/>
      <c r="AW1102" s="449" t="str">
        <f>IF(C1102&gt;0,VLOOKUP(C1102,Foundation_Calc!$A$2:$C$13,3,1),
IF(J1102&gt;0,VLOOKUP(J1102,Foundation_Calc!$A$2:$C$13,3,1),""))</f>
        <v>Multi Soil</v>
      </c>
      <c r="AX1102" s="449" t="str">
        <f>IF(C1102&gt;0,VLOOKUP(C1102,Foundation_Calc!$E$2:$G$33,3,1),
IF(J1102&gt;0,VLOOKUP(J1102,Foundation_Calc!$E$2:$G$33,3,1),""))</f>
        <v>PT</v>
      </c>
      <c r="AY1102" s="10">
        <f>IF(L1102="","",
IF(AX1102="PT",VLOOKUP(L1102,Foundation_Calc!$K$79:$R$113,VLOOKUP(AW1102,Foundation_Calc!$I$2:$J$8,2,FALSE),0),
IF(AX1102="K",VLOOKUP(L1102,Foundation_Calc!$K$117:$R$151,VLOOKUP(AW1102,Foundation_Calc!$I$2:$J$8,2,FALSE),0),"")))</f>
        <v>3.5</v>
      </c>
      <c r="AZ1102" s="10" t="str">
        <f>IF(K1102="","",
IF(AX1102="PT",VLOOKUP(K1102,Foundation_Calc!$K$79:$R$113,VLOOKUP(AW1102,Foundation_Calc!$I$2:$J$8,2,FALSE),0),
IF(AX1102="K",VLOOKUP(K1102,Foundation_Calc!$K$117:$R$151,VLOOKUP(AW1102,Foundation_Calc!$I$2:$J$8,2,FALSE),0),"")))</f>
        <v/>
      </c>
      <c r="BA1102" s="495" t="str">
        <f t="shared" si="123"/>
        <v>ü</v>
      </c>
      <c r="BB1102" s="495" t="str">
        <f t="shared" si="124"/>
        <v/>
      </c>
      <c r="BC1102" s="495" t="str">
        <f t="shared" si="125"/>
        <v/>
      </c>
      <c r="BD1102" s="513" t="str">
        <f>IF(AND(L1102="",H1102=""),"",
IF(H1102="",Pole_Calc!A$9,
IF(H1102="MP",Pole_Calc!A$10,
IF(H1102="AnMP",Pole_Calc!A$11,
IF(H1102="A",Pole_Calc!A$12,
IF(H1102="S/A",Pole_Calc!A$13,
IF(H1102="A/S",Pole_Calc!A$14,"Poner a mano")))))))</f>
        <v>App.7-V11I-P9.5.1.1</v>
      </c>
      <c r="BE1102" s="429" t="s">
        <v>118</v>
      </c>
      <c r="BF1102" s="289"/>
      <c r="BG1102" s="289"/>
      <c r="BH1102" s="290"/>
      <c r="BI1102" s="289"/>
    </row>
    <row r="1103" spans="1:61" ht="15.6" customHeight="1">
      <c r="A1103" s="514"/>
      <c r="B1103" s="450"/>
      <c r="C1103" s="3"/>
      <c r="D1103" s="83"/>
      <c r="E1103" s="4"/>
      <c r="F1103" s="4"/>
      <c r="G1103" s="6">
        <v>53</v>
      </c>
      <c r="H1103" s="449"/>
      <c r="I1103" s="4"/>
      <c r="J1103" s="3"/>
      <c r="K1103" s="449"/>
      <c r="L1103" s="449"/>
      <c r="M1103" s="449" t="str">
        <f>IF(L1103="","",
IF(AX1103="PT",VLOOKUP(L1103,Foundation_Calc!$V$79:$X$113,VLOOKUP(AX1103,Foundation_Calc!$I$10:$J$13,2,FALSE),0),
IF(AX1103="K",VLOOKUP(L1103,Foundation_Calc!$V$117:$X$151,VLOOKUP(AX1103,Foundation_Calc!$I$10:$J$13,2,FALSE),0),"")))</f>
        <v/>
      </c>
      <c r="N1103" s="449"/>
      <c r="O1103" s="449"/>
      <c r="P1103" s="449"/>
      <c r="Q1103" s="4"/>
      <c r="R1103" s="6"/>
      <c r="S1103" s="6"/>
      <c r="T1103" s="4"/>
      <c r="U1103" s="4"/>
      <c r="V1103" s="4"/>
      <c r="W1103" s="9"/>
      <c r="X1103" s="9"/>
      <c r="Y1103" s="9"/>
      <c r="Z1103" s="9"/>
      <c r="AA1103" s="9"/>
      <c r="AB1103" s="9"/>
      <c r="AC1103" s="449" t="str">
        <f t="shared" si="126"/>
        <v/>
      </c>
      <c r="AD1103" s="449"/>
      <c r="AE1103" s="449"/>
      <c r="AF1103" s="4"/>
      <c r="AG1103" s="83"/>
      <c r="AH1103" s="4"/>
      <c r="AI1103" s="4"/>
      <c r="AJ1103" s="449"/>
      <c r="AK1103" s="449"/>
      <c r="AL1103" s="449"/>
      <c r="AM1103" s="449"/>
      <c r="AN1103" s="10"/>
      <c r="AO1103" s="9"/>
      <c r="AP1103" s="9"/>
      <c r="AQ1103" s="9">
        <f>+FL_2($T$1104,$T$1102,$G$1103,1200,9.28,-1*$F$1104)</f>
        <v>-0.17567810269428097</v>
      </c>
      <c r="AR1103" s="9"/>
      <c r="AS1103" s="9"/>
      <c r="AT1103" s="9"/>
      <c r="AU1103" s="428"/>
      <c r="AV1103" s="428"/>
      <c r="AW1103" s="449" t="str">
        <f>IF(C1103&gt;0,VLOOKUP(C1103,Foundation_Calc!$A$2:$C$13,3,1),
IF(J1103&gt;0,VLOOKUP(J1103,Foundation_Calc!$A$2:$C$13,3,1),""))</f>
        <v/>
      </c>
      <c r="AX1103" s="449" t="str">
        <f>IF(C1103&gt;0,VLOOKUP(C1103,Foundation_Calc!$E$2:$G$33,3,1),
IF(J1103&gt;0,VLOOKUP(J1103,Foundation_Calc!$E$2:$G$33,3,1),""))</f>
        <v/>
      </c>
      <c r="AY1103" s="10" t="str">
        <f>IF(L1103="","",
IF(AX1103="PT",VLOOKUP(L1103,Foundation_Calc!$K$79:$R$113,VLOOKUP(AW1103,Foundation_Calc!$I$2:$J$8,2,FALSE),0),
IF(AX1103="K",VLOOKUP(L1103,Foundation_Calc!$K$117:$R$151,VLOOKUP(AW1103,Foundation_Calc!$I$2:$J$8,2,FALSE),0),"")))</f>
        <v/>
      </c>
      <c r="AZ1103" s="10" t="str">
        <f>IF(K1103="","",
IF(AX1103="PT",VLOOKUP(K1103,Foundation_Calc!$K$79:$R$113,VLOOKUP(AW1103,Foundation_Calc!$I$2:$J$8,2,FALSE),0),
IF(AX1103="K",VLOOKUP(K1103,Foundation_Calc!$K$117:$R$151,VLOOKUP(AW1103,Foundation_Calc!$I$2:$J$8,2,FALSE),0),"")))</f>
        <v/>
      </c>
      <c r="BA1103" s="495" t="str">
        <f t="shared" si="123"/>
        <v/>
      </c>
      <c r="BB1103" s="495" t="str">
        <f t="shared" si="124"/>
        <v/>
      </c>
      <c r="BC1103" s="495" t="str">
        <f t="shared" si="125"/>
        <v/>
      </c>
      <c r="BD1103" s="513" t="str">
        <f>IF(AND(L1103="",H1103=""),"",
IF(H1103="",Pole_Calc!A$9,
IF(H1103="MP",Pole_Calc!A$10,
IF(H1103="AnMP",Pole_Calc!A$11,
IF(H1103="A",Pole_Calc!A$12,
IF(H1103="S/A",Pole_Calc!A$13,
IF(H1103="A/S",Pole_Calc!A$14,"Poner a mano")))))))</f>
        <v/>
      </c>
      <c r="BE1103" s="429" t="s">
        <v>118</v>
      </c>
      <c r="BF1103" s="290"/>
      <c r="BG1103" s="290"/>
      <c r="BH1103" s="290"/>
      <c r="BI1103" s="290"/>
    </row>
    <row r="1104" spans="1:61" ht="15.6" customHeight="1">
      <c r="A1104" s="518"/>
      <c r="B1104" s="450" t="s">
        <v>821</v>
      </c>
      <c r="C1104" s="3">
        <f>+$C$1102+$G$1103</f>
        <v>57039.119999999995</v>
      </c>
      <c r="D1104" s="83"/>
      <c r="E1104" s="4"/>
      <c r="F1104" s="4">
        <f>IF(C1104&gt;0,VLOOKUP(C1104,'ALIGNMENT TRACK'!$A$1:$K$81,9,1))</f>
        <v>-2300</v>
      </c>
      <c r="G1104" s="6"/>
      <c r="H1104" s="449"/>
      <c r="I1104" s="4"/>
      <c r="J1104" s="3"/>
      <c r="K1104" s="449"/>
      <c r="L1104" s="449" t="s">
        <v>158</v>
      </c>
      <c r="M1104" s="449" t="str">
        <f>IF(L1104="","",
IF(AX1104="PT",VLOOKUP(L1104,Foundation_Calc!$V$79:$X$113,VLOOKUP(AX1104,Foundation_Calc!$I$10:$J$13,2,FALSE),0),
IF(AX1104="K",VLOOKUP(L1104,Foundation_Calc!$V$117:$X$151,VLOOKUP(AX1104,Foundation_Calc!$I$10:$J$13,2,FALSE),0),"")))</f>
        <v>C4R</v>
      </c>
      <c r="N1104" s="449" t="s">
        <v>134</v>
      </c>
      <c r="O1104" s="449"/>
      <c r="P1104" s="449"/>
      <c r="Q1104" s="4"/>
      <c r="R1104" s="6"/>
      <c r="S1104" s="6"/>
      <c r="T1104" s="4">
        <v>30</v>
      </c>
      <c r="U1104" s="4"/>
      <c r="V1104" s="4"/>
      <c r="W1104" s="9">
        <v>1.4</v>
      </c>
      <c r="X1104" s="9"/>
      <c r="Y1104" s="9"/>
      <c r="Z1104" s="9"/>
      <c r="AA1104" s="9"/>
      <c r="AB1104" s="9"/>
      <c r="AC1104" s="449" t="str">
        <f t="shared" si="126"/>
        <v>PHQ</v>
      </c>
      <c r="AD1104" s="449"/>
      <c r="AE1104" s="449"/>
      <c r="AF1104" s="4"/>
      <c r="AG1104" s="83"/>
      <c r="AH1104" s="4"/>
      <c r="AI1104" s="4"/>
      <c r="AJ1104" s="449"/>
      <c r="AK1104" s="449"/>
      <c r="AL1104" s="449"/>
      <c r="AM1104" s="449" t="s">
        <v>126</v>
      </c>
      <c r="AN1104" s="10">
        <v>5.5</v>
      </c>
      <c r="AO1104" s="9"/>
      <c r="AP1104" s="9"/>
      <c r="AQ1104" s="9"/>
      <c r="AR1104" s="9"/>
      <c r="AS1104" s="9"/>
      <c r="AT1104" s="9">
        <f>+ab($T$1104,$T$1102,$T$1106,$G$1103,$G$1105,-1*$F$1104,1200)</f>
        <v>7.1187596438940739</v>
      </c>
      <c r="AU1104" s="428"/>
      <c r="AV1104" s="428"/>
      <c r="AW1104" s="449" t="str">
        <f>IF(C1104&gt;0,VLOOKUP(C1104,Foundation_Calc!$A$2:$C$13,3,1),
IF(J1104&gt;0,VLOOKUP(J1104,Foundation_Calc!$A$2:$C$13,3,1),""))</f>
        <v>Multi Soil</v>
      </c>
      <c r="AX1104" s="449" t="str">
        <f>IF(C1104&gt;0,VLOOKUP(C1104,Foundation_Calc!$E$2:$G$33,3,1),
IF(J1104&gt;0,VLOOKUP(J1104,Foundation_Calc!$E$2:$G$33,3,1),""))</f>
        <v>PT</v>
      </c>
      <c r="AY1104" s="10">
        <f>IF(L1104="","",
IF(AX1104="PT",VLOOKUP(L1104,Foundation_Calc!$K$79:$R$113,VLOOKUP(AW1104,Foundation_Calc!$I$2:$J$8,2,FALSE),0),
IF(AX1104="K",VLOOKUP(L1104,Foundation_Calc!$K$117:$R$151,VLOOKUP(AW1104,Foundation_Calc!$I$2:$J$8,2,FALSE),0),"")))</f>
        <v>3.5</v>
      </c>
      <c r="AZ1104" s="10" t="str">
        <f>IF(K1104="","",
IF(AX1104="PT",VLOOKUP(K1104,Foundation_Calc!$K$79:$R$113,VLOOKUP(AW1104,Foundation_Calc!$I$2:$J$8,2,FALSE),0),
IF(AX1104="K",VLOOKUP(K1104,Foundation_Calc!$K$117:$R$151,VLOOKUP(AW1104,Foundation_Calc!$I$2:$J$8,2,FALSE),0),"")))</f>
        <v/>
      </c>
      <c r="BA1104" s="495" t="str">
        <f t="shared" si="123"/>
        <v>ü</v>
      </c>
      <c r="BB1104" s="495" t="str">
        <f t="shared" si="124"/>
        <v/>
      </c>
      <c r="BC1104" s="495" t="str">
        <f t="shared" si="125"/>
        <v/>
      </c>
      <c r="BD1104" s="513" t="str">
        <f>IF(AND(L1104="",H1104=""),"",
IF(H1104="",Pole_Calc!A$9,
IF(H1104="MP",Pole_Calc!A$10,
IF(H1104="AnMP",Pole_Calc!A$11,
IF(H1104="A",Pole_Calc!A$12,
IF(H1104="S/A",Pole_Calc!A$13,
IF(H1104="A/S",Pole_Calc!A$14,"Poner a mano")))))))</f>
        <v>App.7-V11I-P9.5.1.1</v>
      </c>
      <c r="BE1104" s="429" t="s">
        <v>118</v>
      </c>
      <c r="BF1104" s="289"/>
      <c r="BG1104" s="289"/>
      <c r="BH1104" s="290"/>
      <c r="BI1104" s="289"/>
    </row>
    <row r="1105" spans="1:61" ht="15.6" customHeight="1">
      <c r="A1105" s="518"/>
      <c r="B1105" s="450"/>
      <c r="C1105" s="3"/>
      <c r="D1105" s="83"/>
      <c r="E1105" s="4"/>
      <c r="F1105" s="4"/>
      <c r="G1105" s="6">
        <v>53</v>
      </c>
      <c r="H1105" s="449"/>
      <c r="I1105" s="4"/>
      <c r="J1105" s="3">
        <f>C1106-7.5</f>
        <v>57084.619999999995</v>
      </c>
      <c r="K1105" s="449" t="s">
        <v>166</v>
      </c>
      <c r="L1105" s="449"/>
      <c r="M1105" s="449" t="str">
        <f>IF(L1105="","",
IF(AX1105="PT",VLOOKUP(L1105,Foundation_Calc!$V$79:$X$113,VLOOKUP(AX1105,Foundation_Calc!$I$10:$J$13,2,FALSE),0),
IF(AX1105="K",VLOOKUP(L1105,Foundation_Calc!$V$117:$X$151,VLOOKUP(AX1105,Foundation_Calc!$I$10:$J$13,2,FALSE),0),"")))</f>
        <v/>
      </c>
      <c r="N1105" s="561"/>
      <c r="O1105" s="449"/>
      <c r="P1105" s="449"/>
      <c r="Q1105" s="4"/>
      <c r="R1105" s="6"/>
      <c r="S1105" s="6"/>
      <c r="T1105" s="4"/>
      <c r="U1105" s="4"/>
      <c r="V1105" s="4"/>
      <c r="W1105" s="9"/>
      <c r="X1105" s="9"/>
      <c r="Y1105" s="9"/>
      <c r="Z1105" s="9"/>
      <c r="AA1105" s="9"/>
      <c r="AB1105" s="9"/>
      <c r="AC1105" s="449" t="str">
        <f t="shared" si="126"/>
        <v/>
      </c>
      <c r="AD1105" s="449"/>
      <c r="AE1105" s="449"/>
      <c r="AF1105" s="4"/>
      <c r="AG1105" s="83"/>
      <c r="AH1105" s="4"/>
      <c r="AI1105" s="4"/>
      <c r="AJ1105" s="449"/>
      <c r="AK1105" s="449"/>
      <c r="AL1105" s="449"/>
      <c r="AM1105" s="449"/>
      <c r="AN1105" s="10"/>
      <c r="AO1105" s="9"/>
      <c r="AP1105" s="9"/>
      <c r="AQ1105" s="9">
        <f>+FL_2($T$1106,$T$1104,$G$1105,1200,9.28,-1*$F$1106)</f>
        <v>-0.1382259556283546</v>
      </c>
      <c r="AR1105" s="9"/>
      <c r="AS1105" s="9"/>
      <c r="AT1105" s="9"/>
      <c r="AU1105" s="428"/>
      <c r="AV1105" s="428"/>
      <c r="AW1105" s="449" t="str">
        <f>IF(C1105&gt;0,VLOOKUP(C1105,Foundation_Calc!$A$2:$C$13,3,1),
IF(J1105&gt;0,VLOOKUP(J1105,Foundation_Calc!$A$2:$C$13,3,1),""))</f>
        <v>Multi Soil</v>
      </c>
      <c r="AX1105" s="449" t="str">
        <f>IF(C1105&gt;0,VLOOKUP(C1105,Foundation_Calc!$E$2:$G$33,3,1),
IF(J1105&gt;0,VLOOKUP(J1105,Foundation_Calc!$E$2:$G$33,3,1),""))</f>
        <v>PT</v>
      </c>
      <c r="AY1105" s="10" t="str">
        <f>IF(L1105="","",
IF(AX1105="PT",VLOOKUP(L1105,Foundation_Calc!$K$79:$R$113,VLOOKUP(AW1105,Foundation_Calc!$I$2:$J$8,2,FALSE),0),
IF(AX1105="K",VLOOKUP(L1105,Foundation_Calc!$K$117:$R$151,VLOOKUP(AW1105,Foundation_Calc!$I$2:$J$8,2,FALSE),0),"")))</f>
        <v/>
      </c>
      <c r="AZ1105" s="10">
        <f>IF(K1105="","",
IF(AX1105="PT",VLOOKUP(K1105,Foundation_Calc!$K$79:$R$113,VLOOKUP(AW1105,Foundation_Calc!$I$2:$J$8,2,FALSE),0),
IF(AX1105="K",VLOOKUP(K1105,Foundation_Calc!$K$117:$R$151,VLOOKUP(AW1105,Foundation_Calc!$I$2:$J$8,2,FALSE),0),"")))</f>
        <v>2.8</v>
      </c>
      <c r="BA1105" s="495" t="str">
        <f t="shared" si="123"/>
        <v/>
      </c>
      <c r="BB1105" s="495" t="str">
        <f t="shared" si="124"/>
        <v>ü</v>
      </c>
      <c r="BC1105" s="495" t="str">
        <f t="shared" si="125"/>
        <v/>
      </c>
      <c r="BD1105" s="513" t="str">
        <f>IF(AND(L1105="",H1105=""),"",
IF(H1105="",Pole_Calc!A$9,
IF(H1105="MP",Pole_Calc!A$10,
IF(H1105="AnMP",Pole_Calc!A$11,
IF(H1105="A",Pole_Calc!A$12,
IF(H1105="S/A",Pole_Calc!A$13,
IF(H1105="A/S",Pole_Calc!A$14,"Poner a mano")))))))</f>
        <v/>
      </c>
      <c r="BE1105" s="429" t="s">
        <v>118</v>
      </c>
      <c r="BF1105" s="290"/>
      <c r="BG1105" s="290"/>
      <c r="BH1105" s="290"/>
      <c r="BI1105" s="290"/>
    </row>
    <row r="1106" spans="1:61" ht="15.6" customHeight="1">
      <c r="A1106" s="514"/>
      <c r="B1106" s="450" t="s">
        <v>822</v>
      </c>
      <c r="C1106" s="3">
        <f>+$C$1104+$G$1105</f>
        <v>57092.119999999995</v>
      </c>
      <c r="D1106" s="83"/>
      <c r="E1106" s="4"/>
      <c r="F1106" s="4">
        <f>(571^2)/(C1106-57198.97)</f>
        <v>-3051.3897987831747</v>
      </c>
      <c r="G1106" s="6"/>
      <c r="H1106" s="449" t="s">
        <v>168</v>
      </c>
      <c r="I1106" s="4"/>
      <c r="J1106" s="3"/>
      <c r="K1106" s="449"/>
      <c r="L1106" s="449" t="s">
        <v>158</v>
      </c>
      <c r="M1106" s="449" t="str">
        <f>IF(L1106="","",
IF(AX1106="PT",VLOOKUP(L1106,Foundation_Calc!$V$79:$X$113,VLOOKUP(AX1106,Foundation_Calc!$I$10:$J$13,2,FALSE),0),
IF(AX1106="K",VLOOKUP(L1106,Foundation_Calc!$V$117:$X$151,VLOOKUP(AX1106,Foundation_Calc!$I$10:$J$13,2,FALSE),0),"")))</f>
        <v>C4R</v>
      </c>
      <c r="N1106" s="449" t="s">
        <v>134</v>
      </c>
      <c r="O1106" s="449"/>
      <c r="P1106" s="449"/>
      <c r="Q1106" s="4"/>
      <c r="R1106" s="6"/>
      <c r="S1106" s="6"/>
      <c r="T1106" s="4">
        <v>20</v>
      </c>
      <c r="U1106" s="4"/>
      <c r="V1106" s="4"/>
      <c r="W1106" s="9">
        <v>1.4</v>
      </c>
      <c r="X1106" s="9"/>
      <c r="Y1106" s="9"/>
      <c r="Z1106" s="9"/>
      <c r="AA1106" s="9"/>
      <c r="AB1106" s="9"/>
      <c r="AC1106" s="449" t="str">
        <f t="shared" si="126"/>
        <v>PH</v>
      </c>
      <c r="AD1106" s="449"/>
      <c r="AE1106" s="449"/>
      <c r="AF1106" s="4"/>
      <c r="AG1106" s="83"/>
      <c r="AH1106" s="4"/>
      <c r="AI1106" s="4"/>
      <c r="AJ1106" s="449"/>
      <c r="AK1106" s="449"/>
      <c r="AL1106" s="449"/>
      <c r="AM1106" s="449" t="s">
        <v>126</v>
      </c>
      <c r="AN1106" s="10">
        <v>5.5</v>
      </c>
      <c r="AO1106" s="9"/>
      <c r="AP1106" s="9"/>
      <c r="AQ1106" s="9"/>
      <c r="AR1106" s="9"/>
      <c r="AS1106" s="9"/>
      <c r="AT1106" s="9">
        <f>+ab($T$1106,$T$1104,$T$1108,$G$1105,$G$1107,-1*$F$1106,1200)</f>
        <v>13.838829484278399</v>
      </c>
      <c r="AU1106" s="428"/>
      <c r="AV1106" s="428"/>
      <c r="AW1106" s="449" t="str">
        <f>IF(C1106&gt;0,VLOOKUP(C1106,Foundation_Calc!$A$2:$C$13,3,1),
IF(J1106&gt;0,VLOOKUP(J1106,Foundation_Calc!$A$2:$C$13,3,1),""))</f>
        <v>Multi Soil</v>
      </c>
      <c r="AX1106" s="449" t="str">
        <f>IF(C1106&gt;0,VLOOKUP(C1106,Foundation_Calc!$E$2:$G$33,3,1),
IF(J1106&gt;0,VLOOKUP(J1106,Foundation_Calc!$E$2:$G$33,3,1),""))</f>
        <v>PT</v>
      </c>
      <c r="AY1106" s="10">
        <f>IF(L1106="","",
IF(AX1106="PT",VLOOKUP(L1106,Foundation_Calc!$K$79:$R$113,VLOOKUP(AW1106,Foundation_Calc!$I$2:$J$8,2,FALSE),0),
IF(AX1106="K",VLOOKUP(L1106,Foundation_Calc!$K$117:$R$151,VLOOKUP(AW1106,Foundation_Calc!$I$2:$J$8,2,FALSE),0),"")))</f>
        <v>3.5</v>
      </c>
      <c r="AZ1106" s="10" t="str">
        <f>IF(K1106="","",
IF(AX1106="PT",VLOOKUP(K1106,Foundation_Calc!$K$79:$R$113,VLOOKUP(AW1106,Foundation_Calc!$I$2:$J$8,2,FALSE),0),
IF(AX1106="K",VLOOKUP(K1106,Foundation_Calc!$K$117:$R$151,VLOOKUP(AW1106,Foundation_Calc!$I$2:$J$8,2,FALSE),0),"")))</f>
        <v/>
      </c>
      <c r="BA1106" s="495" t="str">
        <f t="shared" si="123"/>
        <v>ü</v>
      </c>
      <c r="BB1106" s="495" t="str">
        <f t="shared" si="124"/>
        <v/>
      </c>
      <c r="BC1106" s="495" t="str">
        <f t="shared" si="125"/>
        <v/>
      </c>
      <c r="BD1106" s="513" t="str">
        <f>IF(AND(L1106="",H1106=""),"",
IF(H1106="",Pole_Calc!A$9,
IF(H1106="MP",Pole_Calc!A$10,
IF(H1106="AnMP",Pole_Calc!A$11,
IF(H1106="A",Pole_Calc!A$12,
IF(H1106="S/A",Pole_Calc!A$13,
IF(H1106="A/S",Pole_Calc!A$14,"Poner a mano")))))))</f>
        <v>App.7-V11I-P9.5.1.3</v>
      </c>
      <c r="BE1106" s="429" t="s">
        <v>118</v>
      </c>
      <c r="BF1106" s="289"/>
      <c r="BG1106" s="289"/>
      <c r="BH1106" s="290"/>
      <c r="BI1106" s="289"/>
    </row>
    <row r="1107" spans="1:61" ht="15.6" customHeight="1">
      <c r="A1107" s="514"/>
      <c r="B1107" s="450"/>
      <c r="C1107" s="3"/>
      <c r="D1107" s="83"/>
      <c r="E1107" s="4"/>
      <c r="F1107" s="4"/>
      <c r="G1107" s="6">
        <v>53</v>
      </c>
      <c r="H1107" s="449"/>
      <c r="I1107" s="4">
        <f>SUM(G1087:G1107)</f>
        <v>628</v>
      </c>
      <c r="J1107" s="3"/>
      <c r="K1107" s="449"/>
      <c r="L1107" s="449"/>
      <c r="M1107" s="449" t="str">
        <f>IF(L1107="","",
IF(AX1107="PT",VLOOKUP(L1107,Foundation_Calc!$V$79:$X$113,VLOOKUP(AX1107,Foundation_Calc!$I$10:$J$13,2,FALSE),0),
IF(AX1107="K",VLOOKUP(L1107,Foundation_Calc!$V$117:$X$151,VLOOKUP(AX1107,Foundation_Calc!$I$10:$J$13,2,FALSE),0),"")))</f>
        <v/>
      </c>
      <c r="N1107" s="449"/>
      <c r="O1107" s="449"/>
      <c r="P1107" s="449"/>
      <c r="Q1107" s="4"/>
      <c r="R1107" s="6"/>
      <c r="S1107" s="6"/>
      <c r="T1107" s="4"/>
      <c r="U1107" s="4"/>
      <c r="V1107" s="4"/>
      <c r="W1107" s="9"/>
      <c r="X1107" s="9"/>
      <c r="Y1107" s="9"/>
      <c r="Z1107" s="9"/>
      <c r="AA1107" s="9"/>
      <c r="AB1107" s="9"/>
      <c r="AC1107" s="449" t="str">
        <f t="shared" si="126"/>
        <v/>
      </c>
      <c r="AD1107" s="449"/>
      <c r="AE1107" s="449"/>
      <c r="AF1107" s="4"/>
      <c r="AG1107" s="83"/>
      <c r="AH1107" s="4"/>
      <c r="AI1107" s="4"/>
      <c r="AJ1107" s="449"/>
      <c r="AK1107" s="449"/>
      <c r="AL1107" s="449"/>
      <c r="AM1107" s="449"/>
      <c r="AN1107" s="10"/>
      <c r="AO1107" s="9"/>
      <c r="AP1107" s="9"/>
      <c r="AQ1107" s="9">
        <f>+FL_1($T$1108,$T$1106,$G$1107,1200,9.28,-1*$F$1108)</f>
        <v>0.46647024031848572</v>
      </c>
      <c r="AR1107" s="9"/>
      <c r="AS1107" s="9"/>
      <c r="AT1107" s="9"/>
      <c r="AU1107" s="428"/>
      <c r="AV1107" s="428"/>
      <c r="AW1107" s="449" t="str">
        <f>IF(C1107&gt;0,VLOOKUP(C1107,Foundation_Calc!$A$2:$C$13,3,1),
IF(J1107&gt;0,VLOOKUP(J1107,Foundation_Calc!$A$2:$C$13,3,1),""))</f>
        <v/>
      </c>
      <c r="AX1107" s="449" t="str">
        <f>IF(C1107&gt;0,VLOOKUP(C1107,Foundation_Calc!$E$2:$G$33,3,1),
IF(J1107&gt;0,VLOOKUP(J1107,Foundation_Calc!$E$2:$G$33,3,1),""))</f>
        <v/>
      </c>
      <c r="AY1107" s="10" t="str">
        <f>IF(L1107="","",
IF(AX1107="PT",VLOOKUP(L1107,Foundation_Calc!$K$79:$R$113,VLOOKUP(AW1107,Foundation_Calc!$I$2:$J$8,2,FALSE),0),
IF(AX1107="K",VLOOKUP(L1107,Foundation_Calc!$K$117:$R$151,VLOOKUP(AW1107,Foundation_Calc!$I$2:$J$8,2,FALSE),0),"")))</f>
        <v/>
      </c>
      <c r="AZ1107" s="10" t="str">
        <f>IF(K1107="","",
IF(AX1107="PT",VLOOKUP(K1107,Foundation_Calc!$K$79:$R$113,VLOOKUP(AW1107,Foundation_Calc!$I$2:$J$8,2,FALSE),0),
IF(AX1107="K",VLOOKUP(K1107,Foundation_Calc!$K$117:$R$151,VLOOKUP(AW1107,Foundation_Calc!$I$2:$J$8,2,FALSE),0),"")))</f>
        <v/>
      </c>
      <c r="BA1107" s="495" t="str">
        <f t="shared" ref="BA1107:BA1170" si="127">IF(AY1107="","",IF(AY1107&gt;0,"ü",""))</f>
        <v/>
      </c>
      <c r="BB1107" s="495" t="str">
        <f t="shared" ref="BB1107:BB1170" si="128">IF(AZ1107="","",IF(AZ1107&gt;0,"ü",""))</f>
        <v/>
      </c>
      <c r="BC1107" s="495" t="str">
        <f t="shared" ref="BC1107:BC1170" si="129">IF(M1107="","",IF(M1107="U.S.","ü",IF(M1107="U.S. N.D.","ü","")))</f>
        <v/>
      </c>
      <c r="BD1107" s="513" t="str">
        <f>IF(AND(L1107="",H1107=""),"",
IF(H1107="",Pole_Calc!A$9,
IF(H1107="MP",Pole_Calc!A$10,
IF(H1107="AnMP",Pole_Calc!A$11,
IF(H1107="A",Pole_Calc!A$12,
IF(H1107="S/A",Pole_Calc!A$13,
IF(H1107="A/S",Pole_Calc!A$14,"Poner a mano")))))))</f>
        <v/>
      </c>
      <c r="BE1107" s="429" t="s">
        <v>118</v>
      </c>
      <c r="BF1107" s="290"/>
      <c r="BG1107" s="290"/>
      <c r="BH1107" s="290"/>
      <c r="BI1107" s="290"/>
    </row>
    <row r="1108" spans="1:61" ht="15.6" customHeight="1">
      <c r="A1108" s="514"/>
      <c r="B1108" s="450" t="s">
        <v>823</v>
      </c>
      <c r="C1108" s="3">
        <f>+$C$1106+$G$1107</f>
        <v>57145.119999999995</v>
      </c>
      <c r="D1108" s="83"/>
      <c r="E1108" s="4"/>
      <c r="F1108" s="4">
        <f>(571^2)/(C1108-57198.97)</f>
        <v>-6054.6146703800323</v>
      </c>
      <c r="G1108" s="6"/>
      <c r="H1108" s="449" t="s">
        <v>171</v>
      </c>
      <c r="I1108" s="4"/>
      <c r="J1108" s="3"/>
      <c r="K1108" s="449"/>
      <c r="L1108" s="449" t="s">
        <v>153</v>
      </c>
      <c r="M1108" s="449" t="str">
        <f>IF(L1108="","",
IF(AX1108="PT",VLOOKUP(L1108,Foundation_Calc!$V$79:$X$113,VLOOKUP(AX1108,Foundation_Calc!$I$10:$J$13,2,FALSE),0),
IF(AX1108="K",VLOOKUP(L1108,Foundation_Calc!$V$117:$X$151,VLOOKUP(AX1108,Foundation_Calc!$I$10:$J$13,2,FALSE),0),"")))</f>
        <v>C3R</v>
      </c>
      <c r="N1108" s="449" t="s">
        <v>134</v>
      </c>
      <c r="O1108" s="449"/>
      <c r="P1108" s="449"/>
      <c r="Q1108" s="4"/>
      <c r="R1108" s="6"/>
      <c r="S1108" s="6"/>
      <c r="T1108" s="4">
        <v>30</v>
      </c>
      <c r="U1108" s="4"/>
      <c r="V1108" s="4"/>
      <c r="W1108" s="9">
        <v>1.4</v>
      </c>
      <c r="X1108" s="9"/>
      <c r="Y1108" s="9"/>
      <c r="Z1108" s="9"/>
      <c r="AA1108" s="9"/>
      <c r="AB1108" s="9"/>
      <c r="AC1108" s="449" t="str">
        <f t="shared" si="126"/>
        <v>PH</v>
      </c>
      <c r="AD1108" s="449"/>
      <c r="AE1108" s="449"/>
      <c r="AF1108" s="4"/>
      <c r="AG1108" s="83"/>
      <c r="AH1108" s="4"/>
      <c r="AI1108" s="4"/>
      <c r="AJ1108" s="449"/>
      <c r="AK1108" s="449"/>
      <c r="AL1108" s="449"/>
      <c r="AM1108" s="449" t="s">
        <v>126</v>
      </c>
      <c r="AN1108" s="10">
        <v>5.5</v>
      </c>
      <c r="AO1108" s="9"/>
      <c r="AP1108" s="9"/>
      <c r="AQ1108" s="9"/>
      <c r="AR1108" s="9"/>
      <c r="AS1108" s="9"/>
      <c r="AT1108" s="9">
        <f>+ab($T$1108,$T$1106,$T$1110,$G$1107,$G$1109,-1*$F$1108,1200)</f>
        <v>8.3189556644512432</v>
      </c>
      <c r="AU1108" s="428"/>
      <c r="AV1108" s="428"/>
      <c r="AW1108" s="449" t="str">
        <f>IF(C1108&gt;0,VLOOKUP(C1108,Foundation_Calc!$A$2:$C$13,3,1),
IF(J1108&gt;0,VLOOKUP(J1108,Foundation_Calc!$A$2:$C$13,3,1),""))</f>
        <v>Multi Soil</v>
      </c>
      <c r="AX1108" s="449" t="str">
        <f>IF(C1108&gt;0,VLOOKUP(C1108,Foundation_Calc!$E$2:$G$33,3,1),
IF(J1108&gt;0,VLOOKUP(J1108,Foundation_Calc!$E$2:$G$33,3,1),""))</f>
        <v>PT</v>
      </c>
      <c r="AY1108" s="10">
        <f>IF(L1108="","",
IF(AX1108="PT",VLOOKUP(L1108,Foundation_Calc!$K$79:$R$113,VLOOKUP(AW1108,Foundation_Calc!$I$2:$J$8,2,FALSE),0),
IF(AX1108="K",VLOOKUP(L1108,Foundation_Calc!$K$117:$R$151,VLOOKUP(AW1108,Foundation_Calc!$I$2:$J$8,2,FALSE),0),"")))</f>
        <v>3.5</v>
      </c>
      <c r="AZ1108" s="10" t="str">
        <f>IF(K1108="","",
IF(AX1108="PT",VLOOKUP(K1108,Foundation_Calc!$K$79:$R$113,VLOOKUP(AW1108,Foundation_Calc!$I$2:$J$8,2,FALSE),0),
IF(AX1108="K",VLOOKUP(K1108,Foundation_Calc!$K$117:$R$151,VLOOKUP(AW1108,Foundation_Calc!$I$2:$J$8,2,FALSE),0),"")))</f>
        <v/>
      </c>
      <c r="BA1108" s="495" t="str">
        <f t="shared" si="127"/>
        <v>ü</v>
      </c>
      <c r="BB1108" s="495" t="str">
        <f t="shared" si="128"/>
        <v/>
      </c>
      <c r="BC1108" s="495" t="str">
        <f t="shared" si="129"/>
        <v/>
      </c>
      <c r="BD1108" s="513" t="str">
        <f>IF(AND(L1108="",H1108=""),"",
IF(H1108="",Pole_Calc!A$9,
IF(H1108="MP",Pole_Calc!A$10,
IF(H1108="AnMP",Pole_Calc!A$11,
IF(H1108="A",Pole_Calc!A$12,
IF(H1108="S/A",Pole_Calc!A$13,
IF(H1108="A/S",Pole_Calc!A$14,"Poner a mano")))))))</f>
        <v>App.7-V11I-P9.5.1.2</v>
      </c>
      <c r="BE1108" s="429" t="s">
        <v>118</v>
      </c>
      <c r="BF1108" s="289"/>
      <c r="BG1108" s="289"/>
      <c r="BH1108" s="290"/>
      <c r="BI1108" s="289"/>
    </row>
    <row r="1109" spans="1:61" ht="15.6" customHeight="1">
      <c r="A1109" s="514"/>
      <c r="B1109" s="450"/>
      <c r="C1109" s="3"/>
      <c r="D1109" s="83"/>
      <c r="E1109" s="4"/>
      <c r="F1109" s="4"/>
      <c r="G1109" s="6">
        <v>53</v>
      </c>
      <c r="H1109" s="449"/>
      <c r="I1109" s="4">
        <f>SUM(G1109:G1129)</f>
        <v>660</v>
      </c>
      <c r="J1109" s="3"/>
      <c r="K1109" s="449"/>
      <c r="L1109" s="449"/>
      <c r="M1109" s="449" t="str">
        <f>IF(L1109="","",
IF(AX1109="PT",VLOOKUP(L1109,Foundation_Calc!$V$79:$X$113,VLOOKUP(AX1109,Foundation_Calc!$I$10:$J$13,2,FALSE),0),
IF(AX1109="K",VLOOKUP(L1109,Foundation_Calc!$V$117:$X$151,VLOOKUP(AX1109,Foundation_Calc!$I$10:$J$13,2,FALSE),0),"")))</f>
        <v/>
      </c>
      <c r="N1109" s="449"/>
      <c r="O1109" s="449"/>
      <c r="P1109" s="449"/>
      <c r="Q1109" s="4"/>
      <c r="R1109" s="6"/>
      <c r="S1109" s="6"/>
      <c r="T1109" s="4"/>
      <c r="U1109" s="4"/>
      <c r="V1109" s="4"/>
      <c r="W1109" s="9"/>
      <c r="X1109" s="9"/>
      <c r="Y1109" s="9"/>
      <c r="Z1109" s="9"/>
      <c r="AA1109" s="9"/>
      <c r="AB1109" s="9"/>
      <c r="AC1109" s="449" t="str">
        <f t="shared" si="126"/>
        <v/>
      </c>
      <c r="AD1109" s="449"/>
      <c r="AE1109" s="449"/>
      <c r="AF1109" s="4"/>
      <c r="AG1109" s="83"/>
      <c r="AH1109" s="4"/>
      <c r="AI1109" s="4"/>
      <c r="AJ1109" s="449"/>
      <c r="AK1109" s="449"/>
      <c r="AL1109" s="449"/>
      <c r="AM1109" s="449"/>
      <c r="AN1109" s="10"/>
      <c r="AO1109" s="9"/>
      <c r="AP1109" s="9"/>
      <c r="AQ1109" s="9">
        <f>+FL_2($T$1110,$T$1108,$G$1109,1200,9.28,-1*$F$1110)</f>
        <v>-0.39437277390629877</v>
      </c>
      <c r="AR1109" s="9"/>
      <c r="AS1109" s="9"/>
      <c r="AT1109" s="9"/>
      <c r="AU1109" s="428"/>
      <c r="AV1109" s="428"/>
      <c r="AW1109" s="449" t="str">
        <f>IF(C1109&gt;0,VLOOKUP(C1109,Foundation_Calc!$A$2:$C$13,3,1),
IF(J1109&gt;0,VLOOKUP(J1109,Foundation_Calc!$A$2:$C$13,3,1),""))</f>
        <v/>
      </c>
      <c r="AX1109" s="449" t="str">
        <f>IF(C1109&gt;0,VLOOKUP(C1109,Foundation_Calc!$E$2:$G$33,3,1),
IF(J1109&gt;0,VLOOKUP(J1109,Foundation_Calc!$E$2:$G$33,3,1),""))</f>
        <v/>
      </c>
      <c r="AY1109" s="10" t="str">
        <f>IF(L1109="","",
IF(AX1109="PT",VLOOKUP(L1109,Foundation_Calc!$K$79:$R$113,VLOOKUP(AW1109,Foundation_Calc!$I$2:$J$8,2,FALSE),0),
IF(AX1109="K",VLOOKUP(L1109,Foundation_Calc!$K$117:$R$151,VLOOKUP(AW1109,Foundation_Calc!$I$2:$J$8,2,FALSE),0),"")))</f>
        <v/>
      </c>
      <c r="AZ1109" s="10" t="str">
        <f>IF(K1109="","",
IF(AX1109="PT",VLOOKUP(K1109,Foundation_Calc!$K$79:$R$113,VLOOKUP(AW1109,Foundation_Calc!$I$2:$J$8,2,FALSE),0),
IF(AX1109="K",VLOOKUP(K1109,Foundation_Calc!$K$117:$R$151,VLOOKUP(AW1109,Foundation_Calc!$I$2:$J$8,2,FALSE),0),"")))</f>
        <v/>
      </c>
      <c r="BA1109" s="495" t="str">
        <f t="shared" si="127"/>
        <v/>
      </c>
      <c r="BB1109" s="495" t="str">
        <f t="shared" si="128"/>
        <v/>
      </c>
      <c r="BC1109" s="495" t="str">
        <f t="shared" si="129"/>
        <v/>
      </c>
      <c r="BD1109" s="513" t="str">
        <f>IF(AND(L1109="",H1109=""),"",
IF(H1109="",Pole_Calc!A$9,
IF(H1109="MP",Pole_Calc!A$10,
IF(H1109="AnMP",Pole_Calc!A$11,
IF(H1109="A",Pole_Calc!A$12,
IF(H1109="S/A",Pole_Calc!A$13,
IF(H1109="A/S",Pole_Calc!A$14,"Poner a mano")))))))</f>
        <v/>
      </c>
      <c r="BE1109" s="429" t="s">
        <v>118</v>
      </c>
      <c r="BF1109" s="290"/>
      <c r="BG1109" s="290"/>
      <c r="BH1109" s="290"/>
      <c r="BI1109" s="290"/>
    </row>
    <row r="1110" spans="1:61" ht="15.6" customHeight="1">
      <c r="A1110" s="518"/>
      <c r="B1110" s="450" t="s">
        <v>824</v>
      </c>
      <c r="C1110" s="3">
        <f>+$C$1108+$G$1109</f>
        <v>57198.119999999995</v>
      </c>
      <c r="D1110" s="83"/>
      <c r="E1110" s="4"/>
      <c r="F1110" s="4">
        <f>(571^2)/(C1110-57198.97)</f>
        <v>-383577.64705619682</v>
      </c>
      <c r="G1110" s="6"/>
      <c r="H1110" s="449" t="s">
        <v>168</v>
      </c>
      <c r="I1110" s="4"/>
      <c r="J1110" s="3"/>
      <c r="K1110" s="449"/>
      <c r="L1110" s="449" t="s">
        <v>158</v>
      </c>
      <c r="M1110" s="449" t="str">
        <f>IF(L1110="","",
IF(AX1110="PT",VLOOKUP(L1110,Foundation_Calc!$V$79:$X$113,VLOOKUP(AX1110,Foundation_Calc!$I$10:$J$13,2,FALSE),0),
IF(AX1110="K",VLOOKUP(L1110,Foundation_Calc!$V$117:$X$151,VLOOKUP(AX1110,Foundation_Calc!$I$10:$J$13,2,FALSE),0),"")))</f>
        <v>C4R</v>
      </c>
      <c r="N1110" s="449" t="s">
        <v>124</v>
      </c>
      <c r="O1110" s="449"/>
      <c r="P1110" s="449"/>
      <c r="Q1110" s="4"/>
      <c r="R1110" s="6"/>
      <c r="S1110" s="6"/>
      <c r="T1110" s="4">
        <v>-35</v>
      </c>
      <c r="U1110" s="4"/>
      <c r="V1110" s="4"/>
      <c r="W1110" s="9">
        <v>1.4</v>
      </c>
      <c r="X1110" s="9"/>
      <c r="Y1110" s="9"/>
      <c r="Z1110" s="9"/>
      <c r="AA1110" s="9"/>
      <c r="AB1110" s="9"/>
      <c r="AC1110" s="449" t="str">
        <f t="shared" si="126"/>
        <v>PHQ</v>
      </c>
      <c r="AD1110" s="449"/>
      <c r="AE1110" s="449"/>
      <c r="AF1110" s="4"/>
      <c r="AG1110" s="83"/>
      <c r="AH1110" s="4"/>
      <c r="AI1110" s="4"/>
      <c r="AJ1110" s="449"/>
      <c r="AK1110" s="449"/>
      <c r="AL1110" s="449"/>
      <c r="AM1110" s="449" t="s">
        <v>126</v>
      </c>
      <c r="AN1110" s="10">
        <v>5.5</v>
      </c>
      <c r="AO1110" s="9"/>
      <c r="AP1110" s="9"/>
      <c r="AQ1110" s="9"/>
      <c r="AR1110" s="9"/>
      <c r="AS1110" s="9"/>
      <c r="AT1110" s="9">
        <f>+ab($T$1110,$T$1108,$T$1112,$G$1109,$G$1111,-1*$F$1110,1200)</f>
        <v>-7.675590070067468</v>
      </c>
      <c r="AU1110" s="428"/>
      <c r="AV1110" s="428"/>
      <c r="AW1110" s="449" t="str">
        <f>IF(C1110&gt;0,VLOOKUP(C1110,Foundation_Calc!$A$2:$C$13,3,1),
IF(J1110&gt;0,VLOOKUP(J1110,Foundation_Calc!$A$2:$C$13,3,1),""))</f>
        <v>Multi Soil</v>
      </c>
      <c r="AX1110" s="449" t="str">
        <f>IF(C1110&gt;0,VLOOKUP(C1110,Foundation_Calc!$E$2:$G$33,3,1),
IF(J1110&gt;0,VLOOKUP(J1110,Foundation_Calc!$E$2:$G$33,3,1),""))</f>
        <v>PT</v>
      </c>
      <c r="AY1110" s="10">
        <f>IF(L1110="","",
IF(AX1110="PT",VLOOKUP(L1110,Foundation_Calc!$K$79:$R$113,VLOOKUP(AW1110,Foundation_Calc!$I$2:$J$8,2,FALSE),0),
IF(AX1110="K",VLOOKUP(L1110,Foundation_Calc!$K$117:$R$151,VLOOKUP(AW1110,Foundation_Calc!$I$2:$J$8,2,FALSE),0),"")))</f>
        <v>3.5</v>
      </c>
      <c r="AZ1110" s="10" t="str">
        <f>IF(K1110="","",
IF(AX1110="PT",VLOOKUP(K1110,Foundation_Calc!$K$79:$R$113,VLOOKUP(AW1110,Foundation_Calc!$I$2:$J$8,2,FALSE),0),
IF(AX1110="K",VLOOKUP(K1110,Foundation_Calc!$K$117:$R$151,VLOOKUP(AW1110,Foundation_Calc!$I$2:$J$8,2,FALSE),0),"")))</f>
        <v/>
      </c>
      <c r="BA1110" s="495" t="str">
        <f t="shared" si="127"/>
        <v>ü</v>
      </c>
      <c r="BB1110" s="495" t="str">
        <f t="shared" si="128"/>
        <v/>
      </c>
      <c r="BC1110" s="495" t="str">
        <f t="shared" si="129"/>
        <v/>
      </c>
      <c r="BD1110" s="513" t="str">
        <f>IF(AND(L1110="",H1110=""),"",
IF(H1110="",Pole_Calc!A$9,
IF(H1110="MP",Pole_Calc!A$10,
IF(H1110="AnMP",Pole_Calc!A$11,
IF(H1110="A",Pole_Calc!A$12,
IF(H1110="S/A",Pole_Calc!A$13,
IF(H1110="A/S",Pole_Calc!A$14,"Poner a mano")))))))</f>
        <v>App.7-V11I-P9.5.1.3</v>
      </c>
      <c r="BE1110" s="429" t="s">
        <v>118</v>
      </c>
      <c r="BF1110" s="289"/>
      <c r="BG1110" s="289"/>
      <c r="BH1110" s="290"/>
      <c r="BI1110" s="289"/>
    </row>
    <row r="1111" spans="1:61" ht="15.6" customHeight="1">
      <c r="A1111" s="518"/>
      <c r="B1111" s="450"/>
      <c r="C1111" s="3"/>
      <c r="D1111" s="83"/>
      <c r="E1111" s="4"/>
      <c r="F1111" s="4"/>
      <c r="G1111" s="6">
        <v>55</v>
      </c>
      <c r="H1111" s="449"/>
      <c r="I1111" s="4"/>
      <c r="J1111" s="3">
        <f>C1110+7.5</f>
        <v>57205.619999999995</v>
      </c>
      <c r="K1111" s="449" t="s">
        <v>166</v>
      </c>
      <c r="L1111" s="449"/>
      <c r="M1111" s="449" t="str">
        <f>IF(L1111="","",
IF(AX1111="PT",VLOOKUP(L1111,Foundation_Calc!$V$79:$X$113,VLOOKUP(AX1111,Foundation_Calc!$I$10:$J$13,2,FALSE),0),
IF(AX1111="K",VLOOKUP(L1111,Foundation_Calc!$V$117:$X$151,VLOOKUP(AX1111,Foundation_Calc!$I$10:$J$13,2,FALSE),0),"")))</f>
        <v/>
      </c>
      <c r="N1111" s="561"/>
      <c r="O1111" s="449"/>
      <c r="P1111" s="449"/>
      <c r="Q1111" s="4"/>
      <c r="R1111" s="6"/>
      <c r="S1111" s="6"/>
      <c r="T1111" s="4"/>
      <c r="U1111" s="4"/>
      <c r="V1111" s="4"/>
      <c r="W1111" s="9"/>
      <c r="X1111" s="9"/>
      <c r="Y1111" s="9"/>
      <c r="Z1111" s="9"/>
      <c r="AA1111" s="9"/>
      <c r="AB1111" s="9"/>
      <c r="AC1111" s="449" t="str">
        <f t="shared" si="126"/>
        <v/>
      </c>
      <c r="AD1111" s="449"/>
      <c r="AE1111" s="449"/>
      <c r="AF1111" s="4"/>
      <c r="AG1111" s="83"/>
      <c r="AH1111" s="4"/>
      <c r="AI1111" s="4"/>
      <c r="AJ1111" s="449"/>
      <c r="AK1111" s="449"/>
      <c r="AL1111" s="449"/>
      <c r="AM1111" s="449"/>
      <c r="AN1111" s="10"/>
      <c r="AO1111" s="9"/>
      <c r="AP1111" s="9"/>
      <c r="AQ1111" s="9">
        <f>+FL_2($T$1112,$T$1110,$G$1111,1200,9.28,-1*$F$1112)</f>
        <v>-0.39714735709090898</v>
      </c>
      <c r="AR1111" s="9"/>
      <c r="AS1111" s="9"/>
      <c r="AT1111" s="9"/>
      <c r="AU1111" s="428"/>
      <c r="AV1111" s="428"/>
      <c r="AW1111" s="449" t="str">
        <f>IF(C1111&gt;0,VLOOKUP(C1111,Foundation_Calc!$A$2:$C$13,3,1),
IF(J1111&gt;0,VLOOKUP(J1111,Foundation_Calc!$A$2:$C$13,3,1),""))</f>
        <v>Multi Soil</v>
      </c>
      <c r="AX1111" s="449" t="str">
        <f>IF(C1111&gt;0,VLOOKUP(C1111,Foundation_Calc!$E$2:$G$33,3,1),
IF(J1111&gt;0,VLOOKUP(J1111,Foundation_Calc!$E$2:$G$33,3,1),""))</f>
        <v>PT</v>
      </c>
      <c r="AY1111" s="10" t="str">
        <f>IF(L1111="","",
IF(AX1111="PT",VLOOKUP(L1111,Foundation_Calc!$K$79:$R$113,VLOOKUP(AW1111,Foundation_Calc!$I$2:$J$8,2,FALSE),0),
IF(AX1111="K",VLOOKUP(L1111,Foundation_Calc!$K$117:$R$151,VLOOKUP(AW1111,Foundation_Calc!$I$2:$J$8,2,FALSE),0),"")))</f>
        <v/>
      </c>
      <c r="AZ1111" s="10">
        <f>IF(K1111="","",
IF(AX1111="PT",VLOOKUP(K1111,Foundation_Calc!$K$79:$R$113,VLOOKUP(AW1111,Foundation_Calc!$I$2:$J$8,2,FALSE),0),
IF(AX1111="K",VLOOKUP(K1111,Foundation_Calc!$K$117:$R$151,VLOOKUP(AW1111,Foundation_Calc!$I$2:$J$8,2,FALSE),0),"")))</f>
        <v>2.8</v>
      </c>
      <c r="BA1111" s="495" t="str">
        <f t="shared" si="127"/>
        <v/>
      </c>
      <c r="BB1111" s="495" t="str">
        <f t="shared" si="128"/>
        <v>ü</v>
      </c>
      <c r="BC1111" s="495" t="str">
        <f t="shared" si="129"/>
        <v/>
      </c>
      <c r="BD1111" s="513" t="str">
        <f>IF(AND(L1111="",H1111=""),"",
IF(H1111="",Pole_Calc!A$9,
IF(H1111="MP",Pole_Calc!A$10,
IF(H1111="AnMP",Pole_Calc!A$11,
IF(H1111="A",Pole_Calc!A$12,
IF(H1111="S/A",Pole_Calc!A$13,
IF(H1111="A/S",Pole_Calc!A$14,"Poner a mano")))))))</f>
        <v/>
      </c>
      <c r="BE1111" s="429" t="s">
        <v>118</v>
      </c>
      <c r="BF1111" s="290"/>
      <c r="BG1111" s="290"/>
      <c r="BH1111" s="290"/>
      <c r="BI1111" s="290"/>
    </row>
    <row r="1112" spans="1:61" ht="15.6" customHeight="1">
      <c r="A1112" s="514"/>
      <c r="B1112" s="450" t="s">
        <v>825</v>
      </c>
      <c r="C1112" s="3">
        <f>+$C$1110+$G$1111</f>
        <v>57253.119999999995</v>
      </c>
      <c r="D1112" s="83"/>
      <c r="E1112" s="4"/>
      <c r="F1112" s="4">
        <f>IF(C1112&gt;0,VLOOKUP(C1112,'ALIGNMENT TRACK'!$A$1:$K$81,9,1))</f>
        <v>0</v>
      </c>
      <c r="G1112" s="6"/>
      <c r="H1112" s="449"/>
      <c r="I1112" s="4"/>
      <c r="J1112" s="3"/>
      <c r="K1112" s="449"/>
      <c r="L1112" s="449" t="s">
        <v>153</v>
      </c>
      <c r="M1112" s="449" t="str">
        <f>IF(L1112="","",
IF(AX1112="PT",VLOOKUP(L1112,Foundation_Calc!$V$79:$X$113,VLOOKUP(AX1112,Foundation_Calc!$I$10:$J$13,2,FALSE),0),
IF(AX1112="K",VLOOKUP(L1112,Foundation_Calc!$V$117:$X$151,VLOOKUP(AX1112,Foundation_Calc!$I$10:$J$13,2,FALSE),0),"")))</f>
        <v>C3RT</v>
      </c>
      <c r="N1112" s="449" t="s">
        <v>134</v>
      </c>
      <c r="O1112" s="449"/>
      <c r="P1112" s="449"/>
      <c r="Q1112" s="4"/>
      <c r="R1112" s="6"/>
      <c r="S1112" s="6"/>
      <c r="T1112" s="4">
        <v>35</v>
      </c>
      <c r="U1112" s="4"/>
      <c r="V1112" s="4"/>
      <c r="W1112" s="9">
        <v>1.4</v>
      </c>
      <c r="X1112" s="9"/>
      <c r="Y1112" s="9"/>
      <c r="Z1112" s="9"/>
      <c r="AA1112" s="9"/>
      <c r="AB1112" s="9"/>
      <c r="AC1112" s="449" t="str">
        <f t="shared" si="126"/>
        <v>PHQ</v>
      </c>
      <c r="AD1112" s="449"/>
      <c r="AE1112" s="449"/>
      <c r="AF1112" s="4"/>
      <c r="AG1112" s="83"/>
      <c r="AH1112" s="4"/>
      <c r="AI1112" s="4"/>
      <c r="AJ1112" s="449"/>
      <c r="AK1112" s="449"/>
      <c r="AL1112" s="449"/>
      <c r="AM1112" s="449" t="s">
        <v>126</v>
      </c>
      <c r="AN1112" s="10">
        <v>5.5</v>
      </c>
      <c r="AO1112" s="9"/>
      <c r="AP1112" s="9"/>
      <c r="AQ1112" s="9"/>
      <c r="AR1112" s="9"/>
      <c r="AS1112" s="9"/>
      <c r="AT1112" s="9">
        <f>+ab($T$1112,$T$1110,$T$1114,$G$1111,$G$1113,-1*$F$1112,1200)</f>
        <v>7.8175137683875535</v>
      </c>
      <c r="AU1112" s="428"/>
      <c r="AV1112" s="428"/>
      <c r="AW1112" s="449" t="str">
        <f>IF(C1112&gt;0,VLOOKUP(C1112,Foundation_Calc!$A$2:$C$13,3,1),
IF(J1112&gt;0,VLOOKUP(J1112,Foundation_Calc!$A$2:$C$13,3,1),""))</f>
        <v>Multi Soil</v>
      </c>
      <c r="AX1112" s="449" t="str">
        <f>IF(C1112&gt;0,VLOOKUP(C1112,Foundation_Calc!$E$2:$G$33,3,1),
IF(J1112&gt;0,VLOOKUP(J1112,Foundation_Calc!$E$2:$G$33,3,1),""))</f>
        <v>K</v>
      </c>
      <c r="AY1112" s="10">
        <f>IF(L1112="","",
IF(AX1112="PT",VLOOKUP(L1112,Foundation_Calc!$K$79:$R$113,VLOOKUP(AW1112,Foundation_Calc!$I$2:$J$8,2,FALSE),0),
IF(AX1112="K",VLOOKUP(L1112,Foundation_Calc!$K$117:$R$151,VLOOKUP(AW1112,Foundation_Calc!$I$2:$J$8,2,FALSE),0),"")))</f>
        <v>4</v>
      </c>
      <c r="AZ1112" s="10" t="str">
        <f>IF(K1112="","",
IF(AX1112="PT",VLOOKUP(K1112,Foundation_Calc!$K$79:$R$113,VLOOKUP(AW1112,Foundation_Calc!$I$2:$J$8,2,FALSE),0),
IF(AX1112="K",VLOOKUP(K1112,Foundation_Calc!$K$117:$R$151,VLOOKUP(AW1112,Foundation_Calc!$I$2:$J$8,2,FALSE),0),"")))</f>
        <v/>
      </c>
      <c r="BA1112" s="495" t="str">
        <f t="shared" si="127"/>
        <v>ü</v>
      </c>
      <c r="BB1112" s="495" t="str">
        <f t="shared" si="128"/>
        <v/>
      </c>
      <c r="BC1112" s="495" t="str">
        <f t="shared" si="129"/>
        <v/>
      </c>
      <c r="BD1112" s="513" t="str">
        <f>IF(AND(L1112="",H1112=""),"",
IF(H1112="",Pole_Calc!A$9,
IF(H1112="MP",Pole_Calc!A$10,
IF(H1112="AnMP",Pole_Calc!A$11,
IF(H1112="A",Pole_Calc!A$12,
IF(H1112="S/A",Pole_Calc!A$13,
IF(H1112="A/S",Pole_Calc!A$14,"Poner a mano")))))))</f>
        <v>App.7-V11I-P9.5.1.1</v>
      </c>
      <c r="BE1112" s="429" t="s">
        <v>118</v>
      </c>
      <c r="BF1112" s="289"/>
      <c r="BG1112" s="289"/>
      <c r="BH1112" s="290"/>
      <c r="BI1112" s="289"/>
    </row>
    <row r="1113" spans="1:61" ht="15.6" customHeight="1">
      <c r="A1113" s="607"/>
      <c r="B1113" s="536"/>
      <c r="C1113" s="537"/>
      <c r="D1113" s="538"/>
      <c r="E1113" s="539"/>
      <c r="F1113" s="539"/>
      <c r="G1113" s="540">
        <v>60</v>
      </c>
      <c r="H1113" s="541"/>
      <c r="I1113" s="539"/>
      <c r="J1113" s="537"/>
      <c r="K1113" s="541"/>
      <c r="L1113" s="541"/>
      <c r="M1113" s="541" t="str">
        <f>IF(L1113="","",
IF(AX1113="PT",VLOOKUP(L1113,Foundation_Calc!$V$79:$X$113,VLOOKUP(AX1113,Foundation_Calc!$I$10:$J$13,2,FALSE),0),
IF(AX1113="K",VLOOKUP(L1113,Foundation_Calc!$V$117:$X$151,VLOOKUP(AX1113,Foundation_Calc!$I$10:$J$13,2,FALSE),0),"")))</f>
        <v/>
      </c>
      <c r="N1113" s="541"/>
      <c r="O1113" s="541"/>
      <c r="P1113" s="541"/>
      <c r="Q1113" s="539"/>
      <c r="R1113" s="540"/>
      <c r="S1113" s="540"/>
      <c r="T1113" s="539"/>
      <c r="U1113" s="539"/>
      <c r="V1113" s="539"/>
      <c r="W1113" s="542"/>
      <c r="X1113" s="542"/>
      <c r="Y1113" s="542"/>
      <c r="Z1113" s="542"/>
      <c r="AA1113" s="542"/>
      <c r="AB1113" s="542"/>
      <c r="AC1113" s="541" t="str">
        <f t="shared" si="126"/>
        <v/>
      </c>
      <c r="AD1113" s="541"/>
      <c r="AE1113" s="541"/>
      <c r="AF1113" s="539"/>
      <c r="AG1113" s="538"/>
      <c r="AH1113" s="539"/>
      <c r="AI1113" s="539"/>
      <c r="AJ1113" s="541"/>
      <c r="AK1113" s="541"/>
      <c r="AL1113" s="541"/>
      <c r="AM1113" s="541"/>
      <c r="AN1113" s="543"/>
      <c r="AO1113" s="542"/>
      <c r="AP1113" s="542"/>
      <c r="AQ1113" s="542">
        <f>+FL_2($T$1114,$T$1112,$G$1113,1200,9.28,-1*$F$1114)</f>
        <v>-0.43600286799999999</v>
      </c>
      <c r="AR1113" s="542"/>
      <c r="AS1113" s="542"/>
      <c r="AT1113" s="542"/>
      <c r="AU1113" s="544"/>
      <c r="AV1113" s="544"/>
      <c r="AW1113" s="541" t="str">
        <f>IF(C1113&gt;0,VLOOKUP(C1113,Foundation_Calc!$A$2:$C$13,3,1),
IF(J1113&gt;0,VLOOKUP(J1113,Foundation_Calc!$A$2:$C$13,3,1),""))</f>
        <v/>
      </c>
      <c r="AX1113" s="541" t="str">
        <f>IF(C1113&gt;0,VLOOKUP(C1113,Foundation_Calc!$E$2:$G$33,3,1),
IF(J1113&gt;0,VLOOKUP(J1113,Foundation_Calc!$E$2:$G$33,3,1),""))</f>
        <v/>
      </c>
      <c r="AY1113" s="543" t="str">
        <f>IF(L1113="","",
IF(AX1113="PT",VLOOKUP(L1113,Foundation_Calc!$K$79:$R$113,VLOOKUP(AW1113,Foundation_Calc!$I$2:$J$8,2,FALSE),0),
IF(AX1113="K",VLOOKUP(L1113,Foundation_Calc!$K$117:$R$151,VLOOKUP(AW1113,Foundation_Calc!$I$2:$J$8,2,FALSE),0),"")))</f>
        <v/>
      </c>
      <c r="AZ1113" s="543" t="str">
        <f>IF(K1113="","",
IF(AX1113="PT",VLOOKUP(K1113,Foundation_Calc!$K$79:$R$113,VLOOKUP(AW1113,Foundation_Calc!$I$2:$J$8,2,FALSE),0),
IF(AX1113="K",VLOOKUP(K1113,Foundation_Calc!$K$117:$R$151,VLOOKUP(AW1113,Foundation_Calc!$I$2:$J$8,2,FALSE),0),"")))</f>
        <v/>
      </c>
      <c r="BA1113" s="550" t="str">
        <f t="shared" si="127"/>
        <v/>
      </c>
      <c r="BB1113" s="550" t="str">
        <f t="shared" si="128"/>
        <v/>
      </c>
      <c r="BC1113" s="550" t="str">
        <f t="shared" si="129"/>
        <v/>
      </c>
      <c r="BD1113" s="516" t="str">
        <f>IF(AND(L1113="",H1113=""),"",
IF(H1113="",Pole_Calc!A$9,
IF(H1113="MP",Pole_Calc!A$10,
IF(H1113="AnMP",Pole_Calc!A$11,
IF(H1113="A",Pole_Calc!A$12,
IF(H1113="S/A",Pole_Calc!A$13,
IF(H1113="A/S",Pole_Calc!A$14,"Poner a mano")))))))</f>
        <v/>
      </c>
      <c r="BE1113" s="429" t="s">
        <v>118</v>
      </c>
      <c r="BF1113" s="290"/>
      <c r="BG1113" s="290"/>
      <c r="BH1113" s="290"/>
      <c r="BI1113" s="290"/>
    </row>
    <row r="1114" spans="1:61" ht="15.6" customHeight="1">
      <c r="A1114" s="514"/>
      <c r="B1114" s="450" t="s">
        <v>826</v>
      </c>
      <c r="C1114" s="3">
        <f>+$C$1112+$G$1113</f>
        <v>57313.119999999995</v>
      </c>
      <c r="D1114" s="83"/>
      <c r="E1114" s="4"/>
      <c r="F1114" s="4">
        <f>IF(C1114&gt;0,VLOOKUP(C1114,'ALIGNMENT TRACK'!$A$1:$K$81,9,1))</f>
        <v>0</v>
      </c>
      <c r="G1114" s="6"/>
      <c r="H1114" s="449"/>
      <c r="I1114" s="4"/>
      <c r="J1114" s="3"/>
      <c r="K1114" s="449"/>
      <c r="L1114" s="449" t="s">
        <v>153</v>
      </c>
      <c r="M1114" s="449" t="str">
        <f>IF(L1114="","",
IF(AX1114="PT",VLOOKUP(L1114,Foundation_Calc!$V$79:$X$113,VLOOKUP(AX1114,Foundation_Calc!$I$10:$J$13,2,FALSE),0),
IF(AX1114="K",VLOOKUP(L1114,Foundation_Calc!$V$117:$X$151,VLOOKUP(AX1114,Foundation_Calc!$I$10:$J$13,2,FALSE),0),"")))</f>
        <v>C3RT</v>
      </c>
      <c r="N1114" s="449" t="s">
        <v>124</v>
      </c>
      <c r="O1114" s="449"/>
      <c r="P1114" s="449"/>
      <c r="Q1114" s="4"/>
      <c r="R1114" s="6"/>
      <c r="S1114" s="6"/>
      <c r="T1114" s="4">
        <v>-35</v>
      </c>
      <c r="U1114" s="4"/>
      <c r="V1114" s="4"/>
      <c r="W1114" s="9">
        <v>1.4</v>
      </c>
      <c r="X1114" s="9"/>
      <c r="Y1114" s="9"/>
      <c r="Z1114" s="9"/>
      <c r="AA1114" s="9"/>
      <c r="AB1114" s="9"/>
      <c r="AC1114" s="449" t="str">
        <f t="shared" si="126"/>
        <v>PH</v>
      </c>
      <c r="AD1114" s="449"/>
      <c r="AE1114" s="449"/>
      <c r="AF1114" s="4"/>
      <c r="AG1114" s="83"/>
      <c r="AH1114" s="4"/>
      <c r="AI1114" s="4"/>
      <c r="AJ1114" s="449"/>
      <c r="AK1114" s="449"/>
      <c r="AL1114" s="449"/>
      <c r="AM1114" s="449" t="s">
        <v>126</v>
      </c>
      <c r="AN1114" s="10">
        <v>5.5</v>
      </c>
      <c r="AO1114" s="9"/>
      <c r="AP1114" s="9"/>
      <c r="AQ1114" s="9"/>
      <c r="AR1114" s="9"/>
      <c r="AS1114" s="9"/>
      <c r="AT1114" s="9">
        <f>+ab($T$1114,$T$1112,$T$1116,$G$1113,$G$1115,-1*$F$1114,1200)</f>
        <v>-8.300256796512933</v>
      </c>
      <c r="AU1114" s="428"/>
      <c r="AV1114" s="428"/>
      <c r="AW1114" s="449" t="str">
        <f>IF(C1114&gt;0,VLOOKUP(C1114,Foundation_Calc!$A$2:$C$13,3,1),
IF(J1114&gt;0,VLOOKUP(J1114,Foundation_Calc!$A$2:$C$13,3,1),""))</f>
        <v>Multi Soil</v>
      </c>
      <c r="AX1114" s="449" t="str">
        <f>IF(C1114&gt;0,VLOOKUP(C1114,Foundation_Calc!$E$2:$G$33,3,1),
IF(J1114&gt;0,VLOOKUP(J1114,Foundation_Calc!$E$2:$G$33,3,1),""))</f>
        <v>K</v>
      </c>
      <c r="AY1114" s="10">
        <f>IF(L1114="","",
IF(AX1114="PT",VLOOKUP(L1114,Foundation_Calc!$K$79:$R$113,VLOOKUP(AW1114,Foundation_Calc!$I$2:$J$8,2,FALSE),0),
IF(AX1114="K",VLOOKUP(L1114,Foundation_Calc!$K$117:$R$151,VLOOKUP(AW1114,Foundation_Calc!$I$2:$J$8,2,FALSE),0),"")))</f>
        <v>4</v>
      </c>
      <c r="AZ1114" s="10" t="str">
        <f>IF(K1114="","",
IF(AX1114="PT",VLOOKUP(K1114,Foundation_Calc!$K$79:$R$113,VLOOKUP(AW1114,Foundation_Calc!$I$2:$J$8,2,FALSE),0),
IF(AX1114="K",VLOOKUP(K1114,Foundation_Calc!$K$117:$R$151,VLOOKUP(AW1114,Foundation_Calc!$I$2:$J$8,2,FALSE),0),"")))</f>
        <v/>
      </c>
      <c r="BA1114" s="495" t="str">
        <f t="shared" si="127"/>
        <v>ü</v>
      </c>
      <c r="BB1114" s="495" t="str">
        <f t="shared" si="128"/>
        <v/>
      </c>
      <c r="BC1114" s="495" t="str">
        <f t="shared" si="129"/>
        <v/>
      </c>
      <c r="BD1114" s="513" t="str">
        <f>IF(AND(L1114="",H1114=""),"",
IF(H1114="",Pole_Calc!A$9,
IF(H1114="MP",Pole_Calc!A$10,
IF(H1114="AnMP",Pole_Calc!A$11,
IF(H1114="A",Pole_Calc!A$12,
IF(H1114="S/A",Pole_Calc!A$13,
IF(H1114="A/S",Pole_Calc!A$14,"Poner a mano")))))))</f>
        <v>App.7-V11I-P9.5.1.1</v>
      </c>
      <c r="BE1114" s="429" t="s">
        <v>118</v>
      </c>
      <c r="BF1114" s="289"/>
      <c r="BG1114" s="289"/>
      <c r="BH1114" s="290"/>
      <c r="BI1114" s="289"/>
    </row>
    <row r="1115" spans="1:61" ht="15.6" customHeight="1">
      <c r="A1115" s="514"/>
      <c r="B1115" s="450"/>
      <c r="C1115" s="3"/>
      <c r="D1115" s="83"/>
      <c r="E1115" s="4"/>
      <c r="F1115" s="4"/>
      <c r="G1115" s="6">
        <v>62</v>
      </c>
      <c r="H1115" s="449"/>
      <c r="I1115" s="4"/>
      <c r="J1115" s="3"/>
      <c r="K1115" s="449"/>
      <c r="L1115" s="449"/>
      <c r="M1115" s="449" t="str">
        <f>IF(L1115="","",
IF(AX1115="PT",VLOOKUP(L1115,Foundation_Calc!$V$79:$X$113,VLOOKUP(AX1115,Foundation_Calc!$I$10:$J$13,2,FALSE),0),
IF(AX1115="K",VLOOKUP(L1115,Foundation_Calc!$V$117:$X$151,VLOOKUP(AX1115,Foundation_Calc!$I$10:$J$13,2,FALSE),0),"")))</f>
        <v/>
      </c>
      <c r="N1115" s="449"/>
      <c r="O1115" s="449"/>
      <c r="P1115" s="449"/>
      <c r="Q1115" s="4"/>
      <c r="R1115" s="6"/>
      <c r="S1115" s="6"/>
      <c r="T1115" s="4"/>
      <c r="U1115" s="4"/>
      <c r="V1115" s="4"/>
      <c r="W1115" s="9"/>
      <c r="X1115" s="9"/>
      <c r="Y1115" s="9"/>
      <c r="Z1115" s="9"/>
      <c r="AA1115" s="9"/>
      <c r="AB1115" s="9"/>
      <c r="AC1115" s="449" t="str">
        <f t="shared" si="126"/>
        <v/>
      </c>
      <c r="AD1115" s="449"/>
      <c r="AE1115" s="449"/>
      <c r="AF1115" s="4"/>
      <c r="AG1115" s="83"/>
      <c r="AH1115" s="4"/>
      <c r="AI1115" s="4"/>
      <c r="AJ1115" s="449"/>
      <c r="AK1115" s="449"/>
      <c r="AL1115" s="449"/>
      <c r="AM1115" s="449"/>
      <c r="AN1115" s="10"/>
      <c r="AO1115" s="9"/>
      <c r="AP1115" s="9"/>
      <c r="AQ1115" s="9">
        <f>+FL_1($T$1116,$T$1114,$G$1115,1200,9.28,-1*$F$1116)</f>
        <v>0.45400350967741931</v>
      </c>
      <c r="AR1115" s="9"/>
      <c r="AS1115" s="9"/>
      <c r="AT1115" s="9"/>
      <c r="AU1115" s="428"/>
      <c r="AV1115" s="428"/>
      <c r="AW1115" s="449" t="str">
        <f>IF(C1115&gt;0,VLOOKUP(C1115,Foundation_Calc!$A$2:$C$13,3,1),
IF(J1115&gt;0,VLOOKUP(J1115,Foundation_Calc!$A$2:$C$13,3,1),""))</f>
        <v/>
      </c>
      <c r="AX1115" s="449" t="str">
        <f>IF(C1115&gt;0,VLOOKUP(C1115,Foundation_Calc!$E$2:$G$33,3,1),
IF(J1115&gt;0,VLOOKUP(J1115,Foundation_Calc!$E$2:$G$33,3,1),""))</f>
        <v/>
      </c>
      <c r="AY1115" s="10" t="str">
        <f>IF(L1115="","",
IF(AX1115="PT",VLOOKUP(L1115,Foundation_Calc!$K$79:$R$113,VLOOKUP(AW1115,Foundation_Calc!$I$2:$J$8,2,FALSE),0),
IF(AX1115="K",VLOOKUP(L1115,Foundation_Calc!$K$117:$R$151,VLOOKUP(AW1115,Foundation_Calc!$I$2:$J$8,2,FALSE),0),"")))</f>
        <v/>
      </c>
      <c r="AZ1115" s="10" t="str">
        <f>IF(K1115="","",
IF(AX1115="PT",VLOOKUP(K1115,Foundation_Calc!$K$79:$R$113,VLOOKUP(AW1115,Foundation_Calc!$I$2:$J$8,2,FALSE),0),
IF(AX1115="K",VLOOKUP(K1115,Foundation_Calc!$K$117:$R$151,VLOOKUP(AW1115,Foundation_Calc!$I$2:$J$8,2,FALSE),0),"")))</f>
        <v/>
      </c>
      <c r="BA1115" s="495" t="str">
        <f t="shared" si="127"/>
        <v/>
      </c>
      <c r="BB1115" s="495" t="str">
        <f t="shared" si="128"/>
        <v/>
      </c>
      <c r="BC1115" s="495" t="str">
        <f t="shared" si="129"/>
        <v/>
      </c>
      <c r="BD1115" s="513" t="str">
        <f>IF(AND(L1115="",H1115=""),"",
IF(H1115="",Pole_Calc!A$9,
IF(H1115="MP",Pole_Calc!A$10,
IF(H1115="AnMP",Pole_Calc!A$11,
IF(H1115="A",Pole_Calc!A$12,
IF(H1115="S/A",Pole_Calc!A$13,
IF(H1115="A/S",Pole_Calc!A$14,"Poner a mano")))))))</f>
        <v/>
      </c>
      <c r="BE1115" s="429" t="s">
        <v>118</v>
      </c>
      <c r="BF1115" s="290"/>
      <c r="BG1115" s="290"/>
      <c r="BH1115" s="290"/>
      <c r="BI1115" s="290"/>
    </row>
    <row r="1116" spans="1:61" ht="15.6" customHeight="1">
      <c r="A1116" s="514"/>
      <c r="B1116" s="450" t="s">
        <v>827</v>
      </c>
      <c r="C1116" s="3">
        <f>+$C$1114+$G$1115</f>
        <v>57375.119999999995</v>
      </c>
      <c r="D1116" s="83"/>
      <c r="E1116" s="4"/>
      <c r="F1116" s="4">
        <f>IF(C1116&gt;0,VLOOKUP(C1116,'ALIGNMENT TRACK'!$A$1:$K$81,9,1))</f>
        <v>0</v>
      </c>
      <c r="G1116" s="6"/>
      <c r="H1116" s="449"/>
      <c r="I1116" s="4"/>
      <c r="J1116" s="3"/>
      <c r="K1116" s="449"/>
      <c r="L1116" s="449" t="s">
        <v>153</v>
      </c>
      <c r="M1116" s="449" t="str">
        <f>IF(L1116="","",
IF(AX1116="PT",VLOOKUP(L1116,Foundation_Calc!$V$79:$X$113,VLOOKUP(AX1116,Foundation_Calc!$I$10:$J$13,2,FALSE),0),
IF(AX1116="K",VLOOKUP(L1116,Foundation_Calc!$V$117:$X$151,VLOOKUP(AX1116,Foundation_Calc!$I$10:$J$13,2,FALSE),0),"")))</f>
        <v>C3RT</v>
      </c>
      <c r="N1116" s="449" t="s">
        <v>134</v>
      </c>
      <c r="O1116" s="449"/>
      <c r="P1116" s="449"/>
      <c r="Q1116" s="4"/>
      <c r="R1116" s="6"/>
      <c r="S1116" s="6"/>
      <c r="T1116" s="4">
        <v>35</v>
      </c>
      <c r="U1116" s="4"/>
      <c r="V1116" s="4"/>
      <c r="W1116" s="9">
        <v>1.4</v>
      </c>
      <c r="X1116" s="9"/>
      <c r="Y1116" s="9"/>
      <c r="Z1116" s="9"/>
      <c r="AA1116" s="9"/>
      <c r="AB1116" s="9"/>
      <c r="AC1116" s="449" t="str">
        <f t="shared" si="126"/>
        <v>PH</v>
      </c>
      <c r="AD1116" s="449"/>
      <c r="AE1116" s="449"/>
      <c r="AF1116" s="4"/>
      <c r="AG1116" s="83"/>
      <c r="AH1116" s="4"/>
      <c r="AI1116" s="4"/>
      <c r="AJ1116" s="449"/>
      <c r="AK1116" s="449"/>
      <c r="AL1116" s="449"/>
      <c r="AM1116" s="449" t="s">
        <v>126</v>
      </c>
      <c r="AN1116" s="10">
        <v>5.5</v>
      </c>
      <c r="AO1116" s="9"/>
      <c r="AP1116" s="9"/>
      <c r="AQ1116" s="9"/>
      <c r="AR1116" s="9"/>
      <c r="AS1116" s="9"/>
      <c r="AT1116" s="9">
        <f>+ab($T$1116,$T$1114,$T$1118,$G$1115,$G$1117,-1*$F$1116,1200)</f>
        <v>8.4365744899000195</v>
      </c>
      <c r="AU1116" s="428"/>
      <c r="AV1116" s="428"/>
      <c r="AW1116" s="449" t="str">
        <f>IF(C1116&gt;0,VLOOKUP(C1116,Foundation_Calc!$A$2:$C$13,3,1),
IF(J1116&gt;0,VLOOKUP(J1116,Foundation_Calc!$A$2:$C$13,3,1),""))</f>
        <v>Multi Soil</v>
      </c>
      <c r="AX1116" s="449" t="str">
        <f>IF(C1116&gt;0,VLOOKUP(C1116,Foundation_Calc!$E$2:$G$33,3,1),
IF(J1116&gt;0,VLOOKUP(J1116,Foundation_Calc!$E$2:$G$33,3,1),""))</f>
        <v>K</v>
      </c>
      <c r="AY1116" s="10">
        <f>IF(L1116="","",
IF(AX1116="PT",VLOOKUP(L1116,Foundation_Calc!$K$79:$R$113,VLOOKUP(AW1116,Foundation_Calc!$I$2:$J$8,2,FALSE),0),
IF(AX1116="K",VLOOKUP(L1116,Foundation_Calc!$K$117:$R$151,VLOOKUP(AW1116,Foundation_Calc!$I$2:$J$8,2,FALSE),0),"")))</f>
        <v>4</v>
      </c>
      <c r="AZ1116" s="10" t="str">
        <f>IF(K1116="","",
IF(AX1116="PT",VLOOKUP(K1116,Foundation_Calc!$K$79:$R$113,VLOOKUP(AW1116,Foundation_Calc!$I$2:$J$8,2,FALSE),0),
IF(AX1116="K",VLOOKUP(K1116,Foundation_Calc!$K$117:$R$151,VLOOKUP(AW1116,Foundation_Calc!$I$2:$J$8,2,FALSE),0),"")))</f>
        <v/>
      </c>
      <c r="BA1116" s="495" t="str">
        <f t="shared" si="127"/>
        <v>ü</v>
      </c>
      <c r="BB1116" s="495" t="str">
        <f t="shared" si="128"/>
        <v/>
      </c>
      <c r="BC1116" s="495" t="str">
        <f t="shared" si="129"/>
        <v/>
      </c>
      <c r="BD1116" s="513" t="str">
        <f>IF(AND(L1116="",H1116=""),"",
IF(H1116="",Pole_Calc!A$9,
IF(H1116="MP",Pole_Calc!A$10,
IF(H1116="AnMP",Pole_Calc!A$11,
IF(H1116="A",Pole_Calc!A$12,
IF(H1116="S/A",Pole_Calc!A$13,
IF(H1116="A/S",Pole_Calc!A$14,"Poner a mano")))))))</f>
        <v>App.7-V11I-P9.5.1.1</v>
      </c>
      <c r="BE1116" s="429" t="s">
        <v>118</v>
      </c>
      <c r="BF1116" s="289"/>
      <c r="BG1116" s="289"/>
      <c r="BH1116" s="290"/>
      <c r="BI1116" s="289"/>
    </row>
    <row r="1117" spans="1:61" ht="15.6" customHeight="1">
      <c r="A1117" s="514"/>
      <c r="B1117" s="450"/>
      <c r="C1117" s="3"/>
      <c r="D1117" s="83"/>
      <c r="E1117" s="4"/>
      <c r="F1117" s="4"/>
      <c r="G1117" s="6">
        <v>62</v>
      </c>
      <c r="H1117" s="449"/>
      <c r="I1117" s="4"/>
      <c r="J1117" s="3"/>
      <c r="K1117" s="449"/>
      <c r="L1117" s="449"/>
      <c r="M1117" s="449" t="str">
        <f>IF(L1117="","",
IF(AX1117="PT",VLOOKUP(L1117,Foundation_Calc!$V$79:$X$113,VLOOKUP(AX1117,Foundation_Calc!$I$10:$J$13,2,FALSE),0),
IF(AX1117="K",VLOOKUP(L1117,Foundation_Calc!$V$117:$X$151,VLOOKUP(AX1117,Foundation_Calc!$I$10:$J$13,2,FALSE),0),"")))</f>
        <v/>
      </c>
      <c r="N1117" s="449"/>
      <c r="O1117" s="449"/>
      <c r="P1117" s="449"/>
      <c r="Q1117" s="4"/>
      <c r="R1117" s="6"/>
      <c r="S1117" s="6"/>
      <c r="T1117" s="4"/>
      <c r="U1117" s="4"/>
      <c r="V1117" s="4"/>
      <c r="W1117" s="9"/>
      <c r="X1117" s="9"/>
      <c r="Y1117" s="9"/>
      <c r="Z1117" s="9"/>
      <c r="AA1117" s="9"/>
      <c r="AB1117" s="9"/>
      <c r="AC1117" s="449" t="str">
        <f t="shared" si="126"/>
        <v/>
      </c>
      <c r="AD1117" s="449"/>
      <c r="AE1117" s="449"/>
      <c r="AF1117" s="4"/>
      <c r="AG1117" s="83"/>
      <c r="AH1117" s="4"/>
      <c r="AI1117" s="4"/>
      <c r="AJ1117" s="449"/>
      <c r="AK1117" s="449"/>
      <c r="AL1117" s="449"/>
      <c r="AM1117" s="449"/>
      <c r="AN1117" s="10"/>
      <c r="AO1117" s="9"/>
      <c r="AP1117" s="9"/>
      <c r="AQ1117" s="9">
        <f>+FL_2($T$1118,$T$1116,$G$1117,1200,9.28,-1*$F$1118)</f>
        <v>-0.45400350967741931</v>
      </c>
      <c r="AR1117" s="9"/>
      <c r="AS1117" s="9"/>
      <c r="AT1117" s="9"/>
      <c r="AU1117" s="428"/>
      <c r="AV1117" s="428"/>
      <c r="AW1117" s="449" t="str">
        <f>IF(C1117&gt;0,VLOOKUP(C1117,Foundation_Calc!$A$2:$C$13,3,1),
IF(J1117&gt;0,VLOOKUP(J1117,Foundation_Calc!$A$2:$C$13,3,1),""))</f>
        <v/>
      </c>
      <c r="AX1117" s="449" t="str">
        <f>IF(C1117&gt;0,VLOOKUP(C1117,Foundation_Calc!$E$2:$G$33,3,1),
IF(J1117&gt;0,VLOOKUP(J1117,Foundation_Calc!$E$2:$G$33,3,1),""))</f>
        <v/>
      </c>
      <c r="AY1117" s="10" t="str">
        <f>IF(L1117="","",
IF(AX1117="PT",VLOOKUP(L1117,Foundation_Calc!$K$79:$R$113,VLOOKUP(AW1117,Foundation_Calc!$I$2:$J$8,2,FALSE),0),
IF(AX1117="K",VLOOKUP(L1117,Foundation_Calc!$K$117:$R$151,VLOOKUP(AW1117,Foundation_Calc!$I$2:$J$8,2,FALSE),0),"")))</f>
        <v/>
      </c>
      <c r="AZ1117" s="10" t="str">
        <f>IF(K1117="","",
IF(AX1117="PT",VLOOKUP(K1117,Foundation_Calc!$K$79:$R$113,VLOOKUP(AW1117,Foundation_Calc!$I$2:$J$8,2,FALSE),0),
IF(AX1117="K",VLOOKUP(K1117,Foundation_Calc!$K$117:$R$151,VLOOKUP(AW1117,Foundation_Calc!$I$2:$J$8,2,FALSE),0),"")))</f>
        <v/>
      </c>
      <c r="BA1117" s="495" t="str">
        <f t="shared" si="127"/>
        <v/>
      </c>
      <c r="BB1117" s="495" t="str">
        <f t="shared" si="128"/>
        <v/>
      </c>
      <c r="BC1117" s="495" t="str">
        <f t="shared" si="129"/>
        <v/>
      </c>
      <c r="BD1117" s="513" t="str">
        <f>IF(AND(L1117="",H1117=""),"",
IF(H1117="",Pole_Calc!A$9,
IF(H1117="MP",Pole_Calc!A$10,
IF(H1117="AnMP",Pole_Calc!A$11,
IF(H1117="A",Pole_Calc!A$12,
IF(H1117="S/A",Pole_Calc!A$13,
IF(H1117="A/S",Pole_Calc!A$14,"Poner a mano")))))))</f>
        <v/>
      </c>
      <c r="BE1117" s="429" t="s">
        <v>118</v>
      </c>
      <c r="BF1117" s="290"/>
      <c r="BG1117" s="290"/>
      <c r="BH1117" s="290"/>
      <c r="BI1117" s="290"/>
    </row>
    <row r="1118" spans="1:61" ht="15.6" customHeight="1">
      <c r="A1118" s="514"/>
      <c r="B1118" s="450" t="s">
        <v>828</v>
      </c>
      <c r="C1118" s="3">
        <f>+$C$1116+$G$1117</f>
        <v>57437.119999999995</v>
      </c>
      <c r="D1118" s="83"/>
      <c r="E1118" s="4"/>
      <c r="F1118" s="4">
        <f>IF(C1118&gt;0,VLOOKUP(C1118,'ALIGNMENT TRACK'!$A$1:$K$81,9,1))</f>
        <v>0</v>
      </c>
      <c r="G1118" s="6"/>
      <c r="H1118" s="449"/>
      <c r="I1118" s="4"/>
      <c r="J1118" s="3"/>
      <c r="K1118" s="449"/>
      <c r="L1118" s="449" t="s">
        <v>153</v>
      </c>
      <c r="M1118" s="449" t="str">
        <f>IF(L1118="","",
IF(AX1118="PT",VLOOKUP(L1118,Foundation_Calc!$V$79:$X$113,VLOOKUP(AX1118,Foundation_Calc!$I$10:$J$13,2,FALSE),0),
IF(AX1118="K",VLOOKUP(L1118,Foundation_Calc!$V$117:$X$151,VLOOKUP(AX1118,Foundation_Calc!$I$10:$J$13,2,FALSE),0),"")))</f>
        <v>C3RT</v>
      </c>
      <c r="N1118" s="449" t="s">
        <v>124</v>
      </c>
      <c r="O1118" s="449"/>
      <c r="P1118" s="449"/>
      <c r="Q1118" s="4"/>
      <c r="R1118" s="6"/>
      <c r="S1118" s="6"/>
      <c r="T1118" s="4">
        <v>-35</v>
      </c>
      <c r="U1118" s="4"/>
      <c r="V1118" s="4"/>
      <c r="W1118" s="9">
        <v>1.4</v>
      </c>
      <c r="X1118" s="9"/>
      <c r="Y1118" s="9"/>
      <c r="Z1118" s="9"/>
      <c r="AA1118" s="9"/>
      <c r="AB1118" s="9"/>
      <c r="AC1118" s="449" t="str">
        <f t="shared" si="126"/>
        <v>PH</v>
      </c>
      <c r="AD1118" s="449"/>
      <c r="AE1118" s="449"/>
      <c r="AF1118" s="4"/>
      <c r="AG1118" s="83"/>
      <c r="AH1118" s="4"/>
      <c r="AI1118" s="4"/>
      <c r="AJ1118" s="449"/>
      <c r="AK1118" s="449"/>
      <c r="AL1118" s="449"/>
      <c r="AM1118" s="449" t="s">
        <v>126</v>
      </c>
      <c r="AN1118" s="10">
        <v>5.5</v>
      </c>
      <c r="AO1118" s="9"/>
      <c r="AP1118" s="9"/>
      <c r="AQ1118" s="9"/>
      <c r="AR1118" s="9"/>
      <c r="AS1118" s="9"/>
      <c r="AT1118" s="9">
        <f>+ab($T$1118,$T$1116,$T$1120,$G$1117,$G$1119,-1*$F$1118,1200)</f>
        <v>-8.5031306472056851</v>
      </c>
      <c r="AU1118" s="428"/>
      <c r="AV1118" s="428"/>
      <c r="AW1118" s="449" t="str">
        <f>IF(C1118&gt;0,VLOOKUP(C1118,Foundation_Calc!$A$2:$C$13,3,1),
IF(J1118&gt;0,VLOOKUP(J1118,Foundation_Calc!$A$2:$C$13,3,1),""))</f>
        <v>Multi Soil</v>
      </c>
      <c r="AX1118" s="449" t="str">
        <f>IF(C1118&gt;0,VLOOKUP(C1118,Foundation_Calc!$E$2:$G$33,3,1),
IF(J1118&gt;0,VLOOKUP(J1118,Foundation_Calc!$E$2:$G$33,3,1),""))</f>
        <v>K</v>
      </c>
      <c r="AY1118" s="10">
        <f>IF(L1118="","",
IF(AX1118="PT",VLOOKUP(L1118,Foundation_Calc!$K$79:$R$113,VLOOKUP(AW1118,Foundation_Calc!$I$2:$J$8,2,FALSE),0),
IF(AX1118="K",VLOOKUP(L1118,Foundation_Calc!$K$117:$R$151,VLOOKUP(AW1118,Foundation_Calc!$I$2:$J$8,2,FALSE),0),"")))</f>
        <v>4</v>
      </c>
      <c r="AZ1118" s="10" t="str">
        <f>IF(K1118="","",
IF(AX1118="PT",VLOOKUP(K1118,Foundation_Calc!$K$79:$R$113,VLOOKUP(AW1118,Foundation_Calc!$I$2:$J$8,2,FALSE),0),
IF(AX1118="K",VLOOKUP(K1118,Foundation_Calc!$K$117:$R$151,VLOOKUP(AW1118,Foundation_Calc!$I$2:$J$8,2,FALSE),0),"")))</f>
        <v/>
      </c>
      <c r="BA1118" s="495" t="str">
        <f t="shared" si="127"/>
        <v>ü</v>
      </c>
      <c r="BB1118" s="495" t="str">
        <f t="shared" si="128"/>
        <v/>
      </c>
      <c r="BC1118" s="495" t="str">
        <f t="shared" si="129"/>
        <v/>
      </c>
      <c r="BD1118" s="513" t="str">
        <f>IF(AND(L1118="",H1118=""),"",
IF(H1118="",Pole_Calc!A$9,
IF(H1118="MP",Pole_Calc!A$10,
IF(H1118="AnMP",Pole_Calc!A$11,
IF(H1118="A",Pole_Calc!A$12,
IF(H1118="S/A",Pole_Calc!A$13,
IF(H1118="A/S",Pole_Calc!A$14,"Poner a mano")))))))</f>
        <v>App.7-V11I-P9.5.1.1</v>
      </c>
      <c r="BE1118" s="429" t="s">
        <v>118</v>
      </c>
      <c r="BF1118" s="289"/>
      <c r="BG1118" s="289"/>
      <c r="BH1118" s="290"/>
      <c r="BI1118" s="289"/>
    </row>
    <row r="1119" spans="1:61" ht="15.6" customHeight="1">
      <c r="A1119" s="514" t="s">
        <v>169</v>
      </c>
      <c r="B1119" s="450"/>
      <c r="C1119" s="3"/>
      <c r="D1119" s="83"/>
      <c r="E1119" s="4"/>
      <c r="F1119" s="4"/>
      <c r="G1119" s="6">
        <v>63</v>
      </c>
      <c r="H1119" s="449"/>
      <c r="I1119" s="4"/>
      <c r="J1119" s="3"/>
      <c r="K1119" s="449"/>
      <c r="L1119" s="449"/>
      <c r="M1119" s="449" t="str">
        <f>IF(L1119="","",
IF(AX1119="PT",VLOOKUP(L1119,Foundation_Calc!$V$79:$X$113,VLOOKUP(AX1119,Foundation_Calc!$I$10:$J$13,2,FALSE),0),
IF(AX1119="K",VLOOKUP(L1119,Foundation_Calc!$V$117:$X$151,VLOOKUP(AX1119,Foundation_Calc!$I$10:$J$13,2,FALSE),0),"")))</f>
        <v/>
      </c>
      <c r="N1119" s="449"/>
      <c r="O1119" s="449"/>
      <c r="P1119" s="449"/>
      <c r="Q1119" s="4"/>
      <c r="R1119" s="6"/>
      <c r="S1119" s="6"/>
      <c r="T1119" s="4"/>
      <c r="U1119" s="4"/>
      <c r="V1119" s="4"/>
      <c r="W1119" s="9"/>
      <c r="X1119" s="9"/>
      <c r="Y1119" s="9"/>
      <c r="Z1119" s="9"/>
      <c r="AA1119" s="9"/>
      <c r="AB1119" s="9"/>
      <c r="AC1119" s="449" t="str">
        <f t="shared" si="126"/>
        <v/>
      </c>
      <c r="AD1119" s="449"/>
      <c r="AE1119" s="449"/>
      <c r="AF1119" s="4"/>
      <c r="AG1119" s="83"/>
      <c r="AH1119" s="4"/>
      <c r="AI1119" s="4"/>
      <c r="AJ1119" s="449"/>
      <c r="AK1119" s="449"/>
      <c r="AL1119" s="449"/>
      <c r="AM1119" s="449"/>
      <c r="AN1119" s="10"/>
      <c r="AO1119" s="9"/>
      <c r="AP1119" s="9"/>
      <c r="AQ1119" s="9">
        <f>+FL_1($T$1120,$T$1118,$G$1119,1200,9.28,-1*$F$1120)</f>
        <v>0.46349119866666666</v>
      </c>
      <c r="AR1119" s="9"/>
      <c r="AS1119" s="9"/>
      <c r="AT1119" s="9"/>
      <c r="AU1119" s="428"/>
      <c r="AV1119" s="428"/>
      <c r="AW1119" s="449" t="str">
        <f>IF(C1119&gt;0,VLOOKUP(C1119,Foundation_Calc!$A$2:$C$13,3,1),
IF(J1119&gt;0,VLOOKUP(J1119,Foundation_Calc!$A$2:$C$13,3,1),""))</f>
        <v/>
      </c>
      <c r="AX1119" s="449" t="str">
        <f>IF(C1119&gt;0,VLOOKUP(C1119,Foundation_Calc!$E$2:$G$33,3,1),
IF(J1119&gt;0,VLOOKUP(J1119,Foundation_Calc!$E$2:$G$33,3,1),""))</f>
        <v/>
      </c>
      <c r="AY1119" s="10" t="str">
        <f>IF(L1119="","",
IF(AX1119="PT",VLOOKUP(L1119,Foundation_Calc!$K$79:$R$113,VLOOKUP(AW1119,Foundation_Calc!$I$2:$J$8,2,FALSE),0),
IF(AX1119="K",VLOOKUP(L1119,Foundation_Calc!$K$117:$R$151,VLOOKUP(AW1119,Foundation_Calc!$I$2:$J$8,2,FALSE),0),"")))</f>
        <v/>
      </c>
      <c r="AZ1119" s="10" t="str">
        <f>IF(K1119="","",
IF(AX1119="PT",VLOOKUP(K1119,Foundation_Calc!$K$79:$R$113,VLOOKUP(AW1119,Foundation_Calc!$I$2:$J$8,2,FALSE),0),
IF(AX1119="K",VLOOKUP(K1119,Foundation_Calc!$K$117:$R$151,VLOOKUP(AW1119,Foundation_Calc!$I$2:$J$8,2,FALSE),0),"")))</f>
        <v/>
      </c>
      <c r="BA1119" s="495" t="str">
        <f t="shared" si="127"/>
        <v/>
      </c>
      <c r="BB1119" s="495" t="str">
        <f t="shared" si="128"/>
        <v/>
      </c>
      <c r="BC1119" s="495" t="str">
        <f t="shared" si="129"/>
        <v/>
      </c>
      <c r="BD1119" s="513" t="str">
        <f>IF(AND(L1119="",H1119=""),"",
IF(H1119="",Pole_Calc!A$9,
IF(H1119="MP",Pole_Calc!A$10,
IF(H1119="AnMP",Pole_Calc!A$11,
IF(H1119="A",Pole_Calc!A$12,
IF(H1119="S/A",Pole_Calc!A$13,
IF(H1119="A/S",Pole_Calc!A$14,"Poner a mano")))))))</f>
        <v/>
      </c>
      <c r="BE1119" s="429" t="s">
        <v>118</v>
      </c>
      <c r="BF1119" s="290"/>
      <c r="BG1119" s="290"/>
      <c r="BH1119" s="290"/>
      <c r="BI1119" s="290"/>
    </row>
    <row r="1120" spans="1:61" ht="15.6" customHeight="1">
      <c r="A1120" s="514"/>
      <c r="B1120" s="450" t="s">
        <v>829</v>
      </c>
      <c r="C1120" s="3">
        <f>+$C$1118+$G$1119</f>
        <v>57500.119999999995</v>
      </c>
      <c r="D1120" s="83"/>
      <c r="E1120" s="4"/>
      <c r="F1120" s="4">
        <f>IF(C1120&gt;0,VLOOKUP(C1120,'ALIGNMENT TRACK'!$A$1:$K$81,9,1))</f>
        <v>0</v>
      </c>
      <c r="G1120" s="6"/>
      <c r="H1120" s="449"/>
      <c r="I1120" s="4"/>
      <c r="J1120" s="3"/>
      <c r="K1120" s="449"/>
      <c r="L1120" s="449" t="s">
        <v>153</v>
      </c>
      <c r="M1120" s="449" t="str">
        <f>IF(L1120="","",
IF(AX1120="PT",VLOOKUP(L1120,Foundation_Calc!$V$79:$X$113,VLOOKUP(AX1120,Foundation_Calc!$I$10:$J$13,2,FALSE),0),
IF(AX1120="K",VLOOKUP(L1120,Foundation_Calc!$V$117:$X$151,VLOOKUP(AX1120,Foundation_Calc!$I$10:$J$13,2,FALSE),0),"")))</f>
        <v>C3RT</v>
      </c>
      <c r="N1120" s="449" t="s">
        <v>134</v>
      </c>
      <c r="O1120" s="449"/>
      <c r="P1120" s="449"/>
      <c r="Q1120" s="4"/>
      <c r="R1120" s="6"/>
      <c r="S1120" s="6"/>
      <c r="T1120" s="4">
        <v>35</v>
      </c>
      <c r="U1120" s="4"/>
      <c r="V1120" s="4"/>
      <c r="W1120" s="9">
        <v>1.4</v>
      </c>
      <c r="X1120" s="9"/>
      <c r="Y1120" s="9"/>
      <c r="Z1120" s="9"/>
      <c r="AA1120" s="9"/>
      <c r="AB1120" s="9"/>
      <c r="AC1120" s="449" t="str">
        <f t="shared" si="126"/>
        <v>PH</v>
      </c>
      <c r="AD1120" s="449"/>
      <c r="AE1120" s="449"/>
      <c r="AF1120" s="4"/>
      <c r="AG1120" s="83"/>
      <c r="AH1120" s="4"/>
      <c r="AI1120" s="4"/>
      <c r="AJ1120" s="449"/>
      <c r="AK1120" s="449"/>
      <c r="AL1120" s="449"/>
      <c r="AM1120" s="449" t="s">
        <v>126</v>
      </c>
      <c r="AN1120" s="10">
        <v>5.5</v>
      </c>
      <c r="AO1120" s="9"/>
      <c r="AP1120" s="9"/>
      <c r="AQ1120" s="9"/>
      <c r="AR1120" s="9"/>
      <c r="AS1120" s="9"/>
      <c r="AT1120" s="9">
        <f>+ab($T$1120,$T$1118,$T$1122,$G$1119,$G$1121,-1*$F$1120,1200)</f>
        <v>8.4344113314875031</v>
      </c>
      <c r="AU1120" s="428"/>
      <c r="AV1120" s="428"/>
      <c r="AW1120" s="449" t="str">
        <f>IF(C1120&gt;0,VLOOKUP(C1120,Foundation_Calc!$A$2:$C$13,3,1),
IF(J1120&gt;0,VLOOKUP(J1120,Foundation_Calc!$A$2:$C$13,3,1),""))</f>
        <v>Multi Soil</v>
      </c>
      <c r="AX1120" s="449" t="str">
        <f>IF(C1120&gt;0,VLOOKUP(C1120,Foundation_Calc!$E$2:$G$33,3,1),
IF(J1120&gt;0,VLOOKUP(J1120,Foundation_Calc!$E$2:$G$33,3,1),""))</f>
        <v>K</v>
      </c>
      <c r="AY1120" s="10">
        <f>IF(L1120="","",
IF(AX1120="PT",VLOOKUP(L1120,Foundation_Calc!$K$79:$R$113,VLOOKUP(AW1120,Foundation_Calc!$I$2:$J$8,2,FALSE),0),
IF(AX1120="K",VLOOKUP(L1120,Foundation_Calc!$K$117:$R$151,VLOOKUP(AW1120,Foundation_Calc!$I$2:$J$8,2,FALSE),0),"")))</f>
        <v>4</v>
      </c>
      <c r="AZ1120" s="10" t="str">
        <f>IF(K1120="","",
IF(AX1120="PT",VLOOKUP(K1120,Foundation_Calc!$K$79:$R$113,VLOOKUP(AW1120,Foundation_Calc!$I$2:$J$8,2,FALSE),0),
IF(AX1120="K",VLOOKUP(K1120,Foundation_Calc!$K$117:$R$151,VLOOKUP(AW1120,Foundation_Calc!$I$2:$J$8,2,FALSE),0),"")))</f>
        <v/>
      </c>
      <c r="BA1120" s="495" t="str">
        <f t="shared" si="127"/>
        <v>ü</v>
      </c>
      <c r="BB1120" s="495" t="str">
        <f t="shared" si="128"/>
        <v/>
      </c>
      <c r="BC1120" s="495" t="str">
        <f t="shared" si="129"/>
        <v/>
      </c>
      <c r="BD1120" s="513" t="str">
        <f>IF(AND(L1120="",H1120=""),"",
IF(H1120="",Pole_Calc!A$9,
IF(H1120="MP",Pole_Calc!A$10,
IF(H1120="AnMP",Pole_Calc!A$11,
IF(H1120="A",Pole_Calc!A$12,
IF(H1120="S/A",Pole_Calc!A$13,
IF(H1120="A/S",Pole_Calc!A$14,"Poner a mano")))))))</f>
        <v>App.7-V11I-P9.5.1.1</v>
      </c>
      <c r="BE1120" s="429" t="s">
        <v>118</v>
      </c>
      <c r="BF1120" s="289"/>
      <c r="BG1120" s="289"/>
      <c r="BH1120" s="290"/>
      <c r="BI1120" s="289"/>
    </row>
    <row r="1121" spans="1:61" ht="15.6" customHeight="1">
      <c r="A1121" s="514"/>
      <c r="B1121" s="450"/>
      <c r="C1121" s="3"/>
      <c r="D1121" s="83"/>
      <c r="E1121" s="4"/>
      <c r="F1121" s="4"/>
      <c r="G1121" s="6">
        <v>61</v>
      </c>
      <c r="H1121" s="449"/>
      <c r="I1121" s="4"/>
      <c r="J1121" s="3"/>
      <c r="K1121" s="449"/>
      <c r="L1121" s="449"/>
      <c r="M1121" s="449" t="str">
        <f>IF(L1121="","",
IF(AX1121="PT",VLOOKUP(L1121,Foundation_Calc!$V$79:$X$113,VLOOKUP(AX1121,Foundation_Calc!$I$10:$J$13,2,FALSE),0),
IF(AX1121="K",VLOOKUP(L1121,Foundation_Calc!$V$117:$X$151,VLOOKUP(AX1121,Foundation_Calc!$I$10:$J$13,2,FALSE),0),"")))</f>
        <v/>
      </c>
      <c r="N1121" s="449"/>
      <c r="O1121" s="449"/>
      <c r="P1121" s="449"/>
      <c r="Q1121" s="4"/>
      <c r="R1121" s="6"/>
      <c r="S1121" s="6"/>
      <c r="T1121" s="4"/>
      <c r="U1121" s="4"/>
      <c r="V1121" s="4"/>
      <c r="W1121" s="9"/>
      <c r="X1121" s="9"/>
      <c r="Y1121" s="9"/>
      <c r="Z1121" s="9"/>
      <c r="AA1121" s="9"/>
      <c r="AB1121" s="9"/>
      <c r="AC1121" s="449" t="str">
        <f t="shared" si="126"/>
        <v/>
      </c>
      <c r="AD1121" s="449"/>
      <c r="AE1121" s="449"/>
      <c r="AF1121" s="4"/>
      <c r="AG1121" s="83"/>
      <c r="AH1121" s="4"/>
      <c r="AI1121" s="4"/>
      <c r="AJ1121" s="449"/>
      <c r="AK1121" s="449"/>
      <c r="AL1121" s="449"/>
      <c r="AM1121" s="449"/>
      <c r="AN1121" s="10"/>
      <c r="AO1121" s="9"/>
      <c r="AP1121" s="9"/>
      <c r="AQ1121" s="9">
        <f>+FL_1($T$1122,$T$1120,$G$1121,1200,9.28,-1*$F$1122)</f>
        <v>0.44483784996721309</v>
      </c>
      <c r="AR1121" s="9"/>
      <c r="AS1121" s="9"/>
      <c r="AT1121" s="9"/>
      <c r="AU1121" s="428"/>
      <c r="AV1121" s="428"/>
      <c r="AW1121" s="449" t="str">
        <f>IF(C1121&gt;0,VLOOKUP(C1121,Foundation_Calc!$A$2:$C$13,3,1),
IF(J1121&gt;0,VLOOKUP(J1121,Foundation_Calc!$A$2:$C$13,3,1),""))</f>
        <v/>
      </c>
      <c r="AX1121" s="449" t="str">
        <f>IF(C1121&gt;0,VLOOKUP(C1121,Foundation_Calc!$E$2:$G$33,3,1),
IF(J1121&gt;0,VLOOKUP(J1121,Foundation_Calc!$E$2:$G$33,3,1),""))</f>
        <v/>
      </c>
      <c r="AY1121" s="10" t="str">
        <f>IF(L1121="","",
IF(AX1121="PT",VLOOKUP(L1121,Foundation_Calc!$K$79:$R$113,VLOOKUP(AW1121,Foundation_Calc!$I$2:$J$8,2,FALSE),0),
IF(AX1121="K",VLOOKUP(L1121,Foundation_Calc!$K$117:$R$151,VLOOKUP(AW1121,Foundation_Calc!$I$2:$J$8,2,FALSE),0),"")))</f>
        <v/>
      </c>
      <c r="AZ1121" s="10" t="str">
        <f>IF(K1121="","",
IF(AX1121="PT",VLOOKUP(K1121,Foundation_Calc!$K$79:$R$113,VLOOKUP(AW1121,Foundation_Calc!$I$2:$J$8,2,FALSE),0),
IF(AX1121="K",VLOOKUP(K1121,Foundation_Calc!$K$117:$R$151,VLOOKUP(AW1121,Foundation_Calc!$I$2:$J$8,2,FALSE),0),"")))</f>
        <v/>
      </c>
      <c r="BA1121" s="495" t="str">
        <f t="shared" si="127"/>
        <v/>
      </c>
      <c r="BB1121" s="495" t="str">
        <f t="shared" si="128"/>
        <v/>
      </c>
      <c r="BC1121" s="495" t="str">
        <f t="shared" si="129"/>
        <v/>
      </c>
      <c r="BD1121" s="513" t="str">
        <f>IF(AND(L1121="",H1121=""),"",
IF(H1121="",Pole_Calc!A$9,
IF(H1121="MP",Pole_Calc!A$10,
IF(H1121="AnMP",Pole_Calc!A$11,
IF(H1121="A",Pole_Calc!A$12,
IF(H1121="S/A",Pole_Calc!A$13,
IF(H1121="A/S",Pole_Calc!A$14,"Poner a mano")))))))</f>
        <v/>
      </c>
      <c r="BE1121" s="429" t="s">
        <v>118</v>
      </c>
      <c r="BF1121" s="290"/>
      <c r="BG1121" s="290"/>
      <c r="BH1121" s="290"/>
      <c r="BI1121" s="290"/>
    </row>
    <row r="1122" spans="1:61" ht="15.6" customHeight="1">
      <c r="A1122" s="514"/>
      <c r="B1122" s="450" t="s">
        <v>830</v>
      </c>
      <c r="C1122" s="3">
        <f>+$C$1120+$G$1121</f>
        <v>57561.119999999995</v>
      </c>
      <c r="D1122" s="83"/>
      <c r="E1122" s="4"/>
      <c r="F1122" s="4">
        <f>IF(C1122&gt;0,VLOOKUP(C1122,'ALIGNMENT TRACK'!$A$1:$K$81,9,1))</f>
        <v>0</v>
      </c>
      <c r="G1122" s="6"/>
      <c r="H1122" s="449"/>
      <c r="I1122" s="4"/>
      <c r="J1122" s="3"/>
      <c r="K1122" s="449"/>
      <c r="L1122" s="449" t="s">
        <v>153</v>
      </c>
      <c r="M1122" s="449" t="str">
        <f>IF(L1122="","",
IF(AX1122="PT",VLOOKUP(L1122,Foundation_Calc!$V$79:$X$113,VLOOKUP(AX1122,Foundation_Calc!$I$10:$J$13,2,FALSE),0),
IF(AX1122="K",VLOOKUP(L1122,Foundation_Calc!$V$117:$X$151,VLOOKUP(AX1122,Foundation_Calc!$I$10:$J$13,2,FALSE),0),"")))</f>
        <v>C3RT</v>
      </c>
      <c r="N1122" s="449" t="s">
        <v>124</v>
      </c>
      <c r="O1122" s="449"/>
      <c r="P1122" s="449"/>
      <c r="Q1122" s="4"/>
      <c r="R1122" s="6"/>
      <c r="S1122" s="6"/>
      <c r="T1122" s="4">
        <v>-35</v>
      </c>
      <c r="U1122" s="4"/>
      <c r="V1122" s="4"/>
      <c r="W1122" s="9">
        <v>1.4</v>
      </c>
      <c r="X1122" s="9"/>
      <c r="Y1122" s="9"/>
      <c r="Z1122" s="9"/>
      <c r="AA1122" s="9"/>
      <c r="AB1122" s="9"/>
      <c r="AC1122" s="449" t="str">
        <f t="shared" si="126"/>
        <v>PH</v>
      </c>
      <c r="AD1122" s="449"/>
      <c r="AE1122" s="449"/>
      <c r="AF1122" s="4"/>
      <c r="AG1122" s="83"/>
      <c r="AH1122" s="4"/>
      <c r="AI1122" s="4"/>
      <c r="AJ1122" s="449"/>
      <c r="AK1122" s="449"/>
      <c r="AL1122" s="449"/>
      <c r="AM1122" s="449" t="s">
        <v>126</v>
      </c>
      <c r="AN1122" s="10">
        <v>5.5</v>
      </c>
      <c r="AO1122" s="9"/>
      <c r="AP1122" s="9"/>
      <c r="AQ1122" s="9"/>
      <c r="AR1122" s="9"/>
      <c r="AS1122" s="9"/>
      <c r="AT1122" s="9">
        <f>+ab($T$1122,$T$1120,$T$1124,$G$1121,$G$1123,-1*$F$1122,1200)</f>
        <v>-8.3690047258632028</v>
      </c>
      <c r="AU1122" s="428"/>
      <c r="AV1122" s="428"/>
      <c r="AW1122" s="449" t="str">
        <f>IF(C1122&gt;0,VLOOKUP(C1122,Foundation_Calc!$A$2:$C$13,3,1),
IF(J1122&gt;0,VLOOKUP(J1122,Foundation_Calc!$A$2:$C$13,3,1),""))</f>
        <v>Multi Soil</v>
      </c>
      <c r="AX1122" s="449" t="str">
        <f>IF(C1122&gt;0,VLOOKUP(C1122,Foundation_Calc!$E$2:$G$33,3,1),
IF(J1122&gt;0,VLOOKUP(J1122,Foundation_Calc!$E$2:$G$33,3,1),""))</f>
        <v>K</v>
      </c>
      <c r="AY1122" s="10">
        <f>IF(L1122="","",
IF(AX1122="PT",VLOOKUP(L1122,Foundation_Calc!$K$79:$R$113,VLOOKUP(AW1122,Foundation_Calc!$I$2:$J$8,2,FALSE),0),
IF(AX1122="K",VLOOKUP(L1122,Foundation_Calc!$K$117:$R$151,VLOOKUP(AW1122,Foundation_Calc!$I$2:$J$8,2,FALSE),0),"")))</f>
        <v>4</v>
      </c>
      <c r="AZ1122" s="10" t="str">
        <f>IF(K1122="","",
IF(AX1122="PT",VLOOKUP(K1122,Foundation_Calc!$K$79:$R$113,VLOOKUP(AW1122,Foundation_Calc!$I$2:$J$8,2,FALSE),0),
IF(AX1122="K",VLOOKUP(K1122,Foundation_Calc!$K$117:$R$151,VLOOKUP(AW1122,Foundation_Calc!$I$2:$J$8,2,FALSE),0),"")))</f>
        <v/>
      </c>
      <c r="BA1122" s="495" t="str">
        <f t="shared" si="127"/>
        <v>ü</v>
      </c>
      <c r="BB1122" s="495" t="str">
        <f t="shared" si="128"/>
        <v/>
      </c>
      <c r="BC1122" s="495" t="str">
        <f t="shared" si="129"/>
        <v/>
      </c>
      <c r="BD1122" s="513" t="str">
        <f>IF(AND(L1122="",H1122=""),"",
IF(H1122="",Pole_Calc!A$9,
IF(H1122="MP",Pole_Calc!A$10,
IF(H1122="AnMP",Pole_Calc!A$11,
IF(H1122="A",Pole_Calc!A$12,
IF(H1122="S/A",Pole_Calc!A$13,
IF(H1122="A/S",Pole_Calc!A$14,"Poner a mano")))))))</f>
        <v>App.7-V11I-P9.5.1.1</v>
      </c>
      <c r="BE1122" s="429" t="s">
        <v>118</v>
      </c>
      <c r="BF1122" s="289"/>
      <c r="BG1122" s="289"/>
      <c r="BH1122" s="290"/>
      <c r="BI1122" s="289"/>
    </row>
    <row r="1123" spans="1:61" ht="15.6" customHeight="1">
      <c r="A1123" s="514"/>
      <c r="B1123" s="450"/>
      <c r="C1123" s="3"/>
      <c r="D1123" s="83"/>
      <c r="E1123" s="4"/>
      <c r="F1123" s="4"/>
      <c r="G1123" s="6">
        <v>62</v>
      </c>
      <c r="H1123" s="449"/>
      <c r="I1123" s="4"/>
      <c r="J1123" s="3">
        <f>C1124-7.5</f>
        <v>57615.619999999995</v>
      </c>
      <c r="K1123" s="449" t="s">
        <v>315</v>
      </c>
      <c r="L1123" s="449"/>
      <c r="M1123" s="449" t="str">
        <f>IF(L1123="","",
IF(AX1123="PT",VLOOKUP(L1123,Foundation_Calc!$V$79:$X$113,VLOOKUP(AX1123,Foundation_Calc!$I$10:$J$13,2,FALSE),0),
IF(AX1123="K",VLOOKUP(L1123,Foundation_Calc!$V$117:$X$151,VLOOKUP(AX1123,Foundation_Calc!$I$10:$J$13,2,FALSE),0),"")))</f>
        <v/>
      </c>
      <c r="N1123" s="449"/>
      <c r="O1123" s="449"/>
      <c r="P1123" s="449"/>
      <c r="Q1123" s="4"/>
      <c r="R1123" s="6"/>
      <c r="S1123" s="6"/>
      <c r="T1123" s="4"/>
      <c r="U1123" s="4"/>
      <c r="V1123" s="4"/>
      <c r="W1123" s="9"/>
      <c r="X1123" s="9"/>
      <c r="Y1123" s="9"/>
      <c r="Z1123" s="9"/>
      <c r="AA1123" s="9"/>
      <c r="AB1123" s="9"/>
      <c r="AC1123" s="449" t="str">
        <f t="shared" si="126"/>
        <v/>
      </c>
      <c r="AD1123" s="449"/>
      <c r="AE1123" s="449"/>
      <c r="AF1123" s="4"/>
      <c r="AG1123" s="83"/>
      <c r="AH1123" s="4"/>
      <c r="AI1123" s="4"/>
      <c r="AJ1123" s="449"/>
      <c r="AK1123" s="449"/>
      <c r="AL1123" s="449"/>
      <c r="AM1123" s="449"/>
      <c r="AN1123" s="10"/>
      <c r="AO1123" s="9"/>
      <c r="AP1123" s="9"/>
      <c r="AQ1123" s="9">
        <f>+FL_1($T$1124,$T$1122,$G$1123,1200,9.28,-1*$F$1124)</f>
        <v>0.45400350967741931</v>
      </c>
      <c r="AR1123" s="9"/>
      <c r="AS1123" s="9"/>
      <c r="AT1123" s="9"/>
      <c r="AU1123" s="428"/>
      <c r="AV1123" s="428"/>
      <c r="AW1123" s="449" t="str">
        <f>IF(C1123&gt;0,VLOOKUP(C1123,Foundation_Calc!$A$2:$C$13,3,1),
IF(J1123&gt;0,VLOOKUP(J1123,Foundation_Calc!$A$2:$C$13,3,1),""))</f>
        <v>Multi Soil</v>
      </c>
      <c r="AX1123" s="449" t="str">
        <f>IF(C1123&gt;0,VLOOKUP(C1123,Foundation_Calc!$E$2:$G$33,3,1),
IF(J1123&gt;0,VLOOKUP(J1123,Foundation_Calc!$E$2:$G$33,3,1),""))</f>
        <v>K</v>
      </c>
      <c r="AY1123" s="10" t="str">
        <f>IF(L1123="","",
IF(AX1123="PT",VLOOKUP(L1123,Foundation_Calc!$K$79:$R$113,VLOOKUP(AW1123,Foundation_Calc!$I$2:$J$8,2,FALSE),0),
IF(AX1123="K",VLOOKUP(L1123,Foundation_Calc!$K$117:$R$151,VLOOKUP(AW1123,Foundation_Calc!$I$2:$J$8,2,FALSE),0),"")))</f>
        <v/>
      </c>
      <c r="AZ1123" s="10">
        <f>IF(K1123="","",
IF(AX1123="PT",VLOOKUP(K1123,Foundation_Calc!$K$79:$R$113,VLOOKUP(AW1123,Foundation_Calc!$I$2:$J$8,2,FALSE),0),
IF(AX1123="K",VLOOKUP(K1123,Foundation_Calc!$K$117:$R$151,VLOOKUP(AW1123,Foundation_Calc!$I$2:$J$8,2,FALSE),0),"")))</f>
        <v>3.9</v>
      </c>
      <c r="BA1123" s="495" t="str">
        <f t="shared" si="127"/>
        <v/>
      </c>
      <c r="BB1123" s="495" t="str">
        <f t="shared" si="128"/>
        <v>ü</v>
      </c>
      <c r="BC1123" s="495" t="str">
        <f t="shared" si="129"/>
        <v/>
      </c>
      <c r="BD1123" s="513" t="str">
        <f>IF(AND(L1123="",H1123=""),"",
IF(H1123="",Pole_Calc!A$9,
IF(H1123="MP",Pole_Calc!A$10,
IF(H1123="AnMP",Pole_Calc!A$11,
IF(H1123="A",Pole_Calc!A$12,
IF(H1123="S/A",Pole_Calc!A$13,
IF(H1123="A/S",Pole_Calc!A$14,"Poner a mano")))))))</f>
        <v/>
      </c>
      <c r="BE1123" s="429" t="s">
        <v>118</v>
      </c>
      <c r="BF1123" s="290"/>
      <c r="BG1123" s="290"/>
      <c r="BH1123" s="290"/>
      <c r="BI1123" s="290"/>
    </row>
    <row r="1124" spans="1:61" ht="15.6" customHeight="1">
      <c r="A1124" s="514"/>
      <c r="B1124" s="450" t="s">
        <v>831</v>
      </c>
      <c r="C1124" s="3">
        <f>+$C$1122+$G$1123</f>
        <v>57623.119999999995</v>
      </c>
      <c r="D1124" s="83"/>
      <c r="E1124" s="4"/>
      <c r="F1124" s="4">
        <f>IF(C1124&gt;0,VLOOKUP(C1124,'ALIGNMENT TRACK'!$A$1:$K$81,9,1))</f>
        <v>0</v>
      </c>
      <c r="G1124" s="6"/>
      <c r="H1124" s="449" t="s">
        <v>121</v>
      </c>
      <c r="I1124" s="4" t="s">
        <v>122</v>
      </c>
      <c r="J1124" s="3"/>
      <c r="K1124" s="449"/>
      <c r="L1124" s="449" t="s">
        <v>151</v>
      </c>
      <c r="M1124" s="449" t="str">
        <f>IF(L1124="","",
IF(AX1124="PT",VLOOKUP(L1124,Foundation_Calc!$V$79:$X$113,VLOOKUP(AX1124,Foundation_Calc!$I$10:$J$13,2,FALSE),0),
IF(AX1124="K",VLOOKUP(L1124,Foundation_Calc!$V$117:$X$151,VLOOKUP(AX1124,Foundation_Calc!$I$10:$J$13,2,FALSE),0),"")))</f>
        <v>C4RT</v>
      </c>
      <c r="N1124" s="449" t="s">
        <v>134</v>
      </c>
      <c r="O1124" s="449"/>
      <c r="P1124" s="449"/>
      <c r="Q1124" s="4"/>
      <c r="R1124" s="6"/>
      <c r="S1124" s="6"/>
      <c r="T1124" s="4">
        <v>35</v>
      </c>
      <c r="U1124" s="4"/>
      <c r="V1124" s="4"/>
      <c r="W1124" s="9">
        <v>1.4</v>
      </c>
      <c r="X1124" s="9"/>
      <c r="Y1124" s="9"/>
      <c r="Z1124" s="9"/>
      <c r="AA1124" s="9"/>
      <c r="AB1124" s="9"/>
      <c r="AC1124" s="449" t="str">
        <f t="shared" si="126"/>
        <v>PH</v>
      </c>
      <c r="AD1124" s="449"/>
      <c r="AE1124" s="449"/>
      <c r="AF1124" s="4"/>
      <c r="AG1124" s="83"/>
      <c r="AH1124" s="4"/>
      <c r="AI1124" s="4"/>
      <c r="AJ1124" s="449"/>
      <c r="AK1124" s="449"/>
      <c r="AL1124" s="449"/>
      <c r="AM1124" s="449" t="s">
        <v>126</v>
      </c>
      <c r="AN1124" s="10">
        <v>5.5</v>
      </c>
      <c r="AO1124" s="9"/>
      <c r="AP1124" s="9"/>
      <c r="AQ1124" s="9"/>
      <c r="AR1124" s="9"/>
      <c r="AS1124" s="9"/>
      <c r="AT1124" s="9">
        <f>+ab($T$1124,$T$1122,$U$1126,$G$1123,$G$1125,-1*$F$1124,1200)</f>
        <v>8.744294114244191</v>
      </c>
      <c r="AU1124" s="428"/>
      <c r="AV1124" s="428"/>
      <c r="AW1124" s="449" t="str">
        <f>IF(C1124&gt;0,VLOOKUP(C1124,Foundation_Calc!$A$2:$C$13,3,1),
IF(J1124&gt;0,VLOOKUP(J1124,Foundation_Calc!$A$2:$C$13,3,1),""))</f>
        <v>Multi Soil</v>
      </c>
      <c r="AX1124" s="449" t="str">
        <f>IF(C1124&gt;0,VLOOKUP(C1124,Foundation_Calc!$E$2:$G$33,3,1),
IF(J1124&gt;0,VLOOKUP(J1124,Foundation_Calc!$E$2:$G$33,3,1),""))</f>
        <v>K</v>
      </c>
      <c r="AY1124" s="10">
        <f>IF(L1124="","",
IF(AX1124="PT",VLOOKUP(L1124,Foundation_Calc!$K$79:$R$113,VLOOKUP(AW1124,Foundation_Calc!$I$2:$J$8,2,FALSE),0),
IF(AX1124="K",VLOOKUP(L1124,Foundation_Calc!$K$117:$R$151,VLOOKUP(AW1124,Foundation_Calc!$I$2:$J$8,2,FALSE),0),"")))</f>
        <v>4.2</v>
      </c>
      <c r="AZ1124" s="10" t="str">
        <f>IF(K1124="","",
IF(AX1124="PT",VLOOKUP(K1124,Foundation_Calc!$K$79:$R$113,VLOOKUP(AW1124,Foundation_Calc!$I$2:$J$8,2,FALSE),0),
IF(AX1124="K",VLOOKUP(K1124,Foundation_Calc!$K$117:$R$151,VLOOKUP(AW1124,Foundation_Calc!$I$2:$J$8,2,FALSE),0),"")))</f>
        <v/>
      </c>
      <c r="BA1124" s="495" t="str">
        <f t="shared" si="127"/>
        <v>ü</v>
      </c>
      <c r="BB1124" s="495" t="str">
        <f t="shared" si="128"/>
        <v/>
      </c>
      <c r="BC1124" s="495" t="str">
        <f t="shared" si="129"/>
        <v/>
      </c>
      <c r="BD1124" s="513" t="str">
        <f>IF(AND(L1124="",H1124=""),"",
IF(H1124="",Pole_Calc!A$9,
IF(H1124="MP",Pole_Calc!A$10,
IF(H1124="AnMP",Pole_Calc!A$11,
IF(H1124="A",Pole_Calc!A$12,
IF(H1124="S/A",Pole_Calc!A$13,
IF(H1124="A/S",Pole_Calc!A$14,"Poner a mano")))))))</f>
        <v>App.7-V11I-P9.5.1.6</v>
      </c>
      <c r="BE1124" s="429" t="s">
        <v>118</v>
      </c>
      <c r="BF1124" s="289"/>
      <c r="BG1124" s="289"/>
      <c r="BH1124" s="290"/>
      <c r="BI1124" s="289"/>
    </row>
    <row r="1125" spans="1:61" ht="15.6" customHeight="1">
      <c r="A1125" s="514"/>
      <c r="B1125" s="450"/>
      <c r="C1125" s="3"/>
      <c r="D1125" s="83"/>
      <c r="E1125" s="4"/>
      <c r="F1125" s="4"/>
      <c r="G1125" s="6">
        <v>62</v>
      </c>
      <c r="H1125" s="449"/>
      <c r="I1125" s="4"/>
      <c r="J1125" s="3"/>
      <c r="K1125" s="449"/>
      <c r="L1125" s="449"/>
      <c r="M1125" s="449" t="str">
        <f>IF(L1125="","",
IF(AX1125="PT",VLOOKUP(L1125,Foundation_Calc!$V$79:$X$113,VLOOKUP(AX1125,Foundation_Calc!$I$10:$J$13,2,FALSE),0),
IF(AX1125="K",VLOOKUP(L1125,Foundation_Calc!$V$117:$X$151,VLOOKUP(AX1125,Foundation_Calc!$I$10:$J$13,2,FALSE),0),"")))</f>
        <v/>
      </c>
      <c r="N1125" s="449"/>
      <c r="O1125" s="449"/>
      <c r="P1125" s="449"/>
      <c r="Q1125" s="4"/>
      <c r="R1125" s="6"/>
      <c r="S1125" s="6"/>
      <c r="T1125" s="4"/>
      <c r="U1125" s="4"/>
      <c r="V1125" s="4"/>
      <c r="W1125" s="9"/>
      <c r="X1125" s="9"/>
      <c r="Y1125" s="9"/>
      <c r="Z1125" s="9"/>
      <c r="AA1125" s="9"/>
      <c r="AB1125" s="9"/>
      <c r="AC1125" s="449" t="str">
        <f t="shared" si="126"/>
        <v/>
      </c>
      <c r="AD1125" s="449"/>
      <c r="AE1125" s="449"/>
      <c r="AF1125" s="4"/>
      <c r="AG1125" s="83"/>
      <c r="AH1125" s="4"/>
      <c r="AI1125" s="4"/>
      <c r="AJ1125" s="449"/>
      <c r="AK1125" s="449"/>
      <c r="AL1125" s="449"/>
      <c r="AM1125" s="449"/>
      <c r="AN1125" s="10"/>
      <c r="AO1125" s="9"/>
      <c r="AP1125" s="9"/>
      <c r="AQ1125" s="9">
        <f>+FL_1($U$1126,$T$1124,$G$1125,1200,9.28,-1*$F$1126)</f>
        <v>0.46765016498924739</v>
      </c>
      <c r="AR1125" s="9"/>
      <c r="AS1125" s="9"/>
      <c r="AT1125" s="9"/>
      <c r="AU1125" s="428"/>
      <c r="AV1125" s="428"/>
      <c r="AW1125" s="449" t="str">
        <f>IF(C1125&gt;0,VLOOKUP(C1125,Foundation_Calc!$A$2:$C$13,3,1),
IF(J1125&gt;0,VLOOKUP(J1125,Foundation_Calc!$A$2:$C$13,3,1),""))</f>
        <v/>
      </c>
      <c r="AX1125" s="449" t="str">
        <f>IF(C1125&gt;0,VLOOKUP(C1125,Foundation_Calc!$E$2:$G$33,3,1),
IF(J1125&gt;0,VLOOKUP(J1125,Foundation_Calc!$E$2:$G$33,3,1),""))</f>
        <v/>
      </c>
      <c r="AY1125" s="10" t="str">
        <f>IF(L1125="","",
IF(AX1125="PT",VLOOKUP(L1125,Foundation_Calc!$K$79:$R$113,VLOOKUP(AW1125,Foundation_Calc!$I$2:$J$8,2,FALSE),0),
IF(AX1125="K",VLOOKUP(L1125,Foundation_Calc!$K$117:$R$151,VLOOKUP(AW1125,Foundation_Calc!$I$2:$J$8,2,FALSE),0),"")))</f>
        <v/>
      </c>
      <c r="AZ1125" s="10" t="str">
        <f>IF(K1125="","",
IF(AX1125="PT",VLOOKUP(K1125,Foundation_Calc!$K$79:$R$113,VLOOKUP(AW1125,Foundation_Calc!$I$2:$J$8,2,FALSE),0),
IF(AX1125="K",VLOOKUP(K1125,Foundation_Calc!$K$117:$R$151,VLOOKUP(AW1125,Foundation_Calc!$I$2:$J$8,2,FALSE),0),"")))</f>
        <v/>
      </c>
      <c r="BA1125" s="495" t="str">
        <f t="shared" si="127"/>
        <v/>
      </c>
      <c r="BB1125" s="495" t="str">
        <f t="shared" si="128"/>
        <v/>
      </c>
      <c r="BC1125" s="495" t="str">
        <f t="shared" si="129"/>
        <v/>
      </c>
      <c r="BD1125" s="513" t="str">
        <f>IF(AND(L1125="",H1125=""),"",
IF(H1125="",Pole_Calc!A$9,
IF(H1125="MP",Pole_Calc!A$10,
IF(H1125="AnMP",Pole_Calc!A$11,
IF(H1125="A",Pole_Calc!A$12,
IF(H1125="S/A",Pole_Calc!A$13,
IF(H1125="A/S",Pole_Calc!A$14,"Poner a mano")))))))</f>
        <v/>
      </c>
      <c r="BE1125" s="429" t="s">
        <v>118</v>
      </c>
      <c r="BF1125" s="290"/>
      <c r="BG1125" s="290"/>
      <c r="BH1125" s="290"/>
      <c r="BI1125" s="290"/>
    </row>
    <row r="1126" spans="1:61" ht="15.6" customHeight="1">
      <c r="A1126" s="514"/>
      <c r="B1126" s="450" t="s">
        <v>832</v>
      </c>
      <c r="C1126" s="3">
        <f>+$C$1124+$G$1125</f>
        <v>57685.119999999995</v>
      </c>
      <c r="D1126" s="83"/>
      <c r="E1126" s="4"/>
      <c r="F1126" s="4">
        <f>IF(C1126&gt;0,VLOOKUP(C1126,'ALIGNMENT TRACK'!$A$1:$K$81,9,1))</f>
        <v>0</v>
      </c>
      <c r="G1126" s="6"/>
      <c r="H1126" s="449" t="s">
        <v>131</v>
      </c>
      <c r="I1126" s="4"/>
      <c r="J1126" s="3"/>
      <c r="K1126" s="449"/>
      <c r="L1126" s="449" t="s">
        <v>158</v>
      </c>
      <c r="M1126" s="449" t="str">
        <f>IF(L1126="","",
IF(AX1126="PT",VLOOKUP(L1126,Foundation_Calc!$V$79:$X$113,VLOOKUP(AX1126,Foundation_Calc!$I$10:$J$13,2,FALSE),0),
IF(AX1126="K",VLOOKUP(L1126,Foundation_Calc!$V$117:$X$151,VLOOKUP(AX1126,Foundation_Calc!$I$10:$J$13,2,FALSE),0),"")))</f>
        <v>C4RT</v>
      </c>
      <c r="N1126" s="449" t="s">
        <v>133</v>
      </c>
      <c r="O1126" s="449" t="s">
        <v>124</v>
      </c>
      <c r="P1126" s="449"/>
      <c r="Q1126" s="4"/>
      <c r="R1126" s="6"/>
      <c r="S1126" s="6"/>
      <c r="T1126" s="4">
        <v>15</v>
      </c>
      <c r="U1126" s="4">
        <v>-30</v>
      </c>
      <c r="V1126" s="4"/>
      <c r="W1126" s="9">
        <v>1.4</v>
      </c>
      <c r="X1126" s="9">
        <v>2.2999999999999998</v>
      </c>
      <c r="Y1126" s="9"/>
      <c r="Z1126" s="9">
        <v>0.55000000000000004</v>
      </c>
      <c r="AA1126" s="9"/>
      <c r="AB1126" s="9"/>
      <c r="AC1126" s="449"/>
      <c r="AD1126" s="449"/>
      <c r="AE1126" s="449"/>
      <c r="AF1126" s="4"/>
      <c r="AG1126" s="83"/>
      <c r="AH1126" s="4"/>
      <c r="AI1126" s="4"/>
      <c r="AJ1126" s="449"/>
      <c r="AK1126" s="449"/>
      <c r="AL1126" s="449"/>
      <c r="AM1126" s="449" t="s">
        <v>126</v>
      </c>
      <c r="AN1126" s="10">
        <v>5.5</v>
      </c>
      <c r="AO1126" s="9"/>
      <c r="AP1126" s="9"/>
      <c r="AQ1126" s="9"/>
      <c r="AR1126" s="9"/>
      <c r="AS1126" s="9"/>
      <c r="AT1126" s="9">
        <f>+ab($U$1126,$T$1124,$U$1128,$G$1125,$G$1127,-1*$F$1126,1200)</f>
        <v>-14.464079059343568</v>
      </c>
      <c r="AU1126" s="428"/>
      <c r="AV1126" s="428"/>
      <c r="AW1126" s="449" t="str">
        <f>IF(C1126&gt;0,VLOOKUP(C1126,Foundation_Calc!$A$2:$C$13,3,1),
IF(J1126&gt;0,VLOOKUP(J1126,Foundation_Calc!$A$2:$C$13,3,1),""))</f>
        <v>Multi Soil</v>
      </c>
      <c r="AX1126" s="449" t="str">
        <f>IF(C1126&gt;0,VLOOKUP(C1126,Foundation_Calc!$E$2:$G$33,3,1),
IF(J1126&gt;0,VLOOKUP(J1126,Foundation_Calc!$E$2:$G$33,3,1),""))</f>
        <v>K</v>
      </c>
      <c r="AY1126" s="10">
        <f>IF(L1126="","",
IF(AX1126="PT",VLOOKUP(L1126,Foundation_Calc!$K$79:$R$113,VLOOKUP(AW1126,Foundation_Calc!$I$2:$J$8,2,FALSE),0),
IF(AX1126="K",VLOOKUP(L1126,Foundation_Calc!$K$117:$R$151,VLOOKUP(AW1126,Foundation_Calc!$I$2:$J$8,2,FALSE),0),"")))</f>
        <v>4.2</v>
      </c>
      <c r="AZ1126" s="10" t="str">
        <f>IF(K1126="","",
IF(AX1126="PT",VLOOKUP(K1126,Foundation_Calc!$K$79:$R$113,VLOOKUP(AW1126,Foundation_Calc!$I$2:$J$8,2,FALSE),0),
IF(AX1126="K",VLOOKUP(K1126,Foundation_Calc!$K$117:$R$151,VLOOKUP(AW1126,Foundation_Calc!$I$2:$J$8,2,FALSE),0),"")))</f>
        <v/>
      </c>
      <c r="BA1126" s="495" t="str">
        <f t="shared" si="127"/>
        <v>ü</v>
      </c>
      <c r="BB1126" s="495" t="str">
        <f t="shared" si="128"/>
        <v/>
      </c>
      <c r="BC1126" s="495" t="str">
        <f t="shared" si="129"/>
        <v/>
      </c>
      <c r="BD1126" s="513" t="str">
        <f>IF(AND(L1126="",H1126=""),"",
IF(H1126="",Pole_Calc!A$9,
IF(H1126="MP",Pole_Calc!A$10,
IF(H1126="AnMP",Pole_Calc!A$11,
IF(H1126="A",Pole_Calc!A$12,
IF(H1126="S/A",Pole_Calc!A$13,
IF(H1126="A/S",Pole_Calc!A$14,"Poner a mano")))))))</f>
        <v>App.7-V11I-P9.5.1.5</v>
      </c>
      <c r="BE1126" s="429" t="s">
        <v>118</v>
      </c>
      <c r="BF1126" s="289"/>
      <c r="BG1126" s="289"/>
      <c r="BH1126" s="290"/>
      <c r="BI1126" s="289"/>
    </row>
    <row r="1127" spans="1:61" ht="15.6" customHeight="1">
      <c r="A1127" s="514" t="s">
        <v>234</v>
      </c>
      <c r="B1127" s="450"/>
      <c r="C1127" s="3"/>
      <c r="D1127" s="83"/>
      <c r="E1127" s="4"/>
      <c r="F1127" s="4"/>
      <c r="G1127" s="6">
        <v>60</v>
      </c>
      <c r="H1127" s="449"/>
      <c r="I1127" s="4"/>
      <c r="J1127" s="3"/>
      <c r="K1127" s="449"/>
      <c r="L1127" s="449"/>
      <c r="M1127" s="449" t="str">
        <f>IF(L1127="","",
IF(AX1127="PT",VLOOKUP(L1127,Foundation_Calc!$V$79:$X$113,VLOOKUP(AX1127,Foundation_Calc!$I$10:$J$13,2,FALSE),0),
IF(AX1127="K",VLOOKUP(L1127,Foundation_Calc!$V$117:$X$151,VLOOKUP(AX1127,Foundation_Calc!$I$10:$J$13,2,FALSE),0),"")))</f>
        <v/>
      </c>
      <c r="N1127" s="449"/>
      <c r="O1127" s="449"/>
      <c r="P1127" s="449"/>
      <c r="Q1127" s="4"/>
      <c r="R1127" s="6"/>
      <c r="S1127" s="6"/>
      <c r="T1127" s="4"/>
      <c r="U1127" s="4"/>
      <c r="V1127" s="4"/>
      <c r="W1127" s="9"/>
      <c r="X1127" s="9"/>
      <c r="Y1127" s="9"/>
      <c r="Z1127" s="9"/>
      <c r="AA1127" s="9"/>
      <c r="AB1127" s="9"/>
      <c r="AC1127" s="449" t="str">
        <f t="shared" si="126"/>
        <v/>
      </c>
      <c r="AD1127" s="449"/>
      <c r="AE1127" s="449"/>
      <c r="AF1127" s="4"/>
      <c r="AG1127" s="83"/>
      <c r="AH1127" s="4"/>
      <c r="AI1127" s="4"/>
      <c r="AJ1127" s="449"/>
      <c r="AK1127" s="449"/>
      <c r="AL1127" s="449"/>
      <c r="AM1127" s="449"/>
      <c r="AN1127" s="10"/>
      <c r="AO1127" s="9"/>
      <c r="AP1127" s="9"/>
      <c r="AQ1127" s="9">
        <f>+FL_2($T$1128,$U$1126,$G$1127,1200,9.28,-1*$F$1128)</f>
        <v>-0.4126551719999999</v>
      </c>
      <c r="AR1127" s="9"/>
      <c r="AS1127" s="9"/>
      <c r="AT1127" s="9"/>
      <c r="AU1127" s="428"/>
      <c r="AV1127" s="428"/>
      <c r="AW1127" s="449" t="str">
        <f>IF(C1127&gt;0,VLOOKUP(C1127,Foundation_Calc!$A$2:$C$13,3,1),
IF(J1127&gt;0,VLOOKUP(J1127,Foundation_Calc!$A$2:$C$13,3,1),""))</f>
        <v/>
      </c>
      <c r="AX1127" s="449" t="str">
        <f>IF(C1127&gt;0,VLOOKUP(C1127,Foundation_Calc!$E$2:$G$33,3,1),
IF(J1127&gt;0,VLOOKUP(J1127,Foundation_Calc!$E$2:$G$33,3,1),""))</f>
        <v/>
      </c>
      <c r="AY1127" s="10" t="str">
        <f>IF(L1127="","",
IF(AX1127="PT",VLOOKUP(L1127,Foundation_Calc!$K$79:$R$113,VLOOKUP(AW1127,Foundation_Calc!$I$2:$J$8,2,FALSE),0),
IF(AX1127="K",VLOOKUP(L1127,Foundation_Calc!$K$117:$R$151,VLOOKUP(AW1127,Foundation_Calc!$I$2:$J$8,2,FALSE),0),"")))</f>
        <v/>
      </c>
      <c r="AZ1127" s="10" t="str">
        <f>IF(K1127="","",
IF(AX1127="PT",VLOOKUP(K1127,Foundation_Calc!$K$79:$R$113,VLOOKUP(AW1127,Foundation_Calc!$I$2:$J$8,2,FALSE),0),
IF(AX1127="K",VLOOKUP(K1127,Foundation_Calc!$K$117:$R$151,VLOOKUP(AW1127,Foundation_Calc!$I$2:$J$8,2,FALSE),0),"")))</f>
        <v/>
      </c>
      <c r="BA1127" s="495" t="str">
        <f t="shared" si="127"/>
        <v/>
      </c>
      <c r="BB1127" s="495" t="str">
        <f t="shared" si="128"/>
        <v/>
      </c>
      <c r="BC1127" s="495" t="str">
        <f t="shared" si="129"/>
        <v/>
      </c>
      <c r="BD1127" s="513" t="str">
        <f>IF(AND(L1127="",H1127=""),"",
IF(H1127="",Pole_Calc!A$9,
IF(H1127="MP",Pole_Calc!A$10,
IF(H1127="AnMP",Pole_Calc!A$11,
IF(H1127="A",Pole_Calc!A$12,
IF(H1127="S/A",Pole_Calc!A$13,
IF(H1127="A/S",Pole_Calc!A$14,"Poner a mano")))))))</f>
        <v/>
      </c>
      <c r="BE1127" s="429" t="s">
        <v>118</v>
      </c>
      <c r="BF1127" s="290"/>
      <c r="BG1127" s="290"/>
      <c r="BH1127" s="290"/>
      <c r="BI1127" s="290"/>
    </row>
    <row r="1128" spans="1:61" ht="15.6" customHeight="1">
      <c r="A1128" s="514" t="s">
        <v>833</v>
      </c>
      <c r="B1128" s="450" t="s">
        <v>834</v>
      </c>
      <c r="C1128" s="3">
        <f>+$C$1126+$G$1127</f>
        <v>57745.119999999995</v>
      </c>
      <c r="D1128" s="83"/>
      <c r="E1128" s="4"/>
      <c r="F1128" s="4">
        <f>IF(C1128&gt;0,VLOOKUP(C1128,'ALIGNMENT TRACK'!$A$1:$K$81,9,1))</f>
        <v>0</v>
      </c>
      <c r="G1128" s="6"/>
      <c r="H1128" s="449" t="s">
        <v>131</v>
      </c>
      <c r="I1128" s="4" t="s">
        <v>132</v>
      </c>
      <c r="J1128" s="3"/>
      <c r="K1128" s="449"/>
      <c r="L1128" s="449" t="s">
        <v>148</v>
      </c>
      <c r="M1128" s="449" t="str">
        <f>IF(L1128="","",
IF(AX1128="PT",VLOOKUP(L1128,Foundation_Calc!$V$79:$X$113,VLOOKUP(AX1128,Foundation_Calc!$I$10:$J$13,2,FALSE),0),
IF(AX1128="K",VLOOKUP(L1128,Foundation_Calc!$V$117:$X$151,VLOOKUP(AX1128,Foundation_Calc!$I$10:$J$13,2,FALSE),0),"")))</f>
        <v>C4RT</v>
      </c>
      <c r="N1128" s="449" t="s">
        <v>134</v>
      </c>
      <c r="O1128" s="449" t="s">
        <v>133</v>
      </c>
      <c r="P1128" s="449"/>
      <c r="Q1128" s="4"/>
      <c r="R1128" s="6"/>
      <c r="S1128" s="6"/>
      <c r="T1128" s="4">
        <v>30</v>
      </c>
      <c r="U1128" s="4">
        <v>-15</v>
      </c>
      <c r="V1128" s="4"/>
      <c r="W1128" s="9">
        <v>1.4</v>
      </c>
      <c r="X1128" s="9">
        <v>2.2999999999999998</v>
      </c>
      <c r="Y1128" s="9"/>
      <c r="Z1128" s="9"/>
      <c r="AA1128" s="9">
        <v>0.55000000000000004</v>
      </c>
      <c r="AB1128" s="9"/>
      <c r="AC1128" s="449" t="str">
        <f t="shared" si="126"/>
        <v>PH</v>
      </c>
      <c r="AD1128" s="449"/>
      <c r="AE1128" s="449"/>
      <c r="AF1128" s="4"/>
      <c r="AG1128" s="83"/>
      <c r="AH1128" s="4"/>
      <c r="AI1128" s="4"/>
      <c r="AJ1128" s="449" t="s">
        <v>233</v>
      </c>
      <c r="AK1128" s="449"/>
      <c r="AL1128" s="449"/>
      <c r="AM1128" s="449" t="s">
        <v>126</v>
      </c>
      <c r="AN1128" s="10">
        <v>5.5</v>
      </c>
      <c r="AO1128" s="9"/>
      <c r="AP1128" s="9"/>
      <c r="AQ1128" s="9"/>
      <c r="AR1128" s="9"/>
      <c r="AS1128" s="9"/>
      <c r="AT1128" s="9">
        <f>+ab($T$1128,$T$1126,$T$1130,$G$1127,$G$1129,-1*$F$1128,1200)</f>
        <v>14.100168120971283</v>
      </c>
      <c r="AU1128" s="428"/>
      <c r="AV1128" s="428"/>
      <c r="AW1128" s="449" t="str">
        <f>IF(C1128&gt;0,VLOOKUP(C1128,Foundation_Calc!$A$2:$C$13,3,1),
IF(J1128&gt;0,VLOOKUP(J1128,Foundation_Calc!$A$2:$C$13,3,1),""))</f>
        <v>Multi Soil</v>
      </c>
      <c r="AX1128" s="449" t="str">
        <f>IF(C1128&gt;0,VLOOKUP(C1128,Foundation_Calc!$E$2:$G$33,3,1),
IF(J1128&gt;0,VLOOKUP(J1128,Foundation_Calc!$E$2:$G$33,3,1),""))</f>
        <v>K</v>
      </c>
      <c r="AY1128" s="10">
        <f>IF(L1128="","",
IF(AX1128="PT",VLOOKUP(L1128,Foundation_Calc!$K$79:$R$113,VLOOKUP(AW1128,Foundation_Calc!$I$2:$J$8,2,FALSE),0),
IF(AX1128="K",VLOOKUP(L1128,Foundation_Calc!$K$117:$R$151,VLOOKUP(AW1128,Foundation_Calc!$I$2:$J$8,2,FALSE),0),"")))</f>
        <v>4.7</v>
      </c>
      <c r="AZ1128" s="10" t="str">
        <f>IF(K1128="","",
IF(AX1128="PT",VLOOKUP(K1128,Foundation_Calc!$K$79:$R$113,VLOOKUP(AW1128,Foundation_Calc!$I$2:$J$8,2,FALSE),0),
IF(AX1128="K",VLOOKUP(K1128,Foundation_Calc!$K$117:$R$151,VLOOKUP(AW1128,Foundation_Calc!$I$2:$J$8,2,FALSE),0),"")))</f>
        <v/>
      </c>
      <c r="BA1128" s="495" t="str">
        <f t="shared" si="127"/>
        <v>ü</v>
      </c>
      <c r="BB1128" s="495" t="str">
        <f t="shared" si="128"/>
        <v/>
      </c>
      <c r="BC1128" s="495" t="str">
        <f t="shared" si="129"/>
        <v/>
      </c>
      <c r="BD1128" s="513" t="str">
        <f>Pole_Calc!A$209</f>
        <v>App.7-V11I-P12.3.1.5</v>
      </c>
      <c r="BE1128" s="429" t="s">
        <v>118</v>
      </c>
      <c r="BF1128" s="289"/>
      <c r="BG1128" s="289"/>
      <c r="BH1128" s="290"/>
      <c r="BI1128" s="289"/>
    </row>
    <row r="1129" spans="1:61" ht="15.6" customHeight="1">
      <c r="A1129" s="514"/>
      <c r="B1129" s="450"/>
      <c r="C1129" s="3"/>
      <c r="D1129" s="83"/>
      <c r="E1129" s="4"/>
      <c r="F1129" s="4"/>
      <c r="G1129" s="6">
        <v>60</v>
      </c>
      <c r="H1129" s="449"/>
      <c r="I1129" s="4"/>
      <c r="J1129" s="3"/>
      <c r="K1129" s="449"/>
      <c r="L1129" s="449"/>
      <c r="M1129" s="449" t="str">
        <f>IF(L1129="","",
IF(AX1129="PT",VLOOKUP(L1129,Foundation_Calc!$V$79:$X$113,VLOOKUP(AX1129,Foundation_Calc!$I$10:$J$13,2,FALSE),0),
IF(AX1129="K",VLOOKUP(L1129,Foundation_Calc!$V$117:$X$151,VLOOKUP(AX1129,Foundation_Calc!$I$10:$J$13,2,FALSE),0),"")))</f>
        <v/>
      </c>
      <c r="N1129" s="449"/>
      <c r="O1129" s="449"/>
      <c r="P1129" s="449"/>
      <c r="Q1129" s="4"/>
      <c r="R1129" s="6"/>
      <c r="S1129" s="6"/>
      <c r="T1129" s="4"/>
      <c r="U1129" s="4"/>
      <c r="V1129" s="4"/>
      <c r="W1129" s="9"/>
      <c r="X1129" s="9"/>
      <c r="Y1129" s="9"/>
      <c r="Z1129" s="9"/>
      <c r="AA1129" s="9"/>
      <c r="AB1129" s="9"/>
      <c r="AC1129" s="449" t="str">
        <f t="shared" si="126"/>
        <v/>
      </c>
      <c r="AD1129" s="449"/>
      <c r="AE1129" s="449"/>
      <c r="AF1129" s="4"/>
      <c r="AG1129" s="83"/>
      <c r="AH1129" s="4"/>
      <c r="AI1129" s="4"/>
      <c r="AJ1129" s="449"/>
      <c r="AK1129" s="449"/>
      <c r="AL1129" s="449"/>
      <c r="AM1129" s="449"/>
      <c r="AN1129" s="10"/>
      <c r="AO1129" s="9"/>
      <c r="AP1129" s="9"/>
      <c r="AQ1129" s="9">
        <f>+FL_2($T$1130,$T$1128,$G$1129,1200,9.28,-1*$F$1130)</f>
        <v>-0.44888002799999999</v>
      </c>
      <c r="AR1129" s="9"/>
      <c r="AS1129" s="9"/>
      <c r="AT1129" s="9"/>
      <c r="AU1129" s="428"/>
      <c r="AV1129" s="428"/>
      <c r="AW1129" s="449" t="str">
        <f>IF(C1129&gt;0,VLOOKUP(C1129,Foundation_Calc!$A$2:$C$13,3,1),
IF(J1129&gt;0,VLOOKUP(J1129,Foundation_Calc!$A$2:$C$13,3,1),""))</f>
        <v/>
      </c>
      <c r="AX1129" s="449" t="str">
        <f>IF(C1129&gt;0,VLOOKUP(C1129,Foundation_Calc!$E$2:$G$33,3,1),
IF(J1129&gt;0,VLOOKUP(J1129,Foundation_Calc!$E$2:$G$33,3,1),""))</f>
        <v/>
      </c>
      <c r="AY1129" s="10" t="str">
        <f>IF(L1129="","",
IF(AX1129="PT",VLOOKUP(L1129,Foundation_Calc!$K$79:$R$113,VLOOKUP(AW1129,Foundation_Calc!$I$2:$J$8,2,FALSE),0),
IF(AX1129="K",VLOOKUP(L1129,Foundation_Calc!$K$117:$R$151,VLOOKUP(AW1129,Foundation_Calc!$I$2:$J$8,2,FALSE),0),"")))</f>
        <v/>
      </c>
      <c r="AZ1129" s="10" t="str">
        <f>IF(K1129="","",
IF(AX1129="PT",VLOOKUP(K1129,Foundation_Calc!$K$79:$R$113,VLOOKUP(AW1129,Foundation_Calc!$I$2:$J$8,2,FALSE),0),
IF(AX1129="K",VLOOKUP(K1129,Foundation_Calc!$K$117:$R$151,VLOOKUP(AW1129,Foundation_Calc!$I$2:$J$8,2,FALSE),0),"")))</f>
        <v/>
      </c>
      <c r="BA1129" s="495" t="str">
        <f t="shared" si="127"/>
        <v/>
      </c>
      <c r="BB1129" s="495" t="str">
        <f t="shared" si="128"/>
        <v/>
      </c>
      <c r="BC1129" s="495" t="str">
        <f t="shared" si="129"/>
        <v/>
      </c>
      <c r="BD1129" s="513" t="str">
        <f>IF(AND(L1129="",H1129=""),"",
IF(H1129="",Pole_Calc!A$9,
IF(H1129="MP",Pole_Calc!A$10,
IF(H1129="AnMP",Pole_Calc!A$11,
IF(H1129="A",Pole_Calc!A$12,
IF(H1129="S/A",Pole_Calc!A$13,
IF(H1129="A/S",Pole_Calc!A$14,"Poner a mano")))))))</f>
        <v/>
      </c>
      <c r="BE1129" s="429" t="s">
        <v>118</v>
      </c>
      <c r="BF1129" s="290"/>
      <c r="BG1129" s="290"/>
      <c r="BH1129" s="290"/>
      <c r="BI1129" s="290"/>
    </row>
    <row r="1130" spans="1:61" ht="15.6" customHeight="1">
      <c r="A1130" s="514"/>
      <c r="B1130" s="450" t="s">
        <v>835</v>
      </c>
      <c r="C1130" s="3">
        <f>+$C$1128+$G$1129+0.7</f>
        <v>57805.819999999992</v>
      </c>
      <c r="D1130" s="83"/>
      <c r="E1130" s="4"/>
      <c r="F1130" s="4">
        <f>IF(C1130&gt;0,VLOOKUP(C1130,'ALIGNMENT TRACK'!$A$1:$K$81,9,1))</f>
        <v>0</v>
      </c>
      <c r="G1130" s="6"/>
      <c r="H1130" s="449" t="s">
        <v>121</v>
      </c>
      <c r="I1130" s="4" t="s">
        <v>122</v>
      </c>
      <c r="J1130" s="3"/>
      <c r="K1130" s="449"/>
      <c r="L1130" s="449" t="s">
        <v>151</v>
      </c>
      <c r="M1130" s="449" t="str">
        <f>IF(L1130="","",
IF(AX1130="PT",VLOOKUP(L1130,Foundation_Calc!$V$79:$X$113,VLOOKUP(AX1130,Foundation_Calc!$I$10:$J$13,2,FALSE),0),
IF(AX1130="K",VLOOKUP(L1130,Foundation_Calc!$V$117:$X$151,VLOOKUP(AX1130,Foundation_Calc!$I$10:$J$13,2,FALSE),0),"")))</f>
        <v>C4RT</v>
      </c>
      <c r="N1130" s="449" t="s">
        <v>124</v>
      </c>
      <c r="O1130" s="449"/>
      <c r="P1130" s="449"/>
      <c r="Q1130" s="4"/>
      <c r="R1130" s="6"/>
      <c r="S1130" s="6"/>
      <c r="T1130" s="4">
        <v>-35</v>
      </c>
      <c r="U1130" s="4"/>
      <c r="V1130" s="4"/>
      <c r="W1130" s="9">
        <v>1.4</v>
      </c>
      <c r="X1130" s="9"/>
      <c r="Y1130" s="9"/>
      <c r="Z1130" s="9"/>
      <c r="AA1130" s="9"/>
      <c r="AB1130" s="9"/>
      <c r="AC1130" s="449" t="str">
        <f t="shared" si="126"/>
        <v>PH</v>
      </c>
      <c r="AD1130" s="449"/>
      <c r="AE1130" s="449"/>
      <c r="AF1130" s="4"/>
      <c r="AG1130" s="83"/>
      <c r="AH1130" s="4"/>
      <c r="AI1130" s="4"/>
      <c r="AJ1130" s="449"/>
      <c r="AK1130" s="449"/>
      <c r="AL1130" s="449"/>
      <c r="AM1130" s="449" t="s">
        <v>126</v>
      </c>
      <c r="AN1130" s="10">
        <v>5.5</v>
      </c>
      <c r="AO1130" s="9"/>
      <c r="AP1130" s="9"/>
      <c r="AQ1130" s="9"/>
      <c r="AR1130" s="9"/>
      <c r="AS1130" s="9"/>
      <c r="AT1130" s="9">
        <f>+ab($T$1130,$T$1128,$T$1132,$G$1129,$G$1131,-1*$F$1130,1200)</f>
        <v>-8.858536645956212</v>
      </c>
      <c r="AU1130" s="428"/>
      <c r="AV1130" s="428"/>
      <c r="AW1130" s="449" t="str">
        <f>IF(C1130&gt;0,VLOOKUP(C1130,Foundation_Calc!$A$2:$C$13,3,1),
IF(J1130&gt;0,VLOOKUP(J1130,Foundation_Calc!$A$2:$C$13,3,1),""))</f>
        <v>Multi Soil</v>
      </c>
      <c r="AX1130" s="449" t="str">
        <f>IF(C1130&gt;0,VLOOKUP(C1130,Foundation_Calc!$E$2:$G$33,3,1),
IF(J1130&gt;0,VLOOKUP(J1130,Foundation_Calc!$E$2:$G$33,3,1),""))</f>
        <v>K</v>
      </c>
      <c r="AY1130" s="10">
        <f>IF(L1130="","",
IF(AX1130="PT",VLOOKUP(L1130,Foundation_Calc!$K$79:$R$113,VLOOKUP(AW1130,Foundation_Calc!$I$2:$J$8,2,FALSE),0),
IF(AX1130="K",VLOOKUP(L1130,Foundation_Calc!$K$117:$R$151,VLOOKUP(AW1130,Foundation_Calc!$I$2:$J$8,2,FALSE),0),"")))</f>
        <v>4.2</v>
      </c>
      <c r="AZ1130" s="10" t="str">
        <f>IF(K1130="","",
IF(AX1130="PT",VLOOKUP(K1130,Foundation_Calc!$K$79:$R$113,VLOOKUP(AW1130,Foundation_Calc!$I$2:$J$8,2,FALSE),0),
IF(AX1130="K",VLOOKUP(K1130,Foundation_Calc!$K$117:$R$151,VLOOKUP(AW1130,Foundation_Calc!$I$2:$J$8,2,FALSE),0),"")))</f>
        <v/>
      </c>
      <c r="BA1130" s="495" t="str">
        <f t="shared" si="127"/>
        <v>ü</v>
      </c>
      <c r="BB1130" s="495" t="str">
        <f t="shared" si="128"/>
        <v/>
      </c>
      <c r="BC1130" s="495" t="str">
        <f t="shared" si="129"/>
        <v/>
      </c>
      <c r="BD1130" s="513" t="str">
        <f>IF(AND(L1130="",H1130=""),"",
IF(H1130="",Pole_Calc!A$9,
IF(H1130="MP",Pole_Calc!A$10,
IF(H1130="AnMP",Pole_Calc!A$11,
IF(H1130="A",Pole_Calc!A$12,
IF(H1130="S/A",Pole_Calc!A$13,
IF(H1130="A/S",Pole_Calc!A$14,"Poner a mano")))))))</f>
        <v>App.7-V11I-P9.5.1.6</v>
      </c>
      <c r="BE1130" s="429" t="s">
        <v>118</v>
      </c>
      <c r="BF1130" s="289"/>
      <c r="BG1130" s="289"/>
      <c r="BH1130" s="290"/>
      <c r="BI1130" s="289"/>
    </row>
    <row r="1131" spans="1:61" ht="15.6" customHeight="1">
      <c r="A1131" s="514"/>
      <c r="B1131" s="450"/>
      <c r="C1131" s="3"/>
      <c r="D1131" s="83"/>
      <c r="E1131" s="4"/>
      <c r="F1131" s="4"/>
      <c r="G1131" s="6">
        <v>61</v>
      </c>
      <c r="H1131" s="449"/>
      <c r="I1131" s="4"/>
      <c r="J1131" s="3">
        <f>C1130+7.5</f>
        <v>57813.319999999992</v>
      </c>
      <c r="K1131" s="449" t="s">
        <v>315</v>
      </c>
      <c r="L1131" s="449"/>
      <c r="M1131" s="449" t="str">
        <f>IF(L1131="","",
IF(AX1131="PT",VLOOKUP(L1131,Foundation_Calc!$V$79:$X$113,VLOOKUP(AX1131,Foundation_Calc!$I$10:$J$13,2,FALSE),0),
IF(AX1131="K",VLOOKUP(L1131,Foundation_Calc!$V$117:$X$151,VLOOKUP(AX1131,Foundation_Calc!$I$10:$J$13,2,FALSE),0),"")))</f>
        <v/>
      </c>
      <c r="N1131" s="449"/>
      <c r="O1131" s="449"/>
      <c r="P1131" s="449"/>
      <c r="Q1131" s="4"/>
      <c r="R1131" s="6"/>
      <c r="S1131" s="6"/>
      <c r="T1131" s="4"/>
      <c r="U1131" s="4"/>
      <c r="V1131" s="4"/>
      <c r="W1131" s="9"/>
      <c r="X1131" s="9"/>
      <c r="Y1131" s="9"/>
      <c r="Z1131" s="9"/>
      <c r="AA1131" s="9"/>
      <c r="AB1131" s="9"/>
      <c r="AC1131" s="449" t="str">
        <f t="shared" si="126"/>
        <v/>
      </c>
      <c r="AD1131" s="449"/>
      <c r="AE1131" s="449"/>
      <c r="AF1131" s="4"/>
      <c r="AG1131" s="83"/>
      <c r="AH1131" s="4"/>
      <c r="AI1131" s="4"/>
      <c r="AJ1131" s="449"/>
      <c r="AK1131" s="449"/>
      <c r="AL1131" s="449"/>
      <c r="AM1131" s="449"/>
      <c r="AN1131" s="10"/>
      <c r="AO1131" s="9"/>
      <c r="AP1131" s="9"/>
      <c r="AQ1131" s="9">
        <f>+FL_2($T$1132,$T$1130,$G$1131,1200,9.28,-1*$F$1132)</f>
        <v>-0.45810921757377054</v>
      </c>
      <c r="AR1131" s="9"/>
      <c r="AS1131" s="9"/>
      <c r="AT1131" s="9"/>
      <c r="AU1131" s="428"/>
      <c r="AV1131" s="428"/>
      <c r="AW1131" s="449" t="str">
        <f>IF(C1131&gt;0,VLOOKUP(C1131,Foundation_Calc!$A$2:$C$13,3,1),
IF(J1131&gt;0,VLOOKUP(J1131,Foundation_Calc!$A$2:$C$13,3,1),""))</f>
        <v>Multi Soil</v>
      </c>
      <c r="AX1131" s="449" t="str">
        <f>IF(C1131&gt;0,VLOOKUP(C1131,Foundation_Calc!$E$2:$G$33,3,1),
IF(J1131&gt;0,VLOOKUP(J1131,Foundation_Calc!$E$2:$G$33,3,1),""))</f>
        <v>K</v>
      </c>
      <c r="AY1131" s="10" t="str">
        <f>IF(L1131="","",
IF(AX1131="PT",VLOOKUP(L1131,Foundation_Calc!$K$79:$R$113,VLOOKUP(AW1131,Foundation_Calc!$I$2:$J$8,2,FALSE),0),
IF(AX1131="K",VLOOKUP(L1131,Foundation_Calc!$K$117:$R$151,VLOOKUP(AW1131,Foundation_Calc!$I$2:$J$8,2,FALSE),0),"")))</f>
        <v/>
      </c>
      <c r="AZ1131" s="10">
        <f>IF(K1131="","",
IF(AX1131="PT",VLOOKUP(K1131,Foundation_Calc!$K$79:$R$113,VLOOKUP(AW1131,Foundation_Calc!$I$2:$J$8,2,FALSE),0),
IF(AX1131="K",VLOOKUP(K1131,Foundation_Calc!$K$117:$R$151,VLOOKUP(AW1131,Foundation_Calc!$I$2:$J$8,2,FALSE),0),"")))</f>
        <v>3.9</v>
      </c>
      <c r="BA1131" s="495" t="str">
        <f t="shared" si="127"/>
        <v/>
      </c>
      <c r="BB1131" s="495" t="str">
        <f t="shared" si="128"/>
        <v>ü</v>
      </c>
      <c r="BC1131" s="495" t="str">
        <f t="shared" si="129"/>
        <v/>
      </c>
      <c r="BD1131" s="513" t="str">
        <f>IF(AND(L1131="",H1131=""),"",
IF(H1131="",Pole_Calc!A$9,
IF(H1131="MP",Pole_Calc!A$10,
IF(H1131="AnMP",Pole_Calc!A$11,
IF(H1131="A",Pole_Calc!A$12,
IF(H1131="S/A",Pole_Calc!A$13,
IF(H1131="A/S",Pole_Calc!A$14,"Poner a mano")))))))</f>
        <v/>
      </c>
      <c r="BE1131" s="429" t="s">
        <v>118</v>
      </c>
      <c r="BF1131" s="290"/>
      <c r="BG1131" s="290"/>
      <c r="BH1131" s="290"/>
      <c r="BI1131" s="290"/>
    </row>
    <row r="1132" spans="1:61" ht="15.6" customHeight="1">
      <c r="A1132" s="514"/>
      <c r="B1132" s="720" t="s">
        <v>836</v>
      </c>
      <c r="C1132" s="3">
        <f>+$C$1130+$G$1131</f>
        <v>57866.819999999992</v>
      </c>
      <c r="D1132" s="83"/>
      <c r="E1132" s="4"/>
      <c r="F1132" s="4">
        <f>IF(C1132&gt;0,VLOOKUP(C1132,'ALIGNMENT TRACK'!$A$1:$K$81,9,1))</f>
        <v>0</v>
      </c>
      <c r="G1132" s="6"/>
      <c r="H1132" s="449"/>
      <c r="I1132" s="4"/>
      <c r="J1132" s="3"/>
      <c r="K1132" s="449"/>
      <c r="L1132" s="449" t="s">
        <v>153</v>
      </c>
      <c r="M1132" s="449" t="str">
        <f>IF(L1132="","",
IF(AX1132="PT",VLOOKUP(L1132,Foundation_Calc!$V$79:$X$113,VLOOKUP(AX1132,Foundation_Calc!$I$10:$J$13,2,FALSE),0),
IF(AX1132="K",VLOOKUP(L1132,Foundation_Calc!$V$117:$X$151,VLOOKUP(AX1132,Foundation_Calc!$I$10:$J$13,2,FALSE),0),"")))</f>
        <v>C3RT</v>
      </c>
      <c r="N1132" s="449" t="s">
        <v>134</v>
      </c>
      <c r="O1132" s="449"/>
      <c r="P1132" s="449"/>
      <c r="Q1132" s="4"/>
      <c r="R1132" s="6"/>
      <c r="S1132" s="6"/>
      <c r="T1132" s="4">
        <v>30</v>
      </c>
      <c r="U1132" s="4"/>
      <c r="V1132" s="4"/>
      <c r="W1132" s="9">
        <v>1.4</v>
      </c>
      <c r="X1132" s="9"/>
      <c r="Y1132" s="9"/>
      <c r="Z1132" s="9"/>
      <c r="AA1132" s="9"/>
      <c r="AB1132" s="9"/>
      <c r="AC1132" s="449" t="str">
        <f t="shared" si="126"/>
        <v>PH</v>
      </c>
      <c r="AD1132" s="449"/>
      <c r="AE1132" s="449"/>
      <c r="AF1132" s="4"/>
      <c r="AG1132" s="83"/>
      <c r="AH1132" s="4"/>
      <c r="AI1132" s="4"/>
      <c r="AJ1132" s="449"/>
      <c r="AK1132" s="449"/>
      <c r="AL1132" s="449"/>
      <c r="AM1132" s="449" t="s">
        <v>126</v>
      </c>
      <c r="AN1132" s="10">
        <v>5.5</v>
      </c>
      <c r="AO1132" s="9"/>
      <c r="AP1132" s="9"/>
      <c r="AQ1132" s="9"/>
      <c r="AR1132" s="9"/>
      <c r="AS1132" s="9"/>
      <c r="AT1132" s="9">
        <f>+ab($T$1132,$T$1130,$T$1134,$G$1131,$G$1133,-1*$F$1132,1200)</f>
        <v>10.344557637221133</v>
      </c>
      <c r="AU1132" s="428"/>
      <c r="AV1132" s="428"/>
      <c r="AW1132" s="449" t="str">
        <f>IF(C1132&gt;0,VLOOKUP(C1132,Foundation_Calc!$A$2:$C$13,3,1),
IF(J1132&gt;0,VLOOKUP(J1132,Foundation_Calc!$A$2:$C$13,3,1),""))</f>
        <v>Multi Soil</v>
      </c>
      <c r="AX1132" s="449" t="str">
        <f>IF(C1132&gt;0,VLOOKUP(C1132,Foundation_Calc!$E$2:$G$33,3,1),
IF(J1132&gt;0,VLOOKUP(J1132,Foundation_Calc!$E$2:$G$33,3,1),""))</f>
        <v>K</v>
      </c>
      <c r="AY1132" s="10">
        <f>IF(L1132="","",
IF(AX1132="PT",VLOOKUP(L1132,Foundation_Calc!$K$79:$R$113,VLOOKUP(AW1132,Foundation_Calc!$I$2:$J$8,2,FALSE),0),
IF(AX1132="K",VLOOKUP(L1132,Foundation_Calc!$K$117:$R$151,VLOOKUP(AW1132,Foundation_Calc!$I$2:$J$8,2,FALSE),0),"")))</f>
        <v>4</v>
      </c>
      <c r="AZ1132" s="10" t="str">
        <f>IF(K1132="","",
IF(AX1132="PT",VLOOKUP(K1132,Foundation_Calc!$K$79:$R$113,VLOOKUP(AW1132,Foundation_Calc!$I$2:$J$8,2,FALSE),0),
IF(AX1132="K",VLOOKUP(K1132,Foundation_Calc!$K$117:$R$151,VLOOKUP(AW1132,Foundation_Calc!$I$2:$J$8,2,FALSE),0),"")))</f>
        <v/>
      </c>
      <c r="BA1132" s="495" t="str">
        <f t="shared" si="127"/>
        <v>ü</v>
      </c>
      <c r="BB1132" s="495" t="str">
        <f t="shared" si="128"/>
        <v/>
      </c>
      <c r="BC1132" s="495" t="str">
        <f t="shared" si="129"/>
        <v/>
      </c>
      <c r="BD1132" s="513" t="str">
        <f>IF(AND(L1132="",H1132=""),"",
IF(H1132="",Pole_Calc!A$9,
IF(H1132="MP",Pole_Calc!A$10,
IF(H1132="AnMP",Pole_Calc!A$11,
IF(H1132="A",Pole_Calc!A$12,
IF(H1132="S/A",Pole_Calc!A$13,
IF(H1132="A/S",Pole_Calc!A$14,"Poner a mano")))))))</f>
        <v>App.7-V11I-P9.5.1.1</v>
      </c>
      <c r="BE1132" s="429" t="s">
        <v>118</v>
      </c>
      <c r="BF1132" s="289"/>
      <c r="BG1132" s="289"/>
      <c r="BH1132" s="290"/>
      <c r="BI1132" s="289"/>
    </row>
    <row r="1133" spans="1:61" ht="15.6" customHeight="1">
      <c r="A1133" s="514" t="s">
        <v>644</v>
      </c>
      <c r="B1133" s="450"/>
      <c r="C1133" s="3"/>
      <c r="D1133" s="83"/>
      <c r="E1133" s="4"/>
      <c r="F1133" s="4"/>
      <c r="G1133" s="6">
        <v>65</v>
      </c>
      <c r="H1133" s="449"/>
      <c r="I1133" s="4"/>
      <c r="J1133" s="3"/>
      <c r="K1133" s="449"/>
      <c r="L1133" s="449"/>
      <c r="M1133" s="449" t="str">
        <f>IF(L1133="","",
IF(AX1133="PT",VLOOKUP(L1133,Foundation_Calc!$V$79:$X$113,VLOOKUP(AX1133,Foundation_Calc!$I$10:$J$13,2,FALSE),0),
IF(AX1133="K",VLOOKUP(L1133,Foundation_Calc!$V$117:$X$151,VLOOKUP(AX1133,Foundation_Calc!$I$10:$J$13,2,FALSE),0),"")))</f>
        <v/>
      </c>
      <c r="N1133" s="449"/>
      <c r="O1133" s="449"/>
      <c r="P1133" s="449"/>
      <c r="Q1133" s="4"/>
      <c r="R1133" s="6"/>
      <c r="S1133" s="6"/>
      <c r="T1133" s="4"/>
      <c r="U1133" s="4"/>
      <c r="V1133" s="4"/>
      <c r="W1133" s="9"/>
      <c r="X1133" s="9"/>
      <c r="Y1133" s="9"/>
      <c r="Z1133" s="9"/>
      <c r="AA1133" s="9"/>
      <c r="AB1133" s="9"/>
      <c r="AC1133" s="449" t="str">
        <f t="shared" si="126"/>
        <v/>
      </c>
      <c r="AD1133" s="449"/>
      <c r="AE1133" s="449"/>
      <c r="AF1133" s="4"/>
      <c r="AG1133" s="83"/>
      <c r="AH1133" s="4"/>
      <c r="AI1133" s="4"/>
      <c r="AJ1133" s="449"/>
      <c r="AK1133" s="449"/>
      <c r="AL1133" s="449"/>
      <c r="AM1133" s="449"/>
      <c r="AN1133" s="10"/>
      <c r="AO1133" s="9"/>
      <c r="AP1133" s="9"/>
      <c r="AQ1133" s="9">
        <f>+FL_1($T$1134,$T$1132,$G$1133,1200,9.28,-1*$F$1134)</f>
        <v>0.49667416153846156</v>
      </c>
      <c r="AR1133" s="9"/>
      <c r="AS1133" s="9"/>
      <c r="AT1133" s="9"/>
      <c r="AU1133" s="428"/>
      <c r="AV1133" s="428"/>
      <c r="AW1133" s="449" t="str">
        <f>IF(C1133&gt;0,VLOOKUP(C1133,Foundation_Calc!$A$2:$C$13,3,1),
IF(J1133&gt;0,VLOOKUP(J1133,Foundation_Calc!$A$2:$C$13,3,1),""))</f>
        <v/>
      </c>
      <c r="AX1133" s="449" t="str">
        <f>IF(C1133&gt;0,VLOOKUP(C1133,Foundation_Calc!$E$2:$G$33,3,1),
IF(J1133&gt;0,VLOOKUP(J1133,Foundation_Calc!$E$2:$G$33,3,1),""))</f>
        <v/>
      </c>
      <c r="AY1133" s="10" t="str">
        <f>IF(L1133="","",
IF(AX1133="PT",VLOOKUP(L1133,Foundation_Calc!$K$79:$R$113,VLOOKUP(AW1133,Foundation_Calc!$I$2:$J$8,2,FALSE),0),
IF(AX1133="K",VLOOKUP(L1133,Foundation_Calc!$K$117:$R$151,VLOOKUP(AW1133,Foundation_Calc!$I$2:$J$8,2,FALSE),0),"")))</f>
        <v/>
      </c>
      <c r="AZ1133" s="10" t="str">
        <f>IF(K1133="","",
IF(AX1133="PT",VLOOKUP(K1133,Foundation_Calc!$K$79:$R$113,VLOOKUP(AW1133,Foundation_Calc!$I$2:$J$8,2,FALSE),0),
IF(AX1133="K",VLOOKUP(K1133,Foundation_Calc!$K$117:$R$151,VLOOKUP(AW1133,Foundation_Calc!$I$2:$J$8,2,FALSE),0),"")))</f>
        <v/>
      </c>
      <c r="BA1133" s="495" t="str">
        <f t="shared" si="127"/>
        <v/>
      </c>
      <c r="BB1133" s="495" t="str">
        <f t="shared" si="128"/>
        <v/>
      </c>
      <c r="BC1133" s="495" t="str">
        <f t="shared" si="129"/>
        <v/>
      </c>
      <c r="BD1133" s="513" t="str">
        <f>IF(AND(L1133="",H1133=""),"",
IF(H1133="",Pole_Calc!A$9,
IF(H1133="MP",Pole_Calc!A$10,
IF(H1133="AnMP",Pole_Calc!A$11,
IF(H1133="A",Pole_Calc!A$12,
IF(H1133="S/A",Pole_Calc!A$13,
IF(H1133="A/S",Pole_Calc!A$14,"Poner a mano")))))))</f>
        <v/>
      </c>
      <c r="BE1133" s="429" t="s">
        <v>118</v>
      </c>
      <c r="BF1133" s="290"/>
      <c r="BG1133" s="290"/>
      <c r="BH1133" s="290"/>
      <c r="BI1133" s="290"/>
    </row>
    <row r="1134" spans="1:61" ht="15.6" customHeight="1">
      <c r="A1134" s="514"/>
      <c r="B1134" s="450" t="s">
        <v>837</v>
      </c>
      <c r="C1134" s="3">
        <f>+$C$1132+$G$1133</f>
        <v>57931.819999999992</v>
      </c>
      <c r="D1134" s="83"/>
      <c r="E1134" s="4"/>
      <c r="F1134" s="4">
        <f>IF(C1134&gt;0,VLOOKUP(C1134,'ALIGNMENT TRACK'!$A$1:$K$81,9,1))</f>
        <v>0</v>
      </c>
      <c r="G1134" s="6"/>
      <c r="H1134" s="449"/>
      <c r="I1134" s="4"/>
      <c r="J1134" s="3"/>
      <c r="K1134" s="449"/>
      <c r="L1134" s="449" t="s">
        <v>148</v>
      </c>
      <c r="M1134" s="449" t="str">
        <f>IF(L1134="","",
IF(AX1134="PT",VLOOKUP(L1134,Foundation_Calc!$V$79:$X$113,VLOOKUP(AX1134,Foundation_Calc!$I$10:$J$13,2,FALSE),0),
IF(AX1134="K",VLOOKUP(L1134,Foundation_Calc!$V$117:$X$151,VLOOKUP(AX1134,Foundation_Calc!$I$10:$J$13,2,FALSE),0),"")))</f>
        <v>C4R</v>
      </c>
      <c r="N1134" s="449" t="s">
        <v>124</v>
      </c>
      <c r="O1134" s="449"/>
      <c r="P1134" s="449"/>
      <c r="Q1134" s="4"/>
      <c r="R1134" s="6"/>
      <c r="S1134" s="6"/>
      <c r="T1134" s="4">
        <v>-20</v>
      </c>
      <c r="U1134" s="4"/>
      <c r="V1134" s="4"/>
      <c r="W1134" s="9">
        <v>1.4</v>
      </c>
      <c r="X1134" s="9"/>
      <c r="Y1134" s="9"/>
      <c r="Z1134" s="9"/>
      <c r="AA1134" s="9"/>
      <c r="AB1134" s="9"/>
      <c r="AC1134" s="449" t="str">
        <f t="shared" si="126"/>
        <v>PH</v>
      </c>
      <c r="AD1134" s="449"/>
      <c r="AE1134" s="449"/>
      <c r="AF1134" s="4"/>
      <c r="AG1134" s="83"/>
      <c r="AH1134" s="4"/>
      <c r="AI1134" s="4"/>
      <c r="AJ1134" s="449"/>
      <c r="AK1134" s="449"/>
      <c r="AL1134" s="449"/>
      <c r="AM1134" s="449" t="s">
        <v>126</v>
      </c>
      <c r="AN1134" s="10">
        <v>5.5</v>
      </c>
      <c r="AO1134" s="9"/>
      <c r="AP1134" s="9"/>
      <c r="AQ1134" s="9"/>
      <c r="AR1134" s="9"/>
      <c r="AS1134" s="9"/>
      <c r="AT1134" s="9">
        <f>+ab($T$1134,$T$1132,$U$1138,$G$1133,$G$1135,-1*$F$1134,1200)</f>
        <v>-62.075615426152382</v>
      </c>
      <c r="AU1134" s="428"/>
      <c r="AV1134" s="428"/>
      <c r="AW1134" s="449" t="str">
        <f>IF(C1134&gt;0,VLOOKUP(C1134,Foundation_Calc!$A$2:$C$13,3,1),
IF(J1134&gt;0,VLOOKUP(J1134,Foundation_Calc!$A$2:$C$13,3,1),""))</f>
        <v>Multi Soil</v>
      </c>
      <c r="AX1134" s="449" t="str">
        <f>IF(C1134&gt;0,VLOOKUP(C1134,Foundation_Calc!$E$2:$G$33,3,1),
IF(J1134&gt;0,VLOOKUP(J1134,Foundation_Calc!$E$2:$G$33,3,1),""))</f>
        <v>PT</v>
      </c>
      <c r="AY1134" s="10">
        <f>IF(L1134="","",
IF(AX1134="PT",VLOOKUP(L1134,Foundation_Calc!$K$79:$R$113,VLOOKUP(AW1134,Foundation_Calc!$I$2:$J$8,2,FALSE),0),
IF(AX1134="K",VLOOKUP(L1134,Foundation_Calc!$K$117:$R$151,VLOOKUP(AW1134,Foundation_Calc!$I$2:$J$8,2,FALSE),0),"")))</f>
        <v>3.7</v>
      </c>
      <c r="AZ1134" s="10" t="str">
        <f>IF(K1134="","",
IF(AX1134="PT",VLOOKUP(K1134,Foundation_Calc!$K$79:$R$113,VLOOKUP(AW1134,Foundation_Calc!$I$2:$J$8,2,FALSE),0),
IF(AX1134="K",VLOOKUP(K1134,Foundation_Calc!$K$117:$R$151,VLOOKUP(AW1134,Foundation_Calc!$I$2:$J$8,2,FALSE),0),"")))</f>
        <v/>
      </c>
      <c r="BA1134" s="495" t="str">
        <f t="shared" ref="BA1134:BA1135" si="130">IF(AY1134="","",IF(AY1134&gt;0,"ü",""))</f>
        <v>ü</v>
      </c>
      <c r="BB1134" s="495" t="str">
        <f t="shared" ref="BB1134:BB1135" si="131">IF(AZ1134="","",IF(AZ1134&gt;0,"ü",""))</f>
        <v/>
      </c>
      <c r="BC1134" s="495" t="str">
        <f t="shared" ref="BC1134:BC1135" si="132">IF(M1134="","",IF(M1134="U.S.","ü",IF(M1134="U.S. N.D.","ü","")))</f>
        <v/>
      </c>
      <c r="BD1134" s="513" t="str">
        <f>IF(AND(L1134="",H1134=""),"",
IF(H1134="",Pole_Calc!A$9,
IF(H1134="MP",Pole_Calc!A$10,
IF(H1134="AnMP",Pole_Calc!A$11,
IF(H1134="A",Pole_Calc!A$12,
IF(H1134="S/A",Pole_Calc!A$13,
IF(H1134="A/S",Pole_Calc!A$14,"Poner a mano")))))))</f>
        <v>App.7-V11I-P9.5.1.1</v>
      </c>
      <c r="BE1134" s="429" t="s">
        <v>118</v>
      </c>
      <c r="BF1134" s="289"/>
      <c r="BG1134" s="289"/>
      <c r="BH1134" s="290"/>
      <c r="BI1134" s="289"/>
    </row>
    <row r="1135" spans="1:61" ht="15.6" customHeight="1">
      <c r="A1135" s="514"/>
      <c r="B1135" s="450"/>
      <c r="C1135" s="3"/>
      <c r="D1135" s="83"/>
      <c r="E1135" s="4"/>
      <c r="F1135" s="4"/>
      <c r="G1135" s="6">
        <v>16.899999999999999</v>
      </c>
      <c r="H1135" s="449"/>
      <c r="I1135" s="4"/>
      <c r="J1135" s="3"/>
      <c r="K1135" s="449"/>
      <c r="L1135" s="449"/>
      <c r="M1135" s="449"/>
      <c r="N1135" s="449"/>
      <c r="O1135" s="449"/>
      <c r="P1135" s="449"/>
      <c r="Q1135" s="4"/>
      <c r="R1135" s="6"/>
      <c r="S1135" s="6"/>
      <c r="T1135" s="4"/>
      <c r="U1135" s="4"/>
      <c r="V1135" s="4"/>
      <c r="W1135" s="9"/>
      <c r="X1135" s="9"/>
      <c r="Y1135" s="9"/>
      <c r="Z1135" s="9"/>
      <c r="AA1135" s="9"/>
      <c r="AB1135" s="9"/>
      <c r="AC1135" s="449" t="str">
        <f t="shared" si="126"/>
        <v/>
      </c>
      <c r="AD1135" s="449"/>
      <c r="AE1135" s="449"/>
      <c r="AF1135" s="4"/>
      <c r="AG1135" s="83"/>
      <c r="AH1135" s="4"/>
      <c r="AI1135" s="4"/>
      <c r="AJ1135" s="449"/>
      <c r="AK1135" s="449"/>
      <c r="AL1135" s="449"/>
      <c r="AM1135" s="449"/>
      <c r="AN1135" s="10"/>
      <c r="AO1135" s="9"/>
      <c r="AP1135" s="9"/>
      <c r="AQ1135" s="9">
        <f>+FL_2($U$1138,$T$1134,$G$1135,1200,9.28,-1*$F$1136)</f>
        <v>-0.30024653885601577</v>
      </c>
      <c r="AR1135" s="9"/>
      <c r="AS1135" s="9"/>
      <c r="AT1135" s="9"/>
      <c r="AU1135" s="428"/>
      <c r="AV1135" s="428"/>
      <c r="AW1135" s="449" t="str">
        <f>IF(C1135&gt;0,VLOOKUP(C1135,Foundation_Calc!$A$2:$C$13,3,1),
IF(J1135&gt;0,VLOOKUP(J1135,Foundation_Calc!$A$2:$C$13,3,1),""))</f>
        <v/>
      </c>
      <c r="AX1135" s="449" t="str">
        <f>IF(C1135&gt;0,VLOOKUP(C1135,Foundation_Calc!$E$2:$G$33,3,1),
IF(J1135&gt;0,VLOOKUP(J1135,Foundation_Calc!$E$2:$G$33,3,1),""))</f>
        <v/>
      </c>
      <c r="AY1135" s="10" t="str">
        <f>IF(L1135="","",
IF(AX1135="PT",VLOOKUP(L1135,Foundation_Calc!$K$79:$R$113,VLOOKUP(AW1135,Foundation_Calc!$I$2:$J$8,2,FALSE),0),
IF(AX1135="K",VLOOKUP(L1135,Foundation_Calc!$K$117:$R$151,VLOOKUP(AW1135,Foundation_Calc!$I$2:$J$8,2,FALSE),0),"")))</f>
        <v/>
      </c>
      <c r="AZ1135" s="10" t="str">
        <f>IF(K1135="","",
IF(AX1135="PT",VLOOKUP(K1135,Foundation_Calc!$K$79:$R$113,VLOOKUP(AW1135,Foundation_Calc!$I$2:$J$8,2,FALSE),0),
IF(AX1135="K",VLOOKUP(K1135,Foundation_Calc!$K$117:$R$151,VLOOKUP(AW1135,Foundation_Calc!$I$2:$J$8,2,FALSE),0),"")))</f>
        <v/>
      </c>
      <c r="BA1135" s="495" t="str">
        <f t="shared" si="130"/>
        <v/>
      </c>
      <c r="BB1135" s="495" t="str">
        <f t="shared" si="131"/>
        <v/>
      </c>
      <c r="BC1135" s="495" t="str">
        <f t="shared" si="132"/>
        <v/>
      </c>
      <c r="BD1135" s="513"/>
      <c r="BE1135" s="429" t="s">
        <v>118</v>
      </c>
      <c r="BF1135" s="290"/>
      <c r="BG1135" s="290"/>
      <c r="BH1135" s="290"/>
      <c r="BI1135" s="290"/>
    </row>
    <row r="1136" spans="1:61" ht="15.6" customHeight="1">
      <c r="A1136" s="514"/>
      <c r="B1136" s="450" t="s">
        <v>838</v>
      </c>
      <c r="C1136" s="3">
        <f>C1134+G1135</f>
        <v>57948.719999999994</v>
      </c>
      <c r="D1136" s="83"/>
      <c r="E1136" s="4"/>
      <c r="F1136" s="4">
        <v>0</v>
      </c>
      <c r="G1136" s="6"/>
      <c r="H1136" s="449" t="s">
        <v>284</v>
      </c>
      <c r="I1136" s="4" t="s">
        <v>122</v>
      </c>
      <c r="J1136" s="3"/>
      <c r="K1136" s="449"/>
      <c r="L1136" s="449" t="s">
        <v>206</v>
      </c>
      <c r="M1136" s="449" t="str">
        <f>IF(L1136="","",
IF(AX1136="PT",VLOOKUP(L1136,Foundation_Calc!$V$79:$X$113,VLOOKUP(AX1136,Foundation_Calc!$I$10:$J$13,2,FALSE),0),
IF(AX1136="K",VLOOKUP(L1136,Foundation_Calc!$V$117:$X$151,VLOOKUP(AX1136,Foundation_Calc!$I$10:$J$13,2,FALSE),0),"")))</f>
        <v>2C4R</v>
      </c>
      <c r="N1136" s="449" t="s">
        <v>201</v>
      </c>
      <c r="O1136" s="449"/>
      <c r="P1136" s="449"/>
      <c r="Q1136" s="4"/>
      <c r="R1136" s="6"/>
      <c r="S1136" s="6"/>
      <c r="T1136" s="4"/>
      <c r="U1136" s="4"/>
      <c r="V1136" s="4"/>
      <c r="W1136" s="9"/>
      <c r="X1136" s="9"/>
      <c r="Y1136" s="9"/>
      <c r="Z1136" s="9"/>
      <c r="AA1136" s="9"/>
      <c r="AB1136" s="9"/>
      <c r="AC1136" s="449" t="str">
        <f t="shared" si="126"/>
        <v/>
      </c>
      <c r="AD1136" s="449"/>
      <c r="AE1136" s="449"/>
      <c r="AF1136" s="4"/>
      <c r="AG1136" s="83"/>
      <c r="AH1136" s="4"/>
      <c r="AI1136" s="4"/>
      <c r="AJ1136" s="449"/>
      <c r="AK1136" s="449"/>
      <c r="AL1136" s="449"/>
      <c r="AM1136" s="449" t="s">
        <v>552</v>
      </c>
      <c r="AN1136" s="10">
        <v>5.5</v>
      </c>
      <c r="AO1136" s="9"/>
      <c r="AP1136" s="9"/>
      <c r="AQ1136" s="9"/>
      <c r="AR1136" s="9"/>
      <c r="AS1136" s="9"/>
      <c r="AT1136" s="9"/>
      <c r="AU1136" s="428"/>
      <c r="AV1136" s="428"/>
      <c r="AW1136" s="449" t="str">
        <f>IF(C1136&gt;0,VLOOKUP(C1136,Foundation_Calc!$A$2:$C$13,3,1),
IF(J1136&gt;0,VLOOKUP(J1136,Foundation_Calc!$A$2:$C$13,3,1),""))</f>
        <v>Multi Soil</v>
      </c>
      <c r="AX1136" s="449" t="str">
        <f>IF(C1136&gt;0,VLOOKUP(C1136,Foundation_Calc!$E$2:$G$33,3,1),
IF(J1136&gt;0,VLOOKUP(J1136,Foundation_Calc!$E$2:$G$33,3,1),""))</f>
        <v>PT</v>
      </c>
      <c r="AY1136" s="10">
        <f>IF(L1136="","",
IF(AX1136="PT",VLOOKUP(L1136,Foundation_Calc!$K$79:$R$113,VLOOKUP(AW1136,Foundation_Calc!$I$2:$J$8,2,FALSE),0),
IF(AX1136="K",VLOOKUP(L1136,Foundation_Calc!$K$117:$R$151,VLOOKUP(AW1136,Foundation_Calc!$I$2:$J$8,2,FALSE),0),"")))</f>
        <v>4</v>
      </c>
      <c r="AZ1136" s="10" t="str">
        <f>IF(K1136="","",
IF(AX1136="PT",VLOOKUP(K1136,Foundation_Calc!$K$79:$R$113,VLOOKUP(AW1136,Foundation_Calc!$I$2:$J$8,2,FALSE),0),
IF(AX1136="K",VLOOKUP(K1136,Foundation_Calc!$K$117:$R$151,VLOOKUP(AW1136,Foundation_Calc!$I$2:$J$8,2,FALSE),0),"")))</f>
        <v/>
      </c>
      <c r="BA1136" s="495" t="str">
        <f t="shared" si="127"/>
        <v>ü</v>
      </c>
      <c r="BB1136" s="495" t="str">
        <f t="shared" si="128"/>
        <v/>
      </c>
      <c r="BC1136" s="495" t="str">
        <f t="shared" si="129"/>
        <v/>
      </c>
      <c r="BD1136" s="513" t="str">
        <f>Pole_Calc!A$167</f>
        <v>App.7-V11I-P9.5.15.2</v>
      </c>
      <c r="BE1136" s="429" t="s">
        <v>118</v>
      </c>
      <c r="BF1136" s="289"/>
      <c r="BG1136" s="289"/>
      <c r="BH1136" s="290"/>
      <c r="BI1136" s="289"/>
    </row>
    <row r="1137" spans="1:61" ht="15.6" customHeight="1">
      <c r="A1137" s="514"/>
      <c r="B1137" s="450"/>
      <c r="C1137" s="3"/>
      <c r="D1137" s="83"/>
      <c r="E1137" s="4"/>
      <c r="F1137" s="4"/>
      <c r="G1137" s="6">
        <v>35</v>
      </c>
      <c r="H1137" s="449"/>
      <c r="I1137" s="4"/>
      <c r="J1137" s="3"/>
      <c r="K1137" s="449"/>
      <c r="L1137" s="449"/>
      <c r="M1137" s="449" t="str">
        <f>IF(L1137="","",
IF(AX1137="PT",VLOOKUP(L1137,Foundation_Calc!$V$79:$X$113,VLOOKUP(AX1137,Foundation_Calc!$I$10:$J$13,2,FALSE),0),
IF(AX1137="K",VLOOKUP(L1137,Foundation_Calc!$V$117:$X$151,VLOOKUP(AX1137,Foundation_Calc!$I$10:$J$13,2,FALSE),0),"")))</f>
        <v/>
      </c>
      <c r="N1137" s="449"/>
      <c r="O1137" s="449"/>
      <c r="P1137" s="449"/>
      <c r="Q1137" s="4"/>
      <c r="R1137" s="6"/>
      <c r="S1137" s="6"/>
      <c r="T1137" s="4"/>
      <c r="U1137" s="4"/>
      <c r="V1137" s="4"/>
      <c r="W1137" s="9"/>
      <c r="X1137" s="9"/>
      <c r="Y1137" s="9"/>
      <c r="Z1137" s="9"/>
      <c r="AA1137" s="9"/>
      <c r="AB1137" s="9"/>
      <c r="AC1137" s="449" t="str">
        <f t="shared" si="126"/>
        <v/>
      </c>
      <c r="AD1137" s="449"/>
      <c r="AE1137" s="449"/>
      <c r="AF1137" s="4"/>
      <c r="AG1137" s="83"/>
      <c r="AH1137" s="4"/>
      <c r="AI1137" s="4"/>
      <c r="AJ1137" s="449"/>
      <c r="AK1137" s="449"/>
      <c r="AL1137" s="449"/>
      <c r="AM1137" s="449"/>
      <c r="AN1137" s="10"/>
      <c r="AO1137" s="9"/>
      <c r="AP1137" s="9"/>
      <c r="AQ1137" s="9"/>
      <c r="AR1137" s="9"/>
      <c r="AS1137" s="9"/>
      <c r="AT1137" s="9"/>
      <c r="AU1137" s="428"/>
      <c r="AV1137" s="428"/>
      <c r="AW1137" s="449" t="str">
        <f>IF(C1137&gt;0,VLOOKUP(C1137,Foundation_Calc!$A$2:$C$13,3,1),
IF(J1137&gt;0,VLOOKUP(J1137,Foundation_Calc!$A$2:$C$13,3,1),""))</f>
        <v/>
      </c>
      <c r="AX1137" s="449" t="str">
        <f>IF(C1137&gt;0,VLOOKUP(C1137,Foundation_Calc!$E$2:$G$33,3,1),
IF(J1137&gt;0,VLOOKUP(J1137,Foundation_Calc!$E$2:$G$33,3,1),""))</f>
        <v/>
      </c>
      <c r="AY1137" s="10" t="str">
        <f>IF(L1137="","",
IF(AX1137="PT",VLOOKUP(L1137,Foundation_Calc!$K$79:$R$113,VLOOKUP(AW1137,Foundation_Calc!$I$2:$J$8,2,FALSE),0),
IF(AX1137="K",VLOOKUP(L1137,Foundation_Calc!$K$117:$R$151,VLOOKUP(AW1137,Foundation_Calc!$I$2:$J$8,2,FALSE),0),"")))</f>
        <v/>
      </c>
      <c r="AZ1137" s="10" t="str">
        <f>IF(K1137="","",
IF(AX1137="PT",VLOOKUP(K1137,Foundation_Calc!$K$79:$R$113,VLOOKUP(AW1137,Foundation_Calc!$I$2:$J$8,2,FALSE),0),
IF(AX1137="K",VLOOKUP(K1137,Foundation_Calc!$K$117:$R$151,VLOOKUP(AW1137,Foundation_Calc!$I$2:$J$8,2,FALSE),0),"")))</f>
        <v/>
      </c>
      <c r="BA1137" s="495" t="str">
        <f t="shared" si="127"/>
        <v/>
      </c>
      <c r="BB1137" s="495" t="str">
        <f t="shared" si="128"/>
        <v/>
      </c>
      <c r="BC1137" s="495" t="str">
        <f t="shared" si="129"/>
        <v/>
      </c>
      <c r="BD1137" s="513" t="str">
        <f>IF(AND(L1137="",H1137=""),"",
IF(H1137="",Pole_Calc!A$9,
IF(H1137="MP",Pole_Calc!A$10,
IF(H1137="AnMP",Pole_Calc!A$11,
IF(H1137="A",Pole_Calc!A$12,
IF(H1137="S/A",Pole_Calc!A$13,
IF(H1137="A/S",Pole_Calc!A$14,"Poner a mano")))))))</f>
        <v/>
      </c>
      <c r="BE1137" s="429" t="s">
        <v>118</v>
      </c>
      <c r="BF1137" s="290"/>
      <c r="BG1137" s="290"/>
      <c r="BH1137" s="290"/>
      <c r="BI1137" s="290"/>
    </row>
    <row r="1138" spans="1:61" ht="15.6" customHeight="1">
      <c r="A1138" s="514"/>
      <c r="B1138" s="450" t="s">
        <v>839</v>
      </c>
      <c r="C1138" s="3">
        <f>+$C$1136+$G$1137</f>
        <v>57983.719999999994</v>
      </c>
      <c r="D1138" s="83"/>
      <c r="E1138" s="4"/>
      <c r="F1138" s="4">
        <f>IF(C1138&gt;0,VLOOKUP(C1138,'ALIGNMENT TRACK'!$A$1:$K$81,9,1))</f>
        <v>0</v>
      </c>
      <c r="G1138" s="6"/>
      <c r="H1138" s="449" t="s">
        <v>131</v>
      </c>
      <c r="I1138" s="4"/>
      <c r="J1138" s="3"/>
      <c r="K1138" s="449"/>
      <c r="L1138" s="449" t="s">
        <v>201</v>
      </c>
      <c r="M1138" s="449" t="str">
        <f>IF(L1138="","",
IF(AX1138="PT",VLOOKUP(L1138,Foundation_Calc!$V$79:$X$113,VLOOKUP(AX1138,Foundation_Calc!$I$10:$J$13,2,FALSE),0),
IF(AX1138="K",VLOOKUP(L1138,Foundation_Calc!$V$117:$X$151,VLOOKUP(AX1138,Foundation_Calc!$I$10:$J$13,2,FALSE),0),"")))</f>
        <v/>
      </c>
      <c r="N1138" s="554" t="s">
        <v>840</v>
      </c>
      <c r="O1138" s="449" t="s">
        <v>124</v>
      </c>
      <c r="P1138" s="449"/>
      <c r="Q1138" s="4"/>
      <c r="R1138" s="6"/>
      <c r="S1138" s="6"/>
      <c r="T1138" s="4">
        <v>-55</v>
      </c>
      <c r="U1138" s="4">
        <v>-30</v>
      </c>
      <c r="V1138" s="4"/>
      <c r="W1138" s="9">
        <v>2</v>
      </c>
      <c r="X1138" s="9">
        <v>1.4</v>
      </c>
      <c r="Y1138" s="9"/>
      <c r="Z1138" s="9">
        <v>0.6</v>
      </c>
      <c r="AA1138" s="9"/>
      <c r="AB1138" s="9"/>
      <c r="AC1138" s="449"/>
      <c r="AD1138" s="449"/>
      <c r="AE1138" s="449"/>
      <c r="AF1138" s="4"/>
      <c r="AG1138" s="83"/>
      <c r="AH1138" s="4"/>
      <c r="AI1138" s="4"/>
      <c r="AJ1138" s="449"/>
      <c r="AK1138" s="449" t="s">
        <v>841</v>
      </c>
      <c r="AL1138" s="449"/>
      <c r="AM1138" s="449"/>
      <c r="AN1138" s="10">
        <v>5.5</v>
      </c>
      <c r="AO1138" s="9"/>
      <c r="AP1138" s="9"/>
      <c r="AQ1138" s="9"/>
      <c r="AR1138" s="9"/>
      <c r="AS1138" s="9"/>
      <c r="AT1138" s="9">
        <f>+ab($U$1138,$T$1134,$U$1140,$G$1137,$G$1139,-1*$F$1138,1200)</f>
        <v>-13.073002638424647</v>
      </c>
      <c r="AU1138" s="428"/>
      <c r="AV1138" s="428"/>
      <c r="AW1138" s="449" t="s">
        <v>201</v>
      </c>
      <c r="AX1138" s="449" t="s">
        <v>201</v>
      </c>
      <c r="AY1138" s="10" t="str">
        <f>IF(L1138="","",
IF(AX1138="PT",VLOOKUP(L1138,Foundation_Calc!$K$79:$R$113,VLOOKUP(AW1138,Foundation_Calc!$I$2:$J$8,2,FALSE),0),
IF(AX1138="K",VLOOKUP(L1138,Foundation_Calc!$K$117:$R$151,VLOOKUP(AW1138,Foundation_Calc!$I$2:$J$8,2,FALSE),0),"")))</f>
        <v/>
      </c>
      <c r="AZ1138" s="10" t="str">
        <f>IF(K1138="","",
IF(AX1138="PT",VLOOKUP(K1138,Foundation_Calc!$K$79:$R$113,VLOOKUP(AW1138,Foundation_Calc!$I$2:$J$8,2,FALSE),0),
IF(AX1138="K",VLOOKUP(K1138,Foundation_Calc!$K$117:$R$151,VLOOKUP(AW1138,Foundation_Calc!$I$2:$J$8,2,FALSE),0),"")))</f>
        <v/>
      </c>
      <c r="BA1138" s="495" t="str">
        <f t="shared" si="127"/>
        <v/>
      </c>
      <c r="BB1138" s="495" t="str">
        <f t="shared" si="128"/>
        <v/>
      </c>
      <c r="BC1138" s="495" t="str">
        <f t="shared" si="129"/>
        <v/>
      </c>
      <c r="BD1138" s="513"/>
      <c r="BE1138" s="429" t="s">
        <v>118</v>
      </c>
      <c r="BF1138" s="289"/>
      <c r="BG1138" s="289"/>
      <c r="BH1138" s="290"/>
      <c r="BI1138" s="289"/>
    </row>
    <row r="1139" spans="1:61" ht="15.6" customHeight="1">
      <c r="A1139" s="514"/>
      <c r="B1139" s="450"/>
      <c r="C1139" s="3"/>
      <c r="D1139" s="83"/>
      <c r="E1139" s="4"/>
      <c r="F1139" s="4"/>
      <c r="G1139" s="6">
        <v>56.2</v>
      </c>
      <c r="H1139" s="449"/>
      <c r="I1139" s="4"/>
      <c r="J1139" s="3"/>
      <c r="K1139" s="449"/>
      <c r="L1139" s="449"/>
      <c r="M1139" s="449" t="str">
        <f>IF(L1139="","",
IF(AX1139="PT",VLOOKUP(L1139,Foundation_Calc!$V$79:$X$113,VLOOKUP(AX1139,Foundation_Calc!$I$10:$J$13,2,FALSE),0),
IF(AX1139="K",VLOOKUP(L1139,Foundation_Calc!$V$117:$X$151,VLOOKUP(AX1139,Foundation_Calc!$I$10:$J$13,2,FALSE),0),"")))</f>
        <v/>
      </c>
      <c r="N1139" s="449"/>
      <c r="O1139" s="449"/>
      <c r="P1139" s="449"/>
      <c r="Q1139" s="4"/>
      <c r="R1139" s="6"/>
      <c r="S1139" s="6"/>
      <c r="T1139" s="4"/>
      <c r="U1139" s="4"/>
      <c r="V1139" s="4"/>
      <c r="W1139" s="9"/>
      <c r="X1139" s="9"/>
      <c r="Y1139" s="9"/>
      <c r="Z1139" s="9"/>
      <c r="AA1139" s="9"/>
      <c r="AB1139" s="9"/>
      <c r="AC1139" s="449" t="str">
        <f t="shared" si="126"/>
        <v/>
      </c>
      <c r="AD1139" s="449"/>
      <c r="AE1139" s="449"/>
      <c r="AF1139" s="4"/>
      <c r="AG1139" s="83"/>
      <c r="AH1139" s="4"/>
      <c r="AI1139" s="4"/>
      <c r="AJ1139" s="449"/>
      <c r="AK1139" s="449"/>
      <c r="AL1139" s="449"/>
      <c r="AM1139" s="449"/>
      <c r="AN1139" s="10"/>
      <c r="AO1139" s="9"/>
      <c r="AP1139" s="9"/>
      <c r="AQ1139" s="9">
        <f>+FL_1($U$1140,$U$1138,$G$1139,1200,9.28,-1*$F$1140)</f>
        <v>0.41680415903202844</v>
      </c>
      <c r="AR1139" s="9"/>
      <c r="AS1139" s="9"/>
      <c r="AT1139" s="9"/>
      <c r="AU1139" s="428"/>
      <c r="AV1139" s="428"/>
      <c r="AW1139" s="449" t="str">
        <f>IF(C1139&gt;0,VLOOKUP(C1139,Foundation_Calc!$A$2:$C$13,3,1),
IF(J1139&gt;0,VLOOKUP(J1139,Foundation_Calc!$A$2:$C$13,3,1),""))</f>
        <v/>
      </c>
      <c r="AX1139" s="449"/>
      <c r="AY1139" s="10" t="str">
        <f>IF(L1139="","",
IF(AX1139="PT",VLOOKUP(L1139,Foundation_Calc!$K$79:$R$113,VLOOKUP(AW1139,Foundation_Calc!$I$2:$J$8,2,FALSE),0),
IF(AX1139="K",VLOOKUP(L1139,Foundation_Calc!$K$117:$R$151,VLOOKUP(AW1139,Foundation_Calc!$I$2:$J$8,2,FALSE),0),"")))</f>
        <v/>
      </c>
      <c r="AZ1139" s="10" t="str">
        <f>IF(K1139="","",
IF(AX1139="PT",VLOOKUP(K1139,Foundation_Calc!$K$79:$R$113,VLOOKUP(AW1139,Foundation_Calc!$I$2:$J$8,2,FALSE),0),
IF(AX1139="K",VLOOKUP(K1139,Foundation_Calc!$K$117:$R$151,VLOOKUP(AW1139,Foundation_Calc!$I$2:$J$8,2,FALSE),0),"")))</f>
        <v/>
      </c>
      <c r="BA1139" s="495" t="str">
        <f t="shared" si="127"/>
        <v/>
      </c>
      <c r="BB1139" s="495" t="str">
        <f t="shared" si="128"/>
        <v/>
      </c>
      <c r="BC1139" s="495" t="str">
        <f t="shared" si="129"/>
        <v/>
      </c>
      <c r="BD1139" s="513" t="str">
        <f>IF(AND(L1139="",H1139=""),"",
IF(H1139="",Pole_Calc!A$9,
IF(H1139="MP",Pole_Calc!A$10,
IF(H1139="AnMP",Pole_Calc!A$11,
IF(H1139="A",Pole_Calc!A$12,
IF(H1139="S/A",Pole_Calc!A$13,
IF(H1139="A/S",Pole_Calc!A$14,"Poner a mano")))))))</f>
        <v/>
      </c>
      <c r="BE1139" s="429" t="s">
        <v>118</v>
      </c>
      <c r="BF1139" s="290"/>
      <c r="BG1139" s="290"/>
      <c r="BH1139" s="290"/>
      <c r="BI1139" s="290"/>
    </row>
    <row r="1140" spans="1:61" ht="15.6" customHeight="1">
      <c r="A1140" s="514"/>
      <c r="B1140" s="450" t="s">
        <v>842</v>
      </c>
      <c r="C1140" s="3">
        <f>+$C$1138+$G$1139</f>
        <v>58039.919999999991</v>
      </c>
      <c r="D1140" s="83"/>
      <c r="E1140" s="4"/>
      <c r="F1140" s="4">
        <f>IF(C1140&gt;0,VLOOKUP(C1140,'ALIGNMENT TRACK'!$A$1:$K$81,9,1))</f>
        <v>0</v>
      </c>
      <c r="G1140" s="6"/>
      <c r="H1140" s="449" t="s">
        <v>843</v>
      </c>
      <c r="I1140" s="4"/>
      <c r="J1140" s="3"/>
      <c r="K1140" s="449"/>
      <c r="L1140" s="449" t="s">
        <v>201</v>
      </c>
      <c r="M1140" s="449" t="str">
        <f>IF(L1140="","",
IF(AX1140="PT",VLOOKUP(L1140,Foundation_Calc!$V$79:$X$113,VLOOKUP(AX1140,Foundation_Calc!$I$10:$J$13,2,FALSE),0),
IF(AX1140="K",VLOOKUP(L1140,Foundation_Calc!$V$117:$X$151,VLOOKUP(AX1140,Foundation_Calc!$I$10:$J$13,2,FALSE),0),"")))</f>
        <v/>
      </c>
      <c r="N1140" s="554" t="s">
        <v>840</v>
      </c>
      <c r="O1140" s="449" t="s">
        <v>453</v>
      </c>
      <c r="P1140" s="554" t="s">
        <v>343</v>
      </c>
      <c r="Q1140" s="4"/>
      <c r="R1140" s="6"/>
      <c r="S1140" s="6"/>
      <c r="T1140" s="4">
        <v>55</v>
      </c>
      <c r="U1140" s="4">
        <v>35</v>
      </c>
      <c r="V1140" s="4">
        <v>20</v>
      </c>
      <c r="W1140" s="9">
        <v>1.4</v>
      </c>
      <c r="X1140" s="9">
        <v>1.8</v>
      </c>
      <c r="Y1140" s="9">
        <v>2</v>
      </c>
      <c r="Z1140" s="9">
        <v>0.4</v>
      </c>
      <c r="AA1140" s="9"/>
      <c r="AB1140" s="9"/>
      <c r="AC1140" s="449"/>
      <c r="AD1140" s="449"/>
      <c r="AE1140" s="449"/>
      <c r="AF1140" s="4"/>
      <c r="AG1140" s="83"/>
      <c r="AH1140" s="4"/>
      <c r="AI1140" s="4"/>
      <c r="AJ1140" s="449" t="s">
        <v>239</v>
      </c>
      <c r="AK1140" s="449" t="s">
        <v>844</v>
      </c>
      <c r="AL1140" s="449"/>
      <c r="AM1140" s="449"/>
      <c r="AN1140" s="10">
        <v>5.5</v>
      </c>
      <c r="AO1140" s="9"/>
      <c r="AP1140" s="9"/>
      <c r="AQ1140" s="9"/>
      <c r="AR1140" s="9"/>
      <c r="AS1140" s="9"/>
      <c r="AT1140" s="9">
        <f>+ab($U$1140,$U$1138,$U$1142,$G$1139,$G$1141,-1*$F$1140,1200)</f>
        <v>6.9136128181488896</v>
      </c>
      <c r="AU1140" s="428"/>
      <c r="AV1140" s="428"/>
      <c r="AW1140" s="449" t="s">
        <v>201</v>
      </c>
      <c r="AX1140" s="449" t="s">
        <v>201</v>
      </c>
      <c r="AY1140" s="10" t="str">
        <f>IF(L1140="","",
IF(AX1140="PT",VLOOKUP(L1140,Foundation_Calc!$K$79:$R$113,VLOOKUP(AW1140,Foundation_Calc!$I$2:$J$8,2,FALSE),0),
IF(AX1140="K",VLOOKUP(L1140,Foundation_Calc!$K$117:$R$151,VLOOKUP(AW1140,Foundation_Calc!$I$2:$J$8,2,FALSE),0),"")))</f>
        <v/>
      </c>
      <c r="AZ1140" s="10" t="str">
        <f>IF(K1140="","",
IF(AX1140="PT",VLOOKUP(K1140,Foundation_Calc!$K$79:$R$113,VLOOKUP(AW1140,Foundation_Calc!$I$2:$J$8,2,FALSE),0),
IF(AX1140="K",VLOOKUP(K1140,Foundation_Calc!$K$117:$R$151,VLOOKUP(AW1140,Foundation_Calc!$I$2:$J$8,2,FALSE),0),"")))</f>
        <v/>
      </c>
      <c r="BA1140" s="495" t="str">
        <f t="shared" si="127"/>
        <v/>
      </c>
      <c r="BB1140" s="495" t="str">
        <f t="shared" si="128"/>
        <v/>
      </c>
      <c r="BC1140" s="495" t="str">
        <f t="shared" si="129"/>
        <v/>
      </c>
      <c r="BD1140" s="513"/>
      <c r="BE1140" s="429" t="s">
        <v>118</v>
      </c>
      <c r="BF1140" s="289"/>
      <c r="BG1140" s="289"/>
      <c r="BH1140" s="290"/>
      <c r="BI1140" s="289"/>
    </row>
    <row r="1141" spans="1:61" ht="15.6" customHeight="1">
      <c r="A1141" s="514"/>
      <c r="B1141" s="450"/>
      <c r="C1141" s="3"/>
      <c r="D1141" s="83"/>
      <c r="E1141" s="4"/>
      <c r="F1141" s="4"/>
      <c r="G1141" s="6">
        <v>43.6</v>
      </c>
      <c r="H1141" s="449"/>
      <c r="I1141" s="4"/>
      <c r="J1141" s="3"/>
      <c r="K1141" s="449"/>
      <c r="L1141" s="449"/>
      <c r="M1141" s="449" t="str">
        <f>IF(L1141="","",
IF(AX1141="PT",VLOOKUP(L1141,Foundation_Calc!$V$79:$X$113,VLOOKUP(AX1141,Foundation_Calc!$I$10:$J$13,2,FALSE),0),
IF(AX1141="K",VLOOKUP(L1141,Foundation_Calc!$V$117:$X$151,VLOOKUP(AX1141,Foundation_Calc!$I$10:$J$13,2,FALSE),0),"")))</f>
        <v/>
      </c>
      <c r="N1141" s="449"/>
      <c r="O1141" s="449"/>
      <c r="P1141" s="449"/>
      <c r="Q1141" s="4"/>
      <c r="R1141" s="6"/>
      <c r="S1141" s="6"/>
      <c r="T1141" s="4"/>
      <c r="U1141" s="4"/>
      <c r="V1141" s="4"/>
      <c r="W1141" s="9"/>
      <c r="X1141" s="9"/>
      <c r="Y1141" s="9"/>
      <c r="Z1141" s="9"/>
      <c r="AA1141" s="9"/>
      <c r="AB1141" s="9"/>
      <c r="AC1141" s="449" t="str">
        <f t="shared" si="126"/>
        <v/>
      </c>
      <c r="AD1141" s="449"/>
      <c r="AE1141" s="449"/>
      <c r="AF1141" s="4"/>
      <c r="AG1141" s="83"/>
      <c r="AH1141" s="4"/>
      <c r="AI1141" s="4"/>
      <c r="AJ1141" s="449"/>
      <c r="AK1141" s="449"/>
      <c r="AL1141" s="449"/>
      <c r="AM1141" s="449"/>
      <c r="AN1141" s="10"/>
      <c r="AO1141" s="9"/>
      <c r="AP1141" s="9"/>
      <c r="AQ1141" s="9">
        <f>+FL_1($U$1142,$U$1140,$G$1141,1200,9.28,-1*$F$1142)</f>
        <v>0.35041754696024452</v>
      </c>
      <c r="AR1141" s="9"/>
      <c r="AS1141" s="9"/>
      <c r="AT1141" s="9"/>
      <c r="AU1141" s="428"/>
      <c r="AV1141" s="428"/>
      <c r="AW1141" s="449" t="str">
        <f>IF(C1141&gt;0,VLOOKUP(C1141,Foundation_Calc!$A$2:$C$13,3,1),
IF(J1141&gt;0,VLOOKUP(J1141,Foundation_Calc!$A$2:$C$13,3,1),""))</f>
        <v/>
      </c>
      <c r="AX1141" s="449"/>
      <c r="AY1141" s="10" t="str">
        <f>IF(L1141="","",
IF(AX1141="PT",VLOOKUP(L1141,Foundation_Calc!$K$79:$R$113,VLOOKUP(AW1141,Foundation_Calc!$I$2:$J$8,2,FALSE),0),
IF(AX1141="K",VLOOKUP(L1141,Foundation_Calc!$K$117:$R$151,VLOOKUP(AW1141,Foundation_Calc!$I$2:$J$8,2,FALSE),0),"")))</f>
        <v/>
      </c>
      <c r="AZ1141" s="10" t="str">
        <f>IF(K1141="","",
IF(AX1141="PT",VLOOKUP(K1141,Foundation_Calc!$K$79:$R$113,VLOOKUP(AW1141,Foundation_Calc!$I$2:$J$8,2,FALSE),0),
IF(AX1141="K",VLOOKUP(K1141,Foundation_Calc!$K$117:$R$151,VLOOKUP(AW1141,Foundation_Calc!$I$2:$J$8,2,FALSE),0),"")))</f>
        <v/>
      </c>
      <c r="BA1141" s="495" t="str">
        <f t="shared" si="127"/>
        <v/>
      </c>
      <c r="BB1141" s="495" t="str">
        <f t="shared" si="128"/>
        <v/>
      </c>
      <c r="BC1141" s="495" t="str">
        <f t="shared" si="129"/>
        <v/>
      </c>
      <c r="BD1141" s="513" t="str">
        <f>IF(AND(L1141="",H1141=""),"",
IF(H1141="",Pole_Calc!A$9,
IF(H1141="MP",Pole_Calc!A$10,
IF(H1141="AnMP",Pole_Calc!A$11,
IF(H1141="A",Pole_Calc!A$12,
IF(H1141="S/A",Pole_Calc!A$13,
IF(H1141="A/S",Pole_Calc!A$14,"Poner a mano")))))))</f>
        <v/>
      </c>
      <c r="BE1141" s="429" t="s">
        <v>118</v>
      </c>
      <c r="BF1141" s="290"/>
      <c r="BG1141" s="290"/>
      <c r="BH1141" s="290"/>
      <c r="BI1141" s="290"/>
    </row>
    <row r="1142" spans="1:61" ht="15.6" customHeight="1">
      <c r="A1142" s="514"/>
      <c r="B1142" s="450" t="s">
        <v>845</v>
      </c>
      <c r="C1142" s="3">
        <f>+$C$1140+$G$1141</f>
        <v>58083.51999999999</v>
      </c>
      <c r="D1142" s="83"/>
      <c r="E1142" s="4"/>
      <c r="F1142" s="4">
        <f>IF(C1142&gt;0,VLOOKUP(C1142,'ALIGNMENT TRACK'!$A$1:$K$81,9,1))</f>
        <v>0</v>
      </c>
      <c r="G1142" s="6"/>
      <c r="H1142" s="449" t="s">
        <v>846</v>
      </c>
      <c r="I1142" s="4"/>
      <c r="J1142" s="3"/>
      <c r="K1142" s="449"/>
      <c r="L1142" s="449" t="s">
        <v>201</v>
      </c>
      <c r="M1142" s="449" t="str">
        <f>IF(L1142="","",
IF(AX1142="PT",VLOOKUP(L1142,Foundation_Calc!$V$79:$X$113,VLOOKUP(AX1142,Foundation_Calc!$I$10:$J$13,2,FALSE),0),
IF(AX1142="K",VLOOKUP(L1142,Foundation_Calc!$V$117:$X$151,VLOOKUP(AX1142,Foundation_Calc!$I$10:$J$13,2,FALSE),0),"")))</f>
        <v/>
      </c>
      <c r="N1142" s="554" t="s">
        <v>453</v>
      </c>
      <c r="O1142" s="449" t="s">
        <v>343</v>
      </c>
      <c r="P1142" s="554" t="s">
        <v>840</v>
      </c>
      <c r="Q1142" s="4"/>
      <c r="R1142" s="6"/>
      <c r="S1142" s="6"/>
      <c r="T1142" s="4">
        <v>-20</v>
      </c>
      <c r="U1142" s="4">
        <v>-35</v>
      </c>
      <c r="V1142" s="4">
        <v>-55</v>
      </c>
      <c r="W1142" s="9">
        <v>2</v>
      </c>
      <c r="X1142" s="9">
        <v>1.8</v>
      </c>
      <c r="Y1142" s="9">
        <v>1.4</v>
      </c>
      <c r="Z1142" s="9"/>
      <c r="AA1142" s="9"/>
      <c r="AB1142" s="9">
        <v>0.4</v>
      </c>
      <c r="AC1142" s="449" t="str">
        <f t="shared" si="126"/>
        <v>PHQ</v>
      </c>
      <c r="AD1142" s="449"/>
      <c r="AE1142" s="449"/>
      <c r="AF1142" s="4"/>
      <c r="AG1142" s="83"/>
      <c r="AH1142" s="4"/>
      <c r="AI1142" s="4"/>
      <c r="AJ1142" s="449" t="s">
        <v>239</v>
      </c>
      <c r="AK1142" s="449" t="s">
        <v>844</v>
      </c>
      <c r="AL1142" s="449"/>
      <c r="AM1142" s="449"/>
      <c r="AN1142" s="10">
        <v>5.5</v>
      </c>
      <c r="AO1142" s="9"/>
      <c r="AP1142" s="9"/>
      <c r="AQ1142" s="9"/>
      <c r="AR1142" s="9"/>
      <c r="AS1142" s="9"/>
      <c r="AT1142" s="9">
        <f>+ab($U$1142,$U$1140,$T$1144,$G$1141,$G$1143,-1*$F$1142,1200)</f>
        <v>-5.707245528831133</v>
      </c>
      <c r="AU1142" s="428"/>
      <c r="AV1142" s="428"/>
      <c r="AW1142" s="449" t="s">
        <v>201</v>
      </c>
      <c r="AX1142" s="449" t="s">
        <v>201</v>
      </c>
      <c r="AY1142" s="10" t="str">
        <f>IF(L1142="","",
IF(AX1142="PT",VLOOKUP(L1142,Foundation_Calc!$K$79:$R$113,VLOOKUP(AW1142,Foundation_Calc!$I$2:$J$8,2,FALSE),0),
IF(AX1142="K",VLOOKUP(L1142,Foundation_Calc!$K$117:$R$151,VLOOKUP(AW1142,Foundation_Calc!$I$2:$J$8,2,FALSE),0),"")))</f>
        <v/>
      </c>
      <c r="AZ1142" s="10" t="str">
        <f>IF(K1142="","",
IF(AX1142="PT",VLOOKUP(K1142,Foundation_Calc!$K$79:$R$113,VLOOKUP(AW1142,Foundation_Calc!$I$2:$J$8,2,FALSE),0),
IF(AX1142="K",VLOOKUP(K1142,Foundation_Calc!$K$117:$R$151,VLOOKUP(AW1142,Foundation_Calc!$I$2:$J$8,2,FALSE),0),"")))</f>
        <v/>
      </c>
      <c r="BA1142" s="495" t="str">
        <f t="shared" si="127"/>
        <v/>
      </c>
      <c r="BB1142" s="495" t="str">
        <f t="shared" si="128"/>
        <v/>
      </c>
      <c r="BC1142" s="495" t="str">
        <f t="shared" si="129"/>
        <v/>
      </c>
      <c r="BD1142" s="513"/>
      <c r="BE1142" s="429" t="s">
        <v>118</v>
      </c>
      <c r="BF1142" s="289"/>
      <c r="BG1142" s="289"/>
      <c r="BH1142" s="290"/>
      <c r="BI1142" s="289"/>
    </row>
    <row r="1143" spans="1:61" ht="15.6" customHeight="1">
      <c r="A1143" s="514"/>
      <c r="B1143" s="450"/>
      <c r="C1143" s="3"/>
      <c r="D1143" s="83"/>
      <c r="E1143" s="4"/>
      <c r="F1143" s="4"/>
      <c r="G1143" s="6">
        <v>40.1</v>
      </c>
      <c r="H1143" s="449"/>
      <c r="I1143" s="4"/>
      <c r="J1143" s="3"/>
      <c r="K1143" s="449"/>
      <c r="L1143" s="449"/>
      <c r="M1143" s="449" t="str">
        <f>IF(L1143="","",
IF(AX1143="PT",VLOOKUP(L1143,Foundation_Calc!$V$79:$X$113,VLOOKUP(AX1143,Foundation_Calc!$I$10:$J$13,2,FALSE),0),
IF(AX1143="K",VLOOKUP(L1143,Foundation_Calc!$V$117:$X$151,VLOOKUP(AX1143,Foundation_Calc!$I$10:$J$13,2,FALSE),0),"")))</f>
        <v/>
      </c>
      <c r="N1143" s="449"/>
      <c r="O1143" s="449"/>
      <c r="P1143" s="449"/>
      <c r="Q1143" s="4"/>
      <c r="R1143" s="6"/>
      <c r="S1143" s="6"/>
      <c r="T1143" s="4"/>
      <c r="U1143" s="4"/>
      <c r="V1143" s="4"/>
      <c r="W1143" s="9"/>
      <c r="X1143" s="9"/>
      <c r="Y1143" s="9"/>
      <c r="Z1143" s="9"/>
      <c r="AA1143" s="9"/>
      <c r="AB1143" s="9"/>
      <c r="AC1143" s="449" t="str">
        <f t="shared" si="126"/>
        <v/>
      </c>
      <c r="AD1143" s="449"/>
      <c r="AE1143" s="449"/>
      <c r="AF1143" s="4"/>
      <c r="AG1143" s="83"/>
      <c r="AH1143" s="4"/>
      <c r="AI1143" s="4"/>
      <c r="AJ1143" s="449"/>
      <c r="AK1143" s="449"/>
      <c r="AL1143" s="449"/>
      <c r="AM1143" s="449"/>
      <c r="AN1143" s="10"/>
      <c r="AO1143" s="9"/>
      <c r="AP1143" s="9"/>
      <c r="AQ1143" s="9">
        <f>+FL_1($T$1144,$U$1142,$G$1143,1200,9.28,-1*$F$1144)</f>
        <v>0.35</v>
      </c>
      <c r="AR1143" s="9"/>
      <c r="AS1143" s="9"/>
      <c r="AT1143" s="9"/>
      <c r="AU1143" s="428"/>
      <c r="AV1143" s="428"/>
      <c r="AW1143" s="449" t="str">
        <f>IF(C1143&gt;0,VLOOKUP(C1143,Foundation_Calc!$A$2:$C$13,3,1),
IF(J1143&gt;0,VLOOKUP(J1143,Foundation_Calc!$A$2:$C$13,3,1),""))</f>
        <v/>
      </c>
      <c r="AX1143" s="449"/>
      <c r="AY1143" s="10" t="str">
        <f>IF(L1143="","",
IF(AX1143="PT",VLOOKUP(L1143,Foundation_Calc!$K$79:$R$113,VLOOKUP(AW1143,Foundation_Calc!$I$2:$J$8,2,FALSE),0),
IF(AX1143="K",VLOOKUP(L1143,Foundation_Calc!$K$117:$R$151,VLOOKUP(AW1143,Foundation_Calc!$I$2:$J$8,2,FALSE),0),"")))</f>
        <v/>
      </c>
      <c r="AZ1143" s="10" t="str">
        <f>IF(K1143="","",
IF(AX1143="PT",VLOOKUP(K1143,Foundation_Calc!$K$79:$R$113,VLOOKUP(AW1143,Foundation_Calc!$I$2:$J$8,2,FALSE),0),
IF(AX1143="K",VLOOKUP(K1143,Foundation_Calc!$K$117:$R$151,VLOOKUP(AW1143,Foundation_Calc!$I$2:$J$8,2,FALSE),0),"")))</f>
        <v/>
      </c>
      <c r="BA1143" s="495" t="str">
        <f t="shared" si="127"/>
        <v/>
      </c>
      <c r="BB1143" s="495" t="str">
        <f t="shared" si="128"/>
        <v/>
      </c>
      <c r="BC1143" s="495" t="str">
        <f t="shared" si="129"/>
        <v/>
      </c>
      <c r="BD1143" s="513" t="str">
        <f>IF(AND(L1143="",H1143=""),"",
IF(H1143="",Pole_Calc!A$9,
IF(H1143="MP",Pole_Calc!A$10,
IF(H1143="AnMP",Pole_Calc!A$11,
IF(H1143="A",Pole_Calc!A$12,
IF(H1143="S/A",Pole_Calc!A$13,
IF(H1143="A/S",Pole_Calc!A$14,"Poner a mano")))))))</f>
        <v/>
      </c>
      <c r="BE1143" s="429" t="s">
        <v>118</v>
      </c>
      <c r="BF1143" s="290"/>
      <c r="BG1143" s="290"/>
      <c r="BH1143" s="290"/>
      <c r="BI1143" s="290"/>
    </row>
    <row r="1144" spans="1:61" ht="15.6" customHeight="1">
      <c r="A1144" s="514"/>
      <c r="B1144" s="450" t="s">
        <v>847</v>
      </c>
      <c r="C1144" s="3">
        <f>+$C$1142+$G$1143</f>
        <v>58123.619999999988</v>
      </c>
      <c r="D1144" s="83"/>
      <c r="E1144" s="4"/>
      <c r="F1144" s="4">
        <f>IF(C1144&gt;0,VLOOKUP(C1144,'ALIGNMENT TRACK'!$A$1:$K$81,9,1))</f>
        <v>0</v>
      </c>
      <c r="G1144" s="6"/>
      <c r="H1144" s="449" t="s">
        <v>131</v>
      </c>
      <c r="I1144" s="4"/>
      <c r="J1144" s="3"/>
      <c r="K1144" s="449"/>
      <c r="L1144" s="449" t="s">
        <v>201</v>
      </c>
      <c r="M1144" s="449" t="str">
        <f>IF(L1144="","",
IF(AX1144="PT",VLOOKUP(L1144,Foundation_Calc!$V$79:$X$113,VLOOKUP(AX1144,Foundation_Calc!$I$10:$J$13,2,FALSE),0),
IF(AX1144="K",VLOOKUP(L1144,Foundation_Calc!$V$117:$X$151,VLOOKUP(AX1144,Foundation_Calc!$I$10:$J$13,2,FALSE),0),"")))</f>
        <v/>
      </c>
      <c r="N1144" s="449" t="s">
        <v>453</v>
      </c>
      <c r="O1144" s="554" t="s">
        <v>840</v>
      </c>
      <c r="P1144" s="449"/>
      <c r="Q1144" s="4"/>
      <c r="R1144" s="6"/>
      <c r="S1144" s="6"/>
      <c r="T1144" s="4">
        <v>35</v>
      </c>
      <c r="U1144" s="4">
        <v>-55</v>
      </c>
      <c r="V1144" s="4"/>
      <c r="W1144" s="9">
        <v>1.4</v>
      </c>
      <c r="X1144" s="9">
        <v>2</v>
      </c>
      <c r="Y1144" s="9"/>
      <c r="Z1144" s="9"/>
      <c r="AA1144" s="9">
        <v>0.6</v>
      </c>
      <c r="AB1144" s="9"/>
      <c r="AC1144" s="449" t="str">
        <f t="shared" si="126"/>
        <v>PHQ</v>
      </c>
      <c r="AD1144" s="449"/>
      <c r="AE1144" s="449"/>
      <c r="AF1144" s="4"/>
      <c r="AG1144" s="83"/>
      <c r="AH1144" s="4"/>
      <c r="AI1144" s="4"/>
      <c r="AJ1144" s="449"/>
      <c r="AK1144" s="449" t="s">
        <v>841</v>
      </c>
      <c r="AL1144" s="449"/>
      <c r="AM1144" s="449" t="s">
        <v>345</v>
      </c>
      <c r="AN1144" s="10">
        <v>5.5</v>
      </c>
      <c r="AO1144" s="9"/>
      <c r="AP1144" s="9"/>
      <c r="AQ1144" s="9"/>
      <c r="AR1144" s="9"/>
      <c r="AS1144" s="9"/>
      <c r="AT1144" s="9">
        <f>+ab($T$1144,$U$1142,$T$1146,$G$1143,$G$1145,-1*$F$1144,1200)</f>
        <v>5.4727810236503744</v>
      </c>
      <c r="AU1144" s="428"/>
      <c r="AV1144" s="428"/>
      <c r="AW1144" s="449" t="s">
        <v>201</v>
      </c>
      <c r="AX1144" s="449" t="s">
        <v>201</v>
      </c>
      <c r="AY1144" s="10" t="str">
        <f>IF(L1144="","",
IF(AX1144="PT",VLOOKUP(L1144,Foundation_Calc!$K$79:$R$113,VLOOKUP(AW1144,Foundation_Calc!$I$2:$J$8,2,FALSE),0),
IF(AX1144="K",VLOOKUP(L1144,Foundation_Calc!$K$117:$R$151,VLOOKUP(AW1144,Foundation_Calc!$I$2:$J$8,2,FALSE),0),"")))</f>
        <v/>
      </c>
      <c r="AZ1144" s="10" t="str">
        <f>IF(K1144="","",
IF(AX1144="PT",VLOOKUP(K1144,Foundation_Calc!$K$79:$R$113,VLOOKUP(AW1144,Foundation_Calc!$I$2:$J$8,2,FALSE),0),
IF(AX1144="K",VLOOKUP(K1144,Foundation_Calc!$K$117:$R$151,VLOOKUP(AW1144,Foundation_Calc!$I$2:$J$8,2,FALSE),0),"")))</f>
        <v/>
      </c>
      <c r="BA1144" s="495" t="str">
        <f t="shared" si="127"/>
        <v/>
      </c>
      <c r="BB1144" s="495" t="str">
        <f t="shared" si="128"/>
        <v/>
      </c>
      <c r="BC1144" s="495" t="str">
        <f t="shared" si="129"/>
        <v/>
      </c>
      <c r="BD1144" s="513"/>
      <c r="BE1144" s="429" t="s">
        <v>118</v>
      </c>
      <c r="BF1144" s="289"/>
      <c r="BG1144" s="289"/>
      <c r="BH1144" s="290"/>
      <c r="BI1144" s="289"/>
    </row>
    <row r="1145" spans="1:61" ht="15.6" customHeight="1">
      <c r="A1145" s="514"/>
      <c r="B1145" s="450"/>
      <c r="C1145" s="3"/>
      <c r="D1145" s="83"/>
      <c r="E1145" s="4"/>
      <c r="F1145" s="4"/>
      <c r="G1145" s="6">
        <v>40</v>
      </c>
      <c r="H1145" s="449"/>
      <c r="I1145" s="4"/>
      <c r="J1145" s="3">
        <f>C1146-7.5</f>
        <v>58156.119999999988</v>
      </c>
      <c r="K1145" s="449" t="s">
        <v>166</v>
      </c>
      <c r="L1145" s="449"/>
      <c r="M1145" s="449" t="str">
        <f>IF(L1145="","",
IF(AX1145="PT",VLOOKUP(L1145,Foundation_Calc!$V$79:$X$113,VLOOKUP(AX1145,Foundation_Calc!$I$10:$J$13,2,FALSE),0),
IF(AX1145="K",VLOOKUP(L1145,Foundation_Calc!$V$117:$X$151,VLOOKUP(AX1145,Foundation_Calc!$I$10:$J$13,2,FALSE),0),"")))</f>
        <v/>
      </c>
      <c r="N1145" s="449"/>
      <c r="O1145" s="449"/>
      <c r="P1145" s="449"/>
      <c r="Q1145" s="4"/>
      <c r="R1145" s="6"/>
      <c r="S1145" s="6"/>
      <c r="T1145" s="4"/>
      <c r="U1145" s="4"/>
      <c r="V1145" s="4"/>
      <c r="W1145" s="9"/>
      <c r="X1145" s="9"/>
      <c r="Y1145" s="9"/>
      <c r="Z1145" s="9"/>
      <c r="AA1145" s="9"/>
      <c r="AB1145" s="9"/>
      <c r="AC1145" s="449" t="str">
        <f t="shared" si="126"/>
        <v/>
      </c>
      <c r="AD1145" s="449"/>
      <c r="AE1145" s="449"/>
      <c r="AF1145" s="4"/>
      <c r="AG1145" s="83"/>
      <c r="AH1145" s="4"/>
      <c r="AI1145" s="4"/>
      <c r="AJ1145" s="449"/>
      <c r="AK1145" s="449"/>
      <c r="AL1145" s="449"/>
      <c r="AM1145" s="449"/>
      <c r="AN1145" s="10"/>
      <c r="AO1145" s="9"/>
      <c r="AP1145" s="9"/>
      <c r="AQ1145" s="9">
        <f>+FL_1($T$1146,$T$1144,$G$1145,1200,9.28,-1*$F$1146)</f>
        <v>0.35000000000000125</v>
      </c>
      <c r="AR1145" s="9"/>
      <c r="AS1145" s="9"/>
      <c r="AT1145" s="9"/>
      <c r="AU1145" s="428"/>
      <c r="AV1145" s="428"/>
      <c r="AW1145" s="449" t="str">
        <f>IF(C1145&gt;0,VLOOKUP(C1145,Foundation_Calc!$A$2:$C$13,3,1),
IF(J1145&gt;0,VLOOKUP(J1145,Foundation_Calc!$A$2:$C$13,3,1),""))</f>
        <v>Multi Soil</v>
      </c>
      <c r="AX1145" s="449" t="str">
        <f>IF(C1145&gt;0,VLOOKUP(C1145,Foundation_Calc!$E$2:$G$33,3,1),
IF(J1145&gt;0,VLOOKUP(J1145,Foundation_Calc!$E$2:$G$33,3,1),""))</f>
        <v>PT</v>
      </c>
      <c r="AY1145" s="10" t="str">
        <f>IF(L1145="","",
IF(AX1145="PT",VLOOKUP(L1145,Foundation_Calc!$K$79:$R$113,VLOOKUP(AW1145,Foundation_Calc!$I$2:$J$8,2,FALSE),0),
IF(AX1145="K",VLOOKUP(L1145,Foundation_Calc!$K$117:$R$151,VLOOKUP(AW1145,Foundation_Calc!$I$2:$J$8,2,FALSE),0),"")))</f>
        <v/>
      </c>
      <c r="AZ1145" s="10">
        <f>IF(K1145="","",
IF(AX1145="PT",VLOOKUP(K1145,Foundation_Calc!$K$79:$R$113,VLOOKUP(AW1145,Foundation_Calc!$I$2:$J$8,2,FALSE),0),
IF(AX1145="K",VLOOKUP(K1145,Foundation_Calc!$K$117:$R$151,VLOOKUP(AW1145,Foundation_Calc!$I$2:$J$8,2,FALSE),0),"")))</f>
        <v>2.8</v>
      </c>
      <c r="BA1145" s="495" t="str">
        <f t="shared" si="127"/>
        <v/>
      </c>
      <c r="BB1145" s="495" t="str">
        <f t="shared" si="128"/>
        <v>ü</v>
      </c>
      <c r="BC1145" s="495" t="str">
        <f t="shared" si="129"/>
        <v/>
      </c>
      <c r="BD1145" s="513" t="str">
        <f>IF(AND(L1145="",H1145=""),"",
IF(H1145="",Pole_Calc!A$9,
IF(H1145="MP",Pole_Calc!A$10,
IF(H1145="AnMP",Pole_Calc!A$11,
IF(H1145="A",Pole_Calc!A$12,
IF(H1145="S/A",Pole_Calc!A$13,
IF(H1145="A/S",Pole_Calc!A$14,"Poner a mano")))))))</f>
        <v/>
      </c>
      <c r="BE1145" s="429" t="s">
        <v>118</v>
      </c>
      <c r="BF1145" s="290"/>
      <c r="BG1145" s="290"/>
      <c r="BH1145" s="290"/>
      <c r="BI1145" s="290"/>
    </row>
    <row r="1146" spans="1:61" ht="15.6" customHeight="1">
      <c r="A1146" s="514"/>
      <c r="B1146" s="450" t="s">
        <v>848</v>
      </c>
      <c r="C1146" s="3">
        <f>+$C$1144+$G$1145</f>
        <v>58163.619999999988</v>
      </c>
      <c r="D1146" s="83"/>
      <c r="E1146" s="4"/>
      <c r="F1146" s="4">
        <f>IF(C1146&gt;0,VLOOKUP(C1146,'ALIGNMENT TRACK'!$A$1:$K$81,9,1))</f>
        <v>0</v>
      </c>
      <c r="G1146" s="6"/>
      <c r="H1146" s="449" t="s">
        <v>849</v>
      </c>
      <c r="I1146" s="4" t="s">
        <v>162</v>
      </c>
      <c r="J1146" s="3"/>
      <c r="K1146" s="449"/>
      <c r="L1146" s="449" t="s">
        <v>247</v>
      </c>
      <c r="M1146" s="449" t="str">
        <f>IF(L1146="","",
IF(AX1146="PT",VLOOKUP(L1146,Foundation_Calc!$V$79:$X$113,VLOOKUP(AX1146,Foundation_Calc!$I$10:$J$13,2,FALSE),0),
IF(AX1146="K",VLOOKUP(L1146,Foundation_Calc!$V$117:$X$151,VLOOKUP(AX1146,Foundation_Calc!$I$10:$J$13,2,FALSE),0),"")))</f>
        <v>C12R</v>
      </c>
      <c r="N1146" s="449" t="s">
        <v>343</v>
      </c>
      <c r="O1146" s="449"/>
      <c r="P1146" s="449"/>
      <c r="Q1146" s="4"/>
      <c r="R1146" s="6"/>
      <c r="S1146" s="6"/>
      <c r="T1146" s="4">
        <v>-35</v>
      </c>
      <c r="U1146" s="4"/>
      <c r="V1146" s="4"/>
      <c r="W1146" s="9">
        <v>1.4</v>
      </c>
      <c r="X1146" s="9"/>
      <c r="Y1146" s="9"/>
      <c r="Z1146" s="9"/>
      <c r="AA1146" s="9"/>
      <c r="AB1146" s="9"/>
      <c r="AC1146" s="449" t="str">
        <f t="shared" si="126"/>
        <v>PHQ</v>
      </c>
      <c r="AD1146" s="449"/>
      <c r="AE1146" s="449"/>
      <c r="AF1146" s="4"/>
      <c r="AG1146" s="83"/>
      <c r="AH1146" s="4"/>
      <c r="AI1146" s="4"/>
      <c r="AJ1146" s="449"/>
      <c r="AK1146" s="449"/>
      <c r="AL1146" s="449" t="s">
        <v>241</v>
      </c>
      <c r="AM1146" s="449" t="s">
        <v>126</v>
      </c>
      <c r="AN1146" s="10">
        <v>5.5</v>
      </c>
      <c r="AO1146" s="9"/>
      <c r="AP1146" s="9"/>
      <c r="AQ1146" s="9"/>
      <c r="AR1146" s="9"/>
      <c r="AS1146" s="9"/>
      <c r="AT1146" s="9">
        <f>+ab($T$1146,$T$1144,$T$1148,$G$1145,$G$1147,-1*$F$1146,1200)</f>
        <v>-5.5984915706275187</v>
      </c>
      <c r="AU1146" s="428"/>
      <c r="AV1146" s="428"/>
      <c r="AW1146" s="449" t="str">
        <f>IF(C1146&gt;0,VLOOKUP(C1146,Foundation_Calc!$A$2:$C$13,3,1),
IF(J1146&gt;0,VLOOKUP(J1146,Foundation_Calc!$A$2:$C$13,3,1),""))</f>
        <v>Multi Soil</v>
      </c>
      <c r="AX1146" s="449" t="str">
        <f>IF(C1146&gt;0,VLOOKUP(C1146,Foundation_Calc!$E$2:$G$33,3,1),
IF(J1146&gt;0,VLOOKUP(J1146,Foundation_Calc!$E$2:$G$33,3,1),""))</f>
        <v>PT</v>
      </c>
      <c r="AY1146" s="10">
        <f>IF(L1146="","",
IF(AX1146="PT",VLOOKUP(L1146,Foundation_Calc!$K$79:$R$113,VLOOKUP(AW1146,Foundation_Calc!$I$2:$J$8,2,FALSE),0),
IF(AX1146="K",VLOOKUP(L1146,Foundation_Calc!$K$117:$R$151,VLOOKUP(AW1146,Foundation_Calc!$I$2:$J$8,2,FALSE),0),"")))</f>
        <v>6.2</v>
      </c>
      <c r="AZ1146" s="10" t="str">
        <f>IF(K1146="","",
IF(AX1146="PT",VLOOKUP(K1146,Foundation_Calc!$K$79:$R$113,VLOOKUP(AW1146,Foundation_Calc!$I$2:$J$8,2,FALSE),0),
IF(AX1146="K",VLOOKUP(K1146,Foundation_Calc!$K$117:$R$151,VLOOKUP(AW1146,Foundation_Calc!$I$2:$J$8,2,FALSE),0),"")))</f>
        <v/>
      </c>
      <c r="BA1146" s="495" t="str">
        <f t="shared" si="127"/>
        <v>ü</v>
      </c>
      <c r="BB1146" s="495" t="str">
        <f t="shared" si="128"/>
        <v/>
      </c>
      <c r="BC1146" s="495" t="str">
        <f t="shared" si="129"/>
        <v/>
      </c>
      <c r="BD1146" s="513" t="str">
        <f>Pole_Calc!A$251</f>
        <v>App.8-V08H-P10.3</v>
      </c>
      <c r="BE1146" s="429" t="s">
        <v>118</v>
      </c>
      <c r="BF1146" s="289"/>
      <c r="BG1146" s="289"/>
      <c r="BH1146" s="290"/>
      <c r="BI1146" s="289"/>
    </row>
    <row r="1147" spans="1:61" ht="15.6" customHeight="1">
      <c r="A1147" s="514"/>
      <c r="B1147" s="450"/>
      <c r="C1147" s="3"/>
      <c r="D1147" s="83"/>
      <c r="E1147" s="4"/>
      <c r="F1147" s="4"/>
      <c r="G1147" s="6">
        <v>42</v>
      </c>
      <c r="H1147" s="449"/>
      <c r="I1147" s="4">
        <f>SUM(G1125:G1147)</f>
        <v>581.79999999999995</v>
      </c>
      <c r="J1147" s="3">
        <f>C1146+7.5</f>
        <v>58171.119999999988</v>
      </c>
      <c r="K1147" s="449" t="s">
        <v>117</v>
      </c>
      <c r="L1147" s="449"/>
      <c r="M1147" s="449" t="str">
        <f>IF(L1147="","",
IF(AX1147="PT",VLOOKUP(L1147,Foundation_Calc!$V$79:$X$113,VLOOKUP(AX1147,Foundation_Calc!$I$10:$J$13,2,FALSE),0),
IF(AX1147="K",VLOOKUP(L1147,Foundation_Calc!$V$117:$X$151,VLOOKUP(AX1147,Foundation_Calc!$I$10:$J$13,2,FALSE),0),"")))</f>
        <v/>
      </c>
      <c r="N1147" s="449"/>
      <c r="O1147" s="449"/>
      <c r="P1147" s="449"/>
      <c r="Q1147" s="4"/>
      <c r="R1147" s="6"/>
      <c r="S1147" s="6"/>
      <c r="T1147" s="4"/>
      <c r="U1147" s="4"/>
      <c r="V1147" s="4"/>
      <c r="W1147" s="9"/>
      <c r="X1147" s="9"/>
      <c r="Y1147" s="9"/>
      <c r="Z1147" s="9"/>
      <c r="AA1147" s="9"/>
      <c r="AB1147" s="9"/>
      <c r="AC1147" s="449" t="str">
        <f t="shared" si="126"/>
        <v/>
      </c>
      <c r="AD1147" s="449"/>
      <c r="AE1147" s="449"/>
      <c r="AF1147" s="4"/>
      <c r="AG1147" s="83"/>
      <c r="AH1147" s="4"/>
      <c r="AI1147" s="4"/>
      <c r="AJ1147" s="449"/>
      <c r="AK1147" s="449"/>
      <c r="AL1147" s="449"/>
      <c r="AM1147" s="449"/>
      <c r="AN1147" s="10"/>
      <c r="AO1147" s="9"/>
      <c r="AP1147" s="9"/>
      <c r="AQ1147" s="9">
        <f>+FL_2($T$1148,$T$1146,$G$1147,1200,9.28,-1*$F$1148)</f>
        <v>-0.35</v>
      </c>
      <c r="AR1147" s="9"/>
      <c r="AS1147" s="9"/>
      <c r="AT1147" s="9"/>
      <c r="AU1147" s="428"/>
      <c r="AV1147" s="428"/>
      <c r="AW1147" s="449" t="str">
        <f>IF(C1147&gt;0,VLOOKUP(C1147,Foundation_Calc!$A$2:$C$13,3,1),
IF(J1147&gt;0,VLOOKUP(J1147,Foundation_Calc!$A$2:$C$13,3,1),""))</f>
        <v>Multi Soil</v>
      </c>
      <c r="AX1147" s="449" t="str">
        <f>IF(C1147&gt;0,VLOOKUP(C1147,Foundation_Calc!$E$2:$G$33,3,1),
IF(J1147&gt;0,VLOOKUP(J1147,Foundation_Calc!$E$2:$G$33,3,1),""))</f>
        <v>PT</v>
      </c>
      <c r="AY1147" s="10" t="str">
        <f>IF(L1147="","",
IF(AX1147="PT",VLOOKUP(L1147,Foundation_Calc!$K$79:$R$113,VLOOKUP(AW1147,Foundation_Calc!$I$2:$J$8,2,FALSE),0),
IF(AX1147="K",VLOOKUP(L1147,Foundation_Calc!$K$117:$R$151,VLOOKUP(AW1147,Foundation_Calc!$I$2:$J$8,2,FALSE),0),"")))</f>
        <v/>
      </c>
      <c r="AZ1147" s="10">
        <f>IF(K1147="","",
IF(AX1147="PT",VLOOKUP(K1147,Foundation_Calc!$K$79:$R$113,VLOOKUP(AW1147,Foundation_Calc!$I$2:$J$8,2,FALSE),0),
IF(AX1147="K",VLOOKUP(K1147,Foundation_Calc!$K$117:$R$151,VLOOKUP(AW1147,Foundation_Calc!$I$2:$J$8,2,FALSE),0),"")))</f>
        <v>3.9</v>
      </c>
      <c r="BA1147" s="495" t="str">
        <f t="shared" si="127"/>
        <v/>
      </c>
      <c r="BB1147" s="495" t="str">
        <f t="shared" si="128"/>
        <v>ü</v>
      </c>
      <c r="BC1147" s="495" t="str">
        <f t="shared" si="129"/>
        <v/>
      </c>
      <c r="BD1147" s="513" t="str">
        <f>IF(AND(L1147="",H1147=""),"",
IF(H1147="",Pole_Calc!A$9,
IF(H1147="MP",Pole_Calc!A$10,
IF(H1147="AnMP",Pole_Calc!A$11,
IF(H1147="A",Pole_Calc!A$12,
IF(H1147="S/A",Pole_Calc!A$13,
IF(H1147="A/S",Pole_Calc!A$14,"Poner a mano")))))))</f>
        <v/>
      </c>
      <c r="BE1147" s="429" t="s">
        <v>118</v>
      </c>
      <c r="BF1147" s="290"/>
      <c r="BG1147" s="290"/>
      <c r="BH1147" s="290"/>
      <c r="BI1147" s="290"/>
    </row>
    <row r="1148" spans="1:61" ht="15.6" customHeight="1">
      <c r="A1148" s="514"/>
      <c r="B1148" s="450" t="s">
        <v>850</v>
      </c>
      <c r="C1148" s="3">
        <f>+$C$1146+$G$1147</f>
        <v>58205.619999999988</v>
      </c>
      <c r="D1148" s="83"/>
      <c r="E1148" s="4"/>
      <c r="F1148" s="4">
        <f>IF(C1148&gt;0,VLOOKUP(C1148,'ALIGNMENT TRACK'!$A$1:$K$81,9,1))</f>
        <v>0</v>
      </c>
      <c r="G1148" s="6"/>
      <c r="H1148" s="449" t="s">
        <v>171</v>
      </c>
      <c r="I1148" s="4"/>
      <c r="J1148" s="3"/>
      <c r="K1148" s="449"/>
      <c r="L1148" s="449" t="s">
        <v>201</v>
      </c>
      <c r="M1148" s="449" t="str">
        <f>IF(L1148="","",
IF(AX1148="PT",VLOOKUP(L1148,Foundation_Calc!$V$79:$X$113,VLOOKUP(AX1148,Foundation_Calc!$I$10:$J$13,2,FALSE),0),
IF(AX1148="K",VLOOKUP(L1148,Foundation_Calc!$V$117:$X$151,VLOOKUP(AX1148,Foundation_Calc!$I$10:$J$13,2,FALSE),0),"")))</f>
        <v/>
      </c>
      <c r="N1148" s="449" t="s">
        <v>453</v>
      </c>
      <c r="O1148" s="449"/>
      <c r="P1148" s="449"/>
      <c r="Q1148" s="4"/>
      <c r="R1148" s="6"/>
      <c r="S1148" s="6"/>
      <c r="T1148" s="4">
        <v>35</v>
      </c>
      <c r="U1148" s="4"/>
      <c r="V1148" s="4"/>
      <c r="W1148" s="9">
        <v>1.4</v>
      </c>
      <c r="X1148" s="9"/>
      <c r="Y1148" s="9"/>
      <c r="Z1148" s="9"/>
      <c r="AA1148" s="9"/>
      <c r="AB1148" s="9"/>
      <c r="AC1148" s="449" t="str">
        <f t="shared" si="126"/>
        <v>PHQ</v>
      </c>
      <c r="AD1148" s="449"/>
      <c r="AE1148" s="449"/>
      <c r="AF1148" s="4"/>
      <c r="AG1148" s="83"/>
      <c r="AH1148" s="4"/>
      <c r="AI1148" s="4"/>
      <c r="AJ1148" s="449"/>
      <c r="AK1148" s="449" t="s">
        <v>451</v>
      </c>
      <c r="AL1148" s="449"/>
      <c r="AM1148" s="449"/>
      <c r="AN1148" s="10">
        <v>5.5</v>
      </c>
      <c r="AO1148" s="9"/>
      <c r="AP1148" s="9"/>
      <c r="AQ1148" s="9"/>
      <c r="AR1148" s="9"/>
      <c r="AS1148" s="9"/>
      <c r="AT1148" s="9">
        <f>+ab($T$1148,$T$1146,$T$1150,$G$1147,$G$1149,-1*$F$1148,1200)</f>
        <v>5.8045590753091538</v>
      </c>
      <c r="AU1148" s="428"/>
      <c r="AV1148" s="428"/>
      <c r="AW1148" s="449" t="s">
        <v>201</v>
      </c>
      <c r="AX1148" s="449" t="s">
        <v>201</v>
      </c>
      <c r="AY1148" s="10" t="str">
        <f>IF(L1148="","",
IF(AX1148="PT",VLOOKUP(L1148,Foundation_Calc!$K$79:$R$113,VLOOKUP(AW1148,Foundation_Calc!$I$2:$J$8,2,FALSE),0),
IF(AX1148="K",VLOOKUP(L1148,Foundation_Calc!$K$117:$R$151,VLOOKUP(AW1148,Foundation_Calc!$I$2:$J$8,2,FALSE),0),"")))</f>
        <v/>
      </c>
      <c r="AZ1148" s="10" t="str">
        <f>IF(K1148="","",
IF(AX1148="PT",VLOOKUP(K1148,Foundation_Calc!$K$79:$R$113,VLOOKUP(AW1148,Foundation_Calc!$I$2:$J$8,2,FALSE),0),
IF(AX1148="K",VLOOKUP(K1148,Foundation_Calc!$K$117:$R$151,VLOOKUP(AW1148,Foundation_Calc!$I$2:$J$8,2,FALSE),0),"")))</f>
        <v/>
      </c>
      <c r="BA1148" s="495" t="str">
        <f t="shared" si="127"/>
        <v/>
      </c>
      <c r="BB1148" s="495" t="str">
        <f t="shared" si="128"/>
        <v/>
      </c>
      <c r="BC1148" s="495" t="str">
        <f t="shared" si="129"/>
        <v/>
      </c>
      <c r="BD1148" s="513"/>
      <c r="BE1148" s="429" t="s">
        <v>118</v>
      </c>
      <c r="BF1148" s="289"/>
      <c r="BG1148" s="289"/>
      <c r="BH1148" s="290"/>
      <c r="BI1148" s="289"/>
    </row>
    <row r="1149" spans="1:61" ht="15.6" customHeight="1">
      <c r="A1149" s="514"/>
      <c r="B1149" s="450"/>
      <c r="C1149" s="3"/>
      <c r="D1149" s="83"/>
      <c r="E1149" s="4"/>
      <c r="F1149" s="4"/>
      <c r="G1149" s="6">
        <v>43</v>
      </c>
      <c r="H1149" s="449"/>
      <c r="I1149" s="4">
        <f>SUM(G1149:G1169)</f>
        <v>452.90000000000003</v>
      </c>
      <c r="J1149" s="3"/>
      <c r="K1149" s="449"/>
      <c r="L1149" s="449"/>
      <c r="M1149" s="449" t="str">
        <f>IF(L1149="","",
IF(AX1149="PT",VLOOKUP(L1149,Foundation_Calc!$V$79:$X$113,VLOOKUP(AX1149,Foundation_Calc!$I$10:$J$13,2,FALSE),0),
IF(AX1149="K",VLOOKUP(L1149,Foundation_Calc!$V$117:$X$151,VLOOKUP(AX1149,Foundation_Calc!$I$10:$J$13,2,FALSE),0),"")))</f>
        <v/>
      </c>
      <c r="N1149" s="449"/>
      <c r="O1149" s="449"/>
      <c r="P1149" s="449"/>
      <c r="Q1149" s="4"/>
      <c r="R1149" s="6"/>
      <c r="S1149" s="6"/>
      <c r="T1149" s="4"/>
      <c r="U1149" s="4"/>
      <c r="V1149" s="4"/>
      <c r="W1149" s="9"/>
      <c r="X1149" s="9"/>
      <c r="Y1149" s="9"/>
      <c r="Z1149" s="9"/>
      <c r="AA1149" s="9"/>
      <c r="AB1149" s="9"/>
      <c r="AC1149" s="449" t="str">
        <f t="shared" si="126"/>
        <v/>
      </c>
      <c r="AD1149" s="449"/>
      <c r="AE1149" s="449"/>
      <c r="AF1149" s="4"/>
      <c r="AG1149" s="83"/>
      <c r="AH1149" s="4"/>
      <c r="AI1149" s="4"/>
      <c r="AJ1149" s="449"/>
      <c r="AK1149" s="449"/>
      <c r="AL1149" s="449"/>
      <c r="AM1149" s="449"/>
      <c r="AN1149" s="10"/>
      <c r="AO1149" s="9"/>
      <c r="AP1149" s="9"/>
      <c r="AQ1149" s="9">
        <f>+FL_1($T$1150,$T$1148,$G$1149,1200,9.28,-1*$F$1150)</f>
        <v>0.35007811860465121</v>
      </c>
      <c r="AR1149" s="9"/>
      <c r="AS1149" s="9"/>
      <c r="AT1149" s="9"/>
      <c r="AU1149" s="428"/>
      <c r="AV1149" s="428"/>
      <c r="AW1149" s="449" t="str">
        <f>IF(C1149&gt;0,VLOOKUP(C1149,Foundation_Calc!$A$2:$C$13,3,1),
IF(J1149&gt;0,VLOOKUP(J1149,Foundation_Calc!$A$2:$C$13,3,1),""))</f>
        <v/>
      </c>
      <c r="AX1149" s="449"/>
      <c r="AY1149" s="10" t="str">
        <f>IF(L1149="","",
IF(AX1149="PT",VLOOKUP(L1149,Foundation_Calc!$K$79:$R$113,VLOOKUP(AW1149,Foundation_Calc!$I$2:$J$8,2,FALSE),0),
IF(AX1149="K",VLOOKUP(L1149,Foundation_Calc!$K$117:$R$151,VLOOKUP(AW1149,Foundation_Calc!$I$2:$J$8,2,FALSE),0),"")))</f>
        <v/>
      </c>
      <c r="AZ1149" s="10" t="str">
        <f>IF(K1149="","",
IF(AX1149="PT",VLOOKUP(K1149,Foundation_Calc!$K$79:$R$113,VLOOKUP(AW1149,Foundation_Calc!$I$2:$J$8,2,FALSE),0),
IF(AX1149="K",VLOOKUP(K1149,Foundation_Calc!$K$117:$R$151,VLOOKUP(AW1149,Foundation_Calc!$I$2:$J$8,2,FALSE),0),"")))</f>
        <v/>
      </c>
      <c r="BA1149" s="495" t="str">
        <f t="shared" si="127"/>
        <v/>
      </c>
      <c r="BB1149" s="495" t="str">
        <f t="shared" si="128"/>
        <v/>
      </c>
      <c r="BC1149" s="495" t="str">
        <f t="shared" si="129"/>
        <v/>
      </c>
      <c r="BD1149" s="513" t="str">
        <f>IF(AND(L1149="",H1149=""),"",
IF(H1149="",Pole_Calc!A$9,
IF(H1149="MP",Pole_Calc!A$10,
IF(H1149="AnMP",Pole_Calc!A$11,
IF(H1149="A",Pole_Calc!A$12,
IF(H1149="S/A",Pole_Calc!A$13,
IF(H1149="A/S",Pole_Calc!A$14,"Poner a mano")))))))</f>
        <v/>
      </c>
      <c r="BE1149" s="429" t="s">
        <v>118</v>
      </c>
      <c r="BF1149" s="290"/>
      <c r="BG1149" s="290"/>
      <c r="BH1149" s="290"/>
      <c r="BI1149" s="290"/>
    </row>
    <row r="1150" spans="1:61" ht="15.6" customHeight="1">
      <c r="A1150" s="514"/>
      <c r="B1150" s="450" t="s">
        <v>851</v>
      </c>
      <c r="C1150" s="3">
        <f>+$C$1148+$G$1149</f>
        <v>58248.619999999988</v>
      </c>
      <c r="D1150" s="83"/>
      <c r="E1150" s="4"/>
      <c r="F1150" s="4">
        <f>IF(C1150&gt;0,VLOOKUP(C1150,'ALIGNMENT TRACK'!$A$1:$K$81,9,1))</f>
        <v>0</v>
      </c>
      <c r="G1150" s="6"/>
      <c r="H1150" s="449" t="s">
        <v>168</v>
      </c>
      <c r="I1150" s="4"/>
      <c r="J1150" s="3"/>
      <c r="K1150" s="449"/>
      <c r="L1150" s="449" t="s">
        <v>852</v>
      </c>
      <c r="M1150" s="449" t="str">
        <f>IF(L1150="","",
IF(AX1150="PT",VLOOKUP(L1150,Foundation_Calc!$V$79:$X$113,VLOOKUP(AX1150,Foundation_Calc!$I$10:$J$13,2,FALSE),0),
IF(AX1150="K",VLOOKUP(L1150,Foundation_Calc!$V$117:$X$151,VLOOKUP(AX1150,Foundation_Calc!$I$10:$J$13,2,FALSE),0),"")))</f>
        <v/>
      </c>
      <c r="N1150" s="449" t="s">
        <v>343</v>
      </c>
      <c r="O1150" s="449"/>
      <c r="P1150" s="449"/>
      <c r="Q1150" s="4"/>
      <c r="R1150" s="6"/>
      <c r="S1150" s="6"/>
      <c r="T1150" s="4">
        <v>-35</v>
      </c>
      <c r="U1150" s="4"/>
      <c r="V1150" s="4"/>
      <c r="W1150" s="9">
        <v>1.4</v>
      </c>
      <c r="X1150" s="9"/>
      <c r="Y1150" s="9"/>
      <c r="Z1150" s="9"/>
      <c r="AA1150" s="9"/>
      <c r="AB1150" s="9"/>
      <c r="AC1150" s="449" t="str">
        <f t="shared" si="126"/>
        <v>PHQ</v>
      </c>
      <c r="AD1150" s="449"/>
      <c r="AE1150" s="449"/>
      <c r="AF1150" s="4"/>
      <c r="AG1150" s="83"/>
      <c r="AH1150" s="4"/>
      <c r="AI1150" s="4"/>
      <c r="AJ1150" s="449"/>
      <c r="AK1150" s="449" t="s">
        <v>451</v>
      </c>
      <c r="AL1150" s="449"/>
      <c r="AM1150" s="449"/>
      <c r="AN1150" s="10">
        <v>5.5</v>
      </c>
      <c r="AO1150" s="9"/>
      <c r="AP1150" s="9"/>
      <c r="AQ1150" s="9"/>
      <c r="AR1150" s="9"/>
      <c r="AS1150" s="9"/>
      <c r="AT1150" s="9">
        <f>+ab($T$1150,$T$1148,$T$1152,$G$1149,$G$1151,-1*$F$1150,1200)</f>
        <v>-5.9335914592416454</v>
      </c>
      <c r="AU1150" s="428"/>
      <c r="AV1150" s="428"/>
      <c r="AW1150" s="449" t="s">
        <v>201</v>
      </c>
      <c r="AX1150" s="449" t="s">
        <v>201</v>
      </c>
      <c r="AY1150" s="10" t="str">
        <f>IF(L1150="","",
IF(AX1150="PT",VLOOKUP(L1150,Foundation_Calc!$K$79:$R$113,VLOOKUP(AW1150,Foundation_Calc!$I$2:$J$8,2,FALSE),0),
IF(AX1150="K",VLOOKUP(L1150,Foundation_Calc!$K$117:$R$151,VLOOKUP(AW1150,Foundation_Calc!$I$2:$J$8,2,FALSE),0),"")))</f>
        <v/>
      </c>
      <c r="AZ1150" s="10" t="str">
        <f>IF(K1150="","",
IF(AX1150="PT",VLOOKUP(K1150,Foundation_Calc!$K$79:$R$113,VLOOKUP(AW1150,Foundation_Calc!$I$2:$J$8,2,FALSE),0),
IF(AX1150="K",VLOOKUP(K1150,Foundation_Calc!$K$117:$R$151,VLOOKUP(AW1150,Foundation_Calc!$I$2:$J$8,2,FALSE),0),"")))</f>
        <v/>
      </c>
      <c r="BA1150" s="495" t="str">
        <f t="shared" si="127"/>
        <v/>
      </c>
      <c r="BB1150" s="495" t="str">
        <f t="shared" si="128"/>
        <v/>
      </c>
      <c r="BC1150" s="495" t="str">
        <f t="shared" si="129"/>
        <v/>
      </c>
      <c r="BD1150" s="513"/>
      <c r="BE1150" s="429" t="s">
        <v>118</v>
      </c>
      <c r="BF1150" s="289"/>
      <c r="BG1150" s="289"/>
      <c r="BH1150" s="290"/>
      <c r="BI1150" s="289"/>
    </row>
    <row r="1151" spans="1:61" ht="15.6" customHeight="1">
      <c r="A1151" s="696" t="s">
        <v>853</v>
      </c>
      <c r="B1151" s="697"/>
      <c r="C1151" s="698"/>
      <c r="D1151" s="699"/>
      <c r="E1151" s="700"/>
      <c r="F1151" s="700"/>
      <c r="G1151" s="701">
        <v>43.9</v>
      </c>
      <c r="H1151" s="702"/>
      <c r="I1151" s="700"/>
      <c r="J1151" s="698"/>
      <c r="K1151" s="702"/>
      <c r="L1151" s="702"/>
      <c r="M1151" s="702" t="str">
        <f>IF(L1151="","",
IF(AX1151="PT",VLOOKUP(L1151,Foundation_Calc!$V$79:$X$113,VLOOKUP(AX1151,Foundation_Calc!$I$10:$J$13,2,FALSE),0),
IF(AX1151="K",VLOOKUP(L1151,Foundation_Calc!$V$117:$X$151,VLOOKUP(AX1151,Foundation_Calc!$I$10:$J$13,2,FALSE),0),"")))</f>
        <v/>
      </c>
      <c r="N1151" s="702"/>
      <c r="O1151" s="702"/>
      <c r="P1151" s="702"/>
      <c r="Q1151" s="700"/>
      <c r="R1151" s="701"/>
      <c r="S1151" s="701"/>
      <c r="T1151" s="700"/>
      <c r="U1151" s="700"/>
      <c r="V1151" s="700"/>
      <c r="W1151" s="703"/>
      <c r="X1151" s="703"/>
      <c r="Y1151" s="703"/>
      <c r="Z1151" s="703"/>
      <c r="AA1151" s="703"/>
      <c r="AB1151" s="703"/>
      <c r="AC1151" s="702" t="str">
        <f t="shared" si="126"/>
        <v/>
      </c>
      <c r="AD1151" s="702"/>
      <c r="AE1151" s="702"/>
      <c r="AF1151" s="700"/>
      <c r="AG1151" s="699"/>
      <c r="AH1151" s="700"/>
      <c r="AI1151" s="700"/>
      <c r="AJ1151" s="702"/>
      <c r="AK1151" s="702"/>
      <c r="AL1151" s="702"/>
      <c r="AM1151" s="702"/>
      <c r="AN1151" s="704"/>
      <c r="AO1151" s="703"/>
      <c r="AP1151" s="703"/>
      <c r="AQ1151" s="703">
        <f>+FL_2($T$1152,$T$1150,$G$1151,1200,9.28,-1*$F$1152)</f>
        <v>-0.35068504270615042</v>
      </c>
      <c r="AR1151" s="703"/>
      <c r="AS1151" s="703"/>
      <c r="AT1151" s="703"/>
      <c r="AU1151" s="705"/>
      <c r="AV1151" s="705"/>
      <c r="AW1151" s="702" t="str">
        <f>IF(C1151&gt;0,VLOOKUP(C1151,Foundation_Calc!$A$2:$C$13,3,1),
IF(J1151&gt;0,VLOOKUP(J1151,Foundation_Calc!$A$2:$C$13,3,1),""))</f>
        <v/>
      </c>
      <c r="AX1151" s="702"/>
      <c r="AY1151" s="704" t="str">
        <f>IF(L1151="","",
IF(AX1151="PT",VLOOKUP(L1151,Foundation_Calc!$K$79:$R$113,VLOOKUP(AW1151,Foundation_Calc!$I$2:$J$8,2,FALSE),0),
IF(AX1151="K",VLOOKUP(L1151,Foundation_Calc!$K$117:$R$151,VLOOKUP(AW1151,Foundation_Calc!$I$2:$J$8,2,FALSE),0),"")))</f>
        <v/>
      </c>
      <c r="AZ1151" s="704" t="str">
        <f>IF(K1151="","",
IF(AX1151="PT",VLOOKUP(K1151,Foundation_Calc!$K$79:$R$113,VLOOKUP(AW1151,Foundation_Calc!$I$2:$J$8,2,FALSE),0),
IF(AX1151="K",VLOOKUP(K1151,Foundation_Calc!$K$117:$R$151,VLOOKUP(AW1151,Foundation_Calc!$I$2:$J$8,2,FALSE),0),"")))</f>
        <v/>
      </c>
      <c r="BA1151" s="495" t="str">
        <f t="shared" si="127"/>
        <v/>
      </c>
      <c r="BB1151" s="495" t="str">
        <f t="shared" si="128"/>
        <v/>
      </c>
      <c r="BC1151" s="495" t="str">
        <f t="shared" si="129"/>
        <v/>
      </c>
      <c r="BD1151" s="513" t="str">
        <f>IF(AND(L1151="",H1151=""),"",
IF(H1151="",Pole_Calc!A$9,
IF(H1151="MP",Pole_Calc!A$10,
IF(H1151="AnMP",Pole_Calc!A$11,
IF(H1151="A",Pole_Calc!A$12,
IF(H1151="S/A",Pole_Calc!A$13,
IF(H1151="A/S",Pole_Calc!A$14,"Poner a mano")))))))</f>
        <v/>
      </c>
      <c r="BE1151" s="429" t="s">
        <v>118</v>
      </c>
      <c r="BF1151" s="290"/>
      <c r="BG1151" s="290"/>
      <c r="BH1151" s="290"/>
      <c r="BI1151" s="290"/>
    </row>
    <row r="1152" spans="1:61" ht="15.6" customHeight="1">
      <c r="A1152" s="514"/>
      <c r="B1152" s="450" t="s">
        <v>854</v>
      </c>
      <c r="C1152" s="3">
        <f>+$C$1150+$G$1151</f>
        <v>58292.51999999999</v>
      </c>
      <c r="D1152" s="83"/>
      <c r="E1152" s="4"/>
      <c r="F1152" s="4">
        <f>IF(C1152&gt;0,VLOOKUP(C1152,'ALIGNMENT TRACK'!$A$1:$K$81,9,1))</f>
        <v>0</v>
      </c>
      <c r="G1152" s="6"/>
      <c r="H1152" s="449"/>
      <c r="I1152" s="4"/>
      <c r="J1152" s="3"/>
      <c r="K1152" s="449"/>
      <c r="L1152" s="449" t="s">
        <v>201</v>
      </c>
      <c r="M1152" s="449" t="str">
        <f>IF(L1152="","",
IF(AX1152="PT",VLOOKUP(L1152,Foundation_Calc!$V$79:$X$113,VLOOKUP(AX1152,Foundation_Calc!$I$10:$J$13,2,FALSE),0),
IF(AX1152="K",VLOOKUP(L1152,Foundation_Calc!$V$117:$X$151,VLOOKUP(AX1152,Foundation_Calc!$I$10:$J$13,2,FALSE),0),"")))</f>
        <v/>
      </c>
      <c r="N1152" s="449" t="s">
        <v>453</v>
      </c>
      <c r="O1152" s="449"/>
      <c r="P1152" s="449"/>
      <c r="Q1152" s="4"/>
      <c r="R1152" s="6"/>
      <c r="S1152" s="6"/>
      <c r="T1152" s="4">
        <v>35</v>
      </c>
      <c r="U1152" s="4"/>
      <c r="V1152" s="4"/>
      <c r="W1152" s="9">
        <v>1.4</v>
      </c>
      <c r="X1152" s="9"/>
      <c r="Y1152" s="9"/>
      <c r="Z1152" s="9"/>
      <c r="AA1152" s="9"/>
      <c r="AB1152" s="9"/>
      <c r="AC1152" s="449" t="str">
        <f t="shared" si="126"/>
        <v>PHQ</v>
      </c>
      <c r="AD1152" s="449"/>
      <c r="AE1152" s="449"/>
      <c r="AF1152" s="4"/>
      <c r="AG1152" s="83"/>
      <c r="AH1152" s="4"/>
      <c r="AI1152" s="4"/>
      <c r="AJ1152" s="449"/>
      <c r="AK1152" s="449" t="s">
        <v>451</v>
      </c>
      <c r="AL1152" s="449"/>
      <c r="AM1152" s="449"/>
      <c r="AN1152" s="10">
        <v>5.5</v>
      </c>
      <c r="AO1152" s="9"/>
      <c r="AP1152" s="9"/>
      <c r="AQ1152" s="9"/>
      <c r="AR1152" s="9"/>
      <c r="AS1152" s="9"/>
      <c r="AT1152" s="9">
        <f>+ab($T$1152,$T$1150,$T$1154,$G$1151,$G$1153,-1*$F$1152,1200)</f>
        <v>5.2722121952044532</v>
      </c>
      <c r="AU1152" s="428"/>
      <c r="AV1152" s="428"/>
      <c r="AW1152" s="449" t="s">
        <v>201</v>
      </c>
      <c r="AX1152" s="449" t="s">
        <v>201</v>
      </c>
      <c r="AY1152" s="10" t="str">
        <f>IF(L1152="","",
IF(AX1152="PT",VLOOKUP(L1152,Foundation_Calc!$K$79:$R$113,VLOOKUP(AW1152,Foundation_Calc!$I$2:$J$8,2,FALSE),0),
IF(AX1152="K",VLOOKUP(L1152,Foundation_Calc!$K$117:$R$151,VLOOKUP(AW1152,Foundation_Calc!$I$2:$J$8,2,FALSE),0),"")))</f>
        <v/>
      </c>
      <c r="AZ1152" s="10" t="str">
        <f>IF(K1152="","",
IF(AX1152="PT",VLOOKUP(K1152,Foundation_Calc!$K$79:$R$113,VLOOKUP(AW1152,Foundation_Calc!$I$2:$J$8,2,FALSE),0),
IF(AX1152="K",VLOOKUP(K1152,Foundation_Calc!$K$117:$R$151,VLOOKUP(AW1152,Foundation_Calc!$I$2:$J$8,2,FALSE),0),"")))</f>
        <v/>
      </c>
      <c r="BA1152" s="495" t="str">
        <f t="shared" si="127"/>
        <v/>
      </c>
      <c r="BB1152" s="495" t="str">
        <f t="shared" si="128"/>
        <v/>
      </c>
      <c r="BC1152" s="495" t="str">
        <f t="shared" si="129"/>
        <v/>
      </c>
      <c r="BD1152" s="513"/>
      <c r="BE1152" s="429" t="s">
        <v>118</v>
      </c>
      <c r="BF1152" s="289"/>
      <c r="BG1152" s="289"/>
      <c r="BH1152" s="290"/>
      <c r="BI1152" s="289"/>
    </row>
    <row r="1153" spans="1:61" ht="15.6" customHeight="1">
      <c r="A1153" s="514"/>
      <c r="B1153" s="450"/>
      <c r="C1153" s="3"/>
      <c r="D1153" s="83"/>
      <c r="E1153" s="4"/>
      <c r="F1153" s="4"/>
      <c r="G1153" s="6">
        <v>34.4</v>
      </c>
      <c r="H1153" s="449"/>
      <c r="I1153" s="4"/>
      <c r="J1153" s="3"/>
      <c r="K1153" s="449"/>
      <c r="L1153" s="449"/>
      <c r="M1153" s="449" t="str">
        <f>IF(L1153="","",
IF(AX1153="PT",VLOOKUP(L1153,Foundation_Calc!$V$79:$X$113,VLOOKUP(AX1153,Foundation_Calc!$I$10:$J$13,2,FALSE),0),
IF(AX1153="K",VLOOKUP(L1153,Foundation_Calc!$V$117:$X$151,VLOOKUP(AX1153,Foundation_Calc!$I$10:$J$13,2,FALSE),0),"")))</f>
        <v/>
      </c>
      <c r="N1153" s="449"/>
      <c r="O1153" s="449"/>
      <c r="P1153" s="449"/>
      <c r="Q1153" s="4"/>
      <c r="R1153" s="6"/>
      <c r="S1153" s="6"/>
      <c r="T1153" s="4"/>
      <c r="U1153" s="4"/>
      <c r="V1153" s="4"/>
      <c r="W1153" s="9"/>
      <c r="X1153" s="9"/>
      <c r="Y1153" s="9"/>
      <c r="Z1153" s="9"/>
      <c r="AA1153" s="9"/>
      <c r="AB1153" s="9"/>
      <c r="AC1153" s="449" t="str">
        <f t="shared" si="126"/>
        <v/>
      </c>
      <c r="AD1153" s="449"/>
      <c r="AE1153" s="449"/>
      <c r="AF1153" s="4"/>
      <c r="AG1153" s="83"/>
      <c r="AH1153" s="4"/>
      <c r="AI1153" s="4"/>
      <c r="AJ1153" s="449"/>
      <c r="AK1153" s="449"/>
      <c r="AL1153" s="449"/>
      <c r="AM1153" s="449"/>
      <c r="AN1153" s="10"/>
      <c r="AO1153" s="9"/>
      <c r="AP1153" s="9"/>
      <c r="AQ1153" s="9">
        <f>+FL_1($T$1154,$T$1152,$G$1153,1200,9.28,-1*$F$1154)</f>
        <v>0.35000000000001208</v>
      </c>
      <c r="AR1153" s="9"/>
      <c r="AS1153" s="9"/>
      <c r="AT1153" s="9"/>
      <c r="AU1153" s="428"/>
      <c r="AV1153" s="428"/>
      <c r="AW1153" s="449"/>
      <c r="AX1153" s="449"/>
      <c r="AY1153" s="10" t="str">
        <f>IF(L1153="","",
IF(AX1153="PT",VLOOKUP(L1153,Foundation_Calc!$K$79:$R$113,VLOOKUP(AW1153,Foundation_Calc!$I$2:$J$8,2,FALSE),0),
IF(AX1153="K",VLOOKUP(L1153,Foundation_Calc!$K$117:$R$151,VLOOKUP(AW1153,Foundation_Calc!$I$2:$J$8,2,FALSE),0),"")))</f>
        <v/>
      </c>
      <c r="AZ1153" s="10" t="str">
        <f>IF(K1153="","",
IF(AX1153="PT",VLOOKUP(K1153,Foundation_Calc!$K$79:$R$113,VLOOKUP(AW1153,Foundation_Calc!$I$2:$J$8,2,FALSE),0),
IF(AX1153="K",VLOOKUP(K1153,Foundation_Calc!$K$117:$R$151,VLOOKUP(AW1153,Foundation_Calc!$I$2:$J$8,2,FALSE),0),"")))</f>
        <v/>
      </c>
      <c r="BA1153" s="495" t="str">
        <f t="shared" si="127"/>
        <v/>
      </c>
      <c r="BB1153" s="495" t="str">
        <f t="shared" si="128"/>
        <v/>
      </c>
      <c r="BC1153" s="495" t="str">
        <f t="shared" si="129"/>
        <v/>
      </c>
      <c r="BD1153" s="513"/>
      <c r="BE1153" s="429" t="s">
        <v>118</v>
      </c>
      <c r="BF1153" s="290"/>
      <c r="BG1153" s="290"/>
      <c r="BH1153" s="290"/>
      <c r="BI1153" s="290"/>
    </row>
    <row r="1154" spans="1:61" ht="15.6" customHeight="1">
      <c r="A1154" s="514"/>
      <c r="B1154" s="450" t="s">
        <v>855</v>
      </c>
      <c r="C1154" s="3">
        <f>+$C$1152+$G$1153</f>
        <v>58326.919999999991</v>
      </c>
      <c r="D1154" s="83"/>
      <c r="E1154" s="4"/>
      <c r="F1154" s="4">
        <f>IF(C1154&gt;0,VLOOKUP(C1154,'ALIGNMENT TRACK'!$A$1:$K$81,9,1))</f>
        <v>0</v>
      </c>
      <c r="G1154" s="6"/>
      <c r="H1154" s="449"/>
      <c r="I1154" s="4"/>
      <c r="J1154" s="3"/>
      <c r="K1154" s="449"/>
      <c r="L1154" s="449" t="s">
        <v>201</v>
      </c>
      <c r="M1154" s="449" t="str">
        <f>IF(L1154="","",
IF(AX1154="PT",VLOOKUP(L1154,Foundation_Calc!$V$79:$X$113,VLOOKUP(AX1154,Foundation_Calc!$I$10:$J$13,2,FALSE),0),
IF(AX1154="K",VLOOKUP(L1154,Foundation_Calc!$V$117:$X$151,VLOOKUP(AX1154,Foundation_Calc!$I$10:$J$13,2,FALSE),0),"")))</f>
        <v/>
      </c>
      <c r="N1154" s="449" t="s">
        <v>343</v>
      </c>
      <c r="O1154" s="449"/>
      <c r="P1154" s="449"/>
      <c r="Q1154" s="4"/>
      <c r="R1154" s="6"/>
      <c r="S1154" s="6"/>
      <c r="T1154" s="4">
        <v>-35</v>
      </c>
      <c r="U1154" s="4"/>
      <c r="V1154" s="4"/>
      <c r="W1154" s="9">
        <v>1.4</v>
      </c>
      <c r="X1154" s="9"/>
      <c r="Y1154" s="9"/>
      <c r="Z1154" s="9"/>
      <c r="AA1154" s="9"/>
      <c r="AB1154" s="9"/>
      <c r="AC1154" s="449" t="str">
        <f t="shared" si="126"/>
        <v>PHC</v>
      </c>
      <c r="AD1154" s="449"/>
      <c r="AE1154" s="449"/>
      <c r="AF1154" s="4"/>
      <c r="AG1154" s="83"/>
      <c r="AH1154" s="4"/>
      <c r="AI1154" s="4"/>
      <c r="AJ1154" s="449"/>
      <c r="AK1154" s="449" t="s">
        <v>451</v>
      </c>
      <c r="AL1154" s="449"/>
      <c r="AM1154" s="449"/>
      <c r="AN1154" s="10">
        <v>5.5</v>
      </c>
      <c r="AO1154" s="9"/>
      <c r="AP1154" s="9"/>
      <c r="AQ1154" s="9"/>
      <c r="AR1154" s="9"/>
      <c r="AS1154" s="9"/>
      <c r="AT1154" s="9">
        <f>+ab($T$1154,$T$1152,$T$1156,$G$1153,$G$1155,-1*$F$1154,1200)</f>
        <v>-4.3843543633930917</v>
      </c>
      <c r="AU1154" s="428"/>
      <c r="AV1154" s="428"/>
      <c r="AW1154" s="449" t="s">
        <v>201</v>
      </c>
      <c r="AX1154" s="449" t="s">
        <v>201</v>
      </c>
      <c r="AY1154" s="10" t="str">
        <f>IF(L1154="","",
IF(AX1154="PT",VLOOKUP(L1154,Foundation_Calc!$K$79:$R$113,VLOOKUP(AW1154,Foundation_Calc!$I$2:$J$8,2,FALSE),0),
IF(AX1154="K",VLOOKUP(L1154,Foundation_Calc!$K$117:$R$151,VLOOKUP(AW1154,Foundation_Calc!$I$2:$J$8,2,FALSE),0),"")))</f>
        <v/>
      </c>
      <c r="AZ1154" s="10" t="str">
        <f>IF(K1154="","",
IF(AX1154="PT",VLOOKUP(K1154,Foundation_Calc!$K$79:$R$113,VLOOKUP(AW1154,Foundation_Calc!$I$2:$J$8,2,FALSE),0),
IF(AX1154="K",VLOOKUP(K1154,Foundation_Calc!$K$117:$R$151,VLOOKUP(AW1154,Foundation_Calc!$I$2:$J$8,2,FALSE),0),"")))</f>
        <v/>
      </c>
      <c r="BA1154" s="495" t="str">
        <f t="shared" si="127"/>
        <v/>
      </c>
      <c r="BB1154" s="495" t="str">
        <f t="shared" si="128"/>
        <v/>
      </c>
      <c r="BC1154" s="495" t="str">
        <f t="shared" si="129"/>
        <v/>
      </c>
      <c r="BD1154" s="513"/>
      <c r="BE1154" s="429" t="s">
        <v>118</v>
      </c>
      <c r="BF1154" s="289"/>
      <c r="BG1154" s="289"/>
      <c r="BH1154" s="290"/>
      <c r="BI1154" s="289"/>
    </row>
    <row r="1155" spans="1:61" ht="15.6" customHeight="1">
      <c r="A1155" s="514"/>
      <c r="B1155" s="450"/>
      <c r="C1155" s="3"/>
      <c r="D1155" s="83"/>
      <c r="E1155" s="4"/>
      <c r="F1155" s="4"/>
      <c r="G1155" s="6">
        <v>30</v>
      </c>
      <c r="H1155" s="449"/>
      <c r="I1155" s="4"/>
      <c r="J1155" s="3"/>
      <c r="K1155" s="449"/>
      <c r="L1155" s="449"/>
      <c r="M1155" s="449" t="str">
        <f>IF(L1155="","",
IF(AX1155="PT",VLOOKUP(L1155,Foundation_Calc!$V$79:$X$113,VLOOKUP(AX1155,Foundation_Calc!$I$10:$J$13,2,FALSE),0),
IF(AX1155="K",VLOOKUP(L1155,Foundation_Calc!$V$117:$X$151,VLOOKUP(AX1155,Foundation_Calc!$I$10:$J$13,2,FALSE),0),"")))</f>
        <v/>
      </c>
      <c r="N1155" s="449"/>
      <c r="O1155" s="449"/>
      <c r="P1155" s="449"/>
      <c r="Q1155" s="4"/>
      <c r="R1155" s="6"/>
      <c r="S1155" s="6"/>
      <c r="T1155" s="4"/>
      <c r="U1155" s="4"/>
      <c r="V1155" s="4"/>
      <c r="W1155" s="9"/>
      <c r="X1155" s="9"/>
      <c r="Y1155" s="9"/>
      <c r="Z1155" s="9"/>
      <c r="AA1155" s="9"/>
      <c r="AB1155" s="9"/>
      <c r="AC1155" s="449" t="str">
        <f t="shared" si="126"/>
        <v/>
      </c>
      <c r="AD1155" s="449"/>
      <c r="AE1155" s="449"/>
      <c r="AF1155" s="4"/>
      <c r="AG1155" s="83"/>
      <c r="AH1155" s="4"/>
      <c r="AI1155" s="4"/>
      <c r="AJ1155" s="449"/>
      <c r="AK1155" s="449"/>
      <c r="AL1155" s="449"/>
      <c r="AM1155" s="449"/>
      <c r="AN1155" s="10"/>
      <c r="AO1155" s="9"/>
      <c r="AP1155" s="9"/>
      <c r="AQ1155" s="9">
        <f>+FL_2($T$1156,$T$1154,$G$1155,1200,9.28,-1*$F$1156)</f>
        <v>-0.35000000000002224</v>
      </c>
      <c r="AR1155" s="9"/>
      <c r="AS1155" s="9"/>
      <c r="AT1155" s="9"/>
      <c r="AU1155" s="428"/>
      <c r="AV1155" s="428"/>
      <c r="AW1155" s="449" t="str">
        <f>IF(C1155&gt;0,VLOOKUP(C1155,Foundation_Calc!$A$2:$C$13,3,1),
IF(J1155&gt;0,VLOOKUP(J1155,Foundation_Calc!$A$2:$C$13,3,1),""))</f>
        <v/>
      </c>
      <c r="AX1155" s="449"/>
      <c r="AY1155" s="10" t="str">
        <f>IF(L1155="","",
IF(AX1155="PT",VLOOKUP(L1155,Foundation_Calc!$K$79:$R$113,VLOOKUP(AW1155,Foundation_Calc!$I$2:$J$8,2,FALSE),0),
IF(AX1155="K",VLOOKUP(L1155,Foundation_Calc!$K$117:$R$151,VLOOKUP(AW1155,Foundation_Calc!$I$2:$J$8,2,FALSE),0),"")))</f>
        <v/>
      </c>
      <c r="AZ1155" s="10" t="str">
        <f>IF(K1155="","",
IF(AX1155="PT",VLOOKUP(K1155,Foundation_Calc!$K$79:$R$113,VLOOKUP(AW1155,Foundation_Calc!$I$2:$J$8,2,FALSE),0),
IF(AX1155="K",VLOOKUP(K1155,Foundation_Calc!$K$117:$R$151,VLOOKUP(AW1155,Foundation_Calc!$I$2:$J$8,2,FALSE),0),"")))</f>
        <v/>
      </c>
      <c r="BA1155" s="495" t="str">
        <f t="shared" si="127"/>
        <v/>
      </c>
      <c r="BB1155" s="495" t="str">
        <f t="shared" si="128"/>
        <v/>
      </c>
      <c r="BC1155" s="495" t="str">
        <f t="shared" si="129"/>
        <v/>
      </c>
      <c r="BD1155" s="513"/>
      <c r="BE1155" s="429" t="s">
        <v>118</v>
      </c>
      <c r="BF1155" s="290"/>
      <c r="BG1155" s="290"/>
      <c r="BH1155" s="290"/>
      <c r="BI1155" s="290"/>
    </row>
    <row r="1156" spans="1:61" ht="15.6" customHeight="1">
      <c r="A1156" s="517" t="s">
        <v>442</v>
      </c>
      <c r="B1156" s="450" t="s">
        <v>856</v>
      </c>
      <c r="C1156" s="3">
        <f>+$C$1154+$G$1155</f>
        <v>58356.919999999991</v>
      </c>
      <c r="D1156" s="83"/>
      <c r="E1156" s="4"/>
      <c r="F1156" s="4">
        <f>IF(C1156&gt;0,VLOOKUP(C1156,'ALIGNMENT TRACK'!$A$1:$K$81,9,1))</f>
        <v>0</v>
      </c>
      <c r="G1156" s="6"/>
      <c r="H1156" s="449"/>
      <c r="I1156" s="4"/>
      <c r="J1156" s="3"/>
      <c r="K1156" s="449"/>
      <c r="L1156" s="449" t="s">
        <v>201</v>
      </c>
      <c r="M1156" s="449" t="str">
        <f>IF(L1156="","",
IF(AX1156="PT",VLOOKUP(L1156,Foundation_Calc!$V$79:$X$113,VLOOKUP(AX1156,Foundation_Calc!$I$10:$J$13,2,FALSE),0),
IF(AX1156="K",VLOOKUP(L1156,Foundation_Calc!$V$117:$X$151,VLOOKUP(AX1156,Foundation_Calc!$I$10:$J$13,2,FALSE),0),"")))</f>
        <v/>
      </c>
      <c r="N1156" s="449" t="s">
        <v>453</v>
      </c>
      <c r="O1156" s="449"/>
      <c r="P1156" s="449"/>
      <c r="Q1156" s="4"/>
      <c r="R1156" s="6"/>
      <c r="S1156" s="6"/>
      <c r="T1156" s="4">
        <v>35</v>
      </c>
      <c r="U1156" s="4"/>
      <c r="V1156" s="4"/>
      <c r="W1156" s="9">
        <v>1.4</v>
      </c>
      <c r="X1156" s="9"/>
      <c r="Y1156" s="9"/>
      <c r="Z1156" s="9"/>
      <c r="AA1156" s="9"/>
      <c r="AB1156" s="9"/>
      <c r="AC1156" s="449" t="str">
        <f t="shared" si="126"/>
        <v>PHC</v>
      </c>
      <c r="AD1156" s="449"/>
      <c r="AE1156" s="449"/>
      <c r="AF1156" s="4"/>
      <c r="AG1156" s="83"/>
      <c r="AH1156" s="4"/>
      <c r="AI1156" s="4"/>
      <c r="AJ1156" s="449"/>
      <c r="AK1156" s="449" t="s">
        <v>451</v>
      </c>
      <c r="AL1156" s="449"/>
      <c r="AM1156" s="449"/>
      <c r="AN1156" s="10">
        <v>5.5</v>
      </c>
      <c r="AO1156" s="9"/>
      <c r="AP1156" s="9"/>
      <c r="AQ1156" s="9"/>
      <c r="AR1156" s="9"/>
      <c r="AS1156" s="9"/>
      <c r="AT1156" s="9">
        <f>+ab($T$1156,$T$1154,$T$1158,$G$1155,$G$1157,-1*$F$1156,1200)</f>
        <v>4.1049450449877387</v>
      </c>
      <c r="AU1156" s="428"/>
      <c r="AV1156" s="428"/>
      <c r="AW1156" s="449" t="s">
        <v>201</v>
      </c>
      <c r="AX1156" s="449" t="s">
        <v>201</v>
      </c>
      <c r="AY1156" s="10" t="str">
        <f>IF(L1156="","",
IF(AX1156="PT",VLOOKUP(L1156,Foundation_Calc!$K$79:$R$113,VLOOKUP(AW1156,Foundation_Calc!$I$2:$J$8,2,FALSE),0),
IF(AX1156="K",VLOOKUP(L1156,Foundation_Calc!$K$117:$R$151,VLOOKUP(AW1156,Foundation_Calc!$I$2:$J$8,2,FALSE),0),"")))</f>
        <v/>
      </c>
      <c r="AZ1156" s="10" t="str">
        <f>IF(K1156="","",
IF(AX1156="PT",VLOOKUP(K1156,Foundation_Calc!$K$79:$R$113,VLOOKUP(AW1156,Foundation_Calc!$I$2:$J$8,2,FALSE),0),
IF(AX1156="K",VLOOKUP(K1156,Foundation_Calc!$K$117:$R$151,VLOOKUP(AW1156,Foundation_Calc!$I$2:$J$8,2,FALSE),0),"")))</f>
        <v/>
      </c>
      <c r="BA1156" s="495" t="str">
        <f t="shared" si="127"/>
        <v/>
      </c>
      <c r="BB1156" s="495" t="str">
        <f t="shared" si="128"/>
        <v/>
      </c>
      <c r="BC1156" s="495" t="str">
        <f t="shared" si="129"/>
        <v/>
      </c>
      <c r="BD1156" s="513"/>
      <c r="BE1156" s="429" t="s">
        <v>118</v>
      </c>
      <c r="BF1156" s="289"/>
      <c r="BG1156" s="289"/>
      <c r="BH1156" s="290"/>
      <c r="BI1156" s="289"/>
    </row>
    <row r="1157" spans="1:61" ht="15.6" customHeight="1">
      <c r="A1157" s="517" t="s">
        <v>442</v>
      </c>
      <c r="B1157" s="450"/>
      <c r="C1157" s="3"/>
      <c r="D1157" s="83"/>
      <c r="E1157" s="4"/>
      <c r="F1157" s="4"/>
      <c r="G1157" s="6">
        <v>30</v>
      </c>
      <c r="H1157" s="449"/>
      <c r="I1157" s="4"/>
      <c r="J1157" s="3"/>
      <c r="K1157" s="449"/>
      <c r="L1157" s="449"/>
      <c r="M1157" s="449" t="str">
        <f>IF(L1157="","",
IF(AX1157="PT",VLOOKUP(L1157,Foundation_Calc!$V$79:$X$113,VLOOKUP(AX1157,Foundation_Calc!$I$10:$J$13,2,FALSE),0),
IF(AX1157="K",VLOOKUP(L1157,Foundation_Calc!$V$117:$X$151,VLOOKUP(AX1157,Foundation_Calc!$I$10:$J$13,2,FALSE),0),"")))</f>
        <v/>
      </c>
      <c r="N1157" s="449"/>
      <c r="O1157" s="449"/>
      <c r="P1157" s="449"/>
      <c r="Q1157" s="4"/>
      <c r="R1157" s="6"/>
      <c r="S1157" s="6"/>
      <c r="T1157" s="4"/>
      <c r="U1157" s="4"/>
      <c r="V1157" s="4"/>
      <c r="W1157" s="9"/>
      <c r="X1157" s="9"/>
      <c r="Y1157" s="9"/>
      <c r="Z1157" s="9"/>
      <c r="AA1157" s="9"/>
      <c r="AB1157" s="9"/>
      <c r="AC1157" s="449" t="str">
        <f t="shared" si="126"/>
        <v/>
      </c>
      <c r="AD1157" s="449"/>
      <c r="AE1157" s="449"/>
      <c r="AF1157" s="4"/>
      <c r="AG1157" s="83"/>
      <c r="AH1157" s="4"/>
      <c r="AI1157" s="4"/>
      <c r="AJ1157" s="449"/>
      <c r="AK1157" s="449"/>
      <c r="AL1157" s="449"/>
      <c r="AM1157" s="449"/>
      <c r="AN1157" s="10"/>
      <c r="AO1157" s="9"/>
      <c r="AP1157" s="9"/>
      <c r="AQ1157" s="9">
        <f>+FL_1($T$1158,$T$1156,$G$1157,1200,9.28,-1*$F$1158)</f>
        <v>0.35000000000002224</v>
      </c>
      <c r="AR1157" s="9"/>
      <c r="AS1157" s="9"/>
      <c r="AT1157" s="9"/>
      <c r="AU1157" s="428"/>
      <c r="AV1157" s="428"/>
      <c r="AW1157" s="449"/>
      <c r="AX1157" s="449"/>
      <c r="AY1157" s="10" t="str">
        <f>IF(L1157="","",
IF(AX1157="PT",VLOOKUP(L1157,Foundation_Calc!$K$79:$R$113,VLOOKUP(AW1157,Foundation_Calc!$I$2:$J$8,2,FALSE),0),
IF(AX1157="K",VLOOKUP(L1157,Foundation_Calc!$K$117:$R$151,VLOOKUP(AW1157,Foundation_Calc!$I$2:$J$8,2,FALSE),0),"")))</f>
        <v/>
      </c>
      <c r="AZ1157" s="10" t="str">
        <f>IF(K1157="","",
IF(AX1157="PT",VLOOKUP(K1157,Foundation_Calc!$K$79:$R$113,VLOOKUP(AW1157,Foundation_Calc!$I$2:$J$8,2,FALSE),0),
IF(AX1157="K",VLOOKUP(K1157,Foundation_Calc!$K$117:$R$151,VLOOKUP(AW1157,Foundation_Calc!$I$2:$J$8,2,FALSE),0),"")))</f>
        <v/>
      </c>
      <c r="BA1157" s="495" t="str">
        <f t="shared" si="127"/>
        <v/>
      </c>
      <c r="BB1157" s="495" t="str">
        <f t="shared" si="128"/>
        <v/>
      </c>
      <c r="BC1157" s="495" t="str">
        <f t="shared" si="129"/>
        <v/>
      </c>
      <c r="BD1157" s="513"/>
      <c r="BE1157" s="429" t="s">
        <v>118</v>
      </c>
      <c r="BF1157" s="290"/>
      <c r="BG1157" s="290"/>
      <c r="BH1157" s="290"/>
      <c r="BI1157" s="290"/>
    </row>
    <row r="1158" spans="1:61" ht="15.6" customHeight="1">
      <c r="A1158" s="517" t="s">
        <v>442</v>
      </c>
      <c r="B1158" s="450" t="s">
        <v>857</v>
      </c>
      <c r="C1158" s="3">
        <f>+$C$1156+$G$1157</f>
        <v>58386.919999999991</v>
      </c>
      <c r="D1158" s="83"/>
      <c r="E1158" s="4"/>
      <c r="F1158" s="4">
        <f>IF(C1158&gt;0,VLOOKUP(C1158,'ALIGNMENT TRACK'!$A$1:$K$81,9,1))</f>
        <v>0</v>
      </c>
      <c r="G1158" s="6"/>
      <c r="H1158" s="449"/>
      <c r="I1158" s="4"/>
      <c r="J1158" s="3"/>
      <c r="K1158" s="449"/>
      <c r="L1158" s="449" t="s">
        <v>201</v>
      </c>
      <c r="M1158" s="449" t="str">
        <f>IF(L1158="","",
IF(AX1158="PT",VLOOKUP(L1158,Foundation_Calc!$V$79:$X$113,VLOOKUP(AX1158,Foundation_Calc!$I$10:$J$13,2,FALSE),0),
IF(AX1158="K",VLOOKUP(L1158,Foundation_Calc!$V$117:$X$151,VLOOKUP(AX1158,Foundation_Calc!$I$10:$J$13,2,FALSE),0),"")))</f>
        <v/>
      </c>
      <c r="N1158" s="449" t="s">
        <v>343</v>
      </c>
      <c r="O1158" s="449"/>
      <c r="P1158" s="449"/>
      <c r="Q1158" s="4"/>
      <c r="R1158" s="6"/>
      <c r="S1158" s="6"/>
      <c r="T1158" s="4">
        <v>-35</v>
      </c>
      <c r="U1158" s="4"/>
      <c r="V1158" s="4"/>
      <c r="W1158" s="9">
        <v>1.4</v>
      </c>
      <c r="X1158" s="9"/>
      <c r="Y1158" s="9"/>
      <c r="Z1158" s="9"/>
      <c r="AA1158" s="9"/>
      <c r="AB1158" s="9"/>
      <c r="AC1158" s="449" t="str">
        <f t="shared" si="126"/>
        <v>PHC</v>
      </c>
      <c r="AD1158" s="449"/>
      <c r="AE1158" s="449"/>
      <c r="AF1158" s="4"/>
      <c r="AG1158" s="83"/>
      <c r="AH1158" s="4"/>
      <c r="AI1158" s="4"/>
      <c r="AJ1158" s="449"/>
      <c r="AK1158" s="449" t="s">
        <v>451</v>
      </c>
      <c r="AL1158" s="449"/>
      <c r="AM1158" s="449"/>
      <c r="AN1158" s="10">
        <v>5.5</v>
      </c>
      <c r="AO1158" s="9"/>
      <c r="AP1158" s="9"/>
      <c r="AQ1158" s="9"/>
      <c r="AR1158" s="9"/>
      <c r="AS1158" s="9"/>
      <c r="AT1158" s="9">
        <f>+ab($T$1158,$T$1156,$T$1160,$G$1157,$G$1159,-1*$F$1158,1200)</f>
        <v>-4.688920373877222</v>
      </c>
      <c r="AU1158" s="428"/>
      <c r="AV1158" s="428"/>
      <c r="AW1158" s="449" t="s">
        <v>201</v>
      </c>
      <c r="AX1158" s="449" t="s">
        <v>201</v>
      </c>
      <c r="AY1158" s="10" t="str">
        <f>IF(L1158="","",
IF(AX1158="PT",VLOOKUP(L1158,Foundation_Calc!$K$79:$R$113,VLOOKUP(AW1158,Foundation_Calc!$I$2:$J$8,2,FALSE),0),
IF(AX1158="K",VLOOKUP(L1158,Foundation_Calc!$K$117:$R$151,VLOOKUP(AW1158,Foundation_Calc!$I$2:$J$8,2,FALSE),0),"")))</f>
        <v/>
      </c>
      <c r="AZ1158" s="10" t="str">
        <f>IF(K1158="","",
IF(AX1158="PT",VLOOKUP(K1158,Foundation_Calc!$K$79:$R$113,VLOOKUP(AW1158,Foundation_Calc!$I$2:$J$8,2,FALSE),0),
IF(AX1158="K",VLOOKUP(K1158,Foundation_Calc!$K$117:$R$151,VLOOKUP(AW1158,Foundation_Calc!$I$2:$J$8,2,FALSE),0),"")))</f>
        <v/>
      </c>
      <c r="BA1158" s="495" t="str">
        <f t="shared" si="127"/>
        <v/>
      </c>
      <c r="BB1158" s="495" t="str">
        <f t="shared" si="128"/>
        <v/>
      </c>
      <c r="BC1158" s="495" t="str">
        <f t="shared" si="129"/>
        <v/>
      </c>
      <c r="BD1158" s="513"/>
      <c r="BE1158" s="429" t="s">
        <v>118</v>
      </c>
      <c r="BF1158" s="289"/>
      <c r="BG1158" s="289"/>
      <c r="BH1158" s="290"/>
      <c r="BI1158" s="289"/>
    </row>
    <row r="1159" spans="1:61" ht="15.6" customHeight="1">
      <c r="A1159" s="514" t="s">
        <v>169</v>
      </c>
      <c r="B1159" s="450"/>
      <c r="C1159" s="3"/>
      <c r="D1159" s="83"/>
      <c r="E1159" s="4"/>
      <c r="F1159" s="4"/>
      <c r="G1159" s="6">
        <v>40</v>
      </c>
      <c r="H1159" s="449"/>
      <c r="I1159" s="4"/>
      <c r="J1159" s="3"/>
      <c r="K1159" s="449"/>
      <c r="L1159" s="449"/>
      <c r="M1159" s="449" t="str">
        <f>IF(L1159="","",
IF(AX1159="PT",VLOOKUP(L1159,Foundation_Calc!$V$79:$X$113,VLOOKUP(AX1159,Foundation_Calc!$I$10:$J$13,2,FALSE),0),
IF(AX1159="K",VLOOKUP(L1159,Foundation_Calc!$V$117:$X$151,VLOOKUP(AX1159,Foundation_Calc!$I$10:$J$13,2,FALSE),0),"")))</f>
        <v/>
      </c>
      <c r="N1159" s="449"/>
      <c r="O1159" s="449"/>
      <c r="P1159" s="449"/>
      <c r="Q1159" s="4"/>
      <c r="R1159" s="6"/>
      <c r="S1159" s="6"/>
      <c r="T1159" s="4"/>
      <c r="U1159" s="4"/>
      <c r="V1159" s="4"/>
      <c r="W1159" s="9"/>
      <c r="X1159" s="9"/>
      <c r="Y1159" s="9"/>
      <c r="Z1159" s="9"/>
      <c r="AA1159" s="9"/>
      <c r="AB1159" s="9"/>
      <c r="AC1159" s="449" t="str">
        <f t="shared" si="126"/>
        <v/>
      </c>
      <c r="AD1159" s="449"/>
      <c r="AE1159" s="449"/>
      <c r="AF1159" s="4"/>
      <c r="AG1159" s="83"/>
      <c r="AH1159" s="4"/>
      <c r="AI1159" s="4"/>
      <c r="AJ1159" s="449"/>
      <c r="AK1159" s="449"/>
      <c r="AL1159" s="449"/>
      <c r="AM1159" s="449"/>
      <c r="AN1159" s="10"/>
      <c r="AO1159" s="9"/>
      <c r="AP1159" s="9"/>
      <c r="AQ1159" s="9">
        <f>+FL_2($T$1160,$T$1158,$G$1159,1200,9.28,-1*$F$1160)</f>
        <v>-0.35000000000000125</v>
      </c>
      <c r="AR1159" s="9"/>
      <c r="AS1159" s="9"/>
      <c r="AT1159" s="9"/>
      <c r="AU1159" s="428"/>
      <c r="AV1159" s="428"/>
      <c r="AW1159" s="449"/>
      <c r="AX1159" s="449"/>
      <c r="AY1159" s="10" t="str">
        <f>IF(L1159="","",
IF(AX1159="PT",VLOOKUP(L1159,Foundation_Calc!$K$79:$R$113,VLOOKUP(AW1159,Foundation_Calc!$I$2:$J$8,2,FALSE),0),
IF(AX1159="K",VLOOKUP(L1159,Foundation_Calc!$K$117:$R$151,VLOOKUP(AW1159,Foundation_Calc!$I$2:$J$8,2,FALSE),0),"")))</f>
        <v/>
      </c>
      <c r="AZ1159" s="10" t="str">
        <f>IF(K1159="","",
IF(AX1159="PT",VLOOKUP(K1159,Foundation_Calc!$K$79:$R$113,VLOOKUP(AW1159,Foundation_Calc!$I$2:$J$8,2,FALSE),0),
IF(AX1159="K",VLOOKUP(K1159,Foundation_Calc!$K$117:$R$151,VLOOKUP(AW1159,Foundation_Calc!$I$2:$J$8,2,FALSE),0),"")))</f>
        <v/>
      </c>
      <c r="BA1159" s="495" t="str">
        <f t="shared" si="127"/>
        <v/>
      </c>
      <c r="BB1159" s="495" t="str">
        <f t="shared" si="128"/>
        <v/>
      </c>
      <c r="BC1159" s="495" t="str">
        <f t="shared" si="129"/>
        <v/>
      </c>
      <c r="BD1159" s="513"/>
      <c r="BE1159" s="429" t="s">
        <v>118</v>
      </c>
      <c r="BF1159" s="290"/>
      <c r="BG1159" s="290"/>
      <c r="BH1159" s="290"/>
      <c r="BI1159" s="290"/>
    </row>
    <row r="1160" spans="1:61" ht="15.6" customHeight="1">
      <c r="A1160" s="517" t="s">
        <v>442</v>
      </c>
      <c r="B1160" s="450" t="s">
        <v>858</v>
      </c>
      <c r="C1160" s="3">
        <f>+$C$1158+$G$1159</f>
        <v>58426.919999999991</v>
      </c>
      <c r="D1160" s="83"/>
      <c r="E1160" s="4"/>
      <c r="F1160" s="4">
        <f>IF(C1160&gt;0,VLOOKUP(C1160,'ALIGNMENT TRACK'!$A$1:$K$81,9,1))</f>
        <v>0</v>
      </c>
      <c r="G1160" s="6"/>
      <c r="H1160" s="449"/>
      <c r="I1160" s="4"/>
      <c r="J1160" s="3"/>
      <c r="K1160" s="449"/>
      <c r="L1160" s="449" t="s">
        <v>201</v>
      </c>
      <c r="M1160" s="449" t="str">
        <f>IF(L1160="","",
IF(AX1160="PT",VLOOKUP(L1160,Foundation_Calc!$V$79:$X$113,VLOOKUP(AX1160,Foundation_Calc!$I$10:$J$13,2,FALSE),0),
IF(AX1160="K",VLOOKUP(L1160,Foundation_Calc!$V$117:$X$151,VLOOKUP(AX1160,Foundation_Calc!$I$10:$J$13,2,FALSE),0),"")))</f>
        <v/>
      </c>
      <c r="N1160" s="449" t="s">
        <v>453</v>
      </c>
      <c r="O1160" s="449"/>
      <c r="P1160" s="449"/>
      <c r="Q1160" s="4"/>
      <c r="R1160" s="6"/>
      <c r="S1160" s="6"/>
      <c r="T1160" s="4">
        <v>35</v>
      </c>
      <c r="U1160" s="4"/>
      <c r="V1160" s="4"/>
      <c r="W1160" s="9">
        <v>1.4</v>
      </c>
      <c r="X1160" s="9"/>
      <c r="Y1160" s="9"/>
      <c r="Z1160" s="9"/>
      <c r="AA1160" s="9"/>
      <c r="AB1160" s="9"/>
      <c r="AC1160" s="449" t="str">
        <f t="shared" si="126"/>
        <v>PHQ</v>
      </c>
      <c r="AD1160" s="449"/>
      <c r="AE1160" s="449"/>
      <c r="AF1160" s="4"/>
      <c r="AG1160" s="83"/>
      <c r="AH1160" s="4"/>
      <c r="AI1160" s="4"/>
      <c r="AJ1160" s="449"/>
      <c r="AK1160" s="449" t="s">
        <v>451</v>
      </c>
      <c r="AL1160" s="449"/>
      <c r="AM1160" s="449"/>
      <c r="AN1160" s="10">
        <v>5.5</v>
      </c>
      <c r="AO1160" s="9"/>
      <c r="AP1160" s="9"/>
      <c r="AQ1160" s="9"/>
      <c r="AR1160" s="9"/>
      <c r="AS1160" s="9"/>
      <c r="AT1160" s="9">
        <f>+ab($T$1160,$T$1158,$T$1162,$G$1159,$G$1161,-1*$F$1160,1200)</f>
        <v>5.9027993675350734</v>
      </c>
      <c r="AU1160" s="428"/>
      <c r="AV1160" s="428"/>
      <c r="AW1160" s="449" t="s">
        <v>201</v>
      </c>
      <c r="AX1160" s="449" t="s">
        <v>201</v>
      </c>
      <c r="AY1160" s="10" t="str">
        <f>IF(L1160="","",
IF(AX1160="PT",VLOOKUP(L1160,Foundation_Calc!$K$79:$R$113,VLOOKUP(AW1160,Foundation_Calc!$I$2:$J$8,2,FALSE),0),
IF(AX1160="K",VLOOKUP(L1160,Foundation_Calc!$K$117:$R$151,VLOOKUP(AW1160,Foundation_Calc!$I$2:$J$8,2,FALSE),0),"")))</f>
        <v/>
      </c>
      <c r="AZ1160" s="10" t="str">
        <f>IF(K1160="","",
IF(AX1160="PT",VLOOKUP(K1160,Foundation_Calc!$K$79:$R$113,VLOOKUP(AW1160,Foundation_Calc!$I$2:$J$8,2,FALSE),0),
IF(AX1160="K",VLOOKUP(K1160,Foundation_Calc!$K$117:$R$151,VLOOKUP(AW1160,Foundation_Calc!$I$2:$J$8,2,FALSE),0),"")))</f>
        <v/>
      </c>
      <c r="BA1160" s="495" t="str">
        <f t="shared" si="127"/>
        <v/>
      </c>
      <c r="BB1160" s="495" t="str">
        <f t="shared" si="128"/>
        <v/>
      </c>
      <c r="BC1160" s="495" t="str">
        <f t="shared" si="129"/>
        <v/>
      </c>
      <c r="BD1160" s="513"/>
      <c r="BE1160" s="429" t="s">
        <v>118</v>
      </c>
      <c r="BF1160" s="289"/>
      <c r="BG1160" s="289"/>
      <c r="BH1160" s="290"/>
      <c r="BI1160" s="289"/>
    </row>
    <row r="1161" spans="1:61" ht="15.6" customHeight="1">
      <c r="A1161" s="517" t="s">
        <v>442</v>
      </c>
      <c r="B1161" s="450"/>
      <c r="C1161" s="3"/>
      <c r="D1161" s="83"/>
      <c r="E1161" s="4"/>
      <c r="F1161" s="4"/>
      <c r="G1161" s="6">
        <v>47</v>
      </c>
      <c r="H1161" s="449"/>
      <c r="I1161" s="4"/>
      <c r="J1161" s="3"/>
      <c r="K1161" s="449"/>
      <c r="L1161" s="449"/>
      <c r="M1161" s="449" t="str">
        <f>IF(L1161="","",
IF(AX1161="PT",VLOOKUP(L1161,Foundation_Calc!$V$79:$X$113,VLOOKUP(AX1161,Foundation_Calc!$I$10:$J$13,2,FALSE),0),
IF(AX1161="K",VLOOKUP(L1161,Foundation_Calc!$V$117:$X$151,VLOOKUP(AX1161,Foundation_Calc!$I$10:$J$13,2,FALSE),0),"")))</f>
        <v/>
      </c>
      <c r="N1161" s="449"/>
      <c r="O1161" s="449"/>
      <c r="P1161" s="449"/>
      <c r="Q1161" s="4"/>
      <c r="R1161" s="6"/>
      <c r="S1161" s="6"/>
      <c r="T1161" s="4"/>
      <c r="U1161" s="4"/>
      <c r="V1161" s="4"/>
      <c r="W1161" s="9"/>
      <c r="X1161" s="9"/>
      <c r="Y1161" s="9"/>
      <c r="Z1161" s="9"/>
      <c r="AA1161" s="9"/>
      <c r="AB1161" s="9"/>
      <c r="AC1161" s="449" t="str">
        <f t="shared" si="126"/>
        <v/>
      </c>
      <c r="AD1161" s="449"/>
      <c r="AE1161" s="449"/>
      <c r="AF1161" s="4"/>
      <c r="AG1161" s="83"/>
      <c r="AH1161" s="4"/>
      <c r="AI1161" s="4"/>
      <c r="AJ1161" s="449"/>
      <c r="AK1161" s="449"/>
      <c r="AL1161" s="449"/>
      <c r="AM1161" s="449"/>
      <c r="AN1161" s="10"/>
      <c r="AO1161" s="9"/>
      <c r="AP1161" s="9"/>
      <c r="AQ1161" s="9">
        <f>+FL_1($T$1162,$T$1160,$G$1161,1200,9.28,-1*$F$1162)</f>
        <v>0.35695465849645375</v>
      </c>
      <c r="AR1161" s="9"/>
      <c r="AS1161" s="9"/>
      <c r="AT1161" s="9"/>
      <c r="AU1161" s="428"/>
      <c r="AV1161" s="428"/>
      <c r="AW1161" s="449"/>
      <c r="AX1161" s="449"/>
      <c r="AY1161" s="10" t="str">
        <f>IF(L1161="","",
IF(AX1161="PT",VLOOKUP(L1161,Foundation_Calc!$K$79:$R$113,VLOOKUP(AW1161,Foundation_Calc!$I$2:$J$8,2,FALSE),0),
IF(AX1161="K",VLOOKUP(L1161,Foundation_Calc!$K$117:$R$151,VLOOKUP(AW1161,Foundation_Calc!$I$2:$J$8,2,FALSE),0),"")))</f>
        <v/>
      </c>
      <c r="AZ1161" s="10" t="str">
        <f>IF(K1161="","",
IF(AX1161="PT",VLOOKUP(K1161,Foundation_Calc!$K$79:$R$113,VLOOKUP(AW1161,Foundation_Calc!$I$2:$J$8,2,FALSE),0),
IF(AX1161="K",VLOOKUP(K1161,Foundation_Calc!$K$117:$R$151,VLOOKUP(AW1161,Foundation_Calc!$I$2:$J$8,2,FALSE),0),"")))</f>
        <v/>
      </c>
      <c r="BA1161" s="495" t="str">
        <f t="shared" si="127"/>
        <v/>
      </c>
      <c r="BB1161" s="495" t="str">
        <f t="shared" si="128"/>
        <v/>
      </c>
      <c r="BC1161" s="495" t="str">
        <f t="shared" si="129"/>
        <v/>
      </c>
      <c r="BD1161" s="513"/>
      <c r="BE1161" s="429" t="s">
        <v>118</v>
      </c>
      <c r="BF1161" s="290"/>
      <c r="BG1161" s="290"/>
      <c r="BH1161" s="290"/>
      <c r="BI1161" s="290"/>
    </row>
    <row r="1162" spans="1:61" ht="15.6" customHeight="1">
      <c r="A1162" s="517" t="s">
        <v>442</v>
      </c>
      <c r="B1162" s="450" t="s">
        <v>859</v>
      </c>
      <c r="C1162" s="3">
        <f>+$C$1160+$G$1161</f>
        <v>58473.919999999991</v>
      </c>
      <c r="D1162" s="83"/>
      <c r="E1162" s="4"/>
      <c r="F1162" s="4">
        <f>IF(C1162&gt;0,VLOOKUP(C1162,'ALIGNMENT TRACK'!$A$1:$K$81,9,1))</f>
        <v>0</v>
      </c>
      <c r="G1162" s="6"/>
      <c r="H1162" s="449"/>
      <c r="I1162" s="4"/>
      <c r="J1162" s="3"/>
      <c r="K1162" s="449"/>
      <c r="L1162" s="449" t="s">
        <v>201</v>
      </c>
      <c r="M1162" s="449" t="str">
        <f>IF(L1162="","",
IF(AX1162="PT",VLOOKUP(L1162,Foundation_Calc!$V$79:$X$113,VLOOKUP(AX1162,Foundation_Calc!$I$10:$J$13,2,FALSE),0),
IF(AX1162="K",VLOOKUP(L1162,Foundation_Calc!$V$117:$X$151,VLOOKUP(AX1162,Foundation_Calc!$I$10:$J$13,2,FALSE),0),"")))</f>
        <v/>
      </c>
      <c r="N1162" s="449" t="s">
        <v>343</v>
      </c>
      <c r="O1162" s="449"/>
      <c r="P1162" s="449"/>
      <c r="Q1162" s="4"/>
      <c r="R1162" s="6"/>
      <c r="S1162" s="6"/>
      <c r="T1162" s="4">
        <v>-35</v>
      </c>
      <c r="U1162" s="4"/>
      <c r="V1162" s="4"/>
      <c r="W1162" s="9">
        <v>1.4</v>
      </c>
      <c r="X1162" s="9"/>
      <c r="Y1162" s="9"/>
      <c r="Z1162" s="9"/>
      <c r="AA1162" s="9"/>
      <c r="AB1162" s="9"/>
      <c r="AC1162" s="449" t="str">
        <f t="shared" si="126"/>
        <v>PHQ</v>
      </c>
      <c r="AD1162" s="449"/>
      <c r="AE1162" s="449"/>
      <c r="AF1162" s="4"/>
      <c r="AG1162" s="83"/>
      <c r="AH1162" s="4"/>
      <c r="AI1162" s="4"/>
      <c r="AJ1162" s="449"/>
      <c r="AK1162" s="449" t="s">
        <v>451</v>
      </c>
      <c r="AL1162" s="449"/>
      <c r="AM1162" s="449"/>
      <c r="AN1162" s="10">
        <v>5.5</v>
      </c>
      <c r="AO1162" s="9"/>
      <c r="AP1162" s="9"/>
      <c r="AQ1162" s="9"/>
      <c r="AR1162" s="9"/>
      <c r="AS1162" s="9"/>
      <c r="AT1162" s="9">
        <f>+ab($T$1162,$T$1160,$T$1164,$G$1161,$G$1163,-1*$F$1162,1200)</f>
        <v>-6.4151781535653143</v>
      </c>
      <c r="AU1162" s="428"/>
      <c r="AV1162" s="428"/>
      <c r="AW1162" s="449" t="s">
        <v>201</v>
      </c>
      <c r="AX1162" s="449" t="s">
        <v>201</v>
      </c>
      <c r="AY1162" s="10" t="str">
        <f>IF(L1162="","",
IF(AX1162="PT",VLOOKUP(L1162,Foundation_Calc!$K$79:$R$113,VLOOKUP(AW1162,Foundation_Calc!$I$2:$J$8,2,FALSE),0),
IF(AX1162="K",VLOOKUP(L1162,Foundation_Calc!$K$117:$R$151,VLOOKUP(AW1162,Foundation_Calc!$I$2:$J$8,2,FALSE),0),"")))</f>
        <v/>
      </c>
      <c r="AZ1162" s="10" t="str">
        <f>IF(K1162="","",
IF(AX1162="PT",VLOOKUP(K1162,Foundation_Calc!$K$79:$R$113,VLOOKUP(AW1162,Foundation_Calc!$I$2:$J$8,2,FALSE),0),
IF(AX1162="K",VLOOKUP(K1162,Foundation_Calc!$K$117:$R$151,VLOOKUP(AW1162,Foundation_Calc!$I$2:$J$8,2,FALSE),0),"")))</f>
        <v/>
      </c>
      <c r="BA1162" s="495" t="str">
        <f t="shared" si="127"/>
        <v/>
      </c>
      <c r="BB1162" s="495" t="str">
        <f t="shared" si="128"/>
        <v/>
      </c>
      <c r="BC1162" s="495" t="str">
        <f t="shared" si="129"/>
        <v/>
      </c>
      <c r="BD1162" s="513"/>
      <c r="BE1162" s="429" t="s">
        <v>118</v>
      </c>
      <c r="BF1162" s="289"/>
      <c r="BG1162" s="289"/>
      <c r="BH1162" s="290"/>
      <c r="BI1162" s="289"/>
    </row>
    <row r="1163" spans="1:61" ht="15.6" customHeight="1">
      <c r="A1163" s="696" t="s">
        <v>853</v>
      </c>
      <c r="B1163" s="697"/>
      <c r="C1163" s="698"/>
      <c r="D1163" s="699"/>
      <c r="E1163" s="700"/>
      <c r="F1163" s="700"/>
      <c r="G1163" s="701">
        <v>47</v>
      </c>
      <c r="H1163" s="702"/>
      <c r="I1163" s="700"/>
      <c r="J1163" s="698">
        <f>C1164-7.5</f>
        <v>58513.419999999991</v>
      </c>
      <c r="K1163" s="702" t="s">
        <v>117</v>
      </c>
      <c r="L1163" s="702"/>
      <c r="M1163" s="702" t="str">
        <f>IF(L1163="","",
IF(AX1163="PT",VLOOKUP(L1163,Foundation_Calc!$V$79:$X$113,VLOOKUP(AX1163,Foundation_Calc!$I$10:$J$13,2,FALSE),0),
IF(AX1163="K",VLOOKUP(L1163,Foundation_Calc!$V$117:$X$151,VLOOKUP(AX1163,Foundation_Calc!$I$10:$J$13,2,FALSE),0),"")))</f>
        <v/>
      </c>
      <c r="N1163" s="702"/>
      <c r="O1163" s="702"/>
      <c r="P1163" s="702"/>
      <c r="Q1163" s="700"/>
      <c r="R1163" s="701"/>
      <c r="S1163" s="701"/>
      <c r="T1163" s="700"/>
      <c r="U1163" s="700"/>
      <c r="V1163" s="700"/>
      <c r="W1163" s="703"/>
      <c r="X1163" s="703"/>
      <c r="Y1163" s="703"/>
      <c r="Z1163" s="703"/>
      <c r="AA1163" s="703"/>
      <c r="AB1163" s="703"/>
      <c r="AC1163" s="702" t="str">
        <f t="shared" ref="AC1163:AC1226" si="133">IF(OR(AT1163&gt;8,AT1163&lt;-8),"PH",
IF(OR(AT1163&gt;5,AT1163&lt;-5),"PHQ",
IF(OR(AT1163&gt;1,AT1163&lt;-1),
"PHC","")))</f>
        <v/>
      </c>
      <c r="AD1163" s="702"/>
      <c r="AE1163" s="702"/>
      <c r="AF1163" s="700"/>
      <c r="AG1163" s="699"/>
      <c r="AH1163" s="700"/>
      <c r="AI1163" s="700"/>
      <c r="AJ1163" s="702"/>
      <c r="AK1163" s="702"/>
      <c r="AL1163" s="702"/>
      <c r="AM1163" s="702"/>
      <c r="AN1163" s="704"/>
      <c r="AO1163" s="703"/>
      <c r="AP1163" s="703"/>
      <c r="AQ1163" s="703">
        <f>+FL_2($T$1164,$T$1162,$G$1163,1200,9.28,-1*$F$1164)</f>
        <v>-0.35695465849645375</v>
      </c>
      <c r="AR1163" s="703"/>
      <c r="AS1163" s="703"/>
      <c r="AT1163" s="703"/>
      <c r="AU1163" s="705"/>
      <c r="AV1163" s="705"/>
      <c r="AW1163" s="702" t="str">
        <f>IF(C1163&gt;0,VLOOKUP(C1163,Foundation_Calc!$A$2:$C$13,3,1),
IF(J1163&gt;0,VLOOKUP(J1163,Foundation_Calc!$A$2:$C$13,3,1),""))</f>
        <v>Multi Soil</v>
      </c>
      <c r="AX1163" s="702" t="str">
        <f>IF(C1163&gt;0,VLOOKUP(C1163,Foundation_Calc!$E$2:$G$33,3,1),
IF(J1163&gt;0,VLOOKUP(J1163,Foundation_Calc!$E$2:$G$33,3,1),""))</f>
        <v>PT</v>
      </c>
      <c r="AY1163" s="704" t="str">
        <f>IF(L1163="","",
IF(AX1163="PT",VLOOKUP(L1163,Foundation_Calc!$K$79:$R$113,VLOOKUP(AW1163,Foundation_Calc!$I$2:$J$8,2,FALSE),0),
IF(AX1163="K",VLOOKUP(L1163,Foundation_Calc!$K$117:$R$151,VLOOKUP(AW1163,Foundation_Calc!$I$2:$J$8,2,FALSE),0),"")))</f>
        <v/>
      </c>
      <c r="AZ1163" s="704">
        <f>IF(K1163="","",
IF(AX1163="PT",VLOOKUP(K1163,Foundation_Calc!$K$79:$R$113,VLOOKUP(AW1163,Foundation_Calc!$I$2:$J$8,2,FALSE),0),
IF(AX1163="K",VLOOKUP(K1163,Foundation_Calc!$K$117:$R$151,VLOOKUP(AW1163,Foundation_Calc!$I$2:$J$8,2,FALSE),0),"")))</f>
        <v>3.9</v>
      </c>
      <c r="BA1163" s="495" t="str">
        <f t="shared" si="127"/>
        <v/>
      </c>
      <c r="BB1163" s="495" t="str">
        <f t="shared" si="128"/>
        <v>ü</v>
      </c>
      <c r="BC1163" s="495" t="str">
        <f t="shared" si="129"/>
        <v/>
      </c>
      <c r="BD1163" s="513"/>
      <c r="BE1163" s="429" t="s">
        <v>118</v>
      </c>
      <c r="BF1163" s="290"/>
      <c r="BG1163" s="290"/>
      <c r="BH1163" s="290"/>
      <c r="BI1163" s="290"/>
    </row>
    <row r="1164" spans="1:61" ht="15.6" customHeight="1">
      <c r="A1164" s="517" t="s">
        <v>442</v>
      </c>
      <c r="B1164" s="450" t="s">
        <v>860</v>
      </c>
      <c r="C1164" s="3">
        <f>+$C$1162+$G$1163</f>
        <v>58520.919999999991</v>
      </c>
      <c r="D1164" s="83"/>
      <c r="E1164" s="4"/>
      <c r="F1164" s="4">
        <f>IF(C1164&gt;0,VLOOKUP(C1164,'ALIGNMENT TRACK'!$A$1:$K$81,9,1))</f>
        <v>0</v>
      </c>
      <c r="G1164" s="6"/>
      <c r="H1164" s="449" t="s">
        <v>121</v>
      </c>
      <c r="I1164" s="4" t="s">
        <v>122</v>
      </c>
      <c r="J1164" s="3"/>
      <c r="K1164" s="449"/>
      <c r="L1164" s="449" t="s">
        <v>852</v>
      </c>
      <c r="M1164" s="449" t="str">
        <f>IF(L1164="","",
IF(AX1164="PT",VLOOKUP(L1164,Foundation_Calc!$V$79:$X$113,VLOOKUP(AX1164,Foundation_Calc!$I$10:$J$13,2,FALSE),0),
IF(AX1164="K",VLOOKUP(L1164,Foundation_Calc!$V$117:$X$151,VLOOKUP(AX1164,Foundation_Calc!$I$10:$J$13,2,FALSE),0),"")))</f>
        <v/>
      </c>
      <c r="N1164" s="449" t="s">
        <v>453</v>
      </c>
      <c r="O1164" s="449"/>
      <c r="P1164" s="449"/>
      <c r="Q1164" s="4"/>
      <c r="R1164" s="6"/>
      <c r="S1164" s="6"/>
      <c r="T1164" s="4">
        <v>35</v>
      </c>
      <c r="U1164" s="4"/>
      <c r="V1164" s="4"/>
      <c r="W1164" s="9">
        <v>1.4</v>
      </c>
      <c r="X1164" s="9"/>
      <c r="Y1164" s="9"/>
      <c r="Z1164" s="9"/>
      <c r="AA1164" s="9"/>
      <c r="AB1164" s="9"/>
      <c r="AC1164" s="449" t="str">
        <f t="shared" si="133"/>
        <v>PHQ</v>
      </c>
      <c r="AD1164" s="449"/>
      <c r="AE1164" s="449"/>
      <c r="AF1164" s="4"/>
      <c r="AG1164" s="83"/>
      <c r="AH1164" s="4"/>
      <c r="AI1164" s="4"/>
      <c r="AJ1164" s="449"/>
      <c r="AK1164" s="449" t="s">
        <v>451</v>
      </c>
      <c r="AL1164" s="449"/>
      <c r="AM1164" s="449"/>
      <c r="AN1164" s="10">
        <v>5.5</v>
      </c>
      <c r="AO1164" s="9"/>
      <c r="AP1164" s="9"/>
      <c r="AQ1164" s="9"/>
      <c r="AR1164" s="9"/>
      <c r="AS1164" s="9"/>
      <c r="AT1164" s="9">
        <f>+ab($T$1164,$T$1162,$U$1166,$G$1163,$G$1165,-1*$F$1164,1200)</f>
        <v>6.4151580778988491</v>
      </c>
      <c r="AU1164" s="428"/>
      <c r="AV1164" s="428"/>
      <c r="AW1164" s="449" t="s">
        <v>201</v>
      </c>
      <c r="AX1164" s="449" t="s">
        <v>201</v>
      </c>
      <c r="AY1164" s="10" t="str">
        <f>IF(L1164="","",
IF(AX1164="PT",VLOOKUP(L1164,Foundation_Calc!$K$79:$R$113,VLOOKUP(AW1164,Foundation_Calc!$I$2:$J$8,2,FALSE),0),
IF(AX1164="K",VLOOKUP(L1164,Foundation_Calc!$K$117:$R$151,VLOOKUP(AW1164,Foundation_Calc!$I$2:$J$8,2,FALSE),0),"")))</f>
        <v/>
      </c>
      <c r="AZ1164" s="10" t="str">
        <f>IF(K1164="","",
IF(AX1164="PT",VLOOKUP(K1164,Foundation_Calc!$K$79:$R$113,VLOOKUP(AW1164,Foundation_Calc!$I$2:$J$8,2,FALSE),0),
IF(AX1164="K",VLOOKUP(K1164,Foundation_Calc!$K$117:$R$151,VLOOKUP(AW1164,Foundation_Calc!$I$2:$J$8,2,FALSE),0),"")))</f>
        <v/>
      </c>
      <c r="BA1164" s="495" t="str">
        <f t="shared" si="127"/>
        <v/>
      </c>
      <c r="BB1164" s="495" t="str">
        <f t="shared" si="128"/>
        <v/>
      </c>
      <c r="BC1164" s="495" t="str">
        <f t="shared" si="129"/>
        <v/>
      </c>
      <c r="BD1164" s="513"/>
      <c r="BE1164" s="429" t="s">
        <v>118</v>
      </c>
      <c r="BF1164" s="289"/>
      <c r="BG1164" s="289"/>
      <c r="BH1164" s="290"/>
      <c r="BI1164" s="289"/>
    </row>
    <row r="1165" spans="1:61" ht="15.6" customHeight="1">
      <c r="A1165" s="732" t="s">
        <v>861</v>
      </c>
      <c r="B1165" s="722"/>
      <c r="C1165" s="723"/>
      <c r="D1165" s="724"/>
      <c r="E1165" s="725"/>
      <c r="F1165" s="725"/>
      <c r="G1165" s="726">
        <v>47</v>
      </c>
      <c r="H1165" s="727"/>
      <c r="I1165" s="725"/>
      <c r="J1165" s="723"/>
      <c r="K1165" s="727"/>
      <c r="L1165" s="727"/>
      <c r="M1165" s="727" t="str">
        <f>IF(L1165="","",
IF(AX1165="PT",VLOOKUP(L1165,Foundation_Calc!$V$79:$X$113,VLOOKUP(AX1165,Foundation_Calc!$I$10:$J$13,2,FALSE),0),
IF(AX1165="K",VLOOKUP(L1165,Foundation_Calc!$V$117:$X$151,VLOOKUP(AX1165,Foundation_Calc!$I$10:$J$13,2,FALSE),0),"")))</f>
        <v/>
      </c>
      <c r="N1165" s="727"/>
      <c r="O1165" s="727"/>
      <c r="P1165" s="727"/>
      <c r="Q1165" s="725"/>
      <c r="R1165" s="726"/>
      <c r="S1165" s="726"/>
      <c r="T1165" s="725"/>
      <c r="U1165" s="725"/>
      <c r="V1165" s="725"/>
      <c r="W1165" s="728"/>
      <c r="X1165" s="728"/>
      <c r="Y1165" s="728"/>
      <c r="Z1165" s="728"/>
      <c r="AA1165" s="728"/>
      <c r="AB1165" s="728"/>
      <c r="AC1165" s="727" t="str">
        <f t="shared" si="133"/>
        <v/>
      </c>
      <c r="AD1165" s="727"/>
      <c r="AE1165" s="727"/>
      <c r="AF1165" s="725"/>
      <c r="AG1165" s="724"/>
      <c r="AH1165" s="725"/>
      <c r="AI1165" s="725"/>
      <c r="AJ1165" s="727"/>
      <c r="AK1165" s="727"/>
      <c r="AL1165" s="727"/>
      <c r="AM1165" s="727"/>
      <c r="AN1165" s="729"/>
      <c r="AO1165" s="728"/>
      <c r="AP1165" s="728"/>
      <c r="AQ1165" s="728">
        <f>+FL_1($U$1166,$T$1164,$G$1165,1200,9.28,-1*$F$1166)</f>
        <v>0.35695465849645375</v>
      </c>
      <c r="AR1165" s="728"/>
      <c r="AS1165" s="728"/>
      <c r="AT1165" s="728"/>
      <c r="AU1165" s="730"/>
      <c r="AV1165" s="730"/>
      <c r="AW1165" s="727"/>
      <c r="AX1165" s="727"/>
      <c r="AY1165" s="729" t="str">
        <f>IF(L1165="","",
IF(AX1165="PT",VLOOKUP(L1165,Foundation_Calc!$K$79:$R$113,VLOOKUP(AW1165,Foundation_Calc!$I$2:$J$8,2,FALSE),0),
IF(AX1165="K",VLOOKUP(L1165,Foundation_Calc!$K$117:$R$151,VLOOKUP(AW1165,Foundation_Calc!$I$2:$J$8,2,FALSE),0),"")))</f>
        <v/>
      </c>
      <c r="AZ1165" s="729" t="str">
        <f>IF(K1165="","",
IF(AX1165="PT",VLOOKUP(K1165,Foundation_Calc!$K$79:$R$113,VLOOKUP(AW1165,Foundation_Calc!$I$2:$J$8,2,FALSE),0),
IF(AX1165="K",VLOOKUP(K1165,Foundation_Calc!$K$117:$R$151,VLOOKUP(AW1165,Foundation_Calc!$I$2:$J$8,2,FALSE),0),"")))</f>
        <v/>
      </c>
      <c r="BA1165" s="495" t="str">
        <f t="shared" si="127"/>
        <v/>
      </c>
      <c r="BB1165" s="495" t="str">
        <f t="shared" si="128"/>
        <v/>
      </c>
      <c r="BC1165" s="495" t="str">
        <f t="shared" si="129"/>
        <v/>
      </c>
      <c r="BD1165" s="513"/>
      <c r="BE1165" s="429" t="s">
        <v>118</v>
      </c>
      <c r="BF1165" s="290"/>
      <c r="BG1165" s="290"/>
      <c r="BH1165" s="290"/>
      <c r="BI1165" s="290"/>
    </row>
    <row r="1166" spans="1:61" ht="15.6" customHeight="1">
      <c r="A1166" s="518" t="s">
        <v>438</v>
      </c>
      <c r="B1166" s="450" t="s">
        <v>862</v>
      </c>
      <c r="C1166" s="3">
        <f>+$C$1164+$G$1165</f>
        <v>58567.919999999991</v>
      </c>
      <c r="D1166" s="83"/>
      <c r="E1166" s="4"/>
      <c r="F1166" s="4">
        <f>IF(C1166&gt;0,VLOOKUP(C1166,'ALIGNMENT TRACK'!$A$1:$K$81,9,1))</f>
        <v>0</v>
      </c>
      <c r="G1166" s="6"/>
      <c r="H1166" s="449" t="s">
        <v>131</v>
      </c>
      <c r="I1166" s="4"/>
      <c r="J1166" s="3"/>
      <c r="K1166" s="449"/>
      <c r="L1166" s="449" t="s">
        <v>201</v>
      </c>
      <c r="M1166" s="449" t="str">
        <f>IF(L1166="","",
IF(AX1166="PT",VLOOKUP(L1166,Foundation_Calc!$V$79:$X$113,VLOOKUP(AX1166,Foundation_Calc!$I$10:$J$13,2,FALSE),0),
IF(AX1166="K",VLOOKUP(L1166,Foundation_Calc!$V$117:$X$151,VLOOKUP(AX1166,Foundation_Calc!$I$10:$J$13,2,FALSE),0),"")))</f>
        <v/>
      </c>
      <c r="N1166" s="449" t="s">
        <v>840</v>
      </c>
      <c r="O1166" s="449" t="s">
        <v>343</v>
      </c>
      <c r="P1166" s="449"/>
      <c r="Q1166" s="4"/>
      <c r="R1166" s="6"/>
      <c r="S1166" s="6"/>
      <c r="T1166" s="4">
        <v>-15</v>
      </c>
      <c r="U1166" s="4">
        <v>-35</v>
      </c>
      <c r="V1166" s="4"/>
      <c r="W1166" s="9">
        <v>1.4</v>
      </c>
      <c r="X1166" s="9">
        <v>2.2999999999999998</v>
      </c>
      <c r="Y1166" s="9"/>
      <c r="Z1166" s="9">
        <v>0.4</v>
      </c>
      <c r="AA1166" s="9"/>
      <c r="AB1166" s="9"/>
      <c r="AC1166" s="449"/>
      <c r="AD1166" s="449"/>
      <c r="AE1166" s="449"/>
      <c r="AF1166" s="4"/>
      <c r="AG1166" s="83"/>
      <c r="AH1166" s="4"/>
      <c r="AI1166" s="4"/>
      <c r="AJ1166" s="449"/>
      <c r="AK1166" s="449" t="s">
        <v>841</v>
      </c>
      <c r="AL1166" s="449"/>
      <c r="AM1166" s="449"/>
      <c r="AN1166" s="10">
        <v>5.5</v>
      </c>
      <c r="AO1166" s="9"/>
      <c r="AP1166" s="9"/>
      <c r="AQ1166" s="9"/>
      <c r="AR1166" s="9"/>
      <c r="AS1166" s="9"/>
      <c r="AT1166" s="9">
        <f>+ab($U$1166,$T$1164,$U$1168,$G$1165,$G$1167,-1*$F$1166,1200)</f>
        <v>-7.4731410959763105</v>
      </c>
      <c r="AU1166" s="428"/>
      <c r="AV1166" s="428"/>
      <c r="AW1166" s="449" t="s">
        <v>201</v>
      </c>
      <c r="AX1166" s="449" t="s">
        <v>201</v>
      </c>
      <c r="AY1166" s="10" t="str">
        <f>IF(L1166="","",
IF(AX1166="PT",VLOOKUP(L1166,Foundation_Calc!$K$79:$R$113,VLOOKUP(AW1166,Foundation_Calc!$I$2:$J$8,2,FALSE),0),
IF(AX1166="K",VLOOKUP(L1166,Foundation_Calc!$K$117:$R$151,VLOOKUP(AW1166,Foundation_Calc!$I$2:$J$8,2,FALSE),0),"")))</f>
        <v/>
      </c>
      <c r="AZ1166" s="10" t="str">
        <f>IF(K1166="","",
IF(AX1166="PT",VLOOKUP(K1166,Foundation_Calc!$K$79:$R$113,VLOOKUP(AW1166,Foundation_Calc!$I$2:$J$8,2,FALSE),0),
IF(AX1166="K",VLOOKUP(K1166,Foundation_Calc!$K$117:$R$151,VLOOKUP(AW1166,Foundation_Calc!$I$2:$J$8,2,FALSE),0),"")))</f>
        <v/>
      </c>
      <c r="BA1166" s="495" t="str">
        <f t="shared" si="127"/>
        <v/>
      </c>
      <c r="BB1166" s="495" t="str">
        <f t="shared" si="128"/>
        <v/>
      </c>
      <c r="BC1166" s="495" t="str">
        <f t="shared" si="129"/>
        <v/>
      </c>
      <c r="BD1166" s="513"/>
      <c r="BE1166" s="429" t="s">
        <v>118</v>
      </c>
      <c r="BF1166" s="289"/>
      <c r="BG1166" s="289"/>
      <c r="BH1166" s="290"/>
      <c r="BI1166" s="289"/>
    </row>
    <row r="1167" spans="1:61" ht="15.6" customHeight="1">
      <c r="A1167" s="517" t="s">
        <v>442</v>
      </c>
      <c r="B1167" s="450"/>
      <c r="C1167" s="3"/>
      <c r="D1167" s="83"/>
      <c r="E1167" s="4"/>
      <c r="F1167" s="4"/>
      <c r="G1167" s="6">
        <v>47</v>
      </c>
      <c r="H1167" s="449"/>
      <c r="I1167" s="4"/>
      <c r="J1167" s="3"/>
      <c r="K1167" s="449"/>
      <c r="L1167" s="449"/>
      <c r="M1167" s="449" t="str">
        <f>IF(L1167="","",
IF(AX1167="PT",VLOOKUP(L1167,Foundation_Calc!$V$79:$X$113,VLOOKUP(AX1167,Foundation_Calc!$I$10:$J$13,2,FALSE),0),
IF(AX1167="K",VLOOKUP(L1167,Foundation_Calc!$V$117:$X$151,VLOOKUP(AX1167,Foundation_Calc!$I$10:$J$13,2,FALSE),0),"")))</f>
        <v/>
      </c>
      <c r="N1167" s="449"/>
      <c r="O1167" s="449"/>
      <c r="P1167" s="449"/>
      <c r="Q1167" s="4"/>
      <c r="R1167" s="6"/>
      <c r="S1167" s="6"/>
      <c r="T1167" s="4"/>
      <c r="U1167" s="4"/>
      <c r="V1167" s="4"/>
      <c r="W1167" s="9"/>
      <c r="X1167" s="9"/>
      <c r="Y1167" s="9"/>
      <c r="Z1167" s="9"/>
      <c r="AA1167" s="9"/>
      <c r="AB1167" s="9"/>
      <c r="AC1167" s="449" t="str">
        <f t="shared" si="133"/>
        <v/>
      </c>
      <c r="AD1167" s="449"/>
      <c r="AE1167" s="449"/>
      <c r="AF1167" s="4"/>
      <c r="AG1167" s="83"/>
      <c r="AH1167" s="4"/>
      <c r="AI1167" s="4"/>
      <c r="AJ1167" s="449"/>
      <c r="AK1167" s="449"/>
      <c r="AL1167" s="449"/>
      <c r="AM1167" s="449"/>
      <c r="AN1167" s="10"/>
      <c r="AO1167" s="9"/>
      <c r="AP1167" s="9"/>
      <c r="AQ1167" s="9">
        <f>+FL_2($T$1168,$U$1166,$G$1167,1200,9.28,-1*$F$1168)</f>
        <v>-0.35695465849645375</v>
      </c>
      <c r="AR1167" s="9"/>
      <c r="AS1167" s="9"/>
      <c r="AT1167" s="9"/>
      <c r="AU1167" s="428"/>
      <c r="AV1167" s="428"/>
      <c r="AW1167" s="449"/>
      <c r="AX1167" s="449"/>
      <c r="AY1167" s="10" t="str">
        <f>IF(L1167="","",
IF(AX1167="PT",VLOOKUP(L1167,Foundation_Calc!$K$79:$R$113,VLOOKUP(AW1167,Foundation_Calc!$I$2:$J$8,2,FALSE),0),
IF(AX1167="K",VLOOKUP(L1167,Foundation_Calc!$K$117:$R$151,VLOOKUP(AW1167,Foundation_Calc!$I$2:$J$8,2,FALSE),0),"")))</f>
        <v/>
      </c>
      <c r="AZ1167" s="10" t="str">
        <f>IF(K1167="","",
IF(AX1167="PT",VLOOKUP(K1167,Foundation_Calc!$K$79:$R$113,VLOOKUP(AW1167,Foundation_Calc!$I$2:$J$8,2,FALSE),0),
IF(AX1167="K",VLOOKUP(K1167,Foundation_Calc!$K$117:$R$151,VLOOKUP(AW1167,Foundation_Calc!$I$2:$J$8,2,FALSE),0),"")))</f>
        <v/>
      </c>
      <c r="BA1167" s="495" t="str">
        <f t="shared" si="127"/>
        <v/>
      </c>
      <c r="BB1167" s="495" t="str">
        <f t="shared" si="128"/>
        <v/>
      </c>
      <c r="BC1167" s="495" t="str">
        <f t="shared" si="129"/>
        <v/>
      </c>
      <c r="BD1167" s="513"/>
      <c r="BE1167" s="429" t="s">
        <v>118</v>
      </c>
      <c r="BF1167" s="290"/>
      <c r="BG1167" s="290"/>
      <c r="BH1167" s="290"/>
      <c r="BI1167" s="290"/>
    </row>
    <row r="1168" spans="1:61" ht="15.6" customHeight="1">
      <c r="A1168" s="517" t="s">
        <v>442</v>
      </c>
      <c r="B1168" s="450" t="s">
        <v>863</v>
      </c>
      <c r="C1168" s="3">
        <f>+$C$1166+$G$1167</f>
        <v>58614.919999999991</v>
      </c>
      <c r="D1168" s="83"/>
      <c r="E1168" s="4"/>
      <c r="F1168" s="4">
        <f>IF(C1168&gt;0,VLOOKUP(C1168,'ALIGNMENT TRACK'!$A$1:$K$81,9,1))</f>
        <v>0</v>
      </c>
      <c r="G1168" s="6"/>
      <c r="H1168" s="449" t="s">
        <v>131</v>
      </c>
      <c r="I1168" s="4"/>
      <c r="J1168" s="3"/>
      <c r="K1168" s="449"/>
      <c r="L1168" s="449" t="s">
        <v>201</v>
      </c>
      <c r="M1168" s="449" t="str">
        <f>IF(L1168="","",
IF(AX1168="PT",VLOOKUP(L1168,Foundation_Calc!$V$79:$X$113,VLOOKUP(AX1168,Foundation_Calc!$I$10:$J$13,2,FALSE),0),
IF(AX1168="K",VLOOKUP(L1168,Foundation_Calc!$V$117:$X$151,VLOOKUP(AX1168,Foundation_Calc!$I$10:$J$13,2,FALSE),0),"")))</f>
        <v/>
      </c>
      <c r="N1168" s="449" t="s">
        <v>453</v>
      </c>
      <c r="O1168" s="449" t="s">
        <v>840</v>
      </c>
      <c r="P1168" s="449"/>
      <c r="Q1168" s="4"/>
      <c r="R1168" s="6"/>
      <c r="S1168" s="6"/>
      <c r="T1168" s="4">
        <v>35</v>
      </c>
      <c r="U1168" s="4">
        <v>15</v>
      </c>
      <c r="V1168" s="4"/>
      <c r="W1168" s="9">
        <v>1.4</v>
      </c>
      <c r="X1168" s="9">
        <v>2.2999999999999998</v>
      </c>
      <c r="Y1168" s="9"/>
      <c r="Z1168" s="9"/>
      <c r="AA1168" s="9">
        <v>0.4</v>
      </c>
      <c r="AB1168" s="9"/>
      <c r="AC1168" s="449" t="str">
        <f t="shared" si="133"/>
        <v>PHQ</v>
      </c>
      <c r="AD1168" s="449"/>
      <c r="AE1168" s="449"/>
      <c r="AF1168" s="4"/>
      <c r="AG1168" s="83"/>
      <c r="AH1168" s="4"/>
      <c r="AI1168" s="4"/>
      <c r="AJ1168" s="449"/>
      <c r="AK1168" s="449" t="s">
        <v>841</v>
      </c>
      <c r="AL1168" s="449"/>
      <c r="AM1168" s="449"/>
      <c r="AN1168" s="10">
        <v>5.5</v>
      </c>
      <c r="AO1168" s="9"/>
      <c r="AP1168" s="9"/>
      <c r="AQ1168" s="9"/>
      <c r="AR1168" s="9"/>
      <c r="AS1168" s="9"/>
      <c r="AT1168" s="9">
        <f>+ab($T$1168,$T$1166,$T$1170,$G$1167,$G$1169,-1*$F$1168,1200)</f>
        <v>7.1514011186927329</v>
      </c>
      <c r="AU1168" s="428"/>
      <c r="AV1168" s="428"/>
      <c r="AW1168" s="449" t="s">
        <v>201</v>
      </c>
      <c r="AX1168" s="449" t="s">
        <v>201</v>
      </c>
      <c r="AY1168" s="10" t="str">
        <f>IF(L1168="","",
IF(AX1168="PT",VLOOKUP(L1168,Foundation_Calc!$K$79:$R$113,VLOOKUP(AW1168,Foundation_Calc!$I$2:$J$8,2,FALSE),0),
IF(AX1168="K",VLOOKUP(L1168,Foundation_Calc!$K$117:$R$151,VLOOKUP(AW1168,Foundation_Calc!$I$2:$J$8,2,FALSE),0),"")))</f>
        <v/>
      </c>
      <c r="AZ1168" s="10" t="str">
        <f>IF(K1168="","",
IF(AX1168="PT",VLOOKUP(K1168,Foundation_Calc!$K$79:$R$113,VLOOKUP(AW1168,Foundation_Calc!$I$2:$J$8,2,FALSE),0),
IF(AX1168="K",VLOOKUP(K1168,Foundation_Calc!$K$117:$R$151,VLOOKUP(AW1168,Foundation_Calc!$I$2:$J$8,2,FALSE),0),"")))</f>
        <v/>
      </c>
      <c r="BA1168" s="495" t="str">
        <f t="shared" si="127"/>
        <v/>
      </c>
      <c r="BB1168" s="495" t="str">
        <f t="shared" si="128"/>
        <v/>
      </c>
      <c r="BC1168" s="495" t="str">
        <f t="shared" si="129"/>
        <v/>
      </c>
      <c r="BD1168" s="513"/>
      <c r="BE1168" s="429" t="s">
        <v>118</v>
      </c>
      <c r="BF1168" s="289"/>
      <c r="BG1168" s="289"/>
      <c r="BH1168" s="290"/>
      <c r="BI1168" s="289"/>
    </row>
    <row r="1169" spans="1:61" ht="15.6" customHeight="1">
      <c r="A1169" s="517" t="s">
        <v>442</v>
      </c>
      <c r="B1169" s="450"/>
      <c r="C1169" s="3"/>
      <c r="D1169" s="83"/>
      <c r="E1169" s="4"/>
      <c r="F1169" s="4"/>
      <c r="G1169" s="6">
        <v>43.6</v>
      </c>
      <c r="H1169" s="449"/>
      <c r="I1169" s="4"/>
      <c r="J1169" s="3"/>
      <c r="K1169" s="449"/>
      <c r="L1169" s="449"/>
      <c r="M1169" s="449" t="str">
        <f>IF(L1169="","",
IF(AX1169="PT",VLOOKUP(L1169,Foundation_Calc!$V$79:$X$113,VLOOKUP(AX1169,Foundation_Calc!$I$10:$J$13,2,FALSE),0),
IF(AX1169="K",VLOOKUP(L1169,Foundation_Calc!$V$117:$X$151,VLOOKUP(AX1169,Foundation_Calc!$I$10:$J$13,2,FALSE),0),"")))</f>
        <v/>
      </c>
      <c r="N1169" s="449"/>
      <c r="O1169" s="449"/>
      <c r="P1169" s="449"/>
      <c r="Q1169" s="4"/>
      <c r="R1169" s="6"/>
      <c r="S1169" s="6"/>
      <c r="T1169" s="4"/>
      <c r="U1169" s="4"/>
      <c r="V1169" s="4"/>
      <c r="W1169" s="9"/>
      <c r="X1169" s="9"/>
      <c r="Y1169" s="9"/>
      <c r="Z1169" s="9"/>
      <c r="AA1169" s="9"/>
      <c r="AB1169" s="9"/>
      <c r="AC1169" s="449" t="str">
        <f t="shared" si="133"/>
        <v/>
      </c>
      <c r="AD1169" s="449"/>
      <c r="AE1169" s="449"/>
      <c r="AF1169" s="4"/>
      <c r="AG1169" s="83"/>
      <c r="AH1169" s="4"/>
      <c r="AI1169" s="4"/>
      <c r="AJ1169" s="449"/>
      <c r="AK1169" s="449"/>
      <c r="AL1169" s="449"/>
      <c r="AM1169" s="449"/>
      <c r="AN1169" s="10"/>
      <c r="AO1169" s="9"/>
      <c r="AP1169" s="9"/>
      <c r="AQ1169" s="9">
        <f>+FL_1($T$1170,$T$1168,$G$1169,1200,9.28,-1*$F$1170)</f>
        <v>0.35041754696024452</v>
      </c>
      <c r="AR1169" s="9"/>
      <c r="AS1169" s="9"/>
      <c r="AT1169" s="9"/>
      <c r="AU1169" s="428"/>
      <c r="AV1169" s="428"/>
      <c r="AW1169" s="449"/>
      <c r="AX1169" s="449"/>
      <c r="AY1169" s="10" t="str">
        <f>IF(L1169="","",
IF(AX1169="PT",VLOOKUP(L1169,Foundation_Calc!$K$79:$R$113,VLOOKUP(AW1169,Foundation_Calc!$I$2:$J$8,2,FALSE),0),
IF(AX1169="K",VLOOKUP(L1169,Foundation_Calc!$K$117:$R$151,VLOOKUP(AW1169,Foundation_Calc!$I$2:$J$8,2,FALSE),0),"")))</f>
        <v/>
      </c>
      <c r="AZ1169" s="10" t="str">
        <f>IF(K1169="","",
IF(AX1169="PT",VLOOKUP(K1169,Foundation_Calc!$K$79:$R$113,VLOOKUP(AW1169,Foundation_Calc!$I$2:$J$8,2,FALSE),0),
IF(AX1169="K",VLOOKUP(K1169,Foundation_Calc!$K$117:$R$151,VLOOKUP(AW1169,Foundation_Calc!$I$2:$J$8,2,FALSE),0),"")))</f>
        <v/>
      </c>
      <c r="BA1169" s="495" t="str">
        <f t="shared" si="127"/>
        <v/>
      </c>
      <c r="BB1169" s="495" t="str">
        <f t="shared" si="128"/>
        <v/>
      </c>
      <c r="BC1169" s="495" t="str">
        <f t="shared" si="129"/>
        <v/>
      </c>
      <c r="BD1169" s="513"/>
      <c r="BE1169" s="429" t="s">
        <v>118</v>
      </c>
      <c r="BF1169" s="290"/>
      <c r="BG1169" s="290"/>
      <c r="BH1169" s="290"/>
      <c r="BI1169" s="290"/>
    </row>
    <row r="1170" spans="1:61" ht="15.6" customHeight="1">
      <c r="A1170" s="517" t="s">
        <v>442</v>
      </c>
      <c r="B1170" s="450" t="s">
        <v>864</v>
      </c>
      <c r="C1170" s="3">
        <f>+$C$1168+$G$1169</f>
        <v>58658.51999999999</v>
      </c>
      <c r="D1170" s="83"/>
      <c r="E1170" s="4"/>
      <c r="F1170" s="4">
        <f>IF(C1170&gt;0,VLOOKUP(C1170,'ALIGNMENT TRACK'!$A$1:$K$81,9,1))</f>
        <v>0</v>
      </c>
      <c r="G1170" s="6"/>
      <c r="H1170" s="449" t="s">
        <v>121</v>
      </c>
      <c r="I1170" s="4" t="s">
        <v>122</v>
      </c>
      <c r="J1170" s="3"/>
      <c r="K1170" s="449"/>
      <c r="L1170" s="449" t="s">
        <v>852</v>
      </c>
      <c r="M1170" s="449" t="str">
        <f>IF(L1170="","",
IF(AX1170="PT",VLOOKUP(L1170,Foundation_Calc!$V$79:$X$113,VLOOKUP(AX1170,Foundation_Calc!$I$10:$J$13,2,FALSE),0),
IF(AX1170="K",VLOOKUP(L1170,Foundation_Calc!$V$117:$X$151,VLOOKUP(AX1170,Foundation_Calc!$I$10:$J$13,2,FALSE),0),"")))</f>
        <v/>
      </c>
      <c r="N1170" s="449" t="s">
        <v>343</v>
      </c>
      <c r="O1170" s="449"/>
      <c r="P1170" s="449"/>
      <c r="Q1170" s="4"/>
      <c r="R1170" s="6"/>
      <c r="S1170" s="6"/>
      <c r="T1170" s="4">
        <v>-35</v>
      </c>
      <c r="U1170" s="4"/>
      <c r="V1170" s="4"/>
      <c r="W1170" s="9">
        <v>1.4</v>
      </c>
      <c r="X1170" s="9"/>
      <c r="Y1170" s="9"/>
      <c r="Z1170" s="9"/>
      <c r="AA1170" s="9"/>
      <c r="AB1170" s="9"/>
      <c r="AC1170" s="449" t="str">
        <f t="shared" si="133"/>
        <v>PH</v>
      </c>
      <c r="AD1170" s="449"/>
      <c r="AE1170" s="449"/>
      <c r="AF1170" s="4"/>
      <c r="AG1170" s="83"/>
      <c r="AH1170" s="4"/>
      <c r="AI1170" s="4"/>
      <c r="AJ1170" s="449"/>
      <c r="AK1170" s="449" t="s">
        <v>451</v>
      </c>
      <c r="AL1170" s="449"/>
      <c r="AM1170" s="449"/>
      <c r="AN1170" s="10">
        <v>5.5</v>
      </c>
      <c r="AO1170" s="9"/>
      <c r="AP1170" s="9"/>
      <c r="AQ1170" s="9"/>
      <c r="AR1170" s="9"/>
      <c r="AS1170" s="9"/>
      <c r="AT1170" s="9">
        <f>+ab($T$1170,$T$1168,$T$1172,$G$1169,$G$1171,-1*$F$1170,1200)</f>
        <v>-11.783222407961645</v>
      </c>
      <c r="AU1170" s="428"/>
      <c r="AV1170" s="428"/>
      <c r="AW1170" s="449" t="s">
        <v>201</v>
      </c>
      <c r="AX1170" s="449" t="s">
        <v>201</v>
      </c>
      <c r="AY1170" s="10" t="str">
        <f>IF(L1170="","",
IF(AX1170="PT",VLOOKUP(L1170,Foundation_Calc!$K$79:$R$113,VLOOKUP(AW1170,Foundation_Calc!$I$2:$J$8,2,FALSE),0),
IF(AX1170="K",VLOOKUP(L1170,Foundation_Calc!$K$117:$R$151,VLOOKUP(AW1170,Foundation_Calc!$I$2:$J$8,2,FALSE),0),"")))</f>
        <v/>
      </c>
      <c r="AZ1170" s="10" t="str">
        <f>IF(K1170="","",
IF(AX1170="PT",VLOOKUP(K1170,Foundation_Calc!$K$79:$R$113,VLOOKUP(AW1170,Foundation_Calc!$I$2:$J$8,2,FALSE),0),
IF(AX1170="K",VLOOKUP(K1170,Foundation_Calc!$K$117:$R$151,VLOOKUP(AW1170,Foundation_Calc!$I$2:$J$8,2,FALSE),0),"")))</f>
        <v/>
      </c>
      <c r="BA1170" s="495" t="str">
        <f t="shared" si="127"/>
        <v/>
      </c>
      <c r="BB1170" s="495" t="str">
        <f t="shared" si="128"/>
        <v/>
      </c>
      <c r="BC1170" s="495" t="str">
        <f t="shared" si="129"/>
        <v/>
      </c>
      <c r="BD1170" s="513"/>
      <c r="BE1170" s="429" t="s">
        <v>118</v>
      </c>
      <c r="BF1170" s="289"/>
      <c r="BG1170" s="289"/>
      <c r="BH1170" s="290"/>
      <c r="BI1170" s="289"/>
    </row>
    <row r="1171" spans="1:61" ht="15.6" customHeight="1">
      <c r="A1171" s="696" t="s">
        <v>853</v>
      </c>
      <c r="B1171" s="697"/>
      <c r="C1171" s="698"/>
      <c r="D1171" s="699"/>
      <c r="E1171" s="700"/>
      <c r="F1171" s="700"/>
      <c r="G1171" s="701">
        <v>43</v>
      </c>
      <c r="H1171" s="702"/>
      <c r="I1171" s="700"/>
      <c r="J1171" s="698">
        <f>C1170+7.5</f>
        <v>58666.01999999999</v>
      </c>
      <c r="K1171" s="702" t="s">
        <v>117</v>
      </c>
      <c r="L1171" s="702"/>
      <c r="M1171" s="702" t="str">
        <f>IF(L1171="","",
IF(AX1171="PT",VLOOKUP(L1171,Foundation_Calc!$V$79:$X$113,VLOOKUP(AX1171,Foundation_Calc!$I$10:$J$13,2,FALSE),0),
IF(AX1171="K",VLOOKUP(L1171,Foundation_Calc!$V$117:$X$151,VLOOKUP(AX1171,Foundation_Calc!$I$10:$J$13,2,FALSE),0),"")))</f>
        <v/>
      </c>
      <c r="N1171" s="702"/>
      <c r="O1171" s="702"/>
      <c r="P1171" s="702"/>
      <c r="Q1171" s="700"/>
      <c r="R1171" s="701"/>
      <c r="S1171" s="701"/>
      <c r="T1171" s="700"/>
      <c r="U1171" s="700"/>
      <c r="V1171" s="700"/>
      <c r="W1171" s="703"/>
      <c r="X1171" s="703"/>
      <c r="Y1171" s="703"/>
      <c r="Z1171" s="703"/>
      <c r="AA1171" s="703"/>
      <c r="AB1171" s="703"/>
      <c r="AC1171" s="702" t="str">
        <f t="shared" si="133"/>
        <v/>
      </c>
      <c r="AD1171" s="702"/>
      <c r="AE1171" s="702"/>
      <c r="AF1171" s="700"/>
      <c r="AG1171" s="699"/>
      <c r="AH1171" s="700"/>
      <c r="AI1171" s="700"/>
      <c r="AJ1171" s="702"/>
      <c r="AK1171" s="702"/>
      <c r="AL1171" s="702"/>
      <c r="AM1171" s="702"/>
      <c r="AN1171" s="704"/>
      <c r="AO1171" s="703"/>
      <c r="AP1171" s="703"/>
      <c r="AQ1171" s="703">
        <f>+FL_2(-$T$1172,$T$1170,$G$1171,1200,9.28,-1*$F$1172)</f>
        <v>-0.35007811860465121</v>
      </c>
      <c r="AR1171" s="703"/>
      <c r="AS1171" s="703"/>
      <c r="AT1171" s="703"/>
      <c r="AU1171" s="705"/>
      <c r="AV1171" s="705"/>
      <c r="AW1171" s="702" t="str">
        <f>IF(C1171&gt;0,VLOOKUP(C1171,Foundation_Calc!$A$2:$C$13,3,1),
IF(J1171&gt;0,VLOOKUP(J1171,Foundation_Calc!$A$2:$C$13,3,1),""))</f>
        <v>Multi Soil</v>
      </c>
      <c r="AX1171" s="702" t="str">
        <f>IF(C1171&gt;0,VLOOKUP(C1171,Foundation_Calc!$E$2:$G$33,3,1),
IF(J1171&gt;0,VLOOKUP(J1171,Foundation_Calc!$E$2:$G$33,3,1),""))</f>
        <v>PT</v>
      </c>
      <c r="AY1171" s="704" t="str">
        <f>IF(L1171="","",
IF(AX1171="PT",VLOOKUP(L1171,Foundation_Calc!$K$79:$R$113,VLOOKUP(AW1171,Foundation_Calc!$I$2:$J$8,2,FALSE),0),
IF(AX1171="K",VLOOKUP(L1171,Foundation_Calc!$K$117:$R$151,VLOOKUP(AW1171,Foundation_Calc!$I$2:$J$8,2,FALSE),0),"")))</f>
        <v/>
      </c>
      <c r="AZ1171" s="704">
        <f>IF(K1171="","",
IF(AX1171="PT",VLOOKUP(K1171,Foundation_Calc!$K$79:$R$113,VLOOKUP(AW1171,Foundation_Calc!$I$2:$J$8,2,FALSE),0),
IF(AX1171="K",VLOOKUP(K1171,Foundation_Calc!$K$117:$R$151,VLOOKUP(AW1171,Foundation_Calc!$I$2:$J$8,2,FALSE),0),"")))</f>
        <v>3.9</v>
      </c>
      <c r="BA1171" s="495" t="str">
        <f t="shared" ref="BA1171" si="134">IF(AY1171="","",IF(AY1171&gt;0,"ü",""))</f>
        <v/>
      </c>
      <c r="BB1171" s="495" t="str">
        <f t="shared" ref="BB1171" si="135">IF(AZ1171="","",IF(AZ1171&gt;0,"ü",""))</f>
        <v>ü</v>
      </c>
      <c r="BC1171" s="495" t="str">
        <f t="shared" ref="BC1171" si="136">IF(M1171="","",IF(M1171="U.S.","ü",IF(M1171="U.S. N.D.","ü","")))</f>
        <v/>
      </c>
      <c r="BD1171" s="513" t="str">
        <f>IF(AND(L1171="",H1171=""),"",
IF(H1171="",Pole_Calc!A$9,
IF(H1171="MP",Pole_Calc!A$10,
IF(H1171="AnMP",Pole_Calc!A$11,
IF(H1171="A",Pole_Calc!A$12,
IF(H1171="S/A",Pole_Calc!A$13,
IF(H1171="A/S",Pole_Calc!A$14,"Poner a mano")))))))</f>
        <v/>
      </c>
      <c r="BE1171" s="429" t="s">
        <v>118</v>
      </c>
      <c r="BF1171" s="290"/>
      <c r="BG1171" s="290"/>
      <c r="BH1171" s="290"/>
      <c r="BI1171" s="290"/>
    </row>
    <row r="1172" spans="1:61" ht="15.6" customHeight="1">
      <c r="A1172" s="517" t="s">
        <v>442</v>
      </c>
      <c r="B1172" s="450" t="s">
        <v>865</v>
      </c>
      <c r="C1172" s="3">
        <f>+$C$1170+$G$1171</f>
        <v>58701.51999999999</v>
      </c>
      <c r="D1172" s="83"/>
      <c r="E1172" s="4"/>
      <c r="F1172" s="4">
        <f>IF(C1172&gt;0,VLOOKUP(C1172,'ALIGNMENT TRACK'!$A$1:$K$81,9,1))</f>
        <v>0</v>
      </c>
      <c r="G1172" s="6"/>
      <c r="H1172" s="449"/>
      <c r="I1172" s="4"/>
      <c r="J1172" s="3"/>
      <c r="K1172" s="449"/>
      <c r="L1172" s="449" t="s">
        <v>201</v>
      </c>
      <c r="M1172" s="449" t="str">
        <f>IF(L1172="","",
IF(AX1172="PT",VLOOKUP(L1172,Foundation_Calc!$V$79:$X$113,VLOOKUP(AX1172,Foundation_Calc!$I$10:$J$13,2,FALSE),0),
IF(AX1172="K",VLOOKUP(L1172,Foundation_Calc!$V$117:$X$151,VLOOKUP(AX1172,Foundation_Calc!$I$10:$J$13,2,FALSE),0),"")))</f>
        <v/>
      </c>
      <c r="N1172" s="575" t="s">
        <v>343</v>
      </c>
      <c r="O1172" s="553"/>
      <c r="P1172" s="449"/>
      <c r="Q1172" s="4"/>
      <c r="R1172" s="6"/>
      <c r="S1172" s="6"/>
      <c r="T1172" s="4">
        <v>-35</v>
      </c>
      <c r="U1172" s="4"/>
      <c r="V1172" s="4"/>
      <c r="W1172" s="9">
        <v>1.4</v>
      </c>
      <c r="X1172" s="9"/>
      <c r="Y1172" s="9"/>
      <c r="Z1172" s="9"/>
      <c r="AA1172" s="9"/>
      <c r="AB1172" s="9"/>
      <c r="AC1172" s="449" t="str">
        <f t="shared" si="133"/>
        <v>PH</v>
      </c>
      <c r="AD1172" s="449"/>
      <c r="AE1172" s="449"/>
      <c r="AF1172" s="4"/>
      <c r="AG1172" s="83"/>
      <c r="AH1172" s="4"/>
      <c r="AI1172" s="4"/>
      <c r="AJ1172" s="449"/>
      <c r="AK1172" s="449" t="s">
        <v>451</v>
      </c>
      <c r="AL1172" s="449"/>
      <c r="AM1172" s="449"/>
      <c r="AN1172" s="10">
        <v>5.5</v>
      </c>
      <c r="AO1172" s="9"/>
      <c r="AP1172" s="9"/>
      <c r="AQ1172" s="9"/>
      <c r="AR1172" s="9"/>
      <c r="AS1172" s="9"/>
      <c r="AT1172" s="9">
        <f>+ab($T$1172,-$T$1170,$T$1174,$G$1171,$G$1173,-1*$F$1172,1200)</f>
        <v>-11.625509392051017</v>
      </c>
      <c r="AU1172" s="428"/>
      <c r="AV1172" s="428"/>
      <c r="AW1172" s="449" t="s">
        <v>201</v>
      </c>
      <c r="AX1172" s="449" t="s">
        <v>201</v>
      </c>
      <c r="AY1172" s="10" t="str">
        <f>IF(L1172="","",
IF(AX1172="PT",VLOOKUP(L1172,Foundation_Calc!$K$79:$R$113,VLOOKUP(AW1172,Foundation_Calc!$I$2:$J$8,2,FALSE),0),
IF(AX1172="K",VLOOKUP(L1172,Foundation_Calc!$K$117:$R$151,VLOOKUP(AW1172,Foundation_Calc!$I$2:$J$8,2,FALSE),0),"")))</f>
        <v/>
      </c>
      <c r="AZ1172" s="10" t="str">
        <f>IF(K1172="","",
IF(AX1172="PT",VLOOKUP(K1172,Foundation_Calc!$K$79:$R$113,VLOOKUP(AW1172,Foundation_Calc!$I$2:$J$8,2,FALSE),0),
IF(AX1172="K",VLOOKUP(K1172,Foundation_Calc!$K$117:$R$151,VLOOKUP(AW1172,Foundation_Calc!$I$2:$J$8,2,FALSE),0),"")))</f>
        <v/>
      </c>
      <c r="BA1172" s="495" t="str">
        <f t="shared" ref="BA1172:BA1234" si="137">IF(AY1172="","",IF(AY1172&gt;0,"ü",""))</f>
        <v/>
      </c>
      <c r="BB1172" s="495" t="str">
        <f t="shared" ref="BB1172:BB1234" si="138">IF(AZ1172="","",IF(AZ1172&gt;0,"ü",""))</f>
        <v/>
      </c>
      <c r="BC1172" s="495" t="str">
        <f t="shared" ref="BC1172:BC1234" si="139">IF(M1172="","",IF(M1172="U.S.","ü",IF(M1172="U.S. N.D.","ü","")))</f>
        <v/>
      </c>
      <c r="BD1172" s="513"/>
      <c r="BE1172" s="429" t="s">
        <v>118</v>
      </c>
      <c r="BF1172" s="289"/>
      <c r="BG1172" s="289"/>
      <c r="BH1172" s="290"/>
      <c r="BI1172" s="289"/>
    </row>
    <row r="1173" spans="1:61" ht="15.6" customHeight="1">
      <c r="A1173" s="514" t="s">
        <v>169</v>
      </c>
      <c r="B1173" s="450"/>
      <c r="C1173" s="3"/>
      <c r="D1173" s="83"/>
      <c r="E1173" s="4"/>
      <c r="F1173" s="4"/>
      <c r="G1173" s="6">
        <v>38.700000000000003</v>
      </c>
      <c r="H1173" s="449"/>
      <c r="I1173" s="4"/>
      <c r="J1173" s="3"/>
      <c r="K1173" s="449"/>
      <c r="L1173" s="449"/>
      <c r="M1173" s="449" t="str">
        <f>IF(L1173="","",
IF(AX1173="PT",VLOOKUP(L1173,Foundation_Calc!$V$79:$X$113,VLOOKUP(AX1173,Foundation_Calc!$I$10:$J$13,2,FALSE),0),
IF(AX1173="K",VLOOKUP(L1173,Foundation_Calc!$V$117:$X$151,VLOOKUP(AX1173,Foundation_Calc!$I$10:$J$13,2,FALSE),0),"")))</f>
        <v/>
      </c>
      <c r="N1173" s="449"/>
      <c r="O1173" s="449"/>
      <c r="P1173" s="449"/>
      <c r="Q1173" s="4"/>
      <c r="R1173" s="6"/>
      <c r="S1173" s="6"/>
      <c r="T1173" s="4"/>
      <c r="U1173" s="4"/>
      <c r="V1173" s="4"/>
      <c r="W1173" s="9"/>
      <c r="X1173" s="9"/>
      <c r="Y1173" s="9"/>
      <c r="Z1173" s="9"/>
      <c r="AA1173" s="9"/>
      <c r="AB1173" s="9"/>
      <c r="AC1173" s="449" t="str">
        <f t="shared" si="133"/>
        <v/>
      </c>
      <c r="AD1173" s="449"/>
      <c r="AE1173" s="449"/>
      <c r="AF1173" s="4"/>
      <c r="AG1173" s="83"/>
      <c r="AH1173" s="4"/>
      <c r="AI1173" s="4"/>
      <c r="AJ1173" s="449" t="s">
        <v>239</v>
      </c>
      <c r="AK1173" s="449"/>
      <c r="AL1173" s="449"/>
      <c r="AM1173" s="449"/>
      <c r="AN1173" s="10"/>
      <c r="AO1173" s="9"/>
      <c r="AP1173" s="9"/>
      <c r="AQ1173" s="9">
        <f>+FL_1($T$1174,$T$1172,$G$1173,1200,9.28,-1*$F$1174)</f>
        <v>-0.20522329999999997</v>
      </c>
      <c r="AR1173" s="9"/>
      <c r="AS1173" s="9"/>
      <c r="AT1173" s="9"/>
      <c r="AU1173" s="428"/>
      <c r="AV1173" s="428"/>
      <c r="AW1173" s="449"/>
      <c r="AX1173" s="449"/>
      <c r="AY1173" s="10" t="str">
        <f>IF(L1173="","",
IF(AX1173="PT",VLOOKUP(L1173,Foundation_Calc!$K$79:$R$113,VLOOKUP(AW1173,Foundation_Calc!$I$2:$J$8,2,FALSE),0),
IF(AX1173="K",VLOOKUP(L1173,Foundation_Calc!$K$117:$R$151,VLOOKUP(AW1173,Foundation_Calc!$I$2:$J$8,2,FALSE),0),"")))</f>
        <v/>
      </c>
      <c r="AZ1173" s="10" t="str">
        <f>IF(K1173="","",
IF(AX1173="PT",VLOOKUP(K1173,Foundation_Calc!$K$79:$R$113,VLOOKUP(AW1173,Foundation_Calc!$I$2:$J$8,2,FALSE),0),
IF(AX1173="K",VLOOKUP(K1173,Foundation_Calc!$K$117:$R$151,VLOOKUP(AW1173,Foundation_Calc!$I$2:$J$8,2,FALSE),0),"")))</f>
        <v/>
      </c>
      <c r="BA1173" s="495" t="str">
        <f t="shared" si="137"/>
        <v/>
      </c>
      <c r="BB1173" s="495" t="str">
        <f t="shared" si="138"/>
        <v/>
      </c>
      <c r="BC1173" s="495" t="str">
        <f t="shared" si="139"/>
        <v/>
      </c>
      <c r="BD1173" s="513" t="str">
        <f>IF(AND(L1173="",H1173=""),"",
IF(H1173="",Pole_Calc!A$9,
IF(H1173="MP",Pole_Calc!A$10,
IF(H1173="AnMP",Pole_Calc!A$11,
IF(H1173="A",Pole_Calc!A$12,
IF(H1173="S/A",Pole_Calc!A$13,
IF(H1173="A/S",Pole_Calc!A$14,"Poner a mano")))))))</f>
        <v/>
      </c>
      <c r="BE1173" s="429" t="s">
        <v>118</v>
      </c>
      <c r="BF1173" s="290"/>
      <c r="BG1173" s="290"/>
      <c r="BH1173" s="290"/>
      <c r="BI1173" s="290"/>
    </row>
    <row r="1174" spans="1:61" ht="15.6" customHeight="1">
      <c r="A1174" s="721" t="s">
        <v>866</v>
      </c>
      <c r="B1174" s="722" t="s">
        <v>867</v>
      </c>
      <c r="C1174" s="723">
        <f>+$C$1172+$G$1173</f>
        <v>58740.219999999987</v>
      </c>
      <c r="D1174" s="724"/>
      <c r="E1174" s="725"/>
      <c r="F1174" s="725">
        <f>IF(C1174&gt;0,VLOOKUP(C1174,'ALIGNMENT TRACK'!$A$1:$K$81,9,1))</f>
        <v>0</v>
      </c>
      <c r="G1174" s="726"/>
      <c r="H1174" s="727" t="s">
        <v>238</v>
      </c>
      <c r="I1174" s="725"/>
      <c r="J1174" s="723"/>
      <c r="K1174" s="727"/>
      <c r="L1174" s="727" t="s">
        <v>201</v>
      </c>
      <c r="M1174" s="727" t="str">
        <f>IF(L1174="","",
IF(AX1174="PT",VLOOKUP(L1174,Foundation_Calc!$V$79:$X$113,VLOOKUP(AX1174,Foundation_Calc!$I$10:$J$13,2,FALSE),0),
IF(AX1174="K",VLOOKUP(L1174,Foundation_Calc!$V$117:$X$151,VLOOKUP(AX1174,Foundation_Calc!$I$10:$J$13,2,FALSE),0),"")))</f>
        <v/>
      </c>
      <c r="N1174" s="884" t="s">
        <v>343</v>
      </c>
      <c r="O1174" s="727" t="s">
        <v>453</v>
      </c>
      <c r="P1174" s="884"/>
      <c r="Q1174" s="725"/>
      <c r="R1174" s="726"/>
      <c r="S1174" s="726"/>
      <c r="T1174" s="725">
        <v>-35</v>
      </c>
      <c r="U1174" s="725">
        <v>-20</v>
      </c>
      <c r="V1174" s="725"/>
      <c r="W1174" s="728">
        <v>2</v>
      </c>
      <c r="X1174" s="728">
        <v>1.4</v>
      </c>
      <c r="Y1174" s="728"/>
      <c r="Z1174" s="728"/>
      <c r="AA1174" s="728"/>
      <c r="AB1174" s="728"/>
      <c r="AC1174" s="727" t="str">
        <f t="shared" si="133"/>
        <v>PH</v>
      </c>
      <c r="AD1174" s="727"/>
      <c r="AE1174" s="727"/>
      <c r="AF1174" s="725"/>
      <c r="AG1174" s="724"/>
      <c r="AH1174" s="725"/>
      <c r="AI1174" s="725"/>
      <c r="AJ1174" s="727" t="s">
        <v>251</v>
      </c>
      <c r="AK1174" s="727" t="s">
        <v>841</v>
      </c>
      <c r="AL1174" s="727"/>
      <c r="AM1174" s="727"/>
      <c r="AN1174" s="729">
        <v>5.5</v>
      </c>
      <c r="AO1174" s="728"/>
      <c r="AP1174" s="728"/>
      <c r="AQ1174" s="728"/>
      <c r="AR1174" s="728"/>
      <c r="AS1174" s="728"/>
      <c r="AT1174" s="728">
        <f>+ab($T$1174,$T$1172,$U$1176,$G$1173,$G$1175,-1*$F$1174,1200)</f>
        <v>-11.809488590928552</v>
      </c>
      <c r="AU1174" s="730"/>
      <c r="AV1174" s="730"/>
      <c r="AW1174" s="727" t="s">
        <v>201</v>
      </c>
      <c r="AX1174" s="727" t="s">
        <v>201</v>
      </c>
      <c r="AY1174" s="729" t="str">
        <f>IF(L1174="","",
IF(AX1174="PT",VLOOKUP(L1174,Foundation_Calc!$K$79:$R$113,VLOOKUP(AW1174,Foundation_Calc!$I$2:$J$8,2,FALSE),0),
IF(AX1174="K",VLOOKUP(L1174,Foundation_Calc!$K$117:$R$151,VLOOKUP(AW1174,Foundation_Calc!$I$2:$J$8,2,FALSE),0),"")))</f>
        <v/>
      </c>
      <c r="AZ1174" s="729" t="str">
        <f>IF(K1174="","",
IF(AX1174="PT",VLOOKUP(K1174,Foundation_Calc!$K$79:$R$113,VLOOKUP(AW1174,Foundation_Calc!$I$2:$J$8,2,FALSE),0),
IF(AX1174="K",VLOOKUP(K1174,Foundation_Calc!$K$117:$R$151,VLOOKUP(AW1174,Foundation_Calc!$I$2:$J$8,2,FALSE),0),"")))</f>
        <v/>
      </c>
      <c r="BA1174" s="495" t="str">
        <f t="shared" si="137"/>
        <v/>
      </c>
      <c r="BB1174" s="495" t="str">
        <f t="shared" si="138"/>
        <v/>
      </c>
      <c r="BC1174" s="495" t="str">
        <f t="shared" si="139"/>
        <v/>
      </c>
      <c r="BD1174" s="513"/>
      <c r="BE1174" s="429" t="s">
        <v>118</v>
      </c>
      <c r="BF1174" s="289"/>
      <c r="BG1174" s="289"/>
      <c r="BH1174" s="290"/>
      <c r="BI1174" s="289"/>
    </row>
    <row r="1175" spans="1:61" ht="15.6" customHeight="1">
      <c r="A1175" s="517" t="s">
        <v>442</v>
      </c>
      <c r="B1175" s="450"/>
      <c r="C1175" s="3"/>
      <c r="D1175" s="83"/>
      <c r="E1175" s="4"/>
      <c r="F1175" s="4"/>
      <c r="G1175" s="6">
        <v>43.7</v>
      </c>
      <c r="H1175" s="449"/>
      <c r="I1175" s="4"/>
      <c r="J1175" s="3"/>
      <c r="K1175" s="449"/>
      <c r="L1175" s="449"/>
      <c r="M1175" s="449" t="str">
        <f>IF(L1175="","",
IF(AX1175="PT",VLOOKUP(L1175,Foundation_Calc!$V$79:$X$113,VLOOKUP(AX1175,Foundation_Calc!$I$10:$J$13,2,FALSE),0),
IF(AX1175="K",VLOOKUP(L1175,Foundation_Calc!$V$117:$X$151,VLOOKUP(AX1175,Foundation_Calc!$I$10:$J$13,2,FALSE),0),"")))</f>
        <v/>
      </c>
      <c r="N1175" s="449"/>
      <c r="O1175" s="449"/>
      <c r="P1175" s="449"/>
      <c r="Q1175" s="4"/>
      <c r="R1175" s="6"/>
      <c r="S1175" s="6"/>
      <c r="T1175" s="4"/>
      <c r="U1175" s="4"/>
      <c r="V1175" s="4"/>
      <c r="W1175" s="9"/>
      <c r="X1175" s="9"/>
      <c r="Y1175" s="9"/>
      <c r="Z1175" s="9"/>
      <c r="AA1175" s="9"/>
      <c r="AB1175" s="9"/>
      <c r="AC1175" s="449" t="str">
        <f t="shared" si="133"/>
        <v/>
      </c>
      <c r="AD1175" s="449"/>
      <c r="AE1175" s="449"/>
      <c r="AF1175" s="4"/>
      <c r="AG1175" s="83"/>
      <c r="AH1175" s="4"/>
      <c r="AI1175" s="4"/>
      <c r="AJ1175" s="449" t="s">
        <v>239</v>
      </c>
      <c r="AK1175" s="449"/>
      <c r="AL1175" s="449"/>
      <c r="AM1175" s="449"/>
      <c r="AN1175" s="10"/>
      <c r="AO1175" s="9"/>
      <c r="AP1175" s="9"/>
      <c r="AQ1175" s="9">
        <f>+FL_2($U$1176,$T$1174,$G$1175,1200,9.28,-1*$F$1176)</f>
        <v>-0.35049957843478252</v>
      </c>
      <c r="AR1175" s="9"/>
      <c r="AS1175" s="9"/>
      <c r="AT1175" s="9"/>
      <c r="AU1175" s="428"/>
      <c r="AV1175" s="428"/>
      <c r="AW1175" s="449" t="str">
        <f>IF(C1175&gt;0,VLOOKUP(C1175,Foundation_Calc!$A$2:$C$13,3,1),
IF(J1175&gt;0,VLOOKUP(J1175,Foundation_Calc!$A$2:$C$13,3,1),""))</f>
        <v/>
      </c>
      <c r="AX1175" s="449"/>
      <c r="AY1175" s="10" t="str">
        <f>IF(L1175="","",
IF(AX1175="PT",VLOOKUP(L1175,Foundation_Calc!$K$79:$R$113,VLOOKUP(AW1175,Foundation_Calc!$I$2:$J$8,2,FALSE),0),
IF(AX1175="K",VLOOKUP(L1175,Foundation_Calc!$K$117:$R$151,VLOOKUP(AW1175,Foundation_Calc!$I$2:$J$8,2,FALSE),0),"")))</f>
        <v/>
      </c>
      <c r="AZ1175" s="10" t="str">
        <f>IF(K1175="","",
IF(AX1175="PT",VLOOKUP(K1175,Foundation_Calc!$K$79:$R$113,VLOOKUP(AW1175,Foundation_Calc!$I$2:$J$8,2,FALSE),0),
IF(AX1175="K",VLOOKUP(K1175,Foundation_Calc!$K$117:$R$151,VLOOKUP(AW1175,Foundation_Calc!$I$2:$J$8,2,FALSE),0),"")))</f>
        <v/>
      </c>
      <c r="BA1175" s="495" t="str">
        <f t="shared" si="137"/>
        <v/>
      </c>
      <c r="BB1175" s="495" t="str">
        <f t="shared" si="138"/>
        <v/>
      </c>
      <c r="BC1175" s="495" t="str">
        <f t="shared" si="139"/>
        <v/>
      </c>
      <c r="BD1175" s="513" t="str">
        <f>IF(AND(L1175="",H1175=""),"",
IF(H1175="",Pole_Calc!A$9,
IF(H1175="MP",Pole_Calc!A$10,
IF(H1175="AnMP",Pole_Calc!A$11,
IF(H1175="A",Pole_Calc!A$12,
IF(H1175="S/A",Pole_Calc!A$13,
IF(H1175="A/S",Pole_Calc!A$14,"Poner a mano")))))))</f>
        <v/>
      </c>
      <c r="BE1175" s="429" t="s">
        <v>118</v>
      </c>
      <c r="BF1175" s="290"/>
      <c r="BG1175" s="290"/>
      <c r="BH1175" s="290"/>
      <c r="BI1175" s="290"/>
    </row>
    <row r="1176" spans="1:61" ht="15.6" customHeight="1">
      <c r="A1176" s="514"/>
      <c r="B1176" s="450" t="s">
        <v>868</v>
      </c>
      <c r="C1176" s="3">
        <f>+$C$1174+$G$1175</f>
        <v>58783.919999999984</v>
      </c>
      <c r="D1176" s="83"/>
      <c r="E1176" s="4"/>
      <c r="F1176" s="4">
        <f>IF(C1176&gt;0,VLOOKUP(C1176,'ALIGNMENT TRACK'!$A$1:$K$81,9,1))</f>
        <v>0</v>
      </c>
      <c r="G1176" s="6"/>
      <c r="H1176" s="449" t="s">
        <v>238</v>
      </c>
      <c r="I1176" s="4"/>
      <c r="J1176" s="3"/>
      <c r="K1176" s="449"/>
      <c r="L1176" s="449" t="s">
        <v>201</v>
      </c>
      <c r="M1176" s="449" t="str">
        <f>IF(L1176="","",
IF(AX1176="PT",VLOOKUP(L1176,Foundation_Calc!$V$79:$X$113,VLOOKUP(AX1176,Foundation_Calc!$I$10:$J$13,2,FALSE),0),
IF(AX1176="K",VLOOKUP(L1176,Foundation_Calc!$V$117:$X$151,VLOOKUP(AX1176,Foundation_Calc!$I$10:$J$13,2,FALSE),0),"")))</f>
        <v/>
      </c>
      <c r="N1176" s="554" t="s">
        <v>343</v>
      </c>
      <c r="O1176" s="449" t="s">
        <v>453</v>
      </c>
      <c r="P1176" s="553"/>
      <c r="Q1176" s="4"/>
      <c r="R1176" s="6"/>
      <c r="S1176" s="6"/>
      <c r="T1176" s="4">
        <v>20</v>
      </c>
      <c r="U1176" s="4">
        <v>35</v>
      </c>
      <c r="V1176" s="4"/>
      <c r="W1176" s="9">
        <v>2</v>
      </c>
      <c r="X1176" s="9">
        <v>1.4</v>
      </c>
      <c r="Y1176" s="9"/>
      <c r="Z1176" s="9"/>
      <c r="AA1176" s="9"/>
      <c r="AB1176" s="9"/>
      <c r="AC1176" s="449" t="str">
        <f t="shared" si="133"/>
        <v>PHQ</v>
      </c>
      <c r="AD1176" s="449"/>
      <c r="AE1176" s="449"/>
      <c r="AF1176" s="4"/>
      <c r="AG1176" s="83"/>
      <c r="AH1176" s="4"/>
      <c r="AI1176" s="4"/>
      <c r="AJ1176" s="449"/>
      <c r="AK1176" s="449" t="s">
        <v>841</v>
      </c>
      <c r="AL1176" s="449"/>
      <c r="AM1176" s="449"/>
      <c r="AN1176" s="10">
        <v>5.5</v>
      </c>
      <c r="AO1176" s="9"/>
      <c r="AP1176" s="9"/>
      <c r="AQ1176" s="9"/>
      <c r="AR1176" s="9"/>
      <c r="AS1176" s="9"/>
      <c r="AT1176" s="9">
        <f>+ab($U$1176,$T$1174,$T$1178,$G$1175,$G$1177,-1*$F$1176,1200)</f>
        <v>6.498359104368844</v>
      </c>
      <c r="AU1176" s="428"/>
      <c r="AV1176" s="428"/>
      <c r="AW1176" s="449" t="s">
        <v>201</v>
      </c>
      <c r="AX1176" s="449" t="s">
        <v>201</v>
      </c>
      <c r="AY1176" s="10" t="str">
        <f>IF(L1176="","",
IF(AX1176="PT",VLOOKUP(L1176,Foundation_Calc!$K$79:$R$113,VLOOKUP(AW1176,Foundation_Calc!$I$2:$J$8,2,FALSE),0),
IF(AX1176="K",VLOOKUP(L1176,Foundation_Calc!$K$117:$R$151,VLOOKUP(AW1176,Foundation_Calc!$I$2:$J$8,2,FALSE),0),"")))</f>
        <v/>
      </c>
      <c r="AZ1176" s="10" t="str">
        <f>IF(K1176="","",
IF(AX1176="PT",VLOOKUP(K1176,Foundation_Calc!$K$79:$R$113,VLOOKUP(AW1176,Foundation_Calc!$I$2:$J$8,2,FALSE),0),
IF(AX1176="K",VLOOKUP(K1176,Foundation_Calc!$K$117:$R$151,VLOOKUP(AW1176,Foundation_Calc!$I$2:$J$8,2,FALSE),0),"")))</f>
        <v/>
      </c>
      <c r="BA1176" s="495" t="str">
        <f t="shared" si="137"/>
        <v/>
      </c>
      <c r="BB1176" s="495" t="str">
        <f t="shared" si="138"/>
        <v/>
      </c>
      <c r="BC1176" s="495" t="str">
        <f t="shared" si="139"/>
        <v/>
      </c>
      <c r="BD1176" s="513"/>
      <c r="BE1176" s="429" t="s">
        <v>118</v>
      </c>
      <c r="BF1176" s="289"/>
      <c r="BG1176" s="289"/>
      <c r="BH1176" s="290"/>
      <c r="BI1176" s="289"/>
    </row>
    <row r="1177" spans="1:61" ht="15.6" customHeight="1">
      <c r="A1177" s="514"/>
      <c r="B1177" s="450"/>
      <c r="C1177" s="3"/>
      <c r="D1177" s="83"/>
      <c r="E1177" s="4"/>
      <c r="F1177" s="4"/>
      <c r="G1177" s="6">
        <v>52.3</v>
      </c>
      <c r="H1177" s="449"/>
      <c r="I1177" s="4"/>
      <c r="J1177" s="3"/>
      <c r="K1177" s="449"/>
      <c r="L1177" s="449"/>
      <c r="M1177" s="449" t="str">
        <f>IF(L1177="","",
IF(AX1177="PT",VLOOKUP(L1177,Foundation_Calc!$V$79:$X$113,VLOOKUP(AX1177,Foundation_Calc!$I$10:$J$13,2,FALSE),0),
IF(AX1177="K",VLOOKUP(L1177,Foundation_Calc!$V$117:$X$151,VLOOKUP(AX1177,Foundation_Calc!$I$10:$J$13,2,FALSE),0),"")))</f>
        <v/>
      </c>
      <c r="N1177" s="449"/>
      <c r="O1177" s="449"/>
      <c r="P1177" s="449"/>
      <c r="Q1177" s="4"/>
      <c r="R1177" s="6"/>
      <c r="S1177" s="6"/>
      <c r="T1177" s="4"/>
      <c r="U1177" s="4"/>
      <c r="V1177" s="4"/>
      <c r="W1177" s="9"/>
      <c r="X1177" s="9"/>
      <c r="Y1177" s="9"/>
      <c r="Z1177" s="9"/>
      <c r="AA1177" s="9"/>
      <c r="AB1177" s="9"/>
      <c r="AC1177" s="449" t="str">
        <f t="shared" si="133"/>
        <v/>
      </c>
      <c r="AD1177" s="449"/>
      <c r="AE1177" s="449"/>
      <c r="AF1177" s="4"/>
      <c r="AG1177" s="83"/>
      <c r="AH1177" s="4"/>
      <c r="AI1177" s="4"/>
      <c r="AJ1177" s="449"/>
      <c r="AK1177" s="449"/>
      <c r="AL1177" s="449"/>
      <c r="AM1177" s="449"/>
      <c r="AN1177" s="10"/>
      <c r="AO1177" s="9"/>
      <c r="AP1177" s="9"/>
      <c r="AQ1177" s="9">
        <f>+FL_2($T$1178,$U$1176,$G$1177,1200,9.28,-1*$F$1178)</f>
        <v>-0.38023467504907577</v>
      </c>
      <c r="AR1177" s="9"/>
      <c r="AS1177" s="9"/>
      <c r="AT1177" s="9"/>
      <c r="AU1177" s="428"/>
      <c r="AV1177" s="428"/>
      <c r="AW1177" s="449" t="str">
        <f>IF(C1177&gt;0,VLOOKUP(C1177,Foundation_Calc!$A$2:$C$13,3,1),
IF(J1177&gt;0,VLOOKUP(J1177,Foundation_Calc!$A$2:$C$13,3,1),""))</f>
        <v/>
      </c>
      <c r="AX1177" s="449"/>
      <c r="AY1177" s="10" t="str">
        <f>IF(L1177="","",
IF(AX1177="PT",VLOOKUP(L1177,Foundation_Calc!$K$79:$R$113,VLOOKUP(AW1177,Foundation_Calc!$I$2:$J$8,2,FALSE),0),
IF(AX1177="K",VLOOKUP(L1177,Foundation_Calc!$K$117:$R$151,VLOOKUP(AW1177,Foundation_Calc!$I$2:$J$8,2,FALSE),0),"")))</f>
        <v/>
      </c>
      <c r="AZ1177" s="10" t="str">
        <f>IF(K1177="","",
IF(AX1177="PT",VLOOKUP(K1177,Foundation_Calc!$K$79:$R$113,VLOOKUP(AW1177,Foundation_Calc!$I$2:$J$8,2,FALSE),0),
IF(AX1177="K",VLOOKUP(K1177,Foundation_Calc!$K$117:$R$151,VLOOKUP(AW1177,Foundation_Calc!$I$2:$J$8,2,FALSE),0),"")))</f>
        <v/>
      </c>
      <c r="BA1177" s="495" t="str">
        <f t="shared" si="137"/>
        <v/>
      </c>
      <c r="BB1177" s="495" t="str">
        <f t="shared" si="138"/>
        <v/>
      </c>
      <c r="BC1177" s="495" t="str">
        <f t="shared" si="139"/>
        <v/>
      </c>
      <c r="BD1177" s="513" t="str">
        <f>IF(AND(L1177="",H1177=""),"",
IF(H1177="",Pole_Calc!A$9,
IF(H1177="MP",Pole_Calc!A$10,
IF(H1177="AnMP",Pole_Calc!A$11,
IF(H1177="A",Pole_Calc!A$12,
IF(H1177="S/A",Pole_Calc!A$13,
IF(H1177="A/S",Pole_Calc!A$14,"Poner a mano")))))))</f>
        <v/>
      </c>
      <c r="BE1177" s="429" t="s">
        <v>118</v>
      </c>
      <c r="BF1177" s="290"/>
      <c r="BG1177" s="290"/>
      <c r="BH1177" s="290"/>
      <c r="BI1177" s="290"/>
    </row>
    <row r="1178" spans="1:61" ht="15.6" customHeight="1">
      <c r="A1178" s="514"/>
      <c r="B1178" s="450" t="s">
        <v>869</v>
      </c>
      <c r="C1178" s="3">
        <f>+$C$1176+$G$1177-0.68</f>
        <v>58835.539999999986</v>
      </c>
      <c r="D1178" s="83"/>
      <c r="E1178" s="4"/>
      <c r="F1178" s="4">
        <f>IF(C1178&gt;0,VLOOKUP(C1178,'ALIGNMENT TRACK'!$A$1:$K$81,9,1))</f>
        <v>0</v>
      </c>
      <c r="G1178" s="6"/>
      <c r="H1178" s="449"/>
      <c r="I1178" s="4"/>
      <c r="J1178" s="3"/>
      <c r="K1178" s="449"/>
      <c r="L1178" s="449" t="s">
        <v>201</v>
      </c>
      <c r="M1178" s="449" t="str">
        <f>IF(L1178="","",
IF(AX1178="PT",VLOOKUP(L1178,Foundation_Calc!$V$79:$X$113,VLOOKUP(AX1178,Foundation_Calc!$I$10:$J$13,2,FALSE),0),
IF(AX1178="K",VLOOKUP(L1178,Foundation_Calc!$V$117:$X$151,VLOOKUP(AX1178,Foundation_Calc!$I$10:$J$13,2,FALSE),0),"")))</f>
        <v/>
      </c>
      <c r="N1178" s="449" t="s">
        <v>124</v>
      </c>
      <c r="O1178" s="449"/>
      <c r="P1178" s="449"/>
      <c r="Q1178" s="4"/>
      <c r="R1178" s="6"/>
      <c r="S1178" s="6"/>
      <c r="T1178" s="4">
        <v>-35</v>
      </c>
      <c r="U1178" s="4"/>
      <c r="V1178" s="4"/>
      <c r="W1178" s="9">
        <v>1.4</v>
      </c>
      <c r="X1178" s="9"/>
      <c r="Y1178" s="9"/>
      <c r="Z1178" s="9"/>
      <c r="AA1178" s="9"/>
      <c r="AB1178" s="9"/>
      <c r="AC1178" s="449" t="str">
        <f t="shared" si="133"/>
        <v>PHQ</v>
      </c>
      <c r="AD1178" s="449"/>
      <c r="AE1178" s="449"/>
      <c r="AF1178" s="4"/>
      <c r="AG1178" s="83"/>
      <c r="AH1178" s="4"/>
      <c r="AI1178" s="4"/>
      <c r="AJ1178" s="449"/>
      <c r="AK1178" s="449" t="s">
        <v>451</v>
      </c>
      <c r="AL1178" s="449"/>
      <c r="AM1178" s="449"/>
      <c r="AN1178" s="10">
        <v>5.5</v>
      </c>
      <c r="AO1178" s="9"/>
      <c r="AP1178" s="9"/>
      <c r="AQ1178" s="9"/>
      <c r="AR1178" s="9"/>
      <c r="AS1178" s="9"/>
      <c r="AT1178" s="9">
        <f>+ab($T$1178,$U$1176,$T$1180,$G$1177,$G$1179,-1*$F$1178,1200)</f>
        <v>-5.9654646297305565</v>
      </c>
      <c r="AU1178" s="428"/>
      <c r="AV1178" s="428"/>
      <c r="AW1178" s="449" t="s">
        <v>201</v>
      </c>
      <c r="AX1178" s="449" t="s">
        <v>201</v>
      </c>
      <c r="AY1178" s="10" t="str">
        <f>IF(L1178="","",
IF(AX1178="PT",VLOOKUP(L1178,Foundation_Calc!$K$79:$R$113,VLOOKUP(AW1178,Foundation_Calc!$I$2:$J$8,2,FALSE),0),
IF(AX1178="K",VLOOKUP(L1178,Foundation_Calc!$K$117:$R$151,VLOOKUP(AW1178,Foundation_Calc!$I$2:$J$8,2,FALSE),0),"")))</f>
        <v/>
      </c>
      <c r="AZ1178" s="10" t="str">
        <f>IF(K1178="","",
IF(AX1178="PT",VLOOKUP(K1178,Foundation_Calc!$K$79:$R$113,VLOOKUP(AW1178,Foundation_Calc!$I$2:$J$8,2,FALSE),0),
IF(AX1178="K",VLOOKUP(K1178,Foundation_Calc!$K$117:$R$151,VLOOKUP(AW1178,Foundation_Calc!$I$2:$J$8,2,FALSE),0),"")))</f>
        <v/>
      </c>
      <c r="BA1178" s="495" t="str">
        <f t="shared" si="137"/>
        <v/>
      </c>
      <c r="BB1178" s="495" t="str">
        <f t="shared" si="138"/>
        <v/>
      </c>
      <c r="BC1178" s="495" t="str">
        <f t="shared" si="139"/>
        <v/>
      </c>
      <c r="BD1178" s="513"/>
      <c r="BE1178" s="429" t="s">
        <v>118</v>
      </c>
      <c r="BF1178" s="289"/>
      <c r="BG1178" s="289"/>
      <c r="BH1178" s="290"/>
      <c r="BI1178" s="289"/>
    </row>
    <row r="1179" spans="1:61" ht="15.6" customHeight="1">
      <c r="A1179" s="514"/>
      <c r="B1179" s="450"/>
      <c r="C1179" s="3"/>
      <c r="D1179" s="83"/>
      <c r="E1179" s="4"/>
      <c r="F1179" s="4"/>
      <c r="G1179" s="6">
        <v>37.5</v>
      </c>
      <c r="H1179" s="449"/>
      <c r="I1179" s="4"/>
      <c r="J1179" s="3"/>
      <c r="K1179" s="449"/>
      <c r="L1179" s="449"/>
      <c r="M1179" s="449" t="str">
        <f>IF(L1179="","",
IF(AX1179="PT",VLOOKUP(L1179,Foundation_Calc!$V$79:$X$113,VLOOKUP(AX1179,Foundation_Calc!$I$10:$J$13,2,FALSE),0),
IF(AX1179="K",VLOOKUP(L1179,Foundation_Calc!$V$117:$X$151,VLOOKUP(AX1179,Foundation_Calc!$I$10:$J$13,2,FALSE),0),"")))</f>
        <v/>
      </c>
      <c r="N1179" s="449"/>
      <c r="O1179" s="449"/>
      <c r="P1179" s="449"/>
      <c r="Q1179" s="4"/>
      <c r="R1179" s="6"/>
      <c r="S1179" s="6"/>
      <c r="T1179" s="4"/>
      <c r="U1179" s="4"/>
      <c r="V1179" s="4"/>
      <c r="W1179" s="9"/>
      <c r="X1179" s="9"/>
      <c r="Y1179" s="9"/>
      <c r="Z1179" s="9"/>
      <c r="AA1179" s="9"/>
      <c r="AB1179" s="9"/>
      <c r="AC1179" s="449" t="str">
        <f t="shared" si="133"/>
        <v/>
      </c>
      <c r="AD1179" s="449"/>
      <c r="AE1179" s="449"/>
      <c r="AF1179" s="4"/>
      <c r="AG1179" s="83"/>
      <c r="AH1179" s="4"/>
      <c r="AI1179" s="4"/>
      <c r="AJ1179" s="449"/>
      <c r="AK1179" s="449"/>
      <c r="AL1179" s="449"/>
      <c r="AM1179" s="449"/>
      <c r="AN1179" s="10"/>
      <c r="AO1179" s="9"/>
      <c r="AP1179" s="9"/>
      <c r="AQ1179" s="9">
        <f>+FL_2($T$1180,$T$1178,$G$1179,1200,9.28,-1*$F$1180)</f>
        <v>-0.3500000000000047</v>
      </c>
      <c r="AR1179" s="9"/>
      <c r="AS1179" s="9"/>
      <c r="AT1179" s="9"/>
      <c r="AU1179" s="428"/>
      <c r="AV1179" s="428"/>
      <c r="AW1179" s="449"/>
      <c r="AX1179" s="449"/>
      <c r="AY1179" s="10" t="str">
        <f>IF(L1179="","",
IF(AX1179="PT",VLOOKUP(L1179,Foundation_Calc!$K$79:$R$113,VLOOKUP(AW1179,Foundation_Calc!$I$2:$J$8,2,FALSE),0),
IF(AX1179="K",VLOOKUP(L1179,Foundation_Calc!$K$117:$R$151,VLOOKUP(AW1179,Foundation_Calc!$I$2:$J$8,2,FALSE),0),"")))</f>
        <v/>
      </c>
      <c r="AZ1179" s="10" t="str">
        <f>IF(K1179="","",
IF(AX1179="PT",VLOOKUP(K1179,Foundation_Calc!$K$79:$R$113,VLOOKUP(AW1179,Foundation_Calc!$I$2:$J$8,2,FALSE),0),
IF(AX1179="K",VLOOKUP(K1179,Foundation_Calc!$K$117:$R$151,VLOOKUP(AW1179,Foundation_Calc!$I$2:$J$8,2,FALSE),0),"")))</f>
        <v/>
      </c>
      <c r="BA1179" s="495" t="str">
        <f t="shared" si="137"/>
        <v/>
      </c>
      <c r="BB1179" s="495" t="str">
        <f t="shared" si="138"/>
        <v/>
      </c>
      <c r="BC1179" s="495" t="str">
        <f t="shared" si="139"/>
        <v/>
      </c>
      <c r="BD1179" s="513"/>
      <c r="BE1179" s="429" t="s">
        <v>118</v>
      </c>
      <c r="BF1179" s="290"/>
      <c r="BG1179" s="290"/>
      <c r="BH1179" s="290"/>
      <c r="BI1179" s="290"/>
    </row>
    <row r="1180" spans="1:61" ht="15.6" customHeight="1">
      <c r="A1180" s="514"/>
      <c r="B1180" s="450" t="s">
        <v>870</v>
      </c>
      <c r="C1180" s="3">
        <f>+$C$1178+$G$1179</f>
        <v>58873.039999999986</v>
      </c>
      <c r="D1180" s="83"/>
      <c r="E1180" s="4"/>
      <c r="F1180" s="4">
        <f>IF(C1180&gt;0,VLOOKUP(C1180,'ALIGNMENT TRACK'!$A$1:$K$81,9,1))</f>
        <v>0</v>
      </c>
      <c r="G1180" s="6"/>
      <c r="H1180" s="449"/>
      <c r="I1180" s="4"/>
      <c r="J1180" s="3"/>
      <c r="K1180" s="449"/>
      <c r="L1180" s="449" t="s">
        <v>201</v>
      </c>
      <c r="M1180" s="449" t="str">
        <f>IF(L1180="","",
IF(AX1180="PT",VLOOKUP(L1180,Foundation_Calc!$V$79:$X$113,VLOOKUP(AX1180,Foundation_Calc!$I$10:$J$13,2,FALSE),0),
IF(AX1180="K",VLOOKUP(L1180,Foundation_Calc!$V$117:$X$151,VLOOKUP(AX1180,Foundation_Calc!$I$10:$J$13,2,FALSE),0),"")))</f>
        <v/>
      </c>
      <c r="N1180" s="449" t="s">
        <v>134</v>
      </c>
      <c r="O1180" s="449"/>
      <c r="P1180" s="449"/>
      <c r="Q1180" s="4"/>
      <c r="R1180" s="6"/>
      <c r="S1180" s="6"/>
      <c r="T1180" s="4">
        <v>35</v>
      </c>
      <c r="U1180" s="4"/>
      <c r="V1180" s="4"/>
      <c r="W1180" s="9">
        <v>1.4</v>
      </c>
      <c r="X1180" s="9"/>
      <c r="Y1180" s="9"/>
      <c r="Z1180" s="9"/>
      <c r="AA1180" s="9"/>
      <c r="AB1180" s="9"/>
      <c r="AC1180" s="449" t="str">
        <f t="shared" si="133"/>
        <v>PHQ</v>
      </c>
      <c r="AD1180" s="449"/>
      <c r="AE1180" s="449"/>
      <c r="AF1180" s="4"/>
      <c r="AG1180" s="83"/>
      <c r="AH1180" s="4"/>
      <c r="AI1180" s="4"/>
      <c r="AJ1180" s="449"/>
      <c r="AK1180" s="449" t="s">
        <v>451</v>
      </c>
      <c r="AL1180" s="449"/>
      <c r="AM1180" s="449"/>
      <c r="AN1180" s="10">
        <v>5.5</v>
      </c>
      <c r="AO1180" s="9"/>
      <c r="AP1180" s="9"/>
      <c r="AQ1180" s="9"/>
      <c r="AR1180" s="9"/>
      <c r="AS1180" s="9"/>
      <c r="AT1180" s="9">
        <f>+ab($T$1180,$T$1178,$T$1182,$G$1179,$G$1181,-1*$F$1180,1200)</f>
        <v>5.4224225201454246</v>
      </c>
      <c r="AU1180" s="428"/>
      <c r="AV1180" s="428"/>
      <c r="AW1180" s="449" t="s">
        <v>201</v>
      </c>
      <c r="AX1180" s="449" t="s">
        <v>201</v>
      </c>
      <c r="AY1180" s="10" t="str">
        <f>IF(L1180="","",
IF(AX1180="PT",VLOOKUP(L1180,Foundation_Calc!$K$79:$R$113,VLOOKUP(AW1180,Foundation_Calc!$I$2:$J$8,2,FALSE),0),
IF(AX1180="K",VLOOKUP(L1180,Foundation_Calc!$K$117:$R$151,VLOOKUP(AW1180,Foundation_Calc!$I$2:$J$8,2,FALSE),0),"")))</f>
        <v/>
      </c>
      <c r="AZ1180" s="10" t="str">
        <f>IF(K1180="","",
IF(AX1180="PT",VLOOKUP(K1180,Foundation_Calc!$K$79:$R$113,VLOOKUP(AW1180,Foundation_Calc!$I$2:$J$8,2,FALSE),0),
IF(AX1180="K",VLOOKUP(K1180,Foundation_Calc!$K$117:$R$151,VLOOKUP(AW1180,Foundation_Calc!$I$2:$J$8,2,FALSE),0),"")))</f>
        <v/>
      </c>
      <c r="BA1180" s="495" t="str">
        <f t="shared" si="137"/>
        <v/>
      </c>
      <c r="BB1180" s="495" t="str">
        <f t="shared" si="138"/>
        <v/>
      </c>
      <c r="BC1180" s="495" t="str">
        <f t="shared" si="139"/>
        <v/>
      </c>
      <c r="BD1180" s="513"/>
      <c r="BE1180" s="429" t="s">
        <v>118</v>
      </c>
      <c r="BF1180" s="289"/>
      <c r="BG1180" s="289"/>
      <c r="BH1180" s="290"/>
      <c r="BI1180" s="289"/>
    </row>
    <row r="1181" spans="1:61" ht="15.6" customHeight="1">
      <c r="A1181" s="514"/>
      <c r="B1181" s="450"/>
      <c r="C1181" s="3"/>
      <c r="D1181" s="83"/>
      <c r="E1181" s="4"/>
      <c r="F1181" s="4"/>
      <c r="G1181" s="6">
        <v>33.1</v>
      </c>
      <c r="H1181" s="449"/>
      <c r="I1181" s="4"/>
      <c r="J1181" s="3"/>
      <c r="K1181" s="449"/>
      <c r="L1181" s="449"/>
      <c r="M1181" s="449" t="str">
        <f>IF(L1181="","",
IF(AX1181="PT",VLOOKUP(L1181,Foundation_Calc!$V$79:$X$113,VLOOKUP(AX1181,Foundation_Calc!$I$10:$J$13,2,FALSE),0),
IF(AX1181="K",VLOOKUP(L1181,Foundation_Calc!$V$117:$X$151,VLOOKUP(AX1181,Foundation_Calc!$I$10:$J$13,2,FALSE),0),"")))</f>
        <v/>
      </c>
      <c r="N1181" s="449"/>
      <c r="O1181" s="449"/>
      <c r="P1181" s="449"/>
      <c r="Q1181" s="4"/>
      <c r="R1181" s="6"/>
      <c r="S1181" s="6"/>
      <c r="T1181" s="4"/>
      <c r="U1181" s="4"/>
      <c r="V1181" s="4"/>
      <c r="W1181" s="9"/>
      <c r="X1181" s="9"/>
      <c r="Y1181" s="9"/>
      <c r="Z1181" s="9"/>
      <c r="AA1181" s="9"/>
      <c r="AB1181" s="9"/>
      <c r="AC1181" s="449" t="str">
        <f t="shared" si="133"/>
        <v/>
      </c>
      <c r="AD1181" s="449"/>
      <c r="AE1181" s="449"/>
      <c r="AF1181" s="4"/>
      <c r="AG1181" s="83"/>
      <c r="AH1181" s="4"/>
      <c r="AI1181" s="4"/>
      <c r="AJ1181" s="449"/>
      <c r="AK1181" s="449"/>
      <c r="AL1181" s="449"/>
      <c r="AM1181" s="449"/>
      <c r="AN1181" s="10"/>
      <c r="AO1181" s="9"/>
      <c r="AP1181" s="9"/>
      <c r="AQ1181" s="9">
        <f>+FL_1($T$1182,$T$1180,$G$1181,1200,9.28,-1*$F$1182)</f>
        <v>0.35000000000000758</v>
      </c>
      <c r="AR1181" s="9"/>
      <c r="AS1181" s="9"/>
      <c r="AT1181" s="9"/>
      <c r="AU1181" s="428"/>
      <c r="AV1181" s="428"/>
      <c r="AW1181" s="449"/>
      <c r="AX1181" s="449"/>
      <c r="AY1181" s="10" t="str">
        <f>IF(L1181="","",
IF(AX1181="PT",VLOOKUP(L1181,Foundation_Calc!$K$79:$R$113,VLOOKUP(AW1181,Foundation_Calc!$I$2:$J$8,2,FALSE),0),
IF(AX1181="K",VLOOKUP(L1181,Foundation_Calc!$K$117:$R$151,VLOOKUP(AW1181,Foundation_Calc!$I$2:$J$8,2,FALSE),0),"")))</f>
        <v/>
      </c>
      <c r="AZ1181" s="10" t="str">
        <f>IF(K1181="","",
IF(AX1181="PT",VLOOKUP(K1181,Foundation_Calc!$K$79:$R$113,VLOOKUP(AW1181,Foundation_Calc!$I$2:$J$8,2,FALSE),0),
IF(AX1181="K",VLOOKUP(K1181,Foundation_Calc!$K$117:$R$151,VLOOKUP(AW1181,Foundation_Calc!$I$2:$J$8,2,FALSE),0),"")))</f>
        <v/>
      </c>
      <c r="BA1181" s="495" t="str">
        <f t="shared" si="137"/>
        <v/>
      </c>
      <c r="BB1181" s="495" t="str">
        <f t="shared" si="138"/>
        <v/>
      </c>
      <c r="BC1181" s="495" t="str">
        <f t="shared" si="139"/>
        <v/>
      </c>
      <c r="BD1181" s="513"/>
      <c r="BE1181" s="429" t="s">
        <v>118</v>
      </c>
      <c r="BF1181" s="290"/>
      <c r="BG1181" s="290"/>
      <c r="BH1181" s="290"/>
      <c r="BI1181" s="290"/>
    </row>
    <row r="1182" spans="1:61" ht="15.6" customHeight="1">
      <c r="A1182" s="514"/>
      <c r="B1182" s="450" t="s">
        <v>871</v>
      </c>
      <c r="C1182" s="3">
        <f>+$C$1180+$G$1181</f>
        <v>58906.139999999985</v>
      </c>
      <c r="D1182" s="83"/>
      <c r="E1182" s="4"/>
      <c r="F1182" s="4">
        <f>(379^2)/(C1182-58875.23)</f>
        <v>4647.0721449396706</v>
      </c>
      <c r="G1182" s="6"/>
      <c r="H1182" s="449"/>
      <c r="I1182" s="4"/>
      <c r="J1182" s="3"/>
      <c r="K1182" s="449"/>
      <c r="L1182" s="449" t="s">
        <v>201</v>
      </c>
      <c r="M1182" s="449" t="str">
        <f>IF(L1182="","",
IF(AX1182="PT",VLOOKUP(L1182,Foundation_Calc!$V$79:$X$113,VLOOKUP(AX1182,Foundation_Calc!$I$10:$J$13,2,FALSE),0),
IF(AX1182="K",VLOOKUP(L1182,Foundation_Calc!$V$117:$X$151,VLOOKUP(AX1182,Foundation_Calc!$I$10:$J$13,2,FALSE),0),"")))</f>
        <v/>
      </c>
      <c r="N1182" s="449" t="s">
        <v>124</v>
      </c>
      <c r="O1182" s="449"/>
      <c r="P1182" s="449"/>
      <c r="Q1182" s="4"/>
      <c r="R1182" s="6"/>
      <c r="S1182" s="6"/>
      <c r="T1182" s="4">
        <v>-20</v>
      </c>
      <c r="U1182" s="4"/>
      <c r="V1182" s="4"/>
      <c r="W1182" s="572">
        <v>1.2</v>
      </c>
      <c r="X1182" s="572"/>
      <c r="Y1182" s="9"/>
      <c r="Z1182" s="9"/>
      <c r="AA1182" s="9"/>
      <c r="AB1182" s="9"/>
      <c r="AC1182" s="449" t="str">
        <f t="shared" si="133"/>
        <v>PH</v>
      </c>
      <c r="AD1182" s="449"/>
      <c r="AE1182" s="449"/>
      <c r="AF1182" s="4"/>
      <c r="AG1182" s="83"/>
      <c r="AH1182" s="4"/>
      <c r="AI1182" s="4"/>
      <c r="AJ1182" s="449"/>
      <c r="AK1182" s="449" t="s">
        <v>451</v>
      </c>
      <c r="AL1182" s="449"/>
      <c r="AM1182" s="449"/>
      <c r="AN1182" s="10">
        <v>5.5</v>
      </c>
      <c r="AO1182" s="9"/>
      <c r="AP1182" s="9"/>
      <c r="AQ1182" s="9"/>
      <c r="AR1182" s="9"/>
      <c r="AS1182" s="9"/>
      <c r="AT1182" s="9">
        <f>+ab($T$1182,$T$1180,$T$1184,$G$1181,$G$1183,-1*$F$1182,1200)</f>
        <v>-9.2805469677032306</v>
      </c>
      <c r="AU1182" s="428"/>
      <c r="AV1182" s="428"/>
      <c r="AW1182" s="449" t="s">
        <v>201</v>
      </c>
      <c r="AX1182" s="449" t="s">
        <v>201</v>
      </c>
      <c r="AY1182" s="10" t="str">
        <f>IF(L1182="","",
IF(AX1182="PT",VLOOKUP(L1182,Foundation_Calc!$K$79:$R$113,VLOOKUP(AW1182,Foundation_Calc!$I$2:$J$8,2,FALSE),0),
IF(AX1182="K",VLOOKUP(L1182,Foundation_Calc!$K$117:$R$151,VLOOKUP(AW1182,Foundation_Calc!$I$2:$J$8,2,FALSE),0),"")))</f>
        <v/>
      </c>
      <c r="AZ1182" s="10" t="str">
        <f>IF(K1182="","",
IF(AX1182="PT",VLOOKUP(K1182,Foundation_Calc!$K$79:$R$113,VLOOKUP(AW1182,Foundation_Calc!$I$2:$J$8,2,FALSE),0),
IF(AX1182="K",VLOOKUP(K1182,Foundation_Calc!$K$117:$R$151,VLOOKUP(AW1182,Foundation_Calc!$I$2:$J$8,2,FALSE),0),"")))</f>
        <v/>
      </c>
      <c r="BA1182" s="495" t="str">
        <f t="shared" si="137"/>
        <v/>
      </c>
      <c r="BB1182" s="495" t="str">
        <f t="shared" si="138"/>
        <v/>
      </c>
      <c r="BC1182" s="495" t="str">
        <f t="shared" si="139"/>
        <v/>
      </c>
      <c r="BD1182" s="513"/>
      <c r="BE1182" s="429" t="s">
        <v>118</v>
      </c>
      <c r="BF1182" s="289"/>
      <c r="BG1182" s="289"/>
      <c r="BH1182" s="290"/>
      <c r="BI1182" s="289"/>
    </row>
    <row r="1183" spans="1:61" ht="15.6" customHeight="1">
      <c r="A1183" s="514"/>
      <c r="B1183" s="450"/>
      <c r="C1183" s="3"/>
      <c r="D1183" s="83"/>
      <c r="E1183" s="4"/>
      <c r="F1183" s="4"/>
      <c r="G1183" s="6">
        <v>32</v>
      </c>
      <c r="H1183" s="449"/>
      <c r="I1183" s="4">
        <f>SUM(G1165:G1183)</f>
        <v>417.90000000000003</v>
      </c>
      <c r="J1183" s="3"/>
      <c r="K1183" s="449"/>
      <c r="L1183" s="449"/>
      <c r="M1183" s="449" t="str">
        <f>IF(L1183="","",
IF(AX1183="PT",VLOOKUP(L1183,Foundation_Calc!$V$79:$X$113,VLOOKUP(AX1183,Foundation_Calc!$I$10:$J$13,2,FALSE),0),
IF(AX1183="K",VLOOKUP(L1183,Foundation_Calc!$V$117:$X$151,VLOOKUP(AX1183,Foundation_Calc!$I$10:$J$13,2,FALSE),0),"")))</f>
        <v/>
      </c>
      <c r="N1183" s="449"/>
      <c r="O1183" s="449"/>
      <c r="P1183" s="449"/>
      <c r="Q1183" s="4"/>
      <c r="R1183" s="6"/>
      <c r="S1183" s="6"/>
      <c r="T1183" s="4"/>
      <c r="U1183" s="4"/>
      <c r="V1183" s="4"/>
      <c r="W1183" s="572"/>
      <c r="X1183" s="572"/>
      <c r="Y1183" s="9"/>
      <c r="Z1183" s="9"/>
      <c r="AA1183" s="9"/>
      <c r="AB1183" s="9"/>
      <c r="AC1183" s="449" t="str">
        <f t="shared" si="133"/>
        <v/>
      </c>
      <c r="AD1183" s="449"/>
      <c r="AE1183" s="449"/>
      <c r="AF1183" s="4"/>
      <c r="AG1183" s="83"/>
      <c r="AH1183" s="4"/>
      <c r="AI1183" s="4"/>
      <c r="AJ1183" s="449"/>
      <c r="AK1183" s="449" t="s">
        <v>872</v>
      </c>
      <c r="AL1183" s="449"/>
      <c r="AM1183" s="449"/>
      <c r="AN1183" s="10"/>
      <c r="AO1183" s="9"/>
      <c r="AP1183" s="9"/>
      <c r="AQ1183" s="9">
        <f>+FL_2($T$1184,$T$1182,$G$1183,1200,9.28,-1*$F$1184)</f>
        <v>-0.30748623846287737</v>
      </c>
      <c r="AR1183" s="9"/>
      <c r="AS1183" s="9"/>
      <c r="AT1183" s="9"/>
      <c r="AU1183" s="428"/>
      <c r="AV1183" s="428"/>
      <c r="AW1183" s="449" t="str">
        <f>IF(C1183&gt;0,VLOOKUP(C1183,Foundation_Calc!$A$2:$C$13,3,1),
IF(J1183&gt;0,VLOOKUP(J1183,Foundation_Calc!$A$2:$C$13,3,1),""))</f>
        <v/>
      </c>
      <c r="AX1183" s="449" t="str">
        <f>IF(C1183&gt;0,VLOOKUP(C1183,Foundation_Calc!$E$2:$G$33,3,1),
IF(J1183&gt;0,VLOOKUP(J1183,Foundation_Calc!$E$2:$G$33,3,1),""))</f>
        <v/>
      </c>
      <c r="AY1183" s="10" t="str">
        <f>IF(L1183="","",
IF(AX1183="PT",VLOOKUP(L1183,Foundation_Calc!$K$79:$R$113,VLOOKUP(AW1183,Foundation_Calc!$I$2:$J$8,2,FALSE),0),
IF(AX1183="K",VLOOKUP(L1183,Foundation_Calc!$K$117:$R$151,VLOOKUP(AW1183,Foundation_Calc!$I$2:$J$8,2,FALSE),0),"")))</f>
        <v/>
      </c>
      <c r="AZ1183" s="10" t="str">
        <f>IF(K1183="","",
IF(AX1183="PT",VLOOKUP(K1183,Foundation_Calc!$K$79:$R$113,VLOOKUP(AW1183,Foundation_Calc!$I$2:$J$8,2,FALSE),0),
IF(AX1183="K",VLOOKUP(K1183,Foundation_Calc!$K$117:$R$151,VLOOKUP(AW1183,Foundation_Calc!$I$2:$J$8,2,FALSE),0),"")))</f>
        <v/>
      </c>
      <c r="BA1183" s="495" t="str">
        <f t="shared" si="137"/>
        <v/>
      </c>
      <c r="BB1183" s="495" t="str">
        <f t="shared" si="138"/>
        <v/>
      </c>
      <c r="BC1183" s="495" t="str">
        <f t="shared" si="139"/>
        <v/>
      </c>
      <c r="BD1183" s="513" t="str">
        <f>IF(AND(L1183="",H1183=""),"",
IF(H1183="",Pole_Calc!A$9,
IF(H1183="MP",Pole_Calc!A$10,
IF(H1183="AnMP",Pole_Calc!A$11,
IF(H1183="A",Pole_Calc!A$12,
IF(H1183="S/A",Pole_Calc!A$13,
IF(H1183="A/S",Pole_Calc!A$14,"Poner a mano")))))))</f>
        <v/>
      </c>
      <c r="BE1183" s="429" t="s">
        <v>118</v>
      </c>
      <c r="BF1183" s="290"/>
      <c r="BG1183" s="290"/>
      <c r="BH1183" s="290"/>
      <c r="BI1183" s="290"/>
    </row>
    <row r="1184" spans="1:61" ht="15.6" customHeight="1">
      <c r="A1184" s="514"/>
      <c r="B1184" s="450" t="s">
        <v>873</v>
      </c>
      <c r="C1184" s="3">
        <f>+$C$1182+$G$1183</f>
        <v>58938.139999999985</v>
      </c>
      <c r="D1184" s="83"/>
      <c r="E1184" s="4"/>
      <c r="F1184" s="4">
        <f>(379^2)/(C1184-58875.23)</f>
        <v>2283.277698299823</v>
      </c>
      <c r="G1184" s="6"/>
      <c r="H1184" s="449" t="s">
        <v>171</v>
      </c>
      <c r="I1184" s="4"/>
      <c r="J1184" s="3"/>
      <c r="K1184" s="449"/>
      <c r="L1184" s="449" t="s">
        <v>201</v>
      </c>
      <c r="M1184" s="449" t="str">
        <f>IF(L1184="","",
IF(AX1184="PT",VLOOKUP(L1184,Foundation_Calc!$V$79:$X$113,VLOOKUP(AX1184,Foundation_Calc!$I$10:$J$13,2,FALSE),0),
IF(AX1184="K",VLOOKUP(L1184,Foundation_Calc!$V$117:$X$151,VLOOKUP(AX1184,Foundation_Calc!$I$10:$J$13,2,FALSE),0),"")))</f>
        <v/>
      </c>
      <c r="N1184" s="449" t="s">
        <v>124</v>
      </c>
      <c r="O1184" s="449"/>
      <c r="P1184" s="449"/>
      <c r="Q1184" s="4"/>
      <c r="R1184" s="6"/>
      <c r="S1184" s="6"/>
      <c r="T1184" s="4">
        <v>-30</v>
      </c>
      <c r="U1184" s="4"/>
      <c r="V1184" s="4"/>
      <c r="W1184" s="572">
        <v>1.1000000000000001</v>
      </c>
      <c r="X1184" s="572"/>
      <c r="Y1184" s="9"/>
      <c r="Z1184" s="9"/>
      <c r="AA1184" s="9"/>
      <c r="AB1184" s="9"/>
      <c r="AC1184" s="449" t="str">
        <f t="shared" si="133"/>
        <v>PH</v>
      </c>
      <c r="AD1184" s="449"/>
      <c r="AE1184" s="449"/>
      <c r="AF1184" s="4"/>
      <c r="AG1184" s="83"/>
      <c r="AH1184" s="4"/>
      <c r="AI1184" s="4"/>
      <c r="AJ1184" s="449"/>
      <c r="AK1184" s="449" t="s">
        <v>451</v>
      </c>
      <c r="AL1184" s="449"/>
      <c r="AM1184" s="449"/>
      <c r="AN1184" s="10">
        <f>AN1186+0.04</f>
        <v>5.4700000000000006</v>
      </c>
      <c r="AO1184" s="9"/>
      <c r="AP1184" s="9"/>
      <c r="AQ1184" s="9"/>
      <c r="AR1184" s="9"/>
      <c r="AS1184" s="9"/>
      <c r="AT1184" s="9">
        <f>+ab($T$1184,$T$1182,$T$1186,$G$1183,$G$1185,-1*$F$1184,1200)</f>
        <v>-10.722173641098459</v>
      </c>
      <c r="AU1184" s="428"/>
      <c r="AV1184" s="428"/>
      <c r="AW1184" s="449" t="s">
        <v>201</v>
      </c>
      <c r="AX1184" s="449" t="s">
        <v>201</v>
      </c>
      <c r="AY1184" s="10" t="str">
        <f>IF(L1184="","",
IF(AX1184="PT",VLOOKUP(L1184,Foundation_Calc!$K$79:$R$113,VLOOKUP(AW1184,Foundation_Calc!$I$2:$J$8,2,FALSE),0),
IF(AX1184="K",VLOOKUP(L1184,Foundation_Calc!$K$117:$R$151,VLOOKUP(AW1184,Foundation_Calc!$I$2:$J$8,2,FALSE),0),"")))</f>
        <v/>
      </c>
      <c r="AZ1184" s="10" t="str">
        <f>IF(K1184="","",
IF(AX1184="PT",VLOOKUP(K1184,Foundation_Calc!$K$79:$R$113,VLOOKUP(AW1184,Foundation_Calc!$I$2:$J$8,2,FALSE),0),
IF(AX1184="K",VLOOKUP(K1184,Foundation_Calc!$K$117:$R$151,VLOOKUP(AW1184,Foundation_Calc!$I$2:$J$8,2,FALSE),0),"")))</f>
        <v/>
      </c>
      <c r="BA1184" s="495" t="str">
        <f t="shared" si="137"/>
        <v/>
      </c>
      <c r="BB1184" s="495" t="str">
        <f t="shared" si="138"/>
        <v/>
      </c>
      <c r="BC1184" s="495" t="str">
        <f t="shared" si="139"/>
        <v/>
      </c>
      <c r="BD1184" s="513"/>
      <c r="BE1184" s="429" t="s">
        <v>118</v>
      </c>
      <c r="BF1184" s="289"/>
      <c r="BG1184" s="289"/>
      <c r="BH1184" s="290"/>
      <c r="BI1184" s="289"/>
    </row>
    <row r="1185" spans="1:61" ht="15.6" customHeight="1">
      <c r="A1185" s="514"/>
      <c r="B1185" s="450"/>
      <c r="C1185" s="3"/>
      <c r="D1185" s="83"/>
      <c r="E1185" s="4"/>
      <c r="F1185" s="4"/>
      <c r="G1185" s="6">
        <v>34.5</v>
      </c>
      <c r="H1185" s="449"/>
      <c r="I1185" s="4">
        <f>SUM(G1185:G1201)</f>
        <v>331.5</v>
      </c>
      <c r="J1185" s="3"/>
      <c r="K1185" s="449"/>
      <c r="L1185" s="449"/>
      <c r="M1185" s="449" t="str">
        <f>IF(L1185="","",
IF(AX1185="PT",VLOOKUP(L1185,Foundation_Calc!$V$79:$X$113,VLOOKUP(AX1185,Foundation_Calc!$I$10:$J$13,2,FALSE),0),
IF(AX1185="K",VLOOKUP(L1185,Foundation_Calc!$V$117:$X$151,VLOOKUP(AX1185,Foundation_Calc!$I$10:$J$13,2,FALSE),0),"")))</f>
        <v/>
      </c>
      <c r="N1185" s="449"/>
      <c r="O1185" s="449"/>
      <c r="P1185" s="449"/>
      <c r="Q1185" s="4"/>
      <c r="R1185" s="6"/>
      <c r="S1185" s="6"/>
      <c r="T1185" s="4"/>
      <c r="U1185" s="4"/>
      <c r="V1185" s="4"/>
      <c r="W1185" s="572"/>
      <c r="X1185" s="572"/>
      <c r="Y1185" s="9"/>
      <c r="Z1185" s="9"/>
      <c r="AA1185" s="9"/>
      <c r="AB1185" s="9"/>
      <c r="AC1185" s="449" t="str">
        <f t="shared" si="133"/>
        <v/>
      </c>
      <c r="AD1185" s="449"/>
      <c r="AE1185" s="449"/>
      <c r="AF1185" s="4"/>
      <c r="AG1185" s="83"/>
      <c r="AH1185" s="4"/>
      <c r="AI1185" s="4"/>
      <c r="AJ1185" s="449"/>
      <c r="AK1185" s="449"/>
      <c r="AL1185" s="449"/>
      <c r="AM1185" s="449"/>
      <c r="AN1185" s="10"/>
      <c r="AO1185" s="9"/>
      <c r="AP1185" s="9"/>
      <c r="AQ1185" s="9">
        <f>+FL_2($T$1186,$T$1184,$G$1185,1200,9.28,-1*$F$1186)</f>
        <v>-0.31415819261532041</v>
      </c>
      <c r="AR1185" s="9"/>
      <c r="AS1185" s="9"/>
      <c r="AT1185" s="9"/>
      <c r="AU1185" s="428"/>
      <c r="AV1185" s="428"/>
      <c r="AW1185" s="449" t="str">
        <f>IF(C1185&gt;0,VLOOKUP(C1185,Foundation_Calc!$A$2:$C$13,3,1),
IF(J1185&gt;0,VLOOKUP(J1185,Foundation_Calc!$A$2:$C$13,3,1),""))</f>
        <v/>
      </c>
      <c r="AX1185" s="449" t="str">
        <f>IF(C1185&gt;0,VLOOKUP(C1185,Foundation_Calc!$E$2:$G$33,3,1),
IF(J1185&gt;0,VLOOKUP(J1185,Foundation_Calc!$E$2:$G$33,3,1),""))</f>
        <v/>
      </c>
      <c r="AY1185" s="10" t="str">
        <f>IF(L1185="","",
IF(AX1185="PT",VLOOKUP(L1185,Foundation_Calc!$K$79:$R$113,VLOOKUP(AW1185,Foundation_Calc!$I$2:$J$8,2,FALSE),0),
IF(AX1185="K",VLOOKUP(L1185,Foundation_Calc!$K$117:$R$151,VLOOKUP(AW1185,Foundation_Calc!$I$2:$J$8,2,FALSE),0),"")))</f>
        <v/>
      </c>
      <c r="AZ1185" s="10" t="str">
        <f>IF(K1185="","",
IF(AX1185="PT",VLOOKUP(K1185,Foundation_Calc!$K$79:$R$113,VLOOKUP(AW1185,Foundation_Calc!$I$2:$J$8,2,FALSE),0),
IF(AX1185="K",VLOOKUP(K1185,Foundation_Calc!$K$117:$R$151,VLOOKUP(AW1185,Foundation_Calc!$I$2:$J$8,2,FALSE),0),"")))</f>
        <v/>
      </c>
      <c r="BA1185" s="495" t="str">
        <f t="shared" si="137"/>
        <v/>
      </c>
      <c r="BB1185" s="495" t="str">
        <f t="shared" si="138"/>
        <v/>
      </c>
      <c r="BC1185" s="495" t="str">
        <f t="shared" si="139"/>
        <v/>
      </c>
      <c r="BD1185" s="513" t="str">
        <f>IF(AND(L1185="",H1185=""),"",
IF(H1185="",Pole_Calc!A$9,
IF(H1185="MP",Pole_Calc!A$10,
IF(H1185="AnMP",Pole_Calc!A$11,
IF(H1185="A",Pole_Calc!A$12,
IF(H1185="S/A",Pole_Calc!A$13,
IF(H1185="A/S",Pole_Calc!A$14,"Poner a mano")))))))</f>
        <v/>
      </c>
      <c r="BE1185" s="429" t="s">
        <v>118</v>
      </c>
      <c r="BF1185" s="290"/>
      <c r="BG1185" s="290"/>
      <c r="BH1185" s="290"/>
      <c r="BI1185" s="290"/>
    </row>
    <row r="1186" spans="1:61" ht="15.6" customHeight="1">
      <c r="A1186" s="514"/>
      <c r="B1186" s="450" t="s">
        <v>874</v>
      </c>
      <c r="C1186" s="3">
        <f>+$C$1184+$G$1185</f>
        <v>58972.639999999985</v>
      </c>
      <c r="D1186" s="83"/>
      <c r="E1186" s="4"/>
      <c r="F1186" s="4">
        <f>(379^2)/(C1186-58875.23)</f>
        <v>1474.6021968999798</v>
      </c>
      <c r="G1186" s="6"/>
      <c r="H1186" s="449" t="s">
        <v>168</v>
      </c>
      <c r="I1186" s="4"/>
      <c r="J1186" s="3"/>
      <c r="K1186" s="449"/>
      <c r="L1186" s="449" t="s">
        <v>158</v>
      </c>
      <c r="M1186" s="449" t="str">
        <f>IF(L1186="","",
IF(AX1186="PT",VLOOKUP(L1186,Foundation_Calc!$V$79:$X$113,VLOOKUP(AX1186,Foundation_Calc!$I$10:$J$13,2,FALSE),0),
IF(AX1186="K",VLOOKUP(L1186,Foundation_Calc!$V$117:$X$151,VLOOKUP(AX1186,Foundation_Calc!$I$10:$J$13,2,FALSE),0),"")))</f>
        <v>C4R</v>
      </c>
      <c r="N1186" s="449" t="s">
        <v>124</v>
      </c>
      <c r="O1186" s="449"/>
      <c r="P1186" s="449"/>
      <c r="Q1186" s="4"/>
      <c r="R1186" s="6"/>
      <c r="S1186" s="6"/>
      <c r="T1186" s="4">
        <v>-30</v>
      </c>
      <c r="U1186" s="4"/>
      <c r="V1186" s="4"/>
      <c r="W1186" s="572">
        <v>0.8</v>
      </c>
      <c r="X1186" s="572"/>
      <c r="Y1186" s="9"/>
      <c r="Z1186" s="9"/>
      <c r="AA1186" s="9"/>
      <c r="AB1186" s="9"/>
      <c r="AC1186" s="449" t="str">
        <f t="shared" si="133"/>
        <v>PHQ</v>
      </c>
      <c r="AD1186" s="449"/>
      <c r="AE1186" s="449"/>
      <c r="AF1186" s="4"/>
      <c r="AG1186" s="83"/>
      <c r="AH1186" s="4"/>
      <c r="AI1186" s="4"/>
      <c r="AJ1186" s="449"/>
      <c r="AK1186" s="449"/>
      <c r="AL1186" s="449"/>
      <c r="AM1186" s="449" t="s">
        <v>126</v>
      </c>
      <c r="AN1186" s="10">
        <f>AN1188+0.03</f>
        <v>5.4300000000000006</v>
      </c>
      <c r="AO1186" s="9"/>
      <c r="AP1186" s="9"/>
      <c r="AQ1186" s="9"/>
      <c r="AR1186" s="9"/>
      <c r="AS1186" s="9"/>
      <c r="AT1186" s="9">
        <f>+ab($T$1186,$T$1184,$T$1188,$G$1185,$G$1187,-1*$F$1186,1200)</f>
        <v>-7.5523388983005564</v>
      </c>
      <c r="AU1186" s="428"/>
      <c r="AV1186" s="428"/>
      <c r="AW1186" s="449" t="str">
        <f>IF(C1186&gt;0,VLOOKUP(C1186,Foundation_Calc!$A$2:$C$13,3,1),
IF(J1186&gt;0,VLOOKUP(J1186,Foundation_Calc!$A$2:$C$13,3,1),""))</f>
        <v>Multi Soil</v>
      </c>
      <c r="AX1186" s="449" t="str">
        <f>IF(C1186&gt;0,VLOOKUP(C1186,Foundation_Calc!$E$2:$G$33,3,1),
IF(J1186&gt;0,VLOOKUP(J1186,Foundation_Calc!$E$2:$G$33,3,1),""))</f>
        <v>PT</v>
      </c>
      <c r="AY1186" s="10">
        <f>IF(L1186="","",
IF(AX1186="PT",VLOOKUP(L1186,Foundation_Calc!$K$79:$R$113,VLOOKUP(AW1186,Foundation_Calc!$I$2:$J$8,2,FALSE),0),
IF(AX1186="K",VLOOKUP(L1186,Foundation_Calc!$K$117:$R$151,VLOOKUP(AW1186,Foundation_Calc!$I$2:$J$8,2,FALSE),0),"")))</f>
        <v>3.5</v>
      </c>
      <c r="AZ1186" s="10" t="str">
        <f>IF(K1186="","",
IF(AX1186="PT",VLOOKUP(K1186,Foundation_Calc!$K$79:$R$113,VLOOKUP(AW1186,Foundation_Calc!$I$2:$J$8,2,FALSE),0),
IF(AX1186="K",VLOOKUP(K1186,Foundation_Calc!$K$117:$R$151,VLOOKUP(AW1186,Foundation_Calc!$I$2:$J$8,2,FALSE),0),"")))</f>
        <v/>
      </c>
      <c r="BA1186" s="495" t="str">
        <f t="shared" si="137"/>
        <v>ü</v>
      </c>
      <c r="BB1186" s="495" t="str">
        <f t="shared" si="138"/>
        <v/>
      </c>
      <c r="BC1186" s="495" t="str">
        <f t="shared" si="139"/>
        <v/>
      </c>
      <c r="BD1186" s="513" t="str">
        <f>IF(AND(L1186="",H1186=""),"",
IF(H1186="",Pole_Calc!A$9,
IF(H1186="MP",Pole_Calc!A$10,
IF(H1186="AnMP",Pole_Calc!A$11,
IF(H1186="A",Pole_Calc!A$12,
IF(H1186="S/A",Pole_Calc!A$13,
IF(H1186="A/S",Pole_Calc!A$14,"Poner a mano")))))))</f>
        <v>App.7-V11I-P9.5.1.3</v>
      </c>
      <c r="BE1186" s="429" t="s">
        <v>118</v>
      </c>
      <c r="BF1186" s="289"/>
      <c r="BG1186" s="289"/>
      <c r="BH1186" s="290"/>
      <c r="BI1186" s="289"/>
    </row>
    <row r="1187" spans="1:61" ht="15.6" customHeight="1">
      <c r="A1187" s="514"/>
      <c r="B1187" s="450"/>
      <c r="C1187" s="3"/>
      <c r="D1187" s="83"/>
      <c r="E1187" s="4"/>
      <c r="F1187" s="4"/>
      <c r="G1187" s="6">
        <v>40</v>
      </c>
      <c r="H1187" s="449"/>
      <c r="I1187" s="4"/>
      <c r="J1187" s="3">
        <f>C1186+7.5</f>
        <v>58980.139999999985</v>
      </c>
      <c r="K1187" s="449" t="s">
        <v>166</v>
      </c>
      <c r="L1187" s="449"/>
      <c r="M1187" s="449" t="str">
        <f>IF(L1187="","",
IF(AX1187="PT",VLOOKUP(L1187,Foundation_Calc!$V$79:$X$113,VLOOKUP(AX1187,Foundation_Calc!$I$10:$J$13,2,FALSE),0),
IF(AX1187="K",VLOOKUP(L1187,Foundation_Calc!$V$117:$X$151,VLOOKUP(AX1187,Foundation_Calc!$I$10:$J$13,2,FALSE),0),"")))</f>
        <v/>
      </c>
      <c r="N1187" s="449"/>
      <c r="O1187" s="449"/>
      <c r="P1187" s="449"/>
      <c r="Q1187" s="4"/>
      <c r="R1187" s="6"/>
      <c r="S1187" s="6"/>
      <c r="T1187" s="4"/>
      <c r="U1187" s="4"/>
      <c r="V1187" s="4"/>
      <c r="W1187" s="572"/>
      <c r="X1187" s="572"/>
      <c r="Y1187" s="9"/>
      <c r="Z1187" s="9"/>
      <c r="AA1187" s="9"/>
      <c r="AB1187" s="9"/>
      <c r="AC1187" s="449" t="str">
        <f t="shared" si="133"/>
        <v/>
      </c>
      <c r="AD1187" s="449"/>
      <c r="AE1187" s="449"/>
      <c r="AF1187" s="4"/>
      <c r="AG1187" s="83"/>
      <c r="AH1187" s="4"/>
      <c r="AI1187" s="4"/>
      <c r="AJ1187" s="449"/>
      <c r="AK1187" s="449"/>
      <c r="AL1187" s="449"/>
      <c r="AM1187" s="449"/>
      <c r="AN1187" s="10"/>
      <c r="AO1187" s="9"/>
      <c r="AP1187" s="9"/>
      <c r="AQ1187" s="9">
        <f>+FL_2($T$1188,$T$1186,$G$1187,1200,9.28,-1*$F$1188)</f>
        <v>-0.3</v>
      </c>
      <c r="AR1187" s="9"/>
      <c r="AS1187" s="9"/>
      <c r="AT1187" s="9"/>
      <c r="AU1187" s="428"/>
      <c r="AV1187" s="428"/>
      <c r="AW1187" s="449" t="str">
        <f>IF(C1187&gt;0,VLOOKUP(C1187,Foundation_Calc!$A$2:$C$13,3,1),
IF(J1187&gt;0,VLOOKUP(J1187,Foundation_Calc!$A$2:$C$13,3,1),""))</f>
        <v>Multi Soil</v>
      </c>
      <c r="AX1187" s="449" t="str">
        <f>IF(C1187&gt;0,VLOOKUP(C1187,Foundation_Calc!$E$2:$G$33,3,1),
IF(J1187&gt;0,VLOOKUP(J1187,Foundation_Calc!$E$2:$G$33,3,1),""))</f>
        <v>PT</v>
      </c>
      <c r="AY1187" s="10" t="str">
        <f>IF(L1187="","",
IF(AX1187="PT",VLOOKUP(L1187,Foundation_Calc!$K$79:$R$113,VLOOKUP(AW1187,Foundation_Calc!$I$2:$J$8,2,FALSE),0),
IF(AX1187="K",VLOOKUP(L1187,Foundation_Calc!$K$117:$R$151,VLOOKUP(AW1187,Foundation_Calc!$I$2:$J$8,2,FALSE),0),"")))</f>
        <v/>
      </c>
      <c r="AZ1187" s="10">
        <f>IF(K1187="","",
IF(AX1187="PT",VLOOKUP(K1187,Foundation_Calc!$K$79:$R$113,VLOOKUP(AW1187,Foundation_Calc!$I$2:$J$8,2,FALSE),0),
IF(AX1187="K",VLOOKUP(K1187,Foundation_Calc!$K$117:$R$151,VLOOKUP(AW1187,Foundation_Calc!$I$2:$J$8,2,FALSE),0),"")))</f>
        <v>2.8</v>
      </c>
      <c r="BA1187" s="495" t="str">
        <f t="shared" si="137"/>
        <v/>
      </c>
      <c r="BB1187" s="495" t="str">
        <f t="shared" si="138"/>
        <v>ü</v>
      </c>
      <c r="BC1187" s="495" t="str">
        <f t="shared" si="139"/>
        <v/>
      </c>
      <c r="BD1187" s="513" t="str">
        <f>IF(AND(L1187="",H1187=""),"",
IF(H1187="",Pole_Calc!A$9,
IF(H1187="MP",Pole_Calc!A$10,
IF(H1187="AnMP",Pole_Calc!A$11,
IF(H1187="A",Pole_Calc!A$12,
IF(H1187="S/A",Pole_Calc!A$13,
IF(H1187="A/S",Pole_Calc!A$14,"Poner a mano")))))))</f>
        <v/>
      </c>
      <c r="BE1187" s="429" t="s">
        <v>118</v>
      </c>
      <c r="BF1187" s="290"/>
      <c r="BG1187" s="290"/>
      <c r="BH1187" s="290"/>
      <c r="BI1187" s="290"/>
    </row>
    <row r="1188" spans="1:61" ht="15.6" customHeight="1">
      <c r="A1188" s="514"/>
      <c r="B1188" s="720" t="s">
        <v>875</v>
      </c>
      <c r="C1188" s="3">
        <f>+$C$1186+$G$1187</f>
        <v>59012.639999999985</v>
      </c>
      <c r="D1188" s="83"/>
      <c r="E1188" s="4"/>
      <c r="F1188" s="4">
        <f>IF(C1188&gt;0,VLOOKUP(C1188,'ALIGNMENT TRACK'!$A$1:$K$81,9,1))</f>
        <v>1200</v>
      </c>
      <c r="G1188" s="6"/>
      <c r="H1188" s="449"/>
      <c r="I1188" s="4"/>
      <c r="J1188" s="3"/>
      <c r="K1188" s="449"/>
      <c r="L1188" s="449" t="s">
        <v>232</v>
      </c>
      <c r="M1188" s="449" t="str">
        <f>IF(L1188="","",
IF(AX1188="PT",VLOOKUP(L1188,Foundation_Calc!$V$79:$X$113,VLOOKUP(AX1188,Foundation_Calc!$I$10:$J$13,2,FALSE),0),
IF(AX1188="K",VLOOKUP(L1188,Foundation_Calc!$V$117:$X$151,VLOOKUP(AX1188,Foundation_Calc!$I$10:$J$13,2,FALSE),0),"")))</f>
        <v>C5R</v>
      </c>
      <c r="N1188" s="449" t="s">
        <v>124</v>
      </c>
      <c r="O1188" s="449"/>
      <c r="P1188" s="449"/>
      <c r="Q1188" s="4"/>
      <c r="R1188" s="6"/>
      <c r="S1188" s="6"/>
      <c r="T1188" s="4">
        <v>-30</v>
      </c>
      <c r="U1188" s="4"/>
      <c r="V1188" s="4"/>
      <c r="W1188" s="572">
        <v>0.6</v>
      </c>
      <c r="X1188" s="572"/>
      <c r="Y1188" s="9"/>
      <c r="Z1188" s="9"/>
      <c r="AA1188" s="9"/>
      <c r="AB1188" s="9"/>
      <c r="AC1188" s="449" t="str">
        <f t="shared" si="133"/>
        <v>PHQ</v>
      </c>
      <c r="AD1188" s="449"/>
      <c r="AE1188" s="449"/>
      <c r="AF1188" s="4"/>
      <c r="AG1188" s="83"/>
      <c r="AH1188" s="4"/>
      <c r="AI1188" s="4"/>
      <c r="AJ1188" s="449"/>
      <c r="AK1188" s="449"/>
      <c r="AL1188" s="449" t="s">
        <v>241</v>
      </c>
      <c r="AM1188" s="449" t="s">
        <v>126</v>
      </c>
      <c r="AN1188" s="10">
        <v>5.4</v>
      </c>
      <c r="AO1188" s="9"/>
      <c r="AP1188" s="9"/>
      <c r="AQ1188" s="9"/>
      <c r="AR1188" s="9"/>
      <c r="AS1188" s="9"/>
      <c r="AT1188" s="9">
        <f>+ab($T$1188,$T$1186,$T$1190,$G$1187,$G$1189,-1*$F$1188,1200)</f>
        <v>-6.5504869627694697</v>
      </c>
      <c r="AU1188" s="428"/>
      <c r="AV1188" s="428"/>
      <c r="AW1188" s="449" t="str">
        <f>IF(C1188&gt;0,VLOOKUP(C1188,Foundation_Calc!$A$2:$C$13,3,1),
IF(J1188&gt;0,VLOOKUP(J1188,Foundation_Calc!$A$2:$C$13,3,1),""))</f>
        <v>Multi Soil</v>
      </c>
      <c r="AX1188" s="449" t="str">
        <f>IF(C1188&gt;0,VLOOKUP(C1188,Foundation_Calc!$E$2:$G$33,3,1),
IF(J1188&gt;0,VLOOKUP(J1188,Foundation_Calc!$E$2:$G$33,3,1),""))</f>
        <v>PT</v>
      </c>
      <c r="AY1188" s="10">
        <f>IF(L1188="","",
IF(AX1188="PT",VLOOKUP(L1188,Foundation_Calc!$K$79:$R$113,VLOOKUP(AW1188,Foundation_Calc!$I$2:$J$8,2,FALSE),0),
IF(AX1188="K",VLOOKUP(L1188,Foundation_Calc!$K$117:$R$151,VLOOKUP(AW1188,Foundation_Calc!$I$2:$J$8,2,FALSE),0),"")))</f>
        <v>3.5</v>
      </c>
      <c r="AZ1188" s="10" t="str">
        <f>IF(K1188="","",
IF(AX1188="PT",VLOOKUP(K1188,Foundation_Calc!$K$79:$R$113,VLOOKUP(AW1188,Foundation_Calc!$I$2:$J$8,2,FALSE),0),
IF(AX1188="K",VLOOKUP(K1188,Foundation_Calc!$K$117:$R$151,VLOOKUP(AW1188,Foundation_Calc!$I$2:$J$8,2,FALSE),0),"")))</f>
        <v/>
      </c>
      <c r="BA1188" s="495" t="str">
        <f t="shared" si="137"/>
        <v>ü</v>
      </c>
      <c r="BB1188" s="495" t="str">
        <f t="shared" si="138"/>
        <v/>
      </c>
      <c r="BC1188" s="495" t="str">
        <f t="shared" si="139"/>
        <v/>
      </c>
      <c r="BD1188" s="513" t="str">
        <f>Pole_Calc!A$251</f>
        <v>App.8-V08H-P10.3</v>
      </c>
      <c r="BE1188" s="429" t="s">
        <v>118</v>
      </c>
      <c r="BF1188" s="289"/>
      <c r="BG1188" s="289"/>
      <c r="BH1188" s="290"/>
      <c r="BI1188" s="289"/>
    </row>
    <row r="1189" spans="1:61" ht="15.6" customHeight="1">
      <c r="A1189" s="514" t="s">
        <v>199</v>
      </c>
      <c r="B1189" s="450"/>
      <c r="C1189" s="3"/>
      <c r="D1189" s="83"/>
      <c r="E1189" s="4"/>
      <c r="F1189" s="4"/>
      <c r="G1189" s="6">
        <v>30</v>
      </c>
      <c r="H1189" s="449"/>
      <c r="I1189" s="4"/>
      <c r="J1189" s="3"/>
      <c r="K1189" s="449"/>
      <c r="L1189" s="449"/>
      <c r="M1189" s="449" t="str">
        <f>IF(L1189="","",
IF(AX1189="PT",VLOOKUP(L1189,Foundation_Calc!$V$79:$X$113,VLOOKUP(AX1189,Foundation_Calc!$I$10:$J$13,2,FALSE),0),
IF(AX1189="K",VLOOKUP(L1189,Foundation_Calc!$V$117:$X$151,VLOOKUP(AX1189,Foundation_Calc!$I$10:$J$13,2,FALSE),0),"")))</f>
        <v/>
      </c>
      <c r="N1189" s="449"/>
      <c r="O1189" s="449"/>
      <c r="P1189" s="449"/>
      <c r="Q1189" s="4"/>
      <c r="R1189" s="6"/>
      <c r="S1189" s="6"/>
      <c r="T1189" s="4"/>
      <c r="U1189" s="4"/>
      <c r="V1189" s="4"/>
      <c r="W1189" s="572"/>
      <c r="X1189" s="572"/>
      <c r="Y1189" s="9"/>
      <c r="Z1189" s="9"/>
      <c r="AA1189" s="9"/>
      <c r="AB1189" s="9"/>
      <c r="AC1189" s="449" t="str">
        <f t="shared" si="133"/>
        <v/>
      </c>
      <c r="AD1189" s="449"/>
      <c r="AE1189" s="449"/>
      <c r="AF1189" s="4"/>
      <c r="AG1189" s="83"/>
      <c r="AH1189" s="4"/>
      <c r="AI1189" s="4"/>
      <c r="AJ1189" s="449"/>
      <c r="AK1189" s="449"/>
      <c r="AL1189" s="449"/>
      <c r="AM1189" s="449"/>
      <c r="AN1189" s="10"/>
      <c r="AO1189" s="9"/>
      <c r="AP1189" s="9"/>
      <c r="AQ1189" s="9">
        <f>+FL_2($T$1190,$T$1188,$G$1189,1200,9.28,-1*$F$1190)</f>
        <v>-0.30000000000000004</v>
      </c>
      <c r="AR1189" s="9"/>
      <c r="AS1189" s="9"/>
      <c r="AT1189" s="9"/>
      <c r="AU1189" s="428"/>
      <c r="AV1189" s="428"/>
      <c r="AW1189" s="449" t="str">
        <f>IF(C1189&gt;0,VLOOKUP(C1189,Foundation_Calc!$A$2:$C$13,3,1),
IF(J1189&gt;0,VLOOKUP(J1189,Foundation_Calc!$A$2:$C$13,3,1),""))</f>
        <v/>
      </c>
      <c r="AX1189" s="449" t="str">
        <f>IF(C1189&gt;0,VLOOKUP(C1189,Foundation_Calc!$E$2:$G$33,3,1),
IF(J1189&gt;0,VLOOKUP(J1189,Foundation_Calc!$E$2:$G$33,3,1),""))</f>
        <v/>
      </c>
      <c r="AY1189" s="10" t="str">
        <f>IF(L1189="","",
IF(AX1189="PT",VLOOKUP(L1189,Foundation_Calc!$K$79:$R$113,VLOOKUP(AW1189,Foundation_Calc!$I$2:$J$8,2,FALSE),0),
IF(AX1189="K",VLOOKUP(L1189,Foundation_Calc!$K$117:$R$151,VLOOKUP(AW1189,Foundation_Calc!$I$2:$J$8,2,FALSE),0),"")))</f>
        <v/>
      </c>
      <c r="AZ1189" s="10" t="str">
        <f>IF(K1189="","",
IF(AX1189="PT",VLOOKUP(K1189,Foundation_Calc!$K$79:$R$113,VLOOKUP(AW1189,Foundation_Calc!$I$2:$J$8,2,FALSE),0),
IF(AX1189="K",VLOOKUP(K1189,Foundation_Calc!$K$117:$R$151,VLOOKUP(AW1189,Foundation_Calc!$I$2:$J$8,2,FALSE),0),"")))</f>
        <v/>
      </c>
      <c r="BA1189" s="495" t="str">
        <f t="shared" si="137"/>
        <v/>
      </c>
      <c r="BB1189" s="495" t="str">
        <f t="shared" si="138"/>
        <v/>
      </c>
      <c r="BC1189" s="495" t="str">
        <f t="shared" si="139"/>
        <v/>
      </c>
      <c r="BD1189" s="513" t="str">
        <f>IF(AND(L1189="",H1189=""),"",
IF(H1189="",Pole_Calc!A$9,
IF(H1189="MP",Pole_Calc!A$10,
IF(H1189="AnMP",Pole_Calc!A$11,
IF(H1189="A",Pole_Calc!A$12,
IF(H1189="S/A",Pole_Calc!A$13,
IF(H1189="A/S",Pole_Calc!A$14,"Poner a mano")))))))</f>
        <v/>
      </c>
      <c r="BE1189" s="429" t="s">
        <v>118</v>
      </c>
      <c r="BF1189" s="290"/>
      <c r="BG1189" s="290"/>
      <c r="BH1189" s="290"/>
      <c r="BI1189" s="290"/>
    </row>
    <row r="1190" spans="1:61" ht="15.6" customHeight="1">
      <c r="A1190" s="514"/>
      <c r="B1190" s="720" t="s">
        <v>876</v>
      </c>
      <c r="C1190" s="3">
        <f>+$C$1188+$G$1189</f>
        <v>59042.639999999985</v>
      </c>
      <c r="D1190" s="83"/>
      <c r="E1190" s="4"/>
      <c r="F1190" s="4">
        <f>IF(C1190&gt;0,VLOOKUP(C1190,'ALIGNMENT TRACK'!$A$1:$K$81,9,1))</f>
        <v>1200</v>
      </c>
      <c r="G1190" s="6"/>
      <c r="H1190" s="449"/>
      <c r="I1190" s="4"/>
      <c r="J1190" s="3"/>
      <c r="K1190" s="449"/>
      <c r="L1190" s="449" t="s">
        <v>232</v>
      </c>
      <c r="M1190" s="449" t="str">
        <f>IF(L1190="","",
IF(AX1190="PT",VLOOKUP(L1190,Foundation_Calc!$V$79:$X$113,VLOOKUP(AX1190,Foundation_Calc!$I$10:$J$13,2,FALSE),0),
IF(AX1190="K",VLOOKUP(L1190,Foundation_Calc!$V$117:$X$151,VLOOKUP(AX1190,Foundation_Calc!$I$10:$J$13,2,FALSE),0),"")))</f>
        <v>C5R</v>
      </c>
      <c r="N1190" s="449" t="s">
        <v>124</v>
      </c>
      <c r="O1190" s="449"/>
      <c r="P1190" s="449"/>
      <c r="Q1190" s="4"/>
      <c r="R1190" s="6"/>
      <c r="S1190" s="6"/>
      <c r="T1190" s="4">
        <v>-30</v>
      </c>
      <c r="U1190" s="4"/>
      <c r="V1190" s="4"/>
      <c r="W1190" s="572">
        <v>0.6</v>
      </c>
      <c r="X1190" s="572"/>
      <c r="Y1190" s="9"/>
      <c r="Z1190" s="9"/>
      <c r="AA1190" s="9"/>
      <c r="AB1190" s="9"/>
      <c r="AC1190" s="449" t="str">
        <f t="shared" si="133"/>
        <v>PHQ</v>
      </c>
      <c r="AD1190" s="449"/>
      <c r="AE1190" s="449"/>
      <c r="AF1190" s="4"/>
      <c r="AG1190" s="83"/>
      <c r="AH1190" s="4"/>
      <c r="AI1190" s="4"/>
      <c r="AJ1190" s="449"/>
      <c r="AK1190" s="449"/>
      <c r="AL1190" s="449" t="s">
        <v>241</v>
      </c>
      <c r="AM1190" s="449" t="s">
        <v>126</v>
      </c>
      <c r="AN1190" s="10">
        <v>5.4</v>
      </c>
      <c r="AO1190" s="9"/>
      <c r="AP1190" s="9"/>
      <c r="AQ1190" s="9"/>
      <c r="AR1190" s="9"/>
      <c r="AS1190" s="9"/>
      <c r="AT1190" s="9">
        <f>+ab($T$1190,$T$1188,$T$1192,$G$1189,$G$1191,-1*$F$1190,1200)</f>
        <v>-7.6302760504335234</v>
      </c>
      <c r="AU1190" s="428"/>
      <c r="AV1190" s="428"/>
      <c r="AW1190" s="449" t="str">
        <f>IF(C1190&gt;0,VLOOKUP(C1190,Foundation_Calc!$A$2:$C$13,3,1),
IF(J1190&gt;0,VLOOKUP(J1190,Foundation_Calc!$A$2:$C$13,3,1),""))</f>
        <v>Multi Soil</v>
      </c>
      <c r="AX1190" s="449" t="str">
        <f>IF(C1190&gt;0,VLOOKUP(C1190,Foundation_Calc!$E$2:$G$33,3,1),
IF(J1190&gt;0,VLOOKUP(J1190,Foundation_Calc!$E$2:$G$33,3,1),""))</f>
        <v>PT</v>
      </c>
      <c r="AY1190" s="10">
        <f>IF(L1190="","",
IF(AX1190="PT",VLOOKUP(L1190,Foundation_Calc!$K$79:$R$113,VLOOKUP(AW1190,Foundation_Calc!$I$2:$J$8,2,FALSE),0),
IF(AX1190="K",VLOOKUP(L1190,Foundation_Calc!$K$117:$R$151,VLOOKUP(AW1190,Foundation_Calc!$I$2:$J$8,2,FALSE),0),"")))</f>
        <v>3.5</v>
      </c>
      <c r="AZ1190" s="10" t="str">
        <f>IF(K1190="","",
IF(AX1190="PT",VLOOKUP(K1190,Foundation_Calc!$K$79:$R$113,VLOOKUP(AW1190,Foundation_Calc!$I$2:$J$8,2,FALSE),0),
IF(AX1190="K",VLOOKUP(K1190,Foundation_Calc!$K$117:$R$151,VLOOKUP(AW1190,Foundation_Calc!$I$2:$J$8,2,FALSE),0),"")))</f>
        <v/>
      </c>
      <c r="BA1190" s="495" t="str">
        <f t="shared" si="137"/>
        <v>ü</v>
      </c>
      <c r="BB1190" s="495" t="str">
        <f t="shared" si="138"/>
        <v/>
      </c>
      <c r="BC1190" s="495" t="str">
        <f t="shared" si="139"/>
        <v/>
      </c>
      <c r="BD1190" s="513" t="str">
        <f>Pole_Calc!A$251</f>
        <v>App.8-V08H-P10.3</v>
      </c>
      <c r="BE1190" s="429" t="s">
        <v>118</v>
      </c>
      <c r="BF1190" s="289"/>
      <c r="BG1190" s="289"/>
      <c r="BH1190" s="290"/>
      <c r="BI1190" s="289"/>
    </row>
    <row r="1191" spans="1:61" ht="15.6" customHeight="1">
      <c r="A1191" s="514"/>
      <c r="B1191" s="450"/>
      <c r="C1191" s="3"/>
      <c r="D1191" s="83"/>
      <c r="E1191" s="4"/>
      <c r="F1191" s="4"/>
      <c r="G1191" s="6">
        <v>30</v>
      </c>
      <c r="H1191" s="449"/>
      <c r="I1191" s="4"/>
      <c r="J1191" s="3"/>
      <c r="K1191" s="449"/>
      <c r="L1191" s="449"/>
      <c r="M1191" s="449" t="str">
        <f>IF(L1191="","",
IF(AX1191="PT",VLOOKUP(L1191,Foundation_Calc!$V$79:$X$113,VLOOKUP(AX1191,Foundation_Calc!$I$10:$J$13,2,FALSE),0),
IF(AX1191="K",VLOOKUP(L1191,Foundation_Calc!$V$117:$X$151,VLOOKUP(AX1191,Foundation_Calc!$I$10:$J$13,2,FALSE),0),"")))</f>
        <v/>
      </c>
      <c r="N1191" s="449"/>
      <c r="O1191" s="449"/>
      <c r="P1191" s="449"/>
      <c r="Q1191" s="4"/>
      <c r="R1191" s="6"/>
      <c r="S1191" s="6"/>
      <c r="T1191" s="4"/>
      <c r="U1191" s="4"/>
      <c r="V1191" s="4"/>
      <c r="W1191" s="572"/>
      <c r="X1191" s="572"/>
      <c r="Y1191" s="9"/>
      <c r="Z1191" s="9"/>
      <c r="AA1191" s="9"/>
      <c r="AB1191" s="9"/>
      <c r="AC1191" s="449" t="str">
        <f t="shared" si="133"/>
        <v/>
      </c>
      <c r="AD1191" s="449"/>
      <c r="AE1191" s="449"/>
      <c r="AF1191" s="4"/>
      <c r="AG1191" s="83"/>
      <c r="AH1191" s="4"/>
      <c r="AI1191" s="4"/>
      <c r="AJ1191" s="449"/>
      <c r="AK1191" s="449"/>
      <c r="AL1191" s="449"/>
      <c r="AM1191" s="449"/>
      <c r="AN1191" s="10"/>
      <c r="AO1191" s="9"/>
      <c r="AP1191" s="9"/>
      <c r="AQ1191" s="9">
        <f>+FL_2($T$1192,$T$1190,$G$1191,1200,9.28,-1*$F$1192)</f>
        <v>-0.30000000000000004</v>
      </c>
      <c r="AR1191" s="9"/>
      <c r="AS1191" s="9"/>
      <c r="AT1191" s="9"/>
      <c r="AU1191" s="428"/>
      <c r="AV1191" s="428"/>
      <c r="AW1191" s="449" t="str">
        <f>IF(C1191&gt;0,VLOOKUP(C1191,Foundation_Calc!$A$2:$C$13,3,1),
IF(J1191&gt;0,VLOOKUP(J1191,Foundation_Calc!$A$2:$C$13,3,1),""))</f>
        <v/>
      </c>
      <c r="AX1191" s="449" t="str">
        <f>IF(C1191&gt;0,VLOOKUP(C1191,Foundation_Calc!$E$2:$G$33,3,1),
IF(J1191&gt;0,VLOOKUP(J1191,Foundation_Calc!$E$2:$G$33,3,1),""))</f>
        <v/>
      </c>
      <c r="AY1191" s="10" t="str">
        <f>IF(L1191="","",
IF(AX1191="PT",VLOOKUP(L1191,Foundation_Calc!$K$79:$R$113,VLOOKUP(AW1191,Foundation_Calc!$I$2:$J$8,2,FALSE),0),
IF(AX1191="K",VLOOKUP(L1191,Foundation_Calc!$K$117:$R$151,VLOOKUP(AW1191,Foundation_Calc!$I$2:$J$8,2,FALSE),0),"")))</f>
        <v/>
      </c>
      <c r="AZ1191" s="10" t="str">
        <f>IF(K1191="","",
IF(AX1191="PT",VLOOKUP(K1191,Foundation_Calc!$K$79:$R$113,VLOOKUP(AW1191,Foundation_Calc!$I$2:$J$8,2,FALSE),0),
IF(AX1191="K",VLOOKUP(K1191,Foundation_Calc!$K$117:$R$151,VLOOKUP(AW1191,Foundation_Calc!$I$2:$J$8,2,FALSE),0),"")))</f>
        <v/>
      </c>
      <c r="BA1191" s="495" t="str">
        <f t="shared" si="137"/>
        <v/>
      </c>
      <c r="BB1191" s="495" t="str">
        <f t="shared" si="138"/>
        <v/>
      </c>
      <c r="BC1191" s="495" t="str">
        <f t="shared" si="139"/>
        <v/>
      </c>
      <c r="BD1191" s="513" t="str">
        <f>IF(AND(L1191="",H1191=""),"",
IF(H1191="",Pole_Calc!A$9,
IF(H1191="MP",Pole_Calc!A$10,
IF(H1191="AnMP",Pole_Calc!A$11,
IF(H1191="A",Pole_Calc!A$12,
IF(H1191="S/A",Pole_Calc!A$13,
IF(H1191="A/S",Pole_Calc!A$14,"Poner a mano")))))))</f>
        <v/>
      </c>
      <c r="BE1191" s="429" t="s">
        <v>118</v>
      </c>
      <c r="BF1191" s="290"/>
      <c r="BG1191" s="290"/>
      <c r="BH1191" s="290"/>
      <c r="BI1191" s="290"/>
    </row>
    <row r="1192" spans="1:61" ht="15.6" customHeight="1">
      <c r="A1192" s="514"/>
      <c r="B1192" s="450" t="s">
        <v>877</v>
      </c>
      <c r="C1192" s="3">
        <f>+$C$1190+$G$1191</f>
        <v>59072.639999999985</v>
      </c>
      <c r="D1192" s="83"/>
      <c r="E1192" s="4"/>
      <c r="F1192" s="4">
        <f>IF(C1192&gt;0,VLOOKUP(C1192,'ALIGNMENT TRACK'!$A$1:$K$81,9,1))</f>
        <v>1200</v>
      </c>
      <c r="G1192" s="6"/>
      <c r="H1192" s="449"/>
      <c r="I1192" s="4"/>
      <c r="J1192" s="3"/>
      <c r="K1192" s="449"/>
      <c r="L1192" s="449" t="s">
        <v>158</v>
      </c>
      <c r="M1192" s="449" t="str">
        <f>IF(L1192="","",
IF(AX1192="PT",VLOOKUP(L1192,Foundation_Calc!$V$79:$X$113,VLOOKUP(AX1192,Foundation_Calc!$I$10:$J$13,2,FALSE),0),
IF(AX1192="K",VLOOKUP(L1192,Foundation_Calc!$V$117:$X$151,VLOOKUP(AX1192,Foundation_Calc!$I$10:$J$13,2,FALSE),0),"")))</f>
        <v>C4R</v>
      </c>
      <c r="N1192" s="449" t="s">
        <v>124</v>
      </c>
      <c r="O1192" s="449"/>
      <c r="P1192" s="449"/>
      <c r="Q1192" s="4"/>
      <c r="R1192" s="6"/>
      <c r="S1192" s="6"/>
      <c r="T1192" s="4">
        <v>-30</v>
      </c>
      <c r="U1192" s="4"/>
      <c r="V1192" s="4"/>
      <c r="W1192" s="572">
        <v>0.8</v>
      </c>
      <c r="X1192" s="572"/>
      <c r="Y1192" s="9"/>
      <c r="Z1192" s="9"/>
      <c r="AA1192" s="9"/>
      <c r="AB1192" s="9"/>
      <c r="AC1192" s="449" t="str">
        <f t="shared" si="133"/>
        <v>PHQ</v>
      </c>
      <c r="AD1192" s="449"/>
      <c r="AE1192" s="449"/>
      <c r="AF1192" s="4"/>
      <c r="AG1192" s="83"/>
      <c r="AH1192" s="4"/>
      <c r="AI1192" s="4"/>
      <c r="AJ1192" s="449"/>
      <c r="AK1192" s="449"/>
      <c r="AL1192" s="449"/>
      <c r="AM1192" s="449" t="s">
        <v>126</v>
      </c>
      <c r="AN1192" s="10">
        <f>AN1190+0.03</f>
        <v>5.4300000000000006</v>
      </c>
      <c r="AO1192" s="9"/>
      <c r="AP1192" s="9"/>
      <c r="AQ1192" s="9"/>
      <c r="AR1192" s="9"/>
      <c r="AS1192" s="9"/>
      <c r="AT1192" s="9">
        <f>+ab($T$1192,$T$1190,$T$1194,$G$1191,$G$1193,-1*$F$1192,1200)</f>
        <v>-7.0494790882863896</v>
      </c>
      <c r="AU1192" s="428"/>
      <c r="AV1192" s="428"/>
      <c r="AW1192" s="449" t="str">
        <f>IF(C1192&gt;0,VLOOKUP(C1192,Foundation_Calc!$A$2:$C$13,3,1),
IF(J1192&gt;0,VLOOKUP(J1192,Foundation_Calc!$A$2:$C$13,3,1),""))</f>
        <v>Multi Soil</v>
      </c>
      <c r="AX1192" s="449" t="str">
        <f>IF(C1192&gt;0,VLOOKUP(C1192,Foundation_Calc!$E$2:$G$33,3,1),
IF(J1192&gt;0,VLOOKUP(J1192,Foundation_Calc!$E$2:$G$33,3,1),""))</f>
        <v>PT</v>
      </c>
      <c r="AY1192" s="10">
        <f>IF(L1192="","",
IF(AX1192="PT",VLOOKUP(L1192,Foundation_Calc!$K$79:$R$113,VLOOKUP(AW1192,Foundation_Calc!$I$2:$J$8,2,FALSE),0),
IF(AX1192="K",VLOOKUP(L1192,Foundation_Calc!$K$117:$R$151,VLOOKUP(AW1192,Foundation_Calc!$I$2:$J$8,2,FALSE),0),"")))</f>
        <v>3.5</v>
      </c>
      <c r="AZ1192" s="10" t="str">
        <f>IF(K1192="","",
IF(AX1192="PT",VLOOKUP(K1192,Foundation_Calc!$K$79:$R$113,VLOOKUP(AW1192,Foundation_Calc!$I$2:$J$8,2,FALSE),0),
IF(AX1192="K",VLOOKUP(K1192,Foundation_Calc!$K$117:$R$151,VLOOKUP(AW1192,Foundation_Calc!$I$2:$J$8,2,FALSE),0),"")))</f>
        <v/>
      </c>
      <c r="BA1192" s="495" t="str">
        <f t="shared" si="137"/>
        <v>ü</v>
      </c>
      <c r="BB1192" s="495" t="str">
        <f t="shared" si="138"/>
        <v/>
      </c>
      <c r="BC1192" s="495" t="str">
        <f t="shared" si="139"/>
        <v/>
      </c>
      <c r="BD1192" s="513" t="str">
        <f>IF(AND(L1192="",H1192=""),"",
IF(H1192="",Pole_Calc!A$9,
IF(H1192="MP",Pole_Calc!A$10,
IF(H1192="AnMP",Pole_Calc!A$11,
IF(H1192="A",Pole_Calc!A$12,
IF(H1192="S/A",Pole_Calc!A$13,
IF(H1192="A/S",Pole_Calc!A$14,"Poner a mano")))))))</f>
        <v>App.7-V11I-P9.5.1.1</v>
      </c>
      <c r="BE1192" s="429" t="s">
        <v>118</v>
      </c>
      <c r="BF1192" s="289"/>
      <c r="BG1192" s="289"/>
      <c r="BH1192" s="290"/>
      <c r="BI1192" s="289"/>
    </row>
    <row r="1193" spans="1:61" ht="15.6" customHeight="1">
      <c r="A1193" s="514"/>
      <c r="B1193" s="450"/>
      <c r="C1193" s="3"/>
      <c r="D1193" s="83"/>
      <c r="E1193" s="4"/>
      <c r="F1193" s="4"/>
      <c r="G1193" s="6">
        <v>35</v>
      </c>
      <c r="H1193" s="449"/>
      <c r="I1193" s="4"/>
      <c r="J1193" s="3"/>
      <c r="K1193" s="449"/>
      <c r="L1193" s="449"/>
      <c r="M1193" s="449" t="str">
        <f>IF(L1193="","",
IF(AX1193="PT",VLOOKUP(L1193,Foundation_Calc!$V$79:$X$113,VLOOKUP(AX1193,Foundation_Calc!$I$10:$J$13,2,FALSE),0),
IF(AX1193="K",VLOOKUP(L1193,Foundation_Calc!$V$117:$X$151,VLOOKUP(AX1193,Foundation_Calc!$I$10:$J$13,2,FALSE),0),"")))</f>
        <v/>
      </c>
      <c r="N1193" s="449"/>
      <c r="O1193" s="449"/>
      <c r="P1193" s="449"/>
      <c r="Q1193" s="4"/>
      <c r="R1193" s="6"/>
      <c r="S1193" s="6"/>
      <c r="T1193" s="4"/>
      <c r="U1193" s="4"/>
      <c r="V1193" s="4"/>
      <c r="W1193" s="572"/>
      <c r="X1193" s="572"/>
      <c r="Y1193" s="9"/>
      <c r="Z1193" s="9"/>
      <c r="AA1193" s="9"/>
      <c r="AB1193" s="9"/>
      <c r="AC1193" s="449" t="str">
        <f t="shared" si="133"/>
        <v/>
      </c>
      <c r="AD1193" s="449"/>
      <c r="AE1193" s="449"/>
      <c r="AF1193" s="4"/>
      <c r="AG1193" s="83"/>
      <c r="AH1193" s="4"/>
      <c r="AI1193" s="4"/>
      <c r="AJ1193" s="449"/>
      <c r="AK1193" s="449"/>
      <c r="AL1193" s="449"/>
      <c r="AM1193" s="449"/>
      <c r="AN1193" s="10"/>
      <c r="AO1193" s="9"/>
      <c r="AP1193" s="9"/>
      <c r="AQ1193" s="9">
        <f>+FL_2($T$1194,$T$1192,$G$1193,1200,9.28,-1*$F$1194)</f>
        <v>-0.3</v>
      </c>
      <c r="AR1193" s="9"/>
      <c r="AS1193" s="9"/>
      <c r="AT1193" s="9"/>
      <c r="AU1193" s="428"/>
      <c r="AV1193" s="428"/>
      <c r="AW1193" s="449" t="str">
        <f>IF(C1193&gt;0,VLOOKUP(C1193,Foundation_Calc!$A$2:$C$13,3,1),
IF(J1193&gt;0,VLOOKUP(J1193,Foundation_Calc!$A$2:$C$13,3,1),""))</f>
        <v/>
      </c>
      <c r="AX1193" s="449" t="str">
        <f>IF(C1193&gt;0,VLOOKUP(C1193,Foundation_Calc!$E$2:$G$33,3,1),
IF(J1193&gt;0,VLOOKUP(J1193,Foundation_Calc!$E$2:$G$33,3,1),""))</f>
        <v/>
      </c>
      <c r="AY1193" s="10" t="str">
        <f>IF(L1193="","",
IF(AX1193="PT",VLOOKUP(L1193,Foundation_Calc!$K$79:$R$113,VLOOKUP(AW1193,Foundation_Calc!$I$2:$J$8,2,FALSE),0),
IF(AX1193="K",VLOOKUP(L1193,Foundation_Calc!$K$117:$R$151,VLOOKUP(AW1193,Foundation_Calc!$I$2:$J$8,2,FALSE),0),"")))</f>
        <v/>
      </c>
      <c r="AZ1193" s="10" t="str">
        <f>IF(K1193="","",
IF(AX1193="PT",VLOOKUP(K1193,Foundation_Calc!$K$79:$R$113,VLOOKUP(AW1193,Foundation_Calc!$I$2:$J$8,2,FALSE),0),
IF(AX1193="K",VLOOKUP(K1193,Foundation_Calc!$K$117:$R$151,VLOOKUP(AW1193,Foundation_Calc!$I$2:$J$8,2,FALSE),0),"")))</f>
        <v/>
      </c>
      <c r="BA1193" s="495" t="str">
        <f t="shared" si="137"/>
        <v/>
      </c>
      <c r="BB1193" s="495" t="str">
        <f t="shared" si="138"/>
        <v/>
      </c>
      <c r="BC1193" s="495" t="str">
        <f t="shared" si="139"/>
        <v/>
      </c>
      <c r="BD1193" s="513" t="str">
        <f>IF(AND(L1193="",H1193=""),"",
IF(H1193="",Pole_Calc!A$9,
IF(H1193="MP",Pole_Calc!A$10,
IF(H1193="AnMP",Pole_Calc!A$11,
IF(H1193="A",Pole_Calc!A$12,
IF(H1193="S/A",Pole_Calc!A$13,
IF(H1193="A/S",Pole_Calc!A$14,"Poner a mano")))))))</f>
        <v/>
      </c>
      <c r="BE1193" s="429" t="s">
        <v>118</v>
      </c>
      <c r="BF1193" s="290"/>
      <c r="BG1193" s="290"/>
      <c r="BH1193" s="290"/>
      <c r="BI1193" s="290"/>
    </row>
    <row r="1194" spans="1:61" ht="15.6" customHeight="1">
      <c r="A1194" s="514"/>
      <c r="B1194" s="450" t="s">
        <v>878</v>
      </c>
      <c r="C1194" s="3">
        <f>+$C$1192+$G$1193</f>
        <v>59107.639999999985</v>
      </c>
      <c r="D1194" s="83"/>
      <c r="E1194" s="4"/>
      <c r="F1194" s="4">
        <f>IF(C1194&gt;0,VLOOKUP(C1194,'ALIGNMENT TRACK'!$A$1:$K$81,9,1))</f>
        <v>1200</v>
      </c>
      <c r="G1194" s="6"/>
      <c r="H1194" s="449"/>
      <c r="I1194" s="4"/>
      <c r="J1194" s="3"/>
      <c r="K1194" s="449"/>
      <c r="L1194" s="449" t="s">
        <v>158</v>
      </c>
      <c r="M1194" s="449" t="str">
        <f>IF(L1194="","",
IF(AX1194="PT",VLOOKUP(L1194,Foundation_Calc!$V$79:$X$113,VLOOKUP(AX1194,Foundation_Calc!$I$10:$J$13,2,FALSE),0),
IF(AX1194="K",VLOOKUP(L1194,Foundation_Calc!$V$117:$X$151,VLOOKUP(AX1194,Foundation_Calc!$I$10:$J$13,2,FALSE),0),"")))</f>
        <v>C4R</v>
      </c>
      <c r="N1194" s="449" t="s">
        <v>124</v>
      </c>
      <c r="O1194" s="449"/>
      <c r="P1194" s="449"/>
      <c r="Q1194" s="4"/>
      <c r="R1194" s="6"/>
      <c r="S1194" s="6"/>
      <c r="T1194" s="4">
        <v>-30</v>
      </c>
      <c r="U1194" s="4"/>
      <c r="V1194" s="4"/>
      <c r="W1194" s="572">
        <v>1.1000000000000001</v>
      </c>
      <c r="X1194" s="572"/>
      <c r="Y1194" s="9"/>
      <c r="Z1194" s="9"/>
      <c r="AA1194" s="9"/>
      <c r="AB1194" s="9"/>
      <c r="AC1194" s="449" t="str">
        <f t="shared" si="133"/>
        <v>PHQ</v>
      </c>
      <c r="AD1194" s="449"/>
      <c r="AE1194" s="449"/>
      <c r="AF1194" s="4"/>
      <c r="AG1194" s="83"/>
      <c r="AH1194" s="4"/>
      <c r="AI1194" s="4"/>
      <c r="AJ1194" s="449"/>
      <c r="AK1194" s="449"/>
      <c r="AL1194" s="449"/>
      <c r="AM1194" s="449" t="s">
        <v>126</v>
      </c>
      <c r="AN1194" s="10">
        <f>AN1192+0.04</f>
        <v>5.4700000000000006</v>
      </c>
      <c r="AO1194" s="9"/>
      <c r="AP1194" s="9"/>
      <c r="AQ1194" s="9"/>
      <c r="AR1194" s="9"/>
      <c r="AS1194" s="9"/>
      <c r="AT1194" s="9">
        <f>+ab($T$1194,$T$1192,$T$1196,$G$1193,$G$1195,-1*$F$1194,1200)</f>
        <v>-6.5504869627694697</v>
      </c>
      <c r="AU1194" s="428"/>
      <c r="AV1194" s="428"/>
      <c r="AW1194" s="449" t="str">
        <f>IF(C1194&gt;0,VLOOKUP(C1194,Foundation_Calc!$A$2:$C$13,3,1),
IF(J1194&gt;0,VLOOKUP(J1194,Foundation_Calc!$A$2:$C$13,3,1),""))</f>
        <v>Multi Soil</v>
      </c>
      <c r="AX1194" s="449" t="str">
        <f>IF(C1194&gt;0,VLOOKUP(C1194,Foundation_Calc!$E$2:$G$33,3,1),
IF(J1194&gt;0,VLOOKUP(J1194,Foundation_Calc!$E$2:$G$33,3,1),""))</f>
        <v>PT</v>
      </c>
      <c r="AY1194" s="10">
        <f>IF(L1194="","",
IF(AX1194="PT",VLOOKUP(L1194,Foundation_Calc!$K$79:$R$113,VLOOKUP(AW1194,Foundation_Calc!$I$2:$J$8,2,FALSE),0),
IF(AX1194="K",VLOOKUP(L1194,Foundation_Calc!$K$117:$R$151,VLOOKUP(AW1194,Foundation_Calc!$I$2:$J$8,2,FALSE),0),"")))</f>
        <v>3.5</v>
      </c>
      <c r="AZ1194" s="10" t="str">
        <f>IF(K1194="","",
IF(AX1194="PT",VLOOKUP(K1194,Foundation_Calc!$K$79:$R$113,VLOOKUP(AW1194,Foundation_Calc!$I$2:$J$8,2,FALSE),0),
IF(AX1194="K",VLOOKUP(K1194,Foundation_Calc!$K$117:$R$151,VLOOKUP(AW1194,Foundation_Calc!$I$2:$J$8,2,FALSE),0),"")))</f>
        <v/>
      </c>
      <c r="BA1194" s="495" t="str">
        <f t="shared" si="137"/>
        <v>ü</v>
      </c>
      <c r="BB1194" s="495" t="str">
        <f t="shared" si="138"/>
        <v/>
      </c>
      <c r="BC1194" s="495" t="str">
        <f t="shared" si="139"/>
        <v/>
      </c>
      <c r="BD1194" s="513" t="str">
        <f>IF(AND(L1194="",H1194=""),"",
IF(H1194="",Pole_Calc!A$9,
IF(H1194="MP",Pole_Calc!A$10,
IF(H1194="AnMP",Pole_Calc!A$11,
IF(H1194="A",Pole_Calc!A$12,
IF(H1194="S/A",Pole_Calc!A$13,
IF(H1194="A/S",Pole_Calc!A$14,"Poner a mano")))))))</f>
        <v>App.7-V11I-P9.5.1.1</v>
      </c>
      <c r="BE1194" s="429" t="s">
        <v>118</v>
      </c>
      <c r="BF1194" s="289"/>
      <c r="BG1194" s="289"/>
      <c r="BH1194" s="290"/>
      <c r="BI1194" s="289"/>
    </row>
    <row r="1195" spans="1:61" ht="15.6" customHeight="1">
      <c r="A1195" s="514"/>
      <c r="B1195" s="450"/>
      <c r="C1195" s="3"/>
      <c r="D1195" s="83"/>
      <c r="E1195" s="4"/>
      <c r="F1195" s="4"/>
      <c r="G1195" s="6">
        <v>35</v>
      </c>
      <c r="H1195" s="449"/>
      <c r="I1195" s="4"/>
      <c r="J1195" s="3">
        <f>C1196-7.5</f>
        <v>59135.139999999985</v>
      </c>
      <c r="K1195" s="449" t="s">
        <v>117</v>
      </c>
      <c r="L1195" s="449"/>
      <c r="M1195" s="449" t="str">
        <f>IF(L1195="","",
IF(AX1195="PT",VLOOKUP(L1195,Foundation_Calc!$V$79:$X$113,VLOOKUP(AX1195,Foundation_Calc!$I$10:$J$13,2,FALSE),0),
IF(AX1195="K",VLOOKUP(L1195,Foundation_Calc!$V$117:$X$151,VLOOKUP(AX1195,Foundation_Calc!$I$10:$J$13,2,FALSE),0),"")))</f>
        <v/>
      </c>
      <c r="N1195" s="449"/>
      <c r="O1195" s="449"/>
      <c r="P1195" s="449"/>
      <c r="Q1195" s="4"/>
      <c r="R1195" s="6"/>
      <c r="S1195" s="6"/>
      <c r="T1195" s="4"/>
      <c r="U1195" s="4"/>
      <c r="V1195" s="4"/>
      <c r="W1195" s="572"/>
      <c r="X1195" s="572"/>
      <c r="Y1195" s="9"/>
      <c r="Z1195" s="9"/>
      <c r="AA1195" s="9"/>
      <c r="AB1195" s="9"/>
      <c r="AC1195" s="449" t="str">
        <f t="shared" si="133"/>
        <v/>
      </c>
      <c r="AD1195" s="449"/>
      <c r="AE1195" s="449"/>
      <c r="AF1195" s="4"/>
      <c r="AG1195" s="83"/>
      <c r="AH1195" s="4"/>
      <c r="AI1195" s="4"/>
      <c r="AJ1195" s="449"/>
      <c r="AK1195" s="449"/>
      <c r="AL1195" s="449"/>
      <c r="AM1195" s="449"/>
      <c r="AN1195" s="10"/>
      <c r="AO1195" s="9"/>
      <c r="AP1195" s="9"/>
      <c r="AQ1195" s="9">
        <f>+FL_2($T$1196,$T$1194,$G$1195,1200,9.28,-1*$F$1196)</f>
        <v>-0.3</v>
      </c>
      <c r="AR1195" s="9"/>
      <c r="AS1195" s="9"/>
      <c r="AT1195" s="9"/>
      <c r="AU1195" s="428"/>
      <c r="AV1195" s="428"/>
      <c r="AW1195" s="449" t="str">
        <f>IF(C1195&gt;0,VLOOKUP(C1195,Foundation_Calc!$A$2:$C$13,3,1),
IF(J1195&gt;0,VLOOKUP(J1195,Foundation_Calc!$A$2:$C$13,3,1),""))</f>
        <v>Multi Soil</v>
      </c>
      <c r="AX1195" s="449" t="str">
        <f>IF(C1195&gt;0,VLOOKUP(C1195,Foundation_Calc!$E$2:$G$33,3,1),
IF(J1195&gt;0,VLOOKUP(J1195,Foundation_Calc!$E$2:$G$33,3,1),""))</f>
        <v>PT</v>
      </c>
      <c r="AY1195" s="10" t="str">
        <f>IF(L1195="","",
IF(AX1195="PT",VLOOKUP(L1195,Foundation_Calc!$K$79:$R$113,VLOOKUP(AW1195,Foundation_Calc!$I$2:$J$8,2,FALSE),0),
IF(AX1195="K",VLOOKUP(L1195,Foundation_Calc!$K$117:$R$151,VLOOKUP(AW1195,Foundation_Calc!$I$2:$J$8,2,FALSE),0),"")))</f>
        <v/>
      </c>
      <c r="AZ1195" s="10">
        <f>IF(K1195="","",
IF(AX1195="PT",VLOOKUP(K1195,Foundation_Calc!$K$79:$R$113,VLOOKUP(AW1195,Foundation_Calc!$I$2:$J$8,2,FALSE),0),
IF(AX1195="K",VLOOKUP(K1195,Foundation_Calc!$K$117:$R$151,VLOOKUP(AW1195,Foundation_Calc!$I$2:$J$8,2,FALSE),0),"")))</f>
        <v>3.9</v>
      </c>
      <c r="BA1195" s="495" t="str">
        <f t="shared" si="137"/>
        <v/>
      </c>
      <c r="BB1195" s="495" t="str">
        <f t="shared" si="138"/>
        <v>ü</v>
      </c>
      <c r="BC1195" s="495" t="str">
        <f t="shared" si="139"/>
        <v/>
      </c>
      <c r="BD1195" s="513" t="str">
        <f>IF(AND(L1195="",H1195=""),"",
IF(H1195="",Pole_Calc!A$9,
IF(H1195="MP",Pole_Calc!A$10,
IF(H1195="AnMP",Pole_Calc!A$11,
IF(H1195="A",Pole_Calc!A$12,
IF(H1195="S/A",Pole_Calc!A$13,
IF(H1195="A/S",Pole_Calc!A$14,"Poner a mano")))))))</f>
        <v/>
      </c>
      <c r="BE1195" s="429" t="s">
        <v>118</v>
      </c>
      <c r="BF1195" s="290"/>
      <c r="BG1195" s="290"/>
      <c r="BH1195" s="290"/>
      <c r="BI1195" s="290"/>
    </row>
    <row r="1196" spans="1:61" ht="15.6" customHeight="1">
      <c r="A1196" s="514"/>
      <c r="B1196" s="450" t="s">
        <v>879</v>
      </c>
      <c r="C1196" s="3">
        <f>+$C$1194+$G$1195</f>
        <v>59142.639999999985</v>
      </c>
      <c r="D1196" s="83"/>
      <c r="E1196" s="4"/>
      <c r="F1196" s="4">
        <f>IF(C1196&gt;0,VLOOKUP(C1196,'ALIGNMENT TRACK'!$A$1:$K$81,9,1))</f>
        <v>1200</v>
      </c>
      <c r="G1196" s="6"/>
      <c r="H1196" s="449" t="s">
        <v>121</v>
      </c>
      <c r="I1196" s="4" t="s">
        <v>122</v>
      </c>
      <c r="J1196" s="3"/>
      <c r="K1196" s="449"/>
      <c r="L1196" s="449" t="s">
        <v>181</v>
      </c>
      <c r="M1196" s="449" t="str">
        <f>IF(L1196="","",
IF(AX1196="PT",VLOOKUP(L1196,Foundation_Calc!$V$79:$X$113,VLOOKUP(AX1196,Foundation_Calc!$I$10:$J$13,2,FALSE),0),
IF(AX1196="K",VLOOKUP(L1196,Foundation_Calc!$V$117:$X$151,VLOOKUP(AX1196,Foundation_Calc!$I$10:$J$13,2,FALSE),0),"")))</f>
        <v>C5R</v>
      </c>
      <c r="N1196" s="449" t="s">
        <v>124</v>
      </c>
      <c r="O1196" s="449"/>
      <c r="P1196" s="449"/>
      <c r="Q1196" s="4"/>
      <c r="R1196" s="6"/>
      <c r="S1196" s="6"/>
      <c r="T1196" s="4">
        <v>-30</v>
      </c>
      <c r="U1196" s="4"/>
      <c r="V1196" s="4"/>
      <c r="W1196" s="572">
        <v>1.2</v>
      </c>
      <c r="X1196" s="572"/>
      <c r="Y1196" s="9"/>
      <c r="Z1196" s="9"/>
      <c r="AA1196" s="9"/>
      <c r="AB1196" s="9"/>
      <c r="AC1196" s="449" t="str">
        <f t="shared" si="133"/>
        <v>PHQ</v>
      </c>
      <c r="AD1196" s="449"/>
      <c r="AE1196" s="449"/>
      <c r="AF1196" s="4"/>
      <c r="AG1196" s="83"/>
      <c r="AH1196" s="4"/>
      <c r="AI1196" s="4"/>
      <c r="AJ1196" s="449"/>
      <c r="AK1196" s="449"/>
      <c r="AL1196" s="449"/>
      <c r="AM1196" s="449" t="s">
        <v>126</v>
      </c>
      <c r="AN1196" s="10">
        <v>5.5</v>
      </c>
      <c r="AO1196" s="9"/>
      <c r="AP1196" s="9"/>
      <c r="AQ1196" s="9"/>
      <c r="AR1196" s="9"/>
      <c r="AS1196" s="9"/>
      <c r="AT1196" s="9">
        <f>+ab($T$1196,$T$1194,$U$1198,$G$1195,$G$1197,-1*$F$1196,1200)</f>
        <v>-6.1172155954188518</v>
      </c>
      <c r="AU1196" s="428"/>
      <c r="AV1196" s="428"/>
      <c r="AW1196" s="449" t="str">
        <f>IF(C1196&gt;0,VLOOKUP(C1196,Foundation_Calc!$A$2:$C$13,3,1),
IF(J1196&gt;0,VLOOKUP(J1196,Foundation_Calc!$A$2:$C$13,3,1),""))</f>
        <v>Multi Soil</v>
      </c>
      <c r="AX1196" s="449" t="str">
        <f>IF(C1196&gt;0,VLOOKUP(C1196,Foundation_Calc!$E$2:$G$33,3,1),
IF(J1196&gt;0,VLOOKUP(J1196,Foundation_Calc!$E$2:$G$33,3,1),""))</f>
        <v>PT</v>
      </c>
      <c r="AY1196" s="10">
        <f>IF(L1196="","",
IF(AX1196="PT",VLOOKUP(L1196,Foundation_Calc!$K$79:$R$113,VLOOKUP(AW1196,Foundation_Calc!$I$2:$J$8,2,FALSE),0),
IF(AX1196="K",VLOOKUP(L1196,Foundation_Calc!$K$117:$R$151,VLOOKUP(AW1196,Foundation_Calc!$I$2:$J$8,2,FALSE),0),"")))</f>
        <v>3.5</v>
      </c>
      <c r="AZ1196" s="10" t="str">
        <f>IF(K1196="","",
IF(AX1196="PT",VLOOKUP(K1196,Foundation_Calc!$K$79:$R$113,VLOOKUP(AW1196,Foundation_Calc!$I$2:$J$8,2,FALSE),0),
IF(AX1196="K",VLOOKUP(K1196,Foundation_Calc!$K$117:$R$151,VLOOKUP(AW1196,Foundation_Calc!$I$2:$J$8,2,FALSE),0),"")))</f>
        <v/>
      </c>
      <c r="BA1196" s="495" t="str">
        <f t="shared" si="137"/>
        <v>ü</v>
      </c>
      <c r="BB1196" s="495" t="str">
        <f t="shared" si="138"/>
        <v/>
      </c>
      <c r="BC1196" s="495" t="str">
        <f t="shared" si="139"/>
        <v/>
      </c>
      <c r="BD1196" s="513" t="str">
        <f>IF(AND(L1196="",H1196=""),"",
IF(H1196="",Pole_Calc!A$9,
IF(H1196="MP",Pole_Calc!A$10,
IF(H1196="AnMP",Pole_Calc!A$11,
IF(H1196="A",Pole_Calc!A$12,
IF(H1196="S/A",Pole_Calc!A$13,
IF(H1196="A/S",Pole_Calc!A$14,"Poner a mano")))))))</f>
        <v>App.7-V11I-P9.5.1.6</v>
      </c>
      <c r="BE1196" s="429" t="s">
        <v>118</v>
      </c>
      <c r="BF1196" s="289"/>
      <c r="BG1196" s="289"/>
      <c r="BH1196" s="290"/>
      <c r="BI1196" s="289"/>
    </row>
    <row r="1197" spans="1:61" ht="15.6" customHeight="1">
      <c r="A1197" s="514"/>
      <c r="B1197" s="450"/>
      <c r="C1197" s="3"/>
      <c r="D1197" s="83"/>
      <c r="E1197" s="4"/>
      <c r="F1197" s="4"/>
      <c r="G1197" s="6">
        <v>40</v>
      </c>
      <c r="H1197" s="449"/>
      <c r="I1197" s="4"/>
      <c r="J1197" s="3"/>
      <c r="K1197" s="449"/>
      <c r="L1197" s="449"/>
      <c r="M1197" s="449" t="str">
        <f>IF(L1197="","",
IF(AX1197="PT",VLOOKUP(L1197,Foundation_Calc!$V$79:$X$113,VLOOKUP(AX1197,Foundation_Calc!$I$10:$J$13,2,FALSE),0),
IF(AX1197="K",VLOOKUP(L1197,Foundation_Calc!$V$117:$X$151,VLOOKUP(AX1197,Foundation_Calc!$I$10:$J$13,2,FALSE),0),"")))</f>
        <v/>
      </c>
      <c r="N1197" s="449"/>
      <c r="O1197" s="449"/>
      <c r="P1197" s="449"/>
      <c r="Q1197" s="4"/>
      <c r="R1197" s="6"/>
      <c r="S1197" s="6"/>
      <c r="T1197" s="4"/>
      <c r="U1197" s="4"/>
      <c r="V1197" s="4"/>
      <c r="W1197" s="572"/>
      <c r="X1197" s="572"/>
      <c r="Y1197" s="9"/>
      <c r="Z1197" s="9"/>
      <c r="AA1197" s="9"/>
      <c r="AB1197" s="9"/>
      <c r="AC1197" s="449" t="str">
        <f t="shared" si="133"/>
        <v/>
      </c>
      <c r="AD1197" s="449"/>
      <c r="AE1197" s="449"/>
      <c r="AF1197" s="4"/>
      <c r="AG1197" s="83"/>
      <c r="AH1197" s="4"/>
      <c r="AI1197" s="4"/>
      <c r="AJ1197" s="449"/>
      <c r="AK1197" s="449"/>
      <c r="AL1197" s="449"/>
      <c r="AM1197" s="449"/>
      <c r="AN1197" s="10"/>
      <c r="AO1197" s="9"/>
      <c r="AP1197" s="9"/>
      <c r="AQ1197" s="9">
        <f>+FL_2($U$1198,$T$1196,$G$1197,1200,9.28,-1*$F$1198)</f>
        <v>-0.3</v>
      </c>
      <c r="AR1197" s="9"/>
      <c r="AS1197" s="9"/>
      <c r="AT1197" s="9"/>
      <c r="AU1197" s="428"/>
      <c r="AV1197" s="428"/>
      <c r="AW1197" s="449" t="str">
        <f>IF(C1197&gt;0,VLOOKUP(C1197,Foundation_Calc!$A$2:$C$13,3,1),
IF(J1197&gt;0,VLOOKUP(J1197,Foundation_Calc!$A$2:$C$13,3,1),""))</f>
        <v/>
      </c>
      <c r="AX1197" s="449" t="str">
        <f>IF(C1197&gt;0,VLOOKUP(C1197,Foundation_Calc!$E$2:$G$33,3,1),
IF(J1197&gt;0,VLOOKUP(J1197,Foundation_Calc!$E$2:$G$33,3,1),""))</f>
        <v/>
      </c>
      <c r="AY1197" s="10" t="str">
        <f>IF(L1197="","",
IF(AX1197="PT",VLOOKUP(L1197,Foundation_Calc!$K$79:$R$113,VLOOKUP(AW1197,Foundation_Calc!$I$2:$J$8,2,FALSE),0),
IF(AX1197="K",VLOOKUP(L1197,Foundation_Calc!$K$117:$R$151,VLOOKUP(AW1197,Foundation_Calc!$I$2:$J$8,2,FALSE),0),"")))</f>
        <v/>
      </c>
      <c r="AZ1197" s="10" t="str">
        <f>IF(K1197="","",
IF(AX1197="PT",VLOOKUP(K1197,Foundation_Calc!$K$79:$R$113,VLOOKUP(AW1197,Foundation_Calc!$I$2:$J$8,2,FALSE),0),
IF(AX1197="K",VLOOKUP(K1197,Foundation_Calc!$K$117:$R$151,VLOOKUP(AW1197,Foundation_Calc!$I$2:$J$8,2,FALSE),0),"")))</f>
        <v/>
      </c>
      <c r="BA1197" s="495" t="str">
        <f t="shared" si="137"/>
        <v/>
      </c>
      <c r="BB1197" s="495" t="str">
        <f t="shared" si="138"/>
        <v/>
      </c>
      <c r="BC1197" s="495" t="str">
        <f t="shared" si="139"/>
        <v/>
      </c>
      <c r="BD1197" s="513" t="str">
        <f>IF(AND(L1197="",H1197=""),"",
IF(H1197="",Pole_Calc!A$9,
IF(H1197="MP",Pole_Calc!A$10,
IF(H1197="AnMP",Pole_Calc!A$11,
IF(H1197="A",Pole_Calc!A$12,
IF(H1197="S/A",Pole_Calc!A$13,
IF(H1197="A/S",Pole_Calc!A$14,"Poner a mano")))))))</f>
        <v/>
      </c>
      <c r="BE1197" s="429" t="s">
        <v>118</v>
      </c>
      <c r="BF1197" s="290"/>
      <c r="BG1197" s="290"/>
      <c r="BH1197" s="290"/>
      <c r="BI1197" s="290"/>
    </row>
    <row r="1198" spans="1:61" ht="15.6" customHeight="1">
      <c r="A1198" s="514" t="s">
        <v>880</v>
      </c>
      <c r="B1198" s="450" t="s">
        <v>881</v>
      </c>
      <c r="C1198" s="3">
        <f>+$C$1196+$G$1197</f>
        <v>59182.639999999985</v>
      </c>
      <c r="D1198" s="83"/>
      <c r="E1198" s="4"/>
      <c r="F1198" s="4">
        <f>IF(C1198&gt;0,VLOOKUP(C1198,'ALIGNMENT TRACK'!$A$1:$K$81,9,1))</f>
        <v>1200</v>
      </c>
      <c r="G1198" s="6"/>
      <c r="H1198" s="449" t="s">
        <v>131</v>
      </c>
      <c r="I1198" s="4" t="s">
        <v>132</v>
      </c>
      <c r="J1198" s="3"/>
      <c r="K1198" s="449"/>
      <c r="L1198" s="449" t="s">
        <v>183</v>
      </c>
      <c r="M1198" s="449" t="str">
        <f>IF(L1198="","",
IF(AX1198="PT",VLOOKUP(L1198,Foundation_Calc!$V$79:$X$113,VLOOKUP(AX1198,Foundation_Calc!$I$10:$J$13,2,FALSE),0),
IF(AX1198="K",VLOOKUP(L1198,Foundation_Calc!$V$117:$X$151,VLOOKUP(AX1198,Foundation_Calc!$I$10:$J$13,2,FALSE),0),"")))</f>
        <v>2C3R</v>
      </c>
      <c r="N1198" s="449" t="s">
        <v>133</v>
      </c>
      <c r="O1198" s="449" t="s">
        <v>124</v>
      </c>
      <c r="P1198" s="449"/>
      <c r="Q1198" s="4"/>
      <c r="R1198" s="6"/>
      <c r="S1198" s="6"/>
      <c r="T1198" s="4">
        <v>15</v>
      </c>
      <c r="U1198" s="4">
        <v>-30</v>
      </c>
      <c r="V1198" s="4"/>
      <c r="W1198" s="572">
        <v>1.4</v>
      </c>
      <c r="X1198" s="572">
        <v>1.8</v>
      </c>
      <c r="Y1198" s="9"/>
      <c r="Z1198" s="9">
        <v>0.4</v>
      </c>
      <c r="AA1198" s="9"/>
      <c r="AB1198" s="9"/>
      <c r="AC1198" s="449"/>
      <c r="AD1198" s="449"/>
      <c r="AE1198" s="449"/>
      <c r="AF1198" s="4"/>
      <c r="AG1198" s="83"/>
      <c r="AH1198" s="4"/>
      <c r="AI1198" s="4"/>
      <c r="AJ1198" s="449" t="s">
        <v>233</v>
      </c>
      <c r="AK1198" s="449"/>
      <c r="AL1198" s="449"/>
      <c r="AM1198" s="449" t="s">
        <v>126</v>
      </c>
      <c r="AN1198" s="10">
        <v>5.5</v>
      </c>
      <c r="AO1198" s="9"/>
      <c r="AP1198" s="9"/>
      <c r="AQ1198" s="9"/>
      <c r="AR1198" s="9"/>
      <c r="AS1198" s="9"/>
      <c r="AT1198" s="9">
        <f>+ab($U$1198,$T$1196,$U$1200,$G$1197,$G$1199,-1*$F$1198,1200)</f>
        <v>-5.5759620937928416</v>
      </c>
      <c r="AU1198" s="428"/>
      <c r="AV1198" s="428"/>
      <c r="AW1198" s="449" t="str">
        <f>IF(C1198&gt;0,VLOOKUP(C1198,Foundation_Calc!$A$2:$C$13,3,1),
IF(J1198&gt;0,VLOOKUP(J1198,Foundation_Calc!$A$2:$C$13,3,1),""))</f>
        <v>Multi Soil</v>
      </c>
      <c r="AX1198" s="449" t="str">
        <f>IF(C1198&gt;0,VLOOKUP(C1198,Foundation_Calc!$E$2:$G$33,3,1),
IF(J1198&gt;0,VLOOKUP(J1198,Foundation_Calc!$E$2:$G$33,3,1),""))</f>
        <v>PT</v>
      </c>
      <c r="AY1198" s="10">
        <f>IF(L1198="","",
IF(AX1198="PT",VLOOKUP(L1198,Foundation_Calc!$K$79:$R$113,VLOOKUP(AW1198,Foundation_Calc!$I$2:$J$8,2,FALSE),0),
IF(AX1198="K",VLOOKUP(L1198,Foundation_Calc!$K$117:$R$151,VLOOKUP(AW1198,Foundation_Calc!$I$2:$J$8,2,FALSE),0),"")))</f>
        <v>3.7</v>
      </c>
      <c r="AZ1198" s="10" t="str">
        <f>IF(K1198="","",
IF(AX1198="PT",VLOOKUP(K1198,Foundation_Calc!$K$79:$R$113,VLOOKUP(AW1198,Foundation_Calc!$I$2:$J$8,2,FALSE),0),
IF(AX1198="K",VLOOKUP(K1198,Foundation_Calc!$K$117:$R$151,VLOOKUP(AW1198,Foundation_Calc!$I$2:$J$8,2,FALSE),0),"")))</f>
        <v/>
      </c>
      <c r="BA1198" s="495" t="str">
        <f t="shared" si="137"/>
        <v>ü</v>
      </c>
      <c r="BB1198" s="495" t="str">
        <f t="shared" si="138"/>
        <v/>
      </c>
      <c r="BC1198" s="495" t="str">
        <f t="shared" si="139"/>
        <v/>
      </c>
      <c r="BD1198" s="513" t="str">
        <f>IF(AND(L1198="",H1198=""),"",
IF(H1198="",Pole_Calc!A$9,
IF(H1198="MP",Pole_Calc!A$10,
IF(H1198="AnMP",Pole_Calc!A$11,
IF(H1198="A",Pole_Calc!A$12,
IF(H1198="S/A",Pole_Calc!A$13,
IF(H1198="A/S",Pole_Calc!A$14,"Poner a mano")))))))</f>
        <v>App.7-V11I-P9.5.1.5</v>
      </c>
      <c r="BE1198" s="429" t="s">
        <v>118</v>
      </c>
      <c r="BF1198" s="289"/>
      <c r="BG1198" s="289"/>
      <c r="BH1198" s="290"/>
      <c r="BI1198" s="289"/>
    </row>
    <row r="1199" spans="1:61" ht="15.6" customHeight="1">
      <c r="A1199" s="514"/>
      <c r="B1199" s="450"/>
      <c r="C1199" s="3"/>
      <c r="D1199" s="83"/>
      <c r="E1199" s="4"/>
      <c r="F1199" s="4"/>
      <c r="G1199" s="6">
        <v>45</v>
      </c>
      <c r="H1199" s="449"/>
      <c r="I1199" s="4"/>
      <c r="J1199" s="3"/>
      <c r="K1199" s="449"/>
      <c r="L1199" s="449"/>
      <c r="M1199" s="449" t="str">
        <f>IF(L1199="","",
IF(AX1199="PT",VLOOKUP(L1199,Foundation_Calc!$V$79:$X$113,VLOOKUP(AX1199,Foundation_Calc!$I$10:$J$13,2,FALSE),0),
IF(AX1199="K",VLOOKUP(L1199,Foundation_Calc!$V$117:$X$151,VLOOKUP(AX1199,Foundation_Calc!$I$10:$J$13,2,FALSE),0),"")))</f>
        <v/>
      </c>
      <c r="N1199" s="449"/>
      <c r="O1199" s="449"/>
      <c r="P1199" s="449"/>
      <c r="Q1199" s="4"/>
      <c r="R1199" s="6"/>
      <c r="S1199" s="6"/>
      <c r="T1199" s="4"/>
      <c r="U1199" s="4"/>
      <c r="V1199" s="4"/>
      <c r="W1199" s="9"/>
      <c r="X1199" s="9"/>
      <c r="Y1199" s="9"/>
      <c r="Z1199" s="9"/>
      <c r="AA1199" s="9"/>
      <c r="AB1199" s="9"/>
      <c r="AC1199" s="449" t="str">
        <f t="shared" si="133"/>
        <v/>
      </c>
      <c r="AD1199" s="449"/>
      <c r="AE1199" s="449"/>
      <c r="AF1199" s="4"/>
      <c r="AG1199" s="83"/>
      <c r="AH1199" s="4"/>
      <c r="AI1199" s="4"/>
      <c r="AJ1199" s="449"/>
      <c r="AK1199" s="449"/>
      <c r="AL1199" s="449"/>
      <c r="AM1199" s="449"/>
      <c r="AN1199" s="10"/>
      <c r="AO1199" s="9"/>
      <c r="AP1199" s="9"/>
      <c r="AQ1199" s="9">
        <f>+FL_1($T$1200,$U$1198,$G$1199,1200,9.28,-1*$F$1200)</f>
        <v>0.33129276919267303</v>
      </c>
      <c r="AR1199" s="9"/>
      <c r="AS1199" s="9"/>
      <c r="AT1199" s="9"/>
      <c r="AU1199" s="428"/>
      <c r="AV1199" s="428"/>
      <c r="AW1199" s="449" t="str">
        <f>IF(C1199&gt;0,VLOOKUP(C1199,Foundation_Calc!$A$2:$C$13,3,1),
IF(J1199&gt;0,VLOOKUP(J1199,Foundation_Calc!$A$2:$C$13,3,1),""))</f>
        <v/>
      </c>
      <c r="AX1199" s="449" t="str">
        <f>IF(C1199&gt;0,VLOOKUP(C1199,Foundation_Calc!$E$2:$G$33,3,1),
IF(J1199&gt;0,VLOOKUP(J1199,Foundation_Calc!$E$2:$G$33,3,1),""))</f>
        <v/>
      </c>
      <c r="AY1199" s="10" t="str">
        <f>IF(L1199="","",
IF(AX1199="PT",VLOOKUP(L1199,Foundation_Calc!$K$79:$R$113,VLOOKUP(AW1199,Foundation_Calc!$I$2:$J$8,2,FALSE),0),
IF(AX1199="K",VLOOKUP(L1199,Foundation_Calc!$K$117:$R$151,VLOOKUP(AW1199,Foundation_Calc!$I$2:$J$8,2,FALSE),0),"")))</f>
        <v/>
      </c>
      <c r="AZ1199" s="10" t="str">
        <f>IF(K1199="","",
IF(AX1199="PT",VLOOKUP(K1199,Foundation_Calc!$K$79:$R$113,VLOOKUP(AW1199,Foundation_Calc!$I$2:$J$8,2,FALSE),0),
IF(AX1199="K",VLOOKUP(K1199,Foundation_Calc!$K$117:$R$151,VLOOKUP(AW1199,Foundation_Calc!$I$2:$J$8,2,FALSE),0),"")))</f>
        <v/>
      </c>
      <c r="BA1199" s="495" t="str">
        <f t="shared" si="137"/>
        <v/>
      </c>
      <c r="BB1199" s="495" t="str">
        <f t="shared" si="138"/>
        <v/>
      </c>
      <c r="BC1199" s="495" t="str">
        <f t="shared" si="139"/>
        <v/>
      </c>
      <c r="BD1199" s="513" t="str">
        <f>IF(AND(L1199="",H1199=""),"",
IF(H1199="",Pole_Calc!A$9,
IF(H1199="MP",Pole_Calc!A$10,
IF(H1199="AnMP",Pole_Calc!A$11,
IF(H1199="A",Pole_Calc!A$12,
IF(H1199="S/A",Pole_Calc!A$13,
IF(H1199="A/S",Pole_Calc!A$14,"Poner a mano")))))))</f>
        <v/>
      </c>
      <c r="BE1199" s="429" t="s">
        <v>118</v>
      </c>
      <c r="BF1199" s="290"/>
      <c r="BG1199" s="290"/>
      <c r="BH1199" s="290"/>
      <c r="BI1199" s="290"/>
    </row>
    <row r="1200" spans="1:61" ht="15.6" customHeight="1">
      <c r="A1200" s="514"/>
      <c r="B1200" s="450" t="s">
        <v>882</v>
      </c>
      <c r="C1200" s="3">
        <f>+$C$1198+$G$1199</f>
        <v>59227.639999999985</v>
      </c>
      <c r="D1200" s="83"/>
      <c r="E1200" s="4"/>
      <c r="F1200" s="4">
        <f>IF(C1200&gt;0,VLOOKUP(C1200,'ALIGNMENT TRACK'!$A$1:$K$81,9,1))</f>
        <v>1200</v>
      </c>
      <c r="G1200" s="6"/>
      <c r="H1200" s="449" t="s">
        <v>131</v>
      </c>
      <c r="I1200" s="4"/>
      <c r="J1200" s="3"/>
      <c r="K1200" s="449"/>
      <c r="L1200" s="449" t="s">
        <v>183</v>
      </c>
      <c r="M1200" s="449" t="str">
        <f>IF(L1200="","",
IF(AX1200="PT",VLOOKUP(L1200,Foundation_Calc!$V$79:$X$113,VLOOKUP(AX1200,Foundation_Calc!$I$10:$J$13,2,FALSE),0),
IF(AX1200="K",VLOOKUP(L1200,Foundation_Calc!$V$117:$X$151,VLOOKUP(AX1200,Foundation_Calc!$I$10:$J$13,2,FALSE),0),"")))</f>
        <v>2C3R</v>
      </c>
      <c r="N1200" s="449" t="s">
        <v>124</v>
      </c>
      <c r="O1200" s="449" t="s">
        <v>133</v>
      </c>
      <c r="P1200" s="449"/>
      <c r="Q1200" s="4"/>
      <c r="R1200" s="6"/>
      <c r="S1200" s="6"/>
      <c r="T1200" s="4">
        <v>10</v>
      </c>
      <c r="U1200" s="4">
        <v>-35</v>
      </c>
      <c r="V1200" s="4"/>
      <c r="W1200" s="9">
        <v>1.4</v>
      </c>
      <c r="X1200" s="9">
        <v>2</v>
      </c>
      <c r="Y1200" s="9"/>
      <c r="Z1200" s="9"/>
      <c r="AA1200" s="9">
        <v>0.4</v>
      </c>
      <c r="AB1200" s="9"/>
      <c r="AC1200" s="449" t="str">
        <f t="shared" si="133"/>
        <v>PHQ</v>
      </c>
      <c r="AD1200" s="449"/>
      <c r="AE1200" s="449"/>
      <c r="AF1200" s="4"/>
      <c r="AG1200" s="83"/>
      <c r="AH1200" s="4"/>
      <c r="AI1200" s="4"/>
      <c r="AJ1200" s="449"/>
      <c r="AK1200" s="449"/>
      <c r="AL1200" s="449"/>
      <c r="AM1200" s="449" t="s">
        <v>126</v>
      </c>
      <c r="AN1200" s="10">
        <v>5.5</v>
      </c>
      <c r="AO1200" s="9"/>
      <c r="AP1200" s="9"/>
      <c r="AQ1200" s="9"/>
      <c r="AR1200" s="9"/>
      <c r="AS1200" s="9"/>
      <c r="AT1200" s="9">
        <f>+ab($T$1200,$T$1198,$T$1202,$G$1199,$G$1201,-1*$F$1200,1200)</f>
        <v>-6.8603898654504558</v>
      </c>
      <c r="AU1200" s="428"/>
      <c r="AV1200" s="428"/>
      <c r="AW1200" s="449" t="str">
        <f>IF(C1200&gt;0,VLOOKUP(C1200,Foundation_Calc!$A$2:$C$13,3,1),
IF(J1200&gt;0,VLOOKUP(J1200,Foundation_Calc!$A$2:$C$13,3,1),""))</f>
        <v>Multi Soil</v>
      </c>
      <c r="AX1200" s="449" t="str">
        <f>IF(C1200&gt;0,VLOOKUP(C1200,Foundation_Calc!$E$2:$G$33,3,1),
IF(J1200&gt;0,VLOOKUP(J1200,Foundation_Calc!$E$2:$G$33,3,1),""))</f>
        <v>PT</v>
      </c>
      <c r="AY1200" s="10">
        <f>IF(L1200="","",
IF(AX1200="PT",VLOOKUP(L1200,Foundation_Calc!$K$79:$R$113,VLOOKUP(AW1200,Foundation_Calc!$I$2:$J$8,2,FALSE),0),
IF(AX1200="K",VLOOKUP(L1200,Foundation_Calc!$K$117:$R$151,VLOOKUP(AW1200,Foundation_Calc!$I$2:$J$8,2,FALSE),0),"")))</f>
        <v>3.7</v>
      </c>
      <c r="AZ1200" s="10" t="str">
        <f>IF(K1200="","",
IF(AX1200="PT",VLOOKUP(K1200,Foundation_Calc!$K$79:$R$113,VLOOKUP(AW1200,Foundation_Calc!$I$2:$J$8,2,FALSE),0),
IF(AX1200="K",VLOOKUP(K1200,Foundation_Calc!$K$117:$R$151,VLOOKUP(AW1200,Foundation_Calc!$I$2:$J$8,2,FALSE),0),"")))</f>
        <v/>
      </c>
      <c r="BA1200" s="495" t="str">
        <f t="shared" si="137"/>
        <v>ü</v>
      </c>
      <c r="BB1200" s="495" t="str">
        <f t="shared" si="138"/>
        <v/>
      </c>
      <c r="BC1200" s="495" t="str">
        <f t="shared" si="139"/>
        <v/>
      </c>
      <c r="BD1200" s="513" t="str">
        <f>IF(AND(L1200="",H1200=""),"",
IF(H1200="",Pole_Calc!A$9,
IF(H1200="MP",Pole_Calc!A$10,
IF(H1200="AnMP",Pole_Calc!A$11,
IF(H1200="A",Pole_Calc!A$12,
IF(H1200="S/A",Pole_Calc!A$13,
IF(H1200="A/S",Pole_Calc!A$14,"Poner a mano")))))))</f>
        <v>App.7-V11I-P9.5.1.5</v>
      </c>
      <c r="BE1200" s="429" t="s">
        <v>118</v>
      </c>
      <c r="BF1200" s="289"/>
      <c r="BG1200" s="289"/>
      <c r="BH1200" s="290"/>
      <c r="BI1200" s="289"/>
    </row>
    <row r="1201" spans="1:61" ht="15.6" customHeight="1">
      <c r="A1201" s="514"/>
      <c r="B1201" s="450"/>
      <c r="C1201" s="3"/>
      <c r="D1201" s="83"/>
      <c r="E1201" s="4"/>
      <c r="F1201" s="4"/>
      <c r="G1201" s="6">
        <v>42</v>
      </c>
      <c r="H1201" s="449"/>
      <c r="I1201" s="4"/>
      <c r="J1201" s="3"/>
      <c r="K1201" s="449"/>
      <c r="L1201" s="449"/>
      <c r="M1201" s="449" t="str">
        <f>IF(L1201="","",
IF(AX1201="PT",VLOOKUP(L1201,Foundation_Calc!$V$79:$X$113,VLOOKUP(AX1201,Foundation_Calc!$I$10:$J$13,2,FALSE),0),
IF(AX1201="K",VLOOKUP(L1201,Foundation_Calc!$V$117:$X$151,VLOOKUP(AX1201,Foundation_Calc!$I$10:$J$13,2,FALSE),0),"")))</f>
        <v/>
      </c>
      <c r="N1201" s="449"/>
      <c r="O1201" s="449"/>
      <c r="P1201" s="449"/>
      <c r="Q1201" s="4"/>
      <c r="R1201" s="6"/>
      <c r="S1201" s="6"/>
      <c r="T1201" s="4"/>
      <c r="U1201" s="4"/>
      <c r="V1201" s="4"/>
      <c r="W1201" s="9"/>
      <c r="X1201" s="9"/>
      <c r="Y1201" s="9"/>
      <c r="Z1201" s="9"/>
      <c r="AA1201" s="9"/>
      <c r="AB1201" s="9"/>
      <c r="AC1201" s="449" t="str">
        <f t="shared" si="133"/>
        <v/>
      </c>
      <c r="AD1201" s="449"/>
      <c r="AE1201" s="449"/>
      <c r="AF1201" s="4"/>
      <c r="AG1201" s="83"/>
      <c r="AH1201" s="4"/>
      <c r="AI1201" s="4"/>
      <c r="AJ1201" s="449"/>
      <c r="AK1201" s="449"/>
      <c r="AL1201" s="449"/>
      <c r="AM1201" s="449"/>
      <c r="AN1201" s="10"/>
      <c r="AO1201" s="9"/>
      <c r="AP1201" s="9"/>
      <c r="AQ1201" s="9">
        <f>+FL_2($T$1202,$T$1200,$G$1201,1200,9.28,-1*$F$1202)</f>
        <v>-0.3</v>
      </c>
      <c r="AR1201" s="9"/>
      <c r="AS1201" s="9"/>
      <c r="AT1201" s="9"/>
      <c r="AU1201" s="428"/>
      <c r="AV1201" s="428"/>
      <c r="AW1201" s="449" t="str">
        <f>IF(C1201&gt;0,VLOOKUP(C1201,Foundation_Calc!$A$2:$C$13,3,1),
IF(J1201&gt;0,VLOOKUP(J1201,Foundation_Calc!$A$2:$C$13,3,1),""))</f>
        <v/>
      </c>
      <c r="AX1201" s="449" t="str">
        <f>IF(C1201&gt;0,VLOOKUP(C1201,Foundation_Calc!$E$2:$G$33,3,1),
IF(J1201&gt;0,VLOOKUP(J1201,Foundation_Calc!$E$2:$G$33,3,1),""))</f>
        <v/>
      </c>
      <c r="AY1201" s="10" t="str">
        <f>IF(L1201="","",
IF(AX1201="PT",VLOOKUP(L1201,Foundation_Calc!$K$79:$R$113,VLOOKUP(AW1201,Foundation_Calc!$I$2:$J$8,2,FALSE),0),
IF(AX1201="K",VLOOKUP(L1201,Foundation_Calc!$K$117:$R$151,VLOOKUP(AW1201,Foundation_Calc!$I$2:$J$8,2,FALSE),0),"")))</f>
        <v/>
      </c>
      <c r="AZ1201" s="10" t="str">
        <f>IF(K1201="","",
IF(AX1201="PT",VLOOKUP(K1201,Foundation_Calc!$K$79:$R$113,VLOOKUP(AW1201,Foundation_Calc!$I$2:$J$8,2,FALSE),0),
IF(AX1201="K",VLOOKUP(K1201,Foundation_Calc!$K$117:$R$151,VLOOKUP(AW1201,Foundation_Calc!$I$2:$J$8,2,FALSE),0),"")))</f>
        <v/>
      </c>
      <c r="BA1201" s="495" t="str">
        <f t="shared" si="137"/>
        <v/>
      </c>
      <c r="BB1201" s="495" t="str">
        <f t="shared" si="138"/>
        <v/>
      </c>
      <c r="BC1201" s="495" t="str">
        <f t="shared" si="139"/>
        <v/>
      </c>
      <c r="BD1201" s="513" t="str">
        <f>IF(AND(L1201="",H1201=""),"",
IF(H1201="",Pole_Calc!A$9,
IF(H1201="MP",Pole_Calc!A$10,
IF(H1201="AnMP",Pole_Calc!A$11,
IF(H1201="A",Pole_Calc!A$12,
IF(H1201="S/A",Pole_Calc!A$13,
IF(H1201="A/S",Pole_Calc!A$14,"Poner a mano")))))))</f>
        <v/>
      </c>
      <c r="BE1201" s="429" t="s">
        <v>118</v>
      </c>
      <c r="BF1201" s="290"/>
      <c r="BG1201" s="290"/>
      <c r="BH1201" s="290"/>
      <c r="BI1201" s="290"/>
    </row>
    <row r="1202" spans="1:61" ht="15.6" customHeight="1">
      <c r="A1202" s="514"/>
      <c r="B1202" s="450" t="s">
        <v>883</v>
      </c>
      <c r="C1202" s="3">
        <f>+$C$1200+$G$1201-0.96</f>
        <v>59268.679999999986</v>
      </c>
      <c r="D1202" s="83"/>
      <c r="E1202" s="4"/>
      <c r="F1202" s="4">
        <f>IF(C1202&gt;0,VLOOKUP(C1202,'ALIGNMENT TRACK'!$A$1:$K$81,9,1))</f>
        <v>1200</v>
      </c>
      <c r="G1202" s="6"/>
      <c r="H1202" s="449" t="s">
        <v>121</v>
      </c>
      <c r="I1202" s="4" t="s">
        <v>122</v>
      </c>
      <c r="J1202" s="3"/>
      <c r="K1202" s="449"/>
      <c r="L1202" s="449" t="s">
        <v>181</v>
      </c>
      <c r="M1202" s="449" t="str">
        <f>IF(L1202="","",
IF(AX1202="PT",VLOOKUP(L1202,Foundation_Calc!$V$79:$X$113,VLOOKUP(AX1202,Foundation_Calc!$I$10:$J$13,2,FALSE),0),
IF(AX1202="K",VLOOKUP(L1202,Foundation_Calc!$V$117:$X$151,VLOOKUP(AX1202,Foundation_Calc!$I$10:$J$13,2,FALSE),0),"")))</f>
        <v>C5R</v>
      </c>
      <c r="N1202" s="449" t="s">
        <v>124</v>
      </c>
      <c r="O1202" s="449"/>
      <c r="P1202" s="449"/>
      <c r="Q1202" s="4"/>
      <c r="R1202" s="6"/>
      <c r="S1202" s="6"/>
      <c r="T1202" s="4">
        <v>-30</v>
      </c>
      <c r="U1202" s="4"/>
      <c r="V1202" s="4"/>
      <c r="W1202" s="9">
        <v>1.4</v>
      </c>
      <c r="X1202" s="9"/>
      <c r="Y1202" s="9"/>
      <c r="Z1202" s="9"/>
      <c r="AA1202" s="9"/>
      <c r="AB1202" s="9"/>
      <c r="AC1202" s="449" t="str">
        <f t="shared" si="133"/>
        <v>PHC</v>
      </c>
      <c r="AD1202" s="449"/>
      <c r="AE1202" s="449"/>
      <c r="AF1202" s="4"/>
      <c r="AG1202" s="83"/>
      <c r="AH1202" s="4"/>
      <c r="AI1202" s="4"/>
      <c r="AJ1202" s="449"/>
      <c r="AK1202" s="449"/>
      <c r="AL1202" s="449"/>
      <c r="AM1202" s="449" t="s">
        <v>126</v>
      </c>
      <c r="AN1202" s="10">
        <v>5.5</v>
      </c>
      <c r="AO1202" s="9"/>
      <c r="AP1202" s="9"/>
      <c r="AQ1202" s="9"/>
      <c r="AR1202" s="9"/>
      <c r="AS1202" s="9"/>
      <c r="AT1202" s="9">
        <f>+ab($T$1202,$T$1200,$T$1204,$G$1201,$G$1203,-1*$F$1202,1200)</f>
        <v>-4.0738762286603247</v>
      </c>
      <c r="AU1202" s="428"/>
      <c r="AV1202" s="428"/>
      <c r="AW1202" s="449" t="str">
        <f>IF(C1202&gt;0,VLOOKUP(C1202,Foundation_Calc!$A$2:$C$13,3,1),
IF(J1202&gt;0,VLOOKUP(J1202,Foundation_Calc!$A$2:$C$13,3,1),""))</f>
        <v>Multi Soil</v>
      </c>
      <c r="AX1202" s="449" t="str">
        <f>IF(C1202&gt;0,VLOOKUP(C1202,Foundation_Calc!$E$2:$G$33,3,1),
IF(J1202&gt;0,VLOOKUP(J1202,Foundation_Calc!$E$2:$G$33,3,1),""))</f>
        <v>PT</v>
      </c>
      <c r="AY1202" s="10">
        <f>IF(L1202="","",
IF(AX1202="PT",VLOOKUP(L1202,Foundation_Calc!$K$79:$R$113,VLOOKUP(AW1202,Foundation_Calc!$I$2:$J$8,2,FALSE),0),
IF(AX1202="K",VLOOKUP(L1202,Foundation_Calc!$K$117:$R$151,VLOOKUP(AW1202,Foundation_Calc!$I$2:$J$8,2,FALSE),0),"")))</f>
        <v>3.5</v>
      </c>
      <c r="AZ1202" s="10" t="str">
        <f>IF(K1202="","",
IF(AX1202="PT",VLOOKUP(K1202,Foundation_Calc!$K$79:$R$113,VLOOKUP(AW1202,Foundation_Calc!$I$2:$J$8,2,FALSE),0),
IF(AX1202="K",VLOOKUP(K1202,Foundation_Calc!$K$117:$R$151,VLOOKUP(AW1202,Foundation_Calc!$I$2:$J$8,2,FALSE),0),"")))</f>
        <v/>
      </c>
      <c r="BA1202" s="495" t="str">
        <f t="shared" si="137"/>
        <v>ü</v>
      </c>
      <c r="BB1202" s="495" t="str">
        <f t="shared" si="138"/>
        <v/>
      </c>
      <c r="BC1202" s="495" t="str">
        <f t="shared" si="139"/>
        <v/>
      </c>
      <c r="BD1202" s="513" t="str">
        <f>IF(AND(L1202="",H1202=""),"",
IF(H1202="",Pole_Calc!A$9,
IF(H1202="MP",Pole_Calc!A$10,
IF(H1202="AnMP",Pole_Calc!A$11,
IF(H1202="A",Pole_Calc!A$12,
IF(H1202="S/A",Pole_Calc!A$13,
IF(H1202="A/S",Pole_Calc!A$14,"Poner a mano")))))))</f>
        <v>App.7-V11I-P9.5.1.6</v>
      </c>
      <c r="BE1202" s="429" t="s">
        <v>118</v>
      </c>
      <c r="BF1202" s="289"/>
      <c r="BG1202" s="289"/>
      <c r="BH1202" s="290"/>
      <c r="BI1202" s="289"/>
    </row>
    <row r="1203" spans="1:61" ht="15.6" customHeight="1">
      <c r="A1203" s="685" t="s">
        <v>305</v>
      </c>
      <c r="B1203" s="686"/>
      <c r="C1203" s="687"/>
      <c r="D1203" s="688"/>
      <c r="E1203" s="689"/>
      <c r="F1203" s="689"/>
      <c r="G1203" s="690">
        <v>48</v>
      </c>
      <c r="H1203" s="691"/>
      <c r="I1203" s="689"/>
      <c r="J1203" s="687">
        <f>C1202+7.5</f>
        <v>59276.179999999986</v>
      </c>
      <c r="K1203" s="691" t="s">
        <v>117</v>
      </c>
      <c r="L1203" s="691"/>
      <c r="M1203" s="691" t="str">
        <f>IF(L1203="","",
IF(AX1203="PT",VLOOKUP(L1203,Foundation_Calc!$V$79:$X$113,VLOOKUP(AX1203,Foundation_Calc!$I$10:$J$13,2,FALSE),0),
IF(AX1203="K",VLOOKUP(L1203,Foundation_Calc!$V$117:$X$151,VLOOKUP(AX1203,Foundation_Calc!$I$10:$J$13,2,FALSE),0),"")))</f>
        <v/>
      </c>
      <c r="N1203" s="691"/>
      <c r="O1203" s="691"/>
      <c r="P1203" s="691"/>
      <c r="Q1203" s="689"/>
      <c r="R1203" s="690"/>
      <c r="S1203" s="690"/>
      <c r="T1203" s="689"/>
      <c r="U1203" s="689"/>
      <c r="V1203" s="689"/>
      <c r="W1203" s="692"/>
      <c r="X1203" s="692"/>
      <c r="Y1203" s="692"/>
      <c r="Z1203" s="692"/>
      <c r="AA1203" s="692"/>
      <c r="AB1203" s="692"/>
      <c r="AC1203" s="691" t="str">
        <f t="shared" si="133"/>
        <v/>
      </c>
      <c r="AD1203" s="691"/>
      <c r="AE1203" s="691"/>
      <c r="AF1203" s="689"/>
      <c r="AG1203" s="688"/>
      <c r="AH1203" s="689"/>
      <c r="AI1203" s="689"/>
      <c r="AJ1203" s="691"/>
      <c r="AK1203" s="691"/>
      <c r="AL1203" s="691"/>
      <c r="AM1203" s="691"/>
      <c r="AN1203" s="693"/>
      <c r="AO1203" s="692"/>
      <c r="AP1203" s="692"/>
      <c r="AQ1203" s="692">
        <f>+FL_2($T$1204,$T$1202,$G$1203,1200,9.28,-1*$F$1204)</f>
        <v>-0.34368371474403892</v>
      </c>
      <c r="AR1203" s="692"/>
      <c r="AS1203" s="692"/>
      <c r="AT1203" s="692"/>
      <c r="AU1203" s="694"/>
      <c r="AV1203" s="694"/>
      <c r="AW1203" s="691" t="str">
        <f>IF(C1203&gt;0,VLOOKUP(C1203,Foundation_Calc!$A$2:$C$13,3,1),
IF(J1203&gt;0,VLOOKUP(J1203,Foundation_Calc!$A$2:$C$13,3,1),""))</f>
        <v>Multi Soil</v>
      </c>
      <c r="AX1203" s="691" t="str">
        <f>IF(C1203&gt;0,VLOOKUP(C1203,Foundation_Calc!$E$2:$G$33,3,1),
IF(J1203&gt;0,VLOOKUP(J1203,Foundation_Calc!$E$2:$G$33,3,1),""))</f>
        <v>PT</v>
      </c>
      <c r="AY1203" s="693" t="str">
        <f>IF(L1203="","",
IF(AX1203="PT",VLOOKUP(L1203,Foundation_Calc!$K$79:$R$113,VLOOKUP(AW1203,Foundation_Calc!$I$2:$J$8,2,FALSE),0),
IF(AX1203="K",VLOOKUP(L1203,Foundation_Calc!$K$117:$R$151,VLOOKUP(AW1203,Foundation_Calc!$I$2:$J$8,2,FALSE),0),"")))</f>
        <v/>
      </c>
      <c r="AZ1203" s="693">
        <f>IF(K1203="","",
IF(AX1203="PT",VLOOKUP(K1203,Foundation_Calc!$K$79:$R$113,VLOOKUP(AW1203,Foundation_Calc!$I$2:$J$8,2,FALSE),0),
IF(AX1203="K",VLOOKUP(K1203,Foundation_Calc!$K$117:$R$151,VLOOKUP(AW1203,Foundation_Calc!$I$2:$J$8,2,FALSE),0),"")))</f>
        <v>3.9</v>
      </c>
      <c r="BA1203" s="495" t="str">
        <f t="shared" si="137"/>
        <v/>
      </c>
      <c r="BB1203" s="495" t="str">
        <f t="shared" si="138"/>
        <v>ü</v>
      </c>
      <c r="BC1203" s="495" t="str">
        <f t="shared" si="139"/>
        <v/>
      </c>
      <c r="BD1203" s="513" t="str">
        <f>IF(AND(L1203="",H1203=""),"",
IF(H1203="",Pole_Calc!A$9,
IF(H1203="MP",Pole_Calc!A$10,
IF(H1203="AnMP",Pole_Calc!A$11,
IF(H1203="A",Pole_Calc!A$12,
IF(H1203="S/A",Pole_Calc!A$13,
IF(H1203="A/S",Pole_Calc!A$14,"Poner a mano")))))))</f>
        <v/>
      </c>
      <c r="BE1203" s="429" t="s">
        <v>118</v>
      </c>
      <c r="BF1203" s="290"/>
      <c r="BG1203" s="290"/>
      <c r="BH1203" s="290"/>
      <c r="BI1203" s="290"/>
    </row>
    <row r="1204" spans="1:61" ht="15.6" customHeight="1">
      <c r="A1204" s="514"/>
      <c r="B1204" s="450" t="s">
        <v>884</v>
      </c>
      <c r="C1204" s="3">
        <f>+$C$1202+$G$1203</f>
        <v>59316.679999999986</v>
      </c>
      <c r="D1204" s="83"/>
      <c r="E1204" s="4"/>
      <c r="F1204" s="4">
        <f>-(379^2)/(C1204-59405.97)</f>
        <v>1608.7019823045714</v>
      </c>
      <c r="G1204" s="6"/>
      <c r="H1204" s="449"/>
      <c r="I1204" s="4"/>
      <c r="J1204" s="3"/>
      <c r="K1204" s="449"/>
      <c r="L1204" s="449" t="s">
        <v>158</v>
      </c>
      <c r="M1204" s="449" t="str">
        <f>IF(L1204="","",
IF(AX1204="PT",VLOOKUP(L1204,Foundation_Calc!$V$79:$X$113,VLOOKUP(AX1204,Foundation_Calc!$I$10:$J$13,2,FALSE),0),
IF(AX1204="K",VLOOKUP(L1204,Foundation_Calc!$V$117:$X$151,VLOOKUP(AX1204,Foundation_Calc!$I$10:$J$13,2,FALSE),0),"")))</f>
        <v>C4R</v>
      </c>
      <c r="N1204" s="449" t="s">
        <v>124</v>
      </c>
      <c r="O1204" s="449"/>
      <c r="P1204" s="449"/>
      <c r="Q1204" s="4"/>
      <c r="R1204" s="6"/>
      <c r="S1204" s="6"/>
      <c r="T1204" s="4">
        <v>-30</v>
      </c>
      <c r="U1204" s="4"/>
      <c r="V1204" s="4"/>
      <c r="W1204" s="9">
        <v>1.4</v>
      </c>
      <c r="X1204" s="9"/>
      <c r="Y1204" s="9"/>
      <c r="Z1204" s="9"/>
      <c r="AA1204" s="9"/>
      <c r="AB1204" s="9"/>
      <c r="AC1204" s="449" t="str">
        <f t="shared" si="133"/>
        <v>PHQ</v>
      </c>
      <c r="AD1204" s="449"/>
      <c r="AE1204" s="449"/>
      <c r="AF1204" s="4"/>
      <c r="AG1204" s="83"/>
      <c r="AH1204" s="4"/>
      <c r="AI1204" s="4"/>
      <c r="AJ1204" s="449"/>
      <c r="AK1204" s="449"/>
      <c r="AL1204" s="449"/>
      <c r="AM1204" s="449" t="s">
        <v>126</v>
      </c>
      <c r="AN1204" s="10">
        <v>5.5</v>
      </c>
      <c r="AO1204" s="9"/>
      <c r="AP1204" s="9"/>
      <c r="AQ1204" s="9"/>
      <c r="AR1204" s="9"/>
      <c r="AS1204" s="9"/>
      <c r="AT1204" s="9">
        <f>+ab($T$1204,$T$1202,$T$1206,$G$1203,$G$1205,-1*$F$1204,1200)</f>
        <v>-5.8909395687035637</v>
      </c>
      <c r="AU1204" s="428"/>
      <c r="AV1204" s="428"/>
      <c r="AW1204" s="449" t="str">
        <f>IF(C1204&gt;0,VLOOKUP(C1204,Foundation_Calc!$A$2:$C$13,3,1),
IF(J1204&gt;0,VLOOKUP(J1204,Foundation_Calc!$A$2:$C$13,3,1),""))</f>
        <v>Multi Soil</v>
      </c>
      <c r="AX1204" s="449" t="str">
        <f>IF(C1204&gt;0,VLOOKUP(C1204,Foundation_Calc!$E$2:$G$33,3,1),
IF(J1204&gt;0,VLOOKUP(J1204,Foundation_Calc!$E$2:$G$33,3,1),""))</f>
        <v>PT</v>
      </c>
      <c r="AY1204" s="10">
        <f>IF(L1204="","",
IF(AX1204="PT",VLOOKUP(L1204,Foundation_Calc!$K$79:$R$113,VLOOKUP(AW1204,Foundation_Calc!$I$2:$J$8,2,FALSE),0),
IF(AX1204="K",VLOOKUP(L1204,Foundation_Calc!$K$117:$R$151,VLOOKUP(AW1204,Foundation_Calc!$I$2:$J$8,2,FALSE),0),"")))</f>
        <v>3.5</v>
      </c>
      <c r="AZ1204" s="10" t="str">
        <f>IF(K1204="","",
IF(AX1204="PT",VLOOKUP(K1204,Foundation_Calc!$K$79:$R$113,VLOOKUP(AW1204,Foundation_Calc!$I$2:$J$8,2,FALSE),0),
IF(AX1204="K",VLOOKUP(K1204,Foundation_Calc!$K$117:$R$151,VLOOKUP(AW1204,Foundation_Calc!$I$2:$J$8,2,FALSE),0),"")))</f>
        <v/>
      </c>
      <c r="BA1204" s="495" t="str">
        <f t="shared" si="137"/>
        <v>ü</v>
      </c>
      <c r="BB1204" s="495" t="str">
        <f t="shared" si="138"/>
        <v/>
      </c>
      <c r="BC1204" s="495" t="str">
        <f t="shared" si="139"/>
        <v/>
      </c>
      <c r="BD1204" s="513" t="str">
        <f>IF(AND(L1204="",H1204=""),"",
IF(H1204="",Pole_Calc!A$9,
IF(H1204="MP",Pole_Calc!A$10,
IF(H1204="AnMP",Pole_Calc!A$11,
IF(H1204="A",Pole_Calc!A$12,
IF(H1204="S/A",Pole_Calc!A$13,
IF(H1204="A/S",Pole_Calc!A$14,"Poner a mano")))))))</f>
        <v>App.7-V11I-P9.5.1.1</v>
      </c>
      <c r="BE1204" s="429" t="s">
        <v>118</v>
      </c>
      <c r="BF1204" s="289"/>
      <c r="BG1204" s="289"/>
      <c r="BH1204" s="290"/>
      <c r="BI1204" s="289"/>
    </row>
    <row r="1205" spans="1:61" ht="15.6" customHeight="1">
      <c r="A1205" s="514"/>
      <c r="B1205" s="450"/>
      <c r="C1205" s="3"/>
      <c r="D1205" s="83"/>
      <c r="E1205" s="4"/>
      <c r="F1205" s="4"/>
      <c r="G1205" s="6">
        <v>50</v>
      </c>
      <c r="H1205" s="449"/>
      <c r="I1205" s="4"/>
      <c r="J1205" s="3"/>
      <c r="K1205" s="449"/>
      <c r="L1205" s="449"/>
      <c r="M1205" s="449" t="str">
        <f>IF(L1205="","",
IF(AX1205="PT",VLOOKUP(L1205,Foundation_Calc!$V$79:$X$113,VLOOKUP(AX1205,Foundation_Calc!$I$10:$J$13,2,FALSE),0),
IF(AX1205="K",VLOOKUP(L1205,Foundation_Calc!$V$117:$X$151,VLOOKUP(AX1205,Foundation_Calc!$I$10:$J$13,2,FALSE),0),"")))</f>
        <v/>
      </c>
      <c r="N1205" s="449"/>
      <c r="O1205" s="449"/>
      <c r="P1205" s="449"/>
      <c r="Q1205" s="4"/>
      <c r="R1205" s="6"/>
      <c r="S1205" s="6"/>
      <c r="T1205" s="4"/>
      <c r="U1205" s="4"/>
      <c r="V1205" s="4"/>
      <c r="W1205" s="9"/>
      <c r="X1205" s="9"/>
      <c r="Y1205" s="9"/>
      <c r="Z1205" s="9"/>
      <c r="AA1205" s="9"/>
      <c r="AB1205" s="9"/>
      <c r="AC1205" s="449" t="str">
        <f t="shared" si="133"/>
        <v/>
      </c>
      <c r="AD1205" s="449"/>
      <c r="AE1205" s="449"/>
      <c r="AF1205" s="4"/>
      <c r="AG1205" s="83"/>
      <c r="AH1205" s="4"/>
      <c r="AI1205" s="4"/>
      <c r="AJ1205" s="449"/>
      <c r="AK1205" s="449"/>
      <c r="AL1205" s="449"/>
      <c r="AM1205" s="449"/>
      <c r="AN1205" s="10"/>
      <c r="AO1205" s="9"/>
      <c r="AP1205" s="9"/>
      <c r="AQ1205" s="9">
        <f>+FL_2($T$1206,$T$1204,$G$1205,1200,9.28,-1*$F$1206)</f>
        <v>-0.4101894263921152</v>
      </c>
      <c r="AR1205" s="9"/>
      <c r="AS1205" s="9"/>
      <c r="AT1205" s="9"/>
      <c r="AU1205" s="428"/>
      <c r="AV1205" s="428"/>
      <c r="AW1205" s="449" t="str">
        <f>IF(C1205&gt;0,VLOOKUP(C1205,Foundation_Calc!$A$2:$C$13,3,1),
IF(J1205&gt;0,VLOOKUP(J1205,Foundation_Calc!$A$2:$C$13,3,1),""))</f>
        <v/>
      </c>
      <c r="AX1205" s="449" t="str">
        <f>IF(C1205&gt;0,VLOOKUP(C1205,Foundation_Calc!$E$2:$G$33,3,1),
IF(J1205&gt;0,VLOOKUP(J1205,Foundation_Calc!$E$2:$G$33,3,1),""))</f>
        <v/>
      </c>
      <c r="AY1205" s="10" t="str">
        <f>IF(L1205="","",
IF(AX1205="PT",VLOOKUP(L1205,Foundation_Calc!$K$79:$R$113,VLOOKUP(AW1205,Foundation_Calc!$I$2:$J$8,2,FALSE),0),
IF(AX1205="K",VLOOKUP(L1205,Foundation_Calc!$K$117:$R$151,VLOOKUP(AW1205,Foundation_Calc!$I$2:$J$8,2,FALSE),0),"")))</f>
        <v/>
      </c>
      <c r="AZ1205" s="10" t="str">
        <f>IF(K1205="","",
IF(AX1205="PT",VLOOKUP(K1205,Foundation_Calc!$K$79:$R$113,VLOOKUP(AW1205,Foundation_Calc!$I$2:$J$8,2,FALSE),0),
IF(AX1205="K",VLOOKUP(K1205,Foundation_Calc!$K$117:$R$151,VLOOKUP(AW1205,Foundation_Calc!$I$2:$J$8,2,FALSE),0),"")))</f>
        <v/>
      </c>
      <c r="BA1205" s="495" t="str">
        <f t="shared" si="137"/>
        <v/>
      </c>
      <c r="BB1205" s="495" t="str">
        <f t="shared" si="138"/>
        <v/>
      </c>
      <c r="BC1205" s="495" t="str">
        <f t="shared" si="139"/>
        <v/>
      </c>
      <c r="BD1205" s="513" t="str">
        <f>IF(AND(L1205="",H1205=""),"",
IF(H1205="",Pole_Calc!A$9,
IF(H1205="MP",Pole_Calc!A$10,
IF(H1205="AnMP",Pole_Calc!A$11,
IF(H1205="A",Pole_Calc!A$12,
IF(H1205="S/A",Pole_Calc!A$13,
IF(H1205="A/S",Pole_Calc!A$14,"Poner a mano")))))))</f>
        <v/>
      </c>
      <c r="BE1205" s="429" t="s">
        <v>118</v>
      </c>
      <c r="BF1205" s="290"/>
      <c r="BG1205" s="290"/>
      <c r="BH1205" s="290"/>
      <c r="BI1205" s="290"/>
    </row>
    <row r="1206" spans="1:61" ht="15.6" customHeight="1">
      <c r="A1206" s="514"/>
      <c r="B1206" s="450" t="s">
        <v>885</v>
      </c>
      <c r="C1206" s="3">
        <f>+$C$1204+$G$1205</f>
        <v>59366.679999999986</v>
      </c>
      <c r="D1206" s="83"/>
      <c r="E1206" s="4"/>
      <c r="F1206" s="4">
        <f>-(379^2)/(C1206-59405.97)</f>
        <v>3655.9175362673354</v>
      </c>
      <c r="G1206" s="6"/>
      <c r="H1206" s="449"/>
      <c r="I1206" s="4"/>
      <c r="J1206" s="3"/>
      <c r="K1206" s="449"/>
      <c r="L1206" s="449" t="s">
        <v>153</v>
      </c>
      <c r="M1206" s="449" t="str">
        <f>IF(L1206="","",
IF(AX1206="PT",VLOOKUP(L1206,Foundation_Calc!$V$79:$X$113,VLOOKUP(AX1206,Foundation_Calc!$I$10:$J$13,2,FALSE),0),
IF(AX1206="K",VLOOKUP(L1206,Foundation_Calc!$V$117:$X$151,VLOOKUP(AX1206,Foundation_Calc!$I$10:$J$13,2,FALSE),0),"")))</f>
        <v>C3R</v>
      </c>
      <c r="N1206" s="449" t="s">
        <v>124</v>
      </c>
      <c r="O1206" s="449"/>
      <c r="P1206" s="449"/>
      <c r="Q1206" s="4"/>
      <c r="R1206" s="6"/>
      <c r="S1206" s="6"/>
      <c r="T1206" s="4">
        <v>-20</v>
      </c>
      <c r="U1206" s="4"/>
      <c r="V1206" s="4"/>
      <c r="W1206" s="9">
        <v>1.4</v>
      </c>
      <c r="X1206" s="9"/>
      <c r="Y1206" s="9"/>
      <c r="Z1206" s="9"/>
      <c r="AA1206" s="9"/>
      <c r="AB1206" s="9"/>
      <c r="AC1206" s="449" t="str">
        <f t="shared" si="133"/>
        <v>PH</v>
      </c>
      <c r="AD1206" s="449"/>
      <c r="AE1206" s="449"/>
      <c r="AF1206" s="4"/>
      <c r="AG1206" s="83"/>
      <c r="AH1206" s="4"/>
      <c r="AI1206" s="4"/>
      <c r="AJ1206" s="449"/>
      <c r="AK1206" s="449"/>
      <c r="AL1206" s="449"/>
      <c r="AM1206" s="449" t="s">
        <v>126</v>
      </c>
      <c r="AN1206" s="10">
        <v>5.5</v>
      </c>
      <c r="AO1206" s="9"/>
      <c r="AP1206" s="9"/>
      <c r="AQ1206" s="9"/>
      <c r="AR1206" s="9"/>
      <c r="AS1206" s="9"/>
      <c r="AT1206" s="9">
        <f>+ab($T$1206,$T$1204,$T$1208,$G$1205,$G$1207,-1*$F$1206,1200)</f>
        <v>-8.5185276318933969</v>
      </c>
      <c r="AU1206" s="428"/>
      <c r="AV1206" s="428"/>
      <c r="AW1206" s="449" t="str">
        <f>IF(C1206&gt;0,VLOOKUP(C1206,Foundation_Calc!$A$2:$C$13,3,1),
IF(J1206&gt;0,VLOOKUP(J1206,Foundation_Calc!$A$2:$C$13,3,1),""))</f>
        <v>Multi Soil</v>
      </c>
      <c r="AX1206" s="449" t="str">
        <f>IF(C1206&gt;0,VLOOKUP(C1206,Foundation_Calc!$E$2:$G$33,3,1),
IF(J1206&gt;0,VLOOKUP(J1206,Foundation_Calc!$E$2:$G$33,3,1),""))</f>
        <v>PT</v>
      </c>
      <c r="AY1206" s="10">
        <f>IF(L1206="","",
IF(AX1206="PT",VLOOKUP(L1206,Foundation_Calc!$K$79:$R$113,VLOOKUP(AW1206,Foundation_Calc!$I$2:$J$8,2,FALSE),0),
IF(AX1206="K",VLOOKUP(L1206,Foundation_Calc!$K$117:$R$151,VLOOKUP(AW1206,Foundation_Calc!$I$2:$J$8,2,FALSE),0),"")))</f>
        <v>3.5</v>
      </c>
      <c r="AZ1206" s="10" t="str">
        <f>IF(K1206="","",
IF(AX1206="PT",VLOOKUP(K1206,Foundation_Calc!$K$79:$R$113,VLOOKUP(AW1206,Foundation_Calc!$I$2:$J$8,2,FALSE),0),
IF(AX1206="K",VLOOKUP(K1206,Foundation_Calc!$K$117:$R$151,VLOOKUP(AW1206,Foundation_Calc!$I$2:$J$8,2,FALSE),0),"")))</f>
        <v/>
      </c>
      <c r="BA1206" s="495" t="str">
        <f t="shared" si="137"/>
        <v>ü</v>
      </c>
      <c r="BB1206" s="495" t="str">
        <f t="shared" si="138"/>
        <v/>
      </c>
      <c r="BC1206" s="495" t="str">
        <f t="shared" si="139"/>
        <v/>
      </c>
      <c r="BD1206" s="513" t="str">
        <f>IF(AND(L1206="",H1206=""),"",
IF(H1206="",Pole_Calc!A$9,
IF(H1206="MP",Pole_Calc!A$10,
IF(H1206="AnMP",Pole_Calc!A$11,
IF(H1206="A",Pole_Calc!A$12,
IF(H1206="S/A",Pole_Calc!A$13,
IF(H1206="A/S",Pole_Calc!A$14,"Poner a mano")))))))</f>
        <v>App.7-V11I-P9.5.1.1</v>
      </c>
      <c r="BE1206" s="429" t="s">
        <v>118</v>
      </c>
      <c r="BF1206" s="289"/>
      <c r="BG1206" s="289"/>
      <c r="BH1206" s="290"/>
      <c r="BI1206" s="289"/>
    </row>
    <row r="1207" spans="1:61" ht="15.6" customHeight="1">
      <c r="A1207" s="514"/>
      <c r="B1207" s="450"/>
      <c r="C1207" s="3"/>
      <c r="D1207" s="83"/>
      <c r="E1207" s="4"/>
      <c r="F1207" s="4"/>
      <c r="G1207" s="6">
        <v>55</v>
      </c>
      <c r="H1207" s="449"/>
      <c r="I1207" s="4"/>
      <c r="J1207" s="3"/>
      <c r="K1207" s="449"/>
      <c r="L1207" s="449"/>
      <c r="M1207" s="449" t="str">
        <f>IF(L1207="","",
IF(AX1207="PT",VLOOKUP(L1207,Foundation_Calc!$V$79:$X$113,VLOOKUP(AX1207,Foundation_Calc!$I$10:$J$13,2,FALSE),0),
IF(AX1207="K",VLOOKUP(L1207,Foundation_Calc!$V$117:$X$151,VLOOKUP(AX1207,Foundation_Calc!$I$10:$J$13,2,FALSE),0),"")))</f>
        <v/>
      </c>
      <c r="N1207" s="449"/>
      <c r="O1207" s="449"/>
      <c r="P1207" s="449"/>
      <c r="Q1207" s="4"/>
      <c r="R1207" s="6"/>
      <c r="S1207" s="6"/>
      <c r="T1207" s="4"/>
      <c r="U1207" s="4"/>
      <c r="V1207" s="4"/>
      <c r="W1207" s="9"/>
      <c r="X1207" s="9"/>
      <c r="Y1207" s="9"/>
      <c r="Z1207" s="9"/>
      <c r="AA1207" s="9"/>
      <c r="AB1207" s="9"/>
      <c r="AC1207" s="449" t="str">
        <f t="shared" si="133"/>
        <v/>
      </c>
      <c r="AD1207" s="449"/>
      <c r="AE1207" s="449"/>
      <c r="AF1207" s="4"/>
      <c r="AG1207" s="83"/>
      <c r="AH1207" s="4"/>
      <c r="AI1207" s="4"/>
      <c r="AJ1207" s="449"/>
      <c r="AK1207" s="449"/>
      <c r="AL1207" s="449"/>
      <c r="AM1207" s="449"/>
      <c r="AN1207" s="10"/>
      <c r="AO1207" s="9"/>
      <c r="AP1207" s="9"/>
      <c r="AQ1207" s="9">
        <f>+FL_1($T$1208,$T$1206,$G$1207,1200,9.28,-1*$F$1208)</f>
        <v>0.43207183866666665</v>
      </c>
      <c r="AR1207" s="9"/>
      <c r="AS1207" s="9"/>
      <c r="AT1207" s="9"/>
      <c r="AU1207" s="428"/>
      <c r="AV1207" s="428"/>
      <c r="AW1207" s="449" t="str">
        <f>IF(C1207&gt;0,VLOOKUP(C1207,Foundation_Calc!$A$2:$C$13,3,1),
IF(J1207&gt;0,VLOOKUP(J1207,Foundation_Calc!$A$2:$C$13,3,1),""))</f>
        <v/>
      </c>
      <c r="AX1207" s="449" t="str">
        <f>IF(C1207&gt;0,VLOOKUP(C1207,Foundation_Calc!$E$2:$G$33,3,1),
IF(J1207&gt;0,VLOOKUP(J1207,Foundation_Calc!$E$2:$G$33,3,1),""))</f>
        <v/>
      </c>
      <c r="AY1207" s="10" t="str">
        <f>IF(L1207="","",
IF(AX1207="PT",VLOOKUP(L1207,Foundation_Calc!$K$79:$R$113,VLOOKUP(AW1207,Foundation_Calc!$I$2:$J$8,2,FALSE),0),
IF(AX1207="K",VLOOKUP(L1207,Foundation_Calc!$K$117:$R$151,VLOOKUP(AW1207,Foundation_Calc!$I$2:$J$8,2,FALSE),0),"")))</f>
        <v/>
      </c>
      <c r="AZ1207" s="10" t="str">
        <f>IF(K1207="","",
IF(AX1207="PT",VLOOKUP(K1207,Foundation_Calc!$K$79:$R$113,VLOOKUP(AW1207,Foundation_Calc!$I$2:$J$8,2,FALSE),0),
IF(AX1207="K",VLOOKUP(K1207,Foundation_Calc!$K$117:$R$151,VLOOKUP(AW1207,Foundation_Calc!$I$2:$J$8,2,FALSE),0),"")))</f>
        <v/>
      </c>
      <c r="BA1207" s="495" t="str">
        <f t="shared" si="137"/>
        <v/>
      </c>
      <c r="BB1207" s="495" t="str">
        <f t="shared" si="138"/>
        <v/>
      </c>
      <c r="BC1207" s="495" t="str">
        <f t="shared" si="139"/>
        <v/>
      </c>
      <c r="BD1207" s="513" t="str">
        <f>IF(AND(L1207="",H1207=""),"",
IF(H1207="",Pole_Calc!A$9,
IF(H1207="MP",Pole_Calc!A$10,
IF(H1207="AnMP",Pole_Calc!A$11,
IF(H1207="A",Pole_Calc!A$12,
IF(H1207="S/A",Pole_Calc!A$13,
IF(H1207="A/S",Pole_Calc!A$14,"Poner a mano")))))))</f>
        <v/>
      </c>
      <c r="BE1207" s="429" t="s">
        <v>118</v>
      </c>
      <c r="BF1207" s="290"/>
      <c r="BG1207" s="290"/>
      <c r="BH1207" s="290"/>
      <c r="BI1207" s="290"/>
    </row>
    <row r="1208" spans="1:61" ht="15.6" customHeight="1">
      <c r="A1208" s="514"/>
      <c r="B1208" s="450" t="s">
        <v>886</v>
      </c>
      <c r="C1208" s="3">
        <f>+$C$1206+$G$1207</f>
        <v>59421.679999999986</v>
      </c>
      <c r="D1208" s="83"/>
      <c r="E1208" s="4"/>
      <c r="F1208" s="4">
        <f>IF(C1208&gt;0,VLOOKUP(C1208,'ALIGNMENT TRACK'!$A$1:$K$83,9,1))</f>
        <v>0</v>
      </c>
      <c r="G1208" s="6"/>
      <c r="H1208" s="449"/>
      <c r="I1208" s="4"/>
      <c r="J1208" s="3"/>
      <c r="K1208" s="449"/>
      <c r="L1208" s="449" t="s">
        <v>153</v>
      </c>
      <c r="M1208" s="449" t="str">
        <f>IF(L1208="","",
IF(AX1208="PT",VLOOKUP(L1208,Foundation_Calc!$V$79:$X$113,VLOOKUP(AX1208,Foundation_Calc!$I$10:$J$13,2,FALSE),0),
IF(AX1208="K",VLOOKUP(L1208,Foundation_Calc!$V$117:$X$151,VLOOKUP(AX1208,Foundation_Calc!$I$10:$J$13,2,FALSE),0),"")))</f>
        <v>C3R</v>
      </c>
      <c r="N1208" s="449" t="s">
        <v>134</v>
      </c>
      <c r="O1208" s="449"/>
      <c r="P1208" s="449"/>
      <c r="Q1208" s="4"/>
      <c r="R1208" s="6"/>
      <c r="S1208" s="6"/>
      <c r="T1208" s="4">
        <v>35</v>
      </c>
      <c r="U1208" s="4"/>
      <c r="V1208" s="4"/>
      <c r="W1208" s="9">
        <v>1.4</v>
      </c>
      <c r="X1208" s="9"/>
      <c r="Y1208" s="9"/>
      <c r="Z1208" s="9"/>
      <c r="AA1208" s="9"/>
      <c r="AB1208" s="9"/>
      <c r="AC1208" s="449" t="str">
        <f t="shared" si="133"/>
        <v>PHQ</v>
      </c>
      <c r="AD1208" s="449"/>
      <c r="AE1208" s="449"/>
      <c r="AF1208" s="4"/>
      <c r="AG1208" s="83"/>
      <c r="AH1208" s="4"/>
      <c r="AI1208" s="4"/>
      <c r="AJ1208" s="449"/>
      <c r="AK1208" s="449"/>
      <c r="AL1208" s="449"/>
      <c r="AM1208" s="449" t="s">
        <v>126</v>
      </c>
      <c r="AN1208" s="10">
        <v>5.5</v>
      </c>
      <c r="AO1208" s="9"/>
      <c r="AP1208" s="9"/>
      <c r="AQ1208" s="9"/>
      <c r="AR1208" s="9"/>
      <c r="AS1208" s="9"/>
      <c r="AT1208" s="9">
        <f>+ab($T$1208,$T$1206,$T$1210,$G$1207,$G$1209,-1*$F$1208,1200)</f>
        <v>7.9442075764230919</v>
      </c>
      <c r="AU1208" s="428"/>
      <c r="AV1208" s="428"/>
      <c r="AW1208" s="449" t="str">
        <f>IF(C1208&gt;0,VLOOKUP(C1208,Foundation_Calc!$A$2:$C$13,3,1),
IF(J1208&gt;0,VLOOKUP(J1208,Foundation_Calc!$A$2:$C$13,3,1),""))</f>
        <v>Multi Soil</v>
      </c>
      <c r="AX1208" s="449" t="str">
        <f>IF(C1208&gt;0,VLOOKUP(C1208,Foundation_Calc!$E$2:$G$33,3,1),
IF(J1208&gt;0,VLOOKUP(J1208,Foundation_Calc!$E$2:$G$33,3,1),""))</f>
        <v>PT</v>
      </c>
      <c r="AY1208" s="10">
        <f>IF(L1208="","",
IF(AX1208="PT",VLOOKUP(L1208,Foundation_Calc!$K$79:$R$113,VLOOKUP(AW1208,Foundation_Calc!$I$2:$J$8,2,FALSE),0),
IF(AX1208="K",VLOOKUP(L1208,Foundation_Calc!$K$117:$R$151,VLOOKUP(AW1208,Foundation_Calc!$I$2:$J$8,2,FALSE),0),"")))</f>
        <v>3.5</v>
      </c>
      <c r="AZ1208" s="10" t="str">
        <f>IF(K1208="","",
IF(AX1208="PT",VLOOKUP(K1208,Foundation_Calc!$K$79:$R$113,VLOOKUP(AW1208,Foundation_Calc!$I$2:$J$8,2,FALSE),0),
IF(AX1208="K",VLOOKUP(K1208,Foundation_Calc!$K$117:$R$151,VLOOKUP(AW1208,Foundation_Calc!$I$2:$J$8,2,FALSE),0),"")))</f>
        <v/>
      </c>
      <c r="BA1208" s="495" t="str">
        <f t="shared" si="137"/>
        <v>ü</v>
      </c>
      <c r="BB1208" s="495" t="str">
        <f t="shared" si="138"/>
        <v/>
      </c>
      <c r="BC1208" s="495" t="str">
        <f t="shared" si="139"/>
        <v/>
      </c>
      <c r="BD1208" s="513" t="str">
        <f>IF(AND(L1208="",H1208=""),"",
IF(H1208="",Pole_Calc!A$9,
IF(H1208="MP",Pole_Calc!A$10,
IF(H1208="AnMP",Pole_Calc!A$11,
IF(H1208="A",Pole_Calc!A$12,
IF(H1208="S/A",Pole_Calc!A$13,
IF(H1208="A/S",Pole_Calc!A$14,"Poner a mano")))))))</f>
        <v>App.7-V11I-P9.5.1.1</v>
      </c>
      <c r="BE1208" s="429" t="s">
        <v>118</v>
      </c>
      <c r="BF1208" s="289"/>
      <c r="BG1208" s="289"/>
      <c r="BH1208" s="290"/>
      <c r="BI1208" s="289"/>
    </row>
    <row r="1209" spans="1:61" ht="15.6" customHeight="1">
      <c r="A1209" s="514"/>
      <c r="B1209" s="450"/>
      <c r="C1209" s="3"/>
      <c r="D1209" s="83"/>
      <c r="E1209" s="4"/>
      <c r="F1209" s="4"/>
      <c r="G1209" s="6">
        <v>50</v>
      </c>
      <c r="H1209" s="449"/>
      <c r="I1209" s="4"/>
      <c r="J1209" s="3"/>
      <c r="K1209" s="449"/>
      <c r="L1209" s="449"/>
      <c r="M1209" s="449" t="str">
        <f>IF(L1209="","",
IF(AX1209="PT",VLOOKUP(L1209,Foundation_Calc!$V$79:$X$113,VLOOKUP(AX1209,Foundation_Calc!$I$10:$J$13,2,FALSE),0),
IF(AX1209="K",VLOOKUP(L1209,Foundation_Calc!$V$117:$X$151,VLOOKUP(AX1209,Foundation_Calc!$I$10:$J$13,2,FALSE),0),"")))</f>
        <v/>
      </c>
      <c r="N1209" s="449"/>
      <c r="O1209" s="449"/>
      <c r="P1209" s="449"/>
      <c r="Q1209" s="4"/>
      <c r="R1209" s="6"/>
      <c r="S1209" s="6"/>
      <c r="T1209" s="4"/>
      <c r="U1209" s="4"/>
      <c r="V1209" s="4"/>
      <c r="W1209" s="9"/>
      <c r="X1209" s="9"/>
      <c r="Y1209" s="9"/>
      <c r="Z1209" s="9"/>
      <c r="AA1209" s="9"/>
      <c r="AB1209" s="9"/>
      <c r="AC1209" s="449" t="str">
        <f t="shared" si="133"/>
        <v/>
      </c>
      <c r="AD1209" s="449"/>
      <c r="AE1209" s="449"/>
      <c r="AF1209" s="4"/>
      <c r="AG1209" s="83"/>
      <c r="AH1209" s="4"/>
      <c r="AI1209" s="4"/>
      <c r="AJ1209" s="449"/>
      <c r="AK1209" s="449"/>
      <c r="AL1209" s="449"/>
      <c r="AM1209" s="449"/>
      <c r="AN1209" s="10"/>
      <c r="AO1209" s="9"/>
      <c r="AP1209" s="9"/>
      <c r="AQ1209" s="9">
        <f>+FL_2($T$1210,$T$1208,$G$1209,1200,9.28,-1*$F$1210)</f>
        <v>-0.36839079999999996</v>
      </c>
      <c r="AR1209" s="9"/>
      <c r="AS1209" s="9"/>
      <c r="AT1209" s="9"/>
      <c r="AU1209" s="428"/>
      <c r="AV1209" s="428"/>
      <c r="AW1209" s="449" t="str">
        <f>IF(C1209&gt;0,VLOOKUP(C1209,Foundation_Calc!$A$2:$C$13,3,1),
IF(J1209&gt;0,VLOOKUP(J1209,Foundation_Calc!$A$2:$C$13,3,1),""))</f>
        <v/>
      </c>
      <c r="AX1209" s="449" t="str">
        <f>IF(C1209&gt;0,VLOOKUP(C1209,Foundation_Calc!$E$2:$G$33,3,1),
IF(J1209&gt;0,VLOOKUP(J1209,Foundation_Calc!$E$2:$G$33,3,1),""))</f>
        <v/>
      </c>
      <c r="AY1209" s="10" t="str">
        <f>IF(L1209="","",
IF(AX1209="PT",VLOOKUP(L1209,Foundation_Calc!$K$79:$R$113,VLOOKUP(AW1209,Foundation_Calc!$I$2:$J$8,2,FALSE),0),
IF(AX1209="K",VLOOKUP(L1209,Foundation_Calc!$K$117:$R$151,VLOOKUP(AW1209,Foundation_Calc!$I$2:$J$8,2,FALSE),0),"")))</f>
        <v/>
      </c>
      <c r="AZ1209" s="10" t="str">
        <f>IF(K1209="","",
IF(AX1209="PT",VLOOKUP(K1209,Foundation_Calc!$K$79:$R$113,VLOOKUP(AW1209,Foundation_Calc!$I$2:$J$8,2,FALSE),0),
IF(AX1209="K",VLOOKUP(K1209,Foundation_Calc!$K$117:$R$151,VLOOKUP(AW1209,Foundation_Calc!$I$2:$J$8,2,FALSE),0),"")))</f>
        <v/>
      </c>
      <c r="BA1209" s="495" t="str">
        <f t="shared" si="137"/>
        <v/>
      </c>
      <c r="BB1209" s="495" t="str">
        <f t="shared" si="138"/>
        <v/>
      </c>
      <c r="BC1209" s="495" t="str">
        <f t="shared" si="139"/>
        <v/>
      </c>
      <c r="BD1209" s="513" t="str">
        <f>IF(AND(L1209="",H1209=""),"",
IF(H1209="",Pole_Calc!A$9,
IF(H1209="MP",Pole_Calc!A$10,
IF(H1209="AnMP",Pole_Calc!A$11,
IF(H1209="A",Pole_Calc!A$12,
IF(H1209="S/A",Pole_Calc!A$13,
IF(H1209="A/S",Pole_Calc!A$14,"Poner a mano")))))))</f>
        <v/>
      </c>
      <c r="BE1209" s="429" t="s">
        <v>118</v>
      </c>
      <c r="BF1209" s="290"/>
      <c r="BG1209" s="290"/>
      <c r="BH1209" s="290"/>
      <c r="BI1209" s="290"/>
    </row>
    <row r="1210" spans="1:61" ht="15.6" customHeight="1">
      <c r="A1210" s="514"/>
      <c r="B1210" s="450" t="s">
        <v>887</v>
      </c>
      <c r="C1210" s="3">
        <f>+$C$1208+$G$1209</f>
        <v>59471.679999999986</v>
      </c>
      <c r="D1210" s="83"/>
      <c r="E1210" s="4"/>
      <c r="F1210" s="4">
        <f>IF(C1210&gt;0,VLOOKUP(C1210,'ALIGNMENT TRACK'!$A$1:$K$83,9,1))</f>
        <v>0</v>
      </c>
      <c r="G1210" s="6"/>
      <c r="H1210" s="449"/>
      <c r="I1210" s="4"/>
      <c r="J1210" s="3"/>
      <c r="K1210" s="449"/>
      <c r="L1210" s="449" t="s">
        <v>153</v>
      </c>
      <c r="M1210" s="449" t="str">
        <f>IF(L1210="","",
IF(AX1210="PT",VLOOKUP(L1210,Foundation_Calc!$V$79:$X$113,VLOOKUP(AX1210,Foundation_Calc!$I$10:$J$13,2,FALSE),0),
IF(AX1210="K",VLOOKUP(L1210,Foundation_Calc!$V$117:$X$151,VLOOKUP(AX1210,Foundation_Calc!$I$10:$J$13,2,FALSE),0),"")))</f>
        <v>C3R</v>
      </c>
      <c r="N1210" s="449" t="s">
        <v>124</v>
      </c>
      <c r="O1210" s="449"/>
      <c r="P1210" s="449"/>
      <c r="Q1210" s="4"/>
      <c r="R1210" s="6"/>
      <c r="S1210" s="6"/>
      <c r="T1210" s="4">
        <v>-35</v>
      </c>
      <c r="U1210" s="4"/>
      <c r="V1210" s="4"/>
      <c r="W1210" s="9">
        <v>1.4</v>
      </c>
      <c r="X1210" s="9"/>
      <c r="Y1210" s="9"/>
      <c r="Z1210" s="9"/>
      <c r="AA1210" s="9"/>
      <c r="AB1210" s="9"/>
      <c r="AC1210" s="449" t="str">
        <f t="shared" si="133"/>
        <v>PHQ</v>
      </c>
      <c r="AD1210" s="449"/>
      <c r="AE1210" s="449"/>
      <c r="AF1210" s="4"/>
      <c r="AG1210" s="83"/>
      <c r="AH1210" s="4"/>
      <c r="AI1210" s="4"/>
      <c r="AJ1210" s="449"/>
      <c r="AK1210" s="449"/>
      <c r="AL1210" s="449"/>
      <c r="AM1210" s="449" t="s">
        <v>126</v>
      </c>
      <c r="AN1210" s="10">
        <v>5.5</v>
      </c>
      <c r="AO1210" s="9"/>
      <c r="AP1210" s="9"/>
      <c r="AQ1210" s="9"/>
      <c r="AR1210" s="9"/>
      <c r="AS1210" s="9"/>
      <c r="AT1210" s="9">
        <f>+ab($T$1210,$T$1208,$T$1212,$G$1209,$G$1211,-1*$F$1210,1200)</f>
        <v>-6.8209152065487553</v>
      </c>
      <c r="AU1210" s="428"/>
      <c r="AV1210" s="428"/>
      <c r="AW1210" s="449" t="str">
        <f>IF(C1210&gt;0,VLOOKUP(C1210,Foundation_Calc!$A$2:$C$13,3,1),
IF(J1210&gt;0,VLOOKUP(J1210,Foundation_Calc!$A$2:$C$13,3,1),""))</f>
        <v>Multi Soil</v>
      </c>
      <c r="AX1210" s="449" t="str">
        <f>IF(C1210&gt;0,VLOOKUP(C1210,Foundation_Calc!$E$2:$G$33,3,1),
IF(J1210&gt;0,VLOOKUP(J1210,Foundation_Calc!$E$2:$G$33,3,1),""))</f>
        <v>PT</v>
      </c>
      <c r="AY1210" s="10">
        <f>IF(L1210="","",
IF(AX1210="PT",VLOOKUP(L1210,Foundation_Calc!$K$79:$R$113,VLOOKUP(AW1210,Foundation_Calc!$I$2:$J$8,2,FALSE),0),
IF(AX1210="K",VLOOKUP(L1210,Foundation_Calc!$K$117:$R$151,VLOOKUP(AW1210,Foundation_Calc!$I$2:$J$8,2,FALSE),0),"")))</f>
        <v>3.5</v>
      </c>
      <c r="AZ1210" s="10" t="str">
        <f>IF(K1210="","",
IF(AX1210="PT",VLOOKUP(K1210,Foundation_Calc!$K$79:$R$113,VLOOKUP(AW1210,Foundation_Calc!$I$2:$J$8,2,FALSE),0),
IF(AX1210="K",VLOOKUP(K1210,Foundation_Calc!$K$117:$R$151,VLOOKUP(AW1210,Foundation_Calc!$I$2:$J$8,2,FALSE),0),"")))</f>
        <v/>
      </c>
      <c r="BA1210" s="495" t="str">
        <f t="shared" si="137"/>
        <v>ü</v>
      </c>
      <c r="BB1210" s="495" t="str">
        <f t="shared" si="138"/>
        <v/>
      </c>
      <c r="BC1210" s="495" t="str">
        <f t="shared" si="139"/>
        <v/>
      </c>
      <c r="BD1210" s="513" t="str">
        <f>IF(AND(L1210="",H1210=""),"",
IF(H1210="",Pole_Calc!A$9,
IF(H1210="MP",Pole_Calc!A$10,
IF(H1210="AnMP",Pole_Calc!A$11,
IF(H1210="A",Pole_Calc!A$12,
IF(H1210="S/A",Pole_Calc!A$13,
IF(H1210="A/S",Pole_Calc!A$14,"Poner a mano")))))))</f>
        <v>App.7-V11I-P9.5.1.1</v>
      </c>
      <c r="BE1210" s="429" t="s">
        <v>118</v>
      </c>
      <c r="BF1210" s="289"/>
      <c r="BG1210" s="289"/>
      <c r="BH1210" s="290"/>
      <c r="BI1210" s="289"/>
    </row>
    <row r="1211" spans="1:61" ht="15.6" customHeight="1">
      <c r="A1211" s="514"/>
      <c r="B1211" s="450"/>
      <c r="C1211" s="3"/>
      <c r="D1211" s="83"/>
      <c r="E1211" s="4"/>
      <c r="F1211" s="4"/>
      <c r="G1211" s="6">
        <v>50</v>
      </c>
      <c r="H1211" s="449"/>
      <c r="I1211" s="4"/>
      <c r="J1211" s="3">
        <f>C1212-7.5</f>
        <v>59514.179999999986</v>
      </c>
      <c r="K1211" s="449" t="s">
        <v>117</v>
      </c>
      <c r="L1211" s="449"/>
      <c r="M1211" s="449" t="str">
        <f>IF(L1211="","",
IF(AX1211="PT",VLOOKUP(L1211,Foundation_Calc!$V$79:$X$113,VLOOKUP(AX1211,Foundation_Calc!$I$10:$J$13,2,FALSE),0),
IF(AX1211="K",VLOOKUP(L1211,Foundation_Calc!$V$117:$X$151,VLOOKUP(AX1211,Foundation_Calc!$I$10:$J$13,2,FALSE),0),"")))</f>
        <v/>
      </c>
      <c r="N1211" s="449"/>
      <c r="O1211" s="449"/>
      <c r="P1211" s="449"/>
      <c r="Q1211" s="4"/>
      <c r="R1211" s="6"/>
      <c r="S1211" s="6"/>
      <c r="T1211" s="4"/>
      <c r="U1211" s="4"/>
      <c r="V1211" s="4"/>
      <c r="W1211" s="9"/>
      <c r="X1211" s="9"/>
      <c r="Y1211" s="9"/>
      <c r="Z1211" s="9"/>
      <c r="AA1211" s="9"/>
      <c r="AB1211" s="9"/>
      <c r="AC1211" s="449" t="str">
        <f t="shared" si="133"/>
        <v/>
      </c>
      <c r="AD1211" s="449"/>
      <c r="AE1211" s="449"/>
      <c r="AF1211" s="4"/>
      <c r="AG1211" s="83"/>
      <c r="AH1211" s="4"/>
      <c r="AI1211" s="4"/>
      <c r="AJ1211" s="449"/>
      <c r="AK1211" s="449"/>
      <c r="AL1211" s="449"/>
      <c r="AM1211" s="449"/>
      <c r="AN1211" s="10"/>
      <c r="AO1211" s="9"/>
      <c r="AP1211" s="9"/>
      <c r="AQ1211" s="9">
        <f>+FL_1($T$1212,$T$1210,$G$1211,1200,9.28,-1*$F$1212)</f>
        <v>0.36839079999999996</v>
      </c>
      <c r="AR1211" s="9"/>
      <c r="AS1211" s="9"/>
      <c r="AT1211" s="9"/>
      <c r="AU1211" s="428"/>
      <c r="AV1211" s="428"/>
      <c r="AW1211" s="449" t="str">
        <f>IF(C1211&gt;0,VLOOKUP(C1211,Foundation_Calc!$A$2:$C$13,3,1),
IF(J1211&gt;0,VLOOKUP(J1211,Foundation_Calc!$A$2:$C$13,3,1),""))</f>
        <v>Multi Soil</v>
      </c>
      <c r="AX1211" s="449" t="str">
        <f>IF(C1211&gt;0,VLOOKUP(C1211,Foundation_Calc!$E$2:$G$33,3,1),
IF(J1211&gt;0,VLOOKUP(J1211,Foundation_Calc!$E$2:$G$33,3,1),""))</f>
        <v>PT</v>
      </c>
      <c r="AY1211" s="10" t="str">
        <f>IF(L1211="","",
IF(AX1211="PT",VLOOKUP(L1211,Foundation_Calc!$K$79:$R$113,VLOOKUP(AW1211,Foundation_Calc!$I$2:$J$8,2,FALSE),0),
IF(AX1211="K",VLOOKUP(L1211,Foundation_Calc!$K$117:$R$151,VLOOKUP(AW1211,Foundation_Calc!$I$2:$J$8,2,FALSE),0),"")))</f>
        <v/>
      </c>
      <c r="AZ1211" s="10">
        <f>IF(K1211="","",
IF(AX1211="PT",VLOOKUP(K1211,Foundation_Calc!$K$79:$R$113,VLOOKUP(AW1211,Foundation_Calc!$I$2:$J$8,2,FALSE),0),
IF(AX1211="K",VLOOKUP(K1211,Foundation_Calc!$K$117:$R$151,VLOOKUP(AW1211,Foundation_Calc!$I$2:$J$8,2,FALSE),0),"")))</f>
        <v>3.9</v>
      </c>
      <c r="BA1211" s="495" t="str">
        <f t="shared" si="137"/>
        <v/>
      </c>
      <c r="BB1211" s="495" t="str">
        <f t="shared" si="138"/>
        <v>ü</v>
      </c>
      <c r="BC1211" s="495" t="str">
        <f t="shared" si="139"/>
        <v/>
      </c>
      <c r="BD1211" s="513" t="str">
        <f>IF(AND(L1211="",H1211=""),"",
IF(H1211="",Pole_Calc!A$9,
IF(H1211="MP",Pole_Calc!A$10,
IF(H1211="AnMP",Pole_Calc!A$11,
IF(H1211="A",Pole_Calc!A$12,
IF(H1211="S/A",Pole_Calc!A$13,
IF(H1211="A/S",Pole_Calc!A$14,"Poner a mano")))))))</f>
        <v/>
      </c>
      <c r="BE1211" s="429" t="s">
        <v>118</v>
      </c>
      <c r="BF1211" s="290"/>
      <c r="BG1211" s="290"/>
      <c r="BH1211" s="290"/>
      <c r="BI1211" s="290"/>
    </row>
    <row r="1212" spans="1:61" ht="15.6" customHeight="1">
      <c r="A1212" s="514"/>
      <c r="B1212" s="450" t="s">
        <v>888</v>
      </c>
      <c r="C1212" s="3">
        <f>+$C$1210+$G$1211</f>
        <v>59521.679999999986</v>
      </c>
      <c r="D1212" s="83"/>
      <c r="E1212" s="4"/>
      <c r="F1212" s="4">
        <f>IF(C1212&gt;0,VLOOKUP(C1212,'ALIGNMENT TRACK'!$A$1:$K$83,9,1))</f>
        <v>0</v>
      </c>
      <c r="G1212" s="6"/>
      <c r="H1212" s="449" t="s">
        <v>121</v>
      </c>
      <c r="I1212" s="4" t="s">
        <v>122</v>
      </c>
      <c r="J1212" s="3"/>
      <c r="K1212" s="449"/>
      <c r="L1212" s="449" t="s">
        <v>151</v>
      </c>
      <c r="M1212" s="449" t="str">
        <f>IF(L1212="","",
IF(AX1212="PT",VLOOKUP(L1212,Foundation_Calc!$V$79:$X$113,VLOOKUP(AX1212,Foundation_Calc!$I$10:$J$13,2,FALSE),0),
IF(AX1212="K",VLOOKUP(L1212,Foundation_Calc!$V$117:$X$151,VLOOKUP(AX1212,Foundation_Calc!$I$10:$J$13,2,FALSE),0),"")))</f>
        <v>C4R</v>
      </c>
      <c r="N1212" s="449" t="s">
        <v>134</v>
      </c>
      <c r="O1212" s="449"/>
      <c r="P1212" s="449"/>
      <c r="Q1212" s="4"/>
      <c r="R1212" s="6"/>
      <c r="S1212" s="6"/>
      <c r="T1212" s="4">
        <v>35</v>
      </c>
      <c r="U1212" s="4"/>
      <c r="V1212" s="4"/>
      <c r="W1212" s="9">
        <v>1.4</v>
      </c>
      <c r="X1212" s="9"/>
      <c r="Y1212" s="9"/>
      <c r="Z1212" s="9"/>
      <c r="AA1212" s="9"/>
      <c r="AB1212" s="9"/>
      <c r="AC1212" s="449" t="str">
        <f t="shared" si="133"/>
        <v>PHQ</v>
      </c>
      <c r="AD1212" s="449"/>
      <c r="AE1212" s="449"/>
      <c r="AF1212" s="4"/>
      <c r="AG1212" s="83"/>
      <c r="AH1212" s="4"/>
      <c r="AI1212" s="4"/>
      <c r="AJ1212" s="449"/>
      <c r="AK1212" s="449"/>
      <c r="AL1212" s="449"/>
      <c r="AM1212" s="449" t="s">
        <v>126</v>
      </c>
      <c r="AN1212" s="10">
        <v>5.5</v>
      </c>
      <c r="AO1212" s="9"/>
      <c r="AP1212" s="9"/>
      <c r="AQ1212" s="9"/>
      <c r="AR1212" s="9"/>
      <c r="AS1212" s="9"/>
      <c r="AT1212" s="9">
        <f>+ab($T$1212,$T$1210,$U$1214,$G$1211,$G$1213,-1*$F$1212,1200)</f>
        <v>7.1424146886693025</v>
      </c>
      <c r="AU1212" s="428"/>
      <c r="AV1212" s="428"/>
      <c r="AW1212" s="449" t="str">
        <f>IF(C1212&gt;0,VLOOKUP(C1212,Foundation_Calc!$A$2:$C$13,3,1),
IF(J1212&gt;0,VLOOKUP(J1212,Foundation_Calc!$A$2:$C$13,3,1),""))</f>
        <v>Multi Soil</v>
      </c>
      <c r="AX1212" s="449" t="str">
        <f>IF(C1212&gt;0,VLOOKUP(C1212,Foundation_Calc!$E$2:$G$33,3,1),
IF(J1212&gt;0,VLOOKUP(J1212,Foundation_Calc!$E$2:$G$33,3,1),""))</f>
        <v>PT</v>
      </c>
      <c r="AY1212" s="10">
        <f>IF(L1212="","",
IF(AX1212="PT",VLOOKUP(L1212,Foundation_Calc!$K$79:$R$113,VLOOKUP(AW1212,Foundation_Calc!$I$2:$J$8,2,FALSE),0),
IF(AX1212="K",VLOOKUP(L1212,Foundation_Calc!$K$117:$R$151,VLOOKUP(AW1212,Foundation_Calc!$I$2:$J$8,2,FALSE),0),"")))</f>
        <v>3.5</v>
      </c>
      <c r="AZ1212" s="10" t="str">
        <f>IF(K1212="","",
IF(AX1212="PT",VLOOKUP(K1212,Foundation_Calc!$K$79:$R$113,VLOOKUP(AW1212,Foundation_Calc!$I$2:$J$8,2,FALSE),0),
IF(AX1212="K",VLOOKUP(K1212,Foundation_Calc!$K$117:$R$151,VLOOKUP(AW1212,Foundation_Calc!$I$2:$J$8,2,FALSE),0),"")))</f>
        <v/>
      </c>
      <c r="BA1212" s="495" t="str">
        <f t="shared" si="137"/>
        <v>ü</v>
      </c>
      <c r="BB1212" s="495" t="str">
        <f t="shared" si="138"/>
        <v/>
      </c>
      <c r="BC1212" s="495" t="str">
        <f t="shared" si="139"/>
        <v/>
      </c>
      <c r="BD1212" s="513" t="str">
        <f>IF(AND(L1212="",H1212=""),"",
IF(H1212="",Pole_Calc!A$9,
IF(H1212="MP",Pole_Calc!A$10,
IF(H1212="AnMP",Pole_Calc!A$11,
IF(H1212="A",Pole_Calc!A$12,
IF(H1212="S/A",Pole_Calc!A$13,
IF(H1212="A/S",Pole_Calc!A$14,"Poner a mano")))))))</f>
        <v>App.7-V11I-P9.5.1.6</v>
      </c>
      <c r="BE1212" s="429" t="s">
        <v>118</v>
      </c>
      <c r="BF1212" s="289"/>
      <c r="BG1212" s="289"/>
      <c r="BH1212" s="290"/>
      <c r="BI1212" s="289"/>
    </row>
    <row r="1213" spans="1:61" ht="15.6" customHeight="1">
      <c r="A1213" s="514" t="s">
        <v>193</v>
      </c>
      <c r="B1213" s="450"/>
      <c r="C1213" s="3"/>
      <c r="D1213" s="83"/>
      <c r="E1213" s="4"/>
      <c r="F1213" s="4"/>
      <c r="G1213" s="6">
        <v>55</v>
      </c>
      <c r="H1213" s="449"/>
      <c r="I1213" s="4"/>
      <c r="J1213" s="3"/>
      <c r="K1213" s="449"/>
      <c r="L1213" s="449"/>
      <c r="M1213" s="449" t="str">
        <f>IF(L1213="","",
IF(AX1213="PT",VLOOKUP(L1213,Foundation_Calc!$V$79:$X$113,VLOOKUP(AX1213,Foundation_Calc!$I$10:$J$13,2,FALSE),0),
IF(AX1213="K",VLOOKUP(L1213,Foundation_Calc!$V$117:$X$151,VLOOKUP(AX1213,Foundation_Calc!$I$10:$J$13,2,FALSE),0),"")))</f>
        <v/>
      </c>
      <c r="N1213" s="449"/>
      <c r="O1213" s="449"/>
      <c r="P1213" s="449"/>
      <c r="Q1213" s="4"/>
      <c r="R1213" s="6"/>
      <c r="S1213" s="6"/>
      <c r="T1213" s="4"/>
      <c r="U1213" s="4"/>
      <c r="V1213" s="4"/>
      <c r="W1213" s="9"/>
      <c r="X1213" s="9"/>
      <c r="Y1213" s="9"/>
      <c r="Z1213" s="9"/>
      <c r="AA1213" s="9"/>
      <c r="AB1213" s="9"/>
      <c r="AC1213" s="449" t="str">
        <f t="shared" si="133"/>
        <v/>
      </c>
      <c r="AD1213" s="449"/>
      <c r="AE1213" s="449"/>
      <c r="AF1213" s="4"/>
      <c r="AG1213" s="83"/>
      <c r="AH1213" s="4"/>
      <c r="AI1213" s="4"/>
      <c r="AJ1213" s="449"/>
      <c r="AK1213" s="449"/>
      <c r="AL1213" s="449"/>
      <c r="AM1213" s="449"/>
      <c r="AN1213" s="10"/>
      <c r="AO1213" s="9"/>
      <c r="AP1213" s="9"/>
      <c r="AQ1213" s="9">
        <f>+FL_1($U$1214,$T$1212,$G$1213,1200,9.28,-1*$F$1214)</f>
        <v>0.39714735709090898</v>
      </c>
      <c r="AR1213" s="9"/>
      <c r="AS1213" s="9"/>
      <c r="AT1213" s="9"/>
      <c r="AU1213" s="428"/>
      <c r="AV1213" s="428"/>
      <c r="AW1213" s="449" t="str">
        <f>IF(C1213&gt;0,VLOOKUP(C1213,Foundation_Calc!$A$2:$C$13,3,1),
IF(J1213&gt;0,VLOOKUP(J1213,Foundation_Calc!$A$2:$C$13,3,1),""))</f>
        <v/>
      </c>
      <c r="AX1213" s="449" t="str">
        <f>IF(C1213&gt;0,VLOOKUP(C1213,Foundation_Calc!$E$2:$G$33,3,1),
IF(J1213&gt;0,VLOOKUP(J1213,Foundation_Calc!$E$2:$G$33,3,1),""))</f>
        <v/>
      </c>
      <c r="AY1213" s="10" t="str">
        <f>IF(L1213="","",
IF(AX1213="PT",VLOOKUP(L1213,Foundation_Calc!$K$79:$R$113,VLOOKUP(AW1213,Foundation_Calc!$I$2:$J$8,2,FALSE),0),
IF(AX1213="K",VLOOKUP(L1213,Foundation_Calc!$K$117:$R$151,VLOOKUP(AW1213,Foundation_Calc!$I$2:$J$8,2,FALSE),0),"")))</f>
        <v/>
      </c>
      <c r="AZ1213" s="10" t="str">
        <f>IF(K1213="","",
IF(AX1213="PT",VLOOKUP(K1213,Foundation_Calc!$K$79:$R$113,VLOOKUP(AW1213,Foundation_Calc!$I$2:$J$8,2,FALSE),0),
IF(AX1213="K",VLOOKUP(K1213,Foundation_Calc!$K$117:$R$151,VLOOKUP(AW1213,Foundation_Calc!$I$2:$J$8,2,FALSE),0),"")))</f>
        <v/>
      </c>
      <c r="BA1213" s="495" t="str">
        <f t="shared" si="137"/>
        <v/>
      </c>
      <c r="BB1213" s="495" t="str">
        <f t="shared" si="138"/>
        <v/>
      </c>
      <c r="BC1213" s="495" t="str">
        <f t="shared" si="139"/>
        <v/>
      </c>
      <c r="BD1213" s="513" t="str">
        <f>IF(AND(L1213="",H1213=""),"",
IF(H1213="",Pole_Calc!A$9,
IF(H1213="MP",Pole_Calc!A$10,
IF(H1213="AnMP",Pole_Calc!A$11,
IF(H1213="A",Pole_Calc!A$12,
IF(H1213="S/A",Pole_Calc!A$13,
IF(H1213="A/S",Pole_Calc!A$14,"Poner a mano")))))))</f>
        <v/>
      </c>
      <c r="BE1213" s="429" t="s">
        <v>118</v>
      </c>
      <c r="BF1213" s="290"/>
      <c r="BG1213" s="290"/>
      <c r="BH1213" s="290"/>
      <c r="BI1213" s="290"/>
    </row>
    <row r="1214" spans="1:61" ht="15.6" customHeight="1">
      <c r="A1214" s="514"/>
      <c r="B1214" s="450" t="s">
        <v>889</v>
      </c>
      <c r="C1214" s="3">
        <f>+$C$1212+$G$1213</f>
        <v>59576.679999999986</v>
      </c>
      <c r="D1214" s="83"/>
      <c r="E1214" s="4"/>
      <c r="F1214" s="4">
        <f>IF(C1214&gt;0,VLOOKUP(C1214,'ALIGNMENT TRACK'!$A$1:$K$83,9,1))</f>
        <v>0</v>
      </c>
      <c r="G1214" s="6"/>
      <c r="H1214" s="449" t="s">
        <v>131</v>
      </c>
      <c r="I1214" s="4"/>
      <c r="J1214" s="3"/>
      <c r="K1214" s="449"/>
      <c r="L1214" s="449" t="s">
        <v>158</v>
      </c>
      <c r="M1214" s="449" t="str">
        <f>IF(L1214="","",
IF(AX1214="PT",VLOOKUP(L1214,Foundation_Calc!$V$79:$X$113,VLOOKUP(AX1214,Foundation_Calc!$I$10:$J$13,2,FALSE),0),
IF(AX1214="K",VLOOKUP(L1214,Foundation_Calc!$V$117:$X$151,VLOOKUP(AX1214,Foundation_Calc!$I$10:$J$13,2,FALSE),0),"")))</f>
        <v>C4R</v>
      </c>
      <c r="N1214" s="449" t="s">
        <v>133</v>
      </c>
      <c r="O1214" s="449" t="s">
        <v>124</v>
      </c>
      <c r="P1214" s="449"/>
      <c r="Q1214" s="4"/>
      <c r="R1214" s="6"/>
      <c r="S1214" s="6"/>
      <c r="T1214" s="4">
        <v>-15</v>
      </c>
      <c r="U1214" s="4">
        <v>-35</v>
      </c>
      <c r="V1214" s="4"/>
      <c r="W1214" s="9">
        <v>1.4</v>
      </c>
      <c r="X1214" s="9">
        <v>2.2999999999999998</v>
      </c>
      <c r="Y1214" s="9"/>
      <c r="Z1214" s="9">
        <v>0.5</v>
      </c>
      <c r="AA1214" s="9"/>
      <c r="AB1214" s="9"/>
      <c r="AC1214" s="449"/>
      <c r="AD1214" s="449"/>
      <c r="AE1214" s="449"/>
      <c r="AF1214" s="4"/>
      <c r="AG1214" s="83"/>
      <c r="AH1214" s="4"/>
      <c r="AI1214" s="4"/>
      <c r="AJ1214" s="449"/>
      <c r="AK1214" s="449"/>
      <c r="AL1214" s="449"/>
      <c r="AM1214" s="449" t="s">
        <v>126</v>
      </c>
      <c r="AN1214" s="10">
        <v>5.5</v>
      </c>
      <c r="AO1214" s="9"/>
      <c r="AP1214" s="9"/>
      <c r="AQ1214" s="9"/>
      <c r="AR1214" s="9"/>
      <c r="AS1214" s="9"/>
      <c r="AT1214" s="9">
        <f>+ab($U$1214,$T$1212,$U$1216,$G$1213,$G$1215,-1*$F$1214,1200)</f>
        <v>-8.6611768610255133</v>
      </c>
      <c r="AU1214" s="428"/>
      <c r="AV1214" s="428"/>
      <c r="AW1214" s="449" t="str">
        <f>IF(C1214&gt;0,VLOOKUP(C1214,Foundation_Calc!$A$2:$C$13,3,1),
IF(J1214&gt;0,VLOOKUP(J1214,Foundation_Calc!$A$2:$C$13,3,1),""))</f>
        <v>Multi Soil</v>
      </c>
      <c r="AX1214" s="449" t="str">
        <f>IF(C1214&gt;0,VLOOKUP(C1214,Foundation_Calc!$E$2:$G$33,3,1),
IF(J1214&gt;0,VLOOKUP(J1214,Foundation_Calc!$E$2:$G$33,3,1),""))</f>
        <v>PT</v>
      </c>
      <c r="AY1214" s="10">
        <f>IF(L1214="","",
IF(AX1214="PT",VLOOKUP(L1214,Foundation_Calc!$K$79:$R$113,VLOOKUP(AW1214,Foundation_Calc!$I$2:$J$8,2,FALSE),0),
IF(AX1214="K",VLOOKUP(L1214,Foundation_Calc!$K$117:$R$151,VLOOKUP(AW1214,Foundation_Calc!$I$2:$J$8,2,FALSE),0),"")))</f>
        <v>3.5</v>
      </c>
      <c r="AZ1214" s="10" t="str">
        <f>IF(K1214="","",
IF(AX1214="PT",VLOOKUP(K1214,Foundation_Calc!$K$79:$R$113,VLOOKUP(AW1214,Foundation_Calc!$I$2:$J$8,2,FALSE),0),
IF(AX1214="K",VLOOKUP(K1214,Foundation_Calc!$K$117:$R$151,VLOOKUP(AW1214,Foundation_Calc!$I$2:$J$8,2,FALSE),0),"")))</f>
        <v/>
      </c>
      <c r="BA1214" s="495" t="str">
        <f t="shared" si="137"/>
        <v>ü</v>
      </c>
      <c r="BB1214" s="495" t="str">
        <f t="shared" si="138"/>
        <v/>
      </c>
      <c r="BC1214" s="495" t="str">
        <f t="shared" si="139"/>
        <v/>
      </c>
      <c r="BD1214" s="513" t="str">
        <f>IF(AND(L1214="",H1214=""),"",
IF(H1214="",Pole_Calc!A$9,
IF(H1214="MP",Pole_Calc!A$10,
IF(H1214="AnMP",Pole_Calc!A$11,
IF(H1214="A",Pole_Calc!A$12,
IF(H1214="S/A",Pole_Calc!A$13,
IF(H1214="A/S",Pole_Calc!A$14,"Poner a mano")))))))</f>
        <v>App.7-V11I-P9.5.1.5</v>
      </c>
      <c r="BE1214" s="429" t="s">
        <v>118</v>
      </c>
      <c r="BF1214" s="289"/>
      <c r="BG1214" s="289"/>
      <c r="BH1214" s="290"/>
      <c r="BI1214" s="289"/>
    </row>
    <row r="1215" spans="1:61" ht="15.6" customHeight="1">
      <c r="A1215" s="514"/>
      <c r="B1215" s="450"/>
      <c r="C1215" s="3"/>
      <c r="D1215" s="83"/>
      <c r="E1215" s="4"/>
      <c r="F1215" s="4"/>
      <c r="G1215" s="6">
        <v>54</v>
      </c>
      <c r="H1215" s="449"/>
      <c r="I1215" s="4"/>
      <c r="J1215" s="3"/>
      <c r="K1215" s="449"/>
      <c r="L1215" s="449"/>
      <c r="M1215" s="449" t="str">
        <f>IF(L1215="","",
IF(AX1215="PT",VLOOKUP(L1215,Foundation_Calc!$V$79:$X$113,VLOOKUP(AX1215,Foundation_Calc!$I$10:$J$13,2,FALSE),0),
IF(AX1215="K",VLOOKUP(L1215,Foundation_Calc!$V$117:$X$151,VLOOKUP(AX1215,Foundation_Calc!$I$10:$J$13,2,FALSE),0),"")))</f>
        <v/>
      </c>
      <c r="N1215" s="449"/>
      <c r="O1215" s="449"/>
      <c r="P1215" s="449"/>
      <c r="Q1215" s="4"/>
      <c r="R1215" s="6"/>
      <c r="S1215" s="6"/>
      <c r="T1215" s="4"/>
      <c r="U1215" s="4"/>
      <c r="V1215" s="4"/>
      <c r="W1215" s="9"/>
      <c r="X1215" s="9"/>
      <c r="Y1215" s="9"/>
      <c r="Z1215" s="9"/>
      <c r="AA1215" s="9"/>
      <c r="AB1215" s="9"/>
      <c r="AC1215" s="449" t="str">
        <f t="shared" si="133"/>
        <v/>
      </c>
      <c r="AD1215" s="449"/>
      <c r="AE1215" s="449"/>
      <c r="AF1215" s="4"/>
      <c r="AG1215" s="83"/>
      <c r="AH1215" s="4"/>
      <c r="AI1215" s="4"/>
      <c r="AJ1215" s="449"/>
      <c r="AK1215" s="449"/>
      <c r="AL1215" s="449"/>
      <c r="AM1215" s="449"/>
      <c r="AN1215" s="10"/>
      <c r="AO1215" s="9"/>
      <c r="AP1215" s="9"/>
      <c r="AQ1215" s="9">
        <f>+FL_2($T$1216,$U$1214,$G$1215,1200,9.28,-1*$F$1216)</f>
        <v>-0.39052552059259249</v>
      </c>
      <c r="AR1215" s="9"/>
      <c r="AS1215" s="9"/>
      <c r="AT1215" s="9"/>
      <c r="AU1215" s="428"/>
      <c r="AV1215" s="428"/>
      <c r="AW1215" s="449" t="str">
        <f>IF(C1215&gt;0,VLOOKUP(C1215,Foundation_Calc!$A$2:$C$13,3,1),
IF(J1215&gt;0,VLOOKUP(J1215,Foundation_Calc!$A$2:$C$13,3,1),""))</f>
        <v/>
      </c>
      <c r="AX1215" s="449" t="str">
        <f>IF(C1215&gt;0,VLOOKUP(C1215,Foundation_Calc!$E$2:$G$33,3,1),
IF(J1215&gt;0,VLOOKUP(J1215,Foundation_Calc!$E$2:$G$33,3,1),""))</f>
        <v/>
      </c>
      <c r="AY1215" s="10" t="str">
        <f>IF(L1215="","",
IF(AX1215="PT",VLOOKUP(L1215,Foundation_Calc!$K$79:$R$113,VLOOKUP(AW1215,Foundation_Calc!$I$2:$J$8,2,FALSE),0),
IF(AX1215="K",VLOOKUP(L1215,Foundation_Calc!$K$117:$R$151,VLOOKUP(AW1215,Foundation_Calc!$I$2:$J$8,2,FALSE),0),"")))</f>
        <v/>
      </c>
      <c r="AZ1215" s="10" t="str">
        <f>IF(K1215="","",
IF(AX1215="PT",VLOOKUP(K1215,Foundation_Calc!$K$79:$R$113,VLOOKUP(AW1215,Foundation_Calc!$I$2:$J$8,2,FALSE),0),
IF(AX1215="K",VLOOKUP(K1215,Foundation_Calc!$K$117:$R$151,VLOOKUP(AW1215,Foundation_Calc!$I$2:$J$8,2,FALSE),0),"")))</f>
        <v/>
      </c>
      <c r="BA1215" s="495" t="str">
        <f t="shared" si="137"/>
        <v/>
      </c>
      <c r="BB1215" s="495" t="str">
        <f t="shared" si="138"/>
        <v/>
      </c>
      <c r="BC1215" s="495" t="str">
        <f t="shared" si="139"/>
        <v/>
      </c>
      <c r="BD1215" s="513" t="str">
        <f>IF(AND(L1215="",H1215=""),"",
IF(H1215="",Pole_Calc!A$9,
IF(H1215="MP",Pole_Calc!A$10,
IF(H1215="AnMP",Pole_Calc!A$11,
IF(H1215="A",Pole_Calc!A$12,
IF(H1215="S/A",Pole_Calc!A$13,
IF(H1215="A/S",Pole_Calc!A$14,"Poner a mano")))))))</f>
        <v/>
      </c>
      <c r="BE1215" s="429" t="s">
        <v>118</v>
      </c>
      <c r="BF1215" s="290"/>
      <c r="BG1215" s="290"/>
      <c r="BH1215" s="290"/>
      <c r="BI1215" s="290"/>
    </row>
    <row r="1216" spans="1:61" ht="15.6" customHeight="1">
      <c r="A1216" s="514"/>
      <c r="B1216" s="450" t="s">
        <v>890</v>
      </c>
      <c r="C1216" s="3">
        <f>+$C$1214+$G$1215</f>
        <v>59630.679999999986</v>
      </c>
      <c r="D1216" s="83"/>
      <c r="E1216" s="4"/>
      <c r="F1216" s="4">
        <f>IF(C1216&gt;0,VLOOKUP(C1216,'ALIGNMENT TRACK'!$A$1:$K$83,9,1))</f>
        <v>0</v>
      </c>
      <c r="G1216" s="6"/>
      <c r="H1216" s="449" t="s">
        <v>131</v>
      </c>
      <c r="I1216" s="4"/>
      <c r="J1216" s="3"/>
      <c r="K1216" s="449"/>
      <c r="L1216" s="449" t="s">
        <v>158</v>
      </c>
      <c r="M1216" s="449" t="str">
        <f>IF(L1216="","",
IF(AX1216="PT",VLOOKUP(L1216,Foundation_Calc!$V$79:$X$113,VLOOKUP(AX1216,Foundation_Calc!$I$10:$J$13,2,FALSE),0),
IF(AX1216="K",VLOOKUP(L1216,Foundation_Calc!$V$117:$X$151,VLOOKUP(AX1216,Foundation_Calc!$I$10:$J$13,2,FALSE),0),"")))</f>
        <v>C4R</v>
      </c>
      <c r="N1216" s="449" t="s">
        <v>134</v>
      </c>
      <c r="O1216" s="449" t="s">
        <v>133</v>
      </c>
      <c r="P1216" s="449"/>
      <c r="Q1216" s="4"/>
      <c r="R1216" s="6"/>
      <c r="S1216" s="6"/>
      <c r="T1216" s="4">
        <v>35</v>
      </c>
      <c r="U1216" s="4">
        <v>15</v>
      </c>
      <c r="V1216" s="4"/>
      <c r="W1216" s="9">
        <v>1.4</v>
      </c>
      <c r="X1216" s="9">
        <v>2.2999999999999998</v>
      </c>
      <c r="Y1216" s="9"/>
      <c r="Z1216" s="9"/>
      <c r="AA1216" s="9">
        <v>0.5</v>
      </c>
      <c r="AB1216" s="9"/>
      <c r="AC1216" s="449" t="str">
        <f t="shared" si="133"/>
        <v>PHQ</v>
      </c>
      <c r="AD1216" s="449"/>
      <c r="AE1216" s="449"/>
      <c r="AF1216" s="4"/>
      <c r="AG1216" s="83"/>
      <c r="AH1216" s="4"/>
      <c r="AI1216" s="4"/>
      <c r="AJ1216" s="449"/>
      <c r="AK1216" s="449"/>
      <c r="AL1216" s="449"/>
      <c r="AM1216" s="449" t="s">
        <v>126</v>
      </c>
      <c r="AN1216" s="10">
        <v>5.5</v>
      </c>
      <c r="AO1216" s="9"/>
      <c r="AP1216" s="9"/>
      <c r="AQ1216" s="9"/>
      <c r="AR1216" s="9"/>
      <c r="AS1216" s="9"/>
      <c r="AT1216" s="9">
        <f>+ab($T$1216,$T$1214,$T$1222,$G$1215,$G$1221,-1*$F$1220,1200)</f>
        <v>7.5257726500863358</v>
      </c>
      <c r="AU1216" s="428"/>
      <c r="AV1216" s="428"/>
      <c r="AW1216" s="449" t="str">
        <f>IF(C1216&gt;0,VLOOKUP(C1216,Foundation_Calc!$A$2:$C$13,3,1),
IF(J1216&gt;0,VLOOKUP(J1216,Foundation_Calc!$A$2:$C$13,3,1),""))</f>
        <v>Multi Soil</v>
      </c>
      <c r="AX1216" s="449" t="str">
        <f>IF(C1216&gt;0,VLOOKUP(C1216,Foundation_Calc!$E$2:$G$33,3,1),
IF(J1216&gt;0,VLOOKUP(J1216,Foundation_Calc!$E$2:$G$33,3,1),""))</f>
        <v>PT</v>
      </c>
      <c r="AY1216" s="10">
        <f>IF(L1216="","",
IF(AX1216="PT",VLOOKUP(L1216,Foundation_Calc!$K$79:$R$113,VLOOKUP(AW1216,Foundation_Calc!$I$2:$J$8,2,FALSE),0),
IF(AX1216="K",VLOOKUP(L1216,Foundation_Calc!$K$117:$R$151,VLOOKUP(AW1216,Foundation_Calc!$I$2:$J$8,2,FALSE),0),"")))</f>
        <v>3.5</v>
      </c>
      <c r="AZ1216" s="10" t="str">
        <f>IF(K1216="","",
IF(AX1216="PT",VLOOKUP(K1216,Foundation_Calc!$K$79:$R$113,VLOOKUP(AW1216,Foundation_Calc!$I$2:$J$8,2,FALSE),0),
IF(AX1216="K",VLOOKUP(K1216,Foundation_Calc!$K$117:$R$151,VLOOKUP(AW1216,Foundation_Calc!$I$2:$J$8,2,FALSE),0),"")))</f>
        <v/>
      </c>
      <c r="BA1216" s="495" t="str">
        <f t="shared" si="137"/>
        <v>ü</v>
      </c>
      <c r="BB1216" s="495" t="str">
        <f t="shared" si="138"/>
        <v/>
      </c>
      <c r="BC1216" s="495" t="str">
        <f t="shared" si="139"/>
        <v/>
      </c>
      <c r="BD1216" s="513" t="str">
        <f>IF(AND(L1216="",H1216=""),"",
IF(H1216="",Pole_Calc!A$9,
IF(H1216="MP",Pole_Calc!A$10,
IF(H1216="AnMP",Pole_Calc!A$11,
IF(H1216="A",Pole_Calc!A$12,
IF(H1216="S/A",Pole_Calc!A$13,
IF(H1216="A/S",Pole_Calc!A$14,"Poner a mano")))))))</f>
        <v>App.7-V11I-P9.5.1.5</v>
      </c>
      <c r="BE1216" s="429" t="s">
        <v>118</v>
      </c>
      <c r="BF1216" s="289"/>
      <c r="BG1216" s="289"/>
      <c r="BH1216" s="290"/>
      <c r="BI1216" s="289"/>
    </row>
    <row r="1217" spans="1:61" ht="15.6" customHeight="1">
      <c r="A1217" s="514"/>
      <c r="B1217" s="450"/>
      <c r="C1217" s="3"/>
      <c r="D1217" s="83"/>
      <c r="E1217" s="4"/>
      <c r="F1217" s="4"/>
      <c r="G1217" s="6">
        <v>5.5</v>
      </c>
      <c r="H1217" s="449"/>
      <c r="I1217" s="4"/>
      <c r="J1217" s="3"/>
      <c r="K1217" s="449"/>
      <c r="L1217" s="449"/>
      <c r="M1217" s="449"/>
      <c r="N1217" s="449"/>
      <c r="O1217" s="449"/>
      <c r="P1217" s="449"/>
      <c r="Q1217" s="4"/>
      <c r="R1217" s="6"/>
      <c r="S1217" s="6"/>
      <c r="T1217" s="4"/>
      <c r="U1217" s="4"/>
      <c r="V1217" s="4"/>
      <c r="W1217" s="9"/>
      <c r="X1217" s="9"/>
      <c r="Y1217" s="9"/>
      <c r="Z1217" s="9"/>
      <c r="AA1217" s="9"/>
      <c r="AB1217" s="9"/>
      <c r="AC1217" s="449"/>
      <c r="AD1217" s="449"/>
      <c r="AE1217" s="449"/>
      <c r="AF1217" s="4"/>
      <c r="AG1217" s="83"/>
      <c r="AH1217" s="4"/>
      <c r="AI1217" s="4"/>
      <c r="AJ1217" s="449"/>
      <c r="AK1217" s="449"/>
      <c r="AL1217" s="449"/>
      <c r="AM1217" s="449"/>
      <c r="AN1217" s="10"/>
      <c r="AO1217" s="9"/>
      <c r="AP1217" s="9"/>
      <c r="AQ1217" s="9"/>
      <c r="AR1217" s="9"/>
      <c r="AS1217" s="9"/>
      <c r="AT1217" s="9"/>
      <c r="AU1217" s="428"/>
      <c r="AV1217" s="428"/>
      <c r="AW1217" s="449"/>
      <c r="AX1217" s="449"/>
      <c r="AY1217" s="10"/>
      <c r="AZ1217" s="10"/>
      <c r="BA1217" s="495"/>
      <c r="BB1217" s="495"/>
      <c r="BC1217" s="495"/>
      <c r="BD1217" s="513"/>
      <c r="BE1217" s="429" t="s">
        <v>118</v>
      </c>
      <c r="BF1217" s="290"/>
      <c r="BG1217" s="290"/>
      <c r="BH1217" s="290"/>
      <c r="BI1217" s="290"/>
    </row>
    <row r="1218" spans="1:61" ht="15.6" customHeight="1">
      <c r="A1218" s="514" t="s">
        <v>891</v>
      </c>
      <c r="B1218" s="450" t="s">
        <v>892</v>
      </c>
      <c r="C1218" s="3">
        <f>C1216+G1217</f>
        <v>59636.179999999986</v>
      </c>
      <c r="D1218" s="83"/>
      <c r="E1218" s="4"/>
      <c r="F1218" s="4">
        <v>0</v>
      </c>
      <c r="G1218" s="6"/>
      <c r="H1218" s="449"/>
      <c r="I1218" s="4"/>
      <c r="J1218" s="3"/>
      <c r="K1218" s="449"/>
      <c r="L1218" s="449" t="s">
        <v>142</v>
      </c>
      <c r="M1218" s="449" t="str">
        <f>IF(L1218="","",
IF(AX1218="PT",VLOOKUP(L1218,Foundation_Calc!$V$79:$X$113,VLOOKUP(AX1218,Foundation_Calc!$I$10:$J$13,2,FALSE),0),
IF(AX1218="K",VLOOKUP(L1218,Foundation_Calc!$V$117:$X$151,VLOOKUP(AX1218,Foundation_Calc!$I$10:$J$13,2,FALSE),0),"")))</f>
        <v>C9R</v>
      </c>
      <c r="N1218" s="449"/>
      <c r="O1218" s="449"/>
      <c r="P1218" s="449"/>
      <c r="Q1218" s="4"/>
      <c r="R1218" s="6"/>
      <c r="S1218" s="6"/>
      <c r="T1218" s="4"/>
      <c r="U1218" s="4"/>
      <c r="V1218" s="4"/>
      <c r="W1218" s="9"/>
      <c r="X1218" s="9"/>
      <c r="Y1218" s="9"/>
      <c r="Z1218" s="9"/>
      <c r="AA1218" s="9"/>
      <c r="AB1218" s="9"/>
      <c r="AC1218" s="449"/>
      <c r="AD1218" s="449"/>
      <c r="AE1218" s="449"/>
      <c r="AF1218" s="4"/>
      <c r="AG1218" s="83"/>
      <c r="AH1218" s="4"/>
      <c r="AI1218" s="4"/>
      <c r="AJ1218" s="449"/>
      <c r="AK1218" s="449" t="s">
        <v>893</v>
      </c>
      <c r="AL1218" s="449"/>
      <c r="AM1218" s="449" t="s">
        <v>126</v>
      </c>
      <c r="AN1218" s="10"/>
      <c r="AO1218" s="9"/>
      <c r="AP1218" s="9"/>
      <c r="AQ1218" s="9"/>
      <c r="AR1218" s="9"/>
      <c r="AS1218" s="9"/>
      <c r="AT1218" s="9"/>
      <c r="AU1218" s="428"/>
      <c r="AV1218" s="428"/>
      <c r="AW1218" s="449" t="str">
        <f>IF(C1218&gt;0,VLOOKUP(C1218,Foundation_Calc!$A$2:$C$13,3,1),
IF(J1218&gt;0,VLOOKUP(J1218,Foundation_Calc!$A$2:$C$13,3,1),""))</f>
        <v>Multi Soil</v>
      </c>
      <c r="AX1218" s="449" t="str">
        <f>IF(C1218&gt;0,VLOOKUP(C1218,Foundation_Calc!$E$2:$G$33,3,1),
IF(J1218&gt;0,VLOOKUP(J1218,Foundation_Calc!$E$2:$G$33,3,1),""))</f>
        <v>PT</v>
      </c>
      <c r="AY1218" s="10">
        <f>IF(L1218="","",
IF(AX1218="PT",VLOOKUP(L1218,Foundation_Calc!$K$79:$R$113,VLOOKUP(AW1218,Foundation_Calc!$I$2:$J$8,2,FALSE),0),
IF(AX1218="K",VLOOKUP(L1218,Foundation_Calc!$K$117:$R$151,VLOOKUP(AW1218,Foundation_Calc!$I$2:$J$8,2,FALSE),0),"")))</f>
        <v>4.4000000000000004</v>
      </c>
      <c r="AZ1218" s="10" t="str">
        <f>IF(K1218="","",
IF(AX1218="PT",VLOOKUP(K1218,Foundation_Calc!$K$79:$R$113,VLOOKUP(AW1218,Foundation_Calc!$I$2:$J$8,2,FALSE),0),
IF(AX1218="K",VLOOKUP(K1218,Foundation_Calc!$K$117:$R$151,VLOOKUP(AW1218,Foundation_Calc!$I$2:$J$8,2,FALSE),0),"")))</f>
        <v/>
      </c>
      <c r="BA1218" s="495" t="str">
        <f t="shared" ref="BA1218" si="140">IF(AY1218="","",IF(AY1218&gt;0,"ü",""))</f>
        <v>ü</v>
      </c>
      <c r="BB1218" s="495" t="str">
        <f t="shared" ref="BB1218" si="141">IF(AZ1218="","",IF(AZ1218&gt;0,"ü",""))</f>
        <v/>
      </c>
      <c r="BC1218" s="495" t="str">
        <f t="shared" ref="BC1218" si="142">IF(M1218="","",IF(M1218="U.S.","ü",IF(M1218="U.S. N.D.","ü","")))</f>
        <v/>
      </c>
      <c r="BD1218" s="513" t="str">
        <f>Pole_Calc!A$323</f>
        <v>App.8-V08H-10.7.4.2</v>
      </c>
      <c r="BE1218" s="429" t="s">
        <v>118</v>
      </c>
      <c r="BF1218" s="289"/>
      <c r="BG1218" s="289"/>
      <c r="BH1218" s="290"/>
      <c r="BI1218" s="289"/>
    </row>
    <row r="1219" spans="1:61" ht="15.6" customHeight="1">
      <c r="A1219" s="514" t="s">
        <v>894</v>
      </c>
      <c r="B1219" s="450"/>
      <c r="C1219" s="3"/>
      <c r="D1219" s="83"/>
      <c r="E1219" s="4"/>
      <c r="F1219" s="4"/>
      <c r="G1219" s="6">
        <v>6</v>
      </c>
      <c r="H1219" s="449"/>
      <c r="I1219" s="4"/>
      <c r="J1219" s="3"/>
      <c r="K1219" s="449"/>
      <c r="L1219" s="449"/>
      <c r="M1219" s="449"/>
      <c r="N1219" s="449"/>
      <c r="O1219" s="449"/>
      <c r="P1219" s="449"/>
      <c r="Q1219" s="4"/>
      <c r="R1219" s="6"/>
      <c r="S1219" s="6"/>
      <c r="T1219" s="4"/>
      <c r="U1219" s="4"/>
      <c r="V1219" s="4"/>
      <c r="W1219" s="9"/>
      <c r="X1219" s="9"/>
      <c r="Y1219" s="9"/>
      <c r="Z1219" s="9"/>
      <c r="AA1219" s="9"/>
      <c r="AB1219" s="9"/>
      <c r="AC1219" s="449"/>
      <c r="AD1219" s="449"/>
      <c r="AE1219" s="449"/>
      <c r="AF1219" s="4"/>
      <c r="AG1219" s="83"/>
      <c r="AH1219" s="4"/>
      <c r="AI1219" s="4"/>
      <c r="AJ1219" s="449"/>
      <c r="AK1219" s="449" t="s">
        <v>895</v>
      </c>
      <c r="AL1219" s="449"/>
      <c r="AM1219" s="449"/>
      <c r="AN1219" s="10"/>
      <c r="AO1219" s="9"/>
      <c r="AP1219" s="9"/>
      <c r="AQ1219" s="9"/>
      <c r="AR1219" s="9"/>
      <c r="AS1219" s="9"/>
      <c r="AT1219" s="9"/>
      <c r="AU1219" s="428"/>
      <c r="AV1219" s="428"/>
      <c r="AW1219" s="449"/>
      <c r="AX1219" s="449"/>
      <c r="AY1219" s="10"/>
      <c r="AZ1219" s="10"/>
      <c r="BA1219" s="495"/>
      <c r="BB1219" s="495"/>
      <c r="BC1219" s="495"/>
      <c r="BD1219" s="513"/>
      <c r="BE1219" s="429" t="s">
        <v>118</v>
      </c>
      <c r="BF1219" s="290"/>
      <c r="BG1219" s="290"/>
      <c r="BH1219" s="290"/>
      <c r="BI1219" s="290"/>
    </row>
    <row r="1220" spans="1:61" ht="15.6" customHeight="1">
      <c r="A1220" s="514" t="s">
        <v>896</v>
      </c>
      <c r="B1220" s="450" t="s">
        <v>897</v>
      </c>
      <c r="C1220" s="3">
        <f>C1218+G1219</f>
        <v>59642.179999999986</v>
      </c>
      <c r="D1220" s="83"/>
      <c r="E1220" s="4"/>
      <c r="F1220" s="4">
        <v>0</v>
      </c>
      <c r="G1220" s="6"/>
      <c r="H1220" s="449"/>
      <c r="I1220" s="4" t="s">
        <v>139</v>
      </c>
      <c r="J1220" s="3"/>
      <c r="K1220" s="449"/>
      <c r="L1220" s="449" t="s">
        <v>142</v>
      </c>
      <c r="M1220" s="449" t="str">
        <f>IF(L1220="","",
IF(AX1220="PT",VLOOKUP(L1220,Foundation_Calc!$V$79:$X$113,VLOOKUP(AX1220,Foundation_Calc!$I$10:$J$13,2,FALSE),0),
IF(AX1220="K",VLOOKUP(L1220,Foundation_Calc!$V$117:$X$151,VLOOKUP(AX1220,Foundation_Calc!$I$10:$J$13,2,FALSE),0),"")))</f>
        <v>C9R</v>
      </c>
      <c r="N1220" s="449"/>
      <c r="O1220" s="449"/>
      <c r="P1220" s="449"/>
      <c r="Q1220" s="4"/>
      <c r="R1220" s="6"/>
      <c r="S1220" s="6"/>
      <c r="T1220" s="4"/>
      <c r="U1220" s="4"/>
      <c r="V1220" s="4"/>
      <c r="W1220" s="9"/>
      <c r="X1220" s="9"/>
      <c r="Y1220" s="9"/>
      <c r="Z1220" s="9"/>
      <c r="AA1220" s="9"/>
      <c r="AB1220" s="9"/>
      <c r="AC1220" s="449"/>
      <c r="AD1220" s="449"/>
      <c r="AE1220" s="449"/>
      <c r="AF1220" s="4"/>
      <c r="AG1220" s="83"/>
      <c r="AH1220" s="4"/>
      <c r="AI1220" s="4"/>
      <c r="AJ1220" s="449"/>
      <c r="AK1220" s="449" t="s">
        <v>895</v>
      </c>
      <c r="AL1220" s="449"/>
      <c r="AM1220" s="449" t="s">
        <v>126</v>
      </c>
      <c r="AN1220" s="10"/>
      <c r="AO1220" s="9"/>
      <c r="AP1220" s="9"/>
      <c r="AQ1220" s="9"/>
      <c r="AR1220" s="9"/>
      <c r="AS1220" s="9"/>
      <c r="AT1220" s="9"/>
      <c r="AU1220" s="428"/>
      <c r="AV1220" s="428"/>
      <c r="AW1220" s="449" t="str">
        <f>IF(C1220&gt;0,VLOOKUP(C1220,Foundation_Calc!$A$2:$C$13,3,1),
IF(J1220&gt;0,VLOOKUP(J1220,Foundation_Calc!$A$2:$C$13,3,1),""))</f>
        <v>Multi Soil</v>
      </c>
      <c r="AX1220" s="449" t="str">
        <f>IF(C1220&gt;0,VLOOKUP(C1220,Foundation_Calc!$E$2:$G$33,3,1),
IF(J1220&gt;0,VLOOKUP(J1220,Foundation_Calc!$E$2:$G$33,3,1),""))</f>
        <v>PT</v>
      </c>
      <c r="AY1220" s="10">
        <f>IF(L1220="","",
IF(AX1220="PT",VLOOKUP(L1220,Foundation_Calc!$K$79:$R$113,VLOOKUP(AW1220,Foundation_Calc!$I$2:$J$8,2,FALSE),0),
IF(AX1220="K",VLOOKUP(L1220,Foundation_Calc!$K$117:$R$151,VLOOKUP(AW1220,Foundation_Calc!$I$2:$J$8,2,FALSE),0),"")))</f>
        <v>4.4000000000000004</v>
      </c>
      <c r="AZ1220" s="10" t="str">
        <f>IF(K1220="","",
IF(AX1220="PT",VLOOKUP(K1220,Foundation_Calc!$K$79:$R$113,VLOOKUP(AW1220,Foundation_Calc!$I$2:$J$8,2,FALSE),0),
IF(AX1220="K",VLOOKUP(K1220,Foundation_Calc!$K$117:$R$151,VLOOKUP(AW1220,Foundation_Calc!$I$2:$J$8,2,FALSE),0),"")))</f>
        <v/>
      </c>
      <c r="BA1220" s="495" t="str">
        <f t="shared" ref="BA1220" si="143">IF(AY1220="","",IF(AY1220&gt;0,"ü",""))</f>
        <v>ü</v>
      </c>
      <c r="BB1220" s="495" t="str">
        <f t="shared" ref="BB1220" si="144">IF(AZ1220="","",IF(AZ1220&gt;0,"ü",""))</f>
        <v/>
      </c>
      <c r="BC1220" s="495" t="str">
        <f t="shared" ref="BC1220" si="145">IF(M1220="","",IF(M1220="U.S.","ü",IF(M1220="U.S. N.D.","ü","")))</f>
        <v/>
      </c>
      <c r="BD1220" s="513" t="str">
        <f>Pole_Calc!A$323</f>
        <v>App.8-V08H-10.7.4.2</v>
      </c>
      <c r="BE1220" s="429" t="s">
        <v>118</v>
      </c>
      <c r="BF1220" s="289"/>
      <c r="BG1220" s="289"/>
      <c r="BH1220" s="290"/>
      <c r="BI1220" s="289"/>
    </row>
    <row r="1221" spans="1:61" ht="15.6" customHeight="1">
      <c r="A1221" s="514" t="s">
        <v>898</v>
      </c>
      <c r="B1221" s="450"/>
      <c r="C1221" s="3"/>
      <c r="D1221" s="83"/>
      <c r="E1221" s="4"/>
      <c r="F1221" s="4"/>
      <c r="G1221" s="6">
        <v>43.5</v>
      </c>
      <c r="H1221" s="449"/>
      <c r="I1221" s="4">
        <v>544</v>
      </c>
      <c r="J1221" s="3"/>
      <c r="K1221" s="449"/>
      <c r="L1221" s="449"/>
      <c r="M1221" s="449"/>
      <c r="N1221" s="449"/>
      <c r="O1221" s="449"/>
      <c r="P1221" s="449"/>
      <c r="Q1221" s="4"/>
      <c r="R1221" s="6"/>
      <c r="S1221" s="6"/>
      <c r="T1221" s="4"/>
      <c r="U1221" s="4"/>
      <c r="V1221" s="4"/>
      <c r="W1221" s="9"/>
      <c r="X1221" s="9"/>
      <c r="Y1221" s="9"/>
      <c r="Z1221" s="9"/>
      <c r="AA1221" s="9"/>
      <c r="AB1221" s="9"/>
      <c r="AC1221" s="449"/>
      <c r="AD1221" s="449"/>
      <c r="AE1221" s="449"/>
      <c r="AF1221" s="4"/>
      <c r="AG1221" s="83"/>
      <c r="AH1221" s="4"/>
      <c r="AI1221" s="4"/>
      <c r="AJ1221" s="449"/>
      <c r="AK1221" s="449"/>
      <c r="AL1221" s="449"/>
      <c r="AM1221" s="449"/>
      <c r="AN1221" s="10"/>
      <c r="AO1221" s="9"/>
      <c r="AP1221" s="9"/>
      <c r="AQ1221" s="9"/>
      <c r="AR1221" s="9"/>
      <c r="AS1221" s="9"/>
      <c r="AT1221" s="9"/>
      <c r="AU1221" s="428"/>
      <c r="AV1221" s="428"/>
      <c r="AW1221" s="449"/>
      <c r="AX1221" s="449"/>
      <c r="AY1221" s="10"/>
      <c r="AZ1221" s="10"/>
      <c r="BA1221" s="495"/>
      <c r="BB1221" s="495"/>
      <c r="BC1221" s="495"/>
      <c r="BD1221" s="513"/>
      <c r="BE1221" s="429" t="s">
        <v>118</v>
      </c>
      <c r="BF1221" s="290"/>
      <c r="BG1221" s="290"/>
      <c r="BH1221" s="290"/>
      <c r="BI1221" s="290"/>
    </row>
    <row r="1222" spans="1:61" ht="15.6" customHeight="1">
      <c r="A1222" s="514"/>
      <c r="B1222" s="450" t="s">
        <v>899</v>
      </c>
      <c r="C1222" s="3">
        <f>+$C$1220+$G$1221-0.48</f>
        <v>59685.199999999983</v>
      </c>
      <c r="D1222" s="83"/>
      <c r="E1222" s="4"/>
      <c r="F1222" s="4">
        <f>IF(C1222&gt;0,VLOOKUP(C1222,'ALIGNMENT TRACK'!$A$1:$K$83,9,1))</f>
        <v>0</v>
      </c>
      <c r="G1222" s="6"/>
      <c r="H1222" s="449" t="s">
        <v>121</v>
      </c>
      <c r="I1222" s="4" t="s">
        <v>162</v>
      </c>
      <c r="J1222" s="3"/>
      <c r="K1222" s="449"/>
      <c r="L1222" s="449" t="s">
        <v>151</v>
      </c>
      <c r="M1222" s="449" t="str">
        <f>IF(L1222="","",
IF(AX1222="PT",VLOOKUP(L1222,Foundation_Calc!$V$79:$X$113,VLOOKUP(AX1222,Foundation_Calc!$I$10:$J$13,2,FALSE),0),
IF(AX1222="K",VLOOKUP(L1222,Foundation_Calc!$V$117:$X$151,VLOOKUP(AX1222,Foundation_Calc!$I$10:$J$13,2,FALSE),0),"")))</f>
        <v>C4R</v>
      </c>
      <c r="N1222" s="449" t="s">
        <v>124</v>
      </c>
      <c r="O1222" s="449"/>
      <c r="P1222" s="449"/>
      <c r="Q1222" s="4"/>
      <c r="R1222" s="6"/>
      <c r="S1222" s="6"/>
      <c r="T1222" s="4">
        <v>-35</v>
      </c>
      <c r="U1222" s="4"/>
      <c r="V1222" s="4"/>
      <c r="W1222" s="9">
        <v>1.4</v>
      </c>
      <c r="X1222" s="9"/>
      <c r="Y1222" s="9"/>
      <c r="Z1222" s="9"/>
      <c r="AA1222" s="9"/>
      <c r="AB1222" s="9"/>
      <c r="AC1222" s="449" t="str">
        <f t="shared" si="133"/>
        <v>PHQ</v>
      </c>
      <c r="AD1222" s="449"/>
      <c r="AE1222" s="449"/>
      <c r="AF1222" s="4"/>
      <c r="AG1222" s="83"/>
      <c r="AH1222" s="4"/>
      <c r="AI1222" s="4"/>
      <c r="AJ1222" s="449" t="s">
        <v>900</v>
      </c>
      <c r="AK1222" s="449"/>
      <c r="AL1222" s="449"/>
      <c r="AM1222" s="449" t="s">
        <v>126</v>
      </c>
      <c r="AN1222" s="10">
        <v>5.5</v>
      </c>
      <c r="AO1222" s="9"/>
      <c r="AP1222" s="9"/>
      <c r="AQ1222" s="9"/>
      <c r="AR1222" s="9"/>
      <c r="AS1222" s="9"/>
      <c r="AT1222" s="9">
        <f>+ab($T$1226,$T$1224,$T$1228,$G$1225,$G$1227,-1*$F$1226,1200)</f>
        <v>-7.8175501667728815</v>
      </c>
      <c r="AU1222" s="428"/>
      <c r="AV1222" s="428"/>
      <c r="AW1222" s="449" t="str">
        <f>IF(C1222&gt;0,VLOOKUP(C1222,Foundation_Calc!$A$2:$C$13,3,1),
IF(J1222&gt;0,VLOOKUP(J1222,Foundation_Calc!$A$2:$C$13,3,1),""))</f>
        <v>Multi Soil</v>
      </c>
      <c r="AX1222" s="449" t="str">
        <f>IF(C1222&gt;0,VLOOKUP(C1222,Foundation_Calc!$E$2:$G$33,3,1),
IF(J1222&gt;0,VLOOKUP(J1222,Foundation_Calc!$E$2:$G$33,3,1),""))</f>
        <v>PT</v>
      </c>
      <c r="AY1222" s="10">
        <f>IF(L1222="","",
IF(AX1222="PT",VLOOKUP(L1222,Foundation_Calc!$K$79:$R$113,VLOOKUP(AW1222,Foundation_Calc!$I$2:$J$8,2,FALSE),0),
IF(AX1222="K",VLOOKUP(L1222,Foundation_Calc!$K$117:$R$151,VLOOKUP(AW1222,Foundation_Calc!$I$2:$J$8,2,FALSE),0),"")))</f>
        <v>3.5</v>
      </c>
      <c r="AZ1222" s="10" t="str">
        <f>IF(K1222="","",
IF(AX1222="PT",VLOOKUP(K1222,Foundation_Calc!$K$79:$R$113,VLOOKUP(AW1222,Foundation_Calc!$I$2:$J$8,2,FALSE),0),
IF(AX1222="K",VLOOKUP(K1222,Foundation_Calc!$K$117:$R$151,VLOOKUP(AW1222,Foundation_Calc!$I$2:$J$8,2,FALSE),0),"")))</f>
        <v/>
      </c>
      <c r="BA1222" s="495" t="str">
        <f t="shared" si="137"/>
        <v>ü</v>
      </c>
      <c r="BB1222" s="495" t="str">
        <f t="shared" si="138"/>
        <v/>
      </c>
      <c r="BC1222" s="495" t="str">
        <f t="shared" si="139"/>
        <v/>
      </c>
      <c r="BD1222" s="513" t="str">
        <f>IF(AND(L1222="",H1222=""),"",
IF(H1222="",Pole_Calc!A$9,
IF(H1222="MP",Pole_Calc!A$10,
IF(H1222="AnMP",Pole_Calc!A$11,
IF(H1222="A",Pole_Calc!A$12,
IF(H1222="S/A",Pole_Calc!A$13,
IF(H1222="A/S",Pole_Calc!A$14,"Poner a mano")))))))</f>
        <v>App.7-V11I-P9.5.1.6</v>
      </c>
      <c r="BE1222" s="429" t="s">
        <v>118</v>
      </c>
      <c r="BF1222" s="289"/>
      <c r="BG1222" s="289"/>
      <c r="BH1222" s="290"/>
      <c r="BI1222" s="289"/>
    </row>
    <row r="1223" spans="1:61" ht="15.6" customHeight="1">
      <c r="A1223" s="514"/>
      <c r="B1223" s="450"/>
      <c r="C1223" s="3"/>
      <c r="D1223" s="83"/>
      <c r="E1223" s="4"/>
      <c r="F1223" s="4"/>
      <c r="G1223" s="6">
        <v>55</v>
      </c>
      <c r="H1223" s="449"/>
      <c r="I1223" s="4"/>
      <c r="J1223" s="3">
        <f>C1222+7.5</f>
        <v>59692.699999999983</v>
      </c>
      <c r="K1223" s="449" t="s">
        <v>117</v>
      </c>
      <c r="L1223" s="449"/>
      <c r="M1223" s="449" t="str">
        <f>IF(L1223="","",
IF(AX1223="PT",VLOOKUP(L1223,Foundation_Calc!$V$79:$X$113,VLOOKUP(AX1223,Foundation_Calc!$I$10:$J$13,2,FALSE),0),
IF(AX1223="K",VLOOKUP(L1223,Foundation_Calc!$V$117:$X$151,VLOOKUP(AX1223,Foundation_Calc!$I$10:$J$13,2,FALSE),0),"")))</f>
        <v/>
      </c>
      <c r="N1223" s="449"/>
      <c r="O1223" s="449"/>
      <c r="P1223" s="449"/>
      <c r="Q1223" s="4"/>
      <c r="R1223" s="6"/>
      <c r="S1223" s="6"/>
      <c r="T1223" s="4"/>
      <c r="U1223" s="4"/>
      <c r="V1223" s="4"/>
      <c r="W1223" s="9"/>
      <c r="X1223" s="9"/>
      <c r="Y1223" s="9"/>
      <c r="Z1223" s="9"/>
      <c r="AA1223" s="9"/>
      <c r="AB1223" s="9"/>
      <c r="AC1223" s="449" t="str">
        <f t="shared" si="133"/>
        <v/>
      </c>
      <c r="AD1223" s="449"/>
      <c r="AE1223" s="449"/>
      <c r="AF1223" s="4"/>
      <c r="AG1223" s="83"/>
      <c r="AH1223" s="4"/>
      <c r="AI1223" s="4"/>
      <c r="AJ1223" s="449"/>
      <c r="AK1223" s="449"/>
      <c r="AL1223" s="449"/>
      <c r="AM1223" s="449"/>
      <c r="AN1223" s="10"/>
      <c r="AO1223" s="9"/>
      <c r="AP1223" s="9"/>
      <c r="AQ1223" s="9">
        <f>+FL_1($T$1224,$T$1222,$G$1223,1200,9.28,-1*$F$1224)</f>
        <v>0.39714735709090909</v>
      </c>
      <c r="AR1223" s="9"/>
      <c r="AS1223" s="9"/>
      <c r="AT1223" s="9"/>
      <c r="AU1223" s="428"/>
      <c r="AV1223" s="428"/>
      <c r="AW1223" s="449" t="str">
        <f>IF(C1223&gt;0,VLOOKUP(C1223,Foundation_Calc!$A$2:$C$13,3,1),
IF(J1223&gt;0,VLOOKUP(J1223,Foundation_Calc!$A$2:$C$13,3,1),""))</f>
        <v>Multi Soil</v>
      </c>
      <c r="AX1223" s="449" t="str">
        <f>IF(C1223&gt;0,VLOOKUP(C1223,Foundation_Calc!$E$2:$G$33,3,1),
IF(J1223&gt;0,VLOOKUP(J1223,Foundation_Calc!$E$2:$G$33,3,1),""))</f>
        <v>PT</v>
      </c>
      <c r="AY1223" s="10" t="str">
        <f>IF(L1223="","",
IF(AX1223="PT",VLOOKUP(L1223,Foundation_Calc!$K$79:$R$113,VLOOKUP(AW1223,Foundation_Calc!$I$2:$J$8,2,FALSE),0),
IF(AX1223="K",VLOOKUP(L1223,Foundation_Calc!$K$117:$R$151,VLOOKUP(AW1223,Foundation_Calc!$I$2:$J$8,2,FALSE),0),"")))</f>
        <v/>
      </c>
      <c r="AZ1223" s="10">
        <f>IF(K1223="","",
IF(AX1223="PT",VLOOKUP(K1223,Foundation_Calc!$K$79:$R$113,VLOOKUP(AW1223,Foundation_Calc!$I$2:$J$8,2,FALSE),0),
IF(AX1223="K",VLOOKUP(K1223,Foundation_Calc!$K$117:$R$151,VLOOKUP(AW1223,Foundation_Calc!$I$2:$J$8,2,FALSE),0),"")))</f>
        <v>3.9</v>
      </c>
      <c r="BA1223" s="495" t="str">
        <f t="shared" si="137"/>
        <v/>
      </c>
      <c r="BB1223" s="495" t="str">
        <f t="shared" si="138"/>
        <v>ü</v>
      </c>
      <c r="BC1223" s="495" t="str">
        <f t="shared" si="139"/>
        <v/>
      </c>
      <c r="BD1223" s="513" t="str">
        <f>IF(AND(L1223="",H1223=""),"",
IF(H1223="",Pole_Calc!A$9,
IF(H1223="MP",Pole_Calc!A$10,
IF(H1223="AnMP",Pole_Calc!A$11,
IF(H1223="A",Pole_Calc!A$12,
IF(H1223="S/A",Pole_Calc!A$13,
IF(H1223="A/S",Pole_Calc!A$14,"Poner a mano")))))))</f>
        <v/>
      </c>
      <c r="BE1223" s="429" t="s">
        <v>118</v>
      </c>
      <c r="BF1223" s="290"/>
      <c r="BG1223" s="290"/>
      <c r="BH1223" s="290"/>
      <c r="BI1223" s="290"/>
    </row>
    <row r="1224" spans="1:61" ht="15.6" customHeight="1">
      <c r="A1224" s="514"/>
      <c r="B1224" s="450" t="s">
        <v>901</v>
      </c>
      <c r="C1224" s="3">
        <f>+$C$1222+$G$1223</f>
        <v>59740.199999999983</v>
      </c>
      <c r="D1224" s="83"/>
      <c r="E1224" s="4"/>
      <c r="F1224" s="4">
        <f>IF(C1224&gt;0,VLOOKUP(C1224,'ALIGNMENT TRACK'!$A$1:$K$83,9,1))</f>
        <v>0</v>
      </c>
      <c r="G1224" s="6"/>
      <c r="H1224" s="449"/>
      <c r="I1224" s="4"/>
      <c r="J1224" s="3"/>
      <c r="K1224" s="449"/>
      <c r="L1224" s="449" t="s">
        <v>153</v>
      </c>
      <c r="M1224" s="449" t="str">
        <f>IF(L1224="","",
IF(AX1224="PT",VLOOKUP(L1224,Foundation_Calc!$V$79:$X$113,VLOOKUP(AX1224,Foundation_Calc!$I$10:$J$13,2,FALSE),0),
IF(AX1224="K",VLOOKUP(L1224,Foundation_Calc!$V$117:$X$151,VLOOKUP(AX1224,Foundation_Calc!$I$10:$J$13,2,FALSE),0),"")))</f>
        <v>C3R</v>
      </c>
      <c r="N1224" s="449" t="s">
        <v>134</v>
      </c>
      <c r="O1224" s="449"/>
      <c r="P1224" s="449"/>
      <c r="Q1224" s="4"/>
      <c r="R1224" s="6"/>
      <c r="S1224" s="6"/>
      <c r="T1224" s="4">
        <v>35</v>
      </c>
      <c r="U1224" s="4"/>
      <c r="V1224" s="4"/>
      <c r="W1224" s="9">
        <v>1.4</v>
      </c>
      <c r="X1224" s="9"/>
      <c r="Y1224" s="9"/>
      <c r="Z1224" s="9"/>
      <c r="AA1224" s="9"/>
      <c r="AB1224" s="9"/>
      <c r="AC1224" s="449" t="str">
        <f t="shared" si="133"/>
        <v>PHQ</v>
      </c>
      <c r="AD1224" s="449"/>
      <c r="AE1224" s="449"/>
      <c r="AF1224" s="4"/>
      <c r="AG1224" s="83"/>
      <c r="AH1224" s="4"/>
      <c r="AI1224" s="4"/>
      <c r="AJ1224" s="449" t="s">
        <v>900</v>
      </c>
      <c r="AK1224" s="449"/>
      <c r="AL1224" s="449"/>
      <c r="AM1224" s="449" t="s">
        <v>126</v>
      </c>
      <c r="AN1224" s="10">
        <v>5.5</v>
      </c>
      <c r="AO1224" s="9"/>
      <c r="AP1224" s="9"/>
      <c r="AQ1224" s="9"/>
      <c r="AR1224" s="9"/>
      <c r="AS1224" s="9"/>
      <c r="AT1224" s="9">
        <f>+ab($T$1226,$T$1224,$T$1228,$G$1225,$G$1227,-1*$F$1226,1200)</f>
        <v>-7.8175501667728815</v>
      </c>
      <c r="AU1224" s="428"/>
      <c r="AV1224" s="428"/>
      <c r="AW1224" s="449" t="str">
        <f>IF(C1224&gt;0,VLOOKUP(C1224,Foundation_Calc!$A$2:$C$13,3,1),
IF(J1224&gt;0,VLOOKUP(J1224,Foundation_Calc!$A$2:$C$13,3,1),""))</f>
        <v>Multi Soil</v>
      </c>
      <c r="AX1224" s="449" t="str">
        <f>IF(C1224&gt;0,VLOOKUP(C1224,Foundation_Calc!$E$2:$G$33,3,1),
IF(J1224&gt;0,VLOOKUP(J1224,Foundation_Calc!$E$2:$G$33,3,1),""))</f>
        <v>PT</v>
      </c>
      <c r="AY1224" s="10">
        <f>IF(L1224="","",
IF(AX1224="PT",VLOOKUP(L1224,Foundation_Calc!$K$79:$R$113,VLOOKUP(AW1224,Foundation_Calc!$I$2:$J$8,2,FALSE),0),
IF(AX1224="K",VLOOKUP(L1224,Foundation_Calc!$K$117:$R$151,VLOOKUP(AW1224,Foundation_Calc!$I$2:$J$8,2,FALSE),0),"")))</f>
        <v>3.5</v>
      </c>
      <c r="AZ1224" s="10" t="str">
        <f>IF(K1224="","",
IF(AX1224="PT",VLOOKUP(K1224,Foundation_Calc!$K$79:$R$113,VLOOKUP(AW1224,Foundation_Calc!$I$2:$J$8,2,FALSE),0),
IF(AX1224="K",VLOOKUP(K1224,Foundation_Calc!$K$117:$R$151,VLOOKUP(AW1224,Foundation_Calc!$I$2:$J$8,2,FALSE),0),"")))</f>
        <v/>
      </c>
      <c r="BA1224" s="495" t="str">
        <f t="shared" si="137"/>
        <v>ü</v>
      </c>
      <c r="BB1224" s="495" t="str">
        <f t="shared" si="138"/>
        <v/>
      </c>
      <c r="BC1224" s="495" t="str">
        <f t="shared" si="139"/>
        <v/>
      </c>
      <c r="BD1224" s="513" t="str">
        <f>IF(AND(L1224="",H1224=""),"",
IF(H1224="",Pole_Calc!A$9,
IF(H1224="MP",Pole_Calc!A$10,
IF(H1224="AnMP",Pole_Calc!A$11,
IF(H1224="A",Pole_Calc!A$12,
IF(H1224="S/A",Pole_Calc!A$13,
IF(H1224="A/S",Pole_Calc!A$14,"Poner a mano")))))))</f>
        <v>App.7-V11I-P9.5.1.1</v>
      </c>
      <c r="BE1224" s="429" t="s">
        <v>118</v>
      </c>
      <c r="BF1224" s="289"/>
      <c r="BG1224" s="289"/>
      <c r="BH1224" s="290"/>
      <c r="BI1224" s="289"/>
    </row>
    <row r="1225" spans="1:61" ht="15.6" customHeight="1">
      <c r="A1225" s="514"/>
      <c r="B1225" s="450"/>
      <c r="C1225" s="3"/>
      <c r="D1225" s="83"/>
      <c r="E1225" s="4"/>
      <c r="F1225" s="4"/>
      <c r="G1225" s="6">
        <v>55</v>
      </c>
      <c r="H1225" s="449"/>
      <c r="I1225" s="4"/>
      <c r="J1225" s="3"/>
      <c r="K1225" s="449"/>
      <c r="L1225" s="449"/>
      <c r="M1225" s="449" t="str">
        <f>IF(L1225="","",
IF(AX1225="PT",VLOOKUP(L1225,Foundation_Calc!$V$79:$X$113,VLOOKUP(AX1225,Foundation_Calc!$I$10:$J$13,2,FALSE),0),
IF(AX1225="K",VLOOKUP(L1225,Foundation_Calc!$V$117:$X$151,VLOOKUP(AX1225,Foundation_Calc!$I$10:$J$13,2,FALSE),0),"")))</f>
        <v/>
      </c>
      <c r="N1225" s="449"/>
      <c r="O1225" s="449"/>
      <c r="P1225" s="449"/>
      <c r="Q1225" s="4"/>
      <c r="R1225" s="6"/>
      <c r="S1225" s="6"/>
      <c r="T1225" s="4"/>
      <c r="U1225" s="4"/>
      <c r="V1225" s="4"/>
      <c r="W1225" s="9"/>
      <c r="X1225" s="9"/>
      <c r="Y1225" s="9"/>
      <c r="Z1225" s="9"/>
      <c r="AA1225" s="9"/>
      <c r="AB1225" s="9"/>
      <c r="AC1225" s="449" t="str">
        <f t="shared" si="133"/>
        <v/>
      </c>
      <c r="AD1225" s="449"/>
      <c r="AE1225" s="449"/>
      <c r="AF1225" s="4"/>
      <c r="AG1225" s="83"/>
      <c r="AH1225" s="4"/>
      <c r="AI1225" s="4"/>
      <c r="AJ1225" s="449"/>
      <c r="AK1225" s="449"/>
      <c r="AL1225" s="449"/>
      <c r="AM1225" s="449"/>
      <c r="AN1225" s="10"/>
      <c r="AO1225" s="9"/>
      <c r="AP1225" s="9"/>
      <c r="AQ1225" s="9">
        <f>+FL_1($T$1226,$T$1224,$G$1225,1200,9.28,-1*$F$1226)</f>
        <v>0.39714735709090898</v>
      </c>
      <c r="AR1225" s="9"/>
      <c r="AS1225" s="9"/>
      <c r="AT1225" s="9"/>
      <c r="AU1225" s="428"/>
      <c r="AV1225" s="428"/>
      <c r="AW1225" s="449" t="str">
        <f>IF(C1225&gt;0,VLOOKUP(C1225,Foundation_Calc!$A$2:$C$13,3,1),
IF(J1225&gt;0,VLOOKUP(J1225,Foundation_Calc!$A$2:$C$13,3,1),""))</f>
        <v/>
      </c>
      <c r="AX1225" s="449" t="str">
        <f>IF(C1225&gt;0,VLOOKUP(C1225,Foundation_Calc!$E$2:$G$33,3,1),
IF(J1225&gt;0,VLOOKUP(J1225,Foundation_Calc!$E$2:$G$33,3,1),""))</f>
        <v/>
      </c>
      <c r="AY1225" s="10" t="str">
        <f>IF(L1225="","",
IF(AX1225="PT",VLOOKUP(L1225,Foundation_Calc!$K$79:$R$113,VLOOKUP(AW1225,Foundation_Calc!$I$2:$J$8,2,FALSE),0),
IF(AX1225="K",VLOOKUP(L1225,Foundation_Calc!$K$117:$R$151,VLOOKUP(AW1225,Foundation_Calc!$I$2:$J$8,2,FALSE),0),"")))</f>
        <v/>
      </c>
      <c r="AZ1225" s="10" t="str">
        <f>IF(K1225="","",
IF(AX1225="PT",VLOOKUP(K1225,Foundation_Calc!$K$79:$R$113,VLOOKUP(AW1225,Foundation_Calc!$I$2:$J$8,2,FALSE),0),
IF(AX1225="K",VLOOKUP(K1225,Foundation_Calc!$K$117:$R$151,VLOOKUP(AW1225,Foundation_Calc!$I$2:$J$8,2,FALSE),0),"")))</f>
        <v/>
      </c>
      <c r="BA1225" s="495" t="str">
        <f t="shared" si="137"/>
        <v/>
      </c>
      <c r="BB1225" s="495" t="str">
        <f t="shared" si="138"/>
        <v/>
      </c>
      <c r="BC1225" s="495" t="str">
        <f t="shared" si="139"/>
        <v/>
      </c>
      <c r="BD1225" s="513" t="str">
        <f>IF(AND(L1225="",H1225=""),"",
IF(H1225="",Pole_Calc!A$9,
IF(H1225="MP",Pole_Calc!A$10,
IF(H1225="AnMP",Pole_Calc!A$11,
IF(H1225="A",Pole_Calc!A$12,
IF(H1225="S/A",Pole_Calc!A$13,
IF(H1225="A/S",Pole_Calc!A$14,"Poner a mano")))))))</f>
        <v/>
      </c>
      <c r="BE1225" s="429" t="s">
        <v>118</v>
      </c>
      <c r="BF1225" s="290"/>
      <c r="BG1225" s="290"/>
      <c r="BH1225" s="290"/>
      <c r="BI1225" s="290"/>
    </row>
    <row r="1226" spans="1:61" ht="15.6" customHeight="1">
      <c r="A1226" s="514"/>
      <c r="B1226" s="450" t="s">
        <v>902</v>
      </c>
      <c r="C1226" s="3">
        <f>+$C$1224+$G$1225</f>
        <v>59795.199999999983</v>
      </c>
      <c r="D1226" s="83"/>
      <c r="E1226" s="4"/>
      <c r="F1226" s="4">
        <f>IF(C1226&gt;0,VLOOKUP(C1226,'ALIGNMENT TRACK'!$A$1:$K$83,9,1))</f>
        <v>0</v>
      </c>
      <c r="G1226" s="6"/>
      <c r="H1226" s="449"/>
      <c r="I1226" s="4"/>
      <c r="J1226" s="3"/>
      <c r="K1226" s="449"/>
      <c r="L1226" s="449" t="s">
        <v>153</v>
      </c>
      <c r="M1226" s="449" t="str">
        <f>IF(L1226="","",
IF(AX1226="PT",VLOOKUP(L1226,Foundation_Calc!$V$79:$X$113,VLOOKUP(AX1226,Foundation_Calc!$I$10:$J$13,2,FALSE),0),
IF(AX1226="K",VLOOKUP(L1226,Foundation_Calc!$V$117:$X$151,VLOOKUP(AX1226,Foundation_Calc!$I$10:$J$13,2,FALSE),0),"")))</f>
        <v>C3R</v>
      </c>
      <c r="N1226" s="449" t="s">
        <v>124</v>
      </c>
      <c r="O1226" s="449"/>
      <c r="P1226" s="449"/>
      <c r="Q1226" s="4"/>
      <c r="R1226" s="6"/>
      <c r="S1226" s="6"/>
      <c r="T1226" s="4">
        <v>-35</v>
      </c>
      <c r="U1226" s="4"/>
      <c r="V1226" s="4"/>
      <c r="W1226" s="9">
        <v>1.4</v>
      </c>
      <c r="X1226" s="9"/>
      <c r="Y1226" s="9"/>
      <c r="Z1226" s="9"/>
      <c r="AA1226" s="9"/>
      <c r="AB1226" s="9"/>
      <c r="AC1226" s="449" t="str">
        <f t="shared" si="133"/>
        <v>PHQ</v>
      </c>
      <c r="AD1226" s="449"/>
      <c r="AE1226" s="449"/>
      <c r="AF1226" s="4"/>
      <c r="AG1226" s="83"/>
      <c r="AH1226" s="4"/>
      <c r="AI1226" s="4"/>
      <c r="AJ1226" s="449" t="s">
        <v>900</v>
      </c>
      <c r="AK1226" s="449"/>
      <c r="AL1226" s="449"/>
      <c r="AM1226" s="449" t="s">
        <v>126</v>
      </c>
      <c r="AN1226" s="10">
        <v>5.5</v>
      </c>
      <c r="AO1226" s="9"/>
      <c r="AP1226" s="9"/>
      <c r="AQ1226" s="9"/>
      <c r="AR1226" s="9"/>
      <c r="AS1226" s="9"/>
      <c r="AT1226" s="9">
        <f>+ab($T$1226,$T$1224,$T$1228,$G$1225,$G$1227,-1*$F$1226,1200)</f>
        <v>-7.8175501667728815</v>
      </c>
      <c r="AU1226" s="428"/>
      <c r="AV1226" s="428"/>
      <c r="AW1226" s="449" t="str">
        <f>IF(C1226&gt;0,VLOOKUP(C1226,Foundation_Calc!$A$2:$C$13,3,1),
IF(J1226&gt;0,VLOOKUP(J1226,Foundation_Calc!$A$2:$C$13,3,1),""))</f>
        <v>Multi Soil</v>
      </c>
      <c r="AX1226" s="449" t="str">
        <f>IF(C1226&gt;0,VLOOKUP(C1226,Foundation_Calc!$E$2:$G$33,3,1),
IF(J1226&gt;0,VLOOKUP(J1226,Foundation_Calc!$E$2:$G$33,3,1),""))</f>
        <v>PT</v>
      </c>
      <c r="AY1226" s="10">
        <f>IF(L1226="","",
IF(AX1226="PT",VLOOKUP(L1226,Foundation_Calc!$K$79:$R$113,VLOOKUP(AW1226,Foundation_Calc!$I$2:$J$8,2,FALSE),0),
IF(AX1226="K",VLOOKUP(L1226,Foundation_Calc!$K$117:$R$151,VLOOKUP(AW1226,Foundation_Calc!$I$2:$J$8,2,FALSE),0),"")))</f>
        <v>3.5</v>
      </c>
      <c r="AZ1226" s="10" t="str">
        <f>IF(K1226="","",
IF(AX1226="PT",VLOOKUP(K1226,Foundation_Calc!$K$79:$R$113,VLOOKUP(AW1226,Foundation_Calc!$I$2:$J$8,2,FALSE),0),
IF(AX1226="K",VLOOKUP(K1226,Foundation_Calc!$K$117:$R$151,VLOOKUP(AW1226,Foundation_Calc!$I$2:$J$8,2,FALSE),0),"")))</f>
        <v/>
      </c>
      <c r="BA1226" s="495" t="str">
        <f t="shared" si="137"/>
        <v>ü</v>
      </c>
      <c r="BB1226" s="495" t="str">
        <f t="shared" si="138"/>
        <v/>
      </c>
      <c r="BC1226" s="495" t="str">
        <f t="shared" si="139"/>
        <v/>
      </c>
      <c r="BD1226" s="513" t="str">
        <f>IF(AND(L1226="",H1226=""),"",
IF(H1226="",Pole_Calc!A$9,
IF(H1226="MP",Pole_Calc!A$10,
IF(H1226="AnMP",Pole_Calc!A$11,
IF(H1226="A",Pole_Calc!A$12,
IF(H1226="S/A",Pole_Calc!A$13,
IF(H1226="A/S",Pole_Calc!A$14,"Poner a mano")))))))</f>
        <v>App.7-V11I-P9.5.1.1</v>
      </c>
      <c r="BE1226" s="429" t="s">
        <v>118</v>
      </c>
      <c r="BF1226" s="289"/>
      <c r="BG1226" s="289"/>
      <c r="BH1226" s="290"/>
      <c r="BI1226" s="289"/>
    </row>
    <row r="1227" spans="1:61" ht="15.6" customHeight="1">
      <c r="A1227" s="514"/>
      <c r="B1227" s="450"/>
      <c r="C1227" s="3"/>
      <c r="D1227" s="83"/>
      <c r="E1227" s="4"/>
      <c r="F1227" s="4"/>
      <c r="G1227" s="6">
        <v>60</v>
      </c>
      <c r="H1227" s="449"/>
      <c r="I1227" s="4"/>
      <c r="J1227" s="3"/>
      <c r="K1227" s="449"/>
      <c r="L1227" s="449"/>
      <c r="M1227" s="449" t="str">
        <f>IF(L1227="","",
IF(AX1227="PT",VLOOKUP(L1227,Foundation_Calc!$V$79:$X$113,VLOOKUP(AX1227,Foundation_Calc!$I$10:$J$13,2,FALSE),0),
IF(AX1227="K",VLOOKUP(L1227,Foundation_Calc!$V$117:$X$151,VLOOKUP(AX1227,Foundation_Calc!$I$10:$J$13,2,FALSE),0),"")))</f>
        <v/>
      </c>
      <c r="N1227" s="449"/>
      <c r="O1227" s="449"/>
      <c r="P1227" s="449"/>
      <c r="Q1227" s="4"/>
      <c r="R1227" s="6"/>
      <c r="S1227" s="6"/>
      <c r="T1227" s="4"/>
      <c r="U1227" s="4"/>
      <c r="V1227" s="4"/>
      <c r="W1227" s="9"/>
      <c r="X1227" s="9"/>
      <c r="Y1227" s="9"/>
      <c r="Z1227" s="9"/>
      <c r="AA1227" s="9"/>
      <c r="AB1227" s="9"/>
      <c r="AC1227" s="449" t="str">
        <f t="shared" ref="AC1227:AC1273" si="146">IF(OR(AT1227&gt;8,AT1227&lt;-8),"PH",
IF(OR(AT1227&gt;5,AT1227&lt;-5),"PHQ",
IF(OR(AT1227&gt;1,AT1227&lt;-1),
"PHC","")))</f>
        <v/>
      </c>
      <c r="AD1227" s="449"/>
      <c r="AE1227" s="449"/>
      <c r="AF1227" s="4"/>
      <c r="AG1227" s="83"/>
      <c r="AH1227" s="4"/>
      <c r="AI1227" s="4"/>
      <c r="AJ1227" s="449"/>
      <c r="AK1227" s="449"/>
      <c r="AL1227" s="449"/>
      <c r="AM1227" s="449"/>
      <c r="AN1227" s="10"/>
      <c r="AO1227" s="9"/>
      <c r="AP1227" s="9"/>
      <c r="AQ1227" s="9">
        <f>+FL_1($T$1228,$T$1226,$G$1227,1200,9.28,-1*$F$1228)</f>
        <v>0.43600286799999999</v>
      </c>
      <c r="AR1227" s="9"/>
      <c r="AS1227" s="9"/>
      <c r="AT1227" s="9"/>
      <c r="AU1227" s="428"/>
      <c r="AV1227" s="428"/>
      <c r="AW1227" s="449" t="str">
        <f>IF(C1227&gt;0,VLOOKUP(C1227,Foundation_Calc!$A$2:$C$13,3,1),
IF(J1227&gt;0,VLOOKUP(J1227,Foundation_Calc!$A$2:$C$13,3,1),""))</f>
        <v/>
      </c>
      <c r="AX1227" s="449" t="str">
        <f>IF(C1227&gt;0,VLOOKUP(C1227,Foundation_Calc!$E$2:$G$33,3,1),
IF(J1227&gt;0,VLOOKUP(J1227,Foundation_Calc!$E$2:$G$33,3,1),""))</f>
        <v/>
      </c>
      <c r="AY1227" s="10" t="str">
        <f>IF(L1227="","",
IF(AX1227="PT",VLOOKUP(L1227,Foundation_Calc!$K$79:$R$113,VLOOKUP(AW1227,Foundation_Calc!$I$2:$J$8,2,FALSE),0),
IF(AX1227="K",VLOOKUP(L1227,Foundation_Calc!$K$117:$R$151,VLOOKUP(AW1227,Foundation_Calc!$I$2:$J$8,2,FALSE),0),"")))</f>
        <v/>
      </c>
      <c r="AZ1227" s="10" t="str">
        <f>IF(K1227="","",
IF(AX1227="PT",VLOOKUP(K1227,Foundation_Calc!$K$79:$R$113,VLOOKUP(AW1227,Foundation_Calc!$I$2:$J$8,2,FALSE),0),
IF(AX1227="K",VLOOKUP(K1227,Foundation_Calc!$K$117:$R$151,VLOOKUP(AW1227,Foundation_Calc!$I$2:$J$8,2,FALSE),0),"")))</f>
        <v/>
      </c>
      <c r="BA1227" s="495" t="str">
        <f t="shared" si="137"/>
        <v/>
      </c>
      <c r="BB1227" s="495" t="str">
        <f t="shared" si="138"/>
        <v/>
      </c>
      <c r="BC1227" s="495" t="str">
        <f t="shared" si="139"/>
        <v/>
      </c>
      <c r="BD1227" s="513" t="str">
        <f>IF(AND(L1227="",H1227=""),"",
IF(H1227="",Pole_Calc!A$9,
IF(H1227="MP",Pole_Calc!A$10,
IF(H1227="AnMP",Pole_Calc!A$11,
IF(H1227="A",Pole_Calc!A$12,
IF(H1227="S/A",Pole_Calc!A$13,
IF(H1227="A/S",Pole_Calc!A$14,"Poner a mano")))))))</f>
        <v/>
      </c>
      <c r="BE1227" s="429" t="s">
        <v>118</v>
      </c>
      <c r="BF1227" s="290"/>
      <c r="BG1227" s="290"/>
      <c r="BH1227" s="290"/>
      <c r="BI1227" s="290"/>
    </row>
    <row r="1228" spans="1:61" ht="15.6" customHeight="1">
      <c r="A1228" s="514"/>
      <c r="B1228" s="450" t="s">
        <v>903</v>
      </c>
      <c r="C1228" s="3">
        <f>+$C$1226+$G$1227</f>
        <v>59855.199999999983</v>
      </c>
      <c r="D1228" s="83"/>
      <c r="E1228" s="4"/>
      <c r="F1228" s="4">
        <f>IF(C1228&gt;0,VLOOKUP(C1228,'ALIGNMENT TRACK'!$A$1:$K$83,9,1))</f>
        <v>0</v>
      </c>
      <c r="G1228" s="6"/>
      <c r="H1228" s="449"/>
      <c r="I1228" s="4"/>
      <c r="J1228" s="3"/>
      <c r="K1228" s="449"/>
      <c r="L1228" s="449" t="s">
        <v>153</v>
      </c>
      <c r="M1228" s="449" t="str">
        <f>IF(L1228="","",
IF(AX1228="PT",VLOOKUP(L1228,Foundation_Calc!$V$79:$X$113,VLOOKUP(AX1228,Foundation_Calc!$I$10:$J$13,2,FALSE),0),
IF(AX1228="K",VLOOKUP(L1228,Foundation_Calc!$V$117:$X$151,VLOOKUP(AX1228,Foundation_Calc!$I$10:$J$13,2,FALSE),0),"")))</f>
        <v>C3R</v>
      </c>
      <c r="N1228" s="449" t="s">
        <v>134</v>
      </c>
      <c r="O1228" s="449"/>
      <c r="P1228" s="449"/>
      <c r="Q1228" s="4"/>
      <c r="R1228" s="6"/>
      <c r="S1228" s="6"/>
      <c r="T1228" s="4">
        <v>35</v>
      </c>
      <c r="U1228" s="4"/>
      <c r="V1228" s="4"/>
      <c r="W1228" s="9">
        <v>1.4</v>
      </c>
      <c r="X1228" s="9"/>
      <c r="Y1228" s="9"/>
      <c r="Z1228" s="9"/>
      <c r="AA1228" s="9"/>
      <c r="AB1228" s="9"/>
      <c r="AC1228" s="449" t="str">
        <f t="shared" si="146"/>
        <v>PH</v>
      </c>
      <c r="AD1228" s="449"/>
      <c r="AE1228" s="449"/>
      <c r="AF1228" s="4"/>
      <c r="AG1228" s="83"/>
      <c r="AH1228" s="4"/>
      <c r="AI1228" s="4"/>
      <c r="AJ1228" s="449" t="s">
        <v>900</v>
      </c>
      <c r="AK1228" s="449"/>
      <c r="AL1228" s="449"/>
      <c r="AM1228" s="449" t="s">
        <v>126</v>
      </c>
      <c r="AN1228" s="10">
        <v>5.5</v>
      </c>
      <c r="AO1228" s="9"/>
      <c r="AP1228" s="9"/>
      <c r="AQ1228" s="9"/>
      <c r="AR1228" s="9"/>
      <c r="AS1228" s="9"/>
      <c r="AT1228" s="9">
        <f>+ab($T$1228,$T$1226,$T$1230,$G$1227,$G$1229,-1*$F$1228,1200)</f>
        <v>8.1681606014296726</v>
      </c>
      <c r="AU1228" s="428"/>
      <c r="AV1228" s="428"/>
      <c r="AW1228" s="449" t="str">
        <f>IF(C1228&gt;0,VLOOKUP(C1228,Foundation_Calc!$A$2:$C$13,3,1),
IF(J1228&gt;0,VLOOKUP(J1228,Foundation_Calc!$A$2:$C$13,3,1),""))</f>
        <v>Multi Soil</v>
      </c>
      <c r="AX1228" s="449" t="str">
        <f>IF(C1228&gt;0,VLOOKUP(C1228,Foundation_Calc!$E$2:$G$33,3,1),
IF(J1228&gt;0,VLOOKUP(J1228,Foundation_Calc!$E$2:$G$33,3,1),""))</f>
        <v>PT</v>
      </c>
      <c r="AY1228" s="10">
        <f>IF(L1228="","",
IF(AX1228="PT",VLOOKUP(L1228,Foundation_Calc!$K$79:$R$113,VLOOKUP(AW1228,Foundation_Calc!$I$2:$J$8,2,FALSE),0),
IF(AX1228="K",VLOOKUP(L1228,Foundation_Calc!$K$117:$R$151,VLOOKUP(AW1228,Foundation_Calc!$I$2:$J$8,2,FALSE),0),"")))</f>
        <v>3.5</v>
      </c>
      <c r="AZ1228" s="10" t="str">
        <f>IF(K1228="","",
IF(AX1228="PT",VLOOKUP(K1228,Foundation_Calc!$K$79:$R$113,VLOOKUP(AW1228,Foundation_Calc!$I$2:$J$8,2,FALSE),0),
IF(AX1228="K",VLOOKUP(K1228,Foundation_Calc!$K$117:$R$151,VLOOKUP(AW1228,Foundation_Calc!$I$2:$J$8,2,FALSE),0),"")))</f>
        <v/>
      </c>
      <c r="BA1228" s="495" t="str">
        <f t="shared" si="137"/>
        <v>ü</v>
      </c>
      <c r="BB1228" s="495" t="str">
        <f t="shared" si="138"/>
        <v/>
      </c>
      <c r="BC1228" s="495" t="str">
        <f t="shared" si="139"/>
        <v/>
      </c>
      <c r="BD1228" s="513" t="str">
        <f>IF(AND(L1228="",H1228=""),"",
IF(H1228="",Pole_Calc!A$9,
IF(H1228="MP",Pole_Calc!A$10,
IF(H1228="AnMP",Pole_Calc!A$11,
IF(H1228="A",Pole_Calc!A$12,
IF(H1228="S/A",Pole_Calc!A$13,
IF(H1228="A/S",Pole_Calc!A$14,"Poner a mano")))))))</f>
        <v>App.7-V11I-P9.5.1.1</v>
      </c>
      <c r="BE1228" s="429" t="s">
        <v>118</v>
      </c>
      <c r="BF1228" s="289"/>
      <c r="BG1228" s="289"/>
      <c r="BH1228" s="290"/>
      <c r="BI1228" s="289"/>
    </row>
    <row r="1229" spans="1:61" ht="15.6" customHeight="1">
      <c r="A1229" s="514"/>
      <c r="B1229" s="450"/>
      <c r="C1229" s="3"/>
      <c r="D1229" s="83"/>
      <c r="E1229" s="4"/>
      <c r="F1229" s="4"/>
      <c r="G1229" s="6">
        <v>60</v>
      </c>
      <c r="H1229" s="449"/>
      <c r="I1229" s="4"/>
      <c r="J1229" s="3"/>
      <c r="K1229" s="449"/>
      <c r="L1229" s="449"/>
      <c r="M1229" s="449" t="str">
        <f>IF(L1229="","",
IF(AX1229="PT",VLOOKUP(L1229,Foundation_Calc!$V$79:$X$113,VLOOKUP(AX1229,Foundation_Calc!$I$10:$J$13,2,FALSE),0),
IF(AX1229="K",VLOOKUP(L1229,Foundation_Calc!$V$117:$X$151,VLOOKUP(AX1229,Foundation_Calc!$I$10:$J$13,2,FALSE),0),"")))</f>
        <v/>
      </c>
      <c r="N1229" s="449"/>
      <c r="O1229" s="449"/>
      <c r="P1229" s="449"/>
      <c r="Q1229" s="4"/>
      <c r="R1229" s="6"/>
      <c r="S1229" s="6"/>
      <c r="T1229" s="4"/>
      <c r="U1229" s="4"/>
      <c r="V1229" s="4"/>
      <c r="W1229" s="9"/>
      <c r="X1229" s="9"/>
      <c r="Y1229" s="9"/>
      <c r="Z1229" s="9"/>
      <c r="AA1229" s="9"/>
      <c r="AB1229" s="9"/>
      <c r="AC1229" s="449" t="str">
        <f t="shared" si="146"/>
        <v/>
      </c>
      <c r="AD1229" s="449"/>
      <c r="AE1229" s="449"/>
      <c r="AF1229" s="4"/>
      <c r="AG1229" s="83"/>
      <c r="AH1229" s="4"/>
      <c r="AI1229" s="4"/>
      <c r="AJ1229" s="449"/>
      <c r="AK1229" s="449"/>
      <c r="AL1229" s="449"/>
      <c r="AM1229" s="449"/>
      <c r="AN1229" s="10"/>
      <c r="AO1229" s="9"/>
      <c r="AP1229" s="9"/>
      <c r="AQ1229" s="9">
        <f>+FL_2($T$1230,$T$1228,$G$1229,1200,9.28,-1*$F$1230)</f>
        <v>-0.43600286799999999</v>
      </c>
      <c r="AR1229" s="9"/>
      <c r="AS1229" s="9"/>
      <c r="AT1229" s="9"/>
      <c r="AU1229" s="428"/>
      <c r="AV1229" s="428"/>
      <c r="AW1229" s="449" t="str">
        <f>IF(C1229&gt;0,VLOOKUP(C1229,Foundation_Calc!$A$2:$C$13,3,1),
IF(J1229&gt;0,VLOOKUP(J1229,Foundation_Calc!$A$2:$C$13,3,1),""))</f>
        <v/>
      </c>
      <c r="AX1229" s="449" t="str">
        <f>IF(C1229&gt;0,VLOOKUP(C1229,Foundation_Calc!$E$2:$G$33,3,1),
IF(J1229&gt;0,VLOOKUP(J1229,Foundation_Calc!$E$2:$G$33,3,1),""))</f>
        <v/>
      </c>
      <c r="AY1229" s="10" t="str">
        <f>IF(L1229="","",
IF(AX1229="PT",VLOOKUP(L1229,Foundation_Calc!$K$79:$R$113,VLOOKUP(AW1229,Foundation_Calc!$I$2:$J$8,2,FALSE),0),
IF(AX1229="K",VLOOKUP(L1229,Foundation_Calc!$K$117:$R$151,VLOOKUP(AW1229,Foundation_Calc!$I$2:$J$8,2,FALSE),0),"")))</f>
        <v/>
      </c>
      <c r="AZ1229" s="10" t="str">
        <f>IF(K1229="","",
IF(AX1229="PT",VLOOKUP(K1229,Foundation_Calc!$K$79:$R$113,VLOOKUP(AW1229,Foundation_Calc!$I$2:$J$8,2,FALSE),0),
IF(AX1229="K",VLOOKUP(K1229,Foundation_Calc!$K$117:$R$151,VLOOKUP(AW1229,Foundation_Calc!$I$2:$J$8,2,FALSE),0),"")))</f>
        <v/>
      </c>
      <c r="BA1229" s="495" t="str">
        <f t="shared" si="137"/>
        <v/>
      </c>
      <c r="BB1229" s="495" t="str">
        <f t="shared" si="138"/>
        <v/>
      </c>
      <c r="BC1229" s="495" t="str">
        <f t="shared" si="139"/>
        <v/>
      </c>
      <c r="BD1229" s="513" t="str">
        <f>IF(AND(L1229="",H1229=""),"",
IF(H1229="",Pole_Calc!A$9,
IF(H1229="MP",Pole_Calc!A$10,
IF(H1229="AnMP",Pole_Calc!A$11,
IF(H1229="A",Pole_Calc!A$12,
IF(H1229="S/A",Pole_Calc!A$13,
IF(H1229="A/S",Pole_Calc!A$14,"Poner a mano")))))))</f>
        <v/>
      </c>
      <c r="BE1229" s="429" t="s">
        <v>118</v>
      </c>
      <c r="BF1229" s="290"/>
      <c r="BG1229" s="290"/>
      <c r="BH1229" s="290"/>
      <c r="BI1229" s="290"/>
    </row>
    <row r="1230" spans="1:61" ht="15.6" customHeight="1">
      <c r="A1230" s="514"/>
      <c r="B1230" s="450" t="s">
        <v>904</v>
      </c>
      <c r="C1230" s="3">
        <f>+$C$1228+$G$1229</f>
        <v>59915.199999999983</v>
      </c>
      <c r="D1230" s="83"/>
      <c r="E1230" s="4"/>
      <c r="F1230" s="4">
        <f>IF(C1230&gt;0,VLOOKUP(C1230,'ALIGNMENT TRACK'!$A$1:$K$83,9,1))</f>
        <v>0</v>
      </c>
      <c r="G1230" s="6"/>
      <c r="H1230" s="449"/>
      <c r="I1230" s="4"/>
      <c r="J1230" s="3"/>
      <c r="K1230" s="449"/>
      <c r="L1230" s="449" t="s">
        <v>153</v>
      </c>
      <c r="M1230" s="449" t="str">
        <f>IF(L1230="","",
IF(AX1230="PT",VLOOKUP(L1230,Foundation_Calc!$V$79:$X$113,VLOOKUP(AX1230,Foundation_Calc!$I$10:$J$13,2,FALSE),0),
IF(AX1230="K",VLOOKUP(L1230,Foundation_Calc!$V$117:$X$151,VLOOKUP(AX1230,Foundation_Calc!$I$10:$J$13,2,FALSE),0),"")))</f>
        <v>C3R</v>
      </c>
      <c r="N1230" s="449" t="s">
        <v>124</v>
      </c>
      <c r="O1230" s="449"/>
      <c r="P1230" s="449"/>
      <c r="Q1230" s="4"/>
      <c r="R1230" s="6"/>
      <c r="S1230" s="6"/>
      <c r="T1230" s="4">
        <v>-35</v>
      </c>
      <c r="U1230" s="4"/>
      <c r="V1230" s="4"/>
      <c r="W1230" s="9">
        <v>1.4</v>
      </c>
      <c r="X1230" s="9"/>
      <c r="Y1230" s="9"/>
      <c r="Z1230" s="9"/>
      <c r="AA1230" s="9"/>
      <c r="AB1230" s="9"/>
      <c r="AC1230" s="449" t="str">
        <f t="shared" si="146"/>
        <v>PH</v>
      </c>
      <c r="AD1230" s="449"/>
      <c r="AE1230" s="449"/>
      <c r="AF1230" s="4"/>
      <c r="AG1230" s="83"/>
      <c r="AH1230" s="4"/>
      <c r="AI1230" s="4"/>
      <c r="AJ1230" s="449" t="s">
        <v>900</v>
      </c>
      <c r="AK1230" s="449"/>
      <c r="AL1230" s="449"/>
      <c r="AM1230" s="449" t="s">
        <v>126</v>
      </c>
      <c r="AN1230" s="10">
        <v>5.5</v>
      </c>
      <c r="AO1230" s="9"/>
      <c r="AP1230" s="9"/>
      <c r="AQ1230" s="9"/>
      <c r="AR1230" s="9"/>
      <c r="AS1230" s="9"/>
      <c r="AT1230" s="9">
        <f>+ab($T$1230,$T$1228,$T$1232,$G$1229,$G$1231,-1*$F$1230,1200)</f>
        <v>-8.300256796512933</v>
      </c>
      <c r="AU1230" s="428"/>
      <c r="AV1230" s="428"/>
      <c r="AW1230" s="449" t="str">
        <f>IF(C1230&gt;0,VLOOKUP(C1230,Foundation_Calc!$A$2:$C$13,3,1),
IF(J1230&gt;0,VLOOKUP(J1230,Foundation_Calc!$A$2:$C$13,3,1),""))</f>
        <v>Multi Soil</v>
      </c>
      <c r="AX1230" s="449" t="str">
        <f>IF(C1230&gt;0,VLOOKUP(C1230,Foundation_Calc!$E$2:$G$33,3,1),
IF(J1230&gt;0,VLOOKUP(J1230,Foundation_Calc!$E$2:$G$33,3,1),""))</f>
        <v>PT</v>
      </c>
      <c r="AY1230" s="10">
        <f>IF(L1230="","",
IF(AX1230="PT",VLOOKUP(L1230,Foundation_Calc!$K$79:$R$113,VLOOKUP(AW1230,Foundation_Calc!$I$2:$J$8,2,FALSE),0),
IF(AX1230="K",VLOOKUP(L1230,Foundation_Calc!$K$117:$R$151,VLOOKUP(AW1230,Foundation_Calc!$I$2:$J$8,2,FALSE),0),"")))</f>
        <v>3.5</v>
      </c>
      <c r="AZ1230" s="10" t="str">
        <f>IF(K1230="","",
IF(AX1230="PT",VLOOKUP(K1230,Foundation_Calc!$K$79:$R$113,VLOOKUP(AW1230,Foundation_Calc!$I$2:$J$8,2,FALSE),0),
IF(AX1230="K",VLOOKUP(K1230,Foundation_Calc!$K$117:$R$151,VLOOKUP(AW1230,Foundation_Calc!$I$2:$J$8,2,FALSE),0),"")))</f>
        <v/>
      </c>
      <c r="BA1230" s="495" t="str">
        <f t="shared" si="137"/>
        <v>ü</v>
      </c>
      <c r="BB1230" s="495" t="str">
        <f t="shared" si="138"/>
        <v/>
      </c>
      <c r="BC1230" s="495" t="str">
        <f t="shared" si="139"/>
        <v/>
      </c>
      <c r="BD1230" s="513" t="str">
        <f>IF(AND(L1230="",H1230=""),"",
IF(H1230="",Pole_Calc!A$9,
IF(H1230="MP",Pole_Calc!A$10,
IF(H1230="AnMP",Pole_Calc!A$11,
IF(H1230="A",Pole_Calc!A$12,
IF(H1230="S/A",Pole_Calc!A$13,
IF(H1230="A/S",Pole_Calc!A$14,"Poner a mano")))))))</f>
        <v>App.7-V11I-P9.5.1.1</v>
      </c>
      <c r="BE1230" s="429" t="s">
        <v>118</v>
      </c>
      <c r="BF1230" s="289"/>
      <c r="BG1230" s="289"/>
      <c r="BH1230" s="290"/>
      <c r="BI1230" s="289"/>
    </row>
    <row r="1231" spans="1:61" ht="15.6" customHeight="1">
      <c r="A1231" s="514"/>
      <c r="B1231" s="450"/>
      <c r="C1231" s="3"/>
      <c r="D1231" s="83"/>
      <c r="E1231" s="4"/>
      <c r="F1231" s="4"/>
      <c r="G1231" s="6">
        <v>62</v>
      </c>
      <c r="H1231" s="449"/>
      <c r="I1231" s="4"/>
      <c r="J1231" s="3"/>
      <c r="K1231" s="449"/>
      <c r="L1231" s="449"/>
      <c r="M1231" s="449" t="str">
        <f>IF(L1231="","",
IF(AX1231="PT",VLOOKUP(L1231,Foundation_Calc!$V$79:$X$113,VLOOKUP(AX1231,Foundation_Calc!$I$10:$J$13,2,FALSE),0),
IF(AX1231="K",VLOOKUP(L1231,Foundation_Calc!$V$117:$X$151,VLOOKUP(AX1231,Foundation_Calc!$I$10:$J$13,2,FALSE),0),"")))</f>
        <v/>
      </c>
      <c r="N1231" s="449"/>
      <c r="O1231" s="449"/>
      <c r="P1231" s="449"/>
      <c r="Q1231" s="4"/>
      <c r="R1231" s="6"/>
      <c r="S1231" s="6"/>
      <c r="T1231" s="4"/>
      <c r="U1231" s="4"/>
      <c r="V1231" s="4"/>
      <c r="W1231" s="9"/>
      <c r="X1231" s="9"/>
      <c r="Y1231" s="9"/>
      <c r="Z1231" s="9"/>
      <c r="AA1231" s="9"/>
      <c r="AB1231" s="9"/>
      <c r="AC1231" s="449" t="str">
        <f t="shared" si="146"/>
        <v/>
      </c>
      <c r="AD1231" s="449"/>
      <c r="AE1231" s="449"/>
      <c r="AF1231" s="4"/>
      <c r="AG1231" s="83"/>
      <c r="AH1231" s="4"/>
      <c r="AI1231" s="4"/>
      <c r="AJ1231" s="449"/>
      <c r="AK1231" s="449"/>
      <c r="AL1231" s="449"/>
      <c r="AM1231" s="449"/>
      <c r="AN1231" s="10"/>
      <c r="AO1231" s="9"/>
      <c r="AP1231" s="9"/>
      <c r="AQ1231" s="9">
        <f>+FL_1($T$1232,$T$1230,$G$1231,1200,9.28,-1*$F$1232)</f>
        <v>0.45400350967741931</v>
      </c>
      <c r="AR1231" s="9"/>
      <c r="AS1231" s="9"/>
      <c r="AT1231" s="9"/>
      <c r="AU1231" s="428"/>
      <c r="AV1231" s="428"/>
      <c r="AW1231" s="449" t="str">
        <f>IF(C1231&gt;0,VLOOKUP(C1231,Foundation_Calc!$A$2:$C$13,3,1),
IF(J1231&gt;0,VLOOKUP(J1231,Foundation_Calc!$A$2:$C$13,3,1),""))</f>
        <v/>
      </c>
      <c r="AX1231" s="449" t="str">
        <f>IF(C1231&gt;0,VLOOKUP(C1231,Foundation_Calc!$E$2:$G$33,3,1),
IF(J1231&gt;0,VLOOKUP(J1231,Foundation_Calc!$E$2:$G$33,3,1),""))</f>
        <v/>
      </c>
      <c r="AY1231" s="10" t="str">
        <f>IF(L1231="","",
IF(AX1231="PT",VLOOKUP(L1231,Foundation_Calc!$K$79:$R$113,VLOOKUP(AW1231,Foundation_Calc!$I$2:$J$8,2,FALSE),0),
IF(AX1231="K",VLOOKUP(L1231,Foundation_Calc!$K$117:$R$151,VLOOKUP(AW1231,Foundation_Calc!$I$2:$J$8,2,FALSE),0),"")))</f>
        <v/>
      </c>
      <c r="AZ1231" s="10" t="str">
        <f>IF(K1231="","",
IF(AX1231="PT",VLOOKUP(K1231,Foundation_Calc!$K$79:$R$113,VLOOKUP(AW1231,Foundation_Calc!$I$2:$J$8,2,FALSE),0),
IF(AX1231="K",VLOOKUP(K1231,Foundation_Calc!$K$117:$R$151,VLOOKUP(AW1231,Foundation_Calc!$I$2:$J$8,2,FALSE),0),"")))</f>
        <v/>
      </c>
      <c r="BA1231" s="495" t="str">
        <f t="shared" si="137"/>
        <v/>
      </c>
      <c r="BB1231" s="495" t="str">
        <f t="shared" si="138"/>
        <v/>
      </c>
      <c r="BC1231" s="495" t="str">
        <f t="shared" si="139"/>
        <v/>
      </c>
      <c r="BD1231" s="513" t="str">
        <f>IF(AND(L1231="",H1231=""),"",
IF(H1231="",Pole_Calc!A$9,
IF(H1231="MP",Pole_Calc!A$10,
IF(H1231="AnMP",Pole_Calc!A$11,
IF(H1231="A",Pole_Calc!A$12,
IF(H1231="S/A",Pole_Calc!A$13,
IF(H1231="A/S",Pole_Calc!A$14,"Poner a mano")))))))</f>
        <v/>
      </c>
      <c r="BE1231" s="429" t="s">
        <v>118</v>
      </c>
      <c r="BF1231" s="290"/>
      <c r="BG1231" s="290"/>
      <c r="BH1231" s="290"/>
      <c r="BI1231" s="290"/>
    </row>
    <row r="1232" spans="1:61" ht="15.6" customHeight="1">
      <c r="A1232" s="514"/>
      <c r="B1232" s="450" t="s">
        <v>905</v>
      </c>
      <c r="C1232" s="3">
        <f>+$C$1230+$G$1231</f>
        <v>59977.199999999983</v>
      </c>
      <c r="D1232" s="83"/>
      <c r="E1232" s="4"/>
      <c r="F1232" s="4">
        <f>IF(C1232&gt;0,VLOOKUP(C1232,'ALIGNMENT TRACK'!$A$1:$K$83,9,1))</f>
        <v>0</v>
      </c>
      <c r="G1232" s="6"/>
      <c r="H1232" s="449"/>
      <c r="I1232" s="4"/>
      <c r="J1232" s="3"/>
      <c r="K1232" s="449"/>
      <c r="L1232" s="449" t="s">
        <v>153</v>
      </c>
      <c r="M1232" s="449" t="str">
        <f>IF(L1232="","",
IF(AX1232="PT",VLOOKUP(L1232,Foundation_Calc!$V$79:$X$113,VLOOKUP(AX1232,Foundation_Calc!$I$10:$J$13,2,FALSE),0),
IF(AX1232="K",VLOOKUP(L1232,Foundation_Calc!$V$117:$X$151,VLOOKUP(AX1232,Foundation_Calc!$I$10:$J$13,2,FALSE),0),"")))</f>
        <v>C3R</v>
      </c>
      <c r="N1232" s="449" t="s">
        <v>134</v>
      </c>
      <c r="O1232" s="449"/>
      <c r="P1232" s="449"/>
      <c r="Q1232" s="4"/>
      <c r="R1232" s="6"/>
      <c r="S1232" s="6"/>
      <c r="T1232" s="4">
        <v>35</v>
      </c>
      <c r="U1232" s="4"/>
      <c r="V1232" s="4"/>
      <c r="W1232" s="9">
        <v>1.4</v>
      </c>
      <c r="X1232" s="9"/>
      <c r="Y1232" s="9"/>
      <c r="Z1232" s="9"/>
      <c r="AA1232" s="9"/>
      <c r="AB1232" s="9"/>
      <c r="AC1232" s="449" t="str">
        <f t="shared" si="146"/>
        <v>PH</v>
      </c>
      <c r="AD1232" s="449"/>
      <c r="AE1232" s="449"/>
      <c r="AF1232" s="4"/>
      <c r="AG1232" s="83"/>
      <c r="AH1232" s="4"/>
      <c r="AI1232" s="4"/>
      <c r="AJ1232" s="449" t="s">
        <v>900</v>
      </c>
      <c r="AK1232" s="449"/>
      <c r="AL1232" s="449"/>
      <c r="AM1232" s="449" t="s">
        <v>126</v>
      </c>
      <c r="AN1232" s="10">
        <v>5.5</v>
      </c>
      <c r="AO1232" s="9"/>
      <c r="AP1232" s="9"/>
      <c r="AQ1232" s="9"/>
      <c r="AR1232" s="9"/>
      <c r="AS1232" s="9"/>
      <c r="AT1232" s="9">
        <f>+ab($T$1232,$T$1230,$T$1234,$G$1231,$G$1233,-1*$F$1232,1200)</f>
        <v>8.4365744899000195</v>
      </c>
      <c r="AU1232" s="428"/>
      <c r="AV1232" s="428"/>
      <c r="AW1232" s="449" t="str">
        <f>IF(C1232&gt;0,VLOOKUP(C1232,Foundation_Calc!$A$2:$C$13,3,1),
IF(J1232&gt;0,VLOOKUP(J1232,Foundation_Calc!$A$2:$C$13,3,1),""))</f>
        <v>Multi Soil</v>
      </c>
      <c r="AX1232" s="449" t="str">
        <f>IF(C1232&gt;0,VLOOKUP(C1232,Foundation_Calc!$E$2:$G$33,3,1),
IF(J1232&gt;0,VLOOKUP(J1232,Foundation_Calc!$E$2:$G$33,3,1),""))</f>
        <v>PT</v>
      </c>
      <c r="AY1232" s="10">
        <f>IF(L1232="","",
IF(AX1232="PT",VLOOKUP(L1232,Foundation_Calc!$K$79:$R$113,VLOOKUP(AW1232,Foundation_Calc!$I$2:$J$8,2,FALSE),0),
IF(AX1232="K",VLOOKUP(L1232,Foundation_Calc!$K$117:$R$151,VLOOKUP(AW1232,Foundation_Calc!$I$2:$J$8,2,FALSE),0),"")))</f>
        <v>3.5</v>
      </c>
      <c r="AZ1232" s="10" t="str">
        <f>IF(K1232="","",
IF(AX1232="PT",VLOOKUP(K1232,Foundation_Calc!$K$79:$R$113,VLOOKUP(AW1232,Foundation_Calc!$I$2:$J$8,2,FALSE),0),
IF(AX1232="K",VLOOKUP(K1232,Foundation_Calc!$K$117:$R$151,VLOOKUP(AW1232,Foundation_Calc!$I$2:$J$8,2,FALSE),0),"")))</f>
        <v/>
      </c>
      <c r="BA1232" s="495" t="str">
        <f t="shared" si="137"/>
        <v>ü</v>
      </c>
      <c r="BB1232" s="495" t="str">
        <f t="shared" si="138"/>
        <v/>
      </c>
      <c r="BC1232" s="495" t="str">
        <f t="shared" si="139"/>
        <v/>
      </c>
      <c r="BD1232" s="513" t="str">
        <f>IF(AND(L1232="",H1232=""),"",
IF(H1232="",Pole_Calc!A$9,
IF(H1232="MP",Pole_Calc!A$10,
IF(H1232="AnMP",Pole_Calc!A$11,
IF(H1232="A",Pole_Calc!A$12,
IF(H1232="S/A",Pole_Calc!A$13,
IF(H1232="A/S",Pole_Calc!A$14,"Poner a mano")))))))</f>
        <v>App.7-V11I-P9.5.1.1</v>
      </c>
      <c r="BE1232" s="429" t="s">
        <v>118</v>
      </c>
      <c r="BF1232" s="289"/>
      <c r="BG1232" s="289"/>
      <c r="BH1232" s="290"/>
      <c r="BI1232" s="289"/>
    </row>
    <row r="1233" spans="1:61" ht="15.6" customHeight="1">
      <c r="A1233" s="514"/>
      <c r="B1233" s="450"/>
      <c r="C1233" s="3"/>
      <c r="D1233" s="83"/>
      <c r="E1233" s="4"/>
      <c r="F1233" s="4"/>
      <c r="G1233" s="6">
        <v>62</v>
      </c>
      <c r="H1233" s="449"/>
      <c r="I1233" s="4"/>
      <c r="J1233" s="3"/>
      <c r="K1233" s="449"/>
      <c r="L1233" s="449"/>
      <c r="M1233" s="449" t="str">
        <f>IF(L1233="","",
IF(AX1233="PT",VLOOKUP(L1233,Foundation_Calc!$V$79:$X$113,VLOOKUP(AX1233,Foundation_Calc!$I$10:$J$13,2,FALSE),0),
IF(AX1233="K",VLOOKUP(L1233,Foundation_Calc!$V$117:$X$151,VLOOKUP(AX1233,Foundation_Calc!$I$10:$J$13,2,FALSE),0),"")))</f>
        <v/>
      </c>
      <c r="N1233" s="449"/>
      <c r="O1233" s="449"/>
      <c r="P1233" s="449"/>
      <c r="Q1233" s="4"/>
      <c r="R1233" s="6"/>
      <c r="S1233" s="6"/>
      <c r="T1233" s="4"/>
      <c r="U1233" s="4"/>
      <c r="V1233" s="4"/>
      <c r="W1233" s="9"/>
      <c r="X1233" s="9"/>
      <c r="Y1233" s="9"/>
      <c r="Z1233" s="9"/>
      <c r="AA1233" s="9"/>
      <c r="AB1233" s="9"/>
      <c r="AC1233" s="449" t="str">
        <f t="shared" si="146"/>
        <v/>
      </c>
      <c r="AD1233" s="449"/>
      <c r="AE1233" s="449"/>
      <c r="AF1233" s="4"/>
      <c r="AG1233" s="83"/>
      <c r="AH1233" s="4"/>
      <c r="AI1233" s="4"/>
      <c r="AJ1233" s="449"/>
      <c r="AK1233" s="449"/>
      <c r="AL1233" s="449"/>
      <c r="AM1233" s="449"/>
      <c r="AN1233" s="10"/>
      <c r="AO1233" s="9"/>
      <c r="AP1233" s="9"/>
      <c r="AQ1233" s="9">
        <f>+FL_2($T$1234,$T$1232,$G$1233,1200,9.28,-1*$F$1234)</f>
        <v>-0.45400350967741931</v>
      </c>
      <c r="AR1233" s="9"/>
      <c r="AS1233" s="9"/>
      <c r="AT1233" s="9"/>
      <c r="AU1233" s="428"/>
      <c r="AV1233" s="428"/>
      <c r="AW1233" s="449" t="str">
        <f>IF(C1233&gt;0,VLOOKUP(C1233,Foundation_Calc!$A$2:$C$13,3,1),
IF(J1233&gt;0,VLOOKUP(J1233,Foundation_Calc!$A$2:$C$13,3,1),""))</f>
        <v/>
      </c>
      <c r="AX1233" s="449" t="str">
        <f>IF(C1233&gt;0,VLOOKUP(C1233,Foundation_Calc!$E$2:$G$33,3,1),
IF(J1233&gt;0,VLOOKUP(J1233,Foundation_Calc!$E$2:$G$33,3,1),""))</f>
        <v/>
      </c>
      <c r="AY1233" s="10" t="str">
        <f>IF(L1233="","",
IF(AX1233="PT",VLOOKUP(L1233,Foundation_Calc!$K$79:$R$113,VLOOKUP(AW1233,Foundation_Calc!$I$2:$J$8,2,FALSE),0),
IF(AX1233="K",VLOOKUP(L1233,Foundation_Calc!$K$117:$R$151,VLOOKUP(AW1233,Foundation_Calc!$I$2:$J$8,2,FALSE),0),"")))</f>
        <v/>
      </c>
      <c r="AZ1233" s="10" t="str">
        <f>IF(K1233="","",
IF(AX1233="PT",VLOOKUP(K1233,Foundation_Calc!$K$79:$R$113,VLOOKUP(AW1233,Foundation_Calc!$I$2:$J$8,2,FALSE),0),
IF(AX1233="K",VLOOKUP(K1233,Foundation_Calc!$K$117:$R$151,VLOOKUP(AW1233,Foundation_Calc!$I$2:$J$8,2,FALSE),0),"")))</f>
        <v/>
      </c>
      <c r="BA1233" s="495" t="str">
        <f t="shared" si="137"/>
        <v/>
      </c>
      <c r="BB1233" s="495" t="str">
        <f t="shared" si="138"/>
        <v/>
      </c>
      <c r="BC1233" s="495" t="str">
        <f t="shared" si="139"/>
        <v/>
      </c>
      <c r="BD1233" s="513" t="str">
        <f>IF(AND(L1233="",H1233=""),"",
IF(H1233="",Pole_Calc!A$9,
IF(H1233="MP",Pole_Calc!A$10,
IF(H1233="AnMP",Pole_Calc!A$11,
IF(H1233="A",Pole_Calc!A$12,
IF(H1233="S/A",Pole_Calc!A$13,
IF(H1233="A/S",Pole_Calc!A$14,"Poner a mano")))))))</f>
        <v/>
      </c>
      <c r="BE1233" s="429" t="s">
        <v>118</v>
      </c>
      <c r="BF1233" s="290"/>
      <c r="BG1233" s="290"/>
      <c r="BH1233" s="290"/>
      <c r="BI1233" s="290"/>
    </row>
    <row r="1234" spans="1:61" ht="15.6" customHeight="1">
      <c r="A1234" s="514"/>
      <c r="B1234" s="450" t="s">
        <v>906</v>
      </c>
      <c r="C1234" s="3">
        <f>+$C$1232+$G$1233</f>
        <v>60039.199999999983</v>
      </c>
      <c r="D1234" s="83"/>
      <c r="E1234" s="4"/>
      <c r="F1234" s="4">
        <f>IF(C1234&gt;0,VLOOKUP(C1234,'ALIGNMENT TRACK'!$A$1:$K$83,9,1))</f>
        <v>0</v>
      </c>
      <c r="G1234" s="6"/>
      <c r="H1234" s="449"/>
      <c r="I1234" s="4"/>
      <c r="J1234" s="3"/>
      <c r="K1234" s="449"/>
      <c r="L1234" s="449" t="s">
        <v>153</v>
      </c>
      <c r="M1234" s="449" t="str">
        <f>IF(L1234="","",
IF(AX1234="PT",VLOOKUP(L1234,Foundation_Calc!$V$79:$X$113,VLOOKUP(AX1234,Foundation_Calc!$I$10:$J$13,2,FALSE),0),
IF(AX1234="K",VLOOKUP(L1234,Foundation_Calc!$V$117:$X$151,VLOOKUP(AX1234,Foundation_Calc!$I$10:$J$13,2,FALSE),0),"")))</f>
        <v>C3R</v>
      </c>
      <c r="N1234" s="449" t="s">
        <v>124</v>
      </c>
      <c r="O1234" s="449"/>
      <c r="P1234" s="449"/>
      <c r="Q1234" s="4"/>
      <c r="R1234" s="6"/>
      <c r="S1234" s="6"/>
      <c r="T1234" s="4">
        <v>-35</v>
      </c>
      <c r="U1234" s="4"/>
      <c r="V1234" s="4"/>
      <c r="W1234" s="9">
        <v>1.4</v>
      </c>
      <c r="X1234" s="9"/>
      <c r="Y1234" s="9"/>
      <c r="Z1234" s="9"/>
      <c r="AA1234" s="9"/>
      <c r="AB1234" s="9"/>
      <c r="AC1234" s="449" t="str">
        <f t="shared" si="146"/>
        <v>PH</v>
      </c>
      <c r="AD1234" s="449"/>
      <c r="AE1234" s="449"/>
      <c r="AF1234" s="4"/>
      <c r="AG1234" s="83"/>
      <c r="AH1234" s="4"/>
      <c r="AI1234" s="4"/>
      <c r="AJ1234" s="449" t="s">
        <v>900</v>
      </c>
      <c r="AK1234" s="449"/>
      <c r="AL1234" s="449"/>
      <c r="AM1234" s="449" t="s">
        <v>126</v>
      </c>
      <c r="AN1234" s="10">
        <v>5.5</v>
      </c>
      <c r="AO1234" s="9"/>
      <c r="AP1234" s="9"/>
      <c r="AQ1234" s="9"/>
      <c r="AR1234" s="9"/>
      <c r="AS1234" s="9"/>
      <c r="AT1234" s="9">
        <f>+ab($T$1234,$T$1232,$T$1236,$G$1233,$G$1235,-1*$F$1234,1200)</f>
        <v>-8.300256796512933</v>
      </c>
      <c r="AU1234" s="428"/>
      <c r="AV1234" s="428"/>
      <c r="AW1234" s="449" t="str">
        <f>IF(C1234&gt;0,VLOOKUP(C1234,Foundation_Calc!$A$2:$C$13,3,1),
IF(J1234&gt;0,VLOOKUP(J1234,Foundation_Calc!$A$2:$C$13,3,1),""))</f>
        <v>Multi Soil</v>
      </c>
      <c r="AX1234" s="449" t="str">
        <f>IF(C1234&gt;0,VLOOKUP(C1234,Foundation_Calc!$E$2:$G$33,3,1),
IF(J1234&gt;0,VLOOKUP(J1234,Foundation_Calc!$E$2:$G$33,3,1),""))</f>
        <v>PT</v>
      </c>
      <c r="AY1234" s="10">
        <f>IF(L1234="","",
IF(AX1234="PT",VLOOKUP(L1234,Foundation_Calc!$K$79:$R$113,VLOOKUP(AW1234,Foundation_Calc!$I$2:$J$8,2,FALSE),0),
IF(AX1234="K",VLOOKUP(L1234,Foundation_Calc!$K$117:$R$151,VLOOKUP(AW1234,Foundation_Calc!$I$2:$J$8,2,FALSE),0),"")))</f>
        <v>3.5</v>
      </c>
      <c r="AZ1234" s="10" t="str">
        <f>IF(K1234="","",
IF(AX1234="PT",VLOOKUP(K1234,Foundation_Calc!$K$79:$R$113,VLOOKUP(AW1234,Foundation_Calc!$I$2:$J$8,2,FALSE),0),
IF(AX1234="K",VLOOKUP(K1234,Foundation_Calc!$K$117:$R$151,VLOOKUP(AW1234,Foundation_Calc!$I$2:$J$8,2,FALSE),0),"")))</f>
        <v/>
      </c>
      <c r="BA1234" s="495" t="str">
        <f t="shared" si="137"/>
        <v>ü</v>
      </c>
      <c r="BB1234" s="495" t="str">
        <f t="shared" si="138"/>
        <v/>
      </c>
      <c r="BC1234" s="495" t="str">
        <f t="shared" si="139"/>
        <v/>
      </c>
      <c r="BD1234" s="513" t="str">
        <f>IF(AND(L1234="",H1234=""),"",
IF(H1234="",Pole_Calc!A$9,
IF(H1234="MP",Pole_Calc!A$10,
IF(H1234="AnMP",Pole_Calc!A$11,
IF(H1234="A",Pole_Calc!A$12,
IF(H1234="S/A",Pole_Calc!A$13,
IF(H1234="A/S",Pole_Calc!A$14,"Poner a mano")))))))</f>
        <v>App.7-V11I-P9.5.1.1</v>
      </c>
      <c r="BE1234" s="429" t="s">
        <v>118</v>
      </c>
      <c r="BF1234" s="289"/>
      <c r="BG1234" s="289"/>
      <c r="BH1234" s="290"/>
      <c r="BI1234" s="289"/>
    </row>
    <row r="1235" spans="1:61" ht="15.6" customHeight="1">
      <c r="A1235" s="514" t="s">
        <v>169</v>
      </c>
      <c r="B1235" s="450"/>
      <c r="C1235" s="3"/>
      <c r="D1235" s="83"/>
      <c r="E1235" s="4"/>
      <c r="F1235" s="4"/>
      <c r="G1235" s="6">
        <v>60</v>
      </c>
      <c r="H1235" s="449"/>
      <c r="I1235" s="4"/>
      <c r="J1235" s="3"/>
      <c r="K1235" s="449"/>
      <c r="L1235" s="449"/>
      <c r="M1235" s="449" t="str">
        <f>IF(L1235="","",
IF(AX1235="PT",VLOOKUP(L1235,Foundation_Calc!$V$79:$X$113,VLOOKUP(AX1235,Foundation_Calc!$I$10:$J$13,2,FALSE),0),
IF(AX1235="K",VLOOKUP(L1235,Foundation_Calc!$V$117:$X$151,VLOOKUP(AX1235,Foundation_Calc!$I$10:$J$13,2,FALSE),0),"")))</f>
        <v/>
      </c>
      <c r="N1235" s="449"/>
      <c r="O1235" s="449"/>
      <c r="P1235" s="449"/>
      <c r="Q1235" s="4"/>
      <c r="R1235" s="6"/>
      <c r="S1235" s="6"/>
      <c r="T1235" s="4"/>
      <c r="U1235" s="4"/>
      <c r="V1235" s="4"/>
      <c r="W1235" s="9"/>
      <c r="X1235" s="9"/>
      <c r="Y1235" s="9"/>
      <c r="Z1235" s="9"/>
      <c r="AA1235" s="9"/>
      <c r="AB1235" s="9"/>
      <c r="AC1235" s="449" t="str">
        <f t="shared" si="146"/>
        <v/>
      </c>
      <c r="AD1235" s="449"/>
      <c r="AE1235" s="449"/>
      <c r="AF1235" s="4"/>
      <c r="AG1235" s="83"/>
      <c r="AH1235" s="4"/>
      <c r="AI1235" s="4"/>
      <c r="AJ1235" s="449"/>
      <c r="AK1235" s="449"/>
      <c r="AL1235" s="449"/>
      <c r="AM1235" s="449"/>
      <c r="AN1235" s="10"/>
      <c r="AO1235" s="9"/>
      <c r="AP1235" s="9"/>
      <c r="AQ1235" s="9">
        <f>+FL_1($T$1236,$T$1234,$G$1235,1200,9.28,-1*$F$1236)</f>
        <v>0.43600286799999999</v>
      </c>
      <c r="AR1235" s="9"/>
      <c r="AS1235" s="9"/>
      <c r="AT1235" s="9"/>
      <c r="AU1235" s="428"/>
      <c r="AV1235" s="428"/>
      <c r="AW1235" s="449" t="str">
        <f>IF(C1235&gt;0,VLOOKUP(C1235,Foundation_Calc!$A$2:$C$13,3,1),
IF(J1235&gt;0,VLOOKUP(J1235,Foundation_Calc!$A$2:$C$13,3,1),""))</f>
        <v/>
      </c>
      <c r="AX1235" s="449" t="str">
        <f>IF(C1235&gt;0,VLOOKUP(C1235,Foundation_Calc!$E$2:$G$33,3,1),
IF(J1235&gt;0,VLOOKUP(J1235,Foundation_Calc!$E$2:$G$33,3,1),""))</f>
        <v/>
      </c>
      <c r="AY1235" s="10" t="str">
        <f>IF(L1235="","",
IF(AX1235="PT",VLOOKUP(L1235,Foundation_Calc!$K$79:$R$113,VLOOKUP(AW1235,Foundation_Calc!$I$2:$J$8,2,FALSE),0),
IF(AX1235="K",VLOOKUP(L1235,Foundation_Calc!$K$117:$R$151,VLOOKUP(AW1235,Foundation_Calc!$I$2:$J$8,2,FALSE),0),"")))</f>
        <v/>
      </c>
      <c r="AZ1235" s="10" t="str">
        <f>IF(K1235="","",
IF(AX1235="PT",VLOOKUP(K1235,Foundation_Calc!$K$79:$R$113,VLOOKUP(AW1235,Foundation_Calc!$I$2:$J$8,2,FALSE),0),
IF(AX1235="K",VLOOKUP(K1235,Foundation_Calc!$K$117:$R$151,VLOOKUP(AW1235,Foundation_Calc!$I$2:$J$8,2,FALSE),0),"")))</f>
        <v/>
      </c>
      <c r="BA1235" s="495" t="str">
        <f t="shared" ref="BA1235:BA1252" si="147">IF(AY1235="","",IF(AY1235&gt;0,"ü",""))</f>
        <v/>
      </c>
      <c r="BB1235" s="495" t="str">
        <f t="shared" ref="BB1235:BB1252" si="148">IF(AZ1235="","",IF(AZ1235&gt;0,"ü",""))</f>
        <v/>
      </c>
      <c r="BC1235" s="495" t="str">
        <f t="shared" ref="BC1235:BC1252" si="149">IF(M1235="","",IF(M1235="U.S.","ü",IF(M1235="U.S. N.D.","ü","")))</f>
        <v/>
      </c>
      <c r="BD1235" s="513" t="str">
        <f>IF(AND(L1235="",H1235=""),"",
IF(H1235="",Pole_Calc!A$9,
IF(H1235="MP",Pole_Calc!A$10,
IF(H1235="AnMP",Pole_Calc!A$11,
IF(H1235="A",Pole_Calc!A$12,
IF(H1235="S/A",Pole_Calc!A$13,
IF(H1235="A/S",Pole_Calc!A$14,"Poner a mano")))))))</f>
        <v/>
      </c>
      <c r="BE1235" s="429" t="s">
        <v>118</v>
      </c>
      <c r="BF1235" s="290"/>
      <c r="BG1235" s="290"/>
      <c r="BH1235" s="290"/>
      <c r="BI1235" s="290"/>
    </row>
    <row r="1236" spans="1:61" ht="15.6" customHeight="1">
      <c r="A1236" s="514"/>
      <c r="B1236" s="450" t="s">
        <v>907</v>
      </c>
      <c r="C1236" s="3">
        <f>+$C$1234+$G$1235</f>
        <v>60099.199999999983</v>
      </c>
      <c r="D1236" s="83"/>
      <c r="E1236" s="4"/>
      <c r="F1236" s="4">
        <f>IF(C1236&gt;0,VLOOKUP(C1236,'ALIGNMENT TRACK'!$A$1:$K$83,9,1))</f>
        <v>0</v>
      </c>
      <c r="G1236" s="6"/>
      <c r="H1236" s="449"/>
      <c r="I1236" s="4"/>
      <c r="J1236" s="3"/>
      <c r="K1236" s="449"/>
      <c r="L1236" s="449" t="s">
        <v>153</v>
      </c>
      <c r="M1236" s="449" t="str">
        <f>IF(L1236="","",
IF(AX1236="PT",VLOOKUP(L1236,Foundation_Calc!$V$79:$X$113,VLOOKUP(AX1236,Foundation_Calc!$I$10:$J$13,2,FALSE),0),
IF(AX1236="K",VLOOKUP(L1236,Foundation_Calc!$V$117:$X$151,VLOOKUP(AX1236,Foundation_Calc!$I$10:$J$13,2,FALSE),0),"")))</f>
        <v>C3R</v>
      </c>
      <c r="N1236" s="449" t="s">
        <v>134</v>
      </c>
      <c r="O1236" s="449"/>
      <c r="P1236" s="449"/>
      <c r="Q1236" s="4"/>
      <c r="R1236" s="6"/>
      <c r="S1236" s="6"/>
      <c r="T1236" s="4">
        <v>35</v>
      </c>
      <c r="U1236" s="4"/>
      <c r="V1236" s="4"/>
      <c r="W1236" s="9">
        <v>1.4</v>
      </c>
      <c r="X1236" s="9"/>
      <c r="Y1236" s="9"/>
      <c r="Z1236" s="9"/>
      <c r="AA1236" s="9"/>
      <c r="AB1236" s="9"/>
      <c r="AC1236" s="449" t="str">
        <f t="shared" si="146"/>
        <v>PH</v>
      </c>
      <c r="AD1236" s="449"/>
      <c r="AE1236" s="449"/>
      <c r="AF1236" s="4"/>
      <c r="AG1236" s="83"/>
      <c r="AH1236" s="4"/>
      <c r="AI1236" s="4"/>
      <c r="AJ1236" s="449" t="s">
        <v>900</v>
      </c>
      <c r="AK1236" s="449"/>
      <c r="AL1236" s="449"/>
      <c r="AM1236" s="449" t="s">
        <v>126</v>
      </c>
      <c r="AN1236" s="10">
        <v>5.5</v>
      </c>
      <c r="AO1236" s="9"/>
      <c r="AP1236" s="9"/>
      <c r="AQ1236" s="9"/>
      <c r="AR1236" s="9"/>
      <c r="AS1236" s="9"/>
      <c r="AT1236" s="9">
        <f>+ab($T$1236,$T$1234,$T$1238,$G$1235,$G$1237,-1*$F$1236,1200)</f>
        <v>8.2806876517560699</v>
      </c>
      <c r="AU1236" s="428"/>
      <c r="AV1236" s="428"/>
      <c r="AW1236" s="449" t="str">
        <f>IF(C1236&gt;0,VLOOKUP(C1236,Foundation_Calc!$A$2:$C$13,3,1),
IF(J1236&gt;0,VLOOKUP(J1236,Foundation_Calc!$A$2:$C$13,3,1),""))</f>
        <v>Multi Soil</v>
      </c>
      <c r="AX1236" s="449" t="str">
        <f>IF(C1236&gt;0,VLOOKUP(C1236,Foundation_Calc!$E$2:$G$33,3,1),
IF(J1236&gt;0,VLOOKUP(J1236,Foundation_Calc!$E$2:$G$33,3,1),""))</f>
        <v>PT</v>
      </c>
      <c r="AY1236" s="10">
        <f>IF(L1236="","",
IF(AX1236="PT",VLOOKUP(L1236,Foundation_Calc!$K$79:$R$113,VLOOKUP(AW1236,Foundation_Calc!$I$2:$J$8,2,FALSE),0),
IF(AX1236="K",VLOOKUP(L1236,Foundation_Calc!$K$117:$R$151,VLOOKUP(AW1236,Foundation_Calc!$I$2:$J$8,2,FALSE),0),"")))</f>
        <v>3.5</v>
      </c>
      <c r="AZ1236" s="10" t="str">
        <f>IF(K1236="","",
IF(AX1236="PT",VLOOKUP(K1236,Foundation_Calc!$K$79:$R$113,VLOOKUP(AW1236,Foundation_Calc!$I$2:$J$8,2,FALSE),0),
IF(AX1236="K",VLOOKUP(K1236,Foundation_Calc!$K$117:$R$151,VLOOKUP(AW1236,Foundation_Calc!$I$2:$J$8,2,FALSE),0),"")))</f>
        <v/>
      </c>
      <c r="BA1236" s="495" t="str">
        <f t="shared" si="147"/>
        <v>ü</v>
      </c>
      <c r="BB1236" s="495" t="str">
        <f t="shared" si="148"/>
        <v/>
      </c>
      <c r="BC1236" s="495" t="str">
        <f t="shared" si="149"/>
        <v/>
      </c>
      <c r="BD1236" s="513" t="str">
        <f>IF(AND(L1236="",H1236=""),"",
IF(H1236="",Pole_Calc!A$9,
IF(H1236="MP",Pole_Calc!A$10,
IF(H1236="AnMP",Pole_Calc!A$11,
IF(H1236="A",Pole_Calc!A$12,
IF(H1236="S/A",Pole_Calc!A$13,
IF(H1236="A/S",Pole_Calc!A$14,"Poner a mano")))))))</f>
        <v>App.7-V11I-P9.5.1.1</v>
      </c>
      <c r="BE1236" s="429" t="s">
        <v>118</v>
      </c>
      <c r="BF1236" s="289"/>
      <c r="BG1236" s="289"/>
      <c r="BH1236" s="290"/>
      <c r="BI1236" s="289"/>
    </row>
    <row r="1237" spans="1:61" ht="15.6" customHeight="1">
      <c r="A1237" s="514"/>
      <c r="B1237" s="450"/>
      <c r="C1237" s="3"/>
      <c r="D1237" s="83"/>
      <c r="E1237" s="4"/>
      <c r="F1237" s="4"/>
      <c r="G1237" s="6">
        <v>61.7</v>
      </c>
      <c r="H1237" s="449"/>
      <c r="I1237" s="4"/>
      <c r="J1237" s="3">
        <f>C1238-7.5</f>
        <v>60153.39999999998</v>
      </c>
      <c r="K1237" s="449" t="s">
        <v>166</v>
      </c>
      <c r="L1237" s="449"/>
      <c r="M1237" s="449" t="str">
        <f>IF(L1237="","",
IF(AX1237="PT",VLOOKUP(L1237,Foundation_Calc!$V$79:$X$113,VLOOKUP(AX1237,Foundation_Calc!$I$10:$J$13,2,FALSE),0),
IF(AX1237="K",VLOOKUP(L1237,Foundation_Calc!$V$117:$X$151,VLOOKUP(AX1237,Foundation_Calc!$I$10:$J$13,2,FALSE),0),"")))</f>
        <v/>
      </c>
      <c r="N1237" s="449"/>
      <c r="O1237" s="449"/>
      <c r="P1237" s="449"/>
      <c r="Q1237" s="4"/>
      <c r="R1237" s="6"/>
      <c r="S1237" s="6"/>
      <c r="T1237" s="4"/>
      <c r="U1237" s="4"/>
      <c r="V1237" s="4"/>
      <c r="W1237" s="9"/>
      <c r="X1237" s="9"/>
      <c r="Y1237" s="9"/>
      <c r="Z1237" s="9"/>
      <c r="AA1237" s="9"/>
      <c r="AB1237" s="9"/>
      <c r="AC1237" s="449" t="str">
        <f t="shared" si="146"/>
        <v/>
      </c>
      <c r="AD1237" s="449"/>
      <c r="AE1237" s="449"/>
      <c r="AF1237" s="4"/>
      <c r="AG1237" s="83"/>
      <c r="AH1237" s="4"/>
      <c r="AI1237" s="4"/>
      <c r="AJ1237" s="449"/>
      <c r="AK1237" s="449"/>
      <c r="AL1237" s="449"/>
      <c r="AM1237" s="449"/>
      <c r="AN1237" s="10"/>
      <c r="AO1237" s="9"/>
      <c r="AP1237" s="9"/>
      <c r="AQ1237" s="9">
        <f>+FL_1($T$1238,$T$1236,$G$1237,1200,9.28,-1*$F$1238)</f>
        <v>0.45121961847217723</v>
      </c>
      <c r="AR1237" s="9"/>
      <c r="AS1237" s="9"/>
      <c r="AT1237" s="9"/>
      <c r="AU1237" s="428"/>
      <c r="AV1237" s="428"/>
      <c r="AW1237" s="449" t="str">
        <f>IF(C1237&gt;0,VLOOKUP(C1237,Foundation_Calc!$A$2:$C$13,3,1),
IF(J1237&gt;0,VLOOKUP(J1237,Foundation_Calc!$A$2:$C$13,3,1),""))</f>
        <v>Multi Soil</v>
      </c>
      <c r="AX1237" s="449" t="str">
        <f>IF(C1237&gt;0,VLOOKUP(C1237,Foundation_Calc!$E$2:$G$33,3,1),
IF(J1237&gt;0,VLOOKUP(J1237,Foundation_Calc!$E$2:$G$33,3,1),""))</f>
        <v>PT</v>
      </c>
      <c r="AY1237" s="10" t="str">
        <f>IF(L1237="","",
IF(AX1237="PT",VLOOKUP(L1237,Foundation_Calc!$K$79:$R$113,VLOOKUP(AW1237,Foundation_Calc!$I$2:$J$8,2,FALSE),0),
IF(AX1237="K",VLOOKUP(L1237,Foundation_Calc!$K$117:$R$151,VLOOKUP(AW1237,Foundation_Calc!$I$2:$J$8,2,FALSE),0),"")))</f>
        <v/>
      </c>
      <c r="AZ1237" s="10">
        <f>IF(K1237="","",
IF(AX1237="PT",VLOOKUP(K1237,Foundation_Calc!$K$79:$R$113,VLOOKUP(AW1237,Foundation_Calc!$I$2:$J$8,2,FALSE),0),
IF(AX1237="K",VLOOKUP(K1237,Foundation_Calc!$K$117:$R$151,VLOOKUP(AW1237,Foundation_Calc!$I$2:$J$8,2,FALSE),0),"")))</f>
        <v>2.8</v>
      </c>
      <c r="BA1237" s="495" t="str">
        <f t="shared" si="147"/>
        <v/>
      </c>
      <c r="BB1237" s="495" t="str">
        <f t="shared" si="148"/>
        <v>ü</v>
      </c>
      <c r="BC1237" s="495" t="str">
        <f t="shared" si="149"/>
        <v/>
      </c>
      <c r="BD1237" s="513" t="str">
        <f>IF(AND(L1237="",H1237=""),"",
IF(H1237="",Pole_Calc!A$9,
IF(H1237="MP",Pole_Calc!A$10,
IF(H1237="AnMP",Pole_Calc!A$11,
IF(H1237="A",Pole_Calc!A$12,
IF(H1237="S/A",Pole_Calc!A$13,
IF(H1237="A/S",Pole_Calc!A$14,"Poner a mano")))))))</f>
        <v/>
      </c>
      <c r="BE1237" s="429" t="s">
        <v>118</v>
      </c>
      <c r="BF1237" s="290"/>
      <c r="BG1237" s="290"/>
      <c r="BH1237" s="290"/>
      <c r="BI1237" s="290"/>
    </row>
    <row r="1238" spans="1:61" ht="15.6" customHeight="1">
      <c r="A1238" s="514"/>
      <c r="B1238" s="450" t="s">
        <v>908</v>
      </c>
      <c r="C1238" s="3">
        <f>+$C$1236+$G$1237</f>
        <v>60160.89999999998</v>
      </c>
      <c r="D1238" s="83"/>
      <c r="E1238" s="4"/>
      <c r="F1238" s="4">
        <f>IF(C1238&gt;0,VLOOKUP(C1238,'ALIGNMENT TRACK'!$A$1:$K$83,9,1))</f>
        <v>0</v>
      </c>
      <c r="G1238" s="6"/>
      <c r="H1238" s="449" t="s">
        <v>168</v>
      </c>
      <c r="I1238" s="4"/>
      <c r="J1238" s="3"/>
      <c r="K1238" s="449"/>
      <c r="L1238" s="449" t="s">
        <v>158</v>
      </c>
      <c r="M1238" s="449" t="str">
        <f>IF(L1238="","",
IF(AX1238="PT",VLOOKUP(L1238,Foundation_Calc!$V$79:$X$113,VLOOKUP(AX1238,Foundation_Calc!$I$10:$J$13,2,FALSE),0),
IF(AX1238="K",VLOOKUP(L1238,Foundation_Calc!$V$117:$X$151,VLOOKUP(AX1238,Foundation_Calc!$I$10:$J$13,2,FALSE),0),"")))</f>
        <v>C4R</v>
      </c>
      <c r="N1238" s="449" t="s">
        <v>124</v>
      </c>
      <c r="O1238" s="449"/>
      <c r="P1238" s="449"/>
      <c r="Q1238" s="4"/>
      <c r="R1238" s="6"/>
      <c r="S1238" s="6"/>
      <c r="T1238" s="4">
        <v>-35</v>
      </c>
      <c r="U1238" s="4"/>
      <c r="V1238" s="4"/>
      <c r="W1238" s="9">
        <v>1.4</v>
      </c>
      <c r="X1238" s="9"/>
      <c r="Y1238" s="9"/>
      <c r="Z1238" s="9"/>
      <c r="AA1238" s="9"/>
      <c r="AB1238" s="9"/>
      <c r="AC1238" s="449" t="str">
        <f t="shared" si="146"/>
        <v>PH</v>
      </c>
      <c r="AD1238" s="449"/>
      <c r="AE1238" s="449"/>
      <c r="AF1238" s="4"/>
      <c r="AG1238" s="83"/>
      <c r="AH1238" s="4"/>
      <c r="AI1238" s="4"/>
      <c r="AJ1238" s="449" t="s">
        <v>900</v>
      </c>
      <c r="AK1238" s="449"/>
      <c r="AL1238" s="449"/>
      <c r="AM1238" s="449" t="s">
        <v>126</v>
      </c>
      <c r="AN1238" s="10">
        <v>5.5</v>
      </c>
      <c r="AO1238" s="9"/>
      <c r="AP1238" s="9"/>
      <c r="AQ1238" s="9"/>
      <c r="AR1238" s="9"/>
      <c r="AS1238" s="9"/>
      <c r="AT1238" s="9">
        <f>+ab($T$1238,$T$1236,$T$1240,$G$1237,$G$1239,-1*$F$1238,1200)</f>
        <v>-8.416452779160764</v>
      </c>
      <c r="AU1238" s="428"/>
      <c r="AV1238" s="428"/>
      <c r="AW1238" s="449" t="str">
        <f>IF(C1238&gt;0,VLOOKUP(C1238,Foundation_Calc!$A$2:$C$13,3,1),
IF(J1238&gt;0,VLOOKUP(J1238,Foundation_Calc!$A$2:$C$13,3,1),""))</f>
        <v>Multi Soil</v>
      </c>
      <c r="AX1238" s="449" t="str">
        <f>IF(C1238&gt;0,VLOOKUP(C1238,Foundation_Calc!$E$2:$G$33,3,1),
IF(J1238&gt;0,VLOOKUP(J1238,Foundation_Calc!$E$2:$G$33,3,1),""))</f>
        <v>PT</v>
      </c>
      <c r="AY1238" s="10">
        <f>IF(L1238="","",
IF(AX1238="PT",VLOOKUP(L1238,Foundation_Calc!$K$79:$R$113,VLOOKUP(AW1238,Foundation_Calc!$I$2:$J$8,2,FALSE),0),
IF(AX1238="K",VLOOKUP(L1238,Foundation_Calc!$K$117:$R$151,VLOOKUP(AW1238,Foundation_Calc!$I$2:$J$8,2,FALSE),0),"")))</f>
        <v>3.5</v>
      </c>
      <c r="AZ1238" s="10" t="str">
        <f>IF(K1238="","",
IF(AX1238="PT",VLOOKUP(K1238,Foundation_Calc!$K$79:$R$113,VLOOKUP(AW1238,Foundation_Calc!$I$2:$J$8,2,FALSE),0),
IF(AX1238="K",VLOOKUP(K1238,Foundation_Calc!$K$117:$R$151,VLOOKUP(AW1238,Foundation_Calc!$I$2:$J$8,2,FALSE),0),"")))</f>
        <v/>
      </c>
      <c r="BA1238" s="495" t="str">
        <f t="shared" si="147"/>
        <v>ü</v>
      </c>
      <c r="BB1238" s="495" t="str">
        <f t="shared" si="148"/>
        <v/>
      </c>
      <c r="BC1238" s="495" t="str">
        <f t="shared" si="149"/>
        <v/>
      </c>
      <c r="BD1238" s="513" t="str">
        <f>IF(AND(L1238="",H1238=""),"",
IF(H1238="",Pole_Calc!A$9,
IF(H1238="MP",Pole_Calc!A$10,
IF(H1238="AnMP",Pole_Calc!A$11,
IF(H1238="A",Pole_Calc!A$12,
IF(H1238="S/A",Pole_Calc!A$13,
IF(H1238="A/S",Pole_Calc!A$14,"Poner a mano")))))))</f>
        <v>App.7-V11I-P9.5.1.3</v>
      </c>
      <c r="BE1238" s="429" t="s">
        <v>118</v>
      </c>
      <c r="BF1238" s="289"/>
      <c r="BG1238" s="289"/>
      <c r="BH1238" s="290"/>
      <c r="BI1238" s="289"/>
    </row>
    <row r="1239" spans="1:61" ht="15.6" customHeight="1">
      <c r="A1239" s="514"/>
      <c r="B1239" s="450"/>
      <c r="C1239" s="3"/>
      <c r="D1239" s="83"/>
      <c r="E1239" s="4"/>
      <c r="F1239" s="4"/>
      <c r="G1239" s="6">
        <v>62</v>
      </c>
      <c r="H1239" s="449"/>
      <c r="I1239" s="4">
        <f>SUM(G1213:G1239)-2</f>
        <v>699.7</v>
      </c>
      <c r="J1239" s="3"/>
      <c r="K1239" s="449"/>
      <c r="L1239" s="449"/>
      <c r="M1239" s="449" t="str">
        <f>IF(L1239="","",
IF(AX1239="PT",VLOOKUP(L1239,Foundation_Calc!$V$79:$X$113,VLOOKUP(AX1239,Foundation_Calc!$I$10:$J$13,2,FALSE),0),
IF(AX1239="K",VLOOKUP(L1239,Foundation_Calc!$V$117:$X$151,VLOOKUP(AX1239,Foundation_Calc!$I$10:$J$13,2,FALSE),0),"")))</f>
        <v/>
      </c>
      <c r="N1239" s="449"/>
      <c r="O1239" s="449"/>
      <c r="P1239" s="449"/>
      <c r="Q1239" s="4"/>
      <c r="R1239" s="6"/>
      <c r="S1239" s="6"/>
      <c r="T1239" s="4"/>
      <c r="U1239" s="4"/>
      <c r="V1239" s="4"/>
      <c r="W1239" s="9"/>
      <c r="X1239" s="9"/>
      <c r="Y1239" s="9"/>
      <c r="Z1239" s="9"/>
      <c r="AA1239" s="9"/>
      <c r="AB1239" s="9"/>
      <c r="AC1239" s="449" t="str">
        <f t="shared" si="146"/>
        <v/>
      </c>
      <c r="AD1239" s="449"/>
      <c r="AE1239" s="449"/>
      <c r="AF1239" s="4"/>
      <c r="AG1239" s="83"/>
      <c r="AH1239" s="4"/>
      <c r="AI1239" s="4"/>
      <c r="AJ1239" s="449"/>
      <c r="AK1239" s="449"/>
      <c r="AL1239" s="449"/>
      <c r="AM1239" s="449"/>
      <c r="AN1239" s="10"/>
      <c r="AO1239" s="9"/>
      <c r="AP1239" s="9"/>
      <c r="AQ1239" s="9">
        <f>+FL_1($T$1240,$T$1238,$G$1239,1200,9.28,-1*$F$1240)</f>
        <v>0.45400350967741931</v>
      </c>
      <c r="AR1239" s="9"/>
      <c r="AS1239" s="9"/>
      <c r="AT1239" s="9"/>
      <c r="AU1239" s="428"/>
      <c r="AV1239" s="428"/>
      <c r="AW1239" s="449" t="str">
        <f>IF(C1239&gt;0,VLOOKUP(C1239,Foundation_Calc!$A$2:$C$13,3,1),
IF(J1239&gt;0,VLOOKUP(J1239,Foundation_Calc!$A$2:$C$13,3,1),""))</f>
        <v/>
      </c>
      <c r="AX1239" s="449" t="str">
        <f>IF(C1239&gt;0,VLOOKUP(C1239,Foundation_Calc!$E$2:$G$33,3,1),
IF(J1239&gt;0,VLOOKUP(J1239,Foundation_Calc!$E$2:$G$33,3,1),""))</f>
        <v/>
      </c>
      <c r="AY1239" s="10" t="str">
        <f>IF(L1239="","",
IF(AX1239="PT",VLOOKUP(L1239,Foundation_Calc!$K$79:$R$113,VLOOKUP(AW1239,Foundation_Calc!$I$2:$J$8,2,FALSE),0),
IF(AX1239="K",VLOOKUP(L1239,Foundation_Calc!$K$117:$R$151,VLOOKUP(AW1239,Foundation_Calc!$I$2:$J$8,2,FALSE),0),"")))</f>
        <v/>
      </c>
      <c r="AZ1239" s="10" t="str">
        <f>IF(K1239="","",
IF(AX1239="PT",VLOOKUP(K1239,Foundation_Calc!$K$79:$R$113,VLOOKUP(AW1239,Foundation_Calc!$I$2:$J$8,2,FALSE),0),
IF(AX1239="K",VLOOKUP(K1239,Foundation_Calc!$K$117:$R$151,VLOOKUP(AW1239,Foundation_Calc!$I$2:$J$8,2,FALSE),0),"")))</f>
        <v/>
      </c>
      <c r="BA1239" s="495" t="str">
        <f t="shared" si="147"/>
        <v/>
      </c>
      <c r="BB1239" s="495" t="str">
        <f t="shared" si="148"/>
        <v/>
      </c>
      <c r="BC1239" s="495" t="str">
        <f t="shared" si="149"/>
        <v/>
      </c>
      <c r="BD1239" s="513" t="str">
        <f>IF(AND(L1239="",H1239=""),"",
IF(H1239="",Pole_Calc!A$9,
IF(H1239="MP",Pole_Calc!A$10,
IF(H1239="AnMP",Pole_Calc!A$11,
IF(H1239="A",Pole_Calc!A$12,
IF(H1239="S/A",Pole_Calc!A$13,
IF(H1239="A/S",Pole_Calc!A$14,"Poner a mano")))))))</f>
        <v/>
      </c>
      <c r="BE1239" s="429" t="s">
        <v>118</v>
      </c>
      <c r="BF1239" s="290"/>
      <c r="BG1239" s="290"/>
      <c r="BH1239" s="290"/>
      <c r="BI1239" s="290"/>
    </row>
    <row r="1240" spans="1:61" ht="15.6" customHeight="1">
      <c r="A1240" s="514"/>
      <c r="B1240" s="450" t="s">
        <v>909</v>
      </c>
      <c r="C1240" s="3">
        <f>+$C$1238+$G$1239</f>
        <v>60222.89999999998</v>
      </c>
      <c r="D1240" s="83"/>
      <c r="E1240" s="4"/>
      <c r="F1240" s="4">
        <f>IF(C1240&gt;0,VLOOKUP(C1240,'ALIGNMENT TRACK'!$A$1:$K$83,9,1))</f>
        <v>0</v>
      </c>
      <c r="G1240" s="6"/>
      <c r="H1240" s="449" t="s">
        <v>171</v>
      </c>
      <c r="I1240" s="4"/>
      <c r="J1240" s="3"/>
      <c r="K1240" s="449"/>
      <c r="L1240" s="449" t="s">
        <v>153</v>
      </c>
      <c r="M1240" s="449" t="str">
        <f>IF(L1240="","",
IF(AX1240="PT",VLOOKUP(L1240,Foundation_Calc!$V$79:$X$113,VLOOKUP(AX1240,Foundation_Calc!$I$10:$J$13,2,FALSE),0),
IF(AX1240="K",VLOOKUP(L1240,Foundation_Calc!$V$117:$X$151,VLOOKUP(AX1240,Foundation_Calc!$I$10:$J$13,2,FALSE),0),"")))</f>
        <v>C3R</v>
      </c>
      <c r="N1240" s="449" t="s">
        <v>134</v>
      </c>
      <c r="O1240" s="449"/>
      <c r="P1240" s="449"/>
      <c r="Q1240" s="4"/>
      <c r="R1240" s="6"/>
      <c r="S1240" s="6"/>
      <c r="T1240" s="4">
        <v>35</v>
      </c>
      <c r="U1240" s="4"/>
      <c r="V1240" s="4"/>
      <c r="W1240" s="9">
        <v>1.4</v>
      </c>
      <c r="X1240" s="9"/>
      <c r="Y1240" s="9"/>
      <c r="Z1240" s="9"/>
      <c r="AA1240" s="9"/>
      <c r="AB1240" s="9"/>
      <c r="AC1240" s="449" t="str">
        <f t="shared" si="146"/>
        <v>PH</v>
      </c>
      <c r="AD1240" s="449"/>
      <c r="AE1240" s="449"/>
      <c r="AF1240" s="4"/>
      <c r="AG1240" s="83"/>
      <c r="AH1240" s="4"/>
      <c r="AI1240" s="4"/>
      <c r="AJ1240" s="449" t="s">
        <v>900</v>
      </c>
      <c r="AK1240" s="449"/>
      <c r="AL1240" s="449"/>
      <c r="AM1240" s="449" t="s">
        <v>126</v>
      </c>
      <c r="AN1240" s="10">
        <v>5.5</v>
      </c>
      <c r="AO1240" s="9"/>
      <c r="AP1240" s="9"/>
      <c r="AQ1240" s="9"/>
      <c r="AR1240" s="9"/>
      <c r="AS1240" s="9"/>
      <c r="AT1240" s="9">
        <f>+ab($T$1240,$T$1238,$T$1242,$G$1239,$G$1241,-1*$F$1240,1200)</f>
        <v>8.4365744899000195</v>
      </c>
      <c r="AU1240" s="428"/>
      <c r="AV1240" s="428"/>
      <c r="AW1240" s="449" t="str">
        <f>IF(C1240&gt;0,VLOOKUP(C1240,Foundation_Calc!$A$2:$C$13,3,1),
IF(J1240&gt;0,VLOOKUP(J1240,Foundation_Calc!$A$2:$C$13,3,1),""))</f>
        <v>Multi Soil</v>
      </c>
      <c r="AX1240" s="449" t="str">
        <f>IF(C1240&gt;0,VLOOKUP(C1240,Foundation_Calc!$E$2:$G$33,3,1),
IF(J1240&gt;0,VLOOKUP(J1240,Foundation_Calc!$E$2:$G$33,3,1),""))</f>
        <v>PT</v>
      </c>
      <c r="AY1240" s="10">
        <f>IF(L1240="","",
IF(AX1240="PT",VLOOKUP(L1240,Foundation_Calc!$K$79:$R$113,VLOOKUP(AW1240,Foundation_Calc!$I$2:$J$8,2,FALSE),0),
IF(AX1240="K",VLOOKUP(L1240,Foundation_Calc!$K$117:$R$151,VLOOKUP(AW1240,Foundation_Calc!$I$2:$J$8,2,FALSE),0),"")))</f>
        <v>3.5</v>
      </c>
      <c r="AZ1240" s="10" t="str">
        <f>IF(K1240="","",
IF(AX1240="PT",VLOOKUP(K1240,Foundation_Calc!$K$79:$R$113,VLOOKUP(AW1240,Foundation_Calc!$I$2:$J$8,2,FALSE),0),
IF(AX1240="K",VLOOKUP(K1240,Foundation_Calc!$K$117:$R$151,VLOOKUP(AW1240,Foundation_Calc!$I$2:$J$8,2,FALSE),0),"")))</f>
        <v/>
      </c>
      <c r="BA1240" s="495" t="str">
        <f t="shared" si="147"/>
        <v>ü</v>
      </c>
      <c r="BB1240" s="495" t="str">
        <f t="shared" si="148"/>
        <v/>
      </c>
      <c r="BC1240" s="495" t="str">
        <f t="shared" si="149"/>
        <v/>
      </c>
      <c r="BD1240" s="513" t="str">
        <f>IF(AND(L1240="",H1240=""),"",
IF(H1240="",Pole_Calc!A$9,
IF(H1240="MP",Pole_Calc!A$10,
IF(H1240="AnMP",Pole_Calc!A$11,
IF(H1240="A",Pole_Calc!A$12,
IF(H1240="S/A",Pole_Calc!A$13,
IF(H1240="A/S",Pole_Calc!A$14,"Poner a mano")))))))</f>
        <v>App.7-V11I-P9.5.1.2</v>
      </c>
      <c r="BE1240" s="429" t="s">
        <v>118</v>
      </c>
      <c r="BF1240" s="289"/>
      <c r="BG1240" s="289"/>
      <c r="BH1240" s="290"/>
      <c r="BI1240" s="289"/>
    </row>
    <row r="1241" spans="1:61" ht="15.6" customHeight="1">
      <c r="A1241" s="514"/>
      <c r="B1241" s="450"/>
      <c r="C1241" s="3"/>
      <c r="D1241" s="83"/>
      <c r="E1241" s="4"/>
      <c r="F1241" s="4"/>
      <c r="G1241" s="6">
        <v>62</v>
      </c>
      <c r="H1241" s="449"/>
      <c r="I1241" s="4">
        <f>SUM(G1241:G1271)-50</f>
        <v>687</v>
      </c>
      <c r="J1241" s="3"/>
      <c r="K1241" s="449"/>
      <c r="L1241" s="449"/>
      <c r="M1241" s="449" t="str">
        <f>IF(L1241="","",
IF(AX1241="PT",VLOOKUP(L1241,Foundation_Calc!$V$79:$X$113,VLOOKUP(AX1241,Foundation_Calc!$I$10:$J$13,2,FALSE),0),
IF(AX1241="K",VLOOKUP(L1241,Foundation_Calc!$V$117:$X$151,VLOOKUP(AX1241,Foundation_Calc!$I$10:$J$13,2,FALSE),0),"")))</f>
        <v/>
      </c>
      <c r="N1241" s="449"/>
      <c r="O1241" s="449"/>
      <c r="P1241" s="449"/>
      <c r="Q1241" s="4"/>
      <c r="R1241" s="6"/>
      <c r="S1241" s="6"/>
      <c r="T1241" s="4"/>
      <c r="U1241" s="4"/>
      <c r="V1241" s="4"/>
      <c r="W1241" s="9"/>
      <c r="X1241" s="9"/>
      <c r="Y1241" s="9"/>
      <c r="Z1241" s="9"/>
      <c r="AA1241" s="9"/>
      <c r="AB1241" s="9"/>
      <c r="AC1241" s="449" t="str">
        <f t="shared" si="146"/>
        <v/>
      </c>
      <c r="AD1241" s="449"/>
      <c r="AE1241" s="449"/>
      <c r="AF1241" s="4"/>
      <c r="AG1241" s="83"/>
      <c r="AH1241" s="4"/>
      <c r="AI1241" s="4"/>
      <c r="AJ1241" s="449"/>
      <c r="AK1241" s="449"/>
      <c r="AL1241" s="449"/>
      <c r="AM1241" s="449"/>
      <c r="AN1241" s="10"/>
      <c r="AO1241" s="9"/>
      <c r="AP1241" s="9"/>
      <c r="AQ1241" s="9">
        <f>+FL_2($T$1242,$T$1240,$G$1241,1200,9.28,-1*$F$1242)</f>
        <v>-0.45400350967741931</v>
      </c>
      <c r="AR1241" s="9"/>
      <c r="AS1241" s="9"/>
      <c r="AT1241" s="9"/>
      <c r="AU1241" s="428"/>
      <c r="AV1241" s="428"/>
      <c r="AW1241" s="449" t="str">
        <f>IF(C1241&gt;0,VLOOKUP(C1241,Foundation_Calc!$A$2:$C$13,3,1),
IF(J1241&gt;0,VLOOKUP(J1241,Foundation_Calc!$A$2:$C$13,3,1),""))</f>
        <v/>
      </c>
      <c r="AX1241" s="449" t="str">
        <f>IF(C1241&gt;0,VLOOKUP(C1241,Foundation_Calc!$E$2:$G$33,3,1),
IF(J1241&gt;0,VLOOKUP(J1241,Foundation_Calc!$E$2:$G$33,3,1),""))</f>
        <v/>
      </c>
      <c r="AY1241" s="10" t="str">
        <f>IF(L1241="","",
IF(AX1241="PT",VLOOKUP(L1241,Foundation_Calc!$K$79:$R$113,VLOOKUP(AW1241,Foundation_Calc!$I$2:$J$8,2,FALSE),0),
IF(AX1241="K",VLOOKUP(L1241,Foundation_Calc!$K$117:$R$151,VLOOKUP(AW1241,Foundation_Calc!$I$2:$J$8,2,FALSE),0),"")))</f>
        <v/>
      </c>
      <c r="AZ1241" s="10" t="str">
        <f>IF(K1241="","",
IF(AX1241="PT",VLOOKUP(K1241,Foundation_Calc!$K$79:$R$113,VLOOKUP(AW1241,Foundation_Calc!$I$2:$J$8,2,FALSE),0),
IF(AX1241="K",VLOOKUP(K1241,Foundation_Calc!$K$117:$R$151,VLOOKUP(AW1241,Foundation_Calc!$I$2:$J$8,2,FALSE),0),"")))</f>
        <v/>
      </c>
      <c r="BA1241" s="495" t="str">
        <f t="shared" si="147"/>
        <v/>
      </c>
      <c r="BB1241" s="495" t="str">
        <f t="shared" si="148"/>
        <v/>
      </c>
      <c r="BC1241" s="495" t="str">
        <f t="shared" si="149"/>
        <v/>
      </c>
      <c r="BD1241" s="513" t="str">
        <f>IF(AND(L1241="",H1241=""),"",
IF(H1241="",Pole_Calc!A$9,
IF(H1241="MP",Pole_Calc!A$10,
IF(H1241="AnMP",Pole_Calc!A$11,
IF(H1241="A",Pole_Calc!A$12,
IF(H1241="S/A",Pole_Calc!A$13,
IF(H1241="A/S",Pole_Calc!A$14,"Poner a mano")))))))</f>
        <v/>
      </c>
      <c r="BE1241" s="429" t="s">
        <v>118</v>
      </c>
      <c r="BF1241" s="290"/>
      <c r="BG1241" s="290"/>
      <c r="BH1241" s="290"/>
      <c r="BI1241" s="290"/>
    </row>
    <row r="1242" spans="1:61" ht="15.6" customHeight="1">
      <c r="A1242" s="514"/>
      <c r="B1242" s="450" t="s">
        <v>910</v>
      </c>
      <c r="C1242" s="3">
        <f>+$C$1240+$G$1241</f>
        <v>60284.89999999998</v>
      </c>
      <c r="D1242" s="83"/>
      <c r="E1242" s="4"/>
      <c r="F1242" s="4">
        <f>IF(C1242&gt;0,VLOOKUP(C1242,'ALIGNMENT TRACK'!$A$1:$K$83,9,1))</f>
        <v>0</v>
      </c>
      <c r="G1242" s="6"/>
      <c r="H1242" s="449" t="s">
        <v>168</v>
      </c>
      <c r="I1242" s="4"/>
      <c r="J1242" s="3"/>
      <c r="K1242" s="449"/>
      <c r="L1242" s="449" t="s">
        <v>158</v>
      </c>
      <c r="M1242" s="449" t="str">
        <f>IF(L1242="","",
IF(AX1242="PT",VLOOKUP(L1242,Foundation_Calc!$V$79:$X$113,VLOOKUP(AX1242,Foundation_Calc!$I$10:$J$13,2,FALSE),0),
IF(AX1242="K",VLOOKUP(L1242,Foundation_Calc!$V$117:$X$151,VLOOKUP(AX1242,Foundation_Calc!$I$10:$J$13,2,FALSE),0),"")))</f>
        <v>C4R</v>
      </c>
      <c r="N1242" s="449" t="s">
        <v>124</v>
      </c>
      <c r="O1242" s="449"/>
      <c r="P1242" s="449"/>
      <c r="Q1242" s="4"/>
      <c r="R1242" s="6"/>
      <c r="S1242" s="6"/>
      <c r="T1242" s="4">
        <v>-35</v>
      </c>
      <c r="U1242" s="4"/>
      <c r="V1242" s="4"/>
      <c r="W1242" s="9">
        <v>1.4</v>
      </c>
      <c r="X1242" s="9"/>
      <c r="Y1242" s="9"/>
      <c r="Z1242" s="9"/>
      <c r="AA1242" s="9"/>
      <c r="AB1242" s="9"/>
      <c r="AC1242" s="449" t="str">
        <f t="shared" si="146"/>
        <v>PH</v>
      </c>
      <c r="AD1242" s="449"/>
      <c r="AE1242" s="449"/>
      <c r="AF1242" s="4"/>
      <c r="AG1242" s="83"/>
      <c r="AH1242" s="4"/>
      <c r="AI1242" s="4"/>
      <c r="AJ1242" s="449" t="s">
        <v>900</v>
      </c>
      <c r="AK1242" s="449"/>
      <c r="AL1242" s="449"/>
      <c r="AM1242" s="449" t="s">
        <v>126</v>
      </c>
      <c r="AN1242" s="10">
        <v>5.5</v>
      </c>
      <c r="AO1242" s="9"/>
      <c r="AP1242" s="9"/>
      <c r="AQ1242" s="9"/>
      <c r="AR1242" s="9"/>
      <c r="AS1242" s="9"/>
      <c r="AT1242" s="9">
        <f>+ab($T$1242,$T$1240,$T$1244,$G$1241,$G$1243,-1*$F$1242,1200)</f>
        <v>-8.4366201521118445</v>
      </c>
      <c r="AU1242" s="428"/>
      <c r="AV1242" s="428"/>
      <c r="AW1242" s="449" t="str">
        <f>IF(C1242&gt;0,VLOOKUP(C1242,Foundation_Calc!$A$2:$C$13,3,1),
IF(J1242&gt;0,VLOOKUP(J1242,Foundation_Calc!$A$2:$C$13,3,1),""))</f>
        <v>Multi Soil</v>
      </c>
      <c r="AX1242" s="449" t="str">
        <f>IF(C1242&gt;0,VLOOKUP(C1242,Foundation_Calc!$E$2:$G$33,3,1),
IF(J1242&gt;0,VLOOKUP(J1242,Foundation_Calc!$E$2:$G$33,3,1),""))</f>
        <v>PT</v>
      </c>
      <c r="AY1242" s="10">
        <f>IF(L1242="","",
IF(AX1242="PT",VLOOKUP(L1242,Foundation_Calc!$K$79:$R$113,VLOOKUP(AW1242,Foundation_Calc!$I$2:$J$8,2,FALSE),0),
IF(AX1242="K",VLOOKUP(L1242,Foundation_Calc!$K$117:$R$151,VLOOKUP(AW1242,Foundation_Calc!$I$2:$J$8,2,FALSE),0),"")))</f>
        <v>3.5</v>
      </c>
      <c r="AZ1242" s="10" t="str">
        <f>IF(K1242="","",
IF(AX1242="PT",VLOOKUP(K1242,Foundation_Calc!$K$79:$R$113,VLOOKUP(AW1242,Foundation_Calc!$I$2:$J$8,2,FALSE),0),
IF(AX1242="K",VLOOKUP(K1242,Foundation_Calc!$K$117:$R$151,VLOOKUP(AW1242,Foundation_Calc!$I$2:$J$8,2,FALSE),0),"")))</f>
        <v/>
      </c>
      <c r="BA1242" s="495" t="str">
        <f t="shared" si="147"/>
        <v>ü</v>
      </c>
      <c r="BB1242" s="495" t="str">
        <f t="shared" si="148"/>
        <v/>
      </c>
      <c r="BC1242" s="495" t="str">
        <f t="shared" si="149"/>
        <v/>
      </c>
      <c r="BD1242" s="513" t="str">
        <f>IF(AND(L1242="",H1242=""),"",
IF(H1242="",Pole_Calc!A$9,
IF(H1242="MP",Pole_Calc!A$10,
IF(H1242="AnMP",Pole_Calc!A$11,
IF(H1242="A",Pole_Calc!A$12,
IF(H1242="S/A",Pole_Calc!A$13,
IF(H1242="A/S",Pole_Calc!A$14,"Poner a mano")))))))</f>
        <v>App.7-V11I-P9.5.1.3</v>
      </c>
      <c r="BE1242" s="429" t="s">
        <v>118</v>
      </c>
      <c r="BF1242" s="289"/>
      <c r="BG1242" s="289"/>
      <c r="BH1242" s="290"/>
      <c r="BI1242" s="289"/>
    </row>
    <row r="1243" spans="1:61" ht="15.6" customHeight="1">
      <c r="A1243" s="514"/>
      <c r="B1243" s="450"/>
      <c r="C1243" s="3"/>
      <c r="D1243" s="83"/>
      <c r="E1243" s="4"/>
      <c r="F1243" s="4"/>
      <c r="G1243" s="6">
        <v>62</v>
      </c>
      <c r="H1243" s="449"/>
      <c r="I1243" s="4"/>
      <c r="J1243" s="3">
        <f>C1242+7.5</f>
        <v>60292.39999999998</v>
      </c>
      <c r="K1243" s="449" t="s">
        <v>166</v>
      </c>
      <c r="L1243" s="449"/>
      <c r="M1243" s="449" t="str">
        <f>IF(L1243="","",
IF(AX1243="PT",VLOOKUP(L1243,Foundation_Calc!$V$79:$X$113,VLOOKUP(AX1243,Foundation_Calc!$I$10:$J$13,2,FALSE),0),
IF(AX1243="K",VLOOKUP(L1243,Foundation_Calc!$V$117:$X$151,VLOOKUP(AX1243,Foundation_Calc!$I$10:$J$13,2,FALSE),0),"")))</f>
        <v/>
      </c>
      <c r="N1243" s="449"/>
      <c r="O1243" s="449"/>
      <c r="P1243" s="449"/>
      <c r="Q1243" s="4"/>
      <c r="R1243" s="6"/>
      <c r="S1243" s="6"/>
      <c r="T1243" s="4"/>
      <c r="U1243" s="4"/>
      <c r="V1243" s="4"/>
      <c r="W1243" s="9"/>
      <c r="X1243" s="9"/>
      <c r="Y1243" s="9"/>
      <c r="Z1243" s="9"/>
      <c r="AA1243" s="9"/>
      <c r="AB1243" s="9"/>
      <c r="AC1243" s="449" t="str">
        <f t="shared" si="146"/>
        <v/>
      </c>
      <c r="AD1243" s="449"/>
      <c r="AE1243" s="449"/>
      <c r="AF1243" s="4"/>
      <c r="AG1243" s="83"/>
      <c r="AH1243" s="4"/>
      <c r="AI1243" s="4"/>
      <c r="AJ1243" s="449"/>
      <c r="AK1243" s="449"/>
      <c r="AL1243" s="449"/>
      <c r="AM1243" s="449"/>
      <c r="AN1243" s="10"/>
      <c r="AO1243" s="9"/>
      <c r="AP1243" s="9"/>
      <c r="AQ1243" s="9">
        <f>+FL_1($T$1244,$T$1242,$G$1243,1200,9.28,-1*$F$1244)</f>
        <v>0.45400350967741931</v>
      </c>
      <c r="AR1243" s="9"/>
      <c r="AS1243" s="9"/>
      <c r="AT1243" s="9"/>
      <c r="AU1243" s="428"/>
      <c r="AV1243" s="428"/>
      <c r="AW1243" s="449" t="str">
        <f>IF(C1243&gt;0,VLOOKUP(C1243,Foundation_Calc!$A$2:$C$13,3,1),
IF(J1243&gt;0,VLOOKUP(J1243,Foundation_Calc!$A$2:$C$13,3,1),""))</f>
        <v>Multi Soil</v>
      </c>
      <c r="AX1243" s="449" t="str">
        <f>IF(C1243&gt;0,VLOOKUP(C1243,Foundation_Calc!$E$2:$G$33,3,1),
IF(J1243&gt;0,VLOOKUP(J1243,Foundation_Calc!$E$2:$G$33,3,1),""))</f>
        <v>PT</v>
      </c>
      <c r="AY1243" s="10" t="str">
        <f>IF(L1243="","",
IF(AX1243="PT",VLOOKUP(L1243,Foundation_Calc!$K$79:$R$113,VLOOKUP(AW1243,Foundation_Calc!$I$2:$J$8,2,FALSE),0),
IF(AX1243="K",VLOOKUP(L1243,Foundation_Calc!$K$117:$R$151,VLOOKUP(AW1243,Foundation_Calc!$I$2:$J$8,2,FALSE),0),"")))</f>
        <v/>
      </c>
      <c r="AZ1243" s="10">
        <f>IF(K1243="","",
IF(AX1243="PT",VLOOKUP(K1243,Foundation_Calc!$K$79:$R$113,VLOOKUP(AW1243,Foundation_Calc!$I$2:$J$8,2,FALSE),0),
IF(AX1243="K",VLOOKUP(K1243,Foundation_Calc!$K$117:$R$151,VLOOKUP(AW1243,Foundation_Calc!$I$2:$J$8,2,FALSE),0),"")))</f>
        <v>2.8</v>
      </c>
      <c r="BA1243" s="495" t="str">
        <f t="shared" si="147"/>
        <v/>
      </c>
      <c r="BB1243" s="495" t="str">
        <f t="shared" si="148"/>
        <v>ü</v>
      </c>
      <c r="BC1243" s="495" t="str">
        <f t="shared" si="149"/>
        <v/>
      </c>
      <c r="BD1243" s="513" t="str">
        <f>IF(AND(L1243="",H1243=""),"",
IF(H1243="",Pole_Calc!A$9,
IF(H1243="MP",Pole_Calc!A$10,
IF(H1243="AnMP",Pole_Calc!A$11,
IF(H1243="A",Pole_Calc!A$12,
IF(H1243="S/A",Pole_Calc!A$13,
IF(H1243="A/S",Pole_Calc!A$14,"Poner a mano")))))))</f>
        <v/>
      </c>
      <c r="BE1243" s="429" t="s">
        <v>118</v>
      </c>
      <c r="BF1243" s="290"/>
      <c r="BG1243" s="290"/>
      <c r="BH1243" s="290"/>
      <c r="BI1243" s="290"/>
    </row>
    <row r="1244" spans="1:61" ht="15.6" customHeight="1">
      <c r="A1244" s="514"/>
      <c r="B1244" s="450" t="s">
        <v>911</v>
      </c>
      <c r="C1244" s="3">
        <f>+$C$1242+$G$1243</f>
        <v>60346.89999999998</v>
      </c>
      <c r="D1244" s="83"/>
      <c r="E1244" s="4"/>
      <c r="F1244" s="4">
        <f>IF(C1244&gt;0,VLOOKUP(C1244,'ALIGNMENT TRACK'!$A$1:$K$83,9,1))</f>
        <v>0</v>
      </c>
      <c r="G1244" s="6"/>
      <c r="H1244" s="449"/>
      <c r="I1244" s="4"/>
      <c r="J1244" s="3"/>
      <c r="K1244" s="449"/>
      <c r="L1244" s="449" t="s">
        <v>153</v>
      </c>
      <c r="M1244" s="449" t="str">
        <f>IF(L1244="","",
IF(AX1244="PT",VLOOKUP(L1244,Foundation_Calc!$V$79:$X$113,VLOOKUP(AX1244,Foundation_Calc!$I$10:$J$13,2,FALSE),0),
IF(AX1244="K",VLOOKUP(L1244,Foundation_Calc!$V$117:$X$151,VLOOKUP(AX1244,Foundation_Calc!$I$10:$J$13,2,FALSE),0),"")))</f>
        <v>C3R</v>
      </c>
      <c r="N1244" s="449" t="s">
        <v>134</v>
      </c>
      <c r="O1244" s="449"/>
      <c r="P1244" s="449"/>
      <c r="Q1244" s="4"/>
      <c r="R1244" s="6"/>
      <c r="S1244" s="6"/>
      <c r="T1244" s="4">
        <v>35</v>
      </c>
      <c r="U1244" s="4"/>
      <c r="V1244" s="4"/>
      <c r="W1244" s="9">
        <v>1.4</v>
      </c>
      <c r="X1244" s="9"/>
      <c r="Y1244" s="9"/>
      <c r="Z1244" s="9"/>
      <c r="AA1244" s="9"/>
      <c r="AB1244" s="9"/>
      <c r="AC1244" s="449" t="str">
        <f t="shared" si="146"/>
        <v>PH</v>
      </c>
      <c r="AD1244" s="449"/>
      <c r="AE1244" s="449"/>
      <c r="AF1244" s="4"/>
      <c r="AG1244" s="83"/>
      <c r="AH1244" s="4"/>
      <c r="AI1244" s="4"/>
      <c r="AJ1244" s="449" t="s">
        <v>900</v>
      </c>
      <c r="AK1244" s="449"/>
      <c r="AL1244" s="449"/>
      <c r="AM1244" s="449" t="s">
        <v>126</v>
      </c>
      <c r="AN1244" s="10">
        <v>5.5</v>
      </c>
      <c r="AO1244" s="9"/>
      <c r="AP1244" s="9"/>
      <c r="AQ1244" s="9"/>
      <c r="AR1244" s="9"/>
      <c r="AS1244" s="9"/>
      <c r="AT1244" s="9">
        <f>+ab($T$1244,$T$1242,$T$1246,$G$1243,$G$1245,-1*$F$1244,1200)</f>
        <v>8.4365744899000195</v>
      </c>
      <c r="AU1244" s="428"/>
      <c r="AV1244" s="428"/>
      <c r="AW1244" s="449" t="str">
        <f>IF(C1244&gt;0,VLOOKUP(C1244,Foundation_Calc!$A$2:$C$13,3,1),
IF(J1244&gt;0,VLOOKUP(J1244,Foundation_Calc!$A$2:$C$13,3,1),""))</f>
        <v>Multi Soil</v>
      </c>
      <c r="AX1244" s="449" t="str">
        <f>IF(C1244&gt;0,VLOOKUP(C1244,Foundation_Calc!$E$2:$G$33,3,1),
IF(J1244&gt;0,VLOOKUP(J1244,Foundation_Calc!$E$2:$G$33,3,1),""))</f>
        <v>PT</v>
      </c>
      <c r="AY1244" s="10">
        <f>IF(L1244="","",
IF(AX1244="PT",VLOOKUP(L1244,Foundation_Calc!$K$79:$R$113,VLOOKUP(AW1244,Foundation_Calc!$I$2:$J$8,2,FALSE),0),
IF(AX1244="K",VLOOKUP(L1244,Foundation_Calc!$K$117:$R$151,VLOOKUP(AW1244,Foundation_Calc!$I$2:$J$8,2,FALSE),0),"")))</f>
        <v>3.5</v>
      </c>
      <c r="AZ1244" s="10" t="str">
        <f>IF(K1244="","",
IF(AX1244="PT",VLOOKUP(K1244,Foundation_Calc!$K$79:$R$113,VLOOKUP(AW1244,Foundation_Calc!$I$2:$J$8,2,FALSE),0),
IF(AX1244="K",VLOOKUP(K1244,Foundation_Calc!$K$117:$R$151,VLOOKUP(AW1244,Foundation_Calc!$I$2:$J$8,2,FALSE),0),"")))</f>
        <v/>
      </c>
      <c r="BA1244" s="495" t="str">
        <f t="shared" si="147"/>
        <v>ü</v>
      </c>
      <c r="BB1244" s="495" t="str">
        <f t="shared" si="148"/>
        <v/>
      </c>
      <c r="BC1244" s="495" t="str">
        <f t="shared" si="149"/>
        <v/>
      </c>
      <c r="BD1244" s="513" t="str">
        <f>IF(AND(L1244="",H1244=""),"",
IF(H1244="",Pole_Calc!A$9,
IF(H1244="MP",Pole_Calc!A$10,
IF(H1244="AnMP",Pole_Calc!A$11,
IF(H1244="A",Pole_Calc!A$12,
IF(H1244="S/A",Pole_Calc!A$13,
IF(H1244="A/S",Pole_Calc!A$14,"Poner a mano")))))))</f>
        <v>App.7-V11I-P9.5.1.1</v>
      </c>
      <c r="BE1244" s="429" t="s">
        <v>118</v>
      </c>
      <c r="BF1244" s="289"/>
      <c r="BG1244" s="289"/>
      <c r="BH1244" s="290"/>
      <c r="BI1244" s="289"/>
    </row>
    <row r="1245" spans="1:61" ht="15.6" customHeight="1">
      <c r="A1245" s="514"/>
      <c r="B1245" s="450"/>
      <c r="C1245" s="3"/>
      <c r="D1245" s="83"/>
      <c r="E1245" s="4"/>
      <c r="F1245" s="4"/>
      <c r="G1245" s="6">
        <v>62</v>
      </c>
      <c r="H1245" s="449"/>
      <c r="I1245" s="4"/>
      <c r="J1245" s="3"/>
      <c r="K1245" s="449"/>
      <c r="L1245" s="449"/>
      <c r="M1245" s="449" t="str">
        <f>IF(L1245="","",
IF(AX1245="PT",VLOOKUP(L1245,Foundation_Calc!$V$79:$X$113,VLOOKUP(AX1245,Foundation_Calc!$I$10:$J$13,2,FALSE),0),
IF(AX1245="K",VLOOKUP(L1245,Foundation_Calc!$V$117:$X$151,VLOOKUP(AX1245,Foundation_Calc!$I$10:$J$13,2,FALSE),0),"")))</f>
        <v/>
      </c>
      <c r="N1245" s="449"/>
      <c r="O1245" s="449"/>
      <c r="P1245" s="449"/>
      <c r="Q1245" s="4"/>
      <c r="R1245" s="6"/>
      <c r="S1245" s="6"/>
      <c r="T1245" s="4"/>
      <c r="U1245" s="4"/>
      <c r="V1245" s="4"/>
      <c r="W1245" s="9"/>
      <c r="X1245" s="9"/>
      <c r="Y1245" s="9"/>
      <c r="Z1245" s="9"/>
      <c r="AA1245" s="9"/>
      <c r="AB1245" s="9"/>
      <c r="AC1245" s="449" t="str">
        <f t="shared" si="146"/>
        <v/>
      </c>
      <c r="AD1245" s="449"/>
      <c r="AE1245" s="449"/>
      <c r="AF1245" s="4"/>
      <c r="AG1245" s="83"/>
      <c r="AH1245" s="4"/>
      <c r="AI1245" s="4"/>
      <c r="AJ1245" s="449"/>
      <c r="AK1245" s="449"/>
      <c r="AL1245" s="449"/>
      <c r="AM1245" s="449"/>
      <c r="AN1245" s="10"/>
      <c r="AO1245" s="9"/>
      <c r="AP1245" s="9"/>
      <c r="AQ1245" s="9">
        <f>+FL_2($T$1246,$T$1244,$G$1245,1200,9.28,-1*$F$1246)</f>
        <v>-0.45400350967741931</v>
      </c>
      <c r="AR1245" s="9"/>
      <c r="AS1245" s="9"/>
      <c r="AT1245" s="9"/>
      <c r="AU1245" s="428"/>
      <c r="AV1245" s="428"/>
      <c r="AW1245" s="449" t="str">
        <f>IF(C1245&gt;0,VLOOKUP(C1245,Foundation_Calc!$A$2:$C$13,3,1),
IF(J1245&gt;0,VLOOKUP(J1245,Foundation_Calc!$A$2:$C$13,3,1),""))</f>
        <v/>
      </c>
      <c r="AX1245" s="449" t="str">
        <f>IF(C1245&gt;0,VLOOKUP(C1245,Foundation_Calc!$E$2:$G$33,3,1),
IF(J1245&gt;0,VLOOKUP(J1245,Foundation_Calc!$E$2:$G$33,3,1),""))</f>
        <v/>
      </c>
      <c r="AY1245" s="10" t="str">
        <f>IF(L1245="","",
IF(AX1245="PT",VLOOKUP(L1245,Foundation_Calc!$K$79:$R$113,VLOOKUP(AW1245,Foundation_Calc!$I$2:$J$8,2,FALSE),0),
IF(AX1245="K",VLOOKUP(L1245,Foundation_Calc!$K$117:$R$151,VLOOKUP(AW1245,Foundation_Calc!$I$2:$J$8,2,FALSE),0),"")))</f>
        <v/>
      </c>
      <c r="AZ1245" s="10" t="str">
        <f>IF(K1245="","",
IF(AX1245="PT",VLOOKUP(K1245,Foundation_Calc!$K$79:$R$113,VLOOKUP(AW1245,Foundation_Calc!$I$2:$J$8,2,FALSE),0),
IF(AX1245="K",VLOOKUP(K1245,Foundation_Calc!$K$117:$R$151,VLOOKUP(AW1245,Foundation_Calc!$I$2:$J$8,2,FALSE),0),"")))</f>
        <v/>
      </c>
      <c r="BA1245" s="495" t="str">
        <f t="shared" si="147"/>
        <v/>
      </c>
      <c r="BB1245" s="495" t="str">
        <f t="shared" si="148"/>
        <v/>
      </c>
      <c r="BC1245" s="495" t="str">
        <f t="shared" si="149"/>
        <v/>
      </c>
      <c r="BD1245" s="513" t="str">
        <f>IF(AND(L1245="",H1245=""),"",
IF(H1245="",Pole_Calc!A$9,
IF(H1245="MP",Pole_Calc!A$10,
IF(H1245="AnMP",Pole_Calc!A$11,
IF(H1245="A",Pole_Calc!A$12,
IF(H1245="S/A",Pole_Calc!A$13,
IF(H1245="A/S",Pole_Calc!A$14,"Poner a mano")))))))</f>
        <v/>
      </c>
      <c r="BE1245" s="429" t="s">
        <v>118</v>
      </c>
      <c r="BF1245" s="290"/>
      <c r="BG1245" s="290"/>
      <c r="BH1245" s="290"/>
      <c r="BI1245" s="290"/>
    </row>
    <row r="1246" spans="1:61" ht="15.6" customHeight="1">
      <c r="A1246" s="514"/>
      <c r="B1246" s="450" t="s">
        <v>912</v>
      </c>
      <c r="C1246" s="3">
        <f>+$C$1244+$G$1245</f>
        <v>60408.89999999998</v>
      </c>
      <c r="D1246" s="83"/>
      <c r="E1246" s="4"/>
      <c r="F1246" s="4">
        <f>IF(C1246&gt;0,VLOOKUP(C1246,'ALIGNMENT TRACK'!$A$1:$K$83,9,1))</f>
        <v>0</v>
      </c>
      <c r="G1246" s="6"/>
      <c r="H1246" s="449"/>
      <c r="I1246" s="4"/>
      <c r="J1246" s="3"/>
      <c r="K1246" s="449"/>
      <c r="L1246" s="449" t="s">
        <v>153</v>
      </c>
      <c r="M1246" s="449" t="str">
        <f>IF(L1246="","",
IF(AX1246="PT",VLOOKUP(L1246,Foundation_Calc!$V$79:$X$113,VLOOKUP(AX1246,Foundation_Calc!$I$10:$J$13,2,FALSE),0),
IF(AX1246="K",VLOOKUP(L1246,Foundation_Calc!$V$117:$X$151,VLOOKUP(AX1246,Foundation_Calc!$I$10:$J$13,2,FALSE),0),"")))</f>
        <v>C3R</v>
      </c>
      <c r="N1246" s="449" t="s">
        <v>124</v>
      </c>
      <c r="O1246" s="449"/>
      <c r="P1246" s="449"/>
      <c r="Q1246" s="4"/>
      <c r="R1246" s="6"/>
      <c r="S1246" s="6"/>
      <c r="T1246" s="4">
        <v>-35</v>
      </c>
      <c r="U1246" s="4"/>
      <c r="V1246" s="4"/>
      <c r="W1246" s="9">
        <v>1.4</v>
      </c>
      <c r="X1246" s="9"/>
      <c r="Y1246" s="9"/>
      <c r="Z1246" s="9"/>
      <c r="AA1246" s="9"/>
      <c r="AB1246" s="9"/>
      <c r="AC1246" s="449" t="str">
        <f t="shared" si="146"/>
        <v>PH</v>
      </c>
      <c r="AD1246" s="449"/>
      <c r="AE1246" s="449"/>
      <c r="AF1246" s="4"/>
      <c r="AG1246" s="83"/>
      <c r="AH1246" s="4"/>
      <c r="AI1246" s="4"/>
      <c r="AJ1246" s="449" t="s">
        <v>900</v>
      </c>
      <c r="AK1246" s="449"/>
      <c r="AL1246" s="449"/>
      <c r="AM1246" s="449" t="s">
        <v>126</v>
      </c>
      <c r="AN1246" s="10">
        <v>5.5</v>
      </c>
      <c r="AO1246" s="9"/>
      <c r="AP1246" s="9"/>
      <c r="AQ1246" s="9"/>
      <c r="AR1246" s="9"/>
      <c r="AS1246" s="9"/>
      <c r="AT1246" s="9">
        <f>+ab($T$1246,$T$1244,$T$1248,$G$1245,$G$1247,-1*$F$1246,1200)</f>
        <v>-8.4366201521118445</v>
      </c>
      <c r="AU1246" s="428"/>
      <c r="AV1246" s="428"/>
      <c r="AW1246" s="449" t="str">
        <f>IF(C1246&gt;0,VLOOKUP(C1246,Foundation_Calc!$A$2:$C$13,3,1),
IF(J1246&gt;0,VLOOKUP(J1246,Foundation_Calc!$A$2:$C$13,3,1),""))</f>
        <v>Multi Soil</v>
      </c>
      <c r="AX1246" s="449" t="str">
        <f>IF(C1246&gt;0,VLOOKUP(C1246,Foundation_Calc!$E$2:$G$33,3,1),
IF(J1246&gt;0,VLOOKUP(J1246,Foundation_Calc!$E$2:$G$33,3,1),""))</f>
        <v>PT</v>
      </c>
      <c r="AY1246" s="10">
        <f>IF(L1246="","",
IF(AX1246="PT",VLOOKUP(L1246,Foundation_Calc!$K$79:$R$113,VLOOKUP(AW1246,Foundation_Calc!$I$2:$J$8,2,FALSE),0),
IF(AX1246="K",VLOOKUP(L1246,Foundation_Calc!$K$117:$R$151,VLOOKUP(AW1246,Foundation_Calc!$I$2:$J$8,2,FALSE),0),"")))</f>
        <v>3.5</v>
      </c>
      <c r="AZ1246" s="10" t="str">
        <f>IF(K1246="","",
IF(AX1246="PT",VLOOKUP(K1246,Foundation_Calc!$K$79:$R$113,VLOOKUP(AW1246,Foundation_Calc!$I$2:$J$8,2,FALSE),0),
IF(AX1246="K",VLOOKUP(K1246,Foundation_Calc!$K$117:$R$151,VLOOKUP(AW1246,Foundation_Calc!$I$2:$J$8,2,FALSE),0),"")))</f>
        <v/>
      </c>
      <c r="BA1246" s="495" t="str">
        <f t="shared" si="147"/>
        <v>ü</v>
      </c>
      <c r="BB1246" s="495" t="str">
        <f t="shared" si="148"/>
        <v/>
      </c>
      <c r="BC1246" s="495" t="str">
        <f t="shared" si="149"/>
        <v/>
      </c>
      <c r="BD1246" s="513" t="str">
        <f>IF(AND(L1246="",H1246=""),"",
IF(H1246="",Pole_Calc!A$9,
IF(H1246="MP",Pole_Calc!A$10,
IF(H1246="AnMP",Pole_Calc!A$11,
IF(H1246="A",Pole_Calc!A$12,
IF(H1246="S/A",Pole_Calc!A$13,
IF(H1246="A/S",Pole_Calc!A$14,"Poner a mano")))))))</f>
        <v>App.7-V11I-P9.5.1.1</v>
      </c>
      <c r="BE1246" s="429" t="s">
        <v>118</v>
      </c>
      <c r="BF1246" s="289"/>
      <c r="BG1246" s="289"/>
      <c r="BH1246" s="290"/>
      <c r="BI1246" s="289"/>
    </row>
    <row r="1247" spans="1:61" ht="15.6" customHeight="1">
      <c r="A1247" s="514"/>
      <c r="B1247" s="450"/>
      <c r="C1247" s="3"/>
      <c r="D1247" s="83"/>
      <c r="E1247" s="4"/>
      <c r="F1247" s="4"/>
      <c r="G1247" s="6">
        <v>62</v>
      </c>
      <c r="H1247" s="449"/>
      <c r="I1247" s="4"/>
      <c r="J1247" s="3"/>
      <c r="K1247" s="449"/>
      <c r="L1247" s="449"/>
      <c r="M1247" s="449" t="str">
        <f>IF(L1247="","",
IF(AX1247="PT",VLOOKUP(L1247,Foundation_Calc!$V$79:$X$113,VLOOKUP(AX1247,Foundation_Calc!$I$10:$J$13,2,FALSE),0),
IF(AX1247="K",VLOOKUP(L1247,Foundation_Calc!$V$117:$X$151,VLOOKUP(AX1247,Foundation_Calc!$I$10:$J$13,2,FALSE),0),"")))</f>
        <v/>
      </c>
      <c r="N1247" s="449"/>
      <c r="O1247" s="449"/>
      <c r="P1247" s="449"/>
      <c r="Q1247" s="4"/>
      <c r="R1247" s="6"/>
      <c r="S1247" s="6"/>
      <c r="T1247" s="4"/>
      <c r="U1247" s="4"/>
      <c r="V1247" s="4"/>
      <c r="W1247" s="9"/>
      <c r="X1247" s="9"/>
      <c r="Y1247" s="9"/>
      <c r="Z1247" s="9"/>
      <c r="AA1247" s="9"/>
      <c r="AB1247" s="9"/>
      <c r="AC1247" s="449" t="str">
        <f t="shared" si="146"/>
        <v/>
      </c>
      <c r="AD1247" s="449"/>
      <c r="AE1247" s="449"/>
      <c r="AF1247" s="4"/>
      <c r="AG1247" s="83"/>
      <c r="AH1247" s="4"/>
      <c r="AI1247" s="4"/>
      <c r="AJ1247" s="449"/>
      <c r="AK1247" s="449"/>
      <c r="AL1247" s="449"/>
      <c r="AM1247" s="449"/>
      <c r="AN1247" s="10"/>
      <c r="AO1247" s="9"/>
      <c r="AP1247" s="9"/>
      <c r="AQ1247" s="9">
        <f>+FL_1($T$1248,$T$1246,$G$1247,1200,9.28,-1*$F$1248)</f>
        <v>0.45400350967741931</v>
      </c>
      <c r="AR1247" s="9"/>
      <c r="AS1247" s="9"/>
      <c r="AT1247" s="9"/>
      <c r="AU1247" s="428"/>
      <c r="AV1247" s="428"/>
      <c r="AW1247" s="449" t="str">
        <f>IF(C1247&gt;0,VLOOKUP(C1247,Foundation_Calc!$A$2:$C$13,3,1),
IF(J1247&gt;0,VLOOKUP(J1247,Foundation_Calc!$A$2:$C$13,3,1),""))</f>
        <v/>
      </c>
      <c r="AX1247" s="449" t="str">
        <f>IF(C1247&gt;0,VLOOKUP(C1247,Foundation_Calc!$E$2:$G$33,3,1),
IF(J1247&gt;0,VLOOKUP(J1247,Foundation_Calc!$E$2:$G$33,3,1),""))</f>
        <v/>
      </c>
      <c r="AY1247" s="10" t="str">
        <f>IF(L1247="","",
IF(AX1247="PT",VLOOKUP(L1247,Foundation_Calc!$K$79:$R$113,VLOOKUP(AW1247,Foundation_Calc!$I$2:$J$8,2,FALSE),0),
IF(AX1247="K",VLOOKUP(L1247,Foundation_Calc!$K$117:$R$151,VLOOKUP(AW1247,Foundation_Calc!$I$2:$J$8,2,FALSE),0),"")))</f>
        <v/>
      </c>
      <c r="AZ1247" s="10" t="str">
        <f>IF(K1247="","",
IF(AX1247="PT",VLOOKUP(K1247,Foundation_Calc!$K$79:$R$113,VLOOKUP(AW1247,Foundation_Calc!$I$2:$J$8,2,FALSE),0),
IF(AX1247="K",VLOOKUP(K1247,Foundation_Calc!$K$117:$R$151,VLOOKUP(AW1247,Foundation_Calc!$I$2:$J$8,2,FALSE),0),"")))</f>
        <v/>
      </c>
      <c r="BA1247" s="495" t="str">
        <f t="shared" si="147"/>
        <v/>
      </c>
      <c r="BB1247" s="495" t="str">
        <f t="shared" si="148"/>
        <v/>
      </c>
      <c r="BC1247" s="495" t="str">
        <f t="shared" si="149"/>
        <v/>
      </c>
      <c r="BD1247" s="513" t="str">
        <f>IF(AND(L1247="",H1247=""),"",
IF(H1247="",Pole_Calc!A$9,
IF(H1247="MP",Pole_Calc!A$10,
IF(H1247="AnMP",Pole_Calc!A$11,
IF(H1247="A",Pole_Calc!A$12,
IF(H1247="S/A",Pole_Calc!A$13,
IF(H1247="A/S",Pole_Calc!A$14,"Poner a mano")))))))</f>
        <v/>
      </c>
      <c r="BE1247" s="429" t="s">
        <v>118</v>
      </c>
      <c r="BF1247" s="290"/>
      <c r="BG1247" s="290"/>
      <c r="BH1247" s="290"/>
      <c r="BI1247" s="290"/>
    </row>
    <row r="1248" spans="1:61" ht="15.6" customHeight="1">
      <c r="A1248" s="514"/>
      <c r="B1248" s="450" t="s">
        <v>913</v>
      </c>
      <c r="C1248" s="3">
        <f>+$C$1246+$G$1247</f>
        <v>60470.89999999998</v>
      </c>
      <c r="D1248" s="83"/>
      <c r="E1248" s="4"/>
      <c r="F1248" s="4">
        <f>IF(C1248&gt;0,VLOOKUP(C1248,'ALIGNMENT TRACK'!$A$1:$K$83,9,1))</f>
        <v>0</v>
      </c>
      <c r="G1248" s="6"/>
      <c r="H1248" s="449"/>
      <c r="I1248" s="4"/>
      <c r="J1248" s="3"/>
      <c r="K1248" s="449"/>
      <c r="L1248" s="449" t="s">
        <v>153</v>
      </c>
      <c r="M1248" s="449" t="str">
        <f>IF(L1248="","",
IF(AX1248="PT",VLOOKUP(L1248,Foundation_Calc!$V$79:$X$113,VLOOKUP(AX1248,Foundation_Calc!$I$10:$J$13,2,FALSE),0),
IF(AX1248="K",VLOOKUP(L1248,Foundation_Calc!$V$117:$X$151,VLOOKUP(AX1248,Foundation_Calc!$I$10:$J$13,2,FALSE),0),"")))</f>
        <v>C3R</v>
      </c>
      <c r="N1248" s="449" t="s">
        <v>134</v>
      </c>
      <c r="O1248" s="449"/>
      <c r="P1248" s="449"/>
      <c r="Q1248" s="4"/>
      <c r="R1248" s="6"/>
      <c r="S1248" s="6"/>
      <c r="T1248" s="4">
        <v>35</v>
      </c>
      <c r="U1248" s="4"/>
      <c r="V1248" s="4"/>
      <c r="W1248" s="9">
        <v>1.4</v>
      </c>
      <c r="X1248" s="9"/>
      <c r="Y1248" s="9"/>
      <c r="Z1248" s="9"/>
      <c r="AA1248" s="9"/>
      <c r="AB1248" s="9"/>
      <c r="AC1248" s="449" t="str">
        <f t="shared" si="146"/>
        <v>PH</v>
      </c>
      <c r="AD1248" s="449"/>
      <c r="AE1248" s="449"/>
      <c r="AF1248" s="4"/>
      <c r="AG1248" s="83"/>
      <c r="AH1248" s="4"/>
      <c r="AI1248" s="4"/>
      <c r="AJ1248" s="449" t="s">
        <v>900</v>
      </c>
      <c r="AK1248" s="449"/>
      <c r="AL1248" s="449"/>
      <c r="AM1248" s="449" t="s">
        <v>126</v>
      </c>
      <c r="AN1248" s="10">
        <v>5.5</v>
      </c>
      <c r="AO1248" s="9"/>
      <c r="AP1248" s="9"/>
      <c r="AQ1248" s="9"/>
      <c r="AR1248" s="9"/>
      <c r="AS1248" s="9"/>
      <c r="AT1248" s="9">
        <f>+ab($T$1248,$T$1246,$T$1250,$G$1247,$G$1249,-1*$F$1248,1200)</f>
        <v>8.4365744899000195</v>
      </c>
      <c r="AU1248" s="428"/>
      <c r="AV1248" s="428"/>
      <c r="AW1248" s="449" t="str">
        <f>IF(C1248&gt;0,VLOOKUP(C1248,Foundation_Calc!$A$2:$C$13,3,1),
IF(J1248&gt;0,VLOOKUP(J1248,Foundation_Calc!$A$2:$C$13,3,1),""))</f>
        <v>Multi Soil</v>
      </c>
      <c r="AX1248" s="449" t="str">
        <f>IF(C1248&gt;0,VLOOKUP(C1248,Foundation_Calc!$E$2:$G$33,3,1),
IF(J1248&gt;0,VLOOKUP(J1248,Foundation_Calc!$E$2:$G$33,3,1),""))</f>
        <v>PT</v>
      </c>
      <c r="AY1248" s="10">
        <f>IF(L1248="","",
IF(AX1248="PT",VLOOKUP(L1248,Foundation_Calc!$K$79:$R$113,VLOOKUP(AW1248,Foundation_Calc!$I$2:$J$8,2,FALSE),0),
IF(AX1248="K",VLOOKUP(L1248,Foundation_Calc!$K$117:$R$151,VLOOKUP(AW1248,Foundation_Calc!$I$2:$J$8,2,FALSE),0),"")))</f>
        <v>3.5</v>
      </c>
      <c r="AZ1248" s="10" t="str">
        <f>IF(K1248="","",
IF(AX1248="PT",VLOOKUP(K1248,Foundation_Calc!$K$79:$R$113,VLOOKUP(AW1248,Foundation_Calc!$I$2:$J$8,2,FALSE),0),
IF(AX1248="K",VLOOKUP(K1248,Foundation_Calc!$K$117:$R$151,VLOOKUP(AW1248,Foundation_Calc!$I$2:$J$8,2,FALSE),0),"")))</f>
        <v/>
      </c>
      <c r="BA1248" s="495" t="str">
        <f t="shared" si="147"/>
        <v>ü</v>
      </c>
      <c r="BB1248" s="495" t="str">
        <f t="shared" si="148"/>
        <v/>
      </c>
      <c r="BC1248" s="495" t="str">
        <f t="shared" si="149"/>
        <v/>
      </c>
      <c r="BD1248" s="513" t="str">
        <f>IF(AND(L1248="",H1248=""),"",
IF(H1248="",Pole_Calc!A$9,
IF(H1248="MP",Pole_Calc!A$10,
IF(H1248="AnMP",Pole_Calc!A$11,
IF(H1248="A",Pole_Calc!A$12,
IF(H1248="S/A",Pole_Calc!A$13,
IF(H1248="A/S",Pole_Calc!A$14,"Poner a mano")))))))</f>
        <v>App.7-V11I-P9.5.1.1</v>
      </c>
      <c r="BE1248" s="429" t="s">
        <v>118</v>
      </c>
      <c r="BF1248" s="289"/>
      <c r="BG1248" s="289"/>
      <c r="BH1248" s="290"/>
      <c r="BI1248" s="289"/>
    </row>
    <row r="1249" spans="1:61" ht="15.6" customHeight="1">
      <c r="A1249" s="514"/>
      <c r="B1249" s="450"/>
      <c r="C1249" s="3"/>
      <c r="D1249" s="83"/>
      <c r="E1249" s="4"/>
      <c r="F1249" s="4"/>
      <c r="G1249" s="6">
        <v>62</v>
      </c>
      <c r="H1249" s="449"/>
      <c r="I1249" s="4"/>
      <c r="J1249" s="3"/>
      <c r="K1249" s="449"/>
      <c r="L1249" s="449"/>
      <c r="M1249" s="449" t="str">
        <f>IF(L1249="","",
IF(AX1249="PT",VLOOKUP(L1249,Foundation_Calc!$V$79:$X$113,VLOOKUP(AX1249,Foundation_Calc!$I$10:$J$13,2,FALSE),0),
IF(AX1249="K",VLOOKUP(L1249,Foundation_Calc!$V$117:$X$151,VLOOKUP(AX1249,Foundation_Calc!$I$10:$J$13,2,FALSE),0),"")))</f>
        <v/>
      </c>
      <c r="N1249" s="449"/>
      <c r="O1249" s="449"/>
      <c r="P1249" s="449"/>
      <c r="Q1249" s="4"/>
      <c r="R1249" s="6"/>
      <c r="S1249" s="6"/>
      <c r="T1249" s="4"/>
      <c r="U1249" s="4"/>
      <c r="V1249" s="4"/>
      <c r="W1249" s="9"/>
      <c r="X1249" s="9"/>
      <c r="Y1249" s="9"/>
      <c r="Z1249" s="9"/>
      <c r="AA1249" s="9"/>
      <c r="AB1249" s="9"/>
      <c r="AC1249" s="449" t="str">
        <f t="shared" si="146"/>
        <v/>
      </c>
      <c r="AD1249" s="449"/>
      <c r="AE1249" s="449"/>
      <c r="AF1249" s="4"/>
      <c r="AG1249" s="83"/>
      <c r="AH1249" s="4"/>
      <c r="AI1249" s="4"/>
      <c r="AJ1249" s="449"/>
      <c r="AK1249" s="449"/>
      <c r="AL1249" s="449"/>
      <c r="AM1249" s="449"/>
      <c r="AN1249" s="10"/>
      <c r="AO1249" s="9"/>
      <c r="AP1249" s="9"/>
      <c r="AQ1249" s="9">
        <f>+FL_2($T$1250,$T$1248,$G$1249,1200,9.28,-1*$F$1250)</f>
        <v>-0.45400350967741931</v>
      </c>
      <c r="AR1249" s="9"/>
      <c r="AS1249" s="9"/>
      <c r="AT1249" s="9"/>
      <c r="AU1249" s="428"/>
      <c r="AV1249" s="428"/>
      <c r="AW1249" s="449" t="str">
        <f>IF(C1249&gt;0,VLOOKUP(C1249,Foundation_Calc!$A$2:$C$13,3,1),
IF(J1249&gt;0,VLOOKUP(J1249,Foundation_Calc!$A$2:$C$13,3,1),""))</f>
        <v/>
      </c>
      <c r="AX1249" s="449" t="str">
        <f>IF(C1249&gt;0,VLOOKUP(C1249,Foundation_Calc!$E$2:$G$33,3,1),
IF(J1249&gt;0,VLOOKUP(J1249,Foundation_Calc!$E$2:$G$33,3,1),""))</f>
        <v/>
      </c>
      <c r="AY1249" s="10" t="str">
        <f>IF(L1249="","",
IF(AX1249="PT",VLOOKUP(L1249,Foundation_Calc!$K$79:$R$113,VLOOKUP(AW1249,Foundation_Calc!$I$2:$J$8,2,FALSE),0),
IF(AX1249="K",VLOOKUP(L1249,Foundation_Calc!$K$117:$R$151,VLOOKUP(AW1249,Foundation_Calc!$I$2:$J$8,2,FALSE),0),"")))</f>
        <v/>
      </c>
      <c r="AZ1249" s="10" t="str">
        <f>IF(K1249="","",
IF(AX1249="PT",VLOOKUP(K1249,Foundation_Calc!$K$79:$R$113,VLOOKUP(AW1249,Foundation_Calc!$I$2:$J$8,2,FALSE),0),
IF(AX1249="K",VLOOKUP(K1249,Foundation_Calc!$K$117:$R$151,VLOOKUP(AW1249,Foundation_Calc!$I$2:$J$8,2,FALSE),0),"")))</f>
        <v/>
      </c>
      <c r="BA1249" s="495" t="str">
        <f t="shared" si="147"/>
        <v/>
      </c>
      <c r="BB1249" s="495" t="str">
        <f t="shared" si="148"/>
        <v/>
      </c>
      <c r="BC1249" s="495" t="str">
        <f t="shared" si="149"/>
        <v/>
      </c>
      <c r="BD1249" s="513" t="str">
        <f>IF(AND(L1249="",H1249=""),"",
IF(H1249="",Pole_Calc!A$9,
IF(H1249="MP",Pole_Calc!A$10,
IF(H1249="AnMP",Pole_Calc!A$11,
IF(H1249="A",Pole_Calc!A$12,
IF(H1249="S/A",Pole_Calc!A$13,
IF(H1249="A/S",Pole_Calc!A$14,"Poner a mano")))))))</f>
        <v/>
      </c>
      <c r="BE1249" s="429" t="s">
        <v>118</v>
      </c>
      <c r="BF1249" s="290"/>
      <c r="BG1249" s="290"/>
      <c r="BH1249" s="290"/>
      <c r="BI1249" s="290"/>
    </row>
    <row r="1250" spans="1:61" ht="15.6" customHeight="1">
      <c r="A1250" s="514"/>
      <c r="B1250" s="450" t="s">
        <v>914</v>
      </c>
      <c r="C1250" s="3">
        <f>+$C$1248+$G$1249</f>
        <v>60532.89999999998</v>
      </c>
      <c r="D1250" s="83"/>
      <c r="E1250" s="4"/>
      <c r="F1250" s="4">
        <f>IF(C1250&gt;0,VLOOKUP(C1250,'ALIGNMENT TRACK'!$A$1:$K$83,9,1))</f>
        <v>0</v>
      </c>
      <c r="G1250" s="6"/>
      <c r="H1250" s="449"/>
      <c r="I1250" s="4"/>
      <c r="J1250" s="3"/>
      <c r="K1250" s="449"/>
      <c r="L1250" s="449" t="s">
        <v>153</v>
      </c>
      <c r="M1250" s="449" t="str">
        <f>IF(L1250="","",
IF(AX1250="PT",VLOOKUP(L1250,Foundation_Calc!$V$79:$X$113,VLOOKUP(AX1250,Foundation_Calc!$I$10:$J$13,2,FALSE),0),
IF(AX1250="K",VLOOKUP(L1250,Foundation_Calc!$V$117:$X$151,VLOOKUP(AX1250,Foundation_Calc!$I$10:$J$13,2,FALSE),0),"")))</f>
        <v>C3R</v>
      </c>
      <c r="N1250" s="449" t="s">
        <v>124</v>
      </c>
      <c r="O1250" s="449"/>
      <c r="P1250" s="449"/>
      <c r="Q1250" s="4"/>
      <c r="R1250" s="6"/>
      <c r="S1250" s="6"/>
      <c r="T1250" s="4">
        <v>-35</v>
      </c>
      <c r="U1250" s="4"/>
      <c r="V1250" s="4"/>
      <c r="W1250" s="9">
        <v>1.4</v>
      </c>
      <c r="X1250" s="9"/>
      <c r="Y1250" s="9"/>
      <c r="Z1250" s="9"/>
      <c r="AA1250" s="9"/>
      <c r="AB1250" s="9"/>
      <c r="AC1250" s="449" t="str">
        <f t="shared" si="146"/>
        <v>PH</v>
      </c>
      <c r="AD1250" s="449"/>
      <c r="AE1250" s="449"/>
      <c r="AF1250" s="4"/>
      <c r="AG1250" s="83"/>
      <c r="AH1250" s="4"/>
      <c r="AI1250" s="4"/>
      <c r="AJ1250" s="449" t="s">
        <v>900</v>
      </c>
      <c r="AK1250" s="449"/>
      <c r="AL1250" s="449"/>
      <c r="AM1250" s="449" t="s">
        <v>126</v>
      </c>
      <c r="AN1250" s="10">
        <v>5.5</v>
      </c>
      <c r="AO1250" s="9"/>
      <c r="AP1250" s="9"/>
      <c r="AQ1250" s="9"/>
      <c r="AR1250" s="9"/>
      <c r="AS1250" s="9"/>
      <c r="AT1250" s="9">
        <f>+ab($T$1250,$T$1248,$T$1252,$G$1249,$G$1251,-1*$F$1250,1200)</f>
        <v>-8.4366201521118445</v>
      </c>
      <c r="AU1250" s="428"/>
      <c r="AV1250" s="428"/>
      <c r="AW1250" s="449" t="str">
        <f>IF(C1250&gt;0,VLOOKUP(C1250,Foundation_Calc!$A$2:$C$13,3,1),
IF(J1250&gt;0,VLOOKUP(J1250,Foundation_Calc!$A$2:$C$13,3,1),""))</f>
        <v>Multi Soil</v>
      </c>
      <c r="AX1250" s="449" t="str">
        <f>IF(C1250&gt;0,VLOOKUP(C1250,Foundation_Calc!$E$2:$G$33,3,1),
IF(J1250&gt;0,VLOOKUP(J1250,Foundation_Calc!$E$2:$G$33,3,1),""))</f>
        <v>PT</v>
      </c>
      <c r="AY1250" s="10">
        <f>IF(L1250="","",
IF(AX1250="PT",VLOOKUP(L1250,Foundation_Calc!$K$79:$R$113,VLOOKUP(AW1250,Foundation_Calc!$I$2:$J$8,2,FALSE),0),
IF(AX1250="K",VLOOKUP(L1250,Foundation_Calc!$K$117:$R$151,VLOOKUP(AW1250,Foundation_Calc!$I$2:$J$8,2,FALSE),0),"")))</f>
        <v>3.5</v>
      </c>
      <c r="AZ1250" s="10" t="str">
        <f>IF(K1250="","",
IF(AX1250="PT",VLOOKUP(K1250,Foundation_Calc!$K$79:$R$113,VLOOKUP(AW1250,Foundation_Calc!$I$2:$J$8,2,FALSE),0),
IF(AX1250="K",VLOOKUP(K1250,Foundation_Calc!$K$117:$R$151,VLOOKUP(AW1250,Foundation_Calc!$I$2:$J$8,2,FALSE),0),"")))</f>
        <v/>
      </c>
      <c r="BA1250" s="495" t="str">
        <f t="shared" si="147"/>
        <v>ü</v>
      </c>
      <c r="BB1250" s="495" t="str">
        <f t="shared" si="148"/>
        <v/>
      </c>
      <c r="BC1250" s="495" t="str">
        <f t="shared" si="149"/>
        <v/>
      </c>
      <c r="BD1250" s="513" t="str">
        <f>IF(AND(L1250="",H1250=""),"",
IF(H1250="",Pole_Calc!A$9,
IF(H1250="MP",Pole_Calc!A$10,
IF(H1250="AnMP",Pole_Calc!A$11,
IF(H1250="A",Pole_Calc!A$12,
IF(H1250="S/A",Pole_Calc!A$13,
IF(H1250="A/S",Pole_Calc!A$14,"Poner a mano")))))))</f>
        <v>App.7-V11I-P9.5.1.1</v>
      </c>
      <c r="BE1250" s="429" t="s">
        <v>118</v>
      </c>
      <c r="BF1250" s="289"/>
      <c r="BG1250" s="289"/>
      <c r="BH1250" s="290"/>
      <c r="BI1250" s="289"/>
    </row>
    <row r="1251" spans="1:61" ht="15.6" customHeight="1">
      <c r="A1251" s="514"/>
      <c r="B1251" s="450"/>
      <c r="C1251" s="3"/>
      <c r="D1251" s="83"/>
      <c r="E1251" s="4"/>
      <c r="F1251" s="4"/>
      <c r="G1251" s="6">
        <v>62</v>
      </c>
      <c r="H1251" s="449"/>
      <c r="I1251" s="4"/>
      <c r="J1251" s="3"/>
      <c r="K1251" s="449"/>
      <c r="L1251" s="449"/>
      <c r="M1251" s="449" t="str">
        <f>IF(L1251="","",
IF(AX1251="PT",VLOOKUP(L1251,Foundation_Calc!$V$79:$X$113,VLOOKUP(AX1251,Foundation_Calc!$I$10:$J$13,2,FALSE),0),
IF(AX1251="K",VLOOKUP(L1251,Foundation_Calc!$V$117:$X$151,VLOOKUP(AX1251,Foundation_Calc!$I$10:$J$13,2,FALSE),0),"")))</f>
        <v/>
      </c>
      <c r="N1251" s="449"/>
      <c r="O1251" s="449"/>
      <c r="P1251" s="449"/>
      <c r="Q1251" s="4"/>
      <c r="R1251" s="6"/>
      <c r="S1251" s="6"/>
      <c r="T1251" s="4"/>
      <c r="U1251" s="4"/>
      <c r="V1251" s="4"/>
      <c r="W1251" s="9"/>
      <c r="X1251" s="9"/>
      <c r="Y1251" s="9"/>
      <c r="Z1251" s="9"/>
      <c r="AA1251" s="9"/>
      <c r="AB1251" s="9"/>
      <c r="AC1251" s="449" t="str">
        <f t="shared" si="146"/>
        <v/>
      </c>
      <c r="AD1251" s="449"/>
      <c r="AE1251" s="449"/>
      <c r="AF1251" s="4"/>
      <c r="AG1251" s="83"/>
      <c r="AH1251" s="4"/>
      <c r="AI1251" s="4"/>
      <c r="AJ1251" s="449"/>
      <c r="AK1251" s="449"/>
      <c r="AL1251" s="449"/>
      <c r="AM1251" s="449"/>
      <c r="AN1251" s="10"/>
      <c r="AO1251" s="9"/>
      <c r="AP1251" s="9"/>
      <c r="AQ1251" s="9">
        <f>+FL_1($T$1252,$T$1250,$G$1251,1200,9.28,-1*$F$1252)</f>
        <v>0.45400350967741931</v>
      </c>
      <c r="AR1251" s="9"/>
      <c r="AS1251" s="9"/>
      <c r="AT1251" s="9"/>
      <c r="AU1251" s="428"/>
      <c r="AV1251" s="428"/>
      <c r="AW1251" s="449" t="str">
        <f>IF(C1251&gt;0,VLOOKUP(C1251,Foundation_Calc!$A$2:$C$13,3,1),
IF(J1251&gt;0,VLOOKUP(J1251,Foundation_Calc!$A$2:$C$13,3,1),""))</f>
        <v/>
      </c>
      <c r="AX1251" s="449" t="str">
        <f>IF(C1251&gt;0,VLOOKUP(C1251,Foundation_Calc!$E$2:$G$33,3,1),
IF(J1251&gt;0,VLOOKUP(J1251,Foundation_Calc!$E$2:$G$33,3,1),""))</f>
        <v/>
      </c>
      <c r="AY1251" s="10" t="str">
        <f>IF(L1251="","",
IF(AX1251="PT",VLOOKUP(L1251,Foundation_Calc!$K$79:$R$113,VLOOKUP(AW1251,Foundation_Calc!$I$2:$J$8,2,FALSE),0),
IF(AX1251="K",VLOOKUP(L1251,Foundation_Calc!$K$117:$R$151,VLOOKUP(AW1251,Foundation_Calc!$I$2:$J$8,2,FALSE),0),"")))</f>
        <v/>
      </c>
      <c r="AZ1251" s="10" t="str">
        <f>IF(K1251="","",
IF(AX1251="PT",VLOOKUP(K1251,Foundation_Calc!$K$79:$R$113,VLOOKUP(AW1251,Foundation_Calc!$I$2:$J$8,2,FALSE),0),
IF(AX1251="K",VLOOKUP(K1251,Foundation_Calc!$K$117:$R$151,VLOOKUP(AW1251,Foundation_Calc!$I$2:$J$8,2,FALSE),0),"")))</f>
        <v/>
      </c>
      <c r="BA1251" s="495" t="str">
        <f t="shared" si="147"/>
        <v/>
      </c>
      <c r="BB1251" s="495" t="str">
        <f t="shared" si="148"/>
        <v/>
      </c>
      <c r="BC1251" s="495" t="str">
        <f t="shared" si="149"/>
        <v/>
      </c>
      <c r="BD1251" s="513" t="str">
        <f>IF(AND(L1251="",H1251=""),"",
IF(H1251="",Pole_Calc!A$9,
IF(H1251="MP",Pole_Calc!A$10,
IF(H1251="AnMP",Pole_Calc!A$11,
IF(H1251="A",Pole_Calc!A$12,
IF(H1251="S/A",Pole_Calc!A$13,
IF(H1251="A/S",Pole_Calc!A$14,"Poner a mano")))))))</f>
        <v/>
      </c>
      <c r="BE1251" s="429" t="s">
        <v>118</v>
      </c>
      <c r="BF1251" s="290"/>
      <c r="BG1251" s="290"/>
      <c r="BH1251" s="290"/>
      <c r="BI1251" s="290"/>
    </row>
    <row r="1252" spans="1:61" ht="15.6" customHeight="1">
      <c r="A1252" s="514"/>
      <c r="B1252" s="450" t="s">
        <v>915</v>
      </c>
      <c r="C1252" s="3">
        <f>+$C$1250+$G$1251</f>
        <v>60594.89999999998</v>
      </c>
      <c r="D1252" s="83"/>
      <c r="E1252" s="4"/>
      <c r="F1252" s="4">
        <f>IF(C1252&gt;0,VLOOKUP(C1252,'ALIGNMENT TRACK'!$A$1:$K$83,9,1))</f>
        <v>0</v>
      </c>
      <c r="G1252" s="6"/>
      <c r="H1252" s="449"/>
      <c r="I1252" s="4"/>
      <c r="J1252" s="3"/>
      <c r="K1252" s="449"/>
      <c r="L1252" s="449" t="s">
        <v>153</v>
      </c>
      <c r="M1252" s="449" t="str">
        <f>IF(L1252="","",
IF(AX1252="PT",VLOOKUP(L1252,Foundation_Calc!$V$79:$X$113,VLOOKUP(AX1252,Foundation_Calc!$I$10:$J$13,2,FALSE),0),
IF(AX1252="K",VLOOKUP(L1252,Foundation_Calc!$V$117:$X$151,VLOOKUP(AX1252,Foundation_Calc!$I$10:$J$13,2,FALSE),0),"")))</f>
        <v>C3R</v>
      </c>
      <c r="N1252" s="449" t="s">
        <v>134</v>
      </c>
      <c r="O1252" s="449"/>
      <c r="P1252" s="449"/>
      <c r="Q1252" s="4"/>
      <c r="R1252" s="6"/>
      <c r="S1252" s="6"/>
      <c r="T1252" s="4">
        <v>35</v>
      </c>
      <c r="U1252" s="4"/>
      <c r="V1252" s="4"/>
      <c r="W1252" s="9">
        <v>1.4</v>
      </c>
      <c r="X1252" s="9"/>
      <c r="Y1252" s="9"/>
      <c r="Z1252" s="9"/>
      <c r="AA1252" s="9"/>
      <c r="AB1252" s="9"/>
      <c r="AC1252" s="449" t="str">
        <f t="shared" si="146"/>
        <v>PH</v>
      </c>
      <c r="AD1252" s="449"/>
      <c r="AE1252" s="449"/>
      <c r="AF1252" s="4"/>
      <c r="AG1252" s="83"/>
      <c r="AH1252" s="4"/>
      <c r="AI1252" s="4"/>
      <c r="AJ1252" s="449" t="s">
        <v>900</v>
      </c>
      <c r="AK1252" s="449"/>
      <c r="AL1252" s="449"/>
      <c r="AM1252" s="449" t="s">
        <v>126</v>
      </c>
      <c r="AN1252" s="10">
        <v>5.5</v>
      </c>
      <c r="AO1252" s="9"/>
      <c r="AP1252" s="9"/>
      <c r="AQ1252" s="9"/>
      <c r="AR1252" s="9"/>
      <c r="AS1252" s="9"/>
      <c r="AT1252" s="9">
        <f>+ab($T$1252,$T$1250,$T$1254,$G$1251,$G$1253,-1*$F$1252,1200)</f>
        <v>8.9398528414728595</v>
      </c>
      <c r="AU1252" s="428"/>
      <c r="AV1252" s="428"/>
      <c r="AW1252" s="449" t="str">
        <f>IF(C1252&gt;0,VLOOKUP(C1252,Foundation_Calc!$A$2:$C$13,3,1),
IF(J1252&gt;0,VLOOKUP(J1252,Foundation_Calc!$A$2:$C$13,3,1),""))</f>
        <v>Multi Soil</v>
      </c>
      <c r="AX1252" s="449" t="str">
        <f>IF(C1252&gt;0,VLOOKUP(C1252,Foundation_Calc!$E$2:$G$33,3,1),
IF(J1252&gt;0,VLOOKUP(J1252,Foundation_Calc!$E$2:$G$33,3,1),""))</f>
        <v>PT</v>
      </c>
      <c r="AY1252" s="10">
        <f>IF(L1252="","",
IF(AX1252="PT",VLOOKUP(L1252,Foundation_Calc!$K$79:$R$113,VLOOKUP(AW1252,Foundation_Calc!$I$2:$J$8,2,FALSE),0),
IF(AX1252="K",VLOOKUP(L1252,Foundation_Calc!$K$117:$R$151,VLOOKUP(AW1252,Foundation_Calc!$I$2:$J$8,2,FALSE),0),"")))</f>
        <v>3.5</v>
      </c>
      <c r="AZ1252" s="10" t="str">
        <f>IF(K1252="","",
IF(AX1252="PT",VLOOKUP(K1252,Foundation_Calc!$K$79:$R$113,VLOOKUP(AW1252,Foundation_Calc!$I$2:$J$8,2,FALSE),0),
IF(AX1252="K",VLOOKUP(K1252,Foundation_Calc!$K$117:$R$151,VLOOKUP(AW1252,Foundation_Calc!$I$2:$J$8,2,FALSE),0),"")))</f>
        <v/>
      </c>
      <c r="BA1252" s="495" t="str">
        <f t="shared" si="147"/>
        <v>ü</v>
      </c>
      <c r="BB1252" s="495" t="str">
        <f t="shared" si="148"/>
        <v/>
      </c>
      <c r="BC1252" s="495" t="str">
        <f t="shared" si="149"/>
        <v/>
      </c>
      <c r="BD1252" s="513" t="str">
        <f>IF(AND(L1252="",H1252=""),"",
IF(H1252="",Pole_Calc!A$9,
IF(H1252="MP",Pole_Calc!A$10,
IF(H1252="AnMP",Pole_Calc!A$11,
IF(H1252="A",Pole_Calc!A$12,
IF(H1252="S/A",Pole_Calc!A$13,
IF(H1252="A/S",Pole_Calc!A$14,"Poner a mano")))))))</f>
        <v>App.7-V11I-P9.5.1.1</v>
      </c>
      <c r="BE1252" s="429" t="s">
        <v>118</v>
      </c>
      <c r="BF1252" s="289"/>
      <c r="BG1252" s="289"/>
      <c r="BH1252" s="290"/>
      <c r="BI1252" s="289"/>
    </row>
    <row r="1253" spans="1:61" ht="15.6" customHeight="1">
      <c r="A1253" s="514" t="s">
        <v>169</v>
      </c>
      <c r="B1253" s="450"/>
      <c r="C1253" s="3"/>
      <c r="D1253" s="83"/>
      <c r="E1253" s="4"/>
      <c r="F1253" s="4"/>
      <c r="G1253" s="6">
        <v>60</v>
      </c>
      <c r="H1253" s="449"/>
      <c r="I1253" s="4"/>
      <c r="J1253" s="3">
        <f>C1254-7.5</f>
        <v>60646.89999999998</v>
      </c>
      <c r="K1253" s="449" t="s">
        <v>117</v>
      </c>
      <c r="L1253" s="449"/>
      <c r="M1253" s="9"/>
      <c r="N1253" s="449"/>
      <c r="O1253" s="449"/>
      <c r="P1253" s="449"/>
      <c r="Q1253" s="4"/>
      <c r="R1253" s="6"/>
      <c r="S1253" s="6"/>
      <c r="T1253" s="4"/>
      <c r="U1253" s="4"/>
      <c r="V1253" s="4"/>
      <c r="W1253" s="9"/>
      <c r="X1253" s="9"/>
      <c r="Y1253" s="9"/>
      <c r="Z1253" s="9"/>
      <c r="AA1253" s="9"/>
      <c r="AB1253" s="9"/>
      <c r="AC1253" s="449" t="str">
        <f t="shared" si="146"/>
        <v/>
      </c>
      <c r="AD1253" s="449"/>
      <c r="AE1253" s="449"/>
      <c r="AF1253" s="4"/>
      <c r="AG1253" s="83"/>
      <c r="AH1253" s="4"/>
      <c r="AI1253" s="4"/>
      <c r="AJ1253" s="449"/>
      <c r="AK1253" s="449"/>
      <c r="AL1253" s="449"/>
      <c r="AM1253" s="449"/>
      <c r="AN1253" s="10"/>
      <c r="AO1253" s="9"/>
      <c r="AP1253" s="9"/>
      <c r="AQ1253" s="9">
        <f>+FL_1($T$1254,$T$1252,$G$1253,1200,9.28,-1*$F$1254)</f>
        <v>0.46265517199999989</v>
      </c>
      <c r="AR1253" s="9"/>
      <c r="AS1253" s="9"/>
      <c r="AT1253" s="9"/>
      <c r="AU1253" s="428"/>
      <c r="AV1253" s="428"/>
      <c r="AW1253" s="449" t="str">
        <f>IF(C1253&gt;0,VLOOKUP(C1253,Foundation_Calc!$A$2:$C$13,3,1),
IF(J1253&gt;0,VLOOKUP(J1253,Foundation_Calc!$A$2:$C$13,3,1),""))</f>
        <v>Multi Soil</v>
      </c>
      <c r="AX1253" s="449" t="str">
        <f>IF(C1253&gt;0,VLOOKUP(C1253,Foundation_Calc!$E$2:$G$33,3,1),
IF(J1253&gt;0,VLOOKUP(J1253,Foundation_Calc!$E$2:$G$33,3,1),""))</f>
        <v>PT</v>
      </c>
      <c r="AY1253" s="10" t="str">
        <f>IF(L1253="","",
IF(AX1253="PT",VLOOKUP(L1253,Foundation_Calc!$K$79:$R$113,VLOOKUP(AW1253,Foundation_Calc!$I$2:$J$8,2,FALSE),0),
IF(AX1253="K",VLOOKUP(L1253,Foundation_Calc!$K$117:$R$151,VLOOKUP(AW1253,Foundation_Calc!$I$2:$J$8,2,FALSE),0),"")))</f>
        <v/>
      </c>
      <c r="AZ1253" s="10">
        <f>IF(K1253="","",
IF(AX1253="PT",VLOOKUP(K1253,Foundation_Calc!$K$79:$R$113,VLOOKUP(AW1253,Foundation_Calc!$I$2:$J$8,2,FALSE),0),
IF(AX1253="K",VLOOKUP(K1253,Foundation_Calc!$K$117:$R$151,VLOOKUP(AW1253,Foundation_Calc!$I$2:$J$8,2,FALSE),0),"")))</f>
        <v>3.9</v>
      </c>
      <c r="BA1253" s="495" t="str">
        <f t="shared" ref="BA1253:BA1273" si="150">IF(AY1253="","",IF(AY1253&gt;0,"ü",""))</f>
        <v/>
      </c>
      <c r="BB1253" s="495" t="str">
        <f t="shared" ref="BB1253:BB1273" si="151">IF(AZ1253="","",IF(AZ1253&gt;0,"ü",""))</f>
        <v>ü</v>
      </c>
      <c r="BC1253" s="495" t="str">
        <f t="shared" ref="BC1253:BC1273" si="152">IF(M1253="","",IF(M1253="U.S.","ü",IF(M1253="U.S. N.D.","ü","")))</f>
        <v/>
      </c>
      <c r="BD1253" s="513" t="str">
        <f>IF(AND(L1253="",H1253=""),"",
IF(H1253="",Pole_Calc!A$9,
IF(H1253="MP",Pole_Calc!A$10,
IF(H1253="AnMP",Pole_Calc!A$11,
IF(H1253="A",Pole_Calc!A$12,
IF(H1253="S/A",Pole_Calc!A$13,
IF(H1253="A/S",Pole_Calc!A$14,"Poner a mano")))))))</f>
        <v/>
      </c>
      <c r="BE1253" s="429" t="s">
        <v>118</v>
      </c>
      <c r="BF1253" s="290"/>
      <c r="BG1253" s="290"/>
      <c r="BH1253" s="290"/>
      <c r="BI1253" s="290"/>
    </row>
    <row r="1254" spans="1:61" ht="15.6" customHeight="1">
      <c r="A1254" s="646" t="s">
        <v>916</v>
      </c>
      <c r="B1254" s="637" t="s">
        <v>917</v>
      </c>
      <c r="C1254" s="638">
        <f>+$C$1252+$G$1253-0.5</f>
        <v>60654.39999999998</v>
      </c>
      <c r="D1254" s="639"/>
      <c r="E1254" s="640"/>
      <c r="F1254" s="640">
        <v>0</v>
      </c>
      <c r="G1254" s="641"/>
      <c r="H1254" s="642" t="s">
        <v>121</v>
      </c>
      <c r="I1254" s="640" t="s">
        <v>122</v>
      </c>
      <c r="J1254" s="638"/>
      <c r="K1254" s="642"/>
      <c r="L1254" s="642" t="s">
        <v>151</v>
      </c>
      <c r="M1254" s="642" t="str">
        <f>IF(L1254="","",
IF(AX1254="PT",VLOOKUP(L1254,Foundation_Calc!$V$79:$X$113,VLOOKUP(AX1254,Foundation_Calc!$I$10:$J$13,2,FALSE),0),
IF(AX1254="K",VLOOKUP(L1254,Foundation_Calc!$V$117:$X$151,VLOOKUP(AX1254,Foundation_Calc!$I$10:$J$13,2,FALSE),0),"")))</f>
        <v>C4R</v>
      </c>
      <c r="N1254" s="642" t="s">
        <v>124</v>
      </c>
      <c r="O1254" s="642"/>
      <c r="P1254" s="642"/>
      <c r="Q1254" s="640"/>
      <c r="R1254" s="641"/>
      <c r="S1254" s="641"/>
      <c r="T1254" s="640">
        <v>-25</v>
      </c>
      <c r="U1254" s="640"/>
      <c r="V1254" s="640"/>
      <c r="W1254" s="643">
        <v>1.4</v>
      </c>
      <c r="X1254" s="643"/>
      <c r="Y1254" s="643"/>
      <c r="Z1254" s="643"/>
      <c r="AA1254" s="643"/>
      <c r="AB1254" s="643"/>
      <c r="AC1254" s="642" t="str">
        <f t="shared" si="146"/>
        <v>PH</v>
      </c>
      <c r="AD1254" s="642"/>
      <c r="AE1254" s="642"/>
      <c r="AF1254" s="640"/>
      <c r="AG1254" s="639"/>
      <c r="AH1254" s="640"/>
      <c r="AI1254" s="640"/>
      <c r="AJ1254" s="642" t="s">
        <v>900</v>
      </c>
      <c r="AK1254" s="642"/>
      <c r="AL1254" s="642"/>
      <c r="AM1254" s="642" t="s">
        <v>126</v>
      </c>
      <c r="AN1254" s="644">
        <v>5.5</v>
      </c>
      <c r="AO1254" s="643"/>
      <c r="AP1254" s="643"/>
      <c r="AQ1254" s="643"/>
      <c r="AR1254" s="643"/>
      <c r="AS1254" s="643"/>
      <c r="AT1254" s="643">
        <f>+ab($T$1254,$T$1252,$U$1258,$G$1253,$G$1255,-1*$F$1254,1200)</f>
        <v>-11.722684138023178</v>
      </c>
      <c r="AU1254" s="645"/>
      <c r="AV1254" s="645"/>
      <c r="AW1254" s="642" t="str">
        <f>IF(C1254&gt;0,VLOOKUP(C1254,Foundation_Calc!$A$2:$C$13,3,1),
IF(J1254&gt;0,VLOOKUP(J1254,Foundation_Calc!$A$2:$C$13,3,1),""))</f>
        <v>Multi Soil</v>
      </c>
      <c r="AX1254" s="642" t="str">
        <f>IF(C1254&gt;0,VLOOKUP(C1254,Foundation_Calc!$E$2:$G$33,3,1),
IF(J1254&gt;0,VLOOKUP(J1254,Foundation_Calc!$E$2:$G$33,3,1),""))</f>
        <v>PT</v>
      </c>
      <c r="AY1254" s="644">
        <f>IF(L1254="","",
IF(AX1254="PT",VLOOKUP(L1254,Foundation_Calc!$K$79:$R$113,VLOOKUP(AW1254,Foundation_Calc!$I$2:$J$8,2,FALSE),0),
IF(AX1254="K",VLOOKUP(L1254,Foundation_Calc!$K$117:$R$151,VLOOKUP(AW1254,Foundation_Calc!$I$2:$J$8,2,FALSE),0),"")))</f>
        <v>3.5</v>
      </c>
      <c r="AZ1254" s="644" t="str">
        <f>IF(K1254="","",
IF(AX1254="PT",VLOOKUP(K1254,Foundation_Calc!$K$79:$R$113,VLOOKUP(AW1254,Foundation_Calc!$I$2:$J$8,2,FALSE),0),
IF(AX1254="K",VLOOKUP(K1254,Foundation_Calc!$K$117:$R$151,VLOOKUP(AW1254,Foundation_Calc!$I$2:$J$8,2,FALSE),0),"")))</f>
        <v/>
      </c>
      <c r="BA1254" s="495" t="str">
        <f t="shared" si="150"/>
        <v>ü</v>
      </c>
      <c r="BB1254" s="495" t="str">
        <f t="shared" si="151"/>
        <v/>
      </c>
      <c r="BC1254" s="495" t="str">
        <f t="shared" si="152"/>
        <v/>
      </c>
      <c r="BD1254" s="513" t="str">
        <f>IF(AND(L1254="",H1254=""),"",
IF(H1254="",Pole_Calc!A$9,
IF(H1254="MP",Pole_Calc!A$10,
IF(H1254="AnMP",Pole_Calc!A$11,
IF(H1254="A",Pole_Calc!A$12,
IF(H1254="S/A",Pole_Calc!A$13,
IF(H1254="A/S",Pole_Calc!A$14,"Poner a mano")))))))</f>
        <v>App.7-V11I-P9.5.1.6</v>
      </c>
      <c r="BE1254" s="429" t="s">
        <v>118</v>
      </c>
      <c r="BF1254" s="289"/>
      <c r="BG1254" s="289"/>
      <c r="BH1254" s="290"/>
      <c r="BI1254" s="289"/>
    </row>
    <row r="1255" spans="1:61" ht="15.6" customHeight="1">
      <c r="A1255" s="571" t="s">
        <v>119</v>
      </c>
      <c r="B1255" s="450"/>
      <c r="C1255" s="3"/>
      <c r="D1255" s="83"/>
      <c r="E1255" s="4"/>
      <c r="F1255" s="4"/>
      <c r="G1255" s="6">
        <v>57</v>
      </c>
      <c r="H1255" s="449"/>
      <c r="I1255" s="4"/>
      <c r="J1255" s="3"/>
      <c r="K1255" s="449"/>
      <c r="L1255" s="449"/>
      <c r="M1255" s="449" t="str">
        <f>IF(L1255="","",
IF(AX1255="PT",VLOOKUP(L1255,Foundation_Calc!$V$79:$X$113,VLOOKUP(AX1255,Foundation_Calc!$I$10:$J$13,2,FALSE),0),
IF(AX1255="K",VLOOKUP(L1255,Foundation_Calc!$V$117:$X$151,VLOOKUP(AX1255,Foundation_Calc!$I$10:$J$13,2,FALSE),0),"")))</f>
        <v/>
      </c>
      <c r="N1255" s="449"/>
      <c r="O1255" s="449"/>
      <c r="P1255" s="449"/>
      <c r="Q1255" s="4"/>
      <c r="R1255" s="6"/>
      <c r="S1255" s="6"/>
      <c r="T1255" s="4"/>
      <c r="U1255" s="4"/>
      <c r="V1255" s="4"/>
      <c r="W1255" s="9"/>
      <c r="X1255" s="9"/>
      <c r="Y1255" s="9"/>
      <c r="Z1255" s="9"/>
      <c r="AA1255" s="9"/>
      <c r="AB1255" s="9"/>
      <c r="AC1255" s="449" t="str">
        <f t="shared" si="146"/>
        <v/>
      </c>
      <c r="AD1255" s="449"/>
      <c r="AE1255" s="449"/>
      <c r="AF1255" s="4"/>
      <c r="AG1255" s="83"/>
      <c r="AH1255" s="4"/>
      <c r="AI1255" s="4"/>
      <c r="AJ1255" s="449"/>
      <c r="AK1255" s="449"/>
      <c r="AL1255" s="449"/>
      <c r="AM1255" s="449"/>
      <c r="AN1255" s="10"/>
      <c r="AO1255" s="9"/>
      <c r="AP1255" s="9"/>
      <c r="AQ1255" s="9">
        <f>+FL_2($U$1258,$T$1254,$G$1255,1200,9.28,-1*$F$1258)</f>
        <v>-0.41344752729824569</v>
      </c>
      <c r="AR1255" s="9"/>
      <c r="AS1255" s="9"/>
      <c r="AT1255" s="9"/>
      <c r="AU1255" s="428"/>
      <c r="AV1255" s="428"/>
      <c r="AW1255" s="449" t="str">
        <f>IF(C1255&gt;0,VLOOKUP(C1255,Foundation_Calc!$A$2:$C$13,3,1),
IF(J1255&gt;0,VLOOKUP(J1255,Foundation_Calc!$A$2:$C$13,3,1),""))</f>
        <v/>
      </c>
      <c r="AX1255" s="449" t="str">
        <f>IF(C1255&gt;0,VLOOKUP(C1255,Foundation_Calc!$E$2:$G$33,3,1),
IF(J1255&gt;0,VLOOKUP(J1255,Foundation_Calc!$E$2:$G$33,3,1),""))</f>
        <v/>
      </c>
      <c r="AY1255" s="10" t="str">
        <f>IF(L1255="","",
IF(AX1255="PT",VLOOKUP(L1255,Foundation_Calc!$K$79:$R$113,VLOOKUP(AW1255,Foundation_Calc!$I$2:$J$8,2,FALSE),0),
IF(AX1255="K",VLOOKUP(L1255,Foundation_Calc!$K$117:$R$151,VLOOKUP(AW1255,Foundation_Calc!$I$2:$J$8,2,FALSE),0),"")))</f>
        <v/>
      </c>
      <c r="AZ1255" s="10" t="str">
        <f>IF(K1255="","",
IF(AX1255="PT",VLOOKUP(K1255,Foundation_Calc!$K$79:$R$113,VLOOKUP(AW1255,Foundation_Calc!$I$2:$J$8,2,FALSE),0),
IF(AX1255="K",VLOOKUP(K1255,Foundation_Calc!$K$117:$R$151,VLOOKUP(AW1255,Foundation_Calc!$I$2:$J$8,2,FALSE),0),"")))</f>
        <v/>
      </c>
      <c r="BA1255" s="495" t="str">
        <f t="shared" si="150"/>
        <v/>
      </c>
      <c r="BB1255" s="495" t="str">
        <f t="shared" si="151"/>
        <v/>
      </c>
      <c r="BC1255" s="495" t="str">
        <f t="shared" si="152"/>
        <v/>
      </c>
      <c r="BD1255" s="513" t="str">
        <f>IF(AND(L1255="",H1255=""),"",
IF(H1255="",Pole_Calc!A$9,
IF(H1255="MP",Pole_Calc!A$10,
IF(H1255="AnMP",Pole_Calc!A$11,
IF(H1255="A",Pole_Calc!A$12,
IF(H1255="S/A",Pole_Calc!A$13,
IF(H1255="A/S",Pole_Calc!A$14,"Poner a mano")))))))</f>
        <v/>
      </c>
      <c r="BE1255" s="429" t="s">
        <v>118</v>
      </c>
      <c r="BF1255" s="290"/>
      <c r="BG1255" s="290"/>
      <c r="BH1255" s="290"/>
      <c r="BI1255" s="290"/>
    </row>
    <row r="1256" spans="1:61" ht="15.6" customHeight="1">
      <c r="A1256" s="571" t="s">
        <v>119</v>
      </c>
      <c r="B1256" s="450" t="s">
        <v>918</v>
      </c>
      <c r="C1256" s="3">
        <f>+$C$1258-$G$1257</f>
        <v>60686.39999999998</v>
      </c>
      <c r="D1256" s="83"/>
      <c r="E1256" s="4"/>
      <c r="F1256" s="4"/>
      <c r="G1256" s="6"/>
      <c r="H1256" s="449"/>
      <c r="I1256" s="4"/>
      <c r="J1256" s="3"/>
      <c r="K1256" s="449"/>
      <c r="L1256" s="449" t="s">
        <v>128</v>
      </c>
      <c r="M1256" s="449" t="str">
        <f>IF(L1256="","",
IF(AX1256="PT",VLOOKUP(L1256,Foundation_Calc!$V$79:$X$113,VLOOKUP(AX1256,Foundation_Calc!$I$10:$J$13,2,FALSE),0),
IF(AX1256="K",VLOOKUP(L1256,Foundation_Calc!$V$117:$X$151,VLOOKUP(AX1256,Foundation_Calc!$I$10:$J$13,2,FALSE),0),"")))</f>
        <v>T-SING FOUND.</v>
      </c>
      <c r="N1256" s="449"/>
      <c r="O1256" s="449"/>
      <c r="P1256" s="449"/>
      <c r="Q1256" s="4"/>
      <c r="R1256" s="6"/>
      <c r="S1256" s="6"/>
      <c r="T1256" s="4"/>
      <c r="U1256" s="4"/>
      <c r="V1256" s="4"/>
      <c r="W1256" s="9"/>
      <c r="X1256" s="9"/>
      <c r="Y1256" s="9"/>
      <c r="Z1256" s="9"/>
      <c r="AA1256" s="9"/>
      <c r="AB1256" s="9"/>
      <c r="AC1256" s="449" t="str">
        <f t="shared" si="146"/>
        <v/>
      </c>
      <c r="AD1256" s="449"/>
      <c r="AE1256" s="449"/>
      <c r="AF1256" s="4"/>
      <c r="AG1256" s="83"/>
      <c r="AH1256" s="4"/>
      <c r="AI1256" s="4"/>
      <c r="AJ1256" s="449"/>
      <c r="AK1256" s="449"/>
      <c r="AL1256" s="449"/>
      <c r="AM1256" s="449"/>
      <c r="AN1256" s="10">
        <v>5.5</v>
      </c>
      <c r="AO1256" s="9"/>
      <c r="AP1256" s="9"/>
      <c r="AQ1256" s="9"/>
      <c r="AR1256" s="9"/>
      <c r="AS1256" s="9"/>
      <c r="AT1256" s="9"/>
      <c r="AU1256" s="428"/>
      <c r="AV1256" s="428"/>
      <c r="AW1256" s="449" t="str">
        <f>IF(C1256&gt;0,VLOOKUP(C1256,Foundation_Calc!$A$2:$C$13,3,1),
IF(J1256&gt;0,VLOOKUP(J1256,Foundation_Calc!$A$2:$C$13,3,1),""))</f>
        <v>Multi Soil</v>
      </c>
      <c r="AX1256" s="449" t="str">
        <f>IF(C1256&gt;0,VLOOKUP(C1256,Foundation_Calc!$E$2:$G$33,3,1),
IF(J1256&gt;0,VLOOKUP(J1256,Foundation_Calc!$E$2:$G$33,3,1),""))</f>
        <v>PT</v>
      </c>
      <c r="AY1256" s="10">
        <f>IF(L1256="","",
IF(AX1256="PT",VLOOKUP(L1256,Foundation_Calc!$K$79:$R$113,VLOOKUP(AW1256,Foundation_Calc!$I$2:$J$8,2,FALSE),0),
IF(AX1256="K",VLOOKUP(L1256,Foundation_Calc!$K$117:$R$151,VLOOKUP(AW1256,Foundation_Calc!$I$2:$J$8,2,FALSE),0),"")))</f>
        <v>1.2</v>
      </c>
      <c r="AZ1256" s="10" t="str">
        <f>IF(K1256="","",
IF(AX1256="PT",VLOOKUP(K1256,Foundation_Calc!$K$79:$R$113,VLOOKUP(AW1256,Foundation_Calc!$I$2:$J$8,2,FALSE),0),
IF(AX1256="K",VLOOKUP(K1256,Foundation_Calc!$K$117:$R$151,VLOOKUP(AW1256,Foundation_Calc!$I$2:$J$8,2,FALSE),0),"")))</f>
        <v/>
      </c>
      <c r="BA1256" s="495" t="str">
        <f t="shared" si="150"/>
        <v>ü</v>
      </c>
      <c r="BB1256" s="495" t="str">
        <f t="shared" si="151"/>
        <v/>
      </c>
      <c r="BC1256" s="495" t="str">
        <f t="shared" si="152"/>
        <v/>
      </c>
      <c r="BD1256" s="513"/>
      <c r="BE1256" s="429" t="s">
        <v>118</v>
      </c>
      <c r="BF1256" s="289"/>
      <c r="BG1256" s="289"/>
      <c r="BH1256" s="290"/>
      <c r="BI1256" s="289"/>
    </row>
    <row r="1257" spans="1:61" ht="15.6" customHeight="1">
      <c r="A1257" s="571" t="s">
        <v>119</v>
      </c>
      <c r="B1257" s="450"/>
      <c r="C1257" s="3"/>
      <c r="D1257" s="83"/>
      <c r="E1257" s="4"/>
      <c r="F1257" s="4"/>
      <c r="G1257" s="6">
        <v>25</v>
      </c>
      <c r="H1257" s="449"/>
      <c r="I1257" s="4"/>
      <c r="J1257" s="3"/>
      <c r="K1257" s="449"/>
      <c r="L1257" s="449"/>
      <c r="M1257" s="449" t="str">
        <f>IF(L1257="","",
IF(AX1257="PT",VLOOKUP(L1257,Foundation_Calc!$V$79:$X$113,VLOOKUP(AX1257,Foundation_Calc!$I$10:$J$13,2,FALSE),0),
IF(AX1257="K",VLOOKUP(L1257,Foundation_Calc!$V$117:$X$151,VLOOKUP(AX1257,Foundation_Calc!$I$10:$J$13,2,FALSE),0),"")))</f>
        <v/>
      </c>
      <c r="N1257" s="449"/>
      <c r="O1257" s="449"/>
      <c r="P1257" s="449"/>
      <c r="Q1257" s="4"/>
      <c r="R1257" s="6"/>
      <c r="S1257" s="6"/>
      <c r="T1257" s="4"/>
      <c r="U1257" s="4"/>
      <c r="V1257" s="4"/>
      <c r="W1257" s="9"/>
      <c r="X1257" s="9"/>
      <c r="Y1257" s="9"/>
      <c r="Z1257" s="9"/>
      <c r="AA1257" s="9"/>
      <c r="AB1257" s="9"/>
      <c r="AC1257" s="449" t="str">
        <f t="shared" si="146"/>
        <v/>
      </c>
      <c r="AD1257" s="449"/>
      <c r="AE1257" s="449"/>
      <c r="AF1257" s="4"/>
      <c r="AG1257" s="83"/>
      <c r="AH1257" s="4"/>
      <c r="AI1257" s="4"/>
      <c r="AJ1257" s="449"/>
      <c r="AK1257" s="449"/>
      <c r="AL1257" s="449"/>
      <c r="AM1257" s="449"/>
      <c r="AN1257" s="10"/>
      <c r="AO1257" s="9"/>
      <c r="AP1257" s="9"/>
      <c r="AQ1257" s="9"/>
      <c r="AR1257" s="9"/>
      <c r="AS1257" s="9"/>
      <c r="AT1257" s="9"/>
      <c r="AU1257" s="428"/>
      <c r="AV1257" s="428"/>
      <c r="AW1257" s="449" t="str">
        <f>IF(C1257&gt;0,VLOOKUP(C1257,Foundation_Calc!$A$2:$C$13,3,1),
IF(J1257&gt;0,VLOOKUP(J1257,Foundation_Calc!$A$2:$C$13,3,1),""))</f>
        <v/>
      </c>
      <c r="AX1257" s="449" t="str">
        <f>IF(C1257&gt;0,VLOOKUP(C1257,Foundation_Calc!$E$2:$G$33,3,1),
IF(J1257&gt;0,VLOOKUP(J1257,Foundation_Calc!$E$2:$G$33,3,1),""))</f>
        <v/>
      </c>
      <c r="AY1257" s="10" t="str">
        <f>IF(L1257="","",
IF(AX1257="PT",VLOOKUP(L1257,Foundation_Calc!$K$79:$R$113,VLOOKUP(AW1257,Foundation_Calc!$I$2:$J$8,2,FALSE),0),
IF(AX1257="K",VLOOKUP(L1257,Foundation_Calc!$K$117:$R$151,VLOOKUP(AW1257,Foundation_Calc!$I$2:$J$8,2,FALSE),0),"")))</f>
        <v/>
      </c>
      <c r="AZ1257" s="10" t="str">
        <f>IF(K1257="","",
IF(AX1257="PT",VLOOKUP(K1257,Foundation_Calc!$K$79:$R$113,VLOOKUP(AW1257,Foundation_Calc!$I$2:$J$8,2,FALSE),0),
IF(AX1257="K",VLOOKUP(K1257,Foundation_Calc!$K$117:$R$151,VLOOKUP(AW1257,Foundation_Calc!$I$2:$J$8,2,FALSE),0),"")))</f>
        <v/>
      </c>
      <c r="BA1257" s="495" t="str">
        <f t="shared" si="150"/>
        <v/>
      </c>
      <c r="BB1257" s="495" t="str">
        <f t="shared" si="151"/>
        <v/>
      </c>
      <c r="BC1257" s="495" t="str">
        <f t="shared" si="152"/>
        <v/>
      </c>
      <c r="BD1257" s="513" t="str">
        <f>IF(AND(L1257="",H1257=""),"",
IF(H1257="",Pole_Calc!A$9,
IF(H1257="MP",Pole_Calc!A$10,
IF(H1257="AnMP",Pole_Calc!A$11,
IF(H1257="A",Pole_Calc!A$12,
IF(H1257="S/A",Pole_Calc!A$13,
IF(H1257="A/S",Pole_Calc!A$14,"Poner a mano")))))))</f>
        <v/>
      </c>
      <c r="BE1257" s="429" t="s">
        <v>118</v>
      </c>
      <c r="BF1257" s="290"/>
      <c r="BG1257" s="290"/>
      <c r="BH1257" s="290"/>
      <c r="BI1257" s="290"/>
    </row>
    <row r="1258" spans="1:61" ht="15.6" customHeight="1">
      <c r="A1258" s="636" t="s">
        <v>919</v>
      </c>
      <c r="B1258" s="637" t="s">
        <v>920</v>
      </c>
      <c r="C1258" s="638">
        <f>+$C$1254+$G$1255</f>
        <v>60711.39999999998</v>
      </c>
      <c r="D1258" s="639"/>
      <c r="E1258" s="640"/>
      <c r="F1258" s="640">
        <v>0</v>
      </c>
      <c r="G1258" s="641"/>
      <c r="H1258" s="642" t="s">
        <v>131</v>
      </c>
      <c r="I1258" s="640" t="s">
        <v>132</v>
      </c>
      <c r="J1258" s="638"/>
      <c r="K1258" s="642"/>
      <c r="L1258" s="642" t="s">
        <v>158</v>
      </c>
      <c r="M1258" s="642" t="str">
        <f>IF(L1258="","",
IF(AX1258="PT",VLOOKUP(L1258,Foundation_Calc!$V$79:$X$113,VLOOKUP(AX1258,Foundation_Calc!$I$10:$J$13,2,FALSE),0),
IF(AX1258="K",VLOOKUP(L1258,Foundation_Calc!$V$117:$X$151,VLOOKUP(AX1258,Foundation_Calc!$I$10:$J$13,2,FALSE),0),"")))</f>
        <v>C4R</v>
      </c>
      <c r="N1258" s="642" t="s">
        <v>133</v>
      </c>
      <c r="O1258" s="642" t="s">
        <v>134</v>
      </c>
      <c r="P1258" s="642"/>
      <c r="Q1258" s="640"/>
      <c r="R1258" s="641"/>
      <c r="S1258" s="641"/>
      <c r="T1258" s="640">
        <v>55</v>
      </c>
      <c r="U1258" s="640">
        <v>10</v>
      </c>
      <c r="V1258" s="640"/>
      <c r="W1258" s="643">
        <v>1.4</v>
      </c>
      <c r="X1258" s="643">
        <v>2.2999999999999998</v>
      </c>
      <c r="Y1258" s="643"/>
      <c r="Z1258" s="643">
        <v>0.45</v>
      </c>
      <c r="AA1258" s="643"/>
      <c r="AB1258" s="643"/>
      <c r="AC1258" s="642" t="str">
        <f t="shared" si="146"/>
        <v>PH</v>
      </c>
      <c r="AD1258" s="642"/>
      <c r="AE1258" s="642"/>
      <c r="AF1258" s="640"/>
      <c r="AG1258" s="639"/>
      <c r="AH1258" s="640"/>
      <c r="AI1258" s="640"/>
      <c r="AJ1258" s="642" t="s">
        <v>135</v>
      </c>
      <c r="AK1258" s="642"/>
      <c r="AL1258" s="642"/>
      <c r="AM1258" s="642" t="s">
        <v>126</v>
      </c>
      <c r="AN1258" s="644">
        <v>5.5</v>
      </c>
      <c r="AO1258" s="643"/>
      <c r="AP1258" s="643"/>
      <c r="AQ1258" s="643"/>
      <c r="AR1258" s="643"/>
      <c r="AS1258" s="643"/>
      <c r="AT1258" s="643">
        <f>+ab($U$1258,$T$1254,$T$1260,$G$1255,$G$1259,-1*$F$1258,1200)</f>
        <v>17.857226264025432</v>
      </c>
      <c r="AU1258" s="645"/>
      <c r="AV1258" s="645"/>
      <c r="AW1258" s="642" t="str">
        <f>IF(C1258&gt;0,VLOOKUP(C1258,Foundation_Calc!$A$2:$C$13,3,1),
IF(J1258&gt;0,VLOOKUP(J1258,Foundation_Calc!$A$2:$C$13,3,1),""))</f>
        <v>Multi Soil</v>
      </c>
      <c r="AX1258" s="642" t="str">
        <f>IF(C1258&gt;0,VLOOKUP(C1258,Foundation_Calc!$E$2:$G$33,3,1),
IF(J1258&gt;0,VLOOKUP(J1258,Foundation_Calc!$E$2:$G$33,3,1),""))</f>
        <v>PT</v>
      </c>
      <c r="AY1258" s="644">
        <f>IF(L1258="","",
IF(AX1258="PT",VLOOKUP(L1258,Foundation_Calc!$K$79:$R$113,VLOOKUP(AW1258,Foundation_Calc!$I$2:$J$8,2,FALSE),0),
IF(AX1258="K",VLOOKUP(L1258,Foundation_Calc!$K$117:$R$151,VLOOKUP(AW1258,Foundation_Calc!$I$2:$J$8,2,FALSE),0),"")))</f>
        <v>3.5</v>
      </c>
      <c r="AZ1258" s="644" t="str">
        <f>IF(K1258="","",
IF(AX1258="PT",VLOOKUP(K1258,Foundation_Calc!$K$79:$R$113,VLOOKUP(AW1258,Foundation_Calc!$I$2:$J$8,2,FALSE),0),
IF(AX1258="K",VLOOKUP(K1258,Foundation_Calc!$K$117:$R$151,VLOOKUP(AW1258,Foundation_Calc!$I$2:$J$8,2,FALSE),0),"")))</f>
        <v/>
      </c>
      <c r="BA1258" s="495" t="str">
        <f t="shared" si="150"/>
        <v>ü</v>
      </c>
      <c r="BB1258" s="495" t="str">
        <f t="shared" si="151"/>
        <v/>
      </c>
      <c r="BC1258" s="495" t="str">
        <f t="shared" si="152"/>
        <v/>
      </c>
      <c r="BD1258" s="513" t="str">
        <f>IF(AND(L1258="",H1258=""),"",
IF(H1258="",Pole_Calc!A$9,
IF(H1258="MP",Pole_Calc!A$10,
IF(H1258="AnMP",Pole_Calc!A$11,
IF(H1258="A",Pole_Calc!A$12,
IF(H1258="S/A",Pole_Calc!A$13,
IF(H1258="A/S",Pole_Calc!A$14,"Poner a mano")))))))</f>
        <v>App.7-V11I-P9.5.1.5</v>
      </c>
      <c r="BE1258" s="429" t="s">
        <v>118</v>
      </c>
      <c r="BF1258" s="289"/>
      <c r="BG1258" s="289"/>
      <c r="BH1258" s="290"/>
      <c r="BI1258" s="289"/>
    </row>
    <row r="1259" spans="1:61" ht="15.6" customHeight="1">
      <c r="A1259" s="571" t="s">
        <v>119</v>
      </c>
      <c r="B1259" s="450"/>
      <c r="C1259" s="3"/>
      <c r="D1259" s="83"/>
      <c r="E1259" s="4"/>
      <c r="F1259" s="4"/>
      <c r="G1259" s="6">
        <v>47</v>
      </c>
      <c r="H1259" s="449"/>
      <c r="I1259" s="4"/>
      <c r="J1259" s="3"/>
      <c r="K1259" s="449"/>
      <c r="L1259" s="449"/>
      <c r="M1259" s="449" t="str">
        <f>IF(L1259="","",
IF(AX1259="PT",VLOOKUP(L1259,Foundation_Calc!$V$79:$X$113,VLOOKUP(AX1259,Foundation_Calc!$I$10:$J$13,2,FALSE),0),
IF(AX1259="K",VLOOKUP(L1259,Foundation_Calc!$V$117:$X$151,VLOOKUP(AX1259,Foundation_Calc!$I$10:$J$13,2,FALSE),0),"")))</f>
        <v/>
      </c>
      <c r="N1259" s="449"/>
      <c r="O1259" s="449"/>
      <c r="P1259" s="449"/>
      <c r="Q1259" s="4"/>
      <c r="R1259" s="6"/>
      <c r="S1259" s="6"/>
      <c r="T1259" s="4"/>
      <c r="U1259" s="4"/>
      <c r="V1259" s="4"/>
      <c r="W1259" s="9"/>
      <c r="X1259" s="9"/>
      <c r="Y1259" s="9"/>
      <c r="Z1259" s="9"/>
      <c r="AA1259" s="9"/>
      <c r="AB1259" s="9"/>
      <c r="AC1259" s="449" t="str">
        <f t="shared" si="146"/>
        <v/>
      </c>
      <c r="AD1259" s="449"/>
      <c r="AE1259" s="449"/>
      <c r="AF1259" s="4"/>
      <c r="AG1259" s="83"/>
      <c r="AH1259" s="4"/>
      <c r="AI1259" s="4"/>
      <c r="AJ1259" s="449" t="s">
        <v>668</v>
      </c>
      <c r="AK1259" s="449"/>
      <c r="AL1259" s="449"/>
      <c r="AM1259" s="449"/>
      <c r="AN1259" s="10"/>
      <c r="AO1259" s="9"/>
      <c r="AP1259" s="9"/>
      <c r="AQ1259" s="9">
        <f>+FL_1($T$1260,$U$1258,$G$1259,1200,9.28,-1*$F$1260)</f>
        <v>0.22524425531914893</v>
      </c>
      <c r="AR1259" s="9"/>
      <c r="AS1259" s="9"/>
      <c r="AT1259" s="9"/>
      <c r="AU1259" s="428"/>
      <c r="AV1259" s="428"/>
      <c r="AW1259" s="449" t="str">
        <f>IF(C1259&gt;0,VLOOKUP(C1259,Foundation_Calc!$A$2:$C$13,3,1),
IF(J1259&gt;0,VLOOKUP(J1259,Foundation_Calc!$A$2:$C$13,3,1),""))</f>
        <v/>
      </c>
      <c r="AX1259" s="449" t="str">
        <f>IF(C1259&gt;0,VLOOKUP(C1259,Foundation_Calc!$E$2:$G$33,3,1),
IF(J1259&gt;0,VLOOKUP(J1259,Foundation_Calc!$E$2:$G$33,3,1),""))</f>
        <v/>
      </c>
      <c r="AY1259" s="10" t="str">
        <f>IF(L1259="","",
IF(AX1259="PT",VLOOKUP(L1259,Foundation_Calc!$K$79:$R$113,VLOOKUP(AW1259,Foundation_Calc!$I$2:$J$8,2,FALSE),0),
IF(AX1259="K",VLOOKUP(L1259,Foundation_Calc!$K$117:$R$151,VLOOKUP(AW1259,Foundation_Calc!$I$2:$J$8,2,FALSE),0),"")))</f>
        <v/>
      </c>
      <c r="AZ1259" s="10" t="str">
        <f>IF(K1259="","",
IF(AX1259="PT",VLOOKUP(K1259,Foundation_Calc!$K$79:$R$113,VLOOKUP(AW1259,Foundation_Calc!$I$2:$J$8,2,FALSE),0),
IF(AX1259="K",VLOOKUP(K1259,Foundation_Calc!$K$117:$R$151,VLOOKUP(AW1259,Foundation_Calc!$I$2:$J$8,2,FALSE),0),"")))</f>
        <v/>
      </c>
      <c r="BA1259" s="495" t="str">
        <f t="shared" si="150"/>
        <v/>
      </c>
      <c r="BB1259" s="495" t="str">
        <f t="shared" si="151"/>
        <v/>
      </c>
      <c r="BC1259" s="495" t="str">
        <f t="shared" si="152"/>
        <v/>
      </c>
      <c r="BD1259" s="513" t="str">
        <f>IF(AND(L1259="",H1259=""),"",
IF(H1259="",Pole_Calc!A$9,
IF(H1259="MP",Pole_Calc!A$10,
IF(H1259="AnMP",Pole_Calc!A$11,
IF(H1259="A",Pole_Calc!A$12,
IF(H1259="S/A",Pole_Calc!A$13,
IF(H1259="A/S",Pole_Calc!A$14,"Poner a mano")))))))</f>
        <v/>
      </c>
      <c r="BE1259" s="429" t="s">
        <v>118</v>
      </c>
      <c r="BF1259" s="290"/>
      <c r="BG1259" s="290"/>
      <c r="BH1259" s="290"/>
      <c r="BI1259" s="290"/>
    </row>
    <row r="1260" spans="1:61" ht="15.6" customHeight="1">
      <c r="A1260" s="636" t="s">
        <v>921</v>
      </c>
      <c r="B1260" s="637" t="s">
        <v>922</v>
      </c>
      <c r="C1260" s="638">
        <f>+$C$1258+$G$1259</f>
        <v>60758.39999999998</v>
      </c>
      <c r="D1260" s="639"/>
      <c r="E1260" s="640"/>
      <c r="F1260" s="640">
        <v>0</v>
      </c>
      <c r="G1260" s="641"/>
      <c r="H1260" s="642" t="s">
        <v>131</v>
      </c>
      <c r="I1260" s="640" t="s">
        <v>132</v>
      </c>
      <c r="J1260" s="638"/>
      <c r="K1260" s="642"/>
      <c r="L1260" s="642" t="s">
        <v>158</v>
      </c>
      <c r="M1260" s="642" t="str">
        <f>IF(L1260="","",
IF(AX1260="PT",VLOOKUP(L1260,Foundation_Calc!$V$79:$X$113,VLOOKUP(AX1260,Foundation_Calc!$I$10:$J$13,2,FALSE),0),
IF(AX1260="K",VLOOKUP(L1260,Foundation_Calc!$V$117:$X$151,VLOOKUP(AX1260,Foundation_Calc!$I$10:$J$13,2,FALSE),0),"")))</f>
        <v>C4R</v>
      </c>
      <c r="N1260" s="642" t="s">
        <v>124</v>
      </c>
      <c r="O1260" s="642" t="s">
        <v>133</v>
      </c>
      <c r="P1260" s="642"/>
      <c r="Q1260" s="640"/>
      <c r="R1260" s="641"/>
      <c r="S1260" s="641"/>
      <c r="T1260" s="640">
        <v>-10</v>
      </c>
      <c r="U1260" s="640">
        <v>-55</v>
      </c>
      <c r="V1260" s="640"/>
      <c r="W1260" s="643">
        <v>1.4</v>
      </c>
      <c r="X1260" s="643">
        <v>2.2999999999999998</v>
      </c>
      <c r="Y1260" s="643"/>
      <c r="Z1260" s="643"/>
      <c r="AA1260" s="643">
        <v>0.45</v>
      </c>
      <c r="AB1260" s="643"/>
      <c r="AC1260" s="642" t="str">
        <f t="shared" si="146"/>
        <v>PH</v>
      </c>
      <c r="AD1260" s="642"/>
      <c r="AE1260" s="642"/>
      <c r="AF1260" s="640"/>
      <c r="AG1260" s="639"/>
      <c r="AH1260" s="640"/>
      <c r="AI1260" s="640"/>
      <c r="AJ1260" s="642" t="s">
        <v>135</v>
      </c>
      <c r="AK1260" s="642"/>
      <c r="AL1260" s="642"/>
      <c r="AM1260" s="642" t="s">
        <v>126</v>
      </c>
      <c r="AN1260" s="644">
        <v>5.5</v>
      </c>
      <c r="AO1260" s="643"/>
      <c r="AP1260" s="643"/>
      <c r="AQ1260" s="643"/>
      <c r="AR1260" s="643"/>
      <c r="AS1260" s="643"/>
      <c r="AT1260" s="643">
        <f>+ab($T$1260,$U$1258,$U$1262,$G$1259,$G$1261,-1*$F$1260,1200)</f>
        <v>-21.481038988212564</v>
      </c>
      <c r="AU1260" s="645"/>
      <c r="AV1260" s="645"/>
      <c r="AW1260" s="642" t="str">
        <f>IF(C1260&gt;0,VLOOKUP(C1260,Foundation_Calc!$A$2:$C$13,3,1),
IF(J1260&gt;0,VLOOKUP(J1260,Foundation_Calc!$A$2:$C$13,3,1),""))</f>
        <v>Multi Soil</v>
      </c>
      <c r="AX1260" s="642" t="str">
        <f>IF(C1260&gt;0,VLOOKUP(C1260,Foundation_Calc!$E$2:$G$33,3,1),
IF(J1260&gt;0,VLOOKUP(J1260,Foundation_Calc!$E$2:$G$33,3,1),""))</f>
        <v>PT</v>
      </c>
      <c r="AY1260" s="644">
        <f>IF(L1260="","",
IF(AX1260="PT",VLOOKUP(L1260,Foundation_Calc!$K$79:$R$113,VLOOKUP(AW1260,Foundation_Calc!$I$2:$J$8,2,FALSE),0),
IF(AX1260="K",VLOOKUP(L1260,Foundation_Calc!$K$117:$R$151,VLOOKUP(AW1260,Foundation_Calc!$I$2:$J$8,2,FALSE),0),"")))</f>
        <v>3.5</v>
      </c>
      <c r="AZ1260" s="644" t="str">
        <f>IF(K1260="","",
IF(AX1260="PT",VLOOKUP(K1260,Foundation_Calc!$K$79:$R$113,VLOOKUP(AW1260,Foundation_Calc!$I$2:$J$8,2,FALSE),0),
IF(AX1260="K",VLOOKUP(K1260,Foundation_Calc!$K$117:$R$151,VLOOKUP(AW1260,Foundation_Calc!$I$2:$J$8,2,FALSE),0),"")))</f>
        <v/>
      </c>
      <c r="BA1260" s="495" t="str">
        <f t="shared" si="150"/>
        <v>ü</v>
      </c>
      <c r="BB1260" s="495" t="str">
        <f t="shared" si="151"/>
        <v/>
      </c>
      <c r="BC1260" s="495" t="str">
        <f t="shared" si="152"/>
        <v/>
      </c>
      <c r="BD1260" s="513" t="str">
        <f>IF(AND(L1260="",H1260=""),"",
IF(H1260="",Pole_Calc!A$9,
IF(H1260="MP",Pole_Calc!A$10,
IF(H1260="AnMP",Pole_Calc!A$11,
IF(H1260="A",Pole_Calc!A$12,
IF(H1260="S/A",Pole_Calc!A$13,
IF(H1260="A/S",Pole_Calc!A$14,"Poner a mano")))))))</f>
        <v>App.7-V11I-P9.5.1.5</v>
      </c>
      <c r="BE1260" s="429" t="s">
        <v>118</v>
      </c>
      <c r="BF1260" s="289"/>
      <c r="BG1260" s="289"/>
      <c r="BH1260" s="290"/>
      <c r="BI1260" s="289"/>
    </row>
    <row r="1261" spans="1:61" ht="15.6" customHeight="1">
      <c r="A1261" s="571" t="s">
        <v>119</v>
      </c>
      <c r="B1261" s="450"/>
      <c r="C1261" s="3"/>
      <c r="D1261" s="83"/>
      <c r="E1261" s="4"/>
      <c r="F1261" s="4"/>
      <c r="G1261" s="6">
        <v>47</v>
      </c>
      <c r="H1261" s="449"/>
      <c r="I1261" s="4"/>
      <c r="J1261" s="3"/>
      <c r="K1261" s="449"/>
      <c r="L1261" s="449"/>
      <c r="M1261" s="449" t="str">
        <f>IF(L1261="","",
IF(AX1261="PT",VLOOKUP(L1261,Foundation_Calc!$V$79:$X$113,VLOOKUP(AX1261,Foundation_Calc!$I$10:$J$13,2,FALSE),0),
IF(AX1261="K",VLOOKUP(L1261,Foundation_Calc!$V$117:$X$151,VLOOKUP(AX1261,Foundation_Calc!$I$10:$J$13,2,FALSE),0),"")))</f>
        <v/>
      </c>
      <c r="N1261" s="449"/>
      <c r="O1261" s="449"/>
      <c r="P1261" s="449"/>
      <c r="Q1261" s="4"/>
      <c r="R1261" s="6"/>
      <c r="S1261" s="6"/>
      <c r="T1261" s="4"/>
      <c r="U1261" s="4"/>
      <c r="V1261" s="4"/>
      <c r="W1261" s="9"/>
      <c r="X1261" s="9"/>
      <c r="Y1261" s="9"/>
      <c r="Z1261" s="9"/>
      <c r="AA1261" s="9"/>
      <c r="AB1261" s="9"/>
      <c r="AC1261" s="449" t="str">
        <f t="shared" si="146"/>
        <v/>
      </c>
      <c r="AD1261" s="449"/>
      <c r="AE1261" s="449"/>
      <c r="AF1261" s="4"/>
      <c r="AG1261" s="83"/>
      <c r="AH1261" s="4"/>
      <c r="AI1261" s="4"/>
      <c r="AJ1261" s="449" t="s">
        <v>668</v>
      </c>
      <c r="AK1261" s="449"/>
      <c r="AL1261" s="449"/>
      <c r="AM1261" s="449"/>
      <c r="AN1261" s="10"/>
      <c r="AO1261" s="9"/>
      <c r="AP1261" s="9"/>
      <c r="AQ1261" s="9">
        <f>+FL_2($U$1262,$T$1260,$G$1261,1200,9.28,-1*$F$1262)</f>
        <v>-0.22524425531914893</v>
      </c>
      <c r="AR1261" s="9"/>
      <c r="AS1261" s="9"/>
      <c r="AT1261" s="9"/>
      <c r="AU1261" s="428"/>
      <c r="AV1261" s="428"/>
      <c r="AW1261" s="449" t="str">
        <f>IF(C1261&gt;0,VLOOKUP(C1261,Foundation_Calc!$A$2:$C$13,3,1),
IF(J1261&gt;0,VLOOKUP(J1261,Foundation_Calc!$A$2:$C$13,3,1),""))</f>
        <v/>
      </c>
      <c r="AX1261" s="449" t="str">
        <f>IF(C1261&gt;0,VLOOKUP(C1261,Foundation_Calc!$E$2:$G$33,3,1),
IF(J1261&gt;0,VLOOKUP(J1261,Foundation_Calc!$E$2:$G$33,3,1),""))</f>
        <v/>
      </c>
      <c r="AY1261" s="10" t="str">
        <f>IF(L1261="","",
IF(AX1261="PT",VLOOKUP(L1261,Foundation_Calc!$K$79:$R$113,VLOOKUP(AW1261,Foundation_Calc!$I$2:$J$8,2,FALSE),0),
IF(AX1261="K",VLOOKUP(L1261,Foundation_Calc!$K$117:$R$151,VLOOKUP(AW1261,Foundation_Calc!$I$2:$J$8,2,FALSE),0),"")))</f>
        <v/>
      </c>
      <c r="AZ1261" s="10" t="str">
        <f>IF(K1261="","",
IF(AX1261="PT",VLOOKUP(K1261,Foundation_Calc!$K$79:$R$113,VLOOKUP(AW1261,Foundation_Calc!$I$2:$J$8,2,FALSE),0),
IF(AX1261="K",VLOOKUP(K1261,Foundation_Calc!$K$117:$R$151,VLOOKUP(AW1261,Foundation_Calc!$I$2:$J$8,2,FALSE),0),"")))</f>
        <v/>
      </c>
      <c r="BA1261" s="495" t="str">
        <f t="shared" si="150"/>
        <v/>
      </c>
      <c r="BB1261" s="495" t="str">
        <f t="shared" si="151"/>
        <v/>
      </c>
      <c r="BC1261" s="495" t="str">
        <f t="shared" si="152"/>
        <v/>
      </c>
      <c r="BD1261" s="513" t="str">
        <f>IF(AND(L1261="",H1261=""),"",
IF(H1261="",Pole_Calc!A$9,
IF(H1261="MP",Pole_Calc!A$10,
IF(H1261="AnMP",Pole_Calc!A$11,
IF(H1261="A",Pole_Calc!A$12,
IF(H1261="S/A",Pole_Calc!A$13,
IF(H1261="A/S",Pole_Calc!A$14,"Poner a mano")))))))</f>
        <v/>
      </c>
      <c r="BE1261" s="429" t="s">
        <v>118</v>
      </c>
      <c r="BF1261" s="290"/>
      <c r="BG1261" s="290"/>
      <c r="BH1261" s="290"/>
      <c r="BI1261" s="290"/>
    </row>
    <row r="1262" spans="1:61" ht="15.6" customHeight="1">
      <c r="A1262" s="571" t="s">
        <v>119</v>
      </c>
      <c r="B1262" s="450" t="s">
        <v>923</v>
      </c>
      <c r="C1262" s="3">
        <f>+$C$1260+$G$1261</f>
        <v>60805.39999999998</v>
      </c>
      <c r="D1262" s="83"/>
      <c r="E1262" s="4"/>
      <c r="F1262" s="4">
        <v>0</v>
      </c>
      <c r="G1262" s="6"/>
      <c r="H1262" s="449" t="s">
        <v>131</v>
      </c>
      <c r="I1262" s="4"/>
      <c r="J1262" s="3"/>
      <c r="K1262" s="449"/>
      <c r="L1262" s="449" t="s">
        <v>158</v>
      </c>
      <c r="M1262" s="449" t="str">
        <f>IF(L1262="","",
IF(AX1262="PT",VLOOKUP(L1262,Foundation_Calc!$V$79:$X$113,VLOOKUP(AX1262,Foundation_Calc!$I$10:$J$13,2,FALSE),0),
IF(AX1262="K",VLOOKUP(L1262,Foundation_Calc!$V$117:$X$151,VLOOKUP(AX1262,Foundation_Calc!$I$10:$J$13,2,FALSE),0),"")))</f>
        <v>C4R</v>
      </c>
      <c r="N1262" s="449" t="s">
        <v>133</v>
      </c>
      <c r="O1262" s="449" t="s">
        <v>134</v>
      </c>
      <c r="P1262" s="449"/>
      <c r="Q1262" s="4"/>
      <c r="R1262" s="6"/>
      <c r="S1262" s="6"/>
      <c r="T1262" s="4">
        <v>55</v>
      </c>
      <c r="U1262" s="4">
        <v>10</v>
      </c>
      <c r="V1262" s="4"/>
      <c r="W1262" s="9">
        <v>1.4</v>
      </c>
      <c r="X1262" s="9">
        <v>2.2999999999999998</v>
      </c>
      <c r="Y1262" s="9"/>
      <c r="Z1262" s="9">
        <v>0.45</v>
      </c>
      <c r="AA1262" s="9"/>
      <c r="AB1262" s="9"/>
      <c r="AC1262" s="449" t="str">
        <f t="shared" si="146"/>
        <v>PH</v>
      </c>
      <c r="AD1262" s="449"/>
      <c r="AE1262" s="449"/>
      <c r="AF1262" s="4"/>
      <c r="AG1262" s="83"/>
      <c r="AH1262" s="4"/>
      <c r="AI1262" s="4"/>
      <c r="AJ1262" s="449" t="s">
        <v>900</v>
      </c>
      <c r="AK1262" s="449"/>
      <c r="AL1262" s="449"/>
      <c r="AM1262" s="449" t="s">
        <v>126</v>
      </c>
      <c r="AN1262" s="10">
        <v>5.5</v>
      </c>
      <c r="AO1262" s="9"/>
      <c r="AP1262" s="9"/>
      <c r="AQ1262" s="9"/>
      <c r="AR1262" s="9"/>
      <c r="AS1262" s="9"/>
      <c r="AT1262" s="9">
        <f>+ab($U$1262,$T$1260,$T$1268,$G$1261,$G$1267,-1*$F$1262,1200)</f>
        <v>19.642365429347556</v>
      </c>
      <c r="AU1262" s="428"/>
      <c r="AV1262" s="428"/>
      <c r="AW1262" s="449" t="str">
        <f>IF(C1262&gt;0,VLOOKUP(C1262,Foundation_Calc!$A$2:$C$13,3,1),
IF(J1262&gt;0,VLOOKUP(J1262,Foundation_Calc!$A$2:$C$13,3,1),""))</f>
        <v>Multi Soil</v>
      </c>
      <c r="AX1262" s="449" t="str">
        <f>IF(C1262&gt;0,VLOOKUP(C1262,Foundation_Calc!$E$2:$G$33,3,1),
IF(J1262&gt;0,VLOOKUP(J1262,Foundation_Calc!$E$2:$G$33,3,1),""))</f>
        <v>PT</v>
      </c>
      <c r="AY1262" s="10">
        <f>IF(L1262="","",
IF(AX1262="PT",VLOOKUP(L1262,Foundation_Calc!$K$79:$R$113,VLOOKUP(AW1262,Foundation_Calc!$I$2:$J$8,2,FALSE),0),
IF(AX1262="K",VLOOKUP(L1262,Foundation_Calc!$K$117:$R$151,VLOOKUP(AW1262,Foundation_Calc!$I$2:$J$8,2,FALSE),0),"")))</f>
        <v>3.5</v>
      </c>
      <c r="AZ1262" s="10" t="str">
        <f>IF(K1262="","",
IF(AX1262="PT",VLOOKUP(K1262,Foundation_Calc!$K$79:$R$113,VLOOKUP(AW1262,Foundation_Calc!$I$2:$J$8,2,FALSE),0),
IF(AX1262="K",VLOOKUP(K1262,Foundation_Calc!$K$117:$R$151,VLOOKUP(AW1262,Foundation_Calc!$I$2:$J$8,2,FALSE),0),"")))</f>
        <v/>
      </c>
      <c r="BA1262" s="495" t="str">
        <f t="shared" si="150"/>
        <v>ü</v>
      </c>
      <c r="BB1262" s="495" t="str">
        <f t="shared" si="151"/>
        <v/>
      </c>
      <c r="BC1262" s="495" t="str">
        <f t="shared" si="152"/>
        <v/>
      </c>
      <c r="BD1262" s="513" t="str">
        <f>IF(AND(L1262="",H1262=""),"",
IF(H1262="",Pole_Calc!A$9,
IF(H1262="MP",Pole_Calc!A$10,
IF(H1262="AnMP",Pole_Calc!A$11,
IF(H1262="A",Pole_Calc!A$12,
IF(H1262="S/A",Pole_Calc!A$13,
IF(H1262="A/S",Pole_Calc!A$14,"Poner a mano")))))))</f>
        <v>App.7-V11I-P9.5.1.5</v>
      </c>
      <c r="BE1262" s="429" t="s">
        <v>118</v>
      </c>
      <c r="BF1262" s="289"/>
      <c r="BG1262" s="289"/>
      <c r="BH1262" s="290"/>
      <c r="BI1262" s="289"/>
    </row>
    <row r="1263" spans="1:61" ht="15.6" customHeight="1">
      <c r="A1263" s="571" t="s">
        <v>119</v>
      </c>
      <c r="B1263" s="450"/>
      <c r="C1263" s="3"/>
      <c r="D1263" s="83"/>
      <c r="E1263" s="4"/>
      <c r="F1263" s="4"/>
      <c r="G1263" s="6">
        <v>5</v>
      </c>
      <c r="H1263" s="449"/>
      <c r="I1263" s="4"/>
      <c r="J1263" s="3"/>
      <c r="K1263" s="449"/>
      <c r="L1263" s="449"/>
      <c r="M1263" s="449" t="str">
        <f>IF(L1263="","",
IF(AX1263="PT",VLOOKUP(L1263,Foundation_Calc!$V$79:$X$113,VLOOKUP(AX1263,Foundation_Calc!$I$10:$J$13,2,FALSE),0),
IF(AX1263="K",VLOOKUP(L1263,Foundation_Calc!$V$117:$X$151,VLOOKUP(AX1263,Foundation_Calc!$I$10:$J$13,2,FALSE),0),"")))</f>
        <v/>
      </c>
      <c r="N1263" s="449"/>
      <c r="O1263" s="449"/>
      <c r="P1263" s="449"/>
      <c r="Q1263" s="4"/>
      <c r="R1263" s="6"/>
      <c r="S1263" s="6"/>
      <c r="T1263" s="4"/>
      <c r="U1263" s="4"/>
      <c r="V1263" s="4"/>
      <c r="W1263" s="9"/>
      <c r="X1263" s="9"/>
      <c r="Y1263" s="9"/>
      <c r="Z1263" s="9"/>
      <c r="AA1263" s="9"/>
      <c r="AB1263" s="9"/>
      <c r="AC1263" s="449" t="str">
        <f t="shared" si="146"/>
        <v/>
      </c>
      <c r="AD1263" s="449"/>
      <c r="AE1263" s="449"/>
      <c r="AF1263" s="4"/>
      <c r="AG1263" s="83"/>
      <c r="AH1263" s="4"/>
      <c r="AI1263" s="4"/>
      <c r="AJ1263" s="449"/>
      <c r="AK1263" s="449"/>
      <c r="AL1263" s="449"/>
      <c r="AM1263" s="449"/>
      <c r="AN1263" s="10"/>
      <c r="AO1263" s="9"/>
      <c r="AP1263" s="9"/>
      <c r="AQ1263" s="9"/>
      <c r="AR1263" s="9"/>
      <c r="AS1263" s="9"/>
      <c r="AT1263" s="9"/>
      <c r="AU1263" s="428"/>
      <c r="AV1263" s="428"/>
      <c r="AW1263" s="449" t="str">
        <f>IF(C1263&gt;0,VLOOKUP(C1263,Foundation_Calc!$A$2:$C$13,3,1),
IF(J1263&gt;0,VLOOKUP(J1263,Foundation_Calc!$A$2:$C$13,3,1),""))</f>
        <v/>
      </c>
      <c r="AX1263" s="449" t="str">
        <f>IF(C1263&gt;0,VLOOKUP(C1263,Foundation_Calc!$E$2:$G$33,3,1),
IF(J1263&gt;0,VLOOKUP(J1263,Foundation_Calc!$E$2:$G$33,3,1),""))</f>
        <v/>
      </c>
      <c r="AY1263" s="10" t="str">
        <f>IF(L1263="","",
IF(AX1263="PT",VLOOKUP(L1263,Foundation_Calc!$K$79:$R$113,VLOOKUP(AW1263,Foundation_Calc!$I$2:$J$8,2,FALSE),0),
IF(AX1263="K",VLOOKUP(L1263,Foundation_Calc!$K$117:$R$151,VLOOKUP(AW1263,Foundation_Calc!$I$2:$J$8,2,FALSE),0),"")))</f>
        <v/>
      </c>
      <c r="AZ1263" s="10" t="str">
        <f>IF(K1263="","",
IF(AX1263="PT",VLOOKUP(K1263,Foundation_Calc!$K$79:$R$113,VLOOKUP(AW1263,Foundation_Calc!$I$2:$J$8,2,FALSE),0),
IF(AX1263="K",VLOOKUP(K1263,Foundation_Calc!$K$117:$R$151,VLOOKUP(AW1263,Foundation_Calc!$I$2:$J$8,2,FALSE),0),"")))</f>
        <v/>
      </c>
      <c r="BA1263" s="495" t="str">
        <f t="shared" si="150"/>
        <v/>
      </c>
      <c r="BB1263" s="495" t="str">
        <f t="shared" si="151"/>
        <v/>
      </c>
      <c r="BC1263" s="495" t="str">
        <f t="shared" si="152"/>
        <v/>
      </c>
      <c r="BD1263" s="513" t="str">
        <f>IF(AND(L1263="",H1263=""),"",
IF(H1263="",Pole_Calc!A$9,
IF(H1263="MP",Pole_Calc!A$10,
IF(H1263="AnMP",Pole_Calc!A$11,
IF(H1263="A",Pole_Calc!A$12,
IF(H1263="S/A",Pole_Calc!A$13,
IF(H1263="A/S",Pole_Calc!A$14,"Poner a mano")))))))</f>
        <v/>
      </c>
      <c r="BE1263" s="429" t="s">
        <v>118</v>
      </c>
      <c r="BF1263" s="290"/>
      <c r="BG1263" s="290"/>
      <c r="BH1263" s="290"/>
      <c r="BI1263" s="290"/>
    </row>
    <row r="1264" spans="1:61" ht="15.6" customHeight="1">
      <c r="A1264" s="636" t="s">
        <v>924</v>
      </c>
      <c r="B1264" s="637" t="s">
        <v>925</v>
      </c>
      <c r="C1264" s="638">
        <f>+$C$1262+$G$1263</f>
        <v>60810.39999999998</v>
      </c>
      <c r="D1264" s="639"/>
      <c r="E1264" s="640"/>
      <c r="F1264" s="640">
        <v>0</v>
      </c>
      <c r="G1264" s="641"/>
      <c r="H1264" s="642"/>
      <c r="I1264" s="640" t="s">
        <v>139</v>
      </c>
      <c r="J1264" s="638"/>
      <c r="K1264" s="642"/>
      <c r="L1264" s="642" t="s">
        <v>142</v>
      </c>
      <c r="M1264" s="642" t="str">
        <f>IF(L1264="","",
IF(AX1264="PT",VLOOKUP(L1264,Foundation_Calc!$V$79:$X$113,VLOOKUP(AX1264,Foundation_Calc!$I$10:$J$13,2,FALSE),0),
IF(AX1264="K",VLOOKUP(L1264,Foundation_Calc!$V$117:$X$151,VLOOKUP(AX1264,Foundation_Calc!$I$10:$J$13,2,FALSE),0),"")))</f>
        <v>C9R</v>
      </c>
      <c r="N1264" s="642"/>
      <c r="O1264" s="642"/>
      <c r="P1264" s="642"/>
      <c r="Q1264" s="640"/>
      <c r="R1264" s="641"/>
      <c r="S1264" s="641"/>
      <c r="T1264" s="640"/>
      <c r="U1264" s="640"/>
      <c r="V1264" s="640"/>
      <c r="W1264" s="643"/>
      <c r="X1264" s="643"/>
      <c r="Y1264" s="643"/>
      <c r="Z1264" s="643"/>
      <c r="AA1264" s="643"/>
      <c r="AB1264" s="643"/>
      <c r="AC1264" s="642" t="str">
        <f t="shared" si="146"/>
        <v/>
      </c>
      <c r="AD1264" s="642"/>
      <c r="AE1264" s="642"/>
      <c r="AF1264" s="640"/>
      <c r="AG1264" s="639"/>
      <c r="AH1264" s="640"/>
      <c r="AI1264" s="640"/>
      <c r="AJ1264" s="642" t="s">
        <v>893</v>
      </c>
      <c r="AK1264" s="642"/>
      <c r="AL1264" s="642"/>
      <c r="AM1264" s="642" t="s">
        <v>126</v>
      </c>
      <c r="AN1264" s="644">
        <v>5.5</v>
      </c>
      <c r="AO1264" s="643"/>
      <c r="AP1264" s="643"/>
      <c r="AQ1264" s="643"/>
      <c r="AR1264" s="643"/>
      <c r="AS1264" s="643"/>
      <c r="AT1264" s="643"/>
      <c r="AU1264" s="645"/>
      <c r="AV1264" s="645"/>
      <c r="AW1264" s="642" t="str">
        <f>IF(C1264&gt;0,VLOOKUP(C1264,Foundation_Calc!$A$2:$C$13,3,1),
IF(J1264&gt;0,VLOOKUP(J1264,Foundation_Calc!$A$2:$C$13,3,1),""))</f>
        <v>Multi Soil</v>
      </c>
      <c r="AX1264" s="642" t="str">
        <f>IF(C1264&gt;0,VLOOKUP(C1264,Foundation_Calc!$E$2:$G$33,3,1),
IF(J1264&gt;0,VLOOKUP(J1264,Foundation_Calc!$E$2:$G$33,3,1),""))</f>
        <v>PT</v>
      </c>
      <c r="AY1264" s="644">
        <f>IF(L1264="","",
IF(AX1264="PT",VLOOKUP(L1264,Foundation_Calc!$K$79:$R$113,VLOOKUP(AW1264,Foundation_Calc!$I$2:$J$8,2,FALSE),0),
IF(AX1264="K",VLOOKUP(L1264,Foundation_Calc!$K$117:$R$151,VLOOKUP(AW1264,Foundation_Calc!$I$2:$J$8,2,FALSE),0),"")))</f>
        <v>4.4000000000000004</v>
      </c>
      <c r="AZ1264" s="644" t="str">
        <f>IF(K1264="","",
IF(AX1264="PT",VLOOKUP(K1264,Foundation_Calc!$K$79:$R$113,VLOOKUP(AW1264,Foundation_Calc!$I$2:$J$8,2,FALSE),0),
IF(AX1264="K",VLOOKUP(K1264,Foundation_Calc!$K$117:$R$151,VLOOKUP(AW1264,Foundation_Calc!$I$2:$J$8,2,FALSE),0),"")))</f>
        <v/>
      </c>
      <c r="BA1264" s="495" t="str">
        <f t="shared" si="150"/>
        <v>ü</v>
      </c>
      <c r="BB1264" s="495" t="str">
        <f t="shared" si="151"/>
        <v/>
      </c>
      <c r="BC1264" s="495" t="str">
        <f t="shared" si="152"/>
        <v/>
      </c>
      <c r="BD1264" s="513" t="str">
        <f>Pole_Calc!A$323</f>
        <v>App.8-V08H-10.7.4.2</v>
      </c>
      <c r="BE1264" s="429" t="s">
        <v>118</v>
      </c>
      <c r="BF1264" s="289"/>
      <c r="BG1264" s="289"/>
      <c r="BH1264" s="290"/>
      <c r="BI1264" s="289"/>
    </row>
    <row r="1265" spans="1:61" ht="15.6" customHeight="1">
      <c r="A1265" s="571" t="s">
        <v>119</v>
      </c>
      <c r="B1265" s="450"/>
      <c r="C1265" s="3"/>
      <c r="D1265" s="83"/>
      <c r="E1265" s="4"/>
      <c r="F1265" s="4"/>
      <c r="G1265" s="6">
        <v>3</v>
      </c>
      <c r="H1265" s="449"/>
      <c r="I1265" s="4"/>
      <c r="J1265" s="3"/>
      <c r="K1265" s="449"/>
      <c r="L1265" s="449"/>
      <c r="M1265" s="449" t="str">
        <f>IF(L1265="","",
IF(AX1265="PT",VLOOKUP(L1265,Foundation_Calc!$V$79:$X$113,VLOOKUP(AX1265,Foundation_Calc!$I$10:$J$13,2,FALSE),0),
IF(AX1265="K",VLOOKUP(L1265,Foundation_Calc!$V$117:$X$151,VLOOKUP(AX1265,Foundation_Calc!$I$10:$J$13,2,FALSE),0),"")))</f>
        <v/>
      </c>
      <c r="N1265" s="449"/>
      <c r="O1265" s="449"/>
      <c r="P1265" s="449"/>
      <c r="Q1265" s="4"/>
      <c r="R1265" s="6"/>
      <c r="S1265" s="6"/>
      <c r="T1265" s="4"/>
      <c r="U1265" s="4"/>
      <c r="V1265" s="4"/>
      <c r="W1265" s="9"/>
      <c r="X1265" s="9"/>
      <c r="Y1265" s="9"/>
      <c r="Z1265" s="9"/>
      <c r="AA1265" s="9"/>
      <c r="AB1265" s="9"/>
      <c r="AC1265" s="449" t="str">
        <f t="shared" si="146"/>
        <v/>
      </c>
      <c r="AD1265" s="449"/>
      <c r="AE1265" s="449"/>
      <c r="AF1265" s="4"/>
      <c r="AG1265" s="83"/>
      <c r="AH1265" s="4"/>
      <c r="AI1265" s="4"/>
      <c r="AJ1265" s="449"/>
      <c r="AK1265" s="449"/>
      <c r="AL1265" s="449"/>
      <c r="AM1265" s="449"/>
      <c r="AN1265" s="10"/>
      <c r="AO1265" s="9"/>
      <c r="AP1265" s="9"/>
      <c r="AQ1265" s="9"/>
      <c r="AR1265" s="9"/>
      <c r="AS1265" s="9"/>
      <c r="AT1265" s="9"/>
      <c r="AU1265" s="428"/>
      <c r="AV1265" s="428"/>
      <c r="AW1265" s="449" t="str">
        <f>IF(C1265&gt;0,VLOOKUP(C1265,Foundation_Calc!$A$2:$C$13,3,1),
IF(J1265&gt;0,VLOOKUP(J1265,Foundation_Calc!$A$2:$C$13,3,1),""))</f>
        <v/>
      </c>
      <c r="AX1265" s="449" t="str">
        <f>IF(C1265&gt;0,VLOOKUP(C1265,Foundation_Calc!$E$2:$G$33,3,1),
IF(J1265&gt;0,VLOOKUP(J1265,Foundation_Calc!$E$2:$G$33,3,1),""))</f>
        <v/>
      </c>
      <c r="AY1265" s="10" t="str">
        <f>IF(L1265="","",
IF(AX1265="PT",VLOOKUP(L1265,Foundation_Calc!$K$79:$R$113,VLOOKUP(AW1265,Foundation_Calc!$I$2:$J$8,2,FALSE),0),
IF(AX1265="K",VLOOKUP(L1265,Foundation_Calc!$K$117:$R$151,VLOOKUP(AW1265,Foundation_Calc!$I$2:$J$8,2,FALSE),0),"")))</f>
        <v/>
      </c>
      <c r="AZ1265" s="10" t="str">
        <f>IF(K1265="","",
IF(AX1265="PT",VLOOKUP(K1265,Foundation_Calc!$K$79:$R$113,VLOOKUP(AW1265,Foundation_Calc!$I$2:$J$8,2,FALSE),0),
IF(AX1265="K",VLOOKUP(K1265,Foundation_Calc!$K$117:$R$151,VLOOKUP(AW1265,Foundation_Calc!$I$2:$J$8,2,FALSE),0),"")))</f>
        <v/>
      </c>
      <c r="BA1265" s="495" t="str">
        <f t="shared" si="150"/>
        <v/>
      </c>
      <c r="BB1265" s="495" t="str">
        <f t="shared" si="151"/>
        <v/>
      </c>
      <c r="BC1265" s="495" t="str">
        <f t="shared" si="152"/>
        <v/>
      </c>
      <c r="BD1265" s="513" t="str">
        <f>IF(AND(L1265="",H1265=""),"",
IF(H1265="",Pole_Calc!A$9,
IF(H1265="MP",Pole_Calc!A$10,
IF(H1265="AnMP",Pole_Calc!A$11,
IF(H1265="A",Pole_Calc!A$12,
IF(H1265="S/A",Pole_Calc!A$13,
IF(H1265="A/S",Pole_Calc!A$14,"Poner a mano")))))))</f>
        <v/>
      </c>
      <c r="BE1265" s="429" t="s">
        <v>118</v>
      </c>
      <c r="BF1265" s="290"/>
      <c r="BG1265" s="290"/>
      <c r="BH1265" s="290"/>
      <c r="BI1265" s="290"/>
    </row>
    <row r="1266" spans="1:61" ht="15.6" customHeight="1">
      <c r="A1266" s="636"/>
      <c r="B1266" s="637" t="s">
        <v>926</v>
      </c>
      <c r="C1266" s="638">
        <f>+$C$1264+$G$1265</f>
        <v>60813.39999999998</v>
      </c>
      <c r="D1266" s="639"/>
      <c r="E1266" s="640"/>
      <c r="F1266" s="640">
        <v>0</v>
      </c>
      <c r="G1266" s="641"/>
      <c r="H1266" s="642"/>
      <c r="I1266" s="640"/>
      <c r="J1266" s="638"/>
      <c r="K1266" s="642"/>
      <c r="L1266" s="642" t="s">
        <v>142</v>
      </c>
      <c r="M1266" s="642" t="str">
        <f>IF(L1266="","",
IF(AX1266="PT",VLOOKUP(L1266,Foundation_Calc!$V$79:$X$113,VLOOKUP(AX1266,Foundation_Calc!$I$10:$J$13,2,FALSE),0),
IF(AX1266="K",VLOOKUP(L1266,Foundation_Calc!$V$117:$X$151,VLOOKUP(AX1266,Foundation_Calc!$I$10:$J$13,2,FALSE),0),"")))</f>
        <v>C9R</v>
      </c>
      <c r="N1266" s="642"/>
      <c r="O1266" s="642"/>
      <c r="P1266" s="642"/>
      <c r="Q1266" s="640"/>
      <c r="R1266" s="641"/>
      <c r="S1266" s="641"/>
      <c r="T1266" s="640"/>
      <c r="U1266" s="640"/>
      <c r="V1266" s="640"/>
      <c r="W1266" s="643"/>
      <c r="X1266" s="643"/>
      <c r="Y1266" s="643"/>
      <c r="Z1266" s="643"/>
      <c r="AA1266" s="643"/>
      <c r="AB1266" s="643"/>
      <c r="AC1266" s="642" t="str">
        <f t="shared" si="146"/>
        <v/>
      </c>
      <c r="AD1266" s="642"/>
      <c r="AE1266" s="642"/>
      <c r="AF1266" s="640"/>
      <c r="AG1266" s="639"/>
      <c r="AH1266" s="640"/>
      <c r="AI1266" s="640"/>
      <c r="AJ1266" s="642"/>
      <c r="AK1266" s="642"/>
      <c r="AL1266" s="642"/>
      <c r="AM1266" s="642" t="s">
        <v>126</v>
      </c>
      <c r="AN1266" s="644">
        <v>5.5</v>
      </c>
      <c r="AO1266" s="643"/>
      <c r="AP1266" s="643"/>
      <c r="AQ1266" s="643"/>
      <c r="AR1266" s="643"/>
      <c r="AS1266" s="643"/>
      <c r="AT1266" s="643"/>
      <c r="AU1266" s="645"/>
      <c r="AV1266" s="645"/>
      <c r="AW1266" s="642" t="str">
        <f>IF(C1266&gt;0,VLOOKUP(C1266,Foundation_Calc!$A$2:$C$13,3,1),
IF(J1266&gt;0,VLOOKUP(J1266,Foundation_Calc!$A$2:$C$13,3,1),""))</f>
        <v>Multi Soil</v>
      </c>
      <c r="AX1266" s="642" t="str">
        <f>IF(C1266&gt;0,VLOOKUP(C1266,Foundation_Calc!$E$2:$G$33,3,1),
IF(J1266&gt;0,VLOOKUP(J1266,Foundation_Calc!$E$2:$G$33,3,1),""))</f>
        <v>PT</v>
      </c>
      <c r="AY1266" s="644">
        <f>IF(L1266="","",
IF(AX1266="PT",VLOOKUP(L1266,Foundation_Calc!$K$79:$R$113,VLOOKUP(AW1266,Foundation_Calc!$I$2:$J$8,2,FALSE),0),
IF(AX1266="K",VLOOKUP(L1266,Foundation_Calc!$K$117:$R$151,VLOOKUP(AW1266,Foundation_Calc!$I$2:$J$8,2,FALSE),0),"")))</f>
        <v>4.4000000000000004</v>
      </c>
      <c r="AZ1266" s="644" t="str">
        <f>IF(K1266="","",
IF(AX1266="PT",VLOOKUP(K1266,Foundation_Calc!$K$79:$R$113,VLOOKUP(AW1266,Foundation_Calc!$I$2:$J$8,2,FALSE),0),
IF(AX1266="K",VLOOKUP(K1266,Foundation_Calc!$K$117:$R$151,VLOOKUP(AW1266,Foundation_Calc!$I$2:$J$8,2,FALSE),0),"")))</f>
        <v/>
      </c>
      <c r="BA1266" s="495" t="str">
        <f t="shared" si="150"/>
        <v>ü</v>
      </c>
      <c r="BB1266" s="495" t="str">
        <f t="shared" si="151"/>
        <v/>
      </c>
      <c r="BC1266" s="495" t="str">
        <f t="shared" si="152"/>
        <v/>
      </c>
      <c r="BD1266" s="513" t="str">
        <f>Pole_Calc!A$323</f>
        <v>App.8-V08H-10.7.4.2</v>
      </c>
      <c r="BE1266" s="429" t="s">
        <v>118</v>
      </c>
      <c r="BF1266" s="289"/>
      <c r="BG1266" s="289"/>
      <c r="BH1266" s="290"/>
      <c r="BI1266" s="289"/>
    </row>
    <row r="1267" spans="1:61" ht="15.6" customHeight="1">
      <c r="A1267" s="636" t="s">
        <v>234</v>
      </c>
      <c r="B1267" s="637"/>
      <c r="C1267" s="638"/>
      <c r="D1267" s="639"/>
      <c r="E1267" s="640"/>
      <c r="F1267" s="640"/>
      <c r="G1267" s="641">
        <v>39</v>
      </c>
      <c r="H1267" s="642"/>
      <c r="I1267" s="640" t="s">
        <v>195</v>
      </c>
      <c r="J1267" s="638">
        <f>C1268-7.5</f>
        <v>60844.89999999998</v>
      </c>
      <c r="K1267" s="642" t="s">
        <v>166</v>
      </c>
      <c r="L1267" s="642"/>
      <c r="M1267" s="642" t="str">
        <f>IF(L1267="","",
IF(AX1267="PT",VLOOKUP(L1267,Foundation_Calc!$V$79:$X$113,VLOOKUP(AX1267,Foundation_Calc!$I$10:$J$13,2,FALSE),0),
IF(AX1267="K",VLOOKUP(L1267,Foundation_Calc!$V$117:$X$151,VLOOKUP(AX1267,Foundation_Calc!$I$10:$J$13,2,FALSE),0),"")))</f>
        <v/>
      </c>
      <c r="N1267" s="642"/>
      <c r="O1267" s="642"/>
      <c r="P1267" s="642"/>
      <c r="Q1267" s="640"/>
      <c r="R1267" s="641"/>
      <c r="S1267" s="641"/>
      <c r="T1267" s="640"/>
      <c r="U1267" s="640"/>
      <c r="V1267" s="640"/>
      <c r="W1267" s="643"/>
      <c r="X1267" s="643"/>
      <c r="Y1267" s="643"/>
      <c r="Z1267" s="643"/>
      <c r="AA1267" s="643"/>
      <c r="AB1267" s="643"/>
      <c r="AC1267" s="642" t="str">
        <f t="shared" si="146"/>
        <v/>
      </c>
      <c r="AD1267" s="642"/>
      <c r="AE1267" s="642"/>
      <c r="AF1267" s="640"/>
      <c r="AG1267" s="639"/>
      <c r="AH1267" s="640"/>
      <c r="AI1267" s="640"/>
      <c r="AJ1267" s="642"/>
      <c r="AK1267" s="642"/>
      <c r="AL1267" s="642"/>
      <c r="AM1267" s="642"/>
      <c r="AN1267" s="644"/>
      <c r="AO1267" s="643"/>
      <c r="AP1267" s="643"/>
      <c r="AQ1267" s="643">
        <f>+FL_2($T$1268,$U$1262,$G$1267,1200,9.28,-1*$F$1268)</f>
        <v>-0.164033332</v>
      </c>
      <c r="AR1267" s="643"/>
      <c r="AS1267" s="643"/>
      <c r="AT1267" s="643"/>
      <c r="AU1267" s="645"/>
      <c r="AV1267" s="645"/>
      <c r="AW1267" s="642" t="str">
        <f>IF(C1267&gt;0,VLOOKUP(C1267,Foundation_Calc!$A$2:$C$13,3,1),
IF(J1267&gt;0,VLOOKUP(J1267,Foundation_Calc!$A$2:$C$13,3,1),""))</f>
        <v>Multi Soil</v>
      </c>
      <c r="AX1267" s="642" t="str">
        <f>IF(C1267&gt;0,VLOOKUP(C1267,Foundation_Calc!$E$2:$G$33,3,1),
IF(J1267&gt;0,VLOOKUP(J1267,Foundation_Calc!$E$2:$G$33,3,1),""))</f>
        <v>PT</v>
      </c>
      <c r="AY1267" s="644" t="str">
        <f>IF(L1267="","",
IF(AX1267="PT",VLOOKUP(L1267,Foundation_Calc!$K$79:$R$113,VLOOKUP(AW1267,Foundation_Calc!$I$2:$J$8,2,FALSE),0),
IF(AX1267="K",VLOOKUP(L1267,Foundation_Calc!$K$117:$R$151,VLOOKUP(AW1267,Foundation_Calc!$I$2:$J$8,2,FALSE),0),"")))</f>
        <v/>
      </c>
      <c r="AZ1267" s="644">
        <f>IF(K1267="","",
IF(AX1267="PT",VLOOKUP(K1267,Foundation_Calc!$K$79:$R$113,VLOOKUP(AW1267,Foundation_Calc!$I$2:$J$8,2,FALSE),0),
IF(AX1267="K",VLOOKUP(K1267,Foundation_Calc!$K$117:$R$151,VLOOKUP(AW1267,Foundation_Calc!$I$2:$J$8,2,FALSE),0),"")))</f>
        <v>2.8</v>
      </c>
      <c r="BA1267" s="495" t="str">
        <f t="shared" si="150"/>
        <v/>
      </c>
      <c r="BB1267" s="495" t="str">
        <f t="shared" si="151"/>
        <v>ü</v>
      </c>
      <c r="BC1267" s="495" t="str">
        <f t="shared" si="152"/>
        <v/>
      </c>
      <c r="BD1267" s="513" t="str">
        <f>IF(AND(L1267="",H1267=""),"",
IF(H1267="",Pole_Calc!A$9,
IF(H1267="MP",Pole_Calc!A$10,
IF(H1267="AnMP",Pole_Calc!A$11,
IF(H1267="A",Pole_Calc!A$12,
IF(H1267="S/A",Pole_Calc!A$13,
IF(H1267="A/S",Pole_Calc!A$14,"Poner a mano")))))))</f>
        <v/>
      </c>
      <c r="BE1267" s="429" t="s">
        <v>118</v>
      </c>
      <c r="BF1267" s="290"/>
      <c r="BG1267" s="290"/>
      <c r="BH1267" s="290"/>
      <c r="BI1267" s="290"/>
    </row>
    <row r="1268" spans="1:61" ht="15.6" customHeight="1">
      <c r="A1268" s="636" t="s">
        <v>927</v>
      </c>
      <c r="B1268" s="637" t="s">
        <v>928</v>
      </c>
      <c r="C1268" s="638">
        <f>+$C$1266+$G$1267</f>
        <v>60852.39999999998</v>
      </c>
      <c r="D1268" s="639"/>
      <c r="E1268" s="640"/>
      <c r="F1268" s="640">
        <v>0</v>
      </c>
      <c r="G1268" s="641"/>
      <c r="H1268" s="642" t="s">
        <v>131</v>
      </c>
      <c r="I1268" s="640" t="s">
        <v>132</v>
      </c>
      <c r="J1268" s="638"/>
      <c r="K1268" s="642"/>
      <c r="L1268" s="642" t="s">
        <v>562</v>
      </c>
      <c r="M1268" s="642" t="s">
        <v>929</v>
      </c>
      <c r="N1268" s="642" t="s">
        <v>124</v>
      </c>
      <c r="O1268" s="642" t="s">
        <v>133</v>
      </c>
      <c r="P1268" s="642"/>
      <c r="Q1268" s="640"/>
      <c r="R1268" s="641"/>
      <c r="S1268" s="641"/>
      <c r="T1268" s="640">
        <v>-10</v>
      </c>
      <c r="U1268" s="640">
        <v>-55</v>
      </c>
      <c r="V1268" s="640"/>
      <c r="W1268" s="643">
        <v>1.4</v>
      </c>
      <c r="X1268" s="643">
        <v>2.2999999999999998</v>
      </c>
      <c r="Y1268" s="643"/>
      <c r="Z1268" s="643"/>
      <c r="AA1268" s="643">
        <v>0.45</v>
      </c>
      <c r="AB1268" s="643"/>
      <c r="AC1268" s="642" t="str">
        <f t="shared" si="146"/>
        <v>PH</v>
      </c>
      <c r="AD1268" s="642"/>
      <c r="AE1268" s="642"/>
      <c r="AF1268" s="640"/>
      <c r="AG1268" s="639"/>
      <c r="AH1268" s="640"/>
      <c r="AI1268" s="640"/>
      <c r="AJ1268" s="642" t="s">
        <v>135</v>
      </c>
      <c r="AK1268" s="642"/>
      <c r="AL1268" s="642"/>
      <c r="AM1268" s="642" t="s">
        <v>552</v>
      </c>
      <c r="AN1268" s="644">
        <v>5.5</v>
      </c>
      <c r="AO1268" s="643"/>
      <c r="AP1268" s="643"/>
      <c r="AQ1268" s="643"/>
      <c r="AR1268" s="643"/>
      <c r="AS1268" s="643"/>
      <c r="AT1268" s="643">
        <f>+ab($T$1268,$U$1262,$T$1272,$G$1267,$G$1271,-1*$F$1268,1200)</f>
        <v>-16.552686466310462</v>
      </c>
      <c r="AU1268" s="645"/>
      <c r="AV1268" s="645"/>
      <c r="AW1268" s="642" t="str">
        <f>IF(C1268&gt;0,VLOOKUP(C1268,Foundation_Calc!$A$2:$C$13,3,1),
IF(J1268&gt;0,VLOOKUP(J1268,Foundation_Calc!$A$2:$C$13,3,1),""))</f>
        <v>Multi Soil</v>
      </c>
      <c r="AX1268" s="642" t="str">
        <f>IF(C1268&gt;0,VLOOKUP(C1268,Foundation_Calc!$E$2:$G$33,3,1),
IF(J1268&gt;0,VLOOKUP(J1268,Foundation_Calc!$E$2:$G$33,3,1),""))</f>
        <v>PT</v>
      </c>
      <c r="AY1268" s="644">
        <v>4.4000000000000004</v>
      </c>
      <c r="AZ1268" s="644" t="str">
        <f>IF(K1268="","",
IF(AX1268="PT",VLOOKUP(K1268,Foundation_Calc!$K$79:$R$113,VLOOKUP(AW1268,Foundation_Calc!$I$2:$J$8,2,FALSE),0),
IF(AX1268="K",VLOOKUP(K1268,Foundation_Calc!$K$117:$R$151,VLOOKUP(AW1268,Foundation_Calc!$I$2:$J$8,2,FALSE),0),"")))</f>
        <v/>
      </c>
      <c r="BA1268" s="495" t="str">
        <f t="shared" si="150"/>
        <v>ü</v>
      </c>
      <c r="BB1268" s="495" t="str">
        <f t="shared" si="151"/>
        <v/>
      </c>
      <c r="BC1268" s="495" t="str">
        <f t="shared" si="152"/>
        <v/>
      </c>
      <c r="BD1268" s="513" t="str">
        <f>Pole_Calc!A$322</f>
        <v>App.8-V08H-10.7.4.1</v>
      </c>
      <c r="BE1268" s="429" t="s">
        <v>118</v>
      </c>
      <c r="BF1268" s="289"/>
      <c r="BG1268" s="289"/>
      <c r="BH1268" s="290"/>
      <c r="BI1268" s="289"/>
    </row>
    <row r="1269" spans="1:61" ht="15.6" customHeight="1">
      <c r="A1269" s="571" t="s">
        <v>119</v>
      </c>
      <c r="B1269" s="450"/>
      <c r="C1269" s="3"/>
      <c r="D1269" s="83"/>
      <c r="E1269" s="4"/>
      <c r="F1269" s="4"/>
      <c r="G1269" s="6">
        <v>25</v>
      </c>
      <c r="H1269" s="449"/>
      <c r="I1269" s="4" t="s">
        <v>549</v>
      </c>
      <c r="J1269" s="3">
        <f>C1268+7.5</f>
        <v>60859.89999999998</v>
      </c>
      <c r="K1269" s="449" t="s">
        <v>166</v>
      </c>
      <c r="L1269" s="449"/>
      <c r="M1269" s="449" t="str">
        <f>IF(L1269="","",
IF(AX1269="PT",VLOOKUP(L1269,Foundation_Calc!$V$79:$X$113,VLOOKUP(AX1269,Foundation_Calc!$I$10:$J$13,2,FALSE),0),
IF(AX1269="K",VLOOKUP(L1269,Foundation_Calc!$V$117:$X$151,VLOOKUP(AX1269,Foundation_Calc!$I$10:$J$13,2,FALSE),0),"")))</f>
        <v/>
      </c>
      <c r="N1269" s="449"/>
      <c r="O1269" s="449"/>
      <c r="P1269" s="449"/>
      <c r="Q1269" s="4"/>
      <c r="R1269" s="6"/>
      <c r="S1269" s="6"/>
      <c r="T1269" s="4"/>
      <c r="U1269" s="4"/>
      <c r="V1269" s="4"/>
      <c r="W1269" s="9"/>
      <c r="X1269" s="9"/>
      <c r="Y1269" s="9"/>
      <c r="Z1269" s="9"/>
      <c r="AA1269" s="9"/>
      <c r="AB1269" s="9"/>
      <c r="AC1269" s="449" t="str">
        <f t="shared" si="146"/>
        <v/>
      </c>
      <c r="AD1269" s="449"/>
      <c r="AE1269" s="449"/>
      <c r="AF1269" s="4"/>
      <c r="AG1269" s="83"/>
      <c r="AH1269" s="4"/>
      <c r="AI1269" s="4"/>
      <c r="AJ1269" s="449" t="s">
        <v>668</v>
      </c>
      <c r="AK1269" s="449"/>
      <c r="AL1269" s="449"/>
      <c r="AM1269" s="449"/>
      <c r="AN1269" s="10"/>
      <c r="AO1269" s="9"/>
      <c r="AP1269" s="9"/>
      <c r="AQ1269" s="9">
        <f>+FL_2($T$1272,$T$1268,$G$1271,1200,9.28,-1*$F$1272)</f>
        <v>-0.26344752729824567</v>
      </c>
      <c r="AR1269" s="9"/>
      <c r="AS1269" s="9"/>
      <c r="AT1269" s="9"/>
      <c r="AU1269" s="428"/>
      <c r="AV1269" s="428"/>
      <c r="AW1269" s="449" t="str">
        <f>IF(C1269&gt;0,VLOOKUP(C1269,Foundation_Calc!$A$2:$C$13,3,1),
IF(J1269&gt;0,VLOOKUP(J1269,Foundation_Calc!$A$2:$C$13,3,1),""))</f>
        <v>Multi Soil</v>
      </c>
      <c r="AX1269" s="449" t="str">
        <f>IF(C1269&gt;0,VLOOKUP(C1269,Foundation_Calc!$E$2:$G$33,3,1),
IF(J1269&gt;0,VLOOKUP(J1269,Foundation_Calc!$E$2:$G$33,3,1),""))</f>
        <v>PT</v>
      </c>
      <c r="AY1269" s="10" t="str">
        <f>IF(L1269="","",
IF(AX1269="PT",VLOOKUP(L1269,Foundation_Calc!$K$79:$R$113,VLOOKUP(AW1269,Foundation_Calc!$I$2:$J$8,2,FALSE),0),
IF(AX1269="K",VLOOKUP(L1269,Foundation_Calc!$K$117:$R$151,VLOOKUP(AW1269,Foundation_Calc!$I$2:$J$8,2,FALSE),0),"")))</f>
        <v/>
      </c>
      <c r="AZ1269" s="10">
        <f>IF(K1269="","",
IF(AX1269="PT",VLOOKUP(K1269,Foundation_Calc!$K$79:$R$113,VLOOKUP(AW1269,Foundation_Calc!$I$2:$J$8,2,FALSE),0),
IF(AX1269="K",VLOOKUP(K1269,Foundation_Calc!$K$117:$R$151,VLOOKUP(AW1269,Foundation_Calc!$I$2:$J$8,2,FALSE),0),"")))</f>
        <v>2.8</v>
      </c>
      <c r="BA1269" s="495" t="str">
        <f t="shared" si="150"/>
        <v/>
      </c>
      <c r="BB1269" s="495" t="str">
        <f t="shared" si="151"/>
        <v>ü</v>
      </c>
      <c r="BC1269" s="495" t="str">
        <f t="shared" si="152"/>
        <v/>
      </c>
      <c r="BD1269" s="513" t="str">
        <f>IF(AND(L1269="",H1269=""),"",
IF(H1269="",Pole_Calc!A$9,
IF(H1269="MP",Pole_Calc!A$10,
IF(H1269="AnMP",Pole_Calc!A$11,
IF(H1269="A",Pole_Calc!A$12,
IF(H1269="S/A",Pole_Calc!A$13,
IF(H1269="A/S",Pole_Calc!A$14,"Poner a mano")))))))</f>
        <v/>
      </c>
      <c r="BE1269" s="429" t="s">
        <v>118</v>
      </c>
      <c r="BF1269" s="290"/>
      <c r="BG1269" s="290"/>
      <c r="BH1269" s="290"/>
      <c r="BI1269" s="290"/>
    </row>
    <row r="1270" spans="1:61" ht="15.6" customHeight="1">
      <c r="A1270" s="571" t="s">
        <v>119</v>
      </c>
      <c r="B1270" s="450" t="s">
        <v>930</v>
      </c>
      <c r="C1270" s="3">
        <f>+$C$1268+$G$1269</f>
        <v>60877.39999999998</v>
      </c>
      <c r="D1270" s="83"/>
      <c r="E1270" s="4"/>
      <c r="F1270" s="4"/>
      <c r="G1270" s="6"/>
      <c r="H1270" s="449"/>
      <c r="I1270" s="4"/>
      <c r="J1270" s="3"/>
      <c r="K1270" s="449"/>
      <c r="L1270" s="449" t="s">
        <v>128</v>
      </c>
      <c r="M1270" s="449" t="str">
        <f>IF(L1270="","",
IF(AX1270="PT",VLOOKUP(L1270,Foundation_Calc!$V$79:$X$113,VLOOKUP(AX1270,Foundation_Calc!$I$10:$J$13,2,FALSE),0),
IF(AX1270="K",VLOOKUP(L1270,Foundation_Calc!$V$117:$X$151,VLOOKUP(AX1270,Foundation_Calc!$I$10:$J$13,2,FALSE),0),"")))</f>
        <v>T-SING FOUND.</v>
      </c>
      <c r="N1270" s="449"/>
      <c r="O1270" s="449"/>
      <c r="P1270" s="449"/>
      <c r="Q1270" s="4"/>
      <c r="R1270" s="6"/>
      <c r="S1270" s="6"/>
      <c r="T1270" s="4"/>
      <c r="U1270" s="4"/>
      <c r="V1270" s="4"/>
      <c r="W1270" s="9"/>
      <c r="X1270" s="9"/>
      <c r="Y1270" s="9"/>
      <c r="Z1270" s="9"/>
      <c r="AA1270" s="9"/>
      <c r="AB1270" s="9"/>
      <c r="AC1270" s="449" t="str">
        <f t="shared" si="146"/>
        <v/>
      </c>
      <c r="AD1270" s="449"/>
      <c r="AE1270" s="449"/>
      <c r="AF1270" s="4"/>
      <c r="AG1270" s="83"/>
      <c r="AH1270" s="4"/>
      <c r="AI1270" s="4"/>
      <c r="AJ1270" s="449"/>
      <c r="AK1270" s="449"/>
      <c r="AL1270" s="449"/>
      <c r="AM1270" s="449"/>
      <c r="AN1270" s="10">
        <v>5.5</v>
      </c>
      <c r="AO1270" s="9"/>
      <c r="AP1270" s="9"/>
      <c r="AQ1270" s="9"/>
      <c r="AR1270" s="9"/>
      <c r="AS1270" s="9"/>
      <c r="AT1270" s="9"/>
      <c r="AU1270" s="428"/>
      <c r="AV1270" s="428"/>
      <c r="AW1270" s="449" t="str">
        <f>IF(C1270&gt;0,VLOOKUP(C1270,Foundation_Calc!$A$2:$C$13,3,1),
IF(J1270&gt;0,VLOOKUP(J1270,Foundation_Calc!$A$2:$C$13,3,1),""))</f>
        <v>Multi Soil</v>
      </c>
      <c r="AX1270" s="449" t="str">
        <f>IF(C1270&gt;0,VLOOKUP(C1270,Foundation_Calc!$E$2:$G$33,3,1),
IF(J1270&gt;0,VLOOKUP(J1270,Foundation_Calc!$E$2:$G$33,3,1),""))</f>
        <v>PT</v>
      </c>
      <c r="AY1270" s="10">
        <f>IF(L1270="","",
IF(AX1270="PT",VLOOKUP(L1270,Foundation_Calc!$K$79:$R$113,VLOOKUP(AW1270,Foundation_Calc!$I$2:$J$8,2,FALSE),0),
IF(AX1270="K",VLOOKUP(L1270,Foundation_Calc!$K$117:$R$151,VLOOKUP(AW1270,Foundation_Calc!$I$2:$J$8,2,FALSE),0),"")))</f>
        <v>1.2</v>
      </c>
      <c r="AZ1270" s="10" t="str">
        <f>IF(K1270="","",
IF(AX1270="PT",VLOOKUP(K1270,Foundation_Calc!$K$79:$R$113,VLOOKUP(AW1270,Foundation_Calc!$I$2:$J$8,2,FALSE),0),
IF(AX1270="K",VLOOKUP(K1270,Foundation_Calc!$K$117:$R$151,VLOOKUP(AW1270,Foundation_Calc!$I$2:$J$8,2,FALSE),0),"")))</f>
        <v/>
      </c>
      <c r="BA1270" s="495" t="str">
        <f t="shared" si="150"/>
        <v>ü</v>
      </c>
      <c r="BB1270" s="495" t="str">
        <f t="shared" si="151"/>
        <v/>
      </c>
      <c r="BC1270" s="495" t="str">
        <f t="shared" si="152"/>
        <v/>
      </c>
      <c r="BD1270" s="513"/>
      <c r="BE1270" s="429" t="s">
        <v>118</v>
      </c>
      <c r="BF1270" s="289"/>
      <c r="BG1270" s="289"/>
      <c r="BH1270" s="290"/>
      <c r="BI1270" s="289"/>
    </row>
    <row r="1271" spans="1:61" ht="15.6" customHeight="1">
      <c r="A1271" s="571" t="s">
        <v>119</v>
      </c>
      <c r="B1271" s="450"/>
      <c r="C1271" s="3"/>
      <c r="D1271" s="83"/>
      <c r="E1271" s="4"/>
      <c r="F1271" s="4"/>
      <c r="G1271" s="6">
        <v>57</v>
      </c>
      <c r="H1271" s="449"/>
      <c r="I1271" s="4"/>
      <c r="J1271" s="3"/>
      <c r="K1271" s="449"/>
      <c r="L1271" s="449"/>
      <c r="M1271" s="449" t="str">
        <f>IF(L1271="","",
IF(AX1271="PT",VLOOKUP(L1271,Foundation_Calc!$V$79:$X$113,VLOOKUP(AX1271,Foundation_Calc!$I$10:$J$13,2,FALSE),0),
IF(AX1271="K",VLOOKUP(L1271,Foundation_Calc!$V$117:$X$151,VLOOKUP(AX1271,Foundation_Calc!$I$10:$J$13,2,FALSE),0),"")))</f>
        <v/>
      </c>
      <c r="N1271" s="449"/>
      <c r="O1271" s="449"/>
      <c r="P1271" s="449"/>
      <c r="Q1271" s="4"/>
      <c r="R1271" s="6"/>
      <c r="S1271" s="6"/>
      <c r="T1271" s="4"/>
      <c r="U1271" s="4"/>
      <c r="V1271" s="4"/>
      <c r="W1271" s="9"/>
      <c r="X1271" s="9"/>
      <c r="Y1271" s="9"/>
      <c r="Z1271" s="9"/>
      <c r="AA1271" s="9"/>
      <c r="AB1271" s="9"/>
      <c r="AC1271" s="449" t="str">
        <f t="shared" si="146"/>
        <v/>
      </c>
      <c r="AD1271" s="449"/>
      <c r="AE1271" s="449"/>
      <c r="AF1271" s="4"/>
      <c r="AG1271" s="83"/>
      <c r="AH1271" s="4"/>
      <c r="AI1271" s="4"/>
      <c r="AJ1271" s="449"/>
      <c r="AK1271" s="449"/>
      <c r="AL1271" s="449"/>
      <c r="AM1271" s="449"/>
      <c r="AN1271" s="10"/>
      <c r="AO1271" s="9"/>
      <c r="AP1271" s="9"/>
      <c r="AQ1271" s="9"/>
      <c r="AR1271" s="9"/>
      <c r="AS1271" s="9"/>
      <c r="AT1271" s="9"/>
      <c r="AU1271" s="428"/>
      <c r="AV1271" s="428"/>
      <c r="AW1271" s="449" t="str">
        <f>IF(C1271&gt;0,VLOOKUP(C1271,Foundation_Calc!$A$2:$C$13,3,1),
IF(J1271&gt;0,VLOOKUP(J1271,Foundation_Calc!$A$2:$C$13,3,1),""))</f>
        <v/>
      </c>
      <c r="AX1271" s="449" t="str">
        <f>IF(C1271&gt;0,VLOOKUP(C1271,Foundation_Calc!$E$2:$G$33,3,1),
IF(J1271&gt;0,VLOOKUP(J1271,Foundation_Calc!$E$2:$G$33,3,1),""))</f>
        <v/>
      </c>
      <c r="AY1271" s="10" t="str">
        <f>IF(L1271="","",
IF(AX1271="PT",VLOOKUP(L1271,Foundation_Calc!$K$79:$R$113,VLOOKUP(AW1271,Foundation_Calc!$I$2:$J$8,2,FALSE),0),
IF(AX1271="K",VLOOKUP(L1271,Foundation_Calc!$K$117:$R$151,VLOOKUP(AW1271,Foundation_Calc!$I$2:$J$8,2,FALSE),0),"")))</f>
        <v/>
      </c>
      <c r="AZ1271" s="10" t="str">
        <f>IF(K1271="","",
IF(AX1271="PT",VLOOKUP(K1271,Foundation_Calc!$K$79:$R$113,VLOOKUP(AW1271,Foundation_Calc!$I$2:$J$8,2,FALSE),0),
IF(AX1271="K",VLOOKUP(K1271,Foundation_Calc!$K$117:$R$151,VLOOKUP(AW1271,Foundation_Calc!$I$2:$J$8,2,FALSE),0),"")))</f>
        <v/>
      </c>
      <c r="BA1271" s="495" t="str">
        <f t="shared" si="150"/>
        <v/>
      </c>
      <c r="BB1271" s="495" t="str">
        <f t="shared" si="151"/>
        <v/>
      </c>
      <c r="BC1271" s="495" t="str">
        <f t="shared" si="152"/>
        <v/>
      </c>
      <c r="BD1271" s="513" t="str">
        <f>IF(AND(L1271="",H1271=""),"",
IF(H1271="",Pole_Calc!A$9,
IF(H1271="MP",Pole_Calc!A$10,
IF(H1271="AnMP",Pole_Calc!A$11,
IF(H1271="A",Pole_Calc!A$12,
IF(H1271="S/A",Pole_Calc!A$13,
IF(H1271="A/S",Pole_Calc!A$14,"Poner a mano")))))))</f>
        <v/>
      </c>
      <c r="BE1271" s="429" t="s">
        <v>118</v>
      </c>
      <c r="BF1271" s="290"/>
      <c r="BG1271" s="290"/>
      <c r="BH1271" s="290"/>
      <c r="BI1271" s="290"/>
    </row>
    <row r="1272" spans="1:61" ht="15.6" customHeight="1">
      <c r="A1272" s="571" t="s">
        <v>119</v>
      </c>
      <c r="B1272" s="450" t="s">
        <v>931</v>
      </c>
      <c r="C1272" s="3">
        <f>+$C$1268+$G$1271</f>
        <v>60909.39999999998</v>
      </c>
      <c r="D1272" s="83"/>
      <c r="E1272" s="4"/>
      <c r="F1272" s="4">
        <v>0</v>
      </c>
      <c r="G1272" s="6"/>
      <c r="H1272" s="449" t="s">
        <v>121</v>
      </c>
      <c r="I1272" s="4" t="s">
        <v>122</v>
      </c>
      <c r="J1272" s="3"/>
      <c r="K1272" s="449"/>
      <c r="L1272" s="449" t="s">
        <v>151</v>
      </c>
      <c r="M1272" s="449" t="str">
        <f>IF(L1272="","",
IF(AX1272="PT",VLOOKUP(L1272,Foundation_Calc!$V$79:$X$113,VLOOKUP(AX1272,Foundation_Calc!$I$10:$J$13,2,FALSE),0),
IF(AX1272="K",VLOOKUP(L1272,Foundation_Calc!$V$117:$X$151,VLOOKUP(AX1272,Foundation_Calc!$I$10:$J$13,2,FALSE),0),"")))</f>
        <v>C4R</v>
      </c>
      <c r="N1272" s="449" t="s">
        <v>134</v>
      </c>
      <c r="O1272" s="449"/>
      <c r="P1272" s="449"/>
      <c r="Q1272" s="4"/>
      <c r="R1272" s="6"/>
      <c r="S1272" s="6"/>
      <c r="T1272" s="4">
        <v>25</v>
      </c>
      <c r="U1272" s="4"/>
      <c r="V1272" s="4"/>
      <c r="W1272" s="9">
        <v>1.4</v>
      </c>
      <c r="X1272" s="9"/>
      <c r="Y1272" s="9"/>
      <c r="Z1272" s="9"/>
      <c r="AA1272" s="9"/>
      <c r="AB1272" s="9"/>
      <c r="AC1272" s="449" t="str">
        <f t="shared" si="146"/>
        <v>PH</v>
      </c>
      <c r="AD1272" s="449"/>
      <c r="AE1272" s="449"/>
      <c r="AF1272" s="4"/>
      <c r="AG1272" s="83"/>
      <c r="AH1272" s="4"/>
      <c r="AI1272" s="4"/>
      <c r="AJ1272" s="449"/>
      <c r="AK1272" s="449"/>
      <c r="AL1272" s="449"/>
      <c r="AM1272" s="449" t="s">
        <v>552</v>
      </c>
      <c r="AN1272" s="10">
        <v>5.5</v>
      </c>
      <c r="AO1272" s="9"/>
      <c r="AP1272" s="9"/>
      <c r="AQ1272" s="9"/>
      <c r="AR1272" s="9"/>
      <c r="AS1272" s="9"/>
      <c r="AT1272" s="9">
        <f>+ab($T$1272,$T$1268,$T$1274,$G$1271,$G$1273,-1*$F$1272,1200)</f>
        <v>16.732442145780329</v>
      </c>
      <c r="AU1272" s="428"/>
      <c r="AV1272" s="428"/>
      <c r="AW1272" s="449" t="str">
        <f>IF(C1272&gt;0,VLOOKUP(C1272,Foundation_Calc!$A$2:$C$13,3,1),
IF(J1272&gt;0,VLOOKUP(J1272,Foundation_Calc!$A$2:$C$13,3,1),""))</f>
        <v>Multi Soil</v>
      </c>
      <c r="AX1272" s="449" t="str">
        <f>IF(C1272&gt;0,VLOOKUP(C1272,Foundation_Calc!$E$2:$G$33,3,1),
IF(J1272&gt;0,VLOOKUP(J1272,Foundation_Calc!$E$2:$G$33,3,1),""))</f>
        <v>PT</v>
      </c>
      <c r="AY1272" s="10">
        <f>IF(L1272="","",
IF(AX1272="PT",VLOOKUP(L1272,Foundation_Calc!$K$79:$R$113,VLOOKUP(AW1272,Foundation_Calc!$I$2:$J$8,2,FALSE),0),
IF(AX1272="K",VLOOKUP(L1272,Foundation_Calc!$K$117:$R$151,VLOOKUP(AW1272,Foundation_Calc!$I$2:$J$8,2,FALSE),0),"")))</f>
        <v>3.5</v>
      </c>
      <c r="AZ1272" s="10" t="str">
        <f>IF(K1272="","",
IF(AX1272="PT",VLOOKUP(K1272,Foundation_Calc!$K$79:$R$113,VLOOKUP(AW1272,Foundation_Calc!$I$2:$J$8,2,FALSE),0),
IF(AX1272="K",VLOOKUP(K1272,Foundation_Calc!$K$117:$R$151,VLOOKUP(AW1272,Foundation_Calc!$I$2:$J$8,2,FALSE),0),"")))</f>
        <v/>
      </c>
      <c r="BA1272" s="495" t="str">
        <f t="shared" si="150"/>
        <v>ü</v>
      </c>
      <c r="BB1272" s="495" t="str">
        <f t="shared" si="151"/>
        <v/>
      </c>
      <c r="BC1272" s="495" t="str">
        <f t="shared" si="152"/>
        <v/>
      </c>
      <c r="BD1272" s="513" t="str">
        <f>IF(AND(L1272="",H1272=""),"",
IF(H1272="",Pole_Calc!A$9,
IF(H1272="MP",Pole_Calc!A$10,
IF(H1272="AnMP",Pole_Calc!A$11,
IF(H1272="A",Pole_Calc!A$12,
IF(H1272="S/A",Pole_Calc!A$13,
IF(H1272="A/S",Pole_Calc!A$14,"Poner a mano")))))))</f>
        <v>App.7-V11I-P9.5.1.6</v>
      </c>
      <c r="BE1272" s="429" t="s">
        <v>118</v>
      </c>
      <c r="BF1272" s="289"/>
      <c r="BG1272" s="289"/>
      <c r="BH1272" s="290"/>
      <c r="BI1272" s="289"/>
    </row>
    <row r="1273" spans="1:61" ht="15.6" customHeight="1">
      <c r="A1273" s="646" t="s">
        <v>916</v>
      </c>
      <c r="B1273" s="637"/>
      <c r="C1273" s="638"/>
      <c r="D1273" s="639"/>
      <c r="E1273" s="640"/>
      <c r="F1273" s="640"/>
      <c r="G1273" s="641">
        <v>50</v>
      </c>
      <c r="H1273" s="642"/>
      <c r="I1273" s="640"/>
      <c r="J1273" s="638">
        <f>C1272+7.5</f>
        <v>60916.89999999998</v>
      </c>
      <c r="K1273" s="642" t="s">
        <v>117</v>
      </c>
      <c r="L1273" s="642"/>
      <c r="M1273" s="642"/>
      <c r="N1273" s="642"/>
      <c r="O1273" s="642"/>
      <c r="P1273" s="642"/>
      <c r="Q1273" s="640"/>
      <c r="R1273" s="641"/>
      <c r="S1273" s="641"/>
      <c r="T1273" s="640"/>
      <c r="U1273" s="640"/>
      <c r="V1273" s="640"/>
      <c r="W1273" s="643"/>
      <c r="X1273" s="643"/>
      <c r="Y1273" s="643"/>
      <c r="Z1273" s="643"/>
      <c r="AA1273" s="643"/>
      <c r="AB1273" s="643"/>
      <c r="AC1273" s="642" t="str">
        <f t="shared" si="146"/>
        <v/>
      </c>
      <c r="AD1273" s="642"/>
      <c r="AE1273" s="642"/>
      <c r="AF1273" s="640"/>
      <c r="AG1273" s="639"/>
      <c r="AH1273" s="640"/>
      <c r="AI1273" s="640"/>
      <c r="AJ1273" s="642"/>
      <c r="AK1273" s="642"/>
      <c r="AL1273" s="642"/>
      <c r="AM1273" s="642"/>
      <c r="AN1273" s="644"/>
      <c r="AO1273" s="643"/>
      <c r="AP1273" s="643"/>
      <c r="AQ1273" s="643">
        <f>+FL_1($T$1274,$T$1272,$G$1273,1200,9.28,-1*$F$1274)</f>
        <v>0.38283045199999993</v>
      </c>
      <c r="AR1273" s="643"/>
      <c r="AS1273" s="643"/>
      <c r="AT1273" s="643"/>
      <c r="AU1273" s="645"/>
      <c r="AV1273" s="645"/>
      <c r="AW1273" s="642" t="str">
        <f>IF(C1273&gt;0,VLOOKUP(C1273,Foundation_Calc!$A$2:$C$13,3,1),
IF(J1273&gt;0,VLOOKUP(J1273,Foundation_Calc!$A$2:$C$13,3,1),""))</f>
        <v>Multi Soil</v>
      </c>
      <c r="AX1273" s="642" t="str">
        <f>IF(C1273&gt;0,VLOOKUP(C1273,Foundation_Calc!$E$2:$G$33,3,1),
IF(J1273&gt;0,VLOOKUP(J1273,Foundation_Calc!$E$2:$G$33,3,1),""))</f>
        <v>PT</v>
      </c>
      <c r="AY1273" s="644" t="str">
        <f>IF(L1273="","",
IF(AX1273="PT",VLOOKUP(L1273,Foundation_Calc!$K$79:$R$113,VLOOKUP(AW1273,Foundation_Calc!$I$2:$J$8,2,FALSE),0),
IF(AX1273="K",VLOOKUP(L1273,Foundation_Calc!$K$117:$R$151,VLOOKUP(AW1273,Foundation_Calc!$I$2:$J$8,2,FALSE),0),"")))</f>
        <v/>
      </c>
      <c r="AZ1273" s="644">
        <f>IF(K1273="","",
IF(AX1273="PT",VLOOKUP(K1273,Foundation_Calc!$K$79:$R$113,VLOOKUP(AW1273,Foundation_Calc!$I$2:$J$8,2,FALSE),0),
IF(AX1273="K",VLOOKUP(K1273,Foundation_Calc!$K$117:$R$151,VLOOKUP(AW1273,Foundation_Calc!$I$2:$J$8,2,FALSE),0),"")))</f>
        <v>3.9</v>
      </c>
      <c r="BA1273" s="495" t="str">
        <f t="shared" si="150"/>
        <v/>
      </c>
      <c r="BB1273" s="495" t="str">
        <f t="shared" si="151"/>
        <v>ü</v>
      </c>
      <c r="BC1273" s="495" t="str">
        <f t="shared" si="152"/>
        <v/>
      </c>
      <c r="BD1273" s="513" t="str">
        <f>IF(AND(L1273="",H1273=""),"",
IF(H1273="",Pole_Calc!A$9,
IF(H1273="MP",Pole_Calc!A$10,
IF(H1273="AnMP",Pole_Calc!A$11,
IF(H1273="A",Pole_Calc!A$12,
IF(H1273="S/A",Pole_Calc!A$13,
IF(H1273="A/S",Pole_Calc!A$14,"Poner a mano")))))))</f>
        <v/>
      </c>
      <c r="BE1273" s="429" t="s">
        <v>118</v>
      </c>
      <c r="BF1273" s="290"/>
      <c r="BG1273" s="290"/>
      <c r="BH1273" s="290"/>
      <c r="BI1273" s="290"/>
    </row>
    <row r="1274" spans="1:61" ht="15.6" customHeight="1" thickBot="1">
      <c r="A1274" s="955" t="str">
        <f>IF(OR(AT1274&gt;8,AT1274&lt;-8),"PH",
IF(OR(AT1274&gt;5,AT1274&lt;-5),"PHQ",
IF(OR(AT1274&gt;1,AT1274&lt;-1),
"PHC","")))</f>
        <v/>
      </c>
      <c r="B1274" s="956"/>
      <c r="C1274" s="956"/>
      <c r="D1274" s="956"/>
      <c r="E1274" s="956"/>
      <c r="F1274" s="956"/>
      <c r="G1274" s="956"/>
      <c r="H1274" s="956"/>
      <c r="I1274" s="956"/>
      <c r="J1274" s="956"/>
      <c r="K1274" s="956"/>
      <c r="L1274" s="956"/>
      <c r="M1274" s="956"/>
      <c r="N1274" s="956"/>
      <c r="O1274" s="956"/>
      <c r="P1274" s="956"/>
      <c r="Q1274" s="956"/>
      <c r="R1274" s="956"/>
      <c r="S1274" s="956"/>
      <c r="T1274" s="956"/>
      <c r="U1274" s="956"/>
      <c r="V1274" s="956"/>
      <c r="W1274" s="956"/>
      <c r="X1274" s="956"/>
      <c r="Y1274" s="956"/>
      <c r="Z1274" s="956"/>
      <c r="AA1274" s="956"/>
      <c r="AB1274" s="956"/>
      <c r="AC1274" s="956"/>
      <c r="AD1274" s="956"/>
      <c r="AE1274" s="956"/>
      <c r="AF1274" s="956"/>
      <c r="AG1274" s="956"/>
      <c r="AH1274" s="956"/>
      <c r="AI1274" s="956"/>
      <c r="AJ1274" s="956"/>
      <c r="AK1274" s="956"/>
      <c r="AL1274" s="956"/>
      <c r="AM1274" s="956"/>
      <c r="AN1274" s="956"/>
      <c r="AO1274" s="956"/>
      <c r="AP1274" s="956"/>
      <c r="AQ1274" s="956"/>
      <c r="AR1274" s="956"/>
      <c r="AS1274" s="956"/>
      <c r="AT1274" s="956"/>
      <c r="AU1274" s="956"/>
      <c r="AV1274" s="956"/>
      <c r="AW1274" s="956"/>
      <c r="AX1274" s="956"/>
      <c r="AY1274" s="956"/>
      <c r="AZ1274" s="956"/>
      <c r="BA1274" s="956"/>
      <c r="BB1274" s="956"/>
      <c r="BC1274" s="956"/>
      <c r="BD1274" s="957"/>
      <c r="BE1274" s="429"/>
      <c r="BF1274" s="549"/>
      <c r="BG1274" s="549"/>
      <c r="BH1274" s="549"/>
      <c r="BI1274" s="549"/>
    </row>
    <row r="1275" spans="1:61" ht="15.75" customHeight="1">
      <c r="B1275" s="427"/>
      <c r="C1275" s="84"/>
      <c r="D1275" s="903"/>
      <c r="E1275" s="13"/>
      <c r="G1275" s="904"/>
      <c r="J1275" s="84"/>
      <c r="Q1275" s="13"/>
      <c r="R1275" s="904"/>
      <c r="S1275" s="904"/>
      <c r="T1275" s="13"/>
      <c r="U1275" s="13"/>
      <c r="V1275" s="13"/>
      <c r="W1275" s="16"/>
      <c r="X1275" s="16"/>
      <c r="Y1275" s="16"/>
      <c r="Z1275" s="16"/>
      <c r="AA1275" s="16"/>
      <c r="AB1275" s="16"/>
      <c r="AF1275" s="13"/>
      <c r="AG1275" s="903"/>
      <c r="AH1275" s="13"/>
      <c r="AI1275" s="13"/>
      <c r="AN1275" s="905"/>
      <c r="AO1275" s="16"/>
      <c r="AP1275" s="16"/>
      <c r="AQ1275" s="16"/>
      <c r="AR1275" s="16"/>
      <c r="AS1275" s="16"/>
      <c r="AU1275" s="429"/>
      <c r="AV1275" s="429"/>
      <c r="AY1275" s="905"/>
      <c r="AZ1275" s="905"/>
      <c r="BA1275" s="906"/>
      <c r="BB1275" s="906"/>
      <c r="BC1275" s="906"/>
      <c r="BD1275" s="907" t="str">
        <f>IF(AND(L1275="",H1275=""),"",
IF(H1275="",Pole_Calc!A$9,
IF(H1275="MP",Pole_Calc!A$10,
IF(H1275="AnMP",Pole_Calc!A$11,
IF(H1275="A",Pole_Calc!A$12,
IF(H1275="S/A",Pole_Calc!A$13,
IF(H1275="A/S",Pole_Calc!A$14,"Poner a mano")))))))</f>
        <v/>
      </c>
      <c r="BE1275" s="429"/>
      <c r="BF1275" s="909"/>
      <c r="BG1275" s="909"/>
      <c r="BH1275" s="909"/>
      <c r="BI1275" s="909"/>
    </row>
    <row r="1276" spans="1:61" ht="15.75" customHeight="1">
      <c r="B1276" s="427"/>
      <c r="C1276" s="84"/>
      <c r="D1276" s="903"/>
      <c r="E1276" s="13"/>
      <c r="G1276" s="904"/>
      <c r="J1276" s="84"/>
      <c r="M1276" s="8" t="str">
        <f>IF(L1276="","",
IF(AX1276="PT",VLOOKUP(L1276,Foundation_Calc!$V$79:$X$113,VLOOKUP(AX1276,Foundation_Calc!$I$10:$J$13,2,FALSE),0),
IF(AX1276="K",VLOOKUP(L1276,Foundation_Calc!$V$117:$X$151,VLOOKUP(AX1276,Foundation_Calc!$I$10:$J$13,2,FALSE),0),"")))</f>
        <v/>
      </c>
      <c r="Q1276" s="13"/>
      <c r="R1276" s="904"/>
      <c r="S1276" s="904"/>
      <c r="T1276" s="13"/>
      <c r="U1276" s="13"/>
      <c r="V1276" s="13"/>
      <c r="W1276" s="16"/>
      <c r="X1276" s="16"/>
      <c r="Y1276" s="16"/>
      <c r="Z1276" s="16"/>
      <c r="AA1276" s="16"/>
      <c r="AB1276" s="16"/>
      <c r="AF1276" s="13"/>
      <c r="AG1276" s="903"/>
      <c r="AH1276" s="13"/>
      <c r="AI1276" s="13"/>
      <c r="AN1276" s="905"/>
      <c r="AO1276" s="16"/>
      <c r="AP1276" s="16"/>
      <c r="AQ1276" s="16"/>
      <c r="AR1276" s="16"/>
      <c r="AS1276" s="16"/>
      <c r="AU1276" s="429"/>
      <c r="AV1276" s="429"/>
      <c r="AW1276" s="8" t="str">
        <f>IF(C1276&gt;0,VLOOKUP(C1276,Foundation_Calc!$A$2:$C$13,3,1),
IF(J1276&gt;0,VLOOKUP(J1276,Foundation_Calc!$A$2:$C$13,3,1),""))</f>
        <v/>
      </c>
      <c r="AX1276" s="8" t="str">
        <f>IF(C1276&gt;0,VLOOKUP(C1276,Foundation_Calc!$E$2:$G$33,3,1),
IF(J1276&gt;0,VLOOKUP(J1276,Foundation_Calc!$E$2:$G$33,3,1),""))</f>
        <v/>
      </c>
      <c r="AY1276" s="905" t="str">
        <f>IF(L1276="","",
IF(AX1276="PT",VLOOKUP(L1276,Foundation_Calc!$K$79:$R$113,VLOOKUP(AW1276,Foundation_Calc!$I$2:$J$8,2,FALSE),0),
IF(AX1276="K",VLOOKUP(L1276,Foundation_Calc!$K$117:$R$151,VLOOKUP(AW1276,Foundation_Calc!$I$2:$J$8,2,FALSE),0),"")))</f>
        <v/>
      </c>
      <c r="AZ1276" s="905" t="str">
        <f>IF(K1276="","",
IF(AX1276="PT",VLOOKUP(K1276,Foundation_Calc!$K$79:$R$113,VLOOKUP(AW1276,Foundation_Calc!$I$2:$J$8,2,FALSE),0),
IF(AX1276="K",VLOOKUP(K1276,Foundation_Calc!$K$117:$R$151,VLOOKUP(AW1276,Foundation_Calc!$I$2:$J$8,2,FALSE),0),"")))</f>
        <v/>
      </c>
      <c r="BA1276" s="906" t="str">
        <f t="shared" ref="BA1276:BA1307" si="153">IF(AY1276="","",IF(AY1276&gt;0,"ü",""))</f>
        <v/>
      </c>
      <c r="BB1276" s="906" t="str">
        <f t="shared" ref="BB1276:BB1307" si="154">IF(AZ1276="","",IF(AZ1276&gt;0,"ü",""))</f>
        <v/>
      </c>
      <c r="BC1276" s="906" t="str">
        <f t="shared" ref="BC1276:BC1307" si="155">IF(M1276="","",IF(M1276="U.S.","ü",IF(M1276="U.S. N.D.","ü","")))</f>
        <v/>
      </c>
      <c r="BD1276" s="907" t="str">
        <f>IF(AND(L1276="",H1276=""),"",
IF(H1276="",Pole_Calc!A$9,
IF(H1276="MP",Pole_Calc!A$10,
IF(H1276="AnMP",Pole_Calc!A$11,
IF(H1276="A",Pole_Calc!A$12,
IF(H1276="S/A",Pole_Calc!A$13,
IF(H1276="A/S",Pole_Calc!A$14,"Poner a mano")))))))</f>
        <v/>
      </c>
      <c r="BE1276" s="429"/>
      <c r="BF1276" s="909"/>
      <c r="BG1276" s="909"/>
      <c r="BH1276" s="909"/>
      <c r="BI1276" s="909"/>
    </row>
    <row r="1277" spans="1:61" ht="15.75" customHeight="1">
      <c r="B1277" s="427"/>
      <c r="C1277" s="84"/>
      <c r="D1277" s="903"/>
      <c r="E1277" s="13"/>
      <c r="G1277" s="904"/>
      <c r="J1277" s="84"/>
      <c r="M1277" s="8" t="str">
        <f>IF(L1277="","",
IF(AX1277="PT",VLOOKUP(L1277,Foundation_Calc!$V$79:$X$113,VLOOKUP(AX1277,Foundation_Calc!$I$10:$J$13,2,FALSE),0),
IF(AX1277="K",VLOOKUP(L1277,Foundation_Calc!$V$117:$X$151,VLOOKUP(AX1277,Foundation_Calc!$I$10:$J$13,2,FALSE),0),"")))</f>
        <v/>
      </c>
      <c r="Q1277" s="13"/>
      <c r="R1277" s="904"/>
      <c r="S1277" s="904"/>
      <c r="T1277" s="13"/>
      <c r="U1277" s="13"/>
      <c r="V1277" s="13"/>
      <c r="W1277" s="16"/>
      <c r="X1277" s="16"/>
      <c r="Y1277" s="16"/>
      <c r="Z1277" s="16"/>
      <c r="AA1277" s="16"/>
      <c r="AB1277" s="16"/>
      <c r="AF1277" s="13"/>
      <c r="AG1277" s="903"/>
      <c r="AH1277" s="13"/>
      <c r="AI1277" s="13"/>
      <c r="AN1277" s="905"/>
      <c r="AO1277" s="16"/>
      <c r="AP1277" s="16"/>
      <c r="AQ1277" s="16"/>
      <c r="AR1277" s="16"/>
      <c r="AS1277" s="16"/>
      <c r="AU1277" s="429"/>
      <c r="AV1277" s="429"/>
      <c r="AW1277" s="8" t="str">
        <f>IF(C1277&gt;0,VLOOKUP(C1277,Foundation_Calc!$A$2:$C$13,3,1),
IF(J1277&gt;0,VLOOKUP(J1277,Foundation_Calc!$A$2:$C$13,3,1),""))</f>
        <v/>
      </c>
      <c r="AX1277" s="8" t="str">
        <f>IF(C1277&gt;0,VLOOKUP(C1277,Foundation_Calc!$E$2:$G$33,3,1),
IF(J1277&gt;0,VLOOKUP(J1277,Foundation_Calc!$E$2:$G$33,3,1),""))</f>
        <v/>
      </c>
      <c r="AY1277" s="905" t="str">
        <f>IF(L1277="","",
IF(AX1277="PT",VLOOKUP(L1277,Foundation_Calc!$K$79:$R$113,VLOOKUP(AW1277,Foundation_Calc!$I$2:$J$8,2,FALSE),0),
IF(AX1277="K",VLOOKUP(L1277,Foundation_Calc!$K$117:$R$151,VLOOKUP(AW1277,Foundation_Calc!$I$2:$J$8,2,FALSE),0),"")))</f>
        <v/>
      </c>
      <c r="AZ1277" s="905" t="str">
        <f>IF(K1277="","",
IF(AX1277="PT",VLOOKUP(K1277,Foundation_Calc!$K$79:$R$113,VLOOKUP(AW1277,Foundation_Calc!$I$2:$J$8,2,FALSE),0),
IF(AX1277="K",VLOOKUP(K1277,Foundation_Calc!$K$117:$R$151,VLOOKUP(AW1277,Foundation_Calc!$I$2:$J$8,2,FALSE),0),"")))</f>
        <v/>
      </c>
      <c r="BA1277" s="906" t="str">
        <f t="shared" si="153"/>
        <v/>
      </c>
      <c r="BB1277" s="906" t="str">
        <f t="shared" si="154"/>
        <v/>
      </c>
      <c r="BC1277" s="906" t="str">
        <f t="shared" si="155"/>
        <v/>
      </c>
      <c r="BD1277" s="907" t="str">
        <f>IF(AND(L1277="",H1277=""),"",
IF(H1277="",Pole_Calc!A$9,
IF(H1277="MP",Pole_Calc!A$10,
IF(H1277="AnMP",Pole_Calc!A$11,
IF(H1277="A",Pole_Calc!A$12,
IF(H1277="S/A",Pole_Calc!A$13,
IF(H1277="A/S",Pole_Calc!A$14,"Poner a mano")))))))</f>
        <v/>
      </c>
      <c r="BE1277" s="429"/>
      <c r="BF1277" s="909"/>
      <c r="BG1277" s="909"/>
      <c r="BH1277" s="909"/>
      <c r="BI1277" s="909"/>
    </row>
    <row r="1278" spans="1:61" ht="15.75" customHeight="1">
      <c r="B1278" s="427"/>
      <c r="C1278" s="84"/>
      <c r="D1278" s="903"/>
      <c r="E1278" s="13"/>
      <c r="G1278" s="904"/>
      <c r="J1278" s="84"/>
      <c r="M1278" s="8" t="str">
        <f>IF(L1278="","",
IF(AX1278="PT",VLOOKUP(L1278,Foundation_Calc!$V$79:$X$113,VLOOKUP(AX1278,Foundation_Calc!$I$10:$J$13,2,FALSE),0),
IF(AX1278="K",VLOOKUP(L1278,Foundation_Calc!$V$117:$X$151,VLOOKUP(AX1278,Foundation_Calc!$I$10:$J$13,2,FALSE),0),"")))</f>
        <v/>
      </c>
      <c r="Q1278" s="13"/>
      <c r="R1278" s="904"/>
      <c r="S1278" s="904"/>
      <c r="T1278" s="13"/>
      <c r="U1278" s="13"/>
      <c r="V1278" s="13"/>
      <c r="W1278" s="16"/>
      <c r="X1278" s="16"/>
      <c r="Y1278" s="16"/>
      <c r="Z1278" s="16"/>
      <c r="AA1278" s="16"/>
      <c r="AB1278" s="16"/>
      <c r="AF1278" s="13"/>
      <c r="AG1278" s="903"/>
      <c r="AH1278" s="13"/>
      <c r="AI1278" s="13"/>
      <c r="AN1278" s="905"/>
      <c r="AO1278" s="16"/>
      <c r="AP1278" s="16"/>
      <c r="AQ1278" s="16"/>
      <c r="AR1278" s="16"/>
      <c r="AS1278" s="16"/>
      <c r="AU1278" s="429"/>
      <c r="AV1278" s="429"/>
      <c r="AW1278" s="8" t="str">
        <f>IF(C1278&gt;0,VLOOKUP(C1278,Foundation_Calc!$A$2:$C$13,3,1),
IF(J1278&gt;0,VLOOKUP(J1278,Foundation_Calc!$A$2:$C$13,3,1),""))</f>
        <v/>
      </c>
      <c r="AX1278" s="8" t="str">
        <f>IF(C1278&gt;0,VLOOKUP(C1278,Foundation_Calc!$E$2:$G$33,3,1),
IF(J1278&gt;0,VLOOKUP(J1278,Foundation_Calc!$E$2:$G$33,3,1),""))</f>
        <v/>
      </c>
      <c r="AY1278" s="905" t="str">
        <f>IF(L1278="","",
IF(AX1278="PT",VLOOKUP(L1278,Foundation_Calc!$K$79:$R$113,VLOOKUP(AW1278,Foundation_Calc!$I$2:$J$8,2,FALSE),0),
IF(AX1278="K",VLOOKUP(L1278,Foundation_Calc!$K$117:$R$151,VLOOKUP(AW1278,Foundation_Calc!$I$2:$J$8,2,FALSE),0),"")))</f>
        <v/>
      </c>
      <c r="AZ1278" s="905" t="str">
        <f>IF(K1278="","",
IF(AX1278="PT",VLOOKUP(K1278,Foundation_Calc!$K$79:$R$113,VLOOKUP(AW1278,Foundation_Calc!$I$2:$J$8,2,FALSE),0),
IF(AX1278="K",VLOOKUP(K1278,Foundation_Calc!$K$117:$R$151,VLOOKUP(AW1278,Foundation_Calc!$I$2:$J$8,2,FALSE),0),"")))</f>
        <v/>
      </c>
      <c r="BA1278" s="906" t="str">
        <f t="shared" si="153"/>
        <v/>
      </c>
      <c r="BB1278" s="906" t="str">
        <f t="shared" si="154"/>
        <v/>
      </c>
      <c r="BC1278" s="906" t="str">
        <f t="shared" si="155"/>
        <v/>
      </c>
      <c r="BD1278" s="907" t="str">
        <f>IF(AND(L1278="",H1278=""),"",
IF(H1278="",Pole_Calc!A$9,
IF(H1278="MP",Pole_Calc!A$10,
IF(H1278="AnMP",Pole_Calc!A$11,
IF(H1278="A",Pole_Calc!A$12,
IF(H1278="S/A",Pole_Calc!A$13,
IF(H1278="A/S",Pole_Calc!A$14,"Poner a mano")))))))</f>
        <v/>
      </c>
      <c r="BE1278" s="429"/>
      <c r="BF1278" s="909"/>
      <c r="BG1278" s="909"/>
      <c r="BH1278" s="909"/>
      <c r="BI1278" s="909"/>
    </row>
    <row r="1279" spans="1:61" ht="15.75" customHeight="1">
      <c r="B1279" s="427"/>
      <c r="C1279" s="84"/>
      <c r="D1279" s="903"/>
      <c r="E1279" s="13"/>
      <c r="G1279" s="904"/>
      <c r="J1279" s="84"/>
      <c r="M1279" s="8" t="str">
        <f>IF(L1279="","",
IF(AX1279="PT",VLOOKUP(L1279,Foundation_Calc!$V$79:$X$113,VLOOKUP(AX1279,Foundation_Calc!$I$10:$J$13,2,FALSE),0),
IF(AX1279="K",VLOOKUP(L1279,Foundation_Calc!$V$117:$X$151,VLOOKUP(AX1279,Foundation_Calc!$I$10:$J$13,2,FALSE),0),"")))</f>
        <v/>
      </c>
      <c r="Q1279" s="13"/>
      <c r="R1279" s="904"/>
      <c r="S1279" s="904"/>
      <c r="T1279" s="13"/>
      <c r="U1279" s="13"/>
      <c r="V1279" s="13"/>
      <c r="W1279" s="16"/>
      <c r="X1279" s="16"/>
      <c r="Y1279" s="16"/>
      <c r="Z1279" s="16"/>
      <c r="AA1279" s="16"/>
      <c r="AB1279" s="16"/>
      <c r="AF1279" s="13"/>
      <c r="AG1279" s="903"/>
      <c r="AH1279" s="13"/>
      <c r="AI1279" s="13"/>
      <c r="AN1279" s="905"/>
      <c r="AO1279" s="16"/>
      <c r="AP1279" s="16"/>
      <c r="AQ1279" s="16"/>
      <c r="AR1279" s="16"/>
      <c r="AS1279" s="16"/>
      <c r="AU1279" s="429"/>
      <c r="AV1279" s="429"/>
      <c r="AW1279" s="8" t="str">
        <f>IF(C1279&gt;0,VLOOKUP(C1279,Foundation_Calc!$A$2:$C$13,3,1),
IF(J1279&gt;0,VLOOKUP(J1279,Foundation_Calc!$A$2:$C$13,3,1),""))</f>
        <v/>
      </c>
      <c r="AX1279" s="8" t="str">
        <f>IF(C1279&gt;0,VLOOKUP(C1279,Foundation_Calc!$E$2:$G$33,3,1),
IF(J1279&gt;0,VLOOKUP(J1279,Foundation_Calc!$E$2:$G$33,3,1),""))</f>
        <v/>
      </c>
      <c r="AY1279" s="905" t="str">
        <f>IF(L1279="","",
IF(AX1279="PT",VLOOKUP(L1279,Foundation_Calc!$K$79:$R$113,VLOOKUP(AW1279,Foundation_Calc!$I$2:$J$8,2,FALSE),0),
IF(AX1279="K",VLOOKUP(L1279,Foundation_Calc!$K$117:$R$151,VLOOKUP(AW1279,Foundation_Calc!$I$2:$J$8,2,FALSE),0),"")))</f>
        <v/>
      </c>
      <c r="AZ1279" s="905" t="str">
        <f>IF(K1279="","",
IF(AX1279="PT",VLOOKUP(K1279,Foundation_Calc!$K$79:$R$113,VLOOKUP(AW1279,Foundation_Calc!$I$2:$J$8,2,FALSE),0),
IF(AX1279="K",VLOOKUP(K1279,Foundation_Calc!$K$117:$R$151,VLOOKUP(AW1279,Foundation_Calc!$I$2:$J$8,2,FALSE),0),"")))</f>
        <v/>
      </c>
      <c r="BA1279" s="906" t="str">
        <f t="shared" si="153"/>
        <v/>
      </c>
      <c r="BB1279" s="906" t="str">
        <f t="shared" si="154"/>
        <v/>
      </c>
      <c r="BC1279" s="906" t="str">
        <f t="shared" si="155"/>
        <v/>
      </c>
      <c r="BD1279" s="907" t="str">
        <f>IF(AND(L1279="",H1279=""),"",
IF(H1279="",Pole_Calc!A$9,
IF(H1279="MP",Pole_Calc!A$10,
IF(H1279="AnMP",Pole_Calc!A$11,
IF(H1279="A",Pole_Calc!A$12,
IF(H1279="S/A",Pole_Calc!A$13,
IF(H1279="A/S",Pole_Calc!A$14,"Poner a mano")))))))</f>
        <v/>
      </c>
      <c r="BE1279" s="429"/>
      <c r="BF1279" s="909"/>
      <c r="BG1279" s="909"/>
      <c r="BH1279" s="909"/>
      <c r="BI1279" s="909"/>
    </row>
    <row r="1280" spans="1:61" ht="15.75" customHeight="1">
      <c r="B1280" s="427"/>
      <c r="C1280" s="84"/>
      <c r="D1280" s="903"/>
      <c r="E1280" s="13"/>
      <c r="G1280" s="904"/>
      <c r="J1280" s="84"/>
      <c r="M1280" s="8" t="str">
        <f>IF(L1280="","",
IF(AX1280="PT",VLOOKUP(L1280,Foundation_Calc!$V$79:$X$113,VLOOKUP(AX1280,Foundation_Calc!$I$10:$J$13,2,FALSE),0),
IF(AX1280="K",VLOOKUP(L1280,Foundation_Calc!$V$117:$X$151,VLOOKUP(AX1280,Foundation_Calc!$I$10:$J$13,2,FALSE),0),"")))</f>
        <v/>
      </c>
      <c r="Q1280" s="13"/>
      <c r="R1280" s="904"/>
      <c r="S1280" s="904"/>
      <c r="T1280" s="13"/>
      <c r="U1280" s="13"/>
      <c r="V1280" s="13"/>
      <c r="W1280" s="16"/>
      <c r="X1280" s="16"/>
      <c r="Y1280" s="16"/>
      <c r="Z1280" s="16"/>
      <c r="AA1280" s="16"/>
      <c r="AB1280" s="16"/>
      <c r="AF1280" s="13"/>
      <c r="AG1280" s="903"/>
      <c r="AH1280" s="13"/>
      <c r="AI1280" s="13"/>
      <c r="AN1280" s="905"/>
      <c r="AO1280" s="16"/>
      <c r="AP1280" s="16"/>
      <c r="AQ1280" s="16"/>
      <c r="AR1280" s="16"/>
      <c r="AS1280" s="16"/>
      <c r="AU1280" s="429"/>
      <c r="AV1280" s="429"/>
      <c r="AW1280" s="8" t="str">
        <f>IF(C1280&gt;0,VLOOKUP(C1280,Foundation_Calc!$A$2:$C$13,3,1),
IF(J1280&gt;0,VLOOKUP(J1280,Foundation_Calc!$A$2:$C$13,3,1),""))</f>
        <v/>
      </c>
      <c r="AX1280" s="8" t="str">
        <f>IF(C1280&gt;0,VLOOKUP(C1280,Foundation_Calc!$E$2:$G$33,3,1),
IF(J1280&gt;0,VLOOKUP(J1280,Foundation_Calc!$E$2:$G$33,3,1),""))</f>
        <v/>
      </c>
      <c r="AY1280" s="905" t="str">
        <f>IF(L1280="","",
IF(AX1280="PT",VLOOKUP(L1280,Foundation_Calc!$K$79:$R$113,VLOOKUP(AW1280,Foundation_Calc!$I$2:$J$8,2,FALSE),0),
IF(AX1280="K",VLOOKUP(L1280,Foundation_Calc!$K$117:$R$151,VLOOKUP(AW1280,Foundation_Calc!$I$2:$J$8,2,FALSE),0),"")))</f>
        <v/>
      </c>
      <c r="AZ1280" s="905" t="str">
        <f>IF(K1280="","",
IF(AX1280="PT",VLOOKUP(K1280,Foundation_Calc!$K$79:$R$113,VLOOKUP(AW1280,Foundation_Calc!$I$2:$J$8,2,FALSE),0),
IF(AX1280="K",VLOOKUP(K1280,Foundation_Calc!$K$117:$R$151,VLOOKUP(AW1280,Foundation_Calc!$I$2:$J$8,2,FALSE),0),"")))</f>
        <v/>
      </c>
      <c r="BA1280" s="906" t="str">
        <f t="shared" si="153"/>
        <v/>
      </c>
      <c r="BB1280" s="906" t="str">
        <f t="shared" si="154"/>
        <v/>
      </c>
      <c r="BC1280" s="906" t="str">
        <f t="shared" si="155"/>
        <v/>
      </c>
      <c r="BD1280" s="907" t="str">
        <f>IF(AND(L1280="",H1280=""),"",
IF(H1280="",Pole_Calc!A$9,
IF(H1280="MP",Pole_Calc!A$10,
IF(H1280="AnMP",Pole_Calc!A$11,
IF(H1280="A",Pole_Calc!A$12,
IF(H1280="S/A",Pole_Calc!A$13,
IF(H1280="A/S",Pole_Calc!A$14,"Poner a mano")))))))</f>
        <v/>
      </c>
      <c r="BE1280" s="429"/>
      <c r="BF1280" s="909"/>
      <c r="BG1280" s="909"/>
      <c r="BH1280" s="909"/>
      <c r="BI1280" s="909"/>
    </row>
    <row r="1281" spans="2:61" ht="15.75" customHeight="1">
      <c r="B1281" s="427"/>
      <c r="C1281" s="84"/>
      <c r="D1281" s="903"/>
      <c r="E1281" s="13"/>
      <c r="G1281" s="904"/>
      <c r="J1281" s="84"/>
      <c r="M1281" s="8" t="str">
        <f>IF(L1281="","",
IF(AX1281="PT",VLOOKUP(L1281,Foundation_Calc!$V$79:$X$113,VLOOKUP(AX1281,Foundation_Calc!$I$10:$J$13,2,FALSE),0),
IF(AX1281="K",VLOOKUP(L1281,Foundation_Calc!$V$117:$X$151,VLOOKUP(AX1281,Foundation_Calc!$I$10:$J$13,2,FALSE),0),"")))</f>
        <v/>
      </c>
      <c r="Q1281" s="13"/>
      <c r="R1281" s="904"/>
      <c r="S1281" s="904"/>
      <c r="T1281" s="13"/>
      <c r="U1281" s="13"/>
      <c r="V1281" s="13"/>
      <c r="W1281" s="16"/>
      <c r="X1281" s="16"/>
      <c r="Y1281" s="16"/>
      <c r="Z1281" s="16"/>
      <c r="AA1281" s="16"/>
      <c r="AB1281" s="16"/>
      <c r="AF1281" s="13"/>
      <c r="AG1281" s="903"/>
      <c r="AH1281" s="13"/>
      <c r="AI1281" s="13"/>
      <c r="AN1281" s="905"/>
      <c r="AO1281" s="16"/>
      <c r="AP1281" s="16"/>
      <c r="AQ1281" s="16"/>
      <c r="AR1281" s="16"/>
      <c r="AS1281" s="16"/>
      <c r="AU1281" s="429"/>
      <c r="AV1281" s="429"/>
      <c r="AW1281" s="8" t="str">
        <f>IF(C1281&gt;0,VLOOKUP(C1281,Foundation_Calc!$A$2:$C$13,3,1),
IF(J1281&gt;0,VLOOKUP(J1281,Foundation_Calc!$A$2:$C$13,3,1),""))</f>
        <v/>
      </c>
      <c r="AX1281" s="8" t="str">
        <f>IF(C1281&gt;0,VLOOKUP(C1281,Foundation_Calc!$E$2:$G$33,3,1),
IF(J1281&gt;0,VLOOKUP(J1281,Foundation_Calc!$E$2:$G$33,3,1),""))</f>
        <v/>
      </c>
      <c r="AY1281" s="905" t="str">
        <f>IF(L1281="","",
IF(AX1281="PT",VLOOKUP(L1281,Foundation_Calc!$K$79:$R$113,VLOOKUP(AW1281,Foundation_Calc!$I$2:$J$8,2,FALSE),0),
IF(AX1281="K",VLOOKUP(L1281,Foundation_Calc!$K$117:$R$151,VLOOKUP(AW1281,Foundation_Calc!$I$2:$J$8,2,FALSE),0),"")))</f>
        <v/>
      </c>
      <c r="AZ1281" s="905" t="str">
        <f>IF(K1281="","",
IF(AX1281="PT",VLOOKUP(K1281,Foundation_Calc!$K$79:$R$113,VLOOKUP(AW1281,Foundation_Calc!$I$2:$J$8,2,FALSE),0),
IF(AX1281="K",VLOOKUP(K1281,Foundation_Calc!$K$117:$R$151,VLOOKUP(AW1281,Foundation_Calc!$I$2:$J$8,2,FALSE),0),"")))</f>
        <v/>
      </c>
      <c r="BA1281" s="906" t="str">
        <f t="shared" si="153"/>
        <v/>
      </c>
      <c r="BB1281" s="906" t="str">
        <f t="shared" si="154"/>
        <v/>
      </c>
      <c r="BC1281" s="906" t="str">
        <f t="shared" si="155"/>
        <v/>
      </c>
      <c r="BD1281" s="907" t="str">
        <f>IF(AND(L1281="",H1281=""),"",
IF(H1281="",Pole_Calc!A$9,
IF(H1281="MP",Pole_Calc!A$10,
IF(H1281="AnMP",Pole_Calc!A$11,
IF(H1281="A",Pole_Calc!A$12,
IF(H1281="S/A",Pole_Calc!A$13,
IF(H1281="A/S",Pole_Calc!A$14,"Poner a mano")))))))</f>
        <v/>
      </c>
      <c r="BE1281" s="429"/>
      <c r="BF1281" s="909"/>
      <c r="BG1281" s="909"/>
      <c r="BH1281" s="909"/>
      <c r="BI1281" s="909"/>
    </row>
    <row r="1282" spans="2:61" ht="15.75" customHeight="1">
      <c r="B1282" s="427"/>
      <c r="C1282" s="84"/>
      <c r="D1282" s="903"/>
      <c r="E1282" s="13"/>
      <c r="G1282" s="904"/>
      <c r="J1282" s="84"/>
      <c r="M1282" s="8" t="str">
        <f>IF(L1282="","",
IF(AX1282="PT",VLOOKUP(L1282,Foundation_Calc!$V$79:$X$113,VLOOKUP(AX1282,Foundation_Calc!$I$10:$J$13,2,FALSE),0),
IF(AX1282="K",VLOOKUP(L1282,Foundation_Calc!$V$117:$X$151,VLOOKUP(AX1282,Foundation_Calc!$I$10:$J$13,2,FALSE),0),"")))</f>
        <v/>
      </c>
      <c r="Q1282" s="13"/>
      <c r="R1282" s="904"/>
      <c r="S1282" s="904"/>
      <c r="T1282" s="13"/>
      <c r="U1282" s="13"/>
      <c r="V1282" s="13"/>
      <c r="W1282" s="16"/>
      <c r="X1282" s="16"/>
      <c r="Y1282" s="16"/>
      <c r="Z1282" s="16"/>
      <c r="AA1282" s="16"/>
      <c r="AB1282" s="16"/>
      <c r="AF1282" s="13"/>
      <c r="AG1282" s="903"/>
      <c r="AH1282" s="13"/>
      <c r="AI1282" s="13"/>
      <c r="AN1282" s="905"/>
      <c r="AO1282" s="16"/>
      <c r="AP1282" s="16"/>
      <c r="AQ1282" s="16"/>
      <c r="AR1282" s="16"/>
      <c r="AS1282" s="16"/>
      <c r="AU1282" s="429"/>
      <c r="AV1282" s="429"/>
      <c r="AW1282" s="8" t="str">
        <f>IF(C1282&gt;0,VLOOKUP(C1282,Foundation_Calc!$A$2:$C$13,3,1),
IF(J1282&gt;0,VLOOKUP(J1282,Foundation_Calc!$A$2:$C$13,3,1),""))</f>
        <v/>
      </c>
      <c r="AX1282" s="8" t="str">
        <f>IF(C1282&gt;0,VLOOKUP(C1282,Foundation_Calc!$E$2:$G$33,3,1),
IF(J1282&gt;0,VLOOKUP(J1282,Foundation_Calc!$E$2:$G$33,3,1),""))</f>
        <v/>
      </c>
      <c r="AY1282" s="905" t="str">
        <f>IF(L1282="","",
IF(AX1282="PT",VLOOKUP(L1282,Foundation_Calc!$K$79:$R$113,VLOOKUP(AW1282,Foundation_Calc!$I$2:$J$8,2,FALSE),0),
IF(AX1282="K",VLOOKUP(L1282,Foundation_Calc!$K$117:$R$151,VLOOKUP(AW1282,Foundation_Calc!$I$2:$J$8,2,FALSE),0),"")))</f>
        <v/>
      </c>
      <c r="AZ1282" s="905" t="str">
        <f>IF(K1282="","",
IF(AX1282="PT",VLOOKUP(K1282,Foundation_Calc!$K$79:$R$113,VLOOKUP(AW1282,Foundation_Calc!$I$2:$J$8,2,FALSE),0),
IF(AX1282="K",VLOOKUP(K1282,Foundation_Calc!$K$117:$R$151,VLOOKUP(AW1282,Foundation_Calc!$I$2:$J$8,2,FALSE),0),"")))</f>
        <v/>
      </c>
      <c r="BA1282" s="906" t="str">
        <f t="shared" si="153"/>
        <v/>
      </c>
      <c r="BB1282" s="906" t="str">
        <f t="shared" si="154"/>
        <v/>
      </c>
      <c r="BC1282" s="906" t="str">
        <f t="shared" si="155"/>
        <v/>
      </c>
      <c r="BD1282" s="907" t="str">
        <f>IF(AND(L1282="",H1282=""),"",
IF(H1282="",Pole_Calc!A$9,
IF(H1282="MP",Pole_Calc!A$10,
IF(H1282="AnMP",Pole_Calc!A$11,
IF(H1282="A",Pole_Calc!A$12,
IF(H1282="S/A",Pole_Calc!A$13,
IF(H1282="A/S",Pole_Calc!A$14,"Poner a mano")))))))</f>
        <v/>
      </c>
      <c r="BE1282" s="429"/>
      <c r="BF1282" s="909"/>
      <c r="BG1282" s="909"/>
      <c r="BH1282" s="909"/>
      <c r="BI1282" s="909"/>
    </row>
    <row r="1283" spans="2:61" ht="15.75" customHeight="1">
      <c r="B1283" s="427"/>
      <c r="C1283" s="84"/>
      <c r="D1283" s="903"/>
      <c r="E1283" s="13"/>
      <c r="G1283" s="904"/>
      <c r="J1283" s="84"/>
      <c r="M1283" s="8" t="str">
        <f>IF(L1283="","",
IF(AX1283="PT",VLOOKUP(L1283,Foundation_Calc!$V$79:$X$113,VLOOKUP(AX1283,Foundation_Calc!$I$10:$J$13,2,FALSE),0),
IF(AX1283="K",VLOOKUP(L1283,Foundation_Calc!$V$117:$X$151,VLOOKUP(AX1283,Foundation_Calc!$I$10:$J$13,2,FALSE),0),"")))</f>
        <v/>
      </c>
      <c r="Q1283" s="13"/>
      <c r="R1283" s="904"/>
      <c r="S1283" s="904"/>
      <c r="T1283" s="13"/>
      <c r="U1283" s="13"/>
      <c r="V1283" s="13"/>
      <c r="W1283" s="16"/>
      <c r="X1283" s="16"/>
      <c r="Y1283" s="16"/>
      <c r="Z1283" s="16"/>
      <c r="AA1283" s="16"/>
      <c r="AB1283" s="16"/>
      <c r="AF1283" s="13"/>
      <c r="AG1283" s="903"/>
      <c r="AH1283" s="13"/>
      <c r="AI1283" s="13"/>
      <c r="AN1283" s="905"/>
      <c r="AO1283" s="16"/>
      <c r="AP1283" s="16"/>
      <c r="AQ1283" s="16"/>
      <c r="AR1283" s="16"/>
      <c r="AS1283" s="16"/>
      <c r="AU1283" s="429"/>
      <c r="AV1283" s="429"/>
      <c r="AW1283" s="8" t="str">
        <f>IF(C1283&gt;0,VLOOKUP(C1283,Foundation_Calc!$A$2:$C$13,3,1),
IF(J1283&gt;0,VLOOKUP(J1283,Foundation_Calc!$A$2:$C$13,3,1),""))</f>
        <v/>
      </c>
      <c r="AX1283" s="8" t="str">
        <f>IF(C1283&gt;0,VLOOKUP(C1283,Foundation_Calc!$E$2:$G$33,3,1),
IF(J1283&gt;0,VLOOKUP(J1283,Foundation_Calc!$E$2:$G$33,3,1),""))</f>
        <v/>
      </c>
      <c r="AY1283" s="905" t="str">
        <f>IF(L1283="","",
IF(AX1283="PT",VLOOKUP(L1283,Foundation_Calc!$K$79:$R$113,VLOOKUP(AW1283,Foundation_Calc!$I$2:$J$8,2,FALSE),0),
IF(AX1283="K",VLOOKUP(L1283,Foundation_Calc!$K$117:$R$151,VLOOKUP(AW1283,Foundation_Calc!$I$2:$J$8,2,FALSE),0),"")))</f>
        <v/>
      </c>
      <c r="AZ1283" s="905" t="str">
        <f>IF(K1283="","",
IF(AX1283="PT",VLOOKUP(K1283,Foundation_Calc!$K$79:$R$113,VLOOKUP(AW1283,Foundation_Calc!$I$2:$J$8,2,FALSE),0),
IF(AX1283="K",VLOOKUP(K1283,Foundation_Calc!$K$117:$R$151,VLOOKUP(AW1283,Foundation_Calc!$I$2:$J$8,2,FALSE),0),"")))</f>
        <v/>
      </c>
      <c r="BA1283" s="906" t="str">
        <f t="shared" si="153"/>
        <v/>
      </c>
      <c r="BB1283" s="906" t="str">
        <f t="shared" si="154"/>
        <v/>
      </c>
      <c r="BC1283" s="906" t="str">
        <f t="shared" si="155"/>
        <v/>
      </c>
      <c r="BD1283" s="907" t="str">
        <f>IF(AND(L1283="",H1283=""),"",
IF(H1283="",Pole_Calc!A$9,
IF(H1283="MP",Pole_Calc!A$10,
IF(H1283="AnMP",Pole_Calc!A$11,
IF(H1283="A",Pole_Calc!A$12,
IF(H1283="S/A",Pole_Calc!A$13,
IF(H1283="A/S",Pole_Calc!A$14,"Poner a mano")))))))</f>
        <v/>
      </c>
      <c r="BE1283" s="429"/>
      <c r="BF1283" s="909"/>
      <c r="BG1283" s="909"/>
      <c r="BH1283" s="909"/>
      <c r="BI1283" s="909"/>
    </row>
    <row r="1284" spans="2:61" ht="15.75" customHeight="1">
      <c r="B1284" s="427"/>
      <c r="C1284" s="84"/>
      <c r="D1284" s="903"/>
      <c r="E1284" s="13"/>
      <c r="G1284" s="904"/>
      <c r="J1284" s="84"/>
      <c r="M1284" s="8" t="str">
        <f>IF(L1284="","",
IF(AX1284="PT",VLOOKUP(L1284,Foundation_Calc!$V$79:$X$113,VLOOKUP(AX1284,Foundation_Calc!$I$10:$J$13,2,FALSE),0),
IF(AX1284="K",VLOOKUP(L1284,Foundation_Calc!$V$117:$X$151,VLOOKUP(AX1284,Foundation_Calc!$I$10:$J$13,2,FALSE),0),"")))</f>
        <v/>
      </c>
      <c r="Q1284" s="13"/>
      <c r="R1284" s="904"/>
      <c r="S1284" s="904"/>
      <c r="T1284" s="13"/>
      <c r="U1284" s="13"/>
      <c r="V1284" s="13"/>
      <c r="W1284" s="16"/>
      <c r="X1284" s="16"/>
      <c r="Y1284" s="16"/>
      <c r="Z1284" s="16"/>
      <c r="AA1284" s="16"/>
      <c r="AB1284" s="16"/>
      <c r="AF1284" s="13"/>
      <c r="AG1284" s="903"/>
      <c r="AH1284" s="13"/>
      <c r="AI1284" s="13"/>
      <c r="AN1284" s="905"/>
      <c r="AO1284" s="16"/>
      <c r="AP1284" s="16"/>
      <c r="AQ1284" s="16"/>
      <c r="AR1284" s="16"/>
      <c r="AS1284" s="16"/>
      <c r="AU1284" s="429"/>
      <c r="AV1284" s="429"/>
      <c r="AW1284" s="8" t="str">
        <f>IF(C1284&gt;0,VLOOKUP(C1284,Foundation_Calc!$A$2:$C$13,3,1),
IF(J1284&gt;0,VLOOKUP(J1284,Foundation_Calc!$A$2:$C$13,3,1),""))</f>
        <v/>
      </c>
      <c r="AX1284" s="8" t="str">
        <f>IF(C1284&gt;0,VLOOKUP(C1284,Foundation_Calc!$E$2:$G$33,3,1),
IF(J1284&gt;0,VLOOKUP(J1284,Foundation_Calc!$E$2:$G$33,3,1),""))</f>
        <v/>
      </c>
      <c r="AY1284" s="905" t="str">
        <f>IF(L1284="","",
IF(AX1284="PT",VLOOKUP(L1284,Foundation_Calc!$K$79:$R$113,VLOOKUP(AW1284,Foundation_Calc!$I$2:$J$8,2,FALSE),0),
IF(AX1284="K",VLOOKUP(L1284,Foundation_Calc!$K$117:$R$151,VLOOKUP(AW1284,Foundation_Calc!$I$2:$J$8,2,FALSE),0),"")))</f>
        <v/>
      </c>
      <c r="AZ1284" s="905" t="str">
        <f>IF(K1284="","",
IF(AX1284="PT",VLOOKUP(K1284,Foundation_Calc!$K$79:$R$113,VLOOKUP(AW1284,Foundation_Calc!$I$2:$J$8,2,FALSE),0),
IF(AX1284="K",VLOOKUP(K1284,Foundation_Calc!$K$117:$R$151,VLOOKUP(AW1284,Foundation_Calc!$I$2:$J$8,2,FALSE),0),"")))</f>
        <v/>
      </c>
      <c r="BA1284" s="906" t="str">
        <f t="shared" si="153"/>
        <v/>
      </c>
      <c r="BB1284" s="906" t="str">
        <f t="shared" si="154"/>
        <v/>
      </c>
      <c r="BC1284" s="906" t="str">
        <f t="shared" si="155"/>
        <v/>
      </c>
      <c r="BD1284" s="907" t="str">
        <f>IF(AND(L1284="",H1284=""),"",
IF(H1284="",Pole_Calc!A$9,
IF(H1284="MP",Pole_Calc!A$10,
IF(H1284="AnMP",Pole_Calc!A$11,
IF(H1284="A",Pole_Calc!A$12,
IF(H1284="S/A",Pole_Calc!A$13,
IF(H1284="A/S",Pole_Calc!A$14,"Poner a mano")))))))</f>
        <v/>
      </c>
      <c r="BE1284" s="429"/>
      <c r="BF1284" s="909"/>
      <c r="BG1284" s="909"/>
      <c r="BH1284" s="909"/>
      <c r="BI1284" s="909"/>
    </row>
    <row r="1285" spans="2:61" ht="15.75" customHeight="1">
      <c r="B1285" s="427"/>
      <c r="C1285" s="84"/>
      <c r="D1285" s="903"/>
      <c r="E1285" s="13"/>
      <c r="G1285" s="904"/>
      <c r="J1285" s="84"/>
      <c r="M1285" s="8" t="str">
        <f>IF(L1285="","",
IF(AX1285="PT",VLOOKUP(L1285,Foundation_Calc!$V$79:$X$113,VLOOKUP(AX1285,Foundation_Calc!$I$10:$J$13,2,FALSE),0),
IF(AX1285="K",VLOOKUP(L1285,Foundation_Calc!$V$117:$X$151,VLOOKUP(AX1285,Foundation_Calc!$I$10:$J$13,2,FALSE),0),"")))</f>
        <v/>
      </c>
      <c r="Q1285" s="13"/>
      <c r="R1285" s="904"/>
      <c r="S1285" s="904"/>
      <c r="T1285" s="13"/>
      <c r="U1285" s="13"/>
      <c r="V1285" s="13"/>
      <c r="W1285" s="16"/>
      <c r="X1285" s="16"/>
      <c r="Y1285" s="16"/>
      <c r="Z1285" s="16"/>
      <c r="AA1285" s="16"/>
      <c r="AB1285" s="16"/>
      <c r="AF1285" s="13"/>
      <c r="AG1285" s="903"/>
      <c r="AH1285" s="13"/>
      <c r="AI1285" s="13"/>
      <c r="AN1285" s="905"/>
      <c r="AO1285" s="16"/>
      <c r="AP1285" s="16"/>
      <c r="AQ1285" s="16"/>
      <c r="AR1285" s="16"/>
      <c r="AS1285" s="16"/>
      <c r="AU1285" s="429"/>
      <c r="AV1285" s="429"/>
      <c r="AW1285" s="8" t="str">
        <f>IF(C1285&gt;0,VLOOKUP(C1285,Foundation_Calc!$A$2:$C$13,3,1),
IF(J1285&gt;0,VLOOKUP(J1285,Foundation_Calc!$A$2:$C$13,3,1),""))</f>
        <v/>
      </c>
      <c r="AX1285" s="8" t="str">
        <f>IF(C1285&gt;0,VLOOKUP(C1285,Foundation_Calc!$E$2:$G$33,3,1),
IF(J1285&gt;0,VLOOKUP(J1285,Foundation_Calc!$E$2:$G$33,3,1),""))</f>
        <v/>
      </c>
      <c r="AY1285" s="905" t="str">
        <f>IF(L1285="","",
IF(AX1285="PT",VLOOKUP(L1285,Foundation_Calc!$K$79:$R$113,VLOOKUP(AW1285,Foundation_Calc!$I$2:$J$8,2,FALSE),0),
IF(AX1285="K",VLOOKUP(L1285,Foundation_Calc!$K$117:$R$151,VLOOKUP(AW1285,Foundation_Calc!$I$2:$J$8,2,FALSE),0),"")))</f>
        <v/>
      </c>
      <c r="AZ1285" s="905" t="str">
        <f>IF(K1285="","",
IF(AX1285="PT",VLOOKUP(K1285,Foundation_Calc!$K$79:$R$113,VLOOKUP(AW1285,Foundation_Calc!$I$2:$J$8,2,FALSE),0),
IF(AX1285="K",VLOOKUP(K1285,Foundation_Calc!$K$117:$R$151,VLOOKUP(AW1285,Foundation_Calc!$I$2:$J$8,2,FALSE),0),"")))</f>
        <v/>
      </c>
      <c r="BA1285" s="906" t="str">
        <f t="shared" si="153"/>
        <v/>
      </c>
      <c r="BB1285" s="906" t="str">
        <f t="shared" si="154"/>
        <v/>
      </c>
      <c r="BC1285" s="906" t="str">
        <f t="shared" si="155"/>
        <v/>
      </c>
      <c r="BD1285" s="907" t="str">
        <f>IF(AND(L1285="",H1285=""),"",
IF(H1285="",Pole_Calc!A$9,
IF(H1285="MP",Pole_Calc!A$10,
IF(H1285="AnMP",Pole_Calc!A$11,
IF(H1285="A",Pole_Calc!A$12,
IF(H1285="S/A",Pole_Calc!A$13,
IF(H1285="A/S",Pole_Calc!A$14,"Poner a mano")))))))</f>
        <v/>
      </c>
      <c r="BE1285" s="429"/>
      <c r="BF1285" s="909"/>
      <c r="BG1285" s="909"/>
      <c r="BH1285" s="909"/>
      <c r="BI1285" s="909"/>
    </row>
    <row r="1286" spans="2:61" ht="15.75" customHeight="1">
      <c r="B1286" s="427"/>
      <c r="C1286" s="84"/>
      <c r="D1286" s="903"/>
      <c r="E1286" s="13"/>
      <c r="G1286" s="904"/>
      <c r="J1286" s="84"/>
      <c r="M1286" s="8" t="str">
        <f>IF(L1286="","",
IF(AX1286="PT",VLOOKUP(L1286,Foundation_Calc!$V$79:$X$113,VLOOKUP(AX1286,Foundation_Calc!$I$10:$J$13,2,FALSE),0),
IF(AX1286="K",VLOOKUP(L1286,Foundation_Calc!$V$117:$X$151,VLOOKUP(AX1286,Foundation_Calc!$I$10:$J$13,2,FALSE),0),"")))</f>
        <v/>
      </c>
      <c r="Q1286" s="13"/>
      <c r="R1286" s="904"/>
      <c r="S1286" s="904"/>
      <c r="T1286" s="13"/>
      <c r="U1286" s="13"/>
      <c r="V1286" s="13"/>
      <c r="W1286" s="16"/>
      <c r="X1286" s="16"/>
      <c r="Y1286" s="16"/>
      <c r="Z1286" s="16"/>
      <c r="AA1286" s="16"/>
      <c r="AB1286" s="16"/>
      <c r="AF1286" s="13"/>
      <c r="AG1286" s="903"/>
      <c r="AH1286" s="13"/>
      <c r="AI1286" s="13"/>
      <c r="AN1286" s="905"/>
      <c r="AO1286" s="16"/>
      <c r="AP1286" s="16"/>
      <c r="AQ1286" s="16"/>
      <c r="AR1286" s="16"/>
      <c r="AS1286" s="16"/>
      <c r="AU1286" s="429"/>
      <c r="AV1286" s="429"/>
      <c r="AW1286" s="8" t="str">
        <f>IF(C1286&gt;0,VLOOKUP(C1286,Foundation_Calc!$A$2:$C$13,3,1),
IF(J1286&gt;0,VLOOKUP(J1286,Foundation_Calc!$A$2:$C$13,3,1),""))</f>
        <v/>
      </c>
      <c r="AX1286" s="8" t="str">
        <f>IF(C1286&gt;0,VLOOKUP(C1286,Foundation_Calc!$E$2:$G$33,3,1),
IF(J1286&gt;0,VLOOKUP(J1286,Foundation_Calc!$E$2:$G$33,3,1),""))</f>
        <v/>
      </c>
      <c r="AY1286" s="905" t="str">
        <f>IF(L1286="","",
IF(AX1286="PT",VLOOKUP(L1286,Foundation_Calc!$K$79:$R$113,VLOOKUP(AW1286,Foundation_Calc!$I$2:$J$8,2,FALSE),0),
IF(AX1286="K",VLOOKUP(L1286,Foundation_Calc!$K$117:$R$151,VLOOKUP(AW1286,Foundation_Calc!$I$2:$J$8,2,FALSE),0),"")))</f>
        <v/>
      </c>
      <c r="AZ1286" s="905" t="str">
        <f>IF(K1286="","",
IF(AX1286="PT",VLOOKUP(K1286,Foundation_Calc!$K$79:$R$113,VLOOKUP(AW1286,Foundation_Calc!$I$2:$J$8,2,FALSE),0),
IF(AX1286="K",VLOOKUP(K1286,Foundation_Calc!$K$117:$R$151,VLOOKUP(AW1286,Foundation_Calc!$I$2:$J$8,2,FALSE),0),"")))</f>
        <v/>
      </c>
      <c r="BA1286" s="906" t="str">
        <f t="shared" si="153"/>
        <v/>
      </c>
      <c r="BB1286" s="906" t="str">
        <f t="shared" si="154"/>
        <v/>
      </c>
      <c r="BC1286" s="906" t="str">
        <f t="shared" si="155"/>
        <v/>
      </c>
      <c r="BD1286" s="907" t="str">
        <f>IF(AND(L1286="",H1286=""),"",
IF(H1286="",Pole_Calc!A$9,
IF(H1286="MP",Pole_Calc!A$10,
IF(H1286="AnMP",Pole_Calc!A$11,
IF(H1286="A",Pole_Calc!A$12,
IF(H1286="S/A",Pole_Calc!A$13,
IF(H1286="A/S",Pole_Calc!A$14,"Poner a mano")))))))</f>
        <v/>
      </c>
      <c r="BE1286" s="429"/>
      <c r="BF1286" s="909"/>
      <c r="BG1286" s="909"/>
      <c r="BH1286" s="909"/>
      <c r="BI1286" s="909"/>
    </row>
    <row r="1287" spans="2:61" ht="15.75" customHeight="1">
      <c r="B1287" s="427"/>
      <c r="C1287" s="84"/>
      <c r="D1287" s="903"/>
      <c r="E1287" s="13"/>
      <c r="G1287" s="904"/>
      <c r="J1287" s="84"/>
      <c r="M1287" s="8" t="str">
        <f>IF(L1287="","",
IF(AX1287="PT",VLOOKUP(L1287,Foundation_Calc!$V$79:$X$113,VLOOKUP(AX1287,Foundation_Calc!$I$10:$J$13,2,FALSE),0),
IF(AX1287="K",VLOOKUP(L1287,Foundation_Calc!$V$117:$X$151,VLOOKUP(AX1287,Foundation_Calc!$I$10:$J$13,2,FALSE),0),"")))</f>
        <v/>
      </c>
      <c r="Q1287" s="13"/>
      <c r="R1287" s="904"/>
      <c r="S1287" s="904"/>
      <c r="T1287" s="13"/>
      <c r="U1287" s="13"/>
      <c r="V1287" s="13"/>
      <c r="W1287" s="16"/>
      <c r="X1287" s="16"/>
      <c r="Y1287" s="16"/>
      <c r="Z1287" s="16"/>
      <c r="AA1287" s="16"/>
      <c r="AB1287" s="16"/>
      <c r="AF1287" s="13"/>
      <c r="AG1287" s="903"/>
      <c r="AH1287" s="13"/>
      <c r="AI1287" s="13"/>
      <c r="AN1287" s="905"/>
      <c r="AO1287" s="16"/>
      <c r="AP1287" s="16"/>
      <c r="AQ1287" s="16"/>
      <c r="AR1287" s="16"/>
      <c r="AS1287" s="16"/>
      <c r="AU1287" s="429"/>
      <c r="AV1287" s="429"/>
      <c r="AW1287" s="8" t="str">
        <f>IF(C1287&gt;0,VLOOKUP(C1287,Foundation_Calc!$A$2:$C$13,3,1),
IF(J1287&gt;0,VLOOKUP(J1287,Foundation_Calc!$A$2:$C$13,3,1),""))</f>
        <v/>
      </c>
      <c r="AX1287" s="8" t="str">
        <f>IF(C1287&gt;0,VLOOKUP(C1287,Foundation_Calc!$E$2:$G$33,3,1),
IF(J1287&gt;0,VLOOKUP(J1287,Foundation_Calc!$E$2:$G$33,3,1),""))</f>
        <v/>
      </c>
      <c r="AY1287" s="905" t="str">
        <f>IF(L1287="","",
IF(AX1287="PT",VLOOKUP(L1287,Foundation_Calc!$K$79:$R$113,VLOOKUP(AW1287,Foundation_Calc!$I$2:$J$8,2,FALSE),0),
IF(AX1287="K",VLOOKUP(L1287,Foundation_Calc!$K$117:$R$151,VLOOKUP(AW1287,Foundation_Calc!$I$2:$J$8,2,FALSE),0),"")))</f>
        <v/>
      </c>
      <c r="AZ1287" s="905" t="str">
        <f>IF(K1287="","",
IF(AX1287="PT",VLOOKUP(K1287,Foundation_Calc!$K$79:$R$113,VLOOKUP(AW1287,Foundation_Calc!$I$2:$J$8,2,FALSE),0),
IF(AX1287="K",VLOOKUP(K1287,Foundation_Calc!$K$117:$R$151,VLOOKUP(AW1287,Foundation_Calc!$I$2:$J$8,2,FALSE),0),"")))</f>
        <v/>
      </c>
      <c r="BA1287" s="906" t="str">
        <f t="shared" si="153"/>
        <v/>
      </c>
      <c r="BB1287" s="906" t="str">
        <f t="shared" si="154"/>
        <v/>
      </c>
      <c r="BC1287" s="906" t="str">
        <f t="shared" si="155"/>
        <v/>
      </c>
      <c r="BD1287" s="907" t="str">
        <f>IF(AND(L1287="",H1287=""),"",
IF(H1287="",Pole_Calc!A$9,
IF(H1287="MP",Pole_Calc!A$10,
IF(H1287="AnMP",Pole_Calc!A$11,
IF(H1287="A",Pole_Calc!A$12,
IF(H1287="S/A",Pole_Calc!A$13,
IF(H1287="A/S",Pole_Calc!A$14,"Poner a mano")))))))</f>
        <v/>
      </c>
      <c r="BE1287" s="429"/>
      <c r="BF1287" s="909"/>
      <c r="BG1287" s="909"/>
      <c r="BH1287" s="909"/>
      <c r="BI1287" s="909"/>
    </row>
    <row r="1288" spans="2:61" ht="15.75" customHeight="1">
      <c r="B1288" s="427"/>
      <c r="C1288" s="84"/>
      <c r="D1288" s="903"/>
      <c r="E1288" s="13"/>
      <c r="G1288" s="904"/>
      <c r="J1288" s="84"/>
      <c r="M1288" s="8" t="str">
        <f>IF(L1288="","",
IF(AX1288="PT",VLOOKUP(L1288,Foundation_Calc!$V$79:$X$113,VLOOKUP(AX1288,Foundation_Calc!$I$10:$J$13,2,FALSE),0),
IF(AX1288="K",VLOOKUP(L1288,Foundation_Calc!$V$117:$X$151,VLOOKUP(AX1288,Foundation_Calc!$I$10:$J$13,2,FALSE),0),"")))</f>
        <v/>
      </c>
      <c r="Q1288" s="13"/>
      <c r="R1288" s="904"/>
      <c r="S1288" s="904"/>
      <c r="T1288" s="13"/>
      <c r="U1288" s="13"/>
      <c r="V1288" s="13"/>
      <c r="W1288" s="16"/>
      <c r="X1288" s="16"/>
      <c r="Y1288" s="16"/>
      <c r="Z1288" s="16"/>
      <c r="AA1288" s="16"/>
      <c r="AB1288" s="16"/>
      <c r="AF1288" s="13"/>
      <c r="AG1288" s="903"/>
      <c r="AH1288" s="13"/>
      <c r="AI1288" s="13"/>
      <c r="AN1288" s="905"/>
      <c r="AO1288" s="16"/>
      <c r="AP1288" s="16"/>
      <c r="AQ1288" s="16"/>
      <c r="AR1288" s="16"/>
      <c r="AS1288" s="16"/>
      <c r="AU1288" s="429"/>
      <c r="AV1288" s="429"/>
      <c r="AW1288" s="8" t="str">
        <f>IF(C1288&gt;0,VLOOKUP(C1288,Foundation_Calc!$A$2:$C$13,3,1),
IF(J1288&gt;0,VLOOKUP(J1288,Foundation_Calc!$A$2:$C$13,3,1),""))</f>
        <v/>
      </c>
      <c r="AX1288" s="8" t="str">
        <f>IF(C1288&gt;0,VLOOKUP(C1288,Foundation_Calc!$E$2:$G$33,3,1),
IF(J1288&gt;0,VLOOKUP(J1288,Foundation_Calc!$E$2:$G$33,3,1),""))</f>
        <v/>
      </c>
      <c r="AY1288" s="905" t="str">
        <f>IF(L1288="","",
IF(AX1288="PT",VLOOKUP(L1288,Foundation_Calc!$K$79:$R$113,VLOOKUP(AW1288,Foundation_Calc!$I$2:$J$8,2,FALSE),0),
IF(AX1288="K",VLOOKUP(L1288,Foundation_Calc!$K$117:$R$151,VLOOKUP(AW1288,Foundation_Calc!$I$2:$J$8,2,FALSE),0),"")))</f>
        <v/>
      </c>
      <c r="AZ1288" s="905" t="str">
        <f>IF(K1288="","",
IF(AX1288="PT",VLOOKUP(K1288,Foundation_Calc!$K$79:$R$113,VLOOKUP(AW1288,Foundation_Calc!$I$2:$J$8,2,FALSE),0),
IF(AX1288="K",VLOOKUP(K1288,Foundation_Calc!$K$117:$R$151,VLOOKUP(AW1288,Foundation_Calc!$I$2:$J$8,2,FALSE),0),"")))</f>
        <v/>
      </c>
      <c r="BA1288" s="906" t="str">
        <f t="shared" si="153"/>
        <v/>
      </c>
      <c r="BB1288" s="906" t="str">
        <f t="shared" si="154"/>
        <v/>
      </c>
      <c r="BC1288" s="906" t="str">
        <f t="shared" si="155"/>
        <v/>
      </c>
      <c r="BD1288" s="907" t="str">
        <f>IF(AND(L1288="",H1288=""),"",
IF(H1288="",Pole_Calc!A$9,
IF(H1288="MP",Pole_Calc!A$10,
IF(H1288="AnMP",Pole_Calc!A$11,
IF(H1288="A",Pole_Calc!A$12,
IF(H1288="S/A",Pole_Calc!A$13,
IF(H1288="A/S",Pole_Calc!A$14,"Poner a mano")))))))</f>
        <v/>
      </c>
      <c r="BE1288" s="429"/>
      <c r="BF1288" s="909"/>
      <c r="BG1288" s="909"/>
      <c r="BH1288" s="909"/>
      <c r="BI1288" s="909"/>
    </row>
    <row r="1289" spans="2:61" ht="15.75" customHeight="1">
      <c r="B1289" s="427"/>
      <c r="C1289" s="84"/>
      <c r="D1289" s="903"/>
      <c r="E1289" s="13"/>
      <c r="G1289" s="904"/>
      <c r="J1289" s="84"/>
      <c r="M1289" s="8" t="str">
        <f>IF(L1289="","",
IF(AX1289="PT",VLOOKUP(L1289,Foundation_Calc!$V$79:$X$113,VLOOKUP(AX1289,Foundation_Calc!$I$10:$J$13,2,FALSE),0),
IF(AX1289="K",VLOOKUP(L1289,Foundation_Calc!$V$117:$X$151,VLOOKUP(AX1289,Foundation_Calc!$I$10:$J$13,2,FALSE),0),"")))</f>
        <v/>
      </c>
      <c r="Q1289" s="13"/>
      <c r="R1289" s="904"/>
      <c r="S1289" s="904"/>
      <c r="T1289" s="13"/>
      <c r="U1289" s="13"/>
      <c r="V1289" s="13"/>
      <c r="W1289" s="16"/>
      <c r="X1289" s="16"/>
      <c r="Y1289" s="16"/>
      <c r="Z1289" s="16"/>
      <c r="AA1289" s="16"/>
      <c r="AB1289" s="16"/>
      <c r="AF1289" s="13"/>
      <c r="AG1289" s="903"/>
      <c r="AH1289" s="13"/>
      <c r="AI1289" s="13"/>
      <c r="AN1289" s="905"/>
      <c r="AO1289" s="16"/>
      <c r="AP1289" s="16"/>
      <c r="AQ1289" s="16"/>
      <c r="AR1289" s="16"/>
      <c r="AS1289" s="16"/>
      <c r="AU1289" s="429"/>
      <c r="AV1289" s="429"/>
      <c r="AW1289" s="8" t="str">
        <f>IF(C1289&gt;0,VLOOKUP(C1289,Foundation_Calc!$A$2:$C$13,3,1),
IF(J1289&gt;0,VLOOKUP(J1289,Foundation_Calc!$A$2:$C$13,3,1),""))</f>
        <v/>
      </c>
      <c r="AX1289" s="8" t="str">
        <f>IF(C1289&gt;0,VLOOKUP(C1289,Foundation_Calc!$E$2:$G$33,3,1),
IF(J1289&gt;0,VLOOKUP(J1289,Foundation_Calc!$E$2:$G$33,3,1),""))</f>
        <v/>
      </c>
      <c r="AY1289" s="905" t="str">
        <f>IF(L1289="","",
IF(AX1289="PT",VLOOKUP(L1289,Foundation_Calc!$K$79:$R$113,VLOOKUP(AW1289,Foundation_Calc!$I$2:$J$8,2,FALSE),0),
IF(AX1289="K",VLOOKUP(L1289,Foundation_Calc!$K$117:$R$151,VLOOKUP(AW1289,Foundation_Calc!$I$2:$J$8,2,FALSE),0),"")))</f>
        <v/>
      </c>
      <c r="AZ1289" s="905" t="str">
        <f>IF(K1289="","",
IF(AX1289="PT",VLOOKUP(K1289,Foundation_Calc!$K$79:$R$113,VLOOKUP(AW1289,Foundation_Calc!$I$2:$J$8,2,FALSE),0),
IF(AX1289="K",VLOOKUP(K1289,Foundation_Calc!$K$117:$R$151,VLOOKUP(AW1289,Foundation_Calc!$I$2:$J$8,2,FALSE),0),"")))</f>
        <v/>
      </c>
      <c r="BA1289" s="906" t="str">
        <f t="shared" si="153"/>
        <v/>
      </c>
      <c r="BB1289" s="906" t="str">
        <f t="shared" si="154"/>
        <v/>
      </c>
      <c r="BC1289" s="906" t="str">
        <f t="shared" si="155"/>
        <v/>
      </c>
      <c r="BD1289" s="907" t="str">
        <f>IF(AND(L1289="",H1289=""),"",
IF(H1289="",Pole_Calc!A$9,
IF(H1289="MP",Pole_Calc!A$10,
IF(H1289="AnMP",Pole_Calc!A$11,
IF(H1289="A",Pole_Calc!A$12,
IF(H1289="S/A",Pole_Calc!A$13,
IF(H1289="A/S",Pole_Calc!A$14,"Poner a mano")))))))</f>
        <v/>
      </c>
      <c r="BE1289" s="429"/>
      <c r="BF1289" s="909"/>
      <c r="BG1289" s="909"/>
      <c r="BH1289" s="909"/>
      <c r="BI1289" s="909"/>
    </row>
    <row r="1290" spans="2:61" ht="15.75" customHeight="1">
      <c r="B1290" s="427"/>
      <c r="C1290" s="84"/>
      <c r="D1290" s="903"/>
      <c r="E1290" s="13"/>
      <c r="G1290" s="904"/>
      <c r="J1290" s="84"/>
      <c r="M1290" s="8" t="str">
        <f>IF(L1290="","",
IF(AX1290="PT",VLOOKUP(L1290,Foundation_Calc!$V$79:$X$113,VLOOKUP(AX1290,Foundation_Calc!$I$10:$J$13,2,FALSE),0),
IF(AX1290="K",VLOOKUP(L1290,Foundation_Calc!$V$117:$X$151,VLOOKUP(AX1290,Foundation_Calc!$I$10:$J$13,2,FALSE),0),"")))</f>
        <v/>
      </c>
      <c r="Q1290" s="13"/>
      <c r="R1290" s="904"/>
      <c r="S1290" s="904"/>
      <c r="T1290" s="13"/>
      <c r="U1290" s="13"/>
      <c r="V1290" s="13"/>
      <c r="W1290" s="16"/>
      <c r="X1290" s="16"/>
      <c r="Y1290" s="16"/>
      <c r="Z1290" s="16"/>
      <c r="AA1290" s="16"/>
      <c r="AB1290" s="16"/>
      <c r="AF1290" s="13"/>
      <c r="AG1290" s="903"/>
      <c r="AH1290" s="13"/>
      <c r="AI1290" s="13"/>
      <c r="AN1290" s="905"/>
      <c r="AO1290" s="16"/>
      <c r="AP1290" s="16"/>
      <c r="AQ1290" s="16"/>
      <c r="AR1290" s="16"/>
      <c r="AS1290" s="16"/>
      <c r="AU1290" s="429"/>
      <c r="AV1290" s="429"/>
      <c r="AW1290" s="8" t="str">
        <f>IF(C1290&gt;0,VLOOKUP(C1290,Foundation_Calc!$A$2:$C$13,3,1),
IF(J1290&gt;0,VLOOKUP(J1290,Foundation_Calc!$A$2:$C$13,3,1),""))</f>
        <v/>
      </c>
      <c r="AX1290" s="8" t="str">
        <f>IF(C1290&gt;0,VLOOKUP(C1290,Foundation_Calc!$E$2:$G$33,3,1),
IF(J1290&gt;0,VLOOKUP(J1290,Foundation_Calc!$E$2:$G$33,3,1),""))</f>
        <v/>
      </c>
      <c r="AY1290" s="905" t="str">
        <f>IF(L1290="","",
IF(AX1290="PT",VLOOKUP(L1290,Foundation_Calc!$K$79:$R$113,VLOOKUP(AW1290,Foundation_Calc!$I$2:$J$8,2,FALSE),0),
IF(AX1290="K",VLOOKUP(L1290,Foundation_Calc!$K$117:$R$151,VLOOKUP(AW1290,Foundation_Calc!$I$2:$J$8,2,FALSE),0),"")))</f>
        <v/>
      </c>
      <c r="AZ1290" s="905" t="str">
        <f>IF(K1290="","",
IF(AX1290="PT",VLOOKUP(K1290,Foundation_Calc!$K$79:$R$113,VLOOKUP(AW1290,Foundation_Calc!$I$2:$J$8,2,FALSE),0),
IF(AX1290="K",VLOOKUP(K1290,Foundation_Calc!$K$117:$R$151,VLOOKUP(AW1290,Foundation_Calc!$I$2:$J$8,2,FALSE),0),"")))</f>
        <v/>
      </c>
      <c r="BA1290" s="906" t="str">
        <f t="shared" si="153"/>
        <v/>
      </c>
      <c r="BB1290" s="906" t="str">
        <f t="shared" si="154"/>
        <v/>
      </c>
      <c r="BC1290" s="906" t="str">
        <f t="shared" si="155"/>
        <v/>
      </c>
      <c r="BD1290" s="907" t="str">
        <f>IF(AND(L1290="",H1290=""),"",
IF(H1290="",Pole_Calc!A$9,
IF(H1290="MP",Pole_Calc!A$10,
IF(H1290="AnMP",Pole_Calc!A$11,
IF(H1290="A",Pole_Calc!A$12,
IF(H1290="S/A",Pole_Calc!A$13,
IF(H1290="A/S",Pole_Calc!A$14,"Poner a mano")))))))</f>
        <v/>
      </c>
      <c r="BE1290" s="429"/>
      <c r="BF1290" s="909"/>
      <c r="BG1290" s="909"/>
      <c r="BH1290" s="909"/>
      <c r="BI1290" s="909"/>
    </row>
    <row r="1291" spans="2:61" ht="15.75" customHeight="1">
      <c r="B1291" s="427"/>
      <c r="C1291" s="84"/>
      <c r="D1291" s="903"/>
      <c r="E1291" s="13"/>
      <c r="G1291" s="904"/>
      <c r="J1291" s="84"/>
      <c r="M1291" s="8" t="str">
        <f>IF(L1291="","",
IF(AX1291="PT",VLOOKUP(L1291,Foundation_Calc!$V$79:$X$113,VLOOKUP(AX1291,Foundation_Calc!$I$10:$J$13,2,FALSE),0),
IF(AX1291="K",VLOOKUP(L1291,Foundation_Calc!$V$117:$X$151,VLOOKUP(AX1291,Foundation_Calc!$I$10:$J$13,2,FALSE),0),"")))</f>
        <v/>
      </c>
      <c r="Q1291" s="13"/>
      <c r="R1291" s="904"/>
      <c r="S1291" s="904"/>
      <c r="T1291" s="13"/>
      <c r="U1291" s="13"/>
      <c r="V1291" s="13"/>
      <c r="W1291" s="16"/>
      <c r="X1291" s="16"/>
      <c r="Y1291" s="16"/>
      <c r="Z1291" s="16"/>
      <c r="AA1291" s="16"/>
      <c r="AB1291" s="16"/>
      <c r="AF1291" s="13"/>
      <c r="AG1291" s="903"/>
      <c r="AH1291" s="13"/>
      <c r="AI1291" s="13"/>
      <c r="AN1291" s="905"/>
      <c r="AO1291" s="16"/>
      <c r="AP1291" s="16"/>
      <c r="AQ1291" s="16"/>
      <c r="AR1291" s="16"/>
      <c r="AS1291" s="16"/>
      <c r="AU1291" s="429"/>
      <c r="AV1291" s="429"/>
      <c r="AW1291" s="8" t="str">
        <f>IF(C1291&gt;0,VLOOKUP(C1291,Foundation_Calc!$A$2:$C$13,3,1),
IF(J1291&gt;0,VLOOKUP(J1291,Foundation_Calc!$A$2:$C$13,3,1),""))</f>
        <v/>
      </c>
      <c r="AX1291" s="8" t="str">
        <f>IF(C1291&gt;0,VLOOKUP(C1291,Foundation_Calc!$E$2:$G$33,3,1),
IF(J1291&gt;0,VLOOKUP(J1291,Foundation_Calc!$E$2:$G$33,3,1),""))</f>
        <v/>
      </c>
      <c r="AY1291" s="905" t="str">
        <f>IF(L1291="","",
IF(AX1291="PT",VLOOKUP(L1291,Foundation_Calc!$K$79:$R$113,VLOOKUP(AW1291,Foundation_Calc!$I$2:$J$8,2,FALSE),0),
IF(AX1291="K",VLOOKUP(L1291,Foundation_Calc!$K$117:$R$151,VLOOKUP(AW1291,Foundation_Calc!$I$2:$J$8,2,FALSE),0),"")))</f>
        <v/>
      </c>
      <c r="AZ1291" s="905" t="str">
        <f>IF(K1291="","",
IF(AX1291="PT",VLOOKUP(K1291,Foundation_Calc!$K$79:$R$113,VLOOKUP(AW1291,Foundation_Calc!$I$2:$J$8,2,FALSE),0),
IF(AX1291="K",VLOOKUP(K1291,Foundation_Calc!$K$117:$R$151,VLOOKUP(AW1291,Foundation_Calc!$I$2:$J$8,2,FALSE),0),"")))</f>
        <v/>
      </c>
      <c r="BA1291" s="906" t="str">
        <f t="shared" si="153"/>
        <v/>
      </c>
      <c r="BB1291" s="906" t="str">
        <f t="shared" si="154"/>
        <v/>
      </c>
      <c r="BC1291" s="906" t="str">
        <f t="shared" si="155"/>
        <v/>
      </c>
      <c r="BD1291" s="907" t="str">
        <f>IF(AND(L1291="",H1291=""),"",
IF(H1291="",Pole_Calc!A$9,
IF(H1291="MP",Pole_Calc!A$10,
IF(H1291="AnMP",Pole_Calc!A$11,
IF(H1291="A",Pole_Calc!A$12,
IF(H1291="S/A",Pole_Calc!A$13,
IF(H1291="A/S",Pole_Calc!A$14,"Poner a mano")))))))</f>
        <v/>
      </c>
      <c r="BE1291" s="429"/>
      <c r="BF1291" s="909"/>
      <c r="BG1291" s="909"/>
      <c r="BH1291" s="909"/>
      <c r="BI1291" s="909"/>
    </row>
    <row r="1292" spans="2:61" ht="15.75" customHeight="1">
      <c r="B1292" s="427"/>
      <c r="C1292" s="84"/>
      <c r="D1292" s="903"/>
      <c r="E1292" s="13"/>
      <c r="G1292" s="904"/>
      <c r="J1292" s="84"/>
      <c r="M1292" s="8" t="str">
        <f>IF(L1292="","",
IF(AX1292="PT",VLOOKUP(L1292,Foundation_Calc!$V$79:$X$113,VLOOKUP(AX1292,Foundation_Calc!$I$10:$J$13,2,FALSE),0),
IF(AX1292="K",VLOOKUP(L1292,Foundation_Calc!$V$117:$X$151,VLOOKUP(AX1292,Foundation_Calc!$I$10:$J$13,2,FALSE),0),"")))</f>
        <v/>
      </c>
      <c r="Q1292" s="13"/>
      <c r="R1292" s="904"/>
      <c r="S1292" s="904"/>
      <c r="T1292" s="13"/>
      <c r="U1292" s="13"/>
      <c r="V1292" s="13"/>
      <c r="W1292" s="16"/>
      <c r="X1292" s="16"/>
      <c r="Y1292" s="16"/>
      <c r="Z1292" s="16"/>
      <c r="AA1292" s="16"/>
      <c r="AB1292" s="16"/>
      <c r="AF1292" s="13"/>
      <c r="AG1292" s="903"/>
      <c r="AH1292" s="13"/>
      <c r="AI1292" s="13"/>
      <c r="AN1292" s="905"/>
      <c r="AO1292" s="16"/>
      <c r="AP1292" s="16"/>
      <c r="AQ1292" s="16"/>
      <c r="AR1292" s="16"/>
      <c r="AS1292" s="16"/>
      <c r="AU1292" s="429"/>
      <c r="AV1292" s="429"/>
      <c r="AW1292" s="8" t="str">
        <f>IF(C1292&gt;0,VLOOKUP(C1292,Foundation_Calc!$A$2:$C$13,3,1),
IF(J1292&gt;0,VLOOKUP(J1292,Foundation_Calc!$A$2:$C$13,3,1),""))</f>
        <v/>
      </c>
      <c r="AX1292" s="8" t="str">
        <f>IF(C1292&gt;0,VLOOKUP(C1292,Foundation_Calc!$E$2:$G$33,3,1),
IF(J1292&gt;0,VLOOKUP(J1292,Foundation_Calc!$E$2:$G$33,3,1),""))</f>
        <v/>
      </c>
      <c r="AY1292" s="905" t="str">
        <f>IF(L1292="","",
IF(AX1292="PT",VLOOKUP(L1292,Foundation_Calc!$K$79:$R$113,VLOOKUP(AW1292,Foundation_Calc!$I$2:$J$8,2,FALSE),0),
IF(AX1292="K",VLOOKUP(L1292,Foundation_Calc!$K$117:$R$151,VLOOKUP(AW1292,Foundation_Calc!$I$2:$J$8,2,FALSE),0),"")))</f>
        <v/>
      </c>
      <c r="AZ1292" s="905" t="str">
        <f>IF(K1292="","",
IF(AX1292="PT",VLOOKUP(K1292,Foundation_Calc!$K$79:$R$113,VLOOKUP(AW1292,Foundation_Calc!$I$2:$J$8,2,FALSE),0),
IF(AX1292="K",VLOOKUP(K1292,Foundation_Calc!$K$117:$R$151,VLOOKUP(AW1292,Foundation_Calc!$I$2:$J$8,2,FALSE),0),"")))</f>
        <v/>
      </c>
      <c r="BA1292" s="906" t="str">
        <f t="shared" si="153"/>
        <v/>
      </c>
      <c r="BB1292" s="906" t="str">
        <f t="shared" si="154"/>
        <v/>
      </c>
      <c r="BC1292" s="906" t="str">
        <f t="shared" si="155"/>
        <v/>
      </c>
      <c r="BD1292" s="907" t="str">
        <f>IF(AND(L1292="",H1292=""),"",
IF(H1292="",Pole_Calc!A$9,
IF(H1292="MP",Pole_Calc!A$10,
IF(H1292="AnMP",Pole_Calc!A$11,
IF(H1292="A",Pole_Calc!A$12,
IF(H1292="S/A",Pole_Calc!A$13,
IF(H1292="A/S",Pole_Calc!A$14,"Poner a mano")))))))</f>
        <v/>
      </c>
      <c r="BE1292" s="429"/>
      <c r="BF1292" s="909"/>
      <c r="BG1292" s="909"/>
      <c r="BH1292" s="909"/>
      <c r="BI1292" s="909"/>
    </row>
    <row r="1293" spans="2:61" ht="15.75" customHeight="1">
      <c r="B1293" s="427"/>
      <c r="C1293" s="84"/>
      <c r="D1293" s="903"/>
      <c r="E1293" s="13"/>
      <c r="G1293" s="904"/>
      <c r="J1293" s="84"/>
      <c r="M1293" s="8" t="str">
        <f>IF(L1293="","",
IF(AX1293="PT",VLOOKUP(L1293,Foundation_Calc!$V$79:$X$113,VLOOKUP(AX1293,Foundation_Calc!$I$10:$J$13,2,FALSE),0),
IF(AX1293="K",VLOOKUP(L1293,Foundation_Calc!$V$117:$X$151,VLOOKUP(AX1293,Foundation_Calc!$I$10:$J$13,2,FALSE),0),"")))</f>
        <v/>
      </c>
      <c r="Q1293" s="13"/>
      <c r="R1293" s="904"/>
      <c r="S1293" s="904"/>
      <c r="T1293" s="13"/>
      <c r="U1293" s="13"/>
      <c r="V1293" s="13"/>
      <c r="W1293" s="16"/>
      <c r="X1293" s="16"/>
      <c r="Y1293" s="16"/>
      <c r="Z1293" s="16"/>
      <c r="AA1293" s="16"/>
      <c r="AB1293" s="16"/>
      <c r="AF1293" s="13"/>
      <c r="AG1293" s="903"/>
      <c r="AH1293" s="13"/>
      <c r="AI1293" s="13"/>
      <c r="AN1293" s="905"/>
      <c r="AO1293" s="16"/>
      <c r="AP1293" s="16"/>
      <c r="AQ1293" s="16"/>
      <c r="AR1293" s="16"/>
      <c r="AS1293" s="16"/>
      <c r="AU1293" s="429"/>
      <c r="AV1293" s="429"/>
      <c r="AW1293" s="8" t="str">
        <f>IF(C1293&gt;0,VLOOKUP(C1293,Foundation_Calc!$A$2:$C$13,3,1),
IF(J1293&gt;0,VLOOKUP(J1293,Foundation_Calc!$A$2:$C$13,3,1),""))</f>
        <v/>
      </c>
      <c r="AX1293" s="8" t="str">
        <f>IF(C1293&gt;0,VLOOKUP(C1293,Foundation_Calc!$E$2:$G$33,3,1),
IF(J1293&gt;0,VLOOKUP(J1293,Foundation_Calc!$E$2:$G$33,3,1),""))</f>
        <v/>
      </c>
      <c r="AY1293" s="905" t="str">
        <f>IF(L1293="","",
IF(AX1293="PT",VLOOKUP(L1293,Foundation_Calc!$K$79:$R$113,VLOOKUP(AW1293,Foundation_Calc!$I$2:$J$8,2,FALSE),0),
IF(AX1293="K",VLOOKUP(L1293,Foundation_Calc!$K$117:$R$151,VLOOKUP(AW1293,Foundation_Calc!$I$2:$J$8,2,FALSE),0),"")))</f>
        <v/>
      </c>
      <c r="AZ1293" s="905" t="str">
        <f>IF(K1293="","",
IF(AX1293="PT",VLOOKUP(K1293,Foundation_Calc!$K$79:$R$113,VLOOKUP(AW1293,Foundation_Calc!$I$2:$J$8,2,FALSE),0),
IF(AX1293="K",VLOOKUP(K1293,Foundation_Calc!$K$117:$R$151,VLOOKUP(AW1293,Foundation_Calc!$I$2:$J$8,2,FALSE),0),"")))</f>
        <v/>
      </c>
      <c r="BA1293" s="906" t="str">
        <f t="shared" si="153"/>
        <v/>
      </c>
      <c r="BB1293" s="906" t="str">
        <f t="shared" si="154"/>
        <v/>
      </c>
      <c r="BC1293" s="906" t="str">
        <f t="shared" si="155"/>
        <v/>
      </c>
      <c r="BD1293" s="907" t="str">
        <f>IF(AND(L1293="",H1293=""),"",
IF(H1293="",Pole_Calc!A$9,
IF(H1293="MP",Pole_Calc!A$10,
IF(H1293="AnMP",Pole_Calc!A$11,
IF(H1293="A",Pole_Calc!A$12,
IF(H1293="S/A",Pole_Calc!A$13,
IF(H1293="A/S",Pole_Calc!A$14,"Poner a mano")))))))</f>
        <v/>
      </c>
      <c r="BE1293" s="429"/>
      <c r="BF1293" s="909"/>
      <c r="BG1293" s="909"/>
      <c r="BH1293" s="909"/>
      <c r="BI1293" s="909"/>
    </row>
    <row r="1294" spans="2:61" ht="15.75" customHeight="1">
      <c r="B1294" s="427"/>
      <c r="C1294" s="84"/>
      <c r="D1294" s="903"/>
      <c r="E1294" s="13"/>
      <c r="G1294" s="904"/>
      <c r="J1294" s="84"/>
      <c r="M1294" s="8" t="str">
        <f>IF(L1294="","",
IF(AX1294="PT",VLOOKUP(L1294,Foundation_Calc!$V$79:$X$113,VLOOKUP(AX1294,Foundation_Calc!$I$10:$J$13,2,FALSE),0),
IF(AX1294="K",VLOOKUP(L1294,Foundation_Calc!$V$117:$X$151,VLOOKUP(AX1294,Foundation_Calc!$I$10:$J$13,2,FALSE),0),"")))</f>
        <v/>
      </c>
      <c r="Q1294" s="13"/>
      <c r="R1294" s="904"/>
      <c r="S1294" s="904"/>
      <c r="T1294" s="13"/>
      <c r="U1294" s="13"/>
      <c r="V1294" s="13"/>
      <c r="W1294" s="16"/>
      <c r="X1294" s="16"/>
      <c r="Y1294" s="16"/>
      <c r="Z1294" s="16"/>
      <c r="AA1294" s="16"/>
      <c r="AB1294" s="16"/>
      <c r="AF1294" s="13"/>
      <c r="AG1294" s="903"/>
      <c r="AH1294" s="13"/>
      <c r="AI1294" s="13"/>
      <c r="AN1294" s="905"/>
      <c r="AO1294" s="16"/>
      <c r="AP1294" s="16"/>
      <c r="AQ1294" s="16"/>
      <c r="AR1294" s="16"/>
      <c r="AS1294" s="16"/>
      <c r="AU1294" s="429"/>
      <c r="AV1294" s="429"/>
      <c r="AW1294" s="8" t="str">
        <f>IF(C1294&gt;0,VLOOKUP(C1294,Foundation_Calc!$A$2:$C$13,3,1),
IF(J1294&gt;0,VLOOKUP(J1294,Foundation_Calc!$A$2:$C$13,3,1),""))</f>
        <v/>
      </c>
      <c r="AX1294" s="8" t="str">
        <f>IF(C1294&gt;0,VLOOKUP(C1294,Foundation_Calc!$E$2:$G$33,3,1),
IF(J1294&gt;0,VLOOKUP(J1294,Foundation_Calc!$E$2:$G$33,3,1),""))</f>
        <v/>
      </c>
      <c r="AY1294" s="905" t="str">
        <f>IF(L1294="","",
IF(AX1294="PT",VLOOKUP(L1294,Foundation_Calc!$K$79:$R$113,VLOOKUP(AW1294,Foundation_Calc!$I$2:$J$8,2,FALSE),0),
IF(AX1294="K",VLOOKUP(L1294,Foundation_Calc!$K$117:$R$151,VLOOKUP(AW1294,Foundation_Calc!$I$2:$J$8,2,FALSE),0),"")))</f>
        <v/>
      </c>
      <c r="AZ1294" s="905" t="str">
        <f>IF(K1294="","",
IF(AX1294="PT",VLOOKUP(K1294,Foundation_Calc!$K$79:$R$113,VLOOKUP(AW1294,Foundation_Calc!$I$2:$J$8,2,FALSE),0),
IF(AX1294="K",VLOOKUP(K1294,Foundation_Calc!$K$117:$R$151,VLOOKUP(AW1294,Foundation_Calc!$I$2:$J$8,2,FALSE),0),"")))</f>
        <v/>
      </c>
      <c r="BA1294" s="906" t="str">
        <f t="shared" si="153"/>
        <v/>
      </c>
      <c r="BB1294" s="906" t="str">
        <f t="shared" si="154"/>
        <v/>
      </c>
      <c r="BC1294" s="906" t="str">
        <f t="shared" si="155"/>
        <v/>
      </c>
      <c r="BD1294" s="907" t="str">
        <f>IF(AND(L1294="",H1294=""),"",
IF(H1294="",Pole_Calc!A$9,
IF(H1294="MP",Pole_Calc!A$10,
IF(H1294="AnMP",Pole_Calc!A$11,
IF(H1294="A",Pole_Calc!A$12,
IF(H1294="S/A",Pole_Calc!A$13,
IF(H1294="A/S",Pole_Calc!A$14,"Poner a mano")))))))</f>
        <v/>
      </c>
      <c r="BE1294" s="429"/>
      <c r="BF1294" s="909"/>
      <c r="BG1294" s="909"/>
      <c r="BH1294" s="909"/>
      <c r="BI1294" s="909"/>
    </row>
    <row r="1295" spans="2:61" ht="15.75" customHeight="1">
      <c r="B1295" s="427"/>
      <c r="C1295" s="84"/>
      <c r="D1295" s="903"/>
      <c r="E1295" s="13"/>
      <c r="G1295" s="904"/>
      <c r="J1295" s="84"/>
      <c r="M1295" s="8" t="str">
        <f>IF(L1295="","",
IF(AX1295="PT",VLOOKUP(L1295,Foundation_Calc!$V$79:$X$113,VLOOKUP(AX1295,Foundation_Calc!$I$10:$J$13,2,FALSE),0),
IF(AX1295="K",VLOOKUP(L1295,Foundation_Calc!$V$117:$X$151,VLOOKUP(AX1295,Foundation_Calc!$I$10:$J$13,2,FALSE),0),"")))</f>
        <v/>
      </c>
      <c r="Q1295" s="13"/>
      <c r="R1295" s="904"/>
      <c r="S1295" s="904"/>
      <c r="T1295" s="13"/>
      <c r="U1295" s="13"/>
      <c r="V1295" s="13"/>
      <c r="W1295" s="16"/>
      <c r="X1295" s="16"/>
      <c r="Y1295" s="16"/>
      <c r="Z1295" s="16"/>
      <c r="AA1295" s="16"/>
      <c r="AB1295" s="16"/>
      <c r="AF1295" s="13"/>
      <c r="AG1295" s="903"/>
      <c r="AH1295" s="13"/>
      <c r="AI1295" s="13"/>
      <c r="AN1295" s="905"/>
      <c r="AO1295" s="16"/>
      <c r="AP1295" s="16"/>
      <c r="AQ1295" s="16"/>
      <c r="AR1295" s="16"/>
      <c r="AS1295" s="16"/>
      <c r="AU1295" s="429"/>
      <c r="AV1295" s="429"/>
      <c r="AW1295" s="8" t="str">
        <f>IF(C1295&gt;0,VLOOKUP(C1295,Foundation_Calc!$A$2:$C$13,3,1),
IF(J1295&gt;0,VLOOKUP(J1295,Foundation_Calc!$A$2:$C$13,3,1),""))</f>
        <v/>
      </c>
      <c r="AX1295" s="8" t="str">
        <f>IF(C1295&gt;0,VLOOKUP(C1295,Foundation_Calc!$E$2:$G$33,3,1),
IF(J1295&gt;0,VLOOKUP(J1295,Foundation_Calc!$E$2:$G$33,3,1),""))</f>
        <v/>
      </c>
      <c r="AY1295" s="905" t="str">
        <f>IF(L1295="","",
IF(AX1295="PT",VLOOKUP(L1295,Foundation_Calc!$K$79:$R$113,VLOOKUP(AW1295,Foundation_Calc!$I$2:$J$8,2,FALSE),0),
IF(AX1295="K",VLOOKUP(L1295,Foundation_Calc!$K$117:$R$151,VLOOKUP(AW1295,Foundation_Calc!$I$2:$J$8,2,FALSE),0),"")))</f>
        <v/>
      </c>
      <c r="AZ1295" s="905" t="str">
        <f>IF(K1295="","",
IF(AX1295="PT",VLOOKUP(K1295,Foundation_Calc!$K$79:$R$113,VLOOKUP(AW1295,Foundation_Calc!$I$2:$J$8,2,FALSE),0),
IF(AX1295="K",VLOOKUP(K1295,Foundation_Calc!$K$117:$R$151,VLOOKUP(AW1295,Foundation_Calc!$I$2:$J$8,2,FALSE),0),"")))</f>
        <v/>
      </c>
      <c r="BA1295" s="906" t="str">
        <f t="shared" si="153"/>
        <v/>
      </c>
      <c r="BB1295" s="906" t="str">
        <f t="shared" si="154"/>
        <v/>
      </c>
      <c r="BC1295" s="906" t="str">
        <f t="shared" si="155"/>
        <v/>
      </c>
      <c r="BD1295" s="907" t="str">
        <f>IF(AND(L1295="",H1295=""),"",
IF(H1295="",Pole_Calc!A$9,
IF(H1295="MP",Pole_Calc!A$10,
IF(H1295="AnMP",Pole_Calc!A$11,
IF(H1295="A",Pole_Calc!A$12,
IF(H1295="S/A",Pole_Calc!A$13,
IF(H1295="A/S",Pole_Calc!A$14,"Poner a mano")))))))</f>
        <v/>
      </c>
      <c r="BE1295" s="429"/>
      <c r="BF1295" s="909"/>
      <c r="BG1295" s="909"/>
      <c r="BH1295" s="909"/>
      <c r="BI1295" s="909"/>
    </row>
    <row r="1296" spans="2:61" ht="15.75" customHeight="1">
      <c r="B1296" s="427"/>
      <c r="C1296" s="84"/>
      <c r="D1296" s="903"/>
      <c r="E1296" s="13"/>
      <c r="G1296" s="904"/>
      <c r="J1296" s="84"/>
      <c r="M1296" s="8" t="str">
        <f>IF(L1296="","",
IF(AX1296="PT",VLOOKUP(L1296,Foundation_Calc!$V$79:$X$113,VLOOKUP(AX1296,Foundation_Calc!$I$10:$J$13,2,FALSE),0),
IF(AX1296="K",VLOOKUP(L1296,Foundation_Calc!$V$117:$X$151,VLOOKUP(AX1296,Foundation_Calc!$I$10:$J$13,2,FALSE),0),"")))</f>
        <v/>
      </c>
      <c r="Q1296" s="13"/>
      <c r="R1296" s="904"/>
      <c r="S1296" s="904"/>
      <c r="T1296" s="13"/>
      <c r="U1296" s="13"/>
      <c r="V1296" s="13"/>
      <c r="W1296" s="16"/>
      <c r="X1296" s="16"/>
      <c r="Y1296" s="16"/>
      <c r="Z1296" s="16"/>
      <c r="AA1296" s="16"/>
      <c r="AB1296" s="16"/>
      <c r="AF1296" s="13"/>
      <c r="AG1296" s="903"/>
      <c r="AH1296" s="13"/>
      <c r="AI1296" s="13"/>
      <c r="AN1296" s="905"/>
      <c r="AO1296" s="16"/>
      <c r="AP1296" s="16"/>
      <c r="AQ1296" s="16"/>
      <c r="AR1296" s="16"/>
      <c r="AS1296" s="16"/>
      <c r="AU1296" s="429"/>
      <c r="AV1296" s="429"/>
      <c r="AW1296" s="8" t="str">
        <f>IF(C1296&gt;0,VLOOKUP(C1296,Foundation_Calc!$A$2:$C$13,3,1),
IF(J1296&gt;0,VLOOKUP(J1296,Foundation_Calc!$A$2:$C$13,3,1),""))</f>
        <v/>
      </c>
      <c r="AX1296" s="8" t="str">
        <f>IF(C1296&gt;0,VLOOKUP(C1296,Foundation_Calc!$E$2:$G$33,3,1),
IF(J1296&gt;0,VLOOKUP(J1296,Foundation_Calc!$E$2:$G$33,3,1),""))</f>
        <v/>
      </c>
      <c r="AY1296" s="905" t="str">
        <f>IF(L1296="","",
IF(AX1296="PT",VLOOKUP(L1296,Foundation_Calc!$K$79:$R$113,VLOOKUP(AW1296,Foundation_Calc!$I$2:$J$8,2,FALSE),0),
IF(AX1296="K",VLOOKUP(L1296,Foundation_Calc!$K$117:$R$151,VLOOKUP(AW1296,Foundation_Calc!$I$2:$J$8,2,FALSE),0),"")))</f>
        <v/>
      </c>
      <c r="AZ1296" s="905" t="str">
        <f>IF(K1296="","",
IF(AX1296="PT",VLOOKUP(K1296,Foundation_Calc!$K$79:$R$113,VLOOKUP(AW1296,Foundation_Calc!$I$2:$J$8,2,FALSE),0),
IF(AX1296="K",VLOOKUP(K1296,Foundation_Calc!$K$117:$R$151,VLOOKUP(AW1296,Foundation_Calc!$I$2:$J$8,2,FALSE),0),"")))</f>
        <v/>
      </c>
      <c r="BA1296" s="906" t="str">
        <f t="shared" si="153"/>
        <v/>
      </c>
      <c r="BB1296" s="906" t="str">
        <f t="shared" si="154"/>
        <v/>
      </c>
      <c r="BC1296" s="906" t="str">
        <f t="shared" si="155"/>
        <v/>
      </c>
      <c r="BD1296" s="907" t="str">
        <f>IF(AND(L1296="",H1296=""),"",
IF(H1296="",Pole_Calc!A$9,
IF(H1296="MP",Pole_Calc!A$10,
IF(H1296="AnMP",Pole_Calc!A$11,
IF(H1296="A",Pole_Calc!A$12,
IF(H1296="S/A",Pole_Calc!A$13,
IF(H1296="A/S",Pole_Calc!A$14,"Poner a mano")))))))</f>
        <v/>
      </c>
      <c r="BE1296" s="429"/>
      <c r="BF1296" s="909"/>
      <c r="BG1296" s="909"/>
      <c r="BH1296" s="909"/>
      <c r="BI1296" s="909"/>
    </row>
    <row r="1297" spans="2:61" ht="15.75" customHeight="1">
      <c r="B1297" s="427"/>
      <c r="C1297" s="84"/>
      <c r="D1297" s="903"/>
      <c r="E1297" s="13"/>
      <c r="G1297" s="904"/>
      <c r="J1297" s="84"/>
      <c r="M1297" s="8" t="str">
        <f>IF(L1297="","",
IF(AX1297="PT",VLOOKUP(L1297,Foundation_Calc!$V$79:$X$113,VLOOKUP(AX1297,Foundation_Calc!$I$10:$J$13,2,FALSE),0),
IF(AX1297="K",VLOOKUP(L1297,Foundation_Calc!$V$117:$X$151,VLOOKUP(AX1297,Foundation_Calc!$I$10:$J$13,2,FALSE),0),"")))</f>
        <v/>
      </c>
      <c r="Q1297" s="13"/>
      <c r="R1297" s="904"/>
      <c r="S1297" s="904"/>
      <c r="T1297" s="13"/>
      <c r="U1297" s="13"/>
      <c r="V1297" s="13"/>
      <c r="W1297" s="16"/>
      <c r="X1297" s="16"/>
      <c r="Y1297" s="16"/>
      <c r="Z1297" s="16"/>
      <c r="AA1297" s="16"/>
      <c r="AB1297" s="16"/>
      <c r="AF1297" s="13"/>
      <c r="AG1297" s="903"/>
      <c r="AH1297" s="13"/>
      <c r="AI1297" s="13"/>
      <c r="AN1297" s="905"/>
      <c r="AO1297" s="16"/>
      <c r="AP1297" s="16"/>
      <c r="AQ1297" s="16"/>
      <c r="AR1297" s="16"/>
      <c r="AS1297" s="16"/>
      <c r="AU1297" s="429"/>
      <c r="AV1297" s="429"/>
      <c r="AW1297" s="8" t="str">
        <f>IF(C1297&gt;0,VLOOKUP(C1297,Foundation_Calc!$A$2:$C$13,3,1),
IF(J1297&gt;0,VLOOKUP(J1297,Foundation_Calc!$A$2:$C$13,3,1),""))</f>
        <v/>
      </c>
      <c r="AX1297" s="8" t="str">
        <f>IF(C1297&gt;0,VLOOKUP(C1297,Foundation_Calc!$E$2:$G$33,3,1),
IF(J1297&gt;0,VLOOKUP(J1297,Foundation_Calc!$E$2:$G$33,3,1),""))</f>
        <v/>
      </c>
      <c r="AY1297" s="905" t="str">
        <f>IF(L1297="","",
IF(AX1297="PT",VLOOKUP(L1297,Foundation_Calc!$K$79:$R$113,VLOOKUP(AW1297,Foundation_Calc!$I$2:$J$8,2,FALSE),0),
IF(AX1297="K",VLOOKUP(L1297,Foundation_Calc!$K$117:$R$151,VLOOKUP(AW1297,Foundation_Calc!$I$2:$J$8,2,FALSE),0),"")))</f>
        <v/>
      </c>
      <c r="AZ1297" s="905" t="str">
        <f>IF(K1297="","",
IF(AX1297="PT",VLOOKUP(K1297,Foundation_Calc!$K$79:$R$113,VLOOKUP(AW1297,Foundation_Calc!$I$2:$J$8,2,FALSE),0),
IF(AX1297="K",VLOOKUP(K1297,Foundation_Calc!$K$117:$R$151,VLOOKUP(AW1297,Foundation_Calc!$I$2:$J$8,2,FALSE),0),"")))</f>
        <v/>
      </c>
      <c r="BA1297" s="906" t="str">
        <f t="shared" si="153"/>
        <v/>
      </c>
      <c r="BB1297" s="906" t="str">
        <f t="shared" si="154"/>
        <v/>
      </c>
      <c r="BC1297" s="906" t="str">
        <f t="shared" si="155"/>
        <v/>
      </c>
      <c r="BD1297" s="907" t="str">
        <f>IF(AND(L1297="",H1297=""),"",
IF(H1297="",Pole_Calc!A$9,
IF(H1297="MP",Pole_Calc!A$10,
IF(H1297="AnMP",Pole_Calc!A$11,
IF(H1297="A",Pole_Calc!A$12,
IF(H1297="S/A",Pole_Calc!A$13,
IF(H1297="A/S",Pole_Calc!A$14,"Poner a mano")))))))</f>
        <v/>
      </c>
      <c r="BE1297" s="429"/>
      <c r="BF1297" s="909"/>
      <c r="BG1297" s="909"/>
      <c r="BH1297" s="909"/>
      <c r="BI1297" s="909"/>
    </row>
    <row r="1298" spans="2:61" ht="15.75" customHeight="1">
      <c r="B1298" s="427"/>
      <c r="C1298" s="84"/>
      <c r="D1298" s="903"/>
      <c r="E1298" s="13"/>
      <c r="G1298" s="904"/>
      <c r="J1298" s="84"/>
      <c r="M1298" s="8" t="str">
        <f>IF(L1298="","",
IF(AX1298="PT",VLOOKUP(L1298,Foundation_Calc!$V$79:$X$113,VLOOKUP(AX1298,Foundation_Calc!$I$10:$J$13,2,FALSE),0),
IF(AX1298="K",VLOOKUP(L1298,Foundation_Calc!$V$117:$X$151,VLOOKUP(AX1298,Foundation_Calc!$I$10:$J$13,2,FALSE),0),"")))</f>
        <v/>
      </c>
      <c r="Q1298" s="13"/>
      <c r="R1298" s="904"/>
      <c r="S1298" s="904"/>
      <c r="T1298" s="13"/>
      <c r="U1298" s="13"/>
      <c r="V1298" s="13"/>
      <c r="W1298" s="16"/>
      <c r="X1298" s="16"/>
      <c r="Y1298" s="16"/>
      <c r="Z1298" s="16"/>
      <c r="AA1298" s="16"/>
      <c r="AB1298" s="16"/>
      <c r="AF1298" s="13"/>
      <c r="AG1298" s="903"/>
      <c r="AH1298" s="13"/>
      <c r="AI1298" s="13"/>
      <c r="AN1298" s="905"/>
      <c r="AO1298" s="16"/>
      <c r="AP1298" s="16"/>
      <c r="AQ1298" s="16"/>
      <c r="AR1298" s="16"/>
      <c r="AS1298" s="16"/>
      <c r="AU1298" s="429"/>
      <c r="AV1298" s="429"/>
      <c r="AW1298" s="8" t="str">
        <f>IF(C1298&gt;0,VLOOKUP(C1298,Foundation_Calc!$A$2:$C$13,3,1),
IF(J1298&gt;0,VLOOKUP(J1298,Foundation_Calc!$A$2:$C$13,3,1),""))</f>
        <v/>
      </c>
      <c r="AX1298" s="8" t="str">
        <f>IF(C1298&gt;0,VLOOKUP(C1298,Foundation_Calc!$E$2:$G$33,3,1),
IF(J1298&gt;0,VLOOKUP(J1298,Foundation_Calc!$E$2:$G$33,3,1),""))</f>
        <v/>
      </c>
      <c r="AY1298" s="905" t="str">
        <f>IF(L1298="","",
IF(AX1298="PT",VLOOKUP(L1298,Foundation_Calc!$K$79:$R$113,VLOOKUP(AW1298,Foundation_Calc!$I$2:$J$8,2,FALSE),0),
IF(AX1298="K",VLOOKUP(L1298,Foundation_Calc!$K$117:$R$151,VLOOKUP(AW1298,Foundation_Calc!$I$2:$J$8,2,FALSE),0),"")))</f>
        <v/>
      </c>
      <c r="AZ1298" s="905" t="str">
        <f>IF(K1298="","",
IF(AX1298="PT",VLOOKUP(K1298,Foundation_Calc!$K$79:$R$113,VLOOKUP(AW1298,Foundation_Calc!$I$2:$J$8,2,FALSE),0),
IF(AX1298="K",VLOOKUP(K1298,Foundation_Calc!$K$117:$R$151,VLOOKUP(AW1298,Foundation_Calc!$I$2:$J$8,2,FALSE),0),"")))</f>
        <v/>
      </c>
      <c r="BA1298" s="906" t="str">
        <f t="shared" si="153"/>
        <v/>
      </c>
      <c r="BB1298" s="906" t="str">
        <f t="shared" si="154"/>
        <v/>
      </c>
      <c r="BC1298" s="906" t="str">
        <f t="shared" si="155"/>
        <v/>
      </c>
      <c r="BD1298" s="907" t="str">
        <f>IF(AND(L1298="",H1298=""),"",
IF(H1298="",Pole_Calc!A$9,
IF(H1298="MP",Pole_Calc!A$10,
IF(H1298="AnMP",Pole_Calc!A$11,
IF(H1298="A",Pole_Calc!A$12,
IF(H1298="S/A",Pole_Calc!A$13,
IF(H1298="A/S",Pole_Calc!A$14,"Poner a mano")))))))</f>
        <v/>
      </c>
      <c r="BE1298" s="429"/>
      <c r="BF1298" s="909"/>
      <c r="BG1298" s="909"/>
      <c r="BH1298" s="909"/>
      <c r="BI1298" s="909"/>
    </row>
    <row r="1299" spans="2:61" ht="15.75" customHeight="1">
      <c r="B1299" s="427"/>
      <c r="C1299" s="84"/>
      <c r="D1299" s="903"/>
      <c r="E1299" s="13"/>
      <c r="G1299" s="904"/>
      <c r="J1299" s="84"/>
      <c r="M1299" s="8" t="str">
        <f>IF(L1299="","",
IF(AX1299="PT",VLOOKUP(L1299,Foundation_Calc!$V$79:$X$113,VLOOKUP(AX1299,Foundation_Calc!$I$10:$J$13,2,FALSE),0),
IF(AX1299="K",VLOOKUP(L1299,Foundation_Calc!$V$117:$X$151,VLOOKUP(AX1299,Foundation_Calc!$I$10:$J$13,2,FALSE),0),"")))</f>
        <v/>
      </c>
      <c r="Q1299" s="13"/>
      <c r="R1299" s="904"/>
      <c r="S1299" s="904"/>
      <c r="T1299" s="13"/>
      <c r="U1299" s="13"/>
      <c r="V1299" s="13"/>
      <c r="W1299" s="16"/>
      <c r="X1299" s="16"/>
      <c r="Y1299" s="16"/>
      <c r="Z1299" s="16"/>
      <c r="AA1299" s="16"/>
      <c r="AB1299" s="16"/>
      <c r="AF1299" s="13"/>
      <c r="AG1299" s="903"/>
      <c r="AH1299" s="13"/>
      <c r="AI1299" s="13"/>
      <c r="AN1299" s="905"/>
      <c r="AO1299" s="16"/>
      <c r="AP1299" s="16"/>
      <c r="AQ1299" s="16"/>
      <c r="AR1299" s="16"/>
      <c r="AS1299" s="16"/>
      <c r="AU1299" s="429"/>
      <c r="AV1299" s="429"/>
      <c r="AW1299" s="8" t="str">
        <f>IF(C1299&gt;0,VLOOKUP(C1299,Foundation_Calc!$A$2:$C$13,3,1),
IF(J1299&gt;0,VLOOKUP(J1299,Foundation_Calc!$A$2:$C$13,3,1),""))</f>
        <v/>
      </c>
      <c r="AX1299" s="8" t="str">
        <f>IF(C1299&gt;0,VLOOKUP(C1299,Foundation_Calc!$E$2:$G$33,3,1),
IF(J1299&gt;0,VLOOKUP(J1299,Foundation_Calc!$E$2:$G$33,3,1),""))</f>
        <v/>
      </c>
      <c r="AY1299" s="905" t="str">
        <f>IF(L1299="","",
IF(AX1299="PT",VLOOKUP(L1299,Foundation_Calc!$K$79:$R$113,VLOOKUP(AW1299,Foundation_Calc!$I$2:$J$8,2,FALSE),0),
IF(AX1299="K",VLOOKUP(L1299,Foundation_Calc!$K$117:$R$151,VLOOKUP(AW1299,Foundation_Calc!$I$2:$J$8,2,FALSE),0),"")))</f>
        <v/>
      </c>
      <c r="AZ1299" s="905" t="str">
        <f>IF(K1299="","",
IF(AX1299="PT",VLOOKUP(K1299,Foundation_Calc!$K$79:$R$113,VLOOKUP(AW1299,Foundation_Calc!$I$2:$J$8,2,FALSE),0),
IF(AX1299="K",VLOOKUP(K1299,Foundation_Calc!$K$117:$R$151,VLOOKUP(AW1299,Foundation_Calc!$I$2:$J$8,2,FALSE),0),"")))</f>
        <v/>
      </c>
      <c r="BA1299" s="906" t="str">
        <f t="shared" si="153"/>
        <v/>
      </c>
      <c r="BB1299" s="906" t="str">
        <f t="shared" si="154"/>
        <v/>
      </c>
      <c r="BC1299" s="906" t="str">
        <f t="shared" si="155"/>
        <v/>
      </c>
      <c r="BD1299" s="907" t="str">
        <f>IF(AND(L1299="",H1299=""),"",
IF(H1299="",Pole_Calc!A$9,
IF(H1299="MP",Pole_Calc!A$10,
IF(H1299="AnMP",Pole_Calc!A$11,
IF(H1299="A",Pole_Calc!A$12,
IF(H1299="S/A",Pole_Calc!A$13,
IF(H1299="A/S",Pole_Calc!A$14,"Poner a mano")))))))</f>
        <v/>
      </c>
      <c r="BE1299" s="429"/>
      <c r="BF1299" s="909"/>
      <c r="BG1299" s="909"/>
      <c r="BH1299" s="909"/>
      <c r="BI1299" s="909"/>
    </row>
    <row r="1300" spans="2:61" ht="15.75" customHeight="1">
      <c r="B1300" s="427"/>
      <c r="C1300" s="84"/>
      <c r="D1300" s="903"/>
      <c r="E1300" s="13"/>
      <c r="G1300" s="904"/>
      <c r="J1300" s="84"/>
      <c r="M1300" s="8" t="str">
        <f>IF(L1300="","",
IF(AX1300="PT",VLOOKUP(L1300,Foundation_Calc!$V$79:$X$113,VLOOKUP(AX1300,Foundation_Calc!$I$10:$J$13,2,FALSE),0),
IF(AX1300="K",VLOOKUP(L1300,Foundation_Calc!$V$117:$X$151,VLOOKUP(AX1300,Foundation_Calc!$I$10:$J$13,2,FALSE),0),"")))</f>
        <v/>
      </c>
      <c r="Q1300" s="13"/>
      <c r="R1300" s="904"/>
      <c r="S1300" s="904"/>
      <c r="T1300" s="13"/>
      <c r="U1300" s="13"/>
      <c r="V1300" s="13"/>
      <c r="W1300" s="16"/>
      <c r="X1300" s="16"/>
      <c r="Y1300" s="16"/>
      <c r="Z1300" s="16"/>
      <c r="AA1300" s="16"/>
      <c r="AB1300" s="16"/>
      <c r="AF1300" s="13"/>
      <c r="AG1300" s="903"/>
      <c r="AH1300" s="13"/>
      <c r="AI1300" s="13"/>
      <c r="AN1300" s="905"/>
      <c r="AO1300" s="16"/>
      <c r="AP1300" s="16"/>
      <c r="AQ1300" s="16"/>
      <c r="AR1300" s="16"/>
      <c r="AS1300" s="16"/>
      <c r="AU1300" s="429"/>
      <c r="AV1300" s="429"/>
      <c r="AW1300" s="8" t="str">
        <f>IF(C1300&gt;0,VLOOKUP(C1300,Foundation_Calc!$A$2:$C$13,3,1),
IF(J1300&gt;0,VLOOKUP(J1300,Foundation_Calc!$A$2:$C$13,3,1),""))</f>
        <v/>
      </c>
      <c r="AX1300" s="8" t="str">
        <f>IF(C1300&gt;0,VLOOKUP(C1300,Foundation_Calc!$E$2:$G$33,3,1),
IF(J1300&gt;0,VLOOKUP(J1300,Foundation_Calc!$E$2:$G$33,3,1),""))</f>
        <v/>
      </c>
      <c r="AY1300" s="905" t="str">
        <f>IF(L1300="","",
IF(AX1300="PT",VLOOKUP(L1300,Foundation_Calc!$K$79:$R$113,VLOOKUP(AW1300,Foundation_Calc!$I$2:$J$8,2,FALSE),0),
IF(AX1300="K",VLOOKUP(L1300,Foundation_Calc!$K$117:$R$151,VLOOKUP(AW1300,Foundation_Calc!$I$2:$J$8,2,FALSE),0),"")))</f>
        <v/>
      </c>
      <c r="AZ1300" s="905" t="str">
        <f>IF(K1300="","",
IF(AX1300="PT",VLOOKUP(K1300,Foundation_Calc!$K$79:$R$113,VLOOKUP(AW1300,Foundation_Calc!$I$2:$J$8,2,FALSE),0),
IF(AX1300="K",VLOOKUP(K1300,Foundation_Calc!$K$117:$R$151,VLOOKUP(AW1300,Foundation_Calc!$I$2:$J$8,2,FALSE),0),"")))</f>
        <v/>
      </c>
      <c r="BA1300" s="906" t="str">
        <f t="shared" si="153"/>
        <v/>
      </c>
      <c r="BB1300" s="906" t="str">
        <f t="shared" si="154"/>
        <v/>
      </c>
      <c r="BC1300" s="906" t="str">
        <f t="shared" si="155"/>
        <v/>
      </c>
      <c r="BD1300" s="907" t="str">
        <f>IF(AND(L1300="",H1300=""),"",
IF(H1300="",Pole_Calc!A$9,
IF(H1300="MP",Pole_Calc!A$10,
IF(H1300="AnMP",Pole_Calc!A$11,
IF(H1300="A",Pole_Calc!A$12,
IF(H1300="S/A",Pole_Calc!A$13,
IF(H1300="A/S",Pole_Calc!A$14,"Poner a mano")))))))</f>
        <v/>
      </c>
      <c r="BE1300" s="429"/>
      <c r="BF1300" s="909"/>
      <c r="BG1300" s="909"/>
      <c r="BH1300" s="909"/>
      <c r="BI1300" s="909"/>
    </row>
    <row r="1301" spans="2:61" ht="15.75" customHeight="1">
      <c r="B1301" s="427"/>
      <c r="C1301" s="84"/>
      <c r="D1301" s="903"/>
      <c r="E1301" s="13"/>
      <c r="G1301" s="904"/>
      <c r="J1301" s="84"/>
      <c r="M1301" s="8" t="str">
        <f>IF(L1301="","",
IF(AX1301="PT",VLOOKUP(L1301,Foundation_Calc!$V$79:$X$113,VLOOKUP(AX1301,Foundation_Calc!$I$10:$J$13,2,FALSE),0),
IF(AX1301="K",VLOOKUP(L1301,Foundation_Calc!$V$117:$X$151,VLOOKUP(AX1301,Foundation_Calc!$I$10:$J$13,2,FALSE),0),"")))</f>
        <v/>
      </c>
      <c r="Q1301" s="13"/>
      <c r="R1301" s="904"/>
      <c r="S1301" s="904"/>
      <c r="T1301" s="13"/>
      <c r="U1301" s="13"/>
      <c r="V1301" s="13"/>
      <c r="W1301" s="16"/>
      <c r="X1301" s="16"/>
      <c r="Y1301" s="16"/>
      <c r="Z1301" s="16"/>
      <c r="AA1301" s="16"/>
      <c r="AB1301" s="16"/>
      <c r="AF1301" s="13"/>
      <c r="AG1301" s="903"/>
      <c r="AH1301" s="13"/>
      <c r="AI1301" s="13"/>
      <c r="AN1301" s="905"/>
      <c r="AO1301" s="16"/>
      <c r="AP1301" s="16"/>
      <c r="AQ1301" s="16"/>
      <c r="AR1301" s="16"/>
      <c r="AS1301" s="16"/>
      <c r="AU1301" s="429"/>
      <c r="AV1301" s="429"/>
      <c r="AW1301" s="8" t="str">
        <f>IF(C1301&gt;0,VLOOKUP(C1301,Foundation_Calc!$A$2:$C$13,3,1),
IF(J1301&gt;0,VLOOKUP(J1301,Foundation_Calc!$A$2:$C$13,3,1),""))</f>
        <v/>
      </c>
      <c r="AX1301" s="8" t="str">
        <f>IF(C1301&gt;0,VLOOKUP(C1301,Foundation_Calc!$E$2:$G$33,3,1),
IF(J1301&gt;0,VLOOKUP(J1301,Foundation_Calc!$E$2:$G$33,3,1),""))</f>
        <v/>
      </c>
      <c r="AY1301" s="905" t="str">
        <f>IF(L1301="","",
IF(AX1301="PT",VLOOKUP(L1301,Foundation_Calc!$K$79:$R$113,VLOOKUP(AW1301,Foundation_Calc!$I$2:$J$8,2,FALSE),0),
IF(AX1301="K",VLOOKUP(L1301,Foundation_Calc!$K$117:$R$151,VLOOKUP(AW1301,Foundation_Calc!$I$2:$J$8,2,FALSE),0),"")))</f>
        <v/>
      </c>
      <c r="AZ1301" s="905" t="str">
        <f>IF(K1301="","",
IF(AX1301="PT",VLOOKUP(K1301,Foundation_Calc!$K$79:$R$113,VLOOKUP(AW1301,Foundation_Calc!$I$2:$J$8,2,FALSE),0),
IF(AX1301="K",VLOOKUP(K1301,Foundation_Calc!$K$117:$R$151,VLOOKUP(AW1301,Foundation_Calc!$I$2:$J$8,2,FALSE),0),"")))</f>
        <v/>
      </c>
      <c r="BA1301" s="906" t="str">
        <f t="shared" si="153"/>
        <v/>
      </c>
      <c r="BB1301" s="906" t="str">
        <f t="shared" si="154"/>
        <v/>
      </c>
      <c r="BC1301" s="906" t="str">
        <f t="shared" si="155"/>
        <v/>
      </c>
      <c r="BD1301" s="907" t="str">
        <f>IF(AND(L1301="",H1301=""),"",
IF(H1301="",Pole_Calc!A$9,
IF(H1301="MP",Pole_Calc!A$10,
IF(H1301="AnMP",Pole_Calc!A$11,
IF(H1301="A",Pole_Calc!A$12,
IF(H1301="S/A",Pole_Calc!A$13,
IF(H1301="A/S",Pole_Calc!A$14,"Poner a mano")))))))</f>
        <v/>
      </c>
      <c r="BE1301" s="429"/>
      <c r="BF1301" s="909"/>
      <c r="BG1301" s="909"/>
      <c r="BH1301" s="909"/>
      <c r="BI1301" s="909"/>
    </row>
    <row r="1302" spans="2:61" ht="15.75" customHeight="1">
      <c r="B1302" s="427"/>
      <c r="C1302" s="84"/>
      <c r="D1302" s="903"/>
      <c r="E1302" s="13"/>
      <c r="G1302" s="904"/>
      <c r="J1302" s="84"/>
      <c r="M1302" s="8" t="str">
        <f>IF(L1302="","",
IF(AX1302="PT",VLOOKUP(L1302,Foundation_Calc!$V$79:$X$113,VLOOKUP(AX1302,Foundation_Calc!$I$10:$J$13,2,FALSE),0),
IF(AX1302="K",VLOOKUP(L1302,Foundation_Calc!$V$117:$X$151,VLOOKUP(AX1302,Foundation_Calc!$I$10:$J$13,2,FALSE),0),"")))</f>
        <v/>
      </c>
      <c r="Q1302" s="13"/>
      <c r="R1302" s="904"/>
      <c r="S1302" s="904"/>
      <c r="T1302" s="13"/>
      <c r="U1302" s="13"/>
      <c r="V1302" s="13"/>
      <c r="W1302" s="16"/>
      <c r="X1302" s="16"/>
      <c r="Y1302" s="16"/>
      <c r="Z1302" s="16"/>
      <c r="AA1302" s="16"/>
      <c r="AB1302" s="16"/>
      <c r="AF1302" s="13"/>
      <c r="AG1302" s="903"/>
      <c r="AH1302" s="13"/>
      <c r="AI1302" s="13"/>
      <c r="AN1302" s="905"/>
      <c r="AO1302" s="16"/>
      <c r="AP1302" s="16"/>
      <c r="AQ1302" s="16"/>
      <c r="AR1302" s="16"/>
      <c r="AS1302" s="16"/>
      <c r="AU1302" s="429"/>
      <c r="AV1302" s="429"/>
      <c r="AW1302" s="8" t="str">
        <f>IF(C1302&gt;0,VLOOKUP(C1302,Foundation_Calc!$A$2:$C$13,3,1),
IF(J1302&gt;0,VLOOKUP(J1302,Foundation_Calc!$A$2:$C$13,3,1),""))</f>
        <v/>
      </c>
      <c r="AX1302" s="8" t="str">
        <f>IF(C1302&gt;0,VLOOKUP(C1302,Foundation_Calc!$E$2:$G$33,3,1),
IF(J1302&gt;0,VLOOKUP(J1302,Foundation_Calc!$E$2:$G$33,3,1),""))</f>
        <v/>
      </c>
      <c r="AY1302" s="905" t="str">
        <f>IF(L1302="","",
IF(AX1302="PT",VLOOKUP(L1302,Foundation_Calc!$K$79:$R$113,VLOOKUP(AW1302,Foundation_Calc!$I$2:$J$8,2,FALSE),0),
IF(AX1302="K",VLOOKUP(L1302,Foundation_Calc!$K$117:$R$151,VLOOKUP(AW1302,Foundation_Calc!$I$2:$J$8,2,FALSE),0),"")))</f>
        <v/>
      </c>
      <c r="AZ1302" s="905" t="str">
        <f>IF(K1302="","",
IF(AX1302="PT",VLOOKUP(K1302,Foundation_Calc!$K$79:$R$113,VLOOKUP(AW1302,Foundation_Calc!$I$2:$J$8,2,FALSE),0),
IF(AX1302="K",VLOOKUP(K1302,Foundation_Calc!$K$117:$R$151,VLOOKUP(AW1302,Foundation_Calc!$I$2:$J$8,2,FALSE),0),"")))</f>
        <v/>
      </c>
      <c r="BA1302" s="906" t="str">
        <f t="shared" si="153"/>
        <v/>
      </c>
      <c r="BB1302" s="906" t="str">
        <f t="shared" si="154"/>
        <v/>
      </c>
      <c r="BC1302" s="906" t="str">
        <f t="shared" si="155"/>
        <v/>
      </c>
      <c r="BD1302" s="907" t="str">
        <f>IF(AND(L1302="",H1302=""),"",
IF(H1302="",Pole_Calc!A$9,
IF(H1302="MP",Pole_Calc!A$10,
IF(H1302="AnMP",Pole_Calc!A$11,
IF(H1302="A",Pole_Calc!A$12,
IF(H1302="S/A",Pole_Calc!A$13,
IF(H1302="A/S",Pole_Calc!A$14,"Poner a mano")))))))</f>
        <v/>
      </c>
      <c r="BE1302" s="429"/>
      <c r="BF1302" s="909"/>
      <c r="BG1302" s="909"/>
      <c r="BH1302" s="909"/>
      <c r="BI1302" s="909"/>
    </row>
    <row r="1303" spans="2:61" ht="15.75" customHeight="1">
      <c r="B1303" s="427"/>
      <c r="C1303" s="84"/>
      <c r="D1303" s="903"/>
      <c r="E1303" s="13"/>
      <c r="G1303" s="904"/>
      <c r="J1303" s="84"/>
      <c r="M1303" s="8" t="str">
        <f>IF(L1303="","",
IF(AX1303="PT",VLOOKUP(L1303,Foundation_Calc!$V$79:$X$113,VLOOKUP(AX1303,Foundation_Calc!$I$10:$J$13,2,FALSE),0),
IF(AX1303="K",VLOOKUP(L1303,Foundation_Calc!$V$117:$X$151,VLOOKUP(AX1303,Foundation_Calc!$I$10:$J$13,2,FALSE),0),"")))</f>
        <v/>
      </c>
      <c r="Q1303" s="13"/>
      <c r="R1303" s="904"/>
      <c r="S1303" s="904"/>
      <c r="T1303" s="13"/>
      <c r="U1303" s="13"/>
      <c r="V1303" s="13"/>
      <c r="W1303" s="16"/>
      <c r="X1303" s="16"/>
      <c r="Y1303" s="16"/>
      <c r="Z1303" s="16"/>
      <c r="AA1303" s="16"/>
      <c r="AB1303" s="16"/>
      <c r="AF1303" s="13"/>
      <c r="AG1303" s="903"/>
      <c r="AH1303" s="13"/>
      <c r="AI1303" s="13"/>
      <c r="AN1303" s="905"/>
      <c r="AO1303" s="16"/>
      <c r="AP1303" s="16"/>
      <c r="AQ1303" s="16"/>
      <c r="AR1303" s="16"/>
      <c r="AS1303" s="16"/>
      <c r="AU1303" s="429"/>
      <c r="AV1303" s="429"/>
      <c r="AW1303" s="8" t="str">
        <f>IF(C1303&gt;0,VLOOKUP(C1303,Foundation_Calc!$A$2:$C$13,3,1),
IF(J1303&gt;0,VLOOKUP(J1303,Foundation_Calc!$A$2:$C$13,3,1),""))</f>
        <v/>
      </c>
      <c r="AX1303" s="8" t="str">
        <f>IF(C1303&gt;0,VLOOKUP(C1303,Foundation_Calc!$E$2:$G$33,3,1),
IF(J1303&gt;0,VLOOKUP(J1303,Foundation_Calc!$E$2:$G$33,3,1),""))</f>
        <v/>
      </c>
      <c r="AY1303" s="905" t="str">
        <f>IF(L1303="","",
IF(AX1303="PT",VLOOKUP(L1303,Foundation_Calc!$K$79:$R$113,VLOOKUP(AW1303,Foundation_Calc!$I$2:$J$8,2,FALSE),0),
IF(AX1303="K",VLOOKUP(L1303,Foundation_Calc!$K$117:$R$151,VLOOKUP(AW1303,Foundation_Calc!$I$2:$J$8,2,FALSE),0),"")))</f>
        <v/>
      </c>
      <c r="AZ1303" s="905" t="str">
        <f>IF(K1303="","",
IF(AX1303="PT",VLOOKUP(K1303,Foundation_Calc!$K$79:$R$113,VLOOKUP(AW1303,Foundation_Calc!$I$2:$J$8,2,FALSE),0),
IF(AX1303="K",VLOOKUP(K1303,Foundation_Calc!$K$117:$R$151,VLOOKUP(AW1303,Foundation_Calc!$I$2:$J$8,2,FALSE),0),"")))</f>
        <v/>
      </c>
      <c r="BA1303" s="906" t="str">
        <f t="shared" si="153"/>
        <v/>
      </c>
      <c r="BB1303" s="906" t="str">
        <f t="shared" si="154"/>
        <v/>
      </c>
      <c r="BC1303" s="906" t="str">
        <f t="shared" si="155"/>
        <v/>
      </c>
      <c r="BD1303" s="907" t="str">
        <f>IF(AND(L1303="",H1303=""),"",
IF(H1303="",Pole_Calc!A$9,
IF(H1303="MP",Pole_Calc!A$10,
IF(H1303="AnMP",Pole_Calc!A$11,
IF(H1303="A",Pole_Calc!A$12,
IF(H1303="S/A",Pole_Calc!A$13,
IF(H1303="A/S",Pole_Calc!A$14,"Poner a mano")))))))</f>
        <v/>
      </c>
      <c r="BE1303" s="429"/>
      <c r="BF1303" s="909"/>
      <c r="BG1303" s="909"/>
      <c r="BH1303" s="909"/>
      <c r="BI1303" s="909"/>
    </row>
    <row r="1304" spans="2:61" ht="15.75" customHeight="1">
      <c r="B1304" s="427"/>
      <c r="C1304" s="84"/>
      <c r="D1304" s="903"/>
      <c r="E1304" s="13"/>
      <c r="G1304" s="904"/>
      <c r="J1304" s="84"/>
      <c r="Q1304" s="13"/>
      <c r="R1304" s="904"/>
      <c r="S1304" s="904"/>
      <c r="T1304" s="13"/>
      <c r="U1304" s="13"/>
      <c r="V1304" s="13"/>
      <c r="W1304" s="16"/>
      <c r="X1304" s="16"/>
      <c r="Y1304" s="16"/>
      <c r="Z1304" s="16"/>
      <c r="AA1304" s="16"/>
      <c r="AB1304" s="16"/>
      <c r="AF1304" s="13"/>
      <c r="AG1304" s="903"/>
      <c r="AH1304" s="13"/>
      <c r="AI1304" s="13"/>
      <c r="AN1304" s="905"/>
      <c r="AO1304" s="16"/>
      <c r="AP1304" s="16"/>
      <c r="AQ1304" s="16"/>
      <c r="AR1304" s="16"/>
      <c r="AS1304" s="16"/>
      <c r="AU1304" s="429"/>
      <c r="AV1304" s="429"/>
      <c r="AW1304" s="8" t="str">
        <f>IF(C1304&gt;0,VLOOKUP(C1304,Foundation_Calc!$A$2:$C$13,3,1),
IF(J1304&gt;0,VLOOKUP(J1304,Foundation_Calc!$A$2:$C$13,3,1),""))</f>
        <v/>
      </c>
      <c r="AX1304" s="8" t="str">
        <f>IF(C1304&gt;0,VLOOKUP(C1304,Foundation_Calc!$E$2:$G$33,3,1),
IF(J1304&gt;0,VLOOKUP(J1304,Foundation_Calc!$E$2:$G$33,3,1),""))</f>
        <v/>
      </c>
      <c r="AY1304" s="905" t="str">
        <f>IF(L1304="","",
IF(AX1304="PT",VLOOKUP(L1304,Foundation_Calc!$K$79:$R$113,VLOOKUP(AW1304,Foundation_Calc!$I$2:$J$8,2,FALSE),0),
IF(AX1304="K",VLOOKUP(L1304,Foundation_Calc!$K$117:$R$151,VLOOKUP(AW1304,Foundation_Calc!$I$2:$J$8,2,FALSE),0),"")))</f>
        <v/>
      </c>
      <c r="AZ1304" s="905" t="str">
        <f>IF(K1304="","",
IF(AX1304="PT",VLOOKUP(K1304,Foundation_Calc!$K$79:$R$113,VLOOKUP(AW1304,Foundation_Calc!$I$2:$J$8,2,FALSE),0),
IF(AX1304="K",VLOOKUP(K1304,Foundation_Calc!$K$117:$R$151,VLOOKUP(AW1304,Foundation_Calc!$I$2:$J$8,2,FALSE),0),"")))</f>
        <v/>
      </c>
      <c r="BA1304" s="906" t="str">
        <f t="shared" si="153"/>
        <v/>
      </c>
      <c r="BB1304" s="906" t="str">
        <f t="shared" si="154"/>
        <v/>
      </c>
      <c r="BC1304" s="906" t="str">
        <f t="shared" si="155"/>
        <v/>
      </c>
      <c r="BD1304" s="907" t="str">
        <f>IF(AND(L1304="",H1304=""),"",
IF(H1304="",Pole_Calc!A$9,
IF(H1304="MP",Pole_Calc!A$10,
IF(H1304="AnMP",Pole_Calc!A$11,
IF(H1304="A",Pole_Calc!A$12,
IF(H1304="S/A",Pole_Calc!A$13,
IF(H1304="A/S",Pole_Calc!A$14,"Poner a mano")))))))</f>
        <v/>
      </c>
      <c r="BE1304" s="429"/>
      <c r="BF1304" s="909"/>
      <c r="BG1304" s="909"/>
      <c r="BH1304" s="909"/>
      <c r="BI1304" s="909"/>
    </row>
    <row r="1305" spans="2:61" ht="15.75" customHeight="1">
      <c r="B1305" s="427"/>
      <c r="C1305" s="84"/>
      <c r="D1305" s="903"/>
      <c r="E1305" s="13"/>
      <c r="G1305" s="904"/>
      <c r="J1305" s="84"/>
      <c r="Q1305" s="13"/>
      <c r="R1305" s="904"/>
      <c r="S1305" s="904"/>
      <c r="T1305" s="13"/>
      <c r="U1305" s="13"/>
      <c r="V1305" s="13"/>
      <c r="W1305" s="16"/>
      <c r="X1305" s="16"/>
      <c r="Y1305" s="16"/>
      <c r="Z1305" s="16"/>
      <c r="AA1305" s="16"/>
      <c r="AB1305" s="16"/>
      <c r="AF1305" s="13"/>
      <c r="AG1305" s="903"/>
      <c r="AH1305" s="13"/>
      <c r="AI1305" s="13"/>
      <c r="AN1305" s="905"/>
      <c r="AO1305" s="16"/>
      <c r="AP1305" s="16"/>
      <c r="AQ1305" s="16"/>
      <c r="AR1305" s="16"/>
      <c r="AS1305" s="16"/>
      <c r="AU1305" s="429"/>
      <c r="AV1305" s="429"/>
      <c r="AW1305" s="8" t="str">
        <f>IF(C1305&gt;0,VLOOKUP(C1305,Foundation_Calc!$A$2:$C$13,3,1),
IF(J1305&gt;0,VLOOKUP(J1305,Foundation_Calc!$A$2:$C$13,3,1),""))</f>
        <v/>
      </c>
      <c r="AX1305" s="8" t="str">
        <f>IF(C1305&gt;0,VLOOKUP(C1305,Foundation_Calc!$E$2:$G$33,3,1),
IF(J1305&gt;0,VLOOKUP(J1305,Foundation_Calc!$E$2:$G$33,3,1),""))</f>
        <v/>
      </c>
      <c r="AY1305" s="905" t="str">
        <f>IF(L1305="","",
IF(AX1305="PT",VLOOKUP(L1305,Foundation_Calc!$K$79:$R$113,VLOOKUP(AW1305,Foundation_Calc!$I$2:$J$8,2,FALSE),0),
IF(AX1305="K",VLOOKUP(L1305,Foundation_Calc!$K$117:$R$151,VLOOKUP(AW1305,Foundation_Calc!$I$2:$J$8,2,FALSE),0),"")))</f>
        <v/>
      </c>
      <c r="AZ1305" s="905" t="str">
        <f>IF(K1305="","",
IF(AX1305="PT",VLOOKUP(K1305,Foundation_Calc!$K$79:$R$113,VLOOKUP(AW1305,Foundation_Calc!$I$2:$J$8,2,FALSE),0),
IF(AX1305="K",VLOOKUP(K1305,Foundation_Calc!$K$117:$R$151,VLOOKUP(AW1305,Foundation_Calc!$I$2:$J$8,2,FALSE),0),"")))</f>
        <v/>
      </c>
      <c r="BA1305" s="906" t="str">
        <f t="shared" si="153"/>
        <v/>
      </c>
      <c r="BB1305" s="906" t="str">
        <f t="shared" si="154"/>
        <v/>
      </c>
      <c r="BC1305" s="906" t="str">
        <f t="shared" si="155"/>
        <v/>
      </c>
      <c r="BD1305" s="907" t="str">
        <f>IF(AND(L1305="",H1305=""),"",
IF(H1305="",Pole_Calc!A$9,
IF(H1305="MP",Pole_Calc!A$10,
IF(H1305="AnMP",Pole_Calc!A$11,
IF(H1305="A",Pole_Calc!A$12,
IF(H1305="S/A",Pole_Calc!A$13,
IF(H1305="A/S",Pole_Calc!A$14,"Poner a mano")))))))</f>
        <v/>
      </c>
      <c r="BE1305" s="429"/>
      <c r="BF1305" s="909"/>
      <c r="BG1305" s="909"/>
      <c r="BH1305" s="909"/>
      <c r="BI1305" s="909"/>
    </row>
    <row r="1306" spans="2:61" ht="15.75" customHeight="1">
      <c r="B1306" s="427"/>
      <c r="C1306" s="84"/>
      <c r="D1306" s="903"/>
      <c r="E1306" s="13"/>
      <c r="G1306" s="904"/>
      <c r="J1306" s="84"/>
      <c r="Q1306" s="13"/>
      <c r="R1306" s="904"/>
      <c r="S1306" s="904"/>
      <c r="T1306" s="13"/>
      <c r="U1306" s="13"/>
      <c r="V1306" s="13"/>
      <c r="W1306" s="16"/>
      <c r="X1306" s="16"/>
      <c r="Y1306" s="16"/>
      <c r="Z1306" s="16"/>
      <c r="AA1306" s="16"/>
      <c r="AB1306" s="16"/>
      <c r="AF1306" s="13"/>
      <c r="AG1306" s="903"/>
      <c r="AH1306" s="13"/>
      <c r="AI1306" s="13"/>
      <c r="AN1306" s="905"/>
      <c r="AO1306" s="16"/>
      <c r="AP1306" s="16"/>
      <c r="AQ1306" s="16"/>
      <c r="AR1306" s="16"/>
      <c r="AS1306" s="16"/>
      <c r="AU1306" s="429"/>
      <c r="AV1306" s="429"/>
      <c r="AW1306" s="8" t="str">
        <f>IF(C1306&gt;0,VLOOKUP(C1306,Foundation_Calc!$A$2:$C$13,3,1),
IF(J1306&gt;0,VLOOKUP(J1306,Foundation_Calc!$A$2:$C$13,3,1),""))</f>
        <v/>
      </c>
      <c r="AX1306" s="8" t="str">
        <f>IF(C1306&gt;0,VLOOKUP(C1306,Foundation_Calc!$E$2:$G$33,3,1),
IF(J1306&gt;0,VLOOKUP(J1306,Foundation_Calc!$E$2:$G$33,3,1),""))</f>
        <v/>
      </c>
      <c r="AY1306" s="905" t="str">
        <f>IF(L1306="","",
IF(AX1306="PT",VLOOKUP(L1306,Foundation_Calc!$K$79:$R$113,VLOOKUP(AW1306,Foundation_Calc!$I$2:$J$8,2,FALSE),0),
IF(AX1306="K",VLOOKUP(L1306,Foundation_Calc!$K$117:$R$151,VLOOKUP(AW1306,Foundation_Calc!$I$2:$J$8,2,FALSE),0),"")))</f>
        <v/>
      </c>
      <c r="AZ1306" s="905" t="str">
        <f>IF(K1306="","",
IF(AX1306="PT",VLOOKUP(K1306,Foundation_Calc!$K$79:$R$113,VLOOKUP(AW1306,Foundation_Calc!$I$2:$J$8,2,FALSE),0),
IF(AX1306="K",VLOOKUP(K1306,Foundation_Calc!$K$117:$R$151,VLOOKUP(AW1306,Foundation_Calc!$I$2:$J$8,2,FALSE),0),"")))</f>
        <v/>
      </c>
      <c r="BA1306" s="906" t="str">
        <f t="shared" si="153"/>
        <v/>
      </c>
      <c r="BB1306" s="906" t="str">
        <f t="shared" si="154"/>
        <v/>
      </c>
      <c r="BC1306" s="906" t="str">
        <f t="shared" si="155"/>
        <v/>
      </c>
      <c r="BD1306" s="907" t="str">
        <f>IF(AND(L1306="",H1306=""),"",
IF(H1306="",Pole_Calc!A$9,
IF(H1306="MP",Pole_Calc!A$10,
IF(H1306="AnMP",Pole_Calc!A$11,
IF(H1306="A",Pole_Calc!A$12,
IF(H1306="S/A",Pole_Calc!A$13,
IF(H1306="A/S",Pole_Calc!A$14,"Poner a mano")))))))</f>
        <v/>
      </c>
      <c r="BE1306" s="429"/>
      <c r="BF1306" s="909"/>
      <c r="BG1306" s="909"/>
      <c r="BH1306" s="909"/>
      <c r="BI1306" s="909"/>
    </row>
    <row r="1307" spans="2:61" ht="15.75" customHeight="1">
      <c r="B1307" s="427"/>
      <c r="C1307" s="84"/>
      <c r="D1307" s="903"/>
      <c r="E1307" s="13"/>
      <c r="G1307" s="904"/>
      <c r="J1307" s="84"/>
      <c r="Q1307" s="13"/>
      <c r="R1307" s="904"/>
      <c r="S1307" s="904"/>
      <c r="T1307" s="13"/>
      <c r="U1307" s="13"/>
      <c r="V1307" s="13"/>
      <c r="W1307" s="16"/>
      <c r="X1307" s="16"/>
      <c r="Y1307" s="16"/>
      <c r="Z1307" s="16"/>
      <c r="AA1307" s="16"/>
      <c r="AB1307" s="16"/>
      <c r="AF1307" s="13"/>
      <c r="AG1307" s="903"/>
      <c r="AH1307" s="13"/>
      <c r="AI1307" s="13"/>
      <c r="AN1307" s="905"/>
      <c r="AO1307" s="16"/>
      <c r="AP1307" s="16"/>
      <c r="AQ1307" s="16"/>
      <c r="AR1307" s="16"/>
      <c r="AS1307" s="16"/>
      <c r="AU1307" s="429"/>
      <c r="AV1307" s="429"/>
      <c r="AW1307" s="8" t="str">
        <f>IF(C1307&gt;0,VLOOKUP(C1307,Foundation_Calc!$A$2:$C$13,3,1),
IF(J1307&gt;0,VLOOKUP(J1307,Foundation_Calc!$A$2:$C$13,3,1),""))</f>
        <v/>
      </c>
      <c r="AX1307" s="8" t="str">
        <f>IF(C1307&gt;0,VLOOKUP(C1307,Foundation_Calc!$E$2:$G$33,3,1),
IF(J1307&gt;0,VLOOKUP(J1307,Foundation_Calc!$E$2:$G$33,3,1),""))</f>
        <v/>
      </c>
      <c r="AY1307" s="905" t="str">
        <f>IF(L1307="","",
IF(AX1307="PT",VLOOKUP(L1307,Foundation_Calc!$K$79:$R$113,VLOOKUP(AW1307,Foundation_Calc!$I$2:$J$8,2,FALSE),0),
IF(AX1307="K",VLOOKUP(L1307,Foundation_Calc!$K$117:$R$151,VLOOKUP(AW1307,Foundation_Calc!$I$2:$J$8,2,FALSE),0),"")))</f>
        <v/>
      </c>
      <c r="AZ1307" s="905" t="str">
        <f>IF(K1307="","",
IF(AX1307="PT",VLOOKUP(K1307,Foundation_Calc!$K$79:$R$113,VLOOKUP(AW1307,Foundation_Calc!$I$2:$J$8,2,FALSE),0),
IF(AX1307="K",VLOOKUP(K1307,Foundation_Calc!$K$117:$R$151,VLOOKUP(AW1307,Foundation_Calc!$I$2:$J$8,2,FALSE),0),"")))</f>
        <v/>
      </c>
      <c r="BA1307" s="906" t="str">
        <f t="shared" si="153"/>
        <v/>
      </c>
      <c r="BB1307" s="906" t="str">
        <f t="shared" si="154"/>
        <v/>
      </c>
      <c r="BC1307" s="906" t="str">
        <f t="shared" si="155"/>
        <v/>
      </c>
      <c r="BD1307" s="907" t="str">
        <f>IF(AND(L1307="",H1307=""),"",
IF(H1307="",Pole_Calc!A$9,
IF(H1307="MP",Pole_Calc!A$10,
IF(H1307="AnMP",Pole_Calc!A$11,
IF(H1307="A",Pole_Calc!A$12,
IF(H1307="S/A",Pole_Calc!A$13,
IF(H1307="A/S",Pole_Calc!A$14,"Poner a mano")))))))</f>
        <v/>
      </c>
      <c r="BE1307" s="429"/>
      <c r="BF1307" s="909"/>
      <c r="BG1307" s="909"/>
      <c r="BH1307" s="909"/>
      <c r="BI1307" s="909"/>
    </row>
    <row r="1308" spans="2:61" ht="15.75" customHeight="1">
      <c r="B1308" s="427"/>
      <c r="C1308" s="84"/>
      <c r="D1308" s="903"/>
      <c r="E1308" s="13"/>
      <c r="G1308" s="904"/>
      <c r="J1308" s="84"/>
      <c r="Q1308" s="13"/>
      <c r="R1308" s="904"/>
      <c r="S1308" s="904"/>
      <c r="T1308" s="13"/>
      <c r="U1308" s="13"/>
      <c r="V1308" s="13"/>
      <c r="W1308" s="16"/>
      <c r="X1308" s="16"/>
      <c r="Y1308" s="16"/>
      <c r="Z1308" s="16"/>
      <c r="AA1308" s="16"/>
      <c r="AB1308" s="16"/>
      <c r="AF1308" s="13"/>
      <c r="AG1308" s="903"/>
      <c r="AH1308" s="13"/>
      <c r="AI1308" s="13"/>
      <c r="AN1308" s="905"/>
      <c r="AO1308" s="16"/>
      <c r="AP1308" s="16"/>
      <c r="AQ1308" s="16"/>
      <c r="AR1308" s="16"/>
      <c r="AS1308" s="16"/>
      <c r="AU1308" s="429"/>
      <c r="AV1308" s="429"/>
      <c r="AY1308" s="905"/>
      <c r="AZ1308" s="905"/>
      <c r="BA1308" s="906"/>
      <c r="BB1308" s="906"/>
      <c r="BC1308" s="906"/>
      <c r="BD1308" s="907"/>
      <c r="BE1308" s="429"/>
      <c r="BF1308" s="909"/>
      <c r="BG1308" s="909"/>
      <c r="BH1308" s="909"/>
      <c r="BI1308" s="909"/>
    </row>
    <row r="1309" spans="2:61" ht="15.75" customHeight="1">
      <c r="B1309" s="427"/>
      <c r="C1309" s="84"/>
      <c r="D1309" s="903"/>
      <c r="E1309" s="13"/>
      <c r="G1309" s="904"/>
      <c r="J1309" s="84"/>
      <c r="Q1309" s="13"/>
      <c r="R1309" s="904"/>
      <c r="S1309" s="904"/>
      <c r="T1309" s="13"/>
      <c r="U1309" s="13"/>
      <c r="V1309" s="13"/>
      <c r="W1309" s="16"/>
      <c r="X1309" s="16"/>
      <c r="Y1309" s="16"/>
      <c r="Z1309" s="16"/>
      <c r="AA1309" s="16"/>
      <c r="AB1309" s="16"/>
      <c r="AF1309" s="13"/>
      <c r="AG1309" s="903"/>
      <c r="AH1309" s="13"/>
      <c r="AI1309" s="13"/>
      <c r="AN1309" s="905"/>
      <c r="AO1309" s="16"/>
      <c r="AP1309" s="16"/>
      <c r="AQ1309" s="16"/>
      <c r="AR1309" s="16"/>
      <c r="AS1309" s="16"/>
      <c r="AU1309" s="429"/>
      <c r="AV1309" s="429"/>
      <c r="AY1309" s="905"/>
      <c r="AZ1309" s="905"/>
      <c r="BA1309" s="906"/>
      <c r="BB1309" s="906"/>
      <c r="BC1309" s="906"/>
      <c r="BD1309" s="907"/>
      <c r="BE1309" s="429"/>
      <c r="BF1309" s="909"/>
      <c r="BG1309" s="909"/>
      <c r="BH1309" s="909"/>
      <c r="BI1309" s="909"/>
    </row>
    <row r="1310" spans="2:61" ht="15.75" customHeight="1">
      <c r="B1310" s="427"/>
      <c r="C1310" s="84"/>
      <c r="D1310" s="903"/>
      <c r="E1310" s="13"/>
      <c r="G1310" s="904"/>
      <c r="J1310" s="84"/>
      <c r="Q1310" s="13"/>
      <c r="R1310" s="904"/>
      <c r="S1310" s="904"/>
      <c r="T1310" s="13"/>
      <c r="U1310" s="13"/>
      <c r="V1310" s="13"/>
      <c r="W1310" s="16"/>
      <c r="X1310" s="16"/>
      <c r="Y1310" s="16"/>
      <c r="Z1310" s="16"/>
      <c r="AA1310" s="16"/>
      <c r="AB1310" s="16"/>
      <c r="AF1310" s="13"/>
      <c r="AG1310" s="903"/>
      <c r="AH1310" s="13"/>
      <c r="AI1310" s="13"/>
      <c r="AN1310" s="905"/>
      <c r="AO1310" s="16"/>
      <c r="AP1310" s="16"/>
      <c r="AQ1310" s="16"/>
      <c r="AR1310" s="16"/>
      <c r="AS1310" s="16"/>
      <c r="AU1310" s="429"/>
      <c r="AV1310" s="429"/>
      <c r="AY1310" s="905"/>
      <c r="AZ1310" s="905"/>
      <c r="BA1310" s="906"/>
      <c r="BB1310" s="906"/>
      <c r="BC1310" s="906"/>
      <c r="BD1310" s="907"/>
      <c r="BE1310" s="429"/>
      <c r="BF1310" s="909"/>
      <c r="BG1310" s="909"/>
      <c r="BH1310" s="909"/>
      <c r="BI1310" s="909"/>
    </row>
    <row r="1311" spans="2:61" ht="15.75" customHeight="1">
      <c r="B1311" s="427"/>
      <c r="C1311" s="84"/>
      <c r="D1311" s="903"/>
      <c r="E1311" s="13"/>
      <c r="G1311" s="904"/>
      <c r="J1311" s="84"/>
      <c r="Q1311" s="13"/>
      <c r="R1311" s="904"/>
      <c r="S1311" s="904"/>
      <c r="T1311" s="13"/>
      <c r="U1311" s="13"/>
      <c r="V1311" s="13"/>
      <c r="W1311" s="16"/>
      <c r="X1311" s="16"/>
      <c r="Y1311" s="16"/>
      <c r="Z1311" s="16"/>
      <c r="AA1311" s="16"/>
      <c r="AB1311" s="16"/>
      <c r="AF1311" s="13"/>
      <c r="AG1311" s="903"/>
      <c r="AH1311" s="13"/>
      <c r="AI1311" s="13"/>
      <c r="AN1311" s="905"/>
      <c r="AO1311" s="16"/>
      <c r="AP1311" s="16"/>
      <c r="AQ1311" s="16"/>
      <c r="AR1311" s="16"/>
      <c r="AS1311" s="16"/>
      <c r="AU1311" s="429"/>
      <c r="AV1311" s="429"/>
      <c r="AY1311" s="905"/>
      <c r="AZ1311" s="905"/>
      <c r="BA1311" s="906"/>
      <c r="BB1311" s="906"/>
      <c r="BC1311" s="906"/>
      <c r="BD1311" s="907"/>
      <c r="BE1311" s="429"/>
      <c r="BF1311" s="909"/>
      <c r="BG1311" s="909"/>
      <c r="BH1311" s="909"/>
      <c r="BI1311" s="909"/>
    </row>
    <row r="1312" spans="2:61" ht="15.75" customHeight="1">
      <c r="B1312" s="427"/>
      <c r="C1312" s="84"/>
      <c r="D1312" s="903"/>
      <c r="E1312" s="13"/>
      <c r="G1312" s="904"/>
      <c r="J1312" s="84"/>
      <c r="Q1312" s="13"/>
      <c r="R1312" s="904"/>
      <c r="S1312" s="904"/>
      <c r="T1312" s="13"/>
      <c r="U1312" s="13"/>
      <c r="V1312" s="13"/>
      <c r="W1312" s="16"/>
      <c r="X1312" s="16"/>
      <c r="Y1312" s="16"/>
      <c r="Z1312" s="16"/>
      <c r="AA1312" s="16"/>
      <c r="AB1312" s="16"/>
      <c r="AF1312" s="13"/>
      <c r="AG1312" s="903"/>
      <c r="AH1312" s="13"/>
      <c r="AI1312" s="13"/>
      <c r="AN1312" s="905"/>
      <c r="AO1312" s="16"/>
      <c r="AP1312" s="16"/>
      <c r="AQ1312" s="16"/>
      <c r="AR1312" s="16"/>
      <c r="AS1312" s="16"/>
      <c r="AU1312" s="429"/>
      <c r="AV1312" s="429"/>
      <c r="AY1312" s="905"/>
      <c r="AZ1312" s="905"/>
      <c r="BA1312" s="906"/>
      <c r="BB1312" s="906"/>
      <c r="BC1312" s="906"/>
      <c r="BD1312" s="907"/>
      <c r="BE1312" s="429"/>
      <c r="BF1312" s="909"/>
      <c r="BG1312" s="909"/>
      <c r="BH1312" s="909"/>
      <c r="BI1312" s="909"/>
    </row>
    <row r="1313" spans="2:61" ht="15.75" customHeight="1">
      <c r="B1313" s="427"/>
      <c r="C1313" s="84"/>
      <c r="D1313" s="903"/>
      <c r="E1313" s="13"/>
      <c r="G1313" s="904"/>
      <c r="J1313" s="84"/>
      <c r="Q1313" s="13"/>
      <c r="R1313" s="904"/>
      <c r="S1313" s="904"/>
      <c r="T1313" s="13"/>
      <c r="U1313" s="13"/>
      <c r="V1313" s="13"/>
      <c r="W1313" s="16"/>
      <c r="X1313" s="16"/>
      <c r="Y1313" s="16"/>
      <c r="Z1313" s="16"/>
      <c r="AA1313" s="16"/>
      <c r="AB1313" s="16"/>
      <c r="AF1313" s="13"/>
      <c r="AG1313" s="903"/>
      <c r="AH1313" s="13"/>
      <c r="AI1313" s="13"/>
      <c r="AN1313" s="905"/>
      <c r="AO1313" s="16"/>
      <c r="AP1313" s="16"/>
      <c r="AQ1313" s="16"/>
      <c r="AR1313" s="16"/>
      <c r="AS1313" s="16"/>
      <c r="AU1313" s="429"/>
      <c r="AV1313" s="429"/>
      <c r="AY1313" s="905"/>
      <c r="AZ1313" s="905"/>
      <c r="BA1313" s="906"/>
      <c r="BB1313" s="906"/>
      <c r="BC1313" s="906"/>
      <c r="BD1313" s="907"/>
      <c r="BE1313" s="429"/>
      <c r="BF1313" s="909"/>
      <c r="BG1313" s="909"/>
      <c r="BH1313" s="909"/>
      <c r="BI1313" s="909"/>
    </row>
    <row r="1314" spans="2:61" ht="15.75" customHeight="1">
      <c r="B1314" s="427"/>
      <c r="C1314" s="84"/>
      <c r="D1314" s="903"/>
      <c r="E1314" s="13"/>
      <c r="G1314" s="904"/>
      <c r="J1314" s="84"/>
      <c r="Q1314" s="13"/>
      <c r="R1314" s="904"/>
      <c r="S1314" s="904"/>
      <c r="T1314" s="13"/>
      <c r="U1314" s="13"/>
      <c r="V1314" s="13"/>
      <c r="W1314" s="16"/>
      <c r="X1314" s="16"/>
      <c r="Y1314" s="16"/>
      <c r="Z1314" s="16"/>
      <c r="AA1314" s="16"/>
      <c r="AB1314" s="16"/>
      <c r="AF1314" s="13"/>
      <c r="AG1314" s="903"/>
      <c r="AH1314" s="13"/>
      <c r="AI1314" s="13"/>
      <c r="AN1314" s="905"/>
      <c r="AO1314" s="16"/>
      <c r="AP1314" s="16"/>
      <c r="AQ1314" s="16"/>
      <c r="AR1314" s="16"/>
      <c r="AS1314" s="16"/>
      <c r="AU1314" s="429"/>
      <c r="AV1314" s="429"/>
      <c r="AY1314" s="905"/>
      <c r="AZ1314" s="905"/>
      <c r="BA1314" s="906"/>
      <c r="BB1314" s="906"/>
      <c r="BC1314" s="906"/>
      <c r="BD1314" s="907"/>
      <c r="BE1314" s="429"/>
      <c r="BF1314" s="909"/>
      <c r="BG1314" s="909"/>
      <c r="BH1314" s="909"/>
      <c r="BI1314" s="909"/>
    </row>
    <row r="1315" spans="2:61" ht="15.75" customHeight="1">
      <c r="B1315" s="427"/>
      <c r="C1315" s="84"/>
      <c r="D1315" s="903"/>
      <c r="E1315" s="13"/>
      <c r="G1315" s="904"/>
      <c r="J1315" s="84"/>
      <c r="Q1315" s="13"/>
      <c r="R1315" s="904"/>
      <c r="S1315" s="904"/>
      <c r="T1315" s="13"/>
      <c r="U1315" s="13"/>
      <c r="V1315" s="13"/>
      <c r="W1315" s="16"/>
      <c r="X1315" s="16"/>
      <c r="Y1315" s="16"/>
      <c r="Z1315" s="16"/>
      <c r="AA1315" s="16"/>
      <c r="AB1315" s="16"/>
      <c r="AF1315" s="13"/>
      <c r="AG1315" s="903"/>
      <c r="AH1315" s="13"/>
      <c r="AI1315" s="13"/>
      <c r="AN1315" s="905"/>
      <c r="AO1315" s="16"/>
      <c r="AP1315" s="16"/>
      <c r="AQ1315" s="16"/>
      <c r="AR1315" s="16"/>
      <c r="AS1315" s="16"/>
      <c r="AU1315" s="429"/>
      <c r="AV1315" s="429"/>
      <c r="AY1315" s="905"/>
      <c r="AZ1315" s="905"/>
      <c r="BA1315" s="906"/>
      <c r="BB1315" s="906"/>
      <c r="BC1315" s="906"/>
      <c r="BD1315" s="907"/>
      <c r="BE1315" s="429"/>
      <c r="BF1315" s="909"/>
      <c r="BG1315" s="909"/>
      <c r="BH1315" s="909"/>
      <c r="BI1315" s="909"/>
    </row>
    <row r="1316" spans="2:61" ht="15.75" customHeight="1">
      <c r="B1316" s="427"/>
      <c r="C1316" s="84"/>
      <c r="D1316" s="903"/>
      <c r="E1316" s="13"/>
      <c r="G1316" s="904"/>
      <c r="J1316" s="84"/>
      <c r="Q1316" s="13"/>
      <c r="R1316" s="904"/>
      <c r="S1316" s="904"/>
      <c r="T1316" s="13"/>
      <c r="U1316" s="13"/>
      <c r="V1316" s="13"/>
      <c r="W1316" s="16"/>
      <c r="X1316" s="16"/>
      <c r="Y1316" s="16"/>
      <c r="Z1316" s="16"/>
      <c r="AA1316" s="16"/>
      <c r="AB1316" s="16"/>
      <c r="AF1316" s="13"/>
      <c r="AG1316" s="903"/>
      <c r="AH1316" s="13"/>
      <c r="AI1316" s="13"/>
      <c r="AN1316" s="905"/>
      <c r="AO1316" s="16"/>
      <c r="AP1316" s="16"/>
      <c r="AQ1316" s="16"/>
      <c r="AR1316" s="16"/>
      <c r="AS1316" s="16"/>
      <c r="AU1316" s="429"/>
      <c r="AV1316" s="429"/>
      <c r="AY1316" s="905"/>
      <c r="AZ1316" s="905"/>
      <c r="BA1316" s="906"/>
      <c r="BB1316" s="906"/>
      <c r="BC1316" s="906"/>
      <c r="BD1316" s="907"/>
      <c r="BE1316" s="429"/>
      <c r="BF1316" s="909"/>
      <c r="BG1316" s="909"/>
      <c r="BH1316" s="909"/>
      <c r="BI1316" s="909"/>
    </row>
    <row r="1317" spans="2:61" ht="15.75" customHeight="1">
      <c r="B1317" s="427"/>
      <c r="C1317" s="84"/>
      <c r="D1317" s="903"/>
      <c r="E1317" s="13"/>
      <c r="G1317" s="904"/>
      <c r="J1317" s="84"/>
      <c r="Q1317" s="13"/>
      <c r="R1317" s="904"/>
      <c r="S1317" s="904"/>
      <c r="T1317" s="13"/>
      <c r="U1317" s="13"/>
      <c r="V1317" s="13"/>
      <c r="W1317" s="16"/>
      <c r="X1317" s="16"/>
      <c r="Y1317" s="16"/>
      <c r="Z1317" s="16"/>
      <c r="AA1317" s="16"/>
      <c r="AB1317" s="16"/>
      <c r="AF1317" s="13"/>
      <c r="AG1317" s="903"/>
      <c r="AH1317" s="13"/>
      <c r="AI1317" s="13"/>
      <c r="AN1317" s="905"/>
      <c r="AO1317" s="16"/>
      <c r="AP1317" s="16"/>
      <c r="AQ1317" s="16"/>
      <c r="AR1317" s="16"/>
      <c r="AS1317" s="16"/>
      <c r="AU1317" s="429"/>
      <c r="AV1317" s="429"/>
      <c r="AY1317" s="905"/>
      <c r="AZ1317" s="905"/>
      <c r="BA1317" s="906"/>
      <c r="BB1317" s="906"/>
      <c r="BC1317" s="906"/>
      <c r="BD1317" s="907"/>
      <c r="BE1317" s="429"/>
      <c r="BF1317" s="909"/>
      <c r="BG1317" s="909"/>
      <c r="BH1317" s="909"/>
      <c r="BI1317" s="909"/>
    </row>
    <row r="1318" spans="2:61" ht="15.75" customHeight="1">
      <c r="B1318" s="427"/>
      <c r="C1318" s="84"/>
      <c r="D1318" s="903"/>
      <c r="E1318" s="13"/>
      <c r="G1318" s="904"/>
      <c r="J1318" s="84"/>
      <c r="Q1318" s="13"/>
      <c r="R1318" s="904"/>
      <c r="S1318" s="904"/>
      <c r="T1318" s="13"/>
      <c r="U1318" s="13"/>
      <c r="V1318" s="13"/>
      <c r="W1318" s="16"/>
      <c r="X1318" s="16"/>
      <c r="Y1318" s="16"/>
      <c r="Z1318" s="16"/>
      <c r="AA1318" s="16"/>
      <c r="AB1318" s="16"/>
      <c r="AF1318" s="13"/>
      <c r="AG1318" s="903"/>
      <c r="AH1318" s="13"/>
      <c r="AI1318" s="13"/>
      <c r="AN1318" s="905"/>
      <c r="AO1318" s="16"/>
      <c r="AP1318" s="16"/>
      <c r="AQ1318" s="16"/>
      <c r="AR1318" s="16"/>
      <c r="AS1318" s="16"/>
      <c r="AU1318" s="429"/>
      <c r="AV1318" s="429"/>
      <c r="AY1318" s="905"/>
      <c r="AZ1318" s="905"/>
      <c r="BA1318" s="906"/>
      <c r="BB1318" s="906"/>
      <c r="BC1318" s="906"/>
      <c r="BD1318" s="907"/>
      <c r="BE1318" s="429"/>
      <c r="BF1318" s="909"/>
      <c r="BG1318" s="909"/>
      <c r="BH1318" s="909"/>
      <c r="BI1318" s="909"/>
    </row>
    <row r="1319" spans="2:61" ht="15.75" customHeight="1">
      <c r="B1319" s="427"/>
      <c r="C1319" s="84"/>
      <c r="D1319" s="903"/>
      <c r="E1319" s="13"/>
      <c r="G1319" s="904"/>
      <c r="J1319" s="84"/>
      <c r="Q1319" s="13"/>
      <c r="R1319" s="904"/>
      <c r="S1319" s="904"/>
      <c r="T1319" s="13"/>
      <c r="U1319" s="13"/>
      <c r="V1319" s="13"/>
      <c r="W1319" s="16"/>
      <c r="X1319" s="16"/>
      <c r="Y1319" s="16"/>
      <c r="Z1319" s="16"/>
      <c r="AA1319" s="16"/>
      <c r="AB1319" s="16"/>
      <c r="AF1319" s="13"/>
      <c r="AG1319" s="903"/>
      <c r="AH1319" s="13"/>
      <c r="AI1319" s="13"/>
      <c r="AN1319" s="905"/>
      <c r="AO1319" s="16"/>
      <c r="AP1319" s="16"/>
      <c r="AQ1319" s="16"/>
      <c r="AR1319" s="16"/>
      <c r="AS1319" s="16"/>
      <c r="AU1319" s="429"/>
      <c r="AV1319" s="429"/>
      <c r="AY1319" s="905"/>
      <c r="AZ1319" s="905"/>
      <c r="BA1319" s="906"/>
      <c r="BB1319" s="906"/>
      <c r="BC1319" s="906"/>
      <c r="BD1319" s="907"/>
      <c r="BE1319" s="429"/>
      <c r="BF1319" s="909"/>
      <c r="BG1319" s="909"/>
      <c r="BH1319" s="909"/>
      <c r="BI1319" s="909"/>
    </row>
    <row r="1320" spans="2:61" ht="15.75" customHeight="1">
      <c r="B1320" s="427"/>
      <c r="C1320" s="84"/>
      <c r="D1320" s="903"/>
      <c r="E1320" s="13"/>
      <c r="G1320" s="904"/>
      <c r="J1320" s="84"/>
      <c r="Q1320" s="13"/>
      <c r="R1320" s="904"/>
      <c r="S1320" s="904"/>
      <c r="T1320" s="13"/>
      <c r="U1320" s="13"/>
      <c r="V1320" s="13"/>
      <c r="W1320" s="16"/>
      <c r="X1320" s="16"/>
      <c r="Y1320" s="16"/>
      <c r="Z1320" s="16"/>
      <c r="AA1320" s="16"/>
      <c r="AB1320" s="16"/>
      <c r="AF1320" s="13"/>
      <c r="AG1320" s="903"/>
      <c r="AH1320" s="13"/>
      <c r="AI1320" s="13"/>
      <c r="AN1320" s="905"/>
      <c r="AO1320" s="16"/>
      <c r="AP1320" s="16"/>
      <c r="AQ1320" s="16"/>
      <c r="AR1320" s="16"/>
      <c r="AS1320" s="16"/>
      <c r="AU1320" s="429"/>
      <c r="AV1320" s="429"/>
      <c r="AY1320" s="905"/>
      <c r="AZ1320" s="905"/>
      <c r="BA1320" s="906"/>
      <c r="BB1320" s="906"/>
      <c r="BC1320" s="906"/>
      <c r="BD1320" s="907"/>
      <c r="BE1320" s="429"/>
      <c r="BF1320" s="909"/>
      <c r="BG1320" s="909"/>
      <c r="BH1320" s="909"/>
      <c r="BI1320" s="909"/>
    </row>
    <row r="1321" spans="2:61" ht="15.75" customHeight="1">
      <c r="B1321" s="427"/>
      <c r="C1321" s="84"/>
      <c r="D1321" s="903"/>
      <c r="E1321" s="13"/>
      <c r="G1321" s="904"/>
      <c r="J1321" s="84"/>
      <c r="Q1321" s="13"/>
      <c r="R1321" s="904"/>
      <c r="S1321" s="904"/>
      <c r="T1321" s="13"/>
      <c r="U1321" s="13"/>
      <c r="V1321" s="13"/>
      <c r="W1321" s="16"/>
      <c r="X1321" s="16"/>
      <c r="Y1321" s="16"/>
      <c r="Z1321" s="16"/>
      <c r="AA1321" s="16"/>
      <c r="AB1321" s="16"/>
      <c r="AF1321" s="13"/>
      <c r="AG1321" s="903"/>
      <c r="AH1321" s="13"/>
      <c r="AI1321" s="13"/>
      <c r="AN1321" s="905"/>
      <c r="AO1321" s="16"/>
      <c r="AP1321" s="16"/>
      <c r="AQ1321" s="16"/>
      <c r="AR1321" s="16"/>
      <c r="AS1321" s="16"/>
      <c r="AU1321" s="429"/>
      <c r="AV1321" s="429"/>
      <c r="AY1321" s="905"/>
      <c r="AZ1321" s="905"/>
      <c r="BA1321" s="906"/>
      <c r="BB1321" s="906"/>
      <c r="BC1321" s="906"/>
      <c r="BD1321" s="907"/>
      <c r="BE1321" s="429"/>
      <c r="BF1321" s="909"/>
      <c r="BG1321" s="909"/>
      <c r="BH1321" s="909"/>
      <c r="BI1321" s="909"/>
    </row>
    <row r="1322" spans="2:61" ht="15.75" customHeight="1">
      <c r="B1322" s="427"/>
      <c r="C1322" s="84"/>
      <c r="D1322" s="903"/>
      <c r="E1322" s="13"/>
      <c r="G1322" s="904"/>
      <c r="J1322" s="84"/>
      <c r="Q1322" s="13"/>
      <c r="R1322" s="904"/>
      <c r="S1322" s="904"/>
      <c r="T1322" s="13"/>
      <c r="U1322" s="13"/>
      <c r="V1322" s="13"/>
      <c r="W1322" s="16"/>
      <c r="X1322" s="16"/>
      <c r="Y1322" s="16"/>
      <c r="Z1322" s="16"/>
      <c r="AA1322" s="16"/>
      <c r="AB1322" s="16"/>
      <c r="AF1322" s="13"/>
      <c r="AG1322" s="903"/>
      <c r="AH1322" s="13"/>
      <c r="AI1322" s="13"/>
      <c r="AN1322" s="905"/>
      <c r="AO1322" s="16"/>
      <c r="AP1322" s="16"/>
      <c r="AQ1322" s="16"/>
      <c r="AR1322" s="16"/>
      <c r="AS1322" s="16"/>
      <c r="AU1322" s="429"/>
      <c r="AV1322" s="429"/>
      <c r="AY1322" s="905"/>
      <c r="AZ1322" s="905"/>
      <c r="BA1322" s="906"/>
      <c r="BB1322" s="906"/>
      <c r="BC1322" s="906"/>
      <c r="BD1322" s="907"/>
      <c r="BE1322" s="429"/>
      <c r="BF1322" s="909"/>
      <c r="BG1322" s="909"/>
      <c r="BH1322" s="909"/>
      <c r="BI1322" s="909"/>
    </row>
    <row r="1323" spans="2:61" ht="15.75" customHeight="1">
      <c r="B1323" s="427"/>
      <c r="C1323" s="84"/>
      <c r="D1323" s="903"/>
      <c r="E1323" s="13"/>
      <c r="G1323" s="904"/>
      <c r="J1323" s="84"/>
      <c r="Q1323" s="13"/>
      <c r="R1323" s="904"/>
      <c r="S1323" s="904"/>
      <c r="T1323" s="13"/>
      <c r="U1323" s="13"/>
      <c r="V1323" s="13"/>
      <c r="W1323" s="16"/>
      <c r="X1323" s="16"/>
      <c r="Y1323" s="16"/>
      <c r="Z1323" s="16"/>
      <c r="AA1323" s="16"/>
      <c r="AB1323" s="16"/>
      <c r="AF1323" s="13"/>
      <c r="AG1323" s="903"/>
      <c r="AH1323" s="13"/>
      <c r="AI1323" s="13"/>
      <c r="AN1323" s="905"/>
      <c r="AO1323" s="16"/>
      <c r="AP1323" s="16"/>
      <c r="AQ1323" s="16"/>
      <c r="AR1323" s="16"/>
      <c r="AS1323" s="16"/>
      <c r="AU1323" s="429"/>
      <c r="AV1323" s="429"/>
      <c r="AY1323" s="905"/>
      <c r="AZ1323" s="905"/>
      <c r="BA1323" s="906"/>
      <c r="BB1323" s="906"/>
      <c r="BC1323" s="906"/>
      <c r="BD1323" s="907"/>
      <c r="BE1323" s="429"/>
      <c r="BF1323" s="909"/>
      <c r="BG1323" s="909"/>
      <c r="BH1323" s="909"/>
      <c r="BI1323" s="909"/>
    </row>
    <row r="1324" spans="2:61" ht="15.75" customHeight="1">
      <c r="B1324" s="427"/>
      <c r="C1324" s="84"/>
      <c r="D1324" s="903"/>
      <c r="E1324" s="13"/>
      <c r="G1324" s="904"/>
      <c r="J1324" s="84"/>
      <c r="Q1324" s="13"/>
      <c r="R1324" s="904"/>
      <c r="S1324" s="904"/>
      <c r="T1324" s="13"/>
      <c r="U1324" s="13"/>
      <c r="V1324" s="13"/>
      <c r="W1324" s="16"/>
      <c r="X1324" s="16"/>
      <c r="Y1324" s="16"/>
      <c r="Z1324" s="16"/>
      <c r="AA1324" s="16"/>
      <c r="AB1324" s="16"/>
      <c r="AF1324" s="13"/>
      <c r="AG1324" s="903"/>
      <c r="AH1324" s="13"/>
      <c r="AI1324" s="13"/>
      <c r="AN1324" s="905"/>
      <c r="AO1324" s="16"/>
      <c r="AP1324" s="16"/>
      <c r="AQ1324" s="16"/>
      <c r="AR1324" s="16"/>
      <c r="AS1324" s="16"/>
      <c r="AU1324" s="429"/>
      <c r="AV1324" s="429"/>
      <c r="AY1324" s="905"/>
      <c r="AZ1324" s="905"/>
      <c r="BA1324" s="906"/>
      <c r="BB1324" s="906"/>
      <c r="BC1324" s="906"/>
      <c r="BD1324" s="907"/>
      <c r="BE1324" s="429"/>
      <c r="BF1324" s="909"/>
      <c r="BG1324" s="909"/>
      <c r="BH1324" s="909"/>
      <c r="BI1324" s="909"/>
    </row>
    <row r="1325" spans="2:61" ht="15.75" customHeight="1">
      <c r="B1325" s="427"/>
      <c r="C1325" s="84"/>
      <c r="D1325" s="903"/>
      <c r="E1325" s="13"/>
      <c r="G1325" s="904"/>
      <c r="J1325" s="84"/>
      <c r="Q1325" s="13"/>
      <c r="R1325" s="904"/>
      <c r="S1325" s="904"/>
      <c r="T1325" s="13"/>
      <c r="U1325" s="13"/>
      <c r="V1325" s="13"/>
      <c r="W1325" s="16"/>
      <c r="X1325" s="16"/>
      <c r="Y1325" s="16"/>
      <c r="Z1325" s="16"/>
      <c r="AA1325" s="16"/>
      <c r="AB1325" s="16"/>
      <c r="AF1325" s="13"/>
      <c r="AG1325" s="903"/>
      <c r="AH1325" s="13"/>
      <c r="AI1325" s="13"/>
      <c r="AN1325" s="905"/>
      <c r="AO1325" s="16"/>
      <c r="AP1325" s="16"/>
      <c r="AQ1325" s="16"/>
      <c r="AR1325" s="16"/>
      <c r="AS1325" s="16"/>
      <c r="AU1325" s="429"/>
      <c r="AV1325" s="429"/>
      <c r="AY1325" s="905"/>
      <c r="AZ1325" s="905"/>
      <c r="BA1325" s="906"/>
      <c r="BB1325" s="906"/>
      <c r="BC1325" s="906"/>
      <c r="BD1325" s="907"/>
      <c r="BE1325" s="429"/>
      <c r="BF1325" s="909"/>
      <c r="BG1325" s="909"/>
      <c r="BH1325" s="909"/>
      <c r="BI1325" s="909"/>
    </row>
    <row r="1326" spans="2:61" ht="15.75" customHeight="1">
      <c r="B1326" s="427"/>
      <c r="C1326" s="84"/>
      <c r="D1326" s="903"/>
      <c r="E1326" s="13"/>
      <c r="G1326" s="904"/>
      <c r="J1326" s="84"/>
      <c r="Q1326" s="13"/>
      <c r="R1326" s="904"/>
      <c r="S1326" s="904"/>
      <c r="T1326" s="13"/>
      <c r="U1326" s="13"/>
      <c r="V1326" s="13"/>
      <c r="W1326" s="16"/>
      <c r="X1326" s="16"/>
      <c r="Y1326" s="16"/>
      <c r="Z1326" s="16"/>
      <c r="AA1326" s="16"/>
      <c r="AB1326" s="16"/>
      <c r="AF1326" s="13"/>
      <c r="AG1326" s="903"/>
      <c r="AH1326" s="13"/>
      <c r="AI1326" s="13"/>
      <c r="AN1326" s="905"/>
      <c r="AO1326" s="16"/>
      <c r="AP1326" s="16"/>
      <c r="AQ1326" s="16"/>
      <c r="AR1326" s="16"/>
      <c r="AS1326" s="16"/>
      <c r="AU1326" s="429"/>
      <c r="AV1326" s="429"/>
      <c r="AY1326" s="905"/>
      <c r="AZ1326" s="905"/>
      <c r="BA1326" s="906"/>
      <c r="BB1326" s="906"/>
      <c r="BC1326" s="906"/>
      <c r="BD1326" s="907"/>
      <c r="BE1326" s="429"/>
      <c r="BF1326" s="909"/>
      <c r="BG1326" s="909"/>
      <c r="BH1326" s="909"/>
      <c r="BI1326" s="909"/>
    </row>
    <row r="1327" spans="2:61" ht="15.75" customHeight="1">
      <c r="B1327" s="427"/>
      <c r="C1327" s="84"/>
      <c r="D1327" s="903"/>
      <c r="E1327" s="13"/>
      <c r="G1327" s="904"/>
      <c r="J1327" s="84"/>
      <c r="Q1327" s="13"/>
      <c r="R1327" s="904"/>
      <c r="S1327" s="904"/>
      <c r="T1327" s="13"/>
      <c r="U1327" s="13"/>
      <c r="V1327" s="13"/>
      <c r="W1327" s="16"/>
      <c r="X1327" s="16"/>
      <c r="Y1327" s="16"/>
      <c r="Z1327" s="16"/>
      <c r="AA1327" s="16"/>
      <c r="AB1327" s="16"/>
      <c r="AF1327" s="13"/>
      <c r="AG1327" s="903"/>
      <c r="AH1327" s="13"/>
      <c r="AI1327" s="13"/>
      <c r="AN1327" s="905"/>
      <c r="AO1327" s="16"/>
      <c r="AP1327" s="16"/>
      <c r="AQ1327" s="16"/>
      <c r="AR1327" s="16"/>
      <c r="AS1327" s="16"/>
      <c r="AU1327" s="429"/>
      <c r="AV1327" s="429"/>
      <c r="AY1327" s="905"/>
      <c r="AZ1327" s="905"/>
      <c r="BA1327" s="906"/>
      <c r="BB1327" s="906"/>
      <c r="BC1327" s="906"/>
      <c r="BD1327" s="907"/>
      <c r="BE1327" s="429"/>
      <c r="BF1327" s="909"/>
      <c r="BG1327" s="909"/>
      <c r="BH1327" s="909"/>
      <c r="BI1327" s="909"/>
    </row>
    <row r="1328" spans="2:61" ht="15.75" customHeight="1">
      <c r="B1328" s="427"/>
      <c r="C1328" s="84"/>
      <c r="D1328" s="903"/>
      <c r="E1328" s="13"/>
      <c r="G1328" s="904"/>
      <c r="J1328" s="84"/>
      <c r="Q1328" s="13"/>
      <c r="R1328" s="904"/>
      <c r="S1328" s="904"/>
      <c r="T1328" s="13"/>
      <c r="U1328" s="13"/>
      <c r="V1328" s="13"/>
      <c r="W1328" s="16"/>
      <c r="X1328" s="16"/>
      <c r="Y1328" s="16"/>
      <c r="Z1328" s="16"/>
      <c r="AA1328" s="16"/>
      <c r="AB1328" s="16"/>
      <c r="AF1328" s="13"/>
      <c r="AG1328" s="903"/>
      <c r="AH1328" s="13"/>
      <c r="AI1328" s="13"/>
      <c r="AN1328" s="905"/>
      <c r="AO1328" s="16"/>
      <c r="AP1328" s="16"/>
      <c r="AQ1328" s="16"/>
      <c r="AR1328" s="16"/>
      <c r="AS1328" s="16"/>
      <c r="AU1328" s="429"/>
      <c r="AV1328" s="429"/>
      <c r="AY1328" s="905"/>
      <c r="AZ1328" s="905"/>
      <c r="BA1328" s="906"/>
      <c r="BB1328" s="906"/>
      <c r="BC1328" s="906"/>
      <c r="BD1328" s="907"/>
      <c r="BE1328" s="429"/>
      <c r="BF1328" s="909"/>
      <c r="BG1328" s="909"/>
      <c r="BH1328" s="909"/>
      <c r="BI1328" s="909"/>
    </row>
    <row r="1329" spans="2:61" ht="15.75" customHeight="1">
      <c r="B1329" s="427"/>
      <c r="C1329" s="84"/>
      <c r="D1329" s="903"/>
      <c r="E1329" s="13"/>
      <c r="G1329" s="904"/>
      <c r="J1329" s="84"/>
      <c r="Q1329" s="13"/>
      <c r="R1329" s="904"/>
      <c r="S1329" s="904"/>
      <c r="T1329" s="13"/>
      <c r="U1329" s="13"/>
      <c r="V1329" s="13"/>
      <c r="W1329" s="16"/>
      <c r="X1329" s="16"/>
      <c r="Y1329" s="16"/>
      <c r="Z1329" s="16"/>
      <c r="AA1329" s="16"/>
      <c r="AB1329" s="16"/>
      <c r="AF1329" s="13"/>
      <c r="AG1329" s="903"/>
      <c r="AH1329" s="13"/>
      <c r="AI1329" s="13"/>
      <c r="AN1329" s="905"/>
      <c r="AO1329" s="16"/>
      <c r="AP1329" s="16"/>
      <c r="AQ1329" s="16"/>
      <c r="AR1329" s="16"/>
      <c r="AS1329" s="16"/>
      <c r="AU1329" s="429"/>
      <c r="AV1329" s="429"/>
      <c r="AY1329" s="905"/>
      <c r="AZ1329" s="905"/>
      <c r="BA1329" s="906"/>
      <c r="BB1329" s="906"/>
      <c r="BC1329" s="906"/>
      <c r="BD1329" s="907"/>
      <c r="BE1329" s="429"/>
      <c r="BF1329" s="909"/>
      <c r="BG1329" s="909"/>
      <c r="BH1329" s="909"/>
      <c r="BI1329" s="909"/>
    </row>
    <row r="1330" spans="2:61" ht="15.75" customHeight="1">
      <c r="B1330" s="427"/>
      <c r="C1330" s="84"/>
      <c r="D1330" s="903"/>
      <c r="E1330" s="13"/>
      <c r="G1330" s="904"/>
      <c r="J1330" s="84"/>
      <c r="Q1330" s="13"/>
      <c r="R1330" s="904"/>
      <c r="S1330" s="904"/>
      <c r="T1330" s="13"/>
      <c r="U1330" s="13"/>
      <c r="V1330" s="13"/>
      <c r="W1330" s="16"/>
      <c r="X1330" s="16"/>
      <c r="Y1330" s="16"/>
      <c r="Z1330" s="16"/>
      <c r="AA1330" s="16"/>
      <c r="AB1330" s="16"/>
      <c r="AF1330" s="13"/>
      <c r="AG1330" s="903"/>
      <c r="AH1330" s="13"/>
      <c r="AI1330" s="13"/>
      <c r="AN1330" s="905"/>
      <c r="AO1330" s="16"/>
      <c r="AP1330" s="16"/>
      <c r="AQ1330" s="16"/>
      <c r="AR1330" s="16"/>
      <c r="AS1330" s="16"/>
      <c r="AU1330" s="429"/>
      <c r="AV1330" s="429"/>
      <c r="AY1330" s="905"/>
      <c r="AZ1330" s="905"/>
      <c r="BA1330" s="906"/>
      <c r="BB1330" s="906"/>
      <c r="BC1330" s="906"/>
      <c r="BD1330" s="907"/>
      <c r="BE1330" s="429"/>
      <c r="BF1330" s="909"/>
      <c r="BG1330" s="909"/>
      <c r="BH1330" s="909"/>
      <c r="BI1330" s="909"/>
    </row>
    <row r="1331" spans="2:61" ht="15.75" customHeight="1">
      <c r="B1331" s="427"/>
      <c r="C1331" s="84"/>
      <c r="D1331" s="903"/>
      <c r="E1331" s="13"/>
      <c r="G1331" s="904"/>
      <c r="J1331" s="84"/>
      <c r="Q1331" s="13"/>
      <c r="R1331" s="904"/>
      <c r="S1331" s="904"/>
      <c r="T1331" s="13"/>
      <c r="U1331" s="13"/>
      <c r="V1331" s="13"/>
      <c r="W1331" s="16"/>
      <c r="X1331" s="16"/>
      <c r="Y1331" s="16"/>
      <c r="Z1331" s="16"/>
      <c r="AA1331" s="16"/>
      <c r="AB1331" s="16"/>
      <c r="AF1331" s="13"/>
      <c r="AG1331" s="903"/>
      <c r="AH1331" s="13"/>
      <c r="AI1331" s="13"/>
      <c r="AN1331" s="905"/>
      <c r="AO1331" s="16"/>
      <c r="AP1331" s="16"/>
      <c r="AQ1331" s="16"/>
      <c r="AR1331" s="16"/>
      <c r="AS1331" s="16"/>
      <c r="AU1331" s="429"/>
      <c r="AV1331" s="429"/>
      <c r="AY1331" s="905"/>
      <c r="AZ1331" s="905"/>
      <c r="BA1331" s="906"/>
      <c r="BB1331" s="906"/>
      <c r="BC1331" s="906"/>
      <c r="BD1331" s="907"/>
      <c r="BE1331" s="429"/>
      <c r="BF1331" s="909"/>
      <c r="BG1331" s="909"/>
      <c r="BH1331" s="909"/>
      <c r="BI1331" s="909"/>
    </row>
    <row r="1332" spans="2:61" ht="15.75" customHeight="1">
      <c r="B1332" s="427"/>
      <c r="C1332" s="84"/>
      <c r="D1332" s="903"/>
      <c r="E1332" s="13"/>
      <c r="G1332" s="904"/>
      <c r="J1332" s="84"/>
      <c r="Q1332" s="13"/>
      <c r="R1332" s="904"/>
      <c r="S1332" s="904"/>
      <c r="T1332" s="13"/>
      <c r="U1332" s="13"/>
      <c r="V1332" s="13"/>
      <c r="W1332" s="16"/>
      <c r="X1332" s="16"/>
      <c r="Y1332" s="16"/>
      <c r="Z1332" s="16"/>
      <c r="AA1332" s="16"/>
      <c r="AB1332" s="16"/>
      <c r="AF1332" s="13"/>
      <c r="AG1332" s="903"/>
      <c r="AH1332" s="13"/>
      <c r="AI1332" s="13"/>
      <c r="AN1332" s="905"/>
      <c r="AO1332" s="16"/>
      <c r="AP1332" s="16"/>
      <c r="AQ1332" s="16"/>
      <c r="AR1332" s="16"/>
      <c r="AS1332" s="16"/>
      <c r="AU1332" s="429"/>
      <c r="AV1332" s="429"/>
      <c r="AY1332" s="905"/>
      <c r="AZ1332" s="905"/>
      <c r="BA1332" s="906"/>
      <c r="BB1332" s="906"/>
      <c r="BC1332" s="906"/>
      <c r="BD1332" s="907"/>
      <c r="BE1332" s="429"/>
      <c r="BF1332" s="909"/>
      <c r="BG1332" s="909"/>
      <c r="BH1332" s="909"/>
      <c r="BI1332" s="909"/>
    </row>
    <row r="1333" spans="2:61" ht="15.75" customHeight="1">
      <c r="B1333" s="427"/>
      <c r="C1333" s="84"/>
      <c r="D1333" s="903"/>
      <c r="E1333" s="13"/>
      <c r="G1333" s="904"/>
      <c r="J1333" s="84"/>
      <c r="Q1333" s="13"/>
      <c r="R1333" s="904"/>
      <c r="S1333" s="904"/>
      <c r="T1333" s="13"/>
      <c r="U1333" s="13"/>
      <c r="V1333" s="13"/>
      <c r="W1333" s="16"/>
      <c r="X1333" s="16"/>
      <c r="Y1333" s="16"/>
      <c r="Z1333" s="16"/>
      <c r="AA1333" s="16"/>
      <c r="AB1333" s="16"/>
      <c r="AF1333" s="13"/>
      <c r="AG1333" s="903"/>
      <c r="AH1333" s="13"/>
      <c r="AI1333" s="13"/>
      <c r="AN1333" s="905"/>
      <c r="AO1333" s="16"/>
      <c r="AP1333" s="16"/>
      <c r="AQ1333" s="16"/>
      <c r="AR1333" s="16"/>
      <c r="AS1333" s="16"/>
      <c r="AU1333" s="429"/>
      <c r="AV1333" s="429"/>
      <c r="AY1333" s="905"/>
      <c r="AZ1333" s="905"/>
      <c r="BA1333" s="906"/>
      <c r="BB1333" s="906"/>
      <c r="BC1333" s="906"/>
      <c r="BD1333" s="907"/>
      <c r="BE1333" s="429"/>
      <c r="BF1333" s="909"/>
      <c r="BG1333" s="909"/>
      <c r="BH1333" s="909"/>
      <c r="BI1333" s="909"/>
    </row>
    <row r="1334" spans="2:61" ht="15.75" customHeight="1">
      <c r="B1334" s="427"/>
      <c r="C1334" s="84"/>
      <c r="D1334" s="903"/>
      <c r="E1334" s="13"/>
      <c r="G1334" s="904"/>
      <c r="J1334" s="84"/>
      <c r="Q1334" s="13"/>
      <c r="R1334" s="904"/>
      <c r="S1334" s="904"/>
      <c r="T1334" s="13"/>
      <c r="U1334" s="13"/>
      <c r="V1334" s="13"/>
      <c r="W1334" s="16"/>
      <c r="X1334" s="16"/>
      <c r="Y1334" s="16"/>
      <c r="Z1334" s="16"/>
      <c r="AA1334" s="16"/>
      <c r="AB1334" s="16"/>
      <c r="AF1334" s="13"/>
      <c r="AG1334" s="903"/>
      <c r="AH1334" s="13"/>
      <c r="AI1334" s="13"/>
      <c r="AN1334" s="905"/>
      <c r="AO1334" s="16"/>
      <c r="AP1334" s="16"/>
      <c r="AQ1334" s="16"/>
      <c r="AR1334" s="16"/>
      <c r="AS1334" s="16"/>
      <c r="AU1334" s="429"/>
      <c r="AV1334" s="429"/>
      <c r="AY1334" s="905"/>
      <c r="AZ1334" s="905"/>
      <c r="BA1334" s="906"/>
      <c r="BB1334" s="906"/>
      <c r="BC1334" s="906"/>
      <c r="BD1334" s="907"/>
      <c r="BE1334" s="429"/>
      <c r="BF1334" s="909"/>
      <c r="BG1334" s="909"/>
      <c r="BH1334" s="909"/>
      <c r="BI1334" s="909"/>
    </row>
    <row r="1335" spans="2:61" ht="15.75" customHeight="1">
      <c r="B1335" s="427"/>
      <c r="C1335" s="84"/>
      <c r="D1335" s="903"/>
      <c r="E1335" s="13"/>
      <c r="G1335" s="904"/>
      <c r="J1335" s="84"/>
      <c r="Q1335" s="13"/>
      <c r="R1335" s="904"/>
      <c r="S1335" s="904"/>
      <c r="T1335" s="13"/>
      <c r="U1335" s="13"/>
      <c r="V1335" s="13"/>
      <c r="W1335" s="16"/>
      <c r="X1335" s="16"/>
      <c r="Y1335" s="16"/>
      <c r="Z1335" s="16"/>
      <c r="AA1335" s="16"/>
      <c r="AB1335" s="16"/>
      <c r="AF1335" s="13"/>
      <c r="AG1335" s="903"/>
      <c r="AH1335" s="13"/>
      <c r="AI1335" s="13"/>
      <c r="AN1335" s="905"/>
      <c r="AO1335" s="16"/>
      <c r="AP1335" s="16"/>
      <c r="AQ1335" s="16"/>
      <c r="AR1335" s="16"/>
      <c r="AS1335" s="16"/>
      <c r="AU1335" s="429"/>
      <c r="AV1335" s="429"/>
      <c r="AY1335" s="905"/>
      <c r="AZ1335" s="905"/>
      <c r="BA1335" s="906"/>
      <c r="BB1335" s="906"/>
      <c r="BC1335" s="906"/>
      <c r="BD1335" s="907"/>
      <c r="BE1335" s="429"/>
      <c r="BF1335" s="909"/>
      <c r="BG1335" s="909"/>
      <c r="BH1335" s="909"/>
      <c r="BI1335" s="909"/>
    </row>
    <row r="1336" spans="2:61" ht="15.75" customHeight="1">
      <c r="B1336" s="427"/>
      <c r="C1336" s="84"/>
      <c r="D1336" s="903"/>
      <c r="E1336" s="13"/>
      <c r="G1336" s="904"/>
      <c r="J1336" s="84"/>
      <c r="Q1336" s="13"/>
      <c r="R1336" s="904"/>
      <c r="S1336" s="904"/>
      <c r="T1336" s="13"/>
      <c r="U1336" s="13"/>
      <c r="V1336" s="13"/>
      <c r="W1336" s="16"/>
      <c r="X1336" s="16"/>
      <c r="Y1336" s="16"/>
      <c r="Z1336" s="16"/>
      <c r="AA1336" s="16"/>
      <c r="AB1336" s="16"/>
      <c r="AF1336" s="13"/>
      <c r="AG1336" s="903"/>
      <c r="AH1336" s="13"/>
      <c r="AI1336" s="13"/>
      <c r="AN1336" s="905"/>
      <c r="AO1336" s="16"/>
      <c r="AP1336" s="16"/>
      <c r="AQ1336" s="16"/>
      <c r="AR1336" s="16"/>
      <c r="AS1336" s="16"/>
      <c r="AU1336" s="429"/>
      <c r="AV1336" s="429"/>
      <c r="AY1336" s="905"/>
      <c r="AZ1336" s="905"/>
      <c r="BA1336" s="906"/>
      <c r="BB1336" s="906"/>
      <c r="BC1336" s="906"/>
      <c r="BD1336" s="907"/>
      <c r="BE1336" s="429"/>
      <c r="BF1336" s="909"/>
      <c r="BG1336" s="909"/>
      <c r="BH1336" s="909"/>
      <c r="BI1336" s="909"/>
    </row>
    <row r="1337" spans="2:61" ht="15.75" customHeight="1">
      <c r="B1337" s="427"/>
      <c r="C1337" s="84"/>
      <c r="D1337" s="903"/>
      <c r="E1337" s="13"/>
      <c r="G1337" s="904"/>
      <c r="J1337" s="84"/>
      <c r="Q1337" s="13"/>
      <c r="R1337" s="904"/>
      <c r="S1337" s="904"/>
      <c r="T1337" s="13"/>
      <c r="U1337" s="13"/>
      <c r="V1337" s="13"/>
      <c r="W1337" s="16"/>
      <c r="X1337" s="16"/>
      <c r="Y1337" s="16"/>
      <c r="Z1337" s="16"/>
      <c r="AA1337" s="16"/>
      <c r="AB1337" s="16"/>
      <c r="AF1337" s="13"/>
      <c r="AG1337" s="903"/>
      <c r="AH1337" s="13"/>
      <c r="AI1337" s="13"/>
      <c r="AN1337" s="905"/>
      <c r="AO1337" s="16"/>
      <c r="AP1337" s="16"/>
      <c r="AQ1337" s="16"/>
      <c r="AR1337" s="16"/>
      <c r="AS1337" s="16"/>
      <c r="AU1337" s="429"/>
      <c r="AV1337" s="429"/>
      <c r="AY1337" s="905"/>
      <c r="AZ1337" s="905"/>
      <c r="BA1337" s="906"/>
      <c r="BB1337" s="906"/>
      <c r="BC1337" s="906"/>
      <c r="BD1337" s="907"/>
      <c r="BE1337" s="429"/>
      <c r="BF1337" s="909"/>
      <c r="BG1337" s="909"/>
      <c r="BH1337" s="909"/>
      <c r="BI1337" s="909"/>
    </row>
    <row r="1338" spans="2:61" ht="15.75" customHeight="1">
      <c r="B1338" s="427"/>
      <c r="C1338" s="84"/>
      <c r="D1338" s="903"/>
      <c r="E1338" s="13"/>
      <c r="G1338" s="904"/>
      <c r="J1338" s="84"/>
      <c r="Q1338" s="13"/>
      <c r="R1338" s="904"/>
      <c r="S1338" s="904"/>
      <c r="T1338" s="13"/>
      <c r="U1338" s="13"/>
      <c r="V1338" s="13"/>
      <c r="W1338" s="16"/>
      <c r="X1338" s="16"/>
      <c r="Y1338" s="16"/>
      <c r="Z1338" s="16"/>
      <c r="AA1338" s="16"/>
      <c r="AB1338" s="16"/>
      <c r="AF1338" s="13"/>
      <c r="AG1338" s="903"/>
      <c r="AH1338" s="13"/>
      <c r="AI1338" s="13"/>
      <c r="AN1338" s="905"/>
      <c r="AO1338" s="16"/>
      <c r="AP1338" s="16"/>
      <c r="AQ1338" s="16"/>
      <c r="AR1338" s="16"/>
      <c r="AS1338" s="16"/>
      <c r="AU1338" s="429"/>
      <c r="AV1338" s="429"/>
      <c r="AY1338" s="905"/>
      <c r="AZ1338" s="905"/>
      <c r="BA1338" s="906"/>
      <c r="BB1338" s="906"/>
      <c r="BC1338" s="906"/>
      <c r="BD1338" s="907"/>
      <c r="BE1338" s="429"/>
      <c r="BF1338" s="909"/>
      <c r="BG1338" s="909"/>
      <c r="BH1338" s="909"/>
      <c r="BI1338" s="909"/>
    </row>
    <row r="1339" spans="2:61" ht="15.75" customHeight="1">
      <c r="B1339" s="427"/>
      <c r="C1339" s="84"/>
      <c r="D1339" s="903"/>
      <c r="E1339" s="13"/>
      <c r="G1339" s="904"/>
      <c r="J1339" s="84"/>
      <c r="Q1339" s="13"/>
      <c r="R1339" s="904"/>
      <c r="S1339" s="904"/>
      <c r="T1339" s="13"/>
      <c r="U1339" s="13"/>
      <c r="V1339" s="13"/>
      <c r="W1339" s="16"/>
      <c r="X1339" s="16"/>
      <c r="Y1339" s="16"/>
      <c r="Z1339" s="16"/>
      <c r="AA1339" s="16"/>
      <c r="AB1339" s="16"/>
      <c r="AF1339" s="13"/>
      <c r="AG1339" s="903"/>
      <c r="AH1339" s="13"/>
      <c r="AI1339" s="13"/>
      <c r="AN1339" s="905"/>
      <c r="AO1339" s="16"/>
      <c r="AP1339" s="16"/>
      <c r="AQ1339" s="16"/>
      <c r="AR1339" s="16"/>
      <c r="AS1339" s="16"/>
      <c r="AU1339" s="429"/>
      <c r="AV1339" s="429"/>
      <c r="AY1339" s="905"/>
      <c r="AZ1339" s="905"/>
      <c r="BA1339" s="906"/>
      <c r="BB1339" s="906"/>
      <c r="BC1339" s="906"/>
      <c r="BD1339" s="907"/>
      <c r="BE1339" s="429"/>
      <c r="BF1339" s="909"/>
      <c r="BG1339" s="909"/>
      <c r="BH1339" s="909"/>
      <c r="BI1339" s="909"/>
    </row>
    <row r="1340" spans="2:61" ht="15.75" customHeight="1">
      <c r="B1340" s="427"/>
      <c r="C1340" s="84"/>
      <c r="D1340" s="903"/>
      <c r="E1340" s="13"/>
      <c r="G1340" s="904"/>
      <c r="J1340" s="84"/>
      <c r="Q1340" s="13"/>
      <c r="R1340" s="904"/>
      <c r="S1340" s="904"/>
      <c r="T1340" s="13"/>
      <c r="U1340" s="13"/>
      <c r="V1340" s="13"/>
      <c r="W1340" s="16"/>
      <c r="X1340" s="16"/>
      <c r="Y1340" s="16"/>
      <c r="Z1340" s="16"/>
      <c r="AA1340" s="16"/>
      <c r="AB1340" s="16"/>
      <c r="AF1340" s="13"/>
      <c r="AG1340" s="903"/>
      <c r="AH1340" s="13"/>
      <c r="AI1340" s="13"/>
      <c r="AN1340" s="905"/>
      <c r="AO1340" s="16"/>
      <c r="AP1340" s="16"/>
      <c r="AQ1340" s="16"/>
      <c r="AR1340" s="16"/>
      <c r="AS1340" s="16"/>
      <c r="AU1340" s="429"/>
      <c r="AV1340" s="429"/>
      <c r="AY1340" s="905"/>
      <c r="AZ1340" s="905"/>
      <c r="BA1340" s="906"/>
      <c r="BB1340" s="906"/>
      <c r="BC1340" s="906"/>
      <c r="BD1340" s="907"/>
      <c r="BE1340" s="429"/>
      <c r="BF1340" s="909"/>
      <c r="BG1340" s="909"/>
      <c r="BH1340" s="909"/>
      <c r="BI1340" s="909"/>
    </row>
    <row r="1341" spans="2:61" ht="15.75" customHeight="1">
      <c r="B1341" s="427"/>
      <c r="C1341" s="84"/>
      <c r="D1341" s="903"/>
      <c r="E1341" s="13"/>
      <c r="G1341" s="904"/>
      <c r="J1341" s="84"/>
      <c r="Q1341" s="13"/>
      <c r="R1341" s="904"/>
      <c r="S1341" s="904"/>
      <c r="T1341" s="13"/>
      <c r="U1341" s="13"/>
      <c r="V1341" s="13"/>
      <c r="W1341" s="16"/>
      <c r="X1341" s="16"/>
      <c r="Y1341" s="16"/>
      <c r="Z1341" s="16"/>
      <c r="AA1341" s="16"/>
      <c r="AB1341" s="16"/>
      <c r="AF1341" s="13"/>
      <c r="AG1341" s="903"/>
      <c r="AH1341" s="13"/>
      <c r="AI1341" s="13"/>
      <c r="AN1341" s="905"/>
      <c r="AO1341" s="16"/>
      <c r="AP1341" s="16"/>
      <c r="AQ1341" s="16"/>
      <c r="AR1341" s="16"/>
      <c r="AS1341" s="16"/>
      <c r="AU1341" s="429"/>
      <c r="AV1341" s="429"/>
      <c r="AY1341" s="905"/>
      <c r="AZ1341" s="905"/>
      <c r="BA1341" s="906"/>
      <c r="BB1341" s="906"/>
      <c r="BC1341" s="906"/>
      <c r="BD1341" s="907"/>
      <c r="BE1341" s="429"/>
      <c r="BF1341" s="909"/>
      <c r="BG1341" s="909"/>
      <c r="BH1341" s="909"/>
      <c r="BI1341" s="909"/>
    </row>
    <row r="1342" spans="2:61" ht="15.75" customHeight="1">
      <c r="B1342" s="427"/>
      <c r="C1342" s="84"/>
      <c r="D1342" s="903"/>
      <c r="E1342" s="13"/>
      <c r="G1342" s="904"/>
      <c r="J1342" s="84"/>
      <c r="Q1342" s="13"/>
      <c r="R1342" s="904"/>
      <c r="S1342" s="904"/>
      <c r="T1342" s="13"/>
      <c r="U1342" s="13"/>
      <c r="V1342" s="13"/>
      <c r="W1342" s="16"/>
      <c r="X1342" s="16"/>
      <c r="Y1342" s="16"/>
      <c r="Z1342" s="16"/>
      <c r="AA1342" s="16"/>
      <c r="AB1342" s="16"/>
      <c r="AF1342" s="13"/>
      <c r="AG1342" s="903"/>
      <c r="AH1342" s="13"/>
      <c r="AI1342" s="13"/>
      <c r="AN1342" s="905"/>
      <c r="AO1342" s="16"/>
      <c r="AP1342" s="16"/>
      <c r="AQ1342" s="16"/>
      <c r="AR1342" s="16"/>
      <c r="AS1342" s="16"/>
      <c r="AU1342" s="429"/>
      <c r="AV1342" s="429"/>
      <c r="AY1342" s="905"/>
      <c r="AZ1342" s="905"/>
      <c r="BA1342" s="906"/>
      <c r="BB1342" s="906"/>
      <c r="BC1342" s="906"/>
      <c r="BD1342" s="907"/>
      <c r="BE1342" s="429"/>
      <c r="BF1342" s="909"/>
      <c r="BG1342" s="909"/>
      <c r="BH1342" s="909"/>
      <c r="BI1342" s="909"/>
    </row>
    <row r="1343" spans="2:61" ht="15.75" customHeight="1">
      <c r="B1343" s="427"/>
      <c r="C1343" s="84"/>
      <c r="D1343" s="903"/>
      <c r="E1343" s="13"/>
      <c r="G1343" s="904"/>
      <c r="J1343" s="84"/>
      <c r="Q1343" s="13"/>
      <c r="R1343" s="904"/>
      <c r="S1343" s="904"/>
      <c r="T1343" s="13"/>
      <c r="U1343" s="13"/>
      <c r="V1343" s="13"/>
      <c r="W1343" s="16"/>
      <c r="X1343" s="16"/>
      <c r="Y1343" s="16"/>
      <c r="Z1343" s="16"/>
      <c r="AA1343" s="16"/>
      <c r="AB1343" s="16"/>
      <c r="AF1343" s="13"/>
      <c r="AG1343" s="903"/>
      <c r="AH1343" s="13"/>
      <c r="AI1343" s="13"/>
      <c r="AN1343" s="905"/>
      <c r="AO1343" s="16"/>
      <c r="AP1343" s="16"/>
      <c r="AQ1343" s="16"/>
      <c r="AR1343" s="16"/>
      <c r="AS1343" s="16"/>
      <c r="AU1343" s="429"/>
      <c r="AV1343" s="429"/>
      <c r="AY1343" s="905"/>
      <c r="AZ1343" s="905"/>
      <c r="BA1343" s="906"/>
      <c r="BB1343" s="906"/>
      <c r="BC1343" s="906"/>
      <c r="BD1343" s="907"/>
      <c r="BE1343" s="429"/>
      <c r="BF1343" s="909"/>
      <c r="BG1343" s="909"/>
      <c r="BH1343" s="909"/>
      <c r="BI1343" s="909"/>
    </row>
    <row r="1344" spans="2:61" ht="15.75" customHeight="1">
      <c r="B1344" s="427"/>
      <c r="C1344" s="84"/>
      <c r="D1344" s="903"/>
      <c r="E1344" s="13"/>
      <c r="G1344" s="904"/>
      <c r="J1344" s="84"/>
      <c r="Q1344" s="13"/>
      <c r="R1344" s="904"/>
      <c r="S1344" s="904"/>
      <c r="T1344" s="13"/>
      <c r="U1344" s="13"/>
      <c r="V1344" s="13"/>
      <c r="W1344" s="16"/>
      <c r="X1344" s="16"/>
      <c r="Y1344" s="16"/>
      <c r="Z1344" s="16"/>
      <c r="AA1344" s="16"/>
      <c r="AB1344" s="16"/>
      <c r="AF1344" s="13"/>
      <c r="AG1344" s="903"/>
      <c r="AH1344" s="13"/>
      <c r="AI1344" s="13"/>
      <c r="AN1344" s="905"/>
      <c r="AO1344" s="16"/>
      <c r="AP1344" s="16"/>
      <c r="AQ1344" s="16"/>
      <c r="AR1344" s="16"/>
      <c r="AS1344" s="16"/>
      <c r="AU1344" s="429"/>
      <c r="AV1344" s="429"/>
      <c r="AY1344" s="905"/>
      <c r="AZ1344" s="905"/>
      <c r="BA1344" s="906"/>
      <c r="BB1344" s="906"/>
      <c r="BC1344" s="906"/>
      <c r="BD1344" s="907"/>
      <c r="BE1344" s="429"/>
      <c r="BF1344" s="909"/>
      <c r="BG1344" s="909"/>
      <c r="BH1344" s="909"/>
      <c r="BI1344" s="909"/>
    </row>
    <row r="1345" spans="2:61" ht="15.75" customHeight="1">
      <c r="B1345" s="427"/>
      <c r="C1345" s="84"/>
      <c r="D1345" s="903"/>
      <c r="E1345" s="13"/>
      <c r="G1345" s="904"/>
      <c r="J1345" s="84"/>
      <c r="Q1345" s="13"/>
      <c r="R1345" s="904"/>
      <c r="S1345" s="904"/>
      <c r="T1345" s="13"/>
      <c r="U1345" s="13"/>
      <c r="V1345" s="13"/>
      <c r="W1345" s="16"/>
      <c r="X1345" s="16"/>
      <c r="Y1345" s="16"/>
      <c r="Z1345" s="16"/>
      <c r="AA1345" s="16"/>
      <c r="AB1345" s="16"/>
      <c r="AF1345" s="13"/>
      <c r="AG1345" s="903"/>
      <c r="AH1345" s="13"/>
      <c r="AI1345" s="13"/>
      <c r="AN1345" s="905"/>
      <c r="AO1345" s="16"/>
      <c r="AP1345" s="16"/>
      <c r="AQ1345" s="16"/>
      <c r="AR1345" s="16"/>
      <c r="AS1345" s="16"/>
      <c r="AU1345" s="429"/>
      <c r="AV1345" s="429"/>
      <c r="AY1345" s="905"/>
      <c r="AZ1345" s="905"/>
      <c r="BA1345" s="906"/>
      <c r="BB1345" s="906"/>
      <c r="BC1345" s="906"/>
      <c r="BD1345" s="907"/>
      <c r="BE1345" s="429"/>
      <c r="BF1345" s="909"/>
      <c r="BG1345" s="909"/>
      <c r="BH1345" s="909"/>
      <c r="BI1345" s="909"/>
    </row>
    <row r="1346" spans="2:61" ht="15.75" customHeight="1">
      <c r="B1346" s="427"/>
      <c r="C1346" s="84"/>
      <c r="D1346" s="903"/>
      <c r="E1346" s="13"/>
      <c r="G1346" s="904"/>
      <c r="J1346" s="84"/>
      <c r="Q1346" s="13"/>
      <c r="R1346" s="904"/>
      <c r="S1346" s="904"/>
      <c r="T1346" s="13"/>
      <c r="U1346" s="13"/>
      <c r="V1346" s="13"/>
      <c r="W1346" s="16"/>
      <c r="X1346" s="16"/>
      <c r="Y1346" s="16"/>
      <c r="Z1346" s="16"/>
      <c r="AA1346" s="16"/>
      <c r="AB1346" s="16"/>
      <c r="AF1346" s="13"/>
      <c r="AG1346" s="903"/>
      <c r="AH1346" s="13"/>
      <c r="AI1346" s="13"/>
      <c r="AN1346" s="905"/>
      <c r="AO1346" s="16"/>
      <c r="AP1346" s="16"/>
      <c r="AQ1346" s="16"/>
      <c r="AR1346" s="16"/>
      <c r="AS1346" s="16"/>
      <c r="AU1346" s="429"/>
      <c r="AV1346" s="429"/>
      <c r="AY1346" s="905"/>
      <c r="AZ1346" s="905"/>
      <c r="BA1346" s="906"/>
      <c r="BB1346" s="906"/>
      <c r="BC1346" s="906"/>
      <c r="BD1346" s="907"/>
      <c r="BE1346" s="429"/>
      <c r="BF1346" s="909"/>
      <c r="BG1346" s="909"/>
      <c r="BH1346" s="909"/>
      <c r="BI1346" s="909"/>
    </row>
    <row r="1347" spans="2:61" ht="15.75" customHeight="1">
      <c r="B1347" s="427"/>
      <c r="C1347" s="84"/>
      <c r="D1347" s="903"/>
      <c r="E1347" s="13"/>
      <c r="G1347" s="904"/>
      <c r="J1347" s="84"/>
      <c r="Q1347" s="13"/>
      <c r="R1347" s="904"/>
      <c r="S1347" s="904"/>
      <c r="T1347" s="13"/>
      <c r="U1347" s="13"/>
      <c r="V1347" s="13"/>
      <c r="W1347" s="16"/>
      <c r="X1347" s="16"/>
      <c r="Y1347" s="16"/>
      <c r="Z1347" s="16"/>
      <c r="AA1347" s="16"/>
      <c r="AB1347" s="16"/>
      <c r="AF1347" s="13"/>
      <c r="AG1347" s="903"/>
      <c r="AH1347" s="13"/>
      <c r="AI1347" s="13"/>
      <c r="AN1347" s="905"/>
      <c r="AO1347" s="16"/>
      <c r="AP1347" s="16"/>
      <c r="AQ1347" s="16"/>
      <c r="AR1347" s="16"/>
      <c r="AS1347" s="16"/>
      <c r="AU1347" s="429"/>
      <c r="AV1347" s="429"/>
      <c r="AY1347" s="905"/>
      <c r="AZ1347" s="905"/>
      <c r="BA1347" s="906"/>
      <c r="BB1347" s="906"/>
      <c r="BC1347" s="906"/>
      <c r="BD1347" s="907"/>
      <c r="BE1347" s="429"/>
      <c r="BF1347" s="909"/>
      <c r="BG1347" s="909"/>
      <c r="BH1347" s="909"/>
      <c r="BI1347" s="909"/>
    </row>
    <row r="1348" spans="2:61" ht="15.75" customHeight="1">
      <c r="B1348" s="427"/>
      <c r="C1348" s="84"/>
      <c r="D1348" s="903"/>
      <c r="E1348" s="13"/>
      <c r="G1348" s="904"/>
      <c r="J1348" s="84"/>
      <c r="Q1348" s="13"/>
      <c r="R1348" s="904"/>
      <c r="S1348" s="904"/>
      <c r="T1348" s="13"/>
      <c r="U1348" s="13"/>
      <c r="V1348" s="13"/>
      <c r="W1348" s="16"/>
      <c r="X1348" s="16"/>
      <c r="Y1348" s="16"/>
      <c r="Z1348" s="16"/>
      <c r="AA1348" s="16"/>
      <c r="AB1348" s="16"/>
      <c r="AF1348" s="13"/>
      <c r="AG1348" s="903"/>
      <c r="AH1348" s="13"/>
      <c r="AI1348" s="13"/>
      <c r="AN1348" s="905"/>
      <c r="AO1348" s="16"/>
      <c r="AP1348" s="16"/>
      <c r="AQ1348" s="16"/>
      <c r="AR1348" s="16"/>
      <c r="AS1348" s="16"/>
      <c r="AU1348" s="429"/>
      <c r="AV1348" s="429"/>
      <c r="AY1348" s="905"/>
      <c r="AZ1348" s="905"/>
      <c r="BA1348" s="906"/>
      <c r="BB1348" s="906"/>
      <c r="BC1348" s="906"/>
      <c r="BD1348" s="907"/>
      <c r="BE1348" s="429"/>
      <c r="BF1348" s="909"/>
      <c r="BG1348" s="909"/>
      <c r="BH1348" s="909"/>
      <c r="BI1348" s="909"/>
    </row>
    <row r="1349" spans="2:61" ht="15.75" customHeight="1">
      <c r="B1349" s="427"/>
      <c r="C1349" s="84"/>
      <c r="D1349" s="903"/>
      <c r="E1349" s="13"/>
      <c r="G1349" s="904"/>
      <c r="J1349" s="84"/>
      <c r="Q1349" s="13"/>
      <c r="R1349" s="904"/>
      <c r="S1349" s="904"/>
      <c r="T1349" s="13"/>
      <c r="U1349" s="13"/>
      <c r="V1349" s="13"/>
      <c r="W1349" s="16"/>
      <c r="X1349" s="16"/>
      <c r="Y1349" s="16"/>
      <c r="Z1349" s="16"/>
      <c r="AA1349" s="16"/>
      <c r="AB1349" s="16"/>
      <c r="AF1349" s="13"/>
      <c r="AG1349" s="903"/>
      <c r="AH1349" s="13"/>
      <c r="AI1349" s="13"/>
      <c r="AN1349" s="905"/>
      <c r="AO1349" s="16"/>
      <c r="AP1349" s="16"/>
      <c r="AQ1349" s="16"/>
      <c r="AR1349" s="16"/>
      <c r="AS1349" s="16"/>
      <c r="AU1349" s="429"/>
      <c r="AV1349" s="429"/>
      <c r="AY1349" s="905"/>
      <c r="AZ1349" s="905"/>
      <c r="BA1349" s="906"/>
      <c r="BB1349" s="906"/>
      <c r="BC1349" s="906"/>
      <c r="BD1349" s="907"/>
      <c r="BE1349" s="429"/>
      <c r="BF1349" s="909"/>
      <c r="BG1349" s="909"/>
      <c r="BH1349" s="909"/>
      <c r="BI1349" s="909"/>
    </row>
    <row r="1350" spans="2:61" ht="15.75" customHeight="1">
      <c r="B1350" s="427"/>
      <c r="C1350" s="84"/>
      <c r="D1350" s="903"/>
      <c r="E1350" s="13"/>
      <c r="G1350" s="904"/>
      <c r="J1350" s="84"/>
      <c r="Q1350" s="13"/>
      <c r="R1350" s="904"/>
      <c r="S1350" s="904"/>
      <c r="T1350" s="13"/>
      <c r="U1350" s="13"/>
      <c r="V1350" s="13"/>
      <c r="W1350" s="16"/>
      <c r="X1350" s="16"/>
      <c r="Y1350" s="16"/>
      <c r="Z1350" s="16"/>
      <c r="AA1350" s="16"/>
      <c r="AB1350" s="16"/>
      <c r="AF1350" s="13"/>
      <c r="AG1350" s="903"/>
      <c r="AH1350" s="13"/>
      <c r="AI1350" s="13"/>
      <c r="AN1350" s="905"/>
      <c r="AO1350" s="16"/>
      <c r="AP1350" s="16"/>
      <c r="AQ1350" s="16"/>
      <c r="AR1350" s="16"/>
      <c r="AS1350" s="16"/>
      <c r="AU1350" s="429"/>
      <c r="AV1350" s="429"/>
      <c r="AY1350" s="905"/>
      <c r="AZ1350" s="905"/>
      <c r="BA1350" s="906"/>
      <c r="BB1350" s="906"/>
      <c r="BC1350" s="906"/>
      <c r="BD1350" s="907"/>
      <c r="BE1350" s="429"/>
      <c r="BF1350" s="909"/>
      <c r="BG1350" s="909"/>
      <c r="BH1350" s="909"/>
      <c r="BI1350" s="909"/>
    </row>
    <row r="1351" spans="2:61" ht="15.75" customHeight="1">
      <c r="B1351" s="427"/>
      <c r="C1351" s="84"/>
      <c r="D1351" s="903"/>
      <c r="E1351" s="13"/>
      <c r="G1351" s="904"/>
      <c r="J1351" s="84"/>
      <c r="Q1351" s="13"/>
      <c r="R1351" s="904"/>
      <c r="S1351" s="904"/>
      <c r="T1351" s="13"/>
      <c r="U1351" s="13"/>
      <c r="V1351" s="13"/>
      <c r="W1351" s="16"/>
      <c r="X1351" s="16"/>
      <c r="Y1351" s="16"/>
      <c r="Z1351" s="16"/>
      <c r="AA1351" s="16"/>
      <c r="AB1351" s="16"/>
      <c r="AF1351" s="13"/>
      <c r="AG1351" s="903"/>
      <c r="AH1351" s="13"/>
      <c r="AI1351" s="13"/>
      <c r="AN1351" s="905"/>
      <c r="AO1351" s="16"/>
      <c r="AP1351" s="16"/>
      <c r="AQ1351" s="16"/>
      <c r="AR1351" s="16"/>
      <c r="AS1351" s="16"/>
      <c r="AU1351" s="429"/>
      <c r="AV1351" s="429"/>
      <c r="AY1351" s="905"/>
      <c r="AZ1351" s="905"/>
      <c r="BA1351" s="906"/>
      <c r="BB1351" s="906"/>
      <c r="BC1351" s="906"/>
      <c r="BD1351" s="907"/>
      <c r="BE1351" s="429"/>
      <c r="BF1351" s="909"/>
      <c r="BG1351" s="909"/>
      <c r="BH1351" s="909"/>
      <c r="BI1351" s="909"/>
    </row>
    <row r="1352" spans="2:61" ht="15.75" customHeight="1">
      <c r="B1352" s="427"/>
      <c r="C1352" s="84"/>
      <c r="D1352" s="903"/>
      <c r="E1352" s="13"/>
      <c r="G1352" s="904"/>
      <c r="J1352" s="84"/>
      <c r="Q1352" s="13"/>
      <c r="R1352" s="904"/>
      <c r="S1352" s="904"/>
      <c r="T1352" s="13"/>
      <c r="U1352" s="13"/>
      <c r="V1352" s="13"/>
      <c r="W1352" s="16"/>
      <c r="X1352" s="16"/>
      <c r="Y1352" s="16"/>
      <c r="Z1352" s="16"/>
      <c r="AA1352" s="16"/>
      <c r="AB1352" s="16"/>
      <c r="AF1352" s="13"/>
      <c r="AG1352" s="903"/>
      <c r="AH1352" s="13"/>
      <c r="AI1352" s="13"/>
      <c r="AN1352" s="905"/>
      <c r="AO1352" s="16"/>
      <c r="AP1352" s="16"/>
      <c r="AQ1352" s="16"/>
      <c r="AR1352" s="16"/>
      <c r="AS1352" s="16"/>
      <c r="AU1352" s="429"/>
      <c r="AV1352" s="429"/>
      <c r="AY1352" s="905"/>
      <c r="AZ1352" s="905"/>
      <c r="BA1352" s="906"/>
      <c r="BB1352" s="906"/>
      <c r="BC1352" s="906"/>
      <c r="BD1352" s="907"/>
      <c r="BE1352" s="429"/>
      <c r="BF1352" s="909"/>
      <c r="BG1352" s="909"/>
      <c r="BH1352" s="909"/>
      <c r="BI1352" s="909"/>
    </row>
    <row r="1353" spans="2:61" ht="15.75" customHeight="1">
      <c r="B1353" s="427"/>
      <c r="C1353" s="84"/>
      <c r="D1353" s="903"/>
      <c r="E1353" s="13"/>
      <c r="G1353" s="904"/>
      <c r="J1353" s="84"/>
      <c r="Q1353" s="13"/>
      <c r="R1353" s="904"/>
      <c r="S1353" s="904"/>
      <c r="T1353" s="13"/>
      <c r="U1353" s="13"/>
      <c r="V1353" s="13"/>
      <c r="W1353" s="16"/>
      <c r="X1353" s="16"/>
      <c r="Y1353" s="16"/>
      <c r="Z1353" s="16"/>
      <c r="AA1353" s="16"/>
      <c r="AB1353" s="16"/>
      <c r="AF1353" s="13"/>
      <c r="AG1353" s="903"/>
      <c r="AH1353" s="13"/>
      <c r="AI1353" s="13"/>
      <c r="AN1353" s="905"/>
      <c r="AO1353" s="16"/>
      <c r="AP1353" s="16"/>
      <c r="AQ1353" s="16"/>
      <c r="AR1353" s="16"/>
      <c r="AS1353" s="16"/>
      <c r="AU1353" s="429"/>
      <c r="AV1353" s="429"/>
      <c r="AY1353" s="905"/>
      <c r="AZ1353" s="905"/>
      <c r="BA1353" s="906"/>
      <c r="BB1353" s="906"/>
      <c r="BC1353" s="906"/>
      <c r="BD1353" s="907"/>
      <c r="BE1353" s="429"/>
      <c r="BF1353" s="909"/>
      <c r="BG1353" s="909"/>
      <c r="BH1353" s="909"/>
      <c r="BI1353" s="909"/>
    </row>
    <row r="1354" spans="2:61" ht="15.75" customHeight="1">
      <c r="B1354" s="427"/>
      <c r="C1354" s="84"/>
      <c r="D1354" s="903"/>
      <c r="E1354" s="13"/>
      <c r="G1354" s="904"/>
      <c r="J1354" s="84"/>
      <c r="Q1354" s="13"/>
      <c r="R1354" s="904"/>
      <c r="S1354" s="904"/>
      <c r="T1354" s="13"/>
      <c r="U1354" s="13"/>
      <c r="V1354" s="13"/>
      <c r="W1354" s="16"/>
      <c r="X1354" s="16"/>
      <c r="Y1354" s="16"/>
      <c r="Z1354" s="16"/>
      <c r="AA1354" s="16"/>
      <c r="AB1354" s="16"/>
      <c r="AF1354" s="13"/>
      <c r="AG1354" s="903"/>
      <c r="AH1354" s="13"/>
      <c r="AI1354" s="13"/>
      <c r="AN1354" s="905"/>
      <c r="AO1354" s="16"/>
      <c r="AP1354" s="16"/>
      <c r="AQ1354" s="16"/>
      <c r="AR1354" s="16"/>
      <c r="AS1354" s="16"/>
      <c r="AU1354" s="429"/>
      <c r="AV1354" s="429"/>
      <c r="AY1354" s="905"/>
      <c r="AZ1354" s="905"/>
      <c r="BA1354" s="906"/>
      <c r="BB1354" s="906"/>
      <c r="BC1354" s="906"/>
      <c r="BD1354" s="907"/>
      <c r="BE1354" s="429"/>
      <c r="BF1354" s="909"/>
      <c r="BG1354" s="909"/>
      <c r="BH1354" s="909"/>
      <c r="BI1354" s="909"/>
    </row>
    <row r="1355" spans="2:61" ht="15.75" customHeight="1">
      <c r="B1355" s="427"/>
      <c r="C1355" s="84"/>
      <c r="D1355" s="903"/>
      <c r="E1355" s="13"/>
      <c r="G1355" s="904"/>
      <c r="J1355" s="84"/>
      <c r="Q1355" s="13"/>
      <c r="R1355" s="904"/>
      <c r="S1355" s="904"/>
      <c r="T1355" s="13"/>
      <c r="U1355" s="13"/>
      <c r="V1355" s="13"/>
      <c r="W1355" s="16"/>
      <c r="X1355" s="16"/>
      <c r="Y1355" s="16"/>
      <c r="Z1355" s="16"/>
      <c r="AA1355" s="16"/>
      <c r="AB1355" s="16"/>
      <c r="AF1355" s="13"/>
      <c r="AG1355" s="903"/>
      <c r="AH1355" s="13"/>
      <c r="AI1355" s="13"/>
      <c r="AN1355" s="905"/>
      <c r="AO1355" s="16"/>
      <c r="AP1355" s="16"/>
      <c r="AQ1355" s="16"/>
      <c r="AR1355" s="16"/>
      <c r="AS1355" s="16"/>
      <c r="AU1355" s="429"/>
      <c r="AV1355" s="429"/>
      <c r="AY1355" s="905"/>
      <c r="AZ1355" s="905"/>
      <c r="BA1355" s="906"/>
      <c r="BB1355" s="906"/>
      <c r="BC1355" s="906"/>
      <c r="BD1355" s="907"/>
      <c r="BE1355" s="429"/>
      <c r="BF1355" s="909"/>
      <c r="BG1355" s="909"/>
      <c r="BH1355" s="909"/>
      <c r="BI1355" s="909"/>
    </row>
    <row r="1356" spans="2:61" ht="15.75" customHeight="1">
      <c r="B1356" s="427"/>
      <c r="C1356" s="84"/>
      <c r="D1356" s="903"/>
      <c r="E1356" s="13"/>
      <c r="G1356" s="904"/>
      <c r="J1356" s="84"/>
      <c r="Q1356" s="13"/>
      <c r="R1356" s="904"/>
      <c r="S1356" s="904"/>
      <c r="T1356" s="13"/>
      <c r="U1356" s="13"/>
      <c r="V1356" s="13"/>
      <c r="W1356" s="16"/>
      <c r="X1356" s="16"/>
      <c r="Y1356" s="16"/>
      <c r="Z1356" s="16"/>
      <c r="AA1356" s="16"/>
      <c r="AB1356" s="16"/>
      <c r="AF1356" s="13"/>
      <c r="AG1356" s="903"/>
      <c r="AH1356" s="13"/>
      <c r="AI1356" s="13"/>
      <c r="AN1356" s="905"/>
      <c r="AO1356" s="16"/>
      <c r="AP1356" s="16"/>
      <c r="AQ1356" s="16"/>
      <c r="AR1356" s="16"/>
      <c r="AS1356" s="16"/>
      <c r="AU1356" s="429"/>
      <c r="AV1356" s="429"/>
      <c r="AY1356" s="905"/>
      <c r="AZ1356" s="905"/>
      <c r="BA1356" s="906"/>
      <c r="BB1356" s="906"/>
      <c r="BC1356" s="906"/>
      <c r="BD1356" s="907"/>
      <c r="BE1356" s="429"/>
      <c r="BF1356" s="909"/>
      <c r="BG1356" s="909"/>
      <c r="BH1356" s="909"/>
      <c r="BI1356" s="909"/>
    </row>
    <row r="1357" spans="2:61" ht="15.75" customHeight="1">
      <c r="B1357" s="427"/>
      <c r="C1357" s="84"/>
      <c r="D1357" s="903"/>
      <c r="E1357" s="13"/>
      <c r="G1357" s="904"/>
      <c r="J1357" s="84"/>
      <c r="Q1357" s="13"/>
      <c r="R1357" s="904"/>
      <c r="S1357" s="904"/>
      <c r="T1357" s="13"/>
      <c r="U1357" s="13"/>
      <c r="V1357" s="13"/>
      <c r="W1357" s="16"/>
      <c r="X1357" s="16"/>
      <c r="Y1357" s="16"/>
      <c r="Z1357" s="16"/>
      <c r="AA1357" s="16"/>
      <c r="AB1357" s="16"/>
      <c r="AF1357" s="13"/>
      <c r="AG1357" s="903"/>
      <c r="AH1357" s="13"/>
      <c r="AI1357" s="13"/>
      <c r="AN1357" s="905"/>
      <c r="AO1357" s="16"/>
      <c r="AP1357" s="16"/>
      <c r="AQ1357" s="16"/>
      <c r="AR1357" s="16"/>
      <c r="AS1357" s="16"/>
      <c r="AU1357" s="429"/>
      <c r="AV1357" s="429"/>
      <c r="AY1357" s="905"/>
      <c r="AZ1357" s="905"/>
      <c r="BA1357" s="906"/>
      <c r="BB1357" s="906"/>
      <c r="BC1357" s="906"/>
      <c r="BD1357" s="907"/>
      <c r="BE1357" s="429"/>
      <c r="BF1357" s="909"/>
      <c r="BG1357" s="909"/>
      <c r="BH1357" s="909"/>
      <c r="BI1357" s="909"/>
    </row>
    <row r="1358" spans="2:61" ht="15.75" customHeight="1">
      <c r="B1358" s="427"/>
      <c r="C1358" s="84"/>
      <c r="D1358" s="903"/>
      <c r="E1358" s="13"/>
      <c r="G1358" s="904"/>
      <c r="J1358" s="84"/>
      <c r="Q1358" s="13"/>
      <c r="R1358" s="904"/>
      <c r="S1358" s="904"/>
      <c r="T1358" s="13"/>
      <c r="U1358" s="13"/>
      <c r="V1358" s="13"/>
      <c r="W1358" s="16"/>
      <c r="X1358" s="16"/>
      <c r="Y1358" s="16"/>
      <c r="Z1358" s="16"/>
      <c r="AA1358" s="16"/>
      <c r="AB1358" s="16"/>
      <c r="AF1358" s="13"/>
      <c r="AG1358" s="903"/>
      <c r="AH1358" s="13"/>
      <c r="AI1358" s="13"/>
      <c r="AN1358" s="905"/>
      <c r="AO1358" s="16"/>
      <c r="AP1358" s="16"/>
      <c r="AQ1358" s="16"/>
      <c r="AR1358" s="16"/>
      <c r="AS1358" s="16"/>
      <c r="AU1358" s="429"/>
      <c r="AV1358" s="429"/>
      <c r="AY1358" s="905"/>
      <c r="AZ1358" s="905"/>
      <c r="BA1358" s="906"/>
      <c r="BB1358" s="906"/>
      <c r="BC1358" s="906"/>
      <c r="BD1358" s="907"/>
      <c r="BE1358" s="429"/>
      <c r="BF1358" s="909"/>
      <c r="BG1358" s="909"/>
      <c r="BH1358" s="909"/>
      <c r="BI1358" s="909"/>
    </row>
    <row r="1359" spans="2:61" ht="15.75" customHeight="1">
      <c r="B1359" s="427"/>
      <c r="C1359" s="84"/>
      <c r="D1359" s="903"/>
      <c r="E1359" s="13"/>
      <c r="G1359" s="904"/>
      <c r="J1359" s="84"/>
      <c r="Q1359" s="13"/>
      <c r="R1359" s="904"/>
      <c r="S1359" s="904"/>
      <c r="T1359" s="13"/>
      <c r="U1359" s="13"/>
      <c r="V1359" s="13"/>
      <c r="W1359" s="16"/>
      <c r="X1359" s="16"/>
      <c r="Y1359" s="16"/>
      <c r="Z1359" s="16"/>
      <c r="AA1359" s="16"/>
      <c r="AB1359" s="16"/>
      <c r="AF1359" s="13"/>
      <c r="AG1359" s="903"/>
      <c r="AH1359" s="13"/>
      <c r="AI1359" s="13"/>
      <c r="AN1359" s="905"/>
      <c r="AO1359" s="16"/>
      <c r="AP1359" s="16"/>
      <c r="AQ1359" s="16"/>
      <c r="AR1359" s="16"/>
      <c r="AS1359" s="16"/>
      <c r="AU1359" s="429"/>
      <c r="AV1359" s="429"/>
      <c r="AY1359" s="905"/>
      <c r="AZ1359" s="905"/>
      <c r="BA1359" s="906"/>
      <c r="BB1359" s="906"/>
      <c r="BC1359" s="906"/>
      <c r="BD1359" s="907"/>
      <c r="BE1359" s="429"/>
      <c r="BF1359" s="909"/>
      <c r="BG1359" s="909"/>
      <c r="BH1359" s="909"/>
      <c r="BI1359" s="909"/>
    </row>
    <row r="1360" spans="2:61" ht="15.75" customHeight="1">
      <c r="B1360" s="427"/>
      <c r="C1360" s="84"/>
      <c r="D1360" s="903"/>
      <c r="E1360" s="13"/>
      <c r="G1360" s="904"/>
      <c r="J1360" s="84"/>
      <c r="Q1360" s="13"/>
      <c r="R1360" s="904"/>
      <c r="S1360" s="904"/>
      <c r="T1360" s="13"/>
      <c r="U1360" s="13"/>
      <c r="V1360" s="13"/>
      <c r="W1360" s="16"/>
      <c r="X1360" s="16"/>
      <c r="Y1360" s="16"/>
      <c r="Z1360" s="16"/>
      <c r="AA1360" s="16"/>
      <c r="AB1360" s="16"/>
      <c r="AF1360" s="13"/>
      <c r="AG1360" s="903"/>
      <c r="AH1360" s="13"/>
      <c r="AI1360" s="13"/>
      <c r="AN1360" s="905"/>
      <c r="AO1360" s="16"/>
      <c r="AP1360" s="16"/>
      <c r="AQ1360" s="16"/>
      <c r="AR1360" s="16"/>
      <c r="AS1360" s="16"/>
      <c r="AU1360" s="429"/>
      <c r="AV1360" s="429"/>
      <c r="AY1360" s="905"/>
      <c r="AZ1360" s="905"/>
      <c r="BA1360" s="906"/>
      <c r="BB1360" s="906"/>
      <c r="BC1360" s="906"/>
      <c r="BD1360" s="907"/>
      <c r="BE1360" s="429"/>
      <c r="BF1360" s="909"/>
      <c r="BG1360" s="909"/>
      <c r="BH1360" s="909"/>
      <c r="BI1360" s="909"/>
    </row>
    <row r="1361" spans="2:61" ht="15.75" customHeight="1">
      <c r="B1361" s="427"/>
      <c r="C1361" s="84"/>
      <c r="D1361" s="903"/>
      <c r="E1361" s="13"/>
      <c r="G1361" s="904"/>
      <c r="J1361" s="84"/>
      <c r="Q1361" s="13"/>
      <c r="R1361" s="904"/>
      <c r="S1361" s="904"/>
      <c r="T1361" s="13"/>
      <c r="U1361" s="13"/>
      <c r="V1361" s="13"/>
      <c r="W1361" s="16"/>
      <c r="X1361" s="16"/>
      <c r="Y1361" s="16"/>
      <c r="Z1361" s="16"/>
      <c r="AA1361" s="16"/>
      <c r="AB1361" s="16"/>
      <c r="AF1361" s="13"/>
      <c r="AG1361" s="903"/>
      <c r="AH1361" s="13"/>
      <c r="AI1361" s="13"/>
      <c r="AN1361" s="905"/>
      <c r="AO1361" s="16"/>
      <c r="AP1361" s="16"/>
      <c r="AQ1361" s="16"/>
      <c r="AR1361" s="16"/>
      <c r="AS1361" s="16"/>
      <c r="AU1361" s="429"/>
      <c r="AV1361" s="429"/>
      <c r="AY1361" s="905"/>
      <c r="AZ1361" s="905"/>
      <c r="BA1361" s="906"/>
      <c r="BB1361" s="906"/>
      <c r="BC1361" s="906"/>
      <c r="BD1361" s="907"/>
      <c r="BE1361" s="429"/>
      <c r="BF1361" s="909"/>
      <c r="BG1361" s="909"/>
      <c r="BH1361" s="909"/>
      <c r="BI1361" s="909"/>
    </row>
    <row r="1362" spans="2:61" ht="15.75" customHeight="1">
      <c r="B1362" s="427"/>
      <c r="C1362" s="84"/>
      <c r="D1362" s="903"/>
      <c r="E1362" s="13"/>
      <c r="G1362" s="904"/>
      <c r="J1362" s="84"/>
      <c r="Q1362" s="13"/>
      <c r="R1362" s="904"/>
      <c r="S1362" s="904"/>
      <c r="T1362" s="13"/>
      <c r="U1362" s="13"/>
      <c r="V1362" s="13"/>
      <c r="W1362" s="16"/>
      <c r="X1362" s="16"/>
      <c r="Y1362" s="16"/>
      <c r="Z1362" s="16"/>
      <c r="AA1362" s="16"/>
      <c r="AB1362" s="16"/>
      <c r="AF1362" s="13"/>
      <c r="AG1362" s="903"/>
      <c r="AH1362" s="13"/>
      <c r="AI1362" s="13"/>
      <c r="AN1362" s="905"/>
      <c r="AO1362" s="16"/>
      <c r="AP1362" s="16"/>
      <c r="AQ1362" s="16"/>
      <c r="AR1362" s="16"/>
      <c r="AS1362" s="16"/>
      <c r="AU1362" s="429"/>
      <c r="AV1362" s="429"/>
      <c r="AY1362" s="905"/>
      <c r="AZ1362" s="905"/>
      <c r="BA1362" s="906"/>
      <c r="BB1362" s="906"/>
      <c r="BC1362" s="906"/>
      <c r="BD1362" s="907"/>
      <c r="BE1362" s="429"/>
      <c r="BF1362" s="909"/>
      <c r="BG1362" s="909"/>
      <c r="BH1362" s="909"/>
      <c r="BI1362" s="909"/>
    </row>
    <row r="1363" spans="2:61" ht="15.75" customHeight="1">
      <c r="B1363" s="427"/>
      <c r="C1363" s="84"/>
      <c r="D1363" s="903"/>
      <c r="E1363" s="13"/>
      <c r="G1363" s="904"/>
      <c r="J1363" s="84"/>
      <c r="Q1363" s="13"/>
      <c r="R1363" s="904"/>
      <c r="S1363" s="904"/>
      <c r="T1363" s="13"/>
      <c r="U1363" s="13"/>
      <c r="V1363" s="13"/>
      <c r="W1363" s="16"/>
      <c r="X1363" s="16"/>
      <c r="Y1363" s="16"/>
      <c r="Z1363" s="16"/>
      <c r="AA1363" s="16"/>
      <c r="AB1363" s="16"/>
      <c r="AF1363" s="13"/>
      <c r="AG1363" s="903"/>
      <c r="AH1363" s="13"/>
      <c r="AI1363" s="13"/>
      <c r="AN1363" s="905"/>
      <c r="AO1363" s="16"/>
      <c r="AP1363" s="16"/>
      <c r="AQ1363" s="16"/>
      <c r="AR1363" s="16"/>
      <c r="AS1363" s="16"/>
      <c r="AU1363" s="429"/>
      <c r="AV1363" s="429"/>
      <c r="AY1363" s="905"/>
      <c r="AZ1363" s="905"/>
      <c r="BA1363" s="906"/>
      <c r="BB1363" s="906"/>
      <c r="BC1363" s="906"/>
      <c r="BD1363" s="907"/>
      <c r="BE1363" s="429"/>
      <c r="BF1363" s="909"/>
      <c r="BG1363" s="909"/>
      <c r="BH1363" s="909"/>
      <c r="BI1363" s="909"/>
    </row>
    <row r="1364" spans="2:61" ht="15.75" customHeight="1">
      <c r="B1364" s="427"/>
      <c r="C1364" s="84"/>
      <c r="D1364" s="903"/>
      <c r="E1364" s="13"/>
      <c r="G1364" s="904"/>
      <c r="J1364" s="84"/>
      <c r="Q1364" s="13"/>
      <c r="R1364" s="904"/>
      <c r="S1364" s="904"/>
      <c r="T1364" s="13"/>
      <c r="U1364" s="13"/>
      <c r="V1364" s="13"/>
      <c r="W1364" s="16"/>
      <c r="X1364" s="16"/>
      <c r="Y1364" s="16"/>
      <c r="Z1364" s="16"/>
      <c r="AA1364" s="16"/>
      <c r="AB1364" s="16"/>
      <c r="AF1364" s="13"/>
      <c r="AG1364" s="903"/>
      <c r="AH1364" s="13"/>
      <c r="AI1364" s="13"/>
      <c r="AN1364" s="905"/>
      <c r="AO1364" s="16"/>
      <c r="AP1364" s="16"/>
      <c r="AQ1364" s="16"/>
      <c r="AR1364" s="16"/>
      <c r="AS1364" s="16"/>
      <c r="AU1364" s="429"/>
      <c r="AV1364" s="429"/>
      <c r="AY1364" s="905"/>
      <c r="AZ1364" s="905"/>
      <c r="BA1364" s="906"/>
      <c r="BB1364" s="906"/>
      <c r="BC1364" s="906"/>
      <c r="BD1364" s="907"/>
      <c r="BE1364" s="429"/>
      <c r="BF1364" s="909"/>
      <c r="BG1364" s="909"/>
      <c r="BH1364" s="909"/>
      <c r="BI1364" s="909"/>
    </row>
    <row r="1365" spans="2:61" ht="15.75" customHeight="1">
      <c r="B1365" s="427"/>
      <c r="C1365" s="84"/>
      <c r="D1365" s="903"/>
      <c r="E1365" s="13"/>
      <c r="G1365" s="904"/>
      <c r="J1365" s="84"/>
      <c r="Q1365" s="13"/>
      <c r="R1365" s="904"/>
      <c r="S1365" s="904"/>
      <c r="T1365" s="13"/>
      <c r="U1365" s="13"/>
      <c r="V1365" s="13"/>
      <c r="W1365" s="16"/>
      <c r="X1365" s="16"/>
      <c r="Y1365" s="16"/>
      <c r="Z1365" s="16"/>
      <c r="AA1365" s="16"/>
      <c r="AB1365" s="16"/>
      <c r="AF1365" s="13"/>
      <c r="AG1365" s="903"/>
      <c r="AH1365" s="13"/>
      <c r="AI1365" s="13"/>
      <c r="AN1365" s="905"/>
      <c r="AO1365" s="16"/>
      <c r="AP1365" s="16"/>
      <c r="AQ1365" s="16"/>
      <c r="AR1365" s="16"/>
      <c r="AS1365" s="16"/>
      <c r="AU1365" s="429"/>
      <c r="AV1365" s="429"/>
      <c r="AY1365" s="905"/>
      <c r="AZ1365" s="905"/>
      <c r="BA1365" s="906"/>
      <c r="BB1365" s="906"/>
      <c r="BC1365" s="906"/>
      <c r="BD1365" s="907"/>
      <c r="BE1365" s="429"/>
      <c r="BF1365" s="909"/>
      <c r="BG1365" s="909"/>
      <c r="BH1365" s="909"/>
      <c r="BI1365" s="909"/>
    </row>
    <row r="1366" spans="2:61" ht="15.75" customHeight="1">
      <c r="B1366" s="427"/>
      <c r="C1366" s="84"/>
      <c r="D1366" s="903"/>
      <c r="E1366" s="13"/>
      <c r="G1366" s="904"/>
      <c r="J1366" s="84"/>
      <c r="Q1366" s="13"/>
      <c r="R1366" s="904"/>
      <c r="S1366" s="904"/>
      <c r="T1366" s="13"/>
      <c r="U1366" s="13"/>
      <c r="V1366" s="13"/>
      <c r="W1366" s="16"/>
      <c r="X1366" s="16"/>
      <c r="Y1366" s="16"/>
      <c r="Z1366" s="16"/>
      <c r="AA1366" s="16"/>
      <c r="AB1366" s="16"/>
      <c r="AF1366" s="13"/>
      <c r="AG1366" s="903"/>
      <c r="AH1366" s="13"/>
      <c r="AI1366" s="13"/>
      <c r="AN1366" s="905"/>
      <c r="AO1366" s="16"/>
      <c r="AP1366" s="16"/>
      <c r="AQ1366" s="16"/>
      <c r="AR1366" s="16"/>
      <c r="AS1366" s="16"/>
      <c r="AU1366" s="429"/>
      <c r="AV1366" s="429"/>
      <c r="AY1366" s="905"/>
      <c r="AZ1366" s="905"/>
      <c r="BA1366" s="906"/>
      <c r="BB1366" s="906"/>
      <c r="BC1366" s="906"/>
      <c r="BD1366" s="907"/>
      <c r="BE1366" s="429"/>
      <c r="BF1366" s="909"/>
      <c r="BG1366" s="909"/>
      <c r="BH1366" s="909"/>
      <c r="BI1366" s="909"/>
    </row>
    <row r="1367" spans="2:61" ht="15.75" customHeight="1">
      <c r="B1367" s="427"/>
      <c r="C1367" s="84"/>
      <c r="D1367" s="903"/>
      <c r="E1367" s="13"/>
      <c r="G1367" s="904"/>
      <c r="J1367" s="84"/>
      <c r="Q1367" s="13"/>
      <c r="R1367" s="904"/>
      <c r="S1367" s="904"/>
      <c r="T1367" s="13"/>
      <c r="U1367" s="13"/>
      <c r="V1367" s="13"/>
      <c r="W1367" s="16"/>
      <c r="X1367" s="16"/>
      <c r="Y1367" s="16"/>
      <c r="Z1367" s="16"/>
      <c r="AA1367" s="16"/>
      <c r="AB1367" s="16"/>
      <c r="AF1367" s="13"/>
      <c r="AG1367" s="903"/>
      <c r="AH1367" s="13"/>
      <c r="AI1367" s="13"/>
      <c r="AN1367" s="905"/>
      <c r="AO1367" s="16"/>
      <c r="AP1367" s="16"/>
      <c r="AQ1367" s="16"/>
      <c r="AR1367" s="16"/>
      <c r="AS1367" s="16"/>
      <c r="AU1367" s="429"/>
      <c r="AV1367" s="429"/>
      <c r="AY1367" s="905"/>
      <c r="AZ1367" s="905"/>
      <c r="BA1367" s="906"/>
      <c r="BB1367" s="906"/>
      <c r="BC1367" s="906"/>
      <c r="BD1367" s="907"/>
      <c r="BE1367" s="429"/>
      <c r="BF1367" s="909"/>
      <c r="BG1367" s="909"/>
      <c r="BH1367" s="909"/>
      <c r="BI1367" s="909"/>
    </row>
    <row r="1368" spans="2:61" ht="15.75" customHeight="1">
      <c r="B1368" s="427"/>
      <c r="C1368" s="84"/>
      <c r="D1368" s="903"/>
      <c r="E1368" s="13"/>
      <c r="G1368" s="904"/>
      <c r="J1368" s="84"/>
      <c r="Q1368" s="13"/>
      <c r="R1368" s="904"/>
      <c r="S1368" s="904"/>
      <c r="T1368" s="13"/>
      <c r="U1368" s="13"/>
      <c r="V1368" s="13"/>
      <c r="W1368" s="16"/>
      <c r="X1368" s="16"/>
      <c r="Y1368" s="16"/>
      <c r="Z1368" s="16"/>
      <c r="AA1368" s="16"/>
      <c r="AB1368" s="16"/>
      <c r="AF1368" s="13"/>
      <c r="AG1368" s="903"/>
      <c r="AH1368" s="13"/>
      <c r="AI1368" s="13"/>
      <c r="AN1368" s="905"/>
      <c r="AO1368" s="16"/>
      <c r="AP1368" s="16"/>
      <c r="AQ1368" s="16"/>
      <c r="AR1368" s="16"/>
      <c r="AS1368" s="16"/>
      <c r="AU1368" s="429"/>
      <c r="AV1368" s="429"/>
      <c r="AY1368" s="905"/>
      <c r="AZ1368" s="905"/>
      <c r="BA1368" s="906"/>
      <c r="BB1368" s="906"/>
      <c r="BC1368" s="906"/>
      <c r="BD1368" s="907"/>
      <c r="BE1368" s="429"/>
      <c r="BF1368" s="909"/>
      <c r="BG1368" s="909"/>
      <c r="BH1368" s="909"/>
      <c r="BI1368" s="909"/>
    </row>
    <row r="1369" spans="2:61" ht="15.75" customHeight="1">
      <c r="B1369" s="427"/>
      <c r="C1369" s="84"/>
      <c r="D1369" s="903"/>
      <c r="E1369" s="13"/>
      <c r="G1369" s="904"/>
      <c r="J1369" s="84"/>
      <c r="Q1369" s="13"/>
      <c r="R1369" s="904"/>
      <c r="S1369" s="904"/>
      <c r="T1369" s="13"/>
      <c r="U1369" s="13"/>
      <c r="V1369" s="13"/>
      <c r="W1369" s="16"/>
      <c r="X1369" s="16"/>
      <c r="Y1369" s="16"/>
      <c r="Z1369" s="16"/>
      <c r="AA1369" s="16"/>
      <c r="AB1369" s="16"/>
      <c r="AF1369" s="13"/>
      <c r="AG1369" s="903"/>
      <c r="AH1369" s="13"/>
      <c r="AI1369" s="13"/>
      <c r="AN1369" s="905"/>
      <c r="AO1369" s="16"/>
      <c r="AP1369" s="16"/>
      <c r="AQ1369" s="16"/>
      <c r="AR1369" s="16"/>
      <c r="AS1369" s="16"/>
      <c r="AU1369" s="429"/>
      <c r="AV1369" s="429"/>
      <c r="AY1369" s="905"/>
      <c r="AZ1369" s="905"/>
      <c r="BA1369" s="906"/>
      <c r="BB1369" s="906"/>
      <c r="BC1369" s="906"/>
      <c r="BD1369" s="907"/>
      <c r="BE1369" s="429"/>
      <c r="BF1369" s="909"/>
      <c r="BG1369" s="909"/>
      <c r="BH1369" s="909"/>
      <c r="BI1369" s="909"/>
    </row>
    <row r="1370" spans="2:61" ht="15.75" customHeight="1">
      <c r="B1370" s="427"/>
      <c r="C1370" s="84"/>
      <c r="D1370" s="903"/>
      <c r="E1370" s="13"/>
      <c r="G1370" s="904"/>
      <c r="J1370" s="84"/>
      <c r="Q1370" s="13"/>
      <c r="R1370" s="904"/>
      <c r="S1370" s="904"/>
      <c r="T1370" s="13"/>
      <c r="U1370" s="13"/>
      <c r="V1370" s="13"/>
      <c r="W1370" s="16"/>
      <c r="X1370" s="16"/>
      <c r="Y1370" s="16"/>
      <c r="Z1370" s="16"/>
      <c r="AA1370" s="16"/>
      <c r="AB1370" s="16"/>
      <c r="AF1370" s="13"/>
      <c r="AG1370" s="903"/>
      <c r="AH1370" s="13"/>
      <c r="AI1370" s="13"/>
      <c r="AN1370" s="905"/>
      <c r="AO1370" s="16"/>
      <c r="AP1370" s="16"/>
      <c r="AQ1370" s="16"/>
      <c r="AR1370" s="16"/>
      <c r="AS1370" s="16"/>
      <c r="AU1370" s="429"/>
      <c r="AV1370" s="429"/>
      <c r="AY1370" s="905"/>
      <c r="AZ1370" s="905"/>
      <c r="BA1370" s="906"/>
      <c r="BB1370" s="906"/>
      <c r="BC1370" s="906"/>
      <c r="BD1370" s="907"/>
      <c r="BE1370" s="429"/>
      <c r="BF1370" s="909"/>
      <c r="BG1370" s="909"/>
      <c r="BH1370" s="909"/>
      <c r="BI1370" s="909"/>
    </row>
    <row r="1371" spans="2:61" ht="15.75" customHeight="1">
      <c r="B1371" s="427"/>
      <c r="C1371" s="84"/>
      <c r="D1371" s="903"/>
      <c r="E1371" s="13"/>
      <c r="G1371" s="904"/>
      <c r="J1371" s="84"/>
      <c r="Q1371" s="13"/>
      <c r="R1371" s="904"/>
      <c r="S1371" s="904"/>
      <c r="T1371" s="13"/>
      <c r="U1371" s="13"/>
      <c r="V1371" s="13"/>
      <c r="W1371" s="16"/>
      <c r="X1371" s="16"/>
      <c r="Y1371" s="16"/>
      <c r="Z1371" s="16"/>
      <c r="AA1371" s="16"/>
      <c r="AB1371" s="16"/>
      <c r="AF1371" s="13"/>
      <c r="AG1371" s="903"/>
      <c r="AH1371" s="13"/>
      <c r="AI1371" s="13"/>
      <c r="AN1371" s="905"/>
      <c r="AO1371" s="16"/>
      <c r="AP1371" s="16"/>
      <c r="AQ1371" s="16"/>
      <c r="AR1371" s="16"/>
      <c r="AS1371" s="16"/>
      <c r="AU1371" s="429"/>
      <c r="AV1371" s="429"/>
      <c r="AY1371" s="905"/>
      <c r="AZ1371" s="905"/>
      <c r="BA1371" s="906"/>
      <c r="BB1371" s="906"/>
      <c r="BC1371" s="906"/>
      <c r="BD1371" s="907"/>
      <c r="BE1371" s="429"/>
      <c r="BF1371" s="909"/>
      <c r="BG1371" s="909"/>
      <c r="BH1371" s="909"/>
      <c r="BI1371" s="909"/>
    </row>
    <row r="1372" spans="2:61" ht="15.75" customHeight="1">
      <c r="B1372" s="427"/>
      <c r="C1372" s="84"/>
      <c r="D1372" s="903"/>
      <c r="E1372" s="13"/>
      <c r="G1372" s="904"/>
      <c r="J1372" s="84"/>
      <c r="Q1372" s="13"/>
      <c r="R1372" s="904"/>
      <c r="S1372" s="904"/>
      <c r="T1372" s="13"/>
      <c r="U1372" s="13"/>
      <c r="V1372" s="13"/>
      <c r="W1372" s="16"/>
      <c r="X1372" s="16"/>
      <c r="Y1372" s="16"/>
      <c r="Z1372" s="16"/>
      <c r="AA1372" s="16"/>
      <c r="AB1372" s="16"/>
      <c r="AF1372" s="13"/>
      <c r="AG1372" s="903"/>
      <c r="AH1372" s="13"/>
      <c r="AI1372" s="13"/>
      <c r="AN1372" s="905"/>
      <c r="AO1372" s="16"/>
      <c r="AP1372" s="16"/>
      <c r="AQ1372" s="16"/>
      <c r="AR1372" s="16"/>
      <c r="AS1372" s="16"/>
      <c r="AU1372" s="429"/>
      <c r="AV1372" s="429"/>
      <c r="AY1372" s="905"/>
      <c r="AZ1372" s="905"/>
      <c r="BA1372" s="906"/>
      <c r="BB1372" s="906"/>
      <c r="BC1372" s="906"/>
      <c r="BD1372" s="907"/>
      <c r="BE1372" s="429"/>
      <c r="BF1372" s="909"/>
      <c r="BG1372" s="909"/>
      <c r="BH1372" s="909"/>
      <c r="BI1372" s="909"/>
    </row>
    <row r="1373" spans="2:61" ht="15.75" customHeight="1">
      <c r="B1373" s="427"/>
      <c r="C1373" s="84"/>
      <c r="D1373" s="903"/>
      <c r="E1373" s="13"/>
      <c r="G1373" s="904"/>
      <c r="J1373" s="84"/>
      <c r="Q1373" s="13"/>
      <c r="R1373" s="904"/>
      <c r="S1373" s="904"/>
      <c r="T1373" s="13"/>
      <c r="U1373" s="13"/>
      <c r="V1373" s="13"/>
      <c r="W1373" s="16"/>
      <c r="X1373" s="16"/>
      <c r="Y1373" s="16"/>
      <c r="Z1373" s="16"/>
      <c r="AA1373" s="16"/>
      <c r="AB1373" s="16"/>
      <c r="AF1373" s="13"/>
      <c r="AG1373" s="903"/>
      <c r="AH1373" s="13"/>
      <c r="AI1373" s="13"/>
      <c r="AN1373" s="905"/>
      <c r="AO1373" s="16"/>
      <c r="AP1373" s="16"/>
      <c r="AQ1373" s="16"/>
      <c r="AR1373" s="16"/>
      <c r="AS1373" s="16"/>
      <c r="AU1373" s="429"/>
      <c r="AV1373" s="429"/>
      <c r="AY1373" s="905"/>
      <c r="AZ1373" s="905"/>
      <c r="BA1373" s="906"/>
      <c r="BB1373" s="906"/>
      <c r="BC1373" s="906"/>
      <c r="BD1373" s="907"/>
      <c r="BE1373" s="429"/>
      <c r="BF1373" s="909"/>
      <c r="BG1373" s="909"/>
      <c r="BH1373" s="909"/>
      <c r="BI1373" s="909"/>
    </row>
    <row r="1374" spans="2:61" ht="15.75" customHeight="1">
      <c r="B1374" s="427"/>
      <c r="C1374" s="84"/>
      <c r="D1374" s="903"/>
      <c r="E1374" s="13"/>
      <c r="G1374" s="904"/>
      <c r="J1374" s="84"/>
      <c r="Q1374" s="13"/>
      <c r="R1374" s="904"/>
      <c r="S1374" s="904"/>
      <c r="T1374" s="13"/>
      <c r="U1374" s="13"/>
      <c r="V1374" s="13"/>
      <c r="W1374" s="16"/>
      <c r="X1374" s="16"/>
      <c r="Y1374" s="16"/>
      <c r="Z1374" s="16"/>
      <c r="AA1374" s="16"/>
      <c r="AB1374" s="16"/>
      <c r="AF1374" s="13"/>
      <c r="AG1374" s="903"/>
      <c r="AH1374" s="13"/>
      <c r="AI1374" s="13"/>
      <c r="AN1374" s="905"/>
      <c r="AO1374" s="16"/>
      <c r="AP1374" s="16"/>
      <c r="AQ1374" s="16"/>
      <c r="AR1374" s="16"/>
      <c r="AS1374" s="16"/>
      <c r="AU1374" s="429"/>
      <c r="AV1374" s="429"/>
      <c r="AY1374" s="905"/>
      <c r="AZ1374" s="905"/>
      <c r="BA1374" s="906"/>
      <c r="BB1374" s="906"/>
      <c r="BC1374" s="906"/>
      <c r="BD1374" s="907"/>
      <c r="BE1374" s="429"/>
      <c r="BF1374" s="909"/>
      <c r="BG1374" s="909"/>
      <c r="BH1374" s="909"/>
      <c r="BI1374" s="909"/>
    </row>
    <row r="1375" spans="2:61" ht="15.75" customHeight="1">
      <c r="B1375" s="427"/>
      <c r="C1375" s="84"/>
      <c r="D1375" s="903"/>
      <c r="E1375" s="13"/>
      <c r="G1375" s="904"/>
      <c r="J1375" s="84"/>
      <c r="Q1375" s="13"/>
      <c r="R1375" s="904"/>
      <c r="S1375" s="904"/>
      <c r="T1375" s="13"/>
      <c r="U1375" s="13"/>
      <c r="V1375" s="13"/>
      <c r="W1375" s="16"/>
      <c r="X1375" s="16"/>
      <c r="Y1375" s="16"/>
      <c r="Z1375" s="16"/>
      <c r="AA1375" s="16"/>
      <c r="AB1375" s="16"/>
      <c r="AF1375" s="13"/>
      <c r="AG1375" s="903"/>
      <c r="AH1375" s="13"/>
      <c r="AI1375" s="13"/>
      <c r="AN1375" s="905"/>
      <c r="AO1375" s="16"/>
      <c r="AP1375" s="16"/>
      <c r="AQ1375" s="16"/>
      <c r="AR1375" s="16"/>
      <c r="AS1375" s="16"/>
      <c r="AU1375" s="429"/>
      <c r="AV1375" s="429"/>
      <c r="AY1375" s="905"/>
      <c r="AZ1375" s="905"/>
      <c r="BA1375" s="906"/>
      <c r="BB1375" s="906"/>
      <c r="BC1375" s="906"/>
      <c r="BD1375" s="907"/>
      <c r="BE1375" s="429"/>
      <c r="BF1375" s="909"/>
      <c r="BG1375" s="909"/>
      <c r="BH1375" s="909"/>
      <c r="BI1375" s="909"/>
    </row>
    <row r="1376" spans="2:61" ht="15.75" customHeight="1">
      <c r="B1376" s="427"/>
      <c r="C1376" s="84"/>
      <c r="D1376" s="903"/>
      <c r="E1376" s="13"/>
      <c r="G1376" s="904"/>
      <c r="J1376" s="84"/>
      <c r="Q1376" s="13"/>
      <c r="R1376" s="904"/>
      <c r="S1376" s="904"/>
      <c r="T1376" s="13"/>
      <c r="U1376" s="13"/>
      <c r="V1376" s="13"/>
      <c r="W1376" s="16"/>
      <c r="X1376" s="16"/>
      <c r="Y1376" s="16"/>
      <c r="Z1376" s="16"/>
      <c r="AA1376" s="16"/>
      <c r="AB1376" s="16"/>
      <c r="AF1376" s="13"/>
      <c r="AG1376" s="903"/>
      <c r="AH1376" s="13"/>
      <c r="AI1376" s="13"/>
      <c r="AN1376" s="905"/>
      <c r="AO1376" s="16"/>
      <c r="AP1376" s="16"/>
      <c r="AQ1376" s="16"/>
      <c r="AR1376" s="16"/>
      <c r="AS1376" s="16"/>
      <c r="AU1376" s="429"/>
      <c r="AV1376" s="429"/>
      <c r="AY1376" s="905"/>
      <c r="AZ1376" s="905"/>
      <c r="BA1376" s="906"/>
      <c r="BB1376" s="906"/>
      <c r="BC1376" s="906"/>
      <c r="BD1376" s="907"/>
      <c r="BE1376" s="429"/>
      <c r="BF1376" s="909"/>
      <c r="BG1376" s="909"/>
      <c r="BH1376" s="909"/>
      <c r="BI1376" s="909"/>
    </row>
    <row r="1377" spans="2:61" ht="15.75" customHeight="1">
      <c r="B1377" s="427"/>
      <c r="C1377" s="84"/>
      <c r="D1377" s="903"/>
      <c r="E1377" s="13"/>
      <c r="G1377" s="904"/>
      <c r="J1377" s="84"/>
      <c r="Q1377" s="13"/>
      <c r="R1377" s="904"/>
      <c r="S1377" s="904"/>
      <c r="T1377" s="13"/>
      <c r="U1377" s="13"/>
      <c r="V1377" s="13"/>
      <c r="W1377" s="16"/>
      <c r="X1377" s="16"/>
      <c r="Y1377" s="16"/>
      <c r="Z1377" s="16"/>
      <c r="AA1377" s="16"/>
      <c r="AB1377" s="16"/>
      <c r="AF1377" s="13"/>
      <c r="AG1377" s="903"/>
      <c r="AH1377" s="13"/>
      <c r="AI1377" s="13"/>
      <c r="AN1377" s="905"/>
      <c r="AO1377" s="16"/>
      <c r="AP1377" s="16"/>
      <c r="AQ1377" s="16"/>
      <c r="AR1377" s="16"/>
      <c r="AS1377" s="16"/>
      <c r="AU1377" s="429"/>
      <c r="AV1377" s="429"/>
      <c r="AY1377" s="905"/>
      <c r="AZ1377" s="905"/>
      <c r="BA1377" s="906"/>
      <c r="BB1377" s="906"/>
      <c r="BC1377" s="906"/>
      <c r="BD1377" s="907"/>
      <c r="BE1377" s="429"/>
      <c r="BF1377" s="909"/>
      <c r="BG1377" s="909"/>
      <c r="BH1377" s="909"/>
      <c r="BI1377" s="909"/>
    </row>
    <row r="1378" spans="2:61" ht="15.75" customHeight="1">
      <c r="B1378" s="427"/>
      <c r="C1378" s="84"/>
      <c r="D1378" s="903"/>
      <c r="E1378" s="13"/>
      <c r="G1378" s="904"/>
      <c r="J1378" s="84"/>
      <c r="Q1378" s="13"/>
      <c r="R1378" s="904"/>
      <c r="S1378" s="904"/>
      <c r="T1378" s="13"/>
      <c r="U1378" s="13"/>
      <c r="V1378" s="13"/>
      <c r="W1378" s="16"/>
      <c r="X1378" s="16"/>
      <c r="Y1378" s="16"/>
      <c r="Z1378" s="16"/>
      <c r="AA1378" s="16"/>
      <c r="AB1378" s="16"/>
      <c r="AF1378" s="13"/>
      <c r="AG1378" s="903"/>
      <c r="AH1378" s="13"/>
      <c r="AI1378" s="13"/>
      <c r="AN1378" s="905"/>
      <c r="AO1378" s="16"/>
      <c r="AP1378" s="16"/>
      <c r="AQ1378" s="16"/>
      <c r="AR1378" s="16"/>
      <c r="AS1378" s="16"/>
      <c r="AU1378" s="429"/>
      <c r="AV1378" s="429"/>
      <c r="AY1378" s="905"/>
      <c r="AZ1378" s="905"/>
      <c r="BA1378" s="906"/>
      <c r="BB1378" s="906"/>
      <c r="BC1378" s="906"/>
      <c r="BD1378" s="907"/>
      <c r="BE1378" s="429"/>
      <c r="BF1378" s="909"/>
      <c r="BG1378" s="909"/>
      <c r="BH1378" s="909"/>
      <c r="BI1378" s="909"/>
    </row>
    <row r="1379" spans="2:61" ht="15.75" customHeight="1">
      <c r="B1379" s="427"/>
      <c r="C1379" s="84"/>
      <c r="D1379" s="903"/>
      <c r="E1379" s="13"/>
      <c r="G1379" s="904"/>
      <c r="J1379" s="84"/>
      <c r="Q1379" s="13"/>
      <c r="R1379" s="904"/>
      <c r="S1379" s="904"/>
      <c r="T1379" s="13"/>
      <c r="U1379" s="13"/>
      <c r="V1379" s="13"/>
      <c r="W1379" s="16"/>
      <c r="X1379" s="16"/>
      <c r="Y1379" s="16"/>
      <c r="Z1379" s="16"/>
      <c r="AA1379" s="16"/>
      <c r="AB1379" s="16"/>
      <c r="AF1379" s="13"/>
      <c r="AG1379" s="903"/>
      <c r="AH1379" s="13"/>
      <c r="AI1379" s="13"/>
      <c r="AN1379" s="905"/>
      <c r="AO1379" s="16"/>
      <c r="AP1379" s="16"/>
      <c r="AQ1379" s="16"/>
      <c r="AR1379" s="16"/>
      <c r="AS1379" s="16"/>
      <c r="AU1379" s="429"/>
      <c r="AV1379" s="429"/>
      <c r="AY1379" s="905"/>
      <c r="AZ1379" s="905"/>
      <c r="BA1379" s="906"/>
      <c r="BB1379" s="906"/>
      <c r="BC1379" s="906"/>
      <c r="BD1379" s="907"/>
      <c r="BE1379" s="429"/>
      <c r="BF1379" s="909"/>
      <c r="BG1379" s="909"/>
      <c r="BH1379" s="909"/>
      <c r="BI1379" s="909"/>
    </row>
    <row r="1380" spans="2:61" ht="15.75" customHeight="1">
      <c r="B1380" s="427"/>
      <c r="C1380" s="84"/>
      <c r="D1380" s="903"/>
      <c r="E1380" s="13"/>
      <c r="G1380" s="904"/>
      <c r="J1380" s="84"/>
      <c r="Q1380" s="13"/>
      <c r="R1380" s="904"/>
      <c r="S1380" s="904"/>
      <c r="T1380" s="13"/>
      <c r="U1380" s="13"/>
      <c r="V1380" s="13"/>
      <c r="W1380" s="16"/>
      <c r="X1380" s="16"/>
      <c r="Y1380" s="16"/>
      <c r="Z1380" s="16"/>
      <c r="AA1380" s="16"/>
      <c r="AB1380" s="16"/>
      <c r="AF1380" s="13"/>
      <c r="AG1380" s="903"/>
      <c r="AH1380" s="13"/>
      <c r="AI1380" s="13"/>
      <c r="AN1380" s="905"/>
      <c r="AO1380" s="16"/>
      <c r="AP1380" s="16"/>
      <c r="AQ1380" s="16"/>
      <c r="AR1380" s="16"/>
      <c r="AS1380" s="16"/>
      <c r="AU1380" s="429"/>
      <c r="AV1380" s="429"/>
      <c r="AY1380" s="905"/>
      <c r="AZ1380" s="905"/>
      <c r="BA1380" s="906"/>
      <c r="BB1380" s="906"/>
      <c r="BC1380" s="906"/>
      <c r="BD1380" s="907"/>
      <c r="BE1380" s="429"/>
      <c r="BF1380" s="909"/>
      <c r="BG1380" s="909"/>
      <c r="BH1380" s="909"/>
      <c r="BI1380" s="909"/>
    </row>
    <row r="1381" spans="2:61" ht="15.75" customHeight="1">
      <c r="B1381" s="427"/>
      <c r="C1381" s="84"/>
      <c r="D1381" s="903"/>
      <c r="E1381" s="13"/>
      <c r="G1381" s="904"/>
      <c r="J1381" s="84"/>
      <c r="Q1381" s="13"/>
      <c r="R1381" s="904"/>
      <c r="S1381" s="904"/>
      <c r="T1381" s="13"/>
      <c r="U1381" s="13"/>
      <c r="V1381" s="13"/>
      <c r="W1381" s="16"/>
      <c r="X1381" s="16"/>
      <c r="Y1381" s="16"/>
      <c r="Z1381" s="16"/>
      <c r="AA1381" s="16"/>
      <c r="AB1381" s="16"/>
      <c r="AF1381" s="13"/>
      <c r="AG1381" s="903"/>
      <c r="AH1381" s="13"/>
      <c r="AI1381" s="13"/>
      <c r="AN1381" s="905"/>
      <c r="AO1381" s="16"/>
      <c r="AP1381" s="16"/>
      <c r="AQ1381" s="16"/>
      <c r="AR1381" s="16"/>
      <c r="AS1381" s="16"/>
      <c r="AU1381" s="429"/>
      <c r="AV1381" s="429"/>
      <c r="AY1381" s="905"/>
      <c r="AZ1381" s="905"/>
      <c r="BA1381" s="906"/>
      <c r="BB1381" s="906"/>
      <c r="BC1381" s="906"/>
      <c r="BD1381" s="907"/>
      <c r="BE1381" s="429"/>
      <c r="BF1381" s="909"/>
      <c r="BG1381" s="909"/>
      <c r="BH1381" s="909"/>
      <c r="BI1381" s="909"/>
    </row>
    <row r="1382" spans="2:61" ht="15.75" customHeight="1">
      <c r="B1382" s="427"/>
      <c r="C1382" s="84"/>
      <c r="D1382" s="903"/>
      <c r="E1382" s="13"/>
      <c r="G1382" s="904"/>
      <c r="J1382" s="84"/>
      <c r="Q1382" s="13"/>
      <c r="R1382" s="904"/>
      <c r="S1382" s="904"/>
      <c r="T1382" s="13"/>
      <c r="U1382" s="13"/>
      <c r="V1382" s="13"/>
      <c r="W1382" s="16"/>
      <c r="X1382" s="16"/>
      <c r="Y1382" s="16"/>
      <c r="Z1382" s="16"/>
      <c r="AA1382" s="16"/>
      <c r="AB1382" s="16"/>
      <c r="AF1382" s="13"/>
      <c r="AG1382" s="903"/>
      <c r="AH1382" s="13"/>
      <c r="AI1382" s="13"/>
      <c r="AN1382" s="905"/>
      <c r="AO1382" s="16"/>
      <c r="AP1382" s="16"/>
      <c r="AQ1382" s="16"/>
      <c r="AR1382" s="16"/>
      <c r="AS1382" s="16"/>
      <c r="AU1382" s="429"/>
      <c r="AV1382" s="429"/>
      <c r="AY1382" s="905"/>
      <c r="AZ1382" s="905"/>
      <c r="BA1382" s="906"/>
      <c r="BB1382" s="906"/>
      <c r="BC1382" s="906"/>
      <c r="BD1382" s="907"/>
      <c r="BE1382" s="429"/>
      <c r="BF1382" s="909"/>
      <c r="BG1382" s="909"/>
      <c r="BH1382" s="909"/>
      <c r="BI1382" s="909"/>
    </row>
    <row r="1383" spans="2:61" ht="15.75" customHeight="1">
      <c r="B1383" s="427"/>
      <c r="C1383" s="84"/>
      <c r="D1383" s="903"/>
      <c r="E1383" s="13"/>
      <c r="G1383" s="904"/>
      <c r="J1383" s="84"/>
      <c r="Q1383" s="13"/>
      <c r="R1383" s="904"/>
      <c r="S1383" s="904"/>
      <c r="T1383" s="13"/>
      <c r="U1383" s="13"/>
      <c r="V1383" s="13"/>
      <c r="W1383" s="16"/>
      <c r="X1383" s="16"/>
      <c r="Y1383" s="16"/>
      <c r="Z1383" s="16"/>
      <c r="AA1383" s="16"/>
      <c r="AB1383" s="16"/>
      <c r="AF1383" s="13"/>
      <c r="AG1383" s="903"/>
      <c r="AH1383" s="13"/>
      <c r="AI1383" s="13"/>
      <c r="AN1383" s="905"/>
      <c r="AO1383" s="16"/>
      <c r="AP1383" s="16"/>
      <c r="AQ1383" s="16"/>
      <c r="AR1383" s="16"/>
      <c r="AS1383" s="16"/>
      <c r="AU1383" s="429"/>
      <c r="AV1383" s="429"/>
      <c r="AY1383" s="905"/>
      <c r="AZ1383" s="905"/>
      <c r="BA1383" s="906"/>
      <c r="BB1383" s="906"/>
      <c r="BC1383" s="906"/>
      <c r="BD1383" s="907"/>
      <c r="BE1383" s="429"/>
      <c r="BF1383" s="909"/>
      <c r="BG1383" s="909"/>
      <c r="BH1383" s="909"/>
      <c r="BI1383" s="909"/>
    </row>
    <row r="1384" spans="2:61" ht="15.75" customHeight="1">
      <c r="B1384" s="427"/>
      <c r="C1384" s="84"/>
      <c r="D1384" s="903"/>
      <c r="E1384" s="13"/>
      <c r="G1384" s="904"/>
      <c r="J1384" s="84"/>
      <c r="Q1384" s="13"/>
      <c r="R1384" s="904"/>
      <c r="S1384" s="904"/>
      <c r="T1384" s="13"/>
      <c r="U1384" s="13"/>
      <c r="V1384" s="13"/>
      <c r="W1384" s="16"/>
      <c r="X1384" s="16"/>
      <c r="Y1384" s="16"/>
      <c r="Z1384" s="16"/>
      <c r="AA1384" s="16"/>
      <c r="AB1384" s="16"/>
      <c r="AF1384" s="13"/>
      <c r="AG1384" s="903"/>
      <c r="AH1384" s="13"/>
      <c r="AI1384" s="13"/>
      <c r="AN1384" s="905"/>
      <c r="AO1384" s="16"/>
      <c r="AP1384" s="16"/>
      <c r="AQ1384" s="16"/>
      <c r="AR1384" s="16"/>
      <c r="AS1384" s="16"/>
      <c r="AU1384" s="429"/>
      <c r="AV1384" s="429"/>
      <c r="AY1384" s="905"/>
      <c r="AZ1384" s="905"/>
      <c r="BA1384" s="906"/>
      <c r="BB1384" s="906"/>
      <c r="BC1384" s="906"/>
      <c r="BD1384" s="907"/>
      <c r="BE1384" s="429"/>
      <c r="BF1384" s="909"/>
      <c r="BG1384" s="909"/>
      <c r="BH1384" s="909"/>
      <c r="BI1384" s="909"/>
    </row>
    <row r="1385" spans="2:61" ht="15.75" customHeight="1">
      <c r="B1385" s="427"/>
      <c r="C1385" s="84"/>
      <c r="D1385" s="903"/>
      <c r="E1385" s="13"/>
      <c r="G1385" s="904"/>
      <c r="J1385" s="84"/>
      <c r="Q1385" s="13"/>
      <c r="R1385" s="904"/>
      <c r="S1385" s="904"/>
      <c r="T1385" s="13"/>
      <c r="U1385" s="13"/>
      <c r="V1385" s="13"/>
      <c r="W1385" s="16"/>
      <c r="X1385" s="16"/>
      <c r="Y1385" s="16"/>
      <c r="Z1385" s="16"/>
      <c r="AA1385" s="16"/>
      <c r="AB1385" s="16"/>
      <c r="AF1385" s="13"/>
      <c r="AG1385" s="903"/>
      <c r="AH1385" s="13"/>
      <c r="AI1385" s="13"/>
      <c r="AN1385" s="905"/>
      <c r="AO1385" s="16"/>
      <c r="AP1385" s="16"/>
      <c r="AQ1385" s="16"/>
      <c r="AR1385" s="16"/>
      <c r="AS1385" s="16"/>
      <c r="AU1385" s="429"/>
      <c r="AV1385" s="429"/>
      <c r="AY1385" s="905"/>
      <c r="AZ1385" s="905"/>
      <c r="BA1385" s="906"/>
      <c r="BB1385" s="906"/>
      <c r="BC1385" s="906"/>
      <c r="BD1385" s="907"/>
      <c r="BE1385" s="429"/>
      <c r="BF1385" s="909"/>
      <c r="BG1385" s="909"/>
      <c r="BH1385" s="909"/>
      <c r="BI1385" s="909"/>
    </row>
    <row r="1386" spans="2:61" ht="15.75" customHeight="1">
      <c r="B1386" s="427"/>
      <c r="C1386" s="84"/>
      <c r="D1386" s="903"/>
      <c r="E1386" s="13"/>
      <c r="G1386" s="904"/>
      <c r="J1386" s="84"/>
      <c r="Q1386" s="13"/>
      <c r="R1386" s="904"/>
      <c r="S1386" s="904"/>
      <c r="T1386" s="13"/>
      <c r="U1386" s="13"/>
      <c r="V1386" s="13"/>
      <c r="W1386" s="16"/>
      <c r="X1386" s="16"/>
      <c r="Y1386" s="16"/>
      <c r="Z1386" s="16"/>
      <c r="AA1386" s="16"/>
      <c r="AB1386" s="16"/>
      <c r="AF1386" s="13"/>
      <c r="AG1386" s="903"/>
      <c r="AH1386" s="13"/>
      <c r="AI1386" s="13"/>
      <c r="AN1386" s="905"/>
      <c r="AO1386" s="16"/>
      <c r="AP1386" s="16"/>
      <c r="AQ1386" s="16"/>
      <c r="AR1386" s="16"/>
      <c r="AS1386" s="16"/>
      <c r="AU1386" s="429"/>
      <c r="AV1386" s="429"/>
      <c r="AY1386" s="905"/>
      <c r="AZ1386" s="905"/>
      <c r="BA1386" s="906"/>
      <c r="BB1386" s="906"/>
      <c r="BC1386" s="906"/>
      <c r="BD1386" s="907"/>
      <c r="BE1386" s="429"/>
      <c r="BF1386" s="909"/>
      <c r="BG1386" s="909"/>
      <c r="BH1386" s="909"/>
      <c r="BI1386" s="909"/>
    </row>
    <row r="1387" spans="2:61" ht="15.75" customHeight="1">
      <c r="B1387" s="427"/>
      <c r="C1387" s="84"/>
      <c r="D1387" s="903"/>
      <c r="E1387" s="13"/>
      <c r="G1387" s="904"/>
      <c r="J1387" s="84"/>
      <c r="Q1387" s="13"/>
      <c r="R1387" s="904"/>
      <c r="S1387" s="904"/>
      <c r="T1387" s="13"/>
      <c r="U1387" s="13"/>
      <c r="V1387" s="13"/>
      <c r="W1387" s="16"/>
      <c r="X1387" s="16"/>
      <c r="Y1387" s="16"/>
      <c r="Z1387" s="16"/>
      <c r="AA1387" s="16"/>
      <c r="AB1387" s="16"/>
      <c r="AF1387" s="13"/>
      <c r="AG1387" s="903"/>
      <c r="AH1387" s="13"/>
      <c r="AI1387" s="13"/>
      <c r="AN1387" s="905"/>
      <c r="AO1387" s="16"/>
      <c r="AP1387" s="16"/>
      <c r="AQ1387" s="16"/>
      <c r="AR1387" s="16"/>
      <c r="AS1387" s="16"/>
      <c r="AU1387" s="429"/>
      <c r="AV1387" s="429"/>
      <c r="AY1387" s="905"/>
      <c r="AZ1387" s="905"/>
      <c r="BA1387" s="906"/>
      <c r="BB1387" s="906"/>
      <c r="BC1387" s="906"/>
      <c r="BD1387" s="907"/>
      <c r="BE1387" s="429"/>
      <c r="BF1387" s="909"/>
      <c r="BG1387" s="909"/>
      <c r="BH1387" s="909"/>
      <c r="BI1387" s="909"/>
    </row>
    <row r="1388" spans="2:61" ht="15.75" customHeight="1">
      <c r="B1388" s="427"/>
      <c r="C1388" s="84"/>
      <c r="D1388" s="903"/>
      <c r="E1388" s="13"/>
      <c r="G1388" s="904"/>
      <c r="J1388" s="84"/>
      <c r="Q1388" s="13"/>
      <c r="R1388" s="904"/>
      <c r="S1388" s="904"/>
      <c r="T1388" s="13"/>
      <c r="U1388" s="13"/>
      <c r="V1388" s="13"/>
      <c r="W1388" s="16"/>
      <c r="X1388" s="16"/>
      <c r="Y1388" s="16"/>
      <c r="Z1388" s="16"/>
      <c r="AA1388" s="16"/>
      <c r="AB1388" s="16"/>
      <c r="AF1388" s="13"/>
      <c r="AG1388" s="903"/>
      <c r="AH1388" s="13"/>
      <c r="AI1388" s="13"/>
      <c r="AN1388" s="905"/>
      <c r="AO1388" s="16"/>
      <c r="AP1388" s="16"/>
      <c r="AQ1388" s="16"/>
      <c r="AR1388" s="16"/>
      <c r="AS1388" s="16"/>
      <c r="AU1388" s="429"/>
      <c r="AV1388" s="429"/>
      <c r="AY1388" s="905"/>
      <c r="AZ1388" s="905"/>
      <c r="BA1388" s="906"/>
      <c r="BB1388" s="906"/>
      <c r="BC1388" s="906"/>
      <c r="BD1388" s="907"/>
      <c r="BE1388" s="429"/>
      <c r="BF1388" s="909"/>
      <c r="BG1388" s="909"/>
      <c r="BH1388" s="909"/>
      <c r="BI1388" s="909"/>
    </row>
    <row r="1389" spans="2:61" ht="15.75" customHeight="1">
      <c r="B1389" s="427"/>
      <c r="C1389" s="84"/>
      <c r="D1389" s="903"/>
      <c r="E1389" s="13"/>
      <c r="G1389" s="904"/>
      <c r="J1389" s="84"/>
      <c r="Q1389" s="13"/>
      <c r="R1389" s="904"/>
      <c r="S1389" s="904"/>
      <c r="T1389" s="13"/>
      <c r="U1389" s="13"/>
      <c r="V1389" s="13"/>
      <c r="W1389" s="16"/>
      <c r="X1389" s="16"/>
      <c r="Y1389" s="16"/>
      <c r="Z1389" s="16"/>
      <c r="AA1389" s="16"/>
      <c r="AB1389" s="16"/>
      <c r="AF1389" s="13"/>
      <c r="AG1389" s="903"/>
      <c r="AH1389" s="13"/>
      <c r="AI1389" s="13"/>
      <c r="AN1389" s="905"/>
      <c r="AO1389" s="16"/>
      <c r="AP1389" s="16"/>
      <c r="AQ1389" s="16"/>
      <c r="AR1389" s="16"/>
      <c r="AS1389" s="16"/>
      <c r="AU1389" s="429"/>
      <c r="AV1389" s="429"/>
      <c r="AY1389" s="905"/>
      <c r="AZ1389" s="905"/>
      <c r="BA1389" s="906"/>
      <c r="BB1389" s="906"/>
      <c r="BC1389" s="906"/>
      <c r="BD1389" s="907"/>
      <c r="BE1389" s="429"/>
      <c r="BF1389" s="909"/>
      <c r="BG1389" s="909"/>
      <c r="BH1389" s="909"/>
      <c r="BI1389" s="909"/>
    </row>
    <row r="1390" spans="2:61" ht="15.75" customHeight="1">
      <c r="B1390" s="427"/>
      <c r="C1390" s="84"/>
      <c r="D1390" s="903"/>
      <c r="E1390" s="13"/>
      <c r="G1390" s="904"/>
      <c r="J1390" s="84"/>
      <c r="Q1390" s="13"/>
      <c r="R1390" s="904"/>
      <c r="S1390" s="904"/>
      <c r="T1390" s="13"/>
      <c r="U1390" s="13"/>
      <c r="V1390" s="13"/>
      <c r="W1390" s="16"/>
      <c r="X1390" s="16"/>
      <c r="Y1390" s="16"/>
      <c r="Z1390" s="16"/>
      <c r="AA1390" s="16"/>
      <c r="AB1390" s="16"/>
      <c r="AF1390" s="13"/>
      <c r="AG1390" s="903"/>
      <c r="AH1390" s="13"/>
      <c r="AI1390" s="13"/>
      <c r="AN1390" s="905"/>
      <c r="AO1390" s="16"/>
      <c r="AP1390" s="16"/>
      <c r="AQ1390" s="16"/>
      <c r="AR1390" s="16"/>
      <c r="AS1390" s="16"/>
      <c r="AU1390" s="429"/>
      <c r="AV1390" s="429"/>
      <c r="AY1390" s="905"/>
      <c r="AZ1390" s="905"/>
      <c r="BA1390" s="906"/>
      <c r="BB1390" s="906"/>
      <c r="BC1390" s="906"/>
      <c r="BD1390" s="907"/>
      <c r="BE1390" s="429"/>
      <c r="BF1390" s="909"/>
      <c r="BG1390" s="909"/>
      <c r="BH1390" s="909"/>
      <c r="BI1390" s="909"/>
    </row>
    <row r="1391" spans="2:61" ht="15.75" customHeight="1">
      <c r="B1391" s="427"/>
      <c r="C1391" s="84"/>
      <c r="D1391" s="903"/>
      <c r="E1391" s="13"/>
      <c r="G1391" s="904"/>
      <c r="J1391" s="84"/>
      <c r="Q1391" s="13"/>
      <c r="R1391" s="904"/>
      <c r="S1391" s="904"/>
      <c r="T1391" s="13"/>
      <c r="U1391" s="13"/>
      <c r="V1391" s="13"/>
      <c r="W1391" s="16"/>
      <c r="X1391" s="16"/>
      <c r="Y1391" s="16"/>
      <c r="Z1391" s="16"/>
      <c r="AA1391" s="16"/>
      <c r="AB1391" s="16"/>
      <c r="AF1391" s="13"/>
      <c r="AG1391" s="903"/>
      <c r="AH1391" s="13"/>
      <c r="AI1391" s="13"/>
      <c r="AN1391" s="905"/>
      <c r="AO1391" s="16"/>
      <c r="AP1391" s="16"/>
      <c r="AQ1391" s="16"/>
      <c r="AR1391" s="16"/>
      <c r="AS1391" s="16"/>
      <c r="AU1391" s="429"/>
      <c r="AV1391" s="429"/>
      <c r="AY1391" s="905"/>
      <c r="AZ1391" s="905"/>
      <c r="BA1391" s="906"/>
      <c r="BB1391" s="906"/>
      <c r="BC1391" s="906"/>
      <c r="BD1391" s="907"/>
      <c r="BE1391" s="429"/>
      <c r="BF1391" s="909"/>
      <c r="BG1391" s="909"/>
      <c r="BH1391" s="909"/>
      <c r="BI1391" s="909"/>
    </row>
    <row r="1392" spans="2:61" ht="15.75" customHeight="1">
      <c r="B1392" s="427"/>
      <c r="C1392" s="84"/>
      <c r="D1392" s="903"/>
      <c r="E1392" s="13"/>
      <c r="G1392" s="904"/>
      <c r="J1392" s="84"/>
      <c r="Q1392" s="13"/>
      <c r="R1392" s="904"/>
      <c r="S1392" s="904"/>
      <c r="T1392" s="13"/>
      <c r="U1392" s="13"/>
      <c r="V1392" s="13"/>
      <c r="W1392" s="16"/>
      <c r="X1392" s="16"/>
      <c r="Y1392" s="16"/>
      <c r="Z1392" s="16"/>
      <c r="AA1392" s="16"/>
      <c r="AB1392" s="16"/>
      <c r="AF1392" s="13"/>
      <c r="AG1392" s="903"/>
      <c r="AH1392" s="13"/>
      <c r="AI1392" s="13"/>
      <c r="AN1392" s="905"/>
      <c r="AO1392" s="16"/>
      <c r="AP1392" s="16"/>
      <c r="AQ1392" s="16"/>
      <c r="AR1392" s="16"/>
      <c r="AS1392" s="16"/>
      <c r="AU1392" s="429"/>
      <c r="AV1392" s="429"/>
      <c r="AY1392" s="905"/>
      <c r="AZ1392" s="905"/>
      <c r="BA1392" s="906"/>
      <c r="BB1392" s="906"/>
      <c r="BC1392" s="906"/>
      <c r="BD1392" s="907"/>
      <c r="BE1392" s="429"/>
      <c r="BF1392" s="909"/>
      <c r="BG1392" s="909"/>
      <c r="BH1392" s="909"/>
      <c r="BI1392" s="909"/>
    </row>
    <row r="1393" spans="2:61" ht="15.75" customHeight="1">
      <c r="B1393" s="427"/>
      <c r="C1393" s="84"/>
      <c r="D1393" s="903"/>
      <c r="E1393" s="13"/>
      <c r="G1393" s="904"/>
      <c r="J1393" s="84"/>
      <c r="Q1393" s="13"/>
      <c r="R1393" s="904"/>
      <c r="S1393" s="904"/>
      <c r="T1393" s="13"/>
      <c r="U1393" s="13"/>
      <c r="V1393" s="13"/>
      <c r="W1393" s="16"/>
      <c r="X1393" s="16"/>
      <c r="Y1393" s="16"/>
      <c r="Z1393" s="16"/>
      <c r="AA1393" s="16"/>
      <c r="AB1393" s="16"/>
      <c r="AF1393" s="13"/>
      <c r="AG1393" s="903"/>
      <c r="AH1393" s="13"/>
      <c r="AI1393" s="13"/>
      <c r="AN1393" s="905"/>
      <c r="AO1393" s="16"/>
      <c r="AP1393" s="16"/>
      <c r="AQ1393" s="16"/>
      <c r="AR1393" s="16"/>
      <c r="AS1393" s="16"/>
      <c r="AU1393" s="429"/>
      <c r="AV1393" s="429"/>
      <c r="AY1393" s="905"/>
      <c r="AZ1393" s="905"/>
      <c r="BA1393" s="906"/>
      <c r="BB1393" s="906"/>
      <c r="BC1393" s="906"/>
      <c r="BD1393" s="907"/>
      <c r="BE1393" s="429"/>
      <c r="BF1393" s="909"/>
      <c r="BG1393" s="909"/>
      <c r="BH1393" s="909"/>
      <c r="BI1393" s="909"/>
    </row>
    <row r="1394" spans="2:61" ht="15.75" customHeight="1">
      <c r="B1394" s="427"/>
      <c r="C1394" s="84"/>
      <c r="D1394" s="903"/>
      <c r="E1394" s="13"/>
      <c r="G1394" s="904"/>
      <c r="J1394" s="84"/>
      <c r="Q1394" s="13"/>
      <c r="R1394" s="904"/>
      <c r="S1394" s="904"/>
      <c r="T1394" s="13"/>
      <c r="U1394" s="13"/>
      <c r="V1394" s="13"/>
      <c r="W1394" s="16"/>
      <c r="X1394" s="16"/>
      <c r="Y1394" s="16"/>
      <c r="Z1394" s="16"/>
      <c r="AA1394" s="16"/>
      <c r="AB1394" s="16"/>
      <c r="AF1394" s="13"/>
      <c r="AG1394" s="903"/>
      <c r="AH1394" s="13"/>
      <c r="AI1394" s="13"/>
      <c r="AN1394" s="905"/>
      <c r="AO1394" s="16"/>
      <c r="AP1394" s="16"/>
      <c r="AQ1394" s="16"/>
      <c r="AR1394" s="16"/>
      <c r="AS1394" s="16"/>
      <c r="AU1394" s="429"/>
      <c r="AV1394" s="429"/>
      <c r="AY1394" s="905"/>
      <c r="AZ1394" s="905"/>
      <c r="BA1394" s="906"/>
      <c r="BB1394" s="906"/>
      <c r="BC1394" s="906"/>
      <c r="BD1394" s="907"/>
      <c r="BE1394" s="429"/>
      <c r="BF1394" s="909"/>
      <c r="BG1394" s="909"/>
      <c r="BH1394" s="909"/>
      <c r="BI1394" s="909"/>
    </row>
    <row r="1395" spans="2:61" ht="15.75" customHeight="1">
      <c r="B1395" s="427"/>
      <c r="C1395" s="84"/>
      <c r="D1395" s="903"/>
      <c r="E1395" s="13"/>
      <c r="G1395" s="904"/>
      <c r="J1395" s="84"/>
      <c r="Q1395" s="13"/>
      <c r="R1395" s="904"/>
      <c r="S1395" s="904"/>
      <c r="T1395" s="13"/>
      <c r="U1395" s="13"/>
      <c r="V1395" s="13"/>
      <c r="W1395" s="16"/>
      <c r="X1395" s="16"/>
      <c r="Y1395" s="16"/>
      <c r="Z1395" s="16"/>
      <c r="AA1395" s="16"/>
      <c r="AB1395" s="16"/>
      <c r="AF1395" s="13"/>
      <c r="AG1395" s="903"/>
      <c r="AH1395" s="13"/>
      <c r="AI1395" s="13"/>
      <c r="AN1395" s="905"/>
      <c r="AO1395" s="16"/>
      <c r="AP1395" s="16"/>
      <c r="AQ1395" s="16"/>
      <c r="AR1395" s="16"/>
      <c r="AS1395" s="16"/>
      <c r="AU1395" s="429"/>
      <c r="AV1395" s="429"/>
      <c r="AY1395" s="905"/>
      <c r="AZ1395" s="905"/>
      <c r="BA1395" s="906"/>
      <c r="BB1395" s="906"/>
      <c r="BC1395" s="906"/>
      <c r="BD1395" s="907"/>
      <c r="BE1395" s="429"/>
      <c r="BF1395" s="909"/>
      <c r="BG1395" s="909"/>
      <c r="BH1395" s="909"/>
      <c r="BI1395" s="909"/>
    </row>
    <row r="1396" spans="2:61" ht="15.75" customHeight="1">
      <c r="B1396" s="427"/>
      <c r="C1396" s="84"/>
      <c r="D1396" s="903"/>
      <c r="E1396" s="13"/>
      <c r="G1396" s="904"/>
      <c r="J1396" s="84"/>
      <c r="Q1396" s="13"/>
      <c r="R1396" s="904"/>
      <c r="S1396" s="904"/>
      <c r="T1396" s="13"/>
      <c r="U1396" s="13"/>
      <c r="V1396" s="13"/>
      <c r="W1396" s="16"/>
      <c r="X1396" s="16"/>
      <c r="Y1396" s="16"/>
      <c r="Z1396" s="16"/>
      <c r="AA1396" s="16"/>
      <c r="AB1396" s="16"/>
      <c r="AF1396" s="13"/>
      <c r="AG1396" s="903"/>
      <c r="AH1396" s="13"/>
      <c r="AI1396" s="13"/>
      <c r="AN1396" s="905"/>
      <c r="AO1396" s="16"/>
      <c r="AP1396" s="16"/>
      <c r="AQ1396" s="16"/>
      <c r="AR1396" s="16"/>
      <c r="AS1396" s="16"/>
      <c r="AU1396" s="429"/>
      <c r="AV1396" s="429"/>
      <c r="AY1396" s="905"/>
      <c r="AZ1396" s="905"/>
      <c r="BA1396" s="906"/>
      <c r="BB1396" s="906"/>
      <c r="BC1396" s="906"/>
      <c r="BD1396" s="907"/>
      <c r="BE1396" s="429"/>
      <c r="BF1396" s="909"/>
      <c r="BG1396" s="909"/>
      <c r="BH1396" s="909"/>
      <c r="BI1396" s="909"/>
    </row>
    <row r="1397" spans="2:61" ht="15.75" customHeight="1">
      <c r="B1397" s="427"/>
      <c r="C1397" s="84"/>
      <c r="D1397" s="903"/>
      <c r="E1397" s="13"/>
      <c r="G1397" s="904"/>
      <c r="J1397" s="84"/>
      <c r="Q1397" s="13"/>
      <c r="R1397" s="904"/>
      <c r="S1397" s="904"/>
      <c r="T1397" s="13"/>
      <c r="U1397" s="13"/>
      <c r="V1397" s="13"/>
      <c r="W1397" s="16"/>
      <c r="X1397" s="16"/>
      <c r="Y1397" s="16"/>
      <c r="Z1397" s="16"/>
      <c r="AA1397" s="16"/>
      <c r="AB1397" s="16"/>
      <c r="AF1397" s="13"/>
      <c r="AG1397" s="903"/>
      <c r="AH1397" s="13"/>
      <c r="AI1397" s="13"/>
      <c r="AN1397" s="905"/>
      <c r="AO1397" s="16"/>
      <c r="AP1397" s="16"/>
      <c r="AQ1397" s="16"/>
      <c r="AR1397" s="16"/>
      <c r="AS1397" s="16"/>
      <c r="AU1397" s="429"/>
      <c r="AV1397" s="429"/>
      <c r="AY1397" s="905"/>
      <c r="AZ1397" s="905"/>
      <c r="BA1397" s="906"/>
      <c r="BB1397" s="906"/>
      <c r="BC1397" s="906"/>
      <c r="BD1397" s="907"/>
      <c r="BE1397" s="429"/>
      <c r="BF1397" s="909"/>
      <c r="BG1397" s="909"/>
      <c r="BH1397" s="909"/>
      <c r="BI1397" s="909"/>
    </row>
    <row r="1398" spans="2:61" ht="15.75" customHeight="1">
      <c r="B1398" s="427"/>
      <c r="C1398" s="84"/>
      <c r="D1398" s="903"/>
      <c r="E1398" s="13"/>
      <c r="G1398" s="904"/>
      <c r="J1398" s="84"/>
      <c r="Q1398" s="13"/>
      <c r="R1398" s="904"/>
      <c r="S1398" s="904"/>
      <c r="T1398" s="13"/>
      <c r="U1398" s="13"/>
      <c r="V1398" s="13"/>
      <c r="W1398" s="16"/>
      <c r="X1398" s="16"/>
      <c r="Y1398" s="16"/>
      <c r="Z1398" s="16"/>
      <c r="AA1398" s="16"/>
      <c r="AB1398" s="16"/>
      <c r="AF1398" s="13"/>
      <c r="AG1398" s="903"/>
      <c r="AH1398" s="13"/>
      <c r="AI1398" s="13"/>
      <c r="AN1398" s="905"/>
      <c r="AO1398" s="16"/>
      <c r="AP1398" s="16"/>
      <c r="AQ1398" s="16"/>
      <c r="AR1398" s="16"/>
      <c r="AS1398" s="16"/>
      <c r="AU1398" s="429"/>
      <c r="AV1398" s="429"/>
      <c r="AY1398" s="905"/>
      <c r="AZ1398" s="905"/>
      <c r="BA1398" s="906"/>
      <c r="BB1398" s="906"/>
      <c r="BC1398" s="906"/>
      <c r="BD1398" s="907"/>
      <c r="BE1398" s="429"/>
      <c r="BF1398" s="909"/>
      <c r="BG1398" s="909"/>
      <c r="BH1398" s="909"/>
      <c r="BI1398" s="909"/>
    </row>
    <row r="1399" spans="2:61" ht="15.75" customHeight="1">
      <c r="B1399" s="427"/>
      <c r="C1399" s="84"/>
      <c r="D1399" s="903"/>
      <c r="E1399" s="13"/>
      <c r="G1399" s="904"/>
      <c r="J1399" s="84"/>
      <c r="Q1399" s="13"/>
      <c r="R1399" s="904"/>
      <c r="S1399" s="904"/>
      <c r="T1399" s="13"/>
      <c r="U1399" s="13"/>
      <c r="V1399" s="13"/>
      <c r="W1399" s="16"/>
      <c r="X1399" s="16"/>
      <c r="Y1399" s="16"/>
      <c r="Z1399" s="16"/>
      <c r="AA1399" s="16"/>
      <c r="AB1399" s="16"/>
      <c r="AF1399" s="13"/>
      <c r="AG1399" s="903"/>
      <c r="AH1399" s="13"/>
      <c r="AI1399" s="13"/>
      <c r="AN1399" s="905"/>
      <c r="AO1399" s="16"/>
      <c r="AP1399" s="16"/>
      <c r="AQ1399" s="16"/>
      <c r="AR1399" s="16"/>
      <c r="AS1399" s="16"/>
      <c r="AU1399" s="429"/>
      <c r="AV1399" s="429"/>
      <c r="AY1399" s="905"/>
      <c r="AZ1399" s="905"/>
      <c r="BA1399" s="906"/>
      <c r="BB1399" s="906"/>
      <c r="BC1399" s="906"/>
      <c r="BD1399" s="907"/>
      <c r="BE1399" s="429"/>
      <c r="BF1399" s="909"/>
      <c r="BG1399" s="909"/>
      <c r="BH1399" s="909"/>
      <c r="BI1399" s="909"/>
    </row>
    <row r="1400" spans="2:61" ht="15.75" customHeight="1">
      <c r="B1400" s="427"/>
      <c r="C1400" s="84"/>
      <c r="D1400" s="903"/>
      <c r="E1400" s="13"/>
      <c r="G1400" s="904"/>
      <c r="J1400" s="84"/>
      <c r="Q1400" s="13"/>
      <c r="R1400" s="904"/>
      <c r="S1400" s="904"/>
      <c r="T1400" s="13"/>
      <c r="U1400" s="13"/>
      <c r="V1400" s="13"/>
      <c r="W1400" s="16"/>
      <c r="X1400" s="16"/>
      <c r="Y1400" s="16"/>
      <c r="Z1400" s="16"/>
      <c r="AA1400" s="16"/>
      <c r="AB1400" s="16"/>
      <c r="AF1400" s="13"/>
      <c r="AG1400" s="903"/>
      <c r="AH1400" s="13"/>
      <c r="AI1400" s="13"/>
      <c r="AN1400" s="905"/>
      <c r="AO1400" s="16"/>
      <c r="AP1400" s="16"/>
      <c r="AQ1400" s="16"/>
      <c r="AR1400" s="16"/>
      <c r="AS1400" s="16"/>
      <c r="AU1400" s="429"/>
      <c r="AV1400" s="429"/>
      <c r="AY1400" s="905"/>
      <c r="AZ1400" s="905"/>
      <c r="BA1400" s="906"/>
      <c r="BB1400" s="906"/>
      <c r="BC1400" s="906"/>
      <c r="BD1400" s="907"/>
      <c r="BE1400" s="429"/>
      <c r="BF1400" s="909"/>
      <c r="BG1400" s="909"/>
      <c r="BH1400" s="909"/>
      <c r="BI1400" s="909"/>
    </row>
    <row r="1401" spans="2:61" ht="15.75" customHeight="1">
      <c r="B1401" s="427"/>
      <c r="C1401" s="84"/>
      <c r="D1401" s="903"/>
      <c r="E1401" s="13"/>
      <c r="G1401" s="904"/>
      <c r="J1401" s="84"/>
      <c r="Q1401" s="13"/>
      <c r="R1401" s="904"/>
      <c r="S1401" s="904"/>
      <c r="T1401" s="13"/>
      <c r="U1401" s="13"/>
      <c r="V1401" s="13"/>
      <c r="W1401" s="16"/>
      <c r="X1401" s="16"/>
      <c r="Y1401" s="16"/>
      <c r="Z1401" s="16"/>
      <c r="AA1401" s="16"/>
      <c r="AB1401" s="16"/>
      <c r="AF1401" s="13"/>
      <c r="AG1401" s="903"/>
      <c r="AH1401" s="13"/>
      <c r="AI1401" s="13"/>
      <c r="AN1401" s="905"/>
      <c r="AO1401" s="16"/>
      <c r="AP1401" s="16"/>
      <c r="AQ1401" s="16"/>
      <c r="AR1401" s="16"/>
      <c r="AS1401" s="16"/>
      <c r="AU1401" s="429"/>
      <c r="AV1401" s="429"/>
      <c r="AY1401" s="905"/>
      <c r="AZ1401" s="905"/>
      <c r="BA1401" s="906"/>
      <c r="BB1401" s="906"/>
      <c r="BC1401" s="906"/>
      <c r="BD1401" s="907"/>
      <c r="BE1401" s="429"/>
      <c r="BF1401" s="909"/>
      <c r="BG1401" s="909"/>
      <c r="BH1401" s="909"/>
      <c r="BI1401" s="909"/>
    </row>
    <row r="1402" spans="2:61" ht="15.75" customHeight="1">
      <c r="B1402" s="427"/>
      <c r="C1402" s="84"/>
      <c r="D1402" s="903"/>
      <c r="E1402" s="13"/>
      <c r="G1402" s="904"/>
      <c r="J1402" s="84"/>
      <c r="Q1402" s="13"/>
      <c r="R1402" s="904"/>
      <c r="S1402" s="904"/>
      <c r="T1402" s="13"/>
      <c r="U1402" s="13"/>
      <c r="V1402" s="13"/>
      <c r="W1402" s="16"/>
      <c r="X1402" s="16"/>
      <c r="Y1402" s="16"/>
      <c r="Z1402" s="16"/>
      <c r="AA1402" s="16"/>
      <c r="AB1402" s="16"/>
      <c r="AF1402" s="13"/>
      <c r="AG1402" s="903"/>
      <c r="AH1402" s="13"/>
      <c r="AI1402" s="13"/>
      <c r="AN1402" s="905"/>
      <c r="AO1402" s="16"/>
      <c r="AP1402" s="16"/>
      <c r="AQ1402" s="16"/>
      <c r="AR1402" s="16"/>
      <c r="AS1402" s="16"/>
      <c r="AU1402" s="429"/>
      <c r="AV1402" s="429"/>
      <c r="AY1402" s="905"/>
      <c r="AZ1402" s="905"/>
      <c r="BA1402" s="906"/>
      <c r="BB1402" s="906"/>
      <c r="BC1402" s="906"/>
      <c r="BD1402" s="907"/>
      <c r="BE1402" s="429"/>
      <c r="BF1402" s="909"/>
      <c r="BG1402" s="909"/>
      <c r="BH1402" s="909"/>
      <c r="BI1402" s="909"/>
    </row>
    <row r="1403" spans="2:61" ht="15.75" customHeight="1">
      <c r="B1403" s="14"/>
      <c r="H1403" s="14"/>
      <c r="I1403" s="567"/>
      <c r="J1403" s="15"/>
      <c r="N1403" s="14"/>
      <c r="O1403" s="14"/>
      <c r="P1403" s="14"/>
    </row>
    <row r="1404" spans="2:61" ht="15.75" customHeight="1">
      <c r="B1404" s="14"/>
      <c r="H1404" s="14"/>
      <c r="I1404" s="567"/>
      <c r="J1404" s="15"/>
      <c r="N1404" s="14"/>
      <c r="O1404" s="14"/>
      <c r="P1404" s="14"/>
    </row>
    <row r="1405" spans="2:61" ht="15.75" customHeight="1">
      <c r="B1405" s="14"/>
      <c r="H1405" s="14"/>
      <c r="I1405" s="567"/>
      <c r="J1405" s="15"/>
      <c r="N1405" s="14"/>
      <c r="O1405" s="14"/>
      <c r="P1405" s="14"/>
    </row>
    <row r="1406" spans="2:61" ht="15.75" customHeight="1">
      <c r="B1406" s="14"/>
      <c r="H1406" s="14"/>
      <c r="I1406" s="567"/>
      <c r="J1406" s="15"/>
      <c r="N1406" s="14"/>
      <c r="O1406" s="14"/>
      <c r="P1406" s="14"/>
    </row>
    <row r="1407" spans="2:61" ht="15.75" customHeight="1">
      <c r="B1407" s="14"/>
      <c r="H1407" s="14"/>
      <c r="I1407" s="567"/>
      <c r="J1407" s="15"/>
      <c r="N1407" s="14"/>
      <c r="O1407" s="14"/>
      <c r="P1407" s="14"/>
    </row>
    <row r="1408" spans="2:61" ht="15.75" customHeight="1">
      <c r="B1408" s="14"/>
      <c r="H1408" s="14"/>
      <c r="I1408" s="567"/>
      <c r="J1408" s="15"/>
      <c r="N1408" s="14"/>
      <c r="O1408" s="14"/>
      <c r="P1408" s="14"/>
    </row>
    <row r="1409" spans="2:16" ht="15.75" customHeight="1">
      <c r="B1409" s="14"/>
      <c r="H1409" s="14"/>
      <c r="I1409" s="567"/>
      <c r="J1409" s="15"/>
      <c r="N1409" s="14"/>
      <c r="O1409" s="14"/>
      <c r="P1409" s="14"/>
    </row>
    <row r="1410" spans="2:16" ht="15.75" customHeight="1">
      <c r="B1410" s="14"/>
      <c r="H1410" s="14"/>
      <c r="I1410" s="567"/>
      <c r="J1410" s="15"/>
      <c r="N1410" s="14"/>
      <c r="O1410" s="14"/>
      <c r="P1410" s="14"/>
    </row>
    <row r="1411" spans="2:16" ht="15.75" customHeight="1">
      <c r="B1411" s="14"/>
      <c r="H1411" s="14"/>
      <c r="I1411" s="567"/>
      <c r="J1411" s="15"/>
      <c r="N1411" s="14"/>
      <c r="O1411" s="14"/>
      <c r="P1411" s="14"/>
    </row>
    <row r="1412" spans="2:16" ht="15.75" customHeight="1">
      <c r="B1412" s="14"/>
      <c r="H1412" s="14"/>
      <c r="I1412" s="567"/>
      <c r="J1412" s="15"/>
      <c r="N1412" s="14"/>
      <c r="O1412" s="14"/>
      <c r="P1412" s="14"/>
    </row>
    <row r="1413" spans="2:16" ht="15.75" customHeight="1">
      <c r="B1413" s="14"/>
      <c r="H1413" s="14"/>
      <c r="I1413" s="567"/>
      <c r="J1413" s="15"/>
      <c r="N1413" s="14"/>
      <c r="O1413" s="14"/>
      <c r="P1413" s="14"/>
    </row>
    <row r="1414" spans="2:16" ht="15.75" customHeight="1">
      <c r="B1414" s="14"/>
      <c r="H1414" s="14"/>
      <c r="I1414" s="567"/>
      <c r="J1414" s="15"/>
      <c r="N1414" s="14"/>
      <c r="O1414" s="14"/>
      <c r="P1414" s="14"/>
    </row>
    <row r="1415" spans="2:16" ht="15.75" customHeight="1">
      <c r="B1415" s="14"/>
      <c r="H1415" s="14"/>
      <c r="I1415" s="567"/>
      <c r="J1415" s="15"/>
      <c r="N1415" s="14"/>
      <c r="O1415" s="14"/>
      <c r="P1415" s="14"/>
    </row>
    <row r="1416" spans="2:16" ht="15.75" customHeight="1">
      <c r="B1416" s="14"/>
      <c r="H1416" s="14"/>
      <c r="I1416" s="567"/>
      <c r="J1416" s="15"/>
      <c r="N1416" s="14"/>
      <c r="O1416" s="14"/>
      <c r="P1416" s="14"/>
    </row>
    <row r="1417" spans="2:16" ht="15.75" customHeight="1">
      <c r="B1417" s="14"/>
      <c r="H1417" s="14"/>
      <c r="I1417" s="567"/>
      <c r="J1417" s="15"/>
      <c r="N1417" s="14"/>
      <c r="O1417" s="14"/>
      <c r="P1417" s="14"/>
    </row>
    <row r="1418" spans="2:16" ht="15.75" customHeight="1">
      <c r="B1418" s="14"/>
      <c r="H1418" s="14"/>
      <c r="I1418" s="567"/>
      <c r="J1418" s="15"/>
      <c r="N1418" s="14"/>
      <c r="O1418" s="14"/>
      <c r="P1418" s="14"/>
    </row>
    <row r="1419" spans="2:16" ht="15.75" customHeight="1">
      <c r="B1419" s="14"/>
      <c r="H1419" s="14"/>
      <c r="I1419" s="567"/>
      <c r="J1419" s="15"/>
      <c r="N1419" s="14"/>
      <c r="O1419" s="14"/>
      <c r="P1419" s="14"/>
    </row>
    <row r="1420" spans="2:16" ht="15.75" customHeight="1">
      <c r="B1420" s="14"/>
      <c r="H1420" s="14"/>
      <c r="I1420" s="567"/>
      <c r="J1420" s="15"/>
      <c r="N1420" s="14"/>
      <c r="O1420" s="14"/>
      <c r="P1420" s="14"/>
    </row>
    <row r="1421" spans="2:16" ht="15.75" customHeight="1">
      <c r="B1421" s="14"/>
      <c r="H1421" s="14"/>
      <c r="I1421" s="567"/>
      <c r="J1421" s="15"/>
      <c r="N1421" s="14"/>
      <c r="O1421" s="14"/>
      <c r="P1421" s="14"/>
    </row>
    <row r="1422" spans="2:16" ht="15.75" customHeight="1">
      <c r="B1422" s="14"/>
      <c r="H1422" s="14"/>
      <c r="I1422" s="567"/>
      <c r="J1422" s="15"/>
      <c r="N1422" s="14"/>
      <c r="O1422" s="14"/>
      <c r="P1422" s="14"/>
    </row>
    <row r="1423" spans="2:16" ht="15.75" customHeight="1">
      <c r="B1423" s="14"/>
      <c r="H1423" s="14"/>
      <c r="I1423" s="567"/>
      <c r="J1423" s="15"/>
      <c r="N1423" s="14"/>
      <c r="O1423" s="14"/>
      <c r="P1423" s="14"/>
    </row>
    <row r="1424" spans="2:16" ht="15.75" customHeight="1">
      <c r="B1424" s="14"/>
      <c r="H1424" s="14"/>
      <c r="I1424" s="567"/>
      <c r="J1424" s="15"/>
      <c r="N1424" s="14"/>
      <c r="O1424" s="14"/>
      <c r="P1424" s="14"/>
    </row>
    <row r="1425" spans="2:16" ht="15.75" customHeight="1">
      <c r="B1425" s="14"/>
      <c r="H1425" s="14"/>
      <c r="I1425" s="567"/>
      <c r="J1425" s="15"/>
      <c r="N1425" s="14"/>
      <c r="O1425" s="14"/>
      <c r="P1425" s="14"/>
    </row>
    <row r="1426" spans="2:16" ht="15.75" customHeight="1">
      <c r="B1426" s="14"/>
      <c r="H1426" s="14"/>
      <c r="I1426" s="567"/>
      <c r="J1426" s="15"/>
      <c r="N1426" s="14"/>
      <c r="O1426" s="14"/>
      <c r="P1426" s="14"/>
    </row>
    <row r="1427" spans="2:16" ht="15.75" customHeight="1">
      <c r="B1427" s="14"/>
      <c r="H1427" s="14"/>
      <c r="I1427" s="567"/>
      <c r="J1427" s="15"/>
      <c r="N1427" s="14"/>
      <c r="O1427" s="14"/>
      <c r="P1427" s="14"/>
    </row>
    <row r="1428" spans="2:16" ht="15.75" customHeight="1">
      <c r="B1428" s="14"/>
      <c r="H1428" s="14"/>
      <c r="I1428" s="567"/>
      <c r="J1428" s="15"/>
      <c r="N1428" s="14"/>
      <c r="O1428" s="14"/>
      <c r="P1428" s="14"/>
    </row>
    <row r="1429" spans="2:16" ht="15.75" customHeight="1">
      <c r="B1429" s="14"/>
      <c r="H1429" s="14"/>
      <c r="I1429" s="567"/>
      <c r="J1429" s="15"/>
      <c r="N1429" s="14"/>
      <c r="O1429" s="14"/>
      <c r="P1429" s="14"/>
    </row>
    <row r="1430" spans="2:16" ht="15.75" customHeight="1">
      <c r="B1430" s="14"/>
      <c r="H1430" s="14"/>
      <c r="I1430" s="567"/>
      <c r="J1430" s="15"/>
      <c r="N1430" s="14"/>
      <c r="O1430" s="14"/>
      <c r="P1430" s="14"/>
    </row>
    <row r="1431" spans="2:16" ht="15.75" customHeight="1">
      <c r="B1431" s="14"/>
      <c r="H1431" s="14"/>
      <c r="I1431" s="567"/>
      <c r="J1431" s="15"/>
      <c r="N1431" s="14"/>
      <c r="O1431" s="14"/>
      <c r="P1431" s="14"/>
    </row>
    <row r="1432" spans="2:16" ht="15.75" customHeight="1">
      <c r="B1432" s="14"/>
      <c r="H1432" s="14"/>
      <c r="I1432" s="567"/>
      <c r="J1432" s="15"/>
      <c r="N1432" s="14"/>
      <c r="O1432" s="14"/>
      <c r="P1432" s="14"/>
    </row>
    <row r="1433" spans="2:16" ht="15.75" customHeight="1">
      <c r="B1433" s="14"/>
      <c r="H1433" s="14"/>
      <c r="I1433" s="567"/>
      <c r="J1433" s="15"/>
      <c r="N1433" s="14"/>
      <c r="O1433" s="14"/>
      <c r="P1433" s="14"/>
    </row>
    <row r="1434" spans="2:16" ht="15.75" customHeight="1">
      <c r="B1434" s="14"/>
      <c r="H1434" s="14"/>
      <c r="I1434" s="567"/>
      <c r="J1434" s="15"/>
      <c r="N1434" s="14"/>
      <c r="O1434" s="14"/>
      <c r="P1434" s="14"/>
    </row>
    <row r="1435" spans="2:16" ht="15.75" customHeight="1">
      <c r="B1435" s="14"/>
      <c r="H1435" s="14"/>
      <c r="I1435" s="567"/>
      <c r="J1435" s="15"/>
      <c r="N1435" s="14"/>
      <c r="O1435" s="14"/>
      <c r="P1435" s="14"/>
    </row>
    <row r="1436" spans="2:16" ht="15.75" customHeight="1">
      <c r="B1436" s="14"/>
      <c r="H1436" s="14"/>
      <c r="I1436" s="567"/>
      <c r="J1436" s="15"/>
      <c r="N1436" s="14"/>
      <c r="O1436" s="14"/>
      <c r="P1436" s="14"/>
    </row>
    <row r="1437" spans="2:16" ht="15.75" customHeight="1">
      <c r="B1437" s="14"/>
      <c r="H1437" s="14"/>
      <c r="I1437" s="567"/>
      <c r="J1437" s="15"/>
      <c r="N1437" s="14"/>
      <c r="O1437" s="14"/>
      <c r="P1437" s="14"/>
    </row>
    <row r="1438" spans="2:16" ht="15.75" customHeight="1">
      <c r="B1438" s="14"/>
      <c r="H1438" s="14"/>
      <c r="I1438" s="567"/>
      <c r="J1438" s="15"/>
      <c r="N1438" s="14"/>
      <c r="O1438" s="14"/>
      <c r="P1438" s="14"/>
    </row>
    <row r="1439" spans="2:16" ht="15.75" customHeight="1">
      <c r="B1439" s="14"/>
      <c r="H1439" s="14"/>
      <c r="I1439" s="567"/>
      <c r="J1439" s="15"/>
      <c r="N1439" s="14"/>
      <c r="O1439" s="14"/>
      <c r="P1439" s="14"/>
    </row>
    <row r="1440" spans="2:16" ht="15.75" customHeight="1">
      <c r="B1440" s="14"/>
      <c r="H1440" s="14"/>
      <c r="I1440" s="567"/>
      <c r="J1440" s="15"/>
      <c r="N1440" s="14"/>
      <c r="O1440" s="14"/>
      <c r="P1440" s="14"/>
    </row>
    <row r="1441" spans="2:16" ht="15.75" customHeight="1">
      <c r="B1441" s="14"/>
      <c r="H1441" s="14"/>
      <c r="I1441" s="567"/>
      <c r="J1441" s="15"/>
      <c r="N1441" s="14"/>
      <c r="O1441" s="14"/>
      <c r="P1441" s="14"/>
    </row>
    <row r="1442" spans="2:16" ht="15.75" customHeight="1">
      <c r="B1442" s="14"/>
      <c r="H1442" s="14"/>
      <c r="I1442" s="567"/>
      <c r="J1442" s="15"/>
      <c r="N1442" s="14"/>
      <c r="O1442" s="14"/>
      <c r="P1442" s="14"/>
    </row>
    <row r="1443" spans="2:16" ht="15.75" customHeight="1">
      <c r="B1443" s="14"/>
      <c r="H1443" s="14"/>
      <c r="I1443" s="567"/>
      <c r="J1443" s="15"/>
      <c r="N1443" s="14"/>
      <c r="O1443" s="14"/>
      <c r="P1443" s="14"/>
    </row>
    <row r="1444" spans="2:16" ht="15.75" customHeight="1">
      <c r="B1444" s="14"/>
      <c r="H1444" s="14"/>
      <c r="I1444" s="567"/>
      <c r="J1444" s="15"/>
      <c r="N1444" s="14"/>
      <c r="O1444" s="14"/>
      <c r="P1444" s="14"/>
    </row>
    <row r="1445" spans="2:16" ht="15.75" customHeight="1">
      <c r="B1445" s="14"/>
      <c r="H1445" s="14"/>
      <c r="I1445" s="567"/>
      <c r="J1445" s="15"/>
      <c r="N1445" s="14"/>
      <c r="O1445" s="14"/>
      <c r="P1445" s="14"/>
    </row>
    <row r="1446" spans="2:16" ht="15.75" customHeight="1">
      <c r="B1446" s="14"/>
      <c r="H1446" s="14"/>
      <c r="I1446" s="567"/>
      <c r="J1446" s="15"/>
      <c r="N1446" s="14"/>
      <c r="O1446" s="14"/>
      <c r="P1446" s="14"/>
    </row>
    <row r="1447" spans="2:16" ht="15.75" customHeight="1">
      <c r="B1447" s="14"/>
      <c r="H1447" s="14"/>
      <c r="I1447" s="567"/>
      <c r="J1447" s="15"/>
      <c r="N1447" s="14"/>
      <c r="O1447" s="14"/>
      <c r="P1447" s="14"/>
    </row>
    <row r="1448" spans="2:16" ht="15.75" customHeight="1">
      <c r="B1448" s="14"/>
      <c r="H1448" s="14"/>
      <c r="I1448" s="567"/>
      <c r="J1448" s="15"/>
      <c r="N1448" s="14"/>
      <c r="O1448" s="14"/>
      <c r="P1448" s="14"/>
    </row>
    <row r="1449" spans="2:16" ht="15.75" customHeight="1">
      <c r="B1449" s="14"/>
      <c r="H1449" s="14"/>
      <c r="I1449" s="567"/>
      <c r="J1449" s="15"/>
      <c r="N1449" s="14"/>
      <c r="O1449" s="14"/>
      <c r="P1449" s="14"/>
    </row>
    <row r="1450" spans="2:16" ht="15.75" customHeight="1">
      <c r="B1450" s="14"/>
      <c r="H1450" s="14"/>
      <c r="I1450" s="567"/>
      <c r="J1450" s="15"/>
      <c r="N1450" s="14"/>
      <c r="O1450" s="14"/>
      <c r="P1450" s="14"/>
    </row>
    <row r="1451" spans="2:16" ht="15.75" customHeight="1">
      <c r="B1451" s="14"/>
      <c r="H1451" s="14"/>
      <c r="I1451" s="567"/>
      <c r="J1451" s="15"/>
      <c r="N1451" s="14"/>
      <c r="O1451" s="14"/>
      <c r="P1451" s="14"/>
    </row>
    <row r="1452" spans="2:16" ht="15.75" customHeight="1">
      <c r="B1452" s="14"/>
      <c r="H1452" s="14"/>
      <c r="I1452" s="567"/>
      <c r="J1452" s="15"/>
      <c r="N1452" s="14"/>
      <c r="O1452" s="14"/>
      <c r="P1452" s="14"/>
    </row>
    <row r="1453" spans="2:16" ht="15.75" customHeight="1">
      <c r="B1453" s="14"/>
      <c r="H1453" s="14"/>
      <c r="I1453" s="567"/>
      <c r="J1453" s="15"/>
      <c r="N1453" s="14"/>
      <c r="O1453" s="14"/>
      <c r="P1453" s="14"/>
    </row>
    <row r="1454" spans="2:16" ht="15.75" customHeight="1">
      <c r="B1454" s="14"/>
      <c r="H1454" s="14"/>
      <c r="I1454" s="567"/>
      <c r="J1454" s="15"/>
      <c r="N1454" s="14"/>
      <c r="O1454" s="14"/>
      <c r="P1454" s="14"/>
    </row>
    <row r="1455" spans="2:16" ht="15.75" customHeight="1">
      <c r="B1455" s="14"/>
      <c r="H1455" s="14"/>
      <c r="I1455" s="567"/>
      <c r="J1455" s="15"/>
      <c r="N1455" s="14"/>
      <c r="O1455" s="14"/>
      <c r="P1455" s="14"/>
    </row>
    <row r="1456" spans="2:16" ht="15.75" customHeight="1">
      <c r="B1456" s="14"/>
      <c r="H1456" s="14"/>
      <c r="I1456" s="567"/>
      <c r="J1456" s="15"/>
      <c r="N1456" s="14"/>
      <c r="O1456" s="14"/>
      <c r="P1456" s="14"/>
    </row>
    <row r="1457" spans="2:16" ht="15.75" customHeight="1">
      <c r="B1457" s="14"/>
      <c r="H1457" s="14"/>
      <c r="I1457" s="567"/>
      <c r="J1457" s="15"/>
      <c r="N1457" s="14"/>
      <c r="O1457" s="14"/>
      <c r="P1457" s="14"/>
    </row>
    <row r="1458" spans="2:16" ht="15.75" customHeight="1">
      <c r="B1458" s="14"/>
      <c r="H1458" s="14"/>
      <c r="I1458" s="567"/>
      <c r="J1458" s="15"/>
      <c r="N1458" s="14"/>
      <c r="O1458" s="14"/>
      <c r="P1458" s="14"/>
    </row>
    <row r="1459" spans="2:16" ht="15.75" customHeight="1">
      <c r="B1459" s="14"/>
      <c r="H1459" s="14"/>
      <c r="I1459" s="567"/>
      <c r="J1459" s="15"/>
      <c r="N1459" s="14"/>
      <c r="O1459" s="14"/>
      <c r="P1459" s="14"/>
    </row>
    <row r="1460" spans="2:16" ht="15.75" customHeight="1">
      <c r="B1460" s="14"/>
      <c r="H1460" s="14"/>
      <c r="I1460" s="567"/>
      <c r="J1460" s="15"/>
      <c r="N1460" s="14"/>
      <c r="O1460" s="14"/>
      <c r="P1460" s="14"/>
    </row>
    <row r="1461" spans="2:16" ht="15.75" customHeight="1">
      <c r="B1461" s="14"/>
      <c r="H1461" s="14"/>
      <c r="I1461" s="567"/>
      <c r="J1461" s="15"/>
      <c r="N1461" s="14"/>
      <c r="O1461" s="14"/>
      <c r="P1461" s="14"/>
    </row>
    <row r="1462" spans="2:16" ht="15.75" customHeight="1">
      <c r="B1462" s="14"/>
      <c r="H1462" s="14"/>
      <c r="I1462" s="567"/>
      <c r="J1462" s="15"/>
      <c r="N1462" s="14"/>
      <c r="O1462" s="14"/>
      <c r="P1462" s="14"/>
    </row>
    <row r="1463" spans="2:16" ht="15.75" customHeight="1">
      <c r="B1463" s="14"/>
      <c r="H1463" s="14"/>
      <c r="I1463" s="567"/>
      <c r="J1463" s="15"/>
      <c r="N1463" s="14"/>
      <c r="O1463" s="14"/>
      <c r="P1463" s="14"/>
    </row>
    <row r="1464" spans="2:16" ht="15.75" customHeight="1">
      <c r="B1464" s="14"/>
      <c r="H1464" s="14"/>
      <c r="I1464" s="567"/>
      <c r="J1464" s="15"/>
      <c r="N1464" s="14"/>
      <c r="O1464" s="14"/>
      <c r="P1464" s="14"/>
    </row>
    <row r="1465" spans="2:16" ht="15.75" customHeight="1">
      <c r="B1465" s="14"/>
      <c r="H1465" s="14"/>
      <c r="I1465" s="567"/>
      <c r="J1465" s="15"/>
      <c r="N1465" s="14"/>
      <c r="O1465" s="14"/>
      <c r="P1465" s="14"/>
    </row>
    <row r="1466" spans="2:16" ht="15.75" customHeight="1">
      <c r="B1466" s="14"/>
      <c r="H1466" s="14"/>
      <c r="I1466" s="567"/>
      <c r="J1466" s="15"/>
      <c r="N1466" s="14"/>
      <c r="O1466" s="14"/>
      <c r="P1466" s="14"/>
    </row>
    <row r="1467" spans="2:16" ht="15.75" customHeight="1">
      <c r="B1467" s="14"/>
      <c r="H1467" s="14"/>
      <c r="I1467" s="567"/>
      <c r="J1467" s="15"/>
      <c r="N1467" s="14"/>
      <c r="O1467" s="14"/>
      <c r="P1467" s="14"/>
    </row>
    <row r="1468" spans="2:16" ht="15.75" customHeight="1">
      <c r="B1468" s="14"/>
      <c r="H1468" s="14"/>
      <c r="I1468" s="567"/>
      <c r="J1468" s="15"/>
      <c r="N1468" s="14"/>
      <c r="O1468" s="14"/>
      <c r="P1468" s="14"/>
    </row>
    <row r="1469" spans="2:16" ht="15.75" customHeight="1">
      <c r="B1469" s="14"/>
      <c r="H1469" s="14"/>
      <c r="I1469" s="567"/>
      <c r="J1469" s="15"/>
      <c r="N1469" s="14"/>
      <c r="O1469" s="14"/>
      <c r="P1469" s="14"/>
    </row>
    <row r="1470" spans="2:16" ht="15.75" customHeight="1">
      <c r="B1470" s="14"/>
      <c r="H1470" s="14"/>
      <c r="I1470" s="567"/>
      <c r="J1470" s="15"/>
      <c r="N1470" s="14"/>
      <c r="O1470" s="14"/>
      <c r="P1470" s="14"/>
    </row>
    <row r="1471" spans="2:16" ht="15.75" customHeight="1">
      <c r="B1471" s="14"/>
      <c r="H1471" s="14"/>
      <c r="I1471" s="567"/>
      <c r="J1471" s="15"/>
      <c r="N1471" s="14"/>
      <c r="O1471" s="14"/>
      <c r="P1471" s="14"/>
    </row>
    <row r="1472" spans="2:16" ht="15.75" customHeight="1">
      <c r="B1472" s="14"/>
      <c r="H1472" s="14"/>
      <c r="I1472" s="567"/>
      <c r="J1472" s="15"/>
      <c r="N1472" s="14"/>
      <c r="O1472" s="14"/>
      <c r="P1472" s="14"/>
    </row>
    <row r="1473" spans="2:16" ht="15.75" customHeight="1">
      <c r="B1473" s="14"/>
      <c r="H1473" s="14"/>
      <c r="I1473" s="567"/>
      <c r="J1473" s="15"/>
      <c r="N1473" s="14"/>
      <c r="O1473" s="14"/>
      <c r="P1473" s="14"/>
    </row>
    <row r="1474" spans="2:16" ht="15.75" customHeight="1">
      <c r="B1474" s="14"/>
      <c r="H1474" s="14"/>
      <c r="I1474" s="567"/>
      <c r="J1474" s="15"/>
      <c r="N1474" s="14"/>
      <c r="O1474" s="14"/>
      <c r="P1474" s="14"/>
    </row>
    <row r="1475" spans="2:16" ht="15.75" customHeight="1">
      <c r="B1475" s="14"/>
      <c r="H1475" s="14"/>
      <c r="I1475" s="567"/>
      <c r="J1475" s="15"/>
      <c r="N1475" s="14"/>
      <c r="O1475" s="14"/>
      <c r="P1475" s="14"/>
    </row>
    <row r="1476" spans="2:16" ht="15.75" customHeight="1">
      <c r="B1476" s="14"/>
      <c r="H1476" s="14"/>
      <c r="I1476" s="567"/>
      <c r="J1476" s="15"/>
      <c r="N1476" s="14"/>
      <c r="O1476" s="14"/>
      <c r="P1476" s="14"/>
    </row>
    <row r="1477" spans="2:16" ht="15.75" customHeight="1">
      <c r="B1477" s="14"/>
      <c r="H1477" s="14"/>
      <c r="I1477" s="567"/>
      <c r="J1477" s="15"/>
      <c r="N1477" s="14"/>
      <c r="O1477" s="14"/>
      <c r="P1477" s="14"/>
    </row>
    <row r="1478" spans="2:16" ht="15.75" customHeight="1">
      <c r="B1478" s="14"/>
      <c r="H1478" s="14"/>
      <c r="I1478" s="567"/>
      <c r="J1478" s="15"/>
      <c r="N1478" s="14"/>
      <c r="O1478" s="14"/>
      <c r="P1478" s="14"/>
    </row>
    <row r="1479" spans="2:16" ht="15.75" customHeight="1">
      <c r="B1479" s="14"/>
      <c r="H1479" s="14"/>
      <c r="I1479" s="567"/>
      <c r="J1479" s="15"/>
      <c r="N1479" s="14"/>
      <c r="O1479" s="14"/>
      <c r="P1479" s="14"/>
    </row>
    <row r="1480" spans="2:16" ht="15.75" customHeight="1">
      <c r="B1480" s="14"/>
      <c r="H1480" s="14"/>
      <c r="I1480" s="567"/>
      <c r="J1480" s="15"/>
      <c r="N1480" s="14"/>
      <c r="O1480" s="14"/>
      <c r="P1480" s="14"/>
    </row>
    <row r="1481" spans="2:16" ht="15.75" customHeight="1">
      <c r="B1481" s="14"/>
      <c r="H1481" s="14"/>
      <c r="I1481" s="567"/>
      <c r="J1481" s="15"/>
      <c r="N1481" s="14"/>
      <c r="O1481" s="14"/>
      <c r="P1481" s="14"/>
    </row>
    <row r="1482" spans="2:16" ht="15.75" customHeight="1">
      <c r="B1482" s="14"/>
      <c r="H1482" s="14"/>
      <c r="I1482" s="567"/>
      <c r="J1482" s="15"/>
      <c r="N1482" s="14"/>
      <c r="O1482" s="14"/>
      <c r="P1482" s="14"/>
    </row>
    <row r="1483" spans="2:16" ht="15.75" customHeight="1">
      <c r="B1483" s="14"/>
      <c r="H1483" s="14"/>
      <c r="I1483" s="567"/>
      <c r="J1483" s="15"/>
      <c r="N1483" s="14"/>
      <c r="O1483" s="14"/>
      <c r="P1483" s="14"/>
    </row>
    <row r="1484" spans="2:16" ht="15.75" customHeight="1">
      <c r="B1484" s="14"/>
      <c r="H1484" s="14"/>
      <c r="I1484" s="567"/>
      <c r="J1484" s="15"/>
      <c r="N1484" s="14"/>
      <c r="O1484" s="14"/>
      <c r="P1484" s="14"/>
    </row>
    <row r="1485" spans="2:16" ht="15.75" customHeight="1">
      <c r="B1485" s="14"/>
      <c r="H1485" s="14"/>
      <c r="I1485" s="567"/>
      <c r="J1485" s="15"/>
      <c r="N1485" s="14"/>
      <c r="O1485" s="14"/>
      <c r="P1485" s="14"/>
    </row>
    <row r="1486" spans="2:16" ht="15.75" customHeight="1">
      <c r="B1486" s="14"/>
      <c r="H1486" s="14"/>
      <c r="I1486" s="567"/>
      <c r="J1486" s="15"/>
      <c r="N1486" s="14"/>
      <c r="O1486" s="14"/>
      <c r="P1486" s="14"/>
    </row>
    <row r="1487" spans="2:16" ht="15.75" customHeight="1">
      <c r="B1487" s="14"/>
      <c r="H1487" s="14"/>
      <c r="I1487" s="567"/>
      <c r="J1487" s="15"/>
      <c r="N1487" s="14"/>
      <c r="O1487" s="14"/>
      <c r="P1487" s="14"/>
    </row>
    <row r="1488" spans="2:16" ht="15.75" customHeight="1">
      <c r="B1488" s="14"/>
      <c r="H1488" s="14"/>
      <c r="I1488" s="567"/>
      <c r="J1488" s="15"/>
      <c r="N1488" s="14"/>
      <c r="O1488" s="14"/>
      <c r="P1488" s="14"/>
    </row>
    <row r="1489" spans="2:16" ht="15.75" customHeight="1">
      <c r="B1489" s="14"/>
      <c r="H1489" s="14"/>
      <c r="I1489" s="567"/>
      <c r="J1489" s="15"/>
      <c r="N1489" s="14"/>
      <c r="O1489" s="14"/>
      <c r="P1489" s="14"/>
    </row>
    <row r="1490" spans="2:16" ht="15.75" customHeight="1">
      <c r="B1490" s="14"/>
      <c r="H1490" s="14"/>
      <c r="I1490" s="567"/>
      <c r="J1490" s="15"/>
      <c r="N1490" s="14"/>
      <c r="O1490" s="14"/>
      <c r="P1490" s="14"/>
    </row>
    <row r="1491" spans="2:16" ht="15.75" customHeight="1">
      <c r="B1491" s="14"/>
      <c r="H1491" s="14"/>
      <c r="I1491" s="567"/>
      <c r="J1491" s="15"/>
      <c r="N1491" s="14"/>
      <c r="O1491" s="14"/>
      <c r="P1491" s="14"/>
    </row>
    <row r="1492" spans="2:16" ht="15.75" customHeight="1">
      <c r="B1492" s="14"/>
      <c r="H1492" s="14"/>
      <c r="I1492" s="567"/>
      <c r="J1492" s="15"/>
      <c r="N1492" s="14"/>
      <c r="O1492" s="14"/>
      <c r="P1492" s="14"/>
    </row>
    <row r="1493" spans="2:16" ht="15.75" customHeight="1">
      <c r="B1493" s="14"/>
      <c r="H1493" s="14"/>
      <c r="I1493" s="567"/>
      <c r="J1493" s="15"/>
      <c r="N1493" s="14"/>
      <c r="O1493" s="14"/>
      <c r="P1493" s="14"/>
    </row>
    <row r="1494" spans="2:16" ht="15.75" customHeight="1">
      <c r="B1494" s="14"/>
      <c r="H1494" s="14"/>
      <c r="I1494" s="567"/>
      <c r="J1494" s="15"/>
      <c r="N1494" s="14"/>
      <c r="O1494" s="14"/>
      <c r="P1494" s="14"/>
    </row>
    <row r="1495" spans="2:16" ht="15.75" customHeight="1">
      <c r="B1495" s="14"/>
      <c r="H1495" s="14"/>
      <c r="I1495" s="567"/>
      <c r="J1495" s="15"/>
      <c r="N1495" s="14"/>
      <c r="O1495" s="14"/>
      <c r="P1495" s="14"/>
    </row>
    <row r="1496" spans="2:16" ht="15.75" customHeight="1">
      <c r="B1496" s="14"/>
      <c r="H1496" s="14"/>
      <c r="I1496" s="567"/>
      <c r="J1496" s="15"/>
      <c r="N1496" s="14"/>
      <c r="O1496" s="14"/>
      <c r="P1496" s="14"/>
    </row>
    <row r="1497" spans="2:16" ht="15.75" customHeight="1">
      <c r="B1497" s="14"/>
      <c r="H1497" s="14"/>
      <c r="I1497" s="567"/>
      <c r="J1497" s="15"/>
      <c r="N1497" s="14"/>
      <c r="O1497" s="14"/>
      <c r="P1497" s="14"/>
    </row>
    <row r="1498" spans="2:16" ht="15.75" customHeight="1">
      <c r="B1498" s="14"/>
      <c r="H1498" s="14"/>
      <c r="I1498" s="567"/>
      <c r="J1498" s="15"/>
      <c r="N1498" s="14"/>
      <c r="O1498" s="14"/>
      <c r="P1498" s="14"/>
    </row>
    <row r="1499" spans="2:16" ht="15.75" customHeight="1">
      <c r="B1499" s="14"/>
      <c r="H1499" s="14"/>
      <c r="I1499" s="567"/>
      <c r="J1499" s="15"/>
      <c r="N1499" s="14"/>
      <c r="O1499" s="14"/>
      <c r="P1499" s="14"/>
    </row>
    <row r="1500" spans="2:16" ht="15.75" customHeight="1">
      <c r="B1500" s="14"/>
      <c r="H1500" s="14"/>
      <c r="I1500" s="567"/>
      <c r="J1500" s="15"/>
      <c r="N1500" s="14"/>
      <c r="O1500" s="14"/>
      <c r="P1500" s="14"/>
    </row>
    <row r="1501" spans="2:16" ht="15.75" customHeight="1">
      <c r="B1501" s="14"/>
      <c r="H1501" s="14"/>
      <c r="I1501" s="567"/>
      <c r="J1501" s="15"/>
      <c r="N1501" s="14"/>
      <c r="O1501" s="14"/>
      <c r="P1501" s="14"/>
    </row>
    <row r="1502" spans="2:16" ht="15.75" customHeight="1">
      <c r="B1502" s="14"/>
      <c r="H1502" s="14"/>
      <c r="I1502" s="567"/>
      <c r="J1502" s="15"/>
      <c r="N1502" s="14"/>
      <c r="O1502" s="14"/>
      <c r="P1502" s="14"/>
    </row>
    <row r="1503" spans="2:16" ht="15.75" customHeight="1">
      <c r="B1503" s="14"/>
      <c r="H1503" s="14"/>
      <c r="I1503" s="567"/>
      <c r="J1503" s="15"/>
      <c r="N1503" s="14"/>
      <c r="O1503" s="14"/>
      <c r="P1503" s="14"/>
    </row>
    <row r="1504" spans="2:16" ht="15.75" customHeight="1">
      <c r="B1504" s="14"/>
      <c r="H1504" s="14"/>
      <c r="I1504" s="567"/>
      <c r="J1504" s="15"/>
      <c r="N1504" s="14"/>
      <c r="O1504" s="14"/>
      <c r="P1504" s="14"/>
    </row>
    <row r="1505" spans="2:16" ht="15.75" customHeight="1">
      <c r="B1505" s="14"/>
      <c r="H1505" s="14"/>
      <c r="I1505" s="567"/>
      <c r="J1505" s="15"/>
      <c r="N1505" s="14"/>
      <c r="O1505" s="14"/>
      <c r="P1505" s="14"/>
    </row>
    <row r="1506" spans="2:16" ht="15.75" customHeight="1">
      <c r="B1506" s="14"/>
      <c r="H1506" s="14"/>
      <c r="I1506" s="567"/>
      <c r="J1506" s="15"/>
      <c r="N1506" s="14"/>
      <c r="O1506" s="14"/>
      <c r="P1506" s="14"/>
    </row>
    <row r="1507" spans="2:16" ht="15.75" customHeight="1">
      <c r="B1507" s="14"/>
      <c r="H1507" s="14"/>
      <c r="I1507" s="567"/>
      <c r="J1507" s="15"/>
      <c r="N1507" s="14"/>
      <c r="O1507" s="14"/>
      <c r="P1507" s="14"/>
    </row>
    <row r="1508" spans="2:16" ht="15.75" customHeight="1">
      <c r="B1508" s="14"/>
      <c r="H1508" s="14"/>
      <c r="I1508" s="567"/>
      <c r="J1508" s="15"/>
      <c r="N1508" s="14"/>
      <c r="O1508" s="14"/>
      <c r="P1508" s="14"/>
    </row>
    <row r="1509" spans="2:16" ht="15.75" customHeight="1">
      <c r="B1509" s="14"/>
      <c r="H1509" s="14"/>
      <c r="I1509" s="567"/>
      <c r="J1509" s="15"/>
      <c r="N1509" s="14"/>
      <c r="O1509" s="14"/>
      <c r="P1509" s="14"/>
    </row>
    <row r="1510" spans="2:16" ht="15.75" customHeight="1">
      <c r="B1510" s="14"/>
      <c r="H1510" s="14"/>
      <c r="I1510" s="567"/>
      <c r="J1510" s="15"/>
      <c r="N1510" s="14"/>
      <c r="O1510" s="14"/>
      <c r="P1510" s="14"/>
    </row>
    <row r="1511" spans="2:16" ht="15.75" customHeight="1">
      <c r="B1511" s="14"/>
      <c r="H1511" s="14"/>
      <c r="I1511" s="567"/>
      <c r="J1511" s="15"/>
      <c r="N1511" s="14"/>
      <c r="O1511" s="14"/>
      <c r="P1511" s="14"/>
    </row>
    <row r="1512" spans="2:16" ht="15.75" customHeight="1">
      <c r="B1512" s="14"/>
      <c r="H1512" s="14"/>
      <c r="I1512" s="567"/>
      <c r="J1512" s="15"/>
      <c r="N1512" s="14"/>
      <c r="O1512" s="14"/>
      <c r="P1512" s="14"/>
    </row>
    <row r="1513" spans="2:16" ht="15.75" customHeight="1">
      <c r="B1513" s="14"/>
      <c r="H1513" s="14"/>
      <c r="I1513" s="567"/>
      <c r="J1513" s="15"/>
      <c r="N1513" s="14"/>
      <c r="O1513" s="14"/>
      <c r="P1513" s="14"/>
    </row>
    <row r="1514" spans="2:16" ht="15.75" customHeight="1">
      <c r="B1514" s="14"/>
      <c r="H1514" s="14"/>
      <c r="I1514" s="567"/>
      <c r="J1514" s="15"/>
      <c r="N1514" s="14"/>
      <c r="O1514" s="14"/>
      <c r="P1514" s="14"/>
    </row>
    <row r="1515" spans="2:16" ht="15.75" customHeight="1">
      <c r="B1515" s="14"/>
      <c r="H1515" s="14"/>
      <c r="I1515" s="567"/>
      <c r="J1515" s="15"/>
      <c r="N1515" s="14"/>
      <c r="O1515" s="14"/>
      <c r="P1515" s="14"/>
    </row>
    <row r="1516" spans="2:16" ht="15.75" customHeight="1">
      <c r="B1516" s="14"/>
      <c r="H1516" s="14"/>
      <c r="I1516" s="567"/>
      <c r="J1516" s="15"/>
      <c r="N1516" s="14"/>
      <c r="O1516" s="14"/>
      <c r="P1516" s="14"/>
    </row>
    <row r="1517" spans="2:16" ht="15.75" customHeight="1">
      <c r="B1517" s="14"/>
      <c r="H1517" s="14"/>
      <c r="I1517" s="567"/>
      <c r="J1517" s="15"/>
      <c r="N1517" s="14"/>
      <c r="O1517" s="14"/>
      <c r="P1517" s="14"/>
    </row>
    <row r="1518" spans="2:16" ht="15.75" customHeight="1">
      <c r="B1518" s="14"/>
      <c r="H1518" s="14"/>
      <c r="I1518" s="567"/>
      <c r="J1518" s="15"/>
      <c r="N1518" s="14"/>
      <c r="O1518" s="14"/>
      <c r="P1518" s="14"/>
    </row>
    <row r="1519" spans="2:16" ht="15.75" customHeight="1">
      <c r="B1519" s="14"/>
      <c r="H1519" s="14"/>
      <c r="I1519" s="567"/>
      <c r="J1519" s="15"/>
      <c r="N1519" s="14"/>
      <c r="O1519" s="14"/>
      <c r="P1519" s="14"/>
    </row>
    <row r="1520" spans="2:16" ht="15.75" customHeight="1">
      <c r="B1520" s="14"/>
      <c r="H1520" s="14"/>
      <c r="I1520" s="567"/>
      <c r="J1520" s="15"/>
      <c r="N1520" s="14"/>
      <c r="O1520" s="14"/>
      <c r="P1520" s="14"/>
    </row>
    <row r="1521" spans="2:16" ht="15.75" customHeight="1">
      <c r="B1521" s="14"/>
      <c r="H1521" s="14"/>
      <c r="I1521" s="567"/>
      <c r="J1521" s="15"/>
      <c r="N1521" s="14"/>
      <c r="O1521" s="14"/>
      <c r="P1521" s="14"/>
    </row>
    <row r="1522" spans="2:16" ht="15.75" customHeight="1">
      <c r="B1522" s="14"/>
      <c r="H1522" s="14"/>
      <c r="I1522" s="567"/>
      <c r="J1522" s="15"/>
      <c r="N1522" s="14"/>
      <c r="O1522" s="14"/>
      <c r="P1522" s="14"/>
    </row>
    <row r="1523" spans="2:16" ht="15.75" customHeight="1">
      <c r="B1523" s="14"/>
      <c r="H1523" s="14"/>
      <c r="I1523" s="567"/>
      <c r="J1523" s="15"/>
      <c r="N1523" s="14"/>
      <c r="O1523" s="14"/>
      <c r="P1523" s="14"/>
    </row>
    <row r="1524" spans="2:16" ht="15.75" customHeight="1">
      <c r="B1524" s="14"/>
      <c r="H1524" s="14"/>
      <c r="I1524" s="567"/>
      <c r="J1524" s="15"/>
      <c r="N1524" s="14"/>
      <c r="O1524" s="14"/>
      <c r="P1524" s="14"/>
    </row>
    <row r="1525" spans="2:16" ht="15.75" customHeight="1">
      <c r="B1525" s="14"/>
      <c r="H1525" s="14"/>
      <c r="I1525" s="567"/>
      <c r="J1525" s="15"/>
      <c r="N1525" s="14"/>
      <c r="O1525" s="14"/>
      <c r="P1525" s="14"/>
    </row>
    <row r="1526" spans="2:16" ht="15.75" customHeight="1">
      <c r="B1526" s="14"/>
      <c r="H1526" s="14"/>
      <c r="I1526" s="567"/>
      <c r="J1526" s="15"/>
      <c r="N1526" s="14"/>
      <c r="O1526" s="14"/>
      <c r="P1526" s="14"/>
    </row>
    <row r="1527" spans="2:16" ht="15.75" customHeight="1">
      <c r="B1527" s="14"/>
      <c r="H1527" s="14"/>
      <c r="I1527" s="567"/>
      <c r="J1527" s="15"/>
      <c r="N1527" s="14"/>
      <c r="O1527" s="14"/>
      <c r="P1527" s="14"/>
    </row>
    <row r="1528" spans="2:16" ht="15.75" customHeight="1">
      <c r="B1528" s="14"/>
      <c r="H1528" s="14"/>
      <c r="I1528" s="567"/>
      <c r="J1528" s="15"/>
      <c r="N1528" s="14"/>
      <c r="O1528" s="14"/>
      <c r="P1528" s="14"/>
    </row>
    <row r="1529" spans="2:16" ht="15.75" customHeight="1">
      <c r="B1529" s="14"/>
      <c r="H1529" s="14"/>
      <c r="I1529" s="567"/>
      <c r="J1529" s="15"/>
      <c r="N1529" s="14"/>
      <c r="O1529" s="14"/>
      <c r="P1529" s="14"/>
    </row>
    <row r="1530" spans="2:16" ht="15.75" customHeight="1">
      <c r="B1530" s="14"/>
      <c r="H1530" s="14"/>
      <c r="I1530" s="567"/>
      <c r="J1530" s="15"/>
      <c r="N1530" s="14"/>
      <c r="O1530" s="14"/>
      <c r="P1530" s="14"/>
    </row>
    <row r="1531" spans="2:16" ht="15.75" customHeight="1">
      <c r="B1531" s="14"/>
      <c r="H1531" s="14"/>
      <c r="I1531" s="567"/>
      <c r="J1531" s="15"/>
      <c r="N1531" s="14"/>
      <c r="O1531" s="14"/>
      <c r="P1531" s="14"/>
    </row>
    <row r="1532" spans="2:16" ht="15.75" customHeight="1">
      <c r="B1532" s="14"/>
      <c r="H1532" s="14"/>
      <c r="I1532" s="567"/>
      <c r="J1532" s="15"/>
      <c r="N1532" s="14"/>
      <c r="O1532" s="14"/>
      <c r="P1532" s="14"/>
    </row>
    <row r="1533" spans="2:16" ht="15.75" customHeight="1">
      <c r="B1533" s="14"/>
      <c r="H1533" s="14"/>
      <c r="I1533" s="567"/>
      <c r="J1533" s="15"/>
      <c r="N1533" s="14"/>
      <c r="O1533" s="14"/>
      <c r="P1533" s="14"/>
    </row>
    <row r="1534" spans="2:16" ht="15.75" customHeight="1">
      <c r="B1534" s="14"/>
      <c r="H1534" s="14"/>
      <c r="I1534" s="567"/>
      <c r="J1534" s="15"/>
      <c r="N1534" s="14"/>
      <c r="O1534" s="14"/>
      <c r="P1534" s="14"/>
    </row>
    <row r="1535" spans="2:16" ht="15.75" customHeight="1">
      <c r="B1535" s="14"/>
      <c r="H1535" s="14"/>
      <c r="I1535" s="567"/>
      <c r="J1535" s="15"/>
      <c r="N1535" s="14"/>
      <c r="O1535" s="14"/>
      <c r="P1535" s="14"/>
    </row>
    <row r="1536" spans="2:16" ht="15.75" customHeight="1">
      <c r="B1536" s="14"/>
      <c r="H1536" s="14"/>
      <c r="I1536" s="567"/>
      <c r="J1536" s="15"/>
      <c r="N1536" s="14"/>
      <c r="O1536" s="14"/>
      <c r="P1536" s="14"/>
    </row>
    <row r="1537" spans="2:16" ht="15.75" customHeight="1">
      <c r="B1537" s="14"/>
      <c r="H1537" s="14"/>
      <c r="I1537" s="567"/>
      <c r="J1537" s="15"/>
      <c r="N1537" s="14"/>
      <c r="O1537" s="14"/>
      <c r="P1537" s="14"/>
    </row>
    <row r="1538" spans="2:16" ht="15.75" customHeight="1">
      <c r="B1538" s="14"/>
      <c r="H1538" s="14"/>
      <c r="I1538" s="567"/>
      <c r="J1538" s="15"/>
      <c r="N1538" s="14"/>
      <c r="O1538" s="14"/>
      <c r="P1538" s="14"/>
    </row>
    <row r="1539" spans="2:16" ht="15.75" customHeight="1">
      <c r="B1539" s="14"/>
      <c r="H1539" s="14"/>
      <c r="I1539" s="567"/>
      <c r="J1539" s="15"/>
      <c r="N1539" s="14"/>
      <c r="O1539" s="14"/>
      <c r="P1539" s="14"/>
    </row>
    <row r="1540" spans="2:16" ht="15.75" customHeight="1">
      <c r="B1540" s="14"/>
      <c r="H1540" s="14"/>
      <c r="I1540" s="567"/>
      <c r="J1540" s="15"/>
      <c r="N1540" s="14"/>
      <c r="O1540" s="14"/>
      <c r="P1540" s="14"/>
    </row>
    <row r="1541" spans="2:16" ht="15.75" customHeight="1">
      <c r="B1541" s="14"/>
      <c r="H1541" s="14"/>
      <c r="I1541" s="567"/>
      <c r="J1541" s="15"/>
      <c r="N1541" s="14"/>
      <c r="O1541" s="14"/>
      <c r="P1541" s="14"/>
    </row>
    <row r="1542" spans="2:16" ht="15.75" customHeight="1">
      <c r="B1542" s="14"/>
      <c r="H1542" s="14"/>
      <c r="I1542" s="567"/>
      <c r="J1542" s="15"/>
      <c r="N1542" s="14"/>
      <c r="O1542" s="14"/>
      <c r="P1542" s="14"/>
    </row>
    <row r="1543" spans="2:16" ht="15.75" customHeight="1">
      <c r="B1543" s="14"/>
      <c r="H1543" s="14"/>
      <c r="I1543" s="567"/>
      <c r="J1543" s="15"/>
      <c r="N1543" s="14"/>
      <c r="O1543" s="14"/>
      <c r="P1543" s="14"/>
    </row>
    <row r="1544" spans="2:16" ht="15.75" customHeight="1">
      <c r="B1544" s="14"/>
      <c r="H1544" s="14"/>
      <c r="I1544" s="567"/>
      <c r="J1544" s="15"/>
      <c r="N1544" s="14"/>
      <c r="O1544" s="14"/>
      <c r="P1544" s="14"/>
    </row>
    <row r="1545" spans="2:16" ht="15.75" customHeight="1">
      <c r="B1545" s="14"/>
      <c r="H1545" s="14"/>
      <c r="I1545" s="567"/>
      <c r="J1545" s="15"/>
      <c r="N1545" s="14"/>
      <c r="O1545" s="14"/>
      <c r="P1545" s="14"/>
    </row>
    <row r="1546" spans="2:16" ht="15.75" customHeight="1">
      <c r="B1546" s="14"/>
      <c r="H1546" s="14"/>
      <c r="I1546" s="567"/>
      <c r="J1546" s="15"/>
      <c r="N1546" s="14"/>
      <c r="O1546" s="14"/>
      <c r="P1546" s="14"/>
    </row>
    <row r="1547" spans="2:16" ht="15.75" customHeight="1">
      <c r="B1547" s="14"/>
      <c r="H1547" s="14"/>
      <c r="I1547" s="567"/>
      <c r="J1547" s="15"/>
      <c r="N1547" s="14"/>
      <c r="O1547" s="14"/>
      <c r="P1547" s="14"/>
    </row>
    <row r="1548" spans="2:16" ht="15.75" customHeight="1">
      <c r="B1548" s="14"/>
      <c r="H1548" s="14"/>
      <c r="I1548" s="567"/>
      <c r="J1548" s="15"/>
      <c r="N1548" s="14"/>
      <c r="O1548" s="14"/>
      <c r="P1548" s="14"/>
    </row>
    <row r="1549" spans="2:16" ht="15.75" customHeight="1">
      <c r="B1549" s="14"/>
      <c r="H1549" s="14"/>
      <c r="I1549" s="567"/>
      <c r="J1549" s="15"/>
      <c r="N1549" s="14"/>
      <c r="O1549" s="14"/>
      <c r="P1549" s="14"/>
    </row>
    <row r="1550" spans="2:16" ht="15.75" customHeight="1">
      <c r="B1550" s="14"/>
      <c r="H1550" s="14"/>
      <c r="I1550" s="567"/>
      <c r="J1550" s="15"/>
      <c r="N1550" s="14"/>
      <c r="O1550" s="14"/>
      <c r="P1550" s="14"/>
    </row>
    <row r="1551" spans="2:16" ht="15.75" customHeight="1">
      <c r="B1551" s="14"/>
      <c r="H1551" s="14"/>
      <c r="I1551" s="567"/>
      <c r="J1551" s="15"/>
      <c r="N1551" s="14"/>
      <c r="O1551" s="14"/>
      <c r="P1551" s="14"/>
    </row>
    <row r="1552" spans="2:16" ht="15.75" customHeight="1">
      <c r="B1552" s="14"/>
      <c r="H1552" s="14"/>
      <c r="I1552" s="567"/>
      <c r="J1552" s="15"/>
      <c r="N1552" s="14"/>
      <c r="O1552" s="14"/>
      <c r="P1552" s="14"/>
    </row>
    <row r="1553" spans="2:16" ht="15.75" customHeight="1">
      <c r="B1553" s="14"/>
      <c r="H1553" s="14"/>
      <c r="I1553" s="567"/>
      <c r="J1553" s="15"/>
      <c r="N1553" s="14"/>
      <c r="O1553" s="14"/>
      <c r="P1553" s="14"/>
    </row>
    <row r="1554" spans="2:16" ht="15.75" customHeight="1">
      <c r="B1554" s="14"/>
      <c r="H1554" s="14"/>
      <c r="I1554" s="567"/>
      <c r="J1554" s="15"/>
      <c r="N1554" s="14"/>
      <c r="O1554" s="14"/>
      <c r="P1554" s="14"/>
    </row>
    <row r="1555" spans="2:16" ht="15.75" customHeight="1">
      <c r="B1555" s="14"/>
      <c r="H1555" s="14"/>
      <c r="I1555" s="567"/>
      <c r="J1555" s="15"/>
      <c r="N1555" s="14"/>
      <c r="O1555" s="14"/>
      <c r="P1555" s="14"/>
    </row>
    <row r="1556" spans="2:16" ht="15.75" customHeight="1">
      <c r="B1556" s="14"/>
      <c r="H1556" s="14"/>
      <c r="I1556" s="567"/>
      <c r="J1556" s="15"/>
      <c r="N1556" s="14"/>
      <c r="O1556" s="14"/>
      <c r="P1556" s="14"/>
    </row>
    <row r="1557" spans="2:16" ht="15.75" customHeight="1">
      <c r="B1557" s="14"/>
      <c r="H1557" s="14"/>
      <c r="I1557" s="567"/>
      <c r="J1557" s="15"/>
      <c r="N1557" s="14"/>
      <c r="O1557" s="14"/>
      <c r="P1557" s="14"/>
    </row>
    <row r="1558" spans="2:16" ht="15.75" customHeight="1">
      <c r="B1558" s="14"/>
      <c r="H1558" s="14"/>
      <c r="I1558" s="567"/>
      <c r="J1558" s="15"/>
      <c r="N1558" s="14"/>
      <c r="O1558" s="14"/>
      <c r="P1558" s="14"/>
    </row>
    <row r="1559" spans="2:16" ht="15.75" customHeight="1">
      <c r="B1559" s="14"/>
      <c r="H1559" s="14"/>
      <c r="I1559" s="567"/>
      <c r="J1559" s="15"/>
      <c r="N1559" s="14"/>
      <c r="O1559" s="14"/>
      <c r="P1559" s="14"/>
    </row>
    <row r="1560" spans="2:16" ht="15.75" customHeight="1">
      <c r="B1560" s="14"/>
      <c r="H1560" s="14"/>
      <c r="I1560" s="567"/>
      <c r="J1560" s="15"/>
      <c r="N1560" s="14"/>
      <c r="O1560" s="14"/>
      <c r="P1560" s="14"/>
    </row>
    <row r="1561" spans="2:16" ht="15.75" customHeight="1">
      <c r="B1561" s="14"/>
      <c r="H1561" s="14"/>
      <c r="I1561" s="567"/>
      <c r="J1561" s="15"/>
      <c r="N1561" s="14"/>
      <c r="O1561" s="14"/>
      <c r="P1561" s="14"/>
    </row>
    <row r="1562" spans="2:16" ht="15.75" customHeight="1">
      <c r="B1562" s="14"/>
      <c r="H1562" s="14"/>
      <c r="I1562" s="567"/>
      <c r="J1562" s="15"/>
      <c r="N1562" s="14"/>
      <c r="O1562" s="14"/>
      <c r="P1562" s="14"/>
    </row>
    <row r="1563" spans="2:16" ht="15.75" customHeight="1">
      <c r="B1563" s="14"/>
      <c r="H1563" s="14"/>
      <c r="I1563" s="567"/>
      <c r="J1563" s="15"/>
      <c r="N1563" s="14"/>
      <c r="O1563" s="14"/>
      <c r="P1563" s="14"/>
    </row>
    <row r="1564" spans="2:16" ht="15.75" customHeight="1">
      <c r="B1564" s="14"/>
      <c r="H1564" s="14"/>
      <c r="I1564" s="567"/>
      <c r="J1564" s="15"/>
      <c r="N1564" s="14"/>
      <c r="O1564" s="14"/>
      <c r="P1564" s="14"/>
    </row>
    <row r="1565" spans="2:16" ht="15.75" customHeight="1">
      <c r="B1565" s="14"/>
      <c r="H1565" s="14"/>
      <c r="I1565" s="567"/>
      <c r="J1565" s="15"/>
      <c r="N1565" s="14"/>
      <c r="O1565" s="14"/>
      <c r="P1565" s="14"/>
    </row>
    <row r="1566" spans="2:16" ht="15.75" customHeight="1">
      <c r="B1566" s="14"/>
      <c r="H1566" s="14"/>
      <c r="I1566" s="567"/>
      <c r="J1566" s="15"/>
      <c r="N1566" s="14"/>
      <c r="O1566" s="14"/>
      <c r="P1566" s="14"/>
    </row>
    <row r="1567" spans="2:16" ht="15.75" customHeight="1">
      <c r="B1567" s="14"/>
      <c r="H1567" s="14"/>
      <c r="I1567" s="567"/>
      <c r="J1567" s="15"/>
      <c r="N1567" s="14"/>
      <c r="O1567" s="14"/>
      <c r="P1567" s="14"/>
    </row>
    <row r="1568" spans="2:16" ht="15.75" customHeight="1">
      <c r="B1568" s="14"/>
      <c r="H1568" s="14"/>
      <c r="I1568" s="567"/>
      <c r="J1568" s="15"/>
      <c r="N1568" s="14"/>
      <c r="O1568" s="14"/>
      <c r="P1568" s="14"/>
    </row>
    <row r="1569" spans="2:16" ht="15.75" customHeight="1">
      <c r="B1569" s="14"/>
      <c r="H1569" s="14"/>
      <c r="I1569" s="567"/>
      <c r="J1569" s="15"/>
      <c r="N1569" s="14"/>
      <c r="O1569" s="14"/>
      <c r="P1569" s="14"/>
    </row>
    <row r="1570" spans="2:16" ht="15.75" customHeight="1">
      <c r="B1570" s="14"/>
      <c r="H1570" s="14"/>
      <c r="I1570" s="567"/>
      <c r="J1570" s="15"/>
      <c r="N1570" s="14"/>
      <c r="O1570" s="14"/>
      <c r="P1570" s="14"/>
    </row>
    <row r="1571" spans="2:16" ht="15.75" customHeight="1">
      <c r="B1571" s="14"/>
      <c r="H1571" s="14"/>
      <c r="I1571" s="567"/>
      <c r="J1571" s="15"/>
      <c r="N1571" s="14"/>
      <c r="O1571" s="14"/>
      <c r="P1571" s="14"/>
    </row>
    <row r="1572" spans="2:16" ht="15.75" customHeight="1">
      <c r="B1572" s="14"/>
      <c r="H1572" s="14"/>
      <c r="I1572" s="567"/>
      <c r="J1572" s="15"/>
      <c r="N1572" s="14"/>
      <c r="O1572" s="14"/>
      <c r="P1572" s="14"/>
    </row>
    <row r="1573" spans="2:16" ht="15.75" customHeight="1">
      <c r="B1573" s="14"/>
      <c r="H1573" s="14"/>
      <c r="I1573" s="567"/>
      <c r="J1573" s="15"/>
      <c r="N1573" s="14"/>
      <c r="O1573" s="14"/>
      <c r="P1573" s="14"/>
    </row>
    <row r="1574" spans="2:16" ht="15.75" customHeight="1">
      <c r="B1574" s="14"/>
      <c r="H1574" s="14"/>
      <c r="I1574" s="567"/>
      <c r="J1574" s="15"/>
      <c r="N1574" s="14"/>
      <c r="O1574" s="14"/>
      <c r="P1574" s="14"/>
    </row>
    <row r="1575" spans="2:16" ht="15.75" customHeight="1">
      <c r="B1575" s="14"/>
      <c r="H1575" s="14"/>
      <c r="I1575" s="567"/>
      <c r="J1575" s="15"/>
      <c r="N1575" s="14"/>
      <c r="O1575" s="14"/>
      <c r="P1575" s="14"/>
    </row>
    <row r="1576" spans="2:16" ht="15.75" customHeight="1">
      <c r="B1576" s="14"/>
      <c r="H1576" s="14"/>
      <c r="I1576" s="567"/>
      <c r="J1576" s="15"/>
      <c r="N1576" s="14"/>
      <c r="O1576" s="14"/>
      <c r="P1576" s="14"/>
    </row>
    <row r="1577" spans="2:16" ht="15.75" customHeight="1">
      <c r="B1577" s="14"/>
      <c r="H1577" s="14"/>
      <c r="I1577" s="567"/>
      <c r="J1577" s="15"/>
      <c r="N1577" s="14"/>
      <c r="O1577" s="14"/>
      <c r="P1577" s="14"/>
    </row>
    <row r="1578" spans="2:16" ht="15.75" customHeight="1">
      <c r="B1578" s="14"/>
      <c r="H1578" s="14"/>
      <c r="I1578" s="567"/>
      <c r="J1578" s="15"/>
      <c r="N1578" s="14"/>
      <c r="O1578" s="14"/>
      <c r="P1578" s="14"/>
    </row>
    <row r="1579" spans="2:16" ht="15.75" customHeight="1">
      <c r="B1579" s="14"/>
      <c r="H1579" s="14"/>
      <c r="I1579" s="567"/>
      <c r="J1579" s="15"/>
      <c r="N1579" s="14"/>
      <c r="O1579" s="14"/>
      <c r="P1579" s="14"/>
    </row>
    <row r="1580" spans="2:16" ht="15.75" customHeight="1">
      <c r="B1580" s="14"/>
      <c r="H1580" s="14"/>
      <c r="I1580" s="567"/>
      <c r="J1580" s="15"/>
      <c r="N1580" s="14"/>
      <c r="O1580" s="14"/>
      <c r="P1580" s="14"/>
    </row>
    <row r="1581" spans="2:16" ht="15.75" customHeight="1">
      <c r="B1581" s="14"/>
      <c r="H1581" s="14"/>
      <c r="I1581" s="567"/>
      <c r="J1581" s="15"/>
      <c r="N1581" s="14"/>
      <c r="O1581" s="14"/>
      <c r="P1581" s="14"/>
    </row>
    <row r="1582" spans="2:16" ht="15.75" customHeight="1">
      <c r="B1582" s="14"/>
      <c r="H1582" s="14"/>
      <c r="I1582" s="567"/>
      <c r="J1582" s="15"/>
      <c r="N1582" s="14"/>
      <c r="O1582" s="14"/>
      <c r="P1582" s="14"/>
    </row>
    <row r="1583" spans="2:16" ht="15.75" customHeight="1">
      <c r="B1583" s="14"/>
      <c r="H1583" s="14"/>
      <c r="I1583" s="567"/>
      <c r="J1583" s="15"/>
      <c r="N1583" s="14"/>
      <c r="O1583" s="14"/>
      <c r="P1583" s="14"/>
    </row>
    <row r="1584" spans="2:16" ht="15.75" customHeight="1">
      <c r="B1584" s="14"/>
      <c r="H1584" s="14"/>
      <c r="I1584" s="567"/>
      <c r="J1584" s="15"/>
      <c r="N1584" s="14"/>
      <c r="O1584" s="14"/>
      <c r="P1584" s="14"/>
    </row>
    <row r="1585" spans="2:16" ht="15.75" customHeight="1">
      <c r="B1585" s="14"/>
      <c r="H1585" s="14"/>
      <c r="I1585" s="567"/>
      <c r="J1585" s="15"/>
      <c r="N1585" s="14"/>
      <c r="O1585" s="14"/>
      <c r="P1585" s="14"/>
    </row>
    <row r="1586" spans="2:16" ht="15.75" customHeight="1">
      <c r="B1586" s="14"/>
      <c r="H1586" s="14"/>
      <c r="I1586" s="567"/>
      <c r="J1586" s="15"/>
      <c r="N1586" s="14"/>
      <c r="O1586" s="14"/>
      <c r="P1586" s="14"/>
    </row>
    <row r="1587" spans="2:16" ht="15.75" customHeight="1">
      <c r="B1587" s="14"/>
      <c r="H1587" s="14"/>
      <c r="I1587" s="567"/>
      <c r="J1587" s="15"/>
      <c r="N1587" s="14"/>
      <c r="O1587" s="14"/>
      <c r="P1587" s="14"/>
    </row>
    <row r="1588" spans="2:16" ht="15.75" customHeight="1">
      <c r="B1588" s="14"/>
      <c r="H1588" s="14"/>
      <c r="I1588" s="567"/>
      <c r="J1588" s="15"/>
      <c r="N1588" s="14"/>
      <c r="O1588" s="14"/>
      <c r="P1588" s="14"/>
    </row>
    <row r="1589" spans="2:16" ht="15.75" customHeight="1">
      <c r="B1589" s="14"/>
      <c r="H1589" s="14"/>
      <c r="I1589" s="567"/>
      <c r="J1589" s="15"/>
      <c r="N1589" s="14"/>
      <c r="O1589" s="14"/>
      <c r="P1589" s="14"/>
    </row>
    <row r="1590" spans="2:16" ht="15.75" customHeight="1">
      <c r="B1590" s="14"/>
      <c r="H1590" s="14"/>
      <c r="I1590" s="567"/>
      <c r="J1590" s="15"/>
      <c r="N1590" s="14"/>
      <c r="O1590" s="14"/>
      <c r="P1590" s="14"/>
    </row>
    <row r="1591" spans="2:16" ht="15.75" customHeight="1">
      <c r="B1591" s="14"/>
      <c r="H1591" s="14"/>
      <c r="I1591" s="567"/>
      <c r="J1591" s="15"/>
      <c r="N1591" s="14"/>
      <c r="O1591" s="14"/>
      <c r="P1591" s="14"/>
    </row>
    <row r="1592" spans="2:16" ht="15.75" customHeight="1">
      <c r="B1592" s="14"/>
      <c r="H1592" s="14"/>
      <c r="I1592" s="567"/>
      <c r="J1592" s="15"/>
      <c r="N1592" s="14"/>
      <c r="O1592" s="14"/>
      <c r="P1592" s="14"/>
    </row>
    <row r="1593" spans="2:16" ht="15.75" customHeight="1">
      <c r="B1593" s="14"/>
      <c r="H1593" s="14"/>
      <c r="I1593" s="567"/>
      <c r="J1593" s="15"/>
      <c r="N1593" s="14"/>
      <c r="O1593" s="14"/>
      <c r="P1593" s="14"/>
    </row>
    <row r="1594" spans="2:16" ht="15.75" customHeight="1">
      <c r="B1594" s="14"/>
      <c r="H1594" s="14"/>
      <c r="I1594" s="567"/>
      <c r="J1594" s="15"/>
      <c r="N1594" s="14"/>
      <c r="O1594" s="14"/>
      <c r="P1594" s="14"/>
    </row>
    <row r="1595" spans="2:16" ht="15.75" customHeight="1">
      <c r="B1595" s="14"/>
      <c r="H1595" s="14"/>
      <c r="I1595" s="567"/>
      <c r="J1595" s="15"/>
      <c r="N1595" s="14"/>
      <c r="O1595" s="14"/>
      <c r="P1595" s="14"/>
    </row>
    <row r="1596" spans="2:16" ht="15.75" customHeight="1">
      <c r="B1596" s="14"/>
      <c r="H1596" s="14"/>
      <c r="I1596" s="567"/>
      <c r="J1596" s="15"/>
      <c r="N1596" s="14"/>
      <c r="O1596" s="14"/>
      <c r="P1596" s="14"/>
    </row>
    <row r="1597" spans="2:16" ht="15.75" customHeight="1">
      <c r="B1597" s="14"/>
      <c r="H1597" s="14"/>
      <c r="I1597" s="567"/>
      <c r="J1597" s="15"/>
      <c r="N1597" s="14"/>
      <c r="O1597" s="14"/>
      <c r="P1597" s="14"/>
    </row>
    <row r="1598" spans="2:16" ht="15.75" customHeight="1">
      <c r="B1598" s="14"/>
      <c r="H1598" s="14"/>
      <c r="I1598" s="567"/>
      <c r="J1598" s="15"/>
      <c r="N1598" s="14"/>
      <c r="O1598" s="14"/>
      <c r="P1598" s="14"/>
    </row>
    <row r="1599" spans="2:16" ht="15.75" customHeight="1">
      <c r="B1599" s="14"/>
      <c r="H1599" s="14"/>
      <c r="I1599" s="567"/>
      <c r="J1599" s="15"/>
      <c r="N1599" s="14"/>
      <c r="O1599" s="14"/>
      <c r="P1599" s="14"/>
    </row>
    <row r="1600" spans="2:16" ht="15.75" customHeight="1">
      <c r="B1600" s="14"/>
      <c r="H1600" s="14"/>
      <c r="I1600" s="567"/>
      <c r="J1600" s="15"/>
      <c r="N1600" s="14"/>
      <c r="O1600" s="14"/>
      <c r="P1600" s="14"/>
    </row>
    <row r="1601" spans="2:16" ht="15.75" customHeight="1">
      <c r="B1601" s="14"/>
      <c r="H1601" s="14"/>
      <c r="I1601" s="567"/>
      <c r="J1601" s="15"/>
      <c r="N1601" s="14"/>
      <c r="O1601" s="14"/>
      <c r="P1601" s="14"/>
    </row>
    <row r="1602" spans="2:16" ht="15.75" customHeight="1">
      <c r="B1602" s="14"/>
      <c r="H1602" s="14"/>
      <c r="I1602" s="567"/>
      <c r="J1602" s="15"/>
      <c r="N1602" s="14"/>
      <c r="O1602" s="14"/>
      <c r="P1602" s="14"/>
    </row>
    <row r="1603" spans="2:16" ht="15.75" customHeight="1">
      <c r="B1603" s="14"/>
      <c r="H1603" s="14"/>
      <c r="I1603" s="567"/>
      <c r="J1603" s="15"/>
      <c r="N1603" s="14"/>
      <c r="O1603" s="14"/>
      <c r="P1603" s="14"/>
    </row>
    <row r="1604" spans="2:16" ht="15.75" customHeight="1">
      <c r="B1604" s="14"/>
      <c r="H1604" s="14"/>
      <c r="I1604" s="567"/>
      <c r="J1604" s="15"/>
      <c r="N1604" s="14"/>
      <c r="O1604" s="14"/>
      <c r="P1604" s="14"/>
    </row>
    <row r="1605" spans="2:16" ht="15.75" customHeight="1">
      <c r="B1605" s="14"/>
      <c r="H1605" s="14"/>
      <c r="I1605" s="567"/>
      <c r="J1605" s="15"/>
      <c r="N1605" s="14"/>
      <c r="O1605" s="14"/>
      <c r="P1605" s="14"/>
    </row>
    <row r="1606" spans="2:16" ht="15.75" customHeight="1">
      <c r="B1606" s="14"/>
      <c r="H1606" s="14"/>
      <c r="I1606" s="567"/>
      <c r="J1606" s="15"/>
      <c r="N1606" s="14"/>
      <c r="O1606" s="14"/>
      <c r="P1606" s="14"/>
    </row>
    <row r="1607" spans="2:16" ht="15.75" customHeight="1">
      <c r="B1607" s="14"/>
      <c r="H1607" s="14"/>
      <c r="I1607" s="567"/>
      <c r="J1607" s="15"/>
      <c r="N1607" s="14"/>
      <c r="O1607" s="14"/>
      <c r="P1607" s="14"/>
    </row>
    <row r="1608" spans="2:16" ht="15.75" customHeight="1">
      <c r="B1608" s="14"/>
      <c r="H1608" s="14"/>
      <c r="I1608" s="567"/>
      <c r="J1608" s="15"/>
      <c r="N1608" s="14"/>
      <c r="O1608" s="14"/>
      <c r="P1608" s="14"/>
    </row>
    <row r="1609" spans="2:16" ht="15.75" customHeight="1">
      <c r="B1609" s="14"/>
      <c r="H1609" s="14"/>
      <c r="I1609" s="567"/>
      <c r="J1609" s="15"/>
      <c r="N1609" s="14"/>
      <c r="O1609" s="14"/>
      <c r="P1609" s="14"/>
    </row>
    <row r="1610" spans="2:16" ht="15.75" customHeight="1">
      <c r="B1610" s="14"/>
      <c r="H1610" s="14"/>
      <c r="I1610" s="567"/>
      <c r="J1610" s="15"/>
      <c r="N1610" s="14"/>
      <c r="O1610" s="14"/>
      <c r="P1610" s="14"/>
    </row>
    <row r="1611" spans="2:16" ht="15.75" customHeight="1">
      <c r="B1611" s="14"/>
      <c r="H1611" s="14"/>
      <c r="I1611" s="567"/>
      <c r="J1611" s="15"/>
      <c r="N1611" s="14"/>
      <c r="O1611" s="14"/>
      <c r="P1611" s="14"/>
    </row>
    <row r="1612" spans="2:16" ht="15.75" customHeight="1">
      <c r="B1612" s="14"/>
      <c r="H1612" s="14"/>
      <c r="I1612" s="567"/>
      <c r="J1612" s="15"/>
      <c r="N1612" s="14"/>
      <c r="O1612" s="14"/>
      <c r="P1612" s="14"/>
    </row>
    <row r="1613" spans="2:16" ht="15.75" customHeight="1">
      <c r="B1613" s="14"/>
      <c r="H1613" s="14"/>
      <c r="I1613" s="567"/>
      <c r="J1613" s="15"/>
      <c r="N1613" s="14"/>
      <c r="O1613" s="14"/>
      <c r="P1613" s="14"/>
    </row>
    <row r="1614" spans="2:16" ht="15.75" customHeight="1">
      <c r="B1614" s="14"/>
      <c r="H1614" s="14"/>
      <c r="I1614" s="567"/>
      <c r="J1614" s="15"/>
      <c r="N1614" s="14"/>
      <c r="O1614" s="14"/>
      <c r="P1614" s="14"/>
    </row>
    <row r="1615" spans="2:16" ht="15.75" customHeight="1">
      <c r="B1615" s="14"/>
      <c r="H1615" s="14"/>
      <c r="I1615" s="567"/>
      <c r="J1615" s="15"/>
      <c r="N1615" s="14"/>
      <c r="O1615" s="14"/>
      <c r="P1615" s="14"/>
    </row>
    <row r="1616" spans="2:16" ht="15.75" customHeight="1">
      <c r="B1616" s="14"/>
      <c r="H1616" s="14"/>
      <c r="I1616" s="567"/>
      <c r="J1616" s="15"/>
      <c r="N1616" s="14"/>
      <c r="O1616" s="14"/>
      <c r="P1616" s="14"/>
    </row>
    <row r="1617" spans="2:16" ht="15.75" customHeight="1">
      <c r="B1617" s="14"/>
      <c r="H1617" s="14"/>
      <c r="I1617" s="567"/>
      <c r="J1617" s="15"/>
      <c r="N1617" s="14"/>
      <c r="O1617" s="14"/>
      <c r="P1617" s="14"/>
    </row>
    <row r="1618" spans="2:16" ht="15.75" customHeight="1">
      <c r="B1618" s="14"/>
      <c r="H1618" s="14"/>
      <c r="I1618" s="567"/>
      <c r="J1618" s="15"/>
      <c r="N1618" s="14"/>
      <c r="O1618" s="14"/>
      <c r="P1618" s="14"/>
    </row>
    <row r="1619" spans="2:16" ht="15.75" customHeight="1">
      <c r="B1619" s="14"/>
      <c r="H1619" s="14"/>
      <c r="I1619" s="567"/>
      <c r="J1619" s="15"/>
      <c r="N1619" s="14"/>
      <c r="O1619" s="14"/>
      <c r="P1619" s="14"/>
    </row>
    <row r="1620" spans="2:16" ht="15.75" customHeight="1">
      <c r="B1620" s="14"/>
      <c r="H1620" s="14"/>
      <c r="I1620" s="567"/>
      <c r="J1620" s="15"/>
      <c r="N1620" s="14"/>
      <c r="O1620" s="14"/>
      <c r="P1620" s="14"/>
    </row>
    <row r="1621" spans="2:16" ht="15.75" customHeight="1">
      <c r="B1621" s="14"/>
      <c r="H1621" s="14"/>
      <c r="I1621" s="567"/>
      <c r="J1621" s="15"/>
      <c r="N1621" s="14"/>
      <c r="O1621" s="14"/>
      <c r="P1621" s="14"/>
    </row>
    <row r="1622" spans="2:16" ht="15.75" customHeight="1">
      <c r="B1622" s="14"/>
      <c r="H1622" s="14"/>
      <c r="I1622" s="567"/>
      <c r="J1622" s="15"/>
      <c r="N1622" s="14"/>
      <c r="O1622" s="14"/>
      <c r="P1622" s="14"/>
    </row>
    <row r="1623" spans="2:16" ht="15.75" customHeight="1">
      <c r="B1623" s="14"/>
      <c r="H1623" s="14"/>
      <c r="I1623" s="567"/>
      <c r="J1623" s="15"/>
      <c r="N1623" s="14"/>
      <c r="O1623" s="14"/>
      <c r="P1623" s="14"/>
    </row>
    <row r="1624" spans="2:16" ht="15.75" customHeight="1">
      <c r="B1624" s="14"/>
      <c r="H1624" s="14"/>
      <c r="I1624" s="567"/>
      <c r="J1624" s="15"/>
      <c r="N1624" s="14"/>
      <c r="O1624" s="14"/>
      <c r="P1624" s="14"/>
    </row>
    <row r="1625" spans="2:16" ht="15.75" customHeight="1">
      <c r="B1625" s="14"/>
      <c r="H1625" s="14"/>
      <c r="I1625" s="567"/>
      <c r="J1625" s="15"/>
      <c r="N1625" s="14"/>
      <c r="O1625" s="14"/>
      <c r="P1625" s="14"/>
    </row>
    <row r="1626" spans="2:16" ht="15.75" customHeight="1">
      <c r="B1626" s="14"/>
      <c r="H1626" s="14"/>
      <c r="I1626" s="567"/>
      <c r="J1626" s="15"/>
      <c r="N1626" s="14"/>
      <c r="O1626" s="14"/>
      <c r="P1626" s="14"/>
    </row>
    <row r="1627" spans="2:16" ht="15.75" customHeight="1">
      <c r="B1627" s="14"/>
      <c r="H1627" s="14"/>
      <c r="I1627" s="567"/>
      <c r="J1627" s="15"/>
      <c r="N1627" s="14"/>
      <c r="O1627" s="14"/>
      <c r="P1627" s="14"/>
    </row>
    <row r="1628" spans="2:16" ht="15.75" customHeight="1">
      <c r="B1628" s="14"/>
      <c r="H1628" s="14"/>
      <c r="I1628" s="567"/>
      <c r="J1628" s="15"/>
      <c r="N1628" s="14"/>
      <c r="O1628" s="14"/>
      <c r="P1628" s="14"/>
    </row>
    <row r="1629" spans="2:16" ht="15.75" customHeight="1">
      <c r="B1629" s="14"/>
      <c r="H1629" s="14"/>
      <c r="I1629" s="567"/>
      <c r="J1629" s="15"/>
      <c r="N1629" s="14"/>
      <c r="O1629" s="14"/>
      <c r="P1629" s="14"/>
    </row>
    <row r="1630" spans="2:16" ht="15.75" customHeight="1">
      <c r="B1630" s="14"/>
      <c r="H1630" s="14"/>
      <c r="I1630" s="567"/>
      <c r="J1630" s="15"/>
      <c r="N1630" s="14"/>
      <c r="O1630" s="14"/>
      <c r="P1630" s="14"/>
    </row>
    <row r="1631" spans="2:16" ht="15.75" customHeight="1">
      <c r="B1631" s="14"/>
      <c r="H1631" s="14"/>
      <c r="I1631" s="567"/>
      <c r="J1631" s="15"/>
      <c r="N1631" s="14"/>
      <c r="O1631" s="14"/>
      <c r="P1631" s="14"/>
    </row>
    <row r="1632" spans="2:16" ht="15.75" customHeight="1">
      <c r="B1632" s="14"/>
      <c r="H1632" s="14"/>
      <c r="I1632" s="567"/>
      <c r="J1632" s="15"/>
      <c r="N1632" s="14"/>
      <c r="O1632" s="14"/>
      <c r="P1632" s="14"/>
    </row>
    <row r="1633" spans="2:16" ht="15.75" customHeight="1">
      <c r="B1633" s="14"/>
      <c r="H1633" s="14"/>
      <c r="I1633" s="567"/>
      <c r="J1633" s="15"/>
      <c r="N1633" s="14"/>
      <c r="O1633" s="14"/>
      <c r="P1633" s="14"/>
    </row>
    <row r="1634" spans="2:16" ht="15.75" customHeight="1">
      <c r="B1634" s="14"/>
      <c r="H1634" s="14"/>
      <c r="I1634" s="567"/>
      <c r="J1634" s="15"/>
      <c r="N1634" s="14"/>
      <c r="O1634" s="14"/>
      <c r="P1634" s="14"/>
    </row>
    <row r="1635" spans="2:16" ht="15.75" customHeight="1">
      <c r="B1635" s="14"/>
      <c r="H1635" s="14"/>
      <c r="I1635" s="567"/>
      <c r="J1635" s="15"/>
      <c r="N1635" s="14"/>
      <c r="O1635" s="14"/>
      <c r="P1635" s="14"/>
    </row>
    <row r="1636" spans="2:16" ht="15.75" customHeight="1">
      <c r="B1636" s="14"/>
      <c r="H1636" s="14"/>
      <c r="I1636" s="567"/>
      <c r="J1636" s="15"/>
      <c r="N1636" s="14"/>
      <c r="O1636" s="14"/>
      <c r="P1636" s="14"/>
    </row>
    <row r="1637" spans="2:16" ht="15.75" customHeight="1">
      <c r="B1637" s="14"/>
      <c r="H1637" s="14"/>
      <c r="I1637" s="567"/>
      <c r="J1637" s="15"/>
      <c r="N1637" s="14"/>
      <c r="O1637" s="14"/>
      <c r="P1637" s="14"/>
    </row>
    <row r="1638" spans="2:16" ht="15.75" customHeight="1">
      <c r="B1638" s="14"/>
      <c r="H1638" s="14"/>
      <c r="I1638" s="567"/>
      <c r="J1638" s="15"/>
      <c r="N1638" s="14"/>
      <c r="O1638" s="14"/>
      <c r="P1638" s="14"/>
    </row>
    <row r="1639" spans="2:16" ht="15.75" customHeight="1">
      <c r="B1639" s="14"/>
      <c r="H1639" s="14"/>
      <c r="I1639" s="567"/>
      <c r="J1639" s="15"/>
      <c r="N1639" s="14"/>
      <c r="O1639" s="14"/>
      <c r="P1639" s="14"/>
    </row>
    <row r="1640" spans="2:16" ht="15.75" customHeight="1">
      <c r="B1640" s="14"/>
      <c r="H1640" s="14"/>
      <c r="I1640" s="567"/>
      <c r="J1640" s="15"/>
      <c r="N1640" s="14"/>
      <c r="O1640" s="14"/>
      <c r="P1640" s="14"/>
    </row>
    <row r="1641" spans="2:16" ht="15.75" customHeight="1">
      <c r="B1641" s="14"/>
      <c r="H1641" s="14"/>
      <c r="I1641" s="567"/>
      <c r="J1641" s="15"/>
      <c r="N1641" s="14"/>
      <c r="O1641" s="14"/>
      <c r="P1641" s="14"/>
    </row>
    <row r="1642" spans="2:16" ht="15.75" customHeight="1">
      <c r="B1642" s="14"/>
      <c r="H1642" s="14"/>
      <c r="I1642" s="567"/>
      <c r="J1642" s="15"/>
      <c r="N1642" s="14"/>
      <c r="O1642" s="14"/>
      <c r="P1642" s="14"/>
    </row>
    <row r="1643" spans="2:16" ht="15.75" customHeight="1">
      <c r="B1643" s="14"/>
      <c r="H1643" s="14"/>
      <c r="I1643" s="567"/>
      <c r="J1643" s="15"/>
      <c r="N1643" s="14"/>
      <c r="O1643" s="14"/>
      <c r="P1643" s="14"/>
    </row>
    <row r="1644" spans="2:16" ht="15.75" customHeight="1">
      <c r="B1644" s="14"/>
      <c r="H1644" s="14"/>
      <c r="I1644" s="567"/>
      <c r="J1644" s="15"/>
      <c r="N1644" s="14"/>
      <c r="O1644" s="14"/>
      <c r="P1644" s="14"/>
    </row>
    <row r="1645" spans="2:16" ht="15.75" customHeight="1">
      <c r="B1645" s="14"/>
      <c r="H1645" s="14"/>
      <c r="I1645" s="567"/>
      <c r="J1645" s="15"/>
      <c r="N1645" s="14"/>
      <c r="O1645" s="14"/>
      <c r="P1645" s="14"/>
    </row>
    <row r="1646" spans="2:16" ht="15.75" customHeight="1">
      <c r="B1646" s="14"/>
      <c r="H1646" s="14"/>
      <c r="I1646" s="567"/>
      <c r="J1646" s="15"/>
      <c r="N1646" s="14"/>
      <c r="O1646" s="14"/>
      <c r="P1646" s="14"/>
    </row>
    <row r="1647" spans="2:16" ht="15.75" customHeight="1">
      <c r="B1647" s="14"/>
      <c r="H1647" s="14"/>
      <c r="I1647" s="567"/>
      <c r="J1647" s="15"/>
      <c r="N1647" s="14"/>
      <c r="O1647" s="14"/>
      <c r="P1647" s="14"/>
    </row>
    <row r="1648" spans="2:16" ht="15.75" customHeight="1">
      <c r="B1648" s="14"/>
      <c r="H1648" s="14"/>
      <c r="I1648" s="567"/>
      <c r="J1648" s="15"/>
      <c r="N1648" s="14"/>
      <c r="O1648" s="14"/>
      <c r="P1648" s="14"/>
    </row>
    <row r="1649" spans="2:16" ht="15.75" customHeight="1">
      <c r="B1649" s="14"/>
      <c r="H1649" s="14"/>
      <c r="I1649" s="567"/>
      <c r="J1649" s="15"/>
      <c r="N1649" s="14"/>
      <c r="O1649" s="14"/>
      <c r="P1649" s="14"/>
    </row>
    <row r="1650" spans="2:16" ht="15.75" customHeight="1">
      <c r="B1650" s="14"/>
      <c r="H1650" s="14"/>
      <c r="I1650" s="567"/>
      <c r="J1650" s="15"/>
      <c r="N1650" s="14"/>
      <c r="O1650" s="14"/>
      <c r="P1650" s="14"/>
    </row>
    <row r="1651" spans="2:16" ht="15.75" customHeight="1">
      <c r="B1651" s="14"/>
      <c r="H1651" s="14"/>
      <c r="I1651" s="567"/>
      <c r="J1651" s="15"/>
      <c r="N1651" s="14"/>
      <c r="O1651" s="14"/>
      <c r="P1651" s="14"/>
    </row>
    <row r="1652" spans="2:16" ht="15.75" customHeight="1">
      <c r="B1652" s="14"/>
      <c r="H1652" s="14"/>
      <c r="I1652" s="567"/>
      <c r="J1652" s="15"/>
      <c r="N1652" s="14"/>
      <c r="O1652" s="14"/>
      <c r="P1652" s="14"/>
    </row>
    <row r="1653" spans="2:16" ht="15.75" customHeight="1">
      <c r="B1653" s="14"/>
      <c r="H1653" s="14"/>
      <c r="I1653" s="567"/>
      <c r="J1653" s="15"/>
      <c r="N1653" s="14"/>
      <c r="O1653" s="14"/>
      <c r="P1653" s="14"/>
    </row>
    <row r="1654" spans="2:16" ht="15.75" customHeight="1">
      <c r="B1654" s="14"/>
      <c r="H1654" s="14"/>
      <c r="I1654" s="567"/>
      <c r="J1654" s="15"/>
      <c r="N1654" s="14"/>
      <c r="O1654" s="14"/>
      <c r="P1654" s="14"/>
    </row>
    <row r="1655" spans="2:16" ht="15.75" customHeight="1">
      <c r="B1655" s="14"/>
      <c r="H1655" s="14"/>
      <c r="I1655" s="567"/>
      <c r="J1655" s="15"/>
      <c r="N1655" s="14"/>
      <c r="O1655" s="14"/>
      <c r="P1655" s="14"/>
    </row>
    <row r="1656" spans="2:16" ht="15.75" customHeight="1">
      <c r="B1656" s="14"/>
      <c r="H1656" s="14"/>
      <c r="I1656" s="567"/>
      <c r="J1656" s="15"/>
      <c r="N1656" s="14"/>
      <c r="O1656" s="14"/>
      <c r="P1656" s="14"/>
    </row>
    <row r="1657" spans="2:16" ht="15.75" customHeight="1">
      <c r="B1657" s="14"/>
      <c r="H1657" s="14"/>
      <c r="I1657" s="567"/>
      <c r="J1657" s="15"/>
      <c r="N1657" s="14"/>
      <c r="O1657" s="14"/>
      <c r="P1657" s="14"/>
    </row>
    <row r="1658" spans="2:16" ht="15.75" customHeight="1">
      <c r="B1658" s="14"/>
      <c r="H1658" s="14"/>
      <c r="I1658" s="567"/>
      <c r="J1658" s="15"/>
      <c r="N1658" s="14"/>
      <c r="O1658" s="14"/>
      <c r="P1658" s="14"/>
    </row>
    <row r="1659" spans="2:16" ht="15.75" customHeight="1">
      <c r="B1659" s="14"/>
      <c r="H1659" s="14"/>
      <c r="I1659" s="567"/>
      <c r="J1659" s="15"/>
      <c r="N1659" s="14"/>
      <c r="O1659" s="14"/>
      <c r="P1659" s="14"/>
    </row>
    <row r="1660" spans="2:16" ht="15.75" customHeight="1">
      <c r="B1660" s="14"/>
      <c r="H1660" s="14"/>
      <c r="I1660" s="567"/>
      <c r="J1660" s="15"/>
      <c r="N1660" s="14"/>
      <c r="O1660" s="14"/>
      <c r="P1660" s="14"/>
    </row>
    <row r="1661" spans="2:16" ht="15.75" customHeight="1">
      <c r="B1661" s="14"/>
      <c r="H1661" s="14"/>
      <c r="I1661" s="567"/>
      <c r="J1661" s="15"/>
      <c r="N1661" s="14"/>
      <c r="O1661" s="14"/>
      <c r="P1661" s="14"/>
    </row>
    <row r="1662" spans="2:16" ht="15.75" customHeight="1">
      <c r="B1662" s="14"/>
      <c r="H1662" s="14"/>
      <c r="I1662" s="567"/>
      <c r="J1662" s="15"/>
      <c r="N1662" s="14"/>
      <c r="O1662" s="14"/>
      <c r="P1662" s="14"/>
    </row>
    <row r="1663" spans="2:16" ht="15.75" customHeight="1">
      <c r="B1663" s="14"/>
      <c r="H1663" s="14"/>
      <c r="I1663" s="567"/>
      <c r="J1663" s="15"/>
      <c r="N1663" s="14"/>
      <c r="O1663" s="14"/>
      <c r="P1663" s="14"/>
    </row>
    <row r="1664" spans="2:16" ht="15.75" customHeight="1">
      <c r="B1664" s="14"/>
      <c r="H1664" s="14"/>
      <c r="I1664" s="567"/>
      <c r="J1664" s="15"/>
      <c r="N1664" s="14"/>
      <c r="O1664" s="14"/>
      <c r="P1664" s="14"/>
    </row>
    <row r="1665" spans="2:16" ht="15.75" customHeight="1">
      <c r="B1665" s="14"/>
      <c r="H1665" s="14"/>
      <c r="I1665" s="567"/>
      <c r="J1665" s="15"/>
      <c r="N1665" s="14"/>
      <c r="O1665" s="14"/>
      <c r="P1665" s="14"/>
    </row>
    <row r="1666" spans="2:16" ht="15.75" customHeight="1">
      <c r="B1666" s="14"/>
      <c r="H1666" s="14"/>
      <c r="I1666" s="567"/>
      <c r="J1666" s="15"/>
      <c r="N1666" s="14"/>
      <c r="O1666" s="14"/>
      <c r="P1666" s="14"/>
    </row>
    <row r="1667" spans="2:16" ht="15.75" customHeight="1">
      <c r="B1667" s="14"/>
      <c r="H1667" s="14"/>
      <c r="I1667" s="567"/>
      <c r="J1667" s="15"/>
      <c r="N1667" s="14"/>
      <c r="O1667" s="14"/>
      <c r="P1667" s="14"/>
    </row>
    <row r="1668" spans="2:16" ht="15.75" customHeight="1">
      <c r="B1668" s="14"/>
      <c r="H1668" s="14"/>
      <c r="I1668" s="567"/>
      <c r="J1668" s="15"/>
      <c r="N1668" s="14"/>
      <c r="O1668" s="14"/>
      <c r="P1668" s="14"/>
    </row>
    <row r="1669" spans="2:16" ht="15.75" customHeight="1">
      <c r="B1669" s="14"/>
      <c r="H1669" s="14"/>
      <c r="I1669" s="567"/>
      <c r="J1669" s="15"/>
      <c r="N1669" s="14"/>
      <c r="O1669" s="14"/>
      <c r="P1669" s="14"/>
    </row>
    <row r="1670" spans="2:16" ht="15.75" customHeight="1">
      <c r="B1670" s="14"/>
      <c r="H1670" s="14"/>
      <c r="I1670" s="567"/>
      <c r="J1670" s="15"/>
      <c r="N1670" s="14"/>
      <c r="O1670" s="14"/>
      <c r="P1670" s="14"/>
    </row>
    <row r="1671" spans="2:16" ht="15.75" customHeight="1">
      <c r="B1671" s="14"/>
      <c r="H1671" s="14"/>
      <c r="I1671" s="567"/>
      <c r="J1671" s="15"/>
      <c r="N1671" s="14"/>
      <c r="O1671" s="14"/>
      <c r="P1671" s="14"/>
    </row>
    <row r="1672" spans="2:16" ht="15.75" customHeight="1">
      <c r="B1672" s="14"/>
      <c r="H1672" s="14"/>
      <c r="I1672" s="567"/>
      <c r="J1672" s="15"/>
      <c r="N1672" s="14"/>
      <c r="O1672" s="14"/>
      <c r="P1672" s="14"/>
    </row>
    <row r="1673" spans="2:16" ht="15.75" customHeight="1">
      <c r="B1673" s="14"/>
      <c r="H1673" s="14"/>
      <c r="I1673" s="567"/>
      <c r="J1673" s="15"/>
      <c r="N1673" s="14"/>
      <c r="O1673" s="14"/>
      <c r="P1673" s="14"/>
    </row>
    <row r="1674" spans="2:16" ht="15.75" customHeight="1">
      <c r="B1674" s="14"/>
      <c r="H1674" s="14"/>
      <c r="I1674" s="567"/>
      <c r="J1674" s="15"/>
      <c r="N1674" s="14"/>
      <c r="O1674" s="14"/>
      <c r="P1674" s="14"/>
    </row>
    <row r="1675" spans="2:16" ht="15.75" customHeight="1">
      <c r="B1675" s="14"/>
      <c r="H1675" s="14"/>
      <c r="I1675" s="567"/>
      <c r="J1675" s="15"/>
      <c r="N1675" s="14"/>
      <c r="O1675" s="14"/>
      <c r="P1675" s="14"/>
    </row>
    <row r="1676" spans="2:16" ht="15.75" customHeight="1">
      <c r="B1676" s="14"/>
      <c r="H1676" s="14"/>
      <c r="I1676" s="567"/>
      <c r="J1676" s="15"/>
      <c r="N1676" s="14"/>
      <c r="O1676" s="14"/>
      <c r="P1676" s="14"/>
    </row>
    <row r="1677" spans="2:16" ht="15.75" customHeight="1">
      <c r="B1677" s="14"/>
      <c r="H1677" s="14"/>
      <c r="I1677" s="567"/>
      <c r="J1677" s="15"/>
      <c r="N1677" s="14"/>
      <c r="O1677" s="14"/>
      <c r="P1677" s="14"/>
    </row>
    <row r="1678" spans="2:16" ht="15.75" customHeight="1">
      <c r="B1678" s="14"/>
      <c r="H1678" s="14"/>
      <c r="I1678" s="567"/>
      <c r="J1678" s="15"/>
      <c r="N1678" s="14"/>
      <c r="O1678" s="14"/>
      <c r="P1678" s="14"/>
    </row>
    <row r="1679" spans="2:16" ht="15.75" customHeight="1">
      <c r="B1679" s="14"/>
      <c r="H1679" s="14"/>
      <c r="I1679" s="567"/>
      <c r="J1679" s="15"/>
      <c r="N1679" s="14"/>
      <c r="O1679" s="14"/>
      <c r="P1679" s="14"/>
    </row>
    <row r="1680" spans="2:16" ht="15.75" customHeight="1">
      <c r="B1680" s="14"/>
      <c r="H1680" s="14"/>
      <c r="I1680" s="567"/>
      <c r="J1680" s="15"/>
      <c r="N1680" s="14"/>
      <c r="O1680" s="14"/>
      <c r="P1680" s="14"/>
    </row>
    <row r="1681" spans="2:16" ht="15.75" customHeight="1">
      <c r="B1681" s="14"/>
      <c r="H1681" s="14"/>
      <c r="I1681" s="567"/>
      <c r="J1681" s="15"/>
      <c r="N1681" s="14"/>
      <c r="O1681" s="14"/>
      <c r="P1681" s="14"/>
    </row>
    <row r="1682" spans="2:16" ht="15.75" customHeight="1">
      <c r="B1682" s="14"/>
      <c r="H1682" s="14"/>
      <c r="I1682" s="567"/>
      <c r="J1682" s="15"/>
      <c r="N1682" s="14"/>
      <c r="O1682" s="14"/>
      <c r="P1682" s="14"/>
    </row>
    <row r="1683" spans="2:16" ht="15.75" customHeight="1">
      <c r="B1683" s="14"/>
      <c r="H1683" s="14"/>
      <c r="I1683" s="567"/>
      <c r="J1683" s="15"/>
      <c r="N1683" s="14"/>
      <c r="O1683" s="14"/>
      <c r="P1683" s="14"/>
    </row>
    <row r="1684" spans="2:16" ht="15.75" customHeight="1">
      <c r="B1684" s="14"/>
      <c r="H1684" s="14"/>
      <c r="I1684" s="567"/>
      <c r="J1684" s="15"/>
      <c r="N1684" s="14"/>
      <c r="O1684" s="14"/>
      <c r="P1684" s="14"/>
    </row>
    <row r="1685" spans="2:16" ht="15.75" customHeight="1">
      <c r="B1685" s="14"/>
      <c r="H1685" s="14"/>
      <c r="I1685" s="567"/>
      <c r="J1685" s="15"/>
      <c r="N1685" s="14"/>
      <c r="O1685" s="14"/>
      <c r="P1685" s="14"/>
    </row>
    <row r="1686" spans="2:16" ht="15.75" customHeight="1">
      <c r="B1686" s="14"/>
      <c r="H1686" s="14"/>
      <c r="I1686" s="567"/>
      <c r="J1686" s="15"/>
      <c r="N1686" s="14"/>
      <c r="O1686" s="14"/>
      <c r="P1686" s="14"/>
    </row>
    <row r="1687" spans="2:16" ht="15.75" customHeight="1">
      <c r="B1687" s="14"/>
      <c r="H1687" s="14"/>
      <c r="I1687" s="567"/>
      <c r="J1687" s="15"/>
      <c r="N1687" s="14"/>
      <c r="O1687" s="14"/>
      <c r="P1687" s="14"/>
    </row>
    <row r="1688" spans="2:16" ht="15.75" customHeight="1">
      <c r="B1688" s="14"/>
      <c r="H1688" s="14"/>
      <c r="I1688" s="567"/>
      <c r="J1688" s="15"/>
      <c r="N1688" s="14"/>
      <c r="O1688" s="14"/>
      <c r="P1688" s="14"/>
    </row>
    <row r="1689" spans="2:16" ht="15.75" customHeight="1">
      <c r="B1689" s="14"/>
      <c r="H1689" s="14"/>
      <c r="I1689" s="567"/>
      <c r="J1689" s="15"/>
      <c r="N1689" s="14"/>
      <c r="O1689" s="14"/>
      <c r="P1689" s="14"/>
    </row>
    <row r="1690" spans="2:16" ht="15.75" customHeight="1">
      <c r="B1690" s="14"/>
      <c r="H1690" s="14"/>
      <c r="I1690" s="567"/>
      <c r="J1690" s="15"/>
      <c r="N1690" s="14"/>
      <c r="O1690" s="14"/>
      <c r="P1690" s="14"/>
    </row>
    <row r="1691" spans="2:16" ht="15.75" customHeight="1">
      <c r="B1691" s="14"/>
      <c r="H1691" s="14"/>
      <c r="I1691" s="567"/>
      <c r="J1691" s="15"/>
      <c r="N1691" s="14"/>
      <c r="O1691" s="14"/>
      <c r="P1691" s="14"/>
    </row>
    <row r="1692" spans="2:16" ht="15.75" customHeight="1">
      <c r="B1692" s="14"/>
      <c r="H1692" s="14"/>
      <c r="I1692" s="567"/>
      <c r="J1692" s="15"/>
      <c r="N1692" s="14"/>
      <c r="O1692" s="14"/>
      <c r="P1692" s="14"/>
    </row>
    <row r="1693" spans="2:16" ht="15.75" customHeight="1">
      <c r="B1693" s="14"/>
      <c r="H1693" s="14"/>
      <c r="I1693" s="567"/>
      <c r="J1693" s="15"/>
      <c r="N1693" s="14"/>
      <c r="O1693" s="14"/>
      <c r="P1693" s="14"/>
    </row>
    <row r="1694" spans="2:16" ht="15.75" customHeight="1">
      <c r="B1694" s="14"/>
      <c r="H1694" s="14"/>
      <c r="I1694" s="567"/>
      <c r="J1694" s="15"/>
      <c r="N1694" s="14"/>
      <c r="O1694" s="14"/>
      <c r="P1694" s="14"/>
    </row>
    <row r="1695" spans="2:16" ht="15.75" customHeight="1">
      <c r="B1695" s="14"/>
      <c r="H1695" s="14"/>
      <c r="I1695" s="567"/>
      <c r="J1695" s="15"/>
      <c r="N1695" s="14"/>
      <c r="O1695" s="14"/>
      <c r="P1695" s="14"/>
    </row>
    <row r="1696" spans="2:16" ht="15.75" customHeight="1">
      <c r="B1696" s="14"/>
      <c r="H1696" s="14"/>
      <c r="I1696" s="567"/>
      <c r="J1696" s="15"/>
      <c r="N1696" s="14"/>
      <c r="O1696" s="14"/>
      <c r="P1696" s="14"/>
    </row>
    <row r="1697" spans="2:16" ht="15.75" customHeight="1">
      <c r="B1697" s="14"/>
      <c r="H1697" s="14"/>
      <c r="I1697" s="567"/>
      <c r="J1697" s="15"/>
      <c r="N1697" s="14"/>
      <c r="O1697" s="14"/>
      <c r="P1697" s="14"/>
    </row>
    <row r="1698" spans="2:16" ht="15.75" customHeight="1">
      <c r="B1698" s="14"/>
      <c r="H1698" s="14"/>
      <c r="I1698" s="567"/>
      <c r="J1698" s="15"/>
      <c r="N1698" s="14"/>
      <c r="O1698" s="14"/>
      <c r="P1698" s="14"/>
    </row>
    <row r="1699" spans="2:16" ht="15.75" customHeight="1">
      <c r="B1699" s="14"/>
      <c r="H1699" s="14"/>
      <c r="I1699" s="567"/>
      <c r="J1699" s="15"/>
      <c r="N1699" s="14"/>
      <c r="O1699" s="14"/>
      <c r="P1699" s="14"/>
    </row>
    <row r="1700" spans="2:16" ht="15.75" customHeight="1">
      <c r="B1700" s="14"/>
      <c r="H1700" s="14"/>
      <c r="I1700" s="567"/>
      <c r="J1700" s="15"/>
      <c r="N1700" s="14"/>
      <c r="O1700" s="14"/>
      <c r="P1700" s="14"/>
    </row>
    <row r="1701" spans="2:16" ht="15.75" customHeight="1">
      <c r="B1701" s="14"/>
      <c r="H1701" s="14"/>
      <c r="I1701" s="567"/>
      <c r="J1701" s="15"/>
      <c r="N1701" s="14"/>
      <c r="O1701" s="14"/>
      <c r="P1701" s="14"/>
    </row>
    <row r="1702" spans="2:16" ht="15.75" customHeight="1">
      <c r="B1702" s="14"/>
      <c r="H1702" s="14"/>
      <c r="I1702" s="567"/>
      <c r="J1702" s="15"/>
      <c r="N1702" s="14"/>
      <c r="O1702" s="14"/>
      <c r="P1702" s="14"/>
    </row>
    <row r="1703" spans="2:16" ht="15.75" customHeight="1">
      <c r="B1703" s="14"/>
      <c r="H1703" s="14"/>
      <c r="I1703" s="567"/>
      <c r="J1703" s="15"/>
      <c r="N1703" s="14"/>
      <c r="O1703" s="14"/>
      <c r="P1703" s="14"/>
    </row>
    <row r="1704" spans="2:16" ht="15.75" customHeight="1">
      <c r="B1704" s="14"/>
      <c r="H1704" s="14"/>
      <c r="I1704" s="567"/>
      <c r="J1704" s="15"/>
      <c r="N1704" s="14"/>
      <c r="O1704" s="14"/>
      <c r="P1704" s="14"/>
    </row>
    <row r="1705" spans="2:16" ht="15.75" customHeight="1">
      <c r="B1705" s="14"/>
      <c r="H1705" s="14"/>
      <c r="I1705" s="567"/>
      <c r="J1705" s="15"/>
      <c r="N1705" s="14"/>
      <c r="O1705" s="14"/>
      <c r="P1705" s="14"/>
    </row>
    <row r="1706" spans="2:16" ht="15.75" customHeight="1">
      <c r="B1706" s="14"/>
      <c r="H1706" s="14"/>
      <c r="I1706" s="567"/>
      <c r="J1706" s="15"/>
      <c r="N1706" s="14"/>
      <c r="O1706" s="14"/>
      <c r="P1706" s="14"/>
    </row>
    <row r="1707" spans="2:16" ht="15.75" customHeight="1">
      <c r="B1707" s="14"/>
      <c r="H1707" s="14"/>
      <c r="I1707" s="567"/>
      <c r="J1707" s="15"/>
      <c r="N1707" s="14"/>
      <c r="O1707" s="14"/>
      <c r="P1707" s="14"/>
    </row>
    <row r="1708" spans="2:16" ht="15.75" customHeight="1">
      <c r="B1708" s="14"/>
      <c r="H1708" s="14"/>
      <c r="I1708" s="567"/>
      <c r="J1708" s="15"/>
      <c r="N1708" s="14"/>
      <c r="O1708" s="14"/>
      <c r="P1708" s="14"/>
    </row>
    <row r="1709" spans="2:16" ht="15.75" customHeight="1">
      <c r="B1709" s="14"/>
      <c r="H1709" s="14"/>
      <c r="I1709" s="567"/>
      <c r="J1709" s="15"/>
      <c r="N1709" s="14"/>
      <c r="O1709" s="14"/>
      <c r="P1709" s="14"/>
    </row>
    <row r="1710" spans="2:16" ht="15.75" customHeight="1">
      <c r="B1710" s="14"/>
      <c r="H1710" s="14"/>
      <c r="I1710" s="567"/>
      <c r="J1710" s="15"/>
      <c r="N1710" s="14"/>
      <c r="O1710" s="14"/>
      <c r="P1710" s="14"/>
    </row>
    <row r="1711" spans="2:16" ht="15.75" customHeight="1">
      <c r="B1711" s="14"/>
      <c r="H1711" s="14"/>
      <c r="I1711" s="567"/>
      <c r="J1711" s="15"/>
      <c r="N1711" s="14"/>
      <c r="O1711" s="14"/>
      <c r="P1711" s="14"/>
    </row>
    <row r="1712" spans="2:16" ht="15.75" customHeight="1">
      <c r="B1712" s="14"/>
      <c r="H1712" s="14"/>
      <c r="I1712" s="567"/>
      <c r="J1712" s="15"/>
      <c r="N1712" s="14"/>
      <c r="O1712" s="14"/>
      <c r="P1712" s="14"/>
    </row>
    <row r="1713" spans="2:16" ht="15.75" customHeight="1">
      <c r="B1713" s="14"/>
      <c r="H1713" s="14"/>
      <c r="I1713" s="567"/>
      <c r="J1713" s="15"/>
      <c r="N1713" s="14"/>
      <c r="O1713" s="14"/>
      <c r="P1713" s="14"/>
    </row>
    <row r="1714" spans="2:16" ht="15.75" customHeight="1">
      <c r="B1714" s="14"/>
      <c r="H1714" s="14"/>
      <c r="I1714" s="567"/>
      <c r="J1714" s="15"/>
      <c r="N1714" s="14"/>
      <c r="O1714" s="14"/>
      <c r="P1714" s="14"/>
    </row>
    <row r="1715" spans="2:16" ht="15.75" customHeight="1">
      <c r="B1715" s="14"/>
      <c r="H1715" s="14"/>
      <c r="I1715" s="567"/>
      <c r="J1715" s="15"/>
      <c r="N1715" s="14"/>
      <c r="O1715" s="14"/>
      <c r="P1715" s="14"/>
    </row>
    <row r="1716" spans="2:16" ht="15.75" customHeight="1">
      <c r="B1716" s="14"/>
      <c r="H1716" s="14"/>
      <c r="I1716" s="567"/>
      <c r="J1716" s="15"/>
      <c r="N1716" s="14"/>
      <c r="O1716" s="14"/>
      <c r="P1716" s="14"/>
    </row>
    <row r="1717" spans="2:16" ht="15.75" customHeight="1">
      <c r="B1717" s="14"/>
      <c r="H1717" s="14"/>
      <c r="I1717" s="567"/>
      <c r="J1717" s="15"/>
      <c r="N1717" s="14"/>
      <c r="O1717" s="14"/>
      <c r="P1717" s="14"/>
    </row>
    <row r="1718" spans="2:16" ht="15.75" customHeight="1">
      <c r="B1718" s="14"/>
      <c r="H1718" s="14"/>
      <c r="I1718" s="567"/>
      <c r="J1718" s="15"/>
      <c r="N1718" s="14"/>
      <c r="O1718" s="14"/>
      <c r="P1718" s="14"/>
    </row>
    <row r="1719" spans="2:16" ht="15.75" customHeight="1">
      <c r="B1719" s="14"/>
      <c r="H1719" s="14"/>
      <c r="I1719" s="567"/>
      <c r="J1719" s="15"/>
      <c r="N1719" s="14"/>
      <c r="O1719" s="14"/>
      <c r="P1719" s="14"/>
    </row>
    <row r="1720" spans="2:16" ht="15.75" customHeight="1">
      <c r="B1720" s="14"/>
      <c r="H1720" s="14"/>
      <c r="I1720" s="567"/>
      <c r="J1720" s="15"/>
      <c r="N1720" s="14"/>
      <c r="O1720" s="14"/>
      <c r="P1720" s="14"/>
    </row>
    <row r="1721" spans="2:16" ht="15.75" customHeight="1">
      <c r="B1721" s="14"/>
      <c r="H1721" s="14"/>
      <c r="I1721" s="567"/>
      <c r="J1721" s="15"/>
      <c r="N1721" s="14"/>
      <c r="O1721" s="14"/>
      <c r="P1721" s="14"/>
    </row>
    <row r="1722" spans="2:16" ht="15.75" customHeight="1">
      <c r="B1722" s="14"/>
      <c r="H1722" s="14"/>
      <c r="I1722" s="567"/>
      <c r="J1722" s="15"/>
      <c r="N1722" s="14"/>
      <c r="O1722" s="14"/>
      <c r="P1722" s="14"/>
    </row>
    <row r="1723" spans="2:16" ht="15.75" customHeight="1">
      <c r="B1723" s="14"/>
      <c r="H1723" s="14"/>
      <c r="I1723" s="567"/>
      <c r="J1723" s="15"/>
      <c r="N1723" s="14"/>
      <c r="O1723" s="14"/>
      <c r="P1723" s="14"/>
    </row>
    <row r="1724" spans="2:16" ht="15.75" customHeight="1">
      <c r="B1724" s="14"/>
      <c r="H1724" s="14"/>
      <c r="I1724" s="567"/>
      <c r="J1724" s="15"/>
      <c r="N1724" s="14"/>
      <c r="O1724" s="14"/>
      <c r="P1724" s="14"/>
    </row>
    <row r="1725" spans="2:16" ht="15.75" customHeight="1">
      <c r="B1725" s="14"/>
      <c r="H1725" s="14"/>
      <c r="I1725" s="567"/>
      <c r="J1725" s="15"/>
      <c r="N1725" s="14"/>
      <c r="O1725" s="14"/>
      <c r="P1725" s="14"/>
    </row>
    <row r="1726" spans="2:16" ht="15.75" customHeight="1">
      <c r="B1726" s="14"/>
      <c r="H1726" s="14"/>
      <c r="I1726" s="567"/>
      <c r="J1726" s="15"/>
      <c r="N1726" s="14"/>
      <c r="O1726" s="14"/>
      <c r="P1726" s="14"/>
    </row>
    <row r="1727" spans="2:16" ht="15.75" customHeight="1">
      <c r="B1727" s="14"/>
      <c r="H1727" s="14"/>
      <c r="I1727" s="567"/>
      <c r="J1727" s="15"/>
      <c r="N1727" s="14"/>
      <c r="O1727" s="14"/>
      <c r="P1727" s="14"/>
    </row>
    <row r="1728" spans="2:16" ht="15.75" customHeight="1">
      <c r="B1728" s="14"/>
      <c r="H1728" s="14"/>
      <c r="I1728" s="567"/>
      <c r="J1728" s="15"/>
      <c r="N1728" s="14"/>
      <c r="O1728" s="14"/>
      <c r="P1728" s="14"/>
    </row>
    <row r="1729" spans="2:16" ht="15.75" customHeight="1">
      <c r="B1729" s="14"/>
      <c r="H1729" s="14"/>
      <c r="I1729" s="567"/>
      <c r="J1729" s="15"/>
      <c r="N1729" s="14"/>
      <c r="O1729" s="14"/>
      <c r="P1729" s="14"/>
    </row>
    <row r="1730" spans="2:16" ht="15.75" customHeight="1">
      <c r="B1730" s="14"/>
      <c r="H1730" s="14"/>
      <c r="I1730" s="567"/>
      <c r="J1730" s="15"/>
      <c r="N1730" s="14"/>
      <c r="O1730" s="14"/>
      <c r="P1730" s="14"/>
    </row>
    <row r="1731" spans="2:16" ht="15.75" customHeight="1">
      <c r="B1731" s="14"/>
      <c r="H1731" s="14"/>
      <c r="I1731" s="567"/>
      <c r="J1731" s="15"/>
      <c r="N1731" s="14"/>
      <c r="O1731" s="14"/>
      <c r="P1731" s="14"/>
    </row>
    <row r="1732" spans="2:16" ht="15.75" customHeight="1">
      <c r="B1732" s="14"/>
      <c r="H1732" s="14"/>
      <c r="I1732" s="567"/>
      <c r="J1732" s="15"/>
      <c r="N1732" s="14"/>
      <c r="O1732" s="14"/>
      <c r="P1732" s="14"/>
    </row>
    <row r="1733" spans="2:16" ht="15.75" customHeight="1">
      <c r="B1733" s="14"/>
      <c r="H1733" s="14"/>
      <c r="I1733" s="567"/>
      <c r="J1733" s="15"/>
      <c r="N1733" s="14"/>
      <c r="O1733" s="14"/>
      <c r="P1733" s="14"/>
    </row>
    <row r="1734" spans="2:16" ht="15.75" customHeight="1">
      <c r="B1734" s="14"/>
      <c r="H1734" s="14"/>
      <c r="I1734" s="567"/>
      <c r="J1734" s="15"/>
      <c r="N1734" s="14"/>
      <c r="O1734" s="14"/>
      <c r="P1734" s="14"/>
    </row>
    <row r="1735" spans="2:16" ht="15.75" customHeight="1">
      <c r="B1735" s="14"/>
      <c r="H1735" s="14"/>
      <c r="I1735" s="567"/>
      <c r="J1735" s="15"/>
      <c r="N1735" s="14"/>
      <c r="O1735" s="14"/>
      <c r="P1735" s="14"/>
    </row>
    <row r="1736" spans="2:16" ht="15.75" customHeight="1">
      <c r="B1736" s="14"/>
      <c r="H1736" s="14"/>
      <c r="I1736" s="567"/>
      <c r="J1736" s="15"/>
      <c r="N1736" s="14"/>
      <c r="O1736" s="14"/>
      <c r="P1736" s="14"/>
    </row>
    <row r="1737" spans="2:16" ht="15.75" customHeight="1">
      <c r="B1737" s="14"/>
      <c r="H1737" s="14"/>
      <c r="I1737" s="567"/>
      <c r="J1737" s="15"/>
      <c r="N1737" s="14"/>
      <c r="O1737" s="14"/>
      <c r="P1737" s="14"/>
    </row>
    <row r="1738" spans="2:16" ht="15.75" customHeight="1">
      <c r="B1738" s="14"/>
      <c r="H1738" s="14"/>
      <c r="I1738" s="567"/>
      <c r="J1738" s="15"/>
      <c r="N1738" s="14"/>
      <c r="O1738" s="14"/>
      <c r="P1738" s="14"/>
    </row>
    <row r="1739" spans="2:16" ht="15.75" customHeight="1">
      <c r="B1739" s="14"/>
      <c r="H1739" s="14"/>
      <c r="I1739" s="567"/>
      <c r="J1739" s="15"/>
      <c r="N1739" s="14"/>
      <c r="O1739" s="14"/>
      <c r="P1739" s="14"/>
    </row>
    <row r="1740" spans="2:16" ht="15.75" customHeight="1">
      <c r="B1740" s="14"/>
      <c r="H1740" s="14"/>
      <c r="I1740" s="567"/>
      <c r="J1740" s="15"/>
      <c r="N1740" s="14"/>
      <c r="O1740" s="14"/>
      <c r="P1740" s="14"/>
    </row>
    <row r="1741" spans="2:16" ht="15.75" customHeight="1">
      <c r="B1741" s="14"/>
      <c r="H1741" s="14"/>
      <c r="I1741" s="567"/>
      <c r="J1741" s="15"/>
      <c r="N1741" s="14"/>
      <c r="O1741" s="14"/>
      <c r="P1741" s="14"/>
    </row>
    <row r="1742" spans="2:16" ht="15.75" customHeight="1">
      <c r="B1742" s="14"/>
      <c r="H1742" s="14"/>
      <c r="I1742" s="567"/>
      <c r="J1742" s="15"/>
      <c r="N1742" s="14"/>
      <c r="O1742" s="14"/>
      <c r="P1742" s="14"/>
    </row>
    <row r="1743" spans="2:16" ht="15.75" customHeight="1">
      <c r="B1743" s="14"/>
      <c r="H1743" s="14"/>
      <c r="I1743" s="567"/>
      <c r="J1743" s="15"/>
      <c r="N1743" s="14"/>
      <c r="O1743" s="14"/>
      <c r="P1743" s="14"/>
    </row>
    <row r="1744" spans="2:16" ht="15.75" customHeight="1">
      <c r="B1744" s="14"/>
      <c r="H1744" s="14"/>
      <c r="I1744" s="567"/>
      <c r="J1744" s="15"/>
      <c r="N1744" s="14"/>
      <c r="O1744" s="14"/>
      <c r="P1744" s="14"/>
    </row>
    <row r="1745" spans="2:16" ht="15.75" customHeight="1">
      <c r="B1745" s="14"/>
      <c r="H1745" s="14"/>
      <c r="I1745" s="567"/>
      <c r="J1745" s="15"/>
      <c r="N1745" s="14"/>
      <c r="O1745" s="14"/>
      <c r="P1745" s="14"/>
    </row>
    <row r="1746" spans="2:16" ht="15.75" customHeight="1">
      <c r="B1746" s="14"/>
      <c r="H1746" s="14"/>
      <c r="I1746" s="567"/>
      <c r="J1746" s="15"/>
      <c r="N1746" s="14"/>
      <c r="O1746" s="14"/>
      <c r="P1746" s="14"/>
    </row>
    <row r="1747" spans="2:16" ht="15.75" customHeight="1">
      <c r="B1747" s="14"/>
      <c r="H1747" s="14"/>
      <c r="I1747" s="567"/>
      <c r="J1747" s="15"/>
      <c r="N1747" s="14"/>
      <c r="O1747" s="14"/>
      <c r="P1747" s="14"/>
    </row>
    <row r="1748" spans="2:16" ht="15.75" customHeight="1">
      <c r="B1748" s="14"/>
      <c r="H1748" s="14"/>
      <c r="I1748" s="567"/>
      <c r="J1748" s="15"/>
      <c r="N1748" s="14"/>
      <c r="O1748" s="14"/>
      <c r="P1748" s="14"/>
    </row>
    <row r="1749" spans="2:16" ht="15.75" customHeight="1">
      <c r="B1749" s="14"/>
      <c r="H1749" s="14"/>
      <c r="I1749" s="567"/>
      <c r="J1749" s="15"/>
      <c r="N1749" s="14"/>
      <c r="O1749" s="14"/>
      <c r="P1749" s="14"/>
    </row>
    <row r="1750" spans="2:16" ht="15.75" customHeight="1">
      <c r="B1750" s="14"/>
      <c r="H1750" s="14"/>
      <c r="I1750" s="567"/>
      <c r="J1750" s="15"/>
      <c r="N1750" s="14"/>
      <c r="O1750" s="14"/>
      <c r="P1750" s="14"/>
    </row>
    <row r="1751" spans="2:16" ht="15.75" customHeight="1">
      <c r="B1751" s="14"/>
      <c r="H1751" s="14"/>
      <c r="I1751" s="567"/>
      <c r="J1751" s="15"/>
      <c r="N1751" s="14"/>
      <c r="O1751" s="14"/>
      <c r="P1751" s="14"/>
    </row>
    <row r="1752" spans="2:16" ht="15.75" customHeight="1">
      <c r="B1752" s="14"/>
      <c r="H1752" s="14"/>
      <c r="I1752" s="567"/>
      <c r="J1752" s="15"/>
      <c r="N1752" s="14"/>
      <c r="O1752" s="14"/>
      <c r="P1752" s="14"/>
    </row>
    <row r="1753" spans="2:16" ht="15.75" customHeight="1">
      <c r="B1753" s="14"/>
      <c r="H1753" s="14"/>
      <c r="I1753" s="567"/>
      <c r="J1753" s="15"/>
      <c r="N1753" s="14"/>
      <c r="O1753" s="14"/>
      <c r="P1753" s="14"/>
    </row>
    <row r="1754" spans="2:16" ht="15.75" customHeight="1">
      <c r="B1754" s="14"/>
      <c r="H1754" s="14"/>
      <c r="I1754" s="567"/>
      <c r="J1754" s="15"/>
      <c r="N1754" s="14"/>
      <c r="O1754" s="14"/>
      <c r="P1754" s="14"/>
    </row>
    <row r="1755" spans="2:16" ht="15.75" customHeight="1">
      <c r="B1755" s="14"/>
      <c r="H1755" s="14"/>
      <c r="I1755" s="567"/>
      <c r="J1755" s="15"/>
      <c r="N1755" s="14"/>
      <c r="O1755" s="14"/>
      <c r="P1755" s="14"/>
    </row>
    <row r="1756" spans="2:16" ht="15.75" customHeight="1">
      <c r="B1756" s="14"/>
      <c r="H1756" s="14"/>
      <c r="I1756" s="567"/>
      <c r="J1756" s="15"/>
      <c r="N1756" s="14"/>
      <c r="O1756" s="14"/>
      <c r="P1756" s="14"/>
    </row>
    <row r="1757" spans="2:16" ht="15.75" customHeight="1">
      <c r="B1757" s="14"/>
      <c r="H1757" s="14"/>
      <c r="I1757" s="567"/>
      <c r="J1757" s="15"/>
      <c r="N1757" s="14"/>
      <c r="O1757" s="14"/>
      <c r="P1757" s="14"/>
    </row>
    <row r="1758" spans="2:16" ht="15.75" customHeight="1">
      <c r="B1758" s="14"/>
      <c r="H1758" s="14"/>
      <c r="I1758" s="567"/>
      <c r="J1758" s="15"/>
      <c r="N1758" s="14"/>
      <c r="O1758" s="14"/>
      <c r="P1758" s="14"/>
    </row>
    <row r="1759" spans="2:16" ht="15.75" customHeight="1">
      <c r="B1759" s="14"/>
      <c r="H1759" s="14"/>
      <c r="I1759" s="567"/>
      <c r="J1759" s="15"/>
      <c r="N1759" s="14"/>
      <c r="O1759" s="14"/>
      <c r="P1759" s="14"/>
    </row>
    <row r="1760" spans="2:16" ht="15.75" customHeight="1">
      <c r="B1760" s="14"/>
      <c r="H1760" s="14"/>
      <c r="I1760" s="567"/>
      <c r="J1760" s="15"/>
      <c r="N1760" s="14"/>
      <c r="O1760" s="14"/>
      <c r="P1760" s="14"/>
    </row>
    <row r="1761" spans="2:16" ht="15.75" customHeight="1">
      <c r="B1761" s="14"/>
      <c r="H1761" s="14"/>
      <c r="I1761" s="567"/>
      <c r="J1761" s="15"/>
      <c r="N1761" s="14"/>
      <c r="O1761" s="14"/>
      <c r="P1761" s="14"/>
    </row>
    <row r="1762" spans="2:16" ht="15.75" customHeight="1">
      <c r="B1762" s="14"/>
      <c r="H1762" s="14"/>
      <c r="I1762" s="567"/>
      <c r="J1762" s="15"/>
      <c r="N1762" s="14"/>
      <c r="O1762" s="14"/>
      <c r="P1762" s="14"/>
    </row>
    <row r="1763" spans="2:16" ht="15.75" customHeight="1">
      <c r="B1763" s="14"/>
      <c r="H1763" s="14"/>
      <c r="I1763" s="567"/>
      <c r="J1763" s="15"/>
      <c r="N1763" s="14"/>
      <c r="O1763" s="14"/>
      <c r="P1763" s="14"/>
    </row>
    <row r="1764" spans="2:16" ht="15.75" customHeight="1">
      <c r="B1764" s="14"/>
      <c r="H1764" s="14"/>
      <c r="I1764" s="567"/>
      <c r="J1764" s="15"/>
      <c r="N1764" s="14"/>
      <c r="O1764" s="14"/>
      <c r="P1764" s="14"/>
    </row>
    <row r="1765" spans="2:16" ht="15.75" customHeight="1">
      <c r="B1765" s="14"/>
      <c r="H1765" s="14"/>
      <c r="I1765" s="567"/>
      <c r="J1765" s="15"/>
      <c r="N1765" s="14"/>
      <c r="O1765" s="14"/>
      <c r="P1765" s="14"/>
    </row>
    <row r="1766" spans="2:16" ht="15.75" customHeight="1">
      <c r="B1766" s="14"/>
      <c r="H1766" s="14"/>
      <c r="I1766" s="567"/>
      <c r="J1766" s="15"/>
      <c r="N1766" s="14"/>
      <c r="O1766" s="14"/>
      <c r="P1766" s="14"/>
    </row>
    <row r="1767" spans="2:16" ht="15.75" customHeight="1">
      <c r="B1767" s="14"/>
      <c r="H1767" s="14"/>
      <c r="I1767" s="567"/>
      <c r="J1767" s="15"/>
      <c r="N1767" s="14"/>
      <c r="O1767" s="14"/>
      <c r="P1767" s="14"/>
    </row>
    <row r="1768" spans="2:16" ht="15.75" customHeight="1">
      <c r="B1768" s="14"/>
      <c r="H1768" s="14"/>
      <c r="I1768" s="567"/>
      <c r="J1768" s="15"/>
      <c r="N1768" s="14"/>
      <c r="O1768" s="14"/>
      <c r="P1768" s="14"/>
    </row>
    <row r="1769" spans="2:16" ht="15.75" customHeight="1">
      <c r="B1769" s="14"/>
      <c r="H1769" s="14"/>
      <c r="I1769" s="567"/>
      <c r="J1769" s="15"/>
      <c r="N1769" s="14"/>
      <c r="O1769" s="14"/>
      <c r="P1769" s="14"/>
    </row>
    <row r="1770" spans="2:16" ht="15.75" customHeight="1">
      <c r="B1770" s="14"/>
      <c r="H1770" s="14"/>
      <c r="I1770" s="567"/>
      <c r="J1770" s="15"/>
      <c r="N1770" s="14"/>
      <c r="O1770" s="14"/>
      <c r="P1770" s="14"/>
    </row>
    <row r="1771" spans="2:16" ht="15.75" customHeight="1">
      <c r="B1771" s="14"/>
      <c r="H1771" s="14"/>
      <c r="I1771" s="567"/>
      <c r="J1771" s="15"/>
      <c r="N1771" s="14"/>
      <c r="O1771" s="14"/>
      <c r="P1771" s="14"/>
    </row>
    <row r="1772" spans="2:16" ht="15.75" customHeight="1">
      <c r="B1772" s="14"/>
      <c r="H1772" s="14"/>
      <c r="I1772" s="567"/>
      <c r="J1772" s="15"/>
      <c r="N1772" s="14"/>
      <c r="O1772" s="14"/>
      <c r="P1772" s="14"/>
    </row>
    <row r="1773" spans="2:16" ht="15.75" customHeight="1">
      <c r="B1773" s="14"/>
      <c r="H1773" s="14"/>
      <c r="I1773" s="567"/>
      <c r="J1773" s="15"/>
      <c r="N1773" s="14"/>
      <c r="O1773" s="14"/>
      <c r="P1773" s="14"/>
    </row>
    <row r="1774" spans="2:16" ht="15.75" customHeight="1">
      <c r="B1774" s="14"/>
      <c r="H1774" s="14"/>
      <c r="I1774" s="567"/>
      <c r="J1774" s="15"/>
      <c r="N1774" s="14"/>
      <c r="O1774" s="14"/>
      <c r="P1774" s="14"/>
    </row>
    <row r="1775" spans="2:16" ht="15.75" customHeight="1">
      <c r="B1775" s="14"/>
      <c r="H1775" s="14"/>
      <c r="I1775" s="567"/>
      <c r="J1775" s="15"/>
      <c r="N1775" s="14"/>
      <c r="O1775" s="14"/>
      <c r="P1775" s="14"/>
    </row>
    <row r="1776" spans="2:16" ht="15.75" customHeight="1">
      <c r="B1776" s="14"/>
      <c r="H1776" s="14"/>
      <c r="I1776" s="567"/>
      <c r="J1776" s="15"/>
      <c r="N1776" s="14"/>
      <c r="O1776" s="14"/>
      <c r="P1776" s="14"/>
    </row>
    <row r="1777" spans="2:16" ht="15.75" customHeight="1">
      <c r="B1777" s="14"/>
      <c r="H1777" s="14"/>
      <c r="I1777" s="567"/>
      <c r="J1777" s="15"/>
      <c r="N1777" s="14"/>
      <c r="O1777" s="14"/>
      <c r="P1777" s="14"/>
    </row>
    <row r="1778" spans="2:16" ht="15.75" customHeight="1">
      <c r="B1778" s="14"/>
      <c r="H1778" s="14"/>
      <c r="I1778" s="567"/>
      <c r="J1778" s="15"/>
      <c r="N1778" s="14"/>
      <c r="O1778" s="14"/>
      <c r="P1778" s="14"/>
    </row>
    <row r="1779" spans="2:16" ht="15.75" customHeight="1">
      <c r="B1779" s="14"/>
      <c r="H1779" s="14"/>
      <c r="I1779" s="567"/>
      <c r="J1779" s="15"/>
      <c r="N1779" s="14"/>
      <c r="O1779" s="14"/>
      <c r="P1779" s="14"/>
    </row>
    <row r="1780" spans="2:16" ht="15.75" customHeight="1">
      <c r="B1780" s="14"/>
      <c r="H1780" s="14"/>
      <c r="I1780" s="567"/>
      <c r="J1780" s="15"/>
      <c r="N1780" s="14"/>
      <c r="O1780" s="14"/>
      <c r="P1780" s="14"/>
    </row>
    <row r="1781" spans="2:16" ht="15.75" customHeight="1">
      <c r="B1781" s="14"/>
      <c r="H1781" s="14"/>
      <c r="I1781" s="567"/>
      <c r="J1781" s="15"/>
      <c r="N1781" s="14"/>
      <c r="O1781" s="14"/>
      <c r="P1781" s="14"/>
    </row>
    <row r="1782" spans="2:16" ht="15.75" customHeight="1">
      <c r="B1782" s="14"/>
      <c r="H1782" s="14"/>
      <c r="I1782" s="567"/>
      <c r="J1782" s="15"/>
      <c r="N1782" s="14"/>
      <c r="O1782" s="14"/>
      <c r="P1782" s="14"/>
    </row>
    <row r="1783" spans="2:16" ht="15.75" customHeight="1">
      <c r="B1783" s="14"/>
      <c r="H1783" s="14"/>
      <c r="I1783" s="567"/>
      <c r="J1783" s="15"/>
      <c r="N1783" s="14"/>
      <c r="O1783" s="14"/>
      <c r="P1783" s="14"/>
    </row>
    <row r="1784" spans="2:16" ht="15.75" customHeight="1">
      <c r="B1784" s="14"/>
      <c r="H1784" s="14"/>
      <c r="I1784" s="567"/>
      <c r="J1784" s="15"/>
      <c r="N1784" s="14"/>
      <c r="O1784" s="14"/>
      <c r="P1784" s="14"/>
    </row>
    <row r="1785" spans="2:16" ht="15.75" customHeight="1">
      <c r="B1785" s="14"/>
      <c r="H1785" s="14"/>
      <c r="I1785" s="567"/>
      <c r="J1785" s="15"/>
      <c r="N1785" s="14"/>
      <c r="O1785" s="14"/>
      <c r="P1785" s="14"/>
    </row>
    <row r="1786" spans="2:16" ht="15.75" customHeight="1">
      <c r="B1786" s="14"/>
      <c r="H1786" s="14"/>
      <c r="I1786" s="567"/>
      <c r="J1786" s="15"/>
      <c r="N1786" s="14"/>
      <c r="O1786" s="14"/>
      <c r="P1786" s="14"/>
    </row>
    <row r="1787" spans="2:16" ht="15.75" customHeight="1">
      <c r="B1787" s="14"/>
      <c r="H1787" s="14"/>
      <c r="I1787" s="567"/>
      <c r="J1787" s="15"/>
      <c r="N1787" s="14"/>
      <c r="O1787" s="14"/>
      <c r="P1787" s="14"/>
    </row>
    <row r="1788" spans="2:16" ht="15.75" customHeight="1">
      <c r="B1788" s="14"/>
      <c r="H1788" s="14"/>
      <c r="I1788" s="567"/>
      <c r="J1788" s="15"/>
      <c r="N1788" s="14"/>
      <c r="O1788" s="14"/>
      <c r="P1788" s="14"/>
    </row>
    <row r="1789" spans="2:16" ht="15.75" customHeight="1">
      <c r="B1789" s="14"/>
      <c r="H1789" s="14"/>
      <c r="I1789" s="567"/>
      <c r="J1789" s="15"/>
      <c r="N1789" s="14"/>
      <c r="O1789" s="14"/>
      <c r="P1789" s="14"/>
    </row>
    <row r="1790" spans="2:16" ht="15.75" customHeight="1">
      <c r="B1790" s="14"/>
      <c r="H1790" s="14"/>
      <c r="I1790" s="567"/>
      <c r="J1790" s="15"/>
      <c r="N1790" s="14"/>
      <c r="O1790" s="14"/>
      <c r="P1790" s="14"/>
    </row>
    <row r="1791" spans="2:16" ht="15.75" customHeight="1">
      <c r="B1791" s="14"/>
      <c r="H1791" s="14"/>
      <c r="I1791" s="567"/>
      <c r="J1791" s="15"/>
      <c r="N1791" s="14"/>
      <c r="O1791" s="14"/>
      <c r="P1791" s="14"/>
    </row>
    <row r="1792" spans="2:16" ht="15.75" customHeight="1">
      <c r="B1792" s="14"/>
      <c r="H1792" s="14"/>
      <c r="I1792" s="567"/>
      <c r="J1792" s="15"/>
      <c r="N1792" s="14"/>
      <c r="O1792" s="14"/>
      <c r="P1792" s="14"/>
    </row>
    <row r="1793" spans="2:16" ht="15.75" customHeight="1">
      <c r="B1793" s="14"/>
      <c r="H1793" s="14"/>
      <c r="I1793" s="567"/>
      <c r="J1793" s="15"/>
      <c r="N1793" s="14"/>
      <c r="O1793" s="14"/>
      <c r="P1793" s="14"/>
    </row>
    <row r="1794" spans="2:16" ht="15.75" customHeight="1">
      <c r="B1794" s="14"/>
      <c r="H1794" s="14"/>
      <c r="I1794" s="567"/>
      <c r="J1794" s="15"/>
      <c r="N1794" s="14"/>
      <c r="O1794" s="14"/>
      <c r="P1794" s="14"/>
    </row>
    <row r="1795" spans="2:16" ht="15.75" customHeight="1">
      <c r="B1795" s="14"/>
      <c r="H1795" s="14"/>
      <c r="I1795" s="567"/>
      <c r="J1795" s="15"/>
      <c r="N1795" s="14"/>
      <c r="O1795" s="14"/>
      <c r="P1795" s="14"/>
    </row>
    <row r="1796" spans="2:16" ht="15.75" customHeight="1">
      <c r="B1796" s="14"/>
      <c r="H1796" s="14"/>
      <c r="I1796" s="567"/>
      <c r="J1796" s="15"/>
      <c r="N1796" s="14"/>
      <c r="O1796" s="14"/>
      <c r="P1796" s="14"/>
    </row>
    <row r="1797" spans="2:16" ht="15.75" customHeight="1">
      <c r="B1797" s="14"/>
      <c r="H1797" s="14"/>
      <c r="I1797" s="567"/>
      <c r="J1797" s="15"/>
      <c r="N1797" s="14"/>
      <c r="O1797" s="14"/>
      <c r="P1797" s="14"/>
    </row>
    <row r="1798" spans="2:16" ht="15.75" customHeight="1">
      <c r="B1798" s="14"/>
      <c r="H1798" s="14"/>
      <c r="I1798" s="567"/>
      <c r="J1798" s="15"/>
      <c r="N1798" s="14"/>
      <c r="O1798" s="14"/>
      <c r="P1798" s="14"/>
    </row>
    <row r="1799" spans="2:16" ht="15.75" customHeight="1">
      <c r="B1799" s="14"/>
      <c r="H1799" s="14"/>
      <c r="I1799" s="567"/>
      <c r="J1799" s="15"/>
      <c r="N1799" s="14"/>
      <c r="O1799" s="14"/>
      <c r="P1799" s="14"/>
    </row>
    <row r="1800" spans="2:16" ht="15.75" customHeight="1">
      <c r="B1800" s="14"/>
      <c r="H1800" s="14"/>
      <c r="I1800" s="567"/>
      <c r="J1800" s="15"/>
      <c r="N1800" s="14"/>
      <c r="O1800" s="14"/>
      <c r="P1800" s="14"/>
    </row>
    <row r="1801" spans="2:16" ht="15.75" customHeight="1">
      <c r="B1801" s="14"/>
      <c r="H1801" s="14"/>
      <c r="I1801" s="567"/>
      <c r="J1801" s="15"/>
      <c r="N1801" s="14"/>
      <c r="O1801" s="14"/>
      <c r="P1801" s="14"/>
    </row>
    <row r="1802" spans="2:16" ht="15.75" customHeight="1">
      <c r="B1802" s="14"/>
      <c r="H1802" s="14"/>
      <c r="I1802" s="567"/>
      <c r="J1802" s="15"/>
      <c r="N1802" s="14"/>
      <c r="O1802" s="14"/>
      <c r="P1802" s="14"/>
    </row>
    <row r="1803" spans="2:16" ht="15.75" customHeight="1">
      <c r="B1803" s="14"/>
      <c r="H1803" s="14"/>
      <c r="I1803" s="567"/>
      <c r="J1803" s="15"/>
      <c r="N1803" s="14"/>
      <c r="O1803" s="14"/>
      <c r="P1803" s="14"/>
    </row>
    <row r="1804" spans="2:16" ht="15.75" customHeight="1">
      <c r="B1804" s="14"/>
      <c r="H1804" s="14"/>
      <c r="I1804" s="567"/>
      <c r="J1804" s="15"/>
      <c r="N1804" s="14"/>
      <c r="O1804" s="14"/>
      <c r="P1804" s="14"/>
    </row>
    <row r="1805" spans="2:16" ht="15.75" customHeight="1">
      <c r="B1805" s="14"/>
      <c r="H1805" s="14"/>
      <c r="I1805" s="567"/>
      <c r="J1805" s="15"/>
      <c r="N1805" s="14"/>
      <c r="O1805" s="14"/>
      <c r="P1805" s="14"/>
    </row>
    <row r="1806" spans="2:16" ht="15.75" customHeight="1">
      <c r="B1806" s="14"/>
      <c r="H1806" s="14"/>
      <c r="I1806" s="567"/>
      <c r="J1806" s="15"/>
      <c r="N1806" s="14"/>
      <c r="O1806" s="14"/>
      <c r="P1806" s="14"/>
    </row>
    <row r="1807" spans="2:16" ht="15.75" customHeight="1">
      <c r="B1807" s="14"/>
      <c r="H1807" s="14"/>
      <c r="I1807" s="567"/>
      <c r="J1807" s="15"/>
      <c r="N1807" s="14"/>
      <c r="O1807" s="14"/>
      <c r="P1807" s="14"/>
    </row>
    <row r="1808" spans="2:16" ht="15.75" customHeight="1">
      <c r="B1808" s="14"/>
      <c r="H1808" s="14"/>
      <c r="I1808" s="567"/>
      <c r="J1808" s="15"/>
      <c r="N1808" s="14"/>
      <c r="O1808" s="14"/>
      <c r="P1808" s="14"/>
    </row>
    <row r="1809" spans="2:16" ht="15.75" customHeight="1">
      <c r="B1809" s="14"/>
      <c r="H1809" s="14"/>
      <c r="I1809" s="567"/>
      <c r="J1809" s="15"/>
      <c r="N1809" s="14"/>
      <c r="O1809" s="14"/>
      <c r="P1809" s="14"/>
    </row>
    <row r="1810" spans="2:16" ht="15.75" customHeight="1">
      <c r="B1810" s="14"/>
      <c r="H1810" s="14"/>
      <c r="I1810" s="567"/>
      <c r="J1810" s="15"/>
      <c r="N1810" s="14"/>
      <c r="O1810" s="14"/>
      <c r="P1810" s="14"/>
    </row>
    <row r="1811" spans="2:16" ht="15.75" customHeight="1">
      <c r="B1811" s="14"/>
      <c r="H1811" s="14"/>
      <c r="I1811" s="567"/>
      <c r="J1811" s="15"/>
      <c r="N1811" s="14"/>
      <c r="O1811" s="14"/>
      <c r="P1811" s="14"/>
    </row>
    <row r="1812" spans="2:16" ht="15.75" customHeight="1">
      <c r="B1812" s="14"/>
      <c r="H1812" s="14"/>
      <c r="I1812" s="567"/>
      <c r="J1812" s="15"/>
      <c r="N1812" s="14"/>
      <c r="O1812" s="14"/>
      <c r="P1812" s="14"/>
    </row>
    <row r="1813" spans="2:16" ht="15.75" customHeight="1">
      <c r="B1813" s="14"/>
      <c r="H1813" s="14"/>
      <c r="I1813" s="567"/>
      <c r="J1813" s="15"/>
      <c r="N1813" s="14"/>
      <c r="O1813" s="14"/>
      <c r="P1813" s="14"/>
    </row>
    <row r="1814" spans="2:16" ht="15.75" customHeight="1">
      <c r="B1814" s="14"/>
      <c r="H1814" s="14"/>
      <c r="I1814" s="567"/>
      <c r="J1814" s="15"/>
      <c r="N1814" s="14"/>
      <c r="O1814" s="14"/>
      <c r="P1814" s="14"/>
    </row>
    <row r="1815" spans="2:16" ht="15.75" customHeight="1">
      <c r="B1815" s="14"/>
      <c r="H1815" s="14"/>
      <c r="I1815" s="567"/>
      <c r="J1815" s="15"/>
      <c r="N1815" s="14"/>
      <c r="O1815" s="14"/>
      <c r="P1815" s="14"/>
    </row>
    <row r="1816" spans="2:16" ht="15.75" customHeight="1">
      <c r="B1816" s="14"/>
      <c r="H1816" s="14"/>
      <c r="I1816" s="567"/>
      <c r="J1816" s="15"/>
      <c r="N1816" s="14"/>
      <c r="O1816" s="14"/>
      <c r="P1816" s="14"/>
    </row>
    <row r="1817" spans="2:16" ht="15.75" customHeight="1">
      <c r="B1817" s="14"/>
      <c r="H1817" s="14"/>
      <c r="I1817" s="567"/>
      <c r="J1817" s="15"/>
      <c r="N1817" s="14"/>
      <c r="O1817" s="14"/>
      <c r="P1817" s="14"/>
    </row>
    <row r="1818" spans="2:16" ht="15.75" customHeight="1">
      <c r="B1818" s="14"/>
      <c r="H1818" s="14"/>
      <c r="I1818" s="567"/>
      <c r="J1818" s="15"/>
      <c r="N1818" s="14"/>
      <c r="O1818" s="14"/>
      <c r="P1818" s="14"/>
    </row>
    <row r="1819" spans="2:16" ht="15.75" customHeight="1">
      <c r="B1819" s="14"/>
      <c r="H1819" s="14"/>
      <c r="I1819" s="567"/>
      <c r="J1819" s="15"/>
      <c r="N1819" s="14"/>
      <c r="O1819" s="14"/>
      <c r="P1819" s="14"/>
    </row>
    <row r="1820" spans="2:16" ht="15.75" customHeight="1">
      <c r="B1820" s="14"/>
      <c r="H1820" s="14"/>
      <c r="I1820" s="567"/>
      <c r="J1820" s="15"/>
      <c r="N1820" s="14"/>
      <c r="O1820" s="14"/>
      <c r="P1820" s="14"/>
    </row>
    <row r="1821" spans="2:16" ht="15.75" customHeight="1">
      <c r="B1821" s="14"/>
      <c r="H1821" s="14"/>
      <c r="I1821" s="567"/>
      <c r="J1821" s="15"/>
      <c r="N1821" s="14"/>
      <c r="O1821" s="14"/>
      <c r="P1821" s="14"/>
    </row>
    <row r="1822" spans="2:16" ht="15.75" customHeight="1">
      <c r="B1822" s="14"/>
      <c r="H1822" s="14"/>
      <c r="I1822" s="567"/>
      <c r="J1822" s="15"/>
      <c r="N1822" s="14"/>
      <c r="O1822" s="14"/>
      <c r="P1822" s="14"/>
    </row>
    <row r="1823" spans="2:16" ht="15.75" customHeight="1">
      <c r="B1823" s="14"/>
      <c r="H1823" s="14"/>
      <c r="I1823" s="567"/>
      <c r="J1823" s="15"/>
      <c r="N1823" s="14"/>
      <c r="O1823" s="14"/>
      <c r="P1823" s="14"/>
    </row>
    <row r="1824" spans="2:16" ht="15.75" customHeight="1">
      <c r="B1824" s="14"/>
      <c r="H1824" s="14"/>
      <c r="I1824" s="567"/>
      <c r="J1824" s="15"/>
      <c r="N1824" s="14"/>
      <c r="O1824" s="14"/>
      <c r="P1824" s="14"/>
    </row>
    <row r="1825" spans="2:16" ht="15.75" customHeight="1">
      <c r="B1825" s="14"/>
      <c r="H1825" s="14"/>
      <c r="I1825" s="567"/>
      <c r="J1825" s="15"/>
      <c r="N1825" s="14"/>
      <c r="O1825" s="14"/>
      <c r="P1825" s="14"/>
    </row>
    <row r="1826" spans="2:16" ht="15.75" customHeight="1">
      <c r="B1826" s="14"/>
      <c r="H1826" s="14"/>
      <c r="I1826" s="567"/>
      <c r="J1826" s="15"/>
      <c r="N1826" s="14"/>
      <c r="O1826" s="14"/>
      <c r="P1826" s="14"/>
    </row>
    <row r="1827" spans="2:16" ht="15.75" customHeight="1">
      <c r="B1827" s="14"/>
      <c r="H1827" s="14"/>
      <c r="I1827" s="567"/>
      <c r="J1827" s="15"/>
      <c r="N1827" s="14"/>
      <c r="O1827" s="14"/>
      <c r="P1827" s="14"/>
    </row>
    <row r="1828" spans="2:16" ht="15.75" customHeight="1">
      <c r="B1828" s="14"/>
      <c r="H1828" s="14"/>
      <c r="I1828" s="567"/>
      <c r="J1828" s="15"/>
      <c r="N1828" s="14"/>
      <c r="O1828" s="14"/>
      <c r="P1828" s="14"/>
    </row>
    <row r="1829" spans="2:16" ht="15.75" customHeight="1">
      <c r="B1829" s="14"/>
      <c r="H1829" s="14"/>
      <c r="I1829" s="567"/>
      <c r="J1829" s="15"/>
      <c r="N1829" s="14"/>
      <c r="O1829" s="14"/>
      <c r="P1829" s="14"/>
    </row>
    <row r="1830" spans="2:16" ht="15.75" customHeight="1">
      <c r="B1830" s="14"/>
      <c r="H1830" s="14"/>
      <c r="I1830" s="567"/>
      <c r="J1830" s="15"/>
      <c r="N1830" s="14"/>
      <c r="O1830" s="14"/>
      <c r="P1830" s="14"/>
    </row>
    <row r="1831" spans="2:16" ht="15.75" customHeight="1">
      <c r="B1831" s="14"/>
      <c r="H1831" s="14"/>
      <c r="I1831" s="567"/>
      <c r="J1831" s="15"/>
      <c r="N1831" s="14"/>
      <c r="O1831" s="14"/>
      <c r="P1831" s="14"/>
    </row>
    <row r="1832" spans="2:16" ht="15.75" customHeight="1">
      <c r="B1832" s="14"/>
      <c r="H1832" s="14"/>
      <c r="I1832" s="567"/>
      <c r="J1832" s="15"/>
      <c r="N1832" s="14"/>
      <c r="O1832" s="14"/>
      <c r="P1832" s="14"/>
    </row>
    <row r="1833" spans="2:16" ht="15.75" customHeight="1">
      <c r="B1833" s="14"/>
      <c r="H1833" s="14"/>
      <c r="I1833" s="567"/>
      <c r="J1833" s="15"/>
      <c r="N1833" s="14"/>
      <c r="O1833" s="14"/>
      <c r="P1833" s="14"/>
    </row>
    <row r="1834" spans="2:16" ht="15.75" customHeight="1">
      <c r="B1834" s="14"/>
      <c r="H1834" s="14"/>
      <c r="I1834" s="567"/>
      <c r="J1834" s="15"/>
      <c r="N1834" s="14"/>
      <c r="O1834" s="14"/>
      <c r="P1834" s="14"/>
    </row>
    <row r="1835" spans="2:16" ht="15.75" customHeight="1">
      <c r="B1835" s="14"/>
      <c r="H1835" s="14"/>
      <c r="I1835" s="567"/>
      <c r="J1835" s="15"/>
      <c r="N1835" s="14"/>
      <c r="O1835" s="14"/>
      <c r="P1835" s="14"/>
    </row>
    <row r="1836" spans="2:16" ht="15.75" customHeight="1">
      <c r="B1836" s="14"/>
      <c r="H1836" s="14"/>
      <c r="I1836" s="567"/>
      <c r="J1836" s="15"/>
      <c r="N1836" s="14"/>
      <c r="O1836" s="14"/>
      <c r="P1836" s="14"/>
    </row>
    <row r="1837" spans="2:16" ht="15.75" customHeight="1">
      <c r="B1837" s="14"/>
      <c r="H1837" s="14"/>
      <c r="I1837" s="567"/>
      <c r="J1837" s="15"/>
      <c r="N1837" s="14"/>
      <c r="O1837" s="14"/>
      <c r="P1837" s="14"/>
    </row>
    <row r="1838" spans="2:16" ht="15.75" customHeight="1">
      <c r="B1838" s="14"/>
      <c r="H1838" s="14"/>
      <c r="I1838" s="567"/>
      <c r="J1838" s="15"/>
      <c r="N1838" s="14"/>
      <c r="O1838" s="14"/>
      <c r="P1838" s="14"/>
    </row>
    <row r="1839" spans="2:16" ht="15.75" customHeight="1">
      <c r="B1839" s="14"/>
      <c r="H1839" s="14"/>
      <c r="I1839" s="567"/>
      <c r="J1839" s="15"/>
      <c r="N1839" s="14"/>
      <c r="O1839" s="14"/>
      <c r="P1839" s="14"/>
    </row>
    <row r="1840" spans="2:16" ht="15.75" customHeight="1">
      <c r="B1840" s="14"/>
      <c r="H1840" s="14"/>
      <c r="I1840" s="567"/>
      <c r="J1840" s="15"/>
      <c r="N1840" s="14"/>
      <c r="O1840" s="14"/>
      <c r="P1840" s="14"/>
    </row>
    <row r="1841" spans="2:16" ht="15.75" customHeight="1">
      <c r="B1841" s="14"/>
      <c r="H1841" s="14"/>
      <c r="I1841" s="567"/>
      <c r="J1841" s="15"/>
      <c r="N1841" s="14"/>
      <c r="O1841" s="14"/>
      <c r="P1841" s="14"/>
    </row>
    <row r="1842" spans="2:16" ht="15.75" customHeight="1">
      <c r="B1842" s="14"/>
      <c r="H1842" s="14"/>
      <c r="I1842" s="567"/>
      <c r="J1842" s="15"/>
      <c r="N1842" s="14"/>
      <c r="O1842" s="14"/>
      <c r="P1842" s="14"/>
    </row>
    <row r="1843" spans="2:16" ht="15.75" customHeight="1">
      <c r="B1843" s="14"/>
      <c r="H1843" s="14"/>
      <c r="I1843" s="567"/>
      <c r="J1843" s="15"/>
      <c r="N1843" s="14"/>
      <c r="O1843" s="14"/>
      <c r="P1843" s="14"/>
    </row>
    <row r="1844" spans="2:16" ht="15.75" customHeight="1">
      <c r="B1844" s="14"/>
      <c r="H1844" s="14"/>
      <c r="I1844" s="567"/>
      <c r="J1844" s="15"/>
      <c r="N1844" s="14"/>
      <c r="O1844" s="14"/>
      <c r="P1844" s="14"/>
    </row>
    <row r="1845" spans="2:16" ht="15.75" customHeight="1">
      <c r="B1845" s="14"/>
      <c r="H1845" s="14"/>
      <c r="I1845" s="567"/>
      <c r="J1845" s="15"/>
      <c r="N1845" s="14"/>
      <c r="O1845" s="14"/>
      <c r="P1845" s="14"/>
    </row>
    <row r="1846" spans="2:16" ht="15.75" customHeight="1">
      <c r="B1846" s="14"/>
      <c r="H1846" s="14"/>
      <c r="I1846" s="567"/>
      <c r="J1846" s="15"/>
      <c r="N1846" s="14"/>
      <c r="O1846" s="14"/>
      <c r="P1846" s="14"/>
    </row>
    <row r="1847" spans="2:16" ht="15.75" customHeight="1">
      <c r="B1847" s="14"/>
      <c r="H1847" s="14"/>
      <c r="I1847" s="567"/>
      <c r="J1847" s="15"/>
      <c r="N1847" s="14"/>
      <c r="O1847" s="14"/>
      <c r="P1847" s="14"/>
    </row>
    <row r="1848" spans="2:16" ht="15.75" customHeight="1">
      <c r="B1848" s="14"/>
      <c r="H1848" s="14"/>
      <c r="I1848" s="567"/>
      <c r="J1848" s="15"/>
      <c r="N1848" s="14"/>
      <c r="O1848" s="14"/>
      <c r="P1848" s="14"/>
    </row>
    <row r="1849" spans="2:16" ht="15.75" customHeight="1">
      <c r="B1849" s="14"/>
      <c r="H1849" s="14"/>
      <c r="I1849" s="567"/>
      <c r="J1849" s="15"/>
      <c r="N1849" s="14"/>
      <c r="O1849" s="14"/>
      <c r="P1849" s="14"/>
    </row>
    <row r="1850" spans="2:16" ht="15.75" customHeight="1">
      <c r="B1850" s="14"/>
      <c r="H1850" s="14"/>
      <c r="I1850" s="567"/>
      <c r="J1850" s="15"/>
      <c r="N1850" s="14"/>
      <c r="O1850" s="14"/>
      <c r="P1850" s="14"/>
    </row>
    <row r="1851" spans="2:16" ht="15.75" customHeight="1">
      <c r="B1851" s="14"/>
      <c r="H1851" s="14"/>
      <c r="I1851" s="567"/>
      <c r="J1851" s="15"/>
      <c r="N1851" s="14"/>
      <c r="O1851" s="14"/>
      <c r="P1851" s="14"/>
    </row>
    <row r="1852" spans="2:16" ht="15.75" customHeight="1">
      <c r="B1852" s="14"/>
      <c r="H1852" s="14"/>
      <c r="I1852" s="567"/>
      <c r="J1852" s="15"/>
      <c r="N1852" s="14"/>
      <c r="O1852" s="14"/>
      <c r="P1852" s="14"/>
    </row>
    <row r="1853" spans="2:16" ht="15.75" customHeight="1">
      <c r="B1853" s="14"/>
      <c r="H1853" s="14"/>
      <c r="I1853" s="567"/>
      <c r="J1853" s="15"/>
      <c r="N1853" s="14"/>
      <c r="O1853" s="14"/>
      <c r="P1853" s="14"/>
    </row>
    <row r="1854" spans="2:16" ht="15.75" customHeight="1">
      <c r="B1854" s="14"/>
      <c r="H1854" s="14"/>
      <c r="I1854" s="567"/>
      <c r="J1854" s="15"/>
      <c r="N1854" s="14"/>
      <c r="O1854" s="14"/>
      <c r="P1854" s="14"/>
    </row>
    <row r="1855" spans="2:16" ht="15.75" customHeight="1">
      <c r="B1855" s="14"/>
      <c r="H1855" s="14"/>
      <c r="I1855" s="567"/>
      <c r="J1855" s="15"/>
      <c r="N1855" s="14"/>
      <c r="O1855" s="14"/>
      <c r="P1855" s="14"/>
    </row>
    <row r="1856" spans="2:16" ht="15.75" customHeight="1">
      <c r="B1856" s="14"/>
      <c r="H1856" s="14"/>
      <c r="I1856" s="567"/>
      <c r="J1856" s="15"/>
      <c r="N1856" s="14"/>
      <c r="O1856" s="14"/>
      <c r="P1856" s="14"/>
    </row>
    <row r="1857" spans="2:16" ht="15.75" customHeight="1">
      <c r="B1857" s="14"/>
      <c r="H1857" s="14"/>
      <c r="I1857" s="567"/>
      <c r="J1857" s="15"/>
      <c r="N1857" s="14"/>
      <c r="O1857" s="14"/>
      <c r="P1857" s="14"/>
    </row>
    <row r="1858" spans="2:16" ht="15.75" customHeight="1">
      <c r="B1858" s="14"/>
      <c r="H1858" s="14"/>
      <c r="I1858" s="567"/>
      <c r="J1858" s="15"/>
      <c r="N1858" s="14"/>
      <c r="O1858" s="14"/>
      <c r="P1858" s="14"/>
    </row>
    <row r="1859" spans="2:16" ht="15.75" customHeight="1">
      <c r="B1859" s="14"/>
      <c r="H1859" s="14"/>
      <c r="I1859" s="567"/>
      <c r="J1859" s="15"/>
      <c r="N1859" s="14"/>
      <c r="O1859" s="14"/>
      <c r="P1859" s="14"/>
    </row>
    <row r="1860" spans="2:16" ht="15.75" customHeight="1">
      <c r="B1860" s="14"/>
      <c r="H1860" s="14"/>
      <c r="I1860" s="567"/>
      <c r="J1860" s="15"/>
      <c r="N1860" s="14"/>
      <c r="O1860" s="14"/>
      <c r="P1860" s="14"/>
    </row>
    <row r="1861" spans="2:16" ht="15.75" customHeight="1">
      <c r="B1861" s="14"/>
      <c r="H1861" s="14"/>
      <c r="I1861" s="567"/>
      <c r="J1861" s="15"/>
      <c r="N1861" s="14"/>
      <c r="O1861" s="14"/>
      <c r="P1861" s="14"/>
    </row>
    <row r="1862" spans="2:16" ht="15.75" customHeight="1">
      <c r="B1862" s="14"/>
      <c r="H1862" s="14"/>
      <c r="I1862" s="567"/>
      <c r="J1862" s="15"/>
      <c r="N1862" s="14"/>
      <c r="O1862" s="14"/>
      <c r="P1862" s="14"/>
    </row>
    <row r="1863" spans="2:16" ht="15.75" customHeight="1">
      <c r="B1863" s="14"/>
      <c r="H1863" s="14"/>
      <c r="I1863" s="567"/>
      <c r="J1863" s="15"/>
      <c r="N1863" s="14"/>
      <c r="O1863" s="14"/>
      <c r="P1863" s="14"/>
    </row>
    <row r="1864" spans="2:16" ht="15.75" customHeight="1">
      <c r="B1864" s="14"/>
      <c r="H1864" s="14"/>
      <c r="I1864" s="567"/>
      <c r="J1864" s="15"/>
      <c r="N1864" s="14"/>
      <c r="O1864" s="14"/>
      <c r="P1864" s="14"/>
    </row>
    <row r="1865" spans="2:16" ht="15.75" customHeight="1">
      <c r="B1865" s="14"/>
      <c r="H1865" s="14"/>
      <c r="I1865" s="567"/>
      <c r="J1865" s="15"/>
      <c r="N1865" s="14"/>
      <c r="O1865" s="14"/>
      <c r="P1865" s="14"/>
    </row>
    <row r="1866" spans="2:16" ht="15.75" customHeight="1">
      <c r="B1866" s="14"/>
      <c r="H1866" s="14"/>
      <c r="I1866" s="567"/>
      <c r="J1866" s="15"/>
      <c r="N1866" s="14"/>
      <c r="O1866" s="14"/>
      <c r="P1866" s="14"/>
    </row>
    <row r="1867" spans="2:16" ht="15.75" customHeight="1">
      <c r="B1867" s="14"/>
      <c r="H1867" s="14"/>
      <c r="I1867" s="567"/>
      <c r="J1867" s="15"/>
      <c r="N1867" s="14"/>
      <c r="O1867" s="14"/>
      <c r="P1867" s="14"/>
    </row>
    <row r="1868" spans="2:16" ht="15.75" customHeight="1">
      <c r="B1868" s="14"/>
      <c r="H1868" s="14"/>
      <c r="I1868" s="567"/>
      <c r="J1868" s="15"/>
      <c r="N1868" s="14"/>
      <c r="O1868" s="14"/>
      <c r="P1868" s="14"/>
    </row>
    <row r="1869" spans="2:16" ht="15.75" customHeight="1">
      <c r="B1869" s="14"/>
      <c r="H1869" s="14"/>
      <c r="I1869" s="567"/>
      <c r="J1869" s="15"/>
      <c r="N1869" s="14"/>
      <c r="O1869" s="14"/>
      <c r="P1869" s="14"/>
    </row>
    <row r="1870" spans="2:16" ht="15.75" customHeight="1">
      <c r="B1870" s="14"/>
      <c r="H1870" s="14"/>
      <c r="I1870" s="567"/>
      <c r="J1870" s="15"/>
      <c r="N1870" s="14"/>
      <c r="O1870" s="14"/>
      <c r="P1870" s="14"/>
    </row>
    <row r="1871" spans="2:16" ht="15.75" customHeight="1">
      <c r="B1871" s="14"/>
      <c r="H1871" s="14"/>
      <c r="I1871" s="567"/>
      <c r="J1871" s="15"/>
      <c r="N1871" s="14"/>
      <c r="O1871" s="14"/>
      <c r="P1871" s="14"/>
    </row>
    <row r="1872" spans="2:16" ht="15.75" customHeight="1">
      <c r="B1872" s="14"/>
      <c r="H1872" s="14"/>
      <c r="I1872" s="567"/>
      <c r="J1872" s="15"/>
      <c r="N1872" s="14"/>
      <c r="O1872" s="14"/>
      <c r="P1872" s="14"/>
    </row>
    <row r="1873" spans="2:16" ht="15.75" customHeight="1">
      <c r="B1873" s="14"/>
      <c r="H1873" s="14"/>
      <c r="I1873" s="567"/>
      <c r="J1873" s="15"/>
      <c r="N1873" s="14"/>
      <c r="O1873" s="14"/>
      <c r="P1873" s="14"/>
    </row>
    <row r="1874" spans="2:16" ht="15.75" customHeight="1">
      <c r="B1874" s="14"/>
      <c r="H1874" s="14"/>
      <c r="I1874" s="567"/>
      <c r="J1874" s="15"/>
      <c r="N1874" s="14"/>
      <c r="O1874" s="14"/>
      <c r="P1874" s="14"/>
    </row>
    <row r="1875" spans="2:16" ht="15.75" customHeight="1">
      <c r="B1875" s="14"/>
      <c r="H1875" s="14"/>
      <c r="I1875" s="567"/>
      <c r="J1875" s="15"/>
      <c r="N1875" s="14"/>
      <c r="O1875" s="14"/>
      <c r="P1875" s="14"/>
    </row>
    <row r="1876" spans="2:16" ht="15.75" customHeight="1">
      <c r="B1876" s="14"/>
      <c r="H1876" s="14"/>
      <c r="I1876" s="567"/>
      <c r="J1876" s="15"/>
      <c r="N1876" s="14"/>
      <c r="O1876" s="14"/>
      <c r="P1876" s="14"/>
    </row>
    <row r="1877" spans="2:16" ht="15.75" customHeight="1">
      <c r="B1877" s="14"/>
      <c r="H1877" s="14"/>
      <c r="I1877" s="567"/>
      <c r="J1877" s="15"/>
      <c r="N1877" s="14"/>
      <c r="O1877" s="14"/>
      <c r="P1877" s="14"/>
    </row>
    <row r="1878" spans="2:16" ht="15.75" customHeight="1">
      <c r="B1878" s="14"/>
      <c r="H1878" s="14"/>
      <c r="I1878" s="567"/>
      <c r="J1878" s="15"/>
      <c r="N1878" s="14"/>
      <c r="O1878" s="14"/>
      <c r="P1878" s="14"/>
    </row>
    <row r="1879" spans="2:16" ht="15.75" customHeight="1">
      <c r="B1879" s="14"/>
      <c r="H1879" s="14"/>
      <c r="I1879" s="567"/>
      <c r="J1879" s="15"/>
      <c r="N1879" s="14"/>
      <c r="O1879" s="14"/>
      <c r="P1879" s="14"/>
    </row>
    <row r="1880" spans="2:16" ht="15.75" customHeight="1">
      <c r="B1880" s="14"/>
      <c r="H1880" s="14"/>
      <c r="I1880" s="567"/>
      <c r="J1880" s="15"/>
      <c r="N1880" s="14"/>
      <c r="O1880" s="14"/>
      <c r="P1880" s="14"/>
    </row>
    <row r="1881" spans="2:16" ht="15.75" customHeight="1">
      <c r="B1881" s="14"/>
      <c r="H1881" s="14"/>
      <c r="I1881" s="567"/>
      <c r="J1881" s="15"/>
      <c r="N1881" s="14"/>
      <c r="O1881" s="14"/>
      <c r="P1881" s="14"/>
    </row>
    <row r="1882" spans="2:16" ht="15.75" customHeight="1">
      <c r="B1882" s="14"/>
      <c r="H1882" s="14"/>
      <c r="I1882" s="567"/>
      <c r="J1882" s="15"/>
      <c r="N1882" s="14"/>
      <c r="O1882" s="14"/>
      <c r="P1882" s="14"/>
    </row>
    <row r="1883" spans="2:16" ht="15.75" customHeight="1">
      <c r="B1883" s="14"/>
      <c r="H1883" s="14"/>
      <c r="I1883" s="567"/>
      <c r="J1883" s="15"/>
      <c r="N1883" s="14"/>
      <c r="O1883" s="14"/>
      <c r="P1883" s="14"/>
    </row>
    <row r="1884" spans="2:16" ht="15.75" customHeight="1">
      <c r="B1884" s="14"/>
      <c r="H1884" s="14"/>
      <c r="I1884" s="567"/>
      <c r="J1884" s="15"/>
      <c r="N1884" s="14"/>
      <c r="O1884" s="14"/>
      <c r="P1884" s="14"/>
    </row>
    <row r="1885" spans="2:16" ht="15.75" customHeight="1">
      <c r="B1885" s="14"/>
      <c r="H1885" s="14"/>
      <c r="I1885" s="567"/>
      <c r="J1885" s="15"/>
      <c r="N1885" s="14"/>
      <c r="O1885" s="14"/>
      <c r="P1885" s="14"/>
    </row>
    <row r="1886" spans="2:16" ht="15.75" customHeight="1">
      <c r="B1886" s="14"/>
      <c r="H1886" s="14"/>
      <c r="I1886" s="567"/>
      <c r="J1886" s="15"/>
      <c r="N1886" s="14"/>
      <c r="O1886" s="14"/>
      <c r="P1886" s="14"/>
    </row>
    <row r="1887" spans="2:16" ht="15.75" customHeight="1">
      <c r="B1887" s="14"/>
      <c r="H1887" s="14"/>
      <c r="I1887" s="567"/>
      <c r="J1887" s="15"/>
      <c r="N1887" s="14"/>
      <c r="O1887" s="14"/>
      <c r="P1887" s="14"/>
    </row>
    <row r="1888" spans="2:16" ht="15.75" customHeight="1">
      <c r="B1888" s="14"/>
      <c r="H1888" s="14"/>
      <c r="I1888" s="567"/>
      <c r="J1888" s="15"/>
      <c r="N1888" s="14"/>
      <c r="O1888" s="14"/>
      <c r="P1888" s="14"/>
    </row>
    <row r="1889" spans="2:16" ht="15.75" customHeight="1">
      <c r="B1889" s="14"/>
      <c r="H1889" s="14"/>
      <c r="I1889" s="567"/>
      <c r="J1889" s="15"/>
      <c r="N1889" s="14"/>
      <c r="O1889" s="14"/>
      <c r="P1889" s="14"/>
    </row>
    <row r="1890" spans="2:16" ht="15.75" customHeight="1">
      <c r="B1890" s="14"/>
      <c r="H1890" s="14"/>
      <c r="I1890" s="567"/>
      <c r="J1890" s="15"/>
      <c r="N1890" s="14"/>
      <c r="O1890" s="14"/>
      <c r="P1890" s="14"/>
    </row>
    <row r="1891" spans="2:16" ht="15.75" customHeight="1">
      <c r="B1891" s="14"/>
      <c r="H1891" s="14"/>
      <c r="I1891" s="567"/>
      <c r="J1891" s="15"/>
      <c r="N1891" s="14"/>
      <c r="O1891" s="14"/>
      <c r="P1891" s="14"/>
    </row>
    <row r="1892" spans="2:16" ht="15.75" customHeight="1">
      <c r="B1892" s="14"/>
      <c r="H1892" s="14"/>
      <c r="I1892" s="567"/>
      <c r="J1892" s="15"/>
      <c r="N1892" s="14"/>
      <c r="O1892" s="14"/>
      <c r="P1892" s="14"/>
    </row>
    <row r="1893" spans="2:16" ht="15.75" customHeight="1">
      <c r="B1893" s="14"/>
      <c r="H1893" s="14"/>
      <c r="I1893" s="567"/>
      <c r="J1893" s="15"/>
      <c r="N1893" s="14"/>
      <c r="O1893" s="14"/>
      <c r="P1893" s="14"/>
    </row>
    <row r="1894" spans="2:16" ht="15.75" customHeight="1">
      <c r="B1894" s="14"/>
      <c r="H1894" s="14"/>
      <c r="I1894" s="567"/>
      <c r="J1894" s="15"/>
      <c r="N1894" s="14"/>
      <c r="O1894" s="14"/>
      <c r="P1894" s="14"/>
    </row>
    <row r="1895" spans="2:16" ht="15.75" customHeight="1">
      <c r="B1895" s="14"/>
      <c r="H1895" s="14"/>
      <c r="I1895" s="567"/>
      <c r="J1895" s="15"/>
      <c r="N1895" s="14"/>
      <c r="O1895" s="14"/>
      <c r="P1895" s="14"/>
    </row>
    <row r="1896" spans="2:16" ht="15.75" customHeight="1">
      <c r="B1896" s="14"/>
      <c r="H1896" s="14"/>
      <c r="I1896" s="567"/>
      <c r="J1896" s="15"/>
      <c r="N1896" s="14"/>
      <c r="O1896" s="14"/>
      <c r="P1896" s="14"/>
    </row>
    <row r="1897" spans="2:16" ht="15.75" customHeight="1">
      <c r="B1897" s="14"/>
      <c r="H1897" s="14"/>
      <c r="I1897" s="567"/>
      <c r="J1897" s="15"/>
      <c r="N1897" s="14"/>
      <c r="O1897" s="14"/>
      <c r="P1897" s="14"/>
    </row>
    <row r="1898" spans="2:16" ht="15.75" customHeight="1">
      <c r="B1898" s="14"/>
      <c r="H1898" s="14"/>
      <c r="I1898" s="567"/>
      <c r="J1898" s="15"/>
      <c r="N1898" s="14"/>
      <c r="O1898" s="14"/>
      <c r="P1898" s="14"/>
    </row>
    <row r="1899" spans="2:16" ht="15.75" customHeight="1">
      <c r="B1899" s="14"/>
      <c r="H1899" s="14"/>
      <c r="I1899" s="567"/>
      <c r="J1899" s="15"/>
      <c r="N1899" s="14"/>
      <c r="O1899" s="14"/>
      <c r="P1899" s="14"/>
    </row>
    <row r="1900" spans="2:16" ht="15.75" customHeight="1">
      <c r="B1900" s="14"/>
      <c r="H1900" s="14"/>
      <c r="I1900" s="567"/>
      <c r="J1900" s="15"/>
      <c r="N1900" s="14"/>
      <c r="O1900" s="14"/>
      <c r="P1900" s="14"/>
    </row>
    <row r="1901" spans="2:16" ht="15.75" customHeight="1">
      <c r="B1901" s="14"/>
      <c r="H1901" s="14"/>
      <c r="I1901" s="567"/>
      <c r="J1901" s="15"/>
      <c r="N1901" s="14"/>
      <c r="O1901" s="14"/>
      <c r="P1901" s="14"/>
    </row>
    <row r="1902" spans="2:16" ht="15.75" customHeight="1">
      <c r="B1902" s="14"/>
      <c r="H1902" s="14"/>
      <c r="I1902" s="567"/>
      <c r="J1902" s="15"/>
      <c r="N1902" s="14"/>
      <c r="O1902" s="14"/>
      <c r="P1902" s="14"/>
    </row>
    <row r="1903" spans="2:16" ht="15.75" customHeight="1">
      <c r="B1903" s="14"/>
      <c r="H1903" s="14"/>
      <c r="I1903" s="567"/>
      <c r="J1903" s="15"/>
      <c r="N1903" s="14"/>
      <c r="O1903" s="14"/>
      <c r="P1903" s="14"/>
    </row>
    <row r="1904" spans="2:16" ht="15.75" customHeight="1">
      <c r="B1904" s="14"/>
      <c r="H1904" s="14"/>
      <c r="I1904" s="567"/>
      <c r="J1904" s="15"/>
      <c r="N1904" s="14"/>
      <c r="O1904" s="14"/>
      <c r="P1904" s="14"/>
    </row>
    <row r="1905" spans="2:16" ht="15.75" customHeight="1">
      <c r="B1905" s="14"/>
      <c r="H1905" s="14"/>
      <c r="I1905" s="567"/>
      <c r="J1905" s="15"/>
      <c r="N1905" s="14"/>
      <c r="O1905" s="14"/>
      <c r="P1905" s="14"/>
    </row>
    <row r="1906" spans="2:16" ht="15.75" customHeight="1">
      <c r="B1906" s="14"/>
      <c r="H1906" s="14"/>
      <c r="I1906" s="567"/>
      <c r="J1906" s="15"/>
      <c r="N1906" s="14"/>
      <c r="O1906" s="14"/>
      <c r="P1906" s="14"/>
    </row>
    <row r="1907" spans="2:16" ht="15.75" customHeight="1">
      <c r="B1907" s="14"/>
      <c r="H1907" s="14"/>
      <c r="I1907" s="567"/>
      <c r="J1907" s="15"/>
      <c r="N1907" s="14"/>
      <c r="O1907" s="14"/>
      <c r="P1907" s="14"/>
    </row>
    <row r="1908" spans="2:16" ht="15.75" customHeight="1">
      <c r="B1908" s="14"/>
      <c r="H1908" s="14"/>
      <c r="I1908" s="567"/>
      <c r="J1908" s="15"/>
      <c r="N1908" s="14"/>
      <c r="O1908" s="14"/>
      <c r="P1908" s="14"/>
    </row>
    <row r="1909" spans="2:16" ht="15.75" customHeight="1">
      <c r="B1909" s="14"/>
      <c r="H1909" s="14"/>
      <c r="I1909" s="567"/>
      <c r="J1909" s="15"/>
      <c r="N1909" s="14"/>
      <c r="O1909" s="14"/>
      <c r="P1909" s="14"/>
    </row>
    <row r="1910" spans="2:16" ht="15.75" customHeight="1">
      <c r="B1910" s="14"/>
      <c r="H1910" s="14"/>
      <c r="I1910" s="567"/>
      <c r="J1910" s="15"/>
      <c r="N1910" s="14"/>
      <c r="O1910" s="14"/>
      <c r="P1910" s="14"/>
    </row>
    <row r="1911" spans="2:16" ht="15.75" customHeight="1">
      <c r="B1911" s="14"/>
      <c r="H1911" s="14"/>
      <c r="I1911" s="567"/>
      <c r="J1911" s="15"/>
      <c r="N1911" s="14"/>
      <c r="O1911" s="14"/>
      <c r="P1911" s="14"/>
    </row>
    <row r="1912" spans="2:16" ht="15.75" customHeight="1">
      <c r="B1912" s="14"/>
      <c r="H1912" s="14"/>
      <c r="I1912" s="567"/>
      <c r="J1912" s="15"/>
      <c r="N1912" s="14"/>
      <c r="O1912" s="14"/>
      <c r="P1912" s="14"/>
    </row>
    <row r="1913" spans="2:16" ht="15.75" customHeight="1">
      <c r="B1913" s="14"/>
      <c r="H1913" s="14"/>
      <c r="I1913" s="567"/>
      <c r="J1913" s="15"/>
      <c r="N1913" s="14"/>
      <c r="O1913" s="14"/>
      <c r="P1913" s="14"/>
    </row>
    <row r="1914" spans="2:16" ht="15.75" customHeight="1">
      <c r="B1914" s="14"/>
      <c r="H1914" s="14"/>
      <c r="I1914" s="567"/>
      <c r="J1914" s="15"/>
      <c r="N1914" s="14"/>
      <c r="O1914" s="14"/>
      <c r="P1914" s="14"/>
    </row>
    <row r="1915" spans="2:16" ht="15.75" customHeight="1">
      <c r="B1915" s="14"/>
      <c r="H1915" s="14"/>
      <c r="I1915" s="567"/>
      <c r="J1915" s="15"/>
      <c r="N1915" s="14"/>
      <c r="O1915" s="14"/>
      <c r="P1915" s="14"/>
    </row>
    <row r="1916" spans="2:16" ht="15.75" customHeight="1">
      <c r="B1916" s="14"/>
      <c r="H1916" s="14"/>
      <c r="I1916" s="567"/>
      <c r="J1916" s="15"/>
      <c r="N1916" s="14"/>
      <c r="O1916" s="14"/>
      <c r="P1916" s="14"/>
    </row>
    <row r="1917" spans="2:16" ht="15.75" customHeight="1">
      <c r="B1917" s="14"/>
      <c r="H1917" s="14"/>
      <c r="I1917" s="567"/>
      <c r="J1917" s="15"/>
      <c r="N1917" s="14"/>
      <c r="O1917" s="14"/>
      <c r="P1917" s="14"/>
    </row>
    <row r="1918" spans="2:16" ht="15.75" customHeight="1">
      <c r="B1918" s="14"/>
      <c r="H1918" s="14"/>
      <c r="I1918" s="567"/>
      <c r="J1918" s="15"/>
      <c r="N1918" s="14"/>
      <c r="O1918" s="14"/>
      <c r="P1918" s="14"/>
    </row>
    <row r="1919" spans="2:16" ht="15.75" customHeight="1">
      <c r="B1919" s="14"/>
      <c r="H1919" s="14"/>
      <c r="I1919" s="567"/>
      <c r="J1919" s="15"/>
      <c r="N1919" s="14"/>
      <c r="O1919" s="14"/>
      <c r="P1919" s="14"/>
    </row>
    <row r="1920" spans="2:16" ht="15.75" customHeight="1">
      <c r="B1920" s="14"/>
      <c r="H1920" s="14"/>
      <c r="I1920" s="567"/>
      <c r="J1920" s="15"/>
      <c r="N1920" s="14"/>
      <c r="O1920" s="14"/>
      <c r="P1920" s="14"/>
    </row>
    <row r="1921" spans="2:16" ht="15.75" customHeight="1">
      <c r="B1921" s="14"/>
      <c r="H1921" s="14"/>
      <c r="I1921" s="567"/>
      <c r="J1921" s="15"/>
      <c r="N1921" s="14"/>
      <c r="O1921" s="14"/>
      <c r="P1921" s="14"/>
    </row>
    <row r="1922" spans="2:16" ht="15.75" customHeight="1">
      <c r="B1922" s="14"/>
      <c r="H1922" s="14"/>
      <c r="I1922" s="567"/>
      <c r="J1922" s="15"/>
      <c r="N1922" s="14"/>
      <c r="O1922" s="14"/>
      <c r="P1922" s="14"/>
    </row>
    <row r="1923" spans="2:16" ht="15.75" customHeight="1">
      <c r="B1923" s="14"/>
      <c r="H1923" s="14"/>
      <c r="I1923" s="567"/>
      <c r="J1923" s="15"/>
      <c r="N1923" s="14"/>
      <c r="O1923" s="14"/>
      <c r="P1923" s="14"/>
    </row>
    <row r="1924" spans="2:16" ht="15.75" customHeight="1">
      <c r="B1924" s="14"/>
      <c r="H1924" s="14"/>
      <c r="I1924" s="567"/>
      <c r="J1924" s="15"/>
      <c r="N1924" s="14"/>
      <c r="O1924" s="14"/>
      <c r="P1924" s="14"/>
    </row>
    <row r="1925" spans="2:16" ht="15.75" customHeight="1">
      <c r="B1925" s="14"/>
      <c r="H1925" s="14"/>
      <c r="I1925" s="567"/>
      <c r="J1925" s="15"/>
      <c r="N1925" s="14"/>
      <c r="O1925" s="14"/>
      <c r="P1925" s="14"/>
    </row>
    <row r="1926" spans="2:16" ht="15.75" customHeight="1">
      <c r="B1926" s="14"/>
      <c r="H1926" s="14"/>
      <c r="I1926" s="567"/>
      <c r="J1926" s="15"/>
      <c r="N1926" s="14"/>
      <c r="O1926" s="14"/>
      <c r="P1926" s="14"/>
    </row>
    <row r="1927" spans="2:16" ht="15.75" customHeight="1">
      <c r="B1927" s="14"/>
      <c r="H1927" s="14"/>
      <c r="I1927" s="567"/>
      <c r="J1927" s="15"/>
      <c r="N1927" s="14"/>
      <c r="O1927" s="14"/>
      <c r="P1927" s="14"/>
    </row>
    <row r="1928" spans="2:16" ht="15.75" customHeight="1">
      <c r="B1928" s="14"/>
      <c r="H1928" s="14"/>
      <c r="I1928" s="567"/>
      <c r="J1928" s="15"/>
      <c r="N1928" s="14"/>
      <c r="O1928" s="14"/>
      <c r="P1928" s="14"/>
    </row>
    <row r="1929" spans="2:16" ht="15.75" customHeight="1">
      <c r="B1929" s="14"/>
      <c r="H1929" s="14"/>
      <c r="I1929" s="567"/>
      <c r="J1929" s="15"/>
      <c r="N1929" s="14"/>
      <c r="O1929" s="14"/>
      <c r="P1929" s="14"/>
    </row>
    <row r="1930" spans="2:16" ht="15.75" customHeight="1">
      <c r="B1930" s="14"/>
      <c r="H1930" s="14"/>
      <c r="I1930" s="567"/>
      <c r="J1930" s="15"/>
      <c r="N1930" s="14"/>
      <c r="O1930" s="14"/>
      <c r="P1930" s="14"/>
    </row>
    <row r="1931" spans="2:16" ht="15.75" customHeight="1">
      <c r="B1931" s="14"/>
      <c r="H1931" s="14"/>
      <c r="I1931" s="567"/>
      <c r="J1931" s="15"/>
      <c r="N1931" s="14"/>
      <c r="O1931" s="14"/>
      <c r="P1931" s="14"/>
    </row>
    <row r="1932" spans="2:16" ht="15.75" customHeight="1">
      <c r="B1932" s="14"/>
      <c r="H1932" s="14"/>
      <c r="I1932" s="567"/>
      <c r="J1932" s="15"/>
      <c r="N1932" s="14"/>
      <c r="O1932" s="14"/>
      <c r="P1932" s="14"/>
    </row>
    <row r="1933" spans="2:16" ht="15.75" customHeight="1">
      <c r="B1933" s="14"/>
      <c r="H1933" s="14"/>
      <c r="I1933" s="567"/>
      <c r="J1933" s="15"/>
      <c r="N1933" s="14"/>
      <c r="O1933" s="14"/>
      <c r="P1933" s="14"/>
    </row>
    <row r="1934" spans="2:16" ht="15.75" customHeight="1">
      <c r="B1934" s="14"/>
      <c r="H1934" s="14"/>
      <c r="I1934" s="567"/>
      <c r="J1934" s="15"/>
      <c r="N1934" s="14"/>
      <c r="O1934" s="14"/>
      <c r="P1934" s="14"/>
    </row>
    <row r="1935" spans="2:16" ht="15.75" customHeight="1">
      <c r="B1935" s="14"/>
      <c r="H1935" s="14"/>
      <c r="I1935" s="567"/>
      <c r="J1935" s="15"/>
      <c r="N1935" s="14"/>
      <c r="O1935" s="14"/>
      <c r="P1935" s="14"/>
    </row>
    <row r="1936" spans="2:16" ht="15.75" customHeight="1">
      <c r="B1936" s="14"/>
      <c r="H1936" s="14"/>
      <c r="I1936" s="567"/>
      <c r="J1936" s="15"/>
      <c r="N1936" s="14"/>
      <c r="O1936" s="14"/>
      <c r="P1936" s="14"/>
    </row>
    <row r="1937" spans="2:16" ht="15.75" customHeight="1">
      <c r="B1937" s="14"/>
      <c r="H1937" s="14"/>
      <c r="I1937" s="567"/>
      <c r="J1937" s="15"/>
      <c r="N1937" s="14"/>
      <c r="O1937" s="14"/>
      <c r="P1937" s="14"/>
    </row>
    <row r="1938" spans="2:16" ht="15.75" customHeight="1">
      <c r="B1938" s="14"/>
      <c r="H1938" s="14"/>
      <c r="I1938" s="567"/>
      <c r="J1938" s="15"/>
      <c r="N1938" s="14"/>
      <c r="O1938" s="14"/>
      <c r="P1938" s="14"/>
    </row>
    <row r="1939" spans="2:16" ht="15.75" customHeight="1">
      <c r="B1939" s="14"/>
      <c r="H1939" s="14"/>
      <c r="I1939" s="567"/>
      <c r="J1939" s="15"/>
      <c r="N1939" s="14"/>
      <c r="O1939" s="14"/>
      <c r="P1939" s="14"/>
    </row>
    <row r="1940" spans="2:16" ht="15.75" customHeight="1">
      <c r="B1940" s="14"/>
      <c r="H1940" s="14"/>
      <c r="I1940" s="567"/>
      <c r="J1940" s="15"/>
      <c r="N1940" s="14"/>
      <c r="O1940" s="14"/>
      <c r="P1940" s="14"/>
    </row>
    <row r="1941" spans="2:16" ht="15.75" customHeight="1">
      <c r="B1941" s="14"/>
      <c r="H1941" s="14"/>
      <c r="I1941" s="567"/>
      <c r="J1941" s="15"/>
      <c r="N1941" s="14"/>
      <c r="O1941" s="14"/>
      <c r="P1941" s="14"/>
    </row>
    <row r="1942" spans="2:16" ht="15.75" customHeight="1">
      <c r="B1942" s="14"/>
      <c r="H1942" s="14"/>
      <c r="I1942" s="567"/>
      <c r="J1942" s="15"/>
      <c r="N1942" s="14"/>
      <c r="O1942" s="14"/>
      <c r="P1942" s="14"/>
    </row>
    <row r="1943" spans="2:16" ht="15.75" customHeight="1">
      <c r="B1943" s="14"/>
      <c r="H1943" s="14"/>
      <c r="I1943" s="567"/>
      <c r="J1943" s="15"/>
      <c r="N1943" s="14"/>
      <c r="O1943" s="14"/>
      <c r="P1943" s="14"/>
    </row>
    <row r="1944" spans="2:16" ht="15.75" customHeight="1">
      <c r="B1944" s="14"/>
      <c r="H1944" s="14"/>
      <c r="I1944" s="567"/>
      <c r="J1944" s="15"/>
      <c r="N1944" s="14"/>
      <c r="O1944" s="14"/>
      <c r="P1944" s="14"/>
    </row>
    <row r="1945" spans="2:16" ht="15.75" customHeight="1">
      <c r="B1945" s="14"/>
      <c r="H1945" s="14"/>
      <c r="I1945" s="567"/>
      <c r="J1945" s="15"/>
      <c r="N1945" s="14"/>
      <c r="O1945" s="14"/>
      <c r="P1945" s="14"/>
    </row>
    <row r="1946" spans="2:16" ht="15.75" customHeight="1">
      <c r="B1946" s="14"/>
      <c r="H1946" s="14"/>
      <c r="I1946" s="567"/>
      <c r="J1946" s="15"/>
      <c r="N1946" s="14"/>
      <c r="O1946" s="14"/>
      <c r="P1946" s="14"/>
    </row>
    <row r="1947" spans="2:16" ht="15.75" customHeight="1">
      <c r="B1947" s="14"/>
      <c r="H1947" s="14"/>
      <c r="I1947" s="567"/>
      <c r="J1947" s="15"/>
      <c r="N1947" s="14"/>
      <c r="O1947" s="14"/>
      <c r="P1947" s="14"/>
    </row>
    <row r="1948" spans="2:16" ht="15.75" customHeight="1">
      <c r="B1948" s="14"/>
      <c r="H1948" s="14"/>
      <c r="I1948" s="567"/>
      <c r="J1948" s="15"/>
      <c r="N1948" s="14"/>
      <c r="O1948" s="14"/>
      <c r="P1948" s="14"/>
    </row>
    <row r="1949" spans="2:16" ht="15.75" customHeight="1">
      <c r="B1949" s="14"/>
      <c r="H1949" s="14"/>
      <c r="I1949" s="567"/>
      <c r="J1949" s="15"/>
      <c r="N1949" s="14"/>
      <c r="O1949" s="14"/>
      <c r="P1949" s="14"/>
    </row>
    <row r="1950" spans="2:16" ht="15.75" customHeight="1">
      <c r="B1950" s="14"/>
      <c r="H1950" s="14"/>
      <c r="I1950" s="567"/>
      <c r="J1950" s="15"/>
      <c r="N1950" s="14"/>
      <c r="O1950" s="14"/>
      <c r="P1950" s="14"/>
    </row>
    <row r="1951" spans="2:16" ht="15.75" customHeight="1">
      <c r="B1951" s="14"/>
      <c r="H1951" s="14"/>
      <c r="I1951" s="567"/>
      <c r="J1951" s="15"/>
      <c r="N1951" s="14"/>
      <c r="O1951" s="14"/>
      <c r="P1951" s="14"/>
    </row>
    <row r="1952" spans="2:16" ht="15.75" customHeight="1">
      <c r="B1952" s="14"/>
      <c r="H1952" s="14"/>
      <c r="I1952" s="567"/>
      <c r="J1952" s="15"/>
      <c r="N1952" s="14"/>
      <c r="O1952" s="14"/>
      <c r="P1952" s="14"/>
    </row>
    <row r="1953" spans="2:16" ht="15.75" customHeight="1">
      <c r="B1953" s="14"/>
      <c r="H1953" s="14"/>
      <c r="I1953" s="567"/>
      <c r="J1953" s="15"/>
      <c r="N1953" s="14"/>
      <c r="O1953" s="14"/>
      <c r="P1953" s="14"/>
    </row>
    <row r="1954" spans="2:16" ht="15.75" customHeight="1">
      <c r="B1954" s="14"/>
      <c r="H1954" s="14"/>
      <c r="I1954" s="567"/>
      <c r="J1954" s="15"/>
      <c r="N1954" s="14"/>
      <c r="O1954" s="14"/>
      <c r="P1954" s="14"/>
    </row>
    <row r="1955" spans="2:16" ht="15.75" customHeight="1">
      <c r="B1955" s="14"/>
      <c r="H1955" s="14"/>
      <c r="I1955" s="567"/>
      <c r="J1955" s="15"/>
      <c r="N1955" s="14"/>
      <c r="O1955" s="14"/>
      <c r="P1955" s="14"/>
    </row>
    <row r="1956" spans="2:16" ht="15.75" customHeight="1">
      <c r="B1956" s="14"/>
      <c r="H1956" s="14"/>
      <c r="I1956" s="567"/>
      <c r="J1956" s="15"/>
      <c r="N1956" s="14"/>
      <c r="O1956" s="14"/>
      <c r="P1956" s="14"/>
    </row>
    <row r="1957" spans="2:16" ht="15.75" customHeight="1">
      <c r="B1957" s="14"/>
      <c r="H1957" s="14"/>
      <c r="I1957" s="567"/>
      <c r="J1957" s="15"/>
      <c r="N1957" s="14"/>
      <c r="O1957" s="14"/>
      <c r="P1957" s="14"/>
    </row>
    <row r="1958" spans="2:16" ht="15.75" customHeight="1">
      <c r="B1958" s="14"/>
      <c r="H1958" s="14"/>
      <c r="I1958" s="567"/>
      <c r="J1958" s="15"/>
      <c r="N1958" s="14"/>
      <c r="O1958" s="14"/>
      <c r="P1958" s="14"/>
    </row>
    <row r="1959" spans="2:16" ht="15.75" customHeight="1">
      <c r="B1959" s="14"/>
      <c r="H1959" s="14"/>
      <c r="I1959" s="567"/>
      <c r="J1959" s="15"/>
      <c r="N1959" s="14"/>
      <c r="O1959" s="14"/>
      <c r="P1959" s="14"/>
    </row>
    <row r="1960" spans="2:16" ht="15.75" customHeight="1">
      <c r="B1960" s="14"/>
      <c r="H1960" s="14"/>
      <c r="I1960" s="567"/>
      <c r="J1960" s="15"/>
      <c r="N1960" s="14"/>
      <c r="O1960" s="14"/>
      <c r="P1960" s="14"/>
    </row>
    <row r="1961" spans="2:16" ht="15.75" customHeight="1">
      <c r="B1961" s="14"/>
      <c r="H1961" s="14"/>
      <c r="I1961" s="567"/>
      <c r="J1961" s="15"/>
      <c r="N1961" s="14"/>
      <c r="O1961" s="14"/>
      <c r="P1961" s="14"/>
    </row>
    <row r="1962" spans="2:16" ht="15.75" customHeight="1">
      <c r="B1962" s="14"/>
      <c r="H1962" s="14"/>
      <c r="I1962" s="567"/>
      <c r="J1962" s="15"/>
      <c r="N1962" s="14"/>
      <c r="O1962" s="14"/>
      <c r="P1962" s="14"/>
    </row>
    <row r="1963" spans="2:16" ht="15.75" customHeight="1">
      <c r="B1963" s="14"/>
      <c r="H1963" s="14"/>
      <c r="I1963" s="567"/>
      <c r="J1963" s="15"/>
      <c r="N1963" s="14"/>
      <c r="O1963" s="14"/>
      <c r="P1963" s="14"/>
    </row>
    <row r="1964" spans="2:16" ht="15.75" customHeight="1">
      <c r="B1964" s="14"/>
      <c r="H1964" s="14"/>
      <c r="I1964" s="567"/>
      <c r="J1964" s="15"/>
      <c r="N1964" s="14"/>
      <c r="O1964" s="14"/>
      <c r="P1964" s="14"/>
    </row>
    <row r="1965" spans="2:16" ht="15.75" customHeight="1">
      <c r="B1965" s="14"/>
      <c r="H1965" s="14"/>
      <c r="I1965" s="567"/>
      <c r="J1965" s="15"/>
      <c r="N1965" s="14"/>
      <c r="O1965" s="14"/>
      <c r="P1965" s="14"/>
    </row>
    <row r="1966" spans="2:16" ht="15.75" customHeight="1">
      <c r="B1966" s="14"/>
      <c r="H1966" s="14"/>
      <c r="I1966" s="567"/>
      <c r="J1966" s="15"/>
      <c r="N1966" s="14"/>
      <c r="O1966" s="14"/>
      <c r="P1966" s="14"/>
    </row>
    <row r="1967" spans="2:16" ht="15.75" customHeight="1">
      <c r="B1967" s="14"/>
      <c r="H1967" s="14"/>
      <c r="I1967" s="567"/>
      <c r="J1967" s="15"/>
      <c r="N1967" s="14"/>
      <c r="O1967" s="14"/>
      <c r="P1967" s="14"/>
    </row>
    <row r="1968" spans="2:16" ht="15.75" customHeight="1">
      <c r="B1968" s="14"/>
      <c r="H1968" s="14"/>
      <c r="I1968" s="567"/>
      <c r="J1968" s="15"/>
      <c r="N1968" s="14"/>
      <c r="O1968" s="14"/>
      <c r="P1968" s="14"/>
    </row>
    <row r="1969" spans="2:16" ht="15.75" customHeight="1">
      <c r="B1969" s="14"/>
      <c r="H1969" s="14"/>
      <c r="I1969" s="567"/>
      <c r="J1969" s="15"/>
      <c r="N1969" s="14"/>
      <c r="O1969" s="14"/>
      <c r="P1969" s="14"/>
    </row>
    <row r="1970" spans="2:16" ht="15.75" customHeight="1">
      <c r="B1970" s="14"/>
      <c r="H1970" s="14"/>
      <c r="I1970" s="567"/>
      <c r="J1970" s="15"/>
      <c r="N1970" s="14"/>
      <c r="O1970" s="14"/>
      <c r="P1970" s="14"/>
    </row>
    <row r="1971" spans="2:16" ht="15.75" customHeight="1">
      <c r="B1971" s="14"/>
      <c r="H1971" s="14"/>
      <c r="I1971" s="567"/>
      <c r="J1971" s="15"/>
      <c r="N1971" s="14"/>
      <c r="O1971" s="14"/>
      <c r="P1971" s="14"/>
    </row>
    <row r="1972" spans="2:16" ht="15.75" customHeight="1">
      <c r="B1972" s="14"/>
      <c r="H1972" s="14"/>
      <c r="I1972" s="567"/>
      <c r="J1972" s="15"/>
      <c r="N1972" s="14"/>
      <c r="O1972" s="14"/>
      <c r="P1972" s="14"/>
    </row>
    <row r="1973" spans="2:16" ht="15.75" customHeight="1">
      <c r="B1973" s="14"/>
      <c r="H1973" s="14"/>
      <c r="I1973" s="567"/>
      <c r="J1973" s="15"/>
      <c r="N1973" s="14"/>
      <c r="O1973" s="14"/>
      <c r="P1973" s="14"/>
    </row>
    <row r="1974" spans="2:16" ht="15.75" customHeight="1">
      <c r="B1974" s="14"/>
      <c r="H1974" s="14"/>
      <c r="I1974" s="567"/>
      <c r="J1974" s="15"/>
      <c r="N1974" s="14"/>
      <c r="O1974" s="14"/>
      <c r="P1974" s="14"/>
    </row>
    <row r="1975" spans="2:16" ht="15.75" customHeight="1">
      <c r="B1975" s="14"/>
      <c r="H1975" s="14"/>
      <c r="I1975" s="567"/>
      <c r="J1975" s="15"/>
      <c r="N1975" s="14"/>
      <c r="O1975" s="14"/>
      <c r="P1975" s="14"/>
    </row>
    <row r="1976" spans="2:16" ht="15.75" customHeight="1">
      <c r="B1976" s="14"/>
      <c r="H1976" s="14"/>
      <c r="I1976" s="567"/>
      <c r="J1976" s="15"/>
      <c r="N1976" s="14"/>
      <c r="O1976" s="14"/>
      <c r="P1976" s="14"/>
    </row>
    <row r="1977" spans="2:16" ht="15.75" customHeight="1">
      <c r="B1977" s="14"/>
      <c r="H1977" s="14"/>
      <c r="I1977" s="567"/>
      <c r="J1977" s="15"/>
      <c r="N1977" s="14"/>
      <c r="O1977" s="14"/>
      <c r="P1977" s="14"/>
    </row>
    <row r="1978" spans="2:16" ht="15.75" customHeight="1">
      <c r="B1978" s="14"/>
      <c r="H1978" s="14"/>
      <c r="I1978" s="567"/>
      <c r="J1978" s="15"/>
      <c r="N1978" s="14"/>
      <c r="O1978" s="14"/>
      <c r="P1978" s="14"/>
    </row>
    <row r="1979" spans="2:16" ht="15.75" customHeight="1">
      <c r="B1979" s="14"/>
      <c r="H1979" s="14"/>
      <c r="I1979" s="567"/>
      <c r="J1979" s="15"/>
      <c r="N1979" s="14"/>
      <c r="O1979" s="14"/>
      <c r="P1979" s="14"/>
    </row>
    <row r="1980" spans="2:16" ht="15.75" customHeight="1">
      <c r="B1980" s="14"/>
      <c r="H1980" s="14"/>
      <c r="I1980" s="567"/>
      <c r="J1980" s="15"/>
      <c r="N1980" s="14"/>
      <c r="O1980" s="14"/>
      <c r="P1980" s="14"/>
    </row>
    <row r="1981" spans="2:16" ht="15.75" customHeight="1">
      <c r="B1981" s="14"/>
      <c r="H1981" s="14"/>
      <c r="I1981" s="567"/>
      <c r="J1981" s="15"/>
      <c r="N1981" s="14"/>
      <c r="O1981" s="14"/>
      <c r="P1981" s="14"/>
    </row>
    <row r="1982" spans="2:16" ht="15.75" customHeight="1">
      <c r="B1982" s="14"/>
      <c r="H1982" s="14"/>
      <c r="I1982" s="567"/>
      <c r="J1982" s="15"/>
      <c r="N1982" s="14"/>
      <c r="O1982" s="14"/>
      <c r="P1982" s="14"/>
    </row>
    <row r="1983" spans="2:16" ht="15.75" customHeight="1">
      <c r="B1983" s="14"/>
      <c r="H1983" s="14"/>
      <c r="I1983" s="567"/>
      <c r="J1983" s="15"/>
      <c r="N1983" s="14"/>
      <c r="O1983" s="14"/>
      <c r="P1983" s="14"/>
    </row>
    <row r="1984" spans="2:16" ht="15.75" customHeight="1">
      <c r="B1984" s="14"/>
      <c r="H1984" s="14"/>
      <c r="I1984" s="567"/>
      <c r="J1984" s="15"/>
      <c r="N1984" s="14"/>
      <c r="O1984" s="14"/>
      <c r="P1984" s="14"/>
    </row>
    <row r="1985" spans="2:16" ht="15.75" customHeight="1">
      <c r="B1985" s="14"/>
      <c r="H1985" s="14"/>
      <c r="I1985" s="567"/>
      <c r="J1985" s="15"/>
      <c r="N1985" s="14"/>
      <c r="O1985" s="14"/>
      <c r="P1985" s="14"/>
    </row>
    <row r="1986" spans="2:16" ht="15.75" customHeight="1">
      <c r="B1986" s="14"/>
      <c r="H1986" s="14"/>
      <c r="I1986" s="567"/>
      <c r="J1986" s="15"/>
      <c r="N1986" s="14"/>
      <c r="O1986" s="14"/>
      <c r="P1986" s="14"/>
    </row>
    <row r="1987" spans="2:16" ht="15.75" customHeight="1">
      <c r="B1987" s="14"/>
      <c r="H1987" s="14"/>
      <c r="I1987" s="567"/>
      <c r="J1987" s="15"/>
      <c r="N1987" s="14"/>
      <c r="O1987" s="14"/>
      <c r="P1987" s="14"/>
    </row>
    <row r="1988" spans="2:16" ht="15.75" customHeight="1">
      <c r="B1988" s="14"/>
      <c r="H1988" s="14"/>
      <c r="I1988" s="567"/>
      <c r="J1988" s="15"/>
      <c r="N1988" s="14"/>
      <c r="O1988" s="14"/>
      <c r="P1988" s="14"/>
    </row>
    <row r="1989" spans="2:16" ht="15.75" customHeight="1">
      <c r="B1989" s="14"/>
      <c r="H1989" s="14"/>
      <c r="I1989" s="567"/>
      <c r="J1989" s="15"/>
      <c r="N1989" s="14"/>
      <c r="O1989" s="14"/>
      <c r="P1989" s="14"/>
    </row>
    <row r="1990" spans="2:16" ht="15.75" customHeight="1">
      <c r="B1990" s="14"/>
      <c r="H1990" s="14"/>
      <c r="I1990" s="567"/>
      <c r="J1990" s="15"/>
      <c r="N1990" s="14"/>
      <c r="O1990" s="14"/>
      <c r="P1990" s="14"/>
    </row>
    <row r="1991" spans="2:16" ht="15.75" customHeight="1">
      <c r="B1991" s="14"/>
      <c r="H1991" s="14"/>
      <c r="I1991" s="567"/>
      <c r="J1991" s="15"/>
      <c r="N1991" s="14"/>
      <c r="O1991" s="14"/>
      <c r="P1991" s="14"/>
    </row>
    <row r="1992" spans="2:16" ht="15.75" customHeight="1">
      <c r="B1992" s="14"/>
      <c r="H1992" s="14"/>
      <c r="I1992" s="567"/>
      <c r="J1992" s="15"/>
      <c r="N1992" s="14"/>
      <c r="O1992" s="14"/>
      <c r="P1992" s="14"/>
    </row>
    <row r="1993" spans="2:16" ht="15.75" customHeight="1">
      <c r="B1993" s="14"/>
      <c r="H1993" s="14"/>
      <c r="I1993" s="567"/>
      <c r="J1993" s="15"/>
      <c r="N1993" s="14"/>
      <c r="O1993" s="14"/>
      <c r="P1993" s="14"/>
    </row>
    <row r="1994" spans="2:16" ht="15.75" customHeight="1">
      <c r="B1994" s="14"/>
      <c r="H1994" s="14"/>
      <c r="I1994" s="567"/>
      <c r="J1994" s="15"/>
      <c r="N1994" s="14"/>
      <c r="O1994" s="14"/>
      <c r="P1994" s="14"/>
    </row>
    <row r="1995" spans="2:16" ht="15.75" customHeight="1">
      <c r="B1995" s="14"/>
      <c r="H1995" s="14"/>
      <c r="I1995" s="567"/>
      <c r="J1995" s="15"/>
      <c r="N1995" s="14"/>
      <c r="O1995" s="14"/>
      <c r="P1995" s="14"/>
    </row>
    <row r="1996" spans="2:16" ht="15.75" customHeight="1">
      <c r="B1996" s="14"/>
      <c r="H1996" s="14"/>
      <c r="I1996" s="567"/>
      <c r="J1996" s="15"/>
      <c r="N1996" s="14"/>
      <c r="O1996" s="14"/>
      <c r="P1996" s="14"/>
    </row>
    <row r="1997" spans="2:16" ht="15.75" customHeight="1">
      <c r="B1997" s="14"/>
      <c r="H1997" s="14"/>
      <c r="I1997" s="567"/>
      <c r="J1997" s="15"/>
      <c r="N1997" s="14"/>
      <c r="O1997" s="14"/>
      <c r="P1997" s="14"/>
    </row>
    <row r="1998" spans="2:16" ht="15.75" customHeight="1">
      <c r="B1998" s="14"/>
      <c r="H1998" s="14"/>
      <c r="I1998" s="567"/>
      <c r="J1998" s="15"/>
      <c r="N1998" s="14"/>
      <c r="O1998" s="14"/>
      <c r="P1998" s="14"/>
    </row>
    <row r="1999" spans="2:16" ht="15.75" customHeight="1">
      <c r="B1999" s="14"/>
      <c r="H1999" s="14"/>
      <c r="I1999" s="567"/>
      <c r="J1999" s="15"/>
      <c r="N1999" s="14"/>
      <c r="O1999" s="14"/>
      <c r="P1999" s="14"/>
    </row>
    <row r="2000" spans="2:16" ht="15.75" customHeight="1">
      <c r="B2000" s="14"/>
      <c r="H2000" s="14"/>
      <c r="I2000" s="567"/>
      <c r="J2000" s="15"/>
      <c r="N2000" s="14"/>
      <c r="O2000" s="14"/>
      <c r="P2000" s="14"/>
    </row>
    <row r="2001" spans="2:16" ht="15.75" customHeight="1">
      <c r="B2001" s="14"/>
      <c r="H2001" s="14"/>
      <c r="I2001" s="567"/>
      <c r="J2001" s="15"/>
      <c r="N2001" s="14"/>
      <c r="O2001" s="14"/>
      <c r="P2001" s="14"/>
    </row>
    <row r="2002" spans="2:16" ht="15.75" customHeight="1">
      <c r="B2002" s="14"/>
      <c r="H2002" s="14"/>
      <c r="I2002" s="567"/>
      <c r="J2002" s="15"/>
      <c r="N2002" s="14"/>
      <c r="O2002" s="14"/>
      <c r="P2002" s="14"/>
    </row>
    <row r="2003" spans="2:16" ht="15.75" customHeight="1">
      <c r="B2003" s="14"/>
      <c r="H2003" s="14"/>
      <c r="I2003" s="567"/>
      <c r="J2003" s="15"/>
      <c r="N2003" s="14"/>
      <c r="O2003" s="14"/>
      <c r="P2003" s="14"/>
    </row>
    <row r="2004" spans="2:16" ht="15.75" customHeight="1">
      <c r="B2004" s="14"/>
      <c r="H2004" s="14"/>
      <c r="I2004" s="567"/>
      <c r="J2004" s="15"/>
      <c r="N2004" s="14"/>
      <c r="O2004" s="14"/>
      <c r="P2004" s="14"/>
    </row>
    <row r="2005" spans="2:16" ht="15.75" customHeight="1">
      <c r="B2005" s="14"/>
      <c r="H2005" s="14"/>
      <c r="I2005" s="567"/>
      <c r="J2005" s="15"/>
      <c r="N2005" s="14"/>
      <c r="O2005" s="14"/>
      <c r="P2005" s="14"/>
    </row>
    <row r="2006" spans="2:16" ht="15.75" customHeight="1">
      <c r="B2006" s="14"/>
      <c r="H2006" s="14"/>
      <c r="I2006" s="567"/>
      <c r="J2006" s="15"/>
      <c r="N2006" s="14"/>
      <c r="O2006" s="14"/>
      <c r="P2006" s="14"/>
    </row>
    <row r="2007" spans="2:16" ht="15.75" customHeight="1">
      <c r="B2007" s="14"/>
      <c r="H2007" s="14"/>
      <c r="I2007" s="567"/>
      <c r="J2007" s="15"/>
      <c r="N2007" s="14"/>
      <c r="O2007" s="14"/>
      <c r="P2007" s="14"/>
    </row>
    <row r="2008" spans="2:16" ht="15.75" customHeight="1">
      <c r="B2008" s="14"/>
      <c r="H2008" s="14"/>
      <c r="I2008" s="567"/>
      <c r="J2008" s="15"/>
      <c r="N2008" s="14"/>
      <c r="O2008" s="14"/>
      <c r="P2008" s="14"/>
    </row>
    <row r="2009" spans="2:16" ht="15.75" customHeight="1">
      <c r="B2009" s="14"/>
      <c r="H2009" s="14"/>
      <c r="I2009" s="567"/>
      <c r="J2009" s="15"/>
      <c r="N2009" s="14"/>
      <c r="O2009" s="14"/>
      <c r="P2009" s="14"/>
    </row>
    <row r="2010" spans="2:16" ht="15.75" customHeight="1">
      <c r="B2010" s="14"/>
      <c r="H2010" s="14"/>
      <c r="I2010" s="567"/>
      <c r="J2010" s="15"/>
      <c r="N2010" s="14"/>
      <c r="O2010" s="14"/>
      <c r="P2010" s="14"/>
    </row>
    <row r="2011" spans="2:16" ht="15.75" customHeight="1">
      <c r="B2011" s="14"/>
      <c r="H2011" s="14"/>
      <c r="I2011" s="567"/>
      <c r="J2011" s="15"/>
      <c r="N2011" s="14"/>
      <c r="O2011" s="14"/>
      <c r="P2011" s="14"/>
    </row>
    <row r="2012" spans="2:16" ht="15.75" customHeight="1">
      <c r="B2012" s="14"/>
      <c r="H2012" s="14"/>
      <c r="I2012" s="567"/>
      <c r="J2012" s="15"/>
      <c r="N2012" s="14"/>
      <c r="O2012" s="14"/>
      <c r="P2012" s="14"/>
    </row>
    <row r="2013" spans="2:16" ht="15.75" customHeight="1">
      <c r="B2013" s="14"/>
      <c r="H2013" s="14"/>
      <c r="I2013" s="567"/>
      <c r="J2013" s="15"/>
      <c r="N2013" s="14"/>
      <c r="O2013" s="14"/>
      <c r="P2013" s="14"/>
    </row>
    <row r="2014" spans="2:16" ht="15.75" customHeight="1">
      <c r="B2014" s="14"/>
      <c r="H2014" s="14"/>
      <c r="I2014" s="567"/>
      <c r="J2014" s="15"/>
      <c r="N2014" s="14"/>
      <c r="O2014" s="14"/>
      <c r="P2014" s="14"/>
    </row>
    <row r="2015" spans="2:16" ht="15.75" customHeight="1">
      <c r="B2015" s="14"/>
      <c r="H2015" s="14"/>
      <c r="I2015" s="567"/>
      <c r="J2015" s="15"/>
      <c r="N2015" s="14"/>
      <c r="O2015" s="14"/>
      <c r="P2015" s="14"/>
    </row>
    <row r="2016" spans="2:16" ht="15.75" customHeight="1">
      <c r="B2016" s="14"/>
      <c r="H2016" s="14"/>
      <c r="I2016" s="567"/>
      <c r="J2016" s="15"/>
      <c r="N2016" s="14"/>
      <c r="O2016" s="14"/>
      <c r="P2016" s="14"/>
    </row>
    <row r="2017" spans="2:16" ht="15.75" customHeight="1">
      <c r="B2017" s="14"/>
      <c r="H2017" s="14"/>
      <c r="I2017" s="567"/>
      <c r="J2017" s="15"/>
      <c r="N2017" s="14"/>
      <c r="O2017" s="14"/>
      <c r="P2017" s="14"/>
    </row>
    <row r="2018" spans="2:16" ht="15.75" customHeight="1">
      <c r="B2018" s="14"/>
      <c r="H2018" s="14"/>
      <c r="I2018" s="567"/>
      <c r="J2018" s="15"/>
      <c r="N2018" s="14"/>
      <c r="O2018" s="14"/>
      <c r="P2018" s="14"/>
    </row>
    <row r="2019" spans="2:16" ht="15.75" customHeight="1">
      <c r="B2019" s="14"/>
      <c r="H2019" s="14"/>
      <c r="I2019" s="567"/>
      <c r="J2019" s="15"/>
      <c r="N2019" s="14"/>
      <c r="O2019" s="14"/>
      <c r="P2019" s="14"/>
    </row>
    <row r="2020" spans="2:16" ht="15.75" customHeight="1">
      <c r="B2020" s="14"/>
      <c r="H2020" s="14"/>
      <c r="I2020" s="567"/>
      <c r="J2020" s="15"/>
      <c r="N2020" s="14"/>
      <c r="O2020" s="14"/>
      <c r="P2020" s="14"/>
    </row>
    <row r="2021" spans="2:16" ht="15.75" customHeight="1">
      <c r="B2021" s="14"/>
      <c r="H2021" s="14"/>
      <c r="I2021" s="567"/>
      <c r="J2021" s="15"/>
      <c r="N2021" s="14"/>
      <c r="O2021" s="14"/>
      <c r="P2021" s="14"/>
    </row>
    <row r="2022" spans="2:16" ht="15.75" customHeight="1">
      <c r="B2022" s="14"/>
      <c r="H2022" s="14"/>
      <c r="I2022" s="567"/>
      <c r="J2022" s="15"/>
      <c r="N2022" s="14"/>
      <c r="O2022" s="14"/>
      <c r="P2022" s="14"/>
    </row>
    <row r="2023" spans="2:16" ht="15.75" customHeight="1">
      <c r="B2023" s="14"/>
      <c r="H2023" s="14"/>
      <c r="I2023" s="567"/>
      <c r="J2023" s="15"/>
      <c r="N2023" s="14"/>
      <c r="O2023" s="14"/>
      <c r="P2023" s="14"/>
    </row>
    <row r="2024" spans="2:16" ht="15.75" customHeight="1">
      <c r="B2024" s="14"/>
      <c r="H2024" s="14"/>
      <c r="I2024" s="567"/>
      <c r="J2024" s="15"/>
      <c r="N2024" s="14"/>
      <c r="O2024" s="14"/>
      <c r="P2024" s="14"/>
    </row>
    <row r="2025" spans="2:16" ht="15.75" customHeight="1">
      <c r="B2025" s="14"/>
      <c r="H2025" s="14"/>
      <c r="I2025" s="567"/>
      <c r="J2025" s="15"/>
      <c r="N2025" s="14"/>
      <c r="O2025" s="14"/>
      <c r="P2025" s="14"/>
    </row>
    <row r="2026" spans="2:16" ht="15.75" customHeight="1">
      <c r="B2026" s="14"/>
      <c r="H2026" s="14"/>
      <c r="I2026" s="567"/>
      <c r="J2026" s="15"/>
      <c r="N2026" s="14"/>
      <c r="O2026" s="14"/>
      <c r="P2026" s="14"/>
    </row>
    <row r="2027" spans="2:16" ht="15.75" customHeight="1">
      <c r="B2027" s="14"/>
      <c r="H2027" s="14"/>
      <c r="I2027" s="567"/>
      <c r="J2027" s="15"/>
      <c r="N2027" s="14"/>
      <c r="O2027" s="14"/>
      <c r="P2027" s="14"/>
    </row>
    <row r="2028" spans="2:16" ht="15.75" customHeight="1">
      <c r="B2028" s="14"/>
      <c r="H2028" s="14"/>
      <c r="I2028" s="567"/>
      <c r="J2028" s="15"/>
      <c r="N2028" s="14"/>
      <c r="O2028" s="14"/>
      <c r="P2028" s="14"/>
    </row>
    <row r="2029" spans="2:16" ht="15.75" customHeight="1">
      <c r="B2029" s="14"/>
      <c r="H2029" s="14"/>
      <c r="I2029" s="567"/>
      <c r="J2029" s="15"/>
      <c r="N2029" s="14"/>
      <c r="O2029" s="14"/>
      <c r="P2029" s="14"/>
    </row>
    <row r="2030" spans="2:16" ht="15.75" customHeight="1">
      <c r="B2030" s="14"/>
      <c r="H2030" s="14"/>
      <c r="I2030" s="567"/>
      <c r="J2030" s="15"/>
      <c r="N2030" s="14"/>
      <c r="O2030" s="14"/>
      <c r="P2030" s="14"/>
    </row>
    <row r="2031" spans="2:16" ht="15.75" customHeight="1">
      <c r="B2031" s="14"/>
      <c r="H2031" s="14"/>
      <c r="I2031" s="567"/>
      <c r="J2031" s="15"/>
      <c r="N2031" s="14"/>
      <c r="O2031" s="14"/>
      <c r="P2031" s="14"/>
    </row>
    <row r="2032" spans="2:16" ht="15.75" customHeight="1">
      <c r="B2032" s="14"/>
      <c r="H2032" s="14"/>
      <c r="I2032" s="567"/>
      <c r="J2032" s="15"/>
      <c r="N2032" s="14"/>
      <c r="O2032" s="14"/>
      <c r="P2032" s="14"/>
    </row>
    <row r="2033" spans="2:16" ht="15.75" customHeight="1">
      <c r="B2033" s="14"/>
      <c r="H2033" s="14"/>
      <c r="I2033" s="567"/>
      <c r="J2033" s="15"/>
      <c r="N2033" s="14"/>
      <c r="O2033" s="14"/>
      <c r="P2033" s="14"/>
    </row>
    <row r="2034" spans="2:16" ht="15.75" customHeight="1">
      <c r="B2034" s="14"/>
      <c r="H2034" s="14"/>
      <c r="I2034" s="567"/>
      <c r="J2034" s="15"/>
      <c r="N2034" s="14"/>
      <c r="O2034" s="14"/>
      <c r="P2034" s="14"/>
    </row>
    <row r="2035" spans="2:16" ht="15.75" customHeight="1">
      <c r="B2035" s="14"/>
      <c r="H2035" s="14"/>
      <c r="I2035" s="567"/>
      <c r="J2035" s="15"/>
      <c r="N2035" s="14"/>
      <c r="O2035" s="14"/>
      <c r="P2035" s="14"/>
    </row>
    <row r="2036" spans="2:16" ht="15.75" customHeight="1">
      <c r="B2036" s="14"/>
      <c r="H2036" s="14"/>
      <c r="I2036" s="567"/>
      <c r="J2036" s="15"/>
      <c r="N2036" s="14"/>
      <c r="O2036" s="14"/>
      <c r="P2036" s="14"/>
    </row>
    <row r="2037" spans="2:16" ht="15.75" customHeight="1">
      <c r="B2037" s="14"/>
      <c r="H2037" s="14"/>
      <c r="I2037" s="567"/>
      <c r="J2037" s="15"/>
      <c r="N2037" s="14"/>
      <c r="O2037" s="14"/>
      <c r="P2037" s="14"/>
    </row>
    <row r="2038" spans="2:16" ht="15.75" customHeight="1">
      <c r="B2038" s="14"/>
      <c r="H2038" s="14"/>
      <c r="I2038" s="567"/>
      <c r="J2038" s="15"/>
      <c r="N2038" s="14"/>
      <c r="O2038" s="14"/>
      <c r="P2038" s="14"/>
    </row>
    <row r="2039" spans="2:16" ht="15.75" customHeight="1">
      <c r="B2039" s="14"/>
      <c r="H2039" s="14"/>
      <c r="I2039" s="567"/>
      <c r="J2039" s="15"/>
      <c r="N2039" s="14"/>
      <c r="O2039" s="14"/>
      <c r="P2039" s="14"/>
    </row>
    <row r="2040" spans="2:16" ht="15.75" customHeight="1">
      <c r="B2040" s="14"/>
      <c r="H2040" s="14"/>
      <c r="I2040" s="567"/>
      <c r="J2040" s="15"/>
      <c r="N2040" s="14"/>
      <c r="O2040" s="14"/>
      <c r="P2040" s="14"/>
    </row>
    <row r="2041" spans="2:16" ht="15.75" customHeight="1">
      <c r="B2041" s="14"/>
      <c r="H2041" s="14"/>
      <c r="I2041" s="567"/>
      <c r="J2041" s="15"/>
      <c r="N2041" s="14"/>
      <c r="O2041" s="14"/>
      <c r="P2041" s="14"/>
    </row>
    <row r="2042" spans="2:16" ht="15.75" customHeight="1">
      <c r="B2042" s="14"/>
      <c r="H2042" s="14"/>
      <c r="I2042" s="567"/>
      <c r="J2042" s="15"/>
      <c r="N2042" s="14"/>
      <c r="O2042" s="14"/>
      <c r="P2042" s="14"/>
    </row>
    <row r="2043" spans="2:16" ht="15.75" customHeight="1">
      <c r="B2043" s="14"/>
      <c r="H2043" s="14"/>
      <c r="I2043" s="567"/>
      <c r="J2043" s="15"/>
      <c r="N2043" s="14"/>
      <c r="O2043" s="14"/>
      <c r="P2043" s="14"/>
    </row>
    <row r="2044" spans="2:16" ht="15.75" customHeight="1">
      <c r="B2044" s="14"/>
      <c r="H2044" s="14"/>
      <c r="I2044" s="567"/>
      <c r="J2044" s="15"/>
      <c r="N2044" s="14"/>
      <c r="O2044" s="14"/>
      <c r="P2044" s="14"/>
    </row>
    <row r="2045" spans="2:16" ht="15.75" customHeight="1">
      <c r="B2045" s="14"/>
      <c r="H2045" s="14"/>
      <c r="I2045" s="567"/>
      <c r="J2045" s="15"/>
      <c r="N2045" s="14"/>
      <c r="O2045" s="14"/>
      <c r="P2045" s="14"/>
    </row>
    <row r="2046" spans="2:16" ht="15.75" customHeight="1">
      <c r="B2046" s="14"/>
      <c r="H2046" s="14"/>
      <c r="I2046" s="567"/>
      <c r="J2046" s="15"/>
      <c r="N2046" s="14"/>
      <c r="O2046" s="14"/>
      <c r="P2046" s="14"/>
    </row>
    <row r="2047" spans="2:16" ht="15.75" customHeight="1">
      <c r="B2047" s="14"/>
      <c r="H2047" s="14"/>
      <c r="I2047" s="567"/>
      <c r="J2047" s="15"/>
      <c r="N2047" s="14"/>
      <c r="O2047" s="14"/>
      <c r="P2047" s="14"/>
    </row>
    <row r="2048" spans="2:16" ht="15.75" customHeight="1">
      <c r="B2048" s="14"/>
      <c r="H2048" s="14"/>
      <c r="I2048" s="567"/>
      <c r="J2048" s="15"/>
      <c r="N2048" s="14"/>
      <c r="O2048" s="14"/>
      <c r="P2048" s="14"/>
    </row>
    <row r="2049" spans="2:16" ht="15.75" customHeight="1">
      <c r="B2049" s="14"/>
      <c r="H2049" s="14"/>
      <c r="I2049" s="567"/>
      <c r="J2049" s="15"/>
      <c r="N2049" s="14"/>
      <c r="O2049" s="14"/>
      <c r="P2049" s="14"/>
    </row>
    <row r="2050" spans="2:16" ht="15.75" customHeight="1">
      <c r="B2050" s="14"/>
      <c r="H2050" s="14"/>
      <c r="I2050" s="567"/>
      <c r="J2050" s="15"/>
      <c r="N2050" s="14"/>
      <c r="O2050" s="14"/>
      <c r="P2050" s="14"/>
    </row>
    <row r="2051" spans="2:16" ht="15.75" customHeight="1">
      <c r="B2051" s="14"/>
      <c r="H2051" s="14"/>
      <c r="I2051" s="567"/>
      <c r="J2051" s="15"/>
      <c r="N2051" s="14"/>
      <c r="O2051" s="14"/>
      <c r="P2051" s="14"/>
    </row>
    <row r="2052" spans="2:16" ht="15.75" customHeight="1">
      <c r="B2052" s="14"/>
      <c r="H2052" s="14"/>
      <c r="I2052" s="567"/>
      <c r="J2052" s="15"/>
      <c r="N2052" s="14"/>
      <c r="O2052" s="14"/>
      <c r="P2052" s="14"/>
    </row>
    <row r="2053" spans="2:16" ht="15.75" customHeight="1">
      <c r="B2053" s="14"/>
      <c r="H2053" s="14"/>
      <c r="I2053" s="567"/>
      <c r="J2053" s="15"/>
      <c r="N2053" s="14"/>
      <c r="O2053" s="14"/>
      <c r="P2053" s="14"/>
    </row>
    <row r="2054" spans="2:16" ht="15.75" customHeight="1">
      <c r="B2054" s="14"/>
      <c r="H2054" s="14"/>
      <c r="I2054" s="567"/>
      <c r="J2054" s="15"/>
      <c r="N2054" s="14"/>
      <c r="O2054" s="14"/>
      <c r="P2054" s="14"/>
    </row>
    <row r="2055" spans="2:16" ht="15.75" customHeight="1">
      <c r="B2055" s="14"/>
      <c r="H2055" s="14"/>
      <c r="I2055" s="567"/>
      <c r="J2055" s="15"/>
      <c r="N2055" s="14"/>
      <c r="O2055" s="14"/>
      <c r="P2055" s="14"/>
    </row>
    <row r="2056" spans="2:16" ht="15.75" customHeight="1">
      <c r="B2056" s="14"/>
      <c r="H2056" s="14"/>
      <c r="I2056" s="567"/>
      <c r="J2056" s="15"/>
      <c r="N2056" s="14"/>
      <c r="O2056" s="14"/>
      <c r="P2056" s="14"/>
    </row>
    <row r="2057" spans="2:16" ht="15.75" customHeight="1">
      <c r="B2057" s="14"/>
      <c r="H2057" s="14"/>
      <c r="I2057" s="567"/>
      <c r="J2057" s="15"/>
      <c r="N2057" s="14"/>
      <c r="O2057" s="14"/>
      <c r="P2057" s="14"/>
    </row>
    <row r="2058" spans="2:16" ht="15.75" customHeight="1">
      <c r="B2058" s="14"/>
      <c r="H2058" s="14"/>
      <c r="I2058" s="567"/>
      <c r="J2058" s="15"/>
      <c r="N2058" s="14"/>
      <c r="O2058" s="14"/>
      <c r="P2058" s="14"/>
    </row>
    <row r="2059" spans="2:16" ht="15.75" customHeight="1">
      <c r="B2059" s="14"/>
      <c r="H2059" s="14"/>
      <c r="I2059" s="567"/>
      <c r="J2059" s="15"/>
      <c r="N2059" s="14"/>
      <c r="O2059" s="14"/>
      <c r="P2059" s="14"/>
    </row>
    <row r="2060" spans="2:16" ht="15.75" customHeight="1">
      <c r="B2060" s="14"/>
      <c r="H2060" s="14"/>
      <c r="I2060" s="567"/>
      <c r="J2060" s="15"/>
      <c r="N2060" s="14"/>
      <c r="O2060" s="14"/>
      <c r="P2060" s="14"/>
    </row>
    <row r="2061" spans="2:16" ht="15.75" customHeight="1">
      <c r="B2061" s="14"/>
      <c r="H2061" s="14"/>
      <c r="I2061" s="567"/>
      <c r="J2061" s="15"/>
      <c r="N2061" s="14"/>
      <c r="O2061" s="14"/>
      <c r="P2061" s="14"/>
    </row>
    <row r="2062" spans="2:16" ht="15.75" customHeight="1">
      <c r="B2062" s="14"/>
      <c r="H2062" s="14"/>
      <c r="I2062" s="567"/>
      <c r="J2062" s="15"/>
      <c r="N2062" s="14"/>
      <c r="O2062" s="14"/>
      <c r="P2062" s="14"/>
    </row>
    <row r="2063" spans="2:16" ht="15.75" customHeight="1">
      <c r="B2063" s="14"/>
      <c r="H2063" s="14"/>
      <c r="I2063" s="567"/>
      <c r="J2063" s="15"/>
      <c r="N2063" s="14"/>
      <c r="O2063" s="14"/>
      <c r="P2063" s="14"/>
    </row>
    <row r="2064" spans="2:16" ht="15.75" customHeight="1">
      <c r="B2064" s="14"/>
      <c r="H2064" s="14"/>
      <c r="I2064" s="567"/>
      <c r="J2064" s="15"/>
      <c r="N2064" s="14"/>
      <c r="O2064" s="14"/>
      <c r="P2064" s="14"/>
    </row>
    <row r="2065" spans="2:16" ht="15.75" customHeight="1">
      <c r="B2065" s="14"/>
      <c r="H2065" s="14"/>
      <c r="I2065" s="567"/>
      <c r="J2065" s="15"/>
      <c r="N2065" s="14"/>
      <c r="O2065" s="14"/>
      <c r="P2065" s="14"/>
    </row>
    <row r="2066" spans="2:16" ht="15.75" customHeight="1">
      <c r="B2066" s="14"/>
      <c r="H2066" s="14"/>
      <c r="I2066" s="567"/>
      <c r="J2066" s="15"/>
      <c r="N2066" s="14"/>
      <c r="O2066" s="14"/>
      <c r="P2066" s="14"/>
    </row>
    <row r="2067" spans="2:16" ht="15.75" customHeight="1">
      <c r="B2067" s="14"/>
      <c r="H2067" s="14"/>
      <c r="I2067" s="567"/>
      <c r="J2067" s="15"/>
      <c r="N2067" s="14"/>
      <c r="O2067" s="14"/>
      <c r="P2067" s="14"/>
    </row>
    <row r="2068" spans="2:16" ht="15.75" customHeight="1">
      <c r="B2068" s="14"/>
      <c r="H2068" s="14"/>
      <c r="I2068" s="567"/>
      <c r="J2068" s="15"/>
      <c r="N2068" s="14"/>
      <c r="O2068" s="14"/>
      <c r="P2068" s="14"/>
    </row>
    <row r="2069" spans="2:16" ht="15.75" customHeight="1">
      <c r="B2069" s="14"/>
      <c r="H2069" s="14"/>
      <c r="I2069" s="567"/>
      <c r="J2069" s="15"/>
      <c r="N2069" s="14"/>
      <c r="O2069" s="14"/>
      <c r="P2069" s="14"/>
    </row>
    <row r="2070" spans="2:16" ht="15.75" customHeight="1">
      <c r="B2070" s="14"/>
      <c r="H2070" s="14"/>
      <c r="I2070" s="567"/>
      <c r="J2070" s="15"/>
      <c r="N2070" s="14"/>
      <c r="O2070" s="14"/>
      <c r="P2070" s="14"/>
    </row>
    <row r="2071" spans="2:16" ht="15.75" customHeight="1">
      <c r="B2071" s="14"/>
      <c r="H2071" s="14"/>
      <c r="I2071" s="567"/>
      <c r="J2071" s="15"/>
      <c r="N2071" s="14"/>
      <c r="O2071" s="14"/>
      <c r="P2071" s="14"/>
    </row>
    <row r="2072" spans="2:16" ht="15.75" customHeight="1">
      <c r="B2072" s="14"/>
      <c r="H2072" s="14"/>
      <c r="I2072" s="567"/>
      <c r="J2072" s="15"/>
      <c r="N2072" s="14"/>
      <c r="O2072" s="14"/>
      <c r="P2072" s="14"/>
    </row>
    <row r="2073" spans="2:16" ht="15.75" customHeight="1">
      <c r="B2073" s="14"/>
      <c r="H2073" s="14"/>
      <c r="I2073" s="567"/>
      <c r="J2073" s="15"/>
      <c r="N2073" s="14"/>
      <c r="O2073" s="14"/>
      <c r="P2073" s="14"/>
    </row>
    <row r="2074" spans="2:16" ht="15.75" customHeight="1">
      <c r="B2074" s="14"/>
      <c r="H2074" s="14"/>
      <c r="I2074" s="567"/>
      <c r="J2074" s="15"/>
      <c r="N2074" s="14"/>
      <c r="O2074" s="14"/>
      <c r="P2074" s="14"/>
    </row>
    <row r="2075" spans="2:16" ht="15.75" customHeight="1">
      <c r="B2075" s="14"/>
      <c r="H2075" s="14"/>
      <c r="I2075" s="567"/>
      <c r="J2075" s="15"/>
      <c r="N2075" s="14"/>
      <c r="O2075" s="14"/>
      <c r="P2075" s="14"/>
    </row>
    <row r="2076" spans="2:16" ht="15.75" customHeight="1">
      <c r="B2076" s="14"/>
      <c r="H2076" s="14"/>
      <c r="I2076" s="567"/>
      <c r="J2076" s="15"/>
      <c r="N2076" s="14"/>
      <c r="O2076" s="14"/>
      <c r="P2076" s="14"/>
    </row>
    <row r="2077" spans="2:16" ht="15.75" customHeight="1">
      <c r="B2077" s="14"/>
      <c r="H2077" s="14"/>
      <c r="I2077" s="567"/>
      <c r="J2077" s="15"/>
      <c r="N2077" s="14"/>
      <c r="O2077" s="14"/>
      <c r="P2077" s="14"/>
    </row>
    <row r="2078" spans="2:16" ht="15.75" customHeight="1">
      <c r="B2078" s="14"/>
      <c r="H2078" s="14"/>
      <c r="I2078" s="567"/>
      <c r="J2078" s="15"/>
      <c r="N2078" s="14"/>
      <c r="O2078" s="14"/>
      <c r="P2078" s="14"/>
    </row>
    <row r="2079" spans="2:16" ht="15.75" customHeight="1">
      <c r="B2079" s="14"/>
      <c r="H2079" s="14"/>
      <c r="I2079" s="567"/>
      <c r="J2079" s="15"/>
      <c r="N2079" s="14"/>
      <c r="O2079" s="14"/>
      <c r="P2079" s="14"/>
    </row>
    <row r="2080" spans="2:16" ht="15.75" customHeight="1">
      <c r="B2080" s="14"/>
      <c r="H2080" s="14"/>
      <c r="I2080" s="567"/>
      <c r="J2080" s="15"/>
      <c r="N2080" s="14"/>
      <c r="O2080" s="14"/>
      <c r="P2080" s="14"/>
    </row>
    <row r="2081" spans="2:16" ht="15.75" customHeight="1">
      <c r="B2081" s="14"/>
      <c r="H2081" s="14"/>
      <c r="I2081" s="567"/>
      <c r="J2081" s="15"/>
      <c r="N2081" s="14"/>
      <c r="O2081" s="14"/>
      <c r="P2081" s="14"/>
    </row>
    <row r="2082" spans="2:16" ht="15.75" customHeight="1">
      <c r="B2082" s="14"/>
      <c r="H2082" s="14"/>
      <c r="I2082" s="567"/>
      <c r="J2082" s="15"/>
      <c r="N2082" s="14"/>
      <c r="O2082" s="14"/>
      <c r="P2082" s="14"/>
    </row>
    <row r="2083" spans="2:16" ht="15.75" customHeight="1">
      <c r="B2083" s="14"/>
      <c r="H2083" s="14"/>
      <c r="I2083" s="567"/>
      <c r="J2083" s="15"/>
      <c r="N2083" s="14"/>
      <c r="O2083" s="14"/>
      <c r="P2083" s="14"/>
    </row>
    <row r="2084" spans="2:16" ht="15.75" customHeight="1">
      <c r="B2084" s="14"/>
      <c r="H2084" s="14"/>
      <c r="I2084" s="567"/>
      <c r="J2084" s="15"/>
      <c r="N2084" s="14"/>
      <c r="O2084" s="14"/>
      <c r="P2084" s="14"/>
    </row>
    <row r="2085" spans="2:16" ht="15.75" customHeight="1">
      <c r="B2085" s="14"/>
      <c r="H2085" s="14"/>
      <c r="I2085" s="567"/>
      <c r="J2085" s="15"/>
      <c r="N2085" s="14"/>
      <c r="O2085" s="14"/>
      <c r="P2085" s="14"/>
    </row>
    <row r="2086" spans="2:16" ht="15.75" customHeight="1">
      <c r="B2086" s="14"/>
      <c r="H2086" s="14"/>
      <c r="I2086" s="567"/>
      <c r="J2086" s="15"/>
      <c r="N2086" s="14"/>
      <c r="O2086" s="14"/>
      <c r="P2086" s="14"/>
    </row>
    <row r="2087" spans="2:16" ht="15.75" customHeight="1">
      <c r="B2087" s="14"/>
      <c r="H2087" s="14"/>
      <c r="I2087" s="567"/>
      <c r="J2087" s="15"/>
      <c r="N2087" s="14"/>
      <c r="O2087" s="14"/>
      <c r="P2087" s="14"/>
    </row>
    <row r="2088" spans="2:16" ht="15.75" customHeight="1">
      <c r="B2088" s="14"/>
      <c r="H2088" s="14"/>
      <c r="I2088" s="567"/>
      <c r="J2088" s="15"/>
      <c r="N2088" s="14"/>
      <c r="O2088" s="14"/>
      <c r="P2088" s="14"/>
    </row>
    <row r="2089" spans="2:16" ht="15.75" customHeight="1">
      <c r="B2089" s="14"/>
      <c r="H2089" s="14"/>
      <c r="I2089" s="567"/>
      <c r="J2089" s="15"/>
      <c r="N2089" s="14"/>
      <c r="O2089" s="14"/>
      <c r="P2089" s="14"/>
    </row>
    <row r="2090" spans="2:16" ht="15.75" customHeight="1">
      <c r="B2090" s="14"/>
      <c r="H2090" s="14"/>
      <c r="I2090" s="567"/>
      <c r="J2090" s="15"/>
      <c r="N2090" s="14"/>
      <c r="O2090" s="14"/>
      <c r="P2090" s="14"/>
    </row>
    <row r="2091" spans="2:16" ht="15.75" customHeight="1">
      <c r="B2091" s="14"/>
      <c r="H2091" s="14"/>
      <c r="I2091" s="567"/>
      <c r="J2091" s="15"/>
      <c r="N2091" s="14"/>
      <c r="O2091" s="14"/>
      <c r="P2091" s="14"/>
    </row>
    <row r="2092" spans="2:16" ht="15.75" customHeight="1">
      <c r="B2092" s="14"/>
      <c r="H2092" s="14"/>
      <c r="I2092" s="567"/>
      <c r="J2092" s="15"/>
      <c r="N2092" s="14"/>
      <c r="O2092" s="14"/>
      <c r="P2092" s="14"/>
    </row>
    <row r="2093" spans="2:16" ht="15.75" customHeight="1">
      <c r="B2093" s="14"/>
      <c r="H2093" s="14"/>
      <c r="I2093" s="567"/>
      <c r="J2093" s="15"/>
      <c r="N2093" s="14"/>
      <c r="O2093" s="14"/>
      <c r="P2093" s="14"/>
    </row>
    <row r="2094" spans="2:16" ht="15.75" customHeight="1">
      <c r="B2094" s="14"/>
      <c r="H2094" s="14"/>
      <c r="I2094" s="567"/>
      <c r="J2094" s="15"/>
      <c r="N2094" s="14"/>
      <c r="O2094" s="14"/>
      <c r="P2094" s="14"/>
    </row>
    <row r="2095" spans="2:16" ht="15.75" customHeight="1">
      <c r="B2095" s="14"/>
      <c r="H2095" s="14"/>
      <c r="I2095" s="567"/>
      <c r="J2095" s="15"/>
      <c r="N2095" s="14"/>
      <c r="O2095" s="14"/>
      <c r="P2095" s="14"/>
    </row>
    <row r="2096" spans="2:16" ht="15.75" customHeight="1">
      <c r="B2096" s="14"/>
      <c r="H2096" s="14"/>
      <c r="I2096" s="567"/>
      <c r="J2096" s="15"/>
      <c r="N2096" s="14"/>
      <c r="O2096" s="14"/>
      <c r="P2096" s="14"/>
    </row>
    <row r="2097" spans="2:16" ht="15.75" customHeight="1">
      <c r="B2097" s="14"/>
      <c r="H2097" s="14"/>
      <c r="I2097" s="567"/>
      <c r="J2097" s="15"/>
      <c r="N2097" s="14"/>
      <c r="O2097" s="14"/>
      <c r="P2097" s="14"/>
    </row>
    <row r="2098" spans="2:16" ht="15.75" customHeight="1">
      <c r="B2098" s="14"/>
      <c r="H2098" s="14"/>
      <c r="I2098" s="567"/>
      <c r="J2098" s="15"/>
      <c r="N2098" s="14"/>
      <c r="O2098" s="14"/>
      <c r="P2098" s="14"/>
    </row>
    <row r="2099" spans="2:16" ht="15.75" customHeight="1">
      <c r="B2099" s="14"/>
      <c r="H2099" s="14"/>
      <c r="I2099" s="567"/>
      <c r="J2099" s="15"/>
      <c r="N2099" s="14"/>
      <c r="O2099" s="14"/>
      <c r="P2099" s="14"/>
    </row>
    <row r="2100" spans="2:16" ht="15.75" customHeight="1">
      <c r="B2100" s="14"/>
      <c r="H2100" s="14"/>
      <c r="I2100" s="567"/>
      <c r="J2100" s="15"/>
      <c r="N2100" s="14"/>
      <c r="O2100" s="14"/>
      <c r="P2100" s="14"/>
    </row>
    <row r="2101" spans="2:16" ht="15.75" customHeight="1">
      <c r="B2101" s="14"/>
      <c r="H2101" s="14"/>
      <c r="I2101" s="567"/>
      <c r="J2101" s="15"/>
      <c r="N2101" s="14"/>
      <c r="O2101" s="14"/>
      <c r="P2101" s="14"/>
    </row>
    <row r="2102" spans="2:16" ht="15.75" customHeight="1">
      <c r="B2102" s="14"/>
      <c r="H2102" s="14"/>
      <c r="I2102" s="567"/>
      <c r="J2102" s="15"/>
      <c r="N2102" s="14"/>
      <c r="O2102" s="14"/>
      <c r="P2102" s="14"/>
    </row>
    <row r="2103" spans="2:16" ht="15.75" customHeight="1">
      <c r="B2103" s="14"/>
      <c r="H2103" s="14"/>
      <c r="I2103" s="567"/>
      <c r="J2103" s="15"/>
      <c r="N2103" s="14"/>
      <c r="O2103" s="14"/>
      <c r="P2103" s="14"/>
    </row>
    <row r="2104" spans="2:16" ht="15.75" customHeight="1">
      <c r="B2104" s="14"/>
      <c r="H2104" s="14"/>
      <c r="I2104" s="567"/>
      <c r="J2104" s="15"/>
      <c r="N2104" s="14"/>
      <c r="O2104" s="14"/>
      <c r="P2104" s="14"/>
    </row>
    <row r="2105" spans="2:16" ht="15.75" customHeight="1">
      <c r="B2105" s="14"/>
      <c r="H2105" s="14"/>
      <c r="I2105" s="567"/>
      <c r="J2105" s="15"/>
      <c r="N2105" s="14"/>
      <c r="O2105" s="14"/>
      <c r="P2105" s="14"/>
    </row>
    <row r="2106" spans="2:16" ht="15.75" customHeight="1">
      <c r="B2106" s="14"/>
      <c r="H2106" s="14"/>
      <c r="I2106" s="567"/>
      <c r="J2106" s="15"/>
      <c r="N2106" s="14"/>
      <c r="O2106" s="14"/>
      <c r="P2106" s="14"/>
    </row>
    <row r="2107" spans="2:16" ht="15.75" customHeight="1">
      <c r="B2107" s="14"/>
      <c r="H2107" s="14"/>
      <c r="I2107" s="567"/>
      <c r="J2107" s="15"/>
      <c r="N2107" s="14"/>
      <c r="O2107" s="14"/>
      <c r="P2107" s="14"/>
    </row>
    <row r="2108" spans="2:16" ht="15.75" customHeight="1">
      <c r="B2108" s="14"/>
      <c r="H2108" s="14"/>
      <c r="I2108" s="567"/>
      <c r="J2108" s="15"/>
      <c r="N2108" s="14"/>
      <c r="O2108" s="14"/>
      <c r="P2108" s="14"/>
    </row>
    <row r="2109" spans="2:16" ht="15.75" customHeight="1">
      <c r="B2109" s="14"/>
      <c r="H2109" s="14"/>
      <c r="I2109" s="567"/>
      <c r="J2109" s="15"/>
      <c r="N2109" s="14"/>
      <c r="O2109" s="14"/>
      <c r="P2109" s="14"/>
    </row>
    <row r="2110" spans="2:16" ht="15.75" customHeight="1">
      <c r="B2110" s="14"/>
      <c r="H2110" s="14"/>
      <c r="I2110" s="567"/>
      <c r="J2110" s="15"/>
      <c r="N2110" s="14"/>
      <c r="O2110" s="14"/>
      <c r="P2110" s="14"/>
    </row>
    <row r="2111" spans="2:16" ht="15.75" customHeight="1">
      <c r="B2111" s="14"/>
      <c r="H2111" s="14"/>
      <c r="I2111" s="567"/>
      <c r="J2111" s="15"/>
      <c r="N2111" s="14"/>
      <c r="O2111" s="14"/>
      <c r="P2111" s="14"/>
    </row>
    <row r="2112" spans="2:16" ht="15.75" customHeight="1">
      <c r="B2112" s="14"/>
      <c r="H2112" s="14"/>
      <c r="I2112" s="567"/>
      <c r="J2112" s="15"/>
      <c r="N2112" s="14"/>
      <c r="O2112" s="14"/>
      <c r="P2112" s="14"/>
    </row>
    <row r="2113" spans="2:16" ht="15.75" customHeight="1">
      <c r="B2113" s="14"/>
      <c r="H2113" s="14"/>
      <c r="I2113" s="567"/>
      <c r="J2113" s="15"/>
      <c r="N2113" s="14"/>
      <c r="O2113" s="14"/>
      <c r="P2113" s="14"/>
    </row>
    <row r="2114" spans="2:16" ht="15.75" customHeight="1">
      <c r="B2114" s="14"/>
      <c r="H2114" s="14"/>
      <c r="I2114" s="567"/>
      <c r="J2114" s="15"/>
      <c r="N2114" s="14"/>
      <c r="O2114" s="14"/>
      <c r="P2114" s="14"/>
    </row>
    <row r="2115" spans="2:16" ht="15.75" customHeight="1">
      <c r="B2115" s="14"/>
      <c r="H2115" s="14"/>
      <c r="I2115" s="567"/>
      <c r="J2115" s="15"/>
      <c r="N2115" s="14"/>
      <c r="O2115" s="14"/>
      <c r="P2115" s="14"/>
    </row>
    <row r="2116" spans="2:16" ht="15.75" customHeight="1">
      <c r="B2116" s="14"/>
      <c r="H2116" s="14"/>
      <c r="I2116" s="567"/>
      <c r="J2116" s="15"/>
      <c r="N2116" s="14"/>
      <c r="O2116" s="14"/>
      <c r="P2116" s="14"/>
    </row>
    <row r="2117" spans="2:16" ht="15.75" customHeight="1">
      <c r="B2117" s="14"/>
      <c r="H2117" s="14"/>
      <c r="I2117" s="567"/>
      <c r="J2117" s="15"/>
      <c r="N2117" s="14"/>
      <c r="O2117" s="14"/>
      <c r="P2117" s="14"/>
    </row>
    <row r="2118" spans="2:16" ht="15.75" customHeight="1">
      <c r="B2118" s="14"/>
      <c r="H2118" s="14"/>
      <c r="I2118" s="567"/>
      <c r="J2118" s="15"/>
      <c r="N2118" s="14"/>
      <c r="O2118" s="14"/>
      <c r="P2118" s="14"/>
    </row>
    <row r="2119" spans="2:16" ht="15.75" customHeight="1">
      <c r="B2119" s="14"/>
      <c r="H2119" s="14"/>
      <c r="I2119" s="567"/>
      <c r="J2119" s="15"/>
      <c r="N2119" s="14"/>
      <c r="O2119" s="14"/>
      <c r="P2119" s="14"/>
    </row>
    <row r="2120" spans="2:16" ht="15.75" customHeight="1">
      <c r="B2120" s="14"/>
      <c r="H2120" s="14"/>
      <c r="I2120" s="567"/>
      <c r="J2120" s="15"/>
      <c r="N2120" s="14"/>
      <c r="O2120" s="14"/>
      <c r="P2120" s="14"/>
    </row>
    <row r="2121" spans="2:16" ht="15.75" customHeight="1">
      <c r="B2121" s="14"/>
      <c r="H2121" s="14"/>
      <c r="I2121" s="567"/>
      <c r="J2121" s="15"/>
      <c r="N2121" s="14"/>
      <c r="O2121" s="14"/>
      <c r="P2121" s="14"/>
    </row>
    <row r="2122" spans="2:16" ht="15.75" customHeight="1">
      <c r="B2122" s="14"/>
      <c r="H2122" s="14"/>
      <c r="I2122" s="567"/>
      <c r="J2122" s="15"/>
      <c r="N2122" s="14"/>
      <c r="O2122" s="14"/>
      <c r="P2122" s="14"/>
    </row>
    <row r="2123" spans="2:16" ht="15.75" customHeight="1">
      <c r="B2123" s="14"/>
      <c r="H2123" s="14"/>
      <c r="I2123" s="567"/>
      <c r="J2123" s="15"/>
      <c r="N2123" s="14"/>
      <c r="O2123" s="14"/>
      <c r="P2123" s="14"/>
    </row>
    <row r="2124" spans="2:16" ht="15.75" customHeight="1">
      <c r="B2124" s="14"/>
      <c r="H2124" s="14"/>
      <c r="I2124" s="567"/>
      <c r="J2124" s="15"/>
      <c r="N2124" s="14"/>
      <c r="O2124" s="14"/>
      <c r="P2124" s="14"/>
    </row>
    <row r="2125" spans="2:16" ht="15.75" customHeight="1">
      <c r="B2125" s="14"/>
      <c r="H2125" s="14"/>
      <c r="I2125" s="567"/>
      <c r="J2125" s="15"/>
      <c r="N2125" s="14"/>
      <c r="O2125" s="14"/>
      <c r="P2125" s="14"/>
    </row>
    <row r="2126" spans="2:16" ht="15.75" customHeight="1">
      <c r="B2126" s="14"/>
      <c r="H2126" s="14"/>
      <c r="I2126" s="567"/>
      <c r="J2126" s="15"/>
      <c r="N2126" s="14"/>
      <c r="O2126" s="14"/>
      <c r="P2126" s="14"/>
    </row>
    <row r="2127" spans="2:16" ht="15.75" customHeight="1">
      <c r="B2127" s="14"/>
      <c r="H2127" s="14"/>
      <c r="I2127" s="567"/>
      <c r="J2127" s="15"/>
      <c r="N2127" s="14"/>
      <c r="O2127" s="14"/>
      <c r="P2127" s="14"/>
    </row>
    <row r="2128" spans="2:16" ht="15.75" customHeight="1">
      <c r="B2128" s="14"/>
      <c r="H2128" s="14"/>
      <c r="I2128" s="567"/>
      <c r="J2128" s="15"/>
      <c r="N2128" s="14"/>
      <c r="O2128" s="14"/>
      <c r="P2128" s="14"/>
    </row>
    <row r="2129" spans="2:16" ht="15.75" customHeight="1">
      <c r="B2129" s="14"/>
      <c r="H2129" s="14"/>
      <c r="I2129" s="567"/>
      <c r="J2129" s="15"/>
      <c r="N2129" s="14"/>
      <c r="O2129" s="14"/>
      <c r="P2129" s="14"/>
    </row>
    <row r="2130" spans="2:16" ht="15.75" customHeight="1">
      <c r="B2130" s="14"/>
      <c r="H2130" s="14"/>
      <c r="I2130" s="567"/>
      <c r="J2130" s="15"/>
      <c r="N2130" s="14"/>
      <c r="O2130" s="14"/>
      <c r="P2130" s="14"/>
    </row>
    <row r="2131" spans="2:16" ht="15.75" customHeight="1">
      <c r="B2131" s="14"/>
      <c r="H2131" s="14"/>
      <c r="I2131" s="567"/>
      <c r="J2131" s="15"/>
      <c r="N2131" s="14"/>
      <c r="O2131" s="14"/>
      <c r="P2131" s="14"/>
    </row>
    <row r="2132" spans="2:16" ht="15.75" customHeight="1">
      <c r="B2132" s="14"/>
      <c r="H2132" s="14"/>
      <c r="I2132" s="567"/>
      <c r="J2132" s="15"/>
      <c r="N2132" s="14"/>
      <c r="O2132" s="14"/>
      <c r="P2132" s="14"/>
    </row>
    <row r="2133" spans="2:16" ht="15.75" customHeight="1">
      <c r="B2133" s="14"/>
      <c r="H2133" s="14"/>
      <c r="I2133" s="567"/>
      <c r="J2133" s="15"/>
      <c r="N2133" s="14"/>
      <c r="O2133" s="14"/>
      <c r="P2133" s="14"/>
    </row>
    <row r="2134" spans="2:16" ht="15.75" customHeight="1">
      <c r="B2134" s="14"/>
      <c r="H2134" s="14"/>
      <c r="I2134" s="567"/>
      <c r="J2134" s="15"/>
      <c r="N2134" s="14"/>
      <c r="O2134" s="14"/>
      <c r="P2134" s="14"/>
    </row>
    <row r="2135" spans="2:16" ht="15.75" customHeight="1">
      <c r="B2135" s="14"/>
      <c r="H2135" s="14"/>
      <c r="I2135" s="567"/>
      <c r="J2135" s="15"/>
      <c r="N2135" s="14"/>
      <c r="O2135" s="14"/>
      <c r="P2135" s="14"/>
    </row>
    <row r="2136" spans="2:16" ht="15.75" customHeight="1">
      <c r="B2136" s="14"/>
      <c r="H2136" s="14"/>
      <c r="I2136" s="567"/>
      <c r="J2136" s="15"/>
      <c r="N2136" s="14"/>
      <c r="O2136" s="14"/>
      <c r="P2136" s="14"/>
    </row>
    <row r="2137" spans="2:16" ht="15.75" customHeight="1">
      <c r="B2137" s="14"/>
      <c r="H2137" s="14"/>
      <c r="I2137" s="567"/>
      <c r="J2137" s="15"/>
      <c r="N2137" s="14"/>
      <c r="O2137" s="14"/>
      <c r="P2137" s="14"/>
    </row>
    <row r="2138" spans="2:16" ht="15.75" customHeight="1">
      <c r="B2138" s="14"/>
      <c r="H2138" s="14"/>
      <c r="I2138" s="567"/>
      <c r="J2138" s="15"/>
      <c r="N2138" s="14"/>
      <c r="O2138" s="14"/>
      <c r="P2138" s="14"/>
    </row>
    <row r="2139" spans="2:16" ht="15.75" customHeight="1">
      <c r="B2139" s="14"/>
      <c r="H2139" s="14"/>
      <c r="I2139" s="567"/>
      <c r="J2139" s="15"/>
      <c r="N2139" s="14"/>
      <c r="O2139" s="14"/>
      <c r="P2139" s="14"/>
    </row>
    <row r="2140" spans="2:16" ht="15.75" customHeight="1">
      <c r="B2140" s="14"/>
      <c r="H2140" s="14"/>
      <c r="I2140" s="567"/>
      <c r="J2140" s="15"/>
      <c r="N2140" s="14"/>
      <c r="O2140" s="14"/>
      <c r="P2140" s="14"/>
    </row>
    <row r="2141" spans="2:16" ht="15.75" customHeight="1">
      <c r="B2141" s="14"/>
      <c r="H2141" s="14"/>
      <c r="I2141" s="567"/>
      <c r="J2141" s="15"/>
      <c r="N2141" s="14"/>
      <c r="O2141" s="14"/>
      <c r="P2141" s="14"/>
    </row>
    <row r="2142" spans="2:16" ht="15.75" customHeight="1">
      <c r="B2142" s="14"/>
      <c r="H2142" s="14"/>
      <c r="I2142" s="567"/>
      <c r="J2142" s="15"/>
      <c r="N2142" s="14"/>
      <c r="O2142" s="14"/>
      <c r="P2142" s="14"/>
    </row>
    <row r="2143" spans="2:16" ht="15.75" customHeight="1">
      <c r="B2143" s="14"/>
      <c r="H2143" s="14"/>
      <c r="I2143" s="567"/>
      <c r="J2143" s="15"/>
      <c r="N2143" s="14"/>
      <c r="O2143" s="14"/>
      <c r="P2143" s="14"/>
    </row>
    <row r="2144" spans="2:16" ht="15.75" customHeight="1">
      <c r="B2144" s="14"/>
      <c r="H2144" s="14"/>
      <c r="I2144" s="567"/>
      <c r="J2144" s="15"/>
      <c r="N2144" s="14"/>
      <c r="O2144" s="14"/>
      <c r="P2144" s="14"/>
    </row>
    <row r="2145" spans="2:16" ht="15.75" customHeight="1">
      <c r="B2145" s="14"/>
      <c r="H2145" s="14"/>
      <c r="I2145" s="567"/>
      <c r="J2145" s="15"/>
      <c r="N2145" s="14"/>
      <c r="O2145" s="14"/>
      <c r="P2145" s="14"/>
    </row>
    <row r="2146" spans="2:16" ht="15.75" customHeight="1">
      <c r="B2146" s="14"/>
      <c r="H2146" s="14"/>
      <c r="I2146" s="567"/>
      <c r="J2146" s="15"/>
      <c r="N2146" s="14"/>
      <c r="O2146" s="14"/>
      <c r="P2146" s="14"/>
    </row>
    <row r="2147" spans="2:16" ht="15.75" customHeight="1">
      <c r="B2147" s="14"/>
      <c r="H2147" s="14"/>
      <c r="I2147" s="567"/>
      <c r="J2147" s="15"/>
      <c r="N2147" s="14"/>
      <c r="O2147" s="14"/>
      <c r="P2147" s="14"/>
    </row>
    <row r="2148" spans="2:16" ht="15.75" customHeight="1">
      <c r="B2148" s="14"/>
      <c r="H2148" s="14"/>
      <c r="I2148" s="567"/>
      <c r="J2148" s="15"/>
      <c r="N2148" s="14"/>
      <c r="O2148" s="14"/>
      <c r="P2148" s="14"/>
    </row>
    <row r="2149" spans="2:16" ht="15.75" customHeight="1">
      <c r="B2149" s="14"/>
      <c r="H2149" s="14"/>
      <c r="I2149" s="567"/>
      <c r="J2149" s="15"/>
      <c r="N2149" s="14"/>
      <c r="O2149" s="14"/>
      <c r="P2149" s="14"/>
    </row>
    <row r="2150" spans="2:16" ht="15.75" customHeight="1">
      <c r="B2150" s="14"/>
      <c r="H2150" s="14"/>
      <c r="I2150" s="567"/>
      <c r="J2150" s="15"/>
      <c r="N2150" s="14"/>
      <c r="O2150" s="14"/>
      <c r="P2150" s="14"/>
    </row>
    <row r="2151" spans="2:16" ht="15.75" customHeight="1">
      <c r="B2151" s="14"/>
      <c r="H2151" s="14"/>
      <c r="I2151" s="567"/>
      <c r="J2151" s="15"/>
      <c r="N2151" s="14"/>
      <c r="O2151" s="14"/>
      <c r="P2151" s="14"/>
    </row>
    <row r="2152" spans="2:16" ht="15.75" customHeight="1">
      <c r="B2152" s="14"/>
      <c r="H2152" s="14"/>
      <c r="I2152" s="567"/>
      <c r="J2152" s="15"/>
      <c r="N2152" s="14"/>
      <c r="O2152" s="14"/>
      <c r="P2152" s="14"/>
    </row>
    <row r="2153" spans="2:16" ht="15.75" customHeight="1">
      <c r="B2153" s="14"/>
      <c r="H2153" s="14"/>
      <c r="I2153" s="567"/>
      <c r="J2153" s="15"/>
      <c r="N2153" s="14"/>
      <c r="O2153" s="14"/>
      <c r="P2153" s="14"/>
    </row>
    <row r="2154" spans="2:16" ht="15.75" customHeight="1">
      <c r="B2154" s="14"/>
      <c r="H2154" s="14"/>
      <c r="I2154" s="567"/>
      <c r="J2154" s="15"/>
      <c r="N2154" s="14"/>
      <c r="O2154" s="14"/>
      <c r="P2154" s="14"/>
    </row>
    <row r="2155" spans="2:16" ht="15.75" customHeight="1">
      <c r="B2155" s="14"/>
      <c r="H2155" s="14"/>
      <c r="I2155" s="567"/>
      <c r="J2155" s="15"/>
      <c r="N2155" s="14"/>
      <c r="O2155" s="14"/>
      <c r="P2155" s="14"/>
    </row>
    <row r="2156" spans="2:16" ht="15.75" customHeight="1">
      <c r="B2156" s="14"/>
      <c r="H2156" s="14"/>
      <c r="I2156" s="567"/>
      <c r="J2156" s="15"/>
      <c r="N2156" s="14"/>
      <c r="O2156" s="14"/>
      <c r="P2156" s="14"/>
    </row>
    <row r="2157" spans="2:16" ht="15.75" customHeight="1">
      <c r="B2157" s="14"/>
      <c r="H2157" s="14"/>
      <c r="I2157" s="567"/>
      <c r="J2157" s="15"/>
      <c r="N2157" s="14"/>
      <c r="O2157" s="14"/>
      <c r="P2157" s="14"/>
    </row>
    <row r="2158" spans="2:16" ht="15.75" customHeight="1">
      <c r="B2158" s="14"/>
      <c r="H2158" s="14"/>
      <c r="I2158" s="567"/>
      <c r="J2158" s="15"/>
      <c r="N2158" s="14"/>
      <c r="O2158" s="14"/>
      <c r="P2158" s="14"/>
    </row>
    <row r="2159" spans="2:16" ht="15.75" customHeight="1">
      <c r="B2159" s="14"/>
      <c r="H2159" s="14"/>
      <c r="I2159" s="567"/>
      <c r="J2159" s="15"/>
      <c r="N2159" s="14"/>
      <c r="O2159" s="14"/>
      <c r="P2159" s="14"/>
    </row>
    <row r="2160" spans="2:16" ht="15.75" customHeight="1">
      <c r="B2160" s="14"/>
      <c r="H2160" s="14"/>
      <c r="I2160" s="567"/>
      <c r="J2160" s="15"/>
      <c r="N2160" s="14"/>
      <c r="O2160" s="14"/>
      <c r="P2160" s="14"/>
    </row>
    <row r="2161" spans="2:16" ht="15.75" customHeight="1">
      <c r="B2161" s="14"/>
      <c r="H2161" s="14"/>
      <c r="I2161" s="567"/>
      <c r="J2161" s="15"/>
      <c r="N2161" s="14"/>
      <c r="O2161" s="14"/>
      <c r="P2161" s="14"/>
    </row>
    <row r="2162" spans="2:16" ht="15.75" customHeight="1">
      <c r="B2162" s="14"/>
      <c r="H2162" s="14"/>
      <c r="I2162" s="567"/>
      <c r="J2162" s="15"/>
      <c r="N2162" s="14"/>
      <c r="O2162" s="14"/>
      <c r="P2162" s="14"/>
    </row>
    <row r="2163" spans="2:16" ht="15.75" customHeight="1">
      <c r="B2163" s="14"/>
      <c r="H2163" s="14"/>
      <c r="I2163" s="567"/>
      <c r="J2163" s="15"/>
      <c r="N2163" s="14"/>
      <c r="O2163" s="14"/>
      <c r="P2163" s="14"/>
    </row>
    <row r="2164" spans="2:16" ht="15.75" customHeight="1">
      <c r="B2164" s="14"/>
      <c r="H2164" s="14"/>
      <c r="I2164" s="567"/>
      <c r="J2164" s="15"/>
      <c r="N2164" s="14"/>
      <c r="O2164" s="14"/>
      <c r="P2164" s="14"/>
    </row>
    <row r="2165" spans="2:16" ht="15.75" customHeight="1">
      <c r="B2165" s="14"/>
      <c r="H2165" s="14"/>
      <c r="I2165" s="567"/>
      <c r="J2165" s="15"/>
      <c r="N2165" s="14"/>
      <c r="O2165" s="14"/>
      <c r="P2165" s="14"/>
    </row>
    <row r="2166" spans="2:16" ht="15.75" customHeight="1">
      <c r="B2166" s="14"/>
      <c r="H2166" s="14"/>
      <c r="I2166" s="567"/>
      <c r="J2166" s="15"/>
      <c r="N2166" s="14"/>
      <c r="O2166" s="14"/>
      <c r="P2166" s="14"/>
    </row>
    <row r="2167" spans="2:16" ht="15.75" customHeight="1">
      <c r="B2167" s="14"/>
      <c r="H2167" s="14"/>
      <c r="I2167" s="567"/>
      <c r="J2167" s="15"/>
      <c r="N2167" s="14"/>
      <c r="O2167" s="14"/>
      <c r="P2167" s="14"/>
    </row>
    <row r="2168" spans="2:16" ht="15.75" customHeight="1">
      <c r="B2168" s="14"/>
      <c r="H2168" s="14"/>
      <c r="I2168" s="567"/>
      <c r="J2168" s="15"/>
      <c r="N2168" s="14"/>
      <c r="O2168" s="14"/>
      <c r="P2168" s="14"/>
    </row>
    <row r="2169" spans="2:16" ht="15.75" customHeight="1">
      <c r="B2169" s="14"/>
      <c r="H2169" s="14"/>
      <c r="I2169" s="567"/>
      <c r="J2169" s="15"/>
      <c r="N2169" s="14"/>
      <c r="O2169" s="14"/>
      <c r="P2169" s="14"/>
    </row>
    <row r="2170" spans="2:16" ht="15.75" customHeight="1">
      <c r="B2170" s="14"/>
      <c r="H2170" s="14"/>
      <c r="I2170" s="567"/>
      <c r="J2170" s="15"/>
      <c r="N2170" s="14"/>
      <c r="O2170" s="14"/>
      <c r="P2170" s="14"/>
    </row>
    <row r="2171" spans="2:16" ht="15.75" customHeight="1">
      <c r="B2171" s="14"/>
      <c r="H2171" s="14"/>
      <c r="I2171" s="567"/>
      <c r="J2171" s="15"/>
      <c r="N2171" s="14"/>
      <c r="O2171" s="14"/>
      <c r="P2171" s="14"/>
    </row>
    <row r="2172" spans="2:16" ht="15.75" customHeight="1">
      <c r="B2172" s="14"/>
      <c r="H2172" s="14"/>
      <c r="I2172" s="567"/>
      <c r="J2172" s="15"/>
      <c r="N2172" s="14"/>
      <c r="O2172" s="14"/>
      <c r="P2172" s="14"/>
    </row>
    <row r="2173" spans="2:16" ht="15.75" customHeight="1">
      <c r="B2173" s="14"/>
      <c r="H2173" s="14"/>
      <c r="I2173" s="567"/>
      <c r="J2173" s="15"/>
      <c r="N2173" s="14"/>
      <c r="O2173" s="14"/>
      <c r="P2173" s="14"/>
    </row>
    <row r="2174" spans="2:16" ht="15.75" customHeight="1">
      <c r="B2174" s="14"/>
      <c r="H2174" s="14"/>
      <c r="I2174" s="567"/>
      <c r="J2174" s="15"/>
      <c r="N2174" s="14"/>
      <c r="O2174" s="14"/>
      <c r="P2174" s="14"/>
    </row>
    <row r="2175" spans="2:16" ht="15.75" customHeight="1">
      <c r="B2175" s="14"/>
      <c r="H2175" s="14"/>
      <c r="I2175" s="567"/>
      <c r="J2175" s="15"/>
      <c r="N2175" s="14"/>
      <c r="O2175" s="14"/>
      <c r="P2175" s="14"/>
    </row>
    <row r="2176" spans="2:16" ht="15.75" customHeight="1">
      <c r="B2176" s="14"/>
      <c r="H2176" s="14"/>
      <c r="I2176" s="567"/>
      <c r="J2176" s="15"/>
      <c r="N2176" s="14"/>
      <c r="O2176" s="14"/>
      <c r="P2176" s="14"/>
    </row>
    <row r="2177" spans="2:16" ht="15.75" customHeight="1">
      <c r="B2177" s="14"/>
      <c r="H2177" s="14"/>
      <c r="I2177" s="567"/>
      <c r="J2177" s="15"/>
      <c r="N2177" s="14"/>
      <c r="O2177" s="14"/>
      <c r="P2177" s="14"/>
    </row>
    <row r="2178" spans="2:16" ht="15.75" customHeight="1">
      <c r="B2178" s="14"/>
      <c r="H2178" s="14"/>
      <c r="I2178" s="567"/>
      <c r="J2178" s="15"/>
      <c r="N2178" s="14"/>
      <c r="O2178" s="14"/>
      <c r="P2178" s="14"/>
    </row>
    <row r="2179" spans="2:16" ht="15.75" customHeight="1">
      <c r="B2179" s="14"/>
      <c r="H2179" s="14"/>
      <c r="I2179" s="567"/>
      <c r="J2179" s="15"/>
      <c r="N2179" s="14"/>
      <c r="O2179" s="14"/>
      <c r="P2179" s="14"/>
    </row>
    <row r="2180" spans="2:16" ht="15.75" customHeight="1">
      <c r="B2180" s="14"/>
      <c r="H2180" s="14"/>
      <c r="I2180" s="567"/>
      <c r="J2180" s="15"/>
      <c r="N2180" s="14"/>
      <c r="O2180" s="14"/>
      <c r="P2180" s="14"/>
    </row>
    <row r="2181" spans="2:16" ht="15.75" customHeight="1">
      <c r="B2181" s="14"/>
      <c r="H2181" s="14"/>
      <c r="I2181" s="567"/>
      <c r="J2181" s="15"/>
      <c r="N2181" s="14"/>
      <c r="O2181" s="14"/>
      <c r="P2181" s="14"/>
    </row>
    <row r="2182" spans="2:16" ht="15.75" customHeight="1">
      <c r="B2182" s="14"/>
      <c r="H2182" s="14"/>
      <c r="I2182" s="567"/>
      <c r="J2182" s="15"/>
      <c r="N2182" s="14"/>
      <c r="O2182" s="14"/>
      <c r="P2182" s="14"/>
    </row>
    <row r="2183" spans="2:16" ht="15.75" customHeight="1">
      <c r="B2183" s="14"/>
      <c r="H2183" s="14"/>
      <c r="I2183" s="567"/>
      <c r="J2183" s="15"/>
      <c r="N2183" s="14"/>
      <c r="O2183" s="14"/>
      <c r="P2183" s="14"/>
    </row>
    <row r="2184" spans="2:16" ht="15.75" customHeight="1">
      <c r="B2184" s="14"/>
      <c r="H2184" s="14"/>
      <c r="I2184" s="567"/>
      <c r="J2184" s="15"/>
      <c r="N2184" s="14"/>
      <c r="O2184" s="14"/>
      <c r="P2184" s="14"/>
    </row>
    <row r="2185" spans="2:16" ht="15.75" customHeight="1">
      <c r="B2185" s="14"/>
      <c r="H2185" s="14"/>
      <c r="I2185" s="567"/>
      <c r="J2185" s="15"/>
      <c r="N2185" s="14"/>
      <c r="O2185" s="14"/>
      <c r="P2185" s="14"/>
    </row>
    <row r="2186" spans="2:16" ht="15.75" customHeight="1">
      <c r="B2186" s="14"/>
      <c r="H2186" s="14"/>
      <c r="I2186" s="567"/>
      <c r="J2186" s="15"/>
      <c r="N2186" s="14"/>
      <c r="O2186" s="14"/>
      <c r="P2186" s="14"/>
    </row>
    <row r="2187" spans="2:16" ht="15.75" customHeight="1">
      <c r="B2187" s="14"/>
      <c r="H2187" s="14"/>
      <c r="I2187" s="567"/>
      <c r="J2187" s="15"/>
      <c r="N2187" s="14"/>
      <c r="O2187" s="14"/>
      <c r="P2187" s="14"/>
    </row>
    <row r="2188" spans="2:16" ht="15.75" customHeight="1">
      <c r="B2188" s="14"/>
      <c r="H2188" s="14"/>
      <c r="I2188" s="567"/>
      <c r="J2188" s="15"/>
      <c r="N2188" s="14"/>
      <c r="O2188" s="14"/>
      <c r="P2188" s="14"/>
    </row>
    <row r="2189" spans="2:16" ht="15.75" customHeight="1">
      <c r="B2189" s="14"/>
      <c r="H2189" s="14"/>
      <c r="I2189" s="567"/>
      <c r="J2189" s="15"/>
      <c r="N2189" s="14"/>
      <c r="O2189" s="14"/>
      <c r="P2189" s="14"/>
    </row>
    <row r="2190" spans="2:16" ht="15.75" customHeight="1">
      <c r="B2190" s="14"/>
      <c r="H2190" s="14"/>
      <c r="I2190" s="567"/>
      <c r="J2190" s="15"/>
      <c r="N2190" s="14"/>
      <c r="O2190" s="14"/>
      <c r="P2190" s="14"/>
    </row>
    <row r="2191" spans="2:16" ht="15.75" customHeight="1">
      <c r="B2191" s="14"/>
      <c r="H2191" s="14"/>
      <c r="I2191" s="567"/>
      <c r="J2191" s="15"/>
      <c r="N2191" s="14"/>
      <c r="O2191" s="14"/>
      <c r="P2191" s="14"/>
    </row>
    <row r="2192" spans="2:16" ht="15.75" customHeight="1">
      <c r="B2192" s="14"/>
      <c r="H2192" s="14"/>
      <c r="I2192" s="567"/>
      <c r="J2192" s="15"/>
      <c r="N2192" s="14"/>
      <c r="O2192" s="14"/>
      <c r="P2192" s="14"/>
    </row>
    <row r="2193" spans="2:16" ht="15.75" customHeight="1">
      <c r="B2193" s="14"/>
      <c r="H2193" s="14"/>
      <c r="I2193" s="567"/>
      <c r="J2193" s="15"/>
      <c r="N2193" s="14"/>
      <c r="O2193" s="14"/>
      <c r="P2193" s="14"/>
    </row>
    <row r="2194" spans="2:16" ht="15.75" customHeight="1">
      <c r="B2194" s="14"/>
      <c r="H2194" s="14"/>
      <c r="I2194" s="567"/>
      <c r="J2194" s="15"/>
      <c r="N2194" s="14"/>
      <c r="O2194" s="14"/>
      <c r="P2194" s="14"/>
    </row>
    <row r="2195" spans="2:16" ht="15.75" customHeight="1">
      <c r="B2195" s="14"/>
      <c r="H2195" s="14"/>
      <c r="I2195" s="567"/>
      <c r="J2195" s="15"/>
      <c r="N2195" s="14"/>
      <c r="O2195" s="14"/>
      <c r="P2195" s="14"/>
    </row>
    <row r="2196" spans="2:16" ht="15.75" customHeight="1">
      <c r="B2196" s="14"/>
      <c r="H2196" s="14"/>
      <c r="I2196" s="567"/>
      <c r="J2196" s="15"/>
      <c r="N2196" s="14"/>
      <c r="O2196" s="14"/>
      <c r="P2196" s="14"/>
    </row>
    <row r="2197" spans="2:16" ht="15.75" customHeight="1">
      <c r="B2197" s="14"/>
      <c r="H2197" s="14"/>
      <c r="I2197" s="567"/>
      <c r="J2197" s="15"/>
      <c r="N2197" s="14"/>
      <c r="O2197" s="14"/>
      <c r="P2197" s="14"/>
    </row>
    <row r="2198" spans="2:16" ht="15.75" customHeight="1">
      <c r="B2198" s="14"/>
      <c r="H2198" s="14"/>
      <c r="I2198" s="567"/>
      <c r="J2198" s="15"/>
      <c r="N2198" s="14"/>
      <c r="O2198" s="14"/>
      <c r="P2198" s="14"/>
    </row>
    <row r="2199" spans="2:16" ht="15.75" customHeight="1">
      <c r="B2199" s="14"/>
      <c r="H2199" s="14"/>
      <c r="I2199" s="567"/>
      <c r="J2199" s="15"/>
      <c r="N2199" s="14"/>
      <c r="O2199" s="14"/>
      <c r="P2199" s="14"/>
    </row>
    <row r="2200" spans="2:16" ht="15.75" customHeight="1">
      <c r="B2200" s="14"/>
      <c r="H2200" s="14"/>
      <c r="I2200" s="567"/>
      <c r="J2200" s="15"/>
      <c r="N2200" s="14"/>
      <c r="O2200" s="14"/>
      <c r="P2200" s="14"/>
    </row>
    <row r="2201" spans="2:16" ht="15.75" customHeight="1">
      <c r="B2201" s="14"/>
      <c r="H2201" s="14"/>
      <c r="I2201" s="567"/>
      <c r="J2201" s="15"/>
      <c r="N2201" s="14"/>
      <c r="O2201" s="14"/>
      <c r="P2201" s="14"/>
    </row>
    <row r="2202" spans="2:16" ht="15.75" customHeight="1">
      <c r="B2202" s="14"/>
      <c r="H2202" s="14"/>
      <c r="I2202" s="567"/>
      <c r="J2202" s="15"/>
      <c r="N2202" s="14"/>
      <c r="O2202" s="14"/>
      <c r="P2202" s="14"/>
    </row>
    <row r="2203" spans="2:16" ht="15.75" customHeight="1">
      <c r="B2203" s="14"/>
      <c r="H2203" s="14"/>
      <c r="I2203" s="567"/>
      <c r="J2203" s="15"/>
      <c r="N2203" s="14"/>
      <c r="O2203" s="14"/>
      <c r="P2203" s="14"/>
    </row>
    <row r="2204" spans="2:16" ht="15.75" customHeight="1">
      <c r="B2204" s="14"/>
      <c r="H2204" s="14"/>
      <c r="I2204" s="567"/>
      <c r="J2204" s="15"/>
      <c r="N2204" s="14"/>
      <c r="O2204" s="14"/>
      <c r="P2204" s="14"/>
    </row>
    <row r="2205" spans="2:16" ht="15.75" customHeight="1">
      <c r="B2205" s="14"/>
      <c r="H2205" s="14"/>
      <c r="I2205" s="567"/>
      <c r="J2205" s="15"/>
      <c r="N2205" s="14"/>
      <c r="O2205" s="14"/>
      <c r="P2205" s="14"/>
    </row>
    <row r="2206" spans="2:16" ht="15.75" customHeight="1">
      <c r="B2206" s="14"/>
      <c r="H2206" s="14"/>
      <c r="I2206" s="567"/>
      <c r="J2206" s="15"/>
      <c r="N2206" s="14"/>
      <c r="O2206" s="14"/>
      <c r="P2206" s="14"/>
    </row>
    <row r="2207" spans="2:16" ht="15.75" customHeight="1">
      <c r="B2207" s="14"/>
      <c r="H2207" s="14"/>
      <c r="I2207" s="567"/>
      <c r="J2207" s="15"/>
      <c r="N2207" s="14"/>
      <c r="O2207" s="14"/>
      <c r="P2207" s="14"/>
    </row>
    <row r="2208" spans="2:16" ht="15.75" customHeight="1">
      <c r="B2208" s="14"/>
      <c r="H2208" s="14"/>
      <c r="I2208" s="567"/>
      <c r="J2208" s="15"/>
      <c r="N2208" s="14"/>
      <c r="O2208" s="14"/>
      <c r="P2208" s="14"/>
    </row>
    <row r="2209" spans="2:16" ht="15.75" customHeight="1">
      <c r="B2209" s="14"/>
      <c r="H2209" s="14"/>
      <c r="I2209" s="567"/>
      <c r="J2209" s="15"/>
      <c r="N2209" s="14"/>
      <c r="O2209" s="14"/>
      <c r="P2209" s="14"/>
    </row>
    <row r="2210" spans="2:16" ht="15.75" customHeight="1">
      <c r="B2210" s="14"/>
      <c r="H2210" s="14"/>
      <c r="I2210" s="567"/>
      <c r="J2210" s="15"/>
      <c r="N2210" s="14"/>
      <c r="O2210" s="14"/>
      <c r="P2210" s="14"/>
    </row>
    <row r="2211" spans="2:16" ht="15.75" customHeight="1">
      <c r="B2211" s="14"/>
      <c r="H2211" s="14"/>
      <c r="I2211" s="567"/>
      <c r="J2211" s="15"/>
      <c r="N2211" s="14"/>
      <c r="O2211" s="14"/>
      <c r="P2211" s="14"/>
    </row>
    <row r="2212" spans="2:16" ht="15.75" customHeight="1">
      <c r="B2212" s="14"/>
      <c r="H2212" s="14"/>
      <c r="I2212" s="567"/>
      <c r="J2212" s="15"/>
      <c r="N2212" s="14"/>
      <c r="O2212" s="14"/>
      <c r="P2212" s="14"/>
    </row>
    <row r="2213" spans="2:16" ht="15.75" customHeight="1">
      <c r="B2213" s="14"/>
      <c r="H2213" s="14"/>
      <c r="I2213" s="567"/>
      <c r="J2213" s="15"/>
      <c r="N2213" s="14"/>
      <c r="O2213" s="14"/>
      <c r="P2213" s="14"/>
    </row>
    <row r="2214" spans="2:16" ht="15.75" customHeight="1">
      <c r="B2214" s="14"/>
      <c r="H2214" s="14"/>
      <c r="I2214" s="567"/>
      <c r="J2214" s="15"/>
      <c r="N2214" s="14"/>
      <c r="O2214" s="14"/>
      <c r="P2214" s="14"/>
    </row>
    <row r="2215" spans="2:16" ht="15.75" customHeight="1">
      <c r="B2215" s="14"/>
      <c r="H2215" s="14"/>
      <c r="I2215" s="567"/>
      <c r="J2215" s="15"/>
      <c r="N2215" s="14"/>
      <c r="O2215" s="14"/>
      <c r="P2215" s="14"/>
    </row>
    <row r="2216" spans="2:16" ht="15.75" customHeight="1">
      <c r="B2216" s="14"/>
      <c r="H2216" s="14"/>
      <c r="I2216" s="567"/>
      <c r="J2216" s="15"/>
      <c r="N2216" s="14"/>
      <c r="O2216" s="14"/>
      <c r="P2216" s="14"/>
    </row>
    <row r="2217" spans="2:16" ht="15.75" customHeight="1">
      <c r="B2217" s="14"/>
      <c r="H2217" s="14"/>
      <c r="I2217" s="567"/>
      <c r="J2217" s="15"/>
      <c r="N2217" s="14"/>
      <c r="O2217" s="14"/>
      <c r="P2217" s="14"/>
    </row>
    <row r="2218" spans="2:16" ht="15.75" customHeight="1">
      <c r="B2218" s="14"/>
      <c r="H2218" s="14"/>
      <c r="I2218" s="567"/>
      <c r="J2218" s="15"/>
      <c r="N2218" s="14"/>
      <c r="O2218" s="14"/>
      <c r="P2218" s="14"/>
    </row>
    <row r="2219" spans="2:16" ht="15.75" customHeight="1">
      <c r="B2219" s="14"/>
      <c r="H2219" s="14"/>
      <c r="I2219" s="567"/>
      <c r="J2219" s="15"/>
      <c r="N2219" s="14"/>
      <c r="O2219" s="14"/>
      <c r="P2219" s="14"/>
    </row>
    <row r="2220" spans="2:16" ht="15.75" customHeight="1">
      <c r="B2220" s="14"/>
      <c r="H2220" s="14"/>
      <c r="I2220" s="567"/>
      <c r="J2220" s="15"/>
      <c r="N2220" s="14"/>
      <c r="O2220" s="14"/>
      <c r="P2220" s="14"/>
    </row>
    <row r="2221" spans="2:16" ht="15.75" customHeight="1">
      <c r="B2221" s="14"/>
      <c r="H2221" s="14"/>
      <c r="I2221" s="567"/>
      <c r="J2221" s="15"/>
      <c r="N2221" s="14"/>
      <c r="O2221" s="14"/>
      <c r="P2221" s="14"/>
    </row>
    <row r="2222" spans="2:16" ht="15.75" customHeight="1">
      <c r="B2222" s="14"/>
      <c r="H2222" s="14"/>
      <c r="I2222" s="567"/>
      <c r="J2222" s="15"/>
      <c r="N2222" s="14"/>
      <c r="O2222" s="14"/>
      <c r="P2222" s="14"/>
    </row>
    <row r="2223" spans="2:16" ht="15.75" customHeight="1">
      <c r="B2223" s="14"/>
      <c r="H2223" s="14"/>
      <c r="I2223" s="567"/>
      <c r="J2223" s="15"/>
      <c r="N2223" s="14"/>
      <c r="O2223" s="14"/>
      <c r="P2223" s="14"/>
    </row>
    <row r="2224" spans="2:16" ht="15.75" customHeight="1">
      <c r="B2224" s="14"/>
      <c r="H2224" s="14"/>
      <c r="I2224" s="567"/>
      <c r="J2224" s="15"/>
      <c r="N2224" s="14"/>
      <c r="O2224" s="14"/>
      <c r="P2224" s="14"/>
    </row>
    <row r="2225" spans="2:16" ht="15.75" customHeight="1">
      <c r="B2225" s="14"/>
      <c r="H2225" s="14"/>
      <c r="I2225" s="567"/>
      <c r="J2225" s="15"/>
      <c r="N2225" s="14"/>
      <c r="O2225" s="14"/>
      <c r="P2225" s="14"/>
    </row>
    <row r="2226" spans="2:16" ht="15.75" customHeight="1">
      <c r="B2226" s="14"/>
      <c r="H2226" s="14"/>
      <c r="I2226" s="567"/>
      <c r="J2226" s="15"/>
      <c r="N2226" s="14"/>
      <c r="O2226" s="14"/>
      <c r="P2226" s="14"/>
    </row>
    <row r="2227" spans="2:16" ht="15.75" customHeight="1">
      <c r="B2227" s="14"/>
      <c r="H2227" s="14"/>
      <c r="I2227" s="567"/>
      <c r="J2227" s="15"/>
      <c r="N2227" s="14"/>
      <c r="O2227" s="14"/>
      <c r="P2227" s="14"/>
    </row>
    <row r="2228" spans="2:16" ht="15.75" customHeight="1">
      <c r="B2228" s="14"/>
      <c r="H2228" s="14"/>
      <c r="I2228" s="567"/>
      <c r="J2228" s="15"/>
      <c r="N2228" s="14"/>
      <c r="O2228" s="14"/>
      <c r="P2228" s="14"/>
    </row>
    <row r="2229" spans="2:16" ht="15.75" customHeight="1">
      <c r="B2229" s="14"/>
      <c r="H2229" s="14"/>
      <c r="I2229" s="567"/>
      <c r="J2229" s="15"/>
      <c r="N2229" s="14"/>
      <c r="O2229" s="14"/>
      <c r="P2229" s="14"/>
    </row>
    <row r="2230" spans="2:16" ht="15.75" customHeight="1">
      <c r="B2230" s="14"/>
      <c r="H2230" s="14"/>
      <c r="I2230" s="567"/>
      <c r="J2230" s="15"/>
      <c r="N2230" s="14"/>
      <c r="O2230" s="14"/>
      <c r="P2230" s="14"/>
    </row>
    <row r="2231" spans="2:16" ht="15.75" customHeight="1">
      <c r="B2231" s="14"/>
      <c r="H2231" s="14"/>
      <c r="I2231" s="567"/>
      <c r="J2231" s="15"/>
      <c r="N2231" s="14"/>
      <c r="O2231" s="14"/>
      <c r="P2231" s="14"/>
    </row>
    <row r="2232" spans="2:16" ht="15.75" customHeight="1">
      <c r="B2232" s="14"/>
      <c r="H2232" s="14"/>
      <c r="I2232" s="567"/>
      <c r="J2232" s="15"/>
      <c r="N2232" s="14"/>
      <c r="O2232" s="14"/>
      <c r="P2232" s="14"/>
    </row>
    <row r="2233" spans="2:16" ht="15.75" customHeight="1">
      <c r="B2233" s="14"/>
      <c r="H2233" s="14"/>
      <c r="I2233" s="567"/>
      <c r="J2233" s="15"/>
      <c r="N2233" s="14"/>
      <c r="O2233" s="14"/>
      <c r="P2233" s="14"/>
    </row>
    <row r="2234" spans="2:16" ht="15.75" customHeight="1">
      <c r="B2234" s="14"/>
      <c r="H2234" s="14"/>
      <c r="I2234" s="567"/>
      <c r="J2234" s="15"/>
      <c r="N2234" s="14"/>
      <c r="O2234" s="14"/>
      <c r="P2234" s="14"/>
    </row>
    <row r="2235" spans="2:16" ht="15.75" customHeight="1">
      <c r="B2235" s="14"/>
      <c r="H2235" s="14"/>
      <c r="I2235" s="567"/>
      <c r="J2235" s="15"/>
      <c r="N2235" s="14"/>
      <c r="O2235" s="14"/>
      <c r="P2235" s="14"/>
    </row>
    <row r="2236" spans="2:16" ht="15.75" customHeight="1">
      <c r="B2236" s="14"/>
      <c r="H2236" s="14"/>
      <c r="I2236" s="567"/>
      <c r="J2236" s="15"/>
      <c r="N2236" s="14"/>
      <c r="O2236" s="14"/>
      <c r="P2236" s="14"/>
    </row>
    <row r="2237" spans="2:16" ht="15.75" customHeight="1">
      <c r="B2237" s="14"/>
      <c r="H2237" s="14"/>
      <c r="I2237" s="567"/>
      <c r="J2237" s="15"/>
      <c r="N2237" s="14"/>
      <c r="O2237" s="14"/>
      <c r="P2237" s="14"/>
    </row>
    <row r="2238" spans="2:16" ht="15.75" customHeight="1">
      <c r="B2238" s="14"/>
      <c r="H2238" s="14"/>
      <c r="I2238" s="567"/>
      <c r="J2238" s="15"/>
      <c r="N2238" s="14"/>
      <c r="O2238" s="14"/>
      <c r="P2238" s="14"/>
    </row>
    <row r="2239" spans="2:16" ht="15.75" customHeight="1">
      <c r="B2239" s="14"/>
      <c r="H2239" s="14"/>
      <c r="I2239" s="567"/>
      <c r="J2239" s="15"/>
      <c r="N2239" s="14"/>
      <c r="O2239" s="14"/>
      <c r="P2239" s="14"/>
    </row>
    <row r="2240" spans="2:16" ht="15.75" customHeight="1">
      <c r="B2240" s="14"/>
      <c r="H2240" s="14"/>
      <c r="I2240" s="567"/>
      <c r="J2240" s="15"/>
      <c r="N2240" s="14"/>
      <c r="O2240" s="14"/>
      <c r="P2240" s="14"/>
    </row>
    <row r="2241" spans="2:16" ht="15.75" customHeight="1">
      <c r="B2241" s="14"/>
      <c r="H2241" s="14"/>
      <c r="I2241" s="567"/>
      <c r="J2241" s="15"/>
      <c r="N2241" s="14"/>
      <c r="O2241" s="14"/>
      <c r="P2241" s="14"/>
    </row>
    <row r="2242" spans="2:16" ht="15.75" customHeight="1">
      <c r="B2242" s="14"/>
      <c r="H2242" s="14"/>
      <c r="I2242" s="567"/>
      <c r="J2242" s="15"/>
      <c r="N2242" s="14"/>
      <c r="O2242" s="14"/>
      <c r="P2242" s="14"/>
    </row>
    <row r="2243" spans="2:16" ht="15.75" customHeight="1">
      <c r="B2243" s="14"/>
      <c r="H2243" s="14"/>
      <c r="I2243" s="567"/>
      <c r="J2243" s="15"/>
      <c r="N2243" s="14"/>
      <c r="O2243" s="14"/>
      <c r="P2243" s="14"/>
    </row>
    <row r="2244" spans="2:16" ht="15.75" customHeight="1">
      <c r="B2244" s="14"/>
      <c r="H2244" s="14"/>
      <c r="I2244" s="567"/>
      <c r="J2244" s="15"/>
      <c r="N2244" s="14"/>
      <c r="O2244" s="14"/>
      <c r="P2244" s="14"/>
    </row>
    <row r="2245" spans="2:16" ht="15.75" customHeight="1">
      <c r="B2245" s="14"/>
      <c r="H2245" s="14"/>
      <c r="I2245" s="567"/>
      <c r="J2245" s="15"/>
      <c r="N2245" s="14"/>
      <c r="O2245" s="14"/>
      <c r="P2245" s="14"/>
    </row>
    <row r="2246" spans="2:16" ht="15.75" customHeight="1">
      <c r="B2246" s="14"/>
      <c r="H2246" s="14"/>
      <c r="I2246" s="567"/>
      <c r="J2246" s="15"/>
      <c r="N2246" s="14"/>
      <c r="O2246" s="14"/>
      <c r="P2246" s="14"/>
    </row>
    <row r="2247" spans="2:16" ht="15.75" customHeight="1">
      <c r="B2247" s="14"/>
      <c r="H2247" s="14"/>
      <c r="I2247" s="567"/>
      <c r="J2247" s="15"/>
      <c r="N2247" s="14"/>
      <c r="O2247" s="14"/>
      <c r="P2247" s="14"/>
    </row>
    <row r="2248" spans="2:16" ht="15.75" customHeight="1">
      <c r="B2248" s="14"/>
      <c r="H2248" s="14"/>
      <c r="I2248" s="567"/>
      <c r="J2248" s="15"/>
      <c r="N2248" s="14"/>
      <c r="O2248" s="14"/>
      <c r="P2248" s="14"/>
    </row>
    <row r="2249" spans="2:16" ht="15.75" customHeight="1">
      <c r="B2249" s="14"/>
      <c r="H2249" s="14"/>
      <c r="I2249" s="567"/>
      <c r="J2249" s="15"/>
      <c r="N2249" s="14"/>
      <c r="O2249" s="14"/>
      <c r="P2249" s="14"/>
    </row>
    <row r="2250" spans="2:16" ht="15.75" customHeight="1">
      <c r="B2250" s="14"/>
      <c r="H2250" s="14"/>
      <c r="I2250" s="567"/>
      <c r="J2250" s="15"/>
      <c r="N2250" s="14"/>
      <c r="O2250" s="14"/>
      <c r="P2250" s="14"/>
    </row>
    <row r="2251" spans="2:16" ht="15.75" customHeight="1">
      <c r="B2251" s="14"/>
      <c r="H2251" s="14"/>
      <c r="I2251" s="567"/>
      <c r="J2251" s="15"/>
      <c r="N2251" s="14"/>
      <c r="O2251" s="14"/>
      <c r="P2251" s="14"/>
    </row>
    <row r="2252" spans="2:16" ht="15.75" customHeight="1">
      <c r="B2252" s="14"/>
      <c r="H2252" s="14"/>
      <c r="I2252" s="567"/>
      <c r="J2252" s="15"/>
      <c r="N2252" s="14"/>
      <c r="O2252" s="14"/>
      <c r="P2252" s="14"/>
    </row>
    <row r="2253" spans="2:16" ht="15.75" customHeight="1">
      <c r="B2253" s="14"/>
      <c r="H2253" s="14"/>
      <c r="I2253" s="567"/>
      <c r="J2253" s="15"/>
      <c r="N2253" s="14"/>
      <c r="O2253" s="14"/>
      <c r="P2253" s="14"/>
    </row>
    <row r="2254" spans="2:16" ht="15.75" customHeight="1">
      <c r="B2254" s="14"/>
      <c r="H2254" s="14"/>
      <c r="I2254" s="567"/>
      <c r="J2254" s="15"/>
      <c r="N2254" s="14"/>
      <c r="O2254" s="14"/>
      <c r="P2254" s="14"/>
    </row>
    <row r="2255" spans="2:16" ht="15.75" customHeight="1">
      <c r="B2255" s="14"/>
      <c r="H2255" s="14"/>
      <c r="I2255" s="567"/>
      <c r="J2255" s="15"/>
      <c r="N2255" s="14"/>
      <c r="O2255" s="14"/>
      <c r="P2255" s="14"/>
    </row>
    <row r="2256" spans="2:16" ht="15.75" customHeight="1">
      <c r="B2256" s="14"/>
      <c r="H2256" s="14"/>
      <c r="I2256" s="567"/>
      <c r="J2256" s="15"/>
      <c r="N2256" s="14"/>
      <c r="O2256" s="14"/>
      <c r="P2256" s="14"/>
    </row>
    <row r="2257" spans="2:16" ht="15.75" customHeight="1">
      <c r="B2257" s="14"/>
      <c r="H2257" s="14"/>
      <c r="I2257" s="567"/>
      <c r="J2257" s="15"/>
      <c r="N2257" s="14"/>
      <c r="O2257" s="14"/>
      <c r="P2257" s="14"/>
    </row>
    <row r="2258" spans="2:16" ht="15.75" customHeight="1">
      <c r="B2258" s="14"/>
      <c r="H2258" s="14"/>
      <c r="I2258" s="567"/>
      <c r="J2258" s="15"/>
      <c r="N2258" s="14"/>
      <c r="O2258" s="14"/>
      <c r="P2258" s="14"/>
    </row>
    <row r="2259" spans="2:16" ht="15.75" customHeight="1">
      <c r="B2259" s="14"/>
      <c r="H2259" s="14"/>
      <c r="I2259" s="567"/>
      <c r="J2259" s="15"/>
      <c r="N2259" s="14"/>
      <c r="O2259" s="14"/>
      <c r="P2259" s="14"/>
    </row>
    <row r="2260" spans="2:16" ht="15.75" customHeight="1">
      <c r="B2260" s="14"/>
      <c r="H2260" s="14"/>
      <c r="I2260" s="567"/>
      <c r="J2260" s="15"/>
      <c r="N2260" s="14"/>
      <c r="O2260" s="14"/>
      <c r="P2260" s="14"/>
    </row>
    <row r="2261" spans="2:16" ht="15.75" customHeight="1">
      <c r="B2261" s="14"/>
      <c r="H2261" s="14"/>
      <c r="I2261" s="567"/>
      <c r="J2261" s="15"/>
      <c r="N2261" s="14"/>
      <c r="O2261" s="14"/>
      <c r="P2261" s="14"/>
    </row>
    <row r="2262" spans="2:16" ht="15.75" customHeight="1">
      <c r="B2262" s="14"/>
      <c r="H2262" s="14"/>
      <c r="I2262" s="567"/>
      <c r="J2262" s="15"/>
      <c r="N2262" s="14"/>
      <c r="O2262" s="14"/>
      <c r="P2262" s="14"/>
    </row>
    <row r="2263" spans="2:16" ht="15.75" customHeight="1">
      <c r="B2263" s="14"/>
      <c r="H2263" s="14"/>
      <c r="I2263" s="567"/>
      <c r="J2263" s="15"/>
      <c r="N2263" s="14"/>
      <c r="O2263" s="14"/>
      <c r="P2263" s="14"/>
    </row>
    <row r="2264" spans="2:16" ht="15.75" customHeight="1">
      <c r="B2264" s="14"/>
      <c r="H2264" s="14"/>
      <c r="I2264" s="567"/>
      <c r="J2264" s="15"/>
      <c r="N2264" s="14"/>
      <c r="O2264" s="14"/>
      <c r="P2264" s="14"/>
    </row>
    <row r="2265" spans="2:16" ht="15.75" customHeight="1">
      <c r="B2265" s="14"/>
      <c r="H2265" s="14"/>
      <c r="I2265" s="567"/>
      <c r="J2265" s="15"/>
      <c r="N2265" s="14"/>
      <c r="O2265" s="14"/>
      <c r="P2265" s="14"/>
    </row>
    <row r="2266" spans="2:16" ht="15.75" customHeight="1">
      <c r="B2266" s="14"/>
      <c r="H2266" s="14"/>
      <c r="I2266" s="567"/>
      <c r="J2266" s="15"/>
      <c r="N2266" s="14"/>
      <c r="O2266" s="14"/>
      <c r="P2266" s="14"/>
    </row>
    <row r="2267" spans="2:16" ht="15.75" customHeight="1">
      <c r="B2267" s="14"/>
      <c r="H2267" s="14"/>
      <c r="I2267" s="567"/>
      <c r="J2267" s="15"/>
      <c r="N2267" s="14"/>
      <c r="O2267" s="14"/>
      <c r="P2267" s="14"/>
    </row>
    <row r="2268" spans="2:16" ht="15.75" customHeight="1">
      <c r="B2268" s="14"/>
      <c r="H2268" s="14"/>
      <c r="I2268" s="567"/>
      <c r="J2268" s="15"/>
      <c r="N2268" s="14"/>
      <c r="O2268" s="14"/>
      <c r="P2268" s="14"/>
    </row>
    <row r="2269" spans="2:16" ht="15.75" customHeight="1">
      <c r="B2269" s="14"/>
      <c r="H2269" s="14"/>
      <c r="I2269" s="567"/>
      <c r="J2269" s="15"/>
      <c r="N2269" s="14"/>
      <c r="O2269" s="14"/>
      <c r="P2269" s="14"/>
    </row>
    <row r="2270" spans="2:16" ht="15.75" customHeight="1">
      <c r="B2270" s="14"/>
      <c r="H2270" s="14"/>
      <c r="I2270" s="567"/>
      <c r="J2270" s="15"/>
      <c r="N2270" s="14"/>
      <c r="O2270" s="14"/>
      <c r="P2270" s="14"/>
    </row>
    <row r="2271" spans="2:16" ht="15.75" customHeight="1">
      <c r="B2271" s="14"/>
      <c r="H2271" s="14"/>
      <c r="I2271" s="567"/>
      <c r="J2271" s="15"/>
      <c r="N2271" s="14"/>
      <c r="O2271" s="14"/>
      <c r="P2271" s="14"/>
    </row>
    <row r="2272" spans="2:16" ht="15.75" customHeight="1">
      <c r="B2272" s="14"/>
      <c r="H2272" s="14"/>
      <c r="I2272" s="567"/>
      <c r="J2272" s="15"/>
      <c r="N2272" s="14"/>
      <c r="O2272" s="14"/>
      <c r="P2272" s="14"/>
    </row>
    <row r="2273" spans="2:16" ht="15.75" customHeight="1">
      <c r="B2273" s="14"/>
      <c r="H2273" s="14"/>
      <c r="I2273" s="567"/>
      <c r="J2273" s="15"/>
      <c r="N2273" s="14"/>
      <c r="O2273" s="14"/>
      <c r="P2273" s="14"/>
    </row>
    <row r="2274" spans="2:16" ht="15.75" customHeight="1">
      <c r="B2274" s="14"/>
      <c r="H2274" s="14"/>
      <c r="I2274" s="567"/>
      <c r="J2274" s="15"/>
      <c r="N2274" s="14"/>
      <c r="O2274" s="14"/>
      <c r="P2274" s="14"/>
    </row>
    <row r="2275" spans="2:16" ht="15.75" customHeight="1">
      <c r="B2275" s="14"/>
      <c r="H2275" s="14"/>
      <c r="I2275" s="567"/>
      <c r="J2275" s="15"/>
      <c r="N2275" s="14"/>
      <c r="O2275" s="14"/>
      <c r="P2275" s="14"/>
    </row>
    <row r="2276" spans="2:16" ht="15.75" customHeight="1">
      <c r="B2276" s="14"/>
      <c r="H2276" s="14"/>
      <c r="I2276" s="567"/>
      <c r="J2276" s="15"/>
      <c r="N2276" s="14"/>
      <c r="O2276" s="14"/>
      <c r="P2276" s="14"/>
    </row>
    <row r="2277" spans="2:16" ht="15.75" customHeight="1">
      <c r="B2277" s="14"/>
      <c r="H2277" s="14"/>
      <c r="I2277" s="567"/>
      <c r="J2277" s="15"/>
      <c r="N2277" s="14"/>
      <c r="O2277" s="14"/>
      <c r="P2277" s="14"/>
    </row>
    <row r="2278" spans="2:16" ht="15.75" customHeight="1">
      <c r="B2278" s="14"/>
      <c r="H2278" s="14"/>
      <c r="I2278" s="567"/>
      <c r="J2278" s="15"/>
      <c r="N2278" s="14"/>
      <c r="O2278" s="14"/>
      <c r="P2278" s="14"/>
    </row>
    <row r="2279" spans="2:16" ht="15.75" customHeight="1">
      <c r="B2279" s="14"/>
      <c r="H2279" s="14"/>
      <c r="I2279" s="567"/>
      <c r="J2279" s="15"/>
      <c r="N2279" s="14"/>
      <c r="O2279" s="14"/>
      <c r="P2279" s="14"/>
    </row>
    <row r="2280" spans="2:16" ht="15.75" customHeight="1">
      <c r="B2280" s="14"/>
      <c r="H2280" s="14"/>
      <c r="I2280" s="567"/>
      <c r="J2280" s="15"/>
      <c r="N2280" s="14"/>
      <c r="O2280" s="14"/>
      <c r="P2280" s="14"/>
    </row>
    <row r="2281" spans="2:16" ht="15.75" customHeight="1">
      <c r="B2281" s="14"/>
      <c r="H2281" s="14"/>
      <c r="I2281" s="567"/>
      <c r="J2281" s="15"/>
      <c r="N2281" s="14"/>
      <c r="O2281" s="14"/>
      <c r="P2281" s="14"/>
    </row>
    <row r="2282" spans="2:16" ht="15.75" customHeight="1">
      <c r="B2282" s="14"/>
      <c r="H2282" s="14"/>
      <c r="I2282" s="567"/>
      <c r="J2282" s="15"/>
      <c r="N2282" s="14"/>
      <c r="O2282" s="14"/>
      <c r="P2282" s="14"/>
    </row>
    <row r="2283" spans="2:16" ht="15.75" customHeight="1">
      <c r="B2283" s="14"/>
      <c r="H2283" s="14"/>
      <c r="I2283" s="567"/>
      <c r="J2283" s="15"/>
      <c r="N2283" s="14"/>
      <c r="O2283" s="14"/>
      <c r="P2283" s="14"/>
    </row>
    <row r="2284" spans="2:16" ht="15.75" customHeight="1">
      <c r="B2284" s="14"/>
      <c r="H2284" s="14"/>
      <c r="I2284" s="567"/>
      <c r="J2284" s="15"/>
      <c r="N2284" s="14"/>
      <c r="O2284" s="14"/>
      <c r="P2284" s="14"/>
    </row>
    <row r="2285" spans="2:16" ht="15.75" customHeight="1">
      <c r="B2285" s="14"/>
      <c r="H2285" s="14"/>
      <c r="I2285" s="567"/>
      <c r="J2285" s="15"/>
      <c r="N2285" s="14"/>
      <c r="O2285" s="14"/>
      <c r="P2285" s="14"/>
    </row>
    <row r="2286" spans="2:16" ht="15.75" customHeight="1">
      <c r="B2286" s="14"/>
      <c r="H2286" s="14"/>
      <c r="I2286" s="567"/>
      <c r="J2286" s="15"/>
      <c r="N2286" s="14"/>
      <c r="O2286" s="14"/>
      <c r="P2286" s="14"/>
    </row>
    <row r="2287" spans="2:16" ht="15.75" customHeight="1">
      <c r="B2287" s="14"/>
      <c r="H2287" s="14"/>
      <c r="I2287" s="567"/>
      <c r="J2287" s="15"/>
      <c r="N2287" s="14"/>
      <c r="O2287" s="14"/>
      <c r="P2287" s="14"/>
    </row>
    <row r="2288" spans="2:16" ht="15.75" customHeight="1">
      <c r="B2288" s="14"/>
      <c r="H2288" s="14"/>
      <c r="I2288" s="567"/>
      <c r="J2288" s="15"/>
      <c r="N2288" s="14"/>
      <c r="O2288" s="14"/>
      <c r="P2288" s="14"/>
    </row>
    <row r="2289" spans="2:16" ht="15.75" customHeight="1">
      <c r="B2289" s="14"/>
      <c r="H2289" s="14"/>
      <c r="I2289" s="567"/>
      <c r="J2289" s="15"/>
      <c r="N2289" s="14"/>
      <c r="O2289" s="14"/>
      <c r="P2289" s="14"/>
    </row>
    <row r="2290" spans="2:16" ht="15.75" customHeight="1">
      <c r="B2290" s="14"/>
      <c r="H2290" s="14"/>
      <c r="I2290" s="567"/>
      <c r="J2290" s="15"/>
      <c r="N2290" s="14"/>
      <c r="O2290" s="14"/>
      <c r="P2290" s="14"/>
    </row>
    <row r="2291" spans="2:16" ht="15.75" customHeight="1">
      <c r="B2291" s="14"/>
      <c r="H2291" s="14"/>
      <c r="I2291" s="567"/>
      <c r="J2291" s="15"/>
      <c r="N2291" s="14"/>
      <c r="O2291" s="14"/>
      <c r="P2291" s="14"/>
    </row>
    <row r="2292" spans="2:16" ht="15.75" customHeight="1">
      <c r="B2292" s="14"/>
      <c r="H2292" s="14"/>
      <c r="I2292" s="567"/>
      <c r="J2292" s="15"/>
      <c r="N2292" s="14"/>
      <c r="O2292" s="14"/>
      <c r="P2292" s="14"/>
    </row>
    <row r="2293" spans="2:16" ht="15.75" customHeight="1">
      <c r="B2293" s="14"/>
      <c r="H2293" s="14"/>
      <c r="I2293" s="567"/>
      <c r="J2293" s="15"/>
      <c r="N2293" s="14"/>
      <c r="O2293" s="14"/>
      <c r="P2293" s="14"/>
    </row>
    <row r="2294" spans="2:16" ht="15.75" customHeight="1">
      <c r="B2294" s="14"/>
      <c r="H2294" s="14"/>
      <c r="I2294" s="567"/>
      <c r="J2294" s="15"/>
      <c r="N2294" s="14"/>
      <c r="O2294" s="14"/>
      <c r="P2294" s="14"/>
    </row>
    <row r="2295" spans="2:16" ht="15.75" customHeight="1">
      <c r="B2295" s="14"/>
      <c r="H2295" s="14"/>
      <c r="I2295" s="567"/>
      <c r="J2295" s="15"/>
      <c r="N2295" s="14"/>
      <c r="O2295" s="14"/>
      <c r="P2295" s="14"/>
    </row>
    <row r="2296" spans="2:16" ht="15.75" customHeight="1">
      <c r="B2296" s="14"/>
      <c r="H2296" s="14"/>
      <c r="I2296" s="567"/>
      <c r="J2296" s="15"/>
      <c r="N2296" s="14"/>
      <c r="O2296" s="14"/>
      <c r="P2296" s="14"/>
    </row>
    <row r="2297" spans="2:16" ht="15.75" customHeight="1">
      <c r="B2297" s="14"/>
      <c r="H2297" s="14"/>
      <c r="I2297" s="567"/>
      <c r="J2297" s="15"/>
      <c r="N2297" s="14"/>
      <c r="O2297" s="14"/>
      <c r="P2297" s="14"/>
    </row>
    <row r="2298" spans="2:16" ht="15.75" customHeight="1">
      <c r="B2298" s="14"/>
      <c r="H2298" s="14"/>
      <c r="I2298" s="567"/>
      <c r="J2298" s="15"/>
      <c r="N2298" s="14"/>
      <c r="O2298" s="14"/>
      <c r="P2298" s="14"/>
    </row>
    <row r="2299" spans="2:16" ht="15.75" customHeight="1">
      <c r="B2299" s="14"/>
      <c r="H2299" s="14"/>
      <c r="I2299" s="567"/>
      <c r="J2299" s="15"/>
      <c r="N2299" s="14"/>
      <c r="O2299" s="14"/>
      <c r="P2299" s="14"/>
    </row>
    <row r="2300" spans="2:16" ht="15.75" customHeight="1">
      <c r="B2300" s="14"/>
      <c r="H2300" s="14"/>
      <c r="I2300" s="567"/>
      <c r="J2300" s="15"/>
      <c r="N2300" s="14"/>
      <c r="O2300" s="14"/>
      <c r="P2300" s="14"/>
    </row>
    <row r="2301" spans="2:16" ht="15.75" customHeight="1">
      <c r="B2301" s="14"/>
      <c r="H2301" s="14"/>
      <c r="I2301" s="567"/>
      <c r="J2301" s="15"/>
      <c r="N2301" s="14"/>
      <c r="O2301" s="14"/>
      <c r="P2301" s="14"/>
    </row>
    <row r="2302" spans="2:16" ht="15.75" customHeight="1">
      <c r="B2302" s="14"/>
      <c r="H2302" s="14"/>
      <c r="I2302" s="567"/>
      <c r="J2302" s="15"/>
      <c r="N2302" s="14"/>
      <c r="O2302" s="14"/>
      <c r="P2302" s="14"/>
    </row>
    <row r="2303" spans="2:16" ht="15.75" customHeight="1">
      <c r="B2303" s="14"/>
      <c r="H2303" s="14"/>
      <c r="I2303" s="567"/>
      <c r="J2303" s="15"/>
      <c r="N2303" s="14"/>
      <c r="O2303" s="14"/>
      <c r="P2303" s="14"/>
    </row>
    <row r="2304" spans="2:16" ht="15.75" customHeight="1">
      <c r="B2304" s="14"/>
      <c r="H2304" s="14"/>
      <c r="I2304" s="567"/>
      <c r="J2304" s="15"/>
      <c r="N2304" s="14"/>
      <c r="O2304" s="14"/>
      <c r="P2304" s="14"/>
    </row>
    <row r="2305" spans="2:16" ht="15.75" customHeight="1">
      <c r="B2305" s="14"/>
      <c r="H2305" s="14"/>
      <c r="I2305" s="567"/>
      <c r="J2305" s="15"/>
      <c r="N2305" s="14"/>
      <c r="O2305" s="14"/>
      <c r="P2305" s="14"/>
    </row>
    <row r="2306" spans="2:16" ht="15.75" customHeight="1">
      <c r="B2306" s="14"/>
      <c r="H2306" s="14"/>
      <c r="I2306" s="567"/>
      <c r="J2306" s="15"/>
      <c r="N2306" s="14"/>
      <c r="O2306" s="14"/>
      <c r="P2306" s="14"/>
    </row>
    <row r="2307" spans="2:16" ht="15.75" customHeight="1">
      <c r="B2307" s="14"/>
      <c r="H2307" s="14"/>
      <c r="I2307" s="567"/>
      <c r="J2307" s="15"/>
      <c r="N2307" s="14"/>
      <c r="O2307" s="14"/>
      <c r="P2307" s="14"/>
    </row>
    <row r="2308" spans="2:16" ht="15.75" customHeight="1">
      <c r="B2308" s="14"/>
      <c r="H2308" s="14"/>
      <c r="I2308" s="567"/>
      <c r="J2308" s="15"/>
      <c r="N2308" s="14"/>
      <c r="O2308" s="14"/>
      <c r="P2308" s="14"/>
    </row>
    <row r="2309" spans="2:16" ht="15.75" customHeight="1">
      <c r="B2309" s="14"/>
      <c r="H2309" s="14"/>
      <c r="I2309" s="567"/>
      <c r="J2309" s="15"/>
      <c r="N2309" s="14"/>
      <c r="O2309" s="14"/>
      <c r="P2309" s="14"/>
    </row>
    <row r="2310" spans="2:16" ht="15.75" customHeight="1">
      <c r="B2310" s="14"/>
      <c r="H2310" s="14"/>
      <c r="I2310" s="567"/>
      <c r="J2310" s="15"/>
      <c r="N2310" s="14"/>
      <c r="O2310" s="14"/>
      <c r="P2310" s="14"/>
    </row>
    <row r="2311" spans="2:16" ht="15.75" customHeight="1">
      <c r="B2311" s="14"/>
      <c r="H2311" s="14"/>
      <c r="I2311" s="567"/>
      <c r="J2311" s="15"/>
      <c r="N2311" s="14"/>
      <c r="O2311" s="14"/>
      <c r="P2311" s="14"/>
    </row>
    <row r="2312" spans="2:16" ht="15.75" customHeight="1">
      <c r="B2312" s="14"/>
      <c r="H2312" s="14"/>
      <c r="I2312" s="567"/>
      <c r="J2312" s="15"/>
      <c r="N2312" s="14"/>
      <c r="O2312" s="14"/>
      <c r="P2312" s="14"/>
    </row>
    <row r="2313" spans="2:16" ht="15.75" customHeight="1">
      <c r="B2313" s="14"/>
      <c r="H2313" s="14"/>
      <c r="I2313" s="567"/>
      <c r="J2313" s="15"/>
      <c r="N2313" s="14"/>
      <c r="O2313" s="14"/>
      <c r="P2313" s="14"/>
    </row>
    <row r="2314" spans="2:16" ht="15.75" customHeight="1">
      <c r="B2314" s="14"/>
      <c r="H2314" s="14"/>
      <c r="I2314" s="567"/>
      <c r="J2314" s="15"/>
      <c r="N2314" s="14"/>
      <c r="O2314" s="14"/>
      <c r="P2314" s="14"/>
    </row>
    <row r="2315" spans="2:16" ht="15.75" customHeight="1">
      <c r="B2315" s="14"/>
      <c r="H2315" s="14"/>
      <c r="I2315" s="567"/>
      <c r="J2315" s="15"/>
      <c r="N2315" s="14"/>
      <c r="O2315" s="14"/>
      <c r="P2315" s="14"/>
    </row>
    <row r="2316" spans="2:16" ht="15.75" customHeight="1">
      <c r="B2316" s="14"/>
      <c r="H2316" s="14"/>
      <c r="I2316" s="567"/>
      <c r="J2316" s="15"/>
      <c r="N2316" s="14"/>
      <c r="O2316" s="14"/>
      <c r="P2316" s="14"/>
    </row>
    <row r="2317" spans="2:16" ht="15.75" customHeight="1">
      <c r="B2317" s="14"/>
      <c r="H2317" s="14"/>
      <c r="I2317" s="567"/>
      <c r="J2317" s="15"/>
      <c r="N2317" s="14"/>
      <c r="O2317" s="14"/>
      <c r="P2317" s="14"/>
    </row>
    <row r="2318" spans="2:16" ht="15.75" customHeight="1">
      <c r="B2318" s="14"/>
      <c r="H2318" s="14"/>
      <c r="I2318" s="567"/>
      <c r="J2318" s="15"/>
      <c r="N2318" s="14"/>
      <c r="O2318" s="14"/>
      <c r="P2318" s="14"/>
    </row>
    <row r="2319" spans="2:16" ht="15.75" customHeight="1">
      <c r="B2319" s="14"/>
      <c r="H2319" s="14"/>
      <c r="I2319" s="567"/>
      <c r="J2319" s="15"/>
      <c r="N2319" s="14"/>
      <c r="O2319" s="14"/>
      <c r="P2319" s="14"/>
    </row>
    <row r="2320" spans="2:16" ht="15.75" customHeight="1">
      <c r="B2320" s="14"/>
      <c r="H2320" s="14"/>
      <c r="I2320" s="567"/>
      <c r="J2320" s="15"/>
      <c r="N2320" s="14"/>
      <c r="O2320" s="14"/>
      <c r="P2320" s="14"/>
    </row>
    <row r="2321" spans="2:16" ht="15.75" customHeight="1">
      <c r="B2321" s="14"/>
      <c r="H2321" s="14"/>
      <c r="I2321" s="567"/>
      <c r="J2321" s="15"/>
      <c r="N2321" s="14"/>
      <c r="O2321" s="14"/>
      <c r="P2321" s="14"/>
    </row>
    <row r="2322" spans="2:16" ht="15.75" customHeight="1">
      <c r="B2322" s="14"/>
      <c r="H2322" s="14"/>
      <c r="I2322" s="567"/>
      <c r="J2322" s="15"/>
      <c r="N2322" s="14"/>
      <c r="O2322" s="14"/>
      <c r="P2322" s="14"/>
    </row>
    <row r="2323" spans="2:16" ht="15.75" customHeight="1">
      <c r="B2323" s="14"/>
      <c r="H2323" s="14"/>
      <c r="I2323" s="567"/>
      <c r="J2323" s="15"/>
      <c r="N2323" s="14"/>
      <c r="O2323" s="14"/>
      <c r="P2323" s="14"/>
    </row>
    <row r="2324" spans="2:16" ht="15.75" customHeight="1">
      <c r="B2324" s="14"/>
      <c r="H2324" s="14"/>
      <c r="I2324" s="567"/>
      <c r="J2324" s="15"/>
      <c r="N2324" s="14"/>
      <c r="O2324" s="14"/>
      <c r="P2324" s="14"/>
    </row>
    <row r="2325" spans="2:16" ht="15.75" customHeight="1">
      <c r="B2325" s="14"/>
      <c r="H2325" s="14"/>
      <c r="I2325" s="567"/>
      <c r="J2325" s="15"/>
      <c r="N2325" s="14"/>
      <c r="O2325" s="14"/>
      <c r="P2325" s="14"/>
    </row>
    <row r="2326" spans="2:16" ht="15.75" customHeight="1">
      <c r="B2326" s="14"/>
      <c r="H2326" s="14"/>
      <c r="I2326" s="567"/>
      <c r="J2326" s="15"/>
      <c r="N2326" s="14"/>
      <c r="O2326" s="14"/>
      <c r="P2326" s="14"/>
    </row>
    <row r="2327" spans="2:16" ht="15.75" customHeight="1">
      <c r="B2327" s="14"/>
      <c r="H2327" s="14"/>
      <c r="I2327" s="567"/>
      <c r="J2327" s="15"/>
      <c r="N2327" s="14"/>
      <c r="O2327" s="14"/>
      <c r="P2327" s="14"/>
    </row>
    <row r="2328" spans="2:16" ht="15.75" customHeight="1">
      <c r="B2328" s="14"/>
      <c r="H2328" s="14"/>
      <c r="I2328" s="567"/>
      <c r="J2328" s="15"/>
      <c r="N2328" s="14"/>
      <c r="O2328" s="14"/>
      <c r="P2328" s="14"/>
    </row>
    <row r="2329" spans="2:16" ht="15.75" customHeight="1">
      <c r="B2329" s="14"/>
      <c r="H2329" s="14"/>
      <c r="I2329" s="567"/>
      <c r="J2329" s="15"/>
      <c r="N2329" s="14"/>
      <c r="O2329" s="14"/>
      <c r="P2329" s="14"/>
    </row>
    <row r="2330" spans="2:16" ht="15.75" customHeight="1">
      <c r="B2330" s="14"/>
      <c r="H2330" s="14"/>
      <c r="I2330" s="567"/>
      <c r="J2330" s="15"/>
      <c r="N2330" s="14"/>
      <c r="O2330" s="14"/>
      <c r="P2330" s="14"/>
    </row>
    <row r="2331" spans="2:16" ht="15.75" customHeight="1">
      <c r="B2331" s="14"/>
      <c r="H2331" s="14"/>
      <c r="I2331" s="567"/>
      <c r="J2331" s="15"/>
      <c r="N2331" s="14"/>
      <c r="O2331" s="14"/>
      <c r="P2331" s="14"/>
    </row>
    <row r="2332" spans="2:16" ht="15.75" customHeight="1">
      <c r="B2332" s="14"/>
      <c r="H2332" s="14"/>
      <c r="I2332" s="567"/>
      <c r="J2332" s="15"/>
      <c r="N2332" s="14"/>
      <c r="O2332" s="14"/>
      <c r="P2332" s="14"/>
    </row>
    <row r="2333" spans="2:16" ht="15.75" customHeight="1">
      <c r="B2333" s="14"/>
      <c r="H2333" s="14"/>
      <c r="I2333" s="567"/>
      <c r="J2333" s="15"/>
      <c r="N2333" s="14"/>
      <c r="O2333" s="14"/>
      <c r="P2333" s="14"/>
    </row>
    <row r="2334" spans="2:16" ht="15.75" customHeight="1">
      <c r="B2334" s="14"/>
      <c r="H2334" s="14"/>
      <c r="I2334" s="567"/>
      <c r="J2334" s="15"/>
      <c r="N2334" s="14"/>
      <c r="O2334" s="14"/>
      <c r="P2334" s="14"/>
    </row>
    <row r="2335" spans="2:16" ht="15.75" customHeight="1">
      <c r="B2335" s="14"/>
      <c r="H2335" s="14"/>
      <c r="I2335" s="567"/>
      <c r="J2335" s="15"/>
      <c r="N2335" s="14"/>
      <c r="O2335" s="14"/>
      <c r="P2335" s="14"/>
    </row>
    <row r="2336" spans="2:16" ht="15.75" customHeight="1">
      <c r="B2336" s="14"/>
      <c r="H2336" s="14"/>
      <c r="I2336" s="567"/>
      <c r="J2336" s="15"/>
      <c r="N2336" s="14"/>
      <c r="O2336" s="14"/>
      <c r="P2336" s="14"/>
    </row>
    <row r="2337" spans="2:16" ht="15.75" customHeight="1">
      <c r="B2337" s="14"/>
      <c r="H2337" s="14"/>
      <c r="I2337" s="567"/>
      <c r="J2337" s="15"/>
      <c r="N2337" s="14"/>
      <c r="O2337" s="14"/>
      <c r="P2337" s="14"/>
    </row>
    <row r="2338" spans="2:16" ht="15.75" customHeight="1">
      <c r="B2338" s="14"/>
      <c r="H2338" s="14"/>
      <c r="I2338" s="567"/>
      <c r="J2338" s="15"/>
      <c r="N2338" s="14"/>
      <c r="O2338" s="14"/>
      <c r="P2338" s="14"/>
    </row>
    <row r="2339" spans="2:16" ht="15.75" customHeight="1">
      <c r="B2339" s="14"/>
      <c r="H2339" s="14"/>
      <c r="I2339" s="567"/>
      <c r="J2339" s="15"/>
      <c r="N2339" s="14"/>
      <c r="O2339" s="14"/>
      <c r="P2339" s="14"/>
    </row>
    <row r="2340" spans="2:16" ht="15.75" customHeight="1">
      <c r="B2340" s="14"/>
      <c r="H2340" s="14"/>
      <c r="I2340" s="567"/>
      <c r="J2340" s="15"/>
      <c r="N2340" s="14"/>
      <c r="O2340" s="14"/>
      <c r="P2340" s="14"/>
    </row>
    <row r="2341" spans="2:16" ht="15.75" customHeight="1">
      <c r="B2341" s="14"/>
      <c r="H2341" s="14"/>
      <c r="I2341" s="567"/>
      <c r="J2341" s="15"/>
      <c r="N2341" s="14"/>
      <c r="O2341" s="14"/>
      <c r="P2341" s="14"/>
    </row>
    <row r="2342" spans="2:16" ht="15.75" customHeight="1">
      <c r="B2342" s="14"/>
      <c r="H2342" s="14"/>
      <c r="I2342" s="567"/>
      <c r="J2342" s="15"/>
      <c r="N2342" s="14"/>
      <c r="O2342" s="14"/>
      <c r="P2342" s="14"/>
    </row>
    <row r="2343" spans="2:16" ht="15.75" customHeight="1">
      <c r="B2343" s="14"/>
      <c r="H2343" s="14"/>
      <c r="I2343" s="567"/>
      <c r="J2343" s="15"/>
      <c r="N2343" s="14"/>
      <c r="O2343" s="14"/>
      <c r="P2343" s="14"/>
    </row>
    <row r="2344" spans="2:16" ht="15.75" customHeight="1">
      <c r="B2344" s="14"/>
      <c r="H2344" s="14"/>
      <c r="I2344" s="567"/>
      <c r="J2344" s="15"/>
      <c r="N2344" s="14"/>
      <c r="O2344" s="14"/>
      <c r="P2344" s="14"/>
    </row>
    <row r="2345" spans="2:16" ht="15.75" customHeight="1">
      <c r="B2345" s="14"/>
      <c r="H2345" s="14"/>
      <c r="I2345" s="567"/>
      <c r="J2345" s="15"/>
      <c r="N2345" s="14"/>
      <c r="O2345" s="14"/>
      <c r="P2345" s="14"/>
    </row>
    <row r="2346" spans="2:16" ht="15.75" customHeight="1">
      <c r="B2346" s="14"/>
      <c r="H2346" s="14"/>
      <c r="I2346" s="567"/>
      <c r="J2346" s="15"/>
      <c r="N2346" s="14"/>
      <c r="O2346" s="14"/>
      <c r="P2346" s="14"/>
    </row>
    <row r="2347" spans="2:16" ht="15.75" customHeight="1">
      <c r="B2347" s="14"/>
      <c r="H2347" s="14"/>
      <c r="I2347" s="567"/>
      <c r="J2347" s="15"/>
      <c r="N2347" s="14"/>
      <c r="O2347" s="14"/>
      <c r="P2347" s="14"/>
    </row>
    <row r="2348" spans="2:16" ht="15.75" customHeight="1">
      <c r="B2348" s="14"/>
      <c r="H2348" s="14"/>
      <c r="I2348" s="567"/>
      <c r="J2348" s="15"/>
      <c r="N2348" s="14"/>
      <c r="O2348" s="14"/>
      <c r="P2348" s="14"/>
    </row>
    <row r="2349" spans="2:16" ht="15.75" customHeight="1">
      <c r="B2349" s="14"/>
      <c r="H2349" s="14"/>
      <c r="I2349" s="567"/>
      <c r="J2349" s="15"/>
      <c r="N2349" s="14"/>
      <c r="O2349" s="14"/>
      <c r="P2349" s="14"/>
    </row>
    <row r="2350" spans="2:16" ht="15.75" customHeight="1">
      <c r="B2350" s="14"/>
      <c r="H2350" s="14"/>
      <c r="I2350" s="567"/>
      <c r="J2350" s="15"/>
      <c r="N2350" s="14"/>
      <c r="O2350" s="14"/>
      <c r="P2350" s="14"/>
    </row>
    <row r="2351" spans="2:16" ht="15.75" customHeight="1">
      <c r="B2351" s="14"/>
      <c r="H2351" s="14"/>
      <c r="I2351" s="567"/>
      <c r="J2351" s="15"/>
      <c r="N2351" s="14"/>
      <c r="O2351" s="14"/>
      <c r="P2351" s="14"/>
    </row>
    <row r="2352" spans="2:16" ht="15.75" customHeight="1">
      <c r="B2352" s="14"/>
      <c r="H2352" s="14"/>
      <c r="I2352" s="567"/>
      <c r="J2352" s="15"/>
      <c r="N2352" s="14"/>
      <c r="O2352" s="14"/>
      <c r="P2352" s="14"/>
    </row>
    <row r="2353" spans="2:16" ht="15.75" customHeight="1">
      <c r="B2353" s="14"/>
      <c r="H2353" s="14"/>
      <c r="I2353" s="567"/>
      <c r="J2353" s="15"/>
      <c r="N2353" s="14"/>
      <c r="O2353" s="14"/>
      <c r="P2353" s="14"/>
    </row>
    <row r="2354" spans="2:16" ht="15.75" customHeight="1">
      <c r="B2354" s="14"/>
      <c r="H2354" s="14"/>
      <c r="I2354" s="567"/>
      <c r="J2354" s="15"/>
      <c r="N2354" s="14"/>
      <c r="O2354" s="14"/>
      <c r="P2354" s="14"/>
    </row>
    <row r="2355" spans="2:16" ht="15.75" customHeight="1">
      <c r="B2355" s="14"/>
      <c r="H2355" s="14"/>
      <c r="I2355" s="567"/>
      <c r="J2355" s="15"/>
      <c r="N2355" s="14"/>
      <c r="O2355" s="14"/>
      <c r="P2355" s="14"/>
    </row>
    <row r="2356" spans="2:16" ht="15.75" customHeight="1">
      <c r="B2356" s="14"/>
      <c r="H2356" s="14"/>
      <c r="I2356" s="567"/>
      <c r="J2356" s="15"/>
      <c r="N2356" s="14"/>
      <c r="O2356" s="14"/>
      <c r="P2356" s="14"/>
    </row>
    <row r="2357" spans="2:16" ht="15.75" customHeight="1">
      <c r="B2357" s="14"/>
      <c r="H2357" s="14"/>
      <c r="I2357" s="567"/>
      <c r="J2357" s="15"/>
      <c r="N2357" s="14"/>
      <c r="O2357" s="14"/>
      <c r="P2357" s="14"/>
    </row>
    <row r="2358" spans="2:16" ht="15.75" customHeight="1">
      <c r="B2358" s="14"/>
      <c r="H2358" s="14"/>
      <c r="I2358" s="567"/>
      <c r="J2358" s="15"/>
      <c r="N2358" s="14"/>
      <c r="O2358" s="14"/>
      <c r="P2358" s="14"/>
    </row>
    <row r="2359" spans="2:16" ht="15.75" customHeight="1">
      <c r="B2359" s="14"/>
      <c r="H2359" s="14"/>
      <c r="I2359" s="567"/>
      <c r="J2359" s="15"/>
      <c r="N2359" s="14"/>
      <c r="O2359" s="14"/>
      <c r="P2359" s="14"/>
    </row>
    <row r="2360" spans="2:16" ht="15.75" customHeight="1">
      <c r="B2360" s="14"/>
      <c r="H2360" s="14"/>
      <c r="I2360" s="567"/>
      <c r="J2360" s="15"/>
      <c r="N2360" s="14"/>
      <c r="O2360" s="14"/>
      <c r="P2360" s="14"/>
    </row>
    <row r="2361" spans="2:16" ht="15.75" customHeight="1">
      <c r="B2361" s="14"/>
      <c r="H2361" s="14"/>
      <c r="I2361" s="567"/>
      <c r="J2361" s="15"/>
      <c r="N2361" s="14"/>
      <c r="O2361" s="14"/>
      <c r="P2361" s="14"/>
    </row>
    <row r="2362" spans="2:16" ht="15.75" customHeight="1">
      <c r="B2362" s="14"/>
      <c r="H2362" s="14"/>
      <c r="I2362" s="567"/>
      <c r="J2362" s="15"/>
      <c r="N2362" s="14"/>
      <c r="O2362" s="14"/>
      <c r="P2362" s="14"/>
    </row>
    <row r="2363" spans="2:16" ht="15.75" customHeight="1">
      <c r="B2363" s="14"/>
      <c r="H2363" s="14"/>
      <c r="I2363" s="567"/>
      <c r="J2363" s="15"/>
      <c r="N2363" s="14"/>
      <c r="O2363" s="14"/>
      <c r="P2363" s="14"/>
    </row>
    <row r="2364" spans="2:16" ht="15.75" customHeight="1">
      <c r="B2364" s="14"/>
      <c r="H2364" s="14"/>
      <c r="I2364" s="567"/>
      <c r="J2364" s="15"/>
      <c r="N2364" s="14"/>
      <c r="O2364" s="14"/>
      <c r="P2364" s="14"/>
    </row>
    <row r="2365" spans="2:16" ht="15.75" customHeight="1">
      <c r="B2365" s="14"/>
      <c r="H2365" s="14"/>
      <c r="I2365" s="567"/>
      <c r="J2365" s="15"/>
      <c r="N2365" s="14"/>
      <c r="O2365" s="14"/>
      <c r="P2365" s="14"/>
    </row>
    <row r="2366" spans="2:16" ht="15.75" customHeight="1">
      <c r="B2366" s="14"/>
      <c r="H2366" s="14"/>
      <c r="I2366" s="567"/>
      <c r="J2366" s="15"/>
      <c r="N2366" s="14"/>
      <c r="O2366" s="14"/>
      <c r="P2366" s="14"/>
    </row>
    <row r="2367" spans="2:16" ht="15.75" customHeight="1">
      <c r="B2367" s="14"/>
      <c r="H2367" s="14"/>
      <c r="I2367" s="567"/>
      <c r="J2367" s="15"/>
      <c r="N2367" s="14"/>
      <c r="O2367" s="14"/>
      <c r="P2367" s="14"/>
    </row>
    <row r="2368" spans="2:16" ht="15.75" customHeight="1">
      <c r="B2368" s="14"/>
      <c r="H2368" s="14"/>
      <c r="I2368" s="567"/>
      <c r="J2368" s="15"/>
      <c r="N2368" s="14"/>
      <c r="O2368" s="14"/>
      <c r="P2368" s="14"/>
    </row>
    <row r="2369" spans="2:16" ht="15.75" customHeight="1">
      <c r="B2369" s="14"/>
      <c r="H2369" s="14"/>
      <c r="I2369" s="567"/>
      <c r="J2369" s="15"/>
      <c r="N2369" s="14"/>
      <c r="O2369" s="14"/>
      <c r="P2369" s="14"/>
    </row>
    <row r="2370" spans="2:16" ht="15.75" customHeight="1">
      <c r="B2370" s="14"/>
      <c r="H2370" s="14"/>
      <c r="I2370" s="567"/>
      <c r="J2370" s="15"/>
      <c r="N2370" s="14"/>
      <c r="O2370" s="14"/>
      <c r="P2370" s="14"/>
    </row>
    <row r="2371" spans="2:16" ht="15.75" customHeight="1">
      <c r="B2371" s="14"/>
      <c r="H2371" s="14"/>
      <c r="I2371" s="567"/>
      <c r="J2371" s="15"/>
      <c r="N2371" s="14"/>
      <c r="O2371" s="14"/>
      <c r="P2371" s="14"/>
    </row>
    <row r="2372" spans="2:16" ht="15.75" customHeight="1">
      <c r="B2372" s="14"/>
      <c r="H2372" s="14"/>
      <c r="I2372" s="567"/>
      <c r="J2372" s="15"/>
      <c r="N2372" s="14"/>
      <c r="O2372" s="14"/>
      <c r="P2372" s="14"/>
    </row>
    <row r="2373" spans="2:16" ht="15.75" customHeight="1">
      <c r="B2373" s="14"/>
      <c r="H2373" s="14"/>
      <c r="I2373" s="567"/>
      <c r="J2373" s="15"/>
      <c r="N2373" s="14"/>
      <c r="O2373" s="14"/>
      <c r="P2373" s="14"/>
    </row>
    <row r="2374" spans="2:16" ht="15.75" customHeight="1">
      <c r="B2374" s="14"/>
      <c r="H2374" s="14"/>
      <c r="I2374" s="567"/>
      <c r="J2374" s="15"/>
      <c r="N2374" s="14"/>
      <c r="O2374" s="14"/>
      <c r="P2374" s="14"/>
    </row>
    <row r="2375" spans="2:16" ht="15.75" customHeight="1">
      <c r="B2375" s="14"/>
      <c r="H2375" s="14"/>
      <c r="I2375" s="567"/>
      <c r="J2375" s="15"/>
      <c r="N2375" s="14"/>
      <c r="O2375" s="14"/>
      <c r="P2375" s="14"/>
    </row>
    <row r="2376" spans="2:16" ht="15.75" customHeight="1">
      <c r="B2376" s="14"/>
      <c r="H2376" s="14"/>
      <c r="I2376" s="567"/>
      <c r="J2376" s="15"/>
      <c r="N2376" s="14"/>
      <c r="O2376" s="14"/>
      <c r="P2376" s="14"/>
    </row>
    <row r="2377" spans="2:16" ht="15.75" customHeight="1">
      <c r="B2377" s="14"/>
      <c r="H2377" s="14"/>
      <c r="I2377" s="567"/>
      <c r="J2377" s="15"/>
      <c r="N2377" s="14"/>
      <c r="O2377" s="14"/>
      <c r="P2377" s="14"/>
    </row>
    <row r="2378" spans="2:16" ht="15.75" customHeight="1">
      <c r="B2378" s="14"/>
      <c r="H2378" s="14"/>
      <c r="I2378" s="567"/>
      <c r="J2378" s="15"/>
      <c r="N2378" s="14"/>
      <c r="O2378" s="14"/>
      <c r="P2378" s="14"/>
    </row>
    <row r="2379" spans="2:16" ht="15.75" customHeight="1">
      <c r="B2379" s="14"/>
      <c r="H2379" s="14"/>
      <c r="I2379" s="567"/>
      <c r="J2379" s="15"/>
      <c r="N2379" s="14"/>
      <c r="O2379" s="14"/>
      <c r="P2379" s="14"/>
    </row>
    <row r="2380" spans="2:16" ht="15.75" customHeight="1">
      <c r="B2380" s="14"/>
      <c r="H2380" s="14"/>
      <c r="I2380" s="567"/>
      <c r="J2380" s="15"/>
      <c r="N2380" s="14"/>
      <c r="O2380" s="14"/>
      <c r="P2380" s="14"/>
    </row>
    <row r="2381" spans="2:16" ht="15.75" customHeight="1">
      <c r="B2381" s="14"/>
      <c r="H2381" s="14"/>
      <c r="I2381" s="567"/>
      <c r="J2381" s="15"/>
      <c r="N2381" s="14"/>
      <c r="O2381" s="14"/>
      <c r="P2381" s="14"/>
    </row>
    <row r="2382" spans="2:16" ht="15.75" customHeight="1">
      <c r="B2382" s="14"/>
      <c r="H2382" s="14"/>
      <c r="I2382" s="567"/>
      <c r="J2382" s="15"/>
      <c r="N2382" s="14"/>
      <c r="O2382" s="14"/>
      <c r="P2382" s="14"/>
    </row>
    <row r="2383" spans="2:16" ht="15.75" customHeight="1">
      <c r="B2383" s="14"/>
      <c r="H2383" s="14"/>
      <c r="I2383" s="567"/>
      <c r="J2383" s="15"/>
      <c r="N2383" s="14"/>
      <c r="O2383" s="14"/>
      <c r="P2383" s="14"/>
    </row>
    <row r="2384" spans="2:16" ht="15.75" customHeight="1">
      <c r="B2384" s="14"/>
      <c r="H2384" s="14"/>
      <c r="I2384" s="567"/>
      <c r="J2384" s="15"/>
      <c r="N2384" s="14"/>
      <c r="O2384" s="14"/>
      <c r="P2384" s="14"/>
    </row>
    <row r="2385" spans="2:16" ht="15.75" customHeight="1">
      <c r="B2385" s="14"/>
      <c r="H2385" s="14"/>
      <c r="I2385" s="567"/>
      <c r="J2385" s="15"/>
      <c r="N2385" s="14"/>
      <c r="O2385" s="14"/>
      <c r="P2385" s="14"/>
    </row>
    <row r="2386" spans="2:16" ht="15.75" customHeight="1">
      <c r="B2386" s="14"/>
      <c r="H2386" s="14"/>
      <c r="I2386" s="567"/>
      <c r="J2386" s="15"/>
      <c r="N2386" s="14"/>
      <c r="O2386" s="14"/>
      <c r="P2386" s="14"/>
    </row>
    <row r="2387" spans="2:16" ht="15.75" customHeight="1">
      <c r="B2387" s="14"/>
      <c r="H2387" s="14"/>
      <c r="I2387" s="567"/>
      <c r="J2387" s="15"/>
      <c r="N2387" s="14"/>
      <c r="O2387" s="14"/>
      <c r="P2387" s="14"/>
    </row>
    <row r="2388" spans="2:16" ht="15.75" customHeight="1">
      <c r="B2388" s="14"/>
      <c r="H2388" s="14"/>
      <c r="I2388" s="567"/>
      <c r="J2388" s="15"/>
      <c r="N2388" s="14"/>
      <c r="O2388" s="14"/>
      <c r="P2388" s="14"/>
    </row>
    <row r="2389" spans="2:16" ht="15.75" customHeight="1">
      <c r="B2389" s="14"/>
      <c r="H2389" s="14"/>
      <c r="I2389" s="567"/>
      <c r="J2389" s="15"/>
      <c r="N2389" s="14"/>
      <c r="O2389" s="14"/>
      <c r="P2389" s="14"/>
    </row>
    <row r="2390" spans="2:16" ht="15.75" customHeight="1">
      <c r="B2390" s="14"/>
      <c r="H2390" s="14"/>
      <c r="I2390" s="567"/>
      <c r="J2390" s="15"/>
      <c r="N2390" s="14"/>
      <c r="O2390" s="14"/>
      <c r="P2390" s="14"/>
    </row>
    <row r="2391" spans="2:16" ht="15.75" customHeight="1">
      <c r="B2391" s="14"/>
      <c r="H2391" s="14"/>
      <c r="I2391" s="567"/>
      <c r="J2391" s="15"/>
      <c r="N2391" s="14"/>
      <c r="O2391" s="14"/>
      <c r="P2391" s="14"/>
    </row>
    <row r="2392" spans="2:16" ht="15.75" customHeight="1">
      <c r="B2392" s="14"/>
      <c r="H2392" s="14"/>
      <c r="I2392" s="567"/>
      <c r="J2392" s="15"/>
      <c r="N2392" s="14"/>
      <c r="O2392" s="14"/>
      <c r="P2392" s="14"/>
    </row>
    <row r="2393" spans="2:16" ht="15.75" customHeight="1">
      <c r="B2393" s="14"/>
      <c r="H2393" s="14"/>
      <c r="I2393" s="567"/>
      <c r="J2393" s="15"/>
      <c r="N2393" s="14"/>
      <c r="O2393" s="14"/>
      <c r="P2393" s="14"/>
    </row>
    <row r="2394" spans="2:16" ht="15.75" customHeight="1">
      <c r="B2394" s="14"/>
      <c r="H2394" s="14"/>
      <c r="I2394" s="567"/>
      <c r="J2394" s="15"/>
      <c r="N2394" s="14"/>
      <c r="O2394" s="14"/>
      <c r="P2394" s="14"/>
    </row>
    <row r="2395" spans="2:16" ht="15.75" customHeight="1">
      <c r="B2395" s="14"/>
      <c r="H2395" s="14"/>
      <c r="I2395" s="567"/>
      <c r="J2395" s="15"/>
      <c r="N2395" s="14"/>
      <c r="O2395" s="14"/>
      <c r="P2395" s="14"/>
    </row>
    <row r="2396" spans="2:16" ht="15.75" customHeight="1">
      <c r="B2396" s="14"/>
      <c r="H2396" s="14"/>
      <c r="I2396" s="567"/>
      <c r="J2396" s="15"/>
      <c r="N2396" s="14"/>
      <c r="O2396" s="14"/>
      <c r="P2396" s="14"/>
    </row>
    <row r="2397" spans="2:16" ht="15.75" customHeight="1">
      <c r="B2397" s="14"/>
      <c r="H2397" s="14"/>
      <c r="I2397" s="567"/>
      <c r="J2397" s="15"/>
      <c r="N2397" s="14"/>
      <c r="O2397" s="14"/>
      <c r="P2397" s="14"/>
    </row>
    <row r="2398" spans="2:16" ht="15.75" customHeight="1">
      <c r="B2398" s="14"/>
      <c r="H2398" s="14"/>
      <c r="I2398" s="567"/>
      <c r="J2398" s="15"/>
      <c r="N2398" s="14"/>
      <c r="O2398" s="14"/>
      <c r="P2398" s="14"/>
    </row>
    <row r="2399" spans="2:16" ht="15.75" customHeight="1">
      <c r="B2399" s="14"/>
      <c r="H2399" s="14"/>
      <c r="I2399" s="567"/>
      <c r="J2399" s="15"/>
      <c r="N2399" s="14"/>
      <c r="O2399" s="14"/>
      <c r="P2399" s="14"/>
    </row>
    <row r="2400" spans="2:16" ht="15.75" customHeight="1">
      <c r="B2400" s="14"/>
      <c r="H2400" s="14"/>
      <c r="I2400" s="567"/>
      <c r="J2400" s="15"/>
      <c r="N2400" s="14"/>
      <c r="O2400" s="14"/>
      <c r="P2400" s="14"/>
    </row>
    <row r="2401" spans="2:16" ht="15.75" customHeight="1">
      <c r="B2401" s="14"/>
      <c r="H2401" s="14"/>
      <c r="I2401" s="567"/>
      <c r="J2401" s="15"/>
      <c r="N2401" s="14"/>
      <c r="O2401" s="14"/>
      <c r="P2401" s="14"/>
    </row>
    <row r="2402" spans="2:16" ht="15.75" customHeight="1">
      <c r="B2402" s="14"/>
      <c r="H2402" s="14"/>
      <c r="I2402" s="567"/>
      <c r="J2402" s="15"/>
      <c r="N2402" s="14"/>
      <c r="O2402" s="14"/>
      <c r="P2402" s="14"/>
    </row>
    <row r="2403" spans="2:16" ht="15.75" customHeight="1">
      <c r="B2403" s="14"/>
      <c r="H2403" s="14"/>
      <c r="I2403" s="567"/>
      <c r="J2403" s="15"/>
      <c r="N2403" s="14"/>
      <c r="O2403" s="14"/>
      <c r="P2403" s="14"/>
    </row>
    <row r="2404" spans="2:16" ht="15.75" customHeight="1">
      <c r="B2404" s="14"/>
      <c r="H2404" s="14"/>
      <c r="I2404" s="567"/>
      <c r="J2404" s="15"/>
      <c r="N2404" s="14"/>
      <c r="O2404" s="14"/>
      <c r="P2404" s="14"/>
    </row>
    <row r="2405" spans="2:16" ht="15.75" customHeight="1">
      <c r="B2405" s="14"/>
      <c r="H2405" s="14"/>
      <c r="I2405" s="567"/>
      <c r="J2405" s="15"/>
      <c r="N2405" s="14"/>
      <c r="O2405" s="14"/>
      <c r="P2405" s="14"/>
    </row>
    <row r="2406" spans="2:16" ht="15.75" customHeight="1">
      <c r="B2406" s="14"/>
      <c r="H2406" s="14"/>
      <c r="I2406" s="567"/>
      <c r="J2406" s="15"/>
      <c r="N2406" s="14"/>
      <c r="O2406" s="14"/>
      <c r="P2406" s="14"/>
    </row>
    <row r="2407" spans="2:16" ht="15.75" customHeight="1">
      <c r="B2407" s="14"/>
      <c r="H2407" s="14"/>
      <c r="I2407" s="567"/>
      <c r="J2407" s="15"/>
      <c r="N2407" s="14"/>
      <c r="O2407" s="14"/>
      <c r="P2407" s="14"/>
    </row>
    <row r="2408" spans="2:16" ht="15.75" customHeight="1">
      <c r="B2408" s="14"/>
      <c r="H2408" s="14"/>
      <c r="I2408" s="567"/>
      <c r="J2408" s="15"/>
      <c r="N2408" s="14"/>
      <c r="O2408" s="14"/>
      <c r="P2408" s="14"/>
    </row>
    <row r="2409" spans="2:16" ht="15.75" customHeight="1">
      <c r="B2409" s="14"/>
      <c r="H2409" s="14"/>
      <c r="I2409" s="567"/>
      <c r="J2409" s="15"/>
      <c r="N2409" s="14"/>
      <c r="O2409" s="14"/>
      <c r="P2409" s="14"/>
    </row>
    <row r="2410" spans="2:16" ht="15.75" customHeight="1">
      <c r="B2410" s="14"/>
      <c r="H2410" s="14"/>
      <c r="I2410" s="567"/>
      <c r="J2410" s="15"/>
      <c r="N2410" s="14"/>
      <c r="O2410" s="14"/>
      <c r="P2410" s="14"/>
    </row>
    <row r="2411" spans="2:16" ht="15.75" customHeight="1">
      <c r="B2411" s="14"/>
      <c r="H2411" s="14"/>
      <c r="I2411" s="567"/>
      <c r="J2411" s="15"/>
      <c r="N2411" s="14"/>
      <c r="O2411" s="14"/>
      <c r="P2411" s="14"/>
    </row>
    <row r="2412" spans="2:16" ht="15.75" customHeight="1">
      <c r="B2412" s="14"/>
      <c r="H2412" s="14"/>
      <c r="I2412" s="567"/>
      <c r="J2412" s="15"/>
      <c r="N2412" s="14"/>
      <c r="O2412" s="14"/>
      <c r="P2412" s="14"/>
    </row>
    <row r="2413" spans="2:16" ht="15.75" customHeight="1">
      <c r="B2413" s="14"/>
      <c r="H2413" s="14"/>
      <c r="I2413" s="567"/>
      <c r="J2413" s="15"/>
      <c r="N2413" s="14"/>
      <c r="O2413" s="14"/>
      <c r="P2413" s="14"/>
    </row>
    <row r="2414" spans="2:16" ht="15.75" customHeight="1">
      <c r="B2414" s="14"/>
      <c r="H2414" s="14"/>
      <c r="I2414" s="567"/>
      <c r="J2414" s="15"/>
      <c r="N2414" s="14"/>
      <c r="O2414" s="14"/>
      <c r="P2414" s="14"/>
    </row>
    <row r="2415" spans="2:16" ht="15.75" customHeight="1">
      <c r="B2415" s="14"/>
      <c r="H2415" s="14"/>
      <c r="I2415" s="567"/>
      <c r="J2415" s="15"/>
      <c r="N2415" s="14"/>
      <c r="O2415" s="14"/>
      <c r="P2415" s="14"/>
    </row>
    <row r="2416" spans="2:16" ht="15.75" customHeight="1">
      <c r="B2416" s="14"/>
      <c r="H2416" s="14"/>
      <c r="I2416" s="567"/>
      <c r="J2416" s="15"/>
      <c r="N2416" s="14"/>
      <c r="O2416" s="14"/>
      <c r="P2416" s="14"/>
    </row>
    <row r="2417" spans="2:16" ht="15.75" customHeight="1">
      <c r="B2417" s="14"/>
      <c r="H2417" s="14"/>
      <c r="I2417" s="567"/>
      <c r="J2417" s="15"/>
      <c r="N2417" s="14"/>
      <c r="O2417" s="14"/>
      <c r="P2417" s="14"/>
    </row>
    <row r="2418" spans="2:16" ht="15.75" customHeight="1">
      <c r="B2418" s="14"/>
      <c r="H2418" s="14"/>
      <c r="I2418" s="567"/>
      <c r="J2418" s="15"/>
      <c r="N2418" s="14"/>
      <c r="O2418" s="14"/>
      <c r="P2418" s="14"/>
    </row>
    <row r="2419" spans="2:16" ht="15.75" customHeight="1">
      <c r="B2419" s="14"/>
      <c r="H2419" s="14"/>
      <c r="I2419" s="567"/>
      <c r="J2419" s="15"/>
      <c r="N2419" s="14"/>
      <c r="O2419" s="14"/>
      <c r="P2419" s="14"/>
    </row>
    <row r="2420" spans="2:16" ht="15.75" customHeight="1">
      <c r="B2420" s="14"/>
      <c r="H2420" s="14"/>
      <c r="I2420" s="567"/>
      <c r="J2420" s="15"/>
      <c r="N2420" s="14"/>
      <c r="O2420" s="14"/>
      <c r="P2420" s="14"/>
    </row>
    <row r="2421" spans="2:16" ht="15.75" customHeight="1">
      <c r="B2421" s="14"/>
      <c r="H2421" s="14"/>
      <c r="I2421" s="567"/>
      <c r="J2421" s="15"/>
      <c r="N2421" s="14"/>
      <c r="O2421" s="14"/>
      <c r="P2421" s="14"/>
    </row>
    <row r="2422" spans="2:16" ht="15.75" customHeight="1">
      <c r="B2422" s="14"/>
      <c r="H2422" s="14"/>
      <c r="I2422" s="567"/>
      <c r="J2422" s="15"/>
      <c r="N2422" s="14"/>
      <c r="O2422" s="14"/>
      <c r="P2422" s="14"/>
    </row>
    <row r="2423" spans="2:16" ht="15.75" customHeight="1">
      <c r="B2423" s="14"/>
      <c r="H2423" s="14"/>
      <c r="I2423" s="567"/>
      <c r="J2423" s="15"/>
      <c r="N2423" s="14"/>
      <c r="O2423" s="14"/>
      <c r="P2423" s="14"/>
    </row>
    <row r="2424" spans="2:16" ht="15.75" customHeight="1">
      <c r="B2424" s="14"/>
      <c r="H2424" s="14"/>
      <c r="I2424" s="567"/>
      <c r="J2424" s="15"/>
      <c r="N2424" s="14"/>
      <c r="O2424" s="14"/>
      <c r="P2424" s="14"/>
    </row>
    <row r="2425" spans="2:16" ht="15.75" customHeight="1">
      <c r="B2425" s="14"/>
      <c r="H2425" s="14"/>
      <c r="I2425" s="567"/>
      <c r="J2425" s="15"/>
      <c r="N2425" s="14"/>
      <c r="O2425" s="14"/>
      <c r="P2425" s="14"/>
    </row>
    <row r="2426" spans="2:16" ht="15.75" customHeight="1">
      <c r="B2426" s="14"/>
      <c r="H2426" s="14"/>
      <c r="I2426" s="567"/>
      <c r="J2426" s="15"/>
      <c r="N2426" s="14"/>
      <c r="O2426" s="14"/>
      <c r="P2426" s="14"/>
    </row>
    <row r="2427" spans="2:16" ht="15.75" customHeight="1">
      <c r="B2427" s="14"/>
      <c r="H2427" s="14"/>
      <c r="I2427" s="567"/>
      <c r="J2427" s="15"/>
      <c r="N2427" s="14"/>
      <c r="O2427" s="14"/>
      <c r="P2427" s="14"/>
    </row>
    <row r="2428" spans="2:16" ht="15.75" customHeight="1">
      <c r="B2428" s="14"/>
      <c r="H2428" s="14"/>
      <c r="I2428" s="567"/>
      <c r="J2428" s="15"/>
      <c r="N2428" s="14"/>
      <c r="O2428" s="14"/>
      <c r="P2428" s="14"/>
    </row>
    <row r="2429" spans="2:16" ht="15.75" customHeight="1">
      <c r="B2429" s="14"/>
      <c r="H2429" s="14"/>
      <c r="I2429" s="567"/>
      <c r="J2429" s="15"/>
      <c r="N2429" s="14"/>
      <c r="O2429" s="14"/>
      <c r="P2429" s="14"/>
    </row>
    <row r="2430" spans="2:16" ht="15.75" customHeight="1">
      <c r="B2430" s="14"/>
      <c r="H2430" s="14"/>
      <c r="I2430" s="567"/>
      <c r="J2430" s="15"/>
      <c r="N2430" s="14"/>
      <c r="O2430" s="14"/>
      <c r="P2430" s="14"/>
    </row>
    <row r="2431" spans="2:16" ht="15.75" customHeight="1">
      <c r="B2431" s="14"/>
      <c r="H2431" s="14"/>
      <c r="I2431" s="567"/>
      <c r="J2431" s="15"/>
      <c r="N2431" s="14"/>
      <c r="O2431" s="14"/>
      <c r="P2431" s="14"/>
    </row>
    <row r="2432" spans="2:16" ht="15.75" customHeight="1">
      <c r="B2432" s="14"/>
      <c r="H2432" s="14"/>
      <c r="I2432" s="567"/>
      <c r="J2432" s="15"/>
      <c r="N2432" s="14"/>
      <c r="O2432" s="14"/>
      <c r="P2432" s="14"/>
    </row>
    <row r="2433" spans="2:16" ht="15.75" customHeight="1">
      <c r="B2433" s="14"/>
      <c r="H2433" s="14"/>
      <c r="I2433" s="567"/>
      <c r="J2433" s="15"/>
      <c r="N2433" s="14"/>
      <c r="O2433" s="14"/>
      <c r="P2433" s="14"/>
    </row>
    <row r="2434" spans="2:16" ht="15.75" customHeight="1">
      <c r="B2434" s="14"/>
      <c r="H2434" s="14"/>
      <c r="I2434" s="567"/>
      <c r="J2434" s="15"/>
      <c r="N2434" s="14"/>
      <c r="O2434" s="14"/>
      <c r="P2434" s="14"/>
    </row>
    <row r="2435" spans="2:16" ht="15.75" customHeight="1">
      <c r="B2435" s="14"/>
      <c r="H2435" s="14"/>
      <c r="I2435" s="567"/>
      <c r="J2435" s="15"/>
      <c r="N2435" s="14"/>
      <c r="O2435" s="14"/>
      <c r="P2435" s="14"/>
    </row>
    <row r="2436" spans="2:16" ht="15.75" customHeight="1">
      <c r="B2436" s="14"/>
      <c r="H2436" s="14"/>
      <c r="I2436" s="567"/>
      <c r="J2436" s="15"/>
      <c r="N2436" s="14"/>
      <c r="O2436" s="14"/>
      <c r="P2436" s="14"/>
    </row>
    <row r="2437" spans="2:16" ht="15.75" customHeight="1">
      <c r="B2437" s="14"/>
      <c r="H2437" s="14"/>
      <c r="I2437" s="567"/>
      <c r="J2437" s="15"/>
      <c r="N2437" s="14"/>
      <c r="O2437" s="14"/>
      <c r="P2437" s="14"/>
    </row>
    <row r="2438" spans="2:16" ht="15.75" customHeight="1">
      <c r="B2438" s="14"/>
      <c r="H2438" s="14"/>
      <c r="I2438" s="567"/>
      <c r="J2438" s="15"/>
      <c r="N2438" s="14"/>
      <c r="O2438" s="14"/>
      <c r="P2438" s="14"/>
    </row>
    <row r="2439" spans="2:16" ht="15.75" customHeight="1">
      <c r="B2439" s="14"/>
      <c r="H2439" s="14"/>
      <c r="I2439" s="567"/>
      <c r="J2439" s="15"/>
      <c r="N2439" s="14"/>
      <c r="O2439" s="14"/>
      <c r="P2439" s="14"/>
    </row>
    <row r="2440" spans="2:16" ht="15.75" customHeight="1">
      <c r="B2440" s="14"/>
      <c r="H2440" s="14"/>
      <c r="I2440" s="567"/>
      <c r="J2440" s="15"/>
      <c r="N2440" s="14"/>
      <c r="O2440" s="14"/>
      <c r="P2440" s="14"/>
    </row>
    <row r="2441" spans="2:16" ht="15.75" customHeight="1">
      <c r="B2441" s="14"/>
      <c r="H2441" s="14"/>
      <c r="I2441" s="567"/>
      <c r="J2441" s="15"/>
      <c r="N2441" s="14"/>
      <c r="O2441" s="14"/>
      <c r="P2441" s="14"/>
    </row>
    <row r="2442" spans="2:16" ht="15.75" customHeight="1">
      <c r="B2442" s="14"/>
      <c r="H2442" s="14"/>
      <c r="I2442" s="567"/>
      <c r="J2442" s="15"/>
      <c r="N2442" s="14"/>
      <c r="O2442" s="14"/>
      <c r="P2442" s="14"/>
    </row>
    <row r="2443" spans="2:16" ht="15.75" customHeight="1">
      <c r="B2443" s="14"/>
      <c r="H2443" s="14"/>
      <c r="I2443" s="567"/>
      <c r="J2443" s="15"/>
      <c r="N2443" s="14"/>
      <c r="O2443" s="14"/>
      <c r="P2443" s="14"/>
    </row>
    <row r="2444" spans="2:16" ht="15.75" customHeight="1">
      <c r="B2444" s="14"/>
      <c r="H2444" s="14"/>
      <c r="I2444" s="567"/>
      <c r="J2444" s="15"/>
      <c r="N2444" s="14"/>
      <c r="O2444" s="14"/>
      <c r="P2444" s="14"/>
    </row>
    <row r="2445" spans="2:16" ht="15.75" customHeight="1">
      <c r="B2445" s="14"/>
      <c r="H2445" s="14"/>
      <c r="I2445" s="567"/>
      <c r="J2445" s="15"/>
      <c r="N2445" s="14"/>
      <c r="O2445" s="14"/>
      <c r="P2445" s="14"/>
    </row>
    <row r="2446" spans="2:16" ht="15.75" customHeight="1">
      <c r="B2446" s="14"/>
      <c r="H2446" s="14"/>
      <c r="I2446" s="567"/>
      <c r="J2446" s="15"/>
      <c r="N2446" s="14"/>
      <c r="O2446" s="14"/>
      <c r="P2446" s="14"/>
    </row>
    <row r="2447" spans="2:16" ht="15.75" customHeight="1">
      <c r="B2447" s="14"/>
      <c r="H2447" s="14"/>
      <c r="I2447" s="567"/>
      <c r="J2447" s="15"/>
      <c r="N2447" s="14"/>
      <c r="O2447" s="14"/>
      <c r="P2447" s="14"/>
    </row>
    <row r="2448" spans="2:16" ht="15.75" customHeight="1">
      <c r="B2448" s="14"/>
      <c r="H2448" s="14"/>
      <c r="I2448" s="567"/>
      <c r="J2448" s="15"/>
      <c r="N2448" s="14"/>
      <c r="O2448" s="14"/>
      <c r="P2448" s="14"/>
    </row>
    <row r="2449" spans="2:16" ht="15.75" customHeight="1">
      <c r="B2449" s="14"/>
      <c r="H2449" s="14"/>
      <c r="I2449" s="567"/>
      <c r="J2449" s="15"/>
      <c r="N2449" s="14"/>
      <c r="O2449" s="14"/>
      <c r="P2449" s="14"/>
    </row>
    <row r="2450" spans="2:16" ht="15.75" customHeight="1">
      <c r="B2450" s="14"/>
      <c r="H2450" s="14"/>
      <c r="I2450" s="567"/>
      <c r="J2450" s="15"/>
      <c r="N2450" s="14"/>
      <c r="O2450" s="14"/>
      <c r="P2450" s="14"/>
    </row>
    <row r="2451" spans="2:16" ht="15.75" customHeight="1">
      <c r="B2451" s="14"/>
      <c r="H2451" s="14"/>
      <c r="I2451" s="567"/>
      <c r="J2451" s="15"/>
      <c r="N2451" s="14"/>
      <c r="O2451" s="14"/>
      <c r="P2451" s="14"/>
    </row>
    <row r="2452" spans="2:16" ht="15.75" customHeight="1">
      <c r="B2452" s="14"/>
      <c r="H2452" s="14"/>
      <c r="I2452" s="567"/>
      <c r="J2452" s="15"/>
      <c r="N2452" s="14"/>
      <c r="O2452" s="14"/>
      <c r="P2452" s="14"/>
    </row>
    <row r="2453" spans="2:16" ht="15.75" customHeight="1">
      <c r="B2453" s="14"/>
      <c r="H2453" s="14"/>
      <c r="I2453" s="567"/>
      <c r="J2453" s="15"/>
      <c r="N2453" s="14"/>
      <c r="O2453" s="14"/>
      <c r="P2453" s="14"/>
    </row>
    <row r="2454" spans="2:16" ht="15.75" customHeight="1">
      <c r="B2454" s="14"/>
      <c r="H2454" s="14"/>
      <c r="I2454" s="567"/>
      <c r="J2454" s="15"/>
      <c r="N2454" s="14"/>
      <c r="O2454" s="14"/>
      <c r="P2454" s="14"/>
    </row>
    <row r="2455" spans="2:16" ht="15.75" customHeight="1">
      <c r="B2455" s="14"/>
      <c r="H2455" s="14"/>
      <c r="I2455" s="567"/>
      <c r="J2455" s="15"/>
      <c r="N2455" s="14"/>
      <c r="O2455" s="14"/>
      <c r="P2455" s="14"/>
    </row>
    <row r="2456" spans="2:16" ht="15.75" customHeight="1">
      <c r="B2456" s="14"/>
      <c r="H2456" s="14"/>
      <c r="I2456" s="567"/>
      <c r="J2456" s="15"/>
      <c r="N2456" s="14"/>
      <c r="O2456" s="14"/>
      <c r="P2456" s="14"/>
    </row>
    <row r="2457" spans="2:16" ht="15.75" customHeight="1">
      <c r="B2457" s="14"/>
      <c r="H2457" s="14"/>
      <c r="I2457" s="567"/>
      <c r="J2457" s="15"/>
      <c r="N2457" s="14"/>
      <c r="O2457" s="14"/>
      <c r="P2457" s="14"/>
    </row>
    <row r="2458" spans="2:16" ht="15.75" customHeight="1">
      <c r="B2458" s="14"/>
      <c r="H2458" s="14"/>
      <c r="I2458" s="567"/>
      <c r="J2458" s="15"/>
      <c r="N2458" s="14"/>
      <c r="O2458" s="14"/>
      <c r="P2458" s="14"/>
    </row>
    <row r="2459" spans="2:16" ht="15.75" customHeight="1">
      <c r="B2459" s="14"/>
      <c r="H2459" s="14"/>
      <c r="I2459" s="567"/>
      <c r="J2459" s="15"/>
      <c r="N2459" s="14"/>
      <c r="O2459" s="14"/>
      <c r="P2459" s="14"/>
    </row>
    <row r="2460" spans="2:16" ht="15.75" customHeight="1">
      <c r="B2460" s="14"/>
      <c r="H2460" s="14"/>
      <c r="I2460" s="567"/>
      <c r="J2460" s="15"/>
      <c r="N2460" s="14"/>
      <c r="O2460" s="14"/>
      <c r="P2460" s="14"/>
    </row>
    <row r="2461" spans="2:16" ht="15.75" customHeight="1">
      <c r="B2461" s="14"/>
      <c r="H2461" s="14"/>
      <c r="I2461" s="567"/>
      <c r="J2461" s="15"/>
      <c r="N2461" s="14"/>
      <c r="O2461" s="14"/>
      <c r="P2461" s="14"/>
    </row>
    <row r="2462" spans="2:16" ht="15.75" customHeight="1">
      <c r="B2462" s="14"/>
      <c r="H2462" s="14"/>
      <c r="I2462" s="567"/>
      <c r="J2462" s="15"/>
      <c r="N2462" s="14"/>
      <c r="O2462" s="14"/>
      <c r="P2462" s="14"/>
    </row>
    <row r="2463" spans="2:16" ht="15.75" customHeight="1">
      <c r="B2463" s="14"/>
      <c r="H2463" s="14"/>
      <c r="I2463" s="567"/>
      <c r="J2463" s="15"/>
      <c r="N2463" s="14"/>
      <c r="O2463" s="14"/>
      <c r="P2463" s="14"/>
    </row>
    <row r="2464" spans="2:16" ht="15.75" customHeight="1">
      <c r="B2464" s="14"/>
      <c r="H2464" s="14"/>
      <c r="I2464" s="567"/>
      <c r="J2464" s="15"/>
      <c r="N2464" s="14"/>
      <c r="O2464" s="14"/>
      <c r="P2464" s="14"/>
    </row>
    <row r="2465" spans="2:16" ht="15.75" customHeight="1">
      <c r="B2465" s="14"/>
      <c r="H2465" s="14"/>
      <c r="I2465" s="567"/>
      <c r="J2465" s="15"/>
      <c r="N2465" s="14"/>
      <c r="O2465" s="14"/>
      <c r="P2465" s="14"/>
    </row>
    <row r="2466" spans="2:16" ht="15.75" customHeight="1">
      <c r="B2466" s="14"/>
      <c r="H2466" s="14"/>
      <c r="I2466" s="567"/>
      <c r="J2466" s="15"/>
      <c r="N2466" s="14"/>
      <c r="O2466" s="14"/>
      <c r="P2466" s="14"/>
    </row>
    <row r="2467" spans="2:16" ht="15.75" customHeight="1">
      <c r="B2467" s="14"/>
      <c r="H2467" s="14"/>
      <c r="I2467" s="567"/>
      <c r="J2467" s="15"/>
      <c r="N2467" s="14"/>
      <c r="O2467" s="14"/>
      <c r="P2467" s="14"/>
    </row>
    <row r="2468" spans="2:16" ht="15.75" customHeight="1">
      <c r="B2468" s="14"/>
      <c r="H2468" s="14"/>
      <c r="I2468" s="567"/>
      <c r="J2468" s="15"/>
      <c r="N2468" s="14"/>
      <c r="O2468" s="14"/>
      <c r="P2468" s="14"/>
    </row>
    <row r="2469" spans="2:16" ht="15.75" customHeight="1">
      <c r="B2469" s="14"/>
      <c r="H2469" s="14"/>
      <c r="I2469" s="567"/>
      <c r="J2469" s="15"/>
      <c r="N2469" s="14"/>
      <c r="O2469" s="14"/>
      <c r="P2469" s="14"/>
    </row>
    <row r="2470" spans="2:16" ht="15.75" customHeight="1">
      <c r="B2470" s="14"/>
      <c r="H2470" s="14"/>
      <c r="I2470" s="567"/>
      <c r="J2470" s="15"/>
      <c r="N2470" s="14"/>
      <c r="O2470" s="14"/>
      <c r="P2470" s="14"/>
    </row>
    <row r="2471" spans="2:16" ht="15.75" customHeight="1">
      <c r="B2471" s="14"/>
      <c r="H2471" s="14"/>
      <c r="I2471" s="567"/>
      <c r="J2471" s="15"/>
      <c r="N2471" s="14"/>
      <c r="O2471" s="14"/>
      <c r="P2471" s="14"/>
    </row>
    <row r="2472" spans="2:16" ht="15.75" customHeight="1">
      <c r="B2472" s="14"/>
      <c r="H2472" s="14"/>
      <c r="I2472" s="567"/>
      <c r="J2472" s="15"/>
      <c r="N2472" s="14"/>
      <c r="O2472" s="14"/>
      <c r="P2472" s="14"/>
    </row>
    <row r="2473" spans="2:16" ht="15.75" customHeight="1">
      <c r="B2473" s="14"/>
      <c r="H2473" s="14"/>
      <c r="I2473" s="567"/>
      <c r="J2473" s="15"/>
      <c r="N2473" s="14"/>
      <c r="O2473" s="14"/>
      <c r="P2473" s="14"/>
    </row>
    <row r="2474" spans="2:16" ht="15.75" customHeight="1">
      <c r="B2474" s="14"/>
      <c r="H2474" s="14"/>
      <c r="I2474" s="567"/>
      <c r="J2474" s="15"/>
      <c r="N2474" s="14"/>
      <c r="O2474" s="14"/>
      <c r="P2474" s="14"/>
    </row>
    <row r="2475" spans="2:16" ht="15.75" customHeight="1">
      <c r="B2475" s="14"/>
      <c r="H2475" s="14"/>
      <c r="I2475" s="567"/>
      <c r="J2475" s="15"/>
      <c r="N2475" s="14"/>
      <c r="O2475" s="14"/>
      <c r="P2475" s="14"/>
    </row>
    <row r="2476" spans="2:16" ht="15.75" customHeight="1">
      <c r="B2476" s="14"/>
      <c r="H2476" s="14"/>
      <c r="I2476" s="567"/>
      <c r="J2476" s="15"/>
      <c r="N2476" s="14"/>
      <c r="O2476" s="14"/>
      <c r="P2476" s="14"/>
    </row>
    <row r="2477" spans="2:16" ht="15.75" customHeight="1">
      <c r="B2477" s="14"/>
      <c r="H2477" s="14"/>
      <c r="I2477" s="567"/>
      <c r="J2477" s="15"/>
      <c r="N2477" s="14"/>
      <c r="O2477" s="14"/>
      <c r="P2477" s="14"/>
    </row>
    <row r="2478" spans="2:16" ht="15.75" customHeight="1">
      <c r="B2478" s="14"/>
      <c r="H2478" s="14"/>
      <c r="I2478" s="567"/>
      <c r="J2478" s="15"/>
      <c r="N2478" s="14"/>
      <c r="O2478" s="14"/>
      <c r="P2478" s="14"/>
    </row>
    <row r="2479" spans="2:16" ht="15.75" customHeight="1">
      <c r="B2479" s="14"/>
      <c r="H2479" s="14"/>
      <c r="I2479" s="567"/>
      <c r="J2479" s="15"/>
      <c r="N2479" s="14"/>
      <c r="O2479" s="14"/>
      <c r="P2479" s="14"/>
    </row>
    <row r="2480" spans="2:16" ht="15.75" customHeight="1">
      <c r="B2480" s="14"/>
      <c r="H2480" s="14"/>
      <c r="I2480" s="567"/>
      <c r="J2480" s="15"/>
      <c r="N2480" s="14"/>
      <c r="O2480" s="14"/>
      <c r="P2480" s="14"/>
    </row>
    <row r="2481" spans="2:16" ht="15.75" customHeight="1">
      <c r="B2481" s="14"/>
      <c r="H2481" s="14"/>
      <c r="I2481" s="567"/>
      <c r="J2481" s="15"/>
      <c r="N2481" s="14"/>
      <c r="O2481" s="14"/>
      <c r="P2481" s="14"/>
    </row>
    <row r="2482" spans="2:16" ht="15.75" customHeight="1">
      <c r="B2482" s="14"/>
      <c r="H2482" s="14"/>
      <c r="I2482" s="567"/>
      <c r="J2482" s="15"/>
      <c r="N2482" s="14"/>
      <c r="O2482" s="14"/>
      <c r="P2482" s="14"/>
    </row>
    <row r="2483" spans="2:16" ht="15.75" customHeight="1">
      <c r="B2483" s="14"/>
      <c r="H2483" s="14"/>
      <c r="I2483" s="567"/>
      <c r="J2483" s="15"/>
      <c r="N2483" s="14"/>
      <c r="O2483" s="14"/>
      <c r="P2483" s="14"/>
    </row>
    <row r="2484" spans="2:16" ht="15.75" customHeight="1">
      <c r="B2484" s="14"/>
      <c r="H2484" s="14"/>
      <c r="I2484" s="567"/>
      <c r="J2484" s="15"/>
      <c r="N2484" s="14"/>
      <c r="O2484" s="14"/>
      <c r="P2484" s="14"/>
    </row>
    <row r="2485" spans="2:16" ht="15.75" customHeight="1">
      <c r="B2485" s="14"/>
      <c r="H2485" s="14"/>
      <c r="I2485" s="567"/>
      <c r="J2485" s="15"/>
      <c r="N2485" s="14"/>
      <c r="O2485" s="14"/>
      <c r="P2485" s="14"/>
    </row>
    <row r="2486" spans="2:16" ht="15.75" customHeight="1">
      <c r="B2486" s="14"/>
      <c r="H2486" s="14"/>
      <c r="I2486" s="567"/>
      <c r="J2486" s="15"/>
      <c r="N2486" s="14"/>
      <c r="O2486" s="14"/>
      <c r="P2486" s="14"/>
    </row>
    <row r="2487" spans="2:16" ht="15.75" customHeight="1">
      <c r="B2487" s="14"/>
      <c r="H2487" s="14"/>
      <c r="I2487" s="567"/>
      <c r="J2487" s="15"/>
      <c r="N2487" s="14"/>
      <c r="O2487" s="14"/>
      <c r="P2487" s="14"/>
    </row>
    <row r="2488" spans="2:16" ht="15.75" customHeight="1">
      <c r="B2488" s="14"/>
      <c r="H2488" s="14"/>
      <c r="I2488" s="567"/>
      <c r="J2488" s="15"/>
      <c r="N2488" s="14"/>
      <c r="O2488" s="14"/>
      <c r="P2488" s="14"/>
    </row>
    <row r="2489" spans="2:16" ht="15.75" customHeight="1">
      <c r="B2489" s="14"/>
      <c r="H2489" s="14"/>
      <c r="I2489" s="567"/>
      <c r="J2489" s="15"/>
      <c r="N2489" s="14"/>
      <c r="O2489" s="14"/>
      <c r="P2489" s="14"/>
    </row>
    <row r="2490" spans="2:16" ht="15.75" customHeight="1">
      <c r="B2490" s="14"/>
      <c r="H2490" s="14"/>
      <c r="I2490" s="567"/>
      <c r="J2490" s="15"/>
      <c r="N2490" s="14"/>
      <c r="O2490" s="14"/>
      <c r="P2490" s="14"/>
    </row>
    <row r="2491" spans="2:16" ht="15.75" customHeight="1">
      <c r="B2491" s="14"/>
      <c r="H2491" s="14"/>
      <c r="I2491" s="567"/>
      <c r="J2491" s="15"/>
      <c r="N2491" s="14"/>
      <c r="O2491" s="14"/>
      <c r="P2491" s="14"/>
    </row>
    <row r="2492" spans="2:16" ht="15.75" customHeight="1">
      <c r="B2492" s="14"/>
      <c r="H2492" s="14"/>
      <c r="I2492" s="567"/>
      <c r="J2492" s="15"/>
      <c r="N2492" s="14"/>
      <c r="O2492" s="14"/>
      <c r="P2492" s="14"/>
    </row>
    <row r="2493" spans="2:16" ht="15.75" customHeight="1">
      <c r="B2493" s="14"/>
      <c r="H2493" s="14"/>
      <c r="I2493" s="567"/>
      <c r="J2493" s="15"/>
      <c r="N2493" s="14"/>
      <c r="O2493" s="14"/>
      <c r="P2493" s="14"/>
    </row>
    <row r="2494" spans="2:16" ht="15.75" customHeight="1">
      <c r="B2494" s="14"/>
      <c r="H2494" s="14"/>
      <c r="I2494" s="567"/>
      <c r="J2494" s="15"/>
      <c r="N2494" s="14"/>
      <c r="O2494" s="14"/>
      <c r="P2494" s="14"/>
    </row>
    <row r="2495" spans="2:16" ht="15.75" customHeight="1">
      <c r="B2495" s="14"/>
      <c r="H2495" s="14"/>
      <c r="I2495" s="567"/>
      <c r="J2495" s="15"/>
      <c r="N2495" s="14"/>
      <c r="O2495" s="14"/>
      <c r="P2495" s="14"/>
    </row>
    <row r="2496" spans="2:16" ht="15.75" customHeight="1">
      <c r="B2496" s="14"/>
      <c r="H2496" s="14"/>
      <c r="I2496" s="567"/>
      <c r="J2496" s="15"/>
      <c r="N2496" s="14"/>
      <c r="O2496" s="14"/>
      <c r="P2496" s="14"/>
    </row>
    <row r="2497" spans="2:16" ht="15.75" customHeight="1">
      <c r="B2497" s="14"/>
      <c r="H2497" s="14"/>
      <c r="I2497" s="567"/>
      <c r="J2497" s="15"/>
      <c r="N2497" s="14"/>
      <c r="O2497" s="14"/>
      <c r="P2497" s="14"/>
    </row>
    <row r="2498" spans="2:16" ht="15.75" customHeight="1">
      <c r="B2498" s="14"/>
      <c r="H2498" s="14"/>
      <c r="I2498" s="567"/>
      <c r="J2498" s="15"/>
      <c r="N2498" s="14"/>
      <c r="O2498" s="14"/>
      <c r="P2498" s="14"/>
    </row>
    <row r="2499" spans="2:16" ht="15.75" customHeight="1">
      <c r="B2499" s="14"/>
      <c r="H2499" s="14"/>
      <c r="I2499" s="567"/>
      <c r="J2499" s="15"/>
      <c r="N2499" s="14"/>
      <c r="O2499" s="14"/>
      <c r="P2499" s="14"/>
    </row>
    <row r="2500" spans="2:16" ht="15.75" customHeight="1">
      <c r="B2500" s="14"/>
      <c r="H2500" s="14"/>
      <c r="I2500" s="567"/>
      <c r="J2500" s="15"/>
      <c r="N2500" s="14"/>
      <c r="O2500" s="14"/>
      <c r="P2500" s="14"/>
    </row>
    <row r="2501" spans="2:16" ht="15.75" customHeight="1">
      <c r="B2501" s="14"/>
      <c r="H2501" s="14"/>
      <c r="I2501" s="567"/>
      <c r="J2501" s="15"/>
      <c r="N2501" s="14"/>
      <c r="O2501" s="14"/>
      <c r="P2501" s="14"/>
    </row>
    <row r="2502" spans="2:16" ht="15.75" customHeight="1">
      <c r="B2502" s="14"/>
      <c r="H2502" s="14"/>
      <c r="I2502" s="567"/>
      <c r="J2502" s="15"/>
      <c r="N2502" s="14"/>
      <c r="O2502" s="14"/>
      <c r="P2502" s="14"/>
    </row>
    <row r="2503" spans="2:16" ht="15.75" customHeight="1">
      <c r="B2503" s="14"/>
      <c r="H2503" s="14"/>
      <c r="I2503" s="567"/>
      <c r="J2503" s="15"/>
      <c r="N2503" s="14"/>
      <c r="O2503" s="14"/>
      <c r="P2503" s="14"/>
    </row>
    <row r="2504" spans="2:16" ht="15.75" customHeight="1">
      <c r="B2504" s="14"/>
      <c r="H2504" s="14"/>
      <c r="I2504" s="567"/>
      <c r="J2504" s="15"/>
      <c r="N2504" s="14"/>
      <c r="O2504" s="14"/>
      <c r="P2504" s="14"/>
    </row>
    <row r="2505" spans="2:16" ht="15.75" customHeight="1">
      <c r="B2505" s="14"/>
      <c r="H2505" s="14"/>
      <c r="I2505" s="567"/>
      <c r="J2505" s="15"/>
      <c r="N2505" s="14"/>
      <c r="O2505" s="14"/>
      <c r="P2505" s="14"/>
    </row>
    <row r="2506" spans="2:16" ht="15.75" customHeight="1">
      <c r="B2506" s="14"/>
      <c r="H2506" s="14"/>
      <c r="I2506" s="567"/>
      <c r="J2506" s="15"/>
      <c r="N2506" s="14"/>
      <c r="O2506" s="14"/>
      <c r="P2506" s="14"/>
    </row>
    <row r="2507" spans="2:16" ht="15.75" customHeight="1">
      <c r="B2507" s="14"/>
      <c r="H2507" s="14"/>
      <c r="I2507" s="567"/>
      <c r="J2507" s="15"/>
      <c r="N2507" s="14"/>
      <c r="O2507" s="14"/>
      <c r="P2507" s="14"/>
    </row>
    <row r="2508" spans="2:16" ht="15.75" customHeight="1">
      <c r="B2508" s="14"/>
      <c r="H2508" s="14"/>
      <c r="I2508" s="567"/>
      <c r="J2508" s="15"/>
      <c r="N2508" s="14"/>
      <c r="O2508" s="14"/>
      <c r="P2508" s="14"/>
    </row>
    <row r="2509" spans="2:16" ht="15.75" customHeight="1">
      <c r="B2509" s="14"/>
      <c r="H2509" s="14"/>
      <c r="I2509" s="567"/>
      <c r="J2509" s="15"/>
      <c r="N2509" s="14"/>
      <c r="O2509" s="14"/>
      <c r="P2509" s="14"/>
    </row>
    <row r="2510" spans="2:16" ht="15.75" customHeight="1">
      <c r="B2510" s="14"/>
      <c r="H2510" s="14"/>
      <c r="I2510" s="567"/>
      <c r="J2510" s="15"/>
      <c r="N2510" s="14"/>
      <c r="O2510" s="14"/>
      <c r="P2510" s="14"/>
    </row>
    <row r="2511" spans="2:16" ht="15.75" customHeight="1">
      <c r="B2511" s="14"/>
      <c r="H2511" s="14"/>
      <c r="I2511" s="567"/>
      <c r="J2511" s="15"/>
      <c r="N2511" s="14"/>
      <c r="O2511" s="14"/>
      <c r="P2511" s="14"/>
    </row>
    <row r="2512" spans="2:16" ht="15.75" customHeight="1">
      <c r="B2512" s="14"/>
      <c r="H2512" s="14"/>
      <c r="I2512" s="567"/>
      <c r="J2512" s="15"/>
      <c r="N2512" s="14"/>
      <c r="O2512" s="14"/>
      <c r="P2512" s="14"/>
    </row>
    <row r="2513" spans="2:16" ht="15.75" customHeight="1">
      <c r="B2513" s="14"/>
      <c r="H2513" s="14"/>
      <c r="I2513" s="567"/>
      <c r="J2513" s="15"/>
      <c r="N2513" s="14"/>
      <c r="O2513" s="14"/>
      <c r="P2513" s="14"/>
    </row>
    <row r="2514" spans="2:16" ht="15.75" customHeight="1">
      <c r="B2514" s="14"/>
      <c r="H2514" s="14"/>
      <c r="I2514" s="567"/>
      <c r="J2514" s="15"/>
      <c r="N2514" s="14"/>
      <c r="O2514" s="14"/>
      <c r="P2514" s="14"/>
    </row>
    <row r="2515" spans="2:16" ht="15.75" customHeight="1">
      <c r="B2515" s="14"/>
      <c r="H2515" s="14"/>
      <c r="I2515" s="567"/>
      <c r="J2515" s="15"/>
      <c r="N2515" s="14"/>
      <c r="O2515" s="14"/>
      <c r="P2515" s="14"/>
    </row>
    <row r="2516" spans="2:16" ht="15.75" customHeight="1">
      <c r="B2516" s="14"/>
      <c r="H2516" s="14"/>
      <c r="I2516" s="567"/>
      <c r="J2516" s="15"/>
      <c r="N2516" s="14"/>
      <c r="O2516" s="14"/>
      <c r="P2516" s="14"/>
    </row>
    <row r="2517" spans="2:16" ht="15.75" customHeight="1">
      <c r="B2517" s="14"/>
      <c r="H2517" s="14"/>
      <c r="I2517" s="567"/>
      <c r="J2517" s="15"/>
      <c r="N2517" s="14"/>
      <c r="O2517" s="14"/>
      <c r="P2517" s="14"/>
    </row>
    <row r="2518" spans="2:16" ht="15.75" customHeight="1">
      <c r="B2518" s="14"/>
      <c r="H2518" s="14"/>
      <c r="I2518" s="567"/>
      <c r="J2518" s="15"/>
      <c r="N2518" s="14"/>
      <c r="O2518" s="14"/>
      <c r="P2518" s="14"/>
    </row>
    <row r="2519" spans="2:16" ht="15.75" customHeight="1">
      <c r="B2519" s="14"/>
      <c r="H2519" s="14"/>
      <c r="I2519" s="567"/>
      <c r="J2519" s="15"/>
      <c r="N2519" s="14"/>
      <c r="O2519" s="14"/>
      <c r="P2519" s="14"/>
    </row>
    <row r="2520" spans="2:16" ht="15.75" customHeight="1">
      <c r="B2520" s="14"/>
      <c r="H2520" s="14"/>
      <c r="I2520" s="567"/>
      <c r="J2520" s="15"/>
      <c r="N2520" s="14"/>
      <c r="O2520" s="14"/>
      <c r="P2520" s="14"/>
    </row>
    <row r="2521" spans="2:16" ht="15.75" customHeight="1">
      <c r="B2521" s="14"/>
      <c r="H2521" s="14"/>
      <c r="I2521" s="567"/>
      <c r="J2521" s="15"/>
      <c r="N2521" s="14"/>
      <c r="O2521" s="14"/>
      <c r="P2521" s="14"/>
    </row>
    <row r="2522" spans="2:16" ht="15.75" customHeight="1">
      <c r="B2522" s="14"/>
      <c r="H2522" s="14"/>
      <c r="I2522" s="567"/>
      <c r="J2522" s="15"/>
      <c r="N2522" s="14"/>
      <c r="O2522" s="14"/>
      <c r="P2522" s="14"/>
    </row>
    <row r="2523" spans="2:16" ht="15.75" customHeight="1">
      <c r="B2523" s="14"/>
      <c r="H2523" s="14"/>
      <c r="I2523" s="567"/>
      <c r="J2523" s="15"/>
      <c r="N2523" s="14"/>
      <c r="O2523" s="14"/>
      <c r="P2523" s="14"/>
    </row>
    <row r="2524" spans="2:16" ht="15.75" customHeight="1">
      <c r="B2524" s="14"/>
      <c r="H2524" s="14"/>
      <c r="I2524" s="567"/>
      <c r="J2524" s="15"/>
      <c r="N2524" s="14"/>
      <c r="O2524" s="14"/>
      <c r="P2524" s="14"/>
    </row>
    <row r="2525" spans="2:16" ht="15.75" customHeight="1">
      <c r="B2525" s="14"/>
      <c r="H2525" s="14"/>
      <c r="I2525" s="567"/>
      <c r="J2525" s="15"/>
      <c r="N2525" s="14"/>
      <c r="O2525" s="14"/>
      <c r="P2525" s="14"/>
    </row>
    <row r="2526" spans="2:16" ht="15.75" customHeight="1">
      <c r="B2526" s="14"/>
      <c r="H2526" s="14"/>
      <c r="I2526" s="567"/>
      <c r="J2526" s="15"/>
      <c r="N2526" s="14"/>
      <c r="O2526" s="14"/>
      <c r="P2526" s="14"/>
    </row>
    <row r="2527" spans="2:16" ht="15.75" customHeight="1">
      <c r="B2527" s="14"/>
      <c r="H2527" s="14"/>
      <c r="I2527" s="567"/>
      <c r="J2527" s="15"/>
      <c r="N2527" s="14"/>
      <c r="O2527" s="14"/>
      <c r="P2527" s="14"/>
    </row>
    <row r="2528" spans="2:16" ht="15.75" customHeight="1">
      <c r="B2528" s="14"/>
      <c r="H2528" s="14"/>
      <c r="I2528" s="567"/>
      <c r="J2528" s="15"/>
      <c r="N2528" s="14"/>
      <c r="O2528" s="14"/>
      <c r="P2528" s="14"/>
    </row>
    <row r="2529" spans="2:16" ht="15.75" customHeight="1">
      <c r="B2529" s="14"/>
      <c r="H2529" s="14"/>
      <c r="I2529" s="567"/>
      <c r="J2529" s="15"/>
      <c r="N2529" s="14"/>
      <c r="O2529" s="14"/>
      <c r="P2529" s="14"/>
    </row>
    <row r="2530" spans="2:16" ht="15.75" customHeight="1">
      <c r="B2530" s="14"/>
      <c r="H2530" s="14"/>
      <c r="I2530" s="567"/>
      <c r="J2530" s="15"/>
      <c r="N2530" s="14"/>
      <c r="O2530" s="14"/>
      <c r="P2530" s="14"/>
    </row>
    <row r="2531" spans="2:16" ht="15.75" customHeight="1">
      <c r="B2531" s="14"/>
      <c r="H2531" s="14"/>
      <c r="I2531" s="567"/>
      <c r="J2531" s="15"/>
      <c r="N2531" s="14"/>
      <c r="O2531" s="14"/>
      <c r="P2531" s="14"/>
    </row>
    <row r="2532" spans="2:16" ht="15.75" customHeight="1">
      <c r="B2532" s="14"/>
      <c r="H2532" s="14"/>
      <c r="I2532" s="567"/>
      <c r="J2532" s="15"/>
      <c r="N2532" s="14"/>
      <c r="O2532" s="14"/>
      <c r="P2532" s="14"/>
    </row>
    <row r="2533" spans="2:16" ht="15.75" customHeight="1">
      <c r="B2533" s="14"/>
      <c r="H2533" s="14"/>
      <c r="I2533" s="567"/>
      <c r="J2533" s="15"/>
      <c r="N2533" s="14"/>
      <c r="O2533" s="14"/>
      <c r="P2533" s="14"/>
    </row>
    <row r="2534" spans="2:16" ht="15.75" customHeight="1">
      <c r="B2534" s="14"/>
      <c r="H2534" s="14"/>
      <c r="I2534" s="567"/>
      <c r="J2534" s="15"/>
      <c r="N2534" s="14"/>
      <c r="O2534" s="14"/>
      <c r="P2534" s="14"/>
    </row>
    <row r="2535" spans="2:16" ht="15.75" customHeight="1">
      <c r="B2535" s="14"/>
      <c r="H2535" s="14"/>
      <c r="I2535" s="567"/>
      <c r="J2535" s="15"/>
      <c r="N2535" s="14"/>
      <c r="O2535" s="14"/>
      <c r="P2535" s="14"/>
    </row>
    <row r="2536" spans="2:16" ht="15.75" customHeight="1">
      <c r="B2536" s="14"/>
      <c r="H2536" s="14"/>
      <c r="I2536" s="567"/>
      <c r="J2536" s="15"/>
      <c r="N2536" s="14"/>
      <c r="O2536" s="14"/>
      <c r="P2536" s="14"/>
    </row>
    <row r="2537" spans="2:16" ht="15.75" customHeight="1">
      <c r="B2537" s="14"/>
      <c r="H2537" s="14"/>
      <c r="I2537" s="567"/>
      <c r="J2537" s="15"/>
      <c r="N2537" s="14"/>
      <c r="O2537" s="14"/>
      <c r="P2537" s="14"/>
    </row>
    <row r="2538" spans="2:16" ht="15.75" customHeight="1">
      <c r="B2538" s="14"/>
      <c r="H2538" s="14"/>
      <c r="I2538" s="567"/>
      <c r="J2538" s="15"/>
      <c r="N2538" s="14"/>
      <c r="O2538" s="14"/>
      <c r="P2538" s="14"/>
    </row>
    <row r="2539" spans="2:16" ht="15.75" customHeight="1">
      <c r="B2539" s="14"/>
      <c r="H2539" s="14"/>
      <c r="I2539" s="567"/>
      <c r="J2539" s="15"/>
      <c r="N2539" s="14"/>
      <c r="O2539" s="14"/>
      <c r="P2539" s="14"/>
    </row>
    <row r="2540" spans="2:16" ht="15.75" customHeight="1">
      <c r="B2540" s="14"/>
      <c r="H2540" s="14"/>
      <c r="I2540" s="567"/>
      <c r="J2540" s="15"/>
      <c r="N2540" s="14"/>
      <c r="O2540" s="14"/>
      <c r="P2540" s="14"/>
    </row>
    <row r="2541" spans="2:16" ht="15.75" customHeight="1">
      <c r="B2541" s="14"/>
      <c r="H2541" s="14"/>
      <c r="I2541" s="567"/>
      <c r="J2541" s="15"/>
      <c r="N2541" s="14"/>
      <c r="O2541" s="14"/>
      <c r="P2541" s="14"/>
    </row>
    <row r="2542" spans="2:16" ht="15.75" customHeight="1">
      <c r="B2542" s="14"/>
      <c r="H2542" s="14"/>
      <c r="I2542" s="567"/>
      <c r="J2542" s="15"/>
      <c r="N2542" s="14"/>
      <c r="O2542" s="14"/>
      <c r="P2542" s="14"/>
    </row>
    <row r="2543" spans="2:16" ht="15.75" customHeight="1">
      <c r="B2543" s="14"/>
      <c r="H2543" s="14"/>
      <c r="I2543" s="567"/>
      <c r="J2543" s="15"/>
      <c r="N2543" s="14"/>
      <c r="O2543" s="14"/>
      <c r="P2543" s="14"/>
    </row>
    <row r="2544" spans="2:16" ht="15.75" customHeight="1">
      <c r="B2544" s="14"/>
      <c r="H2544" s="14"/>
      <c r="I2544" s="567"/>
      <c r="J2544" s="15"/>
      <c r="N2544" s="14"/>
      <c r="O2544" s="14"/>
      <c r="P2544" s="14"/>
    </row>
    <row r="2545" spans="2:16" ht="15.75" customHeight="1">
      <c r="B2545" s="14"/>
      <c r="H2545" s="14"/>
      <c r="I2545" s="567"/>
      <c r="J2545" s="15"/>
      <c r="N2545" s="14"/>
      <c r="O2545" s="14"/>
      <c r="P2545" s="14"/>
    </row>
    <row r="2546" spans="2:16" ht="15.75" customHeight="1">
      <c r="B2546" s="14"/>
      <c r="H2546" s="14"/>
      <c r="I2546" s="567"/>
      <c r="J2546" s="15"/>
      <c r="N2546" s="14"/>
      <c r="O2546" s="14"/>
      <c r="P2546" s="14"/>
    </row>
    <row r="2547" spans="2:16" ht="15.75" customHeight="1">
      <c r="B2547" s="14"/>
      <c r="H2547" s="14"/>
      <c r="I2547" s="567"/>
      <c r="J2547" s="15"/>
      <c r="N2547" s="14"/>
      <c r="O2547" s="14"/>
      <c r="P2547" s="14"/>
    </row>
    <row r="2548" spans="2:16" ht="15.75" customHeight="1">
      <c r="B2548" s="14"/>
      <c r="H2548" s="14"/>
      <c r="I2548" s="567"/>
      <c r="J2548" s="15"/>
      <c r="N2548" s="14"/>
      <c r="O2548" s="14"/>
      <c r="P2548" s="14"/>
    </row>
    <row r="2549" spans="2:16" ht="15.75" customHeight="1">
      <c r="B2549" s="14"/>
      <c r="H2549" s="14"/>
      <c r="I2549" s="567"/>
      <c r="J2549" s="15"/>
      <c r="N2549" s="14"/>
      <c r="O2549" s="14"/>
      <c r="P2549" s="14"/>
    </row>
    <row r="2550" spans="2:16" ht="15.75" customHeight="1">
      <c r="B2550" s="14"/>
      <c r="H2550" s="14"/>
      <c r="I2550" s="567"/>
      <c r="J2550" s="15"/>
      <c r="N2550" s="14"/>
      <c r="O2550" s="14"/>
      <c r="P2550" s="14"/>
    </row>
    <row r="2551" spans="2:16" ht="15.75" customHeight="1">
      <c r="B2551" s="14"/>
      <c r="H2551" s="14"/>
      <c r="I2551" s="567"/>
      <c r="J2551" s="15"/>
      <c r="N2551" s="14"/>
      <c r="O2551" s="14"/>
      <c r="P2551" s="14"/>
    </row>
    <row r="2552" spans="2:16" ht="15.75" customHeight="1">
      <c r="B2552" s="14"/>
      <c r="H2552" s="14"/>
      <c r="I2552" s="567"/>
      <c r="J2552" s="15"/>
      <c r="N2552" s="14"/>
      <c r="O2552" s="14"/>
      <c r="P2552" s="14"/>
    </row>
    <row r="2553" spans="2:16" ht="15.75" customHeight="1">
      <c r="B2553" s="14"/>
      <c r="H2553" s="14"/>
      <c r="I2553" s="567"/>
      <c r="J2553" s="15"/>
      <c r="N2553" s="14"/>
      <c r="O2553" s="14"/>
      <c r="P2553" s="14"/>
    </row>
    <row r="2554" spans="2:16" ht="15.75" customHeight="1">
      <c r="B2554" s="14"/>
      <c r="H2554" s="14"/>
      <c r="I2554" s="567"/>
      <c r="J2554" s="15"/>
      <c r="N2554" s="14"/>
      <c r="O2554" s="14"/>
      <c r="P2554" s="14"/>
    </row>
    <row r="2555" spans="2:16" ht="15.75" customHeight="1">
      <c r="B2555" s="14"/>
      <c r="H2555" s="14"/>
      <c r="I2555" s="567"/>
      <c r="J2555" s="15"/>
      <c r="N2555" s="14"/>
      <c r="O2555" s="14"/>
      <c r="P2555" s="14"/>
    </row>
    <row r="2556" spans="2:16" ht="15.75" customHeight="1">
      <c r="B2556" s="14"/>
      <c r="H2556" s="14"/>
      <c r="I2556" s="567"/>
      <c r="J2556" s="15"/>
      <c r="N2556" s="14"/>
      <c r="O2556" s="14"/>
      <c r="P2556" s="14"/>
    </row>
    <row r="2557" spans="2:16" ht="15.75" customHeight="1">
      <c r="B2557" s="14"/>
      <c r="H2557" s="14"/>
      <c r="I2557" s="567"/>
      <c r="J2557" s="15"/>
      <c r="N2557" s="14"/>
      <c r="O2557" s="14"/>
      <c r="P2557" s="14"/>
    </row>
    <row r="2558" spans="2:16" ht="15.75" customHeight="1">
      <c r="B2558" s="14"/>
      <c r="H2558" s="14"/>
      <c r="I2558" s="567"/>
      <c r="J2558" s="15"/>
      <c r="N2558" s="14"/>
      <c r="O2558" s="14"/>
      <c r="P2558" s="14"/>
    </row>
    <row r="2559" spans="2:16" ht="15.75" customHeight="1">
      <c r="B2559" s="14"/>
      <c r="H2559" s="14"/>
      <c r="I2559" s="567"/>
      <c r="J2559" s="15"/>
      <c r="N2559" s="14"/>
      <c r="O2559" s="14"/>
      <c r="P2559" s="14"/>
    </row>
    <row r="2560" spans="2:16" ht="15.75" customHeight="1">
      <c r="B2560" s="14"/>
      <c r="H2560" s="14"/>
      <c r="I2560" s="567"/>
      <c r="J2560" s="15"/>
      <c r="N2560" s="14"/>
      <c r="O2560" s="14"/>
      <c r="P2560" s="14"/>
    </row>
    <row r="2561" spans="2:16" ht="15.75" customHeight="1">
      <c r="B2561" s="14"/>
      <c r="H2561" s="14"/>
      <c r="I2561" s="567"/>
      <c r="J2561" s="15"/>
      <c r="N2561" s="14"/>
      <c r="O2561" s="14"/>
      <c r="P2561" s="14"/>
    </row>
    <row r="2562" spans="2:16" ht="15.75" customHeight="1">
      <c r="B2562" s="14"/>
      <c r="H2562" s="14"/>
      <c r="I2562" s="567"/>
      <c r="J2562" s="15"/>
      <c r="N2562" s="14"/>
      <c r="O2562" s="14"/>
      <c r="P2562" s="14"/>
    </row>
    <row r="2563" spans="2:16" ht="15.75" customHeight="1">
      <c r="B2563" s="14"/>
      <c r="H2563" s="14"/>
      <c r="I2563" s="567"/>
      <c r="J2563" s="15"/>
      <c r="N2563" s="14"/>
      <c r="O2563" s="14"/>
      <c r="P2563" s="14"/>
    </row>
    <row r="2564" spans="2:16" ht="15.75" customHeight="1">
      <c r="B2564" s="14"/>
      <c r="H2564" s="14"/>
      <c r="I2564" s="567"/>
      <c r="J2564" s="15"/>
      <c r="N2564" s="14"/>
      <c r="O2564" s="14"/>
      <c r="P2564" s="14"/>
    </row>
    <row r="2565" spans="2:16" ht="15.75" customHeight="1">
      <c r="B2565" s="14"/>
      <c r="H2565" s="14"/>
      <c r="I2565" s="567"/>
      <c r="J2565" s="15"/>
      <c r="N2565" s="14"/>
      <c r="O2565" s="14"/>
      <c r="P2565" s="14"/>
    </row>
    <row r="2566" spans="2:16" ht="15.75" customHeight="1">
      <c r="B2566" s="14"/>
      <c r="H2566" s="14"/>
      <c r="I2566" s="567"/>
      <c r="J2566" s="15"/>
      <c r="N2566" s="14"/>
      <c r="O2566" s="14"/>
      <c r="P2566" s="14"/>
    </row>
    <row r="2567" spans="2:16" ht="15.75" customHeight="1">
      <c r="B2567" s="14"/>
      <c r="H2567" s="14"/>
      <c r="I2567" s="567"/>
      <c r="J2567" s="15"/>
      <c r="N2567" s="14"/>
      <c r="O2567" s="14"/>
      <c r="P2567" s="14"/>
    </row>
    <row r="2568" spans="2:16" ht="15.75" customHeight="1">
      <c r="B2568" s="14"/>
      <c r="H2568" s="14"/>
      <c r="I2568" s="567"/>
      <c r="J2568" s="15"/>
      <c r="N2568" s="14"/>
      <c r="O2568" s="14"/>
      <c r="P2568" s="14"/>
    </row>
    <row r="2569" spans="2:16" ht="15.75" customHeight="1">
      <c r="B2569" s="14"/>
      <c r="H2569" s="14"/>
      <c r="I2569" s="567"/>
      <c r="J2569" s="15"/>
      <c r="N2569" s="14"/>
      <c r="O2569" s="14"/>
      <c r="P2569" s="14"/>
    </row>
    <row r="2570" spans="2:16" ht="15.75" customHeight="1">
      <c r="B2570" s="14"/>
      <c r="H2570" s="14"/>
      <c r="I2570" s="567"/>
      <c r="J2570" s="15"/>
      <c r="N2570" s="14"/>
      <c r="O2570" s="14"/>
      <c r="P2570" s="14"/>
    </row>
    <row r="2571" spans="2:16" ht="15.75" customHeight="1">
      <c r="B2571" s="14"/>
      <c r="H2571" s="14"/>
      <c r="I2571" s="567"/>
      <c r="J2571" s="15"/>
      <c r="N2571" s="14"/>
      <c r="O2571" s="14"/>
      <c r="P2571" s="14"/>
    </row>
    <row r="2572" spans="2:16" ht="15.75" customHeight="1">
      <c r="B2572" s="14"/>
      <c r="H2572" s="14"/>
      <c r="I2572" s="567"/>
      <c r="J2572" s="15"/>
      <c r="N2572" s="14"/>
      <c r="O2572" s="14"/>
      <c r="P2572" s="14"/>
    </row>
    <row r="2573" spans="2:16" ht="15.75" customHeight="1">
      <c r="B2573" s="14"/>
      <c r="H2573" s="14"/>
      <c r="I2573" s="567"/>
      <c r="J2573" s="15"/>
      <c r="N2573" s="14"/>
      <c r="O2573" s="14"/>
      <c r="P2573" s="14"/>
    </row>
    <row r="2574" spans="2:16" ht="15.75" customHeight="1">
      <c r="B2574" s="14"/>
      <c r="H2574" s="14"/>
      <c r="I2574" s="567"/>
      <c r="J2574" s="15"/>
      <c r="N2574" s="14"/>
      <c r="O2574" s="14"/>
      <c r="P2574" s="14"/>
    </row>
    <row r="2575" spans="2:16" ht="15.75" customHeight="1">
      <c r="B2575" s="14"/>
      <c r="H2575" s="14"/>
      <c r="I2575" s="567"/>
      <c r="J2575" s="15"/>
      <c r="N2575" s="14"/>
      <c r="O2575" s="14"/>
      <c r="P2575" s="14"/>
    </row>
    <row r="2576" spans="2:16" ht="15.75" customHeight="1">
      <c r="B2576" s="14"/>
      <c r="H2576" s="14"/>
      <c r="I2576" s="567"/>
      <c r="J2576" s="15"/>
      <c r="N2576" s="14"/>
      <c r="O2576" s="14"/>
      <c r="P2576" s="14"/>
    </row>
    <row r="2577" spans="2:16" ht="15.75" customHeight="1">
      <c r="B2577" s="14"/>
      <c r="H2577" s="14"/>
      <c r="I2577" s="567"/>
      <c r="J2577" s="15"/>
      <c r="N2577" s="14"/>
      <c r="O2577" s="14"/>
      <c r="P2577" s="14"/>
    </row>
    <row r="2578" spans="2:16" ht="15.75" customHeight="1">
      <c r="B2578" s="14"/>
      <c r="H2578" s="14"/>
      <c r="I2578" s="567"/>
      <c r="J2578" s="15"/>
      <c r="N2578" s="14"/>
      <c r="O2578" s="14"/>
      <c r="P2578" s="14"/>
    </row>
    <row r="2579" spans="2:16" ht="15.75" customHeight="1">
      <c r="B2579" s="14"/>
      <c r="H2579" s="14"/>
      <c r="I2579" s="567"/>
      <c r="J2579" s="15"/>
      <c r="N2579" s="14"/>
      <c r="O2579" s="14"/>
      <c r="P2579" s="14"/>
    </row>
    <row r="2580" spans="2:16" ht="15.75" customHeight="1">
      <c r="B2580" s="14"/>
      <c r="H2580" s="14"/>
      <c r="I2580" s="567"/>
      <c r="J2580" s="15"/>
      <c r="N2580" s="14"/>
      <c r="O2580" s="14"/>
      <c r="P2580" s="14"/>
    </row>
    <row r="2581" spans="2:16" ht="15.75" customHeight="1">
      <c r="B2581" s="14"/>
      <c r="H2581" s="14"/>
      <c r="I2581" s="567"/>
      <c r="J2581" s="15"/>
      <c r="N2581" s="14"/>
      <c r="O2581" s="14"/>
      <c r="P2581" s="14"/>
    </row>
    <row r="2582" spans="2:16" ht="15.75" customHeight="1">
      <c r="B2582" s="14"/>
      <c r="H2582" s="14"/>
      <c r="I2582" s="567"/>
      <c r="J2582" s="15"/>
      <c r="N2582" s="14"/>
      <c r="O2582" s="14"/>
      <c r="P2582" s="14"/>
    </row>
    <row r="2583" spans="2:16" ht="15.75" customHeight="1">
      <c r="B2583" s="14"/>
      <c r="H2583" s="14"/>
      <c r="I2583" s="567"/>
      <c r="J2583" s="15"/>
      <c r="N2583" s="14"/>
      <c r="O2583" s="14"/>
      <c r="P2583" s="14"/>
    </row>
    <row r="2584" spans="2:16" ht="15.75" customHeight="1">
      <c r="B2584" s="14"/>
      <c r="H2584" s="14"/>
      <c r="I2584" s="567"/>
      <c r="J2584" s="15"/>
      <c r="N2584" s="14"/>
      <c r="O2584" s="14"/>
      <c r="P2584" s="14"/>
    </row>
    <row r="2585" spans="2:16" ht="15.75" customHeight="1">
      <c r="B2585" s="14"/>
      <c r="H2585" s="14"/>
      <c r="I2585" s="567"/>
      <c r="J2585" s="15"/>
      <c r="N2585" s="14"/>
      <c r="O2585" s="14"/>
      <c r="P2585" s="14"/>
    </row>
    <row r="2586" spans="2:16" ht="15.75" customHeight="1">
      <c r="B2586" s="14"/>
      <c r="H2586" s="14"/>
      <c r="I2586" s="567"/>
      <c r="J2586" s="15"/>
      <c r="N2586" s="14"/>
      <c r="O2586" s="14"/>
      <c r="P2586" s="14"/>
    </row>
    <row r="2587" spans="2:16" ht="15.75" customHeight="1">
      <c r="B2587" s="14"/>
      <c r="H2587" s="14"/>
      <c r="I2587" s="567"/>
      <c r="J2587" s="15"/>
      <c r="N2587" s="14"/>
      <c r="O2587" s="14"/>
      <c r="P2587" s="14"/>
    </row>
    <row r="2588" spans="2:16" ht="15.75" customHeight="1">
      <c r="B2588" s="14"/>
      <c r="H2588" s="14"/>
      <c r="I2588" s="567"/>
      <c r="J2588" s="15"/>
      <c r="N2588" s="14"/>
      <c r="O2588" s="14"/>
      <c r="P2588" s="14"/>
    </row>
    <row r="2589" spans="2:16" ht="15.75" customHeight="1">
      <c r="B2589" s="14"/>
      <c r="H2589" s="14"/>
      <c r="I2589" s="567"/>
      <c r="J2589" s="15"/>
      <c r="N2589" s="14"/>
      <c r="O2589" s="14"/>
      <c r="P2589" s="14"/>
    </row>
    <row r="2590" spans="2:16" ht="15.75" customHeight="1">
      <c r="B2590" s="14"/>
      <c r="H2590" s="14"/>
      <c r="I2590" s="567"/>
      <c r="J2590" s="15"/>
      <c r="N2590" s="14"/>
      <c r="O2590" s="14"/>
      <c r="P2590" s="14"/>
    </row>
    <row r="2591" spans="2:16" ht="15.75" customHeight="1">
      <c r="B2591" s="14"/>
      <c r="H2591" s="14"/>
      <c r="I2591" s="567"/>
      <c r="J2591" s="15"/>
      <c r="N2591" s="14"/>
      <c r="O2591" s="14"/>
      <c r="P2591" s="14"/>
    </row>
    <row r="2592" spans="2:16" ht="15.75" customHeight="1">
      <c r="B2592" s="14"/>
      <c r="H2592" s="14"/>
      <c r="I2592" s="567"/>
      <c r="J2592" s="15"/>
      <c r="N2592" s="14"/>
      <c r="O2592" s="14"/>
      <c r="P2592" s="14"/>
    </row>
    <row r="2593" spans="2:16" ht="15.75" customHeight="1">
      <c r="B2593" s="14"/>
      <c r="H2593" s="14"/>
      <c r="I2593" s="567"/>
      <c r="J2593" s="15"/>
      <c r="N2593" s="14"/>
      <c r="O2593" s="14"/>
      <c r="P2593" s="14"/>
    </row>
    <row r="2594" spans="2:16" ht="15.75" customHeight="1">
      <c r="B2594" s="14"/>
      <c r="H2594" s="14"/>
      <c r="I2594" s="567"/>
      <c r="J2594" s="15"/>
      <c r="N2594" s="14"/>
      <c r="O2594" s="14"/>
      <c r="P2594" s="14"/>
    </row>
    <row r="2595" spans="2:16" ht="15.75" customHeight="1">
      <c r="B2595" s="14"/>
      <c r="H2595" s="14"/>
      <c r="I2595" s="567"/>
      <c r="J2595" s="15"/>
      <c r="N2595" s="14"/>
      <c r="O2595" s="14"/>
      <c r="P2595" s="14"/>
    </row>
    <row r="2596" spans="2:16" ht="15.75" customHeight="1">
      <c r="B2596" s="14"/>
      <c r="H2596" s="14"/>
      <c r="I2596" s="567"/>
      <c r="J2596" s="15"/>
      <c r="N2596" s="14"/>
      <c r="O2596" s="14"/>
      <c r="P2596" s="14"/>
    </row>
    <row r="2597" spans="2:16" ht="15.75" customHeight="1">
      <c r="B2597" s="14"/>
      <c r="H2597" s="14"/>
      <c r="I2597" s="567"/>
      <c r="J2597" s="15"/>
      <c r="N2597" s="14"/>
      <c r="O2597" s="14"/>
      <c r="P2597" s="14"/>
    </row>
    <row r="2598" spans="2:16" ht="15.75" customHeight="1">
      <c r="B2598" s="14"/>
      <c r="H2598" s="14"/>
      <c r="I2598" s="567"/>
      <c r="J2598" s="15"/>
      <c r="N2598" s="14"/>
      <c r="O2598" s="14"/>
      <c r="P2598" s="14"/>
    </row>
    <row r="2599" spans="2:16" ht="15.75" customHeight="1">
      <c r="B2599" s="14"/>
      <c r="H2599" s="14"/>
      <c r="I2599" s="567"/>
      <c r="J2599" s="15"/>
      <c r="N2599" s="14"/>
      <c r="O2599" s="14"/>
      <c r="P2599" s="14"/>
    </row>
    <row r="2600" spans="2:16" ht="15.75" customHeight="1">
      <c r="B2600" s="14"/>
      <c r="H2600" s="14"/>
      <c r="I2600" s="567"/>
      <c r="J2600" s="15"/>
      <c r="N2600" s="14"/>
      <c r="O2600" s="14"/>
      <c r="P2600" s="14"/>
    </row>
    <row r="2601" spans="2:16" ht="15.75" customHeight="1">
      <c r="B2601" s="14"/>
      <c r="H2601" s="14"/>
      <c r="I2601" s="567"/>
      <c r="J2601" s="15"/>
      <c r="N2601" s="14"/>
      <c r="O2601" s="14"/>
      <c r="P2601" s="14"/>
    </row>
    <row r="2602" spans="2:16" ht="15.75" customHeight="1">
      <c r="B2602" s="14"/>
      <c r="H2602" s="14"/>
      <c r="I2602" s="567"/>
      <c r="J2602" s="15"/>
      <c r="N2602" s="14"/>
      <c r="O2602" s="14"/>
      <c r="P2602" s="14"/>
    </row>
    <row r="2603" spans="2:16" ht="15.75" customHeight="1">
      <c r="B2603" s="14"/>
      <c r="H2603" s="14"/>
      <c r="I2603" s="567"/>
      <c r="J2603" s="15"/>
      <c r="N2603" s="14"/>
      <c r="O2603" s="14"/>
      <c r="P2603" s="14"/>
    </row>
    <row r="2604" spans="2:16" ht="15.75" customHeight="1">
      <c r="B2604" s="14"/>
      <c r="H2604" s="14"/>
      <c r="I2604" s="567"/>
      <c r="J2604" s="15"/>
      <c r="N2604" s="14"/>
      <c r="O2604" s="14"/>
      <c r="P2604" s="14"/>
    </row>
    <row r="2605" spans="2:16" ht="15.75" customHeight="1">
      <c r="B2605" s="14"/>
      <c r="H2605" s="14"/>
      <c r="I2605" s="567"/>
      <c r="J2605" s="15"/>
      <c r="N2605" s="14"/>
      <c r="O2605" s="14"/>
      <c r="P2605" s="14"/>
    </row>
    <row r="2606" spans="2:16" ht="15.75" customHeight="1">
      <c r="B2606" s="14"/>
      <c r="H2606" s="14"/>
      <c r="I2606" s="567"/>
      <c r="J2606" s="15"/>
      <c r="N2606" s="14"/>
      <c r="O2606" s="14"/>
      <c r="P2606" s="14"/>
    </row>
    <row r="2607" spans="2:16" ht="15.75" customHeight="1">
      <c r="B2607" s="14"/>
      <c r="H2607" s="14"/>
      <c r="I2607" s="567"/>
      <c r="J2607" s="15"/>
      <c r="N2607" s="14"/>
      <c r="O2607" s="14"/>
      <c r="P2607" s="14"/>
    </row>
    <row r="2608" spans="2:16" ht="15.75" customHeight="1">
      <c r="B2608" s="14"/>
      <c r="H2608" s="14"/>
      <c r="I2608" s="567"/>
      <c r="J2608" s="15"/>
      <c r="N2608" s="14"/>
      <c r="O2608" s="14"/>
      <c r="P2608" s="14"/>
    </row>
    <row r="2609" spans="2:16" ht="15.75" customHeight="1">
      <c r="B2609" s="14"/>
      <c r="H2609" s="14"/>
      <c r="I2609" s="567"/>
      <c r="J2609" s="15"/>
      <c r="N2609" s="14"/>
      <c r="O2609" s="14"/>
      <c r="P2609" s="14"/>
    </row>
    <row r="2610" spans="2:16" ht="15.75" customHeight="1">
      <c r="B2610" s="14"/>
      <c r="H2610" s="14"/>
      <c r="I2610" s="567"/>
      <c r="J2610" s="15"/>
      <c r="N2610" s="14"/>
      <c r="O2610" s="14"/>
      <c r="P2610" s="14"/>
    </row>
    <row r="2611" spans="2:16" ht="15.75" customHeight="1">
      <c r="B2611" s="14"/>
      <c r="H2611" s="14"/>
      <c r="I2611" s="567"/>
      <c r="J2611" s="15"/>
      <c r="N2611" s="14"/>
      <c r="O2611" s="14"/>
      <c r="P2611" s="14"/>
    </row>
    <row r="2612" spans="2:16" ht="15.75" customHeight="1">
      <c r="B2612" s="14"/>
      <c r="H2612" s="14"/>
      <c r="I2612" s="567"/>
      <c r="J2612" s="15"/>
      <c r="N2612" s="14"/>
      <c r="O2612" s="14"/>
      <c r="P2612" s="14"/>
    </row>
    <row r="2613" spans="2:16" ht="15.75" customHeight="1">
      <c r="B2613" s="14"/>
      <c r="H2613" s="14"/>
      <c r="I2613" s="567"/>
      <c r="J2613" s="15"/>
      <c r="N2613" s="14"/>
      <c r="O2613" s="14"/>
      <c r="P2613" s="14"/>
    </row>
    <row r="2614" spans="2:16" ht="15.75" customHeight="1">
      <c r="B2614" s="14"/>
      <c r="H2614" s="14"/>
      <c r="I2614" s="567"/>
      <c r="J2614" s="15"/>
      <c r="N2614" s="14"/>
      <c r="O2614" s="14"/>
      <c r="P2614" s="14"/>
    </row>
    <row r="2615" spans="2:16" ht="15.75" customHeight="1">
      <c r="B2615" s="14"/>
      <c r="H2615" s="14"/>
      <c r="I2615" s="567"/>
      <c r="J2615" s="15"/>
      <c r="N2615" s="14"/>
      <c r="O2615" s="14"/>
      <c r="P2615" s="14"/>
    </row>
    <row r="2616" spans="2:16" ht="15.75" customHeight="1">
      <c r="B2616" s="14"/>
      <c r="H2616" s="14"/>
      <c r="I2616" s="567"/>
      <c r="J2616" s="15"/>
      <c r="N2616" s="14"/>
      <c r="O2616" s="14"/>
      <c r="P2616" s="14"/>
    </row>
    <row r="2617" spans="2:16" ht="15.75" customHeight="1">
      <c r="B2617" s="14"/>
      <c r="H2617" s="14"/>
      <c r="I2617" s="567"/>
      <c r="J2617" s="15"/>
      <c r="N2617" s="14"/>
      <c r="O2617" s="14"/>
      <c r="P2617" s="14"/>
    </row>
    <row r="2618" spans="2:16" ht="15.75" customHeight="1">
      <c r="B2618" s="14"/>
      <c r="H2618" s="14"/>
      <c r="I2618" s="567"/>
      <c r="J2618" s="15"/>
      <c r="N2618" s="14"/>
      <c r="O2618" s="14"/>
      <c r="P2618" s="14"/>
    </row>
    <row r="2619" spans="2:16" ht="15.75" customHeight="1">
      <c r="B2619" s="14"/>
      <c r="H2619" s="14"/>
      <c r="I2619" s="567"/>
      <c r="J2619" s="15"/>
      <c r="N2619" s="14"/>
      <c r="O2619" s="14"/>
      <c r="P2619" s="14"/>
    </row>
    <row r="2620" spans="2:16" ht="15.75" customHeight="1">
      <c r="B2620" s="14"/>
      <c r="H2620" s="14"/>
      <c r="I2620" s="567"/>
      <c r="J2620" s="15"/>
      <c r="N2620" s="14"/>
      <c r="O2620" s="14"/>
      <c r="P2620" s="14"/>
    </row>
    <row r="2621" spans="2:16" ht="15.75" customHeight="1">
      <c r="B2621" s="14"/>
      <c r="H2621" s="14"/>
      <c r="I2621" s="567"/>
      <c r="J2621" s="15"/>
      <c r="N2621" s="14"/>
      <c r="O2621" s="14"/>
      <c r="P2621" s="14"/>
    </row>
    <row r="2622" spans="2:16" ht="15.75" customHeight="1">
      <c r="B2622" s="14"/>
      <c r="H2622" s="14"/>
      <c r="I2622" s="567"/>
      <c r="J2622" s="15"/>
      <c r="N2622" s="14"/>
      <c r="O2622" s="14"/>
      <c r="P2622" s="14"/>
    </row>
    <row r="2623" spans="2:16" ht="15.75" customHeight="1">
      <c r="B2623" s="14"/>
      <c r="H2623" s="14"/>
      <c r="I2623" s="567"/>
      <c r="J2623" s="15"/>
      <c r="N2623" s="14"/>
      <c r="O2623" s="14"/>
      <c r="P2623" s="14"/>
    </row>
    <row r="2624" spans="2:16" ht="15.75" customHeight="1">
      <c r="B2624" s="14"/>
      <c r="H2624" s="14"/>
      <c r="I2624" s="567"/>
      <c r="J2624" s="15"/>
      <c r="N2624" s="14"/>
      <c r="O2624" s="14"/>
      <c r="P2624" s="14"/>
    </row>
    <row r="2625" spans="2:16" ht="15.75" customHeight="1">
      <c r="B2625" s="14"/>
      <c r="H2625" s="14"/>
      <c r="I2625" s="567"/>
      <c r="J2625" s="15"/>
      <c r="N2625" s="14"/>
      <c r="O2625" s="14"/>
      <c r="P2625" s="14"/>
    </row>
    <row r="2626" spans="2:16" ht="15.75" customHeight="1">
      <c r="B2626" s="14"/>
      <c r="H2626" s="14"/>
      <c r="I2626" s="567"/>
      <c r="J2626" s="15"/>
      <c r="N2626" s="14"/>
      <c r="O2626" s="14"/>
      <c r="P2626" s="14"/>
    </row>
    <row r="2627" spans="2:16" ht="15.75" customHeight="1">
      <c r="B2627" s="14"/>
      <c r="H2627" s="14"/>
      <c r="I2627" s="567"/>
      <c r="J2627" s="15"/>
      <c r="N2627" s="14"/>
      <c r="O2627" s="14"/>
      <c r="P2627" s="14"/>
    </row>
    <row r="2628" spans="2:16" ht="15.75" customHeight="1">
      <c r="B2628" s="14"/>
      <c r="H2628" s="14"/>
      <c r="I2628" s="567"/>
      <c r="J2628" s="15"/>
      <c r="N2628" s="14"/>
      <c r="O2628" s="14"/>
      <c r="P2628" s="14"/>
    </row>
    <row r="2629" spans="2:16" ht="15.75" customHeight="1">
      <c r="B2629" s="14"/>
      <c r="H2629" s="14"/>
      <c r="I2629" s="567"/>
      <c r="J2629" s="15"/>
      <c r="N2629" s="14"/>
      <c r="O2629" s="14"/>
      <c r="P2629" s="14"/>
    </row>
    <row r="2630" spans="2:16" ht="15.75" customHeight="1">
      <c r="B2630" s="14"/>
      <c r="H2630" s="14"/>
      <c r="I2630" s="567"/>
      <c r="J2630" s="15"/>
      <c r="N2630" s="14"/>
      <c r="O2630" s="14"/>
      <c r="P2630" s="14"/>
    </row>
    <row r="2631" spans="2:16" ht="15.75" customHeight="1">
      <c r="B2631" s="14"/>
      <c r="H2631" s="14"/>
      <c r="I2631" s="567"/>
      <c r="J2631" s="15"/>
      <c r="N2631" s="14"/>
      <c r="O2631" s="14"/>
      <c r="P2631" s="14"/>
    </row>
    <row r="2632" spans="2:16" ht="15.75" customHeight="1">
      <c r="B2632" s="14"/>
      <c r="H2632" s="14"/>
      <c r="I2632" s="567"/>
      <c r="J2632" s="15"/>
      <c r="N2632" s="14"/>
      <c r="O2632" s="14"/>
      <c r="P2632" s="14"/>
    </row>
    <row r="2633" spans="2:16" ht="15.75" customHeight="1">
      <c r="B2633" s="14"/>
      <c r="H2633" s="14"/>
      <c r="I2633" s="567"/>
      <c r="J2633" s="15"/>
      <c r="N2633" s="14"/>
      <c r="O2633" s="14"/>
      <c r="P2633" s="14"/>
    </row>
    <row r="2634" spans="2:16" ht="15.75" customHeight="1">
      <c r="B2634" s="14"/>
      <c r="H2634" s="14"/>
      <c r="I2634" s="567"/>
      <c r="J2634" s="15"/>
      <c r="N2634" s="14"/>
      <c r="O2634" s="14"/>
      <c r="P2634" s="14"/>
    </row>
    <row r="2635" spans="2:16" ht="15.75" customHeight="1">
      <c r="B2635" s="14"/>
      <c r="H2635" s="14"/>
      <c r="I2635" s="567"/>
      <c r="J2635" s="15"/>
      <c r="N2635" s="14"/>
      <c r="O2635" s="14"/>
      <c r="P2635" s="14"/>
    </row>
    <row r="2636" spans="2:16" ht="15.75" customHeight="1">
      <c r="B2636" s="14"/>
      <c r="H2636" s="14"/>
      <c r="I2636" s="567"/>
      <c r="J2636" s="15"/>
      <c r="N2636" s="14"/>
      <c r="O2636" s="14"/>
      <c r="P2636" s="14"/>
    </row>
    <row r="2637" spans="2:16" ht="15.75" customHeight="1">
      <c r="B2637" s="14"/>
      <c r="H2637" s="14"/>
      <c r="I2637" s="567"/>
      <c r="J2637" s="15"/>
      <c r="N2637" s="14"/>
      <c r="O2637" s="14"/>
      <c r="P2637" s="14"/>
    </row>
    <row r="2638" spans="2:16" ht="15.75" customHeight="1">
      <c r="B2638" s="14"/>
      <c r="H2638" s="14"/>
      <c r="I2638" s="567"/>
      <c r="J2638" s="15"/>
      <c r="N2638" s="14"/>
      <c r="O2638" s="14"/>
      <c r="P2638" s="14"/>
    </row>
    <row r="2639" spans="2:16" ht="15.75" customHeight="1">
      <c r="B2639" s="14"/>
      <c r="H2639" s="14"/>
      <c r="I2639" s="567"/>
      <c r="J2639" s="15"/>
      <c r="N2639" s="14"/>
      <c r="O2639" s="14"/>
      <c r="P2639" s="14"/>
    </row>
    <row r="2640" spans="2:16" ht="15.75" customHeight="1">
      <c r="B2640" s="14"/>
      <c r="H2640" s="14"/>
      <c r="I2640" s="567"/>
      <c r="J2640" s="15"/>
      <c r="N2640" s="14"/>
      <c r="O2640" s="14"/>
      <c r="P2640" s="14"/>
    </row>
    <row r="2641" spans="2:16" ht="15.75" customHeight="1">
      <c r="B2641" s="14"/>
      <c r="H2641" s="14"/>
      <c r="I2641" s="567"/>
      <c r="J2641" s="15"/>
      <c r="N2641" s="14"/>
      <c r="O2641" s="14"/>
      <c r="P2641" s="14"/>
    </row>
    <row r="2642" spans="2:16" ht="15.75" customHeight="1">
      <c r="B2642" s="14"/>
      <c r="H2642" s="14"/>
      <c r="I2642" s="567"/>
      <c r="J2642" s="15"/>
      <c r="N2642" s="14"/>
      <c r="O2642" s="14"/>
      <c r="P2642" s="14"/>
    </row>
    <row r="2643" spans="2:16" ht="15.75" customHeight="1">
      <c r="B2643" s="14"/>
      <c r="H2643" s="14"/>
      <c r="I2643" s="567"/>
      <c r="J2643" s="15"/>
      <c r="N2643" s="14"/>
      <c r="O2643" s="14"/>
      <c r="P2643" s="14"/>
    </row>
    <row r="2644" spans="2:16" ht="15.75" customHeight="1">
      <c r="B2644" s="14"/>
      <c r="H2644" s="14"/>
      <c r="I2644" s="567"/>
      <c r="J2644" s="15"/>
      <c r="N2644" s="14"/>
      <c r="O2644" s="14"/>
      <c r="P2644" s="14"/>
    </row>
    <row r="2645" spans="2:16" ht="15.75" customHeight="1">
      <c r="B2645" s="14"/>
      <c r="H2645" s="14"/>
      <c r="I2645" s="567"/>
      <c r="J2645" s="15"/>
      <c r="N2645" s="14"/>
      <c r="O2645" s="14"/>
      <c r="P2645" s="14"/>
    </row>
    <row r="2646" spans="2:16" ht="15.75" customHeight="1">
      <c r="B2646" s="14"/>
      <c r="H2646" s="14"/>
      <c r="I2646" s="567"/>
      <c r="J2646" s="15"/>
      <c r="N2646" s="14"/>
      <c r="O2646" s="14"/>
      <c r="P2646" s="14"/>
    </row>
    <row r="2647" spans="2:16" ht="15.75" customHeight="1">
      <c r="B2647" s="14"/>
      <c r="H2647" s="14"/>
      <c r="I2647" s="567"/>
      <c r="J2647" s="15"/>
      <c r="N2647" s="14"/>
      <c r="O2647" s="14"/>
      <c r="P2647" s="14"/>
    </row>
    <row r="2648" spans="2:16" ht="15.75" customHeight="1">
      <c r="B2648" s="14"/>
      <c r="H2648" s="14"/>
      <c r="I2648" s="567"/>
      <c r="J2648" s="15"/>
      <c r="N2648" s="14"/>
      <c r="O2648" s="14"/>
      <c r="P2648" s="14"/>
    </row>
    <row r="2649" spans="2:16" ht="15.75" customHeight="1">
      <c r="B2649" s="14"/>
      <c r="H2649" s="14"/>
      <c r="I2649" s="567"/>
      <c r="J2649" s="15"/>
      <c r="N2649" s="14"/>
      <c r="O2649" s="14"/>
      <c r="P2649" s="14"/>
    </row>
    <row r="2650" spans="2:16" ht="15.75" customHeight="1">
      <c r="B2650" s="14"/>
      <c r="H2650" s="14"/>
      <c r="I2650" s="567"/>
      <c r="J2650" s="15"/>
      <c r="N2650" s="14"/>
      <c r="O2650" s="14"/>
      <c r="P2650" s="14"/>
    </row>
    <row r="2651" spans="2:16" ht="15.75" customHeight="1">
      <c r="B2651" s="14"/>
      <c r="H2651" s="14"/>
      <c r="I2651" s="567"/>
      <c r="J2651" s="15"/>
      <c r="N2651" s="14"/>
      <c r="O2651" s="14"/>
      <c r="P2651" s="14"/>
    </row>
    <row r="2652" spans="2:16" ht="15.75" customHeight="1">
      <c r="B2652" s="14"/>
      <c r="H2652" s="14"/>
      <c r="I2652" s="567"/>
      <c r="J2652" s="15"/>
      <c r="N2652" s="14"/>
      <c r="O2652" s="14"/>
      <c r="P2652" s="14"/>
    </row>
    <row r="2653" spans="2:16" ht="15.75" customHeight="1">
      <c r="B2653" s="14"/>
      <c r="H2653" s="14"/>
      <c r="I2653" s="567"/>
      <c r="J2653" s="15"/>
      <c r="N2653" s="14"/>
      <c r="O2653" s="14"/>
      <c r="P2653" s="14"/>
    </row>
    <row r="2654" spans="2:16" ht="15.75" customHeight="1">
      <c r="B2654" s="14"/>
      <c r="H2654" s="14"/>
      <c r="I2654" s="567"/>
      <c r="J2654" s="15"/>
      <c r="N2654" s="14"/>
      <c r="O2654" s="14"/>
      <c r="P2654" s="14"/>
    </row>
    <row r="2655" spans="2:16" ht="15.75" customHeight="1">
      <c r="B2655" s="14"/>
      <c r="H2655" s="14"/>
      <c r="I2655" s="567"/>
      <c r="J2655" s="15"/>
      <c r="N2655" s="14"/>
      <c r="O2655" s="14"/>
      <c r="P2655" s="14"/>
    </row>
    <row r="2656" spans="2:16" ht="15.75" customHeight="1">
      <c r="B2656" s="14"/>
      <c r="H2656" s="14"/>
      <c r="I2656" s="567"/>
      <c r="J2656" s="15"/>
      <c r="N2656" s="14"/>
      <c r="O2656" s="14"/>
      <c r="P2656" s="14"/>
    </row>
    <row r="2657" spans="2:16" ht="15.75" customHeight="1">
      <c r="B2657" s="14"/>
      <c r="H2657" s="14"/>
      <c r="I2657" s="567"/>
      <c r="J2657" s="15"/>
      <c r="N2657" s="14"/>
      <c r="O2657" s="14"/>
      <c r="P2657" s="14"/>
    </row>
    <row r="2658" spans="2:16" ht="15.75" customHeight="1">
      <c r="B2658" s="14"/>
      <c r="H2658" s="14"/>
      <c r="I2658" s="567"/>
      <c r="J2658" s="15"/>
      <c r="N2658" s="14"/>
      <c r="O2658" s="14"/>
      <c r="P2658" s="14"/>
    </row>
    <row r="2659" spans="2:16" ht="15.75" customHeight="1">
      <c r="B2659" s="14"/>
      <c r="H2659" s="14"/>
      <c r="I2659" s="567"/>
      <c r="J2659" s="15"/>
      <c r="N2659" s="14"/>
      <c r="O2659" s="14"/>
      <c r="P2659" s="14"/>
    </row>
    <row r="2660" spans="2:16" ht="15.75" customHeight="1">
      <c r="B2660" s="14"/>
      <c r="H2660" s="14"/>
      <c r="I2660" s="567"/>
      <c r="J2660" s="15"/>
      <c r="N2660" s="14"/>
      <c r="O2660" s="14"/>
      <c r="P2660" s="14"/>
    </row>
    <row r="2661" spans="2:16" ht="15.75" customHeight="1">
      <c r="B2661" s="14"/>
      <c r="H2661" s="14"/>
      <c r="I2661" s="567"/>
      <c r="J2661" s="15"/>
      <c r="N2661" s="14"/>
      <c r="O2661" s="14"/>
      <c r="P2661" s="14"/>
    </row>
    <row r="2662" spans="2:16" ht="15.75" customHeight="1">
      <c r="B2662" s="14"/>
      <c r="H2662" s="14"/>
      <c r="I2662" s="567"/>
      <c r="J2662" s="15"/>
      <c r="N2662" s="14"/>
      <c r="O2662" s="14"/>
      <c r="P2662" s="14"/>
    </row>
    <row r="2663" spans="2:16" ht="15.75" customHeight="1">
      <c r="B2663" s="14"/>
      <c r="H2663" s="14"/>
      <c r="I2663" s="567"/>
      <c r="J2663" s="15"/>
      <c r="N2663" s="14"/>
      <c r="O2663" s="14"/>
      <c r="P2663" s="14"/>
    </row>
    <row r="2664" spans="2:16" ht="15.75" customHeight="1">
      <c r="B2664" s="14"/>
      <c r="H2664" s="14"/>
      <c r="I2664" s="567"/>
      <c r="J2664" s="15"/>
      <c r="N2664" s="14"/>
      <c r="O2664" s="14"/>
      <c r="P2664" s="14"/>
    </row>
    <row r="2665" spans="2:16" ht="15.75" customHeight="1">
      <c r="B2665" s="14"/>
      <c r="H2665" s="14"/>
      <c r="I2665" s="567"/>
      <c r="J2665" s="15"/>
      <c r="N2665" s="14"/>
      <c r="O2665" s="14"/>
      <c r="P2665" s="14"/>
    </row>
    <row r="2666" spans="2:16" ht="15.75" customHeight="1">
      <c r="B2666" s="14"/>
      <c r="H2666" s="14"/>
      <c r="I2666" s="567"/>
      <c r="J2666" s="15"/>
      <c r="N2666" s="14"/>
      <c r="O2666" s="14"/>
      <c r="P2666" s="14"/>
    </row>
    <row r="2667" spans="2:16" ht="15.75" customHeight="1">
      <c r="B2667" s="14"/>
      <c r="H2667" s="14"/>
      <c r="I2667" s="567"/>
      <c r="J2667" s="15"/>
      <c r="N2667" s="14"/>
      <c r="O2667" s="14"/>
      <c r="P2667" s="14"/>
    </row>
    <row r="2668" spans="2:16" ht="15.75" customHeight="1">
      <c r="B2668" s="14"/>
      <c r="H2668" s="14"/>
      <c r="I2668" s="567"/>
      <c r="J2668" s="15"/>
      <c r="N2668" s="14"/>
      <c r="O2668" s="14"/>
      <c r="P2668" s="14"/>
    </row>
    <row r="2669" spans="2:16" ht="15.75" customHeight="1">
      <c r="B2669" s="14"/>
      <c r="H2669" s="14"/>
      <c r="I2669" s="567"/>
      <c r="J2669" s="15"/>
      <c r="N2669" s="14"/>
      <c r="O2669" s="14"/>
      <c r="P2669" s="14"/>
    </row>
    <row r="2670" spans="2:16" ht="15.75" customHeight="1">
      <c r="B2670" s="14"/>
      <c r="H2670" s="14"/>
      <c r="I2670" s="567"/>
      <c r="J2670" s="15"/>
      <c r="N2670" s="14"/>
      <c r="O2670" s="14"/>
      <c r="P2670" s="14"/>
    </row>
    <row r="2671" spans="2:16" ht="15.75" customHeight="1">
      <c r="B2671" s="14"/>
      <c r="H2671" s="14"/>
      <c r="I2671" s="567"/>
      <c r="J2671" s="15"/>
      <c r="N2671" s="14"/>
      <c r="O2671" s="14"/>
      <c r="P2671" s="14"/>
    </row>
    <row r="2672" spans="2:16" ht="15.75" customHeight="1">
      <c r="B2672" s="14"/>
      <c r="H2672" s="14"/>
      <c r="I2672" s="567"/>
      <c r="J2672" s="15"/>
      <c r="N2672" s="14"/>
      <c r="O2672" s="14"/>
      <c r="P2672" s="14"/>
    </row>
    <row r="2673" spans="2:16" ht="15.75" customHeight="1">
      <c r="B2673" s="14"/>
      <c r="H2673" s="14"/>
      <c r="I2673" s="567"/>
      <c r="J2673" s="15"/>
      <c r="N2673" s="14"/>
      <c r="O2673" s="14"/>
      <c r="P2673" s="14"/>
    </row>
    <row r="2674" spans="2:16" ht="15.75" customHeight="1">
      <c r="B2674" s="14"/>
      <c r="H2674" s="14"/>
      <c r="I2674" s="567"/>
      <c r="J2674" s="15"/>
      <c r="N2674" s="14"/>
      <c r="O2674" s="14"/>
      <c r="P2674" s="14"/>
    </row>
    <row r="2675" spans="2:16" ht="15.75" customHeight="1">
      <c r="B2675" s="14"/>
      <c r="H2675" s="14"/>
      <c r="I2675" s="567"/>
      <c r="J2675" s="15"/>
      <c r="N2675" s="14"/>
      <c r="O2675" s="14"/>
      <c r="P2675" s="14"/>
    </row>
    <row r="2676" spans="2:16" ht="15.75" customHeight="1">
      <c r="B2676" s="14"/>
      <c r="H2676" s="14"/>
      <c r="I2676" s="567"/>
      <c r="J2676" s="15"/>
      <c r="N2676" s="14"/>
      <c r="O2676" s="14"/>
      <c r="P2676" s="14"/>
    </row>
    <row r="2677" spans="2:16" ht="15.75" customHeight="1">
      <c r="B2677" s="14"/>
      <c r="H2677" s="14"/>
      <c r="I2677" s="567"/>
      <c r="J2677" s="15"/>
      <c r="N2677" s="14"/>
      <c r="O2677" s="14"/>
      <c r="P2677" s="14"/>
    </row>
    <row r="2678" spans="2:16" ht="15.75" customHeight="1">
      <c r="B2678" s="14"/>
      <c r="H2678" s="14"/>
      <c r="I2678" s="567"/>
      <c r="J2678" s="15"/>
      <c r="N2678" s="14"/>
      <c r="O2678" s="14"/>
      <c r="P2678" s="14"/>
    </row>
    <row r="2679" spans="2:16" ht="15.75" customHeight="1">
      <c r="B2679" s="14"/>
      <c r="H2679" s="14"/>
      <c r="I2679" s="567"/>
      <c r="J2679" s="15"/>
      <c r="N2679" s="14"/>
      <c r="O2679" s="14"/>
      <c r="P2679" s="14"/>
    </row>
    <row r="2680" spans="2:16" ht="15.75" customHeight="1">
      <c r="B2680" s="14"/>
      <c r="H2680" s="14"/>
      <c r="I2680" s="567"/>
      <c r="J2680" s="15"/>
      <c r="N2680" s="14"/>
      <c r="O2680" s="14"/>
      <c r="P2680" s="14"/>
    </row>
    <row r="2681" spans="2:16" ht="15.75" customHeight="1">
      <c r="B2681" s="14"/>
      <c r="H2681" s="14"/>
      <c r="I2681" s="567"/>
      <c r="J2681" s="15"/>
      <c r="N2681" s="14"/>
      <c r="O2681" s="14"/>
      <c r="P2681" s="14"/>
    </row>
    <row r="2682" spans="2:16" ht="15.75" customHeight="1">
      <c r="B2682" s="14"/>
      <c r="H2682" s="14"/>
      <c r="I2682" s="567"/>
      <c r="J2682" s="15"/>
      <c r="N2682" s="14"/>
      <c r="O2682" s="14"/>
      <c r="P2682" s="14"/>
    </row>
    <row r="2683" spans="2:16" ht="15.75" customHeight="1">
      <c r="B2683" s="14"/>
      <c r="H2683" s="14"/>
      <c r="I2683" s="567"/>
      <c r="J2683" s="15"/>
      <c r="N2683" s="14"/>
      <c r="O2683" s="14"/>
      <c r="P2683" s="14"/>
    </row>
    <row r="2684" spans="2:16" ht="15.75" customHeight="1">
      <c r="B2684" s="14"/>
      <c r="H2684" s="14"/>
      <c r="I2684" s="567"/>
      <c r="J2684" s="15"/>
      <c r="N2684" s="14"/>
      <c r="O2684" s="14"/>
      <c r="P2684" s="14"/>
    </row>
    <row r="2685" spans="2:16" ht="15.75" customHeight="1">
      <c r="B2685" s="14"/>
      <c r="H2685" s="14"/>
      <c r="I2685" s="567"/>
      <c r="J2685" s="15"/>
      <c r="N2685" s="14"/>
      <c r="O2685" s="14"/>
      <c r="P2685" s="14"/>
    </row>
    <row r="2686" spans="2:16" ht="15.75" customHeight="1">
      <c r="B2686" s="14"/>
      <c r="H2686" s="14"/>
      <c r="I2686" s="567"/>
      <c r="J2686" s="15"/>
      <c r="N2686" s="14"/>
      <c r="O2686" s="14"/>
      <c r="P2686" s="14"/>
    </row>
    <row r="2687" spans="2:16" ht="15.75" customHeight="1">
      <c r="B2687" s="14"/>
      <c r="H2687" s="14"/>
      <c r="I2687" s="567"/>
      <c r="J2687" s="15"/>
      <c r="N2687" s="14"/>
      <c r="O2687" s="14"/>
      <c r="P2687" s="14"/>
    </row>
    <row r="2688" spans="2:16" ht="15.75" customHeight="1">
      <c r="B2688" s="14"/>
      <c r="H2688" s="14"/>
      <c r="I2688" s="567"/>
      <c r="J2688" s="15"/>
      <c r="N2688" s="14"/>
      <c r="O2688" s="14"/>
      <c r="P2688" s="14"/>
    </row>
    <row r="2689" spans="2:16" ht="15.75" customHeight="1">
      <c r="B2689" s="14"/>
      <c r="H2689" s="14"/>
      <c r="I2689" s="567"/>
      <c r="J2689" s="15"/>
      <c r="N2689" s="14"/>
      <c r="O2689" s="14"/>
      <c r="P2689" s="14"/>
    </row>
    <row r="2690" spans="2:16" ht="15.75" customHeight="1">
      <c r="B2690" s="14"/>
      <c r="H2690" s="14"/>
      <c r="I2690" s="567"/>
      <c r="J2690" s="15"/>
      <c r="N2690" s="14"/>
      <c r="O2690" s="14"/>
      <c r="P2690" s="14"/>
    </row>
    <row r="2691" spans="2:16" ht="15.75" customHeight="1">
      <c r="B2691" s="14"/>
      <c r="H2691" s="14"/>
      <c r="I2691" s="567"/>
      <c r="J2691" s="15"/>
      <c r="N2691" s="14"/>
      <c r="O2691" s="14"/>
      <c r="P2691" s="14"/>
    </row>
    <row r="2692" spans="2:16" ht="15.75" customHeight="1">
      <c r="B2692" s="14"/>
      <c r="H2692" s="14"/>
      <c r="I2692" s="567"/>
      <c r="J2692" s="15"/>
      <c r="N2692" s="14"/>
      <c r="O2692" s="14"/>
      <c r="P2692" s="14"/>
    </row>
    <row r="2693" spans="2:16" ht="15.75" customHeight="1">
      <c r="B2693" s="14"/>
      <c r="H2693" s="14"/>
      <c r="I2693" s="567"/>
      <c r="J2693" s="15"/>
      <c r="N2693" s="14"/>
      <c r="O2693" s="14"/>
      <c r="P2693" s="14"/>
    </row>
    <row r="2694" spans="2:16" ht="15.75" customHeight="1">
      <c r="B2694" s="14"/>
      <c r="H2694" s="14"/>
      <c r="I2694" s="567"/>
      <c r="J2694" s="15"/>
      <c r="N2694" s="14"/>
      <c r="O2694" s="14"/>
      <c r="P2694" s="14"/>
    </row>
    <row r="2695" spans="2:16" ht="15.75" customHeight="1">
      <c r="B2695" s="14"/>
      <c r="H2695" s="14"/>
      <c r="I2695" s="567"/>
      <c r="J2695" s="15"/>
      <c r="N2695" s="14"/>
      <c r="O2695" s="14"/>
      <c r="P2695" s="14"/>
    </row>
    <row r="2696" spans="2:16" ht="15.75" customHeight="1">
      <c r="B2696" s="14"/>
      <c r="H2696" s="14"/>
      <c r="I2696" s="567"/>
      <c r="J2696" s="15"/>
      <c r="N2696" s="14"/>
      <c r="O2696" s="14"/>
      <c r="P2696" s="14"/>
    </row>
    <row r="2697" spans="2:16" ht="15.75" customHeight="1">
      <c r="B2697" s="14"/>
      <c r="H2697" s="14"/>
      <c r="I2697" s="567"/>
      <c r="J2697" s="15"/>
      <c r="N2697" s="14"/>
      <c r="O2697" s="14"/>
      <c r="P2697" s="14"/>
    </row>
    <row r="2698" spans="2:16" ht="15.75" customHeight="1">
      <c r="B2698" s="14"/>
      <c r="H2698" s="14"/>
      <c r="I2698" s="567"/>
      <c r="J2698" s="15"/>
      <c r="N2698" s="14"/>
      <c r="O2698" s="14"/>
      <c r="P2698" s="14"/>
    </row>
    <row r="2699" spans="2:16" ht="15.75" customHeight="1">
      <c r="B2699" s="14"/>
      <c r="H2699" s="14"/>
      <c r="I2699" s="567"/>
      <c r="J2699" s="15"/>
      <c r="N2699" s="14"/>
      <c r="O2699" s="14"/>
      <c r="P2699" s="14"/>
    </row>
    <row r="2700" spans="2:16" ht="15.75" customHeight="1">
      <c r="B2700" s="14"/>
      <c r="H2700" s="14"/>
      <c r="I2700" s="567"/>
      <c r="J2700" s="15"/>
      <c r="N2700" s="14"/>
      <c r="O2700" s="14"/>
      <c r="P2700" s="14"/>
    </row>
    <row r="2701" spans="2:16" ht="15.75" customHeight="1">
      <c r="B2701" s="14"/>
      <c r="H2701" s="14"/>
      <c r="I2701" s="567"/>
      <c r="J2701" s="15"/>
      <c r="N2701" s="14"/>
      <c r="O2701" s="14"/>
      <c r="P2701" s="14"/>
    </row>
    <row r="2702" spans="2:16" ht="15.75" customHeight="1">
      <c r="B2702" s="14"/>
      <c r="H2702" s="14"/>
      <c r="I2702" s="567"/>
      <c r="J2702" s="15"/>
      <c r="N2702" s="14"/>
      <c r="O2702" s="14"/>
      <c r="P2702" s="14"/>
    </row>
    <row r="2703" spans="2:16" ht="15.75" customHeight="1">
      <c r="B2703" s="14"/>
      <c r="H2703" s="14"/>
      <c r="I2703" s="567"/>
      <c r="J2703" s="15"/>
      <c r="N2703" s="14"/>
      <c r="O2703" s="14"/>
      <c r="P2703" s="14"/>
    </row>
    <row r="2704" spans="2:16" ht="15.75" customHeight="1">
      <c r="B2704" s="14"/>
      <c r="H2704" s="14"/>
      <c r="I2704" s="567"/>
      <c r="J2704" s="15"/>
      <c r="N2704" s="14"/>
      <c r="O2704" s="14"/>
      <c r="P2704" s="14"/>
    </row>
    <row r="2705" spans="2:16" ht="15.75" customHeight="1">
      <c r="B2705" s="14"/>
      <c r="H2705" s="14"/>
      <c r="I2705" s="567"/>
      <c r="J2705" s="15"/>
      <c r="N2705" s="14"/>
      <c r="O2705" s="14"/>
      <c r="P2705" s="14"/>
    </row>
    <row r="2706" spans="2:16" ht="15.75" customHeight="1">
      <c r="B2706" s="14"/>
      <c r="H2706" s="14"/>
      <c r="I2706" s="567"/>
      <c r="J2706" s="15"/>
      <c r="N2706" s="14"/>
      <c r="O2706" s="14"/>
      <c r="P2706" s="14"/>
    </row>
    <row r="2707" spans="2:16" ht="15.75" customHeight="1">
      <c r="B2707" s="14"/>
      <c r="H2707" s="14"/>
      <c r="I2707" s="567"/>
      <c r="J2707" s="15"/>
      <c r="N2707" s="14"/>
      <c r="O2707" s="14"/>
      <c r="P2707" s="14"/>
    </row>
    <row r="2708" spans="2:16" ht="15.75" customHeight="1">
      <c r="B2708" s="14"/>
      <c r="H2708" s="14"/>
      <c r="I2708" s="567"/>
      <c r="J2708" s="15"/>
      <c r="N2708" s="14"/>
      <c r="O2708" s="14"/>
      <c r="P2708" s="14"/>
    </row>
    <row r="2709" spans="2:16" ht="15.75" customHeight="1">
      <c r="B2709" s="14"/>
      <c r="H2709" s="14"/>
      <c r="I2709" s="567"/>
      <c r="J2709" s="15"/>
      <c r="N2709" s="14"/>
      <c r="O2709" s="14"/>
      <c r="P2709" s="14"/>
    </row>
    <row r="2710" spans="2:16" ht="15.75" customHeight="1">
      <c r="B2710" s="14"/>
      <c r="H2710" s="14"/>
      <c r="I2710" s="567"/>
      <c r="J2710" s="15"/>
      <c r="N2710" s="14"/>
      <c r="O2710" s="14"/>
      <c r="P2710" s="14"/>
    </row>
    <row r="2711" spans="2:16" ht="15.75" customHeight="1">
      <c r="B2711" s="14"/>
      <c r="H2711" s="14"/>
      <c r="I2711" s="567"/>
      <c r="J2711" s="15"/>
      <c r="N2711" s="14"/>
      <c r="O2711" s="14"/>
      <c r="P2711" s="14"/>
    </row>
    <row r="2712" spans="2:16" ht="15.75" customHeight="1">
      <c r="B2712" s="14"/>
      <c r="H2712" s="14"/>
      <c r="I2712" s="567"/>
      <c r="J2712" s="15"/>
      <c r="N2712" s="14"/>
      <c r="O2712" s="14"/>
      <c r="P2712" s="14"/>
    </row>
    <row r="2713" spans="2:16" ht="15.75" customHeight="1">
      <c r="B2713" s="14"/>
      <c r="H2713" s="14"/>
      <c r="I2713" s="567"/>
      <c r="J2713" s="15"/>
      <c r="N2713" s="14"/>
      <c r="O2713" s="14"/>
      <c r="P2713" s="14"/>
    </row>
    <row r="2714" spans="2:16" ht="15.75" customHeight="1">
      <c r="B2714" s="14"/>
      <c r="H2714" s="14"/>
      <c r="I2714" s="567"/>
      <c r="J2714" s="15"/>
      <c r="N2714" s="14"/>
      <c r="O2714" s="14"/>
      <c r="P2714" s="14"/>
    </row>
    <row r="2715" spans="2:16" ht="15.75" customHeight="1">
      <c r="B2715" s="14"/>
      <c r="H2715" s="14"/>
      <c r="I2715" s="567"/>
      <c r="J2715" s="15"/>
      <c r="N2715" s="14"/>
      <c r="O2715" s="14"/>
      <c r="P2715" s="14"/>
    </row>
    <row r="2716" spans="2:16" ht="15.75" customHeight="1">
      <c r="B2716" s="14"/>
      <c r="H2716" s="14"/>
      <c r="I2716" s="567"/>
      <c r="J2716" s="15"/>
      <c r="N2716" s="14"/>
      <c r="O2716" s="14"/>
      <c r="P2716" s="14"/>
    </row>
    <row r="2717" spans="2:16" ht="15.75" customHeight="1">
      <c r="B2717" s="14"/>
      <c r="H2717" s="14"/>
      <c r="I2717" s="567"/>
      <c r="J2717" s="15"/>
      <c r="N2717" s="14"/>
      <c r="O2717" s="14"/>
      <c r="P2717" s="14"/>
    </row>
    <row r="2718" spans="2:16" ht="15.75" customHeight="1">
      <c r="B2718" s="14"/>
      <c r="H2718" s="14"/>
      <c r="I2718" s="567"/>
      <c r="J2718" s="15"/>
      <c r="N2718" s="14"/>
      <c r="O2718" s="14"/>
      <c r="P2718" s="14"/>
    </row>
    <row r="2719" spans="2:16" ht="15.75" customHeight="1">
      <c r="B2719" s="14"/>
      <c r="H2719" s="14"/>
      <c r="I2719" s="567"/>
      <c r="J2719" s="15"/>
      <c r="N2719" s="14"/>
      <c r="O2719" s="14"/>
      <c r="P2719" s="14"/>
    </row>
    <row r="2720" spans="2:16" ht="15.75" customHeight="1">
      <c r="B2720" s="14"/>
      <c r="H2720" s="14"/>
      <c r="I2720" s="567"/>
      <c r="J2720" s="15"/>
      <c r="N2720" s="14"/>
      <c r="O2720" s="14"/>
      <c r="P2720" s="14"/>
    </row>
    <row r="2721" spans="2:16" ht="15.75" customHeight="1">
      <c r="B2721" s="14"/>
      <c r="H2721" s="14"/>
      <c r="I2721" s="567"/>
      <c r="J2721" s="15"/>
      <c r="N2721" s="14"/>
      <c r="O2721" s="14"/>
      <c r="P2721" s="14"/>
    </row>
    <row r="2722" spans="2:16" ht="15.75" customHeight="1">
      <c r="B2722" s="14"/>
      <c r="H2722" s="14"/>
      <c r="I2722" s="567"/>
      <c r="J2722" s="15"/>
      <c r="N2722" s="14"/>
      <c r="O2722" s="14"/>
      <c r="P2722" s="14"/>
    </row>
    <row r="2723" spans="2:16" ht="15.75" customHeight="1">
      <c r="B2723" s="14"/>
      <c r="H2723" s="14"/>
      <c r="I2723" s="567"/>
      <c r="J2723" s="15"/>
      <c r="N2723" s="14"/>
      <c r="O2723" s="14"/>
      <c r="P2723" s="14"/>
    </row>
    <row r="2724" spans="2:16" ht="15.75" customHeight="1">
      <c r="B2724" s="14"/>
      <c r="H2724" s="14"/>
      <c r="I2724" s="567"/>
      <c r="J2724" s="15"/>
      <c r="N2724" s="14"/>
      <c r="O2724" s="14"/>
      <c r="P2724" s="14"/>
    </row>
    <row r="2725" spans="2:16" ht="15.75" customHeight="1">
      <c r="B2725" s="14"/>
      <c r="H2725" s="14"/>
      <c r="I2725" s="567"/>
      <c r="J2725" s="15"/>
      <c r="N2725" s="14"/>
      <c r="O2725" s="14"/>
      <c r="P2725" s="14"/>
    </row>
    <row r="2726" spans="2:16" ht="15.75" customHeight="1">
      <c r="B2726" s="14"/>
      <c r="H2726" s="14"/>
      <c r="I2726" s="567"/>
      <c r="J2726" s="15"/>
      <c r="N2726" s="14"/>
      <c r="O2726" s="14"/>
      <c r="P2726" s="14"/>
    </row>
    <row r="2727" spans="2:16" ht="15.75" customHeight="1">
      <c r="B2727" s="14"/>
      <c r="H2727" s="14"/>
      <c r="I2727" s="567"/>
      <c r="J2727" s="15"/>
      <c r="N2727" s="14"/>
      <c r="O2727" s="14"/>
      <c r="P2727" s="14"/>
    </row>
    <row r="2728" spans="2:16" ht="15.75" customHeight="1">
      <c r="B2728" s="14"/>
      <c r="H2728" s="14"/>
      <c r="I2728" s="567"/>
      <c r="J2728" s="15"/>
      <c r="N2728" s="14"/>
      <c r="O2728" s="14"/>
      <c r="P2728" s="14"/>
    </row>
    <row r="2729" spans="2:16" ht="15.75" customHeight="1">
      <c r="B2729" s="14"/>
      <c r="H2729" s="14"/>
      <c r="I2729" s="567"/>
      <c r="J2729" s="15"/>
      <c r="N2729" s="14"/>
      <c r="O2729" s="14"/>
      <c r="P2729" s="14"/>
    </row>
    <row r="2730" spans="2:16" ht="15.75" customHeight="1">
      <c r="B2730" s="14"/>
      <c r="H2730" s="14"/>
      <c r="I2730" s="567"/>
      <c r="J2730" s="15"/>
      <c r="N2730" s="14"/>
      <c r="O2730" s="14"/>
      <c r="P2730" s="14"/>
    </row>
    <row r="2731" spans="2:16" ht="15.75" customHeight="1">
      <c r="B2731" s="14"/>
      <c r="H2731" s="14"/>
      <c r="I2731" s="567"/>
      <c r="J2731" s="15"/>
      <c r="N2731" s="14"/>
      <c r="O2731" s="14"/>
      <c r="P2731" s="14"/>
    </row>
    <row r="2732" spans="2:16" ht="15.75" customHeight="1">
      <c r="B2732" s="14"/>
      <c r="H2732" s="14"/>
      <c r="I2732" s="567"/>
      <c r="J2732" s="15"/>
      <c r="N2732" s="14"/>
      <c r="O2732" s="14"/>
      <c r="P2732" s="14"/>
    </row>
    <row r="2733" spans="2:16" ht="15.75" customHeight="1">
      <c r="B2733" s="14"/>
      <c r="H2733" s="14"/>
      <c r="I2733" s="567"/>
      <c r="J2733" s="15"/>
      <c r="N2733" s="14"/>
      <c r="O2733" s="14"/>
      <c r="P2733" s="14"/>
    </row>
    <row r="2734" spans="2:16" ht="15.75" customHeight="1">
      <c r="B2734" s="14"/>
      <c r="H2734" s="14"/>
      <c r="I2734" s="567"/>
      <c r="J2734" s="15"/>
      <c r="N2734" s="14"/>
      <c r="O2734" s="14"/>
      <c r="P2734" s="14"/>
    </row>
    <row r="2735" spans="2:16" ht="15.75" customHeight="1">
      <c r="B2735" s="14"/>
      <c r="H2735" s="14"/>
      <c r="I2735" s="567"/>
      <c r="J2735" s="15"/>
      <c r="N2735" s="14"/>
      <c r="O2735" s="14"/>
      <c r="P2735" s="14"/>
    </row>
    <row r="2736" spans="2:16" ht="15.75" customHeight="1">
      <c r="B2736" s="14"/>
      <c r="H2736" s="14"/>
      <c r="I2736" s="567"/>
      <c r="J2736" s="15"/>
      <c r="N2736" s="14"/>
      <c r="O2736" s="14"/>
      <c r="P2736" s="14"/>
    </row>
    <row r="2737" spans="2:16" ht="15.75" customHeight="1">
      <c r="B2737" s="14"/>
      <c r="H2737" s="14"/>
      <c r="I2737" s="567"/>
      <c r="J2737" s="15"/>
      <c r="N2737" s="14"/>
      <c r="O2737" s="14"/>
      <c r="P2737" s="14"/>
    </row>
    <row r="2738" spans="2:16" ht="15.75" customHeight="1">
      <c r="B2738" s="14"/>
      <c r="H2738" s="14"/>
      <c r="I2738" s="567"/>
      <c r="J2738" s="15"/>
      <c r="N2738" s="14"/>
      <c r="O2738" s="14"/>
      <c r="P2738" s="14"/>
    </row>
    <row r="2739" spans="2:16" ht="15.75" customHeight="1">
      <c r="B2739" s="14"/>
      <c r="H2739" s="14"/>
      <c r="I2739" s="567"/>
      <c r="J2739" s="15"/>
      <c r="N2739" s="14"/>
      <c r="O2739" s="14"/>
      <c r="P2739" s="14"/>
    </row>
    <row r="2740" spans="2:16" ht="15.75" customHeight="1">
      <c r="B2740" s="14"/>
      <c r="H2740" s="14"/>
      <c r="I2740" s="567"/>
      <c r="J2740" s="15"/>
      <c r="N2740" s="14"/>
      <c r="O2740" s="14"/>
      <c r="P2740" s="14"/>
    </row>
    <row r="2741" spans="2:16" ht="15.75" customHeight="1">
      <c r="B2741" s="14"/>
      <c r="H2741" s="14"/>
      <c r="I2741" s="567"/>
      <c r="J2741" s="15"/>
      <c r="N2741" s="14"/>
      <c r="O2741" s="14"/>
      <c r="P2741" s="14"/>
    </row>
    <row r="2742" spans="2:16" ht="15.75" customHeight="1">
      <c r="B2742" s="14"/>
      <c r="H2742" s="14"/>
      <c r="I2742" s="567"/>
      <c r="J2742" s="15"/>
      <c r="N2742" s="14"/>
      <c r="O2742" s="14"/>
      <c r="P2742" s="14"/>
    </row>
    <row r="2743" spans="2:16" ht="15.75" customHeight="1">
      <c r="B2743" s="14"/>
      <c r="H2743" s="14"/>
      <c r="I2743" s="567"/>
      <c r="J2743" s="15"/>
      <c r="N2743" s="14"/>
      <c r="O2743" s="14"/>
      <c r="P2743" s="14"/>
    </row>
    <row r="2744" spans="2:16" ht="15.75" customHeight="1">
      <c r="B2744" s="14"/>
      <c r="H2744" s="14"/>
      <c r="I2744" s="567"/>
      <c r="J2744" s="15"/>
      <c r="N2744" s="14"/>
      <c r="O2744" s="14"/>
      <c r="P2744" s="14"/>
    </row>
    <row r="2745" spans="2:16" ht="15.75" customHeight="1">
      <c r="B2745" s="14"/>
      <c r="H2745" s="14"/>
      <c r="I2745" s="567"/>
      <c r="J2745" s="15"/>
      <c r="N2745" s="14"/>
      <c r="O2745" s="14"/>
      <c r="P2745" s="14"/>
    </row>
    <row r="2746" spans="2:16" ht="15.75" customHeight="1">
      <c r="B2746" s="14"/>
      <c r="H2746" s="14"/>
      <c r="I2746" s="567"/>
      <c r="J2746" s="15"/>
      <c r="N2746" s="14"/>
      <c r="O2746" s="14"/>
      <c r="P2746" s="14"/>
    </row>
    <row r="2747" spans="2:16" ht="15.75" customHeight="1">
      <c r="B2747" s="14"/>
      <c r="H2747" s="14"/>
      <c r="I2747" s="567"/>
      <c r="J2747" s="15"/>
      <c r="N2747" s="14"/>
      <c r="O2747" s="14"/>
      <c r="P2747" s="14"/>
    </row>
    <row r="2748" spans="2:16" ht="15.75" customHeight="1">
      <c r="B2748" s="14"/>
      <c r="H2748" s="14"/>
      <c r="I2748" s="567"/>
      <c r="J2748" s="15"/>
      <c r="N2748" s="14"/>
      <c r="O2748" s="14"/>
      <c r="P2748" s="14"/>
    </row>
    <row r="2749" spans="2:16" ht="15.75" customHeight="1">
      <c r="B2749" s="14"/>
      <c r="H2749" s="14"/>
      <c r="I2749" s="567"/>
      <c r="J2749" s="15"/>
      <c r="N2749" s="14"/>
      <c r="O2749" s="14"/>
      <c r="P2749" s="14"/>
    </row>
    <row r="2750" spans="2:16" ht="15.75" customHeight="1">
      <c r="B2750" s="14"/>
      <c r="H2750" s="14"/>
      <c r="I2750" s="567"/>
      <c r="J2750" s="15"/>
      <c r="N2750" s="14"/>
      <c r="O2750" s="14"/>
      <c r="P2750" s="14"/>
    </row>
    <row r="2751" spans="2:16" ht="15.75" customHeight="1">
      <c r="B2751" s="14"/>
      <c r="H2751" s="14"/>
      <c r="I2751" s="567"/>
      <c r="J2751" s="15"/>
      <c r="N2751" s="14"/>
      <c r="O2751" s="14"/>
      <c r="P2751" s="14"/>
    </row>
    <row r="2752" spans="2:16" ht="15.75" customHeight="1">
      <c r="B2752" s="14"/>
      <c r="H2752" s="14"/>
      <c r="I2752" s="567"/>
      <c r="J2752" s="15"/>
      <c r="N2752" s="14"/>
      <c r="O2752" s="14"/>
      <c r="P2752" s="14"/>
    </row>
    <row r="2753" spans="2:16" ht="15.75" customHeight="1">
      <c r="B2753" s="14"/>
      <c r="H2753" s="14"/>
      <c r="I2753" s="567"/>
      <c r="J2753" s="15"/>
      <c r="N2753" s="14"/>
      <c r="O2753" s="14"/>
      <c r="P2753" s="14"/>
    </row>
    <row r="2754" spans="2:16" ht="15.75" customHeight="1">
      <c r="B2754" s="14"/>
      <c r="H2754" s="14"/>
      <c r="I2754" s="567"/>
      <c r="J2754" s="15"/>
      <c r="N2754" s="14"/>
      <c r="O2754" s="14"/>
      <c r="P2754" s="14"/>
    </row>
    <row r="2755" spans="2:16" ht="15.75" customHeight="1">
      <c r="B2755" s="14"/>
      <c r="H2755" s="14"/>
      <c r="I2755" s="567"/>
      <c r="J2755" s="15"/>
      <c r="N2755" s="14"/>
      <c r="O2755" s="14"/>
      <c r="P2755" s="14"/>
    </row>
    <row r="2756" spans="2:16" ht="15.75" customHeight="1">
      <c r="B2756" s="14"/>
      <c r="H2756" s="14"/>
      <c r="I2756" s="567"/>
      <c r="J2756" s="15"/>
      <c r="N2756" s="14"/>
      <c r="O2756" s="14"/>
      <c r="P2756" s="14"/>
    </row>
    <row r="2757" spans="2:16" ht="15.75" customHeight="1">
      <c r="B2757" s="14"/>
      <c r="H2757" s="14"/>
      <c r="I2757" s="567"/>
      <c r="J2757" s="15"/>
      <c r="N2757" s="14"/>
      <c r="O2757" s="14"/>
      <c r="P2757" s="14"/>
    </row>
    <row r="2758" spans="2:16" ht="15.75" customHeight="1">
      <c r="B2758" s="14"/>
      <c r="H2758" s="14"/>
      <c r="I2758" s="567"/>
      <c r="J2758" s="15"/>
      <c r="N2758" s="14"/>
      <c r="O2758" s="14"/>
      <c r="P2758" s="14"/>
    </row>
    <row r="2759" spans="2:16" ht="15.75" customHeight="1">
      <c r="B2759" s="14"/>
      <c r="H2759" s="14"/>
      <c r="I2759" s="567"/>
      <c r="J2759" s="15"/>
      <c r="N2759" s="14"/>
      <c r="O2759" s="14"/>
      <c r="P2759" s="14"/>
    </row>
    <row r="2760" spans="2:16" ht="15.75" customHeight="1">
      <c r="B2760" s="14"/>
      <c r="H2760" s="14"/>
      <c r="I2760" s="567"/>
      <c r="J2760" s="15"/>
      <c r="N2760" s="14"/>
      <c r="O2760" s="14"/>
      <c r="P2760" s="14"/>
    </row>
    <row r="2761" spans="2:16" ht="15.75" customHeight="1">
      <c r="B2761" s="14"/>
      <c r="H2761" s="14"/>
      <c r="I2761" s="567"/>
      <c r="J2761" s="15"/>
      <c r="N2761" s="14"/>
      <c r="O2761" s="14"/>
      <c r="P2761" s="14"/>
    </row>
    <row r="2762" spans="2:16" ht="15.75" customHeight="1">
      <c r="B2762" s="14"/>
      <c r="H2762" s="14"/>
      <c r="I2762" s="567"/>
      <c r="J2762" s="15"/>
      <c r="N2762" s="14"/>
      <c r="O2762" s="14"/>
      <c r="P2762" s="14"/>
    </row>
    <row r="2763" spans="2:16" ht="15.75" customHeight="1">
      <c r="B2763" s="14"/>
      <c r="H2763" s="14"/>
      <c r="I2763" s="567"/>
      <c r="J2763" s="15"/>
      <c r="N2763" s="14"/>
      <c r="O2763" s="14"/>
      <c r="P2763" s="14"/>
    </row>
    <row r="2764" spans="2:16" ht="15.75" customHeight="1">
      <c r="B2764" s="14"/>
      <c r="H2764" s="14"/>
      <c r="I2764" s="567"/>
      <c r="J2764" s="15"/>
      <c r="N2764" s="14"/>
      <c r="O2764" s="14"/>
      <c r="P2764" s="14"/>
    </row>
    <row r="2765" spans="2:16" ht="15.75" customHeight="1">
      <c r="B2765" s="14"/>
      <c r="H2765" s="14"/>
      <c r="I2765" s="567"/>
      <c r="J2765" s="15"/>
      <c r="N2765" s="14"/>
      <c r="O2765" s="14"/>
      <c r="P2765" s="14"/>
    </row>
    <row r="2766" spans="2:16" ht="15.75" customHeight="1">
      <c r="B2766" s="14"/>
      <c r="H2766" s="14"/>
      <c r="I2766" s="567"/>
      <c r="J2766" s="15"/>
      <c r="N2766" s="14"/>
      <c r="O2766" s="14"/>
      <c r="P2766" s="14"/>
    </row>
    <row r="2767" spans="2:16" ht="15.75" customHeight="1">
      <c r="B2767" s="14"/>
      <c r="H2767" s="14"/>
      <c r="I2767" s="567"/>
      <c r="J2767" s="15"/>
      <c r="N2767" s="14"/>
      <c r="O2767" s="14"/>
      <c r="P2767" s="14"/>
    </row>
    <row r="2768" spans="2:16" ht="15.75" customHeight="1">
      <c r="B2768" s="14"/>
      <c r="H2768" s="14"/>
      <c r="I2768" s="567"/>
      <c r="J2768" s="15"/>
      <c r="N2768" s="14"/>
      <c r="O2768" s="14"/>
      <c r="P2768" s="14"/>
    </row>
    <row r="2769" spans="2:16" ht="15.75" customHeight="1">
      <c r="B2769" s="14"/>
      <c r="H2769" s="14"/>
      <c r="I2769" s="567"/>
      <c r="J2769" s="15"/>
      <c r="N2769" s="14"/>
      <c r="O2769" s="14"/>
      <c r="P2769" s="14"/>
    </row>
    <row r="2770" spans="2:16" ht="15.75" customHeight="1">
      <c r="B2770" s="14"/>
      <c r="H2770" s="14"/>
      <c r="I2770" s="567"/>
      <c r="J2770" s="15"/>
      <c r="N2770" s="14"/>
      <c r="O2770" s="14"/>
      <c r="P2770" s="14"/>
    </row>
    <row r="2771" spans="2:16" ht="15.75" customHeight="1">
      <c r="B2771" s="14"/>
      <c r="H2771" s="14"/>
      <c r="I2771" s="567"/>
      <c r="J2771" s="15"/>
      <c r="N2771" s="14"/>
      <c r="O2771" s="14"/>
      <c r="P2771" s="14"/>
    </row>
    <row r="2772" spans="2:16" ht="15.75" customHeight="1">
      <c r="B2772" s="14"/>
      <c r="H2772" s="14"/>
      <c r="I2772" s="567"/>
      <c r="J2772" s="15"/>
      <c r="N2772" s="14"/>
      <c r="O2772" s="14"/>
      <c r="P2772" s="14"/>
    </row>
    <row r="2773" spans="2:16" ht="15.75" customHeight="1">
      <c r="B2773" s="14"/>
      <c r="H2773" s="14"/>
      <c r="I2773" s="567"/>
      <c r="J2773" s="15"/>
      <c r="N2773" s="14"/>
      <c r="O2773" s="14"/>
      <c r="P2773" s="14"/>
    </row>
    <row r="2774" spans="2:16" ht="15.75" customHeight="1">
      <c r="B2774" s="14"/>
      <c r="H2774" s="14"/>
      <c r="I2774" s="567"/>
      <c r="J2774" s="15"/>
      <c r="N2774" s="14"/>
      <c r="O2774" s="14"/>
      <c r="P2774" s="14"/>
    </row>
    <row r="2775" spans="2:16" ht="15.75" customHeight="1">
      <c r="B2775" s="14"/>
      <c r="H2775" s="14"/>
      <c r="I2775" s="567"/>
      <c r="J2775" s="15"/>
      <c r="N2775" s="14"/>
      <c r="O2775" s="14"/>
      <c r="P2775" s="14"/>
    </row>
    <row r="2776" spans="2:16" ht="15.75" customHeight="1">
      <c r="B2776" s="14"/>
      <c r="H2776" s="14"/>
      <c r="I2776" s="567"/>
      <c r="J2776" s="15"/>
      <c r="N2776" s="14"/>
      <c r="O2776" s="14"/>
      <c r="P2776" s="14"/>
    </row>
    <row r="2777" spans="2:16" ht="15.75" customHeight="1">
      <c r="B2777" s="14"/>
      <c r="H2777" s="14"/>
      <c r="I2777" s="567"/>
      <c r="J2777" s="15"/>
      <c r="N2777" s="14"/>
      <c r="O2777" s="14"/>
      <c r="P2777" s="14"/>
    </row>
    <row r="2778" spans="2:16" ht="15.75" customHeight="1">
      <c r="B2778" s="14"/>
      <c r="H2778" s="14"/>
      <c r="I2778" s="567"/>
      <c r="J2778" s="15"/>
      <c r="N2778" s="14"/>
      <c r="O2778" s="14"/>
      <c r="P2778" s="14"/>
    </row>
    <row r="2779" spans="2:16" ht="15.75" customHeight="1">
      <c r="B2779" s="14"/>
      <c r="H2779" s="14"/>
      <c r="I2779" s="567"/>
      <c r="J2779" s="15"/>
      <c r="N2779" s="14"/>
      <c r="O2779" s="14"/>
      <c r="P2779" s="14"/>
    </row>
    <row r="2780" spans="2:16" ht="15.75" customHeight="1">
      <c r="B2780" s="14"/>
      <c r="H2780" s="14"/>
      <c r="I2780" s="567"/>
      <c r="J2780" s="15"/>
      <c r="N2780" s="14"/>
      <c r="O2780" s="14"/>
      <c r="P2780" s="14"/>
    </row>
    <row r="2781" spans="2:16" ht="15.75" customHeight="1">
      <c r="B2781" s="14"/>
      <c r="H2781" s="14"/>
      <c r="I2781" s="567"/>
      <c r="J2781" s="15"/>
      <c r="N2781" s="14"/>
      <c r="O2781" s="14"/>
      <c r="P2781" s="14"/>
    </row>
    <row r="2782" spans="2:16" ht="15.75" customHeight="1">
      <c r="B2782" s="14"/>
      <c r="H2782" s="14"/>
      <c r="I2782" s="567"/>
      <c r="J2782" s="15"/>
      <c r="N2782" s="14"/>
      <c r="O2782" s="14"/>
      <c r="P2782" s="14"/>
    </row>
    <row r="2783" spans="2:16" ht="15.75" customHeight="1">
      <c r="B2783" s="14"/>
      <c r="H2783" s="14"/>
      <c r="I2783" s="567"/>
      <c r="J2783" s="15"/>
      <c r="N2783" s="14"/>
      <c r="O2783" s="14"/>
      <c r="P2783" s="14"/>
    </row>
    <row r="2784" spans="2:16" ht="15.75" customHeight="1">
      <c r="B2784" s="14"/>
      <c r="H2784" s="14"/>
      <c r="I2784" s="567"/>
      <c r="J2784" s="15"/>
      <c r="N2784" s="14"/>
      <c r="O2784" s="14"/>
      <c r="P2784" s="14"/>
    </row>
    <row r="2785" spans="2:16" ht="15.75" customHeight="1">
      <c r="B2785" s="14"/>
      <c r="H2785" s="14"/>
      <c r="I2785" s="567"/>
      <c r="J2785" s="15"/>
      <c r="N2785" s="14"/>
      <c r="O2785" s="14"/>
      <c r="P2785" s="14"/>
    </row>
    <row r="2786" spans="2:16" ht="15.75" customHeight="1">
      <c r="B2786" s="14"/>
      <c r="H2786" s="14"/>
      <c r="I2786" s="567"/>
      <c r="J2786" s="15"/>
      <c r="N2786" s="14"/>
      <c r="O2786" s="14"/>
      <c r="P2786" s="14"/>
    </row>
    <row r="2787" spans="2:16" ht="15.75" customHeight="1">
      <c r="B2787" s="14"/>
      <c r="H2787" s="14"/>
      <c r="I2787" s="567"/>
      <c r="J2787" s="15"/>
      <c r="N2787" s="14"/>
      <c r="O2787" s="14"/>
      <c r="P2787" s="14"/>
    </row>
    <row r="2788" spans="2:16" ht="15.75" customHeight="1">
      <c r="B2788" s="14"/>
      <c r="H2788" s="14"/>
      <c r="I2788" s="567"/>
      <c r="J2788" s="15"/>
      <c r="N2788" s="14"/>
      <c r="O2788" s="14"/>
      <c r="P2788" s="14"/>
    </row>
    <row r="2789" spans="2:16" ht="15.75" customHeight="1">
      <c r="B2789" s="14"/>
      <c r="H2789" s="14"/>
      <c r="I2789" s="567"/>
      <c r="J2789" s="15"/>
      <c r="N2789" s="14"/>
      <c r="O2789" s="14"/>
      <c r="P2789" s="14"/>
    </row>
    <row r="2790" spans="2:16" ht="15.75" customHeight="1">
      <c r="B2790" s="14"/>
      <c r="H2790" s="14"/>
      <c r="I2790" s="567"/>
      <c r="J2790" s="15"/>
      <c r="N2790" s="14"/>
      <c r="O2790" s="14"/>
      <c r="P2790" s="14"/>
    </row>
    <row r="2791" spans="2:16" ht="15.75" customHeight="1">
      <c r="B2791" s="14"/>
      <c r="H2791" s="14"/>
      <c r="I2791" s="567"/>
      <c r="J2791" s="15"/>
      <c r="N2791" s="14"/>
      <c r="O2791" s="14"/>
      <c r="P2791" s="14"/>
    </row>
    <row r="2792" spans="2:16" ht="15.75" customHeight="1">
      <c r="B2792" s="14"/>
      <c r="H2792" s="14"/>
      <c r="I2792" s="567"/>
      <c r="J2792" s="15"/>
      <c r="N2792" s="14"/>
      <c r="O2792" s="14"/>
      <c r="P2792" s="14"/>
    </row>
    <row r="2793" spans="2:16" ht="15.75" customHeight="1">
      <c r="B2793" s="14"/>
      <c r="H2793" s="14"/>
      <c r="I2793" s="567"/>
      <c r="J2793" s="15"/>
      <c r="N2793" s="14"/>
      <c r="O2793" s="14"/>
      <c r="P2793" s="14"/>
    </row>
    <row r="2794" spans="2:16" ht="15.75" customHeight="1">
      <c r="B2794" s="14"/>
      <c r="H2794" s="14"/>
      <c r="I2794" s="567"/>
      <c r="J2794" s="15"/>
      <c r="N2794" s="14"/>
      <c r="O2794" s="14"/>
      <c r="P2794" s="14"/>
    </row>
    <row r="2795" spans="2:16" ht="15.75" customHeight="1">
      <c r="B2795" s="14"/>
      <c r="H2795" s="14"/>
      <c r="I2795" s="567"/>
      <c r="J2795" s="15"/>
      <c r="N2795" s="14"/>
      <c r="O2795" s="14"/>
      <c r="P2795" s="14"/>
    </row>
    <row r="2796" spans="2:16" ht="15.75" customHeight="1">
      <c r="B2796" s="14"/>
      <c r="H2796" s="14"/>
      <c r="I2796" s="567"/>
      <c r="J2796" s="15"/>
      <c r="N2796" s="14"/>
      <c r="O2796" s="14"/>
      <c r="P2796" s="14"/>
    </row>
    <row r="2797" spans="2:16" ht="15.75" customHeight="1">
      <c r="B2797" s="14"/>
      <c r="H2797" s="14"/>
      <c r="I2797" s="567"/>
      <c r="J2797" s="15"/>
      <c r="N2797" s="14"/>
      <c r="O2797" s="14"/>
      <c r="P2797" s="14"/>
    </row>
    <row r="2798" spans="2:16" ht="15.75" customHeight="1">
      <c r="B2798" s="14"/>
      <c r="H2798" s="14"/>
      <c r="I2798" s="567"/>
      <c r="J2798" s="15"/>
      <c r="N2798" s="14"/>
      <c r="O2798" s="14"/>
      <c r="P2798" s="14"/>
    </row>
    <row r="2799" spans="2:16" ht="15.75" customHeight="1">
      <c r="B2799" s="14"/>
      <c r="H2799" s="14"/>
      <c r="I2799" s="567"/>
      <c r="J2799" s="15"/>
      <c r="N2799" s="14"/>
      <c r="O2799" s="14"/>
      <c r="P2799" s="14"/>
    </row>
    <row r="2800" spans="2:16" ht="15.75" customHeight="1">
      <c r="B2800" s="14"/>
      <c r="H2800" s="14"/>
      <c r="I2800" s="567"/>
      <c r="J2800" s="15"/>
      <c r="N2800" s="14"/>
      <c r="O2800" s="14"/>
      <c r="P2800" s="14"/>
    </row>
    <row r="2801" spans="2:16" ht="15.75" customHeight="1">
      <c r="B2801" s="14"/>
      <c r="H2801" s="14"/>
      <c r="I2801" s="567"/>
      <c r="J2801" s="15"/>
      <c r="N2801" s="14"/>
      <c r="O2801" s="14"/>
      <c r="P2801" s="14"/>
    </row>
    <row r="2802" spans="2:16" ht="15.75" customHeight="1">
      <c r="B2802" s="14"/>
      <c r="H2802" s="14"/>
      <c r="I2802" s="567"/>
      <c r="J2802" s="15"/>
      <c r="N2802" s="14"/>
      <c r="O2802" s="14"/>
      <c r="P2802" s="14"/>
    </row>
    <row r="2803" spans="2:16" ht="15.75" customHeight="1">
      <c r="B2803" s="14"/>
      <c r="H2803" s="14"/>
      <c r="I2803" s="567"/>
      <c r="J2803" s="15"/>
      <c r="N2803" s="14"/>
      <c r="O2803" s="14"/>
      <c r="P2803" s="14"/>
    </row>
    <row r="2804" spans="2:16" ht="15.75" customHeight="1">
      <c r="B2804" s="14"/>
      <c r="H2804" s="14"/>
      <c r="I2804" s="567"/>
      <c r="J2804" s="15"/>
      <c r="N2804" s="14"/>
      <c r="O2804" s="14"/>
      <c r="P2804" s="14"/>
    </row>
    <row r="2805" spans="2:16" ht="15.75" customHeight="1">
      <c r="B2805" s="14"/>
      <c r="H2805" s="14"/>
      <c r="I2805" s="567"/>
      <c r="J2805" s="15"/>
      <c r="N2805" s="14"/>
      <c r="O2805" s="14"/>
      <c r="P2805" s="14"/>
    </row>
    <row r="2806" spans="2:16" ht="15.75" customHeight="1">
      <c r="B2806" s="14"/>
      <c r="H2806" s="14"/>
      <c r="I2806" s="567"/>
      <c r="J2806" s="15"/>
      <c r="N2806" s="14"/>
      <c r="O2806" s="14"/>
      <c r="P2806" s="14"/>
    </row>
    <row r="2807" spans="2:16" ht="15.75" customHeight="1">
      <c r="B2807" s="14"/>
      <c r="H2807" s="14"/>
      <c r="I2807" s="567"/>
      <c r="J2807" s="15"/>
      <c r="N2807" s="14"/>
      <c r="O2807" s="14"/>
      <c r="P2807" s="14"/>
    </row>
    <row r="2808" spans="2:16" ht="15.75" customHeight="1">
      <c r="B2808" s="14"/>
      <c r="H2808" s="14"/>
      <c r="I2808" s="567"/>
      <c r="J2808" s="15"/>
      <c r="N2808" s="14"/>
      <c r="O2808" s="14"/>
      <c r="P2808" s="14"/>
    </row>
    <row r="2809" spans="2:16" ht="15.75" customHeight="1">
      <c r="B2809" s="14"/>
      <c r="H2809" s="14"/>
      <c r="I2809" s="567"/>
      <c r="J2809" s="15"/>
      <c r="N2809" s="14"/>
      <c r="O2809" s="14"/>
      <c r="P2809" s="14"/>
    </row>
    <row r="2810" spans="2:16" ht="15.75" customHeight="1">
      <c r="B2810" s="14"/>
      <c r="H2810" s="14"/>
      <c r="I2810" s="567"/>
      <c r="J2810" s="15"/>
      <c r="N2810" s="14"/>
      <c r="O2810" s="14"/>
      <c r="P2810" s="14"/>
    </row>
    <row r="2811" spans="2:16" ht="15.75" customHeight="1">
      <c r="B2811" s="14"/>
      <c r="H2811" s="14"/>
      <c r="I2811" s="567"/>
      <c r="J2811" s="15"/>
      <c r="N2811" s="14"/>
      <c r="O2811" s="14"/>
      <c r="P2811" s="14"/>
    </row>
    <row r="2812" spans="2:16" ht="15.75" customHeight="1">
      <c r="B2812" s="14"/>
      <c r="H2812" s="14"/>
      <c r="I2812" s="567"/>
      <c r="J2812" s="15"/>
      <c r="N2812" s="14"/>
      <c r="O2812" s="14"/>
      <c r="P2812" s="14"/>
    </row>
    <row r="2813" spans="2:16" ht="15.75" customHeight="1">
      <c r="B2813" s="14"/>
      <c r="H2813" s="14"/>
      <c r="I2813" s="567"/>
      <c r="J2813" s="15"/>
      <c r="N2813" s="14"/>
      <c r="O2813" s="14"/>
      <c r="P2813" s="14"/>
    </row>
    <row r="2814" spans="2:16" ht="15.75" customHeight="1">
      <c r="B2814" s="14"/>
      <c r="H2814" s="14"/>
      <c r="I2814" s="567"/>
      <c r="J2814" s="15"/>
      <c r="N2814" s="14"/>
      <c r="O2814" s="14"/>
      <c r="P2814" s="14"/>
    </row>
    <row r="2815" spans="2:16" ht="15.75" customHeight="1">
      <c r="B2815" s="14"/>
      <c r="H2815" s="14"/>
      <c r="I2815" s="567"/>
      <c r="J2815" s="15"/>
      <c r="N2815" s="14"/>
      <c r="O2815" s="14"/>
      <c r="P2815" s="14"/>
    </row>
    <row r="2816" spans="2:16" ht="15.75" customHeight="1">
      <c r="B2816" s="14"/>
      <c r="H2816" s="14"/>
      <c r="I2816" s="567"/>
      <c r="J2816" s="15"/>
      <c r="N2816" s="14"/>
      <c r="O2816" s="14"/>
      <c r="P2816" s="14"/>
    </row>
    <row r="2817" spans="2:16" ht="15.75" customHeight="1">
      <c r="B2817" s="14"/>
      <c r="H2817" s="14"/>
      <c r="I2817" s="567"/>
      <c r="J2817" s="15"/>
      <c r="N2817" s="14"/>
      <c r="O2817" s="14"/>
      <c r="P2817" s="14"/>
    </row>
    <row r="2818" spans="2:16" ht="15.75" customHeight="1">
      <c r="B2818" s="14"/>
      <c r="H2818" s="14"/>
      <c r="I2818" s="567"/>
      <c r="J2818" s="15"/>
      <c r="N2818" s="14"/>
      <c r="O2818" s="14"/>
      <c r="P2818" s="14"/>
    </row>
    <row r="2819" spans="2:16" ht="15.75" customHeight="1">
      <c r="B2819" s="14"/>
      <c r="H2819" s="14"/>
      <c r="I2819" s="567"/>
      <c r="J2819" s="15"/>
      <c r="N2819" s="14"/>
      <c r="O2819" s="14"/>
      <c r="P2819" s="14"/>
    </row>
    <row r="2820" spans="2:16" ht="15.75" customHeight="1">
      <c r="B2820" s="14"/>
      <c r="H2820" s="14"/>
      <c r="I2820" s="567"/>
      <c r="J2820" s="15"/>
      <c r="N2820" s="14"/>
      <c r="O2820" s="14"/>
      <c r="P2820" s="14"/>
    </row>
    <row r="2821" spans="2:16" ht="15.75" customHeight="1">
      <c r="B2821" s="14"/>
      <c r="H2821" s="14"/>
      <c r="I2821" s="567"/>
      <c r="J2821" s="15"/>
      <c r="N2821" s="14"/>
      <c r="O2821" s="14"/>
      <c r="P2821" s="14"/>
    </row>
    <row r="2822" spans="2:16" ht="15.75" customHeight="1">
      <c r="B2822" s="14"/>
      <c r="H2822" s="14"/>
      <c r="I2822" s="567"/>
      <c r="J2822" s="15"/>
      <c r="N2822" s="14"/>
      <c r="O2822" s="14"/>
      <c r="P2822" s="14"/>
    </row>
    <row r="2823" spans="2:16" ht="15.75" customHeight="1">
      <c r="B2823" s="14"/>
      <c r="H2823" s="14"/>
      <c r="I2823" s="567"/>
      <c r="J2823" s="15"/>
      <c r="N2823" s="14"/>
      <c r="O2823" s="14"/>
      <c r="P2823" s="14"/>
    </row>
    <row r="2824" spans="2:16" ht="15.75" customHeight="1">
      <c r="B2824" s="14"/>
      <c r="H2824" s="14"/>
      <c r="I2824" s="567"/>
      <c r="J2824" s="15"/>
      <c r="N2824" s="14"/>
      <c r="O2824" s="14"/>
      <c r="P2824" s="14"/>
    </row>
    <row r="2825" spans="2:16" ht="15.75" customHeight="1">
      <c r="B2825" s="14"/>
      <c r="H2825" s="14"/>
      <c r="I2825" s="567"/>
      <c r="J2825" s="15"/>
      <c r="N2825" s="14"/>
      <c r="O2825" s="14"/>
      <c r="P2825" s="14"/>
    </row>
    <row r="2826" spans="2:16" ht="15.75" customHeight="1">
      <c r="B2826" s="14"/>
      <c r="H2826" s="14"/>
      <c r="I2826" s="567"/>
      <c r="J2826" s="15"/>
      <c r="N2826" s="14"/>
      <c r="O2826" s="14"/>
      <c r="P2826" s="14"/>
    </row>
    <row r="2827" spans="2:16" ht="15.75" customHeight="1">
      <c r="B2827" s="14"/>
      <c r="H2827" s="14"/>
      <c r="I2827" s="567"/>
      <c r="J2827" s="15"/>
      <c r="N2827" s="14"/>
      <c r="O2827" s="14"/>
      <c r="P2827" s="14"/>
    </row>
    <row r="2828" spans="2:16" ht="15.75" customHeight="1">
      <c r="B2828" s="14"/>
      <c r="H2828" s="14"/>
      <c r="I2828" s="567"/>
      <c r="J2828" s="15"/>
      <c r="N2828" s="14"/>
      <c r="O2828" s="14"/>
      <c r="P2828" s="14"/>
    </row>
    <row r="2829" spans="2:16" ht="15.75" customHeight="1">
      <c r="B2829" s="14"/>
      <c r="H2829" s="14"/>
      <c r="I2829" s="567"/>
      <c r="J2829" s="15"/>
      <c r="N2829" s="14"/>
      <c r="O2829" s="14"/>
      <c r="P2829" s="14"/>
    </row>
    <row r="2830" spans="2:16" ht="15.75" customHeight="1">
      <c r="B2830" s="14"/>
      <c r="H2830" s="14"/>
      <c r="I2830" s="567"/>
      <c r="J2830" s="15"/>
      <c r="N2830" s="14"/>
      <c r="O2830" s="14"/>
      <c r="P2830" s="14"/>
    </row>
    <row r="2831" spans="2:16" ht="15.75" customHeight="1">
      <c r="B2831" s="14"/>
      <c r="H2831" s="14"/>
      <c r="I2831" s="567"/>
      <c r="J2831" s="15"/>
      <c r="N2831" s="14"/>
      <c r="O2831" s="14"/>
      <c r="P2831" s="14"/>
    </row>
    <row r="2832" spans="2:16" ht="15.75" customHeight="1">
      <c r="B2832" s="14"/>
      <c r="H2832" s="14"/>
      <c r="I2832" s="567"/>
      <c r="J2832" s="15"/>
      <c r="N2832" s="14"/>
      <c r="O2832" s="14"/>
      <c r="P2832" s="14"/>
    </row>
    <row r="2833" spans="2:16" ht="15.75" customHeight="1">
      <c r="B2833" s="14"/>
      <c r="H2833" s="14"/>
      <c r="I2833" s="567"/>
      <c r="J2833" s="15"/>
      <c r="N2833" s="14"/>
      <c r="O2833" s="14"/>
      <c r="P2833" s="14"/>
    </row>
    <row r="2834" spans="2:16" ht="15.75" customHeight="1">
      <c r="B2834" s="14"/>
      <c r="H2834" s="14"/>
      <c r="I2834" s="567"/>
      <c r="J2834" s="15"/>
      <c r="N2834" s="14"/>
      <c r="O2834" s="14"/>
      <c r="P2834" s="14"/>
    </row>
    <row r="2835" spans="2:16" ht="15.75" customHeight="1">
      <c r="B2835" s="14"/>
      <c r="H2835" s="14"/>
      <c r="I2835" s="567"/>
      <c r="J2835" s="15"/>
      <c r="N2835" s="14"/>
      <c r="O2835" s="14"/>
      <c r="P2835" s="14"/>
    </row>
    <row r="2836" spans="2:16" ht="15.75" customHeight="1">
      <c r="B2836" s="14"/>
      <c r="H2836" s="14"/>
      <c r="I2836" s="567"/>
      <c r="J2836" s="15"/>
      <c r="N2836" s="14"/>
      <c r="O2836" s="14"/>
      <c r="P2836" s="14"/>
    </row>
    <row r="2837" spans="2:16" ht="15.75" customHeight="1">
      <c r="B2837" s="14"/>
      <c r="H2837" s="14"/>
      <c r="I2837" s="567"/>
      <c r="J2837" s="15"/>
      <c r="N2837" s="14"/>
      <c r="O2837" s="14"/>
      <c r="P2837" s="14"/>
    </row>
    <row r="2838" spans="2:16" ht="15.75" customHeight="1">
      <c r="B2838" s="14"/>
      <c r="H2838" s="14"/>
      <c r="I2838" s="567"/>
      <c r="J2838" s="15"/>
      <c r="N2838" s="14"/>
      <c r="O2838" s="14"/>
      <c r="P2838" s="14"/>
    </row>
    <row r="2839" spans="2:16" ht="15.75" customHeight="1">
      <c r="B2839" s="14"/>
      <c r="H2839" s="14"/>
      <c r="I2839" s="567"/>
      <c r="J2839" s="15"/>
      <c r="N2839" s="14"/>
      <c r="O2839" s="14"/>
      <c r="P2839" s="14"/>
    </row>
    <row r="2840" spans="2:16" ht="15.75" customHeight="1">
      <c r="B2840" s="14"/>
      <c r="H2840" s="14"/>
      <c r="I2840" s="567"/>
      <c r="J2840" s="15"/>
      <c r="N2840" s="14"/>
      <c r="O2840" s="14"/>
      <c r="P2840" s="14"/>
    </row>
    <row r="2841" spans="2:16" ht="15.75" customHeight="1">
      <c r="B2841" s="14"/>
      <c r="H2841" s="14"/>
      <c r="I2841" s="567"/>
      <c r="J2841" s="15"/>
      <c r="N2841" s="14"/>
      <c r="O2841" s="14"/>
      <c r="P2841" s="14"/>
    </row>
    <row r="2842" spans="2:16" ht="15.75" customHeight="1">
      <c r="B2842" s="14"/>
      <c r="H2842" s="14"/>
      <c r="I2842" s="567"/>
      <c r="J2842" s="15"/>
      <c r="N2842" s="14"/>
      <c r="O2842" s="14"/>
      <c r="P2842" s="14"/>
    </row>
    <row r="2843" spans="2:16" ht="15.75" customHeight="1">
      <c r="B2843" s="14"/>
      <c r="H2843" s="14"/>
      <c r="I2843" s="567"/>
      <c r="J2843" s="15"/>
      <c r="N2843" s="14"/>
      <c r="O2843" s="14"/>
      <c r="P2843" s="14"/>
    </row>
    <row r="2844" spans="2:16" ht="15.75" customHeight="1">
      <c r="B2844" s="14"/>
      <c r="H2844" s="14"/>
      <c r="I2844" s="567"/>
      <c r="J2844" s="15"/>
      <c r="N2844" s="14"/>
      <c r="O2844" s="14"/>
      <c r="P2844" s="14"/>
    </row>
    <row r="2845" spans="2:16" ht="15.75" customHeight="1">
      <c r="B2845" s="14"/>
      <c r="H2845" s="14"/>
      <c r="I2845" s="567"/>
      <c r="J2845" s="15"/>
      <c r="N2845" s="14"/>
      <c r="O2845" s="14"/>
      <c r="P2845" s="14"/>
    </row>
    <row r="2846" spans="2:16" ht="15.75" customHeight="1">
      <c r="B2846" s="14"/>
      <c r="H2846" s="14"/>
      <c r="I2846" s="567"/>
      <c r="J2846" s="15"/>
      <c r="N2846" s="14"/>
      <c r="O2846" s="14"/>
      <c r="P2846" s="14"/>
    </row>
    <row r="2847" spans="2:16" ht="15.75" customHeight="1">
      <c r="B2847" s="14"/>
      <c r="H2847" s="14"/>
      <c r="I2847" s="567"/>
      <c r="J2847" s="15"/>
      <c r="N2847" s="14"/>
      <c r="O2847" s="14"/>
      <c r="P2847" s="14"/>
    </row>
    <row r="2848" spans="2:16" ht="15.75" customHeight="1">
      <c r="B2848" s="14"/>
      <c r="H2848" s="14"/>
      <c r="I2848" s="567"/>
      <c r="J2848" s="15"/>
      <c r="N2848" s="14"/>
      <c r="O2848" s="14"/>
      <c r="P2848" s="14"/>
    </row>
    <row r="2849" spans="2:16" ht="15.75" customHeight="1">
      <c r="B2849" s="14"/>
      <c r="H2849" s="14"/>
      <c r="I2849" s="567"/>
      <c r="J2849" s="15"/>
      <c r="N2849" s="14"/>
      <c r="O2849" s="14"/>
      <c r="P2849" s="14"/>
    </row>
    <row r="2850" spans="2:16" ht="15.75" customHeight="1">
      <c r="B2850" s="14"/>
      <c r="H2850" s="14"/>
      <c r="I2850" s="567"/>
      <c r="J2850" s="15"/>
      <c r="N2850" s="14"/>
      <c r="O2850" s="14"/>
      <c r="P2850" s="14"/>
    </row>
    <row r="2851" spans="2:16" ht="15.75" customHeight="1">
      <c r="B2851" s="14"/>
      <c r="H2851" s="14"/>
      <c r="I2851" s="567"/>
      <c r="J2851" s="15"/>
      <c r="N2851" s="14"/>
      <c r="O2851" s="14"/>
      <c r="P2851" s="14"/>
    </row>
    <row r="2852" spans="2:16" ht="15.75" customHeight="1">
      <c r="B2852" s="14"/>
      <c r="H2852" s="14"/>
      <c r="I2852" s="567"/>
      <c r="J2852" s="15"/>
      <c r="N2852" s="14"/>
      <c r="O2852" s="14"/>
      <c r="P2852" s="14"/>
    </row>
    <row r="2853" spans="2:16" ht="15.75" customHeight="1">
      <c r="B2853" s="14"/>
      <c r="H2853" s="14"/>
      <c r="I2853" s="567"/>
      <c r="J2853" s="15"/>
      <c r="N2853" s="14"/>
      <c r="O2853" s="14"/>
      <c r="P2853" s="14"/>
    </row>
    <row r="2854" spans="2:16" ht="15.75" customHeight="1">
      <c r="B2854" s="14"/>
      <c r="H2854" s="14"/>
      <c r="I2854" s="567"/>
      <c r="J2854" s="15"/>
      <c r="N2854" s="14"/>
      <c r="O2854" s="14"/>
      <c r="P2854" s="14"/>
    </row>
    <row r="2855" spans="2:16" ht="15.75" customHeight="1">
      <c r="B2855" s="14"/>
      <c r="H2855" s="14"/>
      <c r="I2855" s="567"/>
      <c r="J2855" s="15"/>
      <c r="N2855" s="14"/>
      <c r="O2855" s="14"/>
      <c r="P2855" s="14"/>
    </row>
    <row r="2856" spans="2:16" ht="15.75" customHeight="1">
      <c r="B2856" s="14"/>
      <c r="H2856" s="14"/>
      <c r="I2856" s="567"/>
      <c r="J2856" s="15"/>
      <c r="N2856" s="14"/>
      <c r="O2856" s="14"/>
      <c r="P2856" s="14"/>
    </row>
    <row r="2857" spans="2:16" ht="15.75" customHeight="1">
      <c r="B2857" s="14"/>
      <c r="H2857" s="14"/>
      <c r="I2857" s="567"/>
      <c r="J2857" s="15"/>
      <c r="N2857" s="14"/>
      <c r="O2857" s="14"/>
      <c r="P2857" s="14"/>
    </row>
    <row r="2858" spans="2:16" ht="15.75" customHeight="1">
      <c r="B2858" s="14"/>
      <c r="H2858" s="14"/>
      <c r="I2858" s="567"/>
      <c r="J2858" s="15"/>
      <c r="N2858" s="14"/>
      <c r="O2858" s="14"/>
      <c r="P2858" s="14"/>
    </row>
    <row r="2859" spans="2:16" ht="15.75" customHeight="1">
      <c r="B2859" s="14"/>
      <c r="H2859" s="14"/>
      <c r="I2859" s="567"/>
      <c r="J2859" s="15"/>
      <c r="N2859" s="14"/>
      <c r="O2859" s="14"/>
      <c r="P2859" s="14"/>
    </row>
    <row r="2860" spans="2:16" ht="15.75" customHeight="1">
      <c r="B2860" s="14"/>
      <c r="H2860" s="14"/>
      <c r="I2860" s="567"/>
      <c r="J2860" s="15"/>
      <c r="N2860" s="14"/>
      <c r="O2860" s="14"/>
      <c r="P2860" s="14"/>
    </row>
    <row r="2861" spans="2:16" ht="15.75" customHeight="1">
      <c r="B2861" s="14"/>
      <c r="H2861" s="14"/>
      <c r="I2861" s="567"/>
      <c r="J2861" s="15"/>
      <c r="N2861" s="14"/>
      <c r="O2861" s="14"/>
      <c r="P2861" s="14"/>
    </row>
    <row r="2862" spans="2:16" ht="15.75" customHeight="1">
      <c r="B2862" s="14"/>
      <c r="H2862" s="14"/>
      <c r="I2862" s="567"/>
      <c r="J2862" s="15"/>
      <c r="N2862" s="14"/>
      <c r="O2862" s="14"/>
      <c r="P2862" s="14"/>
    </row>
    <row r="2863" spans="2:16" ht="15.75" customHeight="1">
      <c r="B2863" s="14"/>
      <c r="H2863" s="14"/>
      <c r="I2863" s="567"/>
      <c r="J2863" s="15"/>
      <c r="N2863" s="14"/>
      <c r="O2863" s="14"/>
      <c r="P2863" s="14"/>
    </row>
    <row r="2864" spans="2:16" ht="15.75" customHeight="1">
      <c r="B2864" s="14"/>
      <c r="H2864" s="14"/>
      <c r="I2864" s="567"/>
      <c r="J2864" s="15"/>
      <c r="N2864" s="14"/>
      <c r="O2864" s="14"/>
      <c r="P2864" s="14"/>
    </row>
    <row r="2865" spans="2:16" ht="15.75" customHeight="1">
      <c r="B2865" s="14"/>
      <c r="H2865" s="14"/>
      <c r="I2865" s="567"/>
      <c r="J2865" s="15"/>
      <c r="N2865" s="14"/>
      <c r="O2865" s="14"/>
      <c r="P2865" s="14"/>
    </row>
    <row r="2866" spans="2:16" ht="15.75" customHeight="1">
      <c r="B2866" s="14"/>
      <c r="H2866" s="14"/>
      <c r="I2866" s="567"/>
      <c r="J2866" s="15"/>
      <c r="N2866" s="14"/>
      <c r="O2866" s="14"/>
      <c r="P2866" s="14"/>
    </row>
    <row r="2867" spans="2:16" ht="15.75" customHeight="1">
      <c r="B2867" s="14"/>
      <c r="H2867" s="14"/>
      <c r="I2867" s="567"/>
      <c r="J2867" s="15"/>
      <c r="N2867" s="14"/>
      <c r="O2867" s="14"/>
      <c r="P2867" s="14"/>
    </row>
    <row r="2868" spans="2:16" ht="15.75" customHeight="1">
      <c r="B2868" s="14"/>
      <c r="H2868" s="14"/>
      <c r="I2868" s="567"/>
      <c r="J2868" s="15"/>
      <c r="N2868" s="14"/>
      <c r="O2868" s="14"/>
      <c r="P2868" s="14"/>
    </row>
    <row r="2869" spans="2:16" ht="15.75" customHeight="1">
      <c r="B2869" s="14"/>
      <c r="H2869" s="14"/>
      <c r="I2869" s="567"/>
      <c r="J2869" s="15"/>
      <c r="N2869" s="14"/>
      <c r="O2869" s="14"/>
      <c r="P2869" s="14"/>
    </row>
    <row r="2870" spans="2:16" ht="15.75" customHeight="1">
      <c r="B2870" s="14"/>
      <c r="H2870" s="14"/>
      <c r="I2870" s="567"/>
      <c r="J2870" s="15"/>
      <c r="N2870" s="14"/>
      <c r="O2870" s="14"/>
      <c r="P2870" s="14"/>
    </row>
    <row r="2871" spans="2:16" ht="15.75" customHeight="1">
      <c r="B2871" s="14"/>
      <c r="H2871" s="14"/>
      <c r="I2871" s="567"/>
      <c r="J2871" s="15"/>
      <c r="N2871" s="14"/>
      <c r="O2871" s="14"/>
      <c r="P2871" s="14"/>
    </row>
    <row r="2872" spans="2:16" ht="15.75" customHeight="1">
      <c r="B2872" s="14"/>
      <c r="H2872" s="14"/>
      <c r="I2872" s="567"/>
      <c r="J2872" s="15"/>
      <c r="N2872" s="14"/>
      <c r="O2872" s="14"/>
      <c r="P2872" s="14"/>
    </row>
    <row r="2873" spans="2:16" ht="15.75" customHeight="1">
      <c r="B2873" s="14"/>
      <c r="H2873" s="14"/>
      <c r="I2873" s="567"/>
      <c r="J2873" s="15"/>
      <c r="N2873" s="14"/>
      <c r="O2873" s="14"/>
      <c r="P2873" s="14"/>
    </row>
    <row r="2874" spans="2:16" ht="15.75" customHeight="1">
      <c r="B2874" s="14"/>
      <c r="H2874" s="14"/>
      <c r="I2874" s="567"/>
      <c r="J2874" s="15"/>
      <c r="N2874" s="14"/>
      <c r="O2874" s="14"/>
      <c r="P2874" s="14"/>
    </row>
    <row r="2875" spans="2:16" ht="15.75" customHeight="1">
      <c r="B2875" s="14"/>
      <c r="H2875" s="14"/>
      <c r="I2875" s="567"/>
      <c r="J2875" s="15"/>
      <c r="N2875" s="14"/>
      <c r="O2875" s="14"/>
      <c r="P2875" s="14"/>
    </row>
    <row r="2876" spans="2:16" ht="15.75" customHeight="1">
      <c r="B2876" s="14"/>
      <c r="H2876" s="14"/>
      <c r="I2876" s="567"/>
      <c r="J2876" s="15"/>
      <c r="N2876" s="14"/>
      <c r="O2876" s="14"/>
      <c r="P2876" s="14"/>
    </row>
    <row r="2877" spans="2:16" ht="15.75" customHeight="1">
      <c r="B2877" s="14"/>
      <c r="H2877" s="14"/>
      <c r="I2877" s="567"/>
      <c r="J2877" s="15"/>
      <c r="N2877" s="14"/>
      <c r="O2877" s="14"/>
      <c r="P2877" s="14"/>
    </row>
    <row r="2878" spans="2:16" ht="15.75" customHeight="1">
      <c r="B2878" s="14"/>
      <c r="H2878" s="14"/>
      <c r="I2878" s="567"/>
      <c r="J2878" s="15"/>
      <c r="N2878" s="14"/>
      <c r="O2878" s="14"/>
      <c r="P2878" s="14"/>
    </row>
    <row r="2879" spans="2:16" ht="15.75" customHeight="1">
      <c r="B2879" s="14"/>
      <c r="H2879" s="14"/>
      <c r="I2879" s="567"/>
      <c r="J2879" s="15"/>
      <c r="N2879" s="14"/>
      <c r="O2879" s="14"/>
      <c r="P2879" s="14"/>
    </row>
    <row r="2880" spans="2:16" ht="15.75" customHeight="1">
      <c r="B2880" s="14"/>
      <c r="H2880" s="14"/>
      <c r="I2880" s="567"/>
      <c r="J2880" s="15"/>
      <c r="N2880" s="14"/>
      <c r="O2880" s="14"/>
      <c r="P2880" s="14"/>
    </row>
    <row r="2881" spans="2:16" ht="15.75" customHeight="1">
      <c r="B2881" s="14"/>
      <c r="H2881" s="14"/>
      <c r="I2881" s="567"/>
      <c r="J2881" s="15"/>
      <c r="N2881" s="14"/>
      <c r="O2881" s="14"/>
      <c r="P2881" s="14"/>
    </row>
    <row r="2882" spans="2:16" ht="15.75" customHeight="1">
      <c r="B2882" s="14"/>
      <c r="H2882" s="14"/>
      <c r="I2882" s="567"/>
      <c r="J2882" s="15"/>
      <c r="N2882" s="14"/>
      <c r="O2882" s="14"/>
      <c r="P2882" s="14"/>
    </row>
    <row r="2883" spans="2:16" ht="15.75" customHeight="1">
      <c r="B2883" s="14"/>
      <c r="H2883" s="14"/>
      <c r="I2883" s="567"/>
      <c r="J2883" s="15"/>
      <c r="N2883" s="14"/>
      <c r="O2883" s="14"/>
      <c r="P2883" s="14"/>
    </row>
    <row r="2884" spans="2:16" ht="15.75" customHeight="1">
      <c r="B2884" s="14"/>
      <c r="H2884" s="14"/>
      <c r="I2884" s="567"/>
      <c r="J2884" s="15"/>
      <c r="N2884" s="14"/>
      <c r="O2884" s="14"/>
      <c r="P2884" s="14"/>
    </row>
    <row r="2885" spans="2:16" ht="15.75" customHeight="1">
      <c r="B2885" s="14"/>
      <c r="H2885" s="14"/>
      <c r="I2885" s="567"/>
      <c r="J2885" s="15"/>
      <c r="N2885" s="14"/>
      <c r="O2885" s="14"/>
      <c r="P2885" s="14"/>
    </row>
    <row r="2886" spans="2:16" ht="15.75" customHeight="1">
      <c r="B2886" s="14"/>
      <c r="H2886" s="14"/>
      <c r="I2886" s="567"/>
      <c r="J2886" s="15"/>
      <c r="N2886" s="14"/>
      <c r="O2886" s="14"/>
      <c r="P2886" s="14"/>
    </row>
    <row r="2887" spans="2:16" ht="15.75" customHeight="1">
      <c r="B2887" s="14"/>
      <c r="H2887" s="14"/>
      <c r="I2887" s="567"/>
      <c r="J2887" s="15"/>
      <c r="N2887" s="14"/>
      <c r="O2887" s="14"/>
      <c r="P2887" s="14"/>
    </row>
    <row r="2888" spans="2:16" ht="15.75" customHeight="1">
      <c r="B2888" s="14"/>
      <c r="H2888" s="14"/>
      <c r="I2888" s="567"/>
      <c r="J2888" s="15"/>
      <c r="N2888" s="14"/>
      <c r="O2888" s="14"/>
      <c r="P2888" s="14"/>
    </row>
    <row r="2889" spans="2:16" ht="15.75" customHeight="1">
      <c r="B2889" s="14"/>
      <c r="H2889" s="14"/>
      <c r="I2889" s="567"/>
      <c r="J2889" s="15"/>
      <c r="N2889" s="14"/>
      <c r="O2889" s="14"/>
      <c r="P2889" s="14"/>
    </row>
    <row r="2890" spans="2:16" ht="15.75" customHeight="1">
      <c r="B2890" s="14"/>
      <c r="H2890" s="14"/>
      <c r="I2890" s="567"/>
      <c r="J2890" s="15"/>
      <c r="N2890" s="14"/>
      <c r="O2890" s="14"/>
      <c r="P2890" s="14"/>
    </row>
    <row r="2891" spans="2:16" ht="15.75" customHeight="1">
      <c r="B2891" s="14"/>
      <c r="H2891" s="14"/>
      <c r="I2891" s="567"/>
      <c r="J2891" s="15"/>
      <c r="N2891" s="14"/>
      <c r="O2891" s="14"/>
      <c r="P2891" s="14"/>
    </row>
    <row r="2892" spans="2:16" ht="15.75" customHeight="1">
      <c r="B2892" s="14"/>
      <c r="H2892" s="14"/>
      <c r="I2892" s="567"/>
      <c r="J2892" s="15"/>
      <c r="N2892" s="14"/>
      <c r="O2892" s="14"/>
      <c r="P2892" s="14"/>
    </row>
    <row r="2893" spans="2:16" ht="15.75" customHeight="1">
      <c r="B2893" s="14"/>
      <c r="H2893" s="14"/>
      <c r="I2893" s="567"/>
      <c r="J2893" s="15"/>
      <c r="N2893" s="14"/>
      <c r="O2893" s="14"/>
      <c r="P2893" s="14"/>
    </row>
    <row r="2894" spans="2:16" ht="15.75" customHeight="1">
      <c r="B2894" s="14"/>
      <c r="H2894" s="14"/>
      <c r="I2894" s="567"/>
      <c r="J2894" s="15"/>
      <c r="N2894" s="14"/>
      <c r="O2894" s="14"/>
      <c r="P2894" s="14"/>
    </row>
    <row r="2895" spans="2:16" ht="15.75" customHeight="1">
      <c r="B2895" s="14"/>
      <c r="H2895" s="14"/>
      <c r="I2895" s="567"/>
      <c r="J2895" s="15"/>
      <c r="N2895" s="14"/>
      <c r="O2895" s="14"/>
      <c r="P2895" s="14"/>
    </row>
    <row r="2896" spans="2:16" ht="15.75" customHeight="1">
      <c r="B2896" s="14"/>
      <c r="H2896" s="14"/>
      <c r="I2896" s="567"/>
      <c r="J2896" s="15"/>
      <c r="N2896" s="14"/>
      <c r="O2896" s="14"/>
      <c r="P2896" s="14"/>
    </row>
    <row r="2897" spans="2:16" ht="15.75" customHeight="1">
      <c r="B2897" s="14"/>
      <c r="H2897" s="14"/>
      <c r="I2897" s="567"/>
      <c r="J2897" s="15"/>
      <c r="N2897" s="14"/>
      <c r="O2897" s="14"/>
      <c r="P2897" s="14"/>
    </row>
    <row r="2898" spans="2:16" ht="15.75" customHeight="1">
      <c r="B2898" s="14"/>
      <c r="H2898" s="14"/>
      <c r="I2898" s="567"/>
      <c r="J2898" s="15"/>
      <c r="N2898" s="14"/>
      <c r="O2898" s="14"/>
      <c r="P2898" s="14"/>
    </row>
    <row r="2899" spans="2:16" ht="15.75" customHeight="1">
      <c r="B2899" s="14"/>
      <c r="H2899" s="14"/>
      <c r="I2899" s="567"/>
      <c r="J2899" s="15"/>
      <c r="N2899" s="14"/>
      <c r="O2899" s="14"/>
      <c r="P2899" s="14"/>
    </row>
    <row r="2900" spans="2:16" ht="15.75" customHeight="1">
      <c r="B2900" s="14"/>
      <c r="H2900" s="14"/>
      <c r="I2900" s="567"/>
      <c r="J2900" s="15"/>
      <c r="N2900" s="14"/>
      <c r="O2900" s="14"/>
      <c r="P2900" s="14"/>
    </row>
    <row r="2901" spans="2:16" ht="15.75" customHeight="1">
      <c r="B2901" s="14"/>
      <c r="H2901" s="14"/>
      <c r="I2901" s="567"/>
      <c r="J2901" s="15"/>
      <c r="N2901" s="14"/>
      <c r="O2901" s="14"/>
      <c r="P2901" s="14"/>
    </row>
    <row r="2902" spans="2:16" ht="15.75" customHeight="1">
      <c r="B2902" s="14"/>
      <c r="H2902" s="14"/>
      <c r="I2902" s="567"/>
      <c r="J2902" s="15"/>
      <c r="N2902" s="14"/>
      <c r="O2902" s="14"/>
      <c r="P2902" s="14"/>
    </row>
    <row r="2903" spans="2:16" ht="15.75" customHeight="1">
      <c r="B2903" s="14"/>
      <c r="H2903" s="14"/>
      <c r="I2903" s="567"/>
      <c r="J2903" s="15"/>
      <c r="N2903" s="14"/>
      <c r="O2903" s="14"/>
      <c r="P2903" s="14"/>
    </row>
    <row r="2904" spans="2:16" ht="15.75" customHeight="1">
      <c r="B2904" s="14"/>
      <c r="H2904" s="14"/>
      <c r="I2904" s="567"/>
      <c r="J2904" s="15"/>
      <c r="N2904" s="14"/>
      <c r="O2904" s="14"/>
      <c r="P2904" s="14"/>
    </row>
    <row r="2905" spans="2:16" ht="15.75" customHeight="1">
      <c r="B2905" s="14"/>
      <c r="H2905" s="14"/>
      <c r="I2905" s="567"/>
      <c r="J2905" s="15"/>
      <c r="N2905" s="14"/>
      <c r="O2905" s="14"/>
      <c r="P2905" s="14"/>
    </row>
    <row r="2906" spans="2:16" ht="15.75" customHeight="1">
      <c r="B2906" s="14"/>
      <c r="H2906" s="14"/>
      <c r="I2906" s="567"/>
      <c r="J2906" s="15"/>
      <c r="N2906" s="14"/>
      <c r="O2906" s="14"/>
      <c r="P2906" s="14"/>
    </row>
    <row r="2907" spans="2:16" ht="15.75" customHeight="1">
      <c r="B2907" s="14"/>
      <c r="H2907" s="14"/>
      <c r="I2907" s="567"/>
      <c r="J2907" s="15"/>
      <c r="N2907" s="14"/>
      <c r="O2907" s="14"/>
      <c r="P2907" s="14"/>
    </row>
    <row r="2908" spans="2:16" ht="15.75" customHeight="1">
      <c r="B2908" s="14"/>
      <c r="H2908" s="14"/>
      <c r="I2908" s="567"/>
      <c r="J2908" s="15"/>
      <c r="N2908" s="14"/>
      <c r="O2908" s="14"/>
      <c r="P2908" s="14"/>
    </row>
    <row r="2909" spans="2:16" ht="15.75" customHeight="1">
      <c r="B2909" s="14"/>
      <c r="H2909" s="14"/>
      <c r="I2909" s="567"/>
      <c r="J2909" s="15"/>
      <c r="N2909" s="14"/>
      <c r="O2909" s="14"/>
      <c r="P2909" s="14"/>
    </row>
    <row r="2910" spans="2:16" ht="15.75" customHeight="1">
      <c r="B2910" s="14"/>
      <c r="H2910" s="14"/>
      <c r="I2910" s="567"/>
      <c r="J2910" s="15"/>
      <c r="N2910" s="14"/>
      <c r="O2910" s="14"/>
      <c r="P2910" s="14"/>
    </row>
    <row r="2911" spans="2:16" ht="15.75" customHeight="1">
      <c r="B2911" s="14"/>
      <c r="H2911" s="14"/>
      <c r="I2911" s="567"/>
      <c r="J2911" s="15"/>
      <c r="N2911" s="14"/>
      <c r="O2911" s="14"/>
      <c r="P2911" s="14"/>
    </row>
    <row r="2912" spans="2:16" ht="15.75" customHeight="1">
      <c r="B2912" s="14"/>
      <c r="H2912" s="14"/>
      <c r="I2912" s="567"/>
      <c r="J2912" s="15"/>
      <c r="N2912" s="14"/>
      <c r="O2912" s="14"/>
      <c r="P2912" s="14"/>
    </row>
    <row r="2913" spans="2:16" ht="15.75" customHeight="1">
      <c r="B2913" s="14"/>
      <c r="H2913" s="14"/>
      <c r="I2913" s="567"/>
      <c r="J2913" s="15"/>
      <c r="N2913" s="14"/>
      <c r="O2913" s="14"/>
      <c r="P2913" s="14"/>
    </row>
    <row r="2914" spans="2:16" ht="15.75" customHeight="1">
      <c r="B2914" s="14"/>
      <c r="H2914" s="14"/>
      <c r="I2914" s="567"/>
      <c r="J2914" s="15"/>
      <c r="N2914" s="14"/>
      <c r="O2914" s="14"/>
      <c r="P2914" s="14"/>
    </row>
    <row r="2915" spans="2:16" ht="15.75" customHeight="1">
      <c r="B2915" s="14"/>
      <c r="H2915" s="14"/>
      <c r="I2915" s="567"/>
      <c r="J2915" s="15"/>
      <c r="N2915" s="14"/>
      <c r="O2915" s="14"/>
      <c r="P2915" s="14"/>
    </row>
    <row r="2916" spans="2:16" ht="15.75" customHeight="1">
      <c r="B2916" s="14"/>
      <c r="H2916" s="14"/>
      <c r="I2916" s="567"/>
      <c r="J2916" s="15"/>
      <c r="N2916" s="14"/>
      <c r="O2916" s="14"/>
      <c r="P2916" s="14"/>
    </row>
    <row r="2917" spans="2:16" ht="15.75" customHeight="1">
      <c r="B2917" s="14"/>
      <c r="H2917" s="14"/>
      <c r="I2917" s="567"/>
      <c r="J2917" s="15"/>
      <c r="N2917" s="14"/>
      <c r="O2917" s="14"/>
      <c r="P2917" s="14"/>
    </row>
    <row r="2918" spans="2:16" ht="15.75" customHeight="1">
      <c r="B2918" s="14"/>
      <c r="H2918" s="14"/>
      <c r="I2918" s="567"/>
      <c r="J2918" s="15"/>
      <c r="N2918" s="14"/>
      <c r="O2918" s="14"/>
      <c r="P2918" s="14"/>
    </row>
    <row r="2919" spans="2:16" ht="15.75" customHeight="1">
      <c r="B2919" s="14"/>
      <c r="H2919" s="14"/>
      <c r="I2919" s="567"/>
      <c r="J2919" s="15"/>
      <c r="N2919" s="14"/>
      <c r="O2919" s="14"/>
      <c r="P2919" s="14"/>
    </row>
    <row r="2920" spans="2:16" ht="15.75" customHeight="1">
      <c r="B2920" s="14"/>
      <c r="H2920" s="14"/>
      <c r="I2920" s="567"/>
      <c r="J2920" s="15"/>
      <c r="N2920" s="14"/>
      <c r="O2920" s="14"/>
      <c r="P2920" s="14"/>
    </row>
    <row r="2921" spans="2:16" ht="15.75" customHeight="1">
      <c r="B2921" s="14"/>
      <c r="H2921" s="14"/>
      <c r="I2921" s="567"/>
      <c r="J2921" s="15"/>
      <c r="N2921" s="14"/>
      <c r="O2921" s="14"/>
      <c r="P2921" s="14"/>
    </row>
    <row r="2922" spans="2:16" ht="15.75" customHeight="1">
      <c r="B2922" s="14"/>
      <c r="H2922" s="14"/>
      <c r="I2922" s="567"/>
      <c r="J2922" s="15"/>
      <c r="N2922" s="14"/>
      <c r="O2922" s="14"/>
      <c r="P2922" s="14"/>
    </row>
    <row r="2923" spans="2:16" ht="15.75" customHeight="1">
      <c r="B2923" s="14"/>
      <c r="H2923" s="14"/>
      <c r="I2923" s="567"/>
      <c r="J2923" s="15"/>
      <c r="N2923" s="14"/>
      <c r="O2923" s="14"/>
      <c r="P2923" s="14"/>
    </row>
    <row r="2924" spans="2:16" ht="15.75" customHeight="1">
      <c r="B2924" s="14"/>
      <c r="H2924" s="14"/>
      <c r="I2924" s="567"/>
      <c r="J2924" s="15"/>
      <c r="N2924" s="14"/>
      <c r="O2924" s="14"/>
      <c r="P2924" s="14"/>
    </row>
    <row r="2925" spans="2:16" ht="15.75" customHeight="1">
      <c r="B2925" s="14"/>
      <c r="H2925" s="14"/>
      <c r="I2925" s="567"/>
      <c r="J2925" s="15"/>
      <c r="N2925" s="14"/>
      <c r="O2925" s="14"/>
      <c r="P2925" s="14"/>
    </row>
    <row r="2926" spans="2:16" ht="15.75" customHeight="1">
      <c r="B2926" s="14"/>
      <c r="H2926" s="14"/>
      <c r="I2926" s="567"/>
      <c r="J2926" s="15"/>
      <c r="N2926" s="14"/>
      <c r="O2926" s="14"/>
      <c r="P2926" s="14"/>
    </row>
    <row r="2927" spans="2:16" ht="15.75" customHeight="1">
      <c r="B2927" s="14"/>
      <c r="H2927" s="14"/>
      <c r="I2927" s="567"/>
      <c r="J2927" s="15"/>
      <c r="N2927" s="14"/>
      <c r="O2927" s="14"/>
      <c r="P2927" s="14"/>
    </row>
    <row r="2928" spans="2:16" ht="15.75" customHeight="1">
      <c r="B2928" s="14"/>
      <c r="H2928" s="14"/>
      <c r="I2928" s="567"/>
      <c r="J2928" s="15"/>
      <c r="N2928" s="14"/>
      <c r="O2928" s="14"/>
      <c r="P2928" s="14"/>
    </row>
    <row r="2929" spans="2:16" ht="15.75" customHeight="1">
      <c r="B2929" s="14"/>
      <c r="H2929" s="14"/>
      <c r="I2929" s="567"/>
      <c r="J2929" s="15"/>
      <c r="N2929" s="14"/>
      <c r="O2929" s="14"/>
      <c r="P2929" s="14"/>
    </row>
    <row r="2930" spans="2:16" ht="15.75" customHeight="1">
      <c r="B2930" s="14"/>
      <c r="H2930" s="14"/>
      <c r="I2930" s="567"/>
      <c r="J2930" s="15"/>
      <c r="N2930" s="14"/>
      <c r="O2930" s="14"/>
      <c r="P2930" s="14"/>
    </row>
    <row r="2931" spans="2:16" ht="15.75" customHeight="1">
      <c r="B2931" s="14"/>
      <c r="H2931" s="14"/>
      <c r="I2931" s="567"/>
      <c r="J2931" s="15"/>
      <c r="N2931" s="14"/>
      <c r="O2931" s="14"/>
      <c r="P2931" s="14"/>
    </row>
    <row r="2932" spans="2:16" ht="15.75" customHeight="1">
      <c r="B2932" s="14"/>
      <c r="H2932" s="14"/>
      <c r="I2932" s="567"/>
      <c r="J2932" s="15"/>
      <c r="N2932" s="14"/>
      <c r="O2932" s="14"/>
      <c r="P2932" s="14"/>
    </row>
    <row r="2933" spans="2:16" ht="15.75" customHeight="1">
      <c r="B2933" s="14"/>
      <c r="H2933" s="14"/>
      <c r="I2933" s="567"/>
      <c r="J2933" s="15"/>
      <c r="N2933" s="14"/>
      <c r="O2933" s="14"/>
      <c r="P2933" s="14"/>
    </row>
    <row r="2934" spans="2:16" ht="15.75" customHeight="1">
      <c r="B2934" s="14"/>
      <c r="H2934" s="14"/>
      <c r="I2934" s="567"/>
      <c r="J2934" s="15"/>
      <c r="N2934" s="14"/>
      <c r="O2934" s="14"/>
      <c r="P2934" s="14"/>
    </row>
    <row r="2935" spans="2:16" ht="15.75" customHeight="1">
      <c r="B2935" s="14"/>
      <c r="H2935" s="14"/>
      <c r="I2935" s="567"/>
      <c r="J2935" s="15"/>
      <c r="N2935" s="14"/>
      <c r="O2935" s="14"/>
      <c r="P2935" s="14"/>
    </row>
    <row r="2936" spans="2:16" ht="15.75" customHeight="1">
      <c r="B2936" s="14"/>
      <c r="H2936" s="14"/>
      <c r="I2936" s="567"/>
      <c r="J2936" s="15"/>
      <c r="N2936" s="14"/>
      <c r="O2936" s="14"/>
      <c r="P2936" s="14"/>
    </row>
    <row r="2937" spans="2:16" ht="15.75" customHeight="1">
      <c r="B2937" s="14"/>
      <c r="H2937" s="14"/>
      <c r="I2937" s="567"/>
      <c r="J2937" s="15"/>
      <c r="N2937" s="14"/>
      <c r="O2937" s="14"/>
      <c r="P2937" s="14"/>
    </row>
    <row r="2938" spans="2:16" ht="15.75" customHeight="1">
      <c r="B2938" s="14"/>
      <c r="H2938" s="14"/>
      <c r="I2938" s="567"/>
      <c r="J2938" s="15"/>
      <c r="N2938" s="14"/>
      <c r="O2938" s="14"/>
      <c r="P2938" s="14"/>
    </row>
    <row r="2939" spans="2:16" ht="15.75" customHeight="1">
      <c r="B2939" s="14"/>
      <c r="H2939" s="14"/>
      <c r="I2939" s="567"/>
      <c r="J2939" s="15"/>
      <c r="N2939" s="14"/>
      <c r="O2939" s="14"/>
      <c r="P2939" s="14"/>
    </row>
    <row r="2940" spans="2:16" ht="15.75" customHeight="1">
      <c r="B2940" s="14"/>
      <c r="H2940" s="14"/>
      <c r="I2940" s="567"/>
      <c r="J2940" s="15"/>
      <c r="N2940" s="14"/>
      <c r="O2940" s="14"/>
      <c r="P2940" s="14"/>
    </row>
    <row r="2941" spans="2:16" ht="15.75" customHeight="1">
      <c r="B2941" s="14"/>
      <c r="H2941" s="14"/>
      <c r="I2941" s="567"/>
      <c r="J2941" s="15"/>
      <c r="N2941" s="14"/>
      <c r="O2941" s="14"/>
      <c r="P2941" s="14"/>
    </row>
    <row r="2942" spans="2:16" ht="15.75" customHeight="1">
      <c r="B2942" s="14"/>
      <c r="H2942" s="14"/>
      <c r="I2942" s="567"/>
      <c r="J2942" s="15"/>
      <c r="N2942" s="14"/>
      <c r="O2942" s="14"/>
      <c r="P2942" s="14"/>
    </row>
    <row r="2943" spans="2:16" ht="15.75" customHeight="1">
      <c r="B2943" s="14"/>
      <c r="H2943" s="14"/>
      <c r="I2943" s="567"/>
      <c r="J2943" s="15"/>
      <c r="N2943" s="14"/>
      <c r="O2943" s="14"/>
      <c r="P2943" s="14"/>
    </row>
    <row r="2944" spans="2:16" ht="15.75" customHeight="1">
      <c r="B2944" s="14"/>
      <c r="H2944" s="14"/>
      <c r="I2944" s="567"/>
      <c r="J2944" s="15"/>
      <c r="N2944" s="14"/>
      <c r="O2944" s="14"/>
      <c r="P2944" s="14"/>
    </row>
    <row r="2945" spans="2:16" ht="15.75" customHeight="1">
      <c r="B2945" s="14"/>
      <c r="H2945" s="14"/>
      <c r="I2945" s="567"/>
      <c r="J2945" s="15"/>
      <c r="N2945" s="14"/>
      <c r="O2945" s="14"/>
      <c r="P2945" s="14"/>
    </row>
    <row r="2946" spans="2:16" ht="15.75" customHeight="1">
      <c r="B2946" s="14"/>
      <c r="H2946" s="14"/>
      <c r="I2946" s="567"/>
      <c r="J2946" s="15"/>
      <c r="N2946" s="14"/>
      <c r="O2946" s="14"/>
      <c r="P2946" s="14"/>
    </row>
    <row r="2947" spans="2:16" ht="15.75" customHeight="1">
      <c r="B2947" s="14"/>
      <c r="H2947" s="14"/>
      <c r="I2947" s="567"/>
      <c r="J2947" s="15"/>
      <c r="N2947" s="14"/>
      <c r="O2947" s="14"/>
      <c r="P2947" s="14"/>
    </row>
    <row r="2948" spans="2:16" ht="15.75" customHeight="1">
      <c r="B2948" s="14"/>
      <c r="H2948" s="14"/>
      <c r="I2948" s="567"/>
      <c r="J2948" s="15"/>
      <c r="N2948" s="14"/>
      <c r="O2948" s="14"/>
      <c r="P2948" s="14"/>
    </row>
    <row r="2949" spans="2:16" ht="15.75" customHeight="1">
      <c r="B2949" s="14"/>
      <c r="H2949" s="14"/>
      <c r="I2949" s="567"/>
      <c r="J2949" s="15"/>
      <c r="N2949" s="14"/>
      <c r="O2949" s="14"/>
      <c r="P2949" s="14"/>
    </row>
    <row r="2950" spans="2:16" ht="15.75" customHeight="1">
      <c r="B2950" s="14"/>
      <c r="H2950" s="14"/>
      <c r="I2950" s="567"/>
      <c r="J2950" s="15"/>
      <c r="N2950" s="14"/>
      <c r="O2950" s="14"/>
      <c r="P2950" s="14"/>
    </row>
    <row r="2951" spans="2:16" ht="15.75" customHeight="1">
      <c r="B2951" s="14"/>
      <c r="H2951" s="14"/>
      <c r="I2951" s="567"/>
      <c r="J2951" s="15"/>
      <c r="N2951" s="14"/>
      <c r="O2951" s="14"/>
      <c r="P2951" s="14"/>
    </row>
    <row r="2952" spans="2:16" ht="15.75" customHeight="1">
      <c r="B2952" s="14"/>
      <c r="H2952" s="14"/>
      <c r="I2952" s="567"/>
      <c r="J2952" s="15"/>
      <c r="N2952" s="14"/>
      <c r="O2952" s="14"/>
      <c r="P2952" s="14"/>
    </row>
    <row r="2953" spans="2:16" ht="15.75" customHeight="1">
      <c r="B2953" s="14"/>
      <c r="H2953" s="14"/>
      <c r="I2953" s="567"/>
      <c r="J2953" s="15"/>
      <c r="N2953" s="14"/>
      <c r="O2953" s="14"/>
      <c r="P2953" s="14"/>
    </row>
    <row r="2954" spans="2:16" ht="15.75" customHeight="1">
      <c r="B2954" s="14"/>
      <c r="H2954" s="14"/>
      <c r="I2954" s="567"/>
      <c r="J2954" s="15"/>
      <c r="N2954" s="14"/>
      <c r="O2954" s="14"/>
      <c r="P2954" s="14"/>
    </row>
    <row r="2955" spans="2:16" ht="15.75" customHeight="1">
      <c r="B2955" s="14"/>
      <c r="H2955" s="14"/>
      <c r="I2955" s="567"/>
      <c r="J2955" s="15"/>
      <c r="N2955" s="14"/>
      <c r="O2955" s="14"/>
      <c r="P2955" s="14"/>
    </row>
    <row r="2956" spans="2:16" ht="15.75" customHeight="1">
      <c r="B2956" s="14"/>
      <c r="H2956" s="14"/>
      <c r="I2956" s="567"/>
      <c r="J2956" s="15"/>
      <c r="N2956" s="14"/>
      <c r="O2956" s="14"/>
      <c r="P2956" s="14"/>
    </row>
    <row r="2957" spans="2:16" ht="15.75" customHeight="1">
      <c r="B2957" s="14"/>
      <c r="H2957" s="14"/>
      <c r="I2957" s="567"/>
      <c r="J2957" s="15"/>
      <c r="N2957" s="14"/>
      <c r="O2957" s="14"/>
      <c r="P2957" s="14"/>
    </row>
    <row r="2958" spans="2:16" ht="15.75" customHeight="1">
      <c r="B2958" s="14"/>
      <c r="H2958" s="14"/>
      <c r="I2958" s="567"/>
      <c r="J2958" s="15"/>
      <c r="N2958" s="14"/>
      <c r="O2958" s="14"/>
      <c r="P2958" s="14"/>
    </row>
    <row r="2959" spans="2:16" ht="15.75" customHeight="1">
      <c r="B2959" s="14"/>
      <c r="H2959" s="14"/>
      <c r="I2959" s="567"/>
      <c r="J2959" s="15"/>
      <c r="N2959" s="14"/>
      <c r="O2959" s="14"/>
      <c r="P2959" s="14"/>
    </row>
    <row r="2960" spans="2:16" ht="15.75" customHeight="1">
      <c r="B2960" s="14"/>
      <c r="H2960" s="14"/>
      <c r="I2960" s="567"/>
      <c r="J2960" s="15"/>
      <c r="N2960" s="14"/>
      <c r="O2960" s="14"/>
      <c r="P2960" s="14"/>
    </row>
    <row r="2961" spans="2:16" ht="15.75" customHeight="1">
      <c r="B2961" s="14"/>
      <c r="H2961" s="14"/>
      <c r="I2961" s="567"/>
      <c r="J2961" s="15"/>
      <c r="N2961" s="14"/>
      <c r="O2961" s="14"/>
      <c r="P2961" s="14"/>
    </row>
    <row r="2962" spans="2:16" ht="15.75" customHeight="1">
      <c r="B2962" s="14"/>
      <c r="H2962" s="14"/>
      <c r="I2962" s="567"/>
      <c r="J2962" s="15"/>
      <c r="N2962" s="14"/>
      <c r="O2962" s="14"/>
      <c r="P2962" s="14"/>
    </row>
    <row r="2963" spans="2:16" ht="15.75" customHeight="1">
      <c r="B2963" s="14"/>
      <c r="H2963" s="14"/>
      <c r="I2963" s="567"/>
      <c r="J2963" s="15"/>
      <c r="N2963" s="14"/>
      <c r="O2963" s="14"/>
      <c r="P2963" s="14"/>
    </row>
    <row r="2964" spans="2:16" ht="15.75" customHeight="1">
      <c r="B2964" s="14"/>
      <c r="H2964" s="14"/>
      <c r="I2964" s="567"/>
      <c r="J2964" s="15"/>
      <c r="N2964" s="14"/>
      <c r="O2964" s="14"/>
      <c r="P2964" s="14"/>
    </row>
    <row r="2965" spans="2:16" ht="15.75" customHeight="1">
      <c r="B2965" s="14"/>
      <c r="H2965" s="14"/>
      <c r="I2965" s="567"/>
      <c r="J2965" s="15"/>
      <c r="N2965" s="14"/>
      <c r="O2965" s="14"/>
      <c r="P2965" s="14"/>
    </row>
    <row r="2966" spans="2:16" ht="15.75" customHeight="1">
      <c r="B2966" s="14"/>
      <c r="H2966" s="14"/>
      <c r="I2966" s="567"/>
      <c r="J2966" s="15"/>
      <c r="N2966" s="14"/>
      <c r="O2966" s="14"/>
      <c r="P2966" s="14"/>
    </row>
    <row r="2967" spans="2:16" ht="15.75" customHeight="1">
      <c r="B2967" s="14"/>
      <c r="H2967" s="14"/>
      <c r="I2967" s="567"/>
      <c r="J2967" s="15"/>
      <c r="N2967" s="14"/>
      <c r="O2967" s="14"/>
      <c r="P2967" s="14"/>
    </row>
    <row r="2968" spans="2:16" ht="15.75" customHeight="1">
      <c r="B2968" s="14"/>
      <c r="H2968" s="14"/>
      <c r="I2968" s="567"/>
      <c r="J2968" s="15"/>
      <c r="N2968" s="14"/>
      <c r="O2968" s="14"/>
      <c r="P2968" s="14"/>
    </row>
    <row r="2969" spans="2:16" ht="15.75" customHeight="1">
      <c r="B2969" s="14"/>
      <c r="H2969" s="14"/>
      <c r="I2969" s="567"/>
      <c r="J2969" s="15"/>
      <c r="N2969" s="14"/>
      <c r="O2969" s="14"/>
      <c r="P2969" s="14"/>
    </row>
    <row r="2970" spans="2:16" ht="15.75" customHeight="1">
      <c r="B2970" s="14"/>
      <c r="H2970" s="14"/>
      <c r="I2970" s="567"/>
      <c r="J2970" s="15"/>
      <c r="N2970" s="14"/>
      <c r="O2970" s="14"/>
      <c r="P2970" s="14"/>
    </row>
    <row r="2971" spans="2:16" ht="15.75" customHeight="1">
      <c r="B2971" s="14"/>
      <c r="H2971" s="14"/>
      <c r="I2971" s="567"/>
      <c r="J2971" s="15"/>
      <c r="N2971" s="14"/>
      <c r="O2971" s="14"/>
      <c r="P2971" s="14"/>
    </row>
    <row r="2972" spans="2:16" ht="15.75" customHeight="1">
      <c r="B2972" s="14"/>
      <c r="H2972" s="14"/>
      <c r="I2972" s="567"/>
      <c r="J2972" s="15"/>
      <c r="N2972" s="14"/>
      <c r="O2972" s="14"/>
      <c r="P2972" s="14"/>
    </row>
    <row r="2973" spans="2:16" ht="15.75" customHeight="1">
      <c r="B2973" s="14"/>
      <c r="H2973" s="14"/>
      <c r="I2973" s="567"/>
      <c r="J2973" s="15"/>
      <c r="N2973" s="14"/>
      <c r="O2973" s="14"/>
      <c r="P2973" s="14"/>
    </row>
    <row r="2974" spans="2:16" ht="15.75" customHeight="1">
      <c r="B2974" s="14"/>
      <c r="H2974" s="14"/>
      <c r="I2974" s="567"/>
      <c r="J2974" s="15"/>
      <c r="N2974" s="14"/>
      <c r="O2974" s="14"/>
      <c r="P2974" s="14"/>
    </row>
    <row r="2975" spans="2:16" ht="15.75" customHeight="1">
      <c r="B2975" s="14"/>
      <c r="H2975" s="14"/>
      <c r="I2975" s="567"/>
      <c r="J2975" s="15"/>
      <c r="N2975" s="14"/>
      <c r="O2975" s="14"/>
      <c r="P2975" s="14"/>
    </row>
    <row r="2976" spans="2:16" ht="15.75" customHeight="1">
      <c r="B2976" s="14"/>
      <c r="H2976" s="14"/>
      <c r="I2976" s="567"/>
      <c r="J2976" s="15"/>
      <c r="N2976" s="14"/>
      <c r="O2976" s="14"/>
      <c r="P2976" s="14"/>
    </row>
    <row r="2977" spans="2:16" ht="15.75" customHeight="1">
      <c r="B2977" s="14"/>
      <c r="H2977" s="14"/>
      <c r="I2977" s="567"/>
      <c r="J2977" s="15"/>
      <c r="N2977" s="14"/>
      <c r="O2977" s="14"/>
      <c r="P2977" s="14"/>
    </row>
    <row r="2978" spans="2:16" ht="15.75" customHeight="1">
      <c r="B2978" s="14"/>
      <c r="H2978" s="14"/>
      <c r="I2978" s="567"/>
      <c r="J2978" s="15"/>
      <c r="N2978" s="14"/>
      <c r="O2978" s="14"/>
      <c r="P2978" s="14"/>
    </row>
    <row r="2979" spans="2:16" ht="15.75" customHeight="1">
      <c r="B2979" s="14"/>
      <c r="H2979" s="14"/>
      <c r="I2979" s="567"/>
      <c r="J2979" s="15"/>
      <c r="N2979" s="14"/>
      <c r="O2979" s="14"/>
      <c r="P2979" s="14"/>
    </row>
    <row r="2980" spans="2:16" ht="15.75" customHeight="1">
      <c r="B2980" s="14"/>
      <c r="H2980" s="14"/>
      <c r="I2980" s="567"/>
      <c r="J2980" s="15"/>
      <c r="N2980" s="14"/>
      <c r="O2980" s="14"/>
      <c r="P2980" s="14"/>
    </row>
    <row r="2981" spans="2:16" ht="15.75" customHeight="1">
      <c r="B2981" s="14"/>
      <c r="H2981" s="14"/>
      <c r="I2981" s="567"/>
      <c r="J2981" s="15"/>
      <c r="N2981" s="14"/>
      <c r="O2981" s="14"/>
      <c r="P2981" s="14"/>
    </row>
    <row r="2982" spans="2:16" ht="15.75" customHeight="1">
      <c r="B2982" s="14"/>
      <c r="H2982" s="14"/>
      <c r="I2982" s="567"/>
      <c r="J2982" s="15"/>
      <c r="N2982" s="14"/>
      <c r="O2982" s="14"/>
      <c r="P2982" s="14"/>
    </row>
    <row r="2983" spans="2:16" ht="15.75" customHeight="1">
      <c r="B2983" s="14"/>
      <c r="H2983" s="14"/>
      <c r="I2983" s="567"/>
      <c r="J2983" s="15"/>
      <c r="N2983" s="14"/>
      <c r="O2983" s="14"/>
      <c r="P2983" s="14"/>
    </row>
    <row r="2984" spans="2:16" ht="15.75" customHeight="1">
      <c r="B2984" s="14"/>
      <c r="H2984" s="14"/>
      <c r="I2984" s="567"/>
      <c r="J2984" s="15"/>
      <c r="N2984" s="14"/>
      <c r="O2984" s="14"/>
      <c r="P2984" s="14"/>
    </row>
    <row r="2985" spans="2:16" ht="15.75" customHeight="1">
      <c r="B2985" s="14"/>
      <c r="H2985" s="14"/>
      <c r="I2985" s="567"/>
      <c r="J2985" s="15"/>
      <c r="N2985" s="14"/>
      <c r="O2985" s="14"/>
      <c r="P2985" s="14"/>
    </row>
    <row r="2986" spans="2:16" ht="15.75" customHeight="1">
      <c r="B2986" s="14"/>
      <c r="H2986" s="14"/>
      <c r="I2986" s="567"/>
      <c r="J2986" s="15"/>
      <c r="N2986" s="14"/>
      <c r="O2986" s="14"/>
      <c r="P2986" s="14"/>
    </row>
    <row r="2987" spans="2:16" ht="15.75" customHeight="1">
      <c r="B2987" s="14"/>
      <c r="H2987" s="14"/>
      <c r="I2987" s="567"/>
      <c r="J2987" s="15"/>
      <c r="N2987" s="14"/>
      <c r="O2987" s="14"/>
      <c r="P2987" s="14"/>
    </row>
    <row r="2988" spans="2:16" ht="15.75" customHeight="1">
      <c r="B2988" s="14"/>
      <c r="H2988" s="14"/>
      <c r="I2988" s="567"/>
      <c r="J2988" s="15"/>
      <c r="N2988" s="14"/>
      <c r="O2988" s="14"/>
      <c r="P2988" s="14"/>
    </row>
    <row r="2989" spans="2:16" ht="15.75" customHeight="1">
      <c r="B2989" s="14"/>
      <c r="H2989" s="14"/>
      <c r="I2989" s="567"/>
      <c r="J2989" s="15"/>
      <c r="N2989" s="14"/>
      <c r="O2989" s="14"/>
      <c r="P2989" s="14"/>
    </row>
    <row r="2990" spans="2:16" ht="15.75" customHeight="1">
      <c r="B2990" s="14"/>
      <c r="H2990" s="14"/>
      <c r="I2990" s="567"/>
      <c r="J2990" s="15"/>
      <c r="N2990" s="14"/>
      <c r="O2990" s="14"/>
      <c r="P2990" s="14"/>
    </row>
    <row r="2991" spans="2:16" ht="15.75" customHeight="1">
      <c r="B2991" s="14"/>
      <c r="H2991" s="14"/>
      <c r="I2991" s="567"/>
      <c r="J2991" s="15"/>
      <c r="N2991" s="14"/>
      <c r="O2991" s="14"/>
      <c r="P2991" s="14"/>
    </row>
    <row r="2992" spans="2:16" ht="15.75" customHeight="1">
      <c r="B2992" s="14"/>
      <c r="H2992" s="14"/>
      <c r="I2992" s="567"/>
      <c r="J2992" s="15"/>
      <c r="N2992" s="14"/>
      <c r="O2992" s="14"/>
      <c r="P2992" s="14"/>
    </row>
    <row r="2993" spans="2:16" ht="15.75" customHeight="1">
      <c r="B2993" s="14"/>
      <c r="H2993" s="14"/>
      <c r="I2993" s="567"/>
      <c r="J2993" s="15"/>
      <c r="N2993" s="14"/>
      <c r="O2993" s="14"/>
      <c r="P2993" s="14"/>
    </row>
    <row r="2994" spans="2:16" ht="15.75" customHeight="1">
      <c r="B2994" s="14"/>
      <c r="H2994" s="14"/>
      <c r="I2994" s="567"/>
      <c r="J2994" s="15"/>
      <c r="N2994" s="14"/>
      <c r="O2994" s="14"/>
      <c r="P2994" s="14"/>
    </row>
    <row r="2995" spans="2:16" ht="15.75" customHeight="1">
      <c r="B2995" s="14"/>
      <c r="H2995" s="14"/>
      <c r="I2995" s="567"/>
      <c r="J2995" s="15"/>
      <c r="N2995" s="14"/>
      <c r="O2995" s="14"/>
      <c r="P2995" s="14"/>
    </row>
    <row r="2996" spans="2:16" ht="15.75" customHeight="1">
      <c r="B2996" s="14"/>
      <c r="H2996" s="14"/>
      <c r="I2996" s="567"/>
      <c r="J2996" s="15"/>
      <c r="N2996" s="14"/>
      <c r="O2996" s="14"/>
      <c r="P2996" s="14"/>
    </row>
    <row r="2997" spans="2:16" ht="15.75" customHeight="1">
      <c r="B2997" s="14"/>
      <c r="H2997" s="14"/>
      <c r="I2997" s="567"/>
      <c r="J2997" s="15"/>
      <c r="N2997" s="14"/>
      <c r="O2997" s="14"/>
      <c r="P2997" s="14"/>
    </row>
    <row r="2998" spans="2:16" ht="15.75" customHeight="1">
      <c r="B2998" s="14"/>
      <c r="H2998" s="14"/>
      <c r="I2998" s="567"/>
      <c r="J2998" s="15"/>
      <c r="N2998" s="14"/>
      <c r="O2998" s="14"/>
      <c r="P2998" s="14"/>
    </row>
    <row r="2999" spans="2:16" ht="15.75" customHeight="1">
      <c r="B2999" s="14"/>
      <c r="H2999" s="14"/>
      <c r="I2999" s="567"/>
      <c r="J2999" s="15"/>
      <c r="N2999" s="14"/>
      <c r="O2999" s="14"/>
      <c r="P2999" s="14"/>
    </row>
    <row r="3000" spans="2:16" ht="15.75" customHeight="1">
      <c r="B3000" s="14"/>
      <c r="H3000" s="14"/>
      <c r="I3000" s="567"/>
      <c r="J3000" s="15"/>
      <c r="N3000" s="14"/>
      <c r="O3000" s="14"/>
      <c r="P3000" s="14"/>
    </row>
    <row r="3001" spans="2:16" ht="15.75" customHeight="1">
      <c r="B3001" s="14"/>
      <c r="H3001" s="14"/>
      <c r="I3001" s="567"/>
      <c r="J3001" s="15"/>
      <c r="N3001" s="14"/>
      <c r="O3001" s="14"/>
      <c r="P3001" s="14"/>
    </row>
    <row r="3002" spans="2:16" ht="15.75" customHeight="1">
      <c r="B3002" s="14"/>
      <c r="H3002" s="14"/>
      <c r="I3002" s="567"/>
      <c r="J3002" s="15"/>
      <c r="N3002" s="14"/>
      <c r="O3002" s="14"/>
      <c r="P3002" s="14"/>
    </row>
    <row r="3003" spans="2:16" ht="15.75" customHeight="1">
      <c r="B3003" s="14"/>
      <c r="H3003" s="14"/>
      <c r="I3003" s="567"/>
      <c r="J3003" s="15"/>
      <c r="N3003" s="14"/>
      <c r="O3003" s="14"/>
      <c r="P3003" s="14"/>
    </row>
    <row r="3004" spans="2:16" ht="15.75" customHeight="1">
      <c r="B3004" s="14"/>
      <c r="H3004" s="14"/>
      <c r="I3004" s="567"/>
      <c r="J3004" s="15"/>
      <c r="N3004" s="14"/>
      <c r="O3004" s="14"/>
      <c r="P3004" s="14"/>
    </row>
    <row r="3005" spans="2:16" ht="15.75" customHeight="1">
      <c r="B3005" s="14"/>
      <c r="H3005" s="14"/>
      <c r="I3005" s="567"/>
      <c r="J3005" s="15"/>
      <c r="N3005" s="14"/>
      <c r="O3005" s="14"/>
      <c r="P3005" s="14"/>
    </row>
    <row r="3006" spans="2:16" ht="15.75" customHeight="1">
      <c r="B3006" s="14"/>
      <c r="H3006" s="14"/>
      <c r="I3006" s="567"/>
      <c r="J3006" s="15"/>
      <c r="N3006" s="14"/>
      <c r="O3006" s="14"/>
      <c r="P3006" s="14"/>
    </row>
    <row r="3007" spans="2:16" ht="15.75" customHeight="1">
      <c r="B3007" s="14"/>
      <c r="H3007" s="14"/>
      <c r="I3007" s="567"/>
      <c r="J3007" s="15"/>
      <c r="N3007" s="14"/>
      <c r="O3007" s="14"/>
      <c r="P3007" s="14"/>
    </row>
    <row r="3008" spans="2:16" ht="15.75" customHeight="1">
      <c r="B3008" s="14"/>
      <c r="H3008" s="14"/>
      <c r="I3008" s="567"/>
      <c r="J3008" s="15"/>
      <c r="N3008" s="14"/>
      <c r="O3008" s="14"/>
      <c r="P3008" s="14"/>
    </row>
    <row r="3009" spans="2:16" ht="15.75" customHeight="1">
      <c r="B3009" s="14"/>
      <c r="H3009" s="14"/>
      <c r="I3009" s="567"/>
      <c r="J3009" s="15"/>
      <c r="N3009" s="14"/>
      <c r="O3009" s="14"/>
      <c r="P3009" s="14"/>
    </row>
    <row r="3010" spans="2:16" ht="15.75" customHeight="1">
      <c r="B3010" s="14"/>
      <c r="H3010" s="14"/>
      <c r="I3010" s="567"/>
      <c r="J3010" s="15"/>
      <c r="N3010" s="14"/>
      <c r="O3010" s="14"/>
      <c r="P3010" s="14"/>
    </row>
    <row r="3011" spans="2:16" ht="15.75" customHeight="1">
      <c r="B3011" s="14"/>
      <c r="H3011" s="14"/>
      <c r="I3011" s="567"/>
      <c r="J3011" s="15"/>
      <c r="N3011" s="14"/>
      <c r="O3011" s="14"/>
      <c r="P3011" s="14"/>
    </row>
    <row r="3012" spans="2:16" ht="15.75" customHeight="1">
      <c r="B3012" s="14"/>
      <c r="H3012" s="14"/>
      <c r="I3012" s="567"/>
      <c r="J3012" s="15"/>
      <c r="N3012" s="14"/>
      <c r="O3012" s="14"/>
      <c r="P3012" s="14"/>
    </row>
    <row r="3013" spans="2:16" ht="15.75" customHeight="1">
      <c r="B3013" s="14"/>
      <c r="H3013" s="14"/>
      <c r="I3013" s="567"/>
      <c r="J3013" s="15"/>
      <c r="N3013" s="14"/>
      <c r="O3013" s="14"/>
      <c r="P3013" s="14"/>
    </row>
    <row r="3014" spans="2:16" ht="15.75" customHeight="1">
      <c r="B3014" s="14"/>
      <c r="H3014" s="14"/>
      <c r="I3014" s="567"/>
      <c r="J3014" s="15"/>
      <c r="N3014" s="14"/>
      <c r="O3014" s="14"/>
      <c r="P3014" s="14"/>
    </row>
    <row r="3015" spans="2:16" ht="15.75" customHeight="1">
      <c r="B3015" s="14"/>
      <c r="H3015" s="14"/>
      <c r="I3015" s="567"/>
      <c r="J3015" s="15"/>
      <c r="N3015" s="14"/>
      <c r="O3015" s="14"/>
      <c r="P3015" s="14"/>
    </row>
    <row r="3016" spans="2:16" ht="15.75" customHeight="1">
      <c r="B3016" s="14"/>
      <c r="H3016" s="14"/>
      <c r="I3016" s="567"/>
      <c r="J3016" s="15"/>
      <c r="N3016" s="14"/>
      <c r="O3016" s="14"/>
      <c r="P3016" s="14"/>
    </row>
    <row r="3017" spans="2:16" ht="15.75" customHeight="1">
      <c r="B3017" s="14"/>
      <c r="H3017" s="14"/>
      <c r="I3017" s="567"/>
      <c r="J3017" s="15"/>
      <c r="N3017" s="14"/>
      <c r="O3017" s="14"/>
      <c r="P3017" s="14"/>
    </row>
    <row r="3018" spans="2:16" ht="15.75" customHeight="1">
      <c r="B3018" s="14"/>
      <c r="H3018" s="14"/>
      <c r="I3018" s="567"/>
      <c r="J3018" s="15"/>
      <c r="N3018" s="14"/>
      <c r="O3018" s="14"/>
      <c r="P3018" s="14"/>
    </row>
    <row r="3019" spans="2:16" ht="15.75" customHeight="1">
      <c r="B3019" s="14"/>
      <c r="H3019" s="14"/>
      <c r="I3019" s="567"/>
      <c r="J3019" s="15"/>
      <c r="N3019" s="14"/>
      <c r="O3019" s="14"/>
      <c r="P3019" s="14"/>
    </row>
    <row r="3020" spans="2:16" ht="15.75" customHeight="1">
      <c r="B3020" s="14"/>
      <c r="H3020" s="14"/>
      <c r="I3020" s="567"/>
      <c r="J3020" s="15"/>
      <c r="N3020" s="14"/>
      <c r="O3020" s="14"/>
      <c r="P3020" s="14"/>
    </row>
    <row r="3021" spans="2:16" ht="15.75" customHeight="1">
      <c r="B3021" s="14"/>
      <c r="H3021" s="14"/>
      <c r="I3021" s="567"/>
      <c r="J3021" s="15"/>
      <c r="N3021" s="14"/>
      <c r="O3021" s="14"/>
      <c r="P3021" s="14"/>
    </row>
    <row r="3022" spans="2:16" ht="15.75" customHeight="1">
      <c r="B3022" s="14"/>
      <c r="H3022" s="14"/>
      <c r="I3022" s="567"/>
      <c r="J3022" s="15"/>
      <c r="N3022" s="14"/>
      <c r="O3022" s="14"/>
      <c r="P3022" s="14"/>
    </row>
    <row r="3023" spans="2:16" ht="15.75" customHeight="1">
      <c r="B3023" s="14"/>
      <c r="H3023" s="14"/>
      <c r="I3023" s="567"/>
      <c r="J3023" s="15"/>
      <c r="N3023" s="14"/>
      <c r="O3023" s="14"/>
      <c r="P3023" s="14"/>
    </row>
    <row r="3024" spans="2:16" ht="15.75" customHeight="1">
      <c r="B3024" s="14"/>
      <c r="H3024" s="14"/>
      <c r="I3024" s="567"/>
      <c r="J3024" s="15"/>
      <c r="N3024" s="14"/>
      <c r="O3024" s="14"/>
      <c r="P3024" s="14"/>
    </row>
    <row r="3025" spans="2:16" ht="15.75" customHeight="1">
      <c r="B3025" s="14"/>
      <c r="H3025" s="14"/>
      <c r="I3025" s="567"/>
      <c r="J3025" s="15"/>
      <c r="N3025" s="14"/>
      <c r="O3025" s="14"/>
      <c r="P3025" s="14"/>
    </row>
    <row r="3026" spans="2:16" ht="15.75" customHeight="1">
      <c r="B3026" s="14"/>
      <c r="H3026" s="14"/>
      <c r="I3026" s="567"/>
      <c r="J3026" s="15"/>
      <c r="N3026" s="14"/>
      <c r="O3026" s="14"/>
      <c r="P3026" s="14"/>
    </row>
    <row r="3027" spans="2:16" ht="15.75" customHeight="1">
      <c r="B3027" s="14"/>
      <c r="H3027" s="14"/>
      <c r="I3027" s="567"/>
      <c r="J3027" s="15"/>
      <c r="N3027" s="14"/>
      <c r="O3027" s="14"/>
      <c r="P3027" s="14"/>
    </row>
    <row r="3028" spans="2:16" ht="15.75" customHeight="1">
      <c r="B3028" s="14"/>
      <c r="H3028" s="14"/>
      <c r="I3028" s="567"/>
      <c r="J3028" s="15"/>
      <c r="N3028" s="14"/>
      <c r="O3028" s="14"/>
      <c r="P3028" s="14"/>
    </row>
    <row r="3029" spans="2:16" ht="15.75" customHeight="1">
      <c r="B3029" s="14"/>
      <c r="H3029" s="14"/>
      <c r="I3029" s="567"/>
      <c r="J3029" s="15"/>
      <c r="N3029" s="14"/>
      <c r="O3029" s="14"/>
      <c r="P3029" s="14"/>
    </row>
    <row r="3030" spans="2:16" ht="15.75" customHeight="1">
      <c r="B3030" s="14"/>
      <c r="H3030" s="14"/>
      <c r="I3030" s="567"/>
      <c r="J3030" s="15"/>
      <c r="N3030" s="14"/>
      <c r="O3030" s="14"/>
      <c r="P3030" s="14"/>
    </row>
    <row r="3031" spans="2:16" ht="15.75" customHeight="1">
      <c r="B3031" s="14"/>
      <c r="H3031" s="14"/>
      <c r="I3031" s="567"/>
      <c r="J3031" s="15"/>
      <c r="N3031" s="14"/>
      <c r="O3031" s="14"/>
      <c r="P3031" s="14"/>
    </row>
    <row r="3032" spans="2:16" ht="15.75" customHeight="1">
      <c r="B3032" s="14"/>
      <c r="H3032" s="14"/>
      <c r="I3032" s="567"/>
      <c r="J3032" s="15"/>
      <c r="N3032" s="14"/>
      <c r="O3032" s="14"/>
      <c r="P3032" s="14"/>
    </row>
    <row r="3033" spans="2:16" ht="15.75" customHeight="1">
      <c r="B3033" s="14"/>
      <c r="H3033" s="14"/>
      <c r="I3033" s="567"/>
      <c r="J3033" s="15"/>
      <c r="N3033" s="14"/>
      <c r="O3033" s="14"/>
      <c r="P3033" s="14"/>
    </row>
    <row r="3034" spans="2:16" ht="15.75" customHeight="1">
      <c r="B3034" s="14"/>
      <c r="H3034" s="14"/>
      <c r="I3034" s="567"/>
      <c r="J3034" s="15"/>
      <c r="N3034" s="14"/>
      <c r="O3034" s="14"/>
      <c r="P3034" s="14"/>
    </row>
    <row r="3035" spans="2:16" ht="15.75" customHeight="1">
      <c r="B3035" s="14"/>
      <c r="H3035" s="14"/>
      <c r="I3035" s="567"/>
      <c r="J3035" s="15"/>
      <c r="N3035" s="14"/>
      <c r="O3035" s="14"/>
      <c r="P3035" s="14"/>
    </row>
    <row r="3036" spans="2:16" ht="15.75" customHeight="1">
      <c r="B3036" s="14"/>
      <c r="H3036" s="14"/>
      <c r="I3036" s="567"/>
      <c r="J3036" s="15"/>
      <c r="N3036" s="14"/>
      <c r="O3036" s="14"/>
      <c r="P3036" s="14"/>
    </row>
    <row r="3037" spans="2:16" ht="15.75" customHeight="1">
      <c r="B3037" s="14"/>
      <c r="H3037" s="14"/>
      <c r="I3037" s="567"/>
      <c r="J3037" s="15"/>
      <c r="N3037" s="14"/>
      <c r="O3037" s="14"/>
      <c r="P3037" s="14"/>
    </row>
    <row r="3038" spans="2:16" ht="15.75" customHeight="1">
      <c r="B3038" s="14"/>
      <c r="H3038" s="14"/>
      <c r="I3038" s="567"/>
      <c r="J3038" s="15"/>
      <c r="N3038" s="14"/>
      <c r="O3038" s="14"/>
      <c r="P3038" s="14"/>
    </row>
    <row r="3039" spans="2:16" ht="15.75" customHeight="1">
      <c r="B3039" s="14"/>
      <c r="H3039" s="14"/>
      <c r="I3039" s="567"/>
      <c r="J3039" s="15"/>
      <c r="N3039" s="14"/>
      <c r="O3039" s="14"/>
      <c r="P3039" s="14"/>
    </row>
    <row r="3040" spans="2:16" ht="15.75" customHeight="1">
      <c r="B3040" s="14"/>
      <c r="H3040" s="14"/>
      <c r="I3040" s="567"/>
      <c r="J3040" s="15"/>
      <c r="N3040" s="14"/>
      <c r="O3040" s="14"/>
      <c r="P3040" s="14"/>
    </row>
    <row r="3041" spans="2:16" ht="15.75" customHeight="1">
      <c r="B3041" s="14"/>
      <c r="H3041" s="14"/>
      <c r="I3041" s="567"/>
      <c r="J3041" s="15"/>
      <c r="N3041" s="14"/>
      <c r="O3041" s="14"/>
      <c r="P3041" s="14"/>
    </row>
    <row r="3042" spans="2:16" ht="15.75" customHeight="1">
      <c r="B3042" s="14"/>
      <c r="H3042" s="14"/>
      <c r="I3042" s="567"/>
      <c r="J3042" s="15"/>
      <c r="N3042" s="14"/>
      <c r="O3042" s="14"/>
      <c r="P3042" s="14"/>
    </row>
    <row r="3043" spans="2:16" ht="15.75" customHeight="1">
      <c r="B3043" s="14"/>
      <c r="H3043" s="14"/>
      <c r="I3043" s="567"/>
      <c r="J3043" s="15"/>
      <c r="N3043" s="14"/>
      <c r="O3043" s="14"/>
      <c r="P3043" s="14"/>
    </row>
    <row r="3044" spans="2:16" ht="15.75" customHeight="1">
      <c r="B3044" s="14"/>
      <c r="H3044" s="14"/>
      <c r="I3044" s="567"/>
      <c r="J3044" s="15"/>
      <c r="N3044" s="14"/>
      <c r="O3044" s="14"/>
      <c r="P3044" s="14"/>
    </row>
    <row r="3045" spans="2:16" ht="15.75" customHeight="1">
      <c r="B3045" s="14"/>
      <c r="H3045" s="14"/>
      <c r="I3045" s="567"/>
      <c r="J3045" s="15"/>
      <c r="N3045" s="14"/>
      <c r="O3045" s="14"/>
      <c r="P3045" s="14"/>
    </row>
    <row r="3046" spans="2:16" ht="15.75" customHeight="1">
      <c r="B3046" s="14"/>
      <c r="H3046" s="14"/>
      <c r="I3046" s="567"/>
      <c r="J3046" s="15"/>
      <c r="N3046" s="14"/>
      <c r="O3046" s="14"/>
      <c r="P3046" s="14"/>
    </row>
    <row r="3047" spans="2:16" ht="15.75" customHeight="1">
      <c r="B3047" s="14"/>
      <c r="H3047" s="14"/>
      <c r="I3047" s="567"/>
      <c r="J3047" s="15"/>
      <c r="N3047" s="14"/>
      <c r="O3047" s="14"/>
      <c r="P3047" s="14"/>
    </row>
    <row r="3048" spans="2:16" ht="15.75" customHeight="1">
      <c r="B3048" s="14"/>
      <c r="H3048" s="14"/>
      <c r="I3048" s="567"/>
      <c r="J3048" s="15"/>
      <c r="N3048" s="14"/>
      <c r="O3048" s="14"/>
      <c r="P3048" s="14"/>
    </row>
    <row r="3049" spans="2:16" ht="15.75" customHeight="1">
      <c r="B3049" s="14"/>
      <c r="H3049" s="14"/>
      <c r="I3049" s="567"/>
      <c r="J3049" s="15"/>
      <c r="N3049" s="14"/>
      <c r="O3049" s="14"/>
      <c r="P3049" s="14"/>
    </row>
    <row r="3050" spans="2:16" ht="15.75" customHeight="1">
      <c r="B3050" s="14"/>
      <c r="H3050" s="14"/>
      <c r="I3050" s="567"/>
      <c r="J3050" s="15"/>
      <c r="N3050" s="14"/>
      <c r="O3050" s="14"/>
      <c r="P3050" s="14"/>
    </row>
    <row r="3051" spans="2:16" ht="15.75" customHeight="1">
      <c r="B3051" s="14"/>
      <c r="H3051" s="14"/>
      <c r="I3051" s="567"/>
      <c r="J3051" s="15"/>
      <c r="N3051" s="14"/>
      <c r="O3051" s="14"/>
      <c r="P3051" s="14"/>
    </row>
    <row r="3052" spans="2:16" ht="15.75" customHeight="1">
      <c r="B3052" s="14"/>
      <c r="H3052" s="14"/>
      <c r="I3052" s="567"/>
      <c r="J3052" s="15"/>
      <c r="N3052" s="14"/>
      <c r="O3052" s="14"/>
      <c r="P3052" s="14"/>
    </row>
    <row r="3053" spans="2:16" ht="15.75" customHeight="1">
      <c r="B3053" s="14"/>
      <c r="H3053" s="14"/>
      <c r="I3053" s="567"/>
      <c r="J3053" s="15"/>
      <c r="N3053" s="14"/>
      <c r="O3053" s="14"/>
      <c r="P3053" s="14"/>
    </row>
    <row r="3054" spans="2:16" ht="15.75" customHeight="1">
      <c r="B3054" s="14"/>
      <c r="H3054" s="14"/>
      <c r="I3054" s="567"/>
      <c r="J3054" s="15"/>
      <c r="N3054" s="14"/>
      <c r="O3054" s="14"/>
      <c r="P3054" s="14"/>
    </row>
    <row r="3055" spans="2:16" ht="15.75" customHeight="1">
      <c r="B3055" s="14"/>
      <c r="H3055" s="14"/>
      <c r="I3055" s="567"/>
      <c r="J3055" s="15"/>
      <c r="N3055" s="14"/>
      <c r="O3055" s="14"/>
      <c r="P3055" s="14"/>
    </row>
    <row r="3056" spans="2:16" ht="15.75" customHeight="1">
      <c r="B3056" s="14"/>
      <c r="H3056" s="14"/>
      <c r="I3056" s="567"/>
      <c r="J3056" s="15"/>
      <c r="N3056" s="14"/>
      <c r="O3056" s="14"/>
      <c r="P3056" s="14"/>
    </row>
    <row r="3057" spans="2:16" ht="15.75" customHeight="1">
      <c r="B3057" s="14"/>
      <c r="H3057" s="14"/>
      <c r="I3057" s="567"/>
      <c r="J3057" s="15"/>
      <c r="N3057" s="14"/>
      <c r="O3057" s="14"/>
      <c r="P3057" s="14"/>
    </row>
    <row r="3058" spans="2:16" ht="15.75" customHeight="1">
      <c r="B3058" s="14"/>
      <c r="H3058" s="14"/>
      <c r="I3058" s="567"/>
      <c r="J3058" s="15"/>
      <c r="N3058" s="14"/>
      <c r="O3058" s="14"/>
      <c r="P3058" s="14"/>
    </row>
    <row r="3059" spans="2:16" ht="15.75" customHeight="1">
      <c r="B3059" s="14"/>
      <c r="H3059" s="14"/>
      <c r="I3059" s="567"/>
      <c r="J3059" s="15"/>
      <c r="N3059" s="14"/>
      <c r="O3059" s="14"/>
      <c r="P3059" s="14"/>
    </row>
    <row r="3060" spans="2:16" ht="15.75" customHeight="1">
      <c r="B3060" s="14"/>
      <c r="H3060" s="14"/>
      <c r="I3060" s="567"/>
      <c r="J3060" s="15"/>
      <c r="N3060" s="14"/>
      <c r="O3060" s="14"/>
      <c r="P3060" s="14"/>
    </row>
    <row r="3061" spans="2:16" ht="15.75" customHeight="1">
      <c r="B3061" s="14"/>
      <c r="H3061" s="14"/>
      <c r="I3061" s="567"/>
      <c r="J3061" s="15"/>
      <c r="N3061" s="14"/>
      <c r="O3061" s="14"/>
      <c r="P3061" s="14"/>
    </row>
    <row r="3062" spans="2:16" ht="15.75" customHeight="1">
      <c r="B3062" s="14"/>
      <c r="H3062" s="14"/>
      <c r="I3062" s="567"/>
      <c r="J3062" s="15"/>
      <c r="N3062" s="14"/>
      <c r="O3062" s="14"/>
      <c r="P3062" s="14"/>
    </row>
    <row r="3063" spans="2:16" ht="15.75" customHeight="1">
      <c r="B3063" s="14"/>
      <c r="H3063" s="14"/>
      <c r="I3063" s="567"/>
      <c r="J3063" s="15"/>
      <c r="N3063" s="14"/>
      <c r="O3063" s="14"/>
      <c r="P3063" s="14"/>
    </row>
    <row r="3064" spans="2:16" ht="15.75" customHeight="1">
      <c r="B3064" s="14"/>
      <c r="H3064" s="14"/>
      <c r="I3064" s="567"/>
      <c r="J3064" s="15"/>
      <c r="N3064" s="14"/>
      <c r="O3064" s="14"/>
      <c r="P3064" s="14"/>
    </row>
    <row r="3065" spans="2:16" ht="15.75" customHeight="1">
      <c r="B3065" s="14"/>
      <c r="H3065" s="14"/>
      <c r="I3065" s="567"/>
      <c r="J3065" s="15"/>
      <c r="N3065" s="14"/>
      <c r="O3065" s="14"/>
      <c r="P3065" s="14"/>
    </row>
    <row r="3066" spans="2:16" ht="15.75" customHeight="1">
      <c r="B3066" s="14"/>
      <c r="H3066" s="14"/>
      <c r="I3066" s="567"/>
      <c r="J3066" s="15"/>
      <c r="N3066" s="14"/>
      <c r="O3066" s="14"/>
      <c r="P3066" s="14"/>
    </row>
    <row r="3067" spans="2:16" ht="15.75" customHeight="1">
      <c r="B3067" s="14"/>
      <c r="H3067" s="14"/>
      <c r="I3067" s="567"/>
      <c r="J3067" s="15"/>
      <c r="N3067" s="14"/>
      <c r="O3067" s="14"/>
      <c r="P3067" s="14"/>
    </row>
    <row r="3068" spans="2:16" ht="15.75" customHeight="1">
      <c r="B3068" s="14"/>
      <c r="H3068" s="14"/>
      <c r="I3068" s="567"/>
      <c r="J3068" s="15"/>
      <c r="N3068" s="14"/>
      <c r="O3068" s="14"/>
      <c r="P3068" s="14"/>
    </row>
    <row r="3069" spans="2:16" ht="15.75" customHeight="1">
      <c r="B3069" s="14"/>
      <c r="H3069" s="14"/>
      <c r="I3069" s="567"/>
      <c r="J3069" s="15"/>
      <c r="N3069" s="14"/>
      <c r="O3069" s="14"/>
      <c r="P3069" s="14"/>
    </row>
    <row r="3070" spans="2:16" ht="15.75" customHeight="1">
      <c r="B3070" s="14"/>
      <c r="H3070" s="14"/>
      <c r="I3070" s="567"/>
      <c r="J3070" s="15"/>
      <c r="N3070" s="14"/>
      <c r="O3070" s="14"/>
      <c r="P3070" s="14"/>
    </row>
    <row r="3071" spans="2:16" ht="15.75" customHeight="1">
      <c r="B3071" s="14"/>
      <c r="H3071" s="14"/>
      <c r="I3071" s="567"/>
      <c r="J3071" s="15"/>
      <c r="N3071" s="14"/>
      <c r="O3071" s="14"/>
      <c r="P3071" s="14"/>
    </row>
    <row r="3072" spans="2:16" ht="15.75" customHeight="1">
      <c r="B3072" s="14"/>
      <c r="H3072" s="14"/>
      <c r="I3072" s="567"/>
      <c r="J3072" s="15"/>
      <c r="N3072" s="14"/>
      <c r="O3072" s="14"/>
      <c r="P3072" s="14"/>
    </row>
    <row r="3073" spans="2:16" ht="15.75" customHeight="1">
      <c r="B3073" s="14"/>
      <c r="H3073" s="14"/>
      <c r="I3073" s="567"/>
      <c r="J3073" s="15"/>
      <c r="N3073" s="14"/>
      <c r="O3073" s="14"/>
      <c r="P3073" s="14"/>
    </row>
    <row r="3074" spans="2:16" ht="15.75" customHeight="1">
      <c r="B3074" s="14"/>
      <c r="H3074" s="14"/>
      <c r="I3074" s="567"/>
      <c r="J3074" s="15"/>
      <c r="N3074" s="14"/>
      <c r="O3074" s="14"/>
      <c r="P3074" s="14"/>
    </row>
    <row r="3075" spans="2:16" ht="15.75" customHeight="1">
      <c r="B3075" s="14"/>
      <c r="H3075" s="14"/>
      <c r="I3075" s="567"/>
      <c r="J3075" s="15"/>
      <c r="N3075" s="14"/>
      <c r="O3075" s="14"/>
      <c r="P3075" s="14"/>
    </row>
    <row r="3076" spans="2:16" ht="15.75" customHeight="1">
      <c r="B3076" s="14"/>
      <c r="H3076" s="14"/>
      <c r="I3076" s="567"/>
      <c r="J3076" s="15"/>
      <c r="N3076" s="14"/>
      <c r="O3076" s="14"/>
      <c r="P3076" s="14"/>
    </row>
    <row r="3077" spans="2:16" ht="15.75" customHeight="1">
      <c r="B3077" s="14"/>
      <c r="H3077" s="14"/>
      <c r="I3077" s="567"/>
      <c r="J3077" s="15"/>
      <c r="N3077" s="14"/>
      <c r="O3077" s="14"/>
      <c r="P3077" s="14"/>
    </row>
    <row r="3078" spans="2:16" ht="15.75" customHeight="1">
      <c r="B3078" s="14"/>
      <c r="H3078" s="14"/>
      <c r="I3078" s="567"/>
      <c r="J3078" s="15"/>
      <c r="N3078" s="14"/>
      <c r="O3078" s="14"/>
      <c r="P3078" s="14"/>
    </row>
    <row r="3079" spans="2:16" ht="15.75" customHeight="1">
      <c r="B3079" s="14"/>
      <c r="H3079" s="14"/>
      <c r="I3079" s="567"/>
      <c r="J3079" s="15"/>
      <c r="N3079" s="14"/>
      <c r="O3079" s="14"/>
      <c r="P3079" s="14"/>
    </row>
    <row r="3080" spans="2:16" ht="15.75" customHeight="1">
      <c r="B3080" s="14"/>
      <c r="H3080" s="14"/>
      <c r="I3080" s="567"/>
      <c r="J3080" s="15"/>
      <c r="N3080" s="14"/>
      <c r="O3080" s="14"/>
      <c r="P3080" s="14"/>
    </row>
    <row r="3081" spans="2:16" ht="15.75" customHeight="1">
      <c r="B3081" s="14"/>
      <c r="H3081" s="14"/>
      <c r="I3081" s="567"/>
      <c r="J3081" s="15"/>
      <c r="N3081" s="14"/>
      <c r="O3081" s="14"/>
      <c r="P3081" s="14"/>
    </row>
    <row r="3082" spans="2:16" ht="15.75" customHeight="1">
      <c r="B3082" s="14"/>
      <c r="H3082" s="14"/>
      <c r="I3082" s="567"/>
      <c r="J3082" s="15"/>
      <c r="N3082" s="14"/>
      <c r="O3082" s="14"/>
      <c r="P3082" s="14"/>
    </row>
    <row r="3083" spans="2:16" ht="15.75" customHeight="1">
      <c r="B3083" s="14"/>
      <c r="H3083" s="14"/>
      <c r="I3083" s="567"/>
      <c r="J3083" s="15"/>
      <c r="N3083" s="14"/>
      <c r="O3083" s="14"/>
      <c r="P3083" s="14"/>
    </row>
    <row r="3084" spans="2:16" ht="15.75" customHeight="1">
      <c r="B3084" s="14"/>
      <c r="H3084" s="14"/>
      <c r="I3084" s="567"/>
      <c r="J3084" s="15"/>
      <c r="N3084" s="14"/>
      <c r="O3084" s="14"/>
      <c r="P3084" s="14"/>
    </row>
    <row r="3085" spans="2:16" ht="15.75" customHeight="1">
      <c r="B3085" s="14"/>
      <c r="H3085" s="14"/>
      <c r="I3085" s="567"/>
      <c r="J3085" s="15"/>
      <c r="N3085" s="14"/>
      <c r="O3085" s="14"/>
      <c r="P3085" s="14"/>
    </row>
    <row r="3086" spans="2:16" ht="15.75" customHeight="1">
      <c r="B3086" s="14"/>
      <c r="H3086" s="14"/>
      <c r="I3086" s="567"/>
      <c r="J3086" s="15"/>
      <c r="N3086" s="14"/>
      <c r="O3086" s="14"/>
      <c r="P3086" s="14"/>
    </row>
    <row r="3087" spans="2:16" ht="15.75" customHeight="1">
      <c r="B3087" s="14"/>
      <c r="H3087" s="14"/>
      <c r="I3087" s="567"/>
      <c r="J3087" s="15"/>
      <c r="N3087" s="14"/>
      <c r="O3087" s="14"/>
      <c r="P3087" s="14"/>
    </row>
    <row r="3088" spans="2:16" ht="15.75" customHeight="1">
      <c r="B3088" s="14"/>
      <c r="H3088" s="14"/>
      <c r="I3088" s="567"/>
      <c r="J3088" s="15"/>
      <c r="N3088" s="14"/>
      <c r="O3088" s="14"/>
      <c r="P3088" s="14"/>
    </row>
    <row r="3089" spans="2:16" ht="15.75" customHeight="1">
      <c r="B3089" s="14"/>
      <c r="H3089" s="14"/>
      <c r="I3089" s="567"/>
      <c r="J3089" s="15"/>
      <c r="N3089" s="14"/>
      <c r="O3089" s="14"/>
      <c r="P3089" s="14"/>
    </row>
    <row r="3090" spans="2:16" ht="15.75" customHeight="1">
      <c r="B3090" s="14"/>
      <c r="H3090" s="14"/>
      <c r="I3090" s="567"/>
      <c r="J3090" s="15"/>
      <c r="N3090" s="14"/>
      <c r="O3090" s="14"/>
      <c r="P3090" s="14"/>
    </row>
    <row r="3091" spans="2:16" ht="15.75" customHeight="1">
      <c r="B3091" s="14"/>
      <c r="H3091" s="14"/>
      <c r="I3091" s="567"/>
      <c r="J3091" s="15"/>
      <c r="N3091" s="14"/>
      <c r="O3091" s="14"/>
      <c r="P3091" s="14"/>
    </row>
    <row r="3092" spans="2:16" ht="15.75" customHeight="1">
      <c r="B3092" s="14"/>
      <c r="H3092" s="14"/>
      <c r="I3092" s="567"/>
      <c r="J3092" s="15"/>
      <c r="N3092" s="14"/>
      <c r="O3092" s="14"/>
      <c r="P3092" s="14"/>
    </row>
    <row r="3093" spans="2:16" ht="15.75" customHeight="1">
      <c r="B3093" s="14"/>
      <c r="H3093" s="14"/>
      <c r="I3093" s="567"/>
      <c r="J3093" s="15"/>
      <c r="N3093" s="14"/>
      <c r="O3093" s="14"/>
      <c r="P3093" s="14"/>
    </row>
    <row r="3094" spans="2:16" ht="15.75" customHeight="1">
      <c r="B3094" s="14"/>
      <c r="H3094" s="14"/>
      <c r="I3094" s="567"/>
      <c r="J3094" s="15"/>
      <c r="N3094" s="14"/>
      <c r="O3094" s="14"/>
      <c r="P3094" s="14"/>
    </row>
    <row r="3095" spans="2:16" ht="15.75" customHeight="1">
      <c r="B3095" s="14"/>
      <c r="H3095" s="14"/>
      <c r="I3095" s="567"/>
      <c r="J3095" s="15"/>
      <c r="N3095" s="14"/>
      <c r="O3095" s="14"/>
      <c r="P3095" s="14"/>
    </row>
    <row r="3096" spans="2:16" ht="15.75" customHeight="1">
      <c r="B3096" s="14"/>
      <c r="H3096" s="14"/>
      <c r="I3096" s="567"/>
      <c r="J3096" s="15"/>
      <c r="N3096" s="14"/>
      <c r="O3096" s="14"/>
      <c r="P3096" s="14"/>
    </row>
    <row r="3097" spans="2:16" ht="15.75" customHeight="1">
      <c r="B3097" s="14"/>
      <c r="H3097" s="14"/>
      <c r="I3097" s="567"/>
      <c r="J3097" s="15"/>
      <c r="N3097" s="14"/>
      <c r="O3097" s="14"/>
      <c r="P3097" s="14"/>
    </row>
    <row r="3098" spans="2:16" ht="15.75" customHeight="1">
      <c r="B3098" s="14"/>
      <c r="H3098" s="14"/>
      <c r="I3098" s="567"/>
      <c r="J3098" s="15"/>
      <c r="N3098" s="14"/>
      <c r="O3098" s="14"/>
      <c r="P3098" s="14"/>
    </row>
    <row r="3099" spans="2:16" ht="15.75" customHeight="1">
      <c r="B3099" s="14"/>
      <c r="H3099" s="14"/>
      <c r="I3099" s="567"/>
      <c r="J3099" s="15"/>
      <c r="N3099" s="14"/>
      <c r="O3099" s="14"/>
      <c r="P3099" s="14"/>
    </row>
    <row r="3100" spans="2:16" ht="15.75" customHeight="1">
      <c r="B3100" s="14"/>
      <c r="H3100" s="14"/>
      <c r="I3100" s="567"/>
      <c r="J3100" s="15"/>
      <c r="N3100" s="14"/>
      <c r="O3100" s="14"/>
      <c r="P3100" s="14"/>
    </row>
    <row r="3101" spans="2:16" ht="15.75" customHeight="1">
      <c r="B3101" s="14"/>
      <c r="H3101" s="14"/>
      <c r="I3101" s="567"/>
      <c r="J3101" s="15"/>
      <c r="N3101" s="14"/>
      <c r="O3101" s="14"/>
      <c r="P3101" s="14"/>
    </row>
    <row r="3102" spans="2:16" ht="15.75" customHeight="1">
      <c r="B3102" s="14"/>
      <c r="H3102" s="14"/>
      <c r="I3102" s="567"/>
      <c r="J3102" s="15"/>
      <c r="N3102" s="14"/>
      <c r="O3102" s="14"/>
      <c r="P3102" s="14"/>
    </row>
    <row r="3103" spans="2:16" ht="15.75" customHeight="1">
      <c r="B3103" s="14"/>
      <c r="H3103" s="14"/>
      <c r="I3103" s="567"/>
      <c r="J3103" s="15"/>
      <c r="N3103" s="14"/>
      <c r="O3103" s="14"/>
      <c r="P3103" s="14"/>
    </row>
    <row r="3104" spans="2:16" ht="15.75" customHeight="1">
      <c r="B3104" s="14"/>
      <c r="H3104" s="14"/>
      <c r="I3104" s="567"/>
      <c r="J3104" s="15"/>
      <c r="N3104" s="14"/>
      <c r="O3104" s="14"/>
      <c r="P3104" s="14"/>
    </row>
    <row r="3105" spans="2:16" ht="15.75" customHeight="1">
      <c r="B3105" s="14"/>
      <c r="H3105" s="14"/>
      <c r="I3105" s="567"/>
      <c r="J3105" s="15"/>
      <c r="N3105" s="14"/>
      <c r="O3105" s="14"/>
      <c r="P3105" s="14"/>
    </row>
    <row r="3106" spans="2:16" ht="15.75" customHeight="1">
      <c r="B3106" s="14"/>
      <c r="H3106" s="14"/>
      <c r="I3106" s="567"/>
      <c r="J3106" s="15"/>
      <c r="N3106" s="14"/>
      <c r="O3106" s="14"/>
      <c r="P3106" s="14"/>
    </row>
    <row r="3107" spans="2:16" ht="15.75" customHeight="1">
      <c r="B3107" s="14"/>
      <c r="H3107" s="14"/>
      <c r="I3107" s="567"/>
      <c r="J3107" s="15"/>
      <c r="N3107" s="14"/>
      <c r="O3107" s="14"/>
      <c r="P3107" s="14"/>
    </row>
    <row r="3108" spans="2:16" ht="15.75" customHeight="1">
      <c r="B3108" s="14"/>
      <c r="H3108" s="14"/>
      <c r="I3108" s="567"/>
      <c r="J3108" s="15"/>
      <c r="N3108" s="14"/>
      <c r="O3108" s="14"/>
      <c r="P3108" s="14"/>
    </row>
    <row r="3109" spans="2:16" ht="15.75" customHeight="1">
      <c r="B3109" s="14"/>
      <c r="H3109" s="14"/>
      <c r="I3109" s="567"/>
      <c r="J3109" s="15"/>
      <c r="N3109" s="14"/>
      <c r="O3109" s="14"/>
      <c r="P3109" s="14"/>
    </row>
    <row r="3110" spans="2:16" ht="15.75" customHeight="1">
      <c r="B3110" s="14"/>
      <c r="H3110" s="14"/>
      <c r="I3110" s="567"/>
      <c r="J3110" s="15"/>
      <c r="N3110" s="14"/>
      <c r="O3110" s="14"/>
      <c r="P3110" s="14"/>
    </row>
    <row r="3111" spans="2:16" ht="15.75" customHeight="1">
      <c r="B3111" s="14"/>
      <c r="H3111" s="14"/>
      <c r="I3111" s="567"/>
      <c r="J3111" s="15"/>
      <c r="N3111" s="14"/>
      <c r="O3111" s="14"/>
      <c r="P3111" s="14"/>
    </row>
    <row r="3112" spans="2:16" ht="15.75" customHeight="1">
      <c r="B3112" s="14"/>
      <c r="H3112" s="14"/>
      <c r="I3112" s="567"/>
      <c r="J3112" s="15"/>
      <c r="N3112" s="14"/>
      <c r="O3112" s="14"/>
      <c r="P3112" s="14"/>
    </row>
    <row r="3113" spans="2:16" ht="15.75" customHeight="1">
      <c r="B3113" s="14"/>
      <c r="H3113" s="14"/>
      <c r="I3113" s="567"/>
      <c r="J3113" s="15"/>
      <c r="N3113" s="14"/>
      <c r="O3113" s="14"/>
      <c r="P3113" s="14"/>
    </row>
    <row r="3114" spans="2:16" ht="15.75" customHeight="1">
      <c r="B3114" s="14"/>
      <c r="H3114" s="14"/>
      <c r="I3114" s="567"/>
      <c r="J3114" s="15"/>
      <c r="N3114" s="14"/>
      <c r="O3114" s="14"/>
      <c r="P3114" s="14"/>
    </row>
    <row r="3115" spans="2:16" ht="15.75" customHeight="1">
      <c r="B3115" s="14"/>
      <c r="H3115" s="14"/>
      <c r="I3115" s="567"/>
      <c r="J3115" s="15"/>
      <c r="N3115" s="14"/>
      <c r="O3115" s="14"/>
      <c r="P3115" s="14"/>
    </row>
    <row r="3116" spans="2:16" ht="15.75" customHeight="1">
      <c r="B3116" s="14"/>
      <c r="H3116" s="14"/>
      <c r="I3116" s="567"/>
      <c r="J3116" s="15"/>
      <c r="N3116" s="14"/>
      <c r="O3116" s="14"/>
      <c r="P3116" s="14"/>
    </row>
    <row r="3117" spans="2:16" ht="15.75" customHeight="1">
      <c r="B3117" s="14"/>
      <c r="H3117" s="14"/>
      <c r="I3117" s="567"/>
      <c r="J3117" s="15"/>
      <c r="N3117" s="14"/>
      <c r="O3117" s="14"/>
      <c r="P3117" s="14"/>
    </row>
    <row r="3118" spans="2:16" ht="15.75" customHeight="1">
      <c r="B3118" s="14"/>
      <c r="H3118" s="14"/>
      <c r="I3118" s="567"/>
      <c r="J3118" s="15"/>
      <c r="N3118" s="14"/>
      <c r="O3118" s="14"/>
      <c r="P3118" s="14"/>
    </row>
    <row r="3119" spans="2:16" ht="15.75" customHeight="1">
      <c r="B3119" s="14"/>
      <c r="H3119" s="14"/>
      <c r="I3119" s="567"/>
      <c r="J3119" s="15"/>
      <c r="N3119" s="14"/>
      <c r="O3119" s="14"/>
      <c r="P3119" s="14"/>
    </row>
    <row r="3120" spans="2:16" ht="15.75" customHeight="1">
      <c r="B3120" s="14"/>
      <c r="H3120" s="14"/>
      <c r="I3120" s="567"/>
      <c r="J3120" s="15"/>
      <c r="N3120" s="14"/>
      <c r="O3120" s="14"/>
      <c r="P3120" s="14"/>
    </row>
    <row r="3121" spans="2:16" ht="15.75" customHeight="1">
      <c r="B3121" s="14"/>
      <c r="H3121" s="14"/>
      <c r="I3121" s="567"/>
      <c r="J3121" s="15"/>
      <c r="N3121" s="14"/>
      <c r="O3121" s="14"/>
      <c r="P3121" s="14"/>
    </row>
    <row r="3122" spans="2:16" ht="15.75" customHeight="1">
      <c r="B3122" s="14"/>
      <c r="H3122" s="14"/>
      <c r="I3122" s="567"/>
      <c r="J3122" s="15"/>
      <c r="N3122" s="14"/>
      <c r="O3122" s="14"/>
      <c r="P3122" s="14"/>
    </row>
    <row r="3123" spans="2:16" ht="15.75" customHeight="1">
      <c r="B3123" s="14"/>
      <c r="H3123" s="14"/>
      <c r="I3123" s="567"/>
      <c r="J3123" s="15"/>
      <c r="N3123" s="14"/>
      <c r="O3123" s="14"/>
      <c r="P3123" s="14"/>
    </row>
    <row r="3124" spans="2:16" ht="15.75" customHeight="1">
      <c r="B3124" s="14"/>
      <c r="H3124" s="14"/>
      <c r="I3124" s="567"/>
      <c r="J3124" s="15"/>
      <c r="N3124" s="14"/>
      <c r="O3124" s="14"/>
      <c r="P3124" s="14"/>
    </row>
    <row r="3125" spans="2:16" ht="15.75" customHeight="1">
      <c r="B3125" s="14"/>
      <c r="H3125" s="14"/>
      <c r="I3125" s="567"/>
      <c r="J3125" s="15"/>
      <c r="N3125" s="14"/>
      <c r="O3125" s="14"/>
      <c r="P3125" s="14"/>
    </row>
    <row r="3126" spans="2:16" ht="15.75" customHeight="1">
      <c r="B3126" s="14"/>
      <c r="H3126" s="14"/>
      <c r="I3126" s="567"/>
      <c r="J3126" s="15"/>
      <c r="N3126" s="14"/>
      <c r="O3126" s="14"/>
      <c r="P3126" s="14"/>
    </row>
    <row r="3127" spans="2:16" ht="15.75" customHeight="1">
      <c r="B3127" s="14"/>
      <c r="H3127" s="14"/>
      <c r="I3127" s="567"/>
      <c r="J3127" s="15"/>
      <c r="N3127" s="14"/>
      <c r="O3127" s="14"/>
      <c r="P3127" s="14"/>
    </row>
    <row r="3128" spans="2:16" ht="15.75" customHeight="1">
      <c r="B3128" s="14"/>
      <c r="H3128" s="14"/>
      <c r="I3128" s="567"/>
      <c r="J3128" s="15"/>
      <c r="N3128" s="14"/>
      <c r="O3128" s="14"/>
      <c r="P3128" s="14"/>
    </row>
    <row r="3129" spans="2:16" ht="15.75" customHeight="1">
      <c r="B3129" s="14"/>
      <c r="H3129" s="14"/>
      <c r="I3129" s="567"/>
      <c r="J3129" s="15"/>
      <c r="N3129" s="14"/>
      <c r="O3129" s="14"/>
      <c r="P3129" s="14"/>
    </row>
    <row r="3130" spans="2:16" ht="15.75" customHeight="1">
      <c r="B3130" s="14"/>
      <c r="H3130" s="14"/>
      <c r="I3130" s="567"/>
      <c r="J3130" s="15"/>
      <c r="N3130" s="14"/>
      <c r="O3130" s="14"/>
      <c r="P3130" s="14"/>
    </row>
    <row r="3131" spans="2:16" ht="15.75" customHeight="1">
      <c r="B3131" s="14"/>
      <c r="H3131" s="14"/>
      <c r="I3131" s="567"/>
      <c r="J3131" s="15"/>
      <c r="N3131" s="14"/>
      <c r="O3131" s="14"/>
      <c r="P3131" s="14"/>
    </row>
    <row r="3132" spans="2:16" ht="15.75" customHeight="1">
      <c r="B3132" s="14"/>
      <c r="H3132" s="14"/>
      <c r="I3132" s="567"/>
      <c r="J3132" s="15"/>
      <c r="N3132" s="14"/>
      <c r="O3132" s="14"/>
      <c r="P3132" s="14"/>
    </row>
    <row r="3133" spans="2:16" ht="15.75" customHeight="1">
      <c r="B3133" s="14"/>
      <c r="H3133" s="14"/>
      <c r="I3133" s="567"/>
      <c r="J3133" s="15"/>
      <c r="N3133" s="14"/>
      <c r="O3133" s="14"/>
      <c r="P3133" s="14"/>
    </row>
    <row r="3134" spans="2:16" ht="15.75" customHeight="1">
      <c r="B3134" s="14"/>
      <c r="H3134" s="14"/>
      <c r="I3134" s="567"/>
      <c r="J3134" s="15"/>
      <c r="N3134" s="14"/>
      <c r="O3134" s="14"/>
      <c r="P3134" s="14"/>
    </row>
    <row r="3135" spans="2:16" ht="15.75" customHeight="1">
      <c r="B3135" s="14"/>
      <c r="H3135" s="14"/>
      <c r="I3135" s="567"/>
      <c r="J3135" s="15"/>
      <c r="N3135" s="14"/>
      <c r="O3135" s="14"/>
      <c r="P3135" s="14"/>
    </row>
    <row r="3136" spans="2:16" ht="15.75" customHeight="1">
      <c r="B3136" s="14"/>
      <c r="H3136" s="14"/>
      <c r="I3136" s="567"/>
      <c r="J3136" s="15"/>
      <c r="N3136" s="14"/>
      <c r="O3136" s="14"/>
      <c r="P3136" s="14"/>
    </row>
    <row r="3137" spans="2:16" ht="15.75" customHeight="1">
      <c r="B3137" s="14"/>
      <c r="H3137" s="14"/>
      <c r="I3137" s="567"/>
      <c r="J3137" s="15"/>
      <c r="N3137" s="14"/>
      <c r="O3137" s="14"/>
      <c r="P3137" s="14"/>
    </row>
    <row r="3138" spans="2:16" ht="15.75" customHeight="1">
      <c r="B3138" s="14"/>
      <c r="H3138" s="14"/>
      <c r="I3138" s="567"/>
      <c r="J3138" s="15"/>
      <c r="N3138" s="14"/>
      <c r="O3138" s="14"/>
      <c r="P3138" s="14"/>
    </row>
    <row r="3139" spans="2:16" ht="15.75" customHeight="1">
      <c r="B3139" s="14"/>
      <c r="H3139" s="14"/>
      <c r="I3139" s="567"/>
      <c r="J3139" s="15"/>
      <c r="N3139" s="14"/>
      <c r="O3139" s="14"/>
      <c r="P3139" s="14"/>
    </row>
    <row r="3140" spans="2:16" ht="15.75" customHeight="1">
      <c r="B3140" s="14"/>
      <c r="H3140" s="14"/>
      <c r="I3140" s="567"/>
      <c r="J3140" s="15"/>
      <c r="N3140" s="14"/>
      <c r="O3140" s="14"/>
      <c r="P3140" s="14"/>
    </row>
    <row r="3141" spans="2:16" ht="15.75" customHeight="1">
      <c r="B3141" s="14"/>
      <c r="H3141" s="14"/>
      <c r="I3141" s="567"/>
      <c r="J3141" s="15"/>
      <c r="N3141" s="14"/>
      <c r="O3141" s="14"/>
      <c r="P3141" s="14"/>
    </row>
    <row r="3142" spans="2:16" ht="15.75" customHeight="1">
      <c r="B3142" s="14"/>
      <c r="H3142" s="14"/>
      <c r="I3142" s="567"/>
      <c r="J3142" s="15"/>
      <c r="N3142" s="14"/>
      <c r="O3142" s="14"/>
      <c r="P3142" s="14"/>
    </row>
    <row r="3143" spans="2:16" ht="15.75" customHeight="1">
      <c r="B3143" s="14"/>
      <c r="H3143" s="14"/>
      <c r="I3143" s="567"/>
      <c r="J3143" s="15"/>
      <c r="N3143" s="14"/>
      <c r="O3143" s="14"/>
      <c r="P3143" s="14"/>
    </row>
    <row r="3144" spans="2:16" ht="15.75" customHeight="1">
      <c r="B3144" s="14"/>
      <c r="H3144" s="14"/>
      <c r="I3144" s="567"/>
      <c r="J3144" s="15"/>
      <c r="N3144" s="14"/>
      <c r="O3144" s="14"/>
      <c r="P3144" s="14"/>
    </row>
    <row r="3145" spans="2:16" ht="15.75" customHeight="1">
      <c r="B3145" s="14"/>
      <c r="H3145" s="14"/>
      <c r="I3145" s="567"/>
      <c r="J3145" s="15"/>
      <c r="N3145" s="14"/>
      <c r="O3145" s="14"/>
      <c r="P3145" s="14"/>
    </row>
    <row r="3146" spans="2:16" ht="15.75" customHeight="1">
      <c r="B3146" s="14"/>
      <c r="H3146" s="14"/>
      <c r="I3146" s="567"/>
      <c r="J3146" s="15"/>
      <c r="N3146" s="14"/>
      <c r="O3146" s="14"/>
      <c r="P3146" s="14"/>
    </row>
    <row r="3147" spans="2:16" ht="15.75" customHeight="1">
      <c r="B3147" s="14"/>
      <c r="H3147" s="14"/>
      <c r="I3147" s="567"/>
      <c r="J3147" s="15"/>
      <c r="N3147" s="14"/>
      <c r="O3147" s="14"/>
      <c r="P3147" s="14"/>
    </row>
    <row r="3148" spans="2:16" ht="15.75" customHeight="1">
      <c r="B3148" s="14"/>
      <c r="H3148" s="14"/>
      <c r="I3148" s="567"/>
      <c r="J3148" s="15"/>
      <c r="N3148" s="14"/>
      <c r="O3148" s="14"/>
      <c r="P3148" s="14"/>
    </row>
    <row r="3149" spans="2:16" ht="15.75" customHeight="1">
      <c r="B3149" s="14"/>
      <c r="H3149" s="14"/>
      <c r="I3149" s="567"/>
      <c r="J3149" s="15"/>
      <c r="N3149" s="14"/>
      <c r="O3149" s="14"/>
      <c r="P3149" s="14"/>
    </row>
    <row r="3150" spans="2:16" ht="15.75" customHeight="1">
      <c r="B3150" s="14"/>
      <c r="H3150" s="14"/>
      <c r="I3150" s="567"/>
      <c r="J3150" s="15"/>
      <c r="N3150" s="14"/>
      <c r="O3150" s="14"/>
      <c r="P3150" s="14"/>
    </row>
    <row r="3151" spans="2:16" ht="15.75" customHeight="1">
      <c r="B3151" s="14"/>
      <c r="H3151" s="14"/>
      <c r="I3151" s="567"/>
      <c r="J3151" s="15"/>
      <c r="N3151" s="14"/>
      <c r="O3151" s="14"/>
      <c r="P3151" s="14"/>
    </row>
    <row r="3152" spans="2:16" ht="15.75" customHeight="1">
      <c r="B3152" s="14"/>
      <c r="H3152" s="14"/>
      <c r="I3152" s="567"/>
      <c r="J3152" s="15"/>
      <c r="N3152" s="14"/>
      <c r="O3152" s="14"/>
      <c r="P3152" s="14"/>
    </row>
    <row r="3153" spans="2:16" ht="15.75" customHeight="1">
      <c r="B3153" s="14"/>
      <c r="H3153" s="14"/>
      <c r="I3153" s="567"/>
      <c r="J3153" s="15"/>
      <c r="N3153" s="14"/>
      <c r="O3153" s="14"/>
      <c r="P3153" s="14"/>
    </row>
    <row r="3154" spans="2:16" ht="15.75" customHeight="1">
      <c r="B3154" s="14"/>
      <c r="H3154" s="14"/>
      <c r="I3154" s="567"/>
      <c r="J3154" s="15"/>
      <c r="N3154" s="14"/>
      <c r="O3154" s="14"/>
      <c r="P3154" s="14"/>
    </row>
    <row r="3155" spans="2:16" ht="15.75" customHeight="1">
      <c r="B3155" s="14"/>
      <c r="H3155" s="14"/>
      <c r="I3155" s="567"/>
      <c r="J3155" s="15"/>
      <c r="N3155" s="14"/>
      <c r="O3155" s="14"/>
      <c r="P3155" s="14"/>
    </row>
    <row r="3156" spans="2:16" ht="15.75" customHeight="1">
      <c r="B3156" s="14"/>
      <c r="H3156" s="14"/>
      <c r="I3156" s="567"/>
      <c r="J3156" s="15"/>
      <c r="N3156" s="14"/>
      <c r="O3156" s="14"/>
      <c r="P3156" s="14"/>
    </row>
    <row r="3157" spans="2:16" ht="15.75" customHeight="1">
      <c r="B3157" s="14"/>
      <c r="H3157" s="14"/>
      <c r="I3157" s="567"/>
      <c r="J3157" s="15"/>
      <c r="N3157" s="14"/>
      <c r="O3157" s="14"/>
      <c r="P3157" s="14"/>
    </row>
    <row r="3158" spans="2:16" ht="15.75" customHeight="1">
      <c r="B3158" s="14"/>
      <c r="H3158" s="14"/>
      <c r="I3158" s="567"/>
      <c r="J3158" s="15"/>
      <c r="N3158" s="14"/>
      <c r="O3158" s="14"/>
      <c r="P3158" s="14"/>
    </row>
    <row r="3159" spans="2:16" ht="15.75" customHeight="1">
      <c r="B3159" s="14"/>
      <c r="H3159" s="14"/>
      <c r="I3159" s="567"/>
      <c r="J3159" s="15"/>
      <c r="N3159" s="14"/>
      <c r="O3159" s="14"/>
      <c r="P3159" s="14"/>
    </row>
    <row r="3160" spans="2:16" ht="15.75" customHeight="1">
      <c r="B3160" s="14"/>
      <c r="H3160" s="14"/>
      <c r="I3160" s="567"/>
      <c r="J3160" s="15"/>
      <c r="N3160" s="14"/>
      <c r="O3160" s="14"/>
      <c r="P3160" s="14"/>
    </row>
    <row r="3161" spans="2:16" ht="15.75" customHeight="1">
      <c r="B3161" s="14"/>
      <c r="H3161" s="14"/>
      <c r="I3161" s="567"/>
      <c r="J3161" s="15"/>
      <c r="N3161" s="14"/>
      <c r="O3161" s="14"/>
      <c r="P3161" s="14"/>
    </row>
    <row r="3162" spans="2:16" ht="15.75" customHeight="1">
      <c r="B3162" s="14"/>
      <c r="H3162" s="14"/>
      <c r="I3162" s="567"/>
      <c r="J3162" s="15"/>
      <c r="N3162" s="14"/>
      <c r="O3162" s="14"/>
      <c r="P3162" s="14"/>
    </row>
    <row r="3163" spans="2:16" ht="15.75" customHeight="1">
      <c r="B3163" s="14"/>
      <c r="H3163" s="14"/>
      <c r="I3163" s="567"/>
      <c r="J3163" s="15"/>
      <c r="N3163" s="14"/>
      <c r="O3163" s="14"/>
      <c r="P3163" s="14"/>
    </row>
    <row r="3164" spans="2:16" ht="15.75" customHeight="1">
      <c r="B3164" s="14"/>
      <c r="H3164" s="14"/>
      <c r="I3164" s="567"/>
      <c r="J3164" s="15"/>
      <c r="N3164" s="14"/>
      <c r="O3164" s="14"/>
      <c r="P3164" s="14"/>
    </row>
    <row r="3165" spans="2:16" ht="15.75" customHeight="1">
      <c r="B3165" s="14"/>
      <c r="H3165" s="14"/>
      <c r="I3165" s="567"/>
      <c r="J3165" s="15"/>
      <c r="N3165" s="14"/>
      <c r="O3165" s="14"/>
      <c r="P3165" s="14"/>
    </row>
    <row r="3166" spans="2:16" ht="15.75" customHeight="1">
      <c r="B3166" s="14"/>
      <c r="H3166" s="14"/>
      <c r="I3166" s="567"/>
      <c r="J3166" s="15"/>
      <c r="N3166" s="14"/>
      <c r="O3166" s="14"/>
      <c r="P3166" s="14"/>
    </row>
    <row r="3167" spans="2:16" ht="15.75" customHeight="1">
      <c r="B3167" s="14"/>
      <c r="H3167" s="14"/>
      <c r="I3167" s="567"/>
      <c r="J3167" s="15"/>
      <c r="N3167" s="14"/>
      <c r="O3167" s="14"/>
      <c r="P3167" s="14"/>
    </row>
    <row r="3168" spans="2:16" ht="15.75" customHeight="1">
      <c r="B3168" s="14"/>
      <c r="H3168" s="14"/>
      <c r="I3168" s="567"/>
      <c r="J3168" s="15"/>
      <c r="N3168" s="14"/>
      <c r="O3168" s="14"/>
      <c r="P3168" s="14"/>
    </row>
    <row r="3169" spans="2:16" ht="15.75" customHeight="1">
      <c r="B3169" s="14"/>
      <c r="H3169" s="14"/>
      <c r="I3169" s="567"/>
      <c r="J3169" s="15"/>
      <c r="N3169" s="14"/>
      <c r="O3169" s="14"/>
      <c r="P3169" s="14"/>
    </row>
    <row r="3170" spans="2:16" ht="15.75" customHeight="1">
      <c r="B3170" s="14"/>
      <c r="H3170" s="14"/>
      <c r="I3170" s="567"/>
      <c r="J3170" s="15"/>
      <c r="N3170" s="14"/>
      <c r="O3170" s="14"/>
      <c r="P3170" s="14"/>
    </row>
    <row r="3171" spans="2:16" ht="15.75" customHeight="1">
      <c r="B3171" s="14"/>
      <c r="H3171" s="14"/>
      <c r="I3171" s="567"/>
      <c r="J3171" s="15"/>
      <c r="N3171" s="14"/>
      <c r="O3171" s="14"/>
      <c r="P3171" s="14"/>
    </row>
    <row r="3172" spans="2:16" ht="15.75" customHeight="1">
      <c r="B3172" s="14"/>
      <c r="H3172" s="14"/>
      <c r="I3172" s="567"/>
      <c r="J3172" s="15"/>
      <c r="N3172" s="14"/>
      <c r="O3172" s="14"/>
      <c r="P3172" s="14"/>
    </row>
    <row r="3173" spans="2:16" ht="15.75" customHeight="1">
      <c r="B3173" s="14"/>
      <c r="H3173" s="14"/>
      <c r="I3173" s="567"/>
      <c r="J3173" s="15"/>
      <c r="N3173" s="14"/>
      <c r="O3173" s="14"/>
      <c r="P3173" s="14"/>
    </row>
    <row r="3174" spans="2:16" ht="15.75" customHeight="1">
      <c r="B3174" s="14"/>
      <c r="H3174" s="14"/>
      <c r="I3174" s="567"/>
      <c r="J3174" s="15"/>
      <c r="N3174" s="14"/>
      <c r="O3174" s="14"/>
      <c r="P3174" s="14"/>
    </row>
    <row r="3175" spans="2:16" ht="15.75" customHeight="1">
      <c r="B3175" s="14"/>
      <c r="H3175" s="14"/>
      <c r="I3175" s="567"/>
      <c r="J3175" s="15"/>
      <c r="N3175" s="14"/>
      <c r="O3175" s="14"/>
      <c r="P3175" s="14"/>
    </row>
    <row r="3176" spans="2:16" ht="15.75" customHeight="1">
      <c r="B3176" s="14"/>
      <c r="H3176" s="14"/>
      <c r="I3176" s="567"/>
      <c r="J3176" s="15"/>
      <c r="N3176" s="14"/>
      <c r="O3176" s="14"/>
      <c r="P3176" s="14"/>
    </row>
    <row r="3177" spans="2:16" ht="15.75" customHeight="1">
      <c r="B3177" s="14"/>
      <c r="H3177" s="14"/>
      <c r="I3177" s="567"/>
      <c r="J3177" s="15"/>
      <c r="N3177" s="14"/>
      <c r="O3177" s="14"/>
      <c r="P3177" s="14"/>
    </row>
    <row r="3178" spans="2:16" ht="15.75" customHeight="1">
      <c r="B3178" s="14"/>
      <c r="H3178" s="14"/>
      <c r="I3178" s="567"/>
      <c r="J3178" s="15"/>
      <c r="N3178" s="14"/>
      <c r="O3178" s="14"/>
      <c r="P3178" s="14"/>
    </row>
    <row r="3179" spans="2:16" ht="15.75" customHeight="1">
      <c r="B3179" s="14"/>
      <c r="H3179" s="14"/>
      <c r="I3179" s="567"/>
      <c r="J3179" s="15"/>
      <c r="N3179" s="14"/>
      <c r="O3179" s="14"/>
      <c r="P3179" s="14"/>
    </row>
    <row r="3180" spans="2:16" ht="15.75" customHeight="1">
      <c r="B3180" s="14"/>
      <c r="H3180" s="14"/>
      <c r="I3180" s="567"/>
      <c r="J3180" s="15"/>
      <c r="N3180" s="14"/>
      <c r="O3180" s="14"/>
      <c r="P3180" s="14"/>
    </row>
    <row r="3181" spans="2:16" ht="15.75" customHeight="1">
      <c r="B3181" s="14"/>
      <c r="H3181" s="14"/>
      <c r="I3181" s="567"/>
      <c r="J3181" s="15"/>
      <c r="N3181" s="14"/>
      <c r="O3181" s="14"/>
      <c r="P3181" s="14"/>
    </row>
    <row r="3182" spans="2:16" ht="15.75" customHeight="1">
      <c r="B3182" s="14"/>
      <c r="H3182" s="14"/>
      <c r="I3182" s="567"/>
      <c r="J3182" s="15"/>
      <c r="N3182" s="14"/>
      <c r="O3182" s="14"/>
      <c r="P3182" s="14"/>
    </row>
    <row r="3183" spans="2:16" ht="15.75" customHeight="1">
      <c r="B3183" s="14"/>
      <c r="H3183" s="14"/>
      <c r="I3183" s="567"/>
      <c r="J3183" s="15"/>
      <c r="N3183" s="14"/>
      <c r="O3183" s="14"/>
      <c r="P3183" s="14"/>
    </row>
    <row r="3184" spans="2:16" ht="15.75" customHeight="1">
      <c r="B3184" s="14"/>
      <c r="H3184" s="14"/>
      <c r="I3184" s="567"/>
      <c r="J3184" s="15"/>
      <c r="N3184" s="14"/>
      <c r="O3184" s="14"/>
      <c r="P3184" s="14"/>
    </row>
    <row r="3185" spans="2:16" ht="15.75" customHeight="1">
      <c r="B3185" s="14"/>
      <c r="H3185" s="14"/>
      <c r="I3185" s="567"/>
      <c r="J3185" s="15"/>
      <c r="N3185" s="14"/>
      <c r="O3185" s="14"/>
      <c r="P3185" s="14"/>
    </row>
    <row r="3186" spans="2:16" ht="15.75" customHeight="1">
      <c r="B3186" s="14"/>
      <c r="H3186" s="14"/>
      <c r="I3186" s="567"/>
      <c r="J3186" s="15"/>
      <c r="N3186" s="14"/>
      <c r="O3186" s="14"/>
      <c r="P3186" s="14"/>
    </row>
    <row r="3187" spans="2:16" ht="15.75" customHeight="1">
      <c r="B3187" s="14"/>
      <c r="H3187" s="14"/>
      <c r="I3187" s="567"/>
      <c r="J3187" s="15"/>
      <c r="N3187" s="14"/>
      <c r="O3187" s="14"/>
      <c r="P3187" s="14"/>
    </row>
    <row r="3188" spans="2:16" ht="15.75" customHeight="1">
      <c r="B3188" s="14"/>
      <c r="H3188" s="14"/>
      <c r="I3188" s="567"/>
      <c r="J3188" s="15"/>
      <c r="N3188" s="14"/>
      <c r="O3188" s="14"/>
      <c r="P3188" s="14"/>
    </row>
    <row r="3189" spans="2:16" ht="15.75" customHeight="1">
      <c r="B3189" s="14"/>
      <c r="H3189" s="14"/>
      <c r="I3189" s="567"/>
      <c r="J3189" s="15"/>
      <c r="N3189" s="14"/>
      <c r="O3189" s="14"/>
      <c r="P3189" s="14"/>
    </row>
    <row r="3190" spans="2:16" ht="15.75" customHeight="1">
      <c r="B3190" s="14"/>
      <c r="H3190" s="14"/>
      <c r="I3190" s="567"/>
      <c r="J3190" s="15"/>
      <c r="N3190" s="14"/>
      <c r="O3190" s="14"/>
      <c r="P3190" s="14"/>
    </row>
    <row r="3191" spans="2:16" ht="15.75" customHeight="1">
      <c r="B3191" s="14"/>
      <c r="H3191" s="14"/>
      <c r="I3191" s="567"/>
      <c r="J3191" s="15"/>
      <c r="N3191" s="14"/>
      <c r="O3191" s="14"/>
      <c r="P3191" s="14"/>
    </row>
    <row r="3192" spans="2:16" ht="15.75" customHeight="1">
      <c r="B3192" s="14"/>
      <c r="H3192" s="14"/>
      <c r="I3192" s="567"/>
      <c r="J3192" s="15"/>
      <c r="N3192" s="14"/>
      <c r="O3192" s="14"/>
      <c r="P3192" s="14"/>
    </row>
    <row r="3193" spans="2:16" ht="15.75" customHeight="1">
      <c r="B3193" s="14"/>
      <c r="H3193" s="14"/>
      <c r="I3193" s="567"/>
      <c r="J3193" s="15"/>
      <c r="N3193" s="14"/>
      <c r="O3193" s="14"/>
      <c r="P3193" s="14"/>
    </row>
    <row r="3194" spans="2:16" ht="15.75" customHeight="1">
      <c r="B3194" s="14"/>
      <c r="H3194" s="14"/>
      <c r="I3194" s="567"/>
      <c r="J3194" s="15"/>
      <c r="N3194" s="14"/>
      <c r="O3194" s="14"/>
      <c r="P3194" s="14"/>
    </row>
    <row r="3195" spans="2:16" ht="15.75" customHeight="1">
      <c r="B3195" s="14"/>
      <c r="H3195" s="14"/>
      <c r="I3195" s="567"/>
      <c r="J3195" s="15"/>
      <c r="N3195" s="14"/>
      <c r="O3195" s="14"/>
      <c r="P3195" s="14"/>
    </row>
    <row r="3196" spans="2:16" ht="15.75" customHeight="1">
      <c r="B3196" s="14"/>
      <c r="H3196" s="14"/>
      <c r="I3196" s="567"/>
      <c r="J3196" s="15"/>
      <c r="N3196" s="14"/>
      <c r="O3196" s="14"/>
      <c r="P3196" s="14"/>
    </row>
    <row r="3197" spans="2:16" ht="15.75" customHeight="1">
      <c r="B3197" s="14"/>
      <c r="H3197" s="14"/>
      <c r="I3197" s="567"/>
      <c r="J3197" s="15"/>
      <c r="N3197" s="14"/>
      <c r="O3197" s="14"/>
      <c r="P3197" s="14"/>
    </row>
    <row r="3198" spans="2:16" ht="15.75" customHeight="1">
      <c r="B3198" s="14"/>
      <c r="H3198" s="14"/>
      <c r="I3198" s="567"/>
      <c r="J3198" s="15"/>
      <c r="N3198" s="14"/>
      <c r="O3198" s="14"/>
      <c r="P3198" s="14"/>
    </row>
    <row r="3199" spans="2:16" ht="15.75" customHeight="1">
      <c r="B3199" s="14"/>
      <c r="H3199" s="14"/>
      <c r="I3199" s="567"/>
      <c r="J3199" s="15"/>
      <c r="N3199" s="14"/>
      <c r="O3199" s="14"/>
      <c r="P3199" s="14"/>
    </row>
    <row r="3200" spans="2:16" ht="15.75" customHeight="1">
      <c r="B3200" s="14"/>
      <c r="H3200" s="14"/>
      <c r="I3200" s="567"/>
      <c r="J3200" s="15"/>
      <c r="N3200" s="14"/>
      <c r="O3200" s="14"/>
      <c r="P3200" s="14"/>
    </row>
    <row r="3201" spans="2:16" ht="15.75" customHeight="1">
      <c r="B3201" s="14"/>
      <c r="H3201" s="14"/>
      <c r="I3201" s="567"/>
      <c r="J3201" s="15"/>
      <c r="N3201" s="14"/>
      <c r="O3201" s="14"/>
      <c r="P3201" s="14"/>
    </row>
    <row r="3202" spans="2:16" ht="15.75" customHeight="1">
      <c r="B3202" s="14"/>
      <c r="H3202" s="14"/>
      <c r="I3202" s="567"/>
      <c r="J3202" s="15"/>
      <c r="N3202" s="14"/>
      <c r="O3202" s="14"/>
      <c r="P3202" s="14"/>
    </row>
    <row r="3203" spans="2:16" ht="15.75" customHeight="1">
      <c r="B3203" s="14"/>
      <c r="H3203" s="14"/>
      <c r="I3203" s="567"/>
      <c r="J3203" s="15"/>
      <c r="N3203" s="14"/>
      <c r="O3203" s="14"/>
      <c r="P3203" s="14"/>
    </row>
    <row r="3204" spans="2:16" ht="15.75" customHeight="1">
      <c r="B3204" s="14"/>
      <c r="H3204" s="14"/>
      <c r="I3204" s="567"/>
      <c r="J3204" s="15"/>
      <c r="N3204" s="14"/>
      <c r="O3204" s="14"/>
      <c r="P3204" s="14"/>
    </row>
    <row r="3205" spans="2:16" ht="15.75" customHeight="1">
      <c r="B3205" s="14"/>
      <c r="H3205" s="14"/>
      <c r="I3205" s="567"/>
      <c r="J3205" s="15"/>
      <c r="N3205" s="14"/>
      <c r="O3205" s="14"/>
      <c r="P3205" s="14"/>
    </row>
    <row r="3206" spans="2:16" ht="15.75" customHeight="1">
      <c r="B3206" s="14"/>
      <c r="H3206" s="14"/>
      <c r="I3206" s="567"/>
      <c r="J3206" s="15"/>
      <c r="N3206" s="14"/>
      <c r="O3206" s="14"/>
      <c r="P3206" s="14"/>
    </row>
    <row r="3207" spans="2:16" ht="15.75" customHeight="1">
      <c r="B3207" s="14"/>
      <c r="H3207" s="14"/>
      <c r="I3207" s="567"/>
      <c r="J3207" s="15"/>
      <c r="N3207" s="14"/>
      <c r="O3207" s="14"/>
      <c r="P3207" s="14"/>
    </row>
    <row r="3208" spans="2:16" ht="15.75" customHeight="1">
      <c r="B3208" s="14"/>
      <c r="H3208" s="14"/>
      <c r="I3208" s="567"/>
      <c r="J3208" s="15"/>
      <c r="N3208" s="14"/>
      <c r="O3208" s="14"/>
      <c r="P3208" s="14"/>
    </row>
    <row r="3209" spans="2:16" ht="15.75" customHeight="1">
      <c r="B3209" s="14"/>
      <c r="H3209" s="14"/>
      <c r="I3209" s="567"/>
      <c r="J3209" s="15"/>
      <c r="N3209" s="14"/>
      <c r="O3209" s="14"/>
      <c r="P3209" s="14"/>
    </row>
    <row r="3210" spans="2:16" ht="15.75" customHeight="1">
      <c r="B3210" s="14"/>
      <c r="H3210" s="14"/>
      <c r="I3210" s="567"/>
      <c r="J3210" s="15"/>
      <c r="N3210" s="14"/>
      <c r="O3210" s="14"/>
      <c r="P3210" s="14"/>
    </row>
    <row r="3211" spans="2:16" ht="15.75" customHeight="1">
      <c r="B3211" s="14"/>
      <c r="H3211" s="14"/>
      <c r="I3211" s="567"/>
      <c r="J3211" s="15"/>
      <c r="N3211" s="14"/>
      <c r="O3211" s="14"/>
      <c r="P3211" s="14"/>
    </row>
    <row r="3212" spans="2:16" ht="15.75" customHeight="1">
      <c r="B3212" s="14"/>
      <c r="H3212" s="14"/>
      <c r="I3212" s="567"/>
      <c r="J3212" s="15"/>
      <c r="N3212" s="14"/>
      <c r="O3212" s="14"/>
      <c r="P3212" s="14"/>
    </row>
    <row r="3213" spans="2:16" ht="15.75" customHeight="1">
      <c r="B3213" s="14"/>
      <c r="H3213" s="14"/>
      <c r="I3213" s="567"/>
      <c r="J3213" s="15"/>
      <c r="N3213" s="14"/>
      <c r="O3213" s="14"/>
      <c r="P3213" s="14"/>
    </row>
    <row r="3214" spans="2:16" ht="15.75" customHeight="1">
      <c r="B3214" s="14"/>
      <c r="H3214" s="14"/>
      <c r="I3214" s="567"/>
      <c r="J3214" s="15"/>
      <c r="N3214" s="14"/>
      <c r="O3214" s="14"/>
      <c r="P3214" s="14"/>
    </row>
    <row r="3215" spans="2:16" ht="15.75" customHeight="1">
      <c r="B3215" s="14"/>
      <c r="H3215" s="14"/>
      <c r="I3215" s="567"/>
      <c r="J3215" s="15"/>
      <c r="N3215" s="14"/>
      <c r="O3215" s="14"/>
      <c r="P3215" s="14"/>
    </row>
    <row r="3216" spans="2:16" ht="15.75" customHeight="1">
      <c r="B3216" s="14"/>
      <c r="H3216" s="14"/>
      <c r="I3216" s="567"/>
      <c r="J3216" s="15"/>
      <c r="N3216" s="14"/>
      <c r="O3216" s="14"/>
      <c r="P3216" s="14"/>
    </row>
    <row r="3217" spans="2:16" ht="15.75" customHeight="1">
      <c r="B3217" s="14"/>
      <c r="H3217" s="14"/>
      <c r="I3217" s="567"/>
      <c r="J3217" s="15"/>
      <c r="N3217" s="14"/>
      <c r="O3217" s="14"/>
      <c r="P3217" s="14"/>
    </row>
    <row r="3218" spans="2:16" ht="15.75" customHeight="1">
      <c r="B3218" s="14"/>
      <c r="H3218" s="14"/>
      <c r="I3218" s="567"/>
      <c r="J3218" s="15"/>
      <c r="N3218" s="14"/>
      <c r="O3218" s="14"/>
      <c r="P3218" s="14"/>
    </row>
    <row r="3219" spans="2:16" ht="15.75" customHeight="1">
      <c r="B3219" s="14"/>
      <c r="H3219" s="14"/>
      <c r="I3219" s="567"/>
      <c r="J3219" s="15"/>
      <c r="N3219" s="14"/>
      <c r="O3219" s="14"/>
      <c r="P3219" s="14"/>
    </row>
    <row r="3220" spans="2:16" ht="15.75" customHeight="1">
      <c r="B3220" s="14"/>
      <c r="H3220" s="14"/>
      <c r="I3220" s="567"/>
      <c r="J3220" s="15"/>
      <c r="N3220" s="14"/>
      <c r="O3220" s="14"/>
      <c r="P3220" s="14"/>
    </row>
    <row r="3221" spans="2:16" ht="15.75" customHeight="1">
      <c r="B3221" s="14"/>
      <c r="H3221" s="14"/>
      <c r="I3221" s="567"/>
      <c r="J3221" s="15"/>
      <c r="N3221" s="14"/>
      <c r="O3221" s="14"/>
      <c r="P3221" s="14"/>
    </row>
    <row r="3222" spans="2:16" ht="15.75" customHeight="1">
      <c r="B3222" s="14"/>
      <c r="H3222" s="14"/>
      <c r="I3222" s="567"/>
      <c r="J3222" s="15"/>
      <c r="N3222" s="14"/>
      <c r="O3222" s="14"/>
      <c r="P3222" s="14"/>
    </row>
    <row r="3223" spans="2:16" ht="15.75" customHeight="1">
      <c r="B3223" s="14"/>
      <c r="H3223" s="14"/>
      <c r="I3223" s="567"/>
      <c r="J3223" s="15"/>
      <c r="N3223" s="14"/>
      <c r="O3223" s="14"/>
      <c r="P3223" s="14"/>
    </row>
    <row r="3224" spans="2:16" ht="15.75" customHeight="1">
      <c r="B3224" s="14"/>
      <c r="H3224" s="14"/>
      <c r="I3224" s="567"/>
      <c r="J3224" s="15"/>
      <c r="N3224" s="14"/>
      <c r="O3224" s="14"/>
      <c r="P3224" s="14"/>
    </row>
    <row r="3225" spans="2:16" ht="15.75" customHeight="1">
      <c r="B3225" s="14"/>
      <c r="H3225" s="14"/>
      <c r="I3225" s="567"/>
      <c r="J3225" s="15"/>
      <c r="N3225" s="14"/>
      <c r="O3225" s="14"/>
      <c r="P3225" s="14"/>
    </row>
    <row r="3226" spans="2:16" ht="15.75" customHeight="1">
      <c r="B3226" s="14"/>
      <c r="H3226" s="14"/>
      <c r="I3226" s="567"/>
      <c r="J3226" s="15"/>
      <c r="N3226" s="14"/>
      <c r="O3226" s="14"/>
      <c r="P3226" s="14"/>
    </row>
    <row r="3227" spans="2:16" ht="15.75" customHeight="1">
      <c r="B3227" s="14"/>
      <c r="H3227" s="14"/>
      <c r="I3227" s="567"/>
      <c r="J3227" s="15"/>
      <c r="N3227" s="14"/>
      <c r="O3227" s="14"/>
      <c r="P3227" s="14"/>
    </row>
    <row r="3228" spans="2:16" ht="15.75" customHeight="1">
      <c r="B3228" s="14"/>
      <c r="H3228" s="14"/>
      <c r="I3228" s="567"/>
      <c r="J3228" s="15"/>
      <c r="N3228" s="14"/>
      <c r="O3228" s="14"/>
      <c r="P3228" s="14"/>
    </row>
    <row r="3229" spans="2:16" ht="15.75" customHeight="1">
      <c r="B3229" s="14"/>
      <c r="H3229" s="14"/>
      <c r="I3229" s="567"/>
      <c r="J3229" s="15"/>
      <c r="N3229" s="14"/>
      <c r="O3229" s="14"/>
      <c r="P3229" s="14"/>
    </row>
    <row r="3230" spans="2:16" ht="15.75" customHeight="1">
      <c r="B3230" s="14"/>
      <c r="H3230" s="14"/>
      <c r="I3230" s="567"/>
      <c r="J3230" s="15"/>
      <c r="N3230" s="14"/>
      <c r="O3230" s="14"/>
      <c r="P3230" s="14"/>
    </row>
    <row r="3231" spans="2:16" ht="15.75" customHeight="1">
      <c r="B3231" s="14"/>
      <c r="H3231" s="14"/>
      <c r="I3231" s="567"/>
      <c r="J3231" s="15"/>
      <c r="N3231" s="14"/>
      <c r="O3231" s="14"/>
      <c r="P3231" s="14"/>
    </row>
    <row r="3232" spans="2:16" ht="15.75" customHeight="1">
      <c r="B3232" s="14"/>
      <c r="H3232" s="14"/>
      <c r="I3232" s="567"/>
      <c r="J3232" s="15"/>
      <c r="N3232" s="14"/>
      <c r="O3232" s="14"/>
      <c r="P3232" s="14"/>
    </row>
    <row r="3233" spans="2:16" ht="15.75" customHeight="1">
      <c r="B3233" s="14"/>
      <c r="H3233" s="14"/>
      <c r="I3233" s="567"/>
      <c r="J3233" s="15"/>
      <c r="N3233" s="14"/>
      <c r="O3233" s="14"/>
      <c r="P3233" s="14"/>
    </row>
    <row r="3234" spans="2:16" ht="15.75" customHeight="1">
      <c r="B3234" s="14"/>
      <c r="H3234" s="14"/>
      <c r="I3234" s="567"/>
      <c r="J3234" s="15"/>
      <c r="N3234" s="14"/>
      <c r="O3234" s="14"/>
      <c r="P3234" s="14"/>
    </row>
    <row r="3235" spans="2:16" ht="15.75" customHeight="1">
      <c r="B3235" s="14"/>
      <c r="H3235" s="14"/>
      <c r="I3235" s="567"/>
      <c r="J3235" s="15"/>
      <c r="N3235" s="14"/>
      <c r="O3235" s="14"/>
      <c r="P3235" s="14"/>
    </row>
    <row r="3236" spans="2:16" ht="15.75" customHeight="1">
      <c r="B3236" s="14"/>
      <c r="H3236" s="14"/>
      <c r="I3236" s="567"/>
      <c r="J3236" s="15"/>
      <c r="N3236" s="14"/>
      <c r="O3236" s="14"/>
      <c r="P3236" s="14"/>
    </row>
    <row r="3237" spans="2:16" ht="15.75" customHeight="1">
      <c r="B3237" s="14"/>
      <c r="H3237" s="14"/>
      <c r="I3237" s="567"/>
      <c r="J3237" s="15"/>
      <c r="N3237" s="14"/>
      <c r="O3237" s="14"/>
      <c r="P3237" s="14"/>
    </row>
    <row r="3238" spans="2:16" ht="15.75" customHeight="1">
      <c r="B3238" s="14"/>
      <c r="H3238" s="14"/>
      <c r="I3238" s="567"/>
      <c r="J3238" s="15"/>
      <c r="N3238" s="14"/>
      <c r="O3238" s="14"/>
      <c r="P3238" s="14"/>
    </row>
    <row r="3239" spans="2:16" ht="15.75" customHeight="1">
      <c r="B3239" s="14"/>
      <c r="H3239" s="14"/>
      <c r="I3239" s="567"/>
      <c r="J3239" s="15"/>
      <c r="N3239" s="14"/>
      <c r="O3239" s="14"/>
      <c r="P3239" s="14"/>
    </row>
    <row r="3240" spans="2:16" ht="15.75" customHeight="1">
      <c r="B3240" s="14"/>
      <c r="H3240" s="14"/>
      <c r="I3240" s="567"/>
      <c r="J3240" s="15"/>
      <c r="N3240" s="14"/>
      <c r="O3240" s="14"/>
      <c r="P3240" s="14"/>
    </row>
    <row r="3241" spans="2:16" ht="15.75" customHeight="1">
      <c r="B3241" s="14"/>
      <c r="H3241" s="14"/>
      <c r="I3241" s="567"/>
      <c r="J3241" s="15"/>
      <c r="N3241" s="14"/>
      <c r="O3241" s="14"/>
      <c r="P3241" s="14"/>
    </row>
    <row r="3242" spans="2:16" ht="15.75" customHeight="1">
      <c r="B3242" s="14"/>
      <c r="H3242" s="14"/>
      <c r="I3242" s="567"/>
      <c r="J3242" s="15"/>
      <c r="N3242" s="14"/>
      <c r="O3242" s="14"/>
      <c r="P3242" s="14"/>
    </row>
    <row r="3243" spans="2:16" ht="15.75" customHeight="1">
      <c r="B3243" s="14"/>
      <c r="H3243" s="14"/>
      <c r="I3243" s="567"/>
      <c r="J3243" s="15"/>
      <c r="N3243" s="14"/>
      <c r="O3243" s="14"/>
      <c r="P3243" s="14"/>
    </row>
    <row r="3244" spans="2:16" ht="15.75" customHeight="1">
      <c r="B3244" s="14"/>
      <c r="H3244" s="14"/>
      <c r="I3244" s="567"/>
      <c r="J3244" s="15"/>
      <c r="N3244" s="14"/>
      <c r="O3244" s="14"/>
      <c r="P3244" s="14"/>
    </row>
    <row r="3245" spans="2:16" ht="15.75" customHeight="1">
      <c r="B3245" s="14"/>
      <c r="H3245" s="14"/>
      <c r="I3245" s="567"/>
      <c r="J3245" s="15"/>
      <c r="N3245" s="14"/>
      <c r="O3245" s="14"/>
      <c r="P3245" s="14"/>
    </row>
    <row r="3246" spans="2:16" ht="15.75" customHeight="1">
      <c r="B3246" s="14"/>
      <c r="H3246" s="14"/>
      <c r="I3246" s="567"/>
      <c r="J3246" s="15"/>
      <c r="N3246" s="14"/>
      <c r="O3246" s="14"/>
      <c r="P3246" s="14"/>
    </row>
    <row r="3247" spans="2:16" ht="15.75" customHeight="1">
      <c r="B3247" s="14"/>
      <c r="H3247" s="14"/>
      <c r="I3247" s="567"/>
      <c r="J3247" s="15"/>
      <c r="N3247" s="14"/>
      <c r="O3247" s="14"/>
      <c r="P3247" s="14"/>
    </row>
    <row r="3248" spans="2:16" ht="15.75" customHeight="1">
      <c r="B3248" s="14"/>
      <c r="H3248" s="14"/>
      <c r="I3248" s="567"/>
      <c r="J3248" s="15"/>
      <c r="N3248" s="14"/>
      <c r="O3248" s="14"/>
      <c r="P3248" s="14"/>
    </row>
    <row r="3249" spans="2:16" ht="15.75" customHeight="1">
      <c r="B3249" s="14"/>
      <c r="H3249" s="14"/>
      <c r="I3249" s="567"/>
      <c r="J3249" s="15"/>
      <c r="N3249" s="14"/>
      <c r="O3249" s="14"/>
      <c r="P3249" s="14"/>
    </row>
    <row r="3250" spans="2:16" ht="15.75" customHeight="1">
      <c r="B3250" s="14"/>
      <c r="H3250" s="14"/>
      <c r="I3250" s="567"/>
      <c r="J3250" s="15"/>
      <c r="N3250" s="14"/>
      <c r="O3250" s="14"/>
      <c r="P3250" s="14"/>
    </row>
    <row r="3251" spans="2:16" ht="15.75" customHeight="1">
      <c r="B3251" s="14"/>
      <c r="H3251" s="14"/>
      <c r="I3251" s="567"/>
      <c r="J3251" s="15"/>
      <c r="N3251" s="14"/>
      <c r="O3251" s="14"/>
      <c r="P3251" s="14"/>
    </row>
    <row r="3252" spans="2:16" ht="15.75" customHeight="1">
      <c r="B3252" s="14"/>
      <c r="H3252" s="14"/>
      <c r="I3252" s="567"/>
      <c r="J3252" s="15"/>
      <c r="N3252" s="14"/>
      <c r="O3252" s="14"/>
      <c r="P3252" s="14"/>
    </row>
    <row r="3253" spans="2:16" ht="15.75" customHeight="1">
      <c r="B3253" s="14"/>
      <c r="H3253" s="14"/>
      <c r="I3253" s="567"/>
      <c r="J3253" s="15"/>
      <c r="N3253" s="14"/>
      <c r="O3253" s="14"/>
      <c r="P3253" s="14"/>
    </row>
    <row r="3254" spans="2:16" ht="15.75" customHeight="1">
      <c r="B3254" s="14"/>
      <c r="H3254" s="14"/>
      <c r="I3254" s="567"/>
      <c r="J3254" s="15"/>
      <c r="N3254" s="14"/>
      <c r="O3254" s="14"/>
      <c r="P3254" s="14"/>
    </row>
    <row r="3255" spans="2:16" ht="15.75" customHeight="1">
      <c r="B3255" s="14"/>
      <c r="H3255" s="14"/>
      <c r="I3255" s="567"/>
      <c r="J3255" s="15"/>
      <c r="N3255" s="14"/>
      <c r="O3255" s="14"/>
      <c r="P3255" s="14"/>
    </row>
    <row r="3256" spans="2:16" ht="15.75" customHeight="1">
      <c r="B3256" s="14"/>
      <c r="H3256" s="14"/>
      <c r="I3256" s="567"/>
      <c r="J3256" s="15"/>
      <c r="N3256" s="14"/>
      <c r="O3256" s="14"/>
      <c r="P3256" s="14"/>
    </row>
    <row r="3257" spans="2:16" ht="15.75" customHeight="1">
      <c r="B3257" s="14"/>
      <c r="H3257" s="14"/>
      <c r="I3257" s="567"/>
      <c r="J3257" s="15"/>
      <c r="N3257" s="14"/>
      <c r="O3257" s="14"/>
      <c r="P3257" s="14"/>
    </row>
    <row r="3258" spans="2:16" ht="15.75" customHeight="1">
      <c r="B3258" s="14"/>
      <c r="H3258" s="14"/>
      <c r="I3258" s="567"/>
      <c r="J3258" s="15"/>
      <c r="N3258" s="14"/>
      <c r="O3258" s="14"/>
      <c r="P3258" s="14"/>
    </row>
    <row r="3259" spans="2:16" ht="15.75" customHeight="1">
      <c r="B3259" s="14"/>
      <c r="H3259" s="14"/>
      <c r="I3259" s="567"/>
      <c r="J3259" s="15"/>
      <c r="N3259" s="14"/>
      <c r="O3259" s="14"/>
      <c r="P3259" s="14"/>
    </row>
    <row r="3260" spans="2:16" ht="15.75" customHeight="1">
      <c r="B3260" s="14"/>
      <c r="H3260" s="14"/>
      <c r="I3260" s="567"/>
      <c r="J3260" s="15"/>
      <c r="N3260" s="14"/>
      <c r="O3260" s="14"/>
      <c r="P3260" s="14"/>
    </row>
    <row r="3261" spans="2:16" ht="15.75" customHeight="1">
      <c r="B3261" s="14"/>
      <c r="H3261" s="14"/>
      <c r="I3261" s="567"/>
      <c r="J3261" s="15"/>
      <c r="N3261" s="14"/>
      <c r="O3261" s="14"/>
      <c r="P3261" s="14"/>
    </row>
    <row r="3262" spans="2:16" ht="15.75" customHeight="1">
      <c r="B3262" s="14"/>
      <c r="H3262" s="14"/>
      <c r="I3262" s="567"/>
      <c r="J3262" s="15"/>
      <c r="N3262" s="14"/>
      <c r="O3262" s="14"/>
      <c r="P3262" s="14"/>
    </row>
    <row r="3263" spans="2:16" ht="15.75" customHeight="1">
      <c r="B3263" s="14"/>
      <c r="H3263" s="14"/>
      <c r="I3263" s="567"/>
      <c r="J3263" s="15"/>
      <c r="N3263" s="14"/>
      <c r="O3263" s="14"/>
      <c r="P3263" s="14"/>
    </row>
    <row r="3264" spans="2:16" ht="15.75" customHeight="1">
      <c r="B3264" s="14"/>
      <c r="H3264" s="14"/>
      <c r="I3264" s="567"/>
      <c r="J3264" s="15"/>
      <c r="N3264" s="14"/>
      <c r="O3264" s="14"/>
      <c r="P3264" s="14"/>
    </row>
    <row r="3265" spans="2:16" ht="15.75" customHeight="1">
      <c r="B3265" s="14"/>
      <c r="H3265" s="14"/>
      <c r="I3265" s="567"/>
      <c r="J3265" s="15"/>
      <c r="N3265" s="14"/>
      <c r="O3265" s="14"/>
      <c r="P3265" s="14"/>
    </row>
    <row r="3266" spans="2:16" ht="15.75" customHeight="1">
      <c r="B3266" s="14"/>
      <c r="H3266" s="14"/>
      <c r="I3266" s="567"/>
      <c r="J3266" s="15"/>
      <c r="N3266" s="14"/>
      <c r="O3266" s="14"/>
      <c r="P3266" s="14"/>
    </row>
    <row r="3267" spans="2:16" ht="15.75" customHeight="1">
      <c r="B3267" s="14"/>
      <c r="H3267" s="14"/>
      <c r="I3267" s="567"/>
      <c r="J3267" s="15"/>
      <c r="N3267" s="14"/>
      <c r="O3267" s="14"/>
      <c r="P3267" s="14"/>
    </row>
    <row r="3268" spans="2:16" ht="15.75" customHeight="1">
      <c r="B3268" s="14"/>
      <c r="H3268" s="14"/>
      <c r="I3268" s="567"/>
      <c r="J3268" s="15"/>
      <c r="N3268" s="14"/>
      <c r="O3268" s="14"/>
      <c r="P3268" s="14"/>
    </row>
    <row r="3269" spans="2:16" ht="15.75" customHeight="1">
      <c r="B3269" s="14"/>
      <c r="H3269" s="14"/>
      <c r="I3269" s="567"/>
      <c r="J3269" s="15"/>
      <c r="N3269" s="14"/>
      <c r="O3269" s="14"/>
      <c r="P3269" s="14"/>
    </row>
    <row r="3270" spans="2:16" ht="15.75" customHeight="1">
      <c r="B3270" s="14"/>
      <c r="H3270" s="14"/>
      <c r="I3270" s="567"/>
      <c r="J3270" s="15"/>
      <c r="N3270" s="14"/>
      <c r="O3270" s="14"/>
      <c r="P3270" s="14"/>
    </row>
    <row r="3271" spans="2:16" ht="15.75" customHeight="1">
      <c r="B3271" s="14"/>
      <c r="H3271" s="14"/>
      <c r="I3271" s="567"/>
      <c r="J3271" s="15"/>
      <c r="N3271" s="14"/>
      <c r="O3271" s="14"/>
      <c r="P3271" s="14"/>
    </row>
    <row r="3272" spans="2:16" ht="15.75" customHeight="1">
      <c r="B3272" s="14"/>
      <c r="H3272" s="14"/>
      <c r="I3272" s="567"/>
      <c r="J3272" s="15"/>
      <c r="N3272" s="14"/>
      <c r="O3272" s="14"/>
      <c r="P3272" s="14"/>
    </row>
    <row r="3273" spans="2:16" ht="15.75" customHeight="1">
      <c r="B3273" s="14"/>
      <c r="H3273" s="14"/>
      <c r="I3273" s="567"/>
      <c r="J3273" s="15"/>
      <c r="N3273" s="14"/>
      <c r="O3273" s="14"/>
      <c r="P3273" s="14"/>
    </row>
    <row r="3274" spans="2:16" ht="15.75" customHeight="1">
      <c r="B3274" s="14"/>
      <c r="H3274" s="14"/>
      <c r="I3274" s="567"/>
      <c r="J3274" s="15"/>
      <c r="N3274" s="14"/>
      <c r="O3274" s="14"/>
      <c r="P3274" s="14"/>
    </row>
    <row r="3275" spans="2:16" ht="15.75" customHeight="1">
      <c r="B3275" s="14"/>
      <c r="H3275" s="14"/>
      <c r="I3275" s="567"/>
      <c r="J3275" s="15"/>
      <c r="N3275" s="14"/>
      <c r="O3275" s="14"/>
      <c r="P3275" s="14"/>
    </row>
    <row r="3276" spans="2:16" ht="15.75" customHeight="1">
      <c r="B3276" s="14"/>
      <c r="H3276" s="14"/>
      <c r="I3276" s="567"/>
      <c r="J3276" s="15"/>
      <c r="N3276" s="14"/>
      <c r="O3276" s="14"/>
      <c r="P3276" s="14"/>
    </row>
    <row r="3277" spans="2:16" ht="15.75" customHeight="1">
      <c r="B3277" s="14"/>
      <c r="H3277" s="14"/>
      <c r="I3277" s="567"/>
      <c r="J3277" s="15"/>
      <c r="N3277" s="14"/>
      <c r="O3277" s="14"/>
      <c r="P3277" s="14"/>
    </row>
    <row r="3278" spans="2:16" ht="15.75" customHeight="1">
      <c r="B3278" s="14"/>
      <c r="H3278" s="14"/>
      <c r="I3278" s="567"/>
      <c r="J3278" s="15"/>
      <c r="N3278" s="14"/>
      <c r="O3278" s="14"/>
      <c r="P3278" s="14"/>
    </row>
    <row r="3279" spans="2:16" ht="15.75" customHeight="1">
      <c r="B3279" s="14"/>
      <c r="H3279" s="14"/>
      <c r="I3279" s="567"/>
      <c r="J3279" s="15"/>
      <c r="N3279" s="14"/>
      <c r="O3279" s="14"/>
      <c r="P3279" s="14"/>
    </row>
    <row r="3280" spans="2:16" ht="15.75" customHeight="1">
      <c r="B3280" s="14"/>
      <c r="H3280" s="14"/>
      <c r="I3280" s="567"/>
      <c r="J3280" s="15"/>
      <c r="N3280" s="14"/>
      <c r="O3280" s="14"/>
      <c r="P3280" s="14"/>
    </row>
    <row r="3281" spans="2:16" ht="15.75" customHeight="1">
      <c r="B3281" s="14"/>
      <c r="H3281" s="14"/>
      <c r="I3281" s="567"/>
      <c r="J3281" s="15"/>
      <c r="N3281" s="14"/>
      <c r="O3281" s="14"/>
      <c r="P3281" s="14"/>
    </row>
    <row r="3282" spans="2:16" ht="15.75" customHeight="1">
      <c r="B3282" s="14"/>
      <c r="H3282" s="14"/>
      <c r="I3282" s="567"/>
      <c r="J3282" s="15"/>
      <c r="N3282" s="14"/>
      <c r="O3282" s="14"/>
      <c r="P3282" s="14"/>
    </row>
    <row r="3283" spans="2:16" ht="15.75" customHeight="1">
      <c r="B3283" s="14"/>
      <c r="H3283" s="14"/>
      <c r="I3283" s="567"/>
      <c r="J3283" s="15"/>
      <c r="N3283" s="14"/>
      <c r="O3283" s="14"/>
      <c r="P3283" s="14"/>
    </row>
    <row r="3284" spans="2:16" ht="15.75" customHeight="1">
      <c r="B3284" s="14"/>
      <c r="H3284" s="14"/>
      <c r="I3284" s="567"/>
      <c r="J3284" s="15"/>
      <c r="N3284" s="14"/>
      <c r="O3284" s="14"/>
      <c r="P3284" s="14"/>
    </row>
    <row r="3285" spans="2:16" ht="15.75" customHeight="1">
      <c r="B3285" s="14"/>
      <c r="H3285" s="14"/>
      <c r="I3285" s="567"/>
      <c r="J3285" s="15"/>
      <c r="N3285" s="14"/>
      <c r="O3285" s="14"/>
      <c r="P3285" s="14"/>
    </row>
    <row r="3286" spans="2:16" ht="15.75" customHeight="1">
      <c r="B3286" s="14"/>
      <c r="H3286" s="14"/>
      <c r="I3286" s="567"/>
      <c r="J3286" s="15"/>
      <c r="N3286" s="14"/>
      <c r="O3286" s="14"/>
      <c r="P3286" s="14"/>
    </row>
    <row r="3287" spans="2:16" ht="15.75" customHeight="1">
      <c r="B3287" s="14"/>
      <c r="H3287" s="14"/>
      <c r="I3287" s="567"/>
      <c r="J3287" s="15"/>
      <c r="N3287" s="14"/>
      <c r="O3287" s="14"/>
      <c r="P3287" s="14"/>
    </row>
    <row r="3288" spans="2:16" ht="15.75" customHeight="1">
      <c r="B3288" s="14"/>
      <c r="H3288" s="14"/>
      <c r="I3288" s="567"/>
      <c r="J3288" s="15"/>
      <c r="N3288" s="14"/>
      <c r="O3288" s="14"/>
      <c r="P3288" s="14"/>
    </row>
    <row r="3289" spans="2:16" ht="15.75" customHeight="1">
      <c r="B3289" s="14"/>
      <c r="H3289" s="14"/>
      <c r="I3289" s="567"/>
      <c r="J3289" s="15"/>
      <c r="N3289" s="14"/>
      <c r="O3289" s="14"/>
      <c r="P3289" s="14"/>
    </row>
    <row r="3290" spans="2:16" ht="15.75" customHeight="1">
      <c r="B3290" s="14"/>
      <c r="H3290" s="14"/>
      <c r="I3290" s="567"/>
      <c r="J3290" s="15"/>
      <c r="N3290" s="14"/>
      <c r="O3290" s="14"/>
      <c r="P3290" s="14"/>
    </row>
    <row r="3291" spans="2:16" ht="15.75" customHeight="1">
      <c r="B3291" s="14"/>
      <c r="H3291" s="14"/>
      <c r="I3291" s="567"/>
      <c r="J3291" s="15"/>
      <c r="N3291" s="14"/>
      <c r="O3291" s="14"/>
      <c r="P3291" s="14"/>
    </row>
    <row r="3292" spans="2:16" ht="15.75" customHeight="1">
      <c r="B3292" s="14"/>
      <c r="H3292" s="14"/>
      <c r="I3292" s="567"/>
      <c r="J3292" s="15"/>
      <c r="N3292" s="14"/>
      <c r="O3292" s="14"/>
      <c r="P3292" s="14"/>
    </row>
    <row r="3293" spans="2:16" ht="15.75" customHeight="1">
      <c r="B3293" s="14"/>
      <c r="H3293" s="14"/>
      <c r="I3293" s="567"/>
      <c r="J3293" s="15"/>
      <c r="N3293" s="14"/>
      <c r="O3293" s="14"/>
      <c r="P3293" s="14"/>
    </row>
    <row r="3294" spans="2:16" ht="15.75" customHeight="1">
      <c r="B3294" s="14"/>
      <c r="H3294" s="14"/>
      <c r="I3294" s="567"/>
      <c r="J3294" s="15"/>
      <c r="N3294" s="14"/>
      <c r="O3294" s="14"/>
      <c r="P3294" s="14"/>
    </row>
    <row r="3295" spans="2:16" ht="15.75" customHeight="1">
      <c r="B3295" s="14"/>
      <c r="H3295" s="14"/>
      <c r="I3295" s="567"/>
      <c r="J3295" s="15"/>
      <c r="N3295" s="14"/>
      <c r="O3295" s="14"/>
      <c r="P3295" s="14"/>
    </row>
    <row r="3296" spans="2:16" ht="15.75" customHeight="1">
      <c r="B3296" s="14"/>
      <c r="H3296" s="14"/>
      <c r="I3296" s="567"/>
      <c r="J3296" s="15"/>
      <c r="N3296" s="14"/>
      <c r="O3296" s="14"/>
      <c r="P3296" s="14"/>
    </row>
    <row r="3297" spans="2:16" ht="15.75" customHeight="1">
      <c r="B3297" s="14"/>
      <c r="H3297" s="14"/>
      <c r="I3297" s="567"/>
      <c r="J3297" s="15"/>
      <c r="N3297" s="14"/>
      <c r="O3297" s="14"/>
      <c r="P3297" s="14"/>
    </row>
    <row r="3298" spans="2:16" ht="15.75" customHeight="1">
      <c r="B3298" s="14"/>
      <c r="H3298" s="14"/>
      <c r="I3298" s="567"/>
      <c r="J3298" s="15"/>
      <c r="N3298" s="14"/>
      <c r="O3298" s="14"/>
      <c r="P3298" s="14"/>
    </row>
    <row r="3299" spans="2:16" ht="15.75" customHeight="1">
      <c r="B3299" s="14"/>
      <c r="H3299" s="14"/>
      <c r="I3299" s="567"/>
      <c r="J3299" s="15"/>
      <c r="N3299" s="14"/>
      <c r="O3299" s="14"/>
      <c r="P3299" s="14"/>
    </row>
    <row r="3300" spans="2:16" ht="15.75" customHeight="1">
      <c r="B3300" s="14"/>
      <c r="H3300" s="14"/>
      <c r="I3300" s="567"/>
      <c r="J3300" s="15"/>
      <c r="N3300" s="14"/>
      <c r="O3300" s="14"/>
      <c r="P3300" s="14"/>
    </row>
    <row r="3301" spans="2:16" ht="15.75" customHeight="1">
      <c r="B3301" s="14"/>
      <c r="H3301" s="14"/>
      <c r="I3301" s="567"/>
      <c r="J3301" s="15"/>
      <c r="N3301" s="14"/>
      <c r="O3301" s="14"/>
      <c r="P3301" s="14"/>
    </row>
    <row r="3302" spans="2:16" ht="15.75" customHeight="1">
      <c r="B3302" s="14"/>
      <c r="H3302" s="14"/>
      <c r="I3302" s="567"/>
      <c r="J3302" s="15"/>
      <c r="N3302" s="14"/>
      <c r="O3302" s="14"/>
      <c r="P3302" s="14"/>
    </row>
    <row r="3303" spans="2:16" ht="15.75" customHeight="1">
      <c r="B3303" s="14"/>
      <c r="H3303" s="14"/>
      <c r="I3303" s="567"/>
      <c r="J3303" s="15"/>
      <c r="N3303" s="14"/>
      <c r="O3303" s="14"/>
      <c r="P3303" s="14"/>
    </row>
    <row r="3304" spans="2:16" ht="15.75" customHeight="1">
      <c r="B3304" s="14"/>
      <c r="H3304" s="14"/>
      <c r="I3304" s="567"/>
      <c r="J3304" s="15"/>
      <c r="N3304" s="14"/>
      <c r="O3304" s="14"/>
      <c r="P3304" s="14"/>
    </row>
    <row r="3305" spans="2:16" ht="15.75" customHeight="1">
      <c r="B3305" s="14"/>
      <c r="H3305" s="14"/>
      <c r="I3305" s="567"/>
      <c r="J3305" s="15"/>
      <c r="N3305" s="14"/>
      <c r="O3305" s="14"/>
      <c r="P3305" s="14"/>
    </row>
    <row r="3306" spans="2:16" ht="15.75" customHeight="1">
      <c r="B3306" s="14"/>
      <c r="H3306" s="14"/>
      <c r="I3306" s="567"/>
      <c r="J3306" s="15"/>
      <c r="N3306" s="14"/>
      <c r="O3306" s="14"/>
      <c r="P3306" s="14"/>
    </row>
    <row r="3307" spans="2:16" ht="15.75" customHeight="1">
      <c r="B3307" s="14"/>
      <c r="H3307" s="14"/>
      <c r="I3307" s="567"/>
      <c r="J3307" s="15"/>
      <c r="N3307" s="14"/>
      <c r="O3307" s="14"/>
      <c r="P3307" s="14"/>
    </row>
    <row r="3308" spans="2:16" ht="15.75" customHeight="1">
      <c r="B3308" s="14"/>
      <c r="H3308" s="14"/>
      <c r="I3308" s="567"/>
      <c r="J3308" s="15"/>
      <c r="N3308" s="14"/>
      <c r="O3308" s="14"/>
      <c r="P3308" s="14"/>
    </row>
    <row r="3309" spans="2:16" ht="15.75" customHeight="1">
      <c r="B3309" s="14"/>
      <c r="H3309" s="14"/>
      <c r="I3309" s="567"/>
      <c r="J3309" s="15"/>
      <c r="N3309" s="14"/>
      <c r="O3309" s="14"/>
      <c r="P3309" s="14"/>
    </row>
    <row r="3310" spans="2:16" ht="15.75" customHeight="1">
      <c r="B3310" s="14"/>
      <c r="H3310" s="14"/>
      <c r="I3310" s="567"/>
      <c r="J3310" s="15"/>
      <c r="N3310" s="14"/>
      <c r="O3310" s="14"/>
      <c r="P3310" s="14"/>
    </row>
    <row r="3311" spans="2:16" ht="15.75" customHeight="1">
      <c r="B3311" s="14"/>
      <c r="H3311" s="14"/>
      <c r="I3311" s="567"/>
      <c r="J3311" s="15"/>
      <c r="N3311" s="14"/>
      <c r="O3311" s="14"/>
      <c r="P3311" s="14"/>
    </row>
    <row r="3312" spans="2:16" ht="15.75" customHeight="1">
      <c r="B3312" s="14"/>
      <c r="H3312" s="14"/>
      <c r="I3312" s="567"/>
      <c r="J3312" s="15"/>
      <c r="N3312" s="14"/>
      <c r="O3312" s="14"/>
      <c r="P3312" s="14"/>
    </row>
    <row r="3313" spans="2:16" ht="15.75" customHeight="1">
      <c r="B3313" s="14"/>
      <c r="H3313" s="14"/>
      <c r="I3313" s="567"/>
      <c r="J3313" s="15"/>
      <c r="N3313" s="14"/>
      <c r="O3313" s="14"/>
      <c r="P3313" s="14"/>
    </row>
    <row r="3314" spans="2:16" ht="15.75" customHeight="1">
      <c r="B3314" s="14"/>
      <c r="H3314" s="14"/>
      <c r="I3314" s="567"/>
      <c r="J3314" s="15"/>
      <c r="N3314" s="14"/>
      <c r="O3314" s="14"/>
      <c r="P3314" s="14"/>
    </row>
    <row r="3315" spans="2:16" ht="15.75" customHeight="1">
      <c r="B3315" s="14"/>
      <c r="H3315" s="14"/>
      <c r="I3315" s="567"/>
      <c r="J3315" s="15"/>
      <c r="N3315" s="14"/>
      <c r="O3315" s="14"/>
      <c r="P3315" s="14"/>
    </row>
    <row r="3316" spans="2:16" ht="15.75" customHeight="1">
      <c r="B3316" s="14"/>
      <c r="H3316" s="14"/>
      <c r="I3316" s="567"/>
      <c r="J3316" s="15"/>
      <c r="N3316" s="14"/>
      <c r="O3316" s="14"/>
      <c r="P3316" s="14"/>
    </row>
    <row r="3317" spans="2:16" ht="15.75" customHeight="1">
      <c r="B3317" s="14"/>
      <c r="H3317" s="14"/>
      <c r="I3317" s="567"/>
      <c r="J3317" s="15"/>
      <c r="N3317" s="14"/>
      <c r="O3317" s="14"/>
      <c r="P3317" s="14"/>
    </row>
    <row r="3318" spans="2:16" ht="15.75" customHeight="1">
      <c r="B3318" s="14"/>
      <c r="H3318" s="14"/>
      <c r="I3318" s="567"/>
      <c r="J3318" s="15"/>
      <c r="N3318" s="14"/>
      <c r="O3318" s="14"/>
      <c r="P3318" s="14"/>
    </row>
    <row r="3319" spans="2:16" ht="15.75" customHeight="1">
      <c r="B3319" s="14"/>
      <c r="H3319" s="14"/>
      <c r="I3319" s="567"/>
      <c r="J3319" s="15"/>
      <c r="N3319" s="14"/>
      <c r="O3319" s="14"/>
      <c r="P3319" s="14"/>
    </row>
    <row r="3320" spans="2:16" ht="15.75" customHeight="1">
      <c r="B3320" s="14"/>
      <c r="H3320" s="14"/>
      <c r="I3320" s="567"/>
      <c r="J3320" s="15"/>
      <c r="N3320" s="14"/>
      <c r="O3320" s="14"/>
      <c r="P3320" s="14"/>
    </row>
    <row r="3321" spans="2:16" ht="15.75" customHeight="1">
      <c r="B3321" s="14"/>
      <c r="H3321" s="14"/>
      <c r="I3321" s="567"/>
      <c r="J3321" s="15"/>
      <c r="N3321" s="14"/>
      <c r="O3321" s="14"/>
      <c r="P3321" s="14"/>
    </row>
    <row r="3322" spans="2:16" ht="15.75" customHeight="1">
      <c r="B3322" s="14"/>
      <c r="H3322" s="14"/>
      <c r="I3322" s="567"/>
      <c r="J3322" s="15"/>
      <c r="N3322" s="14"/>
      <c r="O3322" s="14"/>
      <c r="P3322" s="14"/>
    </row>
    <row r="3323" spans="2:16" ht="15.75" customHeight="1">
      <c r="B3323" s="14"/>
      <c r="H3323" s="14"/>
      <c r="I3323" s="567"/>
      <c r="J3323" s="15"/>
      <c r="N3323" s="14"/>
      <c r="O3323" s="14"/>
      <c r="P3323" s="14"/>
    </row>
    <row r="3324" spans="2:16" ht="15.75" customHeight="1">
      <c r="B3324" s="14"/>
      <c r="H3324" s="14"/>
      <c r="I3324" s="567"/>
      <c r="J3324" s="15"/>
      <c r="N3324" s="14"/>
      <c r="O3324" s="14"/>
      <c r="P3324" s="14"/>
    </row>
    <row r="3325" spans="2:16" ht="15.75" customHeight="1">
      <c r="B3325" s="14"/>
      <c r="H3325" s="14"/>
      <c r="I3325" s="567"/>
      <c r="J3325" s="15"/>
      <c r="N3325" s="14"/>
      <c r="O3325" s="14"/>
      <c r="P3325" s="14"/>
    </row>
    <row r="3326" spans="2:16" ht="15.75" customHeight="1">
      <c r="B3326" s="14"/>
      <c r="H3326" s="14"/>
      <c r="I3326" s="567"/>
      <c r="J3326" s="15"/>
      <c r="N3326" s="14"/>
      <c r="O3326" s="14"/>
      <c r="P3326" s="14"/>
    </row>
    <row r="3327" spans="2:16" ht="15.75" customHeight="1">
      <c r="B3327" s="14"/>
      <c r="H3327" s="14"/>
      <c r="I3327" s="567"/>
      <c r="J3327" s="15"/>
      <c r="N3327" s="14"/>
      <c r="O3327" s="14"/>
      <c r="P3327" s="14"/>
    </row>
    <row r="3328" spans="2:16" ht="15.75" customHeight="1">
      <c r="B3328" s="14"/>
      <c r="H3328" s="14"/>
      <c r="I3328" s="567"/>
      <c r="J3328" s="15"/>
      <c r="N3328" s="14"/>
      <c r="O3328" s="14"/>
      <c r="P3328" s="14"/>
    </row>
    <row r="3329" spans="2:16" ht="15.75" customHeight="1">
      <c r="B3329" s="14"/>
      <c r="H3329" s="14"/>
      <c r="I3329" s="567"/>
      <c r="J3329" s="15"/>
      <c r="N3329" s="14"/>
      <c r="O3329" s="14"/>
      <c r="P3329" s="14"/>
    </row>
    <row r="3330" spans="2:16" ht="15.75" customHeight="1">
      <c r="B3330" s="14"/>
      <c r="H3330" s="14"/>
      <c r="I3330" s="567"/>
      <c r="J3330" s="15"/>
      <c r="N3330" s="14"/>
      <c r="O3330" s="14"/>
      <c r="P3330" s="14"/>
    </row>
    <row r="3331" spans="2:16" ht="15.75" customHeight="1">
      <c r="B3331" s="14"/>
      <c r="H3331" s="14"/>
      <c r="I3331" s="567"/>
      <c r="J3331" s="15"/>
      <c r="N3331" s="14"/>
      <c r="O3331" s="14"/>
      <c r="P3331" s="14"/>
    </row>
    <row r="3332" spans="2:16" ht="15.75" customHeight="1">
      <c r="B3332" s="14"/>
      <c r="H3332" s="14"/>
      <c r="I3332" s="567"/>
      <c r="J3332" s="15"/>
      <c r="N3332" s="14"/>
      <c r="O3332" s="14"/>
      <c r="P3332" s="14"/>
    </row>
    <row r="3333" spans="2:16" ht="15.75" customHeight="1">
      <c r="B3333" s="14"/>
      <c r="H3333" s="14"/>
      <c r="I3333" s="567"/>
      <c r="J3333" s="15"/>
      <c r="N3333" s="14"/>
      <c r="O3333" s="14"/>
      <c r="P3333" s="14"/>
    </row>
    <row r="3334" spans="2:16" ht="15.75" customHeight="1">
      <c r="B3334" s="14"/>
      <c r="H3334" s="14"/>
      <c r="I3334" s="567"/>
      <c r="J3334" s="15"/>
      <c r="N3334" s="14"/>
      <c r="O3334" s="14"/>
      <c r="P3334" s="14"/>
    </row>
    <row r="3335" spans="2:16" ht="15.75" customHeight="1">
      <c r="B3335" s="14"/>
      <c r="H3335" s="14"/>
      <c r="I3335" s="567"/>
      <c r="J3335" s="15"/>
      <c r="N3335" s="14"/>
      <c r="O3335" s="14"/>
      <c r="P3335" s="14"/>
    </row>
    <row r="3336" spans="2:16" ht="15.75" customHeight="1">
      <c r="B3336" s="14"/>
      <c r="H3336" s="14"/>
      <c r="I3336" s="567"/>
      <c r="J3336" s="15"/>
      <c r="N3336" s="14"/>
      <c r="O3336" s="14"/>
      <c r="P3336" s="14"/>
    </row>
    <row r="3337" spans="2:16" ht="15.75" customHeight="1">
      <c r="B3337" s="14"/>
      <c r="H3337" s="14"/>
      <c r="I3337" s="567"/>
      <c r="J3337" s="15"/>
      <c r="N3337" s="14"/>
      <c r="O3337" s="14"/>
      <c r="P3337" s="14"/>
    </row>
    <row r="3338" spans="2:16" ht="15.75" customHeight="1">
      <c r="B3338" s="14"/>
      <c r="H3338" s="14"/>
      <c r="I3338" s="567"/>
      <c r="J3338" s="15"/>
      <c r="N3338" s="14"/>
      <c r="O3338" s="14"/>
      <c r="P3338" s="14"/>
    </row>
    <row r="3339" spans="2:16" ht="15.75" customHeight="1">
      <c r="B3339" s="14"/>
      <c r="H3339" s="14"/>
      <c r="I3339" s="567"/>
      <c r="J3339" s="15"/>
      <c r="N3339" s="14"/>
      <c r="O3339" s="14"/>
      <c r="P3339" s="14"/>
    </row>
    <row r="3340" spans="2:16" ht="15.75" customHeight="1">
      <c r="B3340" s="14"/>
      <c r="H3340" s="14"/>
      <c r="I3340" s="567"/>
      <c r="J3340" s="15"/>
      <c r="N3340" s="14"/>
      <c r="O3340" s="14"/>
      <c r="P3340" s="14"/>
    </row>
    <row r="3341" spans="2:16" ht="15.75" customHeight="1">
      <c r="B3341" s="14"/>
      <c r="H3341" s="14"/>
      <c r="I3341" s="567"/>
      <c r="J3341" s="15"/>
      <c r="N3341" s="14"/>
      <c r="O3341" s="14"/>
      <c r="P3341" s="14"/>
    </row>
    <row r="3342" spans="2:16" ht="15.75" customHeight="1">
      <c r="B3342" s="14"/>
      <c r="H3342" s="14"/>
      <c r="I3342" s="567"/>
      <c r="J3342" s="15"/>
      <c r="N3342" s="14"/>
      <c r="O3342" s="14"/>
      <c r="P3342" s="14"/>
    </row>
    <row r="3343" spans="2:16" ht="15.75" customHeight="1">
      <c r="B3343" s="14"/>
      <c r="H3343" s="14"/>
      <c r="I3343" s="567"/>
      <c r="J3343" s="15"/>
      <c r="N3343" s="14"/>
      <c r="O3343" s="14"/>
      <c r="P3343" s="14"/>
    </row>
    <row r="3344" spans="2:16" ht="15.75" customHeight="1">
      <c r="B3344" s="14"/>
      <c r="H3344" s="14"/>
      <c r="I3344" s="567"/>
      <c r="J3344" s="15"/>
      <c r="N3344" s="14"/>
      <c r="O3344" s="14"/>
      <c r="P3344" s="14"/>
    </row>
    <row r="3345" spans="2:16" ht="15.75" customHeight="1">
      <c r="B3345" s="14"/>
      <c r="H3345" s="14"/>
      <c r="I3345" s="567"/>
      <c r="J3345" s="15"/>
      <c r="N3345" s="14"/>
      <c r="O3345" s="14"/>
      <c r="P3345" s="14"/>
    </row>
    <row r="3346" spans="2:16" ht="15.75" customHeight="1">
      <c r="B3346" s="14"/>
      <c r="H3346" s="14"/>
      <c r="I3346" s="567"/>
      <c r="J3346" s="15"/>
      <c r="N3346" s="14"/>
      <c r="O3346" s="14"/>
      <c r="P3346" s="14"/>
    </row>
    <row r="3347" spans="2:16" ht="15.75" customHeight="1">
      <c r="B3347" s="14"/>
      <c r="H3347" s="14"/>
      <c r="I3347" s="567"/>
      <c r="J3347" s="15"/>
      <c r="N3347" s="14"/>
      <c r="O3347" s="14"/>
      <c r="P3347" s="14"/>
    </row>
    <row r="3348" spans="2:16" ht="15.75" customHeight="1">
      <c r="B3348" s="14"/>
      <c r="H3348" s="14"/>
      <c r="I3348" s="567"/>
      <c r="J3348" s="15"/>
      <c r="N3348" s="14"/>
      <c r="O3348" s="14"/>
      <c r="P3348" s="14"/>
    </row>
    <row r="3349" spans="2:16" ht="15.75" customHeight="1">
      <c r="B3349" s="14"/>
      <c r="H3349" s="14"/>
      <c r="I3349" s="567"/>
      <c r="J3349" s="15"/>
      <c r="N3349" s="14"/>
      <c r="O3349" s="14"/>
      <c r="P3349" s="14"/>
    </row>
    <row r="3350" spans="2:16" ht="15.75" customHeight="1">
      <c r="B3350" s="14"/>
      <c r="H3350" s="14"/>
      <c r="I3350" s="567"/>
      <c r="J3350" s="15"/>
      <c r="N3350" s="14"/>
      <c r="O3350" s="14"/>
      <c r="P3350" s="14"/>
    </row>
    <row r="3351" spans="2:16" ht="15.75" customHeight="1">
      <c r="B3351" s="14"/>
      <c r="H3351" s="14"/>
      <c r="I3351" s="567"/>
      <c r="J3351" s="15"/>
      <c r="N3351" s="14"/>
      <c r="O3351" s="14"/>
      <c r="P3351" s="14"/>
    </row>
    <row r="3352" spans="2:16" ht="15.75" customHeight="1">
      <c r="B3352" s="14"/>
      <c r="H3352" s="14"/>
      <c r="I3352" s="567"/>
      <c r="J3352" s="15"/>
      <c r="N3352" s="14"/>
      <c r="O3352" s="14"/>
      <c r="P3352" s="14"/>
    </row>
    <row r="3353" spans="2:16" ht="15.75" customHeight="1">
      <c r="B3353" s="14"/>
      <c r="H3353" s="14"/>
      <c r="I3353" s="567"/>
      <c r="J3353" s="15"/>
      <c r="N3353" s="14"/>
      <c r="O3353" s="14"/>
      <c r="P3353" s="14"/>
    </row>
    <row r="3354" spans="2:16" ht="15.75" customHeight="1">
      <c r="B3354" s="14"/>
      <c r="H3354" s="14"/>
      <c r="I3354" s="567"/>
      <c r="J3354" s="15"/>
      <c r="N3354" s="14"/>
      <c r="O3354" s="14"/>
      <c r="P3354" s="14"/>
    </row>
    <row r="3355" spans="2:16" ht="15.75" customHeight="1">
      <c r="B3355" s="14"/>
      <c r="H3355" s="14"/>
      <c r="I3355" s="567"/>
      <c r="J3355" s="15"/>
      <c r="N3355" s="14"/>
      <c r="O3355" s="14"/>
      <c r="P3355" s="14"/>
    </row>
    <row r="3356" spans="2:16" ht="15.75" customHeight="1">
      <c r="B3356" s="14"/>
      <c r="H3356" s="14"/>
      <c r="I3356" s="567"/>
      <c r="J3356" s="15"/>
      <c r="N3356" s="14"/>
      <c r="O3356" s="14"/>
      <c r="P3356" s="14"/>
    </row>
    <row r="3357" spans="2:16" ht="15.75" customHeight="1">
      <c r="B3357" s="14"/>
      <c r="H3357" s="14"/>
      <c r="I3357" s="567"/>
      <c r="J3357" s="15"/>
      <c r="N3357" s="14"/>
      <c r="O3357" s="14"/>
      <c r="P3357" s="14"/>
    </row>
    <row r="3358" spans="2:16" ht="15.75" customHeight="1">
      <c r="B3358" s="14"/>
      <c r="H3358" s="14"/>
      <c r="I3358" s="567"/>
      <c r="J3358" s="15"/>
      <c r="N3358" s="14"/>
      <c r="O3358" s="14"/>
      <c r="P3358" s="14"/>
    </row>
    <row r="3359" spans="2:16" ht="15.75" customHeight="1">
      <c r="B3359" s="14"/>
      <c r="H3359" s="14"/>
      <c r="I3359" s="567"/>
      <c r="J3359" s="15"/>
      <c r="N3359" s="14"/>
      <c r="O3359" s="14"/>
      <c r="P3359" s="14"/>
    </row>
    <row r="3360" spans="2:16" ht="15.75" customHeight="1">
      <c r="B3360" s="14"/>
      <c r="H3360" s="14"/>
      <c r="I3360" s="567"/>
      <c r="J3360" s="15"/>
      <c r="N3360" s="14"/>
      <c r="O3360" s="14"/>
      <c r="P3360" s="14"/>
    </row>
    <row r="3361" spans="2:16" ht="15.75" customHeight="1">
      <c r="B3361" s="14"/>
      <c r="H3361" s="14"/>
      <c r="I3361" s="567"/>
      <c r="J3361" s="15"/>
      <c r="N3361" s="14"/>
      <c r="O3361" s="14"/>
      <c r="P3361" s="14"/>
    </row>
    <row r="3362" spans="2:16" ht="15.75" customHeight="1">
      <c r="B3362" s="14"/>
      <c r="H3362" s="14"/>
      <c r="I3362" s="567"/>
      <c r="J3362" s="15"/>
      <c r="N3362" s="14"/>
      <c r="O3362" s="14"/>
      <c r="P3362" s="14"/>
    </row>
    <row r="3363" spans="2:16" ht="15.75" customHeight="1">
      <c r="B3363" s="14"/>
      <c r="H3363" s="14"/>
      <c r="I3363" s="567"/>
      <c r="J3363" s="15"/>
      <c r="N3363" s="14"/>
      <c r="O3363" s="14"/>
      <c r="P3363" s="14"/>
    </row>
    <row r="3364" spans="2:16" ht="15.75" customHeight="1">
      <c r="B3364" s="14"/>
      <c r="H3364" s="14"/>
      <c r="I3364" s="567"/>
      <c r="J3364" s="15"/>
      <c r="N3364" s="14"/>
      <c r="O3364" s="14"/>
      <c r="P3364" s="14"/>
    </row>
    <row r="3365" spans="2:16" ht="15.75" customHeight="1">
      <c r="B3365" s="14"/>
      <c r="H3365" s="14"/>
      <c r="I3365" s="567"/>
      <c r="J3365" s="15"/>
      <c r="N3365" s="14"/>
      <c r="O3365" s="14"/>
      <c r="P3365" s="14"/>
    </row>
    <row r="3366" spans="2:16" ht="15.75" customHeight="1">
      <c r="B3366" s="14"/>
      <c r="H3366" s="14"/>
      <c r="I3366" s="567"/>
      <c r="J3366" s="15"/>
      <c r="N3366" s="14"/>
      <c r="O3366" s="14"/>
      <c r="P3366" s="14"/>
    </row>
    <row r="3367" spans="2:16" ht="15.75" customHeight="1">
      <c r="B3367" s="14"/>
      <c r="H3367" s="14"/>
      <c r="I3367" s="567"/>
      <c r="J3367" s="15"/>
      <c r="N3367" s="14"/>
      <c r="O3367" s="14"/>
      <c r="P3367" s="14"/>
    </row>
    <row r="3368" spans="2:16" ht="15.75" customHeight="1">
      <c r="B3368" s="14"/>
      <c r="H3368" s="14"/>
      <c r="I3368" s="567"/>
      <c r="J3368" s="15"/>
      <c r="N3368" s="14"/>
      <c r="O3368" s="14"/>
      <c r="P3368" s="14"/>
    </row>
    <row r="3369" spans="2:16" ht="15.75" customHeight="1">
      <c r="B3369" s="14"/>
      <c r="H3369" s="14"/>
      <c r="I3369" s="567"/>
      <c r="J3369" s="15"/>
      <c r="N3369" s="14"/>
      <c r="O3369" s="14"/>
      <c r="P3369" s="14"/>
    </row>
    <row r="3370" spans="2:16" ht="15.75" customHeight="1">
      <c r="B3370" s="14"/>
      <c r="H3370" s="14"/>
      <c r="I3370" s="567"/>
      <c r="J3370" s="15"/>
      <c r="N3370" s="14"/>
      <c r="O3370" s="14"/>
      <c r="P3370" s="14"/>
    </row>
    <row r="3371" spans="2:16" ht="15.75" customHeight="1">
      <c r="B3371" s="14"/>
      <c r="H3371" s="14"/>
      <c r="I3371" s="567"/>
      <c r="J3371" s="15"/>
      <c r="N3371" s="14"/>
      <c r="O3371" s="14"/>
      <c r="P3371" s="14"/>
    </row>
    <row r="3372" spans="2:16" ht="15.75" customHeight="1">
      <c r="B3372" s="14"/>
      <c r="H3372" s="14"/>
      <c r="I3372" s="567"/>
      <c r="J3372" s="15"/>
      <c r="N3372" s="14"/>
      <c r="O3372" s="14"/>
      <c r="P3372" s="14"/>
    </row>
    <row r="3373" spans="2:16" ht="15.75" customHeight="1">
      <c r="B3373" s="14"/>
      <c r="H3373" s="14"/>
      <c r="I3373" s="567"/>
      <c r="J3373" s="15"/>
      <c r="N3373" s="14"/>
      <c r="O3373" s="14"/>
      <c r="P3373" s="14"/>
    </row>
    <row r="3374" spans="2:16" ht="15.75" customHeight="1">
      <c r="B3374" s="14"/>
      <c r="H3374" s="14"/>
      <c r="I3374" s="567"/>
      <c r="J3374" s="15"/>
      <c r="N3374" s="14"/>
      <c r="O3374" s="14"/>
      <c r="P3374" s="14"/>
    </row>
    <row r="3375" spans="2:16" ht="15.75" customHeight="1">
      <c r="B3375" s="14"/>
      <c r="H3375" s="14"/>
      <c r="I3375" s="567"/>
      <c r="J3375" s="15"/>
      <c r="N3375" s="14"/>
      <c r="O3375" s="14"/>
      <c r="P3375" s="14"/>
    </row>
    <row r="3376" spans="2:16" ht="15.75" customHeight="1">
      <c r="B3376" s="14"/>
      <c r="H3376" s="14"/>
      <c r="I3376" s="567"/>
      <c r="J3376" s="15"/>
      <c r="N3376" s="14"/>
      <c r="O3376" s="14"/>
      <c r="P3376" s="14"/>
    </row>
    <row r="3377" spans="2:16" ht="15.75" customHeight="1">
      <c r="B3377" s="14"/>
      <c r="H3377" s="14"/>
      <c r="I3377" s="567"/>
      <c r="J3377" s="15"/>
      <c r="N3377" s="14"/>
      <c r="O3377" s="14"/>
      <c r="P3377" s="14"/>
    </row>
    <row r="3378" spans="2:16" ht="15.75" customHeight="1">
      <c r="B3378" s="14"/>
      <c r="H3378" s="14"/>
      <c r="I3378" s="567"/>
      <c r="J3378" s="15"/>
      <c r="N3378" s="14"/>
      <c r="O3378" s="14"/>
      <c r="P3378" s="14"/>
    </row>
    <row r="3379" spans="2:16" ht="15.75" customHeight="1">
      <c r="B3379" s="14"/>
      <c r="H3379" s="14"/>
      <c r="I3379" s="567"/>
      <c r="J3379" s="15"/>
      <c r="N3379" s="14"/>
      <c r="O3379" s="14"/>
      <c r="P3379" s="14"/>
    </row>
    <row r="3380" spans="2:16" ht="15.75" customHeight="1">
      <c r="B3380" s="14"/>
      <c r="H3380" s="14"/>
      <c r="I3380" s="567"/>
      <c r="J3380" s="15"/>
      <c r="N3380" s="14"/>
      <c r="O3380" s="14"/>
      <c r="P3380" s="14"/>
    </row>
    <row r="3381" spans="2:16" ht="15.75" customHeight="1">
      <c r="B3381" s="14"/>
      <c r="H3381" s="14"/>
      <c r="I3381" s="567"/>
      <c r="J3381" s="15"/>
      <c r="N3381" s="14"/>
      <c r="O3381" s="14"/>
      <c r="P3381" s="14"/>
    </row>
    <row r="3382" spans="2:16" ht="15.75" customHeight="1">
      <c r="B3382" s="14"/>
      <c r="H3382" s="14"/>
      <c r="I3382" s="567"/>
      <c r="J3382" s="15"/>
      <c r="N3382" s="14"/>
      <c r="O3382" s="14"/>
      <c r="P3382" s="14"/>
    </row>
    <row r="3383" spans="2:16" ht="15.75" customHeight="1">
      <c r="B3383" s="14"/>
      <c r="H3383" s="14"/>
      <c r="I3383" s="567"/>
      <c r="J3383" s="15"/>
      <c r="N3383" s="14"/>
      <c r="O3383" s="14"/>
      <c r="P3383" s="14"/>
    </row>
    <row r="3384" spans="2:16" ht="15.75" customHeight="1">
      <c r="B3384" s="14"/>
      <c r="H3384" s="14"/>
      <c r="I3384" s="567"/>
      <c r="J3384" s="15"/>
      <c r="N3384" s="14"/>
      <c r="O3384" s="14"/>
      <c r="P3384" s="14"/>
    </row>
    <row r="3385" spans="2:16" ht="15.75" customHeight="1">
      <c r="B3385" s="14"/>
      <c r="H3385" s="14"/>
      <c r="I3385" s="567"/>
      <c r="J3385" s="15"/>
      <c r="N3385" s="14"/>
      <c r="O3385" s="14"/>
      <c r="P3385" s="14"/>
    </row>
    <row r="3386" spans="2:16" ht="15.75" customHeight="1">
      <c r="B3386" s="14"/>
      <c r="H3386" s="14"/>
      <c r="I3386" s="567"/>
      <c r="J3386" s="15"/>
      <c r="N3386" s="14"/>
      <c r="O3386" s="14"/>
      <c r="P3386" s="14"/>
    </row>
    <row r="3387" spans="2:16" ht="15.75" customHeight="1">
      <c r="B3387" s="14"/>
      <c r="H3387" s="14"/>
      <c r="I3387" s="567"/>
      <c r="J3387" s="15"/>
      <c r="N3387" s="14"/>
      <c r="O3387" s="14"/>
      <c r="P3387" s="14"/>
    </row>
    <row r="3388" spans="2:16" ht="15.75" customHeight="1">
      <c r="B3388" s="14"/>
      <c r="H3388" s="14"/>
      <c r="I3388" s="567"/>
      <c r="J3388" s="15"/>
      <c r="N3388" s="14"/>
      <c r="O3388" s="14"/>
      <c r="P3388" s="14"/>
    </row>
    <row r="3389" spans="2:16" ht="15.75" customHeight="1">
      <c r="B3389" s="14"/>
      <c r="H3389" s="14"/>
      <c r="I3389" s="567"/>
      <c r="J3389" s="15"/>
      <c r="N3389" s="14"/>
      <c r="O3389" s="14"/>
      <c r="P3389" s="14"/>
    </row>
    <row r="3390" spans="2:16" ht="15.75" customHeight="1">
      <c r="B3390" s="14"/>
      <c r="H3390" s="14"/>
      <c r="I3390" s="567"/>
      <c r="J3390" s="15"/>
      <c r="N3390" s="14"/>
      <c r="O3390" s="14"/>
      <c r="P3390" s="14"/>
    </row>
    <row r="3391" spans="2:16" ht="15.75" customHeight="1">
      <c r="B3391" s="14"/>
      <c r="H3391" s="14"/>
      <c r="I3391" s="567"/>
      <c r="J3391" s="15"/>
      <c r="N3391" s="14"/>
      <c r="O3391" s="14"/>
      <c r="P3391" s="14"/>
    </row>
    <row r="3392" spans="2:16" ht="15.75" customHeight="1">
      <c r="B3392" s="14"/>
      <c r="H3392" s="14"/>
      <c r="I3392" s="567"/>
      <c r="J3392" s="15"/>
      <c r="N3392" s="14"/>
      <c r="O3392" s="14"/>
      <c r="P3392" s="14"/>
    </row>
    <row r="3393" spans="2:16" ht="15.75" customHeight="1">
      <c r="B3393" s="14"/>
      <c r="H3393" s="14"/>
      <c r="I3393" s="567"/>
      <c r="J3393" s="15"/>
      <c r="N3393" s="14"/>
      <c r="O3393" s="14"/>
      <c r="P3393" s="14"/>
    </row>
    <row r="3394" spans="2:16" ht="15.75" customHeight="1">
      <c r="B3394" s="14"/>
      <c r="H3394" s="14"/>
      <c r="I3394" s="567"/>
      <c r="J3394" s="15"/>
      <c r="N3394" s="14"/>
      <c r="O3394" s="14"/>
      <c r="P3394" s="14"/>
    </row>
    <row r="3395" spans="2:16" ht="15.75" customHeight="1">
      <c r="B3395" s="14"/>
      <c r="H3395" s="14"/>
      <c r="I3395" s="567"/>
      <c r="J3395" s="15"/>
      <c r="N3395" s="14"/>
      <c r="O3395" s="14"/>
      <c r="P3395" s="14"/>
    </row>
    <row r="3396" spans="2:16" ht="15.75" customHeight="1">
      <c r="B3396" s="14"/>
      <c r="H3396" s="14"/>
      <c r="I3396" s="567"/>
      <c r="J3396" s="15"/>
      <c r="N3396" s="14"/>
      <c r="O3396" s="14"/>
      <c r="P3396" s="14"/>
    </row>
    <row r="3397" spans="2:16" ht="15.75" customHeight="1">
      <c r="B3397" s="14"/>
      <c r="H3397" s="14"/>
      <c r="I3397" s="567"/>
      <c r="J3397" s="15"/>
      <c r="N3397" s="14"/>
      <c r="O3397" s="14"/>
      <c r="P3397" s="14"/>
    </row>
    <row r="3398" spans="2:16" ht="15.75" customHeight="1">
      <c r="B3398" s="14"/>
      <c r="H3398" s="14"/>
      <c r="I3398" s="567"/>
      <c r="J3398" s="15"/>
      <c r="N3398" s="14"/>
      <c r="O3398" s="14"/>
      <c r="P3398" s="14"/>
    </row>
    <row r="3399" spans="2:16" ht="15.75" customHeight="1">
      <c r="B3399" s="14"/>
      <c r="H3399" s="14"/>
      <c r="I3399" s="567"/>
      <c r="J3399" s="15"/>
      <c r="N3399" s="14"/>
      <c r="O3399" s="14"/>
      <c r="P3399" s="14"/>
    </row>
    <row r="3400" spans="2:16" ht="15.75" customHeight="1">
      <c r="B3400" s="14"/>
      <c r="H3400" s="14"/>
      <c r="I3400" s="567"/>
      <c r="J3400" s="15"/>
      <c r="N3400" s="14"/>
      <c r="O3400" s="14"/>
      <c r="P3400" s="14"/>
    </row>
    <row r="3401" spans="2:16" ht="15.75" customHeight="1">
      <c r="B3401" s="14"/>
      <c r="H3401" s="14"/>
      <c r="I3401" s="567"/>
      <c r="J3401" s="15"/>
      <c r="N3401" s="14"/>
      <c r="O3401" s="14"/>
      <c r="P3401" s="14"/>
    </row>
    <row r="3402" spans="2:16" ht="15.75" customHeight="1">
      <c r="B3402" s="14"/>
      <c r="H3402" s="14"/>
      <c r="I3402" s="567"/>
      <c r="J3402" s="15"/>
      <c r="N3402" s="14"/>
      <c r="O3402" s="14"/>
      <c r="P3402" s="14"/>
    </row>
    <row r="3403" spans="2:16" ht="15.75" customHeight="1">
      <c r="B3403" s="14"/>
      <c r="H3403" s="14"/>
      <c r="I3403" s="567"/>
      <c r="J3403" s="15"/>
      <c r="N3403" s="14"/>
      <c r="O3403" s="14"/>
      <c r="P3403" s="14"/>
    </row>
    <row r="3404" spans="2:16" ht="15.75" customHeight="1">
      <c r="B3404" s="14"/>
      <c r="H3404" s="14"/>
      <c r="I3404" s="567"/>
      <c r="J3404" s="15"/>
      <c r="N3404" s="14"/>
      <c r="O3404" s="14"/>
      <c r="P3404" s="14"/>
    </row>
    <row r="3405" spans="2:16" ht="15.75" customHeight="1">
      <c r="B3405" s="14"/>
      <c r="H3405" s="14"/>
      <c r="I3405" s="567"/>
      <c r="J3405" s="15"/>
      <c r="N3405" s="14"/>
      <c r="O3405" s="14"/>
      <c r="P3405" s="14"/>
    </row>
    <row r="3406" spans="2:16" ht="15.75" customHeight="1">
      <c r="B3406" s="14"/>
      <c r="H3406" s="14"/>
      <c r="I3406" s="567"/>
      <c r="J3406" s="15"/>
      <c r="N3406" s="14"/>
      <c r="O3406" s="14"/>
      <c r="P3406" s="14"/>
    </row>
    <row r="3407" spans="2:16" ht="15.75" customHeight="1">
      <c r="B3407" s="14"/>
      <c r="H3407" s="14"/>
      <c r="I3407" s="567"/>
      <c r="J3407" s="15"/>
      <c r="N3407" s="14"/>
      <c r="O3407" s="14"/>
      <c r="P3407" s="14"/>
    </row>
    <row r="3408" spans="2:16" ht="15.75" customHeight="1">
      <c r="B3408" s="14"/>
      <c r="H3408" s="14"/>
      <c r="I3408" s="567"/>
      <c r="J3408" s="15"/>
      <c r="N3408" s="14"/>
      <c r="O3408" s="14"/>
      <c r="P3408" s="14"/>
    </row>
    <row r="3409" spans="2:16" ht="15.75" customHeight="1">
      <c r="B3409" s="14"/>
      <c r="H3409" s="14"/>
      <c r="I3409" s="567"/>
      <c r="J3409" s="15"/>
      <c r="N3409" s="14"/>
      <c r="O3409" s="14"/>
      <c r="P3409" s="14"/>
    </row>
    <row r="3410" spans="2:16" ht="15.75" customHeight="1">
      <c r="B3410" s="14"/>
      <c r="H3410" s="14"/>
      <c r="I3410" s="567"/>
      <c r="J3410" s="15"/>
      <c r="N3410" s="14"/>
      <c r="O3410" s="14"/>
      <c r="P3410" s="14"/>
    </row>
    <row r="3411" spans="2:16" ht="15.75" customHeight="1">
      <c r="B3411" s="14"/>
      <c r="H3411" s="14"/>
      <c r="I3411" s="567"/>
      <c r="J3411" s="15"/>
      <c r="N3411" s="14"/>
      <c r="O3411" s="14"/>
      <c r="P3411" s="14"/>
    </row>
    <row r="3412" spans="2:16" ht="15.75" customHeight="1">
      <c r="B3412" s="14"/>
      <c r="H3412" s="14"/>
      <c r="I3412" s="567"/>
      <c r="J3412" s="15"/>
      <c r="N3412" s="14"/>
      <c r="O3412" s="14"/>
      <c r="P3412" s="14"/>
    </row>
    <row r="3413" spans="2:16" ht="15.75" customHeight="1">
      <c r="B3413" s="14"/>
      <c r="H3413" s="14"/>
      <c r="I3413" s="567"/>
      <c r="J3413" s="15"/>
      <c r="N3413" s="14"/>
      <c r="O3413" s="14"/>
      <c r="P3413" s="14"/>
    </row>
    <row r="3414" spans="2:16" ht="15.75" customHeight="1">
      <c r="B3414" s="14"/>
      <c r="H3414" s="14"/>
      <c r="I3414" s="567"/>
      <c r="J3414" s="15"/>
      <c r="N3414" s="14"/>
      <c r="O3414" s="14"/>
      <c r="P3414" s="14"/>
    </row>
    <row r="3415" spans="2:16" ht="15.75" customHeight="1">
      <c r="B3415" s="14"/>
      <c r="H3415" s="14"/>
      <c r="I3415" s="567"/>
      <c r="J3415" s="15"/>
      <c r="N3415" s="14"/>
      <c r="O3415" s="14"/>
      <c r="P3415" s="14"/>
    </row>
    <row r="3416" spans="2:16" ht="15.75" customHeight="1">
      <c r="B3416" s="14"/>
      <c r="H3416" s="14"/>
      <c r="I3416" s="567"/>
      <c r="J3416" s="15"/>
      <c r="N3416" s="14"/>
      <c r="O3416" s="14"/>
      <c r="P3416" s="14"/>
    </row>
    <row r="3417" spans="2:16" ht="15.75" customHeight="1">
      <c r="B3417" s="14"/>
      <c r="H3417" s="14"/>
      <c r="I3417" s="567"/>
      <c r="J3417" s="15"/>
      <c r="N3417" s="14"/>
      <c r="O3417" s="14"/>
      <c r="P3417" s="14"/>
    </row>
    <row r="3418" spans="2:16" ht="15.75" customHeight="1">
      <c r="B3418" s="14"/>
      <c r="H3418" s="14"/>
      <c r="I3418" s="567"/>
      <c r="J3418" s="15"/>
      <c r="N3418" s="14"/>
      <c r="O3418" s="14"/>
      <c r="P3418" s="14"/>
    </row>
    <row r="3419" spans="2:16" ht="15.75" customHeight="1">
      <c r="B3419" s="14"/>
      <c r="H3419" s="14"/>
      <c r="I3419" s="567"/>
      <c r="J3419" s="15"/>
      <c r="N3419" s="14"/>
      <c r="O3419" s="14"/>
      <c r="P3419" s="14"/>
    </row>
    <row r="3420" spans="2:16" ht="15.75" customHeight="1">
      <c r="B3420" s="14"/>
      <c r="H3420" s="14"/>
      <c r="I3420" s="567"/>
      <c r="J3420" s="15"/>
      <c r="N3420" s="14"/>
      <c r="O3420" s="14"/>
      <c r="P3420" s="14"/>
    </row>
    <row r="3421" spans="2:16" ht="15.75" customHeight="1">
      <c r="B3421" s="14"/>
      <c r="H3421" s="14"/>
      <c r="I3421" s="567"/>
      <c r="J3421" s="15"/>
      <c r="N3421" s="14"/>
      <c r="O3421" s="14"/>
      <c r="P3421" s="14"/>
    </row>
    <row r="3422" spans="2:16" ht="15.75" customHeight="1">
      <c r="B3422" s="14"/>
      <c r="H3422" s="14"/>
      <c r="I3422" s="567"/>
      <c r="J3422" s="15"/>
      <c r="N3422" s="14"/>
      <c r="O3422" s="14"/>
      <c r="P3422" s="14"/>
    </row>
    <row r="3423" spans="2:16" ht="15.75" customHeight="1">
      <c r="B3423" s="14"/>
      <c r="H3423" s="14"/>
      <c r="I3423" s="567"/>
      <c r="J3423" s="15"/>
      <c r="N3423" s="14"/>
      <c r="O3423" s="14"/>
      <c r="P3423" s="14"/>
    </row>
    <row r="3424" spans="2:16" ht="15.75" customHeight="1">
      <c r="B3424" s="14"/>
      <c r="H3424" s="14"/>
      <c r="I3424" s="567"/>
      <c r="J3424" s="15"/>
      <c r="N3424" s="14"/>
      <c r="O3424" s="14"/>
      <c r="P3424" s="14"/>
    </row>
    <row r="3425" spans="2:16" ht="15.75" customHeight="1">
      <c r="B3425" s="14"/>
      <c r="H3425" s="14"/>
      <c r="I3425" s="567"/>
      <c r="J3425" s="15"/>
      <c r="N3425" s="14"/>
      <c r="O3425" s="14"/>
      <c r="P3425" s="14"/>
    </row>
    <row r="3426" spans="2:16" ht="15.75" customHeight="1">
      <c r="B3426" s="14"/>
      <c r="H3426" s="14"/>
      <c r="I3426" s="567"/>
      <c r="J3426" s="15"/>
      <c r="N3426" s="14"/>
      <c r="O3426" s="14"/>
      <c r="P3426" s="14"/>
    </row>
    <row r="3427" spans="2:16" ht="15.75" customHeight="1">
      <c r="B3427" s="14"/>
      <c r="H3427" s="14"/>
      <c r="I3427" s="567"/>
      <c r="J3427" s="15"/>
      <c r="N3427" s="14"/>
      <c r="O3427" s="14"/>
      <c r="P3427" s="14"/>
    </row>
    <row r="3428" spans="2:16" ht="15.75" customHeight="1">
      <c r="B3428" s="14"/>
      <c r="H3428" s="14"/>
      <c r="I3428" s="567"/>
      <c r="J3428" s="15"/>
      <c r="N3428" s="14"/>
      <c r="O3428" s="14"/>
      <c r="P3428" s="14"/>
    </row>
    <row r="3429" spans="2:16" ht="15.75" customHeight="1">
      <c r="B3429" s="14"/>
      <c r="H3429" s="14"/>
      <c r="I3429" s="567"/>
      <c r="J3429" s="15"/>
      <c r="N3429" s="14"/>
      <c r="O3429" s="14"/>
      <c r="P3429" s="14"/>
    </row>
    <row r="3430" spans="2:16" ht="15.75" customHeight="1">
      <c r="B3430" s="14"/>
      <c r="H3430" s="14"/>
      <c r="I3430" s="567"/>
      <c r="J3430" s="15"/>
      <c r="N3430" s="14"/>
      <c r="O3430" s="14"/>
      <c r="P3430" s="14"/>
    </row>
    <row r="3431" spans="2:16" ht="15.75" customHeight="1">
      <c r="B3431" s="14"/>
      <c r="H3431" s="14"/>
      <c r="I3431" s="567"/>
      <c r="J3431" s="15"/>
      <c r="N3431" s="14"/>
      <c r="O3431" s="14"/>
      <c r="P3431" s="14"/>
    </row>
    <row r="3432" spans="2:16" ht="15.75" customHeight="1">
      <c r="B3432" s="14"/>
      <c r="H3432" s="14"/>
      <c r="I3432" s="567"/>
      <c r="J3432" s="15"/>
      <c r="N3432" s="14"/>
      <c r="O3432" s="14"/>
      <c r="P3432" s="14"/>
    </row>
    <row r="3433" spans="2:16" ht="15.75" customHeight="1">
      <c r="B3433" s="14"/>
      <c r="H3433" s="14"/>
      <c r="I3433" s="567"/>
      <c r="J3433" s="15"/>
      <c r="N3433" s="14"/>
      <c r="O3433" s="14"/>
      <c r="P3433" s="14"/>
    </row>
    <row r="3434" spans="2:16" ht="15.75" customHeight="1">
      <c r="B3434" s="14"/>
      <c r="H3434" s="14"/>
      <c r="I3434" s="567"/>
      <c r="J3434" s="15"/>
      <c r="N3434" s="14"/>
      <c r="O3434" s="14"/>
      <c r="P3434" s="14"/>
    </row>
    <row r="3435" spans="2:16" ht="15.75" customHeight="1">
      <c r="B3435" s="14"/>
      <c r="H3435" s="14"/>
      <c r="I3435" s="567"/>
      <c r="J3435" s="15"/>
      <c r="N3435" s="14"/>
      <c r="O3435" s="14"/>
      <c r="P3435" s="14"/>
    </row>
    <row r="3436" spans="2:16" ht="15.75" customHeight="1">
      <c r="B3436" s="14"/>
      <c r="H3436" s="14"/>
      <c r="I3436" s="567"/>
      <c r="J3436" s="15"/>
      <c r="N3436" s="14"/>
      <c r="O3436" s="14"/>
      <c r="P3436" s="14"/>
    </row>
    <row r="3437" spans="2:16" ht="15.75" customHeight="1">
      <c r="B3437" s="14"/>
      <c r="H3437" s="14"/>
      <c r="I3437" s="567"/>
      <c r="J3437" s="15"/>
      <c r="N3437" s="14"/>
      <c r="O3437" s="14"/>
      <c r="P3437" s="14"/>
    </row>
    <row r="3438" spans="2:16" ht="15.75" customHeight="1">
      <c r="B3438" s="14"/>
      <c r="H3438" s="14"/>
      <c r="I3438" s="567"/>
      <c r="J3438" s="15"/>
      <c r="N3438" s="14"/>
      <c r="O3438" s="14"/>
      <c r="P3438" s="14"/>
    </row>
    <row r="3439" spans="2:16" ht="15.75" customHeight="1">
      <c r="B3439" s="14"/>
      <c r="H3439" s="14"/>
      <c r="I3439" s="567"/>
      <c r="J3439" s="15"/>
      <c r="N3439" s="14"/>
      <c r="O3439" s="14"/>
      <c r="P3439" s="14"/>
    </row>
    <row r="3440" spans="2:16" ht="15.75" customHeight="1">
      <c r="B3440" s="14"/>
      <c r="H3440" s="14"/>
      <c r="I3440" s="567"/>
      <c r="J3440" s="15"/>
      <c r="N3440" s="14"/>
      <c r="O3440" s="14"/>
      <c r="P3440" s="14"/>
    </row>
    <row r="3441" spans="2:16" ht="15.75" customHeight="1">
      <c r="B3441" s="14"/>
      <c r="H3441" s="14"/>
      <c r="I3441" s="567"/>
      <c r="J3441" s="15"/>
      <c r="N3441" s="14"/>
      <c r="O3441" s="14"/>
      <c r="P3441" s="14"/>
    </row>
    <row r="3442" spans="2:16" ht="15.75" customHeight="1">
      <c r="B3442" s="14"/>
      <c r="H3442" s="14"/>
      <c r="I3442" s="567"/>
      <c r="J3442" s="15"/>
      <c r="N3442" s="14"/>
      <c r="O3442" s="14"/>
      <c r="P3442" s="14"/>
    </row>
    <row r="3443" spans="2:16" ht="15.75" customHeight="1">
      <c r="B3443" s="14"/>
      <c r="H3443" s="14"/>
      <c r="I3443" s="567"/>
      <c r="J3443" s="15"/>
      <c r="N3443" s="14"/>
      <c r="O3443" s="14"/>
      <c r="P3443" s="14"/>
    </row>
    <row r="3444" spans="2:16" ht="15.75" customHeight="1">
      <c r="B3444" s="14"/>
      <c r="H3444" s="14"/>
      <c r="I3444" s="567"/>
      <c r="J3444" s="15"/>
      <c r="N3444" s="14"/>
      <c r="O3444" s="14"/>
      <c r="P3444" s="14"/>
    </row>
    <row r="3445" spans="2:16" ht="15.75" customHeight="1">
      <c r="B3445" s="14"/>
      <c r="H3445" s="14"/>
      <c r="I3445" s="567"/>
      <c r="J3445" s="15"/>
      <c r="N3445" s="14"/>
      <c r="O3445" s="14"/>
      <c r="P3445" s="14"/>
    </row>
    <row r="3446" spans="2:16" ht="15.75" customHeight="1">
      <c r="B3446" s="14"/>
      <c r="H3446" s="14"/>
      <c r="I3446" s="567"/>
      <c r="J3446" s="15"/>
      <c r="N3446" s="14"/>
      <c r="O3446" s="14"/>
      <c r="P3446" s="14"/>
    </row>
    <row r="3447" spans="2:16" ht="15.75" customHeight="1">
      <c r="B3447" s="14"/>
      <c r="H3447" s="14"/>
      <c r="I3447" s="567"/>
      <c r="J3447" s="15"/>
      <c r="N3447" s="14"/>
      <c r="O3447" s="14"/>
      <c r="P3447" s="14"/>
    </row>
    <row r="3448" spans="2:16" ht="15.75" customHeight="1">
      <c r="B3448" s="14"/>
      <c r="H3448" s="14"/>
      <c r="I3448" s="567"/>
      <c r="J3448" s="15"/>
      <c r="N3448" s="14"/>
      <c r="O3448" s="14"/>
      <c r="P3448" s="14"/>
    </row>
    <row r="3449" spans="2:16" ht="15.75" customHeight="1">
      <c r="B3449" s="14"/>
      <c r="H3449" s="14"/>
      <c r="I3449" s="567"/>
      <c r="J3449" s="15"/>
      <c r="N3449" s="14"/>
      <c r="O3449" s="14"/>
      <c r="P3449" s="14"/>
    </row>
    <row r="3450" spans="2:16" ht="15.75" customHeight="1">
      <c r="B3450" s="14"/>
      <c r="H3450" s="14"/>
      <c r="I3450" s="567"/>
      <c r="J3450" s="15"/>
      <c r="N3450" s="14"/>
      <c r="O3450" s="14"/>
      <c r="P3450" s="14"/>
    </row>
    <row r="3451" spans="2:16" ht="15.75" customHeight="1">
      <c r="B3451" s="14"/>
      <c r="H3451" s="14"/>
      <c r="I3451" s="567"/>
      <c r="J3451" s="15"/>
      <c r="N3451" s="14"/>
      <c r="O3451" s="14"/>
      <c r="P3451" s="14"/>
    </row>
    <row r="3452" spans="2:16" ht="15.75" customHeight="1">
      <c r="B3452" s="14"/>
      <c r="H3452" s="14"/>
      <c r="I3452" s="567"/>
      <c r="J3452" s="15"/>
      <c r="N3452" s="14"/>
      <c r="O3452" s="14"/>
      <c r="P3452" s="14"/>
    </row>
    <row r="3453" spans="2:16" ht="15.75" customHeight="1">
      <c r="B3453" s="14"/>
      <c r="H3453" s="14"/>
      <c r="I3453" s="567"/>
      <c r="J3453" s="15"/>
      <c r="N3453" s="14"/>
      <c r="O3453" s="14"/>
      <c r="P3453" s="14"/>
    </row>
    <row r="3454" spans="2:16" ht="15.75" customHeight="1">
      <c r="B3454" s="14"/>
      <c r="H3454" s="14"/>
      <c r="I3454" s="567"/>
      <c r="J3454" s="15"/>
      <c r="N3454" s="14"/>
      <c r="O3454" s="14"/>
      <c r="P3454" s="14"/>
    </row>
    <row r="3455" spans="2:16" ht="15.75" customHeight="1">
      <c r="B3455" s="14"/>
      <c r="H3455" s="14"/>
      <c r="I3455" s="567"/>
      <c r="J3455" s="15"/>
      <c r="N3455" s="14"/>
      <c r="O3455" s="14"/>
      <c r="P3455" s="14"/>
    </row>
    <row r="3456" spans="2:16" ht="15.75" customHeight="1">
      <c r="B3456" s="14"/>
      <c r="H3456" s="14"/>
      <c r="I3456" s="567"/>
      <c r="J3456" s="15"/>
      <c r="N3456" s="14"/>
      <c r="O3456" s="14"/>
      <c r="P3456" s="14"/>
    </row>
    <row r="3457" spans="2:16" ht="15.75" customHeight="1">
      <c r="B3457" s="14"/>
      <c r="H3457" s="14"/>
      <c r="I3457" s="567"/>
      <c r="J3457" s="15"/>
      <c r="N3457" s="14"/>
      <c r="O3457" s="14"/>
      <c r="P3457" s="14"/>
    </row>
    <row r="3458" spans="2:16" ht="15.75" customHeight="1">
      <c r="B3458" s="14"/>
      <c r="H3458" s="14"/>
      <c r="I3458" s="567"/>
      <c r="J3458" s="15"/>
      <c r="N3458" s="14"/>
      <c r="O3458" s="14"/>
      <c r="P3458" s="14"/>
    </row>
    <row r="3459" spans="2:16" ht="15.75" customHeight="1">
      <c r="B3459" s="14"/>
      <c r="H3459" s="14"/>
      <c r="I3459" s="567"/>
      <c r="J3459" s="15"/>
      <c r="N3459" s="14"/>
      <c r="O3459" s="14"/>
      <c r="P3459" s="14"/>
    </row>
    <row r="3460" spans="2:16" ht="15.75" customHeight="1">
      <c r="B3460" s="14"/>
      <c r="H3460" s="14"/>
      <c r="I3460" s="567"/>
      <c r="J3460" s="15"/>
      <c r="N3460" s="14"/>
      <c r="O3460" s="14"/>
      <c r="P3460" s="14"/>
    </row>
    <row r="3461" spans="2:16" ht="15.75" customHeight="1">
      <c r="B3461" s="14"/>
      <c r="H3461" s="14"/>
      <c r="I3461" s="567"/>
      <c r="J3461" s="15"/>
      <c r="N3461" s="14"/>
      <c r="O3461" s="14"/>
      <c r="P3461" s="14"/>
    </row>
    <row r="3462" spans="2:16" ht="15.75" customHeight="1">
      <c r="B3462" s="14"/>
      <c r="H3462" s="14"/>
      <c r="I3462" s="567"/>
      <c r="J3462" s="15"/>
      <c r="N3462" s="14"/>
      <c r="O3462" s="14"/>
      <c r="P3462" s="14"/>
    </row>
    <row r="3463" spans="2:16" ht="15.75" customHeight="1">
      <c r="B3463" s="14"/>
      <c r="H3463" s="14"/>
      <c r="I3463" s="567"/>
      <c r="J3463" s="15"/>
      <c r="N3463" s="14"/>
      <c r="O3463" s="14"/>
      <c r="P3463" s="14"/>
    </row>
    <row r="3464" spans="2:16" ht="15.75" customHeight="1">
      <c r="B3464" s="14"/>
      <c r="H3464" s="14"/>
      <c r="I3464" s="567"/>
      <c r="J3464" s="15"/>
      <c r="N3464" s="14"/>
      <c r="O3464" s="14"/>
      <c r="P3464" s="14"/>
    </row>
    <row r="3465" spans="2:16" ht="15.75" customHeight="1">
      <c r="B3465" s="14"/>
      <c r="H3465" s="14"/>
      <c r="I3465" s="567"/>
      <c r="J3465" s="15"/>
      <c r="N3465" s="14"/>
      <c r="O3465" s="14"/>
      <c r="P3465" s="14"/>
    </row>
    <row r="3466" spans="2:16" ht="15.75" customHeight="1">
      <c r="B3466" s="14"/>
      <c r="H3466" s="14"/>
      <c r="I3466" s="567"/>
      <c r="J3466" s="15"/>
      <c r="N3466" s="14"/>
      <c r="O3466" s="14"/>
      <c r="P3466" s="14"/>
    </row>
    <row r="3467" spans="2:16" ht="15.75" customHeight="1">
      <c r="B3467" s="14"/>
      <c r="H3467" s="14"/>
      <c r="I3467" s="567"/>
      <c r="J3467" s="15"/>
      <c r="N3467" s="14"/>
      <c r="O3467" s="14"/>
      <c r="P3467" s="14"/>
    </row>
    <row r="3468" spans="2:16" ht="15.75" customHeight="1">
      <c r="B3468" s="14"/>
      <c r="H3468" s="14"/>
      <c r="I3468" s="567"/>
      <c r="J3468" s="15"/>
      <c r="N3468" s="14"/>
      <c r="O3468" s="14"/>
      <c r="P3468" s="14"/>
    </row>
    <row r="3469" spans="2:16" ht="15.75" customHeight="1">
      <c r="B3469" s="14"/>
      <c r="H3469" s="14"/>
      <c r="I3469" s="567"/>
      <c r="J3469" s="15"/>
      <c r="N3469" s="14"/>
      <c r="O3469" s="14"/>
      <c r="P3469" s="14"/>
    </row>
    <row r="3470" spans="2:16" ht="15.75" customHeight="1">
      <c r="B3470" s="14"/>
      <c r="H3470" s="14"/>
      <c r="I3470" s="567"/>
      <c r="J3470" s="15"/>
      <c r="N3470" s="14"/>
      <c r="O3470" s="14"/>
      <c r="P3470" s="14"/>
    </row>
    <row r="3471" spans="2:16" ht="15.75" customHeight="1">
      <c r="B3471" s="14"/>
      <c r="H3471" s="14"/>
      <c r="I3471" s="567"/>
      <c r="J3471" s="15"/>
      <c r="N3471" s="14"/>
      <c r="O3471" s="14"/>
      <c r="P3471" s="14"/>
    </row>
    <row r="3472" spans="2:16" ht="15.75" customHeight="1">
      <c r="B3472" s="14"/>
      <c r="H3472" s="14"/>
      <c r="I3472" s="567"/>
      <c r="J3472" s="15"/>
      <c r="N3472" s="14"/>
      <c r="O3472" s="14"/>
      <c r="P3472" s="14"/>
    </row>
    <row r="3473" spans="2:16" ht="15.75" customHeight="1">
      <c r="B3473" s="14"/>
      <c r="H3473" s="14"/>
      <c r="I3473" s="567"/>
      <c r="J3473" s="15"/>
      <c r="N3473" s="14"/>
      <c r="O3473" s="14"/>
      <c r="P3473" s="14"/>
    </row>
    <row r="3474" spans="2:16" ht="15.75" customHeight="1">
      <c r="B3474" s="14"/>
      <c r="H3474" s="14"/>
      <c r="I3474" s="567"/>
      <c r="J3474" s="15"/>
      <c r="N3474" s="14"/>
      <c r="O3474" s="14"/>
      <c r="P3474" s="14"/>
    </row>
    <row r="3475" spans="2:16" ht="15.75" customHeight="1">
      <c r="B3475" s="14"/>
      <c r="H3475" s="14"/>
      <c r="I3475" s="567"/>
      <c r="J3475" s="15"/>
      <c r="N3475" s="14"/>
      <c r="O3475" s="14"/>
      <c r="P3475" s="14"/>
    </row>
    <row r="3476" spans="2:16" ht="15.75" customHeight="1">
      <c r="B3476" s="14"/>
      <c r="H3476" s="14"/>
      <c r="I3476" s="567"/>
      <c r="J3476" s="15"/>
      <c r="N3476" s="14"/>
      <c r="O3476" s="14"/>
      <c r="P3476" s="14"/>
    </row>
    <row r="3477" spans="2:16" ht="15.75" customHeight="1">
      <c r="B3477" s="14"/>
      <c r="H3477" s="14"/>
      <c r="I3477" s="567"/>
      <c r="J3477" s="15"/>
      <c r="N3477" s="14"/>
      <c r="O3477" s="14"/>
      <c r="P3477" s="14"/>
    </row>
    <row r="3478" spans="2:16" ht="15.75" customHeight="1">
      <c r="B3478" s="14"/>
      <c r="H3478" s="14"/>
      <c r="I3478" s="567"/>
      <c r="J3478" s="15"/>
      <c r="N3478" s="14"/>
      <c r="O3478" s="14"/>
      <c r="P3478" s="14"/>
    </row>
    <row r="3479" spans="2:16" ht="15.75" customHeight="1">
      <c r="B3479" s="14"/>
      <c r="H3479" s="14"/>
      <c r="I3479" s="567"/>
      <c r="J3479" s="15"/>
      <c r="N3479" s="14"/>
      <c r="O3479" s="14"/>
      <c r="P3479" s="14"/>
    </row>
    <row r="3480" spans="2:16" ht="15.75" customHeight="1">
      <c r="B3480" s="14"/>
      <c r="H3480" s="14"/>
      <c r="I3480" s="567"/>
      <c r="J3480" s="15"/>
      <c r="N3480" s="14"/>
      <c r="O3480" s="14"/>
      <c r="P3480" s="14"/>
    </row>
    <row r="3481" spans="2:16" ht="15.75" customHeight="1">
      <c r="B3481" s="14"/>
      <c r="H3481" s="14"/>
      <c r="I3481" s="567"/>
      <c r="J3481" s="15"/>
      <c r="N3481" s="14"/>
      <c r="O3481" s="14"/>
      <c r="P3481" s="14"/>
    </row>
    <row r="3482" spans="2:16" ht="15.75" customHeight="1">
      <c r="B3482" s="14"/>
      <c r="H3482" s="14"/>
      <c r="I3482" s="567"/>
      <c r="J3482" s="15"/>
      <c r="N3482" s="14"/>
      <c r="O3482" s="14"/>
      <c r="P3482" s="14"/>
    </row>
    <row r="3483" spans="2:16" ht="15.75" customHeight="1">
      <c r="B3483" s="14"/>
      <c r="H3483" s="14"/>
      <c r="I3483" s="567"/>
      <c r="J3483" s="15"/>
      <c r="N3483" s="14"/>
      <c r="O3483" s="14"/>
      <c r="P3483" s="14"/>
    </row>
    <row r="3484" spans="2:16" ht="15.75" customHeight="1">
      <c r="B3484" s="14"/>
      <c r="H3484" s="14"/>
      <c r="I3484" s="567"/>
      <c r="J3484" s="15"/>
      <c r="N3484" s="14"/>
      <c r="O3484" s="14"/>
      <c r="P3484" s="14"/>
    </row>
    <row r="3485" spans="2:16" ht="15.75" customHeight="1">
      <c r="B3485" s="14"/>
      <c r="H3485" s="14"/>
      <c r="I3485" s="567"/>
      <c r="J3485" s="15"/>
      <c r="N3485" s="14"/>
      <c r="O3485" s="14"/>
      <c r="P3485" s="14"/>
    </row>
    <row r="3486" spans="2:16" ht="15.75" customHeight="1">
      <c r="B3486" s="14"/>
      <c r="H3486" s="14"/>
      <c r="I3486" s="567"/>
      <c r="J3486" s="15"/>
      <c r="N3486" s="14"/>
      <c r="O3486" s="14"/>
      <c r="P3486" s="14"/>
    </row>
    <row r="3487" spans="2:16" ht="15.75" customHeight="1">
      <c r="B3487" s="14"/>
      <c r="H3487" s="14"/>
      <c r="I3487" s="567"/>
      <c r="J3487" s="15"/>
      <c r="N3487" s="14"/>
      <c r="O3487" s="14"/>
      <c r="P3487" s="14"/>
    </row>
    <row r="3488" spans="2:16" ht="15.75" customHeight="1">
      <c r="B3488" s="14"/>
      <c r="H3488" s="14"/>
      <c r="I3488" s="567"/>
      <c r="J3488" s="15"/>
      <c r="N3488" s="14"/>
      <c r="O3488" s="14"/>
      <c r="P3488" s="14"/>
    </row>
    <row r="3489" spans="2:16" ht="15.75" customHeight="1">
      <c r="B3489" s="14"/>
      <c r="H3489" s="14"/>
      <c r="I3489" s="567"/>
      <c r="J3489" s="15"/>
      <c r="N3489" s="14"/>
      <c r="O3489" s="14"/>
      <c r="P3489" s="14"/>
    </row>
    <row r="3490" spans="2:16" ht="15.75" customHeight="1">
      <c r="B3490" s="14"/>
      <c r="H3490" s="14"/>
      <c r="I3490" s="567"/>
      <c r="J3490" s="15"/>
      <c r="N3490" s="14"/>
      <c r="O3490" s="14"/>
      <c r="P3490" s="14"/>
    </row>
    <row r="3491" spans="2:16" ht="15.75" customHeight="1">
      <c r="B3491" s="14"/>
      <c r="H3491" s="14"/>
      <c r="I3491" s="567"/>
      <c r="J3491" s="15"/>
      <c r="N3491" s="14"/>
      <c r="O3491" s="14"/>
      <c r="P3491" s="14"/>
    </row>
    <row r="3492" spans="2:16" ht="15.75" customHeight="1">
      <c r="B3492" s="14"/>
      <c r="H3492" s="14"/>
      <c r="I3492" s="567"/>
      <c r="J3492" s="15"/>
      <c r="N3492" s="14"/>
      <c r="O3492" s="14"/>
      <c r="P3492" s="14"/>
    </row>
    <row r="3493" spans="2:16" ht="15.75" customHeight="1">
      <c r="B3493" s="14"/>
      <c r="H3493" s="14"/>
      <c r="I3493" s="567"/>
      <c r="J3493" s="15"/>
      <c r="N3493" s="14"/>
      <c r="O3493" s="14"/>
      <c r="P3493" s="14"/>
    </row>
    <row r="3494" spans="2:16" ht="15.75" customHeight="1">
      <c r="B3494" s="14"/>
      <c r="H3494" s="14"/>
      <c r="I3494" s="567"/>
      <c r="J3494" s="15"/>
      <c r="N3494" s="14"/>
      <c r="O3494" s="14"/>
      <c r="P3494" s="14"/>
    </row>
    <row r="3495" spans="2:16" ht="15.75" customHeight="1">
      <c r="B3495" s="14"/>
      <c r="H3495" s="14"/>
      <c r="I3495" s="567"/>
      <c r="J3495" s="15"/>
      <c r="N3495" s="14"/>
      <c r="O3495" s="14"/>
      <c r="P3495" s="14"/>
    </row>
    <row r="3496" spans="2:16" ht="15.75" customHeight="1">
      <c r="B3496" s="14"/>
      <c r="H3496" s="14"/>
      <c r="I3496" s="567"/>
      <c r="J3496" s="15"/>
      <c r="N3496" s="14"/>
      <c r="O3496" s="14"/>
      <c r="P3496" s="14"/>
    </row>
    <row r="3497" spans="2:16" ht="15.75" customHeight="1">
      <c r="B3497" s="14"/>
      <c r="H3497" s="14"/>
      <c r="I3497" s="567"/>
      <c r="J3497" s="15"/>
      <c r="N3497" s="14"/>
      <c r="O3497" s="14"/>
      <c r="P3497" s="14"/>
    </row>
    <row r="3498" spans="2:16" ht="15.75" customHeight="1">
      <c r="B3498" s="14"/>
      <c r="H3498" s="14"/>
      <c r="I3498" s="567"/>
      <c r="J3498" s="15"/>
      <c r="N3498" s="14"/>
      <c r="O3498" s="14"/>
      <c r="P3498" s="14"/>
    </row>
    <row r="3499" spans="2:16" ht="15.75" customHeight="1">
      <c r="B3499" s="14"/>
      <c r="H3499" s="14"/>
      <c r="I3499" s="567"/>
      <c r="J3499" s="15"/>
      <c r="N3499" s="14"/>
      <c r="O3499" s="14"/>
      <c r="P3499" s="14"/>
    </row>
    <row r="3500" spans="2:16" ht="15.75" customHeight="1">
      <c r="B3500" s="14"/>
      <c r="H3500" s="14"/>
      <c r="I3500" s="567"/>
      <c r="J3500" s="15"/>
      <c r="N3500" s="14"/>
      <c r="O3500" s="14"/>
      <c r="P3500" s="14"/>
    </row>
    <row r="3501" spans="2:16" ht="15.75" customHeight="1">
      <c r="B3501" s="14"/>
      <c r="H3501" s="14"/>
      <c r="I3501" s="567"/>
      <c r="J3501" s="15"/>
      <c r="N3501" s="14"/>
      <c r="O3501" s="14"/>
      <c r="P3501" s="14"/>
    </row>
    <row r="3502" spans="2:16" ht="15.75" customHeight="1">
      <c r="B3502" s="14"/>
      <c r="H3502" s="14"/>
      <c r="I3502" s="567"/>
      <c r="J3502" s="15"/>
      <c r="N3502" s="14"/>
      <c r="O3502" s="14"/>
      <c r="P3502" s="14"/>
    </row>
    <row r="3503" spans="2:16" ht="15.75" customHeight="1">
      <c r="B3503" s="14"/>
      <c r="H3503" s="14"/>
      <c r="I3503" s="567"/>
      <c r="J3503" s="15"/>
      <c r="N3503" s="14"/>
      <c r="O3503" s="14"/>
      <c r="P3503" s="14"/>
    </row>
    <row r="3504" spans="2:16" ht="15.75" customHeight="1">
      <c r="B3504" s="14"/>
      <c r="H3504" s="14"/>
      <c r="I3504" s="567"/>
      <c r="J3504" s="15"/>
      <c r="N3504" s="14"/>
      <c r="O3504" s="14"/>
      <c r="P3504" s="14"/>
    </row>
    <row r="3505" spans="2:16" ht="15.75" customHeight="1">
      <c r="B3505" s="14"/>
      <c r="H3505" s="14"/>
      <c r="I3505" s="567"/>
      <c r="J3505" s="15"/>
      <c r="N3505" s="14"/>
      <c r="O3505" s="14"/>
      <c r="P3505" s="14"/>
    </row>
    <row r="3506" spans="2:16" ht="15.75" customHeight="1">
      <c r="B3506" s="14"/>
      <c r="H3506" s="14"/>
      <c r="I3506" s="567"/>
      <c r="J3506" s="15"/>
      <c r="N3506" s="14"/>
      <c r="O3506" s="14"/>
      <c r="P3506" s="14"/>
    </row>
    <row r="3507" spans="2:16" ht="15.75" customHeight="1">
      <c r="B3507" s="14"/>
      <c r="H3507" s="14"/>
      <c r="I3507" s="567"/>
      <c r="J3507" s="15"/>
      <c r="N3507" s="14"/>
      <c r="O3507" s="14"/>
      <c r="P3507" s="14"/>
    </row>
    <row r="3508" spans="2:16" ht="15.75" customHeight="1">
      <c r="B3508" s="14"/>
      <c r="H3508" s="14"/>
      <c r="I3508" s="567"/>
      <c r="J3508" s="15"/>
      <c r="N3508" s="14"/>
      <c r="O3508" s="14"/>
      <c r="P3508" s="14"/>
    </row>
    <row r="3509" spans="2:16" ht="15.75" customHeight="1">
      <c r="B3509" s="14"/>
      <c r="H3509" s="14"/>
      <c r="I3509" s="567"/>
      <c r="J3509" s="15"/>
      <c r="N3509" s="14"/>
      <c r="O3509" s="14"/>
      <c r="P3509" s="14"/>
    </row>
    <row r="3510" spans="2:16" ht="15.75" customHeight="1">
      <c r="B3510" s="14"/>
      <c r="H3510" s="14"/>
      <c r="I3510" s="567"/>
      <c r="J3510" s="15"/>
      <c r="N3510" s="14"/>
      <c r="O3510" s="14"/>
      <c r="P3510" s="14"/>
    </row>
    <row r="3511" spans="2:16" ht="15.75" customHeight="1">
      <c r="B3511" s="14"/>
      <c r="H3511" s="14"/>
      <c r="I3511" s="567"/>
      <c r="J3511" s="15"/>
      <c r="N3511" s="14"/>
      <c r="O3511" s="14"/>
      <c r="P3511" s="14"/>
    </row>
    <row r="3512" spans="2:16" ht="15.75" customHeight="1">
      <c r="B3512" s="14"/>
      <c r="H3512" s="14"/>
      <c r="I3512" s="567"/>
      <c r="J3512" s="15"/>
      <c r="N3512" s="14"/>
      <c r="O3512" s="14"/>
      <c r="P3512" s="14"/>
    </row>
    <row r="3513" spans="2:16" ht="15.75" customHeight="1">
      <c r="B3513" s="14"/>
      <c r="H3513" s="14"/>
      <c r="I3513" s="567"/>
      <c r="J3513" s="15"/>
      <c r="N3513" s="14"/>
      <c r="O3513" s="14"/>
      <c r="P3513" s="14"/>
    </row>
    <row r="3514" spans="2:16" ht="15.75" customHeight="1">
      <c r="B3514" s="14"/>
      <c r="H3514" s="14"/>
      <c r="I3514" s="567"/>
      <c r="J3514" s="15"/>
      <c r="N3514" s="14"/>
      <c r="O3514" s="14"/>
      <c r="P3514" s="14"/>
    </row>
    <row r="3515" spans="2:16" ht="15.75" customHeight="1">
      <c r="B3515" s="14"/>
      <c r="H3515" s="14"/>
      <c r="I3515" s="567"/>
      <c r="J3515" s="15"/>
      <c r="N3515" s="14"/>
      <c r="O3515" s="14"/>
      <c r="P3515" s="14"/>
    </row>
    <row r="3516" spans="2:16" ht="15.75" customHeight="1">
      <c r="B3516" s="14"/>
      <c r="H3516" s="14"/>
      <c r="I3516" s="567"/>
      <c r="J3516" s="15"/>
      <c r="N3516" s="14"/>
      <c r="O3516" s="14"/>
      <c r="P3516" s="14"/>
    </row>
    <row r="3517" spans="2:16" ht="15.75" customHeight="1">
      <c r="B3517" s="14"/>
      <c r="H3517" s="14"/>
      <c r="I3517" s="567"/>
      <c r="J3517" s="15"/>
      <c r="N3517" s="14"/>
      <c r="O3517" s="14"/>
      <c r="P3517" s="14"/>
    </row>
    <row r="3518" spans="2:16" ht="15.75" customHeight="1">
      <c r="B3518" s="14"/>
      <c r="H3518" s="14"/>
      <c r="I3518" s="567"/>
      <c r="J3518" s="15"/>
      <c r="N3518" s="14"/>
      <c r="O3518" s="14"/>
      <c r="P3518" s="14"/>
    </row>
    <row r="3519" spans="2:16" ht="15.75" customHeight="1">
      <c r="B3519" s="14"/>
      <c r="H3519" s="14"/>
      <c r="I3519" s="567"/>
      <c r="J3519" s="15"/>
      <c r="N3519" s="14"/>
      <c r="O3519" s="14"/>
      <c r="P3519" s="14"/>
    </row>
    <row r="3520" spans="2:16" ht="15.75" customHeight="1">
      <c r="B3520" s="14"/>
      <c r="H3520" s="14"/>
      <c r="I3520" s="567"/>
      <c r="J3520" s="15"/>
      <c r="N3520" s="14"/>
      <c r="O3520" s="14"/>
      <c r="P3520" s="14"/>
    </row>
    <row r="3521" spans="2:16" ht="15.75" customHeight="1">
      <c r="B3521" s="14"/>
      <c r="H3521" s="14"/>
      <c r="I3521" s="567"/>
      <c r="J3521" s="15"/>
      <c r="N3521" s="14"/>
      <c r="O3521" s="14"/>
      <c r="P3521" s="14"/>
    </row>
    <row r="3522" spans="2:16" ht="15.75" customHeight="1">
      <c r="B3522" s="14"/>
      <c r="H3522" s="14"/>
      <c r="I3522" s="567"/>
      <c r="J3522" s="15"/>
      <c r="N3522" s="14"/>
      <c r="O3522" s="14"/>
      <c r="P3522" s="14"/>
    </row>
    <row r="3523" spans="2:16" ht="15.75" customHeight="1">
      <c r="B3523" s="14"/>
      <c r="H3523" s="14"/>
      <c r="I3523" s="567"/>
      <c r="J3523" s="15"/>
      <c r="N3523" s="14"/>
      <c r="O3523" s="14"/>
      <c r="P3523" s="14"/>
    </row>
    <row r="3524" spans="2:16" ht="15.75" customHeight="1">
      <c r="B3524" s="14"/>
      <c r="H3524" s="14"/>
      <c r="I3524" s="567"/>
      <c r="J3524" s="15"/>
      <c r="N3524" s="14"/>
      <c r="O3524" s="14"/>
      <c r="P3524" s="14"/>
    </row>
    <row r="3525" spans="2:16" ht="15.75" customHeight="1">
      <c r="B3525" s="14"/>
      <c r="H3525" s="14"/>
      <c r="I3525" s="567"/>
      <c r="J3525" s="15"/>
      <c r="N3525" s="14"/>
      <c r="O3525" s="14"/>
      <c r="P3525" s="14"/>
    </row>
    <row r="3526" spans="2:16" ht="15.75" customHeight="1">
      <c r="B3526" s="14"/>
      <c r="H3526" s="14"/>
      <c r="I3526" s="567"/>
      <c r="J3526" s="15"/>
      <c r="N3526" s="14"/>
      <c r="O3526" s="14"/>
      <c r="P3526" s="14"/>
    </row>
    <row r="3527" spans="2:16" ht="15.75" customHeight="1">
      <c r="B3527" s="14"/>
      <c r="H3527" s="14"/>
      <c r="I3527" s="567"/>
      <c r="J3527" s="15"/>
      <c r="N3527" s="14"/>
      <c r="O3527" s="14"/>
      <c r="P3527" s="14"/>
    </row>
    <row r="3528" spans="2:16" ht="15.75" customHeight="1">
      <c r="B3528" s="14"/>
      <c r="H3528" s="14"/>
      <c r="I3528" s="567"/>
      <c r="J3528" s="15"/>
      <c r="N3528" s="14"/>
      <c r="O3528" s="14"/>
      <c r="P3528" s="14"/>
    </row>
    <row r="3529" spans="2:16" ht="15.75" customHeight="1">
      <c r="B3529" s="14"/>
      <c r="H3529" s="14"/>
      <c r="I3529" s="567"/>
      <c r="J3529" s="15"/>
      <c r="N3529" s="14"/>
      <c r="O3529" s="14"/>
      <c r="P3529" s="14"/>
    </row>
    <row r="3530" spans="2:16" ht="15.75" customHeight="1">
      <c r="B3530" s="14"/>
      <c r="H3530" s="14"/>
      <c r="I3530" s="567"/>
      <c r="J3530" s="15"/>
      <c r="N3530" s="14"/>
      <c r="O3530" s="14"/>
      <c r="P3530" s="14"/>
    </row>
    <row r="3531" spans="2:16" ht="15.75" customHeight="1">
      <c r="B3531" s="14"/>
      <c r="H3531" s="14"/>
      <c r="I3531" s="567"/>
      <c r="J3531" s="15"/>
      <c r="N3531" s="14"/>
      <c r="O3531" s="14"/>
      <c r="P3531" s="14"/>
    </row>
    <row r="3532" spans="2:16" ht="15.75" customHeight="1">
      <c r="B3532" s="14"/>
      <c r="H3532" s="14"/>
      <c r="I3532" s="567"/>
      <c r="J3532" s="15"/>
      <c r="N3532" s="14"/>
      <c r="O3532" s="14"/>
      <c r="P3532" s="14"/>
    </row>
    <row r="3533" spans="2:16" ht="15.75" customHeight="1">
      <c r="B3533" s="14"/>
      <c r="H3533" s="14"/>
      <c r="I3533" s="567"/>
      <c r="J3533" s="15"/>
      <c r="N3533" s="14"/>
      <c r="O3533" s="14"/>
      <c r="P3533" s="14"/>
    </row>
    <row r="3534" spans="2:16" ht="15.75" customHeight="1">
      <c r="B3534" s="14"/>
      <c r="H3534" s="14"/>
      <c r="I3534" s="567"/>
      <c r="J3534" s="15"/>
      <c r="N3534" s="14"/>
      <c r="O3534" s="14"/>
      <c r="P3534" s="14"/>
    </row>
    <row r="3535" spans="2:16" ht="15.75" customHeight="1">
      <c r="B3535" s="14"/>
      <c r="H3535" s="14"/>
      <c r="I3535" s="567"/>
      <c r="J3535" s="15"/>
      <c r="N3535" s="14"/>
      <c r="O3535" s="14"/>
      <c r="P3535" s="14"/>
    </row>
    <row r="3536" spans="2:16" ht="15.75" customHeight="1">
      <c r="B3536" s="14"/>
      <c r="H3536" s="14"/>
      <c r="I3536" s="567"/>
      <c r="J3536" s="15"/>
      <c r="N3536" s="14"/>
      <c r="O3536" s="14"/>
      <c r="P3536" s="14"/>
    </row>
    <row r="3537" spans="2:16" ht="15.75" customHeight="1">
      <c r="B3537" s="14"/>
      <c r="H3537" s="14"/>
      <c r="I3537" s="567"/>
      <c r="J3537" s="15"/>
      <c r="N3537" s="14"/>
      <c r="O3537" s="14"/>
      <c r="P3537" s="14"/>
    </row>
    <row r="3538" spans="2:16" ht="15.75" customHeight="1">
      <c r="B3538" s="14"/>
      <c r="H3538" s="14"/>
      <c r="I3538" s="567"/>
      <c r="J3538" s="15"/>
      <c r="N3538" s="14"/>
      <c r="O3538" s="14"/>
      <c r="P3538" s="14"/>
    </row>
    <row r="3539" spans="2:16" ht="15.75" customHeight="1">
      <c r="B3539" s="14"/>
      <c r="H3539" s="14"/>
      <c r="I3539" s="567"/>
      <c r="J3539" s="15"/>
      <c r="N3539" s="14"/>
      <c r="O3539" s="14"/>
      <c r="P3539" s="14"/>
    </row>
    <row r="3540" spans="2:16" ht="15.75" customHeight="1">
      <c r="B3540" s="14"/>
      <c r="H3540" s="14"/>
      <c r="I3540" s="567"/>
      <c r="J3540" s="15"/>
      <c r="N3540" s="14"/>
      <c r="O3540" s="14"/>
      <c r="P3540" s="14"/>
    </row>
    <row r="3541" spans="2:16" ht="15.75" customHeight="1">
      <c r="B3541" s="14"/>
      <c r="H3541" s="14"/>
      <c r="I3541" s="567"/>
      <c r="J3541" s="15"/>
      <c r="N3541" s="14"/>
      <c r="O3541" s="14"/>
      <c r="P3541" s="14"/>
    </row>
    <row r="3542" spans="2:16" ht="15.75" customHeight="1">
      <c r="B3542" s="14"/>
      <c r="H3542" s="14"/>
      <c r="I3542" s="567"/>
      <c r="J3542" s="15"/>
      <c r="N3542" s="14"/>
      <c r="O3542" s="14"/>
      <c r="P3542" s="14"/>
    </row>
    <row r="3543" spans="2:16" ht="15.75" customHeight="1">
      <c r="B3543" s="14"/>
      <c r="H3543" s="14"/>
      <c r="I3543" s="567"/>
      <c r="J3543" s="15"/>
      <c r="N3543" s="14"/>
      <c r="O3543" s="14"/>
      <c r="P3543" s="14"/>
    </row>
    <row r="3544" spans="2:16" ht="15.75" customHeight="1">
      <c r="B3544" s="14"/>
      <c r="H3544" s="14"/>
      <c r="I3544" s="567"/>
      <c r="J3544" s="15"/>
      <c r="N3544" s="14"/>
      <c r="O3544" s="14"/>
      <c r="P3544" s="14"/>
    </row>
    <row r="3545" spans="2:16" ht="15.75" customHeight="1">
      <c r="B3545" s="14"/>
      <c r="H3545" s="14"/>
      <c r="I3545" s="567"/>
      <c r="J3545" s="15"/>
      <c r="N3545" s="14"/>
      <c r="O3545" s="14"/>
      <c r="P3545" s="14"/>
    </row>
    <row r="3546" spans="2:16" ht="15.75" customHeight="1">
      <c r="B3546" s="14"/>
      <c r="H3546" s="14"/>
      <c r="I3546" s="567"/>
      <c r="J3546" s="15"/>
      <c r="N3546" s="14"/>
      <c r="O3546" s="14"/>
      <c r="P3546" s="14"/>
    </row>
    <row r="3547" spans="2:16" ht="15.75" customHeight="1">
      <c r="B3547" s="14"/>
      <c r="H3547" s="14"/>
      <c r="I3547" s="567"/>
      <c r="J3547" s="15"/>
      <c r="N3547" s="14"/>
      <c r="O3547" s="14"/>
      <c r="P3547" s="14"/>
    </row>
    <row r="3548" spans="2:16" ht="15.75" customHeight="1">
      <c r="B3548" s="14"/>
      <c r="H3548" s="14"/>
      <c r="I3548" s="567"/>
      <c r="J3548" s="15"/>
      <c r="N3548" s="14"/>
      <c r="O3548" s="14"/>
      <c r="P3548" s="14"/>
    </row>
    <row r="3549" spans="2:16" ht="15.75" customHeight="1">
      <c r="B3549" s="14"/>
      <c r="H3549" s="14"/>
      <c r="I3549" s="567"/>
      <c r="J3549" s="15"/>
      <c r="N3549" s="14"/>
      <c r="O3549" s="14"/>
      <c r="P3549" s="14"/>
    </row>
    <row r="3550" spans="2:16" ht="15.75" customHeight="1">
      <c r="B3550" s="14"/>
      <c r="H3550" s="14"/>
      <c r="I3550" s="567"/>
      <c r="J3550" s="15"/>
      <c r="N3550" s="14"/>
      <c r="O3550" s="14"/>
      <c r="P3550" s="14"/>
    </row>
    <row r="3551" spans="2:16" ht="15.75" customHeight="1">
      <c r="B3551" s="14"/>
      <c r="H3551" s="14"/>
      <c r="I3551" s="567"/>
      <c r="J3551" s="15"/>
      <c r="N3551" s="14"/>
      <c r="O3551" s="14"/>
      <c r="P3551" s="14"/>
    </row>
    <row r="3552" spans="2:16" ht="15.75" customHeight="1">
      <c r="B3552" s="14"/>
      <c r="H3552" s="14"/>
      <c r="I3552" s="567"/>
      <c r="J3552" s="15"/>
      <c r="N3552" s="14"/>
      <c r="O3552" s="14"/>
      <c r="P3552" s="14"/>
    </row>
    <row r="3553" spans="2:16" ht="15.75" customHeight="1">
      <c r="B3553" s="14"/>
      <c r="H3553" s="14"/>
      <c r="I3553" s="567"/>
      <c r="J3553" s="15"/>
      <c r="N3553" s="14"/>
      <c r="O3553" s="14"/>
      <c r="P3553" s="14"/>
    </row>
    <row r="3554" spans="2:16" ht="15.75" customHeight="1">
      <c r="B3554" s="14"/>
      <c r="H3554" s="14"/>
      <c r="I3554" s="567"/>
      <c r="J3554" s="15"/>
      <c r="N3554" s="14"/>
      <c r="O3554" s="14"/>
      <c r="P3554" s="14"/>
    </row>
    <row r="3555" spans="2:16" ht="15.75" customHeight="1">
      <c r="B3555" s="14"/>
      <c r="H3555" s="14"/>
      <c r="I3555" s="567"/>
      <c r="J3555" s="15"/>
      <c r="N3555" s="14"/>
      <c r="O3555" s="14"/>
      <c r="P3555" s="14"/>
    </row>
    <row r="3556" spans="2:16" ht="15.75" customHeight="1">
      <c r="B3556" s="14"/>
      <c r="H3556" s="14"/>
      <c r="I3556" s="567"/>
      <c r="J3556" s="15"/>
      <c r="N3556" s="14"/>
      <c r="O3556" s="14"/>
      <c r="P3556" s="14"/>
    </row>
    <row r="3557" spans="2:16" ht="15.75" customHeight="1">
      <c r="B3557" s="14"/>
      <c r="H3557" s="14"/>
      <c r="I3557" s="567"/>
      <c r="J3557" s="15"/>
      <c r="N3557" s="14"/>
      <c r="O3557" s="14"/>
      <c r="P3557" s="14"/>
    </row>
    <row r="3558" spans="2:16" ht="15.75" customHeight="1">
      <c r="B3558" s="14"/>
      <c r="H3558" s="14"/>
      <c r="I3558" s="567"/>
      <c r="J3558" s="15"/>
      <c r="N3558" s="14"/>
      <c r="O3558" s="14"/>
      <c r="P3558" s="14"/>
    </row>
    <row r="3559" spans="2:16" ht="15.75" customHeight="1">
      <c r="B3559" s="14"/>
      <c r="H3559" s="14"/>
      <c r="I3559" s="567"/>
      <c r="J3559" s="15"/>
      <c r="N3559" s="14"/>
      <c r="O3559" s="14"/>
      <c r="P3559" s="14"/>
    </row>
    <row r="3560" spans="2:16" ht="15.75" customHeight="1">
      <c r="B3560" s="14"/>
      <c r="H3560" s="14"/>
      <c r="I3560" s="567"/>
      <c r="J3560" s="15"/>
      <c r="N3560" s="14"/>
      <c r="O3560" s="14"/>
      <c r="P3560" s="14"/>
    </row>
    <row r="3561" spans="2:16" ht="15.75" customHeight="1">
      <c r="B3561" s="14"/>
      <c r="H3561" s="14"/>
      <c r="I3561" s="567"/>
      <c r="J3561" s="15"/>
      <c r="N3561" s="14"/>
      <c r="O3561" s="14"/>
      <c r="P3561" s="14"/>
    </row>
    <row r="3562" spans="2:16" ht="15.75" customHeight="1">
      <c r="B3562" s="14"/>
      <c r="H3562" s="14"/>
      <c r="I3562" s="567"/>
      <c r="J3562" s="15"/>
      <c r="N3562" s="14"/>
      <c r="O3562" s="14"/>
      <c r="P3562" s="14"/>
    </row>
    <row r="3563" spans="2:16" ht="15.75" customHeight="1">
      <c r="B3563" s="14"/>
      <c r="H3563" s="14"/>
      <c r="I3563" s="567"/>
      <c r="J3563" s="15"/>
      <c r="N3563" s="14"/>
      <c r="O3563" s="14"/>
      <c r="P3563" s="14"/>
    </row>
    <row r="3564" spans="2:16" ht="15.75" customHeight="1">
      <c r="B3564" s="14"/>
      <c r="H3564" s="14"/>
      <c r="I3564" s="567"/>
      <c r="J3564" s="15"/>
      <c r="N3564" s="14"/>
      <c r="O3564" s="14"/>
      <c r="P3564" s="14"/>
    </row>
    <row r="3565" spans="2:16" ht="15.75" customHeight="1">
      <c r="B3565" s="14"/>
      <c r="H3565" s="14"/>
      <c r="I3565" s="567"/>
      <c r="J3565" s="15"/>
      <c r="N3565" s="14"/>
      <c r="O3565" s="14"/>
      <c r="P3565" s="14"/>
    </row>
    <row r="3566" spans="2:16" ht="15.75" customHeight="1">
      <c r="B3566" s="14"/>
      <c r="H3566" s="14"/>
      <c r="I3566" s="567"/>
      <c r="J3566" s="15"/>
      <c r="N3566" s="14"/>
      <c r="O3566" s="14"/>
      <c r="P3566" s="14"/>
    </row>
    <row r="3567" spans="2:16" ht="15.75" customHeight="1">
      <c r="B3567" s="14"/>
      <c r="H3567" s="14"/>
      <c r="I3567" s="567"/>
      <c r="J3567" s="15"/>
      <c r="N3567" s="14"/>
      <c r="O3567" s="14"/>
      <c r="P3567" s="14"/>
    </row>
    <row r="3568" spans="2:16" ht="15.75" customHeight="1">
      <c r="B3568" s="14"/>
      <c r="H3568" s="14"/>
      <c r="I3568" s="567"/>
      <c r="J3568" s="15"/>
      <c r="N3568" s="14"/>
      <c r="O3568" s="14"/>
      <c r="P3568" s="14"/>
    </row>
    <row r="3569" spans="2:16" ht="15.75" customHeight="1">
      <c r="B3569" s="14"/>
      <c r="H3569" s="14"/>
      <c r="I3569" s="567"/>
      <c r="J3569" s="15"/>
      <c r="N3569" s="14"/>
      <c r="O3569" s="14"/>
      <c r="P3569" s="14"/>
    </row>
    <row r="3570" spans="2:16" ht="15.75" customHeight="1">
      <c r="B3570" s="14"/>
      <c r="H3570" s="14"/>
      <c r="I3570" s="567"/>
      <c r="J3570" s="15"/>
      <c r="N3570" s="14"/>
      <c r="O3570" s="14"/>
      <c r="P3570" s="14"/>
    </row>
    <row r="3571" spans="2:16" ht="15.75" customHeight="1">
      <c r="B3571" s="14"/>
      <c r="H3571" s="14"/>
      <c r="I3571" s="567"/>
      <c r="J3571" s="15"/>
      <c r="N3571" s="14"/>
      <c r="O3571" s="14"/>
      <c r="P3571" s="14"/>
    </row>
    <row r="3572" spans="2:16" ht="15.75" customHeight="1">
      <c r="B3572" s="14"/>
      <c r="H3572" s="14"/>
      <c r="I3572" s="567"/>
      <c r="J3572" s="15"/>
      <c r="N3572" s="14"/>
      <c r="O3572" s="14"/>
      <c r="P3572" s="14"/>
    </row>
    <row r="3573" spans="2:16" ht="15.75" customHeight="1">
      <c r="B3573" s="14"/>
      <c r="H3573" s="14"/>
      <c r="I3573" s="567"/>
      <c r="J3573" s="15"/>
      <c r="N3573" s="14"/>
      <c r="O3573" s="14"/>
      <c r="P3573" s="14"/>
    </row>
    <row r="3574" spans="2:16" ht="15.75" customHeight="1">
      <c r="B3574" s="14"/>
      <c r="H3574" s="14"/>
      <c r="I3574" s="567"/>
      <c r="J3574" s="15"/>
      <c r="N3574" s="14"/>
      <c r="O3574" s="14"/>
      <c r="P3574" s="14"/>
    </row>
    <row r="3575" spans="2:16" ht="15.75" customHeight="1">
      <c r="B3575" s="14"/>
      <c r="H3575" s="14"/>
      <c r="I3575" s="567"/>
      <c r="J3575" s="15"/>
      <c r="N3575" s="14"/>
      <c r="O3575" s="14"/>
      <c r="P3575" s="14"/>
    </row>
    <row r="3576" spans="2:16" ht="15.75" customHeight="1">
      <c r="B3576" s="14"/>
      <c r="H3576" s="14"/>
      <c r="I3576" s="567"/>
      <c r="J3576" s="15"/>
      <c r="N3576" s="14"/>
      <c r="O3576" s="14"/>
      <c r="P3576" s="14"/>
    </row>
    <row r="3577" spans="2:16" ht="15.75" customHeight="1">
      <c r="B3577" s="14"/>
      <c r="H3577" s="14"/>
      <c r="I3577" s="567"/>
      <c r="J3577" s="15"/>
      <c r="N3577" s="14"/>
      <c r="O3577" s="14"/>
      <c r="P3577" s="14"/>
    </row>
    <row r="3578" spans="2:16" ht="15.75" customHeight="1">
      <c r="B3578" s="14"/>
      <c r="H3578" s="14"/>
      <c r="I3578" s="567"/>
      <c r="J3578" s="15"/>
      <c r="N3578" s="14"/>
      <c r="O3578" s="14"/>
      <c r="P3578" s="14"/>
    </row>
    <row r="3579" spans="2:16" ht="15.75" customHeight="1">
      <c r="B3579" s="14"/>
      <c r="H3579" s="14"/>
      <c r="I3579" s="567"/>
      <c r="J3579" s="15"/>
      <c r="N3579" s="14"/>
      <c r="O3579" s="14"/>
      <c r="P3579" s="14"/>
    </row>
    <row r="3580" spans="2:16" ht="15.75" customHeight="1">
      <c r="B3580" s="14"/>
      <c r="H3580" s="14"/>
      <c r="I3580" s="567"/>
      <c r="J3580" s="15"/>
      <c r="N3580" s="14"/>
      <c r="O3580" s="14"/>
      <c r="P3580" s="14"/>
    </row>
    <row r="3581" spans="2:16" ht="15.75" customHeight="1">
      <c r="B3581" s="14"/>
      <c r="H3581" s="14"/>
      <c r="I3581" s="567"/>
      <c r="J3581" s="15"/>
      <c r="N3581" s="14"/>
      <c r="O3581" s="14"/>
      <c r="P3581" s="14"/>
    </row>
    <row r="3582" spans="2:16" ht="15.75" customHeight="1">
      <c r="B3582" s="14"/>
      <c r="H3582" s="14"/>
      <c r="I3582" s="567"/>
      <c r="J3582" s="15"/>
      <c r="N3582" s="14"/>
      <c r="O3582" s="14"/>
      <c r="P3582" s="14"/>
    </row>
    <row r="3583" spans="2:16" ht="15.75" customHeight="1">
      <c r="B3583" s="14"/>
      <c r="H3583" s="14"/>
      <c r="I3583" s="567"/>
      <c r="J3583" s="15"/>
      <c r="N3583" s="14"/>
      <c r="O3583" s="14"/>
      <c r="P3583" s="14"/>
    </row>
    <row r="3584" spans="2:16" ht="15.75" customHeight="1">
      <c r="B3584" s="14"/>
      <c r="H3584" s="14"/>
      <c r="I3584" s="567"/>
      <c r="J3584" s="15"/>
      <c r="N3584" s="14"/>
      <c r="O3584" s="14"/>
      <c r="P3584" s="14"/>
    </row>
    <row r="3585" spans="2:16" ht="15.75" customHeight="1">
      <c r="B3585" s="14"/>
      <c r="H3585" s="14"/>
      <c r="I3585" s="567"/>
      <c r="J3585" s="15"/>
      <c r="N3585" s="14"/>
      <c r="O3585" s="14"/>
      <c r="P3585" s="14"/>
    </row>
    <row r="3586" spans="2:16" ht="15.75" customHeight="1">
      <c r="B3586" s="14"/>
      <c r="H3586" s="14"/>
      <c r="I3586" s="567"/>
      <c r="J3586" s="15"/>
      <c r="N3586" s="14"/>
      <c r="O3586" s="14"/>
      <c r="P3586" s="14"/>
    </row>
    <row r="3587" spans="2:16" ht="15.75" customHeight="1">
      <c r="B3587" s="14"/>
      <c r="H3587" s="14"/>
      <c r="I3587" s="567"/>
      <c r="J3587" s="15"/>
      <c r="N3587" s="14"/>
      <c r="O3587" s="14"/>
      <c r="P3587" s="14"/>
    </row>
    <row r="3588" spans="2:16" ht="15.75" customHeight="1">
      <c r="B3588" s="14"/>
      <c r="H3588" s="14"/>
      <c r="I3588" s="567"/>
      <c r="J3588" s="15"/>
      <c r="N3588" s="14"/>
      <c r="O3588" s="14"/>
      <c r="P3588" s="14"/>
    </row>
    <row r="3589" spans="2:16" ht="15.75" customHeight="1">
      <c r="B3589" s="14"/>
      <c r="H3589" s="14"/>
      <c r="I3589" s="567"/>
      <c r="J3589" s="15"/>
      <c r="N3589" s="14"/>
      <c r="O3589" s="14"/>
      <c r="P3589" s="14"/>
    </row>
    <row r="3590" spans="2:16" ht="15.75" customHeight="1">
      <c r="B3590" s="14"/>
      <c r="H3590" s="14"/>
      <c r="I3590" s="567"/>
      <c r="J3590" s="15"/>
      <c r="N3590" s="14"/>
      <c r="O3590" s="14"/>
      <c r="P3590" s="14"/>
    </row>
    <row r="3591" spans="2:16" ht="15.75" customHeight="1">
      <c r="B3591" s="14"/>
      <c r="H3591" s="14"/>
      <c r="I3591" s="567"/>
      <c r="J3591" s="15"/>
      <c r="N3591" s="14"/>
      <c r="O3591" s="14"/>
      <c r="P3591" s="14"/>
    </row>
    <row r="3592" spans="2:16" ht="15.75" customHeight="1">
      <c r="B3592" s="14"/>
      <c r="H3592" s="14"/>
      <c r="I3592" s="567"/>
      <c r="J3592" s="15"/>
      <c r="N3592" s="14"/>
      <c r="O3592" s="14"/>
      <c r="P3592" s="14"/>
    </row>
    <row r="3593" spans="2:16" ht="15.75" customHeight="1">
      <c r="B3593" s="14"/>
      <c r="H3593" s="14"/>
      <c r="I3593" s="567"/>
      <c r="J3593" s="15"/>
      <c r="N3593" s="14"/>
      <c r="O3593" s="14"/>
      <c r="P3593" s="14"/>
    </row>
    <row r="3594" spans="2:16" ht="15.75" customHeight="1">
      <c r="B3594" s="14"/>
      <c r="H3594" s="14"/>
      <c r="I3594" s="567"/>
      <c r="J3594" s="15"/>
      <c r="N3594" s="14"/>
      <c r="O3594" s="14"/>
      <c r="P3594" s="14"/>
    </row>
    <row r="3595" spans="2:16" ht="15.75" customHeight="1">
      <c r="B3595" s="14"/>
      <c r="H3595" s="14"/>
      <c r="I3595" s="567"/>
      <c r="J3595" s="15"/>
      <c r="N3595" s="14"/>
      <c r="O3595" s="14"/>
      <c r="P3595" s="14"/>
    </row>
    <row r="3596" spans="2:16" ht="15.75" customHeight="1">
      <c r="B3596" s="14"/>
      <c r="H3596" s="14"/>
      <c r="I3596" s="567"/>
      <c r="J3596" s="15"/>
      <c r="N3596" s="14"/>
      <c r="O3596" s="14"/>
      <c r="P3596" s="14"/>
    </row>
    <row r="3597" spans="2:16" ht="15.75" customHeight="1">
      <c r="B3597" s="14"/>
      <c r="H3597" s="14"/>
      <c r="I3597" s="567"/>
      <c r="J3597" s="15"/>
      <c r="N3597" s="14"/>
      <c r="O3597" s="14"/>
      <c r="P3597" s="14"/>
    </row>
    <row r="3598" spans="2:16" ht="15.75" customHeight="1">
      <c r="B3598" s="14"/>
      <c r="H3598" s="14"/>
      <c r="I3598" s="567"/>
      <c r="J3598" s="15"/>
      <c r="N3598" s="14"/>
      <c r="O3598" s="14"/>
      <c r="P3598" s="14"/>
    </row>
    <row r="3599" spans="2:16" ht="15.75" customHeight="1">
      <c r="B3599" s="14"/>
      <c r="H3599" s="14"/>
      <c r="I3599" s="567"/>
      <c r="J3599" s="15"/>
      <c r="N3599" s="14"/>
      <c r="O3599" s="14"/>
      <c r="P3599" s="14"/>
    </row>
    <row r="3600" spans="2:16" ht="15.75" customHeight="1">
      <c r="B3600" s="14"/>
      <c r="H3600" s="14"/>
      <c r="I3600" s="567"/>
      <c r="J3600" s="15"/>
      <c r="N3600" s="14"/>
      <c r="O3600" s="14"/>
      <c r="P3600" s="14"/>
    </row>
    <row r="3601" spans="2:16" ht="15.75" customHeight="1">
      <c r="B3601" s="14"/>
      <c r="H3601" s="14"/>
      <c r="I3601" s="567"/>
      <c r="J3601" s="15"/>
      <c r="N3601" s="14"/>
      <c r="O3601" s="14"/>
      <c r="P3601" s="14"/>
    </row>
    <row r="3602" spans="2:16" ht="15.75" customHeight="1">
      <c r="B3602" s="14"/>
      <c r="H3602" s="14"/>
      <c r="I3602" s="567"/>
      <c r="J3602" s="15"/>
      <c r="N3602" s="14"/>
      <c r="O3602" s="14"/>
      <c r="P3602" s="14"/>
    </row>
    <row r="3603" spans="2:16" ht="15.75" customHeight="1">
      <c r="B3603" s="14"/>
      <c r="H3603" s="14"/>
      <c r="I3603" s="567"/>
      <c r="J3603" s="15"/>
      <c r="N3603" s="14"/>
      <c r="O3603" s="14"/>
      <c r="P3603" s="14"/>
    </row>
    <row r="3604" spans="2:16" ht="15.75" customHeight="1">
      <c r="B3604" s="14"/>
      <c r="H3604" s="14"/>
      <c r="I3604" s="567"/>
      <c r="J3604" s="15"/>
      <c r="N3604" s="14"/>
      <c r="O3604" s="14"/>
      <c r="P3604" s="14"/>
    </row>
    <row r="3605" spans="2:16" ht="15.75" customHeight="1">
      <c r="B3605" s="14"/>
      <c r="H3605" s="14"/>
      <c r="I3605" s="567"/>
      <c r="J3605" s="15"/>
      <c r="N3605" s="14"/>
      <c r="O3605" s="14"/>
      <c r="P3605" s="14"/>
    </row>
    <row r="3606" spans="2:16" ht="15.75" customHeight="1">
      <c r="B3606" s="14"/>
      <c r="H3606" s="14"/>
      <c r="I3606" s="567"/>
      <c r="J3606" s="15"/>
      <c r="N3606" s="14"/>
      <c r="O3606" s="14"/>
      <c r="P3606" s="14"/>
    </row>
    <row r="3607" spans="2:16" ht="15.75" customHeight="1">
      <c r="B3607" s="14"/>
      <c r="H3607" s="14"/>
      <c r="I3607" s="567"/>
      <c r="J3607" s="15"/>
      <c r="N3607" s="14"/>
      <c r="O3607" s="14"/>
      <c r="P3607" s="14"/>
    </row>
    <row r="3608" spans="2:16" ht="15.75" customHeight="1">
      <c r="B3608" s="14"/>
      <c r="H3608" s="14"/>
      <c r="I3608" s="567"/>
      <c r="J3608" s="15"/>
      <c r="N3608" s="14"/>
      <c r="O3608" s="14"/>
      <c r="P3608" s="14"/>
    </row>
    <row r="3609" spans="2:16" ht="15.75" customHeight="1">
      <c r="B3609" s="14"/>
      <c r="H3609" s="14"/>
      <c r="I3609" s="567"/>
      <c r="J3609" s="15"/>
      <c r="N3609" s="14"/>
      <c r="O3609" s="14"/>
      <c r="P3609" s="14"/>
    </row>
    <row r="3610" spans="2:16" ht="15.75" customHeight="1">
      <c r="B3610" s="14"/>
      <c r="H3610" s="14"/>
      <c r="I3610" s="567"/>
      <c r="J3610" s="15"/>
      <c r="N3610" s="14"/>
      <c r="O3610" s="14"/>
      <c r="P3610" s="14"/>
    </row>
    <row r="3611" spans="2:16" ht="15.75" customHeight="1">
      <c r="B3611" s="14"/>
      <c r="H3611" s="14"/>
      <c r="I3611" s="567"/>
      <c r="J3611" s="15"/>
      <c r="N3611" s="14"/>
      <c r="O3611" s="14"/>
      <c r="P3611" s="14"/>
    </row>
    <row r="3612" spans="2:16" ht="15.75" customHeight="1">
      <c r="B3612" s="14"/>
      <c r="H3612" s="14"/>
      <c r="I3612" s="567"/>
      <c r="J3612" s="15"/>
      <c r="N3612" s="14"/>
      <c r="O3612" s="14"/>
      <c r="P3612" s="14"/>
    </row>
    <row r="3613" spans="2:16" ht="15.75" customHeight="1">
      <c r="B3613" s="14"/>
      <c r="H3613" s="14"/>
      <c r="I3613" s="567"/>
      <c r="J3613" s="15"/>
      <c r="N3613" s="14"/>
      <c r="O3613" s="14"/>
      <c r="P3613" s="14"/>
    </row>
    <row r="3614" spans="2:16" ht="15.75" customHeight="1">
      <c r="B3614" s="14"/>
      <c r="H3614" s="14"/>
      <c r="I3614" s="567"/>
      <c r="J3614" s="15"/>
      <c r="N3614" s="14"/>
      <c r="O3614" s="14"/>
      <c r="P3614" s="14"/>
    </row>
    <row r="3615" spans="2:16" ht="15.75" customHeight="1">
      <c r="B3615" s="14"/>
      <c r="H3615" s="14"/>
      <c r="I3615" s="567"/>
      <c r="J3615" s="15"/>
      <c r="N3615" s="14"/>
      <c r="O3615" s="14"/>
      <c r="P3615" s="14"/>
    </row>
    <row r="3616" spans="2:16" ht="15.75" customHeight="1">
      <c r="B3616" s="14"/>
      <c r="H3616" s="14"/>
      <c r="I3616" s="567"/>
      <c r="J3616" s="15"/>
      <c r="N3616" s="14"/>
      <c r="O3616" s="14"/>
      <c r="P3616" s="14"/>
    </row>
    <row r="3617" spans="2:16" ht="15.75" customHeight="1">
      <c r="B3617" s="14"/>
      <c r="H3617" s="14"/>
      <c r="I3617" s="567"/>
      <c r="J3617" s="15"/>
      <c r="N3617" s="14"/>
      <c r="O3617" s="14"/>
      <c r="P3617" s="14"/>
    </row>
    <row r="3618" spans="2:16" ht="15.75" customHeight="1">
      <c r="B3618" s="14"/>
      <c r="H3618" s="14"/>
      <c r="I3618" s="567"/>
      <c r="J3618" s="15"/>
      <c r="N3618" s="14"/>
      <c r="O3618" s="14"/>
      <c r="P3618" s="14"/>
    </row>
    <row r="3619" spans="2:16" ht="15.75" customHeight="1">
      <c r="B3619" s="14"/>
      <c r="H3619" s="14"/>
      <c r="I3619" s="567"/>
      <c r="J3619" s="15"/>
      <c r="N3619" s="14"/>
      <c r="O3619" s="14"/>
      <c r="P3619" s="14"/>
    </row>
    <row r="3620" spans="2:16" ht="15.75" customHeight="1">
      <c r="B3620" s="14"/>
      <c r="H3620" s="14"/>
      <c r="I3620" s="567"/>
      <c r="J3620" s="15"/>
      <c r="N3620" s="14"/>
      <c r="O3620" s="14"/>
      <c r="P3620" s="14"/>
    </row>
    <row r="3621" spans="2:16" ht="15.75" customHeight="1">
      <c r="B3621" s="14"/>
      <c r="H3621" s="14"/>
      <c r="I3621" s="567"/>
      <c r="J3621" s="15"/>
      <c r="N3621" s="14"/>
      <c r="O3621" s="14"/>
      <c r="P3621" s="14"/>
    </row>
    <row r="3622" spans="2:16" ht="15.75" customHeight="1">
      <c r="B3622" s="14"/>
      <c r="H3622" s="14"/>
      <c r="I3622" s="567"/>
      <c r="J3622" s="15"/>
      <c r="N3622" s="14"/>
      <c r="O3622" s="14"/>
      <c r="P3622" s="14"/>
    </row>
    <row r="3623" spans="2:16" ht="15.75" customHeight="1">
      <c r="B3623" s="14"/>
      <c r="H3623" s="14"/>
      <c r="I3623" s="567"/>
      <c r="J3623" s="15"/>
      <c r="N3623" s="14"/>
      <c r="O3623" s="14"/>
      <c r="P3623" s="14"/>
    </row>
    <row r="3624" spans="2:16" ht="15.75" customHeight="1">
      <c r="B3624" s="14"/>
      <c r="H3624" s="14"/>
      <c r="I3624" s="567"/>
      <c r="J3624" s="15"/>
      <c r="N3624" s="14"/>
      <c r="O3624" s="14"/>
      <c r="P3624" s="14"/>
    </row>
    <row r="3625" spans="2:16" ht="15.75" customHeight="1">
      <c r="B3625" s="14"/>
      <c r="H3625" s="14"/>
      <c r="I3625" s="567"/>
      <c r="J3625" s="15"/>
      <c r="N3625" s="14"/>
      <c r="O3625" s="14"/>
      <c r="P3625" s="14"/>
    </row>
    <row r="3626" spans="2:16" ht="15.75" customHeight="1">
      <c r="B3626" s="14"/>
      <c r="H3626" s="14"/>
      <c r="I3626" s="567"/>
      <c r="J3626" s="15"/>
      <c r="N3626" s="14"/>
      <c r="O3626" s="14"/>
      <c r="P3626" s="14"/>
    </row>
    <row r="3627" spans="2:16" ht="15.75" customHeight="1">
      <c r="B3627" s="14"/>
      <c r="H3627" s="14"/>
      <c r="I3627" s="567"/>
      <c r="J3627" s="15"/>
      <c r="N3627" s="14"/>
      <c r="O3627" s="14"/>
      <c r="P3627" s="14"/>
    </row>
    <row r="3628" spans="2:16" ht="15.75" customHeight="1">
      <c r="B3628" s="14"/>
      <c r="H3628" s="14"/>
      <c r="I3628" s="567"/>
      <c r="J3628" s="15"/>
      <c r="N3628" s="14"/>
      <c r="O3628" s="14"/>
      <c r="P3628" s="14"/>
    </row>
    <row r="3629" spans="2:16" ht="15.75" customHeight="1">
      <c r="B3629" s="14"/>
      <c r="H3629" s="14"/>
      <c r="I3629" s="567"/>
      <c r="J3629" s="15"/>
      <c r="N3629" s="14"/>
      <c r="O3629" s="14"/>
      <c r="P3629" s="14"/>
    </row>
    <row r="3630" spans="2:16" ht="15.75" customHeight="1">
      <c r="B3630" s="14"/>
      <c r="H3630" s="14"/>
      <c r="I3630" s="567"/>
      <c r="J3630" s="15"/>
      <c r="N3630" s="14"/>
      <c r="O3630" s="14"/>
      <c r="P3630" s="14"/>
    </row>
    <row r="3631" spans="2:16" ht="15.75" customHeight="1">
      <c r="B3631" s="14"/>
      <c r="H3631" s="14"/>
      <c r="I3631" s="567"/>
      <c r="J3631" s="15"/>
      <c r="N3631" s="14"/>
      <c r="O3631" s="14"/>
      <c r="P3631" s="14"/>
    </row>
    <row r="3632" spans="2:16" ht="15.75" customHeight="1">
      <c r="B3632" s="14"/>
      <c r="H3632" s="14"/>
      <c r="I3632" s="567"/>
      <c r="J3632" s="15"/>
      <c r="N3632" s="14"/>
      <c r="O3632" s="14"/>
      <c r="P3632" s="14"/>
    </row>
    <row r="3633" spans="2:16" ht="15.75" customHeight="1">
      <c r="B3633" s="14"/>
      <c r="H3633" s="14"/>
      <c r="I3633" s="567"/>
      <c r="J3633" s="15"/>
      <c r="N3633" s="14"/>
      <c r="O3633" s="14"/>
      <c r="P3633" s="14"/>
    </row>
    <row r="3634" spans="2:16" ht="15.75" customHeight="1">
      <c r="B3634" s="14"/>
      <c r="H3634" s="14"/>
      <c r="I3634" s="567"/>
      <c r="J3634" s="15"/>
      <c r="N3634" s="14"/>
      <c r="O3634" s="14"/>
      <c r="P3634" s="14"/>
    </row>
    <row r="3635" spans="2:16" ht="15.75" customHeight="1">
      <c r="B3635" s="14"/>
      <c r="H3635" s="14"/>
      <c r="I3635" s="567"/>
      <c r="J3635" s="15"/>
      <c r="N3635" s="14"/>
      <c r="O3635" s="14"/>
      <c r="P3635" s="14"/>
    </row>
    <row r="3636" spans="2:16" ht="15.75" customHeight="1">
      <c r="B3636" s="14"/>
      <c r="H3636" s="14"/>
      <c r="I3636" s="567"/>
      <c r="J3636" s="15"/>
      <c r="N3636" s="14"/>
      <c r="O3636" s="14"/>
      <c r="P3636" s="14"/>
    </row>
    <row r="3637" spans="2:16" ht="15.75" customHeight="1">
      <c r="B3637" s="14"/>
      <c r="H3637" s="14"/>
      <c r="I3637" s="567"/>
      <c r="J3637" s="15"/>
      <c r="N3637" s="14"/>
      <c r="O3637" s="14"/>
      <c r="P3637" s="14"/>
    </row>
    <row r="3638" spans="2:16" ht="15.75" customHeight="1">
      <c r="B3638" s="14"/>
      <c r="H3638" s="14"/>
      <c r="I3638" s="567"/>
      <c r="J3638" s="15"/>
      <c r="N3638" s="14"/>
      <c r="O3638" s="14"/>
      <c r="P3638" s="14"/>
    </row>
    <row r="3639" spans="2:16" ht="15.75" customHeight="1">
      <c r="B3639" s="14"/>
      <c r="H3639" s="14"/>
      <c r="I3639" s="567"/>
      <c r="J3639" s="15"/>
      <c r="N3639" s="14"/>
      <c r="O3639" s="14"/>
      <c r="P3639" s="14"/>
    </row>
    <row r="3640" spans="2:16" ht="15.75" customHeight="1">
      <c r="B3640" s="14"/>
      <c r="H3640" s="14"/>
      <c r="I3640" s="567"/>
      <c r="J3640" s="15"/>
      <c r="N3640" s="14"/>
      <c r="O3640" s="14"/>
      <c r="P3640" s="14"/>
    </row>
    <row r="3641" spans="2:16" ht="15.75" customHeight="1">
      <c r="B3641" s="14"/>
      <c r="H3641" s="14"/>
      <c r="I3641" s="567"/>
      <c r="J3641" s="15"/>
      <c r="N3641" s="14"/>
      <c r="O3641" s="14"/>
      <c r="P3641" s="14"/>
    </row>
    <row r="3642" spans="2:16" ht="15.75" customHeight="1">
      <c r="B3642" s="14"/>
      <c r="H3642" s="14"/>
      <c r="I3642" s="567"/>
      <c r="J3642" s="15"/>
      <c r="N3642" s="14"/>
      <c r="O3642" s="14"/>
      <c r="P3642" s="14"/>
    </row>
    <row r="3643" spans="2:16" ht="15.75" customHeight="1">
      <c r="B3643" s="14"/>
      <c r="H3643" s="14"/>
      <c r="I3643" s="567"/>
      <c r="J3643" s="15"/>
      <c r="N3643" s="14"/>
      <c r="O3643" s="14"/>
      <c r="P3643" s="14"/>
    </row>
    <row r="3644" spans="2:16" ht="15.75" customHeight="1">
      <c r="B3644" s="14"/>
      <c r="H3644" s="14"/>
      <c r="I3644" s="567"/>
      <c r="J3644" s="15"/>
      <c r="N3644" s="14"/>
      <c r="O3644" s="14"/>
      <c r="P3644" s="14"/>
    </row>
    <row r="3645" spans="2:16" ht="15.75" customHeight="1">
      <c r="B3645" s="14"/>
      <c r="H3645" s="14"/>
      <c r="I3645" s="567"/>
      <c r="J3645" s="15"/>
      <c r="N3645" s="14"/>
      <c r="O3645" s="14"/>
      <c r="P3645" s="14"/>
    </row>
    <row r="3646" spans="2:16" ht="15.75" customHeight="1">
      <c r="B3646" s="14"/>
      <c r="H3646" s="14"/>
      <c r="I3646" s="567"/>
      <c r="J3646" s="15"/>
      <c r="N3646" s="14"/>
      <c r="O3646" s="14"/>
      <c r="P3646" s="14"/>
    </row>
    <row r="3647" spans="2:16" ht="15.75" customHeight="1">
      <c r="B3647" s="14"/>
      <c r="H3647" s="14"/>
      <c r="I3647" s="567"/>
      <c r="J3647" s="15"/>
      <c r="N3647" s="14"/>
      <c r="O3647" s="14"/>
      <c r="P3647" s="14"/>
    </row>
    <row r="3648" spans="2:16" ht="15.75" customHeight="1">
      <c r="B3648" s="14"/>
      <c r="H3648" s="14"/>
      <c r="I3648" s="567"/>
      <c r="J3648" s="15"/>
      <c r="N3648" s="14"/>
      <c r="O3648" s="14"/>
      <c r="P3648" s="14"/>
    </row>
    <row r="3649" spans="2:16" ht="15.75" customHeight="1">
      <c r="B3649" s="14"/>
      <c r="H3649" s="14"/>
      <c r="I3649" s="567"/>
      <c r="J3649" s="15"/>
      <c r="N3649" s="14"/>
      <c r="O3649" s="14"/>
      <c r="P3649" s="14"/>
    </row>
    <row r="3650" spans="2:16" ht="15.75" customHeight="1">
      <c r="B3650" s="14"/>
      <c r="H3650" s="14"/>
      <c r="I3650" s="567"/>
      <c r="J3650" s="15"/>
      <c r="N3650" s="14"/>
      <c r="O3650" s="14"/>
      <c r="P3650" s="14"/>
    </row>
    <row r="3651" spans="2:16" ht="15.75" customHeight="1">
      <c r="B3651" s="14"/>
      <c r="H3651" s="14"/>
      <c r="I3651" s="567"/>
      <c r="J3651" s="15"/>
      <c r="N3651" s="14"/>
      <c r="O3651" s="14"/>
      <c r="P3651" s="14"/>
    </row>
    <row r="3652" spans="2:16" ht="15.75" customHeight="1">
      <c r="B3652" s="14"/>
      <c r="H3652" s="14"/>
      <c r="I3652" s="567"/>
      <c r="J3652" s="15"/>
      <c r="N3652" s="14"/>
      <c r="O3652" s="14"/>
      <c r="P3652" s="14"/>
    </row>
    <row r="3653" spans="2:16" ht="15.75" customHeight="1">
      <c r="B3653" s="14"/>
      <c r="H3653" s="14"/>
      <c r="I3653" s="567"/>
      <c r="J3653" s="15"/>
      <c r="N3653" s="14"/>
      <c r="O3653" s="14"/>
      <c r="P3653" s="14"/>
    </row>
    <row r="3654" spans="2:16" ht="15.75" customHeight="1">
      <c r="B3654" s="14"/>
      <c r="H3654" s="14"/>
      <c r="I3654" s="567"/>
      <c r="J3654" s="15"/>
      <c r="N3654" s="14"/>
      <c r="O3654" s="14"/>
      <c r="P3654" s="14"/>
    </row>
    <row r="3655" spans="2:16" ht="15.75" customHeight="1">
      <c r="B3655" s="14"/>
      <c r="H3655" s="14"/>
      <c r="I3655" s="567"/>
      <c r="J3655" s="15"/>
      <c r="N3655" s="14"/>
      <c r="O3655" s="14"/>
      <c r="P3655" s="14"/>
    </row>
    <row r="3656" spans="2:16" ht="15.75" customHeight="1">
      <c r="B3656" s="14"/>
      <c r="H3656" s="14"/>
      <c r="I3656" s="567"/>
      <c r="J3656" s="15"/>
      <c r="N3656" s="14"/>
      <c r="O3656" s="14"/>
      <c r="P3656" s="14"/>
    </row>
    <row r="3657" spans="2:16" ht="15.75" customHeight="1">
      <c r="B3657" s="14"/>
      <c r="H3657" s="14"/>
      <c r="I3657" s="567"/>
      <c r="J3657" s="15"/>
      <c r="N3657" s="14"/>
      <c r="O3657" s="14"/>
      <c r="P3657" s="14"/>
    </row>
    <row r="3658" spans="2:16" ht="15.75" customHeight="1">
      <c r="B3658" s="14"/>
      <c r="H3658" s="14"/>
      <c r="I3658" s="567"/>
      <c r="J3658" s="15"/>
      <c r="N3658" s="14"/>
      <c r="O3658" s="14"/>
      <c r="P3658" s="14"/>
    </row>
    <row r="3659" spans="2:16" ht="15.75" customHeight="1">
      <c r="B3659" s="14"/>
      <c r="H3659" s="14"/>
      <c r="I3659" s="567"/>
      <c r="J3659" s="15"/>
      <c r="N3659" s="14"/>
      <c r="O3659" s="14"/>
      <c r="P3659" s="14"/>
    </row>
    <row r="3660" spans="2:16" ht="15.75" customHeight="1">
      <c r="B3660" s="14"/>
      <c r="H3660" s="14"/>
      <c r="I3660" s="567"/>
      <c r="J3660" s="15"/>
      <c r="N3660" s="14"/>
      <c r="O3660" s="14"/>
      <c r="P3660" s="14"/>
    </row>
    <row r="3661" spans="2:16" ht="15.75" customHeight="1">
      <c r="B3661" s="14"/>
      <c r="H3661" s="14"/>
      <c r="I3661" s="567"/>
      <c r="J3661" s="15"/>
      <c r="N3661" s="14"/>
      <c r="O3661" s="14"/>
      <c r="P3661" s="14"/>
    </row>
    <row r="3662" spans="2:16" ht="15.75" customHeight="1">
      <c r="B3662" s="14"/>
      <c r="H3662" s="14"/>
      <c r="I3662" s="567"/>
      <c r="J3662" s="15"/>
      <c r="N3662" s="14"/>
      <c r="O3662" s="14"/>
      <c r="P3662" s="14"/>
    </row>
    <row r="3663" spans="2:16" ht="15.75" customHeight="1">
      <c r="B3663" s="14"/>
      <c r="H3663" s="14"/>
      <c r="I3663" s="567"/>
      <c r="J3663" s="15"/>
      <c r="N3663" s="14"/>
      <c r="O3663" s="14"/>
      <c r="P3663" s="14"/>
    </row>
    <row r="3664" spans="2:16" ht="15.75" customHeight="1">
      <c r="B3664" s="14"/>
      <c r="H3664" s="14"/>
      <c r="I3664" s="567"/>
      <c r="J3664" s="15"/>
      <c r="N3664" s="14"/>
      <c r="O3664" s="14"/>
      <c r="P3664" s="14"/>
    </row>
    <row r="3665" spans="2:16" ht="15.75" customHeight="1">
      <c r="B3665" s="14"/>
      <c r="H3665" s="14"/>
      <c r="I3665" s="567"/>
      <c r="J3665" s="15"/>
      <c r="N3665" s="14"/>
      <c r="O3665" s="14"/>
      <c r="P3665" s="14"/>
    </row>
    <row r="3666" spans="2:16" ht="15.75" customHeight="1">
      <c r="B3666" s="14"/>
      <c r="H3666" s="14"/>
      <c r="I3666" s="567"/>
      <c r="J3666" s="15"/>
      <c r="N3666" s="14"/>
      <c r="O3666" s="14"/>
      <c r="P3666" s="14"/>
    </row>
    <row r="3667" spans="2:16" ht="15.75" customHeight="1">
      <c r="B3667" s="14"/>
      <c r="H3667" s="14"/>
      <c r="I3667" s="567"/>
      <c r="J3667" s="15"/>
      <c r="N3667" s="14"/>
      <c r="O3667" s="14"/>
      <c r="P3667" s="14"/>
    </row>
    <row r="3668" spans="2:16" ht="15.75" customHeight="1">
      <c r="B3668" s="14"/>
      <c r="H3668" s="14"/>
      <c r="I3668" s="567"/>
      <c r="J3668" s="15"/>
      <c r="N3668" s="14"/>
      <c r="O3668" s="14"/>
      <c r="P3668" s="14"/>
    </row>
    <row r="3669" spans="2:16" ht="15.75" customHeight="1">
      <c r="B3669" s="14"/>
      <c r="H3669" s="14"/>
      <c r="I3669" s="567"/>
      <c r="J3669" s="15"/>
      <c r="N3669" s="14"/>
      <c r="O3669" s="14"/>
      <c r="P3669" s="14"/>
    </row>
    <row r="3670" spans="2:16" ht="15.75" customHeight="1">
      <c r="B3670" s="14"/>
      <c r="H3670" s="14"/>
      <c r="I3670" s="567"/>
      <c r="J3670" s="15"/>
      <c r="N3670" s="14"/>
      <c r="O3670" s="14"/>
      <c r="P3670" s="14"/>
    </row>
    <row r="3671" spans="2:16" ht="15.75" customHeight="1">
      <c r="B3671" s="14"/>
      <c r="H3671" s="14"/>
      <c r="I3671" s="567"/>
      <c r="J3671" s="15"/>
      <c r="N3671" s="14"/>
      <c r="O3671" s="14"/>
      <c r="P3671" s="14"/>
    </row>
    <row r="3672" spans="2:16" ht="15.75" customHeight="1">
      <c r="B3672" s="14"/>
      <c r="H3672" s="14"/>
      <c r="I3672" s="567"/>
      <c r="J3672" s="15"/>
      <c r="N3672" s="14"/>
      <c r="O3672" s="14"/>
      <c r="P3672" s="14"/>
    </row>
    <row r="3673" spans="2:16" ht="15.75" customHeight="1">
      <c r="B3673" s="14"/>
      <c r="H3673" s="14"/>
      <c r="I3673" s="567"/>
      <c r="J3673" s="15"/>
      <c r="N3673" s="14"/>
      <c r="O3673" s="14"/>
      <c r="P3673" s="14"/>
    </row>
    <row r="3674" spans="2:16" ht="15.75" customHeight="1">
      <c r="B3674" s="14"/>
      <c r="H3674" s="14"/>
      <c r="I3674" s="567"/>
      <c r="J3674" s="15"/>
      <c r="N3674" s="14"/>
      <c r="O3674" s="14"/>
      <c r="P3674" s="14"/>
    </row>
    <row r="3675" spans="2:16" ht="15.75" customHeight="1">
      <c r="B3675" s="14"/>
      <c r="H3675" s="14"/>
      <c r="I3675" s="567"/>
      <c r="J3675" s="15"/>
      <c r="N3675" s="14"/>
      <c r="O3675" s="14"/>
      <c r="P3675" s="14"/>
    </row>
    <row r="3676" spans="2:16" ht="15.75" customHeight="1">
      <c r="B3676" s="14"/>
      <c r="H3676" s="14"/>
      <c r="I3676" s="567"/>
      <c r="J3676" s="15"/>
      <c r="N3676" s="14"/>
      <c r="O3676" s="14"/>
      <c r="P3676" s="14"/>
    </row>
    <row r="3677" spans="2:16" ht="15.75" customHeight="1">
      <c r="B3677" s="14"/>
      <c r="H3677" s="14"/>
      <c r="I3677" s="567"/>
      <c r="J3677" s="15"/>
      <c r="N3677" s="14"/>
      <c r="O3677" s="14"/>
      <c r="P3677" s="14"/>
    </row>
    <row r="3678" spans="2:16" ht="15.75" customHeight="1">
      <c r="B3678" s="14"/>
      <c r="H3678" s="14"/>
      <c r="I3678" s="567"/>
      <c r="J3678" s="15"/>
      <c r="N3678" s="14"/>
      <c r="O3678" s="14"/>
      <c r="P3678" s="14"/>
    </row>
    <row r="3679" spans="2:16" ht="15.75" customHeight="1">
      <c r="B3679" s="14"/>
      <c r="H3679" s="14"/>
      <c r="I3679" s="567"/>
      <c r="J3679" s="15"/>
      <c r="N3679" s="14"/>
      <c r="O3679" s="14"/>
      <c r="P3679" s="14"/>
    </row>
    <row r="3680" spans="2:16" ht="15.75" customHeight="1">
      <c r="B3680" s="14"/>
      <c r="H3680" s="14"/>
      <c r="I3680" s="567"/>
      <c r="J3680" s="15"/>
      <c r="N3680" s="14"/>
      <c r="O3680" s="14"/>
      <c r="P3680" s="14"/>
    </row>
    <row r="3681" spans="2:16" ht="15.75" customHeight="1">
      <c r="B3681" s="14"/>
      <c r="H3681" s="14"/>
      <c r="I3681" s="567"/>
      <c r="J3681" s="15"/>
      <c r="N3681" s="14"/>
      <c r="O3681" s="14"/>
      <c r="P3681" s="14"/>
    </row>
    <row r="3682" spans="2:16" ht="15.75" customHeight="1">
      <c r="B3682" s="14"/>
      <c r="H3682" s="14"/>
      <c r="I3682" s="567"/>
      <c r="J3682" s="15"/>
      <c r="N3682" s="14"/>
      <c r="O3682" s="14"/>
      <c r="P3682" s="14"/>
    </row>
    <row r="3683" spans="2:16" ht="15.75" customHeight="1">
      <c r="B3683" s="14"/>
      <c r="H3683" s="14"/>
      <c r="I3683" s="567"/>
      <c r="J3683" s="15"/>
      <c r="N3683" s="14"/>
      <c r="O3683" s="14"/>
      <c r="P3683" s="14"/>
    </row>
    <row r="3684" spans="2:16" ht="15.75" customHeight="1">
      <c r="B3684" s="14"/>
      <c r="H3684" s="14"/>
      <c r="I3684" s="567"/>
      <c r="J3684" s="15"/>
      <c r="N3684" s="14"/>
      <c r="O3684" s="14"/>
      <c r="P3684" s="14"/>
    </row>
    <row r="3685" spans="2:16" ht="15.75" customHeight="1">
      <c r="B3685" s="14"/>
      <c r="H3685" s="14"/>
      <c r="I3685" s="567"/>
      <c r="J3685" s="15"/>
      <c r="N3685" s="14"/>
      <c r="O3685" s="14"/>
      <c r="P3685" s="14"/>
    </row>
    <row r="3686" spans="2:16" ht="15.75" customHeight="1">
      <c r="B3686" s="14"/>
      <c r="H3686" s="14"/>
      <c r="I3686" s="567"/>
      <c r="J3686" s="15"/>
      <c r="N3686" s="14"/>
      <c r="O3686" s="14"/>
      <c r="P3686" s="14"/>
    </row>
    <row r="3687" spans="2:16" ht="15.75" customHeight="1">
      <c r="B3687" s="14"/>
      <c r="H3687" s="14"/>
      <c r="I3687" s="567"/>
      <c r="J3687" s="15"/>
      <c r="N3687" s="14"/>
      <c r="O3687" s="14"/>
      <c r="P3687" s="14"/>
    </row>
    <row r="3688" spans="2:16" ht="15.75" customHeight="1">
      <c r="B3688" s="14"/>
      <c r="H3688" s="14"/>
      <c r="I3688" s="567"/>
      <c r="J3688" s="15"/>
      <c r="N3688" s="14"/>
      <c r="O3688" s="14"/>
      <c r="P3688" s="14"/>
    </row>
    <row r="3689" spans="2:16" ht="15.75" customHeight="1">
      <c r="B3689" s="14"/>
      <c r="H3689" s="14"/>
      <c r="I3689" s="567"/>
      <c r="J3689" s="15"/>
      <c r="N3689" s="14"/>
      <c r="O3689" s="14"/>
      <c r="P3689" s="14"/>
    </row>
    <row r="3690" spans="2:16" ht="15.75" customHeight="1">
      <c r="B3690" s="14"/>
      <c r="H3690" s="14"/>
      <c r="I3690" s="567"/>
      <c r="J3690" s="15"/>
      <c r="N3690" s="14"/>
      <c r="O3690" s="14"/>
      <c r="P3690" s="14"/>
    </row>
    <row r="3691" spans="2:16" ht="15.75" customHeight="1">
      <c r="B3691" s="14"/>
      <c r="H3691" s="14"/>
      <c r="I3691" s="567"/>
      <c r="J3691" s="15"/>
      <c r="N3691" s="14"/>
      <c r="O3691" s="14"/>
      <c r="P3691" s="14"/>
    </row>
    <row r="3692" spans="2:16" ht="15.75" customHeight="1">
      <c r="B3692" s="14"/>
      <c r="H3692" s="14"/>
      <c r="I3692" s="567"/>
      <c r="J3692" s="15"/>
      <c r="N3692" s="14"/>
      <c r="O3692" s="14"/>
      <c r="P3692" s="14"/>
    </row>
    <row r="3693" spans="2:16" ht="15.75" customHeight="1">
      <c r="B3693" s="14"/>
      <c r="H3693" s="14"/>
      <c r="I3693" s="567"/>
      <c r="J3693" s="15"/>
      <c r="N3693" s="14"/>
      <c r="O3693" s="14"/>
      <c r="P3693" s="14"/>
    </row>
    <row r="3694" spans="2:16" ht="15.75" customHeight="1">
      <c r="B3694" s="14"/>
      <c r="H3694" s="14"/>
      <c r="I3694" s="567"/>
      <c r="J3694" s="15"/>
      <c r="N3694" s="14"/>
      <c r="O3694" s="14"/>
      <c r="P3694" s="14"/>
    </row>
    <row r="3695" spans="2:16" ht="15.75" customHeight="1">
      <c r="B3695" s="14"/>
      <c r="H3695" s="14"/>
      <c r="I3695" s="567"/>
      <c r="J3695" s="15"/>
      <c r="N3695" s="14"/>
      <c r="O3695" s="14"/>
      <c r="P3695" s="14"/>
    </row>
    <row r="3696" spans="2:16" ht="15.75" customHeight="1">
      <c r="B3696" s="14"/>
      <c r="H3696" s="14"/>
      <c r="I3696" s="567"/>
      <c r="J3696" s="15"/>
      <c r="N3696" s="14"/>
      <c r="O3696" s="14"/>
      <c r="P3696" s="14"/>
    </row>
    <row r="3697" spans="2:16" ht="15.75" customHeight="1">
      <c r="B3697" s="14"/>
      <c r="H3697" s="14"/>
      <c r="I3697" s="567"/>
      <c r="J3697" s="15"/>
      <c r="N3697" s="14"/>
      <c r="O3697" s="14"/>
      <c r="P3697" s="14"/>
    </row>
    <row r="3698" spans="2:16" ht="15.75" customHeight="1">
      <c r="B3698" s="14"/>
      <c r="H3698" s="14"/>
      <c r="I3698" s="567"/>
      <c r="J3698" s="15"/>
      <c r="N3698" s="14"/>
      <c r="O3698" s="14"/>
      <c r="P3698" s="14"/>
    </row>
    <row r="3699" spans="2:16" ht="15.75" customHeight="1">
      <c r="B3699" s="14"/>
      <c r="H3699" s="14"/>
      <c r="I3699" s="567"/>
      <c r="J3699" s="15"/>
      <c r="N3699" s="14"/>
      <c r="O3699" s="14"/>
      <c r="P3699" s="14"/>
    </row>
    <row r="3700" spans="2:16" ht="15.75" customHeight="1">
      <c r="B3700" s="14"/>
      <c r="H3700" s="14"/>
      <c r="I3700" s="567"/>
      <c r="J3700" s="15"/>
      <c r="N3700" s="14"/>
      <c r="O3700" s="14"/>
      <c r="P3700" s="14"/>
    </row>
    <row r="3701" spans="2:16" ht="15.75" customHeight="1">
      <c r="B3701" s="14"/>
      <c r="H3701" s="14"/>
      <c r="I3701" s="567"/>
      <c r="J3701" s="15"/>
      <c r="N3701" s="14"/>
      <c r="O3701" s="14"/>
      <c r="P3701" s="14"/>
    </row>
    <row r="3702" spans="2:16" ht="15.75" customHeight="1">
      <c r="B3702" s="14"/>
      <c r="H3702" s="14"/>
      <c r="I3702" s="567"/>
      <c r="J3702" s="15"/>
      <c r="N3702" s="14"/>
      <c r="O3702" s="14"/>
      <c r="P3702" s="14"/>
    </row>
    <row r="3703" spans="2:16" ht="15.75" customHeight="1">
      <c r="B3703" s="14"/>
      <c r="H3703" s="14"/>
      <c r="I3703" s="567"/>
      <c r="J3703" s="15"/>
      <c r="N3703" s="14"/>
      <c r="O3703" s="14"/>
      <c r="P3703" s="14"/>
    </row>
    <row r="3704" spans="2:16" ht="15.75" customHeight="1">
      <c r="B3704" s="14"/>
      <c r="H3704" s="14"/>
      <c r="I3704" s="567"/>
      <c r="J3704" s="15"/>
      <c r="N3704" s="14"/>
      <c r="O3704" s="14"/>
      <c r="P3704" s="14"/>
    </row>
    <row r="3705" spans="2:16" ht="15.75" customHeight="1">
      <c r="B3705" s="14"/>
      <c r="H3705" s="14"/>
      <c r="I3705" s="567"/>
      <c r="J3705" s="15"/>
      <c r="N3705" s="14"/>
      <c r="O3705" s="14"/>
      <c r="P3705" s="14"/>
    </row>
    <row r="3706" spans="2:16" ht="15.75" customHeight="1">
      <c r="B3706" s="14"/>
      <c r="H3706" s="14"/>
      <c r="I3706" s="567"/>
      <c r="J3706" s="15"/>
      <c r="N3706" s="14"/>
      <c r="O3706" s="14"/>
      <c r="P3706" s="14"/>
    </row>
    <row r="3707" spans="2:16" ht="15.75" customHeight="1">
      <c r="B3707" s="14"/>
      <c r="H3707" s="14"/>
      <c r="I3707" s="567"/>
      <c r="J3707" s="15"/>
      <c r="N3707" s="14"/>
      <c r="O3707" s="14"/>
      <c r="P3707" s="14"/>
    </row>
    <row r="3708" spans="2:16" ht="15.75" customHeight="1">
      <c r="B3708" s="14"/>
      <c r="H3708" s="14"/>
      <c r="I3708" s="567"/>
      <c r="J3708" s="15"/>
      <c r="N3708" s="14"/>
      <c r="O3708" s="14"/>
      <c r="P3708" s="14"/>
    </row>
    <row r="3709" spans="2:16" ht="15.75" customHeight="1">
      <c r="B3709" s="14"/>
      <c r="H3709" s="14"/>
      <c r="I3709" s="567"/>
      <c r="J3709" s="15"/>
      <c r="N3709" s="14"/>
      <c r="O3709" s="14"/>
      <c r="P3709" s="14"/>
    </row>
    <row r="3710" spans="2:16" ht="15.75" customHeight="1">
      <c r="B3710" s="14"/>
      <c r="H3710" s="14"/>
      <c r="I3710" s="567"/>
      <c r="J3710" s="15"/>
      <c r="N3710" s="14"/>
      <c r="O3710" s="14"/>
      <c r="P3710" s="14"/>
    </row>
    <row r="3711" spans="2:16" ht="15.75" customHeight="1">
      <c r="B3711" s="14"/>
      <c r="H3711" s="14"/>
      <c r="I3711" s="567"/>
      <c r="J3711" s="15"/>
      <c r="N3711" s="14"/>
      <c r="O3711" s="14"/>
      <c r="P3711" s="14"/>
    </row>
    <row r="3712" spans="2:16" ht="15.75" customHeight="1">
      <c r="B3712" s="14"/>
      <c r="H3712" s="14"/>
      <c r="I3712" s="567"/>
      <c r="J3712" s="15"/>
      <c r="N3712" s="14"/>
      <c r="O3712" s="14"/>
      <c r="P3712" s="14"/>
    </row>
    <row r="3713" spans="2:16" ht="15.75" customHeight="1">
      <c r="B3713" s="14"/>
      <c r="H3713" s="14"/>
      <c r="I3713" s="567"/>
      <c r="J3713" s="15"/>
      <c r="N3713" s="14"/>
      <c r="O3713" s="14"/>
      <c r="P3713" s="14"/>
    </row>
    <row r="3714" spans="2:16" ht="15.75" customHeight="1">
      <c r="B3714" s="14"/>
      <c r="H3714" s="14"/>
      <c r="I3714" s="567"/>
      <c r="J3714" s="15"/>
      <c r="N3714" s="14"/>
      <c r="O3714" s="14"/>
      <c r="P3714" s="14"/>
    </row>
    <row r="3715" spans="2:16" ht="15.75" customHeight="1">
      <c r="B3715" s="14"/>
      <c r="H3715" s="14"/>
      <c r="I3715" s="567"/>
      <c r="J3715" s="15"/>
      <c r="N3715" s="14"/>
      <c r="O3715" s="14"/>
      <c r="P3715" s="14"/>
    </row>
    <row r="3716" spans="2:16" ht="15.75" customHeight="1">
      <c r="B3716" s="14"/>
      <c r="H3716" s="14"/>
      <c r="I3716" s="567"/>
      <c r="J3716" s="15"/>
      <c r="N3716" s="14"/>
      <c r="O3716" s="14"/>
      <c r="P3716" s="14"/>
    </row>
    <row r="3717" spans="2:16" ht="15.75" customHeight="1">
      <c r="B3717" s="14"/>
      <c r="H3717" s="14"/>
      <c r="I3717" s="567"/>
      <c r="J3717" s="15"/>
      <c r="N3717" s="14"/>
      <c r="O3717" s="14"/>
      <c r="P3717" s="14"/>
    </row>
    <row r="3718" spans="2:16" ht="15.75" customHeight="1">
      <c r="B3718" s="14"/>
      <c r="H3718" s="14"/>
      <c r="I3718" s="567"/>
      <c r="J3718" s="15"/>
      <c r="N3718" s="14"/>
      <c r="O3718" s="14"/>
      <c r="P3718" s="14"/>
    </row>
    <row r="3719" spans="2:16" ht="15.75" customHeight="1">
      <c r="B3719" s="14"/>
      <c r="H3719" s="14"/>
      <c r="I3719" s="567"/>
      <c r="J3719" s="15"/>
      <c r="N3719" s="14"/>
      <c r="O3719" s="14"/>
      <c r="P3719" s="14"/>
    </row>
    <row r="3720" spans="2:16" ht="15.75" customHeight="1">
      <c r="B3720" s="14"/>
      <c r="H3720" s="14"/>
      <c r="I3720" s="567"/>
      <c r="J3720" s="15"/>
      <c r="N3720" s="14"/>
      <c r="O3720" s="14"/>
      <c r="P3720" s="14"/>
    </row>
    <row r="3721" spans="2:16" ht="15.75" customHeight="1">
      <c r="B3721" s="14"/>
      <c r="H3721" s="14"/>
      <c r="I3721" s="567"/>
      <c r="J3721" s="15"/>
      <c r="N3721" s="14"/>
      <c r="O3721" s="14"/>
      <c r="P3721" s="14"/>
    </row>
    <row r="3722" spans="2:16" ht="15.75" customHeight="1">
      <c r="B3722" s="14"/>
      <c r="H3722" s="14"/>
      <c r="I3722" s="567"/>
      <c r="J3722" s="15"/>
      <c r="N3722" s="14"/>
      <c r="O3722" s="14"/>
      <c r="P3722" s="14"/>
    </row>
    <row r="3723" spans="2:16" ht="15.75" customHeight="1">
      <c r="B3723" s="14"/>
      <c r="H3723" s="14"/>
      <c r="I3723" s="567"/>
      <c r="J3723" s="15"/>
      <c r="N3723" s="14"/>
      <c r="O3723" s="14"/>
      <c r="P3723" s="14"/>
    </row>
    <row r="3724" spans="2:16" ht="15.75" customHeight="1">
      <c r="B3724" s="14"/>
      <c r="H3724" s="14"/>
      <c r="I3724" s="567"/>
      <c r="J3724" s="15"/>
      <c r="N3724" s="14"/>
      <c r="O3724" s="14"/>
      <c r="P3724" s="14"/>
    </row>
    <row r="3725" spans="2:16" ht="15.75" customHeight="1">
      <c r="B3725" s="14"/>
      <c r="H3725" s="14"/>
      <c r="I3725" s="567"/>
      <c r="J3725" s="15"/>
      <c r="N3725" s="14"/>
      <c r="O3725" s="14"/>
      <c r="P3725" s="14"/>
    </row>
    <row r="3726" spans="2:16" ht="15.75" customHeight="1">
      <c r="B3726" s="14"/>
      <c r="H3726" s="14"/>
      <c r="I3726" s="567"/>
      <c r="J3726" s="15"/>
      <c r="N3726" s="14"/>
      <c r="O3726" s="14"/>
      <c r="P3726" s="14"/>
    </row>
    <row r="3727" spans="2:16" ht="15.75" customHeight="1">
      <c r="B3727" s="14"/>
      <c r="H3727" s="14"/>
      <c r="I3727" s="567"/>
      <c r="J3727" s="15"/>
      <c r="N3727" s="14"/>
      <c r="O3727" s="14"/>
      <c r="P3727" s="14"/>
    </row>
    <row r="3728" spans="2:16" ht="15.75" customHeight="1">
      <c r="B3728" s="14"/>
      <c r="H3728" s="14"/>
      <c r="I3728" s="567"/>
      <c r="J3728" s="15"/>
      <c r="N3728" s="14"/>
      <c r="O3728" s="14"/>
      <c r="P3728" s="14"/>
    </row>
    <row r="3729" spans="2:16" ht="15.75" customHeight="1">
      <c r="B3729" s="14"/>
      <c r="H3729" s="14"/>
      <c r="I3729" s="567"/>
      <c r="J3729" s="15"/>
      <c r="N3729" s="14"/>
      <c r="O3729" s="14"/>
      <c r="P3729" s="14"/>
    </row>
    <row r="3730" spans="2:16" ht="15.75" customHeight="1">
      <c r="B3730" s="14"/>
      <c r="H3730" s="14"/>
      <c r="I3730" s="567"/>
      <c r="J3730" s="15"/>
      <c r="N3730" s="14"/>
      <c r="O3730" s="14"/>
      <c r="P3730" s="14"/>
    </row>
    <row r="3731" spans="2:16" ht="15.75" customHeight="1">
      <c r="B3731" s="14"/>
      <c r="H3731" s="14"/>
      <c r="I3731" s="567"/>
      <c r="J3731" s="15"/>
      <c r="N3731" s="14"/>
      <c r="O3731" s="14"/>
      <c r="P3731" s="14"/>
    </row>
    <row r="3732" spans="2:16" ht="15.75" customHeight="1">
      <c r="B3732" s="14"/>
      <c r="H3732" s="14"/>
      <c r="I3732" s="567"/>
      <c r="J3732" s="15"/>
      <c r="N3732" s="14"/>
      <c r="O3732" s="14"/>
      <c r="P3732" s="14"/>
    </row>
    <row r="3733" spans="2:16" ht="15.75" customHeight="1">
      <c r="B3733" s="14"/>
      <c r="H3733" s="14"/>
      <c r="I3733" s="567"/>
      <c r="J3733" s="15"/>
      <c r="N3733" s="14"/>
      <c r="O3733" s="14"/>
      <c r="P3733" s="14"/>
    </row>
    <row r="3734" spans="2:16" ht="15.75" customHeight="1">
      <c r="B3734" s="14"/>
      <c r="H3734" s="14"/>
      <c r="I3734" s="567"/>
      <c r="J3734" s="15"/>
      <c r="N3734" s="14"/>
      <c r="O3734" s="14"/>
      <c r="P3734" s="14"/>
    </row>
    <row r="3735" spans="2:16" ht="15.75" customHeight="1">
      <c r="B3735" s="14"/>
      <c r="H3735" s="14"/>
      <c r="I3735" s="567"/>
      <c r="J3735" s="15"/>
      <c r="N3735" s="14"/>
      <c r="O3735" s="14"/>
      <c r="P3735" s="14"/>
    </row>
    <row r="3736" spans="2:16" ht="15.75" customHeight="1">
      <c r="B3736" s="14"/>
      <c r="H3736" s="14"/>
      <c r="I3736" s="567"/>
      <c r="J3736" s="15"/>
      <c r="N3736" s="14"/>
      <c r="O3736" s="14"/>
      <c r="P3736" s="14"/>
    </row>
    <row r="3737" spans="2:16" ht="15.75" customHeight="1">
      <c r="B3737" s="14"/>
      <c r="H3737" s="14"/>
      <c r="I3737" s="567"/>
      <c r="J3737" s="15"/>
      <c r="N3737" s="14"/>
      <c r="O3737" s="14"/>
      <c r="P3737" s="14"/>
    </row>
    <row r="3738" spans="2:16" ht="15.75" customHeight="1">
      <c r="B3738" s="14"/>
      <c r="H3738" s="14"/>
      <c r="I3738" s="567"/>
      <c r="J3738" s="15"/>
      <c r="N3738" s="14"/>
      <c r="O3738" s="14"/>
      <c r="P3738" s="14"/>
    </row>
    <row r="3739" spans="2:16" ht="15.75" customHeight="1">
      <c r="B3739" s="14"/>
      <c r="H3739" s="14"/>
      <c r="I3739" s="567"/>
      <c r="J3739" s="15"/>
      <c r="N3739" s="14"/>
      <c r="O3739" s="14"/>
      <c r="P3739" s="14"/>
    </row>
    <row r="3740" spans="2:16" ht="15.75" customHeight="1">
      <c r="B3740" s="14"/>
      <c r="H3740" s="14"/>
      <c r="I3740" s="567"/>
      <c r="J3740" s="15"/>
      <c r="N3740" s="14"/>
      <c r="O3740" s="14"/>
      <c r="P3740" s="14"/>
    </row>
    <row r="3741" spans="2:16" ht="15.75" customHeight="1">
      <c r="B3741" s="14"/>
      <c r="H3741" s="14"/>
      <c r="I3741" s="567"/>
      <c r="J3741" s="15"/>
      <c r="N3741" s="14"/>
      <c r="O3741" s="14"/>
      <c r="P3741" s="14"/>
    </row>
    <row r="3742" spans="2:16" ht="15.75" customHeight="1">
      <c r="B3742" s="14"/>
      <c r="H3742" s="14"/>
      <c r="I3742" s="567"/>
      <c r="J3742" s="15"/>
      <c r="N3742" s="14"/>
      <c r="O3742" s="14"/>
      <c r="P3742" s="14"/>
    </row>
    <row r="3743" spans="2:16" ht="15.75" customHeight="1">
      <c r="B3743" s="14"/>
      <c r="H3743" s="14"/>
      <c r="I3743" s="567"/>
      <c r="J3743" s="15"/>
      <c r="N3743" s="14"/>
      <c r="O3743" s="14"/>
      <c r="P3743" s="14"/>
    </row>
    <row r="3744" spans="2:16" ht="15.75" customHeight="1">
      <c r="B3744" s="14"/>
      <c r="H3744" s="14"/>
      <c r="I3744" s="567"/>
      <c r="J3744" s="15"/>
      <c r="N3744" s="14"/>
      <c r="O3744" s="14"/>
      <c r="P3744" s="14"/>
    </row>
    <row r="3745" spans="2:16" ht="15.75" customHeight="1">
      <c r="B3745" s="14"/>
      <c r="H3745" s="14"/>
      <c r="I3745" s="567"/>
      <c r="J3745" s="15"/>
      <c r="N3745" s="14"/>
      <c r="O3745" s="14"/>
      <c r="P3745" s="14"/>
    </row>
    <row r="3746" spans="2:16" ht="15.75" customHeight="1">
      <c r="B3746" s="14"/>
      <c r="H3746" s="14"/>
      <c r="I3746" s="567"/>
      <c r="J3746" s="15"/>
      <c r="N3746" s="14"/>
      <c r="O3746" s="14"/>
      <c r="P3746" s="14"/>
    </row>
    <row r="3747" spans="2:16" ht="15.75" customHeight="1">
      <c r="B3747" s="14"/>
      <c r="H3747" s="14"/>
      <c r="I3747" s="567"/>
      <c r="J3747" s="15"/>
      <c r="N3747" s="14"/>
      <c r="O3747" s="14"/>
      <c r="P3747" s="14"/>
    </row>
    <row r="3748" spans="2:16" ht="15.75" customHeight="1">
      <c r="B3748" s="14"/>
      <c r="H3748" s="14"/>
      <c r="I3748" s="567"/>
      <c r="J3748" s="15"/>
      <c r="N3748" s="14"/>
      <c r="O3748" s="14"/>
      <c r="P3748" s="14"/>
    </row>
    <row r="3749" spans="2:16" ht="15.75" customHeight="1">
      <c r="B3749" s="14"/>
      <c r="H3749" s="14"/>
      <c r="I3749" s="567"/>
      <c r="J3749" s="15"/>
      <c r="N3749" s="14"/>
      <c r="O3749" s="14"/>
      <c r="P3749" s="14"/>
    </row>
    <row r="3750" spans="2:16" ht="15.75" customHeight="1">
      <c r="B3750" s="14"/>
      <c r="H3750" s="14"/>
      <c r="I3750" s="567"/>
      <c r="J3750" s="15"/>
      <c r="N3750" s="14"/>
      <c r="O3750" s="14"/>
      <c r="P3750" s="14"/>
    </row>
    <row r="3751" spans="2:16" ht="15.75" customHeight="1">
      <c r="B3751" s="14"/>
      <c r="H3751" s="14"/>
      <c r="I3751" s="567"/>
      <c r="J3751" s="15"/>
      <c r="N3751" s="14"/>
      <c r="O3751" s="14"/>
      <c r="P3751" s="14"/>
    </row>
    <row r="3752" spans="2:16" ht="15.75" customHeight="1">
      <c r="B3752" s="14"/>
      <c r="H3752" s="14"/>
      <c r="I3752" s="567"/>
      <c r="J3752" s="15"/>
      <c r="N3752" s="14"/>
      <c r="O3752" s="14"/>
      <c r="P3752" s="14"/>
    </row>
    <row r="3753" spans="2:16" ht="15.75" customHeight="1">
      <c r="B3753" s="14"/>
      <c r="H3753" s="14"/>
      <c r="I3753" s="567"/>
      <c r="J3753" s="15"/>
      <c r="N3753" s="14"/>
      <c r="O3753" s="14"/>
      <c r="P3753" s="14"/>
    </row>
    <row r="3754" spans="2:16" ht="15.75" customHeight="1">
      <c r="B3754" s="14"/>
      <c r="H3754" s="14"/>
      <c r="I3754" s="567"/>
      <c r="J3754" s="15"/>
      <c r="N3754" s="14"/>
      <c r="O3754" s="14"/>
      <c r="P3754" s="14"/>
    </row>
    <row r="3755" spans="2:16" ht="15.75" customHeight="1">
      <c r="B3755" s="14"/>
      <c r="H3755" s="14"/>
      <c r="I3755" s="567"/>
      <c r="J3755" s="15"/>
      <c r="N3755" s="14"/>
      <c r="O3755" s="14"/>
      <c r="P3755" s="14"/>
    </row>
    <row r="3756" spans="2:16" ht="15.75" customHeight="1">
      <c r="B3756" s="14"/>
      <c r="H3756" s="14"/>
      <c r="I3756" s="567"/>
      <c r="J3756" s="15"/>
      <c r="N3756" s="14"/>
      <c r="O3756" s="14"/>
      <c r="P3756" s="14"/>
    </row>
    <row r="3757" spans="2:16" ht="15.75" customHeight="1">
      <c r="B3757" s="14"/>
      <c r="H3757" s="14"/>
      <c r="I3757" s="567"/>
      <c r="J3757" s="15"/>
      <c r="N3757" s="14"/>
      <c r="O3757" s="14"/>
      <c r="P3757" s="14"/>
    </row>
    <row r="3758" spans="2:16" ht="15.75" customHeight="1">
      <c r="B3758" s="14"/>
      <c r="H3758" s="14"/>
      <c r="I3758" s="567"/>
      <c r="J3758" s="15"/>
      <c r="N3758" s="14"/>
      <c r="O3758" s="14"/>
      <c r="P3758" s="14"/>
    </row>
    <row r="3759" spans="2:16" ht="15.75" customHeight="1">
      <c r="B3759" s="14"/>
      <c r="H3759" s="14"/>
      <c r="I3759" s="567"/>
      <c r="J3759" s="15"/>
      <c r="N3759" s="14"/>
      <c r="O3759" s="14"/>
      <c r="P3759" s="14"/>
    </row>
    <row r="3760" spans="2:16" ht="15.75" customHeight="1">
      <c r="B3760" s="14"/>
      <c r="H3760" s="14"/>
      <c r="I3760" s="567"/>
      <c r="J3760" s="15"/>
      <c r="N3760" s="14"/>
      <c r="O3760" s="14"/>
      <c r="P3760" s="14"/>
    </row>
    <row r="3761" spans="2:16" ht="15.75" customHeight="1">
      <c r="B3761" s="14"/>
      <c r="H3761" s="14"/>
      <c r="I3761" s="567"/>
      <c r="J3761" s="15"/>
      <c r="N3761" s="14"/>
      <c r="O3761" s="14"/>
      <c r="P3761" s="14"/>
    </row>
    <row r="3762" spans="2:16" ht="15.75" customHeight="1">
      <c r="B3762" s="14"/>
      <c r="H3762" s="14"/>
      <c r="I3762" s="567"/>
      <c r="J3762" s="15"/>
      <c r="N3762" s="14"/>
      <c r="O3762" s="14"/>
      <c r="P3762" s="14"/>
    </row>
    <row r="3763" spans="2:16" ht="15.75" customHeight="1">
      <c r="B3763" s="14"/>
      <c r="H3763" s="14"/>
      <c r="I3763" s="567"/>
      <c r="J3763" s="15"/>
      <c r="N3763" s="14"/>
      <c r="O3763" s="14"/>
      <c r="P3763" s="14"/>
    </row>
    <row r="3764" spans="2:16" ht="15.75" customHeight="1">
      <c r="B3764" s="14"/>
      <c r="H3764" s="14"/>
      <c r="I3764" s="567"/>
      <c r="J3764" s="15"/>
      <c r="N3764" s="14"/>
      <c r="O3764" s="14"/>
      <c r="P3764" s="14"/>
    </row>
    <row r="3765" spans="2:16" ht="15.75" customHeight="1">
      <c r="B3765" s="14"/>
      <c r="H3765" s="14"/>
      <c r="I3765" s="567"/>
      <c r="J3765" s="15"/>
      <c r="N3765" s="14"/>
      <c r="O3765" s="14"/>
      <c r="P3765" s="14"/>
    </row>
    <row r="3766" spans="2:16" ht="15.75" customHeight="1">
      <c r="B3766" s="14"/>
      <c r="H3766" s="14"/>
      <c r="I3766" s="567"/>
      <c r="J3766" s="15"/>
      <c r="N3766" s="14"/>
      <c r="O3766" s="14"/>
      <c r="P3766" s="14"/>
    </row>
    <row r="3767" spans="2:16" ht="15.75" customHeight="1">
      <c r="B3767" s="14"/>
      <c r="H3767" s="14"/>
      <c r="I3767" s="567"/>
      <c r="J3767" s="15"/>
      <c r="N3767" s="14"/>
      <c r="O3767" s="14"/>
      <c r="P3767" s="14"/>
    </row>
    <row r="3768" spans="2:16" ht="15.75" customHeight="1">
      <c r="B3768" s="14"/>
      <c r="H3768" s="14"/>
      <c r="I3768" s="567"/>
      <c r="J3768" s="15"/>
      <c r="N3768" s="14"/>
      <c r="O3768" s="14"/>
      <c r="P3768" s="14"/>
    </row>
    <row r="3769" spans="2:16" ht="15.75" customHeight="1">
      <c r="B3769" s="14"/>
      <c r="H3769" s="14"/>
      <c r="I3769" s="567"/>
      <c r="J3769" s="15"/>
      <c r="N3769" s="14"/>
      <c r="O3769" s="14"/>
      <c r="P3769" s="14"/>
    </row>
    <row r="3770" spans="2:16" ht="15.75" customHeight="1">
      <c r="B3770" s="14"/>
      <c r="H3770" s="14"/>
      <c r="I3770" s="567"/>
      <c r="J3770" s="15"/>
      <c r="N3770" s="14"/>
      <c r="O3770" s="14"/>
      <c r="P3770" s="14"/>
    </row>
    <row r="3771" spans="2:16" ht="15.75" customHeight="1">
      <c r="B3771" s="14"/>
      <c r="H3771" s="14"/>
      <c r="I3771" s="567"/>
      <c r="J3771" s="15"/>
      <c r="N3771" s="14"/>
      <c r="O3771" s="14"/>
      <c r="P3771" s="14"/>
    </row>
    <row r="3772" spans="2:16" ht="15.75" customHeight="1">
      <c r="B3772" s="14"/>
      <c r="H3772" s="14"/>
      <c r="I3772" s="567"/>
      <c r="J3772" s="15"/>
      <c r="N3772" s="14"/>
      <c r="O3772" s="14"/>
      <c r="P3772" s="14"/>
    </row>
    <row r="3773" spans="2:16" ht="15.75" customHeight="1">
      <c r="B3773" s="14"/>
      <c r="H3773" s="14"/>
      <c r="I3773" s="567"/>
      <c r="J3773" s="15"/>
      <c r="N3773" s="14"/>
      <c r="O3773" s="14"/>
      <c r="P3773" s="14"/>
    </row>
    <row r="3774" spans="2:16" ht="15.75" customHeight="1">
      <c r="B3774" s="14"/>
      <c r="H3774" s="14"/>
      <c r="I3774" s="567"/>
      <c r="J3774" s="15"/>
      <c r="N3774" s="14"/>
      <c r="O3774" s="14"/>
      <c r="P3774" s="14"/>
    </row>
    <row r="3775" spans="2:16" ht="15.75" customHeight="1">
      <c r="B3775" s="14"/>
      <c r="H3775" s="14"/>
      <c r="I3775" s="567"/>
      <c r="J3775" s="15"/>
      <c r="N3775" s="14"/>
      <c r="O3775" s="14"/>
      <c r="P3775" s="14"/>
    </row>
    <row r="3776" spans="2:16" ht="15.75" customHeight="1">
      <c r="B3776" s="14"/>
      <c r="H3776" s="14"/>
      <c r="I3776" s="567"/>
      <c r="J3776" s="15"/>
      <c r="N3776" s="14"/>
      <c r="O3776" s="14"/>
      <c r="P3776" s="14"/>
    </row>
    <row r="3777" spans="2:16" ht="15.75" customHeight="1">
      <c r="B3777" s="14"/>
      <c r="H3777" s="14"/>
      <c r="I3777" s="567"/>
      <c r="J3777" s="15"/>
      <c r="N3777" s="14"/>
      <c r="O3777" s="14"/>
      <c r="P3777" s="14"/>
    </row>
    <row r="3778" spans="2:16" ht="15.75" customHeight="1">
      <c r="B3778" s="14"/>
      <c r="H3778" s="14"/>
      <c r="I3778" s="567"/>
      <c r="J3778" s="15"/>
      <c r="N3778" s="14"/>
      <c r="O3778" s="14"/>
      <c r="P3778" s="14"/>
    </row>
    <row r="3779" spans="2:16" ht="15.75" customHeight="1">
      <c r="B3779" s="14"/>
      <c r="H3779" s="14"/>
      <c r="I3779" s="567"/>
      <c r="J3779" s="15"/>
      <c r="N3779" s="14"/>
      <c r="O3779" s="14"/>
      <c r="P3779" s="14"/>
    </row>
    <row r="3780" spans="2:16" ht="15.75" customHeight="1">
      <c r="B3780" s="14"/>
      <c r="H3780" s="14"/>
      <c r="I3780" s="567"/>
      <c r="J3780" s="15"/>
      <c r="N3780" s="14"/>
      <c r="O3780" s="14"/>
      <c r="P3780" s="14"/>
    </row>
    <row r="3781" spans="2:16" ht="15.75" customHeight="1">
      <c r="B3781" s="14"/>
      <c r="H3781" s="14"/>
      <c r="I3781" s="567"/>
      <c r="J3781" s="15"/>
      <c r="N3781" s="14"/>
      <c r="O3781" s="14"/>
      <c r="P3781" s="14"/>
    </row>
    <row r="3782" spans="2:16" ht="15.75" customHeight="1">
      <c r="B3782" s="14"/>
      <c r="H3782" s="14"/>
      <c r="I3782" s="567"/>
      <c r="J3782" s="15"/>
      <c r="N3782" s="14"/>
      <c r="O3782" s="14"/>
      <c r="P3782" s="14"/>
    </row>
    <row r="3783" spans="2:16" ht="15.75" customHeight="1">
      <c r="B3783" s="14"/>
      <c r="H3783" s="14"/>
      <c r="I3783" s="567"/>
      <c r="J3783" s="15"/>
      <c r="N3783" s="14"/>
      <c r="O3783" s="14"/>
      <c r="P3783" s="14"/>
    </row>
    <row r="3784" spans="2:16" ht="15.75" customHeight="1">
      <c r="B3784" s="14"/>
      <c r="H3784" s="14"/>
      <c r="I3784" s="567"/>
      <c r="J3784" s="15"/>
      <c r="N3784" s="14"/>
      <c r="O3784" s="14"/>
      <c r="P3784" s="14"/>
    </row>
    <row r="3785" spans="2:16" ht="15.75" customHeight="1">
      <c r="B3785" s="14"/>
      <c r="H3785" s="14"/>
      <c r="I3785" s="567"/>
      <c r="J3785" s="15"/>
      <c r="N3785" s="14"/>
      <c r="O3785" s="14"/>
      <c r="P3785" s="14"/>
    </row>
    <row r="3786" spans="2:16" ht="15.75" customHeight="1">
      <c r="B3786" s="14"/>
      <c r="H3786" s="14"/>
      <c r="I3786" s="567"/>
      <c r="J3786" s="15"/>
      <c r="N3786" s="14"/>
      <c r="O3786" s="14"/>
      <c r="P3786" s="14"/>
    </row>
    <row r="3787" spans="2:16" ht="15.75" customHeight="1">
      <c r="B3787" s="14"/>
      <c r="H3787" s="14"/>
      <c r="I3787" s="567"/>
      <c r="J3787" s="15"/>
      <c r="N3787" s="14"/>
      <c r="O3787" s="14"/>
      <c r="P3787" s="14"/>
    </row>
    <row r="3788" spans="2:16" ht="15.75" customHeight="1">
      <c r="B3788" s="14"/>
      <c r="H3788" s="14"/>
      <c r="I3788" s="567"/>
      <c r="J3788" s="15"/>
      <c r="N3788" s="14"/>
      <c r="O3788" s="14"/>
      <c r="P3788" s="14"/>
    </row>
    <row r="3789" spans="2:16" ht="15.75" customHeight="1">
      <c r="B3789" s="14"/>
      <c r="H3789" s="14"/>
      <c r="I3789" s="567"/>
      <c r="J3789" s="15"/>
      <c r="N3789" s="14"/>
      <c r="O3789" s="14"/>
      <c r="P3789" s="14"/>
    </row>
    <row r="3790" spans="2:16" ht="15.75" customHeight="1">
      <c r="B3790" s="14"/>
      <c r="H3790" s="14"/>
      <c r="I3790" s="567"/>
      <c r="J3790" s="15"/>
      <c r="N3790" s="14"/>
      <c r="O3790" s="14"/>
      <c r="P3790" s="14"/>
    </row>
    <row r="3791" spans="2:16" ht="15.75" customHeight="1">
      <c r="B3791" s="14"/>
      <c r="H3791" s="14"/>
      <c r="I3791" s="567"/>
      <c r="J3791" s="15"/>
      <c r="N3791" s="14"/>
      <c r="O3791" s="14"/>
      <c r="P3791" s="14"/>
    </row>
    <row r="3792" spans="2:16" ht="15.75" customHeight="1">
      <c r="B3792" s="14"/>
      <c r="H3792" s="14"/>
      <c r="I3792" s="567"/>
      <c r="J3792" s="15"/>
      <c r="N3792" s="14"/>
      <c r="O3792" s="14"/>
      <c r="P3792" s="14"/>
    </row>
    <row r="3793" spans="2:16" ht="15.75" customHeight="1">
      <c r="B3793" s="14"/>
      <c r="H3793" s="14"/>
      <c r="I3793" s="567"/>
      <c r="J3793" s="15"/>
      <c r="N3793" s="14"/>
      <c r="O3793" s="14"/>
      <c r="P3793" s="14"/>
    </row>
    <row r="3794" spans="2:16" ht="15.75" customHeight="1">
      <c r="B3794" s="14"/>
      <c r="H3794" s="14"/>
      <c r="I3794" s="567"/>
      <c r="J3794" s="15"/>
      <c r="N3794" s="14"/>
      <c r="O3794" s="14"/>
      <c r="P3794" s="14"/>
    </row>
    <row r="3795" spans="2:16" ht="15.75" customHeight="1">
      <c r="B3795" s="14"/>
      <c r="H3795" s="14"/>
      <c r="I3795" s="567"/>
      <c r="J3795" s="15"/>
      <c r="N3795" s="14"/>
      <c r="O3795" s="14"/>
      <c r="P3795" s="14"/>
    </row>
    <row r="3796" spans="2:16" ht="15.75" customHeight="1">
      <c r="B3796" s="14"/>
      <c r="H3796" s="14"/>
      <c r="I3796" s="567"/>
      <c r="J3796" s="15"/>
      <c r="N3796" s="14"/>
      <c r="O3796" s="14"/>
      <c r="P3796" s="14"/>
    </row>
    <row r="3797" spans="2:16" ht="15.75" customHeight="1">
      <c r="B3797" s="14"/>
      <c r="H3797" s="14"/>
      <c r="I3797" s="567"/>
      <c r="J3797" s="15"/>
      <c r="N3797" s="14"/>
      <c r="O3797" s="14"/>
      <c r="P3797" s="14"/>
    </row>
    <row r="3798" spans="2:16" ht="15.75" customHeight="1">
      <c r="B3798" s="14"/>
      <c r="H3798" s="14"/>
      <c r="I3798" s="567"/>
      <c r="J3798" s="15"/>
      <c r="N3798" s="14"/>
      <c r="O3798" s="14"/>
      <c r="P3798" s="14"/>
    </row>
    <row r="3799" spans="2:16" ht="15.75" customHeight="1">
      <c r="B3799" s="14"/>
      <c r="H3799" s="14"/>
      <c r="I3799" s="567"/>
      <c r="J3799" s="15"/>
      <c r="N3799" s="14"/>
      <c r="O3799" s="14"/>
      <c r="P3799" s="14"/>
    </row>
    <row r="3800" spans="2:16" ht="15.75" customHeight="1">
      <c r="B3800" s="14"/>
      <c r="H3800" s="14"/>
      <c r="I3800" s="567"/>
      <c r="J3800" s="15"/>
      <c r="N3800" s="14"/>
      <c r="O3800" s="14"/>
      <c r="P3800" s="14"/>
    </row>
    <row r="3801" spans="2:16" ht="15.75" customHeight="1">
      <c r="B3801" s="14"/>
      <c r="H3801" s="14"/>
      <c r="I3801" s="567"/>
      <c r="J3801" s="15"/>
      <c r="N3801" s="14"/>
      <c r="O3801" s="14"/>
      <c r="P3801" s="14"/>
    </row>
    <row r="3802" spans="2:16" ht="15.75" customHeight="1">
      <c r="B3802" s="14"/>
      <c r="H3802" s="14"/>
      <c r="I3802" s="567"/>
      <c r="J3802" s="15"/>
      <c r="N3802" s="14"/>
      <c r="O3802" s="14"/>
      <c r="P3802" s="14"/>
    </row>
    <row r="3803" spans="2:16" ht="15.75" customHeight="1">
      <c r="B3803" s="14"/>
      <c r="H3803" s="14"/>
      <c r="I3803" s="567"/>
      <c r="J3803" s="15"/>
      <c r="N3803" s="14"/>
      <c r="O3803" s="14"/>
      <c r="P3803" s="14"/>
    </row>
    <row r="3804" spans="2:16" ht="15.75" customHeight="1">
      <c r="B3804" s="14"/>
      <c r="H3804" s="14"/>
      <c r="I3804" s="567"/>
      <c r="J3804" s="15"/>
      <c r="N3804" s="14"/>
      <c r="O3804" s="14"/>
      <c r="P3804" s="14"/>
    </row>
    <row r="3805" spans="2:16" ht="15.75" customHeight="1">
      <c r="B3805" s="14"/>
      <c r="H3805" s="14"/>
      <c r="I3805" s="567"/>
      <c r="J3805" s="15"/>
      <c r="N3805" s="14"/>
      <c r="O3805" s="14"/>
      <c r="P3805" s="14"/>
    </row>
    <row r="3806" spans="2:16" ht="15.75" customHeight="1">
      <c r="B3806" s="14"/>
      <c r="H3806" s="14"/>
      <c r="I3806" s="567"/>
      <c r="J3806" s="15"/>
      <c r="N3806" s="14"/>
      <c r="O3806" s="14"/>
      <c r="P3806" s="14"/>
    </row>
    <row r="3807" spans="2:16" ht="15.75" customHeight="1">
      <c r="B3807" s="14"/>
      <c r="H3807" s="14"/>
      <c r="I3807" s="567"/>
      <c r="J3807" s="15"/>
      <c r="N3807" s="14"/>
      <c r="O3807" s="14"/>
      <c r="P3807" s="14"/>
    </row>
    <row r="3808" spans="2:16" ht="15.75" customHeight="1">
      <c r="B3808" s="14"/>
      <c r="H3808" s="14"/>
      <c r="I3808" s="567"/>
      <c r="J3808" s="15"/>
      <c r="N3808" s="14"/>
      <c r="O3808" s="14"/>
      <c r="P3808" s="14"/>
    </row>
    <row r="3809" spans="2:16" ht="15.75" customHeight="1">
      <c r="B3809" s="14"/>
      <c r="H3809" s="14"/>
      <c r="I3809" s="567"/>
      <c r="J3809" s="15"/>
      <c r="N3809" s="14"/>
      <c r="O3809" s="14"/>
      <c r="P3809" s="14"/>
    </row>
    <row r="3810" spans="2:16" ht="15.75" customHeight="1">
      <c r="B3810" s="14"/>
      <c r="H3810" s="14"/>
      <c r="I3810" s="567"/>
      <c r="J3810" s="15"/>
      <c r="N3810" s="14"/>
      <c r="O3810" s="14"/>
      <c r="P3810" s="14"/>
    </row>
    <row r="3811" spans="2:16" ht="15.75" customHeight="1">
      <c r="B3811" s="14"/>
      <c r="H3811" s="14"/>
      <c r="I3811" s="567"/>
      <c r="J3811" s="15"/>
      <c r="N3811" s="14"/>
      <c r="O3811" s="14"/>
      <c r="P3811" s="14"/>
    </row>
    <row r="3812" spans="2:16" ht="15.75" customHeight="1">
      <c r="B3812" s="14"/>
      <c r="H3812" s="14"/>
      <c r="I3812" s="567"/>
      <c r="J3812" s="15"/>
      <c r="N3812" s="14"/>
      <c r="O3812" s="14"/>
      <c r="P3812" s="14"/>
    </row>
    <row r="3813" spans="2:16" ht="15.75" customHeight="1">
      <c r="B3813" s="14"/>
      <c r="H3813" s="14"/>
      <c r="I3813" s="567"/>
      <c r="J3813" s="15"/>
      <c r="N3813" s="14"/>
      <c r="O3813" s="14"/>
      <c r="P3813" s="14"/>
    </row>
    <row r="3814" spans="2:16" ht="15.75" customHeight="1">
      <c r="B3814" s="14"/>
      <c r="H3814" s="14"/>
      <c r="I3814" s="567"/>
      <c r="J3814" s="15"/>
      <c r="N3814" s="14"/>
      <c r="O3814" s="14"/>
      <c r="P3814" s="14"/>
    </row>
    <row r="3815" spans="2:16" ht="15.75" customHeight="1">
      <c r="B3815" s="14"/>
      <c r="H3815" s="14"/>
      <c r="I3815" s="567"/>
      <c r="J3815" s="15"/>
      <c r="N3815" s="14"/>
      <c r="O3815" s="14"/>
      <c r="P3815" s="14"/>
    </row>
    <row r="3816" spans="2:16" ht="15.75" customHeight="1">
      <c r="B3816" s="14"/>
      <c r="H3816" s="14"/>
      <c r="I3816" s="567"/>
      <c r="J3816" s="15"/>
      <c r="N3816" s="14"/>
      <c r="O3816" s="14"/>
      <c r="P3816" s="14"/>
    </row>
    <row r="3817" spans="2:16" ht="15.75" customHeight="1">
      <c r="B3817" s="14"/>
      <c r="H3817" s="14"/>
      <c r="I3817" s="567"/>
      <c r="J3817" s="15"/>
      <c r="N3817" s="14"/>
      <c r="O3817" s="14"/>
      <c r="P3817" s="14"/>
    </row>
    <row r="3818" spans="2:16" ht="15.75" customHeight="1">
      <c r="B3818" s="14"/>
      <c r="H3818" s="14"/>
      <c r="I3818" s="567"/>
      <c r="J3818" s="15"/>
      <c r="N3818" s="14"/>
      <c r="O3818" s="14"/>
      <c r="P3818" s="14"/>
    </row>
    <row r="3819" spans="2:16" ht="15.75" customHeight="1">
      <c r="B3819" s="14"/>
      <c r="H3819" s="14"/>
      <c r="I3819" s="567"/>
      <c r="J3819" s="15"/>
      <c r="N3819" s="14"/>
      <c r="O3819" s="14"/>
      <c r="P3819" s="14"/>
    </row>
    <row r="3820" spans="2:16" ht="15.75" customHeight="1">
      <c r="B3820" s="14"/>
      <c r="H3820" s="14"/>
      <c r="I3820" s="567"/>
      <c r="J3820" s="15"/>
      <c r="N3820" s="14"/>
      <c r="O3820" s="14"/>
      <c r="P3820" s="14"/>
    </row>
    <row r="3821" spans="2:16" ht="15.75" customHeight="1">
      <c r="B3821" s="14"/>
      <c r="H3821" s="14"/>
      <c r="I3821" s="567"/>
      <c r="J3821" s="15"/>
      <c r="N3821" s="14"/>
      <c r="O3821" s="14"/>
      <c r="P3821" s="14"/>
    </row>
    <row r="3822" spans="2:16" ht="15.75" customHeight="1">
      <c r="B3822" s="14"/>
      <c r="H3822" s="14"/>
      <c r="I3822" s="567"/>
      <c r="J3822" s="15"/>
      <c r="N3822" s="14"/>
      <c r="O3822" s="14"/>
      <c r="P3822" s="14"/>
    </row>
    <row r="3823" spans="2:16" ht="15.75" customHeight="1">
      <c r="B3823" s="14"/>
      <c r="H3823" s="14"/>
      <c r="I3823" s="567"/>
      <c r="J3823" s="15"/>
      <c r="N3823" s="14"/>
      <c r="O3823" s="14"/>
      <c r="P3823" s="14"/>
    </row>
    <row r="3824" spans="2:16" ht="15.75" customHeight="1">
      <c r="B3824" s="14"/>
      <c r="H3824" s="14"/>
      <c r="I3824" s="567"/>
      <c r="J3824" s="15"/>
      <c r="N3824" s="14"/>
      <c r="O3824" s="14"/>
      <c r="P3824" s="14"/>
    </row>
    <row r="3825" spans="2:16" ht="15.75" customHeight="1">
      <c r="B3825" s="14"/>
      <c r="H3825" s="14"/>
      <c r="I3825" s="567"/>
      <c r="J3825" s="15"/>
      <c r="N3825" s="14"/>
      <c r="O3825" s="14"/>
      <c r="P3825" s="14"/>
    </row>
    <row r="3826" spans="2:16" ht="15.75" customHeight="1">
      <c r="B3826" s="14"/>
      <c r="H3826" s="14"/>
      <c r="I3826" s="567"/>
      <c r="J3826" s="15"/>
      <c r="N3826" s="14"/>
      <c r="O3826" s="14"/>
      <c r="P3826" s="14"/>
    </row>
    <row r="3827" spans="2:16" ht="15.75" customHeight="1">
      <c r="B3827" s="14"/>
      <c r="H3827" s="14"/>
      <c r="I3827" s="567"/>
      <c r="J3827" s="15"/>
      <c r="N3827" s="14"/>
      <c r="O3827" s="14"/>
      <c r="P3827" s="14"/>
    </row>
    <row r="3828" spans="2:16" ht="15.75" customHeight="1">
      <c r="B3828" s="14"/>
      <c r="H3828" s="14"/>
      <c r="I3828" s="567"/>
      <c r="J3828" s="15"/>
      <c r="N3828" s="14"/>
      <c r="O3828" s="14"/>
      <c r="P3828" s="14"/>
    </row>
    <row r="3829" spans="2:16" ht="15.75" customHeight="1">
      <c r="B3829" s="14"/>
      <c r="H3829" s="14"/>
      <c r="I3829" s="567"/>
      <c r="J3829" s="15"/>
      <c r="N3829" s="14"/>
      <c r="O3829" s="14"/>
      <c r="P3829" s="14"/>
    </row>
    <row r="3830" spans="2:16" ht="15.75" customHeight="1">
      <c r="B3830" s="14"/>
      <c r="H3830" s="14"/>
      <c r="I3830" s="567"/>
      <c r="J3830" s="15"/>
      <c r="N3830" s="14"/>
      <c r="O3830" s="14"/>
      <c r="P3830" s="14"/>
    </row>
    <row r="3831" spans="2:16" ht="15.75" customHeight="1">
      <c r="B3831" s="14"/>
      <c r="H3831" s="14"/>
      <c r="I3831" s="567"/>
      <c r="J3831" s="15"/>
      <c r="N3831" s="14"/>
      <c r="O3831" s="14"/>
      <c r="P3831" s="14"/>
    </row>
    <row r="3832" spans="2:16" ht="15.75" customHeight="1">
      <c r="B3832" s="14"/>
      <c r="H3832" s="14"/>
      <c r="I3832" s="567"/>
      <c r="J3832" s="15"/>
      <c r="N3832" s="14"/>
      <c r="O3832" s="14"/>
      <c r="P3832" s="14"/>
    </row>
    <row r="3833" spans="2:16" ht="15.75" customHeight="1">
      <c r="B3833" s="14"/>
      <c r="H3833" s="14"/>
      <c r="I3833" s="567"/>
      <c r="J3833" s="15"/>
      <c r="N3833" s="14"/>
      <c r="O3833" s="14"/>
      <c r="P3833" s="14"/>
    </row>
    <row r="3834" spans="2:16" ht="15.75" customHeight="1">
      <c r="B3834" s="14"/>
      <c r="H3834" s="14"/>
      <c r="I3834" s="567"/>
      <c r="J3834" s="15"/>
      <c r="N3834" s="14"/>
      <c r="O3834" s="14"/>
      <c r="P3834" s="14"/>
    </row>
    <row r="3835" spans="2:16" ht="15.75" customHeight="1">
      <c r="B3835" s="14"/>
      <c r="H3835" s="14"/>
      <c r="I3835" s="567"/>
      <c r="J3835" s="15"/>
      <c r="N3835" s="14"/>
      <c r="O3835" s="14"/>
      <c r="P3835" s="14"/>
    </row>
    <row r="3836" spans="2:16" ht="15.75" customHeight="1">
      <c r="B3836" s="14"/>
      <c r="H3836" s="14"/>
      <c r="I3836" s="567"/>
      <c r="J3836" s="15"/>
      <c r="N3836" s="14"/>
      <c r="O3836" s="14"/>
      <c r="P3836" s="14"/>
    </row>
    <row r="3837" spans="2:16" ht="15.75" customHeight="1">
      <c r="B3837" s="14"/>
      <c r="H3837" s="14"/>
      <c r="I3837" s="567"/>
      <c r="J3837" s="15"/>
      <c r="N3837" s="14"/>
      <c r="O3837" s="14"/>
      <c r="P3837" s="14"/>
    </row>
    <row r="3838" spans="2:16" ht="15.75" customHeight="1">
      <c r="B3838" s="14"/>
      <c r="H3838" s="14"/>
      <c r="I3838" s="567"/>
      <c r="J3838" s="15"/>
      <c r="N3838" s="14"/>
      <c r="O3838" s="14"/>
      <c r="P3838" s="14"/>
    </row>
    <row r="3839" spans="2:16" ht="15.75" customHeight="1">
      <c r="B3839" s="14"/>
      <c r="H3839" s="14"/>
      <c r="I3839" s="567"/>
      <c r="J3839" s="15"/>
      <c r="N3839" s="14"/>
      <c r="O3839" s="14"/>
      <c r="P3839" s="14"/>
    </row>
    <row r="3840" spans="2:16" ht="15.75" customHeight="1">
      <c r="B3840" s="14"/>
      <c r="H3840" s="14"/>
      <c r="I3840" s="567"/>
      <c r="J3840" s="15"/>
      <c r="N3840" s="14"/>
      <c r="O3840" s="14"/>
      <c r="P3840" s="14"/>
    </row>
    <row r="3841" spans="2:16" ht="15.75" customHeight="1">
      <c r="B3841" s="14"/>
      <c r="H3841" s="14"/>
      <c r="I3841" s="567"/>
      <c r="J3841" s="15"/>
      <c r="N3841" s="14"/>
      <c r="O3841" s="14"/>
      <c r="P3841" s="14"/>
    </row>
    <row r="3842" spans="2:16" ht="15.75" customHeight="1">
      <c r="B3842" s="14"/>
      <c r="H3842" s="14"/>
      <c r="I3842" s="567"/>
      <c r="J3842" s="15"/>
      <c r="N3842" s="14"/>
      <c r="O3842" s="14"/>
      <c r="P3842" s="14"/>
    </row>
    <row r="3843" spans="2:16" ht="15.75" customHeight="1">
      <c r="B3843" s="14"/>
      <c r="H3843" s="14"/>
      <c r="I3843" s="567"/>
      <c r="J3843" s="15"/>
      <c r="N3843" s="14"/>
      <c r="O3843" s="14"/>
      <c r="P3843" s="14"/>
    </row>
    <row r="3844" spans="2:16" ht="15.75" customHeight="1">
      <c r="B3844" s="14"/>
      <c r="H3844" s="14"/>
      <c r="I3844" s="567"/>
      <c r="J3844" s="15"/>
      <c r="N3844" s="14"/>
      <c r="O3844" s="14"/>
      <c r="P3844" s="14"/>
    </row>
    <row r="3845" spans="2:16" ht="15.75" customHeight="1">
      <c r="B3845" s="14"/>
      <c r="H3845" s="14"/>
      <c r="I3845" s="567"/>
      <c r="J3845" s="15"/>
      <c r="N3845" s="14"/>
      <c r="O3845" s="14"/>
      <c r="P3845" s="14"/>
    </row>
    <row r="3846" spans="2:16" ht="15.75" customHeight="1">
      <c r="B3846" s="14"/>
      <c r="H3846" s="14"/>
      <c r="I3846" s="567"/>
      <c r="J3846" s="15"/>
      <c r="N3846" s="14"/>
      <c r="O3846" s="14"/>
      <c r="P3846" s="14"/>
    </row>
    <row r="3847" spans="2:16" ht="15.75" customHeight="1">
      <c r="B3847" s="14"/>
      <c r="H3847" s="14"/>
      <c r="I3847" s="567"/>
      <c r="J3847" s="15"/>
      <c r="N3847" s="14"/>
      <c r="O3847" s="14"/>
      <c r="P3847" s="14"/>
    </row>
    <row r="3848" spans="2:16" ht="15.75" customHeight="1">
      <c r="B3848" s="14"/>
      <c r="H3848" s="14"/>
      <c r="I3848" s="567"/>
      <c r="J3848" s="15"/>
      <c r="N3848" s="14"/>
      <c r="O3848" s="14"/>
      <c r="P3848" s="14"/>
    </row>
    <row r="3849" spans="2:16" ht="15.75" customHeight="1">
      <c r="B3849" s="14"/>
      <c r="H3849" s="14"/>
      <c r="I3849" s="567"/>
      <c r="J3849" s="15"/>
      <c r="N3849" s="14"/>
      <c r="O3849" s="14"/>
      <c r="P3849" s="14"/>
    </row>
    <row r="3850" spans="2:16" ht="15.75" customHeight="1">
      <c r="B3850" s="14"/>
      <c r="H3850" s="14"/>
      <c r="I3850" s="567"/>
      <c r="J3850" s="15"/>
      <c r="N3850" s="14"/>
      <c r="O3850" s="14"/>
      <c r="P3850" s="14"/>
    </row>
    <row r="3851" spans="2:16" ht="15.75" customHeight="1">
      <c r="B3851" s="14"/>
      <c r="H3851" s="14"/>
      <c r="I3851" s="567"/>
      <c r="J3851" s="15"/>
      <c r="N3851" s="14"/>
      <c r="O3851" s="14"/>
      <c r="P3851" s="14"/>
    </row>
    <row r="3852" spans="2:16" ht="15.75" customHeight="1">
      <c r="B3852" s="14"/>
      <c r="H3852" s="14"/>
      <c r="I3852" s="567"/>
      <c r="J3852" s="15"/>
      <c r="N3852" s="14"/>
      <c r="O3852" s="14"/>
      <c r="P3852" s="14"/>
    </row>
    <row r="3853" spans="2:16" ht="15.75" customHeight="1">
      <c r="B3853" s="14"/>
      <c r="H3853" s="14"/>
      <c r="I3853" s="567"/>
      <c r="J3853" s="15"/>
      <c r="N3853" s="14"/>
      <c r="O3853" s="14"/>
      <c r="P3853" s="14"/>
    </row>
    <row r="3854" spans="2:16" ht="15.75" customHeight="1">
      <c r="B3854" s="14"/>
      <c r="H3854" s="14"/>
      <c r="I3854" s="567"/>
      <c r="J3854" s="15"/>
      <c r="N3854" s="14"/>
      <c r="O3854" s="14"/>
      <c r="P3854" s="14"/>
    </row>
    <row r="3855" spans="2:16" ht="15.75" customHeight="1">
      <c r="B3855" s="14"/>
      <c r="H3855" s="14"/>
      <c r="I3855" s="567"/>
      <c r="J3855" s="15"/>
      <c r="N3855" s="14"/>
      <c r="O3855" s="14"/>
      <c r="P3855" s="14"/>
    </row>
    <row r="3856" spans="2:16" ht="15.75" customHeight="1">
      <c r="B3856" s="14"/>
      <c r="H3856" s="14"/>
      <c r="I3856" s="567"/>
      <c r="J3856" s="15"/>
      <c r="N3856" s="14"/>
      <c r="O3856" s="14"/>
      <c r="P3856" s="14"/>
    </row>
    <row r="3857" spans="2:16" ht="15.75" customHeight="1">
      <c r="B3857" s="14"/>
      <c r="H3857" s="14"/>
      <c r="I3857" s="567"/>
      <c r="J3857" s="15"/>
      <c r="N3857" s="14"/>
      <c r="O3857" s="14"/>
      <c r="P3857" s="14"/>
    </row>
    <row r="3858" spans="2:16" ht="15.75" customHeight="1">
      <c r="B3858" s="14"/>
      <c r="H3858" s="14"/>
      <c r="I3858" s="567"/>
      <c r="J3858" s="15"/>
      <c r="N3858" s="14"/>
      <c r="O3858" s="14"/>
      <c r="P3858" s="14"/>
    </row>
    <row r="3859" spans="2:16" ht="15.75" customHeight="1">
      <c r="B3859" s="14"/>
      <c r="H3859" s="14"/>
      <c r="I3859" s="567"/>
      <c r="J3859" s="15"/>
      <c r="N3859" s="14"/>
      <c r="O3859" s="14"/>
      <c r="P3859" s="14"/>
    </row>
    <row r="3860" spans="2:16" ht="15.75" customHeight="1">
      <c r="B3860" s="14"/>
      <c r="H3860" s="14"/>
      <c r="I3860" s="567"/>
      <c r="J3860" s="15"/>
      <c r="N3860" s="14"/>
      <c r="O3860" s="14"/>
      <c r="P3860" s="14"/>
    </row>
    <row r="3861" spans="2:16" ht="15.75" customHeight="1">
      <c r="B3861" s="14"/>
      <c r="H3861" s="14"/>
      <c r="I3861" s="567"/>
      <c r="J3861" s="15"/>
      <c r="N3861" s="14"/>
      <c r="O3861" s="14"/>
      <c r="P3861" s="14"/>
    </row>
    <row r="3862" spans="2:16" ht="15.75" customHeight="1">
      <c r="B3862" s="14"/>
      <c r="H3862" s="14"/>
      <c r="I3862" s="567"/>
      <c r="J3862" s="15"/>
      <c r="N3862" s="14"/>
      <c r="O3862" s="14"/>
      <c r="P3862" s="14"/>
    </row>
    <row r="3863" spans="2:16" ht="15.75" customHeight="1">
      <c r="B3863" s="14"/>
      <c r="H3863" s="14"/>
      <c r="I3863" s="567"/>
      <c r="J3863" s="15"/>
      <c r="N3863" s="14"/>
      <c r="O3863" s="14"/>
      <c r="P3863" s="14"/>
    </row>
    <row r="3864" spans="2:16" ht="15.75" customHeight="1">
      <c r="B3864" s="14"/>
      <c r="H3864" s="14"/>
      <c r="I3864" s="567"/>
      <c r="J3864" s="15"/>
      <c r="N3864" s="14"/>
      <c r="O3864" s="14"/>
      <c r="P3864" s="14"/>
    </row>
    <row r="3865" spans="2:16" ht="15.75" customHeight="1">
      <c r="B3865" s="14"/>
      <c r="H3865" s="14"/>
      <c r="I3865" s="567"/>
      <c r="J3865" s="15"/>
      <c r="N3865" s="14"/>
      <c r="O3865" s="14"/>
      <c r="P3865" s="14"/>
    </row>
    <row r="3866" spans="2:16" ht="15.75" customHeight="1">
      <c r="B3866" s="14"/>
      <c r="H3866" s="14"/>
      <c r="I3866" s="567"/>
      <c r="J3866" s="15"/>
      <c r="N3866" s="14"/>
      <c r="O3866" s="14"/>
      <c r="P3866" s="14"/>
    </row>
    <row r="3867" spans="2:16" ht="15.75" customHeight="1">
      <c r="B3867" s="14"/>
      <c r="H3867" s="14"/>
      <c r="I3867" s="567"/>
      <c r="J3867" s="15"/>
      <c r="N3867" s="14"/>
      <c r="O3867" s="14"/>
      <c r="P3867" s="14"/>
    </row>
    <row r="3868" spans="2:16" ht="15.75" customHeight="1">
      <c r="B3868" s="14"/>
      <c r="H3868" s="14"/>
      <c r="I3868" s="567"/>
      <c r="J3868" s="15"/>
      <c r="N3868" s="14"/>
      <c r="O3868" s="14"/>
      <c r="P3868" s="14"/>
    </row>
    <row r="3869" spans="2:16" ht="15.75" customHeight="1">
      <c r="B3869" s="14"/>
      <c r="H3869" s="14"/>
      <c r="I3869" s="567"/>
      <c r="J3869" s="15"/>
      <c r="N3869" s="14"/>
      <c r="O3869" s="14"/>
      <c r="P3869" s="14"/>
    </row>
    <row r="3870" spans="2:16" ht="15.75" customHeight="1">
      <c r="B3870" s="14"/>
      <c r="H3870" s="14"/>
      <c r="I3870" s="567"/>
      <c r="J3870" s="15"/>
      <c r="N3870" s="14"/>
      <c r="O3870" s="14"/>
      <c r="P3870" s="14"/>
    </row>
    <row r="3871" spans="2:16" ht="15.75" customHeight="1">
      <c r="B3871" s="14"/>
      <c r="H3871" s="14"/>
      <c r="I3871" s="567"/>
      <c r="J3871" s="15"/>
      <c r="N3871" s="14"/>
      <c r="O3871" s="14"/>
      <c r="P3871" s="14"/>
    </row>
    <row r="3872" spans="2:16" ht="15.75" customHeight="1">
      <c r="B3872" s="14"/>
      <c r="H3872" s="14"/>
      <c r="I3872" s="567"/>
      <c r="J3872" s="15"/>
      <c r="N3872" s="14"/>
      <c r="O3872" s="14"/>
      <c r="P3872" s="14"/>
    </row>
    <row r="3873" spans="2:16" ht="15.75" customHeight="1">
      <c r="B3873" s="14"/>
      <c r="H3873" s="14"/>
      <c r="I3873" s="567"/>
      <c r="J3873" s="15"/>
      <c r="N3873" s="14"/>
      <c r="O3873" s="14"/>
      <c r="P3873" s="14"/>
    </row>
    <row r="3874" spans="2:16" ht="15.75" customHeight="1">
      <c r="B3874" s="14"/>
      <c r="H3874" s="14"/>
      <c r="I3874" s="567"/>
      <c r="J3874" s="15"/>
      <c r="N3874" s="14"/>
      <c r="O3874" s="14"/>
      <c r="P3874" s="14"/>
    </row>
    <row r="3875" spans="2:16" ht="15.75" customHeight="1">
      <c r="B3875" s="14"/>
      <c r="H3875" s="14"/>
      <c r="I3875" s="567"/>
      <c r="J3875" s="15"/>
      <c r="N3875" s="14"/>
      <c r="O3875" s="14"/>
      <c r="P3875" s="14"/>
    </row>
    <row r="3876" spans="2:16" ht="15.75" customHeight="1">
      <c r="B3876" s="14"/>
      <c r="H3876" s="14"/>
      <c r="I3876" s="567"/>
      <c r="J3876" s="15"/>
      <c r="N3876" s="14"/>
      <c r="O3876" s="14"/>
      <c r="P3876" s="14"/>
    </row>
    <row r="3877" spans="2:16" ht="15.75" customHeight="1">
      <c r="B3877" s="14"/>
      <c r="H3877" s="14"/>
      <c r="I3877" s="567"/>
      <c r="J3877" s="15"/>
      <c r="N3877" s="14"/>
      <c r="O3877" s="14"/>
      <c r="P3877" s="14"/>
    </row>
    <row r="3878" spans="2:16" ht="15.75" customHeight="1">
      <c r="B3878" s="14"/>
      <c r="H3878" s="14"/>
      <c r="I3878" s="567"/>
      <c r="J3878" s="15"/>
      <c r="N3878" s="14"/>
      <c r="O3878" s="14"/>
      <c r="P3878" s="14"/>
    </row>
    <row r="3879" spans="2:16" ht="15.75" customHeight="1">
      <c r="B3879" s="14"/>
      <c r="H3879" s="14"/>
      <c r="I3879" s="567"/>
      <c r="J3879" s="15"/>
      <c r="N3879" s="14"/>
      <c r="O3879" s="14"/>
      <c r="P3879" s="14"/>
    </row>
    <row r="3880" spans="2:16" ht="15.75" customHeight="1">
      <c r="B3880" s="14"/>
      <c r="H3880" s="14"/>
      <c r="I3880" s="567"/>
      <c r="J3880" s="15"/>
      <c r="N3880" s="14"/>
      <c r="O3880" s="14"/>
      <c r="P3880" s="14"/>
    </row>
    <row r="3881" spans="2:16" ht="15.75" customHeight="1">
      <c r="B3881" s="14"/>
      <c r="H3881" s="14"/>
      <c r="I3881" s="567"/>
      <c r="J3881" s="15"/>
      <c r="N3881" s="14"/>
      <c r="O3881" s="14"/>
      <c r="P3881" s="14"/>
    </row>
    <row r="3882" spans="2:16" ht="15.75" customHeight="1">
      <c r="B3882" s="14"/>
      <c r="H3882" s="14"/>
      <c r="I3882" s="567"/>
      <c r="J3882" s="15"/>
      <c r="N3882" s="14"/>
      <c r="O3882" s="14"/>
      <c r="P3882" s="14"/>
    </row>
    <row r="3883" spans="2:16" ht="15.75" customHeight="1">
      <c r="B3883" s="14"/>
      <c r="H3883" s="14"/>
      <c r="I3883" s="567"/>
      <c r="J3883" s="15"/>
      <c r="N3883" s="14"/>
      <c r="O3883" s="14"/>
      <c r="P3883" s="14"/>
    </row>
    <row r="3884" spans="2:16" ht="15.75" customHeight="1">
      <c r="B3884" s="14"/>
      <c r="H3884" s="14"/>
      <c r="I3884" s="567"/>
      <c r="J3884" s="15"/>
      <c r="N3884" s="14"/>
      <c r="O3884" s="14"/>
      <c r="P3884" s="14"/>
    </row>
    <row r="3885" spans="2:16" ht="15.75" customHeight="1">
      <c r="B3885" s="14"/>
      <c r="H3885" s="14"/>
      <c r="I3885" s="567"/>
      <c r="J3885" s="15"/>
      <c r="N3885" s="14"/>
      <c r="O3885" s="14"/>
      <c r="P3885" s="14"/>
    </row>
    <row r="3886" spans="2:16" ht="15.75" customHeight="1">
      <c r="B3886" s="14"/>
      <c r="H3886" s="14"/>
      <c r="I3886" s="567"/>
      <c r="J3886" s="15"/>
      <c r="N3886" s="14"/>
      <c r="O3886" s="14"/>
      <c r="P3886" s="14"/>
    </row>
    <row r="3887" spans="2:16" ht="15.75" customHeight="1">
      <c r="B3887" s="14"/>
      <c r="H3887" s="14"/>
      <c r="I3887" s="567"/>
      <c r="J3887" s="15"/>
      <c r="N3887" s="14"/>
      <c r="O3887" s="14"/>
      <c r="P3887" s="14"/>
    </row>
    <row r="3888" spans="2:16" ht="15.75" customHeight="1">
      <c r="B3888" s="14"/>
      <c r="H3888" s="14"/>
      <c r="I3888" s="567"/>
      <c r="J3888" s="15"/>
      <c r="N3888" s="14"/>
      <c r="O3888" s="14"/>
      <c r="P3888" s="14"/>
    </row>
    <row r="3889" spans="2:16" ht="15.75" customHeight="1">
      <c r="B3889" s="14"/>
      <c r="H3889" s="14"/>
      <c r="I3889" s="567"/>
      <c r="J3889" s="15"/>
      <c r="N3889" s="14"/>
      <c r="O3889" s="14"/>
      <c r="P3889" s="14"/>
    </row>
    <row r="3890" spans="2:16" ht="15.75" customHeight="1">
      <c r="B3890" s="14"/>
      <c r="H3890" s="14"/>
      <c r="I3890" s="567"/>
      <c r="J3890" s="15"/>
      <c r="N3890" s="14"/>
      <c r="O3890" s="14"/>
      <c r="P3890" s="14"/>
    </row>
    <row r="3891" spans="2:16" ht="15.75" customHeight="1">
      <c r="B3891" s="14"/>
      <c r="H3891" s="14"/>
      <c r="I3891" s="567"/>
      <c r="J3891" s="15"/>
      <c r="N3891" s="14"/>
      <c r="O3891" s="14"/>
      <c r="P3891" s="14"/>
    </row>
    <row r="3892" spans="2:16" ht="15.75" customHeight="1">
      <c r="B3892" s="14"/>
      <c r="H3892" s="14"/>
      <c r="I3892" s="567"/>
      <c r="J3892" s="15"/>
      <c r="N3892" s="14"/>
      <c r="O3892" s="14"/>
      <c r="P3892" s="14"/>
    </row>
    <row r="3893" spans="2:16" ht="15.75" customHeight="1">
      <c r="B3893" s="14"/>
      <c r="H3893" s="14"/>
      <c r="I3893" s="567"/>
      <c r="J3893" s="15"/>
      <c r="N3893" s="14"/>
      <c r="O3893" s="14"/>
      <c r="P3893" s="14"/>
    </row>
    <row r="3894" spans="2:16" ht="15.75" customHeight="1">
      <c r="B3894" s="14"/>
      <c r="H3894" s="14"/>
      <c r="I3894" s="567"/>
      <c r="J3894" s="15"/>
      <c r="N3894" s="14"/>
      <c r="O3894" s="14"/>
      <c r="P3894" s="14"/>
    </row>
    <row r="3895" spans="2:16" ht="15.75" customHeight="1">
      <c r="B3895" s="14"/>
      <c r="H3895" s="14"/>
      <c r="I3895" s="567"/>
      <c r="J3895" s="15"/>
      <c r="N3895" s="14"/>
      <c r="O3895" s="14"/>
      <c r="P3895" s="14"/>
    </row>
    <row r="3896" spans="2:16" ht="15.75" customHeight="1">
      <c r="B3896" s="14"/>
      <c r="H3896" s="14"/>
      <c r="I3896" s="567"/>
      <c r="J3896" s="15"/>
      <c r="N3896" s="14"/>
      <c r="O3896" s="14"/>
      <c r="P3896" s="14"/>
    </row>
    <row r="3897" spans="2:16" ht="15.75" customHeight="1">
      <c r="B3897" s="14"/>
      <c r="H3897" s="14"/>
      <c r="I3897" s="567"/>
      <c r="J3897" s="15"/>
      <c r="N3897" s="14"/>
      <c r="O3897" s="14"/>
      <c r="P3897" s="14"/>
    </row>
    <row r="3898" spans="2:16" ht="15.75" customHeight="1">
      <c r="B3898" s="14"/>
      <c r="H3898" s="14"/>
      <c r="I3898" s="567"/>
      <c r="J3898" s="15"/>
      <c r="N3898" s="14"/>
      <c r="O3898" s="14"/>
      <c r="P3898" s="14"/>
    </row>
    <row r="3899" spans="2:16" ht="15.75" customHeight="1">
      <c r="B3899" s="14"/>
      <c r="H3899" s="14"/>
      <c r="I3899" s="567"/>
      <c r="J3899" s="15"/>
      <c r="N3899" s="14"/>
      <c r="O3899" s="14"/>
      <c r="P3899" s="14"/>
    </row>
    <row r="3900" spans="2:16" ht="15.75" customHeight="1">
      <c r="B3900" s="14"/>
      <c r="H3900" s="14"/>
      <c r="I3900" s="567"/>
      <c r="J3900" s="15"/>
      <c r="N3900" s="14"/>
      <c r="O3900" s="14"/>
      <c r="P3900" s="14"/>
    </row>
    <row r="3901" spans="2:16" ht="15.75" customHeight="1">
      <c r="B3901" s="14"/>
      <c r="H3901" s="14"/>
      <c r="I3901" s="567"/>
      <c r="J3901" s="15"/>
      <c r="N3901" s="14"/>
      <c r="O3901" s="14"/>
      <c r="P3901" s="14"/>
    </row>
    <row r="3902" spans="2:16" ht="15.75" customHeight="1">
      <c r="B3902" s="14"/>
      <c r="H3902" s="14"/>
      <c r="I3902" s="567"/>
      <c r="J3902" s="15"/>
      <c r="N3902" s="14"/>
      <c r="O3902" s="14"/>
      <c r="P3902" s="14"/>
    </row>
    <row r="3903" spans="2:16" ht="15.75" customHeight="1">
      <c r="B3903" s="14"/>
      <c r="H3903" s="14"/>
      <c r="I3903" s="567"/>
      <c r="J3903" s="15"/>
      <c r="N3903" s="14"/>
      <c r="O3903" s="14"/>
      <c r="P3903" s="14"/>
    </row>
    <row r="3904" spans="2:16" ht="15.75" customHeight="1">
      <c r="B3904" s="14"/>
      <c r="H3904" s="14"/>
      <c r="I3904" s="567"/>
      <c r="J3904" s="15"/>
      <c r="N3904" s="14"/>
      <c r="O3904" s="14"/>
      <c r="P3904" s="14"/>
    </row>
    <row r="3905" spans="2:16" ht="15.75" customHeight="1">
      <c r="B3905" s="14"/>
      <c r="H3905" s="14"/>
      <c r="I3905" s="567"/>
      <c r="J3905" s="15"/>
      <c r="N3905" s="14"/>
      <c r="O3905" s="14"/>
      <c r="P3905" s="14"/>
    </row>
    <row r="3906" spans="2:16" ht="15.75" customHeight="1">
      <c r="B3906" s="14"/>
      <c r="H3906" s="14"/>
      <c r="I3906" s="567"/>
      <c r="J3906" s="15"/>
      <c r="N3906" s="14"/>
      <c r="O3906" s="14"/>
      <c r="P3906" s="14"/>
    </row>
    <row r="3907" spans="2:16" ht="15.75" customHeight="1">
      <c r="B3907" s="14"/>
      <c r="H3907" s="14"/>
      <c r="I3907" s="567"/>
      <c r="J3907" s="15"/>
      <c r="N3907" s="14"/>
      <c r="O3907" s="14"/>
      <c r="P3907" s="14"/>
    </row>
    <row r="3908" spans="2:16" ht="15.75" customHeight="1">
      <c r="B3908" s="14"/>
      <c r="H3908" s="14"/>
      <c r="I3908" s="567"/>
      <c r="J3908" s="15"/>
      <c r="N3908" s="14"/>
      <c r="O3908" s="14"/>
      <c r="P3908" s="14"/>
    </row>
    <row r="3909" spans="2:16" ht="15.75" customHeight="1">
      <c r="B3909" s="14"/>
      <c r="H3909" s="14"/>
      <c r="I3909" s="567"/>
      <c r="J3909" s="15"/>
      <c r="N3909" s="14"/>
      <c r="O3909" s="14"/>
      <c r="P3909" s="14"/>
    </row>
    <row r="3910" spans="2:16" ht="15.75" customHeight="1">
      <c r="B3910" s="14"/>
      <c r="H3910" s="14"/>
      <c r="I3910" s="567"/>
      <c r="J3910" s="15"/>
      <c r="N3910" s="14"/>
      <c r="O3910" s="14"/>
      <c r="P3910" s="14"/>
    </row>
    <row r="3911" spans="2:16" ht="15.75" customHeight="1">
      <c r="B3911" s="14"/>
      <c r="H3911" s="14"/>
      <c r="I3911" s="567"/>
      <c r="J3911" s="15"/>
      <c r="N3911" s="14"/>
      <c r="O3911" s="14"/>
      <c r="P3911" s="14"/>
    </row>
    <row r="3912" spans="2:16" ht="15.75" customHeight="1">
      <c r="B3912" s="14"/>
      <c r="H3912" s="14"/>
      <c r="I3912" s="567"/>
      <c r="J3912" s="15"/>
      <c r="N3912" s="14"/>
      <c r="O3912" s="14"/>
      <c r="P3912" s="14"/>
    </row>
    <row r="3913" spans="2:16" ht="15.75" customHeight="1">
      <c r="B3913" s="14"/>
      <c r="H3913" s="14"/>
      <c r="I3913" s="567"/>
      <c r="J3913" s="15"/>
      <c r="N3913" s="14"/>
      <c r="O3913" s="14"/>
      <c r="P3913" s="14"/>
    </row>
    <row r="3914" spans="2:16" ht="15.75" customHeight="1">
      <c r="B3914" s="14"/>
      <c r="H3914" s="14"/>
      <c r="I3914" s="567"/>
      <c r="J3914" s="15"/>
      <c r="N3914" s="14"/>
      <c r="O3914" s="14"/>
      <c r="P3914" s="14"/>
    </row>
    <row r="3915" spans="2:16" ht="15.75" customHeight="1">
      <c r="B3915" s="14"/>
      <c r="H3915" s="14"/>
      <c r="I3915" s="567"/>
      <c r="J3915" s="15"/>
      <c r="N3915" s="14"/>
      <c r="O3915" s="14"/>
      <c r="P3915" s="14"/>
    </row>
    <row r="3916" spans="2:16" ht="15.75" customHeight="1">
      <c r="B3916" s="14"/>
      <c r="H3916" s="14"/>
      <c r="I3916" s="567"/>
      <c r="J3916" s="15"/>
      <c r="N3916" s="14"/>
      <c r="O3916" s="14"/>
      <c r="P3916" s="14"/>
    </row>
    <row r="3917" spans="2:16" ht="15.75" customHeight="1">
      <c r="B3917" s="14"/>
      <c r="H3917" s="14"/>
      <c r="N3917" s="14"/>
      <c r="O3917" s="14"/>
      <c r="P3917" s="14"/>
    </row>
    <row r="3918" spans="2:16" ht="15.75" customHeight="1">
      <c r="B3918" s="14"/>
      <c r="H3918" s="14"/>
      <c r="I3918" s="567"/>
      <c r="J3918" s="15"/>
      <c r="N3918" s="14"/>
      <c r="O3918" s="14"/>
      <c r="P3918" s="14"/>
    </row>
    <row r="3919" spans="2:16" ht="15.75" hidden="1" customHeight="1">
      <c r="B3919" s="14"/>
      <c r="H3919" s="14"/>
      <c r="I3919" s="567"/>
      <c r="J3919" s="15"/>
      <c r="N3919" s="14"/>
      <c r="O3919" s="14"/>
      <c r="P3919" s="14"/>
    </row>
    <row r="3920" spans="2:16" ht="15.75" hidden="1" customHeight="1">
      <c r="B3920" s="14"/>
      <c r="H3920" s="14"/>
      <c r="I3920" s="567"/>
      <c r="J3920" s="15"/>
      <c r="N3920" s="14"/>
      <c r="O3920" s="14"/>
      <c r="P3920" s="14"/>
    </row>
    <row r="3921" spans="2:16" ht="15.75" hidden="1" customHeight="1">
      <c r="B3921" s="14"/>
      <c r="H3921" s="14"/>
      <c r="I3921" s="567"/>
      <c r="J3921" s="15"/>
      <c r="N3921" s="14"/>
      <c r="O3921" s="14"/>
      <c r="P3921" s="14"/>
    </row>
    <row r="3922" spans="2:16" ht="15.75" hidden="1" customHeight="1">
      <c r="B3922" s="14"/>
      <c r="H3922" s="14"/>
      <c r="I3922" s="567"/>
      <c r="J3922" s="15"/>
      <c r="N3922" s="14"/>
      <c r="O3922" s="14"/>
      <c r="P3922" s="14"/>
    </row>
    <row r="3923" spans="2:16" ht="15.75" hidden="1" customHeight="1">
      <c r="B3923" s="14"/>
      <c r="H3923" s="14"/>
      <c r="I3923" s="567"/>
      <c r="J3923" s="15"/>
      <c r="N3923" s="14"/>
      <c r="O3923" s="14"/>
      <c r="P3923" s="14"/>
    </row>
    <row r="3924" spans="2:16" ht="15.75" hidden="1" customHeight="1">
      <c r="B3924" s="14"/>
      <c r="H3924" s="14"/>
      <c r="I3924" s="567"/>
      <c r="J3924" s="15"/>
      <c r="N3924" s="14"/>
      <c r="O3924" s="14"/>
      <c r="P3924" s="14"/>
    </row>
    <row r="3925" spans="2:16" ht="15.75" hidden="1" customHeight="1">
      <c r="B3925" s="14"/>
      <c r="H3925" s="14"/>
      <c r="I3925" s="567"/>
      <c r="J3925" s="15"/>
      <c r="N3925" s="14"/>
      <c r="O3925" s="14"/>
      <c r="P3925" s="14"/>
    </row>
    <row r="3926" spans="2:16" ht="15.75" hidden="1" customHeight="1">
      <c r="B3926" s="14"/>
      <c r="H3926" s="14"/>
      <c r="I3926" s="567"/>
      <c r="J3926" s="15"/>
      <c r="N3926" s="14"/>
      <c r="O3926" s="14"/>
      <c r="P3926" s="14"/>
    </row>
    <row r="3927" spans="2:16" ht="15.75" hidden="1" customHeight="1">
      <c r="B3927" s="14"/>
      <c r="H3927" s="14"/>
      <c r="I3927" s="567"/>
      <c r="J3927" s="15"/>
      <c r="N3927" s="14"/>
      <c r="O3927" s="14"/>
      <c r="P3927" s="14"/>
    </row>
    <row r="3928" spans="2:16" ht="15.75" hidden="1" customHeight="1">
      <c r="B3928" s="14"/>
      <c r="H3928" s="14"/>
      <c r="I3928" s="567"/>
      <c r="J3928" s="15"/>
      <c r="N3928" s="14"/>
      <c r="O3928" s="14"/>
      <c r="P3928" s="14"/>
    </row>
    <row r="3929" spans="2:16" ht="15.75" hidden="1" customHeight="1">
      <c r="B3929" s="14"/>
      <c r="H3929" s="14"/>
      <c r="I3929" s="567"/>
      <c r="J3929" s="15"/>
      <c r="N3929" s="14"/>
      <c r="O3929" s="14"/>
      <c r="P3929" s="14"/>
    </row>
    <row r="3930" spans="2:16" ht="15.75" hidden="1" customHeight="1">
      <c r="B3930" s="14"/>
      <c r="H3930" s="14"/>
      <c r="I3930" s="567"/>
      <c r="J3930" s="15"/>
      <c r="N3930" s="14"/>
      <c r="O3930" s="14"/>
      <c r="P3930" s="14"/>
    </row>
    <row r="3931" spans="2:16" ht="15.75" hidden="1" customHeight="1">
      <c r="B3931" s="14"/>
      <c r="H3931" s="14"/>
      <c r="I3931" s="567"/>
      <c r="J3931" s="15"/>
      <c r="N3931" s="14"/>
      <c r="O3931" s="14"/>
      <c r="P3931" s="14"/>
    </row>
    <row r="3932" spans="2:16" ht="15.75" hidden="1" customHeight="1">
      <c r="B3932" s="14"/>
      <c r="H3932" s="14"/>
      <c r="I3932" s="567"/>
      <c r="J3932" s="15"/>
      <c r="N3932" s="14"/>
      <c r="O3932" s="14"/>
      <c r="P3932" s="14"/>
    </row>
    <row r="3933" spans="2:16" ht="15.75" hidden="1" customHeight="1">
      <c r="B3933" s="14"/>
      <c r="H3933" s="14"/>
      <c r="I3933" s="567"/>
      <c r="J3933" s="15"/>
      <c r="N3933" s="14"/>
      <c r="O3933" s="14"/>
      <c r="P3933" s="14"/>
    </row>
    <row r="3934" spans="2:16" ht="15.75" hidden="1" customHeight="1">
      <c r="B3934" s="14"/>
      <c r="H3934" s="14"/>
      <c r="I3934" s="567"/>
      <c r="J3934" s="15"/>
      <c r="N3934" s="14"/>
      <c r="O3934" s="14"/>
      <c r="P3934" s="14"/>
    </row>
    <row r="3935" spans="2:16" ht="15.75" hidden="1" customHeight="1">
      <c r="B3935" s="14"/>
      <c r="H3935" s="14"/>
      <c r="I3935" s="567"/>
      <c r="J3935" s="15"/>
      <c r="N3935" s="14"/>
      <c r="O3935" s="14"/>
      <c r="P3935" s="14"/>
    </row>
    <row r="3936" spans="2:16" ht="15.75" hidden="1" customHeight="1">
      <c r="B3936" s="14"/>
      <c r="H3936" s="14"/>
      <c r="I3936" s="567"/>
      <c r="J3936" s="15"/>
      <c r="N3936" s="14"/>
      <c r="O3936" s="14"/>
      <c r="P3936" s="14"/>
    </row>
    <row r="3937" spans="2:16" ht="15.75" hidden="1" customHeight="1">
      <c r="B3937" s="14"/>
      <c r="H3937" s="14"/>
      <c r="I3937" s="567"/>
      <c r="J3937" s="15"/>
      <c r="N3937" s="14"/>
      <c r="O3937" s="14"/>
      <c r="P3937" s="14"/>
    </row>
    <row r="3938" spans="2:16" ht="15.75" hidden="1" customHeight="1">
      <c r="B3938" s="14"/>
      <c r="H3938" s="14"/>
      <c r="I3938" s="567"/>
      <c r="J3938" s="15"/>
      <c r="N3938" s="14"/>
      <c r="O3938" s="14"/>
      <c r="P3938" s="14"/>
    </row>
    <row r="3939" spans="2:16" ht="15.75" hidden="1" customHeight="1">
      <c r="B3939" s="14"/>
      <c r="H3939" s="14"/>
      <c r="I3939" s="567"/>
      <c r="J3939" s="15"/>
      <c r="N3939" s="14"/>
      <c r="O3939" s="14"/>
      <c r="P3939" s="14"/>
    </row>
    <row r="3940" spans="2:16" ht="15.75" hidden="1" customHeight="1">
      <c r="B3940" s="14"/>
      <c r="H3940" s="14"/>
      <c r="I3940" s="567"/>
      <c r="J3940" s="15"/>
      <c r="N3940" s="14"/>
      <c r="O3940" s="14"/>
      <c r="P3940" s="14"/>
    </row>
    <row r="3941" spans="2:16" ht="15.75" hidden="1" customHeight="1">
      <c r="B3941" s="14"/>
      <c r="H3941" s="14"/>
      <c r="I3941" s="567"/>
      <c r="J3941" s="15"/>
      <c r="N3941" s="14"/>
      <c r="O3941" s="14"/>
      <c r="P3941" s="14"/>
    </row>
    <row r="3942" spans="2:16" ht="15.75" hidden="1" customHeight="1">
      <c r="B3942" s="14"/>
      <c r="H3942" s="14"/>
      <c r="I3942" s="567"/>
      <c r="J3942" s="15"/>
      <c r="N3942" s="14"/>
      <c r="O3942" s="14"/>
      <c r="P3942" s="14"/>
    </row>
    <row r="3943" spans="2:16" ht="15.75" hidden="1" customHeight="1">
      <c r="B3943" s="14"/>
      <c r="H3943" s="14"/>
      <c r="I3943" s="567"/>
      <c r="J3943" s="15"/>
      <c r="N3943" s="14"/>
      <c r="O3943" s="14"/>
      <c r="P3943" s="14"/>
    </row>
    <row r="3944" spans="2:16" ht="15.75" hidden="1" customHeight="1">
      <c r="B3944" s="14"/>
      <c r="H3944" s="14"/>
      <c r="I3944" s="567"/>
      <c r="J3944" s="15"/>
      <c r="N3944" s="14"/>
      <c r="O3944" s="14"/>
      <c r="P3944" s="14"/>
    </row>
    <row r="3945" spans="2:16" ht="15.75" hidden="1" customHeight="1">
      <c r="B3945" s="14"/>
      <c r="H3945" s="14"/>
      <c r="I3945" s="567"/>
      <c r="J3945" s="15"/>
      <c r="N3945" s="14"/>
      <c r="O3945" s="14"/>
      <c r="P3945" s="14"/>
    </row>
    <row r="3946" spans="2:16" ht="15.75" hidden="1" customHeight="1">
      <c r="B3946" s="14"/>
      <c r="H3946" s="14"/>
      <c r="I3946" s="567"/>
      <c r="J3946" s="15"/>
      <c r="N3946" s="14"/>
      <c r="O3946" s="14"/>
      <c r="P3946" s="14"/>
    </row>
    <row r="3947" spans="2:16" ht="15.75" hidden="1" customHeight="1">
      <c r="B3947" s="14"/>
      <c r="H3947" s="14"/>
      <c r="I3947" s="567"/>
      <c r="J3947" s="15"/>
      <c r="N3947" s="14"/>
      <c r="O3947" s="14"/>
      <c r="P3947" s="14"/>
    </row>
    <row r="3948" spans="2:16" ht="15.75" hidden="1" customHeight="1">
      <c r="B3948" s="14"/>
      <c r="H3948" s="14"/>
      <c r="I3948" s="567"/>
      <c r="J3948" s="15"/>
      <c r="N3948" s="14"/>
      <c r="O3948" s="14"/>
      <c r="P3948" s="14"/>
    </row>
    <row r="3949" spans="2:16" ht="15.75" hidden="1" customHeight="1">
      <c r="B3949" s="14"/>
      <c r="H3949" s="14"/>
      <c r="I3949" s="567"/>
      <c r="J3949" s="15"/>
      <c r="N3949" s="14"/>
      <c r="O3949" s="14"/>
      <c r="P3949" s="14"/>
    </row>
    <row r="3950" spans="2:16" ht="15.75" hidden="1" customHeight="1">
      <c r="B3950" s="14"/>
      <c r="H3950" s="14"/>
      <c r="I3950" s="567"/>
      <c r="J3950" s="15"/>
      <c r="N3950" s="14"/>
      <c r="O3950" s="14"/>
      <c r="P3950" s="14"/>
    </row>
    <row r="3951" spans="2:16" ht="15.75" hidden="1" customHeight="1">
      <c r="B3951" s="14"/>
      <c r="H3951" s="14"/>
      <c r="I3951" s="567"/>
      <c r="J3951" s="15"/>
      <c r="N3951" s="14"/>
      <c r="O3951" s="14"/>
      <c r="P3951" s="14"/>
    </row>
    <row r="3952" spans="2:16" ht="15.75" hidden="1" customHeight="1">
      <c r="B3952" s="14"/>
      <c r="H3952" s="14"/>
      <c r="I3952" s="567"/>
      <c r="J3952" s="15"/>
      <c r="N3952" s="14"/>
      <c r="O3952" s="14"/>
      <c r="P3952" s="14"/>
    </row>
    <row r="3953" spans="2:16" ht="15.75" hidden="1" customHeight="1">
      <c r="B3953" s="14"/>
      <c r="H3953" s="14"/>
      <c r="I3953" s="567"/>
      <c r="J3953" s="15"/>
      <c r="N3953" s="14"/>
      <c r="O3953" s="14"/>
      <c r="P3953" s="14"/>
    </row>
    <row r="3954" spans="2:16" ht="15.75" hidden="1" customHeight="1">
      <c r="B3954" s="14"/>
      <c r="H3954" s="14"/>
      <c r="I3954" s="567"/>
      <c r="J3954" s="15"/>
      <c r="N3954" s="14"/>
      <c r="O3954" s="14"/>
      <c r="P3954" s="14"/>
    </row>
    <row r="3955" spans="2:16" ht="15.75" hidden="1" customHeight="1">
      <c r="B3955" s="14"/>
      <c r="H3955" s="14"/>
      <c r="I3955" s="567"/>
      <c r="J3955" s="15"/>
      <c r="N3955" s="14"/>
      <c r="O3955" s="14"/>
      <c r="P3955" s="14"/>
    </row>
    <row r="3956" spans="2:16" ht="15.75" hidden="1" customHeight="1">
      <c r="B3956" s="14"/>
      <c r="H3956" s="14"/>
      <c r="I3956" s="567"/>
      <c r="J3956" s="15"/>
      <c r="N3956" s="14"/>
      <c r="O3956" s="14"/>
      <c r="P3956" s="14"/>
    </row>
    <row r="3957" spans="2:16" ht="15.75" hidden="1" customHeight="1">
      <c r="B3957" s="14"/>
      <c r="H3957" s="14"/>
      <c r="I3957" s="567"/>
      <c r="J3957" s="15"/>
      <c r="N3957" s="14"/>
      <c r="O3957" s="14"/>
      <c r="P3957" s="14"/>
    </row>
    <row r="3958" spans="2:16" ht="15.75" hidden="1" customHeight="1">
      <c r="B3958" s="14"/>
      <c r="H3958" s="14"/>
      <c r="I3958" s="567"/>
      <c r="J3958" s="15"/>
      <c r="N3958" s="14"/>
      <c r="O3958" s="14"/>
      <c r="P3958" s="14"/>
    </row>
    <row r="3959" spans="2:16" ht="15.75" hidden="1" customHeight="1">
      <c r="B3959" s="14"/>
      <c r="H3959" s="14"/>
      <c r="I3959" s="567"/>
      <c r="J3959" s="15"/>
      <c r="N3959" s="14"/>
      <c r="O3959" s="14"/>
      <c r="P3959" s="14"/>
    </row>
    <row r="3960" spans="2:16" ht="15.75" hidden="1" customHeight="1">
      <c r="B3960" s="14"/>
      <c r="H3960" s="14"/>
      <c r="I3960" s="567"/>
      <c r="J3960" s="15"/>
      <c r="N3960" s="14"/>
      <c r="O3960" s="14"/>
      <c r="P3960" s="14"/>
    </row>
    <row r="3961" spans="2:16" ht="15.75" hidden="1" customHeight="1">
      <c r="B3961" s="14"/>
      <c r="H3961" s="14"/>
      <c r="I3961" s="567"/>
      <c r="J3961" s="15"/>
      <c r="N3961" s="14"/>
      <c r="O3961" s="14"/>
      <c r="P3961" s="14"/>
    </row>
    <row r="3962" spans="2:16" ht="15.75" hidden="1" customHeight="1">
      <c r="B3962" s="14"/>
      <c r="H3962" s="14"/>
      <c r="I3962" s="567"/>
      <c r="J3962" s="15"/>
      <c r="N3962" s="14"/>
      <c r="O3962" s="14"/>
      <c r="P3962" s="14"/>
    </row>
    <row r="3963" spans="2:16" ht="15.75" hidden="1" customHeight="1">
      <c r="B3963" s="14"/>
      <c r="H3963" s="14"/>
      <c r="I3963" s="567"/>
      <c r="J3963" s="15"/>
      <c r="N3963" s="14"/>
      <c r="O3963" s="14"/>
      <c r="P3963" s="14"/>
    </row>
    <row r="3964" spans="2:16" ht="15.75" hidden="1" customHeight="1">
      <c r="B3964" s="14"/>
      <c r="H3964" s="14"/>
      <c r="I3964" s="567"/>
      <c r="J3964" s="15"/>
      <c r="N3964" s="14"/>
      <c r="O3964" s="14"/>
      <c r="P3964" s="14"/>
    </row>
    <row r="3965" spans="2:16" ht="15.75" hidden="1" customHeight="1">
      <c r="B3965" s="14"/>
      <c r="H3965" s="14"/>
      <c r="I3965" s="567"/>
      <c r="J3965" s="15"/>
      <c r="N3965" s="14"/>
      <c r="O3965" s="14"/>
      <c r="P3965" s="14"/>
    </row>
    <row r="3966" spans="2:16" ht="15.75" hidden="1" customHeight="1">
      <c r="B3966" s="14"/>
      <c r="H3966" s="14"/>
      <c r="I3966" s="567"/>
      <c r="J3966" s="15"/>
      <c r="N3966" s="14"/>
      <c r="O3966" s="14"/>
      <c r="P3966" s="14"/>
    </row>
    <row r="3967" spans="2:16" ht="15.75" hidden="1" customHeight="1">
      <c r="B3967" s="14"/>
      <c r="H3967" s="14"/>
      <c r="I3967" s="567"/>
      <c r="J3967" s="15"/>
      <c r="N3967" s="14"/>
      <c r="O3967" s="14"/>
      <c r="P3967" s="14"/>
    </row>
    <row r="3968" spans="2:16" ht="15.75" hidden="1" customHeight="1">
      <c r="B3968" s="14"/>
      <c r="H3968" s="14"/>
      <c r="I3968" s="567"/>
      <c r="J3968" s="15"/>
      <c r="N3968" s="14"/>
      <c r="O3968" s="14"/>
      <c r="P3968" s="14"/>
    </row>
    <row r="3969" spans="2:16" ht="15.75" hidden="1" customHeight="1">
      <c r="B3969" s="14"/>
      <c r="H3969" s="14"/>
      <c r="I3969" s="567"/>
      <c r="J3969" s="15"/>
      <c r="N3969" s="14"/>
      <c r="O3969" s="14"/>
      <c r="P3969" s="14"/>
    </row>
    <row r="3970" spans="2:16" ht="15.75" hidden="1" customHeight="1">
      <c r="B3970" s="14"/>
      <c r="H3970" s="14"/>
      <c r="I3970" s="567"/>
      <c r="J3970" s="15"/>
      <c r="N3970" s="14"/>
      <c r="O3970" s="14"/>
      <c r="P3970" s="14"/>
    </row>
    <row r="3971" spans="2:16" ht="15.75" hidden="1" customHeight="1">
      <c r="B3971" s="14"/>
      <c r="H3971" s="14"/>
      <c r="I3971" s="567"/>
      <c r="J3971" s="15"/>
      <c r="N3971" s="14"/>
      <c r="O3971" s="14"/>
      <c r="P3971" s="14"/>
    </row>
    <row r="3972" spans="2:16" ht="15.75" hidden="1" customHeight="1">
      <c r="B3972" s="14"/>
      <c r="H3972" s="14"/>
      <c r="I3972" s="567"/>
      <c r="J3972" s="15"/>
      <c r="N3972" s="14"/>
      <c r="O3972" s="14"/>
      <c r="P3972" s="14"/>
    </row>
    <row r="3973" spans="2:16" ht="15.75" hidden="1" customHeight="1">
      <c r="B3973" s="14"/>
      <c r="H3973" s="14"/>
      <c r="I3973" s="567"/>
      <c r="J3973" s="15"/>
      <c r="N3973" s="14"/>
      <c r="O3973" s="14"/>
      <c r="P3973" s="14"/>
    </row>
    <row r="3974" spans="2:16" ht="15.75" hidden="1" customHeight="1">
      <c r="B3974" s="14"/>
      <c r="H3974" s="14"/>
      <c r="I3974" s="567"/>
      <c r="J3974" s="15"/>
      <c r="N3974" s="14"/>
      <c r="O3974" s="14"/>
      <c r="P3974" s="14"/>
    </row>
    <row r="3975" spans="2:16" ht="15.75" hidden="1" customHeight="1">
      <c r="B3975" s="14"/>
      <c r="H3975" s="14"/>
      <c r="I3975" s="567"/>
      <c r="J3975" s="15"/>
      <c r="N3975" s="14"/>
      <c r="O3975" s="14"/>
      <c r="P3975" s="14"/>
    </row>
    <row r="3976" spans="2:16" ht="15.75" hidden="1" customHeight="1">
      <c r="B3976" s="14"/>
      <c r="H3976" s="14"/>
      <c r="I3976" s="567"/>
      <c r="J3976" s="15"/>
      <c r="N3976" s="14"/>
      <c r="O3976" s="14"/>
      <c r="P3976" s="14"/>
    </row>
    <row r="3977" spans="2:16" ht="15.75" hidden="1" customHeight="1">
      <c r="B3977" s="14"/>
      <c r="H3977" s="14"/>
      <c r="I3977" s="567"/>
      <c r="J3977" s="15"/>
      <c r="N3977" s="14"/>
      <c r="O3977" s="14"/>
      <c r="P3977" s="14"/>
    </row>
    <row r="3978" spans="2:16" ht="15.75" hidden="1" customHeight="1">
      <c r="B3978" s="14"/>
      <c r="H3978" s="14"/>
      <c r="I3978" s="567"/>
      <c r="J3978" s="15"/>
      <c r="N3978" s="14"/>
      <c r="O3978" s="14"/>
      <c r="P3978" s="14"/>
    </row>
    <row r="3979" spans="2:16" ht="15.75" hidden="1" customHeight="1">
      <c r="B3979" s="14"/>
      <c r="H3979" s="14"/>
      <c r="I3979" s="567"/>
      <c r="J3979" s="15"/>
      <c r="N3979" s="14"/>
      <c r="O3979" s="14"/>
      <c r="P3979" s="14"/>
    </row>
    <row r="3980" spans="2:16" ht="15.75" hidden="1" customHeight="1">
      <c r="B3980" s="14"/>
      <c r="H3980" s="14"/>
      <c r="I3980" s="567"/>
      <c r="J3980" s="15"/>
      <c r="N3980" s="14"/>
      <c r="O3980" s="14"/>
      <c r="P3980" s="14"/>
    </row>
    <row r="3981" spans="2:16" ht="15.75" hidden="1" customHeight="1">
      <c r="B3981" s="14"/>
      <c r="H3981" s="14"/>
      <c r="I3981" s="567"/>
      <c r="J3981" s="15"/>
      <c r="N3981" s="14"/>
      <c r="O3981" s="14"/>
      <c r="P3981" s="14"/>
    </row>
    <row r="3982" spans="2:16" ht="15.75" hidden="1" customHeight="1">
      <c r="B3982" s="14"/>
      <c r="H3982" s="14"/>
      <c r="I3982" s="567"/>
      <c r="J3982" s="15"/>
      <c r="N3982" s="14"/>
      <c r="O3982" s="14"/>
      <c r="P3982" s="14"/>
    </row>
    <row r="3983" spans="2:16" ht="15.75" hidden="1" customHeight="1">
      <c r="B3983" s="14"/>
      <c r="H3983" s="14"/>
      <c r="I3983" s="567"/>
      <c r="J3983" s="15"/>
      <c r="N3983" s="14"/>
      <c r="O3983" s="14"/>
      <c r="P3983" s="14"/>
    </row>
    <row r="3984" spans="2:16" ht="15.75" hidden="1" customHeight="1">
      <c r="B3984" s="14"/>
      <c r="H3984" s="14"/>
      <c r="I3984" s="567"/>
      <c r="J3984" s="15"/>
      <c r="N3984" s="14"/>
      <c r="O3984" s="14"/>
      <c r="P3984" s="14"/>
    </row>
    <row r="3985" spans="2:16" ht="15.75" hidden="1" customHeight="1">
      <c r="B3985" s="14"/>
      <c r="H3985" s="14"/>
      <c r="I3985" s="567"/>
      <c r="J3985" s="15"/>
      <c r="N3985" s="14"/>
      <c r="O3985" s="14"/>
      <c r="P3985" s="14"/>
    </row>
    <row r="3986" spans="2:16" ht="15.75" hidden="1" customHeight="1">
      <c r="B3986" s="14"/>
      <c r="H3986" s="14"/>
      <c r="I3986" s="567"/>
      <c r="J3986" s="15"/>
      <c r="N3986" s="14"/>
      <c r="O3986" s="14"/>
      <c r="P3986" s="14"/>
    </row>
    <row r="3987" spans="2:16" ht="15.75" hidden="1" customHeight="1">
      <c r="B3987" s="14"/>
      <c r="H3987" s="14"/>
      <c r="I3987" s="567"/>
      <c r="J3987" s="15"/>
      <c r="N3987" s="14"/>
      <c r="O3987" s="14"/>
      <c r="P3987" s="14"/>
    </row>
    <row r="3988" spans="2:16" ht="15.75" hidden="1" customHeight="1">
      <c r="B3988" s="14"/>
      <c r="H3988" s="14"/>
      <c r="I3988" s="567"/>
      <c r="J3988" s="15"/>
      <c r="N3988" s="14"/>
      <c r="O3988" s="14"/>
      <c r="P3988" s="14"/>
    </row>
    <row r="3989" spans="2:16" ht="15.75" hidden="1" customHeight="1">
      <c r="B3989" s="14"/>
      <c r="H3989" s="14"/>
      <c r="I3989" s="567"/>
      <c r="J3989" s="15"/>
      <c r="N3989" s="14"/>
      <c r="O3989" s="14"/>
      <c r="P3989" s="14"/>
    </row>
    <row r="3990" spans="2:16" ht="15.75" hidden="1" customHeight="1">
      <c r="B3990" s="14"/>
      <c r="H3990" s="14"/>
      <c r="I3990" s="567"/>
      <c r="J3990" s="15"/>
      <c r="N3990" s="14"/>
      <c r="O3990" s="14"/>
      <c r="P3990" s="14"/>
    </row>
    <row r="3991" spans="2:16" ht="15.75" hidden="1" customHeight="1">
      <c r="B3991" s="14"/>
      <c r="H3991" s="14"/>
      <c r="I3991" s="567"/>
      <c r="J3991" s="15"/>
      <c r="N3991" s="14"/>
      <c r="O3991" s="14"/>
      <c r="P3991" s="14"/>
    </row>
    <row r="3992" spans="2:16" ht="15.75" hidden="1" customHeight="1">
      <c r="B3992" s="14"/>
      <c r="H3992" s="14"/>
      <c r="I3992" s="567"/>
      <c r="J3992" s="15"/>
      <c r="N3992" s="14"/>
      <c r="O3992" s="14"/>
      <c r="P3992" s="14"/>
    </row>
    <row r="3993" spans="2:16" ht="15.75" hidden="1" customHeight="1">
      <c r="B3993" s="14"/>
      <c r="H3993" s="14"/>
      <c r="I3993" s="567"/>
      <c r="J3993" s="15"/>
      <c r="N3993" s="14"/>
      <c r="O3993" s="14"/>
      <c r="P3993" s="14"/>
    </row>
    <row r="3994" spans="2:16" ht="15.75" hidden="1" customHeight="1">
      <c r="B3994" s="14"/>
      <c r="H3994" s="14"/>
      <c r="I3994" s="567"/>
      <c r="J3994" s="15"/>
      <c r="N3994" s="14"/>
      <c r="O3994" s="14"/>
      <c r="P3994" s="14"/>
    </row>
    <row r="3995" spans="2:16" ht="15.75" hidden="1" customHeight="1">
      <c r="B3995" s="14"/>
      <c r="H3995" s="14"/>
      <c r="I3995" s="567"/>
      <c r="J3995" s="15"/>
      <c r="N3995" s="14"/>
      <c r="O3995" s="14"/>
      <c r="P3995" s="14"/>
    </row>
    <row r="3996" spans="2:16" ht="15.75" hidden="1" customHeight="1">
      <c r="B3996" s="14"/>
      <c r="H3996" s="14"/>
      <c r="I3996" s="567"/>
      <c r="J3996" s="15"/>
      <c r="N3996" s="14"/>
      <c r="O3996" s="14"/>
      <c r="P3996" s="14"/>
    </row>
    <row r="3997" spans="2:16" ht="15.75" hidden="1" customHeight="1">
      <c r="B3997" s="14"/>
      <c r="H3997" s="14"/>
      <c r="I3997" s="567"/>
      <c r="J3997" s="15"/>
      <c r="N3997" s="14"/>
      <c r="O3997" s="14"/>
      <c r="P3997" s="14"/>
    </row>
    <row r="3998" spans="2:16" ht="15.75" hidden="1" customHeight="1">
      <c r="B3998" s="14"/>
      <c r="H3998" s="14"/>
      <c r="I3998" s="567"/>
      <c r="J3998" s="15"/>
      <c r="N3998" s="14"/>
      <c r="O3998" s="14"/>
      <c r="P3998" s="14"/>
    </row>
    <row r="3999" spans="2:16" ht="15.75" hidden="1" customHeight="1">
      <c r="B3999" s="14"/>
      <c r="H3999" s="14"/>
      <c r="I3999" s="567"/>
      <c r="J3999" s="15"/>
      <c r="N3999" s="14"/>
      <c r="O3999" s="14"/>
      <c r="P3999" s="14"/>
    </row>
    <row r="4000" spans="2:16" ht="15.75" hidden="1" customHeight="1">
      <c r="B4000" s="14"/>
      <c r="H4000" s="14"/>
      <c r="I4000" s="567"/>
      <c r="J4000" s="15"/>
      <c r="N4000" s="14"/>
      <c r="O4000" s="14"/>
      <c r="P4000" s="14"/>
    </row>
    <row r="4001" spans="2:16" ht="15.75" hidden="1" customHeight="1">
      <c r="B4001" s="14"/>
      <c r="H4001" s="14"/>
      <c r="I4001" s="567"/>
      <c r="J4001" s="15"/>
      <c r="N4001" s="14"/>
      <c r="O4001" s="14"/>
      <c r="P4001" s="14"/>
    </row>
    <row r="4002" spans="2:16" ht="15.75" hidden="1" customHeight="1">
      <c r="B4002" s="14"/>
      <c r="H4002" s="14"/>
      <c r="I4002" s="567"/>
      <c r="J4002" s="15"/>
      <c r="N4002" s="14"/>
      <c r="O4002" s="14"/>
      <c r="P4002" s="14"/>
    </row>
    <row r="4003" spans="2:16" ht="15.75" hidden="1" customHeight="1">
      <c r="B4003" s="14"/>
      <c r="H4003" s="14"/>
      <c r="I4003" s="567"/>
      <c r="J4003" s="15"/>
      <c r="N4003" s="14"/>
      <c r="O4003" s="14"/>
      <c r="P4003" s="14"/>
    </row>
    <row r="4004" spans="2:16" ht="15.75" hidden="1" customHeight="1">
      <c r="B4004" s="14"/>
      <c r="H4004" s="14"/>
      <c r="I4004" s="567"/>
      <c r="J4004" s="15"/>
      <c r="N4004" s="14"/>
      <c r="O4004" s="14"/>
      <c r="P4004" s="14"/>
    </row>
    <row r="4005" spans="2:16" ht="15.75" hidden="1" customHeight="1">
      <c r="B4005" s="14"/>
      <c r="H4005" s="14"/>
      <c r="I4005" s="567"/>
      <c r="J4005" s="15"/>
      <c r="N4005" s="14"/>
      <c r="O4005" s="14"/>
      <c r="P4005" s="14"/>
    </row>
    <row r="4006" spans="2:16" ht="15.75" hidden="1" customHeight="1">
      <c r="B4006" s="14"/>
      <c r="H4006" s="14"/>
      <c r="I4006" s="567"/>
      <c r="J4006" s="15"/>
      <c r="N4006" s="14"/>
      <c r="O4006" s="14"/>
      <c r="P4006" s="14"/>
    </row>
    <row r="4007" spans="2:16" ht="15.75" hidden="1" customHeight="1">
      <c r="B4007" s="14"/>
      <c r="H4007" s="14"/>
      <c r="N4007" s="14"/>
      <c r="P4007" s="14"/>
    </row>
    <row r="4008" spans="2:16" ht="15.75" hidden="1" customHeight="1">
      <c r="B4008" s="14"/>
      <c r="H4008" s="14"/>
      <c r="N4008" s="14"/>
      <c r="P4008" s="14"/>
    </row>
    <row r="4009" spans="2:16" ht="15.75" hidden="1" customHeight="1">
      <c r="B4009" s="14"/>
      <c r="H4009" s="14"/>
      <c r="N4009" s="14"/>
      <c r="P4009" s="14"/>
    </row>
    <row r="4010" spans="2:16" ht="15.75" hidden="1" customHeight="1">
      <c r="B4010" s="14"/>
      <c r="H4010" s="14"/>
      <c r="N4010" s="14"/>
      <c r="P4010" s="14"/>
    </row>
    <row r="4011" spans="2:16" ht="15.75" hidden="1" customHeight="1">
      <c r="B4011" s="14"/>
      <c r="H4011" s="14"/>
      <c r="N4011" s="14"/>
      <c r="P4011" s="14"/>
    </row>
    <row r="4012" spans="2:16" ht="15.75" hidden="1" customHeight="1">
      <c r="B4012" s="14"/>
      <c r="H4012" s="14"/>
      <c r="P4012" s="14"/>
    </row>
    <row r="4013" spans="2:16" ht="15.75" hidden="1" customHeight="1">
      <c r="B4013" s="14"/>
      <c r="H4013" s="14"/>
      <c r="I4013" s="567"/>
      <c r="J4013" s="15"/>
      <c r="N4013" s="14"/>
      <c r="O4013" s="14"/>
      <c r="P4013" s="14"/>
    </row>
    <row r="4014" spans="2:16" ht="15.75" hidden="1" customHeight="1">
      <c r="B4014" s="14"/>
      <c r="H4014" s="14"/>
      <c r="I4014" s="567"/>
      <c r="J4014" s="15"/>
      <c r="N4014" s="14"/>
      <c r="O4014" s="14"/>
      <c r="P4014" s="14"/>
    </row>
    <row r="4015" spans="2:16" ht="15.75" hidden="1" customHeight="1">
      <c r="B4015" s="14"/>
      <c r="H4015" s="14"/>
      <c r="I4015" s="567"/>
      <c r="J4015" s="15"/>
      <c r="N4015" s="14"/>
      <c r="O4015" s="14"/>
      <c r="P4015" s="14"/>
    </row>
    <row r="4016" spans="2:16" ht="15.75" hidden="1" customHeight="1">
      <c r="B4016" s="14"/>
      <c r="H4016" s="14"/>
      <c r="I4016" s="567"/>
      <c r="J4016" s="15"/>
      <c r="N4016" s="14"/>
      <c r="O4016" s="14"/>
      <c r="P4016" s="14"/>
    </row>
    <row r="4017" spans="2:16" ht="15.75" hidden="1" customHeight="1">
      <c r="B4017" s="14"/>
      <c r="H4017" s="14"/>
      <c r="I4017" s="567"/>
      <c r="J4017" s="15"/>
      <c r="N4017" s="14"/>
      <c r="O4017" s="14"/>
      <c r="P4017" s="14"/>
    </row>
    <row r="4018" spans="2:16" ht="15.75" hidden="1" customHeight="1">
      <c r="B4018" s="14"/>
      <c r="H4018" s="14"/>
      <c r="I4018" s="567"/>
      <c r="J4018" s="15"/>
      <c r="N4018" s="14"/>
      <c r="O4018" s="14"/>
      <c r="P4018" s="14"/>
    </row>
    <row r="4019" spans="2:16" ht="15.75" hidden="1" customHeight="1">
      <c r="B4019" s="14"/>
      <c r="H4019" s="14"/>
      <c r="I4019" s="567"/>
      <c r="J4019" s="15"/>
      <c r="N4019" s="14"/>
      <c r="O4019" s="14"/>
      <c r="P4019" s="14"/>
    </row>
    <row r="4020" spans="2:16" ht="15.75" hidden="1" customHeight="1">
      <c r="B4020" s="14"/>
      <c r="H4020" s="14"/>
      <c r="I4020" s="567"/>
      <c r="J4020" s="15"/>
      <c r="N4020" s="14"/>
      <c r="O4020" s="14"/>
      <c r="P4020" s="14"/>
    </row>
    <row r="4021" spans="2:16" ht="15.75" hidden="1" customHeight="1">
      <c r="B4021" s="14"/>
      <c r="H4021" s="14"/>
      <c r="I4021" s="567"/>
      <c r="J4021" s="15"/>
      <c r="N4021" s="14"/>
      <c r="O4021" s="14"/>
      <c r="P4021" s="14"/>
    </row>
    <row r="4022" spans="2:16" ht="15.75" hidden="1" customHeight="1">
      <c r="B4022" s="14"/>
      <c r="H4022" s="14"/>
      <c r="I4022" s="567"/>
      <c r="J4022" s="15"/>
      <c r="N4022" s="14"/>
      <c r="O4022" s="14"/>
      <c r="P4022" s="14"/>
    </row>
    <row r="4023" spans="2:16" ht="15.75" hidden="1" customHeight="1">
      <c r="B4023" s="14"/>
      <c r="H4023" s="14"/>
      <c r="I4023" s="567"/>
      <c r="J4023" s="15"/>
      <c r="N4023" s="14"/>
      <c r="O4023" s="14"/>
      <c r="P4023" s="14"/>
    </row>
    <row r="4024" spans="2:16" ht="15.75" hidden="1" customHeight="1">
      <c r="B4024" s="14"/>
      <c r="H4024" s="14"/>
      <c r="I4024" s="567"/>
      <c r="J4024" s="15"/>
      <c r="N4024" s="14"/>
      <c r="O4024" s="14"/>
      <c r="P4024" s="14"/>
    </row>
    <row r="4025" spans="2:16" ht="15.75" hidden="1" customHeight="1">
      <c r="B4025" s="14"/>
      <c r="H4025" s="14"/>
      <c r="I4025" s="567"/>
      <c r="J4025" s="15"/>
      <c r="N4025" s="14"/>
      <c r="O4025" s="14"/>
      <c r="P4025" s="14"/>
    </row>
    <row r="4026" spans="2:16" ht="15.75" hidden="1" customHeight="1">
      <c r="B4026" s="14"/>
      <c r="H4026" s="14"/>
      <c r="I4026" s="567"/>
      <c r="J4026" s="15"/>
      <c r="N4026" s="14"/>
      <c r="O4026" s="14"/>
      <c r="P4026" s="14"/>
    </row>
    <row r="4027" spans="2:16" ht="15.75" hidden="1" customHeight="1">
      <c r="B4027" s="14"/>
      <c r="H4027" s="14"/>
      <c r="I4027" s="567"/>
      <c r="J4027" s="15"/>
      <c r="N4027" s="14"/>
      <c r="O4027" s="14"/>
      <c r="P4027" s="14"/>
    </row>
    <row r="4028" spans="2:16" ht="15.75" hidden="1" customHeight="1">
      <c r="B4028" s="14"/>
      <c r="H4028" s="14"/>
      <c r="I4028" s="567"/>
      <c r="J4028" s="15"/>
      <c r="N4028" s="14"/>
      <c r="O4028" s="14"/>
      <c r="P4028" s="14"/>
    </row>
    <row r="4029" spans="2:16" ht="15.75" hidden="1" customHeight="1">
      <c r="B4029" s="14"/>
      <c r="H4029" s="14"/>
      <c r="I4029" s="567"/>
      <c r="J4029" s="15"/>
      <c r="N4029" s="14"/>
      <c r="O4029" s="14"/>
      <c r="P4029" s="14"/>
    </row>
    <row r="4030" spans="2:16" ht="15.75" hidden="1" customHeight="1">
      <c r="B4030" s="14"/>
      <c r="H4030" s="14"/>
      <c r="I4030" s="567"/>
      <c r="J4030" s="15"/>
      <c r="N4030" s="14"/>
      <c r="O4030" s="14"/>
      <c r="P4030" s="14"/>
    </row>
    <row r="4031" spans="2:16" ht="15.75" hidden="1" customHeight="1">
      <c r="B4031" s="14"/>
      <c r="H4031" s="14"/>
      <c r="I4031" s="567"/>
      <c r="J4031" s="15"/>
      <c r="N4031" s="14"/>
      <c r="O4031" s="14"/>
      <c r="P4031" s="14"/>
    </row>
    <row r="4032" spans="2:16" ht="15.75" hidden="1" customHeight="1">
      <c r="B4032" s="14"/>
      <c r="H4032" s="14"/>
      <c r="I4032" s="567"/>
      <c r="J4032" s="15"/>
      <c r="N4032" s="14"/>
      <c r="O4032" s="14"/>
      <c r="P4032" s="14"/>
    </row>
    <row r="4033" spans="2:16" ht="15.75" hidden="1" customHeight="1">
      <c r="B4033" s="14"/>
      <c r="H4033" s="14"/>
      <c r="I4033" s="567"/>
      <c r="J4033" s="15"/>
      <c r="N4033" s="14"/>
      <c r="O4033" s="14"/>
      <c r="P4033" s="14"/>
    </row>
    <row r="4034" spans="2:16" ht="15.75" hidden="1" customHeight="1">
      <c r="B4034" s="14"/>
      <c r="H4034" s="14"/>
      <c r="I4034" s="567"/>
      <c r="J4034" s="15"/>
      <c r="N4034" s="14"/>
      <c r="O4034" s="14"/>
      <c r="P4034" s="14"/>
    </row>
    <row r="4035" spans="2:16" ht="15.75" hidden="1" customHeight="1">
      <c r="B4035" s="14"/>
      <c r="H4035" s="14"/>
      <c r="I4035" s="567"/>
      <c r="J4035" s="15"/>
      <c r="N4035" s="14"/>
      <c r="O4035" s="14"/>
      <c r="P4035" s="14"/>
    </row>
    <row r="4036" spans="2:16" ht="15.75" hidden="1" customHeight="1">
      <c r="B4036" s="14"/>
      <c r="H4036" s="14"/>
      <c r="I4036" s="567"/>
      <c r="J4036" s="15"/>
      <c r="N4036" s="14"/>
      <c r="O4036" s="14"/>
      <c r="P4036" s="14"/>
    </row>
    <row r="4037" spans="2:16" ht="15.75" hidden="1" customHeight="1">
      <c r="B4037" s="14"/>
      <c r="H4037" s="14"/>
      <c r="I4037" s="567"/>
      <c r="J4037" s="15"/>
      <c r="N4037" s="14"/>
      <c r="O4037" s="14"/>
      <c r="P4037" s="14"/>
    </row>
    <row r="4038" spans="2:16" ht="15.75" hidden="1" customHeight="1">
      <c r="B4038" s="14"/>
      <c r="H4038" s="14"/>
      <c r="I4038" s="567"/>
      <c r="J4038" s="15"/>
      <c r="N4038" s="14"/>
      <c r="O4038" s="14"/>
      <c r="P4038" s="14"/>
    </row>
    <row r="4039" spans="2:16" ht="15.75" hidden="1" customHeight="1">
      <c r="B4039" s="14"/>
      <c r="H4039" s="14"/>
      <c r="I4039" s="567"/>
      <c r="J4039" s="15"/>
      <c r="N4039" s="14"/>
      <c r="O4039" s="14"/>
      <c r="P4039" s="14"/>
    </row>
    <row r="4040" spans="2:16" ht="15.75" hidden="1" customHeight="1">
      <c r="B4040" s="14"/>
      <c r="H4040" s="14"/>
      <c r="I4040" s="567"/>
      <c r="J4040" s="15"/>
      <c r="N4040" s="14"/>
      <c r="O4040" s="14"/>
      <c r="P4040" s="14"/>
    </row>
    <row r="4041" spans="2:16" ht="15.75" hidden="1" customHeight="1">
      <c r="B4041" s="14"/>
      <c r="H4041" s="14"/>
      <c r="I4041" s="567"/>
      <c r="J4041" s="15"/>
      <c r="N4041" s="14"/>
      <c r="O4041" s="14"/>
      <c r="P4041" s="14"/>
    </row>
    <row r="4042" spans="2:16" ht="15.75" hidden="1" customHeight="1">
      <c r="B4042" s="14"/>
      <c r="H4042" s="14"/>
      <c r="I4042" s="567"/>
      <c r="J4042" s="15"/>
      <c r="N4042" s="14"/>
      <c r="O4042" s="14"/>
      <c r="P4042" s="14"/>
    </row>
    <row r="4043" spans="2:16" ht="15.75" hidden="1" customHeight="1">
      <c r="B4043" s="14"/>
      <c r="H4043" s="14"/>
      <c r="I4043" s="567"/>
      <c r="J4043" s="15"/>
      <c r="N4043" s="14"/>
      <c r="O4043" s="14"/>
      <c r="P4043" s="14"/>
    </row>
    <row r="4044" spans="2:16" ht="15.75" hidden="1" customHeight="1">
      <c r="B4044" s="14"/>
      <c r="H4044" s="14"/>
      <c r="I4044" s="567"/>
      <c r="J4044" s="15"/>
      <c r="N4044" s="14"/>
      <c r="O4044" s="14"/>
      <c r="P4044" s="14"/>
    </row>
    <row r="4045" spans="2:16" ht="15.75" hidden="1" customHeight="1">
      <c r="B4045" s="14"/>
      <c r="H4045" s="14"/>
      <c r="I4045" s="567"/>
      <c r="J4045" s="15"/>
      <c r="N4045" s="14"/>
      <c r="O4045" s="14"/>
      <c r="P4045" s="14"/>
    </row>
    <row r="4046" spans="2:16" ht="15.75" hidden="1" customHeight="1">
      <c r="B4046" s="14"/>
      <c r="H4046" s="14"/>
      <c r="I4046" s="567"/>
      <c r="J4046" s="15"/>
      <c r="N4046" s="14"/>
      <c r="O4046" s="14"/>
      <c r="P4046" s="14"/>
    </row>
    <row r="4047" spans="2:16" ht="15.75" hidden="1" customHeight="1">
      <c r="B4047" s="14"/>
      <c r="H4047" s="14"/>
      <c r="I4047" s="567"/>
      <c r="J4047" s="15"/>
      <c r="N4047" s="14"/>
      <c r="O4047" s="14"/>
      <c r="P4047" s="14"/>
    </row>
    <row r="4048" spans="2:16" ht="15.75" hidden="1" customHeight="1">
      <c r="B4048" s="14"/>
      <c r="H4048" s="14"/>
      <c r="I4048" s="567"/>
      <c r="J4048" s="15"/>
      <c r="N4048" s="14"/>
      <c r="O4048" s="14"/>
      <c r="P4048" s="14"/>
    </row>
    <row r="4049" spans="2:16" ht="15.75" hidden="1" customHeight="1">
      <c r="B4049" s="14"/>
      <c r="H4049" s="14"/>
      <c r="I4049" s="567"/>
      <c r="J4049" s="15"/>
      <c r="N4049" s="14"/>
      <c r="O4049" s="14"/>
      <c r="P4049" s="14"/>
    </row>
    <row r="4050" spans="2:16" ht="15.75" hidden="1" customHeight="1">
      <c r="B4050" s="14"/>
      <c r="H4050" s="14"/>
      <c r="I4050" s="567"/>
      <c r="J4050" s="15"/>
      <c r="N4050" s="14"/>
      <c r="O4050" s="14"/>
      <c r="P4050" s="14"/>
    </row>
    <row r="4051" spans="2:16" ht="15.75" hidden="1" customHeight="1">
      <c r="B4051" s="14"/>
      <c r="H4051" s="14"/>
      <c r="I4051" s="567"/>
      <c r="J4051" s="15"/>
      <c r="N4051" s="14"/>
      <c r="O4051" s="14"/>
      <c r="P4051" s="14"/>
    </row>
    <row r="4052" spans="2:16" ht="15.75" hidden="1" customHeight="1">
      <c r="B4052" s="14"/>
      <c r="H4052" s="14"/>
      <c r="I4052" s="567"/>
      <c r="J4052" s="15"/>
      <c r="N4052" s="14"/>
      <c r="O4052" s="14"/>
      <c r="P4052" s="14"/>
    </row>
    <row r="4053" spans="2:16" ht="15.75" hidden="1" customHeight="1">
      <c r="B4053" s="14"/>
      <c r="H4053" s="14"/>
      <c r="I4053" s="567"/>
      <c r="J4053" s="15"/>
      <c r="N4053" s="14"/>
      <c r="O4053" s="14"/>
      <c r="P4053" s="14"/>
    </row>
    <row r="4054" spans="2:16" ht="15.75" hidden="1" customHeight="1">
      <c r="B4054" s="14"/>
      <c r="H4054" s="14"/>
      <c r="I4054" s="567"/>
      <c r="J4054" s="15"/>
      <c r="N4054" s="14"/>
      <c r="O4054" s="14"/>
      <c r="P4054" s="14"/>
    </row>
    <row r="4055" spans="2:16" ht="15.75" hidden="1" customHeight="1">
      <c r="B4055" s="14"/>
      <c r="H4055" s="14"/>
      <c r="I4055" s="567"/>
      <c r="J4055" s="15"/>
      <c r="N4055" s="14"/>
      <c r="O4055" s="14"/>
      <c r="P4055" s="14"/>
    </row>
    <row r="4056" spans="2:16" ht="15.75" hidden="1" customHeight="1">
      <c r="B4056" s="14"/>
      <c r="H4056" s="14"/>
      <c r="I4056" s="567"/>
      <c r="J4056" s="15"/>
      <c r="N4056" s="14"/>
      <c r="O4056" s="14"/>
      <c r="P4056" s="14"/>
    </row>
    <row r="4057" spans="2:16" ht="15.75" hidden="1" customHeight="1">
      <c r="B4057" s="14"/>
      <c r="N4057" s="14"/>
      <c r="O4057" s="14"/>
      <c r="P4057" s="14"/>
    </row>
    <row r="4058" spans="2:16" ht="15.75" hidden="1" customHeight="1">
      <c r="B4058" s="14"/>
      <c r="N4058" s="14"/>
      <c r="O4058" s="14"/>
      <c r="P4058" s="14"/>
    </row>
    <row r="4059" spans="2:16" ht="15.75" hidden="1" customHeight="1">
      <c r="B4059" s="14"/>
      <c r="N4059" s="14"/>
      <c r="O4059" s="14"/>
      <c r="P4059" s="14"/>
    </row>
    <row r="4060" spans="2:16" ht="15.75" hidden="1" customHeight="1">
      <c r="B4060" s="14"/>
      <c r="N4060" s="14"/>
      <c r="O4060" s="14"/>
      <c r="P4060" s="14"/>
    </row>
    <row r="4061" spans="2:16" ht="15.75" hidden="1" customHeight="1">
      <c r="B4061" s="14"/>
      <c r="H4061" s="14"/>
      <c r="I4061" s="567"/>
      <c r="J4061" s="15"/>
      <c r="N4061" s="14"/>
      <c r="O4061" s="14"/>
      <c r="P4061" s="14"/>
    </row>
    <row r="4062" spans="2:16" ht="15.75" hidden="1" customHeight="1">
      <c r="B4062" s="14"/>
      <c r="H4062" s="14"/>
      <c r="I4062" s="567"/>
      <c r="J4062" s="15"/>
      <c r="N4062" s="14"/>
      <c r="O4062" s="14"/>
      <c r="P4062" s="14"/>
    </row>
    <row r="4063" spans="2:16" ht="15.75" hidden="1" customHeight="1">
      <c r="B4063" s="14"/>
      <c r="H4063" s="14"/>
      <c r="I4063" s="567"/>
      <c r="J4063" s="15"/>
      <c r="N4063" s="14"/>
      <c r="O4063" s="14"/>
      <c r="P4063" s="14"/>
    </row>
    <row r="4064" spans="2:16" ht="15.75" hidden="1" customHeight="1">
      <c r="B4064" s="14"/>
      <c r="H4064" s="14"/>
      <c r="I4064" s="567"/>
      <c r="J4064" s="15"/>
      <c r="N4064" s="14"/>
      <c r="O4064" s="14"/>
      <c r="P4064" s="14"/>
    </row>
    <row r="4065" spans="2:16" ht="15.75" hidden="1" customHeight="1">
      <c r="B4065" s="14"/>
      <c r="H4065" s="14"/>
      <c r="I4065" s="567"/>
      <c r="J4065" s="15"/>
      <c r="N4065" s="14"/>
      <c r="O4065" s="14"/>
      <c r="P4065" s="14"/>
    </row>
    <row r="4066" spans="2:16" ht="15.75" hidden="1" customHeight="1">
      <c r="B4066" s="14"/>
      <c r="H4066" s="14"/>
      <c r="I4066" s="567"/>
      <c r="J4066" s="15"/>
      <c r="N4066" s="14"/>
      <c r="O4066" s="14"/>
      <c r="P4066" s="14"/>
    </row>
    <row r="4067" spans="2:16" ht="15.75" hidden="1" customHeight="1">
      <c r="B4067" s="14"/>
      <c r="H4067" s="14"/>
      <c r="I4067" s="567"/>
      <c r="J4067" s="15"/>
      <c r="N4067" s="14"/>
      <c r="O4067" s="14"/>
      <c r="P4067" s="14"/>
    </row>
    <row r="4068" spans="2:16" ht="15.75" hidden="1" customHeight="1">
      <c r="B4068" s="14"/>
      <c r="H4068" s="14"/>
      <c r="I4068" s="567"/>
      <c r="J4068" s="15"/>
      <c r="N4068" s="14"/>
      <c r="O4068" s="14"/>
      <c r="P4068" s="14"/>
    </row>
    <row r="4069" spans="2:16" ht="15.75" hidden="1" customHeight="1">
      <c r="B4069" s="14"/>
      <c r="H4069" s="14"/>
      <c r="I4069" s="567"/>
      <c r="J4069" s="15"/>
      <c r="N4069" s="14"/>
      <c r="O4069" s="14"/>
      <c r="P4069" s="14"/>
    </row>
    <row r="4070" spans="2:16" ht="15.75" hidden="1" customHeight="1">
      <c r="B4070" s="14"/>
      <c r="H4070" s="14"/>
      <c r="I4070" s="567"/>
      <c r="J4070" s="15"/>
      <c r="N4070" s="14"/>
      <c r="O4070" s="14"/>
      <c r="P4070" s="14"/>
    </row>
    <row r="4071" spans="2:16" ht="15.75" hidden="1" customHeight="1">
      <c r="B4071" s="14"/>
      <c r="H4071" s="14"/>
      <c r="I4071" s="567"/>
      <c r="J4071" s="15"/>
      <c r="N4071" s="14"/>
      <c r="O4071" s="14"/>
      <c r="P4071" s="14"/>
    </row>
    <row r="4072" spans="2:16" ht="15.75" hidden="1" customHeight="1">
      <c r="B4072" s="14"/>
      <c r="H4072" s="14"/>
      <c r="I4072" s="567"/>
      <c r="J4072" s="15"/>
      <c r="N4072" s="14"/>
      <c r="O4072" s="14"/>
      <c r="P4072" s="14"/>
    </row>
    <row r="4073" spans="2:16" ht="15.75" hidden="1" customHeight="1">
      <c r="B4073" s="14"/>
      <c r="H4073" s="14"/>
      <c r="I4073" s="567"/>
      <c r="J4073" s="15"/>
      <c r="N4073" s="14"/>
      <c r="O4073" s="14"/>
      <c r="P4073" s="14"/>
    </row>
    <row r="4074" spans="2:16" ht="15.75" hidden="1" customHeight="1">
      <c r="B4074" s="14"/>
      <c r="N4074" s="14"/>
      <c r="O4074" s="14"/>
      <c r="P4074" s="14"/>
    </row>
    <row r="4075" spans="2:16" ht="15.75" hidden="1" customHeight="1">
      <c r="B4075" s="14"/>
      <c r="N4075" s="14"/>
      <c r="P4075" s="14"/>
    </row>
    <row r="4076" spans="2:16" ht="15.75" hidden="1" customHeight="1">
      <c r="B4076" s="14"/>
      <c r="N4076" s="14"/>
      <c r="P4076" s="14"/>
    </row>
    <row r="4077" spans="2:16" ht="15.75" hidden="1" customHeight="1">
      <c r="B4077" s="14"/>
      <c r="N4077" s="14"/>
      <c r="P4077" s="14"/>
    </row>
    <row r="4078" spans="2:16" ht="15.75" hidden="1" customHeight="1">
      <c r="B4078" s="14"/>
      <c r="N4078" s="14"/>
      <c r="O4078" s="14"/>
      <c r="P4078" s="14"/>
    </row>
    <row r="4079" spans="2:16" ht="15.75" hidden="1" customHeight="1">
      <c r="B4079" s="14"/>
      <c r="N4079" s="14"/>
      <c r="O4079" s="14"/>
      <c r="P4079" s="14"/>
    </row>
    <row r="4080" spans="2:16" ht="15.75" hidden="1" customHeight="1">
      <c r="B4080" s="14"/>
      <c r="N4080" s="14"/>
      <c r="O4080" s="14"/>
      <c r="P4080" s="14"/>
    </row>
    <row r="4081" spans="2:16" ht="15.75" hidden="1" customHeight="1">
      <c r="B4081" s="14"/>
      <c r="N4081" s="14"/>
      <c r="O4081" s="14"/>
      <c r="P4081" s="14"/>
    </row>
    <row r="4082" spans="2:16" ht="15.75" hidden="1" customHeight="1">
      <c r="B4082" s="14"/>
      <c r="N4082" s="14"/>
      <c r="O4082" s="14"/>
      <c r="P4082" s="14"/>
    </row>
    <row r="4083" spans="2:16" ht="15.75" hidden="1" customHeight="1">
      <c r="B4083" s="14"/>
      <c r="N4083" s="14"/>
      <c r="O4083" s="14"/>
      <c r="P4083" s="14"/>
    </row>
    <row r="4084" spans="2:16" ht="15.75" hidden="1" customHeight="1">
      <c r="B4084" s="14"/>
      <c r="H4084" s="14"/>
      <c r="I4084" s="567"/>
      <c r="J4084" s="15"/>
      <c r="N4084" s="14"/>
      <c r="O4084" s="14"/>
      <c r="P4084" s="14"/>
    </row>
    <row r="4085" spans="2:16" ht="15.75" hidden="1" customHeight="1">
      <c r="B4085" s="14"/>
      <c r="H4085" s="14"/>
      <c r="I4085" s="567"/>
      <c r="J4085" s="15"/>
      <c r="N4085" s="14"/>
      <c r="O4085" s="14"/>
      <c r="P4085" s="14"/>
    </row>
    <row r="4086" spans="2:16" ht="15.75" hidden="1" customHeight="1">
      <c r="B4086" s="14"/>
      <c r="H4086" s="14"/>
      <c r="I4086" s="567"/>
      <c r="J4086" s="15"/>
      <c r="N4086" s="14"/>
      <c r="O4086" s="14"/>
      <c r="P4086" s="14"/>
    </row>
    <row r="4087" spans="2:16" ht="15.75" hidden="1" customHeight="1">
      <c r="B4087" s="14"/>
      <c r="H4087" s="14"/>
      <c r="I4087" s="567"/>
      <c r="J4087" s="15"/>
      <c r="N4087" s="14"/>
      <c r="O4087" s="14"/>
      <c r="P4087" s="14"/>
    </row>
    <row r="4088" spans="2:16" ht="15.75" hidden="1" customHeight="1">
      <c r="B4088" s="14"/>
      <c r="H4088" s="14"/>
      <c r="I4088" s="567"/>
      <c r="J4088" s="15"/>
      <c r="N4088" s="14"/>
      <c r="O4088" s="14"/>
      <c r="P4088" s="14"/>
    </row>
    <row r="4089" spans="2:16" ht="15.75" hidden="1" customHeight="1">
      <c r="B4089" s="14"/>
      <c r="H4089" s="14"/>
      <c r="I4089" s="567"/>
      <c r="J4089" s="15"/>
      <c r="N4089" s="14"/>
      <c r="O4089" s="14"/>
      <c r="P4089" s="14"/>
    </row>
    <row r="4090" spans="2:16" ht="15.75" hidden="1" customHeight="1">
      <c r="B4090" s="14"/>
      <c r="H4090" s="14"/>
      <c r="I4090" s="567"/>
      <c r="J4090" s="15"/>
      <c r="N4090" s="14"/>
      <c r="O4090" s="14"/>
      <c r="P4090" s="14"/>
    </row>
    <row r="4091" spans="2:16" ht="15.75" hidden="1" customHeight="1">
      <c r="B4091" s="14"/>
      <c r="H4091" s="14"/>
      <c r="I4091" s="567"/>
      <c r="J4091" s="15"/>
      <c r="N4091" s="14"/>
      <c r="O4091" s="14"/>
      <c r="P4091" s="14"/>
    </row>
    <row r="4092" spans="2:16" ht="15.75" hidden="1" customHeight="1">
      <c r="B4092" s="14"/>
      <c r="H4092" s="14"/>
      <c r="I4092" s="567"/>
      <c r="J4092" s="15"/>
      <c r="N4092" s="14"/>
      <c r="O4092" s="14"/>
      <c r="P4092" s="14"/>
    </row>
    <row r="4093" spans="2:16" ht="15.75" hidden="1" customHeight="1">
      <c r="B4093" s="14"/>
      <c r="H4093" s="14"/>
      <c r="I4093" s="567"/>
      <c r="J4093" s="15"/>
      <c r="N4093" s="14"/>
      <c r="O4093" s="14"/>
      <c r="P4093" s="14"/>
    </row>
    <row r="4094" spans="2:16" ht="15.75" hidden="1" customHeight="1">
      <c r="B4094" s="14"/>
      <c r="H4094" s="14"/>
      <c r="I4094" s="567"/>
      <c r="J4094" s="15"/>
      <c r="N4094" s="14"/>
      <c r="O4094" s="14"/>
      <c r="P4094" s="14"/>
    </row>
    <row r="4095" spans="2:16" ht="15.75" hidden="1" customHeight="1">
      <c r="B4095" s="14"/>
      <c r="H4095" s="14"/>
      <c r="I4095" s="567"/>
      <c r="J4095" s="15"/>
      <c r="N4095" s="14"/>
      <c r="O4095" s="14"/>
      <c r="P4095" s="14"/>
    </row>
    <row r="4096" spans="2:16" ht="15.75" hidden="1" customHeight="1">
      <c r="B4096" s="14"/>
      <c r="H4096" s="14"/>
      <c r="I4096" s="567"/>
      <c r="J4096" s="15"/>
      <c r="N4096" s="14"/>
      <c r="O4096" s="14"/>
      <c r="P4096" s="14"/>
    </row>
    <row r="4097" spans="2:16" ht="15.75" hidden="1" customHeight="1">
      <c r="B4097" s="14"/>
      <c r="H4097" s="14"/>
      <c r="I4097" s="567"/>
      <c r="J4097" s="15"/>
      <c r="N4097" s="14"/>
      <c r="O4097" s="14"/>
      <c r="P4097" s="14"/>
    </row>
    <row r="4098" spans="2:16" ht="15.75" hidden="1" customHeight="1">
      <c r="B4098" s="14"/>
      <c r="H4098" s="14"/>
      <c r="I4098" s="567"/>
      <c r="J4098" s="15"/>
      <c r="N4098" s="14"/>
      <c r="O4098" s="14"/>
      <c r="P4098" s="14"/>
    </row>
    <row r="4099" spans="2:16" ht="15.75" hidden="1" customHeight="1">
      <c r="B4099" s="14"/>
      <c r="H4099" s="14"/>
      <c r="I4099" s="567"/>
      <c r="J4099" s="15"/>
      <c r="N4099" s="14"/>
      <c r="O4099" s="14"/>
      <c r="P4099" s="14"/>
    </row>
    <row r="4100" spans="2:16" ht="15.75" hidden="1" customHeight="1">
      <c r="B4100" s="14"/>
      <c r="H4100" s="14"/>
      <c r="I4100" s="567"/>
      <c r="J4100" s="15"/>
      <c r="N4100" s="14"/>
      <c r="O4100" s="14"/>
      <c r="P4100" s="14"/>
    </row>
    <row r="4101" spans="2:16" ht="15.75" hidden="1" customHeight="1">
      <c r="B4101" s="14"/>
      <c r="H4101" s="14"/>
      <c r="I4101" s="567"/>
      <c r="J4101" s="15"/>
      <c r="N4101" s="14"/>
      <c r="O4101" s="14"/>
      <c r="P4101" s="14"/>
    </row>
    <row r="4102" spans="2:16" ht="15.75" hidden="1" customHeight="1">
      <c r="B4102" s="14"/>
      <c r="H4102" s="14"/>
      <c r="I4102" s="567"/>
      <c r="J4102" s="15"/>
      <c r="N4102" s="14"/>
      <c r="O4102" s="14"/>
      <c r="P4102" s="14"/>
    </row>
    <row r="4103" spans="2:16" ht="15.75" hidden="1" customHeight="1">
      <c r="B4103" s="14"/>
      <c r="H4103" s="14"/>
      <c r="I4103" s="567"/>
      <c r="J4103" s="15"/>
      <c r="N4103" s="14"/>
      <c r="O4103" s="14"/>
      <c r="P4103" s="14"/>
    </row>
    <row r="4104" spans="2:16" ht="15.75" hidden="1" customHeight="1">
      <c r="B4104" s="14"/>
      <c r="N4104" s="14"/>
    </row>
    <row r="4105" spans="2:16" ht="15.75" hidden="1" customHeight="1">
      <c r="B4105" s="14"/>
      <c r="H4105" s="14"/>
      <c r="I4105" s="567"/>
      <c r="J4105" s="15"/>
      <c r="N4105" s="14"/>
      <c r="O4105" s="14"/>
      <c r="P4105" s="14"/>
    </row>
    <row r="4106" spans="2:16" ht="15.75" hidden="1" customHeight="1">
      <c r="B4106" s="14"/>
      <c r="H4106" s="14"/>
      <c r="I4106" s="567"/>
      <c r="J4106" s="15"/>
      <c r="N4106" s="14"/>
      <c r="O4106" s="14"/>
      <c r="P4106" s="14"/>
    </row>
    <row r="4107" spans="2:16" ht="15.75" hidden="1" customHeight="1">
      <c r="B4107" s="14"/>
      <c r="H4107" s="14"/>
      <c r="I4107" s="567"/>
      <c r="J4107" s="15"/>
      <c r="N4107" s="14"/>
      <c r="O4107" s="14"/>
      <c r="P4107" s="14"/>
    </row>
    <row r="4108" spans="2:16" ht="15.75" hidden="1" customHeight="1">
      <c r="B4108" s="14"/>
      <c r="H4108" s="14"/>
      <c r="I4108" s="567"/>
      <c r="J4108" s="15"/>
      <c r="N4108" s="14"/>
      <c r="O4108" s="14"/>
      <c r="P4108" s="14"/>
    </row>
    <row r="4109" spans="2:16" ht="15.75" hidden="1" customHeight="1">
      <c r="B4109" s="14"/>
      <c r="H4109" s="14"/>
      <c r="I4109" s="567"/>
      <c r="J4109" s="15"/>
      <c r="N4109" s="14"/>
      <c r="O4109" s="14"/>
      <c r="P4109" s="14"/>
    </row>
    <row r="4110" spans="2:16" ht="15.75" hidden="1" customHeight="1">
      <c r="B4110" s="14"/>
      <c r="H4110" s="14"/>
      <c r="I4110" s="567"/>
      <c r="J4110" s="15"/>
      <c r="N4110" s="14"/>
      <c r="O4110" s="14"/>
      <c r="P4110" s="14"/>
    </row>
    <row r="4111" spans="2:16" ht="15.75" hidden="1" customHeight="1">
      <c r="B4111" s="14"/>
      <c r="H4111" s="14"/>
      <c r="I4111" s="567"/>
      <c r="J4111" s="15"/>
      <c r="N4111" s="14"/>
      <c r="O4111" s="14"/>
      <c r="P4111" s="14"/>
    </row>
    <row r="4112" spans="2:16" ht="15.75" hidden="1" customHeight="1">
      <c r="B4112" s="14"/>
      <c r="H4112" s="14"/>
      <c r="I4112" s="567"/>
      <c r="J4112" s="15"/>
      <c r="N4112" s="14"/>
      <c r="O4112" s="14"/>
      <c r="P4112" s="14"/>
    </row>
    <row r="4113" spans="2:16" ht="15.75" hidden="1" customHeight="1">
      <c r="B4113" s="14"/>
      <c r="H4113" s="14"/>
      <c r="I4113" s="567"/>
      <c r="J4113" s="15"/>
      <c r="N4113" s="14"/>
      <c r="O4113" s="14"/>
      <c r="P4113" s="14"/>
    </row>
    <row r="4114" spans="2:16" ht="15.75" hidden="1" customHeight="1">
      <c r="B4114" s="14"/>
      <c r="H4114" s="14"/>
      <c r="I4114" s="567"/>
      <c r="J4114" s="15"/>
      <c r="N4114" s="14"/>
      <c r="O4114" s="14"/>
      <c r="P4114" s="14"/>
    </row>
    <row r="4115" spans="2:16" ht="15.75" hidden="1" customHeight="1">
      <c r="B4115" s="14"/>
      <c r="H4115" s="14"/>
      <c r="I4115" s="567"/>
      <c r="J4115" s="15"/>
      <c r="N4115" s="14"/>
      <c r="O4115" s="14"/>
      <c r="P4115" s="14"/>
    </row>
    <row r="4116" spans="2:16" ht="15.75" hidden="1" customHeight="1">
      <c r="B4116" s="14"/>
      <c r="H4116" s="14"/>
      <c r="I4116" s="567"/>
      <c r="J4116" s="15"/>
      <c r="N4116" s="14"/>
      <c r="O4116" s="14"/>
      <c r="P4116" s="14"/>
    </row>
    <row r="4117" spans="2:16" ht="15.75" hidden="1" customHeight="1">
      <c r="B4117" s="14"/>
      <c r="N4117" s="14"/>
      <c r="O4117" s="14"/>
      <c r="P4117" s="14"/>
    </row>
    <row r="4118" spans="2:16" ht="15.75" hidden="1" customHeight="1">
      <c r="B4118" s="14"/>
      <c r="H4118" s="14"/>
      <c r="I4118" s="567"/>
      <c r="J4118" s="15"/>
      <c r="N4118" s="14"/>
      <c r="O4118" s="14"/>
      <c r="P4118" s="14"/>
    </row>
    <row r="4119" spans="2:16" ht="15.75" hidden="1" customHeight="1">
      <c r="B4119" s="14"/>
      <c r="H4119" s="14"/>
      <c r="I4119" s="567"/>
      <c r="J4119" s="15"/>
      <c r="N4119" s="14"/>
      <c r="O4119" s="14"/>
      <c r="P4119" s="14"/>
    </row>
    <row r="4120" spans="2:16" ht="15.75" hidden="1" customHeight="1">
      <c r="B4120" s="14"/>
      <c r="H4120" s="14"/>
      <c r="I4120" s="567"/>
      <c r="J4120" s="15"/>
      <c r="N4120" s="14"/>
      <c r="O4120" s="14"/>
      <c r="P4120" s="14"/>
    </row>
    <row r="4121" spans="2:16" ht="15.75" hidden="1" customHeight="1">
      <c r="B4121" s="14"/>
      <c r="H4121" s="14"/>
      <c r="I4121" s="567"/>
      <c r="J4121" s="15"/>
      <c r="N4121" s="14"/>
      <c r="O4121" s="14"/>
      <c r="P4121" s="14"/>
    </row>
    <row r="4122" spans="2:16" ht="15.75" hidden="1" customHeight="1">
      <c r="B4122" s="14"/>
      <c r="H4122" s="14"/>
      <c r="I4122" s="567"/>
      <c r="J4122" s="15"/>
      <c r="N4122" s="14"/>
      <c r="O4122" s="14"/>
      <c r="P4122" s="14"/>
    </row>
    <row r="4123" spans="2:16" ht="15.75" hidden="1" customHeight="1">
      <c r="B4123" s="14"/>
      <c r="H4123" s="14"/>
      <c r="I4123" s="567"/>
      <c r="J4123" s="15"/>
      <c r="N4123" s="14"/>
      <c r="O4123" s="14"/>
      <c r="P4123" s="14"/>
    </row>
    <row r="4124" spans="2:16" ht="15.75" hidden="1" customHeight="1">
      <c r="B4124" s="14"/>
      <c r="H4124" s="14"/>
      <c r="I4124" s="567"/>
      <c r="J4124" s="15"/>
      <c r="N4124" s="14"/>
      <c r="O4124" s="14"/>
      <c r="P4124" s="14"/>
    </row>
    <row r="4125" spans="2:16" ht="15.75" hidden="1" customHeight="1">
      <c r="B4125" s="14"/>
      <c r="H4125" s="14"/>
      <c r="I4125" s="567"/>
      <c r="J4125" s="15"/>
      <c r="N4125" s="14"/>
      <c r="O4125" s="14"/>
      <c r="P4125" s="14"/>
    </row>
    <row r="4126" spans="2:16" ht="15.75" hidden="1" customHeight="1">
      <c r="B4126" s="14"/>
      <c r="H4126" s="14"/>
      <c r="I4126" s="567"/>
      <c r="J4126" s="15"/>
      <c r="N4126" s="14"/>
      <c r="O4126" s="14"/>
      <c r="P4126" s="14"/>
    </row>
    <row r="4127" spans="2:16" ht="15.75" hidden="1" customHeight="1">
      <c r="B4127" s="14"/>
      <c r="H4127" s="14"/>
      <c r="I4127" s="567"/>
      <c r="J4127" s="15"/>
      <c r="N4127" s="14"/>
      <c r="O4127" s="14"/>
      <c r="P4127" s="14"/>
    </row>
    <row r="4128" spans="2:16" ht="15.75" hidden="1" customHeight="1">
      <c r="B4128" s="14"/>
      <c r="H4128" s="14"/>
      <c r="I4128" s="567"/>
      <c r="J4128" s="15"/>
      <c r="N4128" s="14"/>
      <c r="O4128" s="14"/>
      <c r="P4128" s="14"/>
    </row>
    <row r="4129" spans="2:16" ht="15.75" hidden="1" customHeight="1">
      <c r="B4129" s="14"/>
      <c r="H4129" s="14"/>
      <c r="I4129" s="567"/>
      <c r="J4129" s="15"/>
      <c r="N4129" s="14"/>
      <c r="O4129" s="14"/>
      <c r="P4129" s="14"/>
    </row>
    <row r="4130" spans="2:16" ht="15.75" hidden="1" customHeight="1">
      <c r="B4130" s="14"/>
      <c r="H4130" s="14"/>
      <c r="I4130" s="567"/>
      <c r="J4130" s="15"/>
      <c r="N4130" s="14"/>
      <c r="O4130" s="14"/>
      <c r="P4130" s="14"/>
    </row>
    <row r="4131" spans="2:16" ht="15.75" hidden="1" customHeight="1">
      <c r="B4131" s="14"/>
      <c r="H4131" s="14"/>
      <c r="I4131" s="567"/>
      <c r="J4131" s="15"/>
      <c r="N4131" s="14"/>
      <c r="O4131" s="14"/>
      <c r="P4131" s="14"/>
    </row>
    <row r="4133" spans="2:16" ht="15.75" hidden="1" customHeight="1">
      <c r="B4133" s="14"/>
      <c r="H4133" s="14"/>
      <c r="I4133" s="567"/>
      <c r="J4133" s="15"/>
      <c r="N4133" s="14"/>
      <c r="O4133" s="14"/>
      <c r="P4133" s="14"/>
    </row>
    <row r="4134" spans="2:16" ht="15.75" hidden="1" customHeight="1">
      <c r="B4134" s="14"/>
      <c r="H4134" s="14"/>
      <c r="I4134" s="567"/>
      <c r="J4134" s="15"/>
      <c r="N4134" s="14"/>
      <c r="O4134" s="14"/>
      <c r="P4134" s="14"/>
    </row>
    <row r="4135" spans="2:16" ht="15.75" hidden="1" customHeight="1">
      <c r="B4135" s="14"/>
      <c r="H4135" s="14"/>
      <c r="I4135" s="567"/>
      <c r="J4135" s="15"/>
      <c r="N4135" s="14"/>
      <c r="O4135" s="14"/>
      <c r="P4135" s="14"/>
    </row>
    <row r="4136" spans="2:16" ht="15.75" hidden="1" customHeight="1">
      <c r="B4136" s="14"/>
      <c r="H4136" s="14"/>
      <c r="I4136" s="567"/>
      <c r="J4136" s="15"/>
      <c r="N4136" s="14"/>
      <c r="O4136" s="14"/>
      <c r="P4136" s="14"/>
    </row>
    <row r="4137" spans="2:16" ht="15.75" hidden="1" customHeight="1">
      <c r="B4137" s="14"/>
      <c r="H4137" s="14"/>
      <c r="I4137" s="567"/>
      <c r="J4137" s="15"/>
      <c r="N4137" s="14"/>
      <c r="O4137" s="14"/>
      <c r="P4137" s="14"/>
    </row>
    <row r="4138" spans="2:16" ht="15.75" hidden="1" customHeight="1">
      <c r="B4138" s="14"/>
      <c r="H4138" s="14"/>
      <c r="I4138" s="567"/>
      <c r="J4138" s="15"/>
      <c r="N4138" s="14"/>
      <c r="O4138" s="14"/>
      <c r="P4138" s="14"/>
    </row>
    <row r="4139" spans="2:16" ht="15.75" hidden="1" customHeight="1">
      <c r="B4139" s="14"/>
      <c r="H4139" s="14"/>
      <c r="I4139" s="567"/>
      <c r="J4139" s="15"/>
      <c r="N4139" s="14"/>
      <c r="O4139" s="14"/>
      <c r="P4139" s="14"/>
    </row>
    <row r="4140" spans="2:16" ht="15.75" hidden="1" customHeight="1">
      <c r="B4140" s="14"/>
      <c r="H4140" s="14"/>
      <c r="I4140" s="567"/>
      <c r="J4140" s="15"/>
      <c r="N4140" s="14"/>
      <c r="O4140" s="14"/>
      <c r="P4140" s="14"/>
    </row>
    <row r="4141" spans="2:16" ht="15.75" hidden="1" customHeight="1">
      <c r="B4141" s="14"/>
      <c r="H4141" s="14"/>
      <c r="I4141" s="567"/>
      <c r="J4141" s="15"/>
      <c r="N4141" s="14"/>
      <c r="O4141" s="14"/>
      <c r="P4141" s="14"/>
    </row>
    <row r="4142" spans="2:16" ht="15.75" hidden="1" customHeight="1">
      <c r="B4142" s="14"/>
      <c r="H4142" s="14"/>
      <c r="I4142" s="567"/>
      <c r="J4142" s="15"/>
      <c r="N4142" s="14"/>
      <c r="O4142" s="14"/>
      <c r="P4142" s="14"/>
    </row>
    <row r="4143" spans="2:16" ht="15.75" hidden="1" customHeight="1">
      <c r="B4143" s="14"/>
      <c r="H4143" s="14"/>
      <c r="I4143" s="567"/>
      <c r="J4143" s="15"/>
      <c r="N4143" s="14"/>
      <c r="O4143" s="14"/>
      <c r="P4143" s="14"/>
    </row>
    <row r="4144" spans="2:16" ht="15.75" hidden="1" customHeight="1">
      <c r="B4144" s="14"/>
      <c r="H4144" s="14"/>
      <c r="I4144" s="567"/>
      <c r="J4144" s="15"/>
      <c r="N4144" s="14"/>
      <c r="O4144" s="14"/>
      <c r="P4144" s="14"/>
    </row>
    <row r="4145" spans="2:16" ht="15.75" hidden="1" customHeight="1">
      <c r="B4145" s="14"/>
      <c r="H4145" s="14"/>
      <c r="I4145" s="567"/>
      <c r="J4145" s="15"/>
      <c r="N4145" s="14"/>
      <c r="O4145" s="14"/>
      <c r="P4145" s="14"/>
    </row>
    <row r="4146" spans="2:16" ht="15.75" hidden="1" customHeight="1">
      <c r="B4146" s="14"/>
      <c r="H4146" s="14"/>
      <c r="I4146" s="567"/>
      <c r="J4146" s="15"/>
      <c r="N4146" s="14"/>
      <c r="O4146" s="14"/>
      <c r="P4146" s="14"/>
    </row>
    <row r="4147" spans="2:16" ht="15.75" hidden="1" customHeight="1">
      <c r="B4147" s="14"/>
      <c r="H4147" s="14"/>
      <c r="I4147" s="567"/>
      <c r="J4147" s="15"/>
      <c r="N4147" s="14"/>
      <c r="O4147" s="14"/>
      <c r="P4147" s="14"/>
    </row>
    <row r="4148" spans="2:16" ht="15.75" hidden="1" customHeight="1">
      <c r="B4148" s="14"/>
      <c r="H4148" s="14"/>
      <c r="I4148" s="567"/>
      <c r="J4148" s="15"/>
      <c r="N4148" s="14"/>
      <c r="O4148" s="14"/>
      <c r="P4148" s="14"/>
    </row>
    <row r="4149" spans="2:16" ht="15.75" hidden="1" customHeight="1">
      <c r="B4149" s="14"/>
      <c r="H4149" s="14"/>
      <c r="I4149" s="567"/>
      <c r="J4149" s="15"/>
      <c r="N4149" s="14"/>
      <c r="O4149" s="14"/>
      <c r="P4149" s="14"/>
    </row>
    <row r="4150" spans="2:16" ht="15.75" hidden="1" customHeight="1">
      <c r="B4150" s="14"/>
      <c r="H4150" s="14"/>
      <c r="I4150" s="567"/>
      <c r="J4150" s="15"/>
      <c r="N4150" s="14"/>
      <c r="O4150" s="14"/>
      <c r="P4150" s="14"/>
    </row>
    <row r="4151" spans="2:16" ht="15.75" hidden="1" customHeight="1">
      <c r="B4151" s="14"/>
      <c r="H4151" s="14"/>
      <c r="I4151" s="567"/>
      <c r="J4151" s="15"/>
      <c r="N4151" s="14"/>
      <c r="O4151" s="14"/>
      <c r="P4151" s="14"/>
    </row>
    <row r="4152" spans="2:16" ht="15.75" hidden="1" customHeight="1">
      <c r="B4152" s="14"/>
      <c r="H4152" s="14"/>
      <c r="I4152" s="567"/>
      <c r="J4152" s="15"/>
      <c r="N4152" s="14"/>
      <c r="O4152" s="14"/>
      <c r="P4152" s="14"/>
    </row>
    <row r="4153" spans="2:16" ht="15.75" hidden="1" customHeight="1">
      <c r="B4153" s="14"/>
      <c r="H4153" s="14"/>
      <c r="I4153" s="567"/>
      <c r="J4153" s="15"/>
      <c r="N4153" s="14"/>
      <c r="O4153" s="14"/>
      <c r="P4153" s="14"/>
    </row>
    <row r="4154" spans="2:16" ht="15.75" hidden="1" customHeight="1">
      <c r="B4154" s="14"/>
      <c r="H4154" s="14"/>
      <c r="I4154" s="567"/>
      <c r="J4154" s="15"/>
      <c r="N4154" s="14"/>
      <c r="O4154" s="14"/>
      <c r="P4154" s="14"/>
    </row>
    <row r="4155" spans="2:16" ht="15.75" hidden="1" customHeight="1">
      <c r="B4155" s="14"/>
      <c r="H4155" s="14"/>
      <c r="I4155" s="567"/>
      <c r="J4155" s="15"/>
      <c r="N4155" s="14"/>
      <c r="O4155" s="14"/>
      <c r="P4155" s="14"/>
    </row>
    <row r="4156" spans="2:16" ht="15.75" hidden="1" customHeight="1">
      <c r="B4156" s="14"/>
      <c r="H4156" s="14"/>
      <c r="I4156" s="567"/>
      <c r="J4156" s="15"/>
      <c r="N4156" s="14"/>
      <c r="O4156" s="14"/>
      <c r="P4156" s="14"/>
    </row>
    <row r="4157" spans="2:16" ht="15.75" hidden="1" customHeight="1">
      <c r="B4157" s="14"/>
      <c r="H4157" s="14"/>
      <c r="I4157" s="567"/>
      <c r="J4157" s="15"/>
      <c r="N4157" s="14"/>
      <c r="O4157" s="14"/>
      <c r="P4157" s="14"/>
    </row>
    <row r="4158" spans="2:16" ht="15.75" hidden="1" customHeight="1">
      <c r="B4158" s="14"/>
      <c r="H4158" s="14"/>
      <c r="I4158" s="567"/>
      <c r="J4158" s="15"/>
      <c r="N4158" s="14"/>
      <c r="O4158" s="14"/>
      <c r="P4158" s="14"/>
    </row>
    <row r="4159" spans="2:16" ht="15.75" hidden="1" customHeight="1">
      <c r="B4159" s="14"/>
      <c r="H4159" s="14"/>
      <c r="I4159" s="567"/>
      <c r="J4159" s="15"/>
      <c r="N4159" s="14"/>
      <c r="O4159" s="14"/>
      <c r="P4159" s="14"/>
    </row>
    <row r="4160" spans="2:16" ht="15.75" hidden="1" customHeight="1">
      <c r="B4160" s="14"/>
      <c r="H4160" s="14"/>
      <c r="I4160" s="567"/>
      <c r="J4160" s="15"/>
      <c r="N4160" s="14"/>
      <c r="O4160" s="14"/>
      <c r="P4160" s="14"/>
    </row>
    <row r="4161" spans="2:16" ht="15.75" hidden="1" customHeight="1">
      <c r="B4161" s="14"/>
      <c r="H4161" s="14"/>
      <c r="I4161" s="567"/>
      <c r="J4161" s="15"/>
      <c r="N4161" s="14"/>
      <c r="O4161" s="14"/>
      <c r="P4161" s="14"/>
    </row>
    <row r="4162" spans="2:16" ht="15.75" hidden="1" customHeight="1">
      <c r="B4162" s="14"/>
      <c r="H4162" s="14"/>
      <c r="I4162" s="567"/>
      <c r="J4162" s="15"/>
      <c r="N4162" s="14"/>
      <c r="O4162" s="14"/>
      <c r="P4162" s="14"/>
    </row>
    <row r="4163" spans="2:16" ht="15.75" hidden="1" customHeight="1">
      <c r="B4163" s="14"/>
      <c r="H4163" s="14"/>
      <c r="I4163" s="567"/>
      <c r="J4163" s="15"/>
      <c r="N4163" s="14"/>
      <c r="O4163" s="14"/>
      <c r="P4163" s="14"/>
    </row>
    <row r="4164" spans="2:16" ht="15.75" hidden="1" customHeight="1">
      <c r="B4164" s="14"/>
      <c r="H4164" s="14"/>
      <c r="I4164" s="567"/>
      <c r="J4164" s="15"/>
      <c r="N4164" s="14"/>
      <c r="O4164" s="14"/>
      <c r="P4164" s="14"/>
    </row>
    <row r="4165" spans="2:16" ht="15.75" hidden="1" customHeight="1">
      <c r="B4165" s="14"/>
      <c r="H4165" s="14"/>
      <c r="I4165" s="567"/>
      <c r="J4165" s="15"/>
      <c r="N4165" s="14"/>
      <c r="O4165" s="14"/>
      <c r="P4165" s="14"/>
    </row>
    <row r="4166" spans="2:16" ht="15.75" hidden="1" customHeight="1">
      <c r="B4166" s="14"/>
      <c r="H4166" s="14"/>
      <c r="I4166" s="567"/>
      <c r="J4166" s="15"/>
      <c r="N4166" s="14"/>
      <c r="O4166" s="14"/>
      <c r="P4166" s="14"/>
    </row>
    <row r="4167" spans="2:16" ht="15.75" hidden="1" customHeight="1">
      <c r="B4167" s="14"/>
      <c r="H4167" s="14"/>
      <c r="I4167" s="567"/>
      <c r="J4167" s="15"/>
      <c r="N4167" s="14"/>
      <c r="O4167" s="14"/>
      <c r="P4167" s="14"/>
    </row>
    <row r="4168" spans="2:16" ht="15.75" hidden="1" customHeight="1">
      <c r="B4168" s="14"/>
      <c r="H4168" s="14"/>
      <c r="I4168" s="567"/>
      <c r="J4168" s="15"/>
      <c r="N4168" s="14"/>
      <c r="O4168" s="14"/>
      <c r="P4168" s="14"/>
    </row>
    <row r="4169" spans="2:16" ht="15.75" hidden="1" customHeight="1">
      <c r="B4169" s="14"/>
      <c r="H4169" s="14"/>
      <c r="I4169" s="567"/>
      <c r="J4169" s="15"/>
      <c r="N4169" s="14"/>
      <c r="O4169" s="14"/>
      <c r="P4169" s="14"/>
    </row>
    <row r="4170" spans="2:16" ht="15.75" hidden="1" customHeight="1">
      <c r="B4170" s="14"/>
      <c r="H4170" s="14"/>
      <c r="I4170" s="567"/>
      <c r="J4170" s="15"/>
      <c r="N4170" s="14"/>
      <c r="O4170" s="14"/>
      <c r="P4170" s="14"/>
    </row>
    <row r="4171" spans="2:16" ht="15.75" hidden="1" customHeight="1">
      <c r="B4171" s="14"/>
      <c r="H4171" s="14"/>
      <c r="I4171" s="567"/>
      <c r="J4171" s="15"/>
      <c r="N4171" s="14"/>
      <c r="O4171" s="14"/>
      <c r="P4171" s="14"/>
    </row>
    <row r="4172" spans="2:16" ht="15.75" hidden="1" customHeight="1">
      <c r="B4172" s="14"/>
      <c r="H4172" s="14"/>
      <c r="I4172" s="567"/>
      <c r="J4172" s="15"/>
      <c r="N4172" s="14"/>
      <c r="O4172" s="14"/>
      <c r="P4172" s="14"/>
    </row>
    <row r="4173" spans="2:16" ht="15.75" hidden="1" customHeight="1">
      <c r="B4173" s="14"/>
      <c r="H4173" s="14"/>
      <c r="I4173" s="567"/>
      <c r="J4173" s="15"/>
      <c r="N4173" s="14"/>
      <c r="O4173" s="14"/>
      <c r="P4173" s="14"/>
    </row>
    <row r="4174" spans="2:16" ht="15.75" hidden="1" customHeight="1">
      <c r="B4174" s="14"/>
      <c r="H4174" s="14"/>
      <c r="I4174" s="567"/>
      <c r="J4174" s="15"/>
      <c r="N4174" s="14"/>
      <c r="O4174" s="14"/>
      <c r="P4174" s="14"/>
    </row>
    <row r="4175" spans="2:16" ht="15.75" hidden="1" customHeight="1">
      <c r="B4175" s="14"/>
      <c r="H4175" s="14"/>
      <c r="I4175" s="567"/>
      <c r="J4175" s="15"/>
      <c r="N4175" s="14"/>
      <c r="O4175" s="14"/>
      <c r="P4175" s="14"/>
    </row>
    <row r="4176" spans="2:16" ht="15.75" hidden="1" customHeight="1">
      <c r="B4176" s="14"/>
      <c r="H4176" s="14"/>
      <c r="I4176" s="567"/>
      <c r="J4176" s="15"/>
      <c r="N4176" s="14"/>
      <c r="O4176" s="14"/>
      <c r="P4176" s="14"/>
    </row>
    <row r="4177" spans="2:16" ht="15.75" hidden="1" customHeight="1">
      <c r="B4177" s="14"/>
      <c r="H4177" s="14"/>
      <c r="I4177" s="567"/>
      <c r="J4177" s="15"/>
      <c r="N4177" s="14"/>
      <c r="O4177" s="14"/>
      <c r="P4177" s="14"/>
    </row>
    <row r="4178" spans="2:16" ht="15.75" hidden="1" customHeight="1">
      <c r="B4178" s="14"/>
      <c r="H4178" s="14"/>
      <c r="I4178" s="567"/>
      <c r="J4178" s="15"/>
      <c r="N4178" s="14"/>
      <c r="O4178" s="14"/>
      <c r="P4178" s="14"/>
    </row>
    <row r="4179" spans="2:16" ht="15.75" hidden="1" customHeight="1">
      <c r="B4179" s="14"/>
      <c r="H4179" s="14"/>
      <c r="I4179" s="567"/>
      <c r="J4179" s="15"/>
      <c r="N4179" s="14"/>
      <c r="O4179" s="14"/>
      <c r="P4179" s="14"/>
    </row>
    <row r="4180" spans="2:16" ht="15.75" hidden="1" customHeight="1">
      <c r="B4180" s="14"/>
      <c r="H4180" s="14"/>
      <c r="I4180" s="567"/>
      <c r="J4180" s="15"/>
      <c r="N4180" s="14"/>
      <c r="O4180" s="14"/>
      <c r="P4180" s="14"/>
    </row>
    <row r="4181" spans="2:16" ht="15.75" hidden="1" customHeight="1">
      <c r="B4181" s="14"/>
      <c r="H4181" s="14"/>
      <c r="I4181" s="567"/>
      <c r="J4181" s="15"/>
      <c r="N4181" s="14"/>
      <c r="O4181" s="14"/>
      <c r="P4181" s="14"/>
    </row>
    <row r="4182" spans="2:16" ht="15.75" hidden="1" customHeight="1">
      <c r="B4182" s="14"/>
      <c r="H4182" s="14"/>
      <c r="I4182" s="567"/>
      <c r="J4182" s="15"/>
      <c r="N4182" s="14"/>
      <c r="O4182" s="14"/>
      <c r="P4182" s="14"/>
    </row>
    <row r="4183" spans="2:16" ht="15.75" hidden="1" customHeight="1">
      <c r="B4183" s="14"/>
      <c r="H4183" s="14"/>
      <c r="I4183" s="567"/>
      <c r="J4183" s="15"/>
      <c r="N4183" s="14"/>
      <c r="O4183" s="14"/>
      <c r="P4183" s="14"/>
    </row>
    <row r="4184" spans="2:16" ht="15.75" hidden="1" customHeight="1">
      <c r="B4184" s="14"/>
      <c r="H4184" s="14"/>
      <c r="I4184" s="567"/>
      <c r="J4184" s="15"/>
      <c r="N4184" s="14"/>
      <c r="O4184" s="14"/>
      <c r="P4184" s="14"/>
    </row>
    <row r="4185" spans="2:16" ht="15.75" hidden="1" customHeight="1">
      <c r="B4185" s="14"/>
      <c r="H4185" s="14"/>
      <c r="I4185" s="567"/>
      <c r="J4185" s="15"/>
      <c r="N4185" s="14"/>
      <c r="O4185" s="14"/>
      <c r="P4185" s="14"/>
    </row>
    <row r="4186" spans="2:16" ht="15.75" hidden="1" customHeight="1">
      <c r="B4186" s="14"/>
      <c r="H4186" s="14"/>
      <c r="I4186" s="567"/>
      <c r="J4186" s="15"/>
      <c r="N4186" s="14"/>
      <c r="O4186" s="14"/>
      <c r="P4186" s="14"/>
    </row>
    <row r="4187" spans="2:16" ht="15.75" hidden="1" customHeight="1">
      <c r="B4187" s="14"/>
      <c r="H4187" s="14"/>
      <c r="I4187" s="567"/>
      <c r="J4187" s="15"/>
      <c r="N4187" s="14"/>
      <c r="O4187" s="14"/>
      <c r="P4187" s="14"/>
    </row>
    <row r="4188" spans="2:16" ht="15.75" hidden="1" customHeight="1">
      <c r="B4188" s="14"/>
      <c r="H4188" s="14"/>
      <c r="I4188" s="567"/>
      <c r="J4188" s="15"/>
      <c r="N4188" s="14"/>
      <c r="O4188" s="14"/>
      <c r="P4188" s="14"/>
    </row>
    <row r="4189" spans="2:16" ht="15.75" hidden="1" customHeight="1">
      <c r="B4189" s="14"/>
      <c r="H4189" s="14"/>
      <c r="I4189" s="567"/>
      <c r="J4189" s="15"/>
      <c r="N4189" s="14"/>
      <c r="O4189" s="14"/>
      <c r="P4189" s="14"/>
    </row>
    <row r="4190" spans="2:16" ht="15.75" hidden="1" customHeight="1">
      <c r="B4190" s="14"/>
      <c r="H4190" s="14"/>
      <c r="I4190" s="567"/>
      <c r="J4190" s="15"/>
      <c r="N4190" s="14"/>
      <c r="O4190" s="14"/>
      <c r="P4190" s="14"/>
    </row>
    <row r="4191" spans="2:16" ht="15.75" hidden="1" customHeight="1">
      <c r="B4191" s="14"/>
      <c r="H4191" s="14"/>
      <c r="I4191" s="567"/>
      <c r="J4191" s="15"/>
      <c r="N4191" s="14"/>
      <c r="O4191" s="14"/>
      <c r="P4191" s="14"/>
    </row>
    <row r="4192" spans="2:16" ht="15.75" hidden="1" customHeight="1">
      <c r="B4192" s="14"/>
      <c r="H4192" s="14"/>
      <c r="I4192" s="567"/>
      <c r="J4192" s="15"/>
      <c r="N4192" s="14"/>
      <c r="O4192" s="14"/>
      <c r="P4192" s="14"/>
    </row>
    <row r="4193" spans="2:16" ht="15.75" hidden="1" customHeight="1">
      <c r="B4193" s="14"/>
      <c r="H4193" s="14"/>
      <c r="I4193" s="567"/>
      <c r="J4193" s="15"/>
      <c r="N4193" s="14"/>
      <c r="O4193" s="14"/>
      <c r="P4193" s="14"/>
    </row>
    <row r="4194" spans="2:16" ht="15.75" hidden="1" customHeight="1">
      <c r="B4194" s="14"/>
      <c r="H4194" s="14"/>
      <c r="I4194" s="567"/>
      <c r="J4194" s="15"/>
      <c r="N4194" s="14"/>
      <c r="O4194" s="14"/>
      <c r="P4194" s="14"/>
    </row>
    <row r="4195" spans="2:16" ht="15.75" hidden="1" customHeight="1">
      <c r="B4195" s="14"/>
      <c r="H4195" s="14"/>
      <c r="I4195" s="567"/>
      <c r="J4195" s="15"/>
      <c r="N4195" s="14"/>
      <c r="O4195" s="14"/>
      <c r="P4195" s="14"/>
    </row>
    <row r="4196" spans="2:16" ht="15.75" hidden="1" customHeight="1">
      <c r="B4196" s="14"/>
      <c r="H4196" s="14"/>
      <c r="I4196" s="567"/>
      <c r="J4196" s="15"/>
      <c r="N4196" s="14"/>
      <c r="O4196" s="14"/>
      <c r="P4196" s="14"/>
    </row>
    <row r="4197" spans="2:16" ht="15.75" hidden="1" customHeight="1">
      <c r="B4197" s="14"/>
      <c r="H4197" s="14"/>
      <c r="I4197" s="567"/>
      <c r="J4197" s="15"/>
      <c r="N4197" s="14"/>
      <c r="O4197" s="14"/>
      <c r="P4197" s="14"/>
    </row>
    <row r="4198" spans="2:16" ht="15.75" hidden="1" customHeight="1">
      <c r="B4198" s="14"/>
      <c r="H4198" s="14"/>
      <c r="I4198" s="567"/>
      <c r="J4198" s="15"/>
      <c r="N4198" s="14"/>
      <c r="O4198" s="14"/>
      <c r="P4198" s="14"/>
    </row>
    <row r="4199" spans="2:16" ht="15.75" hidden="1" customHeight="1">
      <c r="B4199" s="14"/>
      <c r="H4199" s="14"/>
      <c r="I4199" s="567"/>
      <c r="J4199" s="15"/>
      <c r="N4199" s="14"/>
      <c r="O4199" s="14"/>
      <c r="P4199" s="14"/>
    </row>
    <row r="4200" spans="2:16" ht="15.75" hidden="1" customHeight="1">
      <c r="B4200" s="14"/>
      <c r="H4200" s="14"/>
      <c r="I4200" s="567"/>
      <c r="J4200" s="15"/>
      <c r="N4200" s="14"/>
      <c r="O4200" s="14"/>
      <c r="P4200" s="14"/>
    </row>
    <row r="4201" spans="2:16" ht="15.75" hidden="1" customHeight="1">
      <c r="B4201" s="14"/>
      <c r="H4201" s="14"/>
      <c r="I4201" s="567"/>
      <c r="J4201" s="15"/>
      <c r="N4201" s="14"/>
      <c r="O4201" s="14"/>
      <c r="P4201" s="14"/>
    </row>
    <row r="4202" spans="2:16" ht="15.75" hidden="1" customHeight="1">
      <c r="B4202" s="14"/>
      <c r="H4202" s="14"/>
      <c r="I4202" s="567"/>
      <c r="J4202" s="15"/>
      <c r="N4202" s="14"/>
      <c r="O4202" s="14"/>
      <c r="P4202" s="14"/>
    </row>
    <row r="4203" spans="2:16" ht="15.75" hidden="1" customHeight="1">
      <c r="B4203" s="14"/>
      <c r="H4203" s="14"/>
      <c r="I4203" s="567"/>
      <c r="J4203" s="15"/>
      <c r="N4203" s="14"/>
      <c r="O4203" s="14"/>
      <c r="P4203" s="14"/>
    </row>
    <row r="4204" spans="2:16" ht="15.75" hidden="1" customHeight="1">
      <c r="B4204" s="14"/>
      <c r="H4204" s="14"/>
      <c r="I4204" s="567"/>
      <c r="J4204" s="15"/>
      <c r="N4204" s="14"/>
      <c r="O4204" s="14"/>
      <c r="P4204" s="14"/>
    </row>
    <row r="4205" spans="2:16" ht="15.75" hidden="1" customHeight="1">
      <c r="B4205" s="14"/>
      <c r="H4205" s="14"/>
      <c r="I4205" s="567"/>
      <c r="J4205" s="15"/>
      <c r="N4205" s="14"/>
      <c r="O4205" s="14"/>
      <c r="P4205" s="14"/>
    </row>
    <row r="4206" spans="2:16" ht="15.75" hidden="1" customHeight="1">
      <c r="B4206" s="14"/>
      <c r="H4206" s="14"/>
      <c r="I4206" s="567"/>
      <c r="J4206" s="15"/>
      <c r="N4206" s="14"/>
      <c r="O4206" s="14"/>
      <c r="P4206" s="14"/>
    </row>
    <row r="4207" spans="2:16" ht="15.75" hidden="1" customHeight="1">
      <c r="B4207" s="14"/>
      <c r="H4207" s="14"/>
      <c r="I4207" s="567"/>
      <c r="J4207" s="15"/>
      <c r="N4207" s="14"/>
      <c r="O4207" s="14"/>
      <c r="P4207" s="14"/>
    </row>
    <row r="4208" spans="2:16" ht="15.75" hidden="1" customHeight="1">
      <c r="B4208" s="14"/>
      <c r="H4208" s="14"/>
      <c r="I4208" s="567"/>
      <c r="J4208" s="15"/>
      <c r="N4208" s="14"/>
      <c r="O4208" s="14"/>
      <c r="P4208" s="14"/>
    </row>
    <row r="4209" spans="2:16" ht="15.75" hidden="1" customHeight="1">
      <c r="B4209" s="14"/>
      <c r="H4209" s="14"/>
      <c r="I4209" s="567"/>
      <c r="J4209" s="15"/>
      <c r="N4209" s="14"/>
      <c r="O4209" s="14"/>
      <c r="P4209" s="14"/>
    </row>
    <row r="4210" spans="2:16" ht="15.75" hidden="1" customHeight="1">
      <c r="B4210" s="14"/>
      <c r="H4210" s="14"/>
      <c r="I4210" s="567"/>
      <c r="J4210" s="15"/>
      <c r="N4210" s="14"/>
      <c r="O4210" s="14"/>
      <c r="P4210" s="14"/>
    </row>
    <row r="4211" spans="2:16" ht="15.75" hidden="1" customHeight="1">
      <c r="B4211" s="14"/>
      <c r="H4211" s="14"/>
      <c r="I4211" s="567"/>
      <c r="J4211" s="15"/>
      <c r="N4211" s="14"/>
      <c r="O4211" s="14"/>
      <c r="P4211" s="14"/>
    </row>
    <row r="4212" spans="2:16" ht="15.75" hidden="1" customHeight="1">
      <c r="B4212" s="14"/>
      <c r="H4212" s="14"/>
      <c r="I4212" s="567"/>
      <c r="J4212" s="15"/>
      <c r="N4212" s="14"/>
      <c r="O4212" s="14"/>
      <c r="P4212" s="14"/>
    </row>
    <row r="4213" spans="2:16" ht="15.75" hidden="1" customHeight="1">
      <c r="B4213" s="14"/>
      <c r="H4213" s="14"/>
      <c r="I4213" s="567"/>
      <c r="J4213" s="15"/>
      <c r="N4213" s="14"/>
      <c r="O4213" s="14"/>
      <c r="P4213" s="14"/>
    </row>
    <row r="4214" spans="2:16" ht="15.75" hidden="1" customHeight="1">
      <c r="B4214" s="14"/>
      <c r="H4214" s="14"/>
      <c r="I4214" s="567"/>
      <c r="J4214" s="15"/>
      <c r="N4214" s="14"/>
      <c r="O4214" s="14"/>
      <c r="P4214" s="14"/>
    </row>
    <row r="4215" spans="2:16" ht="15.75" hidden="1" customHeight="1">
      <c r="B4215" s="14"/>
      <c r="H4215" s="14"/>
      <c r="I4215" s="567"/>
      <c r="J4215" s="15"/>
      <c r="N4215" s="14"/>
      <c r="O4215" s="14"/>
      <c r="P4215" s="14"/>
    </row>
    <row r="4216" spans="2:16" ht="15.75" hidden="1" customHeight="1">
      <c r="B4216" s="14"/>
      <c r="H4216" s="14"/>
      <c r="I4216" s="567"/>
      <c r="J4216" s="15"/>
      <c r="N4216" s="14"/>
      <c r="O4216" s="14"/>
      <c r="P4216" s="14"/>
    </row>
    <row r="4217" spans="2:16" ht="15.75" hidden="1" customHeight="1">
      <c r="B4217" s="14"/>
      <c r="H4217" s="14"/>
      <c r="I4217" s="567"/>
      <c r="J4217" s="15"/>
      <c r="N4217" s="14"/>
      <c r="O4217" s="14"/>
      <c r="P4217" s="14"/>
    </row>
    <row r="4218" spans="2:16" ht="15.75" hidden="1" customHeight="1">
      <c r="B4218" s="14"/>
      <c r="H4218" s="14"/>
      <c r="I4218" s="567"/>
      <c r="J4218" s="15"/>
      <c r="N4218" s="14"/>
      <c r="O4218" s="14"/>
      <c r="P4218" s="14"/>
    </row>
    <row r="4219" spans="2:16" ht="15.75" hidden="1" customHeight="1">
      <c r="B4219" s="14"/>
      <c r="H4219" s="14"/>
      <c r="I4219" s="567"/>
      <c r="J4219" s="15"/>
      <c r="N4219" s="14"/>
      <c r="O4219" s="14"/>
      <c r="P4219" s="14"/>
    </row>
    <row r="4220" spans="2:16" ht="15.75" hidden="1" customHeight="1">
      <c r="B4220" s="14"/>
      <c r="H4220" s="14"/>
      <c r="I4220" s="567"/>
      <c r="J4220" s="15"/>
      <c r="N4220" s="14"/>
      <c r="O4220" s="14"/>
      <c r="P4220" s="14"/>
    </row>
    <row r="4221" spans="2:16" ht="15.75" hidden="1" customHeight="1">
      <c r="B4221" s="14"/>
      <c r="H4221" s="14"/>
      <c r="I4221" s="567"/>
      <c r="J4221" s="15"/>
      <c r="N4221" s="14"/>
      <c r="O4221" s="14"/>
      <c r="P4221" s="14"/>
    </row>
    <row r="4222" spans="2:16" ht="15.75" hidden="1" customHeight="1">
      <c r="B4222" s="14"/>
      <c r="H4222" s="14"/>
      <c r="I4222" s="567"/>
      <c r="J4222" s="15"/>
      <c r="N4222" s="14"/>
      <c r="O4222" s="14"/>
      <c r="P4222" s="14"/>
    </row>
    <row r="4223" spans="2:16" ht="15.75" hidden="1" customHeight="1">
      <c r="B4223" s="14"/>
      <c r="H4223" s="14"/>
      <c r="I4223" s="567"/>
      <c r="J4223" s="15"/>
      <c r="N4223" s="14"/>
      <c r="O4223" s="14"/>
      <c r="P4223" s="14"/>
    </row>
    <row r="4224" spans="2:16" ht="15.75" hidden="1" customHeight="1">
      <c r="B4224" s="14"/>
      <c r="H4224" s="14"/>
      <c r="I4224" s="567"/>
      <c r="J4224" s="15"/>
      <c r="N4224" s="14"/>
      <c r="O4224" s="14"/>
      <c r="P4224" s="14"/>
    </row>
    <row r="4225" spans="2:16" ht="15.75" hidden="1" customHeight="1">
      <c r="B4225" s="14"/>
      <c r="H4225" s="14"/>
      <c r="I4225" s="567"/>
      <c r="J4225" s="15"/>
      <c r="N4225" s="14"/>
      <c r="O4225" s="14"/>
      <c r="P4225" s="14"/>
    </row>
    <row r="4226" spans="2:16" ht="15.75" hidden="1" customHeight="1">
      <c r="B4226" s="14"/>
      <c r="H4226" s="14"/>
      <c r="I4226" s="567"/>
      <c r="J4226" s="15"/>
      <c r="N4226" s="14"/>
      <c r="O4226" s="14"/>
      <c r="P4226" s="14"/>
    </row>
    <row r="4227" spans="2:16" ht="15.75" hidden="1" customHeight="1">
      <c r="B4227" s="14"/>
      <c r="H4227" s="14"/>
      <c r="I4227" s="567"/>
      <c r="J4227" s="15"/>
      <c r="N4227" s="14"/>
      <c r="O4227" s="14"/>
      <c r="P4227" s="14"/>
    </row>
    <row r="4228" spans="2:16" ht="15.75" hidden="1" customHeight="1">
      <c r="B4228" s="14"/>
      <c r="H4228" s="14"/>
      <c r="I4228" s="567"/>
      <c r="J4228" s="15"/>
      <c r="N4228" s="14"/>
      <c r="O4228" s="14"/>
      <c r="P4228" s="14"/>
    </row>
    <row r="4229" spans="2:16" ht="15.75" hidden="1" customHeight="1">
      <c r="B4229" s="14"/>
      <c r="H4229" s="14"/>
      <c r="I4229" s="567"/>
      <c r="J4229" s="15"/>
      <c r="N4229" s="14"/>
      <c r="O4229" s="14"/>
      <c r="P4229" s="14"/>
    </row>
    <row r="4230" spans="2:16" ht="15.75" hidden="1" customHeight="1">
      <c r="B4230" s="14"/>
      <c r="H4230" s="14"/>
      <c r="I4230" s="567"/>
      <c r="J4230" s="15"/>
      <c r="N4230" s="14"/>
      <c r="O4230" s="14"/>
      <c r="P4230" s="14"/>
    </row>
    <row r="4231" spans="2:16" ht="15.75" hidden="1" customHeight="1">
      <c r="B4231" s="14"/>
      <c r="H4231" s="14"/>
      <c r="I4231" s="567"/>
      <c r="J4231" s="15"/>
      <c r="N4231" s="14"/>
      <c r="O4231" s="14"/>
      <c r="P4231" s="14"/>
    </row>
    <row r="4232" spans="2:16" ht="15.75" hidden="1" customHeight="1">
      <c r="B4232" s="14"/>
      <c r="H4232" s="14"/>
      <c r="I4232" s="567"/>
      <c r="J4232" s="15"/>
      <c r="N4232" s="14"/>
      <c r="O4232" s="14"/>
      <c r="P4232" s="14"/>
    </row>
    <row r="4233" spans="2:16" ht="15.75" hidden="1" customHeight="1">
      <c r="B4233" s="14"/>
      <c r="H4233" s="14"/>
      <c r="I4233" s="567"/>
      <c r="J4233" s="15"/>
      <c r="N4233" s="14"/>
      <c r="O4233" s="14"/>
      <c r="P4233" s="14"/>
    </row>
    <row r="4234" spans="2:16" ht="15.75" hidden="1" customHeight="1">
      <c r="B4234" s="14"/>
      <c r="H4234" s="14"/>
      <c r="I4234" s="567"/>
      <c r="J4234" s="15"/>
      <c r="N4234" s="14"/>
      <c r="O4234" s="14"/>
      <c r="P4234" s="14"/>
    </row>
    <row r="4235" spans="2:16" ht="15.75" hidden="1" customHeight="1">
      <c r="B4235" s="14"/>
      <c r="H4235" s="14"/>
      <c r="I4235" s="567"/>
      <c r="J4235" s="15"/>
      <c r="N4235" s="14"/>
      <c r="O4235" s="14"/>
      <c r="P4235" s="14"/>
    </row>
    <row r="4236" spans="2:16" ht="15.75" hidden="1" customHeight="1">
      <c r="B4236" s="14"/>
      <c r="H4236" s="14"/>
      <c r="I4236" s="567"/>
      <c r="J4236" s="15"/>
      <c r="N4236" s="14"/>
      <c r="O4236" s="14"/>
      <c r="P4236" s="14"/>
    </row>
    <row r="4237" spans="2:16" ht="15.75" hidden="1" customHeight="1">
      <c r="B4237" s="14"/>
      <c r="H4237" s="14"/>
      <c r="I4237" s="567"/>
      <c r="J4237" s="15"/>
      <c r="N4237" s="14"/>
      <c r="O4237" s="14"/>
      <c r="P4237" s="14"/>
    </row>
    <row r="4238" spans="2:16" ht="15.75" hidden="1" customHeight="1">
      <c r="B4238" s="14"/>
      <c r="H4238" s="14"/>
      <c r="I4238" s="567"/>
      <c r="J4238" s="15"/>
      <c r="N4238" s="14"/>
      <c r="O4238" s="14"/>
      <c r="P4238" s="14"/>
    </row>
    <row r="4239" spans="2:16" ht="15.75" hidden="1" customHeight="1">
      <c r="B4239" s="14"/>
      <c r="H4239" s="14"/>
      <c r="I4239" s="567"/>
      <c r="J4239" s="15"/>
      <c r="N4239" s="14"/>
      <c r="O4239" s="14"/>
      <c r="P4239" s="14"/>
    </row>
    <row r="4240" spans="2:16" ht="15.75" hidden="1" customHeight="1">
      <c r="B4240" s="14"/>
      <c r="H4240" s="14"/>
      <c r="I4240" s="567"/>
      <c r="J4240" s="15"/>
      <c r="N4240" s="14"/>
      <c r="O4240" s="14"/>
      <c r="P4240" s="14"/>
    </row>
    <row r="4241" spans="2:16" ht="15.75" hidden="1" customHeight="1">
      <c r="B4241" s="14"/>
      <c r="H4241" s="14"/>
      <c r="I4241" s="567"/>
      <c r="J4241" s="15"/>
      <c r="N4241" s="14"/>
      <c r="O4241" s="14"/>
      <c r="P4241" s="14"/>
    </row>
    <row r="4242" spans="2:16" ht="15.75" hidden="1" customHeight="1">
      <c r="B4242" s="14"/>
      <c r="H4242" s="14"/>
      <c r="I4242" s="567"/>
      <c r="J4242" s="15"/>
      <c r="N4242" s="14"/>
      <c r="O4242" s="14"/>
      <c r="P4242" s="14"/>
    </row>
    <row r="4243" spans="2:16" ht="15.75" hidden="1" customHeight="1">
      <c r="B4243" s="14"/>
      <c r="H4243" s="14"/>
      <c r="I4243" s="567"/>
      <c r="J4243" s="15"/>
      <c r="N4243" s="14"/>
      <c r="O4243" s="14"/>
      <c r="P4243" s="14"/>
    </row>
    <row r="4244" spans="2:16" ht="15.75" hidden="1" customHeight="1">
      <c r="B4244" s="14"/>
      <c r="H4244" s="14"/>
      <c r="I4244" s="567"/>
      <c r="J4244" s="15"/>
      <c r="N4244" s="14"/>
      <c r="O4244" s="14"/>
      <c r="P4244" s="14"/>
    </row>
    <row r="4245" spans="2:16" ht="15.75" hidden="1" customHeight="1">
      <c r="B4245" s="14"/>
      <c r="H4245" s="14"/>
      <c r="I4245" s="567"/>
      <c r="J4245" s="15"/>
      <c r="N4245" s="14"/>
      <c r="O4245" s="14"/>
      <c r="P4245" s="14"/>
    </row>
    <row r="4246" spans="2:16" ht="15.75" hidden="1" customHeight="1">
      <c r="B4246" s="14"/>
      <c r="H4246" s="14"/>
      <c r="I4246" s="567"/>
      <c r="J4246" s="15"/>
      <c r="N4246" s="14"/>
      <c r="O4246" s="14"/>
      <c r="P4246" s="14"/>
    </row>
    <row r="4247" spans="2:16" ht="15.75" hidden="1" customHeight="1">
      <c r="B4247" s="14"/>
      <c r="H4247" s="14"/>
      <c r="I4247" s="567"/>
      <c r="J4247" s="15"/>
      <c r="N4247" s="14"/>
      <c r="O4247" s="14"/>
      <c r="P4247" s="14"/>
    </row>
    <row r="4248" spans="2:16" ht="15.75" hidden="1" customHeight="1">
      <c r="B4248" s="14"/>
      <c r="H4248" s="14"/>
      <c r="I4248" s="567"/>
      <c r="J4248" s="15"/>
      <c r="N4248" s="14"/>
      <c r="O4248" s="14"/>
      <c r="P4248" s="14"/>
    </row>
    <row r="4249" spans="2:16" ht="15.75" hidden="1" customHeight="1">
      <c r="H4249" s="14"/>
      <c r="I4249" s="567"/>
      <c r="J4249" s="15"/>
      <c r="N4249" s="14"/>
      <c r="O4249" s="14"/>
      <c r="P4249" s="14"/>
    </row>
    <row r="4250" spans="2:16" ht="15.75" hidden="1" customHeight="1">
      <c r="H4250" s="14"/>
      <c r="I4250" s="567"/>
      <c r="J4250" s="15"/>
      <c r="N4250" s="14"/>
      <c r="O4250" s="14"/>
      <c r="P4250" s="14"/>
    </row>
    <row r="4251" spans="2:16" ht="15.75" hidden="1" customHeight="1">
      <c r="H4251" s="14"/>
      <c r="I4251" s="567"/>
      <c r="J4251" s="15"/>
      <c r="N4251" s="14"/>
      <c r="O4251" s="14"/>
      <c r="P4251" s="14"/>
    </row>
    <row r="4252" spans="2:16" ht="15.75" hidden="1" customHeight="1">
      <c r="H4252" s="14"/>
      <c r="I4252" s="567"/>
      <c r="J4252" s="15"/>
      <c r="N4252" s="14"/>
      <c r="O4252" s="14"/>
      <c r="P4252" s="14"/>
    </row>
    <row r="4253" spans="2:16" ht="15.75" hidden="1" customHeight="1">
      <c r="H4253" s="14"/>
      <c r="I4253" s="567"/>
      <c r="J4253" s="15"/>
      <c r="N4253" s="14"/>
      <c r="O4253" s="14"/>
      <c r="P4253" s="14"/>
    </row>
    <row r="4254" spans="2:16" ht="15.75" hidden="1" customHeight="1">
      <c r="H4254" s="14"/>
      <c r="I4254" s="567"/>
      <c r="J4254" s="15"/>
      <c r="N4254" s="14"/>
      <c r="O4254" s="14"/>
      <c r="P4254" s="14"/>
    </row>
    <row r="4255" spans="2:16" ht="15.75" hidden="1" customHeight="1">
      <c r="H4255" s="14"/>
      <c r="I4255" s="567"/>
      <c r="J4255" s="15"/>
      <c r="N4255" s="14"/>
      <c r="O4255" s="14"/>
      <c r="P4255" s="14"/>
    </row>
    <row r="4256" spans="2:16" ht="15.75" hidden="1" customHeight="1">
      <c r="H4256" s="14"/>
      <c r="I4256" s="567"/>
      <c r="J4256" s="15"/>
      <c r="N4256" s="14"/>
      <c r="O4256" s="14"/>
      <c r="P4256" s="14"/>
    </row>
    <row r="4257" spans="8:16" ht="15.75" hidden="1" customHeight="1">
      <c r="H4257" s="14"/>
      <c r="I4257" s="567"/>
      <c r="J4257" s="15"/>
      <c r="N4257" s="14"/>
      <c r="O4257" s="14"/>
      <c r="P4257" s="14"/>
    </row>
    <row r="4258" spans="8:16" ht="15.75" hidden="1" customHeight="1">
      <c r="H4258" s="14"/>
      <c r="I4258" s="567"/>
      <c r="J4258" s="15"/>
      <c r="N4258" s="14"/>
      <c r="O4258" s="14"/>
      <c r="P4258" s="14"/>
    </row>
    <row r="4259" spans="8:16" ht="15.75" hidden="1" customHeight="1">
      <c r="H4259" s="14"/>
      <c r="I4259" s="567"/>
      <c r="J4259" s="15"/>
      <c r="N4259" s="14"/>
      <c r="O4259" s="14"/>
      <c r="P4259" s="14"/>
    </row>
    <row r="4260" spans="8:16" ht="15.75" hidden="1" customHeight="1">
      <c r="H4260" s="14"/>
      <c r="I4260" s="567"/>
      <c r="J4260" s="15"/>
      <c r="N4260" s="14"/>
      <c r="O4260" s="14"/>
      <c r="P4260" s="14"/>
    </row>
    <row r="4261" spans="8:16" ht="15.75" hidden="1" customHeight="1">
      <c r="H4261" s="14"/>
      <c r="I4261" s="567"/>
      <c r="J4261" s="15"/>
      <c r="N4261" s="14"/>
      <c r="O4261" s="14"/>
      <c r="P4261" s="14"/>
    </row>
    <row r="4262" spans="8:16" ht="15.75" hidden="1" customHeight="1">
      <c r="H4262" s="14"/>
      <c r="I4262" s="567"/>
      <c r="J4262" s="15"/>
      <c r="N4262" s="14"/>
      <c r="O4262" s="14"/>
      <c r="P4262" s="14"/>
    </row>
    <row r="4263" spans="8:16" ht="15.75" hidden="1" customHeight="1">
      <c r="H4263" s="14"/>
      <c r="I4263" s="567"/>
      <c r="J4263" s="15"/>
      <c r="N4263" s="14"/>
      <c r="O4263" s="14"/>
      <c r="P4263" s="14"/>
    </row>
    <row r="4264" spans="8:16" ht="15.75" hidden="1" customHeight="1">
      <c r="H4264" s="14"/>
      <c r="I4264" s="567"/>
      <c r="J4264" s="15"/>
      <c r="N4264" s="14"/>
      <c r="O4264" s="14"/>
      <c r="P4264" s="14"/>
    </row>
    <row r="4265" spans="8:16" ht="15.75" hidden="1" customHeight="1">
      <c r="H4265" s="14"/>
      <c r="I4265" s="567"/>
      <c r="J4265" s="15"/>
      <c r="N4265" s="14"/>
      <c r="O4265" s="14"/>
      <c r="P4265" s="14"/>
    </row>
    <row r="4266" spans="8:16" ht="15.75" hidden="1" customHeight="1">
      <c r="H4266" s="14"/>
      <c r="I4266" s="567"/>
      <c r="J4266" s="15"/>
      <c r="N4266" s="14"/>
      <c r="O4266" s="14"/>
      <c r="P4266" s="14"/>
    </row>
    <row r="4267" spans="8:16" ht="15.75" hidden="1" customHeight="1">
      <c r="H4267" s="14"/>
      <c r="I4267" s="567"/>
      <c r="J4267" s="15"/>
      <c r="N4267" s="14"/>
      <c r="O4267" s="14"/>
      <c r="P4267" s="14"/>
    </row>
    <row r="4268" spans="8:16" ht="15.75" hidden="1" customHeight="1">
      <c r="H4268" s="14"/>
      <c r="I4268" s="567"/>
      <c r="J4268" s="15"/>
      <c r="N4268" s="14"/>
      <c r="O4268" s="14"/>
      <c r="P4268" s="14"/>
    </row>
    <row r="4269" spans="8:16" ht="15.75" hidden="1" customHeight="1">
      <c r="H4269" s="14"/>
      <c r="I4269" s="567"/>
      <c r="J4269" s="15"/>
      <c r="N4269" s="14"/>
      <c r="O4269" s="14"/>
      <c r="P4269" s="14"/>
    </row>
    <row r="4270" spans="8:16" ht="15.75" hidden="1" customHeight="1">
      <c r="H4270" s="14"/>
      <c r="I4270" s="567"/>
      <c r="J4270" s="15"/>
      <c r="N4270" s="14"/>
      <c r="O4270" s="14"/>
      <c r="P4270" s="14"/>
    </row>
    <row r="4271" spans="8:16" ht="15.75" hidden="1" customHeight="1">
      <c r="H4271" s="14"/>
      <c r="I4271" s="567"/>
      <c r="J4271" s="15"/>
      <c r="N4271" s="14"/>
      <c r="O4271" s="14"/>
      <c r="P4271" s="14"/>
    </row>
    <row r="4272" spans="8:16" ht="15.75" hidden="1" customHeight="1">
      <c r="H4272" s="14"/>
      <c r="I4272" s="567"/>
      <c r="J4272" s="15"/>
      <c r="N4272" s="14"/>
      <c r="O4272" s="14"/>
      <c r="P4272" s="14"/>
    </row>
    <row r="4273" spans="8:16" ht="15.75" hidden="1" customHeight="1">
      <c r="H4273" s="14"/>
      <c r="I4273" s="567"/>
      <c r="J4273" s="15"/>
      <c r="N4273" s="14"/>
      <c r="O4273" s="14"/>
      <c r="P4273" s="14"/>
    </row>
    <row r="4274" spans="8:16" ht="15.75" hidden="1" customHeight="1">
      <c r="H4274" s="14"/>
      <c r="I4274" s="567"/>
      <c r="J4274" s="15"/>
      <c r="N4274" s="14"/>
      <c r="O4274" s="14"/>
      <c r="P4274" s="14"/>
    </row>
    <row r="4275" spans="8:16" ht="15.75" hidden="1" customHeight="1">
      <c r="H4275" s="14"/>
      <c r="I4275" s="567"/>
      <c r="J4275" s="15"/>
      <c r="N4275" s="14"/>
      <c r="O4275" s="14"/>
      <c r="P4275" s="14"/>
    </row>
    <row r="4276" spans="8:16" ht="15.75" hidden="1" customHeight="1">
      <c r="H4276" s="14"/>
      <c r="I4276" s="567"/>
      <c r="J4276" s="15"/>
      <c r="N4276" s="14"/>
      <c r="O4276" s="14"/>
      <c r="P4276" s="14"/>
    </row>
    <row r="4277" spans="8:16" ht="15.75" hidden="1" customHeight="1">
      <c r="H4277" s="14"/>
      <c r="I4277" s="567"/>
      <c r="J4277" s="15"/>
      <c r="N4277" s="14"/>
      <c r="O4277" s="14"/>
      <c r="P4277" s="14"/>
    </row>
    <row r="4278" spans="8:16" ht="15.75" hidden="1" customHeight="1">
      <c r="H4278" s="14"/>
      <c r="I4278" s="567"/>
      <c r="J4278" s="15"/>
      <c r="N4278" s="14"/>
      <c r="O4278" s="14"/>
      <c r="P4278" s="14"/>
    </row>
    <row r="4279" spans="8:16" ht="15.75" hidden="1" customHeight="1">
      <c r="H4279" s="14"/>
      <c r="I4279" s="567"/>
      <c r="J4279" s="15"/>
      <c r="N4279" s="14"/>
      <c r="O4279" s="14"/>
      <c r="P4279" s="14"/>
    </row>
    <row r="4280" spans="8:16" ht="15.75" hidden="1" customHeight="1">
      <c r="H4280" s="14"/>
      <c r="I4280" s="567"/>
      <c r="J4280" s="15"/>
      <c r="N4280" s="14"/>
      <c r="O4280" s="14"/>
      <c r="P4280" s="14"/>
    </row>
    <row r="4281" spans="8:16" ht="15.75" hidden="1" customHeight="1">
      <c r="H4281" s="14"/>
      <c r="I4281" s="567"/>
      <c r="J4281" s="15"/>
      <c r="N4281" s="14"/>
      <c r="O4281" s="14"/>
      <c r="P4281" s="14"/>
    </row>
    <row r="4282" spans="8:16" ht="15.75" hidden="1" customHeight="1">
      <c r="H4282" s="14"/>
      <c r="I4282" s="567"/>
      <c r="J4282" s="15"/>
      <c r="N4282" s="14"/>
      <c r="O4282" s="14"/>
      <c r="P4282" s="14"/>
    </row>
    <row r="4283" spans="8:16" ht="15.75" hidden="1" customHeight="1">
      <c r="H4283" s="14"/>
      <c r="I4283" s="567"/>
      <c r="J4283" s="15"/>
      <c r="N4283" s="14"/>
      <c r="O4283" s="14"/>
      <c r="P4283" s="14"/>
    </row>
    <row r="4284" spans="8:16" ht="15.75" hidden="1" customHeight="1">
      <c r="H4284" s="14"/>
      <c r="I4284" s="567"/>
      <c r="J4284" s="15"/>
      <c r="N4284" s="14"/>
      <c r="O4284" s="14"/>
      <c r="P4284" s="14"/>
    </row>
    <row r="4285" spans="8:16" ht="15.75" hidden="1" customHeight="1">
      <c r="H4285" s="14"/>
      <c r="I4285" s="567"/>
      <c r="J4285" s="15"/>
      <c r="N4285" s="14"/>
      <c r="O4285" s="14"/>
      <c r="P4285" s="14"/>
    </row>
    <row r="4286" spans="8:16" ht="15.75" hidden="1" customHeight="1">
      <c r="H4286" s="14"/>
      <c r="I4286" s="567"/>
      <c r="J4286" s="15"/>
      <c r="N4286" s="14"/>
      <c r="O4286" s="14"/>
      <c r="P4286" s="14"/>
    </row>
    <row r="4287" spans="8:16" ht="15.75" hidden="1" customHeight="1">
      <c r="H4287" s="14"/>
      <c r="I4287" s="567"/>
      <c r="J4287" s="15"/>
      <c r="N4287" s="14"/>
      <c r="O4287" s="14"/>
      <c r="P4287" s="14"/>
    </row>
    <row r="4288" spans="8:16" ht="15.75" hidden="1" customHeight="1">
      <c r="H4288" s="14"/>
      <c r="I4288" s="567"/>
      <c r="J4288" s="15"/>
      <c r="N4288" s="14"/>
      <c r="O4288" s="14"/>
      <c r="P4288" s="14"/>
    </row>
    <row r="4289" spans="8:16" ht="15.75" hidden="1" customHeight="1">
      <c r="H4289" s="14"/>
      <c r="I4289" s="567"/>
      <c r="J4289" s="15"/>
      <c r="N4289" s="14"/>
      <c r="O4289" s="14"/>
      <c r="P4289" s="14"/>
    </row>
    <row r="4290" spans="8:16" ht="15.75" hidden="1" customHeight="1">
      <c r="H4290" s="14"/>
      <c r="I4290" s="567"/>
      <c r="J4290" s="15"/>
      <c r="N4290" s="14"/>
      <c r="O4290" s="14"/>
      <c r="P4290" s="14"/>
    </row>
    <row r="4291" spans="8:16" ht="15.75" hidden="1" customHeight="1">
      <c r="H4291" s="14"/>
      <c r="I4291" s="567"/>
      <c r="J4291" s="15"/>
      <c r="N4291" s="14"/>
      <c r="O4291" s="14"/>
      <c r="P4291" s="14"/>
    </row>
    <row r="4292" spans="8:16" ht="15.75" hidden="1" customHeight="1">
      <c r="H4292" s="14"/>
      <c r="I4292" s="567"/>
      <c r="J4292" s="15"/>
      <c r="N4292" s="14"/>
      <c r="O4292" s="14"/>
      <c r="P4292" s="14"/>
    </row>
    <row r="4293" spans="8:16" ht="15.75" hidden="1" customHeight="1">
      <c r="H4293" s="14"/>
      <c r="I4293" s="567"/>
      <c r="J4293" s="15"/>
      <c r="N4293" s="14"/>
      <c r="O4293" s="14"/>
      <c r="P4293" s="14"/>
    </row>
    <row r="4294" spans="8:16" ht="15.75" hidden="1" customHeight="1">
      <c r="H4294" s="14"/>
      <c r="I4294" s="567"/>
      <c r="J4294" s="15"/>
      <c r="N4294" s="14"/>
      <c r="O4294" s="14"/>
      <c r="P4294" s="14"/>
    </row>
    <row r="4295" spans="8:16" ht="15.75" hidden="1" customHeight="1">
      <c r="H4295" s="14"/>
      <c r="I4295" s="567"/>
      <c r="J4295" s="15"/>
      <c r="N4295" s="14"/>
      <c r="O4295" s="14"/>
      <c r="P4295" s="14"/>
    </row>
    <row r="4296" spans="8:16" ht="15.75" hidden="1" customHeight="1">
      <c r="H4296" s="14"/>
      <c r="I4296" s="567"/>
      <c r="J4296" s="15"/>
      <c r="N4296" s="14"/>
      <c r="O4296" s="14"/>
      <c r="P4296" s="14"/>
    </row>
    <row r="4297" spans="8:16" ht="15.75" hidden="1" customHeight="1">
      <c r="H4297" s="14"/>
      <c r="I4297" s="567"/>
      <c r="J4297" s="15"/>
      <c r="N4297" s="14"/>
      <c r="O4297" s="14"/>
      <c r="P4297" s="14"/>
    </row>
    <row r="4298" spans="8:16" ht="15.75" hidden="1" customHeight="1">
      <c r="H4298" s="14"/>
      <c r="I4298" s="567"/>
      <c r="J4298" s="15"/>
      <c r="N4298" s="14"/>
      <c r="O4298" s="14"/>
      <c r="P4298" s="14"/>
    </row>
    <row r="4299" spans="8:16" ht="15.75" hidden="1" customHeight="1">
      <c r="H4299" s="14"/>
      <c r="I4299" s="567"/>
      <c r="J4299" s="15"/>
      <c r="N4299" s="14"/>
      <c r="O4299" s="14"/>
      <c r="P4299" s="14"/>
    </row>
    <row r="4300" spans="8:16" ht="15.75" hidden="1" customHeight="1">
      <c r="H4300" s="14"/>
      <c r="I4300" s="567"/>
      <c r="J4300" s="15"/>
      <c r="N4300" s="14"/>
      <c r="O4300" s="14"/>
      <c r="P4300" s="14"/>
    </row>
    <row r="4301" spans="8:16" ht="15.75" hidden="1" customHeight="1">
      <c r="H4301" s="14"/>
      <c r="I4301" s="567"/>
      <c r="J4301" s="15"/>
      <c r="N4301" s="14"/>
      <c r="O4301" s="14"/>
      <c r="P4301" s="14"/>
    </row>
    <row r="4302" spans="8:16" ht="15.75" hidden="1" customHeight="1">
      <c r="H4302" s="14"/>
      <c r="I4302" s="567"/>
      <c r="J4302" s="15"/>
      <c r="N4302" s="14"/>
      <c r="O4302" s="14"/>
      <c r="P4302" s="14"/>
    </row>
    <row r="4303" spans="8:16" ht="15.75" hidden="1" customHeight="1">
      <c r="H4303" s="14"/>
      <c r="I4303" s="567"/>
      <c r="J4303" s="15"/>
      <c r="N4303" s="14"/>
      <c r="O4303" s="14"/>
      <c r="P4303" s="14"/>
    </row>
    <row r="4304" spans="8:16" ht="15.75" hidden="1" customHeight="1">
      <c r="H4304" s="14"/>
      <c r="I4304" s="567"/>
      <c r="J4304" s="15"/>
      <c r="N4304" s="14"/>
      <c r="O4304" s="14"/>
      <c r="P4304" s="14"/>
    </row>
    <row r="4305" spans="7:16" ht="15.75" hidden="1" customHeight="1">
      <c r="H4305" s="14"/>
      <c r="I4305" s="567"/>
      <c r="J4305" s="15"/>
      <c r="N4305" s="14"/>
      <c r="O4305" s="14"/>
      <c r="P4305" s="14"/>
    </row>
    <row r="4306" spans="7:16" ht="15.75" hidden="1" customHeight="1">
      <c r="H4306" s="14"/>
      <c r="I4306" s="567"/>
      <c r="J4306" s="15"/>
      <c r="N4306" s="14"/>
      <c r="O4306" s="14"/>
      <c r="P4306" s="14"/>
    </row>
    <row r="4307" spans="7:16" ht="15.75" hidden="1" customHeight="1">
      <c r="H4307" s="14"/>
      <c r="I4307" s="567"/>
      <c r="J4307" s="15"/>
      <c r="N4307" s="14"/>
      <c r="O4307" s="14"/>
      <c r="P4307" s="14"/>
    </row>
    <row r="4308" spans="7:16" ht="15.75" hidden="1" customHeight="1">
      <c r="H4308" s="14"/>
      <c r="I4308" s="567"/>
      <c r="J4308" s="15"/>
      <c r="N4308" s="14"/>
      <c r="O4308" s="14"/>
      <c r="P4308" s="14"/>
    </row>
    <row r="4309" spans="7:16" ht="15.75" hidden="1" customHeight="1">
      <c r="H4309" s="14"/>
      <c r="I4309" s="567"/>
      <c r="J4309" s="15"/>
      <c r="N4309" s="14"/>
      <c r="O4309" s="14"/>
      <c r="P4309" s="14"/>
    </row>
    <row r="4310" spans="7:16" ht="15.75" hidden="1" customHeight="1">
      <c r="H4310" s="14"/>
      <c r="I4310" s="567"/>
      <c r="J4310" s="15"/>
      <c r="N4310" s="14"/>
      <c r="O4310" s="14"/>
      <c r="P4310" s="14"/>
    </row>
    <row r="4311" spans="7:16" ht="15.75" hidden="1" customHeight="1">
      <c r="H4311" s="14"/>
      <c r="I4311" s="567"/>
      <c r="J4311" s="15"/>
      <c r="N4311" s="14"/>
      <c r="O4311" s="14"/>
      <c r="P4311" s="14"/>
    </row>
    <row r="4312" spans="7:16" ht="15.75" hidden="1" customHeight="1">
      <c r="H4312" s="14"/>
      <c r="I4312" s="567"/>
      <c r="J4312" s="15"/>
      <c r="N4312" s="14"/>
      <c r="O4312" s="14"/>
      <c r="P4312" s="14"/>
    </row>
    <row r="4313" spans="7:16" ht="15.75" hidden="1" customHeight="1">
      <c r="H4313" s="14"/>
      <c r="I4313" s="567"/>
      <c r="J4313" s="15"/>
      <c r="N4313" s="14"/>
      <c r="O4313" s="14"/>
      <c r="P4313" s="14"/>
    </row>
    <row r="4314" spans="7:16" ht="15.75" hidden="1" customHeight="1">
      <c r="H4314" s="14"/>
      <c r="I4314" s="567"/>
      <c r="J4314" s="15"/>
      <c r="N4314" s="14"/>
      <c r="O4314" s="14"/>
      <c r="P4314" s="14"/>
    </row>
    <row r="4315" spans="7:16" ht="15.75" hidden="1" customHeight="1">
      <c r="H4315" s="14"/>
      <c r="I4315" s="567"/>
      <c r="J4315" s="15"/>
      <c r="N4315" s="14"/>
      <c r="O4315" s="14"/>
      <c r="P4315" s="14"/>
    </row>
    <row r="4316" spans="7:16" ht="15.75" hidden="1" customHeight="1">
      <c r="H4316" s="14"/>
      <c r="I4316" s="567"/>
      <c r="J4316" s="15"/>
      <c r="N4316" s="14"/>
      <c r="O4316" s="14"/>
      <c r="P4316" s="14"/>
    </row>
    <row r="4317" spans="7:16" ht="15.75" hidden="1" customHeight="1">
      <c r="H4317" s="14"/>
      <c r="I4317" s="567"/>
      <c r="J4317" s="15"/>
      <c r="N4317" s="14"/>
      <c r="O4317" s="14"/>
      <c r="P4317" s="14"/>
    </row>
    <row r="4318" spans="7:16" ht="15.75" hidden="1" customHeight="1">
      <c r="G4318" s="123"/>
      <c r="H4318" s="14"/>
      <c r="I4318" s="567"/>
      <c r="J4318" s="15"/>
      <c r="N4318" s="14"/>
      <c r="O4318" s="14"/>
      <c r="P4318" s="14"/>
    </row>
    <row r="4319" spans="7:16" ht="15.75" hidden="1" customHeight="1">
      <c r="H4319" s="14"/>
      <c r="I4319" s="567"/>
      <c r="J4319" s="15"/>
      <c r="N4319" s="14"/>
      <c r="O4319" s="14"/>
      <c r="P4319" s="14"/>
    </row>
    <row r="4320" spans="7:16" ht="15.75" hidden="1" customHeight="1">
      <c r="H4320" s="14"/>
      <c r="I4320" s="567"/>
      <c r="J4320" s="15"/>
      <c r="N4320" s="14"/>
      <c r="O4320" s="14"/>
      <c r="P4320" s="14"/>
    </row>
    <row r="4321" spans="8:33" ht="15.75" hidden="1" customHeight="1">
      <c r="H4321" s="14"/>
      <c r="I4321" s="567"/>
      <c r="J4321" s="15"/>
      <c r="N4321" s="14"/>
      <c r="O4321" s="14"/>
      <c r="P4321" s="14"/>
    </row>
    <row r="4322" spans="8:33" ht="15.75" hidden="1" customHeight="1">
      <c r="H4322" s="14"/>
      <c r="I4322" s="567"/>
      <c r="J4322" s="15"/>
      <c r="N4322" s="14"/>
      <c r="O4322" s="14"/>
      <c r="P4322" s="14"/>
    </row>
    <row r="4323" spans="8:33" ht="15.75" hidden="1" customHeight="1">
      <c r="H4323" s="14"/>
      <c r="I4323" s="567"/>
      <c r="J4323" s="15"/>
      <c r="N4323" s="14"/>
      <c r="O4323" s="14"/>
      <c r="P4323" s="14"/>
    </row>
    <row r="4324" spans="8:33" ht="15.75" hidden="1" customHeight="1">
      <c r="H4324" s="14"/>
      <c r="I4324" s="567"/>
      <c r="J4324" s="15"/>
      <c r="N4324" s="14"/>
      <c r="O4324" s="14"/>
      <c r="P4324" s="14"/>
    </row>
    <row r="4325" spans="8:33" ht="15.75" hidden="1" customHeight="1">
      <c r="H4325" s="14"/>
      <c r="I4325" s="567"/>
      <c r="J4325" s="15"/>
      <c r="N4325" s="14"/>
      <c r="O4325" s="14"/>
      <c r="P4325" s="14"/>
    </row>
    <row r="4326" spans="8:33" ht="15.75" hidden="1" customHeight="1">
      <c r="H4326" s="14"/>
      <c r="I4326" s="567"/>
      <c r="J4326" s="15"/>
      <c r="N4326" s="14"/>
      <c r="O4326" s="14"/>
      <c r="P4326" s="14"/>
    </row>
    <row r="4327" spans="8:33" ht="15.75" hidden="1" customHeight="1">
      <c r="H4327" s="14"/>
      <c r="I4327" s="567"/>
      <c r="J4327" s="15"/>
      <c r="N4327" s="14"/>
      <c r="O4327" s="14"/>
      <c r="P4327" s="14"/>
      <c r="AG4327" s="87"/>
    </row>
    <row r="4328" spans="8:33" ht="15.75" hidden="1" customHeight="1">
      <c r="H4328" s="14"/>
      <c r="I4328" s="567"/>
      <c r="J4328" s="15"/>
      <c r="N4328" s="14"/>
      <c r="O4328" s="14"/>
      <c r="P4328" s="14"/>
    </row>
    <row r="4329" spans="8:33" ht="15.75" hidden="1" customHeight="1">
      <c r="H4329" s="14"/>
      <c r="I4329" s="567"/>
      <c r="J4329" s="15"/>
      <c r="N4329" s="14"/>
      <c r="O4329" s="14"/>
      <c r="P4329" s="14"/>
    </row>
    <row r="4330" spans="8:33" ht="15.75" hidden="1" customHeight="1">
      <c r="H4330" s="14"/>
      <c r="I4330" s="567"/>
      <c r="J4330" s="15"/>
      <c r="N4330" s="14"/>
      <c r="O4330" s="14"/>
      <c r="P4330" s="14"/>
    </row>
    <row r="4331" spans="8:33" ht="15.75" hidden="1" customHeight="1">
      <c r="H4331" s="14"/>
      <c r="I4331" s="567"/>
      <c r="J4331" s="15"/>
      <c r="N4331" s="14"/>
      <c r="O4331" s="14"/>
      <c r="P4331" s="14"/>
    </row>
    <row r="4332" spans="8:33" ht="15.75" hidden="1" customHeight="1">
      <c r="H4332" s="14"/>
      <c r="I4332" s="567"/>
      <c r="J4332" s="15"/>
      <c r="N4332" s="14"/>
      <c r="O4332" s="14"/>
      <c r="P4332" s="14"/>
    </row>
    <row r="4333" spans="8:33" ht="15.75" hidden="1" customHeight="1">
      <c r="H4333" s="14"/>
      <c r="I4333" s="567"/>
      <c r="J4333" s="124"/>
      <c r="N4333" s="14"/>
      <c r="O4333" s="14"/>
      <c r="P4333" s="14"/>
    </row>
    <row r="4334" spans="8:33" ht="15.75" hidden="1" customHeight="1">
      <c r="H4334" s="14"/>
      <c r="I4334" s="567"/>
      <c r="J4334" s="15"/>
      <c r="N4334" s="14"/>
      <c r="O4334" s="14"/>
      <c r="P4334" s="14"/>
    </row>
    <row r="4335" spans="8:33" ht="15.75" hidden="1" customHeight="1">
      <c r="H4335" s="14"/>
      <c r="I4335" s="567"/>
      <c r="J4335" s="15"/>
      <c r="N4335" s="14"/>
      <c r="O4335" s="14"/>
      <c r="P4335" s="14"/>
    </row>
    <row r="4336" spans="8:33" ht="15.75" hidden="1" customHeight="1">
      <c r="H4336" s="14"/>
      <c r="I4336" s="567"/>
      <c r="J4336" s="15"/>
      <c r="N4336" s="14"/>
      <c r="O4336" s="14"/>
      <c r="P4336" s="14"/>
    </row>
    <row r="4337" spans="8:16" ht="15.75" hidden="1" customHeight="1">
      <c r="H4337" s="14"/>
      <c r="I4337" s="567"/>
      <c r="J4337" s="15"/>
      <c r="N4337" s="14"/>
      <c r="O4337" s="14"/>
      <c r="P4337" s="14"/>
    </row>
    <row r="4338" spans="8:16" ht="15.75" hidden="1" customHeight="1">
      <c r="H4338" s="14"/>
      <c r="I4338" s="567"/>
      <c r="J4338" s="15"/>
      <c r="N4338" s="14"/>
      <c r="O4338" s="14"/>
      <c r="P4338" s="14"/>
    </row>
    <row r="4339" spans="8:16" ht="15.75" hidden="1" customHeight="1">
      <c r="H4339" s="14"/>
      <c r="I4339" s="567"/>
      <c r="J4339" s="15"/>
      <c r="N4339" s="14"/>
      <c r="O4339" s="14"/>
      <c r="P4339" s="14"/>
    </row>
    <row r="4340" spans="8:16" ht="15.75" hidden="1" customHeight="1">
      <c r="H4340" s="14"/>
      <c r="I4340" s="567"/>
      <c r="J4340" s="15"/>
      <c r="N4340" s="14"/>
      <c r="O4340" s="14"/>
      <c r="P4340" s="14"/>
    </row>
    <row r="4341" spans="8:16" ht="15.75" hidden="1" customHeight="1">
      <c r="H4341" s="14"/>
      <c r="I4341" s="567"/>
      <c r="J4341" s="15"/>
      <c r="N4341" s="14"/>
      <c r="O4341" s="14"/>
      <c r="P4341" s="14"/>
    </row>
    <row r="4342" spans="8:16" ht="15.75" hidden="1" customHeight="1">
      <c r="H4342" s="14"/>
      <c r="I4342" s="567"/>
      <c r="J4342" s="15"/>
      <c r="N4342" s="14"/>
      <c r="O4342" s="14"/>
      <c r="P4342" s="14"/>
    </row>
    <row r="4343" spans="8:16" ht="15.75" hidden="1" customHeight="1">
      <c r="H4343" s="14"/>
      <c r="I4343" s="567"/>
      <c r="J4343" s="15"/>
      <c r="N4343" s="14"/>
      <c r="O4343" s="14"/>
      <c r="P4343" s="14"/>
    </row>
    <row r="4344" spans="8:16" ht="15.75" hidden="1" customHeight="1">
      <c r="H4344" s="14"/>
      <c r="I4344" s="567"/>
      <c r="J4344" s="15"/>
      <c r="N4344" s="14"/>
      <c r="O4344" s="14"/>
      <c r="P4344" s="14"/>
    </row>
    <row r="4345" spans="8:16" ht="15.75" hidden="1" customHeight="1">
      <c r="H4345" s="14"/>
      <c r="I4345" s="567"/>
      <c r="J4345" s="15"/>
      <c r="N4345" s="14"/>
      <c r="O4345" s="14"/>
      <c r="P4345" s="14"/>
    </row>
    <row r="4346" spans="8:16" ht="15.75" hidden="1" customHeight="1">
      <c r="H4346" s="14"/>
      <c r="I4346" s="567"/>
      <c r="J4346" s="15"/>
      <c r="N4346" s="14"/>
      <c r="O4346" s="14"/>
      <c r="P4346" s="14"/>
    </row>
    <row r="4347" spans="8:16" ht="15.75" hidden="1" customHeight="1">
      <c r="H4347" s="14"/>
      <c r="I4347" s="567"/>
      <c r="J4347" s="15"/>
      <c r="N4347" s="14"/>
      <c r="O4347" s="14"/>
      <c r="P4347" s="14"/>
    </row>
    <row r="4348" spans="8:16" ht="15.75" hidden="1" customHeight="1">
      <c r="H4348" s="14"/>
      <c r="I4348" s="567"/>
      <c r="J4348" s="15"/>
      <c r="N4348" s="14"/>
      <c r="O4348" s="14"/>
      <c r="P4348" s="14"/>
    </row>
    <row r="4349" spans="8:16" ht="15.75" hidden="1" customHeight="1">
      <c r="H4349" s="14"/>
      <c r="I4349" s="567"/>
      <c r="J4349" s="15"/>
      <c r="N4349" s="14"/>
      <c r="O4349" s="14"/>
      <c r="P4349" s="14"/>
    </row>
    <row r="4350" spans="8:16" ht="15.75" hidden="1" customHeight="1">
      <c r="H4350" s="14"/>
      <c r="I4350" s="567"/>
      <c r="J4350" s="15"/>
      <c r="N4350" s="14"/>
      <c r="O4350" s="14"/>
      <c r="P4350" s="14"/>
    </row>
    <row r="4351" spans="8:16" ht="15.75" hidden="1" customHeight="1">
      <c r="H4351" s="14"/>
      <c r="I4351" s="567"/>
      <c r="J4351" s="15"/>
      <c r="N4351" s="14"/>
      <c r="O4351" s="14"/>
      <c r="P4351" s="14"/>
    </row>
    <row r="4352" spans="8:16" ht="15.75" hidden="1" customHeight="1">
      <c r="H4352" s="14"/>
      <c r="I4352" s="567"/>
      <c r="J4352" s="15"/>
      <c r="N4352" s="14"/>
      <c r="O4352" s="14"/>
      <c r="P4352" s="14"/>
    </row>
    <row r="4353" spans="8:16" ht="15.75" hidden="1" customHeight="1">
      <c r="H4353" s="14"/>
      <c r="I4353" s="567"/>
      <c r="J4353" s="15"/>
      <c r="N4353" s="14"/>
      <c r="O4353" s="14"/>
      <c r="P4353" s="14"/>
    </row>
    <row r="4354" spans="8:16" ht="15.75" hidden="1" customHeight="1">
      <c r="H4354" s="14"/>
      <c r="I4354" s="567"/>
      <c r="J4354" s="15"/>
      <c r="N4354" s="14"/>
      <c r="O4354" s="14"/>
      <c r="P4354" s="14"/>
    </row>
    <row r="4355" spans="8:16" ht="15.75" hidden="1" customHeight="1">
      <c r="H4355" s="14"/>
      <c r="I4355" s="567"/>
      <c r="J4355" s="15"/>
      <c r="N4355" s="14"/>
      <c r="O4355" s="14"/>
      <c r="P4355" s="14"/>
    </row>
    <row r="4356" spans="8:16" ht="15.75" hidden="1" customHeight="1">
      <c r="H4356" s="14"/>
      <c r="I4356" s="567"/>
      <c r="J4356" s="15"/>
      <c r="N4356" s="14"/>
      <c r="O4356" s="14"/>
      <c r="P4356" s="14"/>
    </row>
    <row r="4357" spans="8:16" ht="15.75" hidden="1" customHeight="1">
      <c r="H4357" s="14"/>
      <c r="I4357" s="567"/>
      <c r="J4357" s="15"/>
      <c r="N4357" s="14"/>
      <c r="O4357" s="14"/>
      <c r="P4357" s="14"/>
    </row>
    <row r="4358" spans="8:16" ht="15.75" hidden="1" customHeight="1">
      <c r="H4358" s="14"/>
      <c r="I4358" s="567"/>
      <c r="J4358" s="15"/>
      <c r="N4358" s="14"/>
      <c r="O4358" s="14"/>
      <c r="P4358" s="14"/>
    </row>
    <row r="4359" spans="8:16" ht="15.75" hidden="1" customHeight="1">
      <c r="H4359" s="14"/>
      <c r="I4359" s="567"/>
      <c r="J4359" s="15"/>
      <c r="N4359" s="14"/>
      <c r="O4359" s="14"/>
      <c r="P4359" s="14"/>
    </row>
    <row r="4360" spans="8:16" ht="15.75" hidden="1" customHeight="1">
      <c r="H4360" s="14"/>
      <c r="I4360" s="567"/>
      <c r="J4360" s="15"/>
      <c r="N4360" s="14"/>
      <c r="O4360" s="14"/>
      <c r="P4360" s="14"/>
    </row>
    <row r="4361" spans="8:16" ht="15.75" hidden="1" customHeight="1">
      <c r="H4361" s="14"/>
      <c r="I4361" s="567"/>
      <c r="J4361" s="15"/>
      <c r="N4361" s="14"/>
      <c r="O4361" s="14"/>
      <c r="P4361" s="14"/>
    </row>
    <row r="4362" spans="8:16" ht="15.75" hidden="1" customHeight="1">
      <c r="H4362" s="14"/>
      <c r="I4362" s="567"/>
      <c r="J4362" s="15"/>
      <c r="N4362" s="14"/>
      <c r="O4362" s="14"/>
      <c r="P4362" s="14"/>
    </row>
    <row r="4363" spans="8:16" ht="15.75" hidden="1" customHeight="1">
      <c r="H4363" s="14"/>
      <c r="I4363" s="567"/>
      <c r="J4363" s="15"/>
      <c r="N4363" s="14"/>
      <c r="O4363" s="14"/>
      <c r="P4363" s="14"/>
    </row>
    <row r="4364" spans="8:16" ht="15.75" hidden="1" customHeight="1">
      <c r="H4364" s="14"/>
      <c r="I4364" s="567"/>
      <c r="J4364" s="15"/>
      <c r="N4364" s="14"/>
      <c r="O4364" s="14"/>
      <c r="P4364" s="14"/>
    </row>
    <row r="4365" spans="8:16" ht="15.75" hidden="1" customHeight="1">
      <c r="H4365" s="14"/>
      <c r="I4365" s="567"/>
      <c r="J4365" s="15"/>
      <c r="N4365" s="14"/>
      <c r="O4365" s="14"/>
      <c r="P4365" s="14"/>
    </row>
    <row r="4366" spans="8:16" ht="15.75" hidden="1" customHeight="1">
      <c r="H4366" s="14"/>
      <c r="I4366" s="567"/>
      <c r="J4366" s="15"/>
      <c r="N4366" s="14"/>
      <c r="O4366" s="14"/>
      <c r="P4366" s="14"/>
    </row>
    <row r="4367" spans="8:16" ht="15.75" hidden="1" customHeight="1">
      <c r="H4367" s="14"/>
      <c r="I4367" s="567"/>
      <c r="J4367" s="15"/>
      <c r="N4367" s="14"/>
      <c r="O4367" s="14"/>
      <c r="P4367" s="14"/>
    </row>
    <row r="4368" spans="8:16" ht="15.75" hidden="1" customHeight="1">
      <c r="H4368" s="14"/>
      <c r="I4368" s="567"/>
      <c r="J4368" s="15"/>
      <c r="N4368" s="14"/>
      <c r="O4368" s="14"/>
      <c r="P4368" s="14"/>
    </row>
    <row r="4369" spans="8:16" ht="15.75" hidden="1" customHeight="1">
      <c r="H4369" s="14"/>
      <c r="I4369" s="567"/>
      <c r="J4369" s="15"/>
      <c r="N4369" s="14"/>
      <c r="O4369" s="14"/>
      <c r="P4369" s="14"/>
    </row>
    <row r="4370" spans="8:16" ht="15.75" hidden="1" customHeight="1">
      <c r="H4370" s="14"/>
      <c r="I4370" s="567"/>
      <c r="J4370" s="15"/>
      <c r="N4370" s="14"/>
      <c r="O4370" s="14"/>
      <c r="P4370" s="14"/>
    </row>
    <row r="4371" spans="8:16" ht="15.75" hidden="1" customHeight="1">
      <c r="H4371" s="14"/>
      <c r="I4371" s="567"/>
      <c r="J4371" s="15"/>
      <c r="N4371" s="14"/>
      <c r="O4371" s="14"/>
      <c r="P4371" s="14"/>
    </row>
    <row r="4372" spans="8:16" ht="15.75" hidden="1" customHeight="1">
      <c r="H4372" s="14"/>
      <c r="I4372" s="567"/>
      <c r="J4372" s="15"/>
      <c r="N4372" s="14"/>
      <c r="O4372" s="14"/>
      <c r="P4372" s="14"/>
    </row>
    <row r="4373" spans="8:16" ht="15.75" hidden="1" customHeight="1">
      <c r="H4373" s="14"/>
      <c r="I4373" s="567"/>
      <c r="J4373" s="15"/>
      <c r="N4373" s="14"/>
      <c r="O4373" s="14"/>
      <c r="P4373" s="14"/>
    </row>
    <row r="4374" spans="8:16" ht="15.75" hidden="1" customHeight="1">
      <c r="H4374" s="14"/>
      <c r="I4374" s="567"/>
      <c r="J4374" s="15"/>
      <c r="N4374" s="14"/>
      <c r="O4374" s="14"/>
      <c r="P4374" s="14"/>
    </row>
    <row r="4375" spans="8:16" ht="15.75" hidden="1" customHeight="1">
      <c r="H4375" s="14"/>
      <c r="I4375" s="567"/>
      <c r="J4375" s="15"/>
      <c r="N4375" s="14"/>
      <c r="O4375" s="14"/>
      <c r="P4375" s="14"/>
    </row>
    <row r="4376" spans="8:16" ht="15.75" hidden="1" customHeight="1">
      <c r="H4376" s="14"/>
      <c r="I4376" s="567"/>
      <c r="J4376" s="15"/>
      <c r="N4376" s="14"/>
      <c r="O4376" s="14"/>
      <c r="P4376" s="14"/>
    </row>
    <row r="4377" spans="8:16" ht="15.75" hidden="1" customHeight="1">
      <c r="H4377" s="14"/>
      <c r="I4377" s="567"/>
      <c r="J4377" s="15"/>
      <c r="N4377" s="14"/>
      <c r="O4377" s="14"/>
      <c r="P4377" s="14"/>
    </row>
    <row r="4378" spans="8:16" ht="15.75" hidden="1" customHeight="1">
      <c r="H4378" s="14"/>
      <c r="I4378" s="567"/>
      <c r="J4378" s="15"/>
      <c r="N4378" s="14"/>
      <c r="O4378" s="14"/>
      <c r="P4378" s="14"/>
    </row>
    <row r="4379" spans="8:16" ht="15.75" hidden="1" customHeight="1">
      <c r="H4379" s="14"/>
      <c r="I4379" s="567"/>
      <c r="J4379" s="15"/>
      <c r="N4379" s="14"/>
      <c r="O4379" s="14"/>
      <c r="P4379" s="14"/>
    </row>
    <row r="4380" spans="8:16" ht="15.75" hidden="1" customHeight="1">
      <c r="H4380" s="14"/>
      <c r="I4380" s="567"/>
      <c r="J4380" s="15"/>
      <c r="N4380" s="14"/>
      <c r="O4380" s="14"/>
      <c r="P4380" s="14"/>
    </row>
    <row r="4381" spans="8:16" ht="15.75" hidden="1" customHeight="1">
      <c r="H4381" s="14"/>
      <c r="I4381" s="567"/>
      <c r="J4381" s="15"/>
      <c r="N4381" s="14"/>
      <c r="O4381" s="14"/>
      <c r="P4381" s="14"/>
    </row>
    <row r="4382" spans="8:16" ht="15.75" hidden="1" customHeight="1">
      <c r="H4382" s="14"/>
      <c r="I4382" s="567"/>
      <c r="J4382" s="15"/>
      <c r="N4382" s="14"/>
      <c r="O4382" s="14"/>
      <c r="P4382" s="14"/>
    </row>
    <row r="4383" spans="8:16" ht="15.75" hidden="1" customHeight="1">
      <c r="H4383" s="14"/>
      <c r="I4383" s="567"/>
      <c r="J4383" s="15"/>
      <c r="N4383" s="14"/>
      <c r="O4383" s="14"/>
      <c r="P4383" s="14"/>
    </row>
    <row r="4384" spans="8:16" ht="15.75" hidden="1" customHeight="1">
      <c r="H4384" s="14"/>
      <c r="I4384" s="567"/>
      <c r="J4384" s="15"/>
      <c r="N4384" s="14"/>
      <c r="O4384" s="14"/>
      <c r="P4384" s="14"/>
    </row>
    <row r="4385" spans="8:16" ht="15.75" hidden="1" customHeight="1">
      <c r="H4385" s="14"/>
      <c r="I4385" s="567"/>
      <c r="J4385" s="15"/>
      <c r="N4385" s="14"/>
      <c r="O4385" s="14"/>
      <c r="P4385" s="14"/>
    </row>
    <row r="4386" spans="8:16" ht="15.75" hidden="1" customHeight="1">
      <c r="H4386" s="14"/>
      <c r="I4386" s="567"/>
      <c r="J4386" s="15"/>
      <c r="N4386" s="14"/>
      <c r="O4386" s="14"/>
      <c r="P4386" s="14"/>
    </row>
    <row r="4387" spans="8:16" ht="15.75" hidden="1" customHeight="1">
      <c r="H4387" s="14"/>
      <c r="I4387" s="567"/>
      <c r="J4387" s="15"/>
      <c r="N4387" s="14"/>
      <c r="O4387" s="14"/>
      <c r="P4387" s="14"/>
    </row>
    <row r="4388" spans="8:16" ht="15.75" hidden="1" customHeight="1">
      <c r="H4388" s="14"/>
      <c r="I4388" s="567"/>
      <c r="J4388" s="15"/>
      <c r="N4388" s="14"/>
      <c r="O4388" s="14"/>
      <c r="P4388" s="14"/>
    </row>
    <row r="4389" spans="8:16" ht="15.75" hidden="1" customHeight="1">
      <c r="H4389" s="14"/>
      <c r="I4389" s="567"/>
      <c r="J4389" s="15"/>
      <c r="N4389" s="14"/>
      <c r="O4389" s="14"/>
      <c r="P4389" s="14"/>
    </row>
    <row r="4390" spans="8:16" ht="15.75" hidden="1" customHeight="1">
      <c r="H4390" s="14"/>
      <c r="I4390" s="567"/>
      <c r="J4390" s="15"/>
      <c r="N4390" s="14"/>
      <c r="O4390" s="14"/>
      <c r="P4390" s="14"/>
    </row>
    <row r="4391" spans="8:16" ht="15.75" hidden="1" customHeight="1">
      <c r="H4391" s="14"/>
      <c r="I4391" s="567"/>
      <c r="J4391" s="15"/>
      <c r="N4391" s="14"/>
      <c r="O4391" s="14"/>
      <c r="P4391" s="14"/>
    </row>
    <row r="4392" spans="8:16" ht="15.75" hidden="1" customHeight="1">
      <c r="H4392" s="14"/>
      <c r="I4392" s="567"/>
      <c r="J4392" s="15"/>
      <c r="N4392" s="14"/>
      <c r="O4392" s="14"/>
      <c r="P4392" s="14"/>
    </row>
    <row r="4393" spans="8:16" ht="15.75" hidden="1" customHeight="1">
      <c r="H4393" s="14"/>
      <c r="I4393" s="567"/>
      <c r="J4393" s="15"/>
      <c r="N4393" s="14"/>
      <c r="O4393" s="14"/>
      <c r="P4393" s="14"/>
    </row>
    <row r="4394" spans="8:16" ht="15.75" hidden="1" customHeight="1">
      <c r="H4394" s="14"/>
      <c r="I4394" s="567"/>
      <c r="J4394" s="15"/>
      <c r="N4394" s="14"/>
      <c r="O4394" s="14"/>
      <c r="P4394" s="14"/>
    </row>
    <row r="4395" spans="8:16" ht="15.75" hidden="1" customHeight="1">
      <c r="H4395" s="14"/>
      <c r="I4395" s="567"/>
      <c r="J4395" s="15"/>
      <c r="N4395" s="14"/>
      <c r="O4395" s="14"/>
      <c r="P4395" s="14"/>
    </row>
    <row r="4396" spans="8:16" ht="15.75" hidden="1" customHeight="1">
      <c r="H4396" s="14"/>
      <c r="I4396" s="567"/>
      <c r="J4396" s="15"/>
      <c r="N4396" s="14"/>
      <c r="O4396" s="14"/>
      <c r="P4396" s="14"/>
    </row>
    <row r="4397" spans="8:16" ht="15.75" hidden="1" customHeight="1">
      <c r="H4397" s="14"/>
      <c r="I4397" s="567"/>
      <c r="J4397" s="15"/>
      <c r="N4397" s="14"/>
      <c r="O4397" s="14"/>
      <c r="P4397" s="14"/>
    </row>
    <row r="4398" spans="8:16" ht="15.75" hidden="1" customHeight="1">
      <c r="H4398" s="14"/>
      <c r="I4398" s="567"/>
      <c r="J4398" s="15"/>
      <c r="N4398" s="14"/>
      <c r="O4398" s="14"/>
      <c r="P4398" s="14"/>
    </row>
    <row r="4399" spans="8:16" ht="15.75" hidden="1" customHeight="1">
      <c r="H4399" s="14"/>
      <c r="I4399" s="567"/>
      <c r="J4399" s="15"/>
      <c r="N4399" s="14"/>
      <c r="O4399" s="14"/>
      <c r="P4399" s="14"/>
    </row>
    <row r="4400" spans="8:16" ht="15.75" hidden="1" customHeight="1">
      <c r="H4400" s="14"/>
      <c r="I4400" s="567"/>
      <c r="J4400" s="15"/>
      <c r="N4400" s="14"/>
      <c r="O4400" s="14"/>
      <c r="P4400" s="14"/>
    </row>
    <row r="4401" spans="8:16" ht="15.75" hidden="1" customHeight="1">
      <c r="H4401" s="14"/>
      <c r="I4401" s="567"/>
      <c r="J4401" s="15"/>
      <c r="N4401" s="14"/>
      <c r="O4401" s="14"/>
      <c r="P4401" s="14"/>
    </row>
    <row r="4402" spans="8:16" ht="15.75" hidden="1" customHeight="1">
      <c r="H4402" s="14"/>
      <c r="I4402" s="567"/>
      <c r="J4402" s="15"/>
      <c r="N4402" s="14"/>
      <c r="O4402" s="14"/>
      <c r="P4402" s="14"/>
    </row>
    <row r="4403" spans="8:16" ht="15.75" hidden="1" customHeight="1">
      <c r="H4403" s="14"/>
      <c r="I4403" s="567"/>
      <c r="J4403" s="15"/>
      <c r="N4403" s="14"/>
      <c r="O4403" s="14"/>
      <c r="P4403" s="14"/>
    </row>
    <row r="4404" spans="8:16" ht="15.75" hidden="1" customHeight="1">
      <c r="H4404" s="14"/>
      <c r="I4404" s="567"/>
      <c r="J4404" s="15"/>
      <c r="N4404" s="14"/>
      <c r="O4404" s="14"/>
      <c r="P4404" s="14"/>
    </row>
    <row r="4405" spans="8:16" ht="15.75" hidden="1" customHeight="1">
      <c r="H4405" s="14"/>
      <c r="I4405" s="567"/>
      <c r="J4405" s="15"/>
      <c r="N4405" s="14"/>
      <c r="O4405" s="14"/>
      <c r="P4405" s="14"/>
    </row>
    <row r="4406" spans="8:16" ht="15.75" hidden="1" customHeight="1">
      <c r="H4406" s="14"/>
      <c r="I4406" s="567"/>
      <c r="J4406" s="15"/>
      <c r="N4406" s="14"/>
      <c r="O4406" s="14"/>
      <c r="P4406" s="14"/>
    </row>
    <row r="4407" spans="8:16" ht="15.75" hidden="1" customHeight="1">
      <c r="H4407" s="14"/>
      <c r="I4407" s="567"/>
      <c r="J4407" s="15"/>
      <c r="N4407" s="14"/>
      <c r="O4407" s="14"/>
      <c r="P4407" s="14"/>
    </row>
    <row r="4408" spans="8:16" ht="15.75" hidden="1" customHeight="1">
      <c r="H4408" s="14"/>
      <c r="I4408" s="567"/>
      <c r="J4408" s="15"/>
      <c r="N4408" s="14"/>
      <c r="O4408" s="14"/>
      <c r="P4408" s="14"/>
    </row>
    <row r="4409" spans="8:16" ht="15.75" hidden="1" customHeight="1">
      <c r="H4409" s="14"/>
      <c r="I4409" s="567"/>
      <c r="J4409" s="15"/>
      <c r="N4409" s="14"/>
      <c r="O4409" s="14"/>
      <c r="P4409" s="14"/>
    </row>
    <row r="4410" spans="8:16" ht="15.75" hidden="1" customHeight="1">
      <c r="H4410" s="14"/>
      <c r="I4410" s="567"/>
      <c r="J4410" s="15"/>
      <c r="N4410" s="14"/>
      <c r="O4410" s="14"/>
      <c r="P4410" s="14"/>
    </row>
    <row r="4411" spans="8:16" ht="15.75" hidden="1" customHeight="1">
      <c r="H4411" s="14"/>
      <c r="I4411" s="567"/>
      <c r="J4411" s="15"/>
      <c r="N4411" s="14"/>
      <c r="O4411" s="14"/>
      <c r="P4411" s="14"/>
    </row>
    <row r="4412" spans="8:16" ht="15.75" hidden="1" customHeight="1">
      <c r="H4412" s="14"/>
      <c r="I4412" s="567"/>
      <c r="J4412" s="15"/>
      <c r="N4412" s="14"/>
      <c r="O4412" s="14"/>
      <c r="P4412" s="14"/>
    </row>
    <row r="4413" spans="8:16" ht="15.75" hidden="1" customHeight="1">
      <c r="H4413" s="14"/>
      <c r="I4413" s="567"/>
      <c r="J4413" s="15"/>
      <c r="N4413" s="14"/>
      <c r="O4413" s="14"/>
      <c r="P4413" s="14"/>
    </row>
    <row r="4414" spans="8:16" ht="15.75" hidden="1" customHeight="1">
      <c r="H4414" s="14"/>
      <c r="I4414" s="567"/>
      <c r="J4414" s="15"/>
      <c r="N4414" s="14"/>
      <c r="O4414" s="14"/>
      <c r="P4414" s="14"/>
    </row>
    <row r="4415" spans="8:16" ht="15.75" hidden="1" customHeight="1">
      <c r="H4415" s="14"/>
      <c r="I4415" s="567"/>
      <c r="J4415" s="15"/>
      <c r="N4415" s="14"/>
      <c r="O4415" s="14"/>
      <c r="P4415" s="14"/>
    </row>
    <row r="4416" spans="8:16" ht="15.75" hidden="1" customHeight="1">
      <c r="H4416" s="14"/>
      <c r="I4416" s="567"/>
      <c r="J4416" s="15"/>
      <c r="N4416" s="14"/>
      <c r="O4416" s="14"/>
      <c r="P4416" s="14"/>
    </row>
    <row r="4417" spans="8:16" ht="15.75" hidden="1" customHeight="1">
      <c r="H4417" s="14"/>
      <c r="I4417" s="567"/>
      <c r="J4417" s="15"/>
      <c r="N4417" s="14"/>
      <c r="O4417" s="14"/>
      <c r="P4417" s="14"/>
    </row>
    <row r="4418" spans="8:16" ht="15.75" hidden="1" customHeight="1">
      <c r="H4418" s="14"/>
      <c r="I4418" s="567"/>
      <c r="J4418" s="15"/>
      <c r="N4418" s="14"/>
      <c r="O4418" s="14"/>
      <c r="P4418" s="14"/>
    </row>
    <row r="4419" spans="8:16" ht="15.75" hidden="1" customHeight="1">
      <c r="H4419" s="14"/>
      <c r="I4419" s="567"/>
      <c r="J4419" s="15"/>
      <c r="N4419" s="14"/>
      <c r="O4419" s="14"/>
      <c r="P4419" s="14"/>
    </row>
    <row r="4420" spans="8:16" ht="15.75" hidden="1" customHeight="1">
      <c r="H4420" s="14"/>
      <c r="I4420" s="567"/>
      <c r="J4420" s="15"/>
      <c r="N4420" s="14"/>
      <c r="O4420" s="14"/>
      <c r="P4420" s="14"/>
    </row>
    <row r="4421" spans="8:16" ht="15.75" hidden="1" customHeight="1">
      <c r="H4421" s="14"/>
      <c r="I4421" s="567"/>
      <c r="J4421" s="15"/>
      <c r="N4421" s="14"/>
      <c r="O4421" s="14"/>
      <c r="P4421" s="14"/>
    </row>
    <row r="4422" spans="8:16" ht="15.75" hidden="1" customHeight="1">
      <c r="H4422" s="14"/>
      <c r="I4422" s="567"/>
      <c r="J4422" s="15"/>
      <c r="N4422" s="14"/>
      <c r="O4422" s="14"/>
      <c r="P4422" s="14"/>
    </row>
    <row r="4423" spans="8:16" ht="15.75" hidden="1" customHeight="1">
      <c r="H4423" s="14"/>
      <c r="I4423" s="567"/>
      <c r="J4423" s="15"/>
      <c r="N4423" s="14"/>
      <c r="O4423" s="14"/>
      <c r="P4423" s="14"/>
    </row>
    <row r="4424" spans="8:16" ht="15.75" hidden="1" customHeight="1">
      <c r="H4424" s="14"/>
      <c r="I4424" s="567"/>
      <c r="J4424" s="15"/>
      <c r="N4424" s="14"/>
      <c r="O4424" s="14"/>
      <c r="P4424" s="14"/>
    </row>
    <row r="4425" spans="8:16" ht="15.75" hidden="1" customHeight="1">
      <c r="H4425" s="14"/>
      <c r="I4425" s="567"/>
      <c r="J4425" s="15"/>
      <c r="N4425" s="14"/>
      <c r="O4425" s="14"/>
      <c r="P4425" s="14"/>
    </row>
    <row r="4426" spans="8:16" ht="15.75" hidden="1" customHeight="1">
      <c r="H4426" s="14"/>
      <c r="I4426" s="567"/>
      <c r="J4426" s="15"/>
      <c r="N4426" s="14"/>
      <c r="O4426" s="14"/>
      <c r="P4426" s="14"/>
    </row>
    <row r="4427" spans="8:16" ht="15.75" hidden="1" customHeight="1">
      <c r="H4427" s="14"/>
      <c r="I4427" s="567"/>
      <c r="J4427" s="15"/>
      <c r="N4427" s="14"/>
      <c r="O4427" s="14"/>
      <c r="P4427" s="14"/>
    </row>
    <row r="4428" spans="8:16" ht="15.75" hidden="1" customHeight="1">
      <c r="H4428" s="14"/>
      <c r="I4428" s="567"/>
      <c r="J4428" s="15"/>
      <c r="N4428" s="14"/>
      <c r="O4428" s="14"/>
      <c r="P4428" s="14"/>
    </row>
    <row r="4429" spans="8:16" ht="15.75" hidden="1" customHeight="1">
      <c r="H4429" s="14"/>
      <c r="I4429" s="567"/>
      <c r="J4429" s="15"/>
      <c r="N4429" s="14"/>
      <c r="O4429" s="14"/>
      <c r="P4429" s="14"/>
    </row>
    <row r="4430" spans="8:16" ht="15.75" hidden="1" customHeight="1">
      <c r="H4430" s="14"/>
      <c r="I4430" s="567"/>
      <c r="J4430" s="15"/>
      <c r="N4430" s="14"/>
      <c r="O4430" s="14"/>
      <c r="P4430" s="14"/>
    </row>
    <row r="4431" spans="8:16" ht="15.75" hidden="1" customHeight="1">
      <c r="H4431" s="14"/>
      <c r="I4431" s="567"/>
      <c r="J4431" s="15"/>
      <c r="N4431" s="14"/>
      <c r="O4431" s="14"/>
      <c r="P4431" s="14"/>
    </row>
    <row r="4432" spans="8:16" ht="15.75" hidden="1" customHeight="1">
      <c r="H4432" s="14"/>
      <c r="I4432" s="567"/>
      <c r="J4432" s="15"/>
      <c r="N4432" s="14"/>
      <c r="O4432" s="14"/>
      <c r="P4432" s="14"/>
    </row>
    <row r="4433" spans="8:16" ht="15.75" hidden="1" customHeight="1">
      <c r="H4433" s="14"/>
      <c r="I4433" s="567"/>
      <c r="J4433" s="15"/>
      <c r="N4433" s="14"/>
      <c r="O4433" s="14"/>
      <c r="P4433" s="14"/>
    </row>
    <row r="4434" spans="8:16" ht="15.75" hidden="1" customHeight="1">
      <c r="H4434" s="14"/>
      <c r="I4434" s="567"/>
      <c r="J4434" s="15"/>
      <c r="N4434" s="14"/>
      <c r="O4434" s="14"/>
      <c r="P4434" s="14"/>
    </row>
    <row r="4435" spans="8:16" ht="15.75" hidden="1" customHeight="1">
      <c r="H4435" s="14"/>
      <c r="I4435" s="567"/>
      <c r="J4435" s="15"/>
      <c r="N4435" s="14"/>
      <c r="O4435" s="14"/>
      <c r="P4435" s="14"/>
    </row>
    <row r="4436" spans="8:16" ht="15.75" hidden="1" customHeight="1">
      <c r="H4436" s="14"/>
      <c r="I4436" s="567"/>
      <c r="J4436" s="15"/>
      <c r="N4436" s="14"/>
      <c r="O4436" s="14"/>
      <c r="P4436" s="14"/>
    </row>
    <row r="4437" spans="8:16" ht="15.75" hidden="1" customHeight="1">
      <c r="H4437" s="14"/>
      <c r="I4437" s="567"/>
      <c r="J4437" s="15"/>
      <c r="N4437" s="14"/>
      <c r="O4437" s="14"/>
      <c r="P4437" s="14"/>
    </row>
    <row r="4438" spans="8:16" ht="15.75" hidden="1" customHeight="1">
      <c r="H4438" s="14"/>
      <c r="I4438" s="567"/>
      <c r="J4438" s="15"/>
      <c r="N4438" s="14"/>
      <c r="O4438" s="14"/>
      <c r="P4438" s="14"/>
    </row>
    <row r="4439" spans="8:16" ht="15.75" hidden="1" customHeight="1">
      <c r="H4439" s="14"/>
      <c r="I4439" s="567"/>
      <c r="J4439" s="15"/>
      <c r="N4439" s="14"/>
      <c r="O4439" s="14"/>
      <c r="P4439" s="14"/>
    </row>
    <row r="4440" spans="8:16" ht="15.75" hidden="1" customHeight="1">
      <c r="H4440" s="14"/>
      <c r="I4440" s="567"/>
      <c r="J4440" s="15"/>
      <c r="N4440" s="14"/>
      <c r="O4440" s="14"/>
      <c r="P4440" s="14"/>
    </row>
    <row r="4441" spans="8:16" ht="15.75" hidden="1" customHeight="1">
      <c r="H4441" s="14"/>
      <c r="I4441" s="567"/>
      <c r="J4441" s="15"/>
      <c r="N4441" s="14"/>
      <c r="O4441" s="14"/>
      <c r="P4441" s="14"/>
    </row>
    <row r="4442" spans="8:16" ht="15.75" hidden="1" customHeight="1">
      <c r="H4442" s="14"/>
      <c r="I4442" s="567"/>
      <c r="J4442" s="15"/>
      <c r="N4442" s="14"/>
      <c r="O4442" s="14"/>
      <c r="P4442" s="14"/>
    </row>
    <row r="4443" spans="8:16" ht="15.75" hidden="1" customHeight="1">
      <c r="H4443" s="14"/>
      <c r="I4443" s="567"/>
      <c r="J4443" s="15"/>
      <c r="N4443" s="14"/>
      <c r="O4443" s="14"/>
      <c r="P4443" s="14"/>
    </row>
    <row r="4444" spans="8:16" ht="15.75" hidden="1" customHeight="1">
      <c r="H4444" s="14"/>
      <c r="I4444" s="567"/>
      <c r="J4444" s="15"/>
      <c r="N4444" s="14"/>
      <c r="O4444" s="14"/>
      <c r="P4444" s="14"/>
    </row>
    <row r="4445" spans="8:16" ht="15.75" hidden="1" customHeight="1">
      <c r="H4445" s="14"/>
      <c r="I4445" s="567"/>
      <c r="J4445" s="15"/>
      <c r="N4445" s="14"/>
      <c r="O4445" s="14"/>
      <c r="P4445" s="14"/>
    </row>
    <row r="4446" spans="8:16" ht="15.75" hidden="1" customHeight="1">
      <c r="H4446" s="14"/>
      <c r="I4446" s="567"/>
      <c r="J4446" s="15"/>
      <c r="N4446" s="14"/>
      <c r="O4446" s="14"/>
      <c r="P4446" s="14"/>
    </row>
    <row r="4447" spans="8:16" ht="15.75" hidden="1" customHeight="1">
      <c r="H4447" s="14"/>
      <c r="I4447" s="567"/>
      <c r="J4447" s="15"/>
      <c r="N4447" s="14"/>
      <c r="O4447" s="14"/>
      <c r="P4447" s="14"/>
    </row>
    <row r="4448" spans="8:16" ht="15.75" hidden="1" customHeight="1">
      <c r="H4448" s="14"/>
      <c r="I4448" s="567"/>
      <c r="J4448" s="15"/>
      <c r="N4448" s="14"/>
      <c r="O4448" s="14"/>
      <c r="P4448" s="14"/>
    </row>
    <row r="4449" spans="8:16" ht="15.75" hidden="1" customHeight="1">
      <c r="H4449" s="14"/>
      <c r="I4449" s="567"/>
      <c r="J4449" s="15"/>
      <c r="N4449" s="14"/>
      <c r="O4449" s="14"/>
      <c r="P4449" s="14"/>
    </row>
    <row r="4450" spans="8:16" ht="15.75" hidden="1" customHeight="1">
      <c r="H4450" s="14"/>
      <c r="I4450" s="567"/>
      <c r="J4450" s="15"/>
      <c r="N4450" s="14"/>
      <c r="O4450" s="14"/>
      <c r="P4450" s="14"/>
    </row>
    <row r="4451" spans="8:16" ht="15.75" hidden="1" customHeight="1">
      <c r="H4451" s="14"/>
      <c r="I4451" s="567"/>
      <c r="J4451" s="15"/>
      <c r="N4451" s="14"/>
      <c r="O4451" s="14"/>
      <c r="P4451" s="14"/>
    </row>
    <row r="4452" spans="8:16" ht="15.75" hidden="1" customHeight="1">
      <c r="H4452" s="14"/>
      <c r="I4452" s="567"/>
      <c r="J4452" s="15"/>
      <c r="N4452" s="14"/>
      <c r="O4452" s="14"/>
      <c r="P4452" s="14"/>
    </row>
    <row r="4453" spans="8:16" ht="15.75" hidden="1" customHeight="1">
      <c r="H4453" s="14"/>
      <c r="I4453" s="567"/>
      <c r="J4453" s="15"/>
      <c r="N4453" s="14"/>
      <c r="O4453" s="14"/>
      <c r="P4453" s="14"/>
    </row>
    <row r="4454" spans="8:16" ht="15.75" hidden="1" customHeight="1">
      <c r="H4454" s="14"/>
      <c r="I4454" s="567"/>
      <c r="J4454" s="15"/>
      <c r="N4454" s="14"/>
      <c r="O4454" s="14"/>
      <c r="P4454" s="14"/>
    </row>
    <row r="4455" spans="8:16" ht="15.75" hidden="1" customHeight="1">
      <c r="H4455" s="14"/>
      <c r="I4455" s="567"/>
      <c r="J4455" s="15"/>
      <c r="N4455" s="14"/>
      <c r="O4455" s="14"/>
      <c r="P4455" s="14"/>
    </row>
    <row r="4456" spans="8:16" ht="15.75" hidden="1" customHeight="1">
      <c r="H4456" s="14"/>
      <c r="I4456" s="567"/>
      <c r="J4456" s="15"/>
      <c r="N4456" s="14"/>
      <c r="O4456" s="14"/>
      <c r="P4456" s="14"/>
    </row>
    <row r="4457" spans="8:16" ht="15.75" hidden="1" customHeight="1">
      <c r="H4457" s="14"/>
      <c r="I4457" s="567"/>
      <c r="J4457" s="15"/>
      <c r="N4457" s="14"/>
      <c r="O4457" s="14"/>
      <c r="P4457" s="14"/>
    </row>
    <row r="4458" spans="8:16" ht="15.75" hidden="1" customHeight="1">
      <c r="H4458" s="14"/>
      <c r="I4458" s="567"/>
      <c r="J4458" s="15"/>
      <c r="N4458" s="14"/>
      <c r="O4458" s="14"/>
      <c r="P4458" s="14"/>
    </row>
    <row r="4459" spans="8:16" ht="15.75" hidden="1" customHeight="1">
      <c r="H4459" s="14"/>
      <c r="I4459" s="567"/>
      <c r="J4459" s="15"/>
      <c r="N4459" s="14"/>
      <c r="O4459" s="14"/>
      <c r="P4459" s="14"/>
    </row>
    <row r="4460" spans="8:16" ht="15.75" hidden="1" customHeight="1">
      <c r="H4460" s="14"/>
      <c r="I4460" s="567"/>
      <c r="J4460" s="15"/>
      <c r="N4460" s="14"/>
      <c r="O4460" s="14"/>
      <c r="P4460" s="14"/>
    </row>
    <row r="4461" spans="8:16" ht="15.75" hidden="1" customHeight="1">
      <c r="H4461" s="14"/>
      <c r="I4461" s="567"/>
      <c r="J4461" s="15"/>
      <c r="N4461" s="14"/>
      <c r="O4461" s="14"/>
      <c r="P4461" s="14"/>
    </row>
    <row r="4462" spans="8:16" ht="15.75" hidden="1" customHeight="1">
      <c r="H4462" s="14"/>
      <c r="I4462" s="567"/>
      <c r="J4462" s="15"/>
      <c r="N4462" s="14"/>
      <c r="O4462" s="14"/>
      <c r="P4462" s="14"/>
    </row>
    <row r="4463" spans="8:16" ht="15.75" hidden="1" customHeight="1">
      <c r="H4463" s="14"/>
      <c r="I4463" s="567"/>
      <c r="J4463" s="15"/>
      <c r="N4463" s="14"/>
      <c r="O4463" s="14"/>
      <c r="P4463" s="14"/>
    </row>
    <row r="4464" spans="8:16" ht="15.75" hidden="1" customHeight="1">
      <c r="H4464" s="14"/>
      <c r="I4464" s="567"/>
      <c r="J4464" s="15"/>
      <c r="N4464" s="14"/>
      <c r="O4464" s="14"/>
      <c r="P4464" s="14"/>
    </row>
    <row r="4465" spans="8:16" ht="15.75" hidden="1" customHeight="1">
      <c r="H4465" s="14"/>
      <c r="I4465" s="567"/>
      <c r="J4465" s="15"/>
      <c r="N4465" s="14"/>
      <c r="O4465" s="14"/>
      <c r="P4465" s="14"/>
    </row>
    <row r="4466" spans="8:16" ht="15.75" hidden="1" customHeight="1">
      <c r="H4466" s="14"/>
      <c r="I4466" s="567"/>
      <c r="J4466" s="15"/>
      <c r="N4466" s="14"/>
      <c r="O4466" s="14"/>
      <c r="P4466" s="14"/>
    </row>
    <row r="4467" spans="8:16" ht="15.75" hidden="1" customHeight="1">
      <c r="H4467" s="14"/>
      <c r="I4467" s="567"/>
      <c r="J4467" s="15"/>
      <c r="N4467" s="14"/>
      <c r="O4467" s="14"/>
      <c r="P4467" s="14"/>
    </row>
    <row r="4468" spans="8:16" ht="15.75" hidden="1" customHeight="1">
      <c r="H4468" s="14"/>
      <c r="I4468" s="567"/>
      <c r="J4468" s="15"/>
      <c r="N4468" s="14"/>
      <c r="O4468" s="14"/>
      <c r="P4468" s="14"/>
    </row>
    <row r="4469" spans="8:16" ht="15.75" hidden="1" customHeight="1">
      <c r="H4469" s="14"/>
      <c r="I4469" s="567"/>
      <c r="J4469" s="15"/>
      <c r="N4469" s="14"/>
      <c r="O4469" s="14"/>
      <c r="P4469" s="14"/>
    </row>
    <row r="4470" spans="8:16" ht="15.75" hidden="1" customHeight="1">
      <c r="H4470" s="14"/>
      <c r="I4470" s="567"/>
      <c r="J4470" s="15"/>
      <c r="N4470" s="14"/>
      <c r="O4470" s="14"/>
      <c r="P4470" s="14"/>
    </row>
    <row r="4471" spans="8:16" ht="15.75" hidden="1" customHeight="1">
      <c r="H4471" s="14"/>
      <c r="I4471" s="567"/>
      <c r="J4471" s="15"/>
      <c r="N4471" s="14"/>
      <c r="O4471" s="14"/>
      <c r="P4471" s="14"/>
    </row>
    <row r="4472" spans="8:16" ht="15.75" hidden="1" customHeight="1">
      <c r="H4472" s="14"/>
      <c r="I4472" s="567"/>
      <c r="J4472" s="15"/>
      <c r="N4472" s="14"/>
      <c r="O4472" s="14"/>
      <c r="P4472" s="14"/>
    </row>
    <row r="4473" spans="8:16" ht="15.75" hidden="1" customHeight="1">
      <c r="H4473" s="14"/>
      <c r="I4473" s="567"/>
      <c r="J4473" s="15"/>
      <c r="N4473" s="14"/>
      <c r="O4473" s="14"/>
      <c r="P4473" s="14"/>
    </row>
    <row r="4474" spans="8:16" ht="15.75" hidden="1" customHeight="1">
      <c r="H4474" s="14"/>
      <c r="I4474" s="567"/>
      <c r="J4474" s="15"/>
      <c r="N4474" s="14"/>
      <c r="O4474" s="14"/>
      <c r="P4474" s="14"/>
    </row>
    <row r="4475" spans="8:16" ht="15.75" hidden="1" customHeight="1">
      <c r="H4475" s="14"/>
      <c r="I4475" s="567"/>
      <c r="J4475" s="15"/>
      <c r="N4475" s="14"/>
      <c r="O4475" s="14"/>
      <c r="P4475" s="14"/>
    </row>
    <row r="4476" spans="8:16" ht="15.75" hidden="1" customHeight="1">
      <c r="H4476" s="14"/>
      <c r="I4476" s="567"/>
      <c r="J4476" s="15"/>
      <c r="N4476" s="14"/>
      <c r="O4476" s="14"/>
      <c r="P4476" s="14"/>
    </row>
    <row r="4477" spans="8:16" ht="15.75" hidden="1" customHeight="1">
      <c r="H4477" s="14"/>
      <c r="I4477" s="567"/>
      <c r="J4477" s="15"/>
      <c r="N4477" s="14"/>
      <c r="O4477" s="14"/>
      <c r="P4477" s="14"/>
    </row>
    <row r="4478" spans="8:16" ht="15.75" hidden="1" customHeight="1">
      <c r="H4478" s="14"/>
      <c r="I4478" s="567"/>
      <c r="J4478" s="15"/>
      <c r="N4478" s="14"/>
      <c r="O4478" s="14"/>
      <c r="P4478" s="14"/>
    </row>
    <row r="4479" spans="8:16" ht="15.75" hidden="1" customHeight="1">
      <c r="H4479" s="14"/>
      <c r="I4479" s="567"/>
      <c r="J4479" s="15"/>
      <c r="N4479" s="14"/>
      <c r="O4479" s="14"/>
      <c r="P4479" s="14"/>
    </row>
    <row r="4480" spans="8:16" ht="15.75" hidden="1" customHeight="1">
      <c r="H4480" s="14"/>
      <c r="I4480" s="567"/>
      <c r="J4480" s="15"/>
      <c r="N4480" s="14"/>
      <c r="O4480" s="14"/>
      <c r="P4480" s="14"/>
    </row>
    <row r="4481" spans="8:16" ht="15.75" hidden="1" customHeight="1">
      <c r="H4481" s="14"/>
      <c r="I4481" s="567"/>
      <c r="J4481" s="15"/>
      <c r="N4481" s="14"/>
      <c r="O4481" s="14"/>
      <c r="P4481" s="14"/>
    </row>
    <row r="4482" spans="8:16" ht="15.75" hidden="1" customHeight="1">
      <c r="H4482" s="14"/>
      <c r="I4482" s="567"/>
      <c r="J4482" s="15"/>
      <c r="N4482" s="14"/>
      <c r="O4482" s="14"/>
      <c r="P4482" s="14"/>
    </row>
    <row r="4483" spans="8:16" ht="15.75" hidden="1" customHeight="1">
      <c r="H4483" s="14"/>
      <c r="I4483" s="567"/>
      <c r="J4483" s="15"/>
      <c r="N4483" s="14"/>
      <c r="O4483" s="14"/>
      <c r="P4483" s="14"/>
    </row>
    <row r="4484" spans="8:16" ht="15.75" hidden="1" customHeight="1">
      <c r="H4484" s="14"/>
      <c r="I4484" s="567"/>
      <c r="J4484" s="15"/>
      <c r="N4484" s="14"/>
      <c r="O4484" s="14"/>
      <c r="P4484" s="14"/>
    </row>
    <row r="4485" spans="8:16" ht="15.75" hidden="1" customHeight="1">
      <c r="H4485" s="14"/>
      <c r="I4485" s="567"/>
      <c r="J4485" s="15"/>
      <c r="N4485" s="14"/>
      <c r="O4485" s="14"/>
      <c r="P4485" s="14"/>
    </row>
    <row r="4486" spans="8:16" ht="15.75" hidden="1" customHeight="1">
      <c r="H4486" s="14"/>
      <c r="I4486" s="567"/>
      <c r="J4486" s="15"/>
      <c r="N4486" s="14"/>
      <c r="O4486" s="14"/>
      <c r="P4486" s="14"/>
    </row>
    <row r="4487" spans="8:16" ht="15.75" hidden="1" customHeight="1">
      <c r="H4487" s="14"/>
      <c r="I4487" s="567"/>
      <c r="J4487" s="15"/>
      <c r="N4487" s="14"/>
      <c r="O4487" s="14"/>
      <c r="P4487" s="14"/>
    </row>
    <row r="4488" spans="8:16" ht="15.75" hidden="1" customHeight="1">
      <c r="H4488" s="14"/>
      <c r="I4488" s="567"/>
      <c r="J4488" s="15"/>
      <c r="N4488" s="14"/>
      <c r="O4488" s="14"/>
      <c r="P4488" s="14"/>
    </row>
    <row r="4489" spans="8:16" ht="15.75" hidden="1" customHeight="1">
      <c r="H4489" s="14"/>
      <c r="I4489" s="567"/>
      <c r="J4489" s="15"/>
      <c r="N4489" s="14"/>
      <c r="O4489" s="14"/>
      <c r="P4489" s="14"/>
    </row>
    <row r="4490" spans="8:16" ht="15.75" hidden="1" customHeight="1">
      <c r="H4490" s="14"/>
      <c r="I4490" s="567"/>
      <c r="J4490" s="15"/>
      <c r="N4490" s="14"/>
      <c r="O4490" s="14"/>
      <c r="P4490" s="14"/>
    </row>
    <row r="4491" spans="8:16" ht="15.75" hidden="1" customHeight="1">
      <c r="H4491" s="14"/>
      <c r="I4491" s="567"/>
      <c r="J4491" s="15"/>
      <c r="N4491" s="14"/>
      <c r="O4491" s="14"/>
      <c r="P4491" s="14"/>
    </row>
    <row r="4492" spans="8:16" ht="15.75" hidden="1" customHeight="1">
      <c r="H4492" s="14"/>
      <c r="I4492" s="567"/>
      <c r="J4492" s="15"/>
      <c r="N4492" s="14"/>
      <c r="O4492" s="14"/>
      <c r="P4492" s="14"/>
    </row>
    <row r="4493" spans="8:16" ht="15.75" hidden="1" customHeight="1">
      <c r="H4493" s="14"/>
      <c r="I4493" s="567"/>
      <c r="J4493" s="15"/>
      <c r="N4493" s="14"/>
      <c r="O4493" s="14"/>
      <c r="P4493" s="14"/>
    </row>
    <row r="4494" spans="8:16" ht="15.75" hidden="1" customHeight="1">
      <c r="H4494" s="14"/>
      <c r="I4494" s="567"/>
      <c r="J4494" s="15"/>
      <c r="N4494" s="14"/>
      <c r="O4494" s="14"/>
      <c r="P4494" s="14"/>
    </row>
    <row r="4495" spans="8:16" ht="15.75" hidden="1" customHeight="1">
      <c r="H4495" s="14"/>
      <c r="I4495" s="567"/>
      <c r="J4495" s="15"/>
      <c r="N4495" s="14"/>
      <c r="O4495" s="14"/>
      <c r="P4495" s="14"/>
    </row>
    <row r="4496" spans="8:16" ht="15.75" hidden="1" customHeight="1">
      <c r="H4496" s="14"/>
      <c r="I4496" s="567"/>
      <c r="J4496" s="15"/>
      <c r="N4496" s="14"/>
      <c r="O4496" s="14"/>
      <c r="P4496" s="14"/>
    </row>
    <row r="4497" spans="8:16" ht="15.75" hidden="1" customHeight="1">
      <c r="H4497" s="14"/>
      <c r="I4497" s="567"/>
      <c r="J4497" s="15"/>
      <c r="N4497" s="14"/>
      <c r="O4497" s="14"/>
      <c r="P4497" s="14"/>
    </row>
    <row r="4498" spans="8:16" ht="15.75" hidden="1" customHeight="1">
      <c r="H4498" s="14"/>
      <c r="I4498" s="567"/>
      <c r="J4498" s="15"/>
      <c r="N4498" s="14"/>
      <c r="O4498" s="14"/>
      <c r="P4498" s="14"/>
    </row>
    <row r="4499" spans="8:16" ht="15.75" hidden="1" customHeight="1">
      <c r="H4499" s="14"/>
      <c r="I4499" s="567"/>
      <c r="J4499" s="15"/>
      <c r="N4499" s="14"/>
      <c r="O4499" s="14"/>
      <c r="P4499" s="14"/>
    </row>
    <row r="4500" spans="8:16" ht="15.75" hidden="1" customHeight="1">
      <c r="H4500" s="14"/>
      <c r="I4500" s="567"/>
      <c r="J4500" s="15"/>
      <c r="N4500" s="14"/>
      <c r="O4500" s="14"/>
      <c r="P4500" s="14"/>
    </row>
    <row r="4501" spans="8:16" ht="15.75" hidden="1" customHeight="1">
      <c r="H4501" s="14"/>
      <c r="I4501" s="567"/>
      <c r="J4501" s="15"/>
      <c r="N4501" s="14"/>
      <c r="O4501" s="14"/>
      <c r="P4501" s="14"/>
    </row>
    <row r="4502" spans="8:16" ht="15.75" hidden="1" customHeight="1">
      <c r="H4502" s="14"/>
      <c r="I4502" s="567"/>
      <c r="J4502" s="15"/>
      <c r="N4502" s="14"/>
      <c r="O4502" s="14"/>
      <c r="P4502" s="14"/>
    </row>
    <row r="4503" spans="8:16" ht="15.75" hidden="1" customHeight="1">
      <c r="H4503" s="14"/>
      <c r="I4503" s="567"/>
      <c r="J4503" s="15"/>
      <c r="N4503" s="14"/>
      <c r="O4503" s="14"/>
      <c r="P4503" s="14"/>
    </row>
    <row r="4504" spans="8:16" ht="15.75" hidden="1" customHeight="1">
      <c r="H4504" s="14"/>
      <c r="I4504" s="567"/>
      <c r="J4504" s="15"/>
      <c r="N4504" s="14"/>
      <c r="O4504" s="14"/>
      <c r="P4504" s="14"/>
    </row>
    <row r="4505" spans="8:16" ht="15.75" hidden="1" customHeight="1">
      <c r="H4505" s="14"/>
      <c r="I4505" s="567"/>
      <c r="J4505" s="15"/>
      <c r="N4505" s="14"/>
      <c r="O4505" s="14"/>
      <c r="P4505" s="14"/>
    </row>
    <row r="4506" spans="8:16" ht="15.75" hidden="1" customHeight="1">
      <c r="H4506" s="14"/>
      <c r="I4506" s="567"/>
      <c r="J4506" s="15"/>
      <c r="N4506" s="14"/>
      <c r="O4506" s="14"/>
      <c r="P4506" s="14"/>
    </row>
    <row r="4507" spans="8:16" ht="15.75" hidden="1" customHeight="1">
      <c r="H4507" s="14"/>
      <c r="I4507" s="567"/>
      <c r="J4507" s="15"/>
      <c r="N4507" s="14"/>
      <c r="O4507" s="14"/>
      <c r="P4507" s="14"/>
    </row>
    <row r="4508" spans="8:16" ht="15.75" hidden="1" customHeight="1">
      <c r="H4508" s="14"/>
      <c r="I4508" s="567"/>
      <c r="J4508" s="15"/>
      <c r="N4508" s="14"/>
      <c r="O4508" s="14"/>
      <c r="P4508" s="14"/>
    </row>
    <row r="4509" spans="8:16" ht="15.75" hidden="1" customHeight="1">
      <c r="H4509" s="14"/>
      <c r="I4509" s="567"/>
      <c r="J4509" s="15"/>
      <c r="N4509" s="14"/>
      <c r="O4509" s="14"/>
      <c r="P4509" s="14"/>
    </row>
    <row r="4510" spans="8:16" ht="15.75" hidden="1" customHeight="1">
      <c r="H4510" s="14"/>
      <c r="I4510" s="567"/>
      <c r="J4510" s="15"/>
      <c r="N4510" s="14"/>
      <c r="O4510" s="14"/>
      <c r="P4510" s="14"/>
    </row>
    <row r="4511" spans="8:16" ht="15.75" hidden="1" customHeight="1">
      <c r="H4511" s="14"/>
      <c r="I4511" s="567"/>
      <c r="J4511" s="15"/>
      <c r="N4511" s="14"/>
      <c r="O4511" s="14"/>
      <c r="P4511" s="14"/>
    </row>
    <row r="4512" spans="8:16" ht="15.75" hidden="1" customHeight="1">
      <c r="H4512" s="14"/>
      <c r="I4512" s="567"/>
      <c r="J4512" s="15"/>
      <c r="N4512" s="14"/>
      <c r="O4512" s="14"/>
      <c r="P4512" s="14"/>
    </row>
    <row r="4513" spans="8:16" ht="15.75" hidden="1" customHeight="1">
      <c r="H4513" s="14"/>
      <c r="I4513" s="567"/>
      <c r="J4513" s="15"/>
      <c r="N4513" s="14"/>
      <c r="O4513" s="14"/>
      <c r="P4513" s="14"/>
    </row>
    <row r="4514" spans="8:16" ht="15.75" hidden="1" customHeight="1">
      <c r="H4514" s="14"/>
      <c r="I4514" s="567"/>
      <c r="J4514" s="15"/>
      <c r="N4514" s="14"/>
      <c r="O4514" s="14"/>
      <c r="P4514" s="14"/>
    </row>
    <row r="4515" spans="8:16" ht="15.75" hidden="1" customHeight="1">
      <c r="H4515" s="14"/>
      <c r="I4515" s="567"/>
      <c r="J4515" s="15"/>
      <c r="N4515" s="14"/>
      <c r="O4515" s="14"/>
      <c r="P4515" s="14"/>
    </row>
    <row r="4516" spans="8:16" ht="15.75" hidden="1" customHeight="1">
      <c r="H4516" s="14"/>
      <c r="I4516" s="567"/>
      <c r="J4516" s="15"/>
      <c r="N4516" s="14"/>
      <c r="O4516" s="14"/>
      <c r="P4516" s="14"/>
    </row>
    <row r="4517" spans="8:16" ht="15.75" hidden="1" customHeight="1">
      <c r="H4517" s="14"/>
      <c r="I4517" s="567"/>
      <c r="J4517" s="15"/>
      <c r="N4517" s="14"/>
      <c r="O4517" s="14"/>
      <c r="P4517" s="14"/>
    </row>
    <row r="4518" spans="8:16" ht="15.75" hidden="1" customHeight="1">
      <c r="H4518" s="14"/>
      <c r="I4518" s="567"/>
      <c r="J4518" s="15"/>
      <c r="N4518" s="14"/>
      <c r="O4518" s="14"/>
      <c r="P4518" s="14"/>
    </row>
    <row r="4519" spans="8:16" ht="15.75" hidden="1" customHeight="1">
      <c r="H4519" s="14"/>
      <c r="I4519" s="567"/>
      <c r="J4519" s="15"/>
      <c r="N4519" s="14"/>
      <c r="O4519" s="14"/>
      <c r="P4519" s="14"/>
    </row>
    <row r="4520" spans="8:16" ht="15.75" hidden="1" customHeight="1">
      <c r="H4520" s="14"/>
      <c r="I4520" s="567"/>
      <c r="J4520" s="15"/>
      <c r="N4520" s="14"/>
      <c r="O4520" s="14"/>
      <c r="P4520" s="14"/>
    </row>
    <row r="4521" spans="8:16" ht="15.75" hidden="1" customHeight="1">
      <c r="H4521" s="14"/>
      <c r="I4521" s="567"/>
      <c r="J4521" s="15"/>
      <c r="N4521" s="14"/>
      <c r="O4521" s="14"/>
      <c r="P4521" s="14"/>
    </row>
    <row r="4522" spans="8:16" ht="15.75" hidden="1" customHeight="1">
      <c r="H4522" s="14"/>
      <c r="I4522" s="567"/>
      <c r="J4522" s="15"/>
      <c r="N4522" s="14"/>
      <c r="O4522" s="14"/>
      <c r="P4522" s="14"/>
    </row>
    <row r="4523" spans="8:16" ht="15.75" hidden="1" customHeight="1">
      <c r="H4523" s="14"/>
      <c r="I4523" s="567"/>
      <c r="J4523" s="15"/>
      <c r="N4523" s="14"/>
      <c r="O4523" s="14"/>
      <c r="P4523" s="14"/>
    </row>
    <row r="4524" spans="8:16" ht="15.75" hidden="1" customHeight="1">
      <c r="H4524" s="14"/>
      <c r="I4524" s="567"/>
      <c r="J4524" s="15"/>
      <c r="N4524" s="14"/>
      <c r="O4524" s="14"/>
      <c r="P4524" s="14"/>
    </row>
    <row r="4525" spans="8:16" ht="15.75" hidden="1" customHeight="1">
      <c r="H4525" s="14"/>
      <c r="I4525" s="567"/>
      <c r="J4525" s="15"/>
      <c r="N4525" s="14"/>
      <c r="O4525" s="14"/>
      <c r="P4525" s="14"/>
    </row>
    <row r="4526" spans="8:16" ht="15.75" hidden="1" customHeight="1">
      <c r="H4526" s="14"/>
      <c r="I4526" s="567"/>
      <c r="J4526" s="15"/>
      <c r="N4526" s="14"/>
      <c r="O4526" s="14"/>
      <c r="P4526" s="14"/>
    </row>
    <row r="4527" spans="8:16" ht="15.75" hidden="1" customHeight="1">
      <c r="H4527" s="14"/>
      <c r="I4527" s="567"/>
      <c r="J4527" s="15"/>
      <c r="N4527" s="14"/>
      <c r="O4527" s="14"/>
      <c r="P4527" s="14"/>
    </row>
    <row r="4528" spans="8:16" ht="15.75" hidden="1" customHeight="1">
      <c r="H4528" s="14"/>
      <c r="I4528" s="567"/>
      <c r="J4528" s="15"/>
      <c r="N4528" s="14"/>
      <c r="O4528" s="14"/>
      <c r="P4528" s="14"/>
    </row>
    <row r="4529" spans="8:16" ht="15.75" hidden="1" customHeight="1">
      <c r="H4529" s="14"/>
      <c r="I4529" s="567"/>
      <c r="J4529" s="15"/>
      <c r="N4529" s="14"/>
      <c r="O4529" s="14"/>
      <c r="P4529" s="14"/>
    </row>
    <row r="4530" spans="8:16" ht="15.75" hidden="1" customHeight="1">
      <c r="H4530" s="14"/>
      <c r="I4530" s="567"/>
      <c r="J4530" s="15"/>
      <c r="N4530" s="14"/>
      <c r="O4530" s="14"/>
      <c r="P4530" s="14"/>
    </row>
    <row r="4531" spans="8:16" ht="15.75" hidden="1" customHeight="1">
      <c r="H4531" s="14"/>
      <c r="I4531" s="567"/>
      <c r="J4531" s="15"/>
      <c r="N4531" s="14"/>
      <c r="O4531" s="14"/>
      <c r="P4531" s="14"/>
    </row>
    <row r="4532" spans="8:16" ht="15.75" hidden="1" customHeight="1">
      <c r="H4532" s="14"/>
      <c r="I4532" s="567"/>
      <c r="J4532" s="15"/>
      <c r="N4532" s="14"/>
      <c r="O4532" s="14"/>
      <c r="P4532" s="14"/>
    </row>
    <row r="4533" spans="8:16" ht="15.75" hidden="1" customHeight="1">
      <c r="H4533" s="14"/>
      <c r="I4533" s="567"/>
      <c r="J4533" s="15"/>
      <c r="N4533" s="14"/>
      <c r="O4533" s="14"/>
      <c r="P4533" s="14"/>
    </row>
    <row r="4534" spans="8:16" ht="15.75" hidden="1" customHeight="1">
      <c r="H4534" s="14"/>
      <c r="I4534" s="567"/>
      <c r="J4534" s="15"/>
      <c r="N4534" s="14"/>
      <c r="O4534" s="14"/>
      <c r="P4534" s="14"/>
    </row>
    <row r="4535" spans="8:16" ht="15.75" hidden="1" customHeight="1">
      <c r="H4535" s="14"/>
      <c r="I4535" s="567"/>
      <c r="J4535" s="15"/>
      <c r="N4535" s="14"/>
      <c r="O4535" s="14"/>
      <c r="P4535" s="14"/>
    </row>
    <row r="4536" spans="8:16" ht="15.75" hidden="1" customHeight="1">
      <c r="H4536" s="14"/>
      <c r="I4536" s="567"/>
      <c r="J4536" s="15"/>
      <c r="N4536" s="14"/>
      <c r="O4536" s="14"/>
      <c r="P4536" s="14"/>
    </row>
    <row r="4537" spans="8:16" ht="15.75" hidden="1" customHeight="1">
      <c r="H4537" s="14"/>
      <c r="I4537" s="567"/>
      <c r="J4537" s="15"/>
      <c r="N4537" s="14"/>
      <c r="O4537" s="14"/>
      <c r="P4537" s="14"/>
    </row>
    <row r="4538" spans="8:16" ht="15.75" hidden="1" customHeight="1">
      <c r="H4538" s="14"/>
      <c r="I4538" s="567"/>
      <c r="J4538" s="15"/>
      <c r="N4538" s="14"/>
      <c r="O4538" s="14"/>
      <c r="P4538" s="14"/>
    </row>
    <row r="4539" spans="8:16" ht="15.75" hidden="1" customHeight="1">
      <c r="H4539" s="14"/>
      <c r="I4539" s="567"/>
      <c r="J4539" s="15"/>
      <c r="N4539" s="14"/>
      <c r="O4539" s="14"/>
      <c r="P4539" s="14"/>
    </row>
    <row r="4540" spans="8:16" ht="15.75" hidden="1" customHeight="1">
      <c r="H4540" s="14"/>
      <c r="I4540" s="567"/>
      <c r="J4540" s="15"/>
      <c r="N4540" s="14"/>
      <c r="O4540" s="14"/>
      <c r="P4540" s="14"/>
    </row>
    <row r="4541" spans="8:16" ht="15.75" hidden="1" customHeight="1">
      <c r="H4541" s="14"/>
      <c r="I4541" s="567"/>
      <c r="J4541" s="15"/>
      <c r="N4541" s="14"/>
      <c r="O4541" s="14"/>
      <c r="P4541" s="14"/>
    </row>
    <row r="4542" spans="8:16" ht="15.75" hidden="1" customHeight="1">
      <c r="H4542" s="14"/>
      <c r="I4542" s="567"/>
      <c r="J4542" s="15"/>
      <c r="N4542" s="14"/>
      <c r="O4542" s="14"/>
      <c r="P4542" s="14"/>
    </row>
    <row r="4543" spans="8:16" ht="15.75" hidden="1" customHeight="1">
      <c r="H4543" s="14"/>
      <c r="I4543" s="567"/>
      <c r="J4543" s="15"/>
      <c r="N4543" s="14"/>
      <c r="O4543" s="14"/>
      <c r="P4543" s="14"/>
    </row>
    <row r="4544" spans="8:16" ht="15.75" hidden="1" customHeight="1">
      <c r="H4544" s="14"/>
      <c r="I4544" s="567"/>
      <c r="J4544" s="15"/>
      <c r="N4544" s="14"/>
      <c r="O4544" s="14"/>
      <c r="P4544" s="14"/>
    </row>
    <row r="4545" spans="8:16" ht="15.75" hidden="1" customHeight="1">
      <c r="H4545" s="14"/>
      <c r="I4545" s="567"/>
      <c r="J4545" s="15"/>
      <c r="N4545" s="14"/>
      <c r="O4545" s="14"/>
      <c r="P4545" s="14"/>
    </row>
    <row r="4546" spans="8:16" ht="15.75" hidden="1" customHeight="1">
      <c r="H4546" s="14"/>
      <c r="I4546" s="567"/>
      <c r="J4546" s="15"/>
      <c r="N4546" s="14"/>
      <c r="O4546" s="14"/>
      <c r="P4546" s="14"/>
    </row>
    <row r="4547" spans="8:16" ht="15.75" hidden="1" customHeight="1">
      <c r="H4547" s="14"/>
      <c r="I4547" s="567"/>
      <c r="J4547" s="15"/>
      <c r="N4547" s="14"/>
      <c r="O4547" s="14"/>
      <c r="P4547" s="14"/>
    </row>
    <row r="4548" spans="8:16" ht="15.75" hidden="1" customHeight="1">
      <c r="H4548" s="14"/>
      <c r="I4548" s="567"/>
      <c r="J4548" s="15"/>
      <c r="N4548" s="14"/>
      <c r="O4548" s="14"/>
      <c r="P4548" s="14"/>
    </row>
    <row r="4549" spans="8:16" ht="15.75" hidden="1" customHeight="1">
      <c r="H4549" s="14"/>
      <c r="I4549" s="567"/>
      <c r="J4549" s="15"/>
      <c r="N4549" s="14"/>
      <c r="O4549" s="14"/>
      <c r="P4549" s="14"/>
    </row>
    <row r="4550" spans="8:16" ht="15.75" hidden="1" customHeight="1">
      <c r="H4550" s="14"/>
      <c r="I4550" s="567"/>
      <c r="J4550" s="15"/>
      <c r="N4550" s="14"/>
      <c r="O4550" s="14"/>
      <c r="P4550" s="14"/>
    </row>
    <row r="4551" spans="8:16" ht="15.75" hidden="1" customHeight="1">
      <c r="H4551" s="14"/>
      <c r="I4551" s="567"/>
      <c r="J4551" s="15"/>
      <c r="N4551" s="14"/>
      <c r="O4551" s="14"/>
      <c r="P4551" s="14"/>
    </row>
    <row r="4552" spans="8:16" ht="15.75" hidden="1" customHeight="1">
      <c r="H4552" s="14"/>
      <c r="I4552" s="567"/>
      <c r="J4552" s="15"/>
      <c r="N4552" s="14"/>
      <c r="O4552" s="14"/>
      <c r="P4552" s="14"/>
    </row>
    <row r="4553" spans="8:16" ht="15.75" hidden="1" customHeight="1">
      <c r="H4553" s="14"/>
      <c r="I4553" s="567"/>
      <c r="J4553" s="15"/>
      <c r="N4553" s="14"/>
      <c r="O4553" s="14"/>
      <c r="P4553" s="14"/>
    </row>
    <row r="4554" spans="8:16" ht="15.75" hidden="1" customHeight="1">
      <c r="H4554" s="14"/>
      <c r="I4554" s="567"/>
      <c r="J4554" s="15"/>
      <c r="N4554" s="14"/>
      <c r="O4554" s="14"/>
      <c r="P4554" s="14"/>
    </row>
    <row r="4555" spans="8:16" ht="15.75" hidden="1" customHeight="1">
      <c r="H4555" s="14"/>
      <c r="I4555" s="567"/>
      <c r="J4555" s="15"/>
      <c r="N4555" s="14"/>
      <c r="O4555" s="14"/>
      <c r="P4555" s="14"/>
    </row>
    <row r="4556" spans="8:16" ht="15.75" hidden="1" customHeight="1">
      <c r="H4556" s="14"/>
      <c r="I4556" s="567"/>
      <c r="J4556" s="15"/>
      <c r="N4556" s="14"/>
      <c r="O4556" s="14"/>
      <c r="P4556" s="14"/>
    </row>
    <row r="4557" spans="8:16" ht="15.75" hidden="1" customHeight="1">
      <c r="H4557" s="14"/>
      <c r="I4557" s="567"/>
      <c r="J4557" s="15"/>
      <c r="N4557" s="14"/>
      <c r="O4557" s="14"/>
      <c r="P4557" s="14"/>
    </row>
    <row r="4558" spans="8:16" ht="15.75" hidden="1" customHeight="1">
      <c r="H4558" s="14"/>
      <c r="I4558" s="567"/>
      <c r="J4558" s="15"/>
      <c r="N4558" s="14"/>
      <c r="O4558" s="14"/>
      <c r="P4558" s="14"/>
    </row>
    <row r="4559" spans="8:16" ht="15.75" hidden="1" customHeight="1">
      <c r="H4559" s="14"/>
      <c r="I4559" s="567"/>
      <c r="J4559" s="15"/>
      <c r="N4559" s="14"/>
      <c r="O4559" s="14"/>
      <c r="P4559" s="14"/>
    </row>
    <row r="4560" spans="8:16" ht="15.75" hidden="1" customHeight="1">
      <c r="H4560" s="14"/>
      <c r="I4560" s="567"/>
      <c r="J4560" s="15"/>
      <c r="N4560" s="14"/>
      <c r="O4560" s="14"/>
      <c r="P4560" s="14"/>
    </row>
    <row r="4561" spans="8:16" ht="15.75" hidden="1" customHeight="1">
      <c r="H4561" s="14"/>
      <c r="I4561" s="567"/>
      <c r="J4561" s="15"/>
      <c r="N4561" s="14"/>
      <c r="O4561" s="14"/>
      <c r="P4561" s="14"/>
    </row>
    <row r="4562" spans="8:16" ht="15.75" hidden="1" customHeight="1">
      <c r="H4562" s="14"/>
      <c r="I4562" s="567"/>
      <c r="J4562" s="15"/>
      <c r="N4562" s="14"/>
      <c r="O4562" s="14"/>
      <c r="P4562" s="14"/>
    </row>
    <row r="4563" spans="8:16" ht="15.75" hidden="1" customHeight="1">
      <c r="H4563" s="14"/>
      <c r="I4563" s="567"/>
      <c r="J4563" s="15"/>
      <c r="N4563" s="14"/>
      <c r="O4563" s="14"/>
      <c r="P4563" s="14"/>
    </row>
    <row r="4564" spans="8:16" ht="15.75" hidden="1" customHeight="1">
      <c r="H4564" s="14"/>
      <c r="I4564" s="567"/>
      <c r="J4564" s="15"/>
      <c r="N4564" s="14"/>
      <c r="O4564" s="14"/>
      <c r="P4564" s="14"/>
    </row>
    <row r="4565" spans="8:16" ht="15.75" hidden="1" customHeight="1">
      <c r="H4565" s="14"/>
      <c r="I4565" s="567"/>
      <c r="J4565" s="15"/>
      <c r="N4565" s="14"/>
      <c r="O4565" s="14"/>
      <c r="P4565" s="14"/>
    </row>
    <row r="4566" spans="8:16" ht="15.75" hidden="1" customHeight="1">
      <c r="H4566" s="14"/>
      <c r="I4566" s="567"/>
      <c r="J4566" s="15"/>
      <c r="N4566" s="14"/>
      <c r="O4566" s="14"/>
      <c r="P4566" s="14"/>
    </row>
    <row r="4567" spans="8:16" ht="15.75" hidden="1" customHeight="1">
      <c r="H4567" s="14"/>
      <c r="I4567" s="567"/>
      <c r="J4567" s="15"/>
      <c r="N4567" s="14"/>
      <c r="O4567" s="14"/>
      <c r="P4567" s="14"/>
    </row>
    <row r="4568" spans="8:16" ht="15.75" hidden="1" customHeight="1">
      <c r="H4568" s="14"/>
      <c r="I4568" s="567"/>
      <c r="J4568" s="15"/>
      <c r="N4568" s="14"/>
      <c r="O4568" s="14"/>
      <c r="P4568" s="14"/>
    </row>
    <row r="4569" spans="8:16" ht="15.75" hidden="1" customHeight="1">
      <c r="H4569" s="14"/>
      <c r="I4569" s="567"/>
      <c r="J4569" s="15"/>
      <c r="N4569" s="14"/>
      <c r="O4569" s="14"/>
      <c r="P4569" s="14"/>
    </row>
    <row r="4570" spans="8:16" ht="15.75" hidden="1" customHeight="1">
      <c r="H4570" s="14"/>
      <c r="I4570" s="567"/>
      <c r="J4570" s="15"/>
      <c r="N4570" s="14"/>
      <c r="O4570" s="14"/>
      <c r="P4570" s="14"/>
    </row>
    <row r="4571" spans="8:16" ht="15.75" hidden="1" customHeight="1">
      <c r="H4571" s="14"/>
      <c r="I4571" s="567"/>
      <c r="J4571" s="15"/>
      <c r="N4571" s="14"/>
      <c r="O4571" s="14"/>
      <c r="P4571" s="14"/>
    </row>
    <row r="4572" spans="8:16" ht="15.75" hidden="1" customHeight="1">
      <c r="H4572" s="14"/>
      <c r="I4572" s="567"/>
      <c r="J4572" s="15"/>
      <c r="N4572" s="14"/>
      <c r="O4572" s="14"/>
      <c r="P4572" s="14"/>
    </row>
    <row r="4573" spans="8:16" ht="15.75" hidden="1" customHeight="1">
      <c r="H4573" s="14"/>
      <c r="I4573" s="567"/>
      <c r="J4573" s="15"/>
      <c r="N4573" s="14"/>
      <c r="O4573" s="14"/>
      <c r="P4573" s="14"/>
    </row>
    <row r="4574" spans="8:16" ht="15.75" hidden="1" customHeight="1">
      <c r="H4574" s="14"/>
      <c r="I4574" s="567"/>
      <c r="J4574" s="15"/>
      <c r="N4574" s="14"/>
      <c r="O4574" s="14"/>
      <c r="P4574" s="14"/>
    </row>
    <row r="4575" spans="8:16" ht="15.75" hidden="1" customHeight="1">
      <c r="H4575" s="14"/>
      <c r="I4575" s="567"/>
      <c r="J4575" s="15"/>
      <c r="N4575" s="14"/>
      <c r="O4575" s="14"/>
      <c r="P4575" s="14"/>
    </row>
    <row r="4576" spans="8:16" ht="15.75" hidden="1" customHeight="1">
      <c r="H4576" s="14"/>
      <c r="I4576" s="567"/>
      <c r="J4576" s="15"/>
      <c r="N4576" s="14"/>
      <c r="O4576" s="14"/>
      <c r="P4576" s="14"/>
    </row>
    <row r="4577" spans="8:16" ht="15.75" hidden="1" customHeight="1">
      <c r="H4577" s="14"/>
      <c r="I4577" s="567"/>
      <c r="J4577" s="15"/>
      <c r="N4577" s="14"/>
      <c r="O4577" s="14"/>
      <c r="P4577" s="14"/>
    </row>
    <row r="4578" spans="8:16" ht="15.75" hidden="1" customHeight="1">
      <c r="H4578" s="14"/>
      <c r="I4578" s="567"/>
      <c r="J4578" s="15"/>
      <c r="N4578" s="14"/>
      <c r="O4578" s="14"/>
      <c r="P4578" s="14"/>
    </row>
    <row r="4579" spans="8:16" ht="15.75" hidden="1" customHeight="1">
      <c r="H4579" s="14"/>
      <c r="I4579" s="567"/>
      <c r="J4579" s="15"/>
      <c r="N4579" s="14"/>
      <c r="O4579" s="14"/>
      <c r="P4579" s="14"/>
    </row>
    <row r="4580" spans="8:16" ht="15.75" hidden="1" customHeight="1">
      <c r="H4580" s="14"/>
      <c r="I4580" s="567"/>
      <c r="J4580" s="15"/>
      <c r="N4580" s="14"/>
      <c r="O4580" s="14"/>
      <c r="P4580" s="14"/>
    </row>
    <row r="4581" spans="8:16" ht="15.75" hidden="1" customHeight="1">
      <c r="H4581" s="14"/>
      <c r="I4581" s="567"/>
      <c r="J4581" s="15"/>
      <c r="N4581" s="14"/>
      <c r="O4581" s="14"/>
      <c r="P4581" s="14"/>
    </row>
    <row r="4582" spans="8:16" ht="15.75" hidden="1" customHeight="1">
      <c r="H4582" s="14"/>
      <c r="I4582" s="567"/>
      <c r="J4582" s="15"/>
      <c r="N4582" s="14"/>
      <c r="O4582" s="14"/>
      <c r="P4582" s="14"/>
    </row>
    <row r="4583" spans="8:16" ht="15.75" hidden="1" customHeight="1">
      <c r="H4583" s="14"/>
      <c r="I4583" s="567"/>
      <c r="J4583" s="15"/>
      <c r="N4583" s="14"/>
      <c r="O4583" s="14"/>
      <c r="P4583" s="14"/>
    </row>
    <row r="4584" spans="8:16" ht="15.75" hidden="1" customHeight="1">
      <c r="H4584" s="14"/>
      <c r="I4584" s="567"/>
      <c r="J4584" s="15"/>
      <c r="N4584" s="14"/>
      <c r="O4584" s="14"/>
      <c r="P4584" s="14"/>
    </row>
    <row r="4585" spans="8:16" ht="15.75" hidden="1" customHeight="1">
      <c r="H4585" s="14"/>
      <c r="I4585" s="567"/>
      <c r="J4585" s="15"/>
      <c r="N4585" s="14"/>
      <c r="O4585" s="14"/>
      <c r="P4585" s="14"/>
    </row>
    <row r="4586" spans="8:16" ht="15.75" hidden="1" customHeight="1">
      <c r="H4586" s="14"/>
      <c r="I4586" s="567"/>
      <c r="J4586" s="15"/>
      <c r="N4586" s="14"/>
      <c r="O4586" s="14"/>
      <c r="P4586" s="14"/>
    </row>
    <row r="4587" spans="8:16" ht="15.75" hidden="1" customHeight="1">
      <c r="H4587" s="14"/>
      <c r="I4587" s="567"/>
      <c r="J4587" s="15"/>
      <c r="N4587" s="14"/>
      <c r="O4587" s="14"/>
      <c r="P4587" s="14"/>
    </row>
    <row r="4588" spans="8:16" ht="15.75" hidden="1" customHeight="1">
      <c r="H4588" s="14"/>
      <c r="I4588" s="567"/>
      <c r="J4588" s="15"/>
      <c r="N4588" s="14"/>
      <c r="O4588" s="14"/>
      <c r="P4588" s="14"/>
    </row>
    <row r="4589" spans="8:16" ht="15.75" hidden="1" customHeight="1">
      <c r="H4589" s="14"/>
      <c r="I4589" s="567"/>
      <c r="J4589" s="15"/>
      <c r="N4589" s="14"/>
      <c r="O4589" s="14"/>
      <c r="P4589" s="14"/>
    </row>
    <row r="4590" spans="8:16" ht="15.75" hidden="1" customHeight="1">
      <c r="H4590" s="14"/>
      <c r="I4590" s="567"/>
      <c r="J4590" s="15"/>
      <c r="N4590" s="14"/>
      <c r="O4590" s="14"/>
      <c r="P4590" s="14"/>
    </row>
    <row r="4591" spans="8:16" ht="15.75" hidden="1" customHeight="1">
      <c r="H4591" s="14"/>
      <c r="I4591" s="567"/>
      <c r="J4591" s="15"/>
      <c r="N4591" s="14"/>
      <c r="O4591" s="14"/>
      <c r="P4591" s="14"/>
    </row>
    <row r="4592" spans="8:16" ht="15.75" hidden="1" customHeight="1">
      <c r="H4592" s="14"/>
      <c r="I4592" s="567"/>
      <c r="J4592" s="15"/>
      <c r="N4592" s="14"/>
      <c r="O4592" s="14"/>
      <c r="P4592" s="14"/>
    </row>
    <row r="4593" spans="8:16" ht="15.75" hidden="1" customHeight="1">
      <c r="H4593" s="14"/>
      <c r="I4593" s="567"/>
      <c r="J4593" s="15"/>
      <c r="N4593" s="14"/>
      <c r="O4593" s="14"/>
      <c r="P4593" s="14"/>
    </row>
    <row r="4594" spans="8:16" ht="15.75" hidden="1" customHeight="1">
      <c r="H4594" s="14"/>
      <c r="I4594" s="567"/>
      <c r="J4594" s="15"/>
      <c r="N4594" s="14"/>
      <c r="O4594" s="14"/>
      <c r="P4594" s="14"/>
    </row>
    <row r="4595" spans="8:16" ht="15.75" hidden="1" customHeight="1">
      <c r="H4595" s="14"/>
      <c r="I4595" s="567"/>
      <c r="J4595" s="15"/>
      <c r="N4595" s="14"/>
      <c r="O4595" s="14"/>
      <c r="P4595" s="14"/>
    </row>
    <row r="4596" spans="8:16" ht="15.75" hidden="1" customHeight="1">
      <c r="H4596" s="14"/>
      <c r="I4596" s="567"/>
      <c r="J4596" s="15"/>
      <c r="N4596" s="14"/>
      <c r="O4596" s="14"/>
      <c r="P4596" s="14"/>
    </row>
    <row r="4597" spans="8:16" ht="15.75" hidden="1" customHeight="1">
      <c r="H4597" s="14"/>
      <c r="I4597" s="567"/>
      <c r="J4597" s="15"/>
      <c r="N4597" s="14"/>
      <c r="O4597" s="14"/>
      <c r="P4597" s="14"/>
    </row>
    <row r="4598" spans="8:16" ht="15.75" hidden="1" customHeight="1">
      <c r="H4598" s="14"/>
      <c r="I4598" s="567"/>
      <c r="J4598" s="15"/>
      <c r="N4598" s="14"/>
      <c r="O4598" s="14"/>
      <c r="P4598" s="14"/>
    </row>
    <row r="4599" spans="8:16" ht="15.75" hidden="1" customHeight="1">
      <c r="H4599" s="14"/>
      <c r="I4599" s="567"/>
      <c r="J4599" s="15"/>
      <c r="N4599" s="14"/>
      <c r="O4599" s="14"/>
      <c r="P4599" s="14"/>
    </row>
    <row r="4600" spans="8:16" ht="15.75" hidden="1" customHeight="1">
      <c r="H4600" s="14"/>
      <c r="I4600" s="567"/>
      <c r="J4600" s="15"/>
      <c r="N4600" s="14"/>
      <c r="O4600" s="14"/>
      <c r="P4600" s="14"/>
    </row>
    <row r="4601" spans="8:16" ht="15.75" hidden="1" customHeight="1">
      <c r="H4601" s="14"/>
      <c r="I4601" s="567"/>
      <c r="J4601" s="15"/>
      <c r="N4601" s="14"/>
      <c r="O4601" s="14"/>
      <c r="P4601" s="14"/>
    </row>
    <row r="4602" spans="8:16" ht="15.75" hidden="1" customHeight="1">
      <c r="H4602" s="14"/>
      <c r="I4602" s="567"/>
      <c r="J4602" s="15"/>
      <c r="N4602" s="14"/>
      <c r="O4602" s="14"/>
      <c r="P4602" s="14"/>
    </row>
    <row r="4603" spans="8:16" ht="15.75" hidden="1" customHeight="1">
      <c r="H4603" s="14"/>
      <c r="I4603" s="567"/>
      <c r="J4603" s="15"/>
      <c r="N4603" s="14"/>
      <c r="O4603" s="14"/>
      <c r="P4603" s="14"/>
    </row>
    <row r="4604" spans="8:16" ht="15.75" hidden="1" customHeight="1">
      <c r="H4604" s="14"/>
      <c r="I4604" s="567"/>
      <c r="J4604" s="15"/>
      <c r="N4604" s="14"/>
      <c r="O4604" s="14"/>
      <c r="P4604" s="14"/>
    </row>
    <row r="4605" spans="8:16" ht="15.75" hidden="1" customHeight="1">
      <c r="H4605" s="14"/>
      <c r="I4605" s="567"/>
      <c r="J4605" s="15"/>
      <c r="N4605" s="14"/>
      <c r="O4605" s="14"/>
      <c r="P4605" s="14"/>
    </row>
    <row r="4606" spans="8:16" ht="15.75" hidden="1" customHeight="1">
      <c r="H4606" s="14"/>
      <c r="I4606" s="567"/>
      <c r="J4606" s="15"/>
      <c r="N4606" s="14"/>
      <c r="O4606" s="14"/>
      <c r="P4606" s="14"/>
    </row>
    <row r="4607" spans="8:16" ht="15.75" hidden="1" customHeight="1">
      <c r="H4607" s="14"/>
      <c r="I4607" s="567"/>
      <c r="J4607" s="15"/>
      <c r="N4607" s="14"/>
      <c r="O4607" s="14"/>
      <c r="P4607" s="14"/>
    </row>
    <row r="4608" spans="8:16" ht="15.75" hidden="1" customHeight="1">
      <c r="H4608" s="14"/>
      <c r="I4608" s="567"/>
      <c r="J4608" s="15"/>
      <c r="N4608" s="14"/>
      <c r="O4608" s="14"/>
      <c r="P4608" s="14"/>
    </row>
    <row r="4609" spans="8:16" ht="15.75" hidden="1" customHeight="1">
      <c r="H4609" s="14"/>
      <c r="I4609" s="567"/>
      <c r="J4609" s="15"/>
      <c r="N4609" s="14"/>
      <c r="O4609" s="14"/>
      <c r="P4609" s="14"/>
    </row>
    <row r="4610" spans="8:16" ht="15.75" hidden="1" customHeight="1">
      <c r="H4610" s="14"/>
      <c r="I4610" s="567"/>
      <c r="J4610" s="15"/>
      <c r="N4610" s="14"/>
      <c r="O4610" s="14"/>
      <c r="P4610" s="14"/>
    </row>
    <row r="4611" spans="8:16" ht="15.75" hidden="1" customHeight="1">
      <c r="H4611" s="14"/>
      <c r="I4611" s="567"/>
      <c r="J4611" s="15"/>
      <c r="N4611" s="14"/>
      <c r="O4611" s="14"/>
      <c r="P4611" s="14"/>
    </row>
    <row r="4612" spans="8:16" ht="15.75" hidden="1" customHeight="1">
      <c r="H4612" s="14"/>
      <c r="I4612" s="567"/>
      <c r="J4612" s="15"/>
      <c r="N4612" s="14"/>
      <c r="O4612" s="14"/>
      <c r="P4612" s="14"/>
    </row>
    <row r="4613" spans="8:16" ht="15.75" hidden="1" customHeight="1">
      <c r="H4613" s="14"/>
      <c r="I4613" s="567"/>
      <c r="J4613" s="15"/>
      <c r="N4613" s="14"/>
      <c r="O4613" s="14"/>
      <c r="P4613" s="14"/>
    </row>
    <row r="4614" spans="8:16" ht="15.75" hidden="1" customHeight="1">
      <c r="H4614" s="14"/>
      <c r="I4614" s="567"/>
      <c r="J4614" s="15"/>
      <c r="N4614" s="14"/>
      <c r="O4614" s="14"/>
      <c r="P4614" s="14"/>
    </row>
    <row r="4615" spans="8:16" ht="15.75" hidden="1" customHeight="1">
      <c r="H4615" s="14"/>
      <c r="I4615" s="567"/>
      <c r="J4615" s="15"/>
      <c r="N4615" s="14"/>
      <c r="O4615" s="14"/>
      <c r="P4615" s="14"/>
    </row>
    <row r="4616" spans="8:16" ht="15.75" hidden="1" customHeight="1">
      <c r="H4616" s="14"/>
      <c r="I4616" s="567"/>
      <c r="J4616" s="15"/>
      <c r="N4616" s="14"/>
      <c r="O4616" s="14"/>
      <c r="P4616" s="14"/>
    </row>
    <row r="4617" spans="8:16" ht="15.75" hidden="1" customHeight="1">
      <c r="H4617" s="14"/>
      <c r="I4617" s="567"/>
      <c r="J4617" s="15"/>
      <c r="N4617" s="14"/>
      <c r="O4617" s="14"/>
      <c r="P4617" s="14"/>
    </row>
    <row r="4618" spans="8:16" ht="15.75" hidden="1" customHeight="1">
      <c r="H4618" s="14"/>
      <c r="I4618" s="567"/>
      <c r="J4618" s="15"/>
      <c r="N4618" s="14"/>
      <c r="O4618" s="14"/>
      <c r="P4618" s="14"/>
    </row>
    <row r="4619" spans="8:16" ht="15.75" hidden="1" customHeight="1">
      <c r="H4619" s="14"/>
      <c r="I4619" s="567"/>
      <c r="J4619" s="15"/>
      <c r="N4619" s="14"/>
      <c r="O4619" s="14"/>
      <c r="P4619" s="14"/>
    </row>
    <row r="4620" spans="8:16" ht="15.75" hidden="1" customHeight="1">
      <c r="H4620" s="14"/>
      <c r="I4620" s="567"/>
      <c r="J4620" s="15"/>
      <c r="N4620" s="14"/>
      <c r="O4620" s="14"/>
      <c r="P4620" s="14"/>
    </row>
    <row r="4621" spans="8:16" ht="15.75" hidden="1" customHeight="1">
      <c r="H4621" s="14"/>
      <c r="I4621" s="567"/>
      <c r="J4621" s="15"/>
      <c r="N4621" s="14"/>
      <c r="O4621" s="14"/>
      <c r="P4621" s="14"/>
    </row>
    <row r="4622" spans="8:16" ht="15.75" hidden="1" customHeight="1">
      <c r="H4622" s="14"/>
      <c r="I4622" s="567"/>
      <c r="J4622" s="15"/>
      <c r="N4622" s="14"/>
      <c r="O4622" s="14"/>
      <c r="P4622" s="14"/>
    </row>
    <row r="4623" spans="8:16" ht="15.75" hidden="1" customHeight="1">
      <c r="H4623" s="14"/>
      <c r="I4623" s="567"/>
      <c r="J4623" s="15"/>
      <c r="N4623" s="14"/>
      <c r="O4623" s="14"/>
      <c r="P4623" s="14"/>
    </row>
    <row r="4624" spans="8:16" ht="15.75" hidden="1" customHeight="1">
      <c r="H4624" s="14"/>
      <c r="I4624" s="567"/>
      <c r="J4624" s="15"/>
      <c r="N4624" s="14"/>
      <c r="O4624" s="14"/>
      <c r="P4624" s="14"/>
    </row>
    <row r="4625" spans="8:16" ht="15.75" hidden="1" customHeight="1">
      <c r="H4625" s="14"/>
      <c r="I4625" s="567"/>
      <c r="J4625" s="15"/>
      <c r="N4625" s="14"/>
      <c r="O4625" s="14"/>
      <c r="P4625" s="14"/>
    </row>
    <row r="4626" spans="8:16" ht="15.75" hidden="1" customHeight="1">
      <c r="H4626" s="14"/>
      <c r="I4626" s="567"/>
      <c r="J4626" s="15"/>
      <c r="N4626" s="14"/>
      <c r="O4626" s="14"/>
      <c r="P4626" s="14"/>
    </row>
    <row r="4627" spans="8:16" ht="15.75" hidden="1" customHeight="1">
      <c r="H4627" s="14"/>
      <c r="I4627" s="567"/>
      <c r="J4627" s="15"/>
      <c r="N4627" s="14"/>
      <c r="O4627" s="14"/>
      <c r="P4627" s="14"/>
    </row>
    <row r="4628" spans="8:16" ht="15.75" hidden="1" customHeight="1">
      <c r="H4628" s="14"/>
      <c r="I4628" s="567"/>
      <c r="J4628" s="15"/>
      <c r="N4628" s="14"/>
      <c r="O4628" s="14"/>
      <c r="P4628" s="14"/>
    </row>
    <row r="4629" spans="8:16" ht="15.75" hidden="1" customHeight="1">
      <c r="H4629" s="14"/>
      <c r="I4629" s="567"/>
      <c r="J4629" s="15"/>
      <c r="N4629" s="14"/>
      <c r="O4629" s="14"/>
      <c r="P4629" s="14"/>
    </row>
    <row r="4630" spans="8:16" ht="15.75" hidden="1" customHeight="1">
      <c r="H4630" s="14"/>
      <c r="I4630" s="567"/>
      <c r="J4630" s="15"/>
      <c r="N4630" s="14"/>
      <c r="O4630" s="14"/>
      <c r="P4630" s="14"/>
    </row>
    <row r="4631" spans="8:16" ht="15.75" hidden="1" customHeight="1">
      <c r="H4631" s="14"/>
      <c r="I4631" s="567"/>
      <c r="J4631" s="15"/>
      <c r="N4631" s="14"/>
      <c r="O4631" s="14"/>
      <c r="P4631" s="14"/>
    </row>
    <row r="4632" spans="8:16" ht="15.75" hidden="1" customHeight="1">
      <c r="H4632" s="14"/>
      <c r="I4632" s="567"/>
      <c r="J4632" s="15"/>
      <c r="N4632" s="14"/>
      <c r="O4632" s="14"/>
      <c r="P4632" s="14"/>
    </row>
    <row r="4633" spans="8:16" ht="15.75" hidden="1" customHeight="1">
      <c r="H4633" s="14"/>
      <c r="I4633" s="567"/>
      <c r="J4633" s="15"/>
      <c r="N4633" s="14"/>
      <c r="O4633" s="14"/>
      <c r="P4633" s="14"/>
    </row>
    <row r="4634" spans="8:16" ht="15.75" hidden="1" customHeight="1">
      <c r="H4634" s="14"/>
      <c r="I4634" s="567"/>
      <c r="J4634" s="15"/>
      <c r="N4634" s="14"/>
      <c r="O4634" s="14"/>
      <c r="P4634" s="14"/>
    </row>
    <row r="4635" spans="8:16" ht="15.75" hidden="1" customHeight="1">
      <c r="H4635" s="14"/>
      <c r="I4635" s="567"/>
      <c r="J4635" s="15"/>
      <c r="N4635" s="14"/>
      <c r="O4635" s="14"/>
      <c r="P4635" s="14"/>
    </row>
    <row r="4636" spans="8:16" ht="15.75" hidden="1" customHeight="1">
      <c r="H4636" s="14"/>
      <c r="I4636" s="567"/>
      <c r="J4636" s="15"/>
      <c r="N4636" s="14"/>
      <c r="O4636" s="14"/>
      <c r="P4636" s="14"/>
    </row>
    <row r="4637" spans="8:16" ht="15.75" hidden="1" customHeight="1">
      <c r="H4637" s="14"/>
      <c r="I4637" s="567"/>
      <c r="J4637" s="15"/>
      <c r="N4637" s="14"/>
      <c r="O4637" s="14"/>
      <c r="P4637" s="14"/>
    </row>
    <row r="4638" spans="8:16" ht="15.75" hidden="1" customHeight="1">
      <c r="H4638" s="14"/>
      <c r="I4638" s="567"/>
      <c r="J4638" s="15"/>
      <c r="N4638" s="14"/>
      <c r="O4638" s="14"/>
      <c r="P4638" s="14"/>
    </row>
    <row r="4639" spans="8:16" ht="15.75" hidden="1" customHeight="1">
      <c r="H4639" s="14"/>
      <c r="I4639" s="567"/>
      <c r="J4639" s="15"/>
      <c r="N4639" s="14"/>
      <c r="O4639" s="14"/>
      <c r="P4639" s="14"/>
    </row>
    <row r="4640" spans="8:16" ht="15.75" hidden="1" customHeight="1">
      <c r="H4640" s="14"/>
      <c r="I4640" s="567"/>
      <c r="J4640" s="15"/>
      <c r="N4640" s="14"/>
      <c r="O4640" s="14"/>
      <c r="P4640" s="14"/>
    </row>
    <row r="4641" spans="8:16" ht="15.75" hidden="1" customHeight="1">
      <c r="H4641" s="14"/>
      <c r="I4641" s="567"/>
      <c r="J4641" s="15"/>
      <c r="N4641" s="14"/>
      <c r="O4641" s="14"/>
      <c r="P4641" s="14"/>
    </row>
    <row r="4642" spans="8:16" ht="15.75" hidden="1" customHeight="1">
      <c r="H4642" s="14"/>
      <c r="I4642" s="567"/>
      <c r="J4642" s="15"/>
      <c r="N4642" s="14"/>
      <c r="O4642" s="14"/>
      <c r="P4642" s="14"/>
    </row>
    <row r="4643" spans="8:16" ht="15.75" hidden="1" customHeight="1">
      <c r="H4643" s="14"/>
      <c r="I4643" s="567"/>
      <c r="J4643" s="15"/>
      <c r="N4643" s="14"/>
      <c r="O4643" s="14"/>
      <c r="P4643" s="14"/>
    </row>
    <row r="4644" spans="8:16" ht="15.75" hidden="1" customHeight="1">
      <c r="H4644" s="14"/>
      <c r="I4644" s="567"/>
      <c r="J4644" s="15"/>
      <c r="N4644" s="14"/>
      <c r="O4644" s="14"/>
      <c r="P4644" s="14"/>
    </row>
    <row r="4645" spans="8:16" ht="15.75" hidden="1" customHeight="1">
      <c r="H4645" s="14"/>
      <c r="I4645" s="567"/>
      <c r="J4645" s="15"/>
      <c r="N4645" s="14"/>
      <c r="O4645" s="14"/>
      <c r="P4645" s="14"/>
    </row>
    <row r="4646" spans="8:16" ht="15.75" hidden="1" customHeight="1">
      <c r="H4646" s="14"/>
      <c r="I4646" s="567"/>
      <c r="J4646" s="15"/>
      <c r="N4646" s="14"/>
      <c r="O4646" s="14"/>
      <c r="P4646" s="14"/>
    </row>
    <row r="4647" spans="8:16" ht="15.75" hidden="1" customHeight="1">
      <c r="H4647" s="14"/>
      <c r="I4647" s="567"/>
      <c r="J4647" s="15"/>
      <c r="N4647" s="14"/>
      <c r="O4647" s="14"/>
      <c r="P4647" s="14"/>
    </row>
    <row r="4648" spans="8:16" ht="15.75" hidden="1" customHeight="1">
      <c r="H4648" s="14"/>
      <c r="I4648" s="567"/>
      <c r="J4648" s="15"/>
      <c r="N4648" s="14"/>
      <c r="O4648" s="14"/>
      <c r="P4648" s="14"/>
    </row>
    <row r="4649" spans="8:16" ht="15.75" hidden="1" customHeight="1">
      <c r="H4649" s="14"/>
      <c r="I4649" s="567"/>
      <c r="J4649" s="15"/>
      <c r="N4649" s="14"/>
      <c r="O4649" s="14"/>
      <c r="P4649" s="14"/>
    </row>
    <row r="4650" spans="8:16" ht="15.75" hidden="1" customHeight="1">
      <c r="H4650" s="14"/>
      <c r="I4650" s="567"/>
      <c r="J4650" s="15"/>
      <c r="N4650" s="14"/>
      <c r="O4650" s="14"/>
      <c r="P4650" s="14"/>
    </row>
    <row r="4651" spans="8:16" ht="15.75" hidden="1" customHeight="1">
      <c r="H4651" s="14"/>
      <c r="I4651" s="567"/>
      <c r="J4651" s="15"/>
      <c r="N4651" s="14"/>
      <c r="O4651" s="14"/>
      <c r="P4651" s="14"/>
    </row>
    <row r="4652" spans="8:16" ht="15.75" hidden="1" customHeight="1">
      <c r="H4652" s="14"/>
      <c r="I4652" s="567"/>
      <c r="J4652" s="15"/>
      <c r="N4652" s="14"/>
      <c r="O4652" s="14"/>
      <c r="P4652" s="14"/>
    </row>
    <row r="4653" spans="8:16" ht="15.75" hidden="1" customHeight="1">
      <c r="H4653" s="14"/>
      <c r="I4653" s="567"/>
      <c r="J4653" s="15"/>
      <c r="N4653" s="14"/>
      <c r="O4653" s="14"/>
      <c r="P4653" s="14"/>
    </row>
    <row r="4654" spans="8:16" ht="15.75" hidden="1" customHeight="1">
      <c r="H4654" s="14"/>
      <c r="I4654" s="567"/>
      <c r="J4654" s="15"/>
      <c r="N4654" s="14"/>
      <c r="O4654" s="14"/>
      <c r="P4654" s="14"/>
    </row>
    <row r="4655" spans="8:16" ht="15.75" hidden="1" customHeight="1">
      <c r="H4655" s="14"/>
      <c r="I4655" s="567"/>
      <c r="J4655" s="15"/>
      <c r="N4655" s="14"/>
      <c r="O4655" s="14"/>
      <c r="P4655" s="14"/>
    </row>
    <row r="4656" spans="8:16" ht="15.75" hidden="1" customHeight="1">
      <c r="H4656" s="14"/>
      <c r="I4656" s="567"/>
      <c r="J4656" s="15"/>
      <c r="N4656" s="14"/>
      <c r="O4656" s="14"/>
      <c r="P4656" s="14"/>
    </row>
    <row r="4657" spans="8:16" ht="15.75" hidden="1" customHeight="1">
      <c r="H4657" s="14"/>
      <c r="I4657" s="567"/>
      <c r="J4657" s="15"/>
      <c r="N4657" s="14"/>
      <c r="O4657" s="14"/>
      <c r="P4657" s="14"/>
    </row>
    <row r="4658" spans="8:16" ht="15.75" hidden="1" customHeight="1">
      <c r="H4658" s="14"/>
      <c r="I4658" s="567"/>
      <c r="J4658" s="15"/>
      <c r="N4658" s="14"/>
      <c r="O4658" s="14"/>
      <c r="P4658" s="14"/>
    </row>
    <row r="4659" spans="8:16" ht="15.75" hidden="1" customHeight="1">
      <c r="H4659" s="14"/>
      <c r="I4659" s="567"/>
      <c r="J4659" s="15"/>
      <c r="N4659" s="14"/>
      <c r="O4659" s="14"/>
      <c r="P4659" s="14"/>
    </row>
    <row r="4660" spans="8:16" ht="15.75" hidden="1" customHeight="1">
      <c r="H4660" s="14"/>
      <c r="I4660" s="567"/>
      <c r="J4660" s="15"/>
      <c r="N4660" s="14"/>
      <c r="O4660" s="14"/>
      <c r="P4660" s="14"/>
    </row>
    <row r="4661" spans="8:16" ht="15.75" hidden="1" customHeight="1">
      <c r="H4661" s="14"/>
      <c r="I4661" s="567"/>
      <c r="J4661" s="15"/>
      <c r="N4661" s="14"/>
      <c r="O4661" s="14"/>
      <c r="P4661" s="14"/>
    </row>
    <row r="4662" spans="8:16" ht="15.75" hidden="1" customHeight="1">
      <c r="H4662" s="14"/>
      <c r="I4662" s="567"/>
      <c r="J4662" s="15"/>
      <c r="N4662" s="14"/>
      <c r="O4662" s="14"/>
      <c r="P4662" s="14"/>
    </row>
    <row r="4663" spans="8:16" ht="15.75" hidden="1" customHeight="1">
      <c r="H4663" s="14"/>
      <c r="I4663" s="567"/>
      <c r="J4663" s="15"/>
      <c r="N4663" s="14"/>
      <c r="O4663" s="14"/>
      <c r="P4663" s="14"/>
    </row>
    <row r="4664" spans="8:16" ht="15.75" hidden="1" customHeight="1">
      <c r="H4664" s="14"/>
      <c r="I4664" s="567"/>
      <c r="J4664" s="15"/>
      <c r="N4664" s="14"/>
      <c r="O4664" s="14"/>
      <c r="P4664" s="14"/>
    </row>
    <row r="4665" spans="8:16" ht="15.75" hidden="1" customHeight="1">
      <c r="H4665" s="14"/>
      <c r="I4665" s="567"/>
      <c r="J4665" s="15"/>
      <c r="N4665" s="14"/>
      <c r="O4665" s="14"/>
      <c r="P4665" s="14"/>
    </row>
    <row r="4666" spans="8:16" ht="15.75" hidden="1" customHeight="1">
      <c r="H4666" s="14"/>
      <c r="I4666" s="567"/>
      <c r="J4666" s="15"/>
      <c r="N4666" s="14"/>
      <c r="O4666" s="14"/>
      <c r="P4666" s="14"/>
    </row>
    <row r="4667" spans="8:16" ht="15.75" hidden="1" customHeight="1">
      <c r="H4667" s="14"/>
      <c r="I4667" s="567"/>
      <c r="J4667" s="15"/>
      <c r="N4667" s="14"/>
      <c r="O4667" s="14"/>
      <c r="P4667" s="14"/>
    </row>
    <row r="4668" spans="8:16" ht="15.75" hidden="1" customHeight="1">
      <c r="H4668" s="14"/>
      <c r="I4668" s="567"/>
      <c r="J4668" s="15"/>
      <c r="N4668" s="14"/>
      <c r="O4668" s="14"/>
      <c r="P4668" s="14"/>
    </row>
    <row r="4669" spans="8:16" ht="15.75" hidden="1" customHeight="1">
      <c r="H4669" s="14"/>
      <c r="I4669" s="567"/>
      <c r="J4669" s="15"/>
      <c r="N4669" s="14"/>
      <c r="O4669" s="14"/>
      <c r="P4669" s="14"/>
    </row>
    <row r="4670" spans="8:16" ht="15.75" hidden="1" customHeight="1">
      <c r="H4670" s="14"/>
      <c r="I4670" s="567"/>
      <c r="J4670" s="15"/>
      <c r="N4670" s="14"/>
      <c r="O4670" s="14"/>
      <c r="P4670" s="14"/>
    </row>
    <row r="4671" spans="8:16" ht="15.75" hidden="1" customHeight="1">
      <c r="H4671" s="14"/>
      <c r="I4671" s="567"/>
      <c r="J4671" s="15"/>
      <c r="N4671" s="14"/>
      <c r="O4671" s="14"/>
      <c r="P4671" s="14"/>
    </row>
    <row r="4672" spans="8:16" ht="15.75" hidden="1" customHeight="1">
      <c r="H4672" s="14"/>
      <c r="I4672" s="567"/>
      <c r="J4672" s="15"/>
      <c r="N4672" s="14"/>
      <c r="O4672" s="14"/>
      <c r="P4672" s="14"/>
    </row>
    <row r="4673" spans="8:16" ht="15.75" hidden="1" customHeight="1">
      <c r="H4673" s="14"/>
      <c r="I4673" s="567"/>
      <c r="J4673" s="15"/>
      <c r="N4673" s="14"/>
      <c r="O4673" s="14"/>
      <c r="P4673" s="14"/>
    </row>
    <row r="4674" spans="8:16" ht="15.75" hidden="1" customHeight="1">
      <c r="H4674" s="14"/>
      <c r="I4674" s="567"/>
      <c r="J4674" s="15"/>
      <c r="N4674" s="14"/>
      <c r="O4674" s="14"/>
      <c r="P4674" s="14"/>
    </row>
    <row r="4675" spans="8:16" ht="15.75" hidden="1" customHeight="1">
      <c r="H4675" s="14"/>
      <c r="I4675" s="567"/>
      <c r="J4675" s="15"/>
      <c r="N4675" s="14"/>
      <c r="O4675" s="14"/>
      <c r="P4675" s="14"/>
    </row>
    <row r="4676" spans="8:16" ht="15.75" hidden="1" customHeight="1">
      <c r="H4676" s="14"/>
      <c r="I4676" s="567"/>
      <c r="J4676" s="15"/>
      <c r="N4676" s="14"/>
      <c r="O4676" s="14"/>
      <c r="P4676" s="14"/>
    </row>
    <row r="4677" spans="8:16" ht="15.75" hidden="1" customHeight="1">
      <c r="H4677" s="14"/>
      <c r="I4677" s="567"/>
      <c r="J4677" s="15"/>
      <c r="N4677" s="14"/>
      <c r="O4677" s="14"/>
      <c r="P4677" s="14"/>
    </row>
    <row r="4678" spans="8:16" ht="15.75" hidden="1" customHeight="1">
      <c r="H4678" s="14"/>
      <c r="I4678" s="567"/>
      <c r="J4678" s="15"/>
      <c r="N4678" s="14"/>
      <c r="O4678" s="14"/>
      <c r="P4678" s="14"/>
    </row>
    <row r="4679" spans="8:16" ht="15.75" hidden="1" customHeight="1">
      <c r="H4679" s="14"/>
      <c r="I4679" s="567"/>
      <c r="J4679" s="15"/>
      <c r="N4679" s="14"/>
      <c r="O4679" s="14"/>
      <c r="P4679" s="14"/>
    </row>
    <row r="4680" spans="8:16" ht="15.75" hidden="1" customHeight="1">
      <c r="H4680" s="14"/>
      <c r="I4680" s="567"/>
      <c r="J4680" s="15"/>
      <c r="N4680" s="14"/>
      <c r="O4680" s="14"/>
      <c r="P4680" s="14"/>
    </row>
    <row r="4681" spans="8:16" ht="15.75" hidden="1" customHeight="1">
      <c r="H4681" s="14"/>
      <c r="I4681" s="567"/>
      <c r="J4681" s="15"/>
      <c r="N4681" s="14"/>
      <c r="O4681" s="14"/>
      <c r="P4681" s="14"/>
    </row>
    <row r="4682" spans="8:16" ht="15.75" hidden="1" customHeight="1">
      <c r="H4682" s="14"/>
      <c r="I4682" s="567"/>
      <c r="J4682" s="15"/>
      <c r="N4682" s="14"/>
      <c r="O4682" s="14"/>
      <c r="P4682" s="14"/>
    </row>
    <row r="4683" spans="8:16" ht="15.75" hidden="1" customHeight="1">
      <c r="H4683" s="14"/>
      <c r="I4683" s="567"/>
      <c r="J4683" s="15"/>
      <c r="N4683" s="14"/>
      <c r="O4683" s="14"/>
      <c r="P4683" s="14"/>
    </row>
    <row r="4684" spans="8:16" ht="15.75" hidden="1" customHeight="1">
      <c r="H4684" s="14"/>
      <c r="I4684" s="567"/>
      <c r="J4684" s="15"/>
      <c r="N4684" s="14"/>
      <c r="O4684" s="14"/>
      <c r="P4684" s="14"/>
    </row>
    <row r="4685" spans="8:16" ht="15.75" hidden="1" customHeight="1">
      <c r="H4685" s="14"/>
      <c r="I4685" s="567"/>
      <c r="J4685" s="15"/>
      <c r="N4685" s="14"/>
      <c r="O4685" s="14"/>
      <c r="P4685" s="14"/>
    </row>
    <row r="4686" spans="8:16" ht="15.75" hidden="1" customHeight="1">
      <c r="H4686" s="14"/>
      <c r="I4686" s="567"/>
      <c r="J4686" s="15"/>
      <c r="N4686" s="14"/>
      <c r="O4686" s="14"/>
      <c r="P4686" s="14"/>
    </row>
    <row r="4687" spans="8:16" ht="15.75" hidden="1" customHeight="1">
      <c r="H4687" s="14"/>
      <c r="I4687" s="567"/>
      <c r="J4687" s="15"/>
      <c r="N4687" s="14"/>
      <c r="O4687" s="14"/>
      <c r="P4687" s="14"/>
    </row>
    <row r="4688" spans="8:16" ht="15.75" hidden="1" customHeight="1">
      <c r="H4688" s="14"/>
      <c r="I4688" s="567"/>
      <c r="J4688" s="15"/>
      <c r="N4688" s="14"/>
      <c r="O4688" s="14"/>
      <c r="P4688" s="14"/>
    </row>
    <row r="4689" spans="8:16" ht="15.75" hidden="1" customHeight="1">
      <c r="H4689" s="14"/>
      <c r="I4689" s="567"/>
      <c r="J4689" s="15"/>
      <c r="N4689" s="14"/>
      <c r="O4689" s="14"/>
      <c r="P4689" s="14"/>
    </row>
    <row r="4690" spans="8:16" ht="15.75" hidden="1" customHeight="1">
      <c r="H4690" s="14"/>
      <c r="I4690" s="567"/>
      <c r="J4690" s="15"/>
      <c r="N4690" s="14"/>
      <c r="O4690" s="14"/>
      <c r="P4690" s="14"/>
    </row>
    <row r="4691" spans="8:16" ht="15.75" hidden="1" customHeight="1">
      <c r="H4691" s="14"/>
      <c r="I4691" s="567"/>
      <c r="J4691" s="15"/>
      <c r="N4691" s="14"/>
      <c r="O4691" s="14"/>
      <c r="P4691" s="14"/>
    </row>
    <row r="4692" spans="8:16" ht="15.75" hidden="1" customHeight="1">
      <c r="H4692" s="14"/>
      <c r="I4692" s="567"/>
      <c r="J4692" s="15"/>
      <c r="N4692" s="14"/>
      <c r="O4692" s="14"/>
      <c r="P4692" s="14"/>
    </row>
    <row r="4693" spans="8:16" ht="15.75" hidden="1" customHeight="1">
      <c r="H4693" s="14"/>
      <c r="I4693" s="567"/>
      <c r="J4693" s="15"/>
      <c r="N4693" s="14"/>
      <c r="O4693" s="14"/>
      <c r="P4693" s="14"/>
    </row>
    <row r="4694" spans="8:16" ht="15.75" hidden="1" customHeight="1">
      <c r="H4694" s="14"/>
      <c r="I4694" s="567"/>
      <c r="J4694" s="15"/>
      <c r="N4694" s="14"/>
      <c r="O4694" s="14"/>
      <c r="P4694" s="14"/>
    </row>
    <row r="4695" spans="8:16" ht="15.75" hidden="1" customHeight="1">
      <c r="H4695" s="14"/>
      <c r="I4695" s="567"/>
      <c r="J4695" s="15"/>
      <c r="N4695" s="14"/>
      <c r="O4695" s="14"/>
      <c r="P4695" s="14"/>
    </row>
    <row r="4696" spans="8:16" ht="15.75" hidden="1" customHeight="1">
      <c r="H4696" s="14"/>
      <c r="I4696" s="567"/>
      <c r="J4696" s="15"/>
      <c r="N4696" s="14"/>
      <c r="O4696" s="14"/>
      <c r="P4696" s="14"/>
    </row>
    <row r="4697" spans="8:16" ht="15.75" hidden="1" customHeight="1">
      <c r="H4697" s="14"/>
      <c r="I4697" s="567"/>
      <c r="J4697" s="15"/>
      <c r="N4697" s="14"/>
      <c r="O4697" s="14"/>
      <c r="P4697" s="14"/>
    </row>
    <row r="4698" spans="8:16" ht="15.75" hidden="1" customHeight="1">
      <c r="H4698" s="14"/>
      <c r="I4698" s="567"/>
      <c r="J4698" s="15"/>
      <c r="N4698" s="14"/>
      <c r="O4698" s="14"/>
      <c r="P4698" s="14"/>
    </row>
    <row r="4699" spans="8:16" ht="15.75" hidden="1" customHeight="1">
      <c r="H4699" s="14"/>
      <c r="I4699" s="567"/>
      <c r="J4699" s="15"/>
      <c r="N4699" s="14"/>
      <c r="O4699" s="14"/>
      <c r="P4699" s="14"/>
    </row>
    <row r="4700" spans="8:16" ht="15.75" hidden="1" customHeight="1">
      <c r="H4700" s="14"/>
      <c r="I4700" s="567"/>
      <c r="J4700" s="15"/>
      <c r="N4700" s="14"/>
      <c r="O4700" s="14"/>
      <c r="P4700" s="14"/>
    </row>
    <row r="4701" spans="8:16" ht="15.75" hidden="1" customHeight="1">
      <c r="H4701" s="14"/>
      <c r="I4701" s="567"/>
      <c r="J4701" s="15"/>
      <c r="N4701" s="14"/>
      <c r="O4701" s="14"/>
      <c r="P4701" s="14"/>
    </row>
    <row r="4702" spans="8:16" ht="15.75" hidden="1" customHeight="1">
      <c r="H4702" s="14"/>
      <c r="I4702" s="567"/>
      <c r="J4702" s="15"/>
      <c r="N4702" s="14"/>
      <c r="O4702" s="14"/>
      <c r="P4702" s="14"/>
    </row>
    <row r="4703" spans="8:16" ht="15.75" hidden="1" customHeight="1">
      <c r="H4703" s="14"/>
      <c r="I4703" s="567"/>
      <c r="J4703" s="15"/>
      <c r="N4703" s="14"/>
      <c r="O4703" s="14"/>
      <c r="P4703" s="14"/>
    </row>
    <row r="4704" spans="8:16" ht="15.75" hidden="1" customHeight="1">
      <c r="H4704" s="14"/>
      <c r="I4704" s="567"/>
      <c r="J4704" s="15"/>
      <c r="N4704" s="14"/>
      <c r="O4704" s="14"/>
      <c r="P4704" s="14"/>
    </row>
    <row r="4705" spans="8:16" ht="15.75" hidden="1" customHeight="1">
      <c r="H4705" s="14"/>
      <c r="I4705" s="567"/>
      <c r="J4705" s="15"/>
      <c r="N4705" s="14"/>
      <c r="O4705" s="14"/>
      <c r="P4705" s="14"/>
    </row>
    <row r="4706" spans="8:16" ht="15.75" hidden="1" customHeight="1">
      <c r="H4706" s="14"/>
      <c r="I4706" s="567"/>
      <c r="J4706" s="15"/>
      <c r="N4706" s="14"/>
      <c r="O4706" s="14"/>
      <c r="P4706" s="14"/>
    </row>
    <row r="4707" spans="8:16" ht="15.75" hidden="1" customHeight="1">
      <c r="H4707" s="14"/>
      <c r="I4707" s="567"/>
      <c r="J4707" s="15"/>
      <c r="N4707" s="14"/>
      <c r="O4707" s="14"/>
      <c r="P4707" s="14"/>
    </row>
    <row r="4708" spans="8:16" ht="15.75" hidden="1" customHeight="1">
      <c r="H4708" s="14"/>
      <c r="I4708" s="567"/>
      <c r="J4708" s="15"/>
      <c r="N4708" s="14"/>
      <c r="O4708" s="14"/>
      <c r="P4708" s="14"/>
    </row>
    <row r="4709" spans="8:16" ht="15.75" hidden="1" customHeight="1">
      <c r="H4709" s="14"/>
      <c r="I4709" s="567"/>
      <c r="J4709" s="15"/>
      <c r="N4709" s="14"/>
      <c r="O4709" s="14"/>
      <c r="P4709" s="14"/>
    </row>
    <row r="4710" spans="8:16" ht="15.75" hidden="1" customHeight="1">
      <c r="H4710" s="14"/>
      <c r="I4710" s="567"/>
      <c r="J4710" s="15"/>
      <c r="N4710" s="14"/>
      <c r="O4710" s="14"/>
      <c r="P4710" s="14"/>
    </row>
    <row r="4711" spans="8:16" ht="15.75" hidden="1" customHeight="1">
      <c r="H4711" s="14"/>
      <c r="I4711" s="567"/>
      <c r="J4711" s="15"/>
      <c r="N4711" s="14"/>
      <c r="O4711" s="14"/>
      <c r="P4711" s="14"/>
    </row>
    <row r="4712" spans="8:16" ht="15.75" hidden="1" customHeight="1">
      <c r="H4712" s="14"/>
      <c r="I4712" s="567"/>
      <c r="J4712" s="15"/>
      <c r="N4712" s="14"/>
      <c r="O4712" s="14"/>
      <c r="P4712" s="14"/>
    </row>
    <row r="4713" spans="8:16" ht="15.75" hidden="1" customHeight="1">
      <c r="H4713" s="14"/>
      <c r="I4713" s="567"/>
      <c r="J4713" s="15"/>
      <c r="N4713" s="14"/>
      <c r="O4713" s="14"/>
      <c r="P4713" s="14"/>
    </row>
    <row r="4714" spans="8:16" ht="15.75" hidden="1" customHeight="1">
      <c r="H4714" s="14"/>
      <c r="I4714" s="567"/>
      <c r="J4714" s="15"/>
      <c r="N4714" s="14"/>
      <c r="O4714" s="14"/>
      <c r="P4714" s="14"/>
    </row>
    <row r="4715" spans="8:16" ht="15.75" hidden="1" customHeight="1">
      <c r="H4715" s="14"/>
      <c r="I4715" s="567"/>
      <c r="J4715" s="15"/>
      <c r="N4715" s="14"/>
      <c r="O4715" s="14"/>
      <c r="P4715" s="14"/>
    </row>
    <row r="4716" spans="8:16" ht="15.75" hidden="1" customHeight="1">
      <c r="H4716" s="14"/>
      <c r="I4716" s="567"/>
      <c r="J4716" s="15"/>
      <c r="N4716" s="14"/>
      <c r="O4716" s="14"/>
      <c r="P4716" s="14"/>
    </row>
    <row r="4717" spans="8:16" ht="15.75" hidden="1" customHeight="1">
      <c r="H4717" s="14"/>
      <c r="I4717" s="567"/>
      <c r="J4717" s="15"/>
      <c r="N4717" s="14"/>
      <c r="O4717" s="14"/>
      <c r="P4717" s="14"/>
    </row>
    <row r="4718" spans="8:16" ht="15.75" hidden="1" customHeight="1">
      <c r="H4718" s="14"/>
      <c r="I4718" s="567"/>
      <c r="J4718" s="15"/>
      <c r="N4718" s="14"/>
      <c r="O4718" s="14"/>
      <c r="P4718" s="14"/>
    </row>
    <row r="4719" spans="8:16" ht="15.75" hidden="1" customHeight="1">
      <c r="H4719" s="14"/>
      <c r="I4719" s="567"/>
      <c r="J4719" s="15"/>
      <c r="N4719" s="14"/>
      <c r="O4719" s="14"/>
      <c r="P4719" s="14"/>
    </row>
    <row r="4720" spans="8:16" ht="15.75" hidden="1" customHeight="1">
      <c r="H4720" s="14"/>
      <c r="I4720" s="567"/>
      <c r="J4720" s="15"/>
      <c r="N4720" s="14"/>
      <c r="O4720" s="14"/>
      <c r="P4720" s="14"/>
    </row>
    <row r="4721" spans="8:16" ht="15.75" hidden="1" customHeight="1">
      <c r="H4721" s="14"/>
      <c r="I4721" s="567"/>
      <c r="J4721" s="15"/>
      <c r="N4721" s="14"/>
      <c r="O4721" s="14"/>
      <c r="P4721" s="14"/>
    </row>
    <row r="4722" spans="8:16" ht="15.75" hidden="1" customHeight="1">
      <c r="H4722" s="14"/>
      <c r="I4722" s="567"/>
      <c r="J4722" s="15"/>
      <c r="N4722" s="14"/>
      <c r="O4722" s="14"/>
      <c r="P4722" s="14"/>
    </row>
    <row r="4723" spans="8:16" ht="15.75" hidden="1" customHeight="1">
      <c r="H4723" s="14"/>
      <c r="I4723" s="567"/>
      <c r="J4723" s="15"/>
      <c r="N4723" s="14"/>
      <c r="O4723" s="14"/>
      <c r="P4723" s="14"/>
    </row>
    <row r="4724" spans="8:16" ht="15.75" hidden="1" customHeight="1">
      <c r="H4724" s="14"/>
      <c r="I4724" s="567"/>
      <c r="J4724" s="15"/>
      <c r="N4724" s="14"/>
      <c r="O4724" s="14"/>
      <c r="P4724" s="14"/>
    </row>
    <row r="4725" spans="8:16" ht="15.75" hidden="1" customHeight="1">
      <c r="H4725" s="14"/>
      <c r="I4725" s="567"/>
      <c r="J4725" s="15"/>
      <c r="N4725" s="14"/>
      <c r="O4725" s="14"/>
      <c r="P4725" s="14"/>
    </row>
    <row r="4726" spans="8:16" ht="15.75" hidden="1" customHeight="1">
      <c r="H4726" s="14"/>
      <c r="I4726" s="567"/>
      <c r="J4726" s="15"/>
      <c r="N4726" s="14"/>
      <c r="O4726" s="14"/>
      <c r="P4726" s="14"/>
    </row>
    <row r="4727" spans="8:16" ht="15.75" hidden="1" customHeight="1">
      <c r="H4727" s="14"/>
      <c r="I4727" s="567"/>
      <c r="J4727" s="15"/>
      <c r="N4727" s="14"/>
      <c r="O4727" s="14"/>
      <c r="P4727" s="14"/>
    </row>
    <row r="4728" spans="8:16" ht="15.75" hidden="1" customHeight="1">
      <c r="H4728" s="14"/>
      <c r="I4728" s="567"/>
      <c r="J4728" s="15"/>
      <c r="N4728" s="14"/>
      <c r="O4728" s="14"/>
      <c r="P4728" s="14"/>
    </row>
    <row r="4729" spans="8:16" ht="15.75" hidden="1" customHeight="1">
      <c r="H4729" s="14"/>
      <c r="I4729" s="567"/>
      <c r="J4729" s="15"/>
      <c r="N4729" s="14"/>
      <c r="O4729" s="14"/>
      <c r="P4729" s="14"/>
    </row>
    <row r="4730" spans="8:16" ht="15.75" hidden="1" customHeight="1">
      <c r="H4730" s="14"/>
      <c r="I4730" s="567"/>
      <c r="J4730" s="15"/>
      <c r="N4730" s="14"/>
      <c r="O4730" s="14"/>
      <c r="P4730" s="14"/>
    </row>
    <row r="4731" spans="8:16" ht="15.75" hidden="1" customHeight="1">
      <c r="H4731" s="14"/>
      <c r="I4731" s="567"/>
      <c r="J4731" s="15"/>
      <c r="N4731" s="14"/>
      <c r="O4731" s="14"/>
      <c r="P4731" s="14"/>
    </row>
    <row r="4732" spans="8:16" ht="15.75" hidden="1" customHeight="1">
      <c r="H4732" s="14"/>
      <c r="I4732" s="567"/>
      <c r="J4732" s="15"/>
      <c r="N4732" s="14"/>
      <c r="O4732" s="14"/>
      <c r="P4732" s="14"/>
    </row>
    <row r="4733" spans="8:16" ht="15.75" hidden="1" customHeight="1">
      <c r="H4733" s="14"/>
      <c r="I4733" s="567"/>
      <c r="J4733" s="15"/>
      <c r="N4733" s="14"/>
      <c r="O4733" s="14"/>
      <c r="P4733" s="14"/>
    </row>
    <row r="4734" spans="8:16" ht="15.75" hidden="1" customHeight="1">
      <c r="H4734" s="14"/>
      <c r="I4734" s="567"/>
      <c r="J4734" s="15"/>
      <c r="N4734" s="14"/>
      <c r="O4734" s="14"/>
      <c r="P4734" s="14"/>
    </row>
    <row r="4735" spans="8:16" ht="15.75" hidden="1" customHeight="1">
      <c r="H4735" s="14"/>
      <c r="I4735" s="567"/>
      <c r="J4735" s="15"/>
      <c r="N4735" s="14"/>
      <c r="O4735" s="14"/>
      <c r="P4735" s="14"/>
    </row>
    <row r="4736" spans="8:16" ht="15.75" hidden="1" customHeight="1">
      <c r="H4736" s="14"/>
      <c r="I4736" s="567"/>
      <c r="J4736" s="15"/>
      <c r="N4736" s="14"/>
      <c r="O4736" s="14"/>
      <c r="P4736" s="14"/>
    </row>
    <row r="4737" spans="8:16" ht="15.75" hidden="1" customHeight="1">
      <c r="H4737" s="14"/>
      <c r="I4737" s="567"/>
      <c r="J4737" s="15"/>
      <c r="N4737" s="14"/>
      <c r="O4737" s="14"/>
      <c r="P4737" s="14"/>
    </row>
    <row r="4738" spans="8:16" ht="15.75" hidden="1" customHeight="1">
      <c r="H4738" s="14"/>
      <c r="I4738" s="567"/>
      <c r="J4738" s="15"/>
      <c r="N4738" s="14"/>
      <c r="O4738" s="14"/>
      <c r="P4738" s="14"/>
    </row>
    <row r="4739" spans="8:16" ht="15.75" hidden="1" customHeight="1">
      <c r="H4739" s="14"/>
      <c r="I4739" s="567"/>
      <c r="J4739" s="15"/>
      <c r="N4739" s="14"/>
      <c r="O4739" s="14"/>
      <c r="P4739" s="14"/>
    </row>
    <row r="4740" spans="8:16" ht="15.75" hidden="1" customHeight="1">
      <c r="H4740" s="14"/>
      <c r="I4740" s="567"/>
      <c r="J4740" s="15"/>
      <c r="N4740" s="14"/>
      <c r="O4740" s="14"/>
      <c r="P4740" s="14"/>
    </row>
    <row r="4741" spans="8:16" ht="15.75" hidden="1" customHeight="1">
      <c r="H4741" s="14"/>
      <c r="I4741" s="567"/>
      <c r="J4741" s="15"/>
      <c r="N4741" s="14"/>
      <c r="O4741" s="14"/>
      <c r="P4741" s="14"/>
    </row>
    <row r="4742" spans="8:16" ht="15.75" hidden="1" customHeight="1">
      <c r="H4742" s="14"/>
      <c r="I4742" s="567"/>
      <c r="J4742" s="15"/>
      <c r="N4742" s="14"/>
      <c r="O4742" s="14"/>
      <c r="P4742" s="14"/>
    </row>
    <row r="4743" spans="8:16" ht="15.75" hidden="1" customHeight="1">
      <c r="H4743" s="14"/>
      <c r="I4743" s="567"/>
      <c r="J4743" s="15"/>
      <c r="N4743" s="14"/>
      <c r="O4743" s="14"/>
      <c r="P4743" s="14"/>
    </row>
    <row r="4744" spans="8:16" ht="15.75" hidden="1" customHeight="1">
      <c r="H4744" s="14"/>
      <c r="I4744" s="567"/>
      <c r="J4744" s="15"/>
      <c r="N4744" s="14"/>
      <c r="O4744" s="14"/>
      <c r="P4744" s="14"/>
    </row>
    <row r="4745" spans="8:16" ht="15.75" hidden="1" customHeight="1">
      <c r="H4745" s="14"/>
      <c r="I4745" s="567"/>
      <c r="J4745" s="15"/>
      <c r="N4745" s="14"/>
      <c r="O4745" s="14"/>
      <c r="P4745" s="14"/>
    </row>
    <row r="4746" spans="8:16" ht="15.75" hidden="1" customHeight="1">
      <c r="H4746" s="14"/>
      <c r="I4746" s="567"/>
      <c r="J4746" s="15"/>
      <c r="N4746" s="14"/>
      <c r="O4746" s="14"/>
      <c r="P4746" s="14"/>
    </row>
    <row r="4747" spans="8:16" ht="15.75" hidden="1" customHeight="1">
      <c r="H4747" s="14"/>
      <c r="I4747" s="567"/>
      <c r="J4747" s="15"/>
      <c r="N4747" s="14"/>
      <c r="O4747" s="14"/>
      <c r="P4747" s="14"/>
    </row>
    <row r="4748" spans="8:16" ht="15.75" hidden="1" customHeight="1">
      <c r="H4748" s="14"/>
      <c r="I4748" s="567"/>
      <c r="J4748" s="15"/>
      <c r="N4748" s="14"/>
      <c r="O4748" s="14"/>
      <c r="P4748" s="14"/>
    </row>
    <row r="4749" spans="8:16" ht="15.75" hidden="1" customHeight="1">
      <c r="H4749" s="14"/>
      <c r="I4749" s="567"/>
      <c r="J4749" s="15"/>
      <c r="N4749" s="14"/>
      <c r="O4749" s="14"/>
      <c r="P4749" s="14"/>
    </row>
    <row r="4750" spans="8:16" ht="15.75" hidden="1" customHeight="1">
      <c r="H4750" s="14"/>
      <c r="I4750" s="567"/>
      <c r="J4750" s="15"/>
      <c r="N4750" s="14"/>
      <c r="O4750" s="14"/>
      <c r="P4750" s="14"/>
    </row>
    <row r="4751" spans="8:16" ht="15.75" hidden="1" customHeight="1">
      <c r="H4751" s="14"/>
      <c r="I4751" s="567"/>
      <c r="J4751" s="15"/>
      <c r="N4751" s="14"/>
      <c r="O4751" s="14"/>
      <c r="P4751" s="14"/>
    </row>
    <row r="4752" spans="8:16" ht="15.75" hidden="1" customHeight="1">
      <c r="H4752" s="14"/>
      <c r="I4752" s="567"/>
      <c r="J4752" s="15"/>
      <c r="N4752" s="14"/>
      <c r="O4752" s="14"/>
      <c r="P4752" s="14"/>
    </row>
    <row r="4753" spans="8:16" ht="15.75" hidden="1" customHeight="1">
      <c r="H4753" s="14"/>
      <c r="I4753" s="567"/>
      <c r="J4753" s="15"/>
      <c r="N4753" s="14"/>
      <c r="O4753" s="14"/>
      <c r="P4753" s="14"/>
    </row>
    <row r="4754" spans="8:16" ht="15.75" hidden="1" customHeight="1">
      <c r="H4754" s="14"/>
      <c r="I4754" s="567"/>
      <c r="J4754" s="15"/>
      <c r="N4754" s="14"/>
      <c r="O4754" s="14"/>
      <c r="P4754" s="14"/>
    </row>
    <row r="4755" spans="8:16" ht="15.75" hidden="1" customHeight="1">
      <c r="H4755" s="14"/>
      <c r="I4755" s="567"/>
      <c r="J4755" s="15"/>
      <c r="N4755" s="14"/>
      <c r="O4755" s="14"/>
      <c r="P4755" s="14"/>
    </row>
    <row r="4756" spans="8:16" ht="15.75" hidden="1" customHeight="1">
      <c r="H4756" s="14"/>
      <c r="I4756" s="567"/>
      <c r="J4756" s="15"/>
      <c r="N4756" s="14"/>
      <c r="O4756" s="14"/>
      <c r="P4756" s="14"/>
    </row>
    <row r="4757" spans="8:16" ht="15.75" hidden="1" customHeight="1">
      <c r="H4757" s="14"/>
      <c r="I4757" s="567"/>
      <c r="J4757" s="15"/>
      <c r="N4757" s="14"/>
      <c r="O4757" s="14"/>
      <c r="P4757" s="14"/>
    </row>
    <row r="4758" spans="8:16" ht="15.75" hidden="1" customHeight="1">
      <c r="H4758" s="14"/>
      <c r="I4758" s="567"/>
      <c r="J4758" s="15"/>
      <c r="N4758" s="14"/>
      <c r="O4758" s="14"/>
      <c r="P4758" s="14"/>
    </row>
    <row r="4759" spans="8:16" ht="15.75" hidden="1" customHeight="1">
      <c r="H4759" s="14"/>
      <c r="I4759" s="567"/>
      <c r="J4759" s="15"/>
      <c r="N4759" s="14"/>
      <c r="O4759" s="14"/>
      <c r="P4759" s="14"/>
    </row>
    <row r="4760" spans="8:16" ht="15.75" hidden="1" customHeight="1">
      <c r="H4760" s="14"/>
      <c r="I4760" s="567"/>
      <c r="J4760" s="15"/>
      <c r="N4760" s="14"/>
      <c r="O4760" s="14"/>
      <c r="P4760" s="14"/>
    </row>
    <row r="4761" spans="8:16" ht="15.75" hidden="1" customHeight="1">
      <c r="H4761" s="14"/>
      <c r="I4761" s="567"/>
      <c r="J4761" s="15"/>
      <c r="N4761" s="14"/>
      <c r="O4761" s="14"/>
      <c r="P4761" s="14"/>
    </row>
    <row r="4762" spans="8:16" ht="15.75" hidden="1" customHeight="1">
      <c r="H4762" s="14"/>
      <c r="I4762" s="567"/>
      <c r="J4762" s="15"/>
      <c r="N4762" s="14"/>
      <c r="O4762" s="14"/>
      <c r="P4762" s="14"/>
    </row>
    <row r="4763" spans="8:16" ht="15.75" hidden="1" customHeight="1">
      <c r="H4763" s="14"/>
      <c r="I4763" s="567"/>
      <c r="J4763" s="15"/>
      <c r="N4763" s="14"/>
      <c r="O4763" s="14"/>
      <c r="P4763" s="14"/>
    </row>
    <row r="4764" spans="8:16" ht="15.75" hidden="1" customHeight="1">
      <c r="H4764" s="14"/>
      <c r="I4764" s="567"/>
      <c r="J4764" s="15"/>
      <c r="N4764" s="14"/>
      <c r="O4764" s="14"/>
      <c r="P4764" s="14"/>
    </row>
    <row r="4765" spans="8:16" ht="15.75" hidden="1" customHeight="1">
      <c r="H4765" s="14"/>
      <c r="I4765" s="567"/>
      <c r="J4765" s="15"/>
      <c r="N4765" s="14"/>
      <c r="O4765" s="14"/>
      <c r="P4765" s="14"/>
    </row>
    <row r="4766" spans="8:16" ht="15.75" hidden="1" customHeight="1">
      <c r="H4766" s="14"/>
      <c r="I4766" s="567"/>
      <c r="J4766" s="15"/>
      <c r="N4766" s="14"/>
      <c r="O4766" s="14"/>
      <c r="P4766" s="14"/>
    </row>
    <row r="4767" spans="8:16" ht="15.75" hidden="1" customHeight="1">
      <c r="H4767" s="14"/>
      <c r="I4767" s="567"/>
      <c r="J4767" s="15"/>
      <c r="N4767" s="14"/>
      <c r="O4767" s="14"/>
      <c r="P4767" s="14"/>
    </row>
    <row r="4768" spans="8:16" ht="15.75" hidden="1" customHeight="1">
      <c r="H4768" s="14"/>
      <c r="I4768" s="567"/>
      <c r="J4768" s="15"/>
      <c r="N4768" s="14"/>
      <c r="O4768" s="14"/>
      <c r="P4768" s="14"/>
    </row>
    <row r="4769" spans="8:16" ht="15.75" hidden="1" customHeight="1">
      <c r="H4769" s="14"/>
      <c r="I4769" s="567"/>
      <c r="J4769" s="15"/>
      <c r="N4769" s="14"/>
      <c r="O4769" s="14"/>
      <c r="P4769" s="14"/>
    </row>
    <row r="4770" spans="8:16" ht="15.75" hidden="1" customHeight="1">
      <c r="H4770" s="14"/>
      <c r="I4770" s="567"/>
      <c r="J4770" s="15"/>
      <c r="N4770" s="14"/>
      <c r="O4770" s="14"/>
      <c r="P4770" s="14"/>
    </row>
    <row r="4771" spans="8:16" ht="15.75" hidden="1" customHeight="1">
      <c r="H4771" s="14"/>
      <c r="I4771" s="567"/>
      <c r="J4771" s="15"/>
      <c r="N4771" s="14"/>
      <c r="O4771" s="14"/>
      <c r="P4771" s="14"/>
    </row>
    <row r="4772" spans="8:16" ht="15.75" hidden="1" customHeight="1">
      <c r="H4772" s="14"/>
      <c r="I4772" s="567"/>
      <c r="J4772" s="15"/>
      <c r="N4772" s="14"/>
      <c r="O4772" s="14"/>
      <c r="P4772" s="14"/>
    </row>
    <row r="4773" spans="8:16" ht="15.75" hidden="1" customHeight="1">
      <c r="H4773" s="14"/>
      <c r="I4773" s="567"/>
      <c r="J4773" s="15"/>
      <c r="N4773" s="14"/>
      <c r="O4773" s="14"/>
      <c r="P4773" s="14"/>
    </row>
    <row r="4774" spans="8:16" ht="15.75" hidden="1" customHeight="1">
      <c r="H4774" s="14"/>
      <c r="I4774" s="567"/>
      <c r="J4774" s="15"/>
      <c r="N4774" s="14"/>
      <c r="O4774" s="14"/>
      <c r="P4774" s="14"/>
    </row>
    <row r="4775" spans="8:16" ht="15.75" hidden="1" customHeight="1">
      <c r="H4775" s="14"/>
      <c r="I4775" s="567"/>
      <c r="J4775" s="15"/>
      <c r="N4775" s="14"/>
      <c r="O4775" s="14"/>
      <c r="P4775" s="14"/>
    </row>
    <row r="4776" spans="8:16" ht="15.75" hidden="1" customHeight="1">
      <c r="H4776" s="14"/>
      <c r="I4776" s="567"/>
      <c r="J4776" s="15"/>
      <c r="N4776" s="14"/>
      <c r="O4776" s="14"/>
      <c r="P4776" s="14"/>
    </row>
    <row r="4777" spans="8:16" ht="15.75" hidden="1" customHeight="1">
      <c r="H4777" s="14"/>
      <c r="I4777" s="567"/>
      <c r="J4777" s="15"/>
      <c r="N4777" s="14"/>
      <c r="O4777" s="14"/>
      <c r="P4777" s="14"/>
    </row>
    <row r="4778" spans="8:16" ht="15.75" hidden="1" customHeight="1">
      <c r="H4778" s="14"/>
      <c r="I4778" s="567"/>
      <c r="J4778" s="15"/>
      <c r="N4778" s="14"/>
      <c r="O4778" s="14"/>
      <c r="P4778" s="14"/>
    </row>
    <row r="4779" spans="8:16" ht="15.75" hidden="1" customHeight="1">
      <c r="H4779" s="14"/>
      <c r="I4779" s="567"/>
      <c r="J4779" s="15"/>
      <c r="N4779" s="14"/>
      <c r="O4779" s="14"/>
      <c r="P4779" s="14"/>
    </row>
    <row r="4780" spans="8:16" ht="15.75" hidden="1" customHeight="1">
      <c r="H4780" s="14"/>
      <c r="I4780" s="567"/>
      <c r="J4780" s="15"/>
      <c r="N4780" s="14"/>
      <c r="O4780" s="14"/>
      <c r="P4780" s="14"/>
    </row>
    <row r="4781" spans="8:16" ht="15.75" hidden="1" customHeight="1">
      <c r="H4781" s="14"/>
      <c r="I4781" s="567"/>
      <c r="J4781" s="15"/>
      <c r="N4781" s="14"/>
      <c r="O4781" s="14"/>
      <c r="P4781" s="14"/>
    </row>
    <row r="4782" spans="8:16" ht="15.75" hidden="1" customHeight="1">
      <c r="H4782" s="14"/>
      <c r="I4782" s="567"/>
      <c r="J4782" s="15"/>
      <c r="N4782" s="14"/>
      <c r="O4782" s="14"/>
      <c r="P4782" s="14"/>
    </row>
    <row r="4783" spans="8:16" ht="15.75" hidden="1" customHeight="1">
      <c r="H4783" s="14"/>
      <c r="I4783" s="567"/>
      <c r="J4783" s="15"/>
      <c r="N4783" s="14"/>
      <c r="O4783" s="14"/>
      <c r="P4783" s="14"/>
    </row>
    <row r="4784" spans="8:16" ht="15.75" hidden="1" customHeight="1">
      <c r="H4784" s="14"/>
      <c r="I4784" s="567"/>
      <c r="J4784" s="15"/>
      <c r="N4784" s="14"/>
      <c r="O4784" s="14"/>
      <c r="P4784" s="14"/>
    </row>
    <row r="4785" spans="8:16" ht="15.75" hidden="1" customHeight="1">
      <c r="H4785" s="14"/>
      <c r="I4785" s="567"/>
      <c r="J4785" s="15"/>
      <c r="N4785" s="14"/>
      <c r="O4785" s="14"/>
      <c r="P4785" s="14"/>
    </row>
    <row r="4786" spans="8:16" ht="15.75" hidden="1" customHeight="1">
      <c r="H4786" s="14"/>
      <c r="I4786" s="567"/>
      <c r="J4786" s="15"/>
      <c r="N4786" s="14"/>
      <c r="O4786" s="14"/>
      <c r="P4786" s="14"/>
    </row>
    <row r="4787" spans="8:16" ht="15.75" hidden="1" customHeight="1">
      <c r="H4787" s="14"/>
      <c r="I4787" s="567"/>
      <c r="J4787" s="15"/>
      <c r="N4787" s="14"/>
      <c r="O4787" s="14"/>
      <c r="P4787" s="14"/>
    </row>
    <row r="4788" spans="8:16" ht="15.75" hidden="1" customHeight="1">
      <c r="H4788" s="14"/>
      <c r="I4788" s="567"/>
      <c r="J4788" s="15"/>
      <c r="N4788" s="14"/>
      <c r="O4788" s="14"/>
      <c r="P4788" s="14"/>
    </row>
    <row r="4789" spans="8:16" ht="15.75" hidden="1" customHeight="1">
      <c r="H4789" s="14"/>
      <c r="I4789" s="567"/>
      <c r="J4789" s="15"/>
      <c r="N4789" s="14"/>
      <c r="O4789" s="14"/>
      <c r="P4789" s="14"/>
    </row>
    <row r="4790" spans="8:16" ht="15.75" hidden="1" customHeight="1">
      <c r="H4790" s="14"/>
      <c r="I4790" s="567"/>
      <c r="J4790" s="15"/>
      <c r="N4790" s="14"/>
      <c r="O4790" s="14"/>
      <c r="P4790" s="14"/>
    </row>
    <row r="4791" spans="8:16" ht="15.75" hidden="1" customHeight="1">
      <c r="H4791" s="14"/>
      <c r="I4791" s="567"/>
      <c r="J4791" s="15"/>
      <c r="N4791" s="14"/>
      <c r="O4791" s="14"/>
      <c r="P4791" s="14"/>
    </row>
    <row r="4792" spans="8:16" ht="15.75" hidden="1" customHeight="1">
      <c r="H4792" s="14"/>
      <c r="I4792" s="567"/>
      <c r="J4792" s="15"/>
      <c r="N4792" s="14"/>
      <c r="O4792" s="14"/>
      <c r="P4792" s="14"/>
    </row>
    <row r="4793" spans="8:16" ht="15.75" hidden="1" customHeight="1">
      <c r="H4793" s="14"/>
      <c r="I4793" s="567"/>
      <c r="J4793" s="15"/>
      <c r="N4793" s="14"/>
      <c r="O4793" s="14"/>
      <c r="P4793" s="14"/>
    </row>
    <row r="4794" spans="8:16" ht="15.75" hidden="1" customHeight="1">
      <c r="H4794" s="14"/>
      <c r="I4794" s="567"/>
      <c r="J4794" s="15"/>
      <c r="N4794" s="14"/>
      <c r="O4794" s="14"/>
      <c r="P4794" s="14"/>
    </row>
    <row r="4795" spans="8:16" ht="15.75" hidden="1" customHeight="1">
      <c r="H4795" s="14"/>
      <c r="I4795" s="567"/>
      <c r="J4795" s="15"/>
      <c r="N4795" s="14"/>
      <c r="O4795" s="14"/>
      <c r="P4795" s="14"/>
    </row>
    <row r="4796" spans="8:16" ht="15.75" hidden="1" customHeight="1">
      <c r="H4796" s="14"/>
      <c r="I4796" s="567"/>
      <c r="J4796" s="15"/>
      <c r="N4796" s="14"/>
      <c r="O4796" s="14"/>
      <c r="P4796" s="14"/>
    </row>
    <row r="4797" spans="8:16" ht="15.75" hidden="1" customHeight="1">
      <c r="H4797" s="14"/>
      <c r="I4797" s="567"/>
      <c r="J4797" s="15"/>
      <c r="N4797" s="14"/>
      <c r="O4797" s="14"/>
      <c r="P4797" s="14"/>
    </row>
    <row r="4798" spans="8:16" ht="15.75" hidden="1" customHeight="1">
      <c r="H4798" s="14"/>
      <c r="I4798" s="567"/>
      <c r="J4798" s="15"/>
      <c r="N4798" s="14"/>
      <c r="O4798" s="14"/>
      <c r="P4798" s="14"/>
    </row>
    <row r="4799" spans="8:16" ht="15.75" hidden="1" customHeight="1">
      <c r="H4799" s="14"/>
      <c r="I4799" s="567"/>
      <c r="J4799" s="15"/>
      <c r="N4799" s="14"/>
      <c r="O4799" s="14"/>
      <c r="P4799" s="14"/>
    </row>
    <row r="4800" spans="8:16" ht="15.75" hidden="1" customHeight="1">
      <c r="H4800" s="14"/>
      <c r="I4800" s="567"/>
      <c r="J4800" s="15"/>
      <c r="N4800" s="14"/>
      <c r="O4800" s="14"/>
      <c r="P4800" s="14"/>
    </row>
    <row r="4801" spans="8:16" ht="15.75" hidden="1" customHeight="1">
      <c r="H4801" s="14"/>
      <c r="I4801" s="567"/>
      <c r="J4801" s="15"/>
      <c r="N4801" s="14"/>
      <c r="O4801" s="14"/>
      <c r="P4801" s="14"/>
    </row>
    <row r="4802" spans="8:16" ht="15.75" hidden="1" customHeight="1">
      <c r="H4802" s="14"/>
      <c r="I4802" s="567"/>
      <c r="J4802" s="15"/>
      <c r="N4802" s="14"/>
      <c r="O4802" s="14"/>
      <c r="P4802" s="14"/>
    </row>
    <row r="4803" spans="8:16" ht="15.75" hidden="1" customHeight="1">
      <c r="H4803" s="14"/>
      <c r="I4803" s="567"/>
      <c r="J4803" s="15"/>
      <c r="N4803" s="14"/>
      <c r="O4803" s="14"/>
      <c r="P4803" s="14"/>
    </row>
    <row r="4804" spans="8:16" ht="15.75" hidden="1" customHeight="1">
      <c r="H4804" s="14"/>
      <c r="I4804" s="567"/>
      <c r="J4804" s="15"/>
      <c r="N4804" s="14"/>
      <c r="O4804" s="14"/>
      <c r="P4804" s="14"/>
    </row>
    <row r="4805" spans="8:16" ht="15.75" hidden="1" customHeight="1">
      <c r="H4805" s="14"/>
      <c r="I4805" s="567"/>
      <c r="J4805" s="15"/>
      <c r="N4805" s="14"/>
      <c r="O4805" s="14"/>
      <c r="P4805" s="14"/>
    </row>
    <row r="4806" spans="8:16" ht="15.75" hidden="1" customHeight="1">
      <c r="H4806" s="14"/>
      <c r="I4806" s="567"/>
      <c r="J4806" s="15"/>
      <c r="N4806" s="14"/>
      <c r="O4806" s="14"/>
      <c r="P4806" s="14"/>
    </row>
    <row r="4807" spans="8:16" ht="15.75" hidden="1" customHeight="1">
      <c r="H4807" s="14"/>
      <c r="I4807" s="567"/>
      <c r="J4807" s="15"/>
      <c r="N4807" s="14"/>
      <c r="O4807" s="14"/>
      <c r="P4807" s="14"/>
    </row>
    <row r="4808" spans="8:16" ht="15.75" hidden="1" customHeight="1">
      <c r="H4808" s="14"/>
      <c r="I4808" s="567"/>
      <c r="J4808" s="15"/>
      <c r="N4808" s="14"/>
      <c r="O4808" s="14"/>
      <c r="P4808" s="14"/>
    </row>
    <row r="4809" spans="8:16" ht="15.75" hidden="1" customHeight="1">
      <c r="H4809" s="14"/>
      <c r="I4809" s="567"/>
      <c r="J4809" s="15"/>
      <c r="N4809" s="14"/>
      <c r="O4809" s="14"/>
      <c r="P4809" s="14"/>
    </row>
    <row r="4810" spans="8:16" ht="15.75" hidden="1" customHeight="1">
      <c r="H4810" s="14"/>
      <c r="I4810" s="567"/>
      <c r="J4810" s="15"/>
      <c r="N4810" s="14"/>
      <c r="O4810" s="14"/>
      <c r="P4810" s="14"/>
    </row>
    <row r="4811" spans="8:16" ht="15.75" hidden="1" customHeight="1">
      <c r="H4811" s="14"/>
      <c r="I4811" s="567"/>
      <c r="J4811" s="15"/>
      <c r="N4811" s="14"/>
      <c r="O4811" s="14"/>
      <c r="P4811" s="14"/>
    </row>
    <row r="4812" spans="8:16" ht="15.75" hidden="1" customHeight="1">
      <c r="H4812" s="14"/>
      <c r="I4812" s="567"/>
      <c r="J4812" s="15"/>
      <c r="N4812" s="14"/>
      <c r="O4812" s="14"/>
      <c r="P4812" s="14"/>
    </row>
    <row r="4813" spans="8:16" ht="15.75" hidden="1" customHeight="1">
      <c r="H4813" s="14"/>
      <c r="I4813" s="567"/>
      <c r="J4813" s="15"/>
      <c r="N4813" s="14"/>
      <c r="O4813" s="14"/>
      <c r="P4813" s="14"/>
    </row>
    <row r="4814" spans="8:16" ht="15.75" hidden="1" customHeight="1">
      <c r="H4814" s="14"/>
      <c r="I4814" s="567"/>
      <c r="J4814" s="15"/>
      <c r="N4814" s="14"/>
      <c r="O4814" s="14"/>
      <c r="P4814" s="14"/>
    </row>
    <row r="4815" spans="8:16" ht="15.75" hidden="1" customHeight="1">
      <c r="H4815" s="14"/>
      <c r="I4815" s="567"/>
      <c r="J4815" s="15"/>
      <c r="N4815" s="14"/>
      <c r="O4815" s="14"/>
      <c r="P4815" s="14"/>
    </row>
    <row r="4816" spans="8:16" ht="15.75" hidden="1" customHeight="1">
      <c r="H4816" s="14"/>
      <c r="I4816" s="567"/>
      <c r="J4816" s="15"/>
      <c r="N4816" s="14"/>
      <c r="O4816" s="14"/>
      <c r="P4816" s="14"/>
    </row>
    <row r="4817" spans="8:16" ht="15.75" hidden="1" customHeight="1">
      <c r="H4817" s="14"/>
      <c r="I4817" s="567"/>
      <c r="J4817" s="15"/>
      <c r="N4817" s="14"/>
      <c r="O4817" s="14"/>
      <c r="P4817" s="14"/>
    </row>
    <row r="4818" spans="8:16" ht="15.75" hidden="1" customHeight="1">
      <c r="H4818" s="14"/>
      <c r="I4818" s="567"/>
      <c r="J4818" s="15"/>
      <c r="N4818" s="14"/>
      <c r="O4818" s="14"/>
      <c r="P4818" s="14"/>
    </row>
    <row r="4819" spans="8:16" ht="15.75" hidden="1" customHeight="1">
      <c r="H4819" s="14"/>
      <c r="I4819" s="567"/>
      <c r="J4819" s="15"/>
      <c r="N4819" s="14"/>
      <c r="O4819" s="14"/>
      <c r="P4819" s="14"/>
    </row>
    <row r="4820" spans="8:16" ht="15.75" hidden="1" customHeight="1">
      <c r="H4820" s="14"/>
      <c r="I4820" s="567"/>
      <c r="J4820" s="15"/>
      <c r="N4820" s="14"/>
      <c r="O4820" s="14"/>
      <c r="P4820" s="14"/>
    </row>
    <row r="4821" spans="8:16" ht="15.75" hidden="1" customHeight="1">
      <c r="H4821" s="14"/>
      <c r="I4821" s="567"/>
      <c r="J4821" s="15"/>
      <c r="N4821" s="14"/>
      <c r="O4821" s="14"/>
      <c r="P4821" s="14"/>
    </row>
    <row r="4822" spans="8:16" ht="15.75" hidden="1" customHeight="1">
      <c r="H4822" s="14"/>
      <c r="I4822" s="567"/>
      <c r="J4822" s="15"/>
      <c r="N4822" s="14"/>
      <c r="O4822" s="14"/>
      <c r="P4822" s="14"/>
    </row>
    <row r="4823" spans="8:16" ht="15.75" hidden="1" customHeight="1">
      <c r="H4823" s="14"/>
      <c r="I4823" s="567"/>
      <c r="J4823" s="15"/>
      <c r="N4823" s="14"/>
      <c r="O4823" s="14"/>
      <c r="P4823" s="14"/>
    </row>
    <row r="4824" spans="8:16" ht="15.75" hidden="1" customHeight="1">
      <c r="H4824" s="14"/>
      <c r="I4824" s="567"/>
      <c r="J4824" s="15"/>
      <c r="N4824" s="14"/>
      <c r="O4824" s="14"/>
      <c r="P4824" s="14"/>
    </row>
    <row r="4825" spans="8:16" ht="15.75" hidden="1" customHeight="1">
      <c r="H4825" s="14"/>
      <c r="I4825" s="567"/>
      <c r="J4825" s="15"/>
      <c r="N4825" s="14"/>
      <c r="O4825" s="14"/>
      <c r="P4825" s="14"/>
    </row>
    <row r="4826" spans="8:16" ht="15.75" hidden="1" customHeight="1">
      <c r="H4826" s="14"/>
      <c r="I4826" s="567"/>
      <c r="J4826" s="15"/>
      <c r="N4826" s="14"/>
      <c r="O4826" s="14"/>
      <c r="P4826" s="14"/>
    </row>
    <row r="4827" spans="8:16" ht="15.75" hidden="1" customHeight="1">
      <c r="H4827" s="14"/>
      <c r="I4827" s="567"/>
      <c r="J4827" s="15"/>
      <c r="N4827" s="14"/>
      <c r="O4827" s="14"/>
      <c r="P4827" s="14"/>
    </row>
    <row r="4828" spans="8:16" ht="15.75" hidden="1" customHeight="1">
      <c r="H4828" s="14"/>
      <c r="I4828" s="567"/>
      <c r="J4828" s="15"/>
      <c r="N4828" s="14"/>
      <c r="O4828" s="14"/>
      <c r="P4828" s="14"/>
    </row>
    <row r="4829" spans="8:16" ht="15.75" hidden="1" customHeight="1">
      <c r="H4829" s="14"/>
      <c r="I4829" s="567"/>
      <c r="J4829" s="15"/>
      <c r="N4829" s="14"/>
      <c r="O4829" s="14"/>
      <c r="P4829" s="14"/>
    </row>
    <row r="4830" spans="8:16" ht="15.75" hidden="1" customHeight="1">
      <c r="H4830" s="14"/>
      <c r="I4830" s="567"/>
      <c r="J4830" s="15"/>
      <c r="N4830" s="14"/>
      <c r="O4830" s="14"/>
      <c r="P4830" s="14"/>
    </row>
    <row r="4831" spans="8:16" ht="15.75" hidden="1" customHeight="1">
      <c r="H4831" s="14"/>
      <c r="I4831" s="567"/>
      <c r="J4831" s="15"/>
      <c r="N4831" s="14"/>
      <c r="O4831" s="14"/>
      <c r="P4831" s="14"/>
    </row>
    <row r="4832" spans="8:16" ht="15.75" hidden="1" customHeight="1">
      <c r="H4832" s="14"/>
      <c r="I4832" s="567"/>
      <c r="J4832" s="15"/>
      <c r="N4832" s="14"/>
      <c r="O4832" s="14"/>
      <c r="P4832" s="14"/>
    </row>
    <row r="4833" spans="8:16" ht="15.75" hidden="1" customHeight="1">
      <c r="H4833" s="14"/>
      <c r="I4833" s="567"/>
      <c r="J4833" s="15"/>
      <c r="N4833" s="14"/>
      <c r="O4833" s="14"/>
      <c r="P4833" s="14"/>
    </row>
    <row r="4834" spans="8:16" ht="15.75" hidden="1" customHeight="1">
      <c r="H4834" s="14"/>
      <c r="I4834" s="567"/>
      <c r="J4834" s="15"/>
      <c r="N4834" s="14"/>
      <c r="O4834" s="14"/>
      <c r="P4834" s="14"/>
    </row>
    <row r="4835" spans="8:16" ht="15.75" hidden="1" customHeight="1">
      <c r="H4835" s="14"/>
      <c r="I4835" s="567"/>
      <c r="J4835" s="15"/>
      <c r="N4835" s="14"/>
      <c r="O4835" s="14"/>
      <c r="P4835" s="14"/>
    </row>
    <row r="4836" spans="8:16" ht="15.75" hidden="1" customHeight="1">
      <c r="H4836" s="14"/>
      <c r="I4836" s="567"/>
      <c r="J4836" s="15"/>
      <c r="N4836" s="14"/>
      <c r="O4836" s="14"/>
      <c r="P4836" s="14"/>
    </row>
    <row r="4837" spans="8:16" ht="15.75" hidden="1" customHeight="1">
      <c r="H4837" s="14"/>
      <c r="I4837" s="567"/>
      <c r="J4837" s="15"/>
      <c r="N4837" s="14"/>
      <c r="O4837" s="14"/>
      <c r="P4837" s="14"/>
    </row>
    <row r="4838" spans="8:16" ht="15.75" hidden="1" customHeight="1">
      <c r="H4838" s="14"/>
      <c r="I4838" s="567"/>
      <c r="J4838" s="15"/>
      <c r="N4838" s="14"/>
      <c r="O4838" s="14"/>
      <c r="P4838" s="14"/>
    </row>
    <row r="4839" spans="8:16" ht="15.75" hidden="1" customHeight="1">
      <c r="H4839" s="14"/>
      <c r="I4839" s="567"/>
      <c r="J4839" s="15"/>
      <c r="N4839" s="14"/>
      <c r="O4839" s="14"/>
      <c r="P4839" s="14"/>
    </row>
    <row r="4840" spans="8:16" ht="15.75" hidden="1" customHeight="1">
      <c r="H4840" s="14"/>
      <c r="I4840" s="567"/>
      <c r="J4840" s="15"/>
      <c r="N4840" s="14"/>
      <c r="O4840" s="14"/>
      <c r="P4840" s="14"/>
    </row>
    <row r="4841" spans="8:16" ht="15.75" hidden="1" customHeight="1">
      <c r="H4841" s="14"/>
      <c r="I4841" s="567"/>
      <c r="J4841" s="15"/>
      <c r="N4841" s="14"/>
      <c r="O4841" s="14"/>
      <c r="P4841" s="14"/>
    </row>
    <row r="4842" spans="8:16" ht="15.75" hidden="1" customHeight="1">
      <c r="H4842" s="14"/>
      <c r="I4842" s="567"/>
      <c r="J4842" s="15"/>
      <c r="N4842" s="14"/>
      <c r="O4842" s="14"/>
      <c r="P4842" s="14"/>
    </row>
    <row r="4843" spans="8:16" ht="15.75" hidden="1" customHeight="1">
      <c r="H4843" s="14"/>
      <c r="I4843" s="567"/>
      <c r="J4843" s="15"/>
      <c r="N4843" s="14"/>
      <c r="O4843" s="14"/>
      <c r="P4843" s="14"/>
    </row>
    <row r="4844" spans="8:16" ht="15.75" hidden="1" customHeight="1">
      <c r="H4844" s="14"/>
      <c r="I4844" s="567"/>
      <c r="J4844" s="15"/>
      <c r="N4844" s="14"/>
      <c r="O4844" s="14"/>
      <c r="P4844" s="14"/>
    </row>
    <row r="4845" spans="8:16" ht="15.75" hidden="1" customHeight="1">
      <c r="H4845" s="14"/>
      <c r="I4845" s="567"/>
      <c r="J4845" s="15"/>
      <c r="N4845" s="14"/>
      <c r="O4845" s="14"/>
      <c r="P4845" s="14"/>
    </row>
    <row r="4846" spans="8:16" ht="15.75" hidden="1" customHeight="1">
      <c r="H4846" s="14"/>
      <c r="I4846" s="567"/>
      <c r="J4846" s="15"/>
      <c r="N4846" s="14"/>
      <c r="O4846" s="14"/>
      <c r="P4846" s="14"/>
    </row>
    <row r="4847" spans="8:16" ht="15.75" hidden="1" customHeight="1">
      <c r="H4847" s="14"/>
      <c r="I4847" s="567"/>
      <c r="J4847" s="15"/>
      <c r="N4847" s="14"/>
      <c r="O4847" s="14"/>
      <c r="P4847" s="14"/>
    </row>
    <row r="4848" spans="8:16" ht="15.75" hidden="1" customHeight="1">
      <c r="H4848" s="14"/>
      <c r="I4848" s="567"/>
      <c r="J4848" s="15"/>
      <c r="N4848" s="14"/>
      <c r="O4848" s="14"/>
      <c r="P4848" s="14"/>
    </row>
    <row r="4849" spans="8:16" ht="15.75" hidden="1" customHeight="1">
      <c r="H4849" s="14"/>
      <c r="I4849" s="567"/>
      <c r="J4849" s="15"/>
      <c r="N4849" s="14"/>
      <c r="O4849" s="14"/>
      <c r="P4849" s="14"/>
    </row>
    <row r="4850" spans="8:16" ht="15.75" hidden="1" customHeight="1">
      <c r="H4850" s="14"/>
      <c r="I4850" s="567"/>
      <c r="J4850" s="15"/>
      <c r="N4850" s="14"/>
      <c r="O4850" s="14"/>
      <c r="P4850" s="14"/>
    </row>
    <row r="4851" spans="8:16" ht="15.75" hidden="1" customHeight="1">
      <c r="H4851" s="14"/>
      <c r="I4851" s="567"/>
      <c r="J4851" s="15"/>
      <c r="N4851" s="14"/>
      <c r="O4851" s="14"/>
      <c r="P4851" s="14"/>
    </row>
    <row r="4852" spans="8:16" ht="15.75" hidden="1" customHeight="1">
      <c r="H4852" s="14"/>
      <c r="I4852" s="567"/>
      <c r="J4852" s="15"/>
      <c r="N4852" s="14"/>
      <c r="O4852" s="14"/>
      <c r="P4852" s="14"/>
    </row>
    <row r="4853" spans="8:16" ht="15.75" hidden="1" customHeight="1">
      <c r="H4853" s="14"/>
      <c r="I4853" s="567"/>
      <c r="J4853" s="15"/>
      <c r="N4853" s="14"/>
      <c r="O4853" s="14"/>
      <c r="P4853" s="14"/>
    </row>
    <row r="4854" spans="8:16" ht="15.75" hidden="1" customHeight="1">
      <c r="H4854" s="14"/>
      <c r="I4854" s="567"/>
      <c r="J4854" s="15"/>
      <c r="N4854" s="14"/>
      <c r="O4854" s="14"/>
      <c r="P4854" s="14"/>
    </row>
    <row r="4855" spans="8:16" ht="15.75" hidden="1" customHeight="1">
      <c r="H4855" s="14"/>
      <c r="I4855" s="567"/>
      <c r="J4855" s="15"/>
      <c r="N4855" s="14"/>
      <c r="O4855" s="14"/>
      <c r="P4855" s="14"/>
    </row>
    <row r="4856" spans="8:16" ht="15.75" hidden="1" customHeight="1">
      <c r="H4856" s="14"/>
      <c r="I4856" s="567"/>
      <c r="J4856" s="15"/>
      <c r="N4856" s="14"/>
      <c r="O4856" s="14"/>
      <c r="P4856" s="14"/>
    </row>
    <row r="4857" spans="8:16" ht="15.75" hidden="1" customHeight="1">
      <c r="H4857" s="14"/>
      <c r="I4857" s="567"/>
      <c r="J4857" s="15"/>
      <c r="N4857" s="14"/>
      <c r="O4857" s="14"/>
      <c r="P4857" s="14"/>
    </row>
    <row r="4858" spans="8:16" ht="15.75" hidden="1" customHeight="1">
      <c r="H4858" s="14"/>
      <c r="I4858" s="567"/>
      <c r="J4858" s="15"/>
      <c r="N4858" s="14"/>
      <c r="O4858" s="14"/>
      <c r="P4858" s="14"/>
    </row>
    <row r="4859" spans="8:16" ht="15.75" hidden="1" customHeight="1">
      <c r="H4859" s="14"/>
      <c r="I4859" s="567"/>
      <c r="J4859" s="15"/>
      <c r="N4859" s="14"/>
      <c r="O4859" s="14"/>
      <c r="P4859" s="14"/>
    </row>
    <row r="4860" spans="8:16" ht="15.75" hidden="1" customHeight="1">
      <c r="H4860" s="14"/>
      <c r="I4860" s="567"/>
      <c r="J4860" s="15"/>
      <c r="N4860" s="14"/>
      <c r="O4860" s="14"/>
      <c r="P4860" s="14"/>
    </row>
    <row r="4861" spans="8:16" ht="15.75" hidden="1" customHeight="1">
      <c r="H4861" s="14"/>
      <c r="I4861" s="567"/>
      <c r="J4861" s="15"/>
      <c r="N4861" s="14"/>
      <c r="O4861" s="14"/>
      <c r="P4861" s="14"/>
    </row>
    <row r="4862" spans="8:16" ht="15.75" hidden="1" customHeight="1">
      <c r="H4862" s="14"/>
      <c r="I4862" s="567"/>
      <c r="J4862" s="15"/>
      <c r="N4862" s="14"/>
      <c r="O4862" s="14"/>
      <c r="P4862" s="14"/>
    </row>
    <row r="4863" spans="8:16" ht="15.75" hidden="1" customHeight="1">
      <c r="H4863" s="14"/>
      <c r="I4863" s="567"/>
      <c r="J4863" s="15"/>
      <c r="N4863" s="14"/>
      <c r="O4863" s="14"/>
      <c r="P4863" s="14"/>
    </row>
    <row r="4864" spans="8:16" ht="15.75" hidden="1" customHeight="1">
      <c r="H4864" s="14"/>
      <c r="I4864" s="567"/>
      <c r="J4864" s="15"/>
      <c r="N4864" s="14"/>
      <c r="O4864" s="14"/>
      <c r="P4864" s="14"/>
    </row>
    <row r="4865" spans="8:16" ht="15.75" hidden="1" customHeight="1">
      <c r="H4865" s="14"/>
      <c r="I4865" s="567"/>
      <c r="J4865" s="15"/>
      <c r="N4865" s="14"/>
      <c r="O4865" s="14"/>
      <c r="P4865" s="14"/>
    </row>
    <row r="4866" spans="8:16" ht="15.75" hidden="1" customHeight="1">
      <c r="H4866" s="14"/>
      <c r="I4866" s="567"/>
      <c r="J4866" s="15"/>
      <c r="N4866" s="14"/>
      <c r="O4866" s="14"/>
      <c r="P4866" s="14"/>
    </row>
    <row r="4867" spans="8:16" ht="15.75" hidden="1" customHeight="1">
      <c r="H4867" s="14"/>
      <c r="I4867" s="567"/>
      <c r="J4867" s="15"/>
      <c r="N4867" s="14"/>
      <c r="O4867" s="14"/>
      <c r="P4867" s="14"/>
    </row>
    <row r="4868" spans="8:16" ht="15.75" hidden="1" customHeight="1">
      <c r="H4868" s="14"/>
      <c r="I4868" s="567"/>
      <c r="J4868" s="15"/>
      <c r="N4868" s="14"/>
      <c r="O4868" s="14"/>
      <c r="P4868" s="14"/>
    </row>
    <row r="4869" spans="8:16" ht="15.75" hidden="1" customHeight="1">
      <c r="H4869" s="14"/>
      <c r="I4869" s="567"/>
      <c r="J4869" s="15"/>
      <c r="N4869" s="14"/>
      <c r="O4869" s="14"/>
      <c r="P4869" s="14"/>
    </row>
    <row r="4870" spans="8:16" ht="15.75" hidden="1" customHeight="1">
      <c r="H4870" s="14"/>
      <c r="I4870" s="567"/>
      <c r="J4870" s="15"/>
      <c r="N4870" s="14"/>
      <c r="O4870" s="14"/>
      <c r="P4870" s="14"/>
    </row>
    <row r="4871" spans="8:16" ht="15.75" hidden="1" customHeight="1">
      <c r="H4871" s="14"/>
      <c r="I4871" s="567"/>
      <c r="J4871" s="15"/>
      <c r="N4871" s="14"/>
      <c r="O4871" s="14"/>
      <c r="P4871" s="14"/>
    </row>
    <row r="4872" spans="8:16" ht="15.75" hidden="1" customHeight="1">
      <c r="H4872" s="14"/>
      <c r="I4872" s="567"/>
      <c r="J4872" s="15"/>
      <c r="N4872" s="14"/>
      <c r="O4872" s="14"/>
      <c r="P4872" s="14"/>
    </row>
    <row r="4873" spans="8:16" ht="15.75" hidden="1" customHeight="1">
      <c r="H4873" s="14"/>
      <c r="I4873" s="567"/>
      <c r="J4873" s="15"/>
      <c r="N4873" s="14"/>
      <c r="O4873" s="14"/>
      <c r="P4873" s="14"/>
    </row>
    <row r="4874" spans="8:16" ht="15.75" hidden="1" customHeight="1">
      <c r="H4874" s="14"/>
      <c r="I4874" s="567"/>
      <c r="J4874" s="15"/>
      <c r="N4874" s="14"/>
      <c r="O4874" s="14"/>
      <c r="P4874" s="14"/>
    </row>
    <row r="4875" spans="8:16" ht="15.75" hidden="1" customHeight="1">
      <c r="H4875" s="14"/>
      <c r="I4875" s="567"/>
      <c r="J4875" s="15"/>
      <c r="N4875" s="14"/>
      <c r="O4875" s="14"/>
      <c r="P4875" s="14"/>
    </row>
    <row r="4876" spans="8:16" ht="15.75" hidden="1" customHeight="1">
      <c r="H4876" s="14"/>
      <c r="I4876" s="567"/>
      <c r="J4876" s="15"/>
      <c r="N4876" s="14"/>
      <c r="O4876" s="14"/>
      <c r="P4876" s="14"/>
    </row>
    <row r="4877" spans="8:16" ht="15.75" hidden="1" customHeight="1">
      <c r="H4877" s="14"/>
      <c r="I4877" s="567"/>
      <c r="J4877" s="15"/>
      <c r="N4877" s="14"/>
      <c r="O4877" s="14"/>
      <c r="P4877" s="14"/>
    </row>
    <row r="4878" spans="8:16" ht="15.75" hidden="1" customHeight="1">
      <c r="H4878" s="14"/>
      <c r="I4878" s="567"/>
      <c r="J4878" s="15"/>
      <c r="N4878" s="14"/>
      <c r="O4878" s="14"/>
      <c r="P4878" s="14"/>
    </row>
    <row r="4879" spans="8:16" ht="15.75" hidden="1" customHeight="1">
      <c r="H4879" s="14"/>
      <c r="I4879" s="567"/>
      <c r="J4879" s="15"/>
      <c r="N4879" s="14"/>
      <c r="O4879" s="14"/>
      <c r="P4879" s="14"/>
    </row>
    <row r="4880" spans="8:16" ht="15.75" hidden="1" customHeight="1">
      <c r="H4880" s="14"/>
      <c r="I4880" s="567"/>
      <c r="J4880" s="15"/>
      <c r="N4880" s="14"/>
      <c r="O4880" s="14"/>
      <c r="P4880" s="14"/>
    </row>
    <row r="4881" spans="8:16" ht="15.75" hidden="1" customHeight="1">
      <c r="H4881" s="14"/>
      <c r="I4881" s="567"/>
      <c r="J4881" s="15"/>
      <c r="N4881" s="14"/>
      <c r="O4881" s="14"/>
      <c r="P4881" s="14"/>
    </row>
    <row r="4882" spans="8:16" ht="15.75" hidden="1" customHeight="1">
      <c r="H4882" s="14"/>
      <c r="I4882" s="567"/>
      <c r="J4882" s="15"/>
      <c r="N4882" s="14"/>
      <c r="O4882" s="14"/>
      <c r="P4882" s="14"/>
    </row>
    <row r="4883" spans="8:16" ht="15.75" hidden="1" customHeight="1">
      <c r="H4883" s="14"/>
      <c r="I4883" s="567"/>
      <c r="J4883" s="15"/>
      <c r="N4883" s="14"/>
      <c r="O4883" s="14"/>
      <c r="P4883" s="14"/>
    </row>
    <row r="4884" spans="8:16" ht="15.75" hidden="1" customHeight="1">
      <c r="H4884" s="14"/>
      <c r="I4884" s="567"/>
      <c r="J4884" s="15"/>
      <c r="N4884" s="14"/>
      <c r="O4884" s="14"/>
      <c r="P4884" s="14"/>
    </row>
    <row r="4885" spans="8:16" ht="15.75" hidden="1" customHeight="1">
      <c r="H4885" s="14"/>
      <c r="I4885" s="567"/>
      <c r="J4885" s="15"/>
      <c r="N4885" s="14"/>
      <c r="O4885" s="14"/>
      <c r="P4885" s="14"/>
    </row>
    <row r="4886" spans="8:16" ht="15.75" hidden="1" customHeight="1">
      <c r="H4886" s="14"/>
      <c r="I4886" s="567"/>
      <c r="J4886" s="15"/>
      <c r="N4886" s="14"/>
      <c r="O4886" s="14"/>
      <c r="P4886" s="14"/>
    </row>
    <row r="4887" spans="8:16" ht="15.75" hidden="1" customHeight="1">
      <c r="H4887" s="14"/>
      <c r="I4887" s="567"/>
      <c r="J4887" s="15"/>
      <c r="N4887" s="14"/>
      <c r="O4887" s="14"/>
      <c r="P4887" s="14"/>
    </row>
    <row r="4888" spans="8:16" ht="15.75" hidden="1" customHeight="1">
      <c r="H4888" s="14"/>
      <c r="I4888" s="567"/>
      <c r="J4888" s="15"/>
      <c r="N4888" s="14"/>
      <c r="O4888" s="14"/>
      <c r="P4888" s="14"/>
    </row>
    <row r="4889" spans="8:16" ht="15.75" hidden="1" customHeight="1">
      <c r="H4889" s="14"/>
      <c r="I4889" s="567"/>
      <c r="J4889" s="15"/>
      <c r="N4889" s="14"/>
      <c r="O4889" s="14"/>
      <c r="P4889" s="14"/>
    </row>
    <row r="4890" spans="8:16" ht="15.75" hidden="1" customHeight="1">
      <c r="H4890" s="14"/>
      <c r="I4890" s="567"/>
      <c r="J4890" s="15"/>
      <c r="N4890" s="14"/>
      <c r="O4890" s="14"/>
      <c r="P4890" s="14"/>
    </row>
    <row r="4891" spans="8:16" ht="15.75" hidden="1" customHeight="1">
      <c r="H4891" s="14"/>
      <c r="I4891" s="567"/>
      <c r="J4891" s="15"/>
      <c r="N4891" s="14"/>
      <c r="O4891" s="14"/>
      <c r="P4891" s="14"/>
    </row>
    <row r="4892" spans="8:16" ht="15.75" hidden="1" customHeight="1">
      <c r="H4892" s="14"/>
      <c r="I4892" s="567"/>
      <c r="J4892" s="15"/>
      <c r="N4892" s="14"/>
      <c r="O4892" s="14"/>
      <c r="P4892" s="14"/>
    </row>
    <row r="4893" spans="8:16" ht="15.75" hidden="1" customHeight="1">
      <c r="H4893" s="14"/>
      <c r="I4893" s="567"/>
      <c r="J4893" s="15"/>
      <c r="N4893" s="14"/>
      <c r="O4893" s="14"/>
      <c r="P4893" s="14"/>
    </row>
    <row r="4894" spans="8:16" ht="15.75" hidden="1" customHeight="1">
      <c r="H4894" s="14"/>
      <c r="I4894" s="567"/>
      <c r="J4894" s="15"/>
      <c r="N4894" s="14"/>
      <c r="O4894" s="14"/>
      <c r="P4894" s="14"/>
    </row>
    <row r="4895" spans="8:16" ht="15.75" hidden="1" customHeight="1">
      <c r="H4895" s="14"/>
      <c r="I4895" s="567"/>
      <c r="J4895" s="15"/>
      <c r="N4895" s="14"/>
      <c r="O4895" s="14"/>
      <c r="P4895" s="14"/>
    </row>
    <row r="4896" spans="8:16" ht="15.75" hidden="1" customHeight="1">
      <c r="H4896" s="14"/>
      <c r="I4896" s="567"/>
      <c r="J4896" s="15"/>
      <c r="N4896" s="14"/>
      <c r="O4896" s="14"/>
      <c r="P4896" s="14"/>
    </row>
    <row r="4897" spans="8:16" ht="15.75" hidden="1" customHeight="1">
      <c r="H4897" s="14"/>
      <c r="I4897" s="567"/>
      <c r="J4897" s="15"/>
      <c r="N4897" s="14"/>
      <c r="O4897" s="14"/>
      <c r="P4897" s="14"/>
    </row>
    <row r="4898" spans="8:16" ht="15.75" hidden="1" customHeight="1">
      <c r="H4898" s="14"/>
      <c r="I4898" s="567"/>
      <c r="J4898" s="15"/>
      <c r="N4898" s="14"/>
      <c r="O4898" s="14"/>
      <c r="P4898" s="14"/>
    </row>
    <row r="4899" spans="8:16" ht="15.75" hidden="1" customHeight="1">
      <c r="H4899" s="14"/>
      <c r="I4899" s="567"/>
      <c r="J4899" s="15"/>
      <c r="N4899" s="14"/>
      <c r="O4899" s="14"/>
      <c r="P4899" s="14"/>
    </row>
    <row r="4900" spans="8:16" ht="15.75" hidden="1" customHeight="1">
      <c r="H4900" s="14"/>
      <c r="I4900" s="567"/>
      <c r="J4900" s="15"/>
      <c r="N4900" s="14"/>
      <c r="O4900" s="14"/>
      <c r="P4900" s="14"/>
    </row>
    <row r="4901" spans="8:16" ht="15.75" hidden="1" customHeight="1">
      <c r="H4901" s="14"/>
      <c r="I4901" s="567"/>
      <c r="J4901" s="15"/>
      <c r="N4901" s="14"/>
      <c r="O4901" s="14"/>
      <c r="P4901" s="14"/>
    </row>
    <row r="4902" spans="8:16" ht="15.75" hidden="1" customHeight="1">
      <c r="H4902" s="14"/>
      <c r="I4902" s="567"/>
      <c r="J4902" s="15"/>
      <c r="N4902" s="14"/>
      <c r="O4902" s="14"/>
      <c r="P4902" s="14"/>
    </row>
    <row r="4903" spans="8:16" ht="15.75" hidden="1" customHeight="1">
      <c r="H4903" s="14"/>
      <c r="I4903" s="567"/>
      <c r="J4903" s="15"/>
      <c r="N4903" s="14"/>
      <c r="O4903" s="14"/>
      <c r="P4903" s="14"/>
    </row>
    <row r="4904" spans="8:16" ht="15.75" hidden="1" customHeight="1">
      <c r="H4904" s="14"/>
      <c r="I4904" s="567"/>
      <c r="J4904" s="15"/>
      <c r="N4904" s="14"/>
      <c r="O4904" s="14"/>
      <c r="P4904" s="14"/>
    </row>
    <row r="4905" spans="8:16" ht="15.75" hidden="1" customHeight="1">
      <c r="H4905" s="14"/>
      <c r="I4905" s="567"/>
      <c r="J4905" s="15"/>
      <c r="N4905" s="14"/>
      <c r="O4905" s="14"/>
      <c r="P4905" s="14"/>
    </row>
    <row r="4906" spans="8:16" ht="15.75" hidden="1" customHeight="1">
      <c r="H4906" s="14"/>
      <c r="I4906" s="567"/>
      <c r="J4906" s="15"/>
      <c r="N4906" s="14"/>
      <c r="O4906" s="14"/>
      <c r="P4906" s="14"/>
    </row>
    <row r="4907" spans="8:16" ht="15.75" hidden="1" customHeight="1">
      <c r="H4907" s="14"/>
      <c r="I4907" s="567"/>
      <c r="J4907" s="15"/>
      <c r="N4907" s="14"/>
      <c r="O4907" s="14"/>
      <c r="P4907" s="14"/>
    </row>
    <row r="4908" spans="8:16" ht="15.75" hidden="1" customHeight="1">
      <c r="H4908" s="14"/>
      <c r="I4908" s="567"/>
      <c r="J4908" s="15"/>
      <c r="N4908" s="14"/>
      <c r="O4908" s="14"/>
      <c r="P4908" s="14"/>
    </row>
    <row r="4909" spans="8:16" ht="15.75" hidden="1" customHeight="1">
      <c r="H4909" s="14"/>
      <c r="I4909" s="567"/>
      <c r="J4909" s="15"/>
      <c r="N4909" s="14"/>
      <c r="O4909" s="14"/>
      <c r="P4909" s="14"/>
    </row>
    <row r="4910" spans="8:16" ht="15.75" hidden="1" customHeight="1">
      <c r="H4910" s="14"/>
      <c r="I4910" s="567"/>
      <c r="J4910" s="15"/>
      <c r="N4910" s="14"/>
      <c r="O4910" s="14"/>
      <c r="P4910" s="14"/>
    </row>
    <row r="4911" spans="8:16" ht="15.75" hidden="1" customHeight="1">
      <c r="H4911" s="14"/>
      <c r="I4911" s="567"/>
      <c r="J4911" s="15"/>
      <c r="N4911" s="14"/>
      <c r="O4911" s="14"/>
      <c r="P4911" s="14"/>
    </row>
    <row r="4912" spans="8:16" ht="15.75" hidden="1" customHeight="1">
      <c r="H4912" s="14"/>
      <c r="I4912" s="567"/>
      <c r="J4912" s="15"/>
      <c r="N4912" s="14"/>
      <c r="O4912" s="14"/>
      <c r="P4912" s="14"/>
    </row>
    <row r="4913" spans="8:16" ht="15.75" hidden="1" customHeight="1">
      <c r="H4913" s="14"/>
      <c r="I4913" s="567"/>
      <c r="J4913" s="15"/>
      <c r="N4913" s="14"/>
      <c r="O4913" s="14"/>
      <c r="P4913" s="14"/>
    </row>
    <row r="4914" spans="8:16" ht="15.75" hidden="1" customHeight="1">
      <c r="H4914" s="14"/>
      <c r="I4914" s="567"/>
      <c r="J4914" s="15"/>
      <c r="N4914" s="14"/>
      <c r="O4914" s="14"/>
      <c r="P4914" s="14"/>
    </row>
    <row r="4915" spans="8:16" ht="15.75" hidden="1" customHeight="1">
      <c r="H4915" s="14"/>
      <c r="I4915" s="567"/>
      <c r="J4915" s="15"/>
      <c r="N4915" s="14"/>
      <c r="O4915" s="14"/>
      <c r="P4915" s="14"/>
    </row>
    <row r="4916" spans="8:16" ht="15.75" hidden="1" customHeight="1">
      <c r="H4916" s="14"/>
      <c r="I4916" s="567"/>
      <c r="J4916" s="15"/>
      <c r="N4916" s="14"/>
      <c r="O4916" s="14"/>
      <c r="P4916" s="14"/>
    </row>
    <row r="4917" spans="8:16" ht="15.75" hidden="1" customHeight="1">
      <c r="H4917" s="14"/>
      <c r="I4917" s="567"/>
      <c r="J4917" s="15"/>
      <c r="N4917" s="14"/>
      <c r="O4917" s="14"/>
      <c r="P4917" s="14"/>
    </row>
    <row r="4918" spans="8:16" ht="15.75" hidden="1" customHeight="1">
      <c r="H4918" s="14"/>
      <c r="I4918" s="567"/>
      <c r="J4918" s="15"/>
      <c r="N4918" s="14"/>
      <c r="O4918" s="14"/>
      <c r="P4918" s="14"/>
    </row>
    <row r="4919" spans="8:16" ht="15.75" hidden="1" customHeight="1">
      <c r="H4919" s="14"/>
      <c r="I4919" s="567"/>
      <c r="J4919" s="15"/>
      <c r="N4919" s="14"/>
      <c r="O4919" s="14"/>
      <c r="P4919" s="14"/>
    </row>
    <row r="4920" spans="8:16" ht="15.75" hidden="1" customHeight="1">
      <c r="H4920" s="14"/>
      <c r="I4920" s="567"/>
      <c r="J4920" s="15"/>
      <c r="N4920" s="14"/>
      <c r="O4920" s="14"/>
      <c r="P4920" s="14"/>
    </row>
    <row r="4921" spans="8:16" ht="15.75" hidden="1" customHeight="1">
      <c r="H4921" s="14"/>
      <c r="I4921" s="567"/>
      <c r="J4921" s="15"/>
      <c r="N4921" s="14"/>
      <c r="O4921" s="14"/>
      <c r="P4921" s="14"/>
    </row>
    <row r="4922" spans="8:16" ht="15.75" hidden="1" customHeight="1">
      <c r="H4922" s="14"/>
      <c r="I4922" s="567"/>
      <c r="J4922" s="15"/>
      <c r="N4922" s="14"/>
      <c r="O4922" s="14"/>
      <c r="P4922" s="14"/>
    </row>
    <row r="4923" spans="8:16" ht="15.75" hidden="1" customHeight="1">
      <c r="H4923" s="14"/>
      <c r="I4923" s="567"/>
      <c r="J4923" s="15"/>
      <c r="N4923" s="14"/>
      <c r="O4923" s="14"/>
      <c r="P4923" s="14"/>
    </row>
    <row r="4924" spans="8:16" ht="15.75" hidden="1" customHeight="1">
      <c r="H4924" s="14"/>
      <c r="I4924" s="567"/>
      <c r="J4924" s="15"/>
      <c r="N4924" s="14"/>
      <c r="O4924" s="14"/>
      <c r="P4924" s="14"/>
    </row>
    <row r="4925" spans="8:16" ht="15.75" hidden="1" customHeight="1">
      <c r="H4925" s="14"/>
      <c r="I4925" s="567"/>
      <c r="J4925" s="15"/>
      <c r="N4925" s="14"/>
      <c r="O4925" s="14"/>
      <c r="P4925" s="14"/>
    </row>
    <row r="4926" spans="8:16" ht="15.75" hidden="1" customHeight="1">
      <c r="H4926" s="14"/>
      <c r="I4926" s="567"/>
      <c r="J4926" s="15"/>
      <c r="N4926" s="14"/>
      <c r="O4926" s="14"/>
      <c r="P4926" s="14"/>
    </row>
    <row r="4927" spans="8:16" ht="15.75" hidden="1" customHeight="1">
      <c r="H4927" s="14"/>
      <c r="I4927" s="567"/>
      <c r="J4927" s="15"/>
      <c r="N4927" s="14"/>
      <c r="O4927" s="14"/>
      <c r="P4927" s="14"/>
    </row>
    <row r="4928" spans="8:16" ht="15.75" hidden="1" customHeight="1">
      <c r="H4928" s="14"/>
      <c r="I4928" s="567"/>
      <c r="J4928" s="15"/>
      <c r="N4928" s="14"/>
      <c r="O4928" s="14"/>
      <c r="P4928" s="14"/>
    </row>
    <row r="4929" spans="8:16" ht="15.75" hidden="1" customHeight="1">
      <c r="H4929" s="14"/>
      <c r="I4929" s="567"/>
      <c r="J4929" s="15"/>
      <c r="N4929" s="14"/>
      <c r="O4929" s="14"/>
      <c r="P4929" s="14"/>
    </row>
    <row r="4930" spans="8:16" ht="15.75" hidden="1" customHeight="1">
      <c r="H4930" s="14"/>
      <c r="I4930" s="567"/>
      <c r="J4930" s="15"/>
      <c r="N4930" s="14"/>
      <c r="O4930" s="14"/>
      <c r="P4930" s="14"/>
    </row>
    <row r="4931" spans="8:16" ht="15.75" hidden="1" customHeight="1">
      <c r="H4931" s="14"/>
      <c r="I4931" s="567"/>
      <c r="J4931" s="15"/>
      <c r="N4931" s="14"/>
      <c r="O4931" s="14"/>
      <c r="P4931" s="14"/>
    </row>
    <row r="4932" spans="8:16" ht="15.75" hidden="1" customHeight="1">
      <c r="H4932" s="14"/>
      <c r="I4932" s="567"/>
      <c r="J4932" s="15"/>
      <c r="N4932" s="14"/>
      <c r="O4932" s="14"/>
      <c r="P4932" s="14"/>
    </row>
    <row r="4933" spans="8:16" ht="15.75" hidden="1" customHeight="1">
      <c r="H4933" s="14"/>
      <c r="I4933" s="567"/>
      <c r="J4933" s="15"/>
      <c r="N4933" s="14"/>
      <c r="O4933" s="14"/>
      <c r="P4933" s="14"/>
    </row>
    <row r="4934" spans="8:16" ht="15.75" hidden="1" customHeight="1">
      <c r="H4934" s="14"/>
      <c r="I4934" s="567"/>
      <c r="J4934" s="15"/>
      <c r="N4934" s="14"/>
      <c r="O4934" s="14"/>
      <c r="P4934" s="14"/>
    </row>
    <row r="4935" spans="8:16" ht="15.75" hidden="1" customHeight="1">
      <c r="H4935" s="14"/>
      <c r="I4935" s="567"/>
      <c r="J4935" s="15"/>
      <c r="N4935" s="14"/>
      <c r="O4935" s="14"/>
      <c r="P4935" s="14"/>
    </row>
    <row r="4936" spans="8:16" ht="15.75" hidden="1" customHeight="1">
      <c r="H4936" s="14"/>
      <c r="I4936" s="567"/>
      <c r="J4936" s="15"/>
      <c r="N4936" s="14"/>
      <c r="O4936" s="14"/>
      <c r="P4936" s="14"/>
    </row>
    <row r="4937" spans="8:16" ht="15.75" hidden="1" customHeight="1">
      <c r="H4937" s="14"/>
      <c r="I4937" s="567"/>
      <c r="J4937" s="15"/>
      <c r="N4937" s="14"/>
      <c r="O4937" s="14"/>
      <c r="P4937" s="14"/>
    </row>
    <row r="4938" spans="8:16" ht="15.75" hidden="1" customHeight="1">
      <c r="H4938" s="14"/>
      <c r="I4938" s="567"/>
      <c r="J4938" s="15"/>
      <c r="N4938" s="14"/>
      <c r="O4938" s="14"/>
      <c r="P4938" s="14"/>
    </row>
    <row r="4939" spans="8:16" ht="15.75" hidden="1" customHeight="1">
      <c r="H4939" s="14"/>
      <c r="I4939" s="567"/>
      <c r="J4939" s="15"/>
      <c r="N4939" s="14"/>
      <c r="O4939" s="14"/>
      <c r="P4939" s="14"/>
    </row>
    <row r="4940" spans="8:16" ht="15.75" hidden="1" customHeight="1">
      <c r="H4940" s="14"/>
      <c r="I4940" s="567"/>
      <c r="J4940" s="15"/>
      <c r="N4940" s="14"/>
      <c r="O4940" s="14"/>
      <c r="P4940" s="14"/>
    </row>
    <row r="4941" spans="8:16" ht="15.75" hidden="1" customHeight="1">
      <c r="H4941" s="14"/>
      <c r="I4941" s="567"/>
      <c r="J4941" s="15"/>
      <c r="N4941" s="14"/>
      <c r="O4941" s="14"/>
      <c r="P4941" s="14"/>
    </row>
    <row r="4942" spans="8:16" ht="15.75" hidden="1" customHeight="1">
      <c r="H4942" s="14"/>
      <c r="I4942" s="567"/>
      <c r="J4942" s="15"/>
      <c r="N4942" s="14"/>
      <c r="O4942" s="14"/>
      <c r="P4942" s="14"/>
    </row>
    <row r="4943" spans="8:16" ht="15.75" hidden="1" customHeight="1">
      <c r="H4943" s="14"/>
      <c r="I4943" s="567"/>
      <c r="J4943" s="15"/>
      <c r="N4943" s="14"/>
      <c r="O4943" s="14"/>
      <c r="P4943" s="14"/>
    </row>
    <row r="4944" spans="8:16" ht="15.75" hidden="1" customHeight="1">
      <c r="H4944" s="14"/>
      <c r="I4944" s="567"/>
      <c r="J4944" s="15"/>
      <c r="N4944" s="14"/>
      <c r="O4944" s="14"/>
      <c r="P4944" s="14"/>
    </row>
    <row r="4945" spans="8:16" ht="15.75" hidden="1" customHeight="1">
      <c r="H4945" s="14"/>
      <c r="I4945" s="567"/>
      <c r="J4945" s="15"/>
      <c r="N4945" s="14"/>
      <c r="O4945" s="14"/>
      <c r="P4945" s="14"/>
    </row>
    <row r="4946" spans="8:16" ht="15.75" hidden="1" customHeight="1">
      <c r="H4946" s="14"/>
      <c r="I4946" s="567"/>
      <c r="J4946" s="15"/>
      <c r="N4946" s="14"/>
      <c r="O4946" s="14"/>
      <c r="P4946" s="14"/>
    </row>
    <row r="4947" spans="8:16" ht="15.75" hidden="1" customHeight="1">
      <c r="H4947" s="14"/>
      <c r="I4947" s="567"/>
      <c r="J4947" s="15"/>
      <c r="N4947" s="14"/>
      <c r="O4947" s="14"/>
      <c r="P4947" s="14"/>
    </row>
    <row r="4948" spans="8:16" ht="15.75" hidden="1" customHeight="1">
      <c r="H4948" s="14"/>
      <c r="I4948" s="567"/>
      <c r="J4948" s="15"/>
      <c r="N4948" s="14"/>
      <c r="O4948" s="14"/>
      <c r="P4948" s="14"/>
    </row>
    <row r="4949" spans="8:16" ht="15.75" hidden="1" customHeight="1">
      <c r="H4949" s="14"/>
      <c r="I4949" s="567"/>
      <c r="J4949" s="15"/>
      <c r="N4949" s="14"/>
      <c r="O4949" s="14"/>
      <c r="P4949" s="14"/>
    </row>
    <row r="4950" spans="8:16" ht="15.75" hidden="1" customHeight="1">
      <c r="H4950" s="14"/>
      <c r="I4950" s="567"/>
      <c r="J4950" s="15"/>
      <c r="N4950" s="14"/>
      <c r="O4950" s="14"/>
      <c r="P4950" s="14"/>
    </row>
    <row r="4951" spans="8:16" ht="15.75" hidden="1" customHeight="1">
      <c r="H4951" s="14"/>
      <c r="I4951" s="567"/>
      <c r="J4951" s="15"/>
      <c r="N4951" s="14"/>
      <c r="O4951" s="14"/>
      <c r="P4951" s="14"/>
    </row>
    <row r="4952" spans="8:16" ht="15.75" hidden="1" customHeight="1">
      <c r="H4952" s="14"/>
      <c r="I4952" s="567"/>
      <c r="J4952" s="15"/>
      <c r="N4952" s="14"/>
      <c r="O4952" s="14"/>
      <c r="P4952" s="14"/>
    </row>
    <row r="4953" spans="8:16" ht="15.75" hidden="1" customHeight="1">
      <c r="H4953" s="14"/>
      <c r="I4953" s="567"/>
      <c r="J4953" s="15"/>
      <c r="N4953" s="14"/>
      <c r="O4953" s="14"/>
      <c r="P4953" s="14"/>
    </row>
    <row r="4954" spans="8:16" ht="15.75" hidden="1" customHeight="1">
      <c r="H4954" s="14"/>
      <c r="I4954" s="567"/>
      <c r="J4954" s="15"/>
      <c r="N4954" s="14"/>
      <c r="O4954" s="14"/>
      <c r="P4954" s="14"/>
    </row>
    <row r="4955" spans="8:16" ht="15.75" hidden="1" customHeight="1">
      <c r="H4955" s="14"/>
      <c r="I4955" s="567"/>
      <c r="J4955" s="15"/>
      <c r="N4955" s="14"/>
      <c r="O4955" s="14"/>
      <c r="P4955" s="14"/>
    </row>
    <row r="4956" spans="8:16" ht="15.75" hidden="1" customHeight="1">
      <c r="H4956" s="14"/>
      <c r="I4956" s="567"/>
      <c r="J4956" s="15"/>
      <c r="N4956" s="14"/>
      <c r="O4956" s="14"/>
      <c r="P4956" s="14"/>
    </row>
    <row r="4957" spans="8:16" ht="15.75" hidden="1" customHeight="1">
      <c r="H4957" s="14"/>
      <c r="I4957" s="567"/>
      <c r="J4957" s="15"/>
      <c r="N4957" s="14"/>
      <c r="O4957" s="14"/>
      <c r="P4957" s="14"/>
    </row>
    <row r="4958" spans="8:16" ht="15.75" hidden="1" customHeight="1">
      <c r="H4958" s="14"/>
      <c r="I4958" s="567"/>
      <c r="J4958" s="15"/>
      <c r="N4958" s="14"/>
      <c r="O4958" s="14"/>
      <c r="P4958" s="14"/>
    </row>
    <row r="4959" spans="8:16" ht="15.75" hidden="1" customHeight="1">
      <c r="H4959" s="14"/>
      <c r="I4959" s="567"/>
      <c r="J4959" s="15"/>
      <c r="N4959" s="14"/>
      <c r="O4959" s="14"/>
      <c r="P4959" s="14"/>
    </row>
    <row r="4960" spans="8:16" ht="15.75" hidden="1" customHeight="1">
      <c r="H4960" s="14"/>
      <c r="I4960" s="567"/>
      <c r="J4960" s="15"/>
      <c r="N4960" s="14"/>
      <c r="O4960" s="14"/>
      <c r="P4960" s="14"/>
    </row>
    <row r="4961" spans="8:16" ht="15.75" hidden="1" customHeight="1">
      <c r="H4961" s="14"/>
      <c r="I4961" s="567"/>
      <c r="J4961" s="15"/>
      <c r="N4961" s="14"/>
      <c r="O4961" s="14"/>
      <c r="P4961" s="14"/>
    </row>
    <row r="4962" spans="8:16" ht="15.75" hidden="1" customHeight="1">
      <c r="H4962" s="14"/>
      <c r="I4962" s="567"/>
      <c r="J4962" s="15"/>
      <c r="N4962" s="14"/>
      <c r="O4962" s="14"/>
      <c r="P4962" s="14"/>
    </row>
    <row r="4963" spans="8:16" ht="15.75" hidden="1" customHeight="1">
      <c r="H4963" s="14"/>
      <c r="I4963" s="567"/>
      <c r="J4963" s="15"/>
      <c r="N4963" s="14"/>
      <c r="O4963" s="14"/>
      <c r="P4963" s="14"/>
    </row>
    <row r="4964" spans="8:16" ht="15.75" hidden="1" customHeight="1">
      <c r="H4964" s="14"/>
      <c r="I4964" s="567"/>
      <c r="J4964" s="15"/>
      <c r="N4964" s="14"/>
      <c r="O4964" s="14"/>
      <c r="P4964" s="14"/>
    </row>
    <row r="4965" spans="8:16" ht="15.75" hidden="1" customHeight="1">
      <c r="H4965" s="14"/>
      <c r="I4965" s="567"/>
      <c r="J4965" s="15"/>
      <c r="N4965" s="14"/>
      <c r="O4965" s="14"/>
      <c r="P4965" s="14"/>
    </row>
    <row r="4966" spans="8:16" ht="15.75" hidden="1" customHeight="1">
      <c r="H4966" s="14"/>
      <c r="I4966" s="567"/>
      <c r="J4966" s="15"/>
      <c r="N4966" s="14"/>
      <c r="O4966" s="14"/>
      <c r="P4966" s="14"/>
    </row>
    <row r="4967" spans="8:16" ht="15.75" hidden="1" customHeight="1">
      <c r="H4967" s="14"/>
      <c r="I4967" s="567"/>
      <c r="J4967" s="15"/>
      <c r="N4967" s="14"/>
      <c r="O4967" s="14"/>
      <c r="P4967" s="14"/>
    </row>
    <row r="4968" spans="8:16" ht="15.75" hidden="1" customHeight="1">
      <c r="H4968" s="14"/>
      <c r="I4968" s="567"/>
      <c r="J4968" s="15"/>
      <c r="N4968" s="14"/>
      <c r="O4968" s="14"/>
      <c r="P4968" s="14"/>
    </row>
    <row r="4969" spans="8:16" ht="15.75" hidden="1" customHeight="1">
      <c r="H4969" s="14"/>
      <c r="I4969" s="567"/>
      <c r="J4969" s="15"/>
      <c r="N4969" s="14"/>
      <c r="O4969" s="14"/>
      <c r="P4969" s="14"/>
    </row>
    <row r="4970" spans="8:16" ht="15.75" hidden="1" customHeight="1">
      <c r="H4970" s="14"/>
      <c r="I4970" s="567"/>
      <c r="J4970" s="15"/>
      <c r="N4970" s="14"/>
      <c r="O4970" s="14"/>
      <c r="P4970" s="14"/>
    </row>
    <row r="4971" spans="8:16" ht="15.75" hidden="1" customHeight="1">
      <c r="H4971" s="14"/>
      <c r="I4971" s="567"/>
      <c r="J4971" s="15"/>
      <c r="N4971" s="14"/>
      <c r="O4971" s="14"/>
      <c r="P4971" s="14"/>
    </row>
    <row r="4972" spans="8:16" ht="15.75" hidden="1" customHeight="1">
      <c r="H4972" s="14"/>
      <c r="I4972" s="567"/>
      <c r="J4972" s="15"/>
      <c r="N4972" s="14"/>
      <c r="O4972" s="14"/>
      <c r="P4972" s="14"/>
    </row>
    <row r="4973" spans="8:16" ht="15.75" hidden="1" customHeight="1">
      <c r="H4973" s="14"/>
      <c r="I4973" s="567"/>
      <c r="J4973" s="15"/>
      <c r="N4973" s="14"/>
      <c r="O4973" s="14"/>
      <c r="P4973" s="14"/>
    </row>
    <row r="4974" spans="8:16" ht="15.75" hidden="1" customHeight="1">
      <c r="H4974" s="14"/>
      <c r="I4974" s="567"/>
      <c r="J4974" s="15"/>
      <c r="N4974" s="14"/>
      <c r="O4974" s="14"/>
      <c r="P4974" s="14"/>
    </row>
    <row r="4975" spans="8:16" ht="15.75" hidden="1" customHeight="1">
      <c r="H4975" s="14"/>
      <c r="I4975" s="567"/>
      <c r="J4975" s="15"/>
      <c r="N4975" s="14"/>
      <c r="O4975" s="14"/>
      <c r="P4975" s="14"/>
    </row>
    <row r="4976" spans="8:16" ht="15.75" hidden="1" customHeight="1">
      <c r="H4976" s="14"/>
      <c r="I4976" s="567"/>
      <c r="J4976" s="15"/>
      <c r="N4976" s="14"/>
      <c r="O4976" s="14"/>
      <c r="P4976" s="14"/>
    </row>
    <row r="4977" spans="8:16" ht="15.75" hidden="1" customHeight="1">
      <c r="H4977" s="14"/>
      <c r="I4977" s="567"/>
      <c r="J4977" s="15"/>
      <c r="N4977" s="14"/>
      <c r="O4977" s="14"/>
      <c r="P4977" s="14"/>
    </row>
    <row r="4978" spans="8:16" ht="15.75" hidden="1" customHeight="1">
      <c r="H4978" s="14"/>
      <c r="I4978" s="567"/>
      <c r="J4978" s="15"/>
      <c r="N4978" s="14"/>
      <c r="O4978" s="14"/>
      <c r="P4978" s="14"/>
    </row>
    <row r="4979" spans="8:16" ht="15.75" hidden="1" customHeight="1">
      <c r="H4979" s="14"/>
      <c r="I4979" s="567"/>
      <c r="J4979" s="15"/>
      <c r="N4979" s="14"/>
      <c r="O4979" s="14"/>
      <c r="P4979" s="14"/>
    </row>
    <row r="4980" spans="8:16" ht="15.75" hidden="1" customHeight="1">
      <c r="H4980" s="14"/>
      <c r="I4980" s="567"/>
      <c r="J4980" s="15"/>
      <c r="N4980" s="14"/>
      <c r="O4980" s="14"/>
      <c r="P4980" s="14"/>
    </row>
    <row r="4981" spans="8:16" ht="15.75" hidden="1" customHeight="1">
      <c r="H4981" s="14"/>
      <c r="I4981" s="567"/>
      <c r="J4981" s="15"/>
      <c r="N4981" s="14"/>
      <c r="O4981" s="14"/>
      <c r="P4981" s="14"/>
    </row>
    <row r="4982" spans="8:16" ht="15.75" hidden="1" customHeight="1">
      <c r="H4982" s="14"/>
      <c r="I4982" s="567"/>
      <c r="J4982" s="15"/>
      <c r="N4982" s="14"/>
      <c r="O4982" s="14"/>
      <c r="P4982" s="14"/>
    </row>
    <row r="4983" spans="8:16" ht="15.75" hidden="1" customHeight="1">
      <c r="H4983" s="14"/>
      <c r="I4983" s="567"/>
      <c r="J4983" s="15"/>
      <c r="N4983" s="14"/>
      <c r="O4983" s="14"/>
      <c r="P4983" s="14"/>
    </row>
    <row r="4984" spans="8:16" ht="15.75" hidden="1" customHeight="1">
      <c r="H4984" s="14"/>
      <c r="I4984" s="567"/>
      <c r="J4984" s="15"/>
      <c r="N4984" s="14"/>
      <c r="O4984" s="14"/>
      <c r="P4984" s="14"/>
    </row>
    <row r="4985" spans="8:16" ht="15.75" hidden="1" customHeight="1">
      <c r="H4985" s="14"/>
      <c r="I4985" s="567"/>
      <c r="J4985" s="15"/>
      <c r="N4985" s="14"/>
      <c r="O4985" s="14"/>
      <c r="P4985" s="14"/>
    </row>
    <row r="4986" spans="8:16" ht="15.75" hidden="1" customHeight="1">
      <c r="H4986" s="14"/>
      <c r="I4986" s="567"/>
      <c r="J4986" s="15"/>
      <c r="N4986" s="14"/>
      <c r="O4986" s="14"/>
      <c r="P4986" s="14"/>
    </row>
    <row r="4987" spans="8:16" ht="15.75" hidden="1" customHeight="1">
      <c r="H4987" s="14"/>
      <c r="I4987" s="567"/>
      <c r="J4987" s="15"/>
      <c r="N4987" s="14"/>
      <c r="O4987" s="14"/>
      <c r="P4987" s="14"/>
    </row>
    <row r="4988" spans="8:16" ht="15.75" hidden="1" customHeight="1">
      <c r="H4988" s="14"/>
      <c r="I4988" s="567"/>
      <c r="J4988" s="15"/>
      <c r="N4988" s="14"/>
      <c r="O4988" s="14"/>
      <c r="P4988" s="14"/>
    </row>
    <row r="4989" spans="8:16" ht="15.75" hidden="1" customHeight="1">
      <c r="H4989" s="14"/>
      <c r="I4989" s="567"/>
      <c r="J4989" s="15"/>
      <c r="N4989" s="14"/>
      <c r="O4989" s="14"/>
      <c r="P4989" s="14"/>
    </row>
    <row r="4990" spans="8:16" ht="15.75" hidden="1" customHeight="1">
      <c r="H4990" s="14"/>
      <c r="I4990" s="567"/>
      <c r="J4990" s="15"/>
      <c r="N4990" s="14"/>
      <c r="O4990" s="14"/>
      <c r="P4990" s="14"/>
    </row>
    <row r="4991" spans="8:16" ht="15.75" hidden="1" customHeight="1">
      <c r="H4991" s="14"/>
      <c r="I4991" s="567"/>
      <c r="J4991" s="15"/>
      <c r="N4991" s="14"/>
      <c r="O4991" s="14"/>
      <c r="P4991" s="14"/>
    </row>
    <row r="4992" spans="8:16" ht="15.75" hidden="1" customHeight="1">
      <c r="H4992" s="14"/>
      <c r="I4992" s="567"/>
      <c r="J4992" s="15"/>
      <c r="N4992" s="14"/>
      <c r="O4992" s="14"/>
      <c r="P4992" s="14"/>
    </row>
    <row r="4993" spans="8:16" ht="15.75" hidden="1" customHeight="1">
      <c r="H4993" s="14"/>
      <c r="I4993" s="567"/>
      <c r="J4993" s="15"/>
      <c r="N4993" s="14"/>
      <c r="O4993" s="14"/>
      <c r="P4993" s="14"/>
    </row>
    <row r="4994" spans="8:16" ht="15.75" hidden="1" customHeight="1">
      <c r="H4994" s="14"/>
      <c r="I4994" s="567"/>
      <c r="J4994" s="15"/>
      <c r="N4994" s="14"/>
      <c r="O4994" s="14"/>
      <c r="P4994" s="14"/>
    </row>
    <row r="4995" spans="8:16" ht="15.75" hidden="1" customHeight="1">
      <c r="H4995" s="14"/>
      <c r="I4995" s="567"/>
      <c r="J4995" s="15"/>
      <c r="N4995" s="14"/>
      <c r="O4995" s="14"/>
      <c r="P4995" s="14"/>
    </row>
    <row r="4996" spans="8:16" ht="15.75" hidden="1" customHeight="1">
      <c r="H4996" s="14"/>
      <c r="I4996" s="567"/>
      <c r="J4996" s="15"/>
      <c r="N4996" s="14"/>
      <c r="O4996" s="14"/>
      <c r="P4996" s="14"/>
    </row>
    <row r="4997" spans="8:16" ht="15.75" hidden="1" customHeight="1">
      <c r="H4997" s="14"/>
      <c r="I4997" s="567"/>
      <c r="J4997" s="15"/>
      <c r="N4997" s="14"/>
      <c r="O4997" s="14"/>
      <c r="P4997" s="14"/>
    </row>
    <row r="4998" spans="8:16" ht="15.75" hidden="1" customHeight="1">
      <c r="H4998" s="14"/>
      <c r="I4998" s="567"/>
      <c r="J4998" s="15"/>
      <c r="N4998" s="14"/>
      <c r="O4998" s="14"/>
      <c r="P4998" s="14"/>
    </row>
    <row r="4999" spans="8:16" ht="15.75" hidden="1" customHeight="1">
      <c r="H4999" s="14"/>
      <c r="I4999" s="567"/>
      <c r="J4999" s="15"/>
      <c r="N4999" s="14"/>
      <c r="O4999" s="14"/>
      <c r="P4999" s="14"/>
    </row>
    <row r="5000" spans="8:16" ht="15.75" hidden="1" customHeight="1">
      <c r="H5000" s="14"/>
      <c r="I5000" s="567"/>
      <c r="J5000" s="15"/>
      <c r="N5000" s="14"/>
      <c r="O5000" s="14"/>
      <c r="P5000" s="14"/>
    </row>
    <row r="5001" spans="8:16" ht="15.75" hidden="1" customHeight="1">
      <c r="H5001" s="14"/>
      <c r="I5001" s="567"/>
      <c r="J5001" s="15"/>
      <c r="N5001" s="14"/>
      <c r="O5001" s="14"/>
      <c r="P5001" s="14"/>
    </row>
    <row r="5002" spans="8:16" ht="15.75" hidden="1" customHeight="1">
      <c r="H5002" s="14"/>
      <c r="I5002" s="567"/>
      <c r="J5002" s="15"/>
      <c r="N5002" s="14"/>
      <c r="O5002" s="14"/>
      <c r="P5002" s="14"/>
    </row>
    <row r="5003" spans="8:16" ht="15.75" hidden="1" customHeight="1">
      <c r="H5003" s="14"/>
      <c r="I5003" s="567"/>
      <c r="J5003" s="15"/>
      <c r="N5003" s="14"/>
      <c r="O5003" s="14"/>
      <c r="P5003" s="14"/>
    </row>
    <row r="5004" spans="8:16" ht="15.75" hidden="1" customHeight="1">
      <c r="H5004" s="14"/>
      <c r="I5004" s="567"/>
      <c r="J5004" s="15"/>
      <c r="N5004" s="14"/>
      <c r="O5004" s="14"/>
      <c r="P5004" s="14"/>
    </row>
    <row r="5005" spans="8:16" ht="15.75" hidden="1" customHeight="1">
      <c r="H5005" s="14"/>
      <c r="I5005" s="567"/>
      <c r="J5005" s="15"/>
      <c r="N5005" s="14"/>
      <c r="O5005" s="14"/>
      <c r="P5005" s="14"/>
    </row>
    <row r="5006" spans="8:16" ht="15.75" hidden="1" customHeight="1">
      <c r="H5006" s="14"/>
      <c r="I5006" s="567"/>
      <c r="J5006" s="15"/>
      <c r="N5006" s="14"/>
      <c r="O5006" s="14"/>
      <c r="P5006" s="14"/>
    </row>
    <row r="5007" spans="8:16" ht="15.75" hidden="1" customHeight="1">
      <c r="H5007" s="14"/>
      <c r="I5007" s="567"/>
      <c r="J5007" s="15"/>
      <c r="N5007" s="14"/>
      <c r="O5007" s="14"/>
      <c r="P5007" s="14"/>
    </row>
    <row r="5008" spans="8:16" ht="15.75" hidden="1" customHeight="1">
      <c r="H5008" s="14"/>
      <c r="I5008" s="567"/>
      <c r="J5008" s="15"/>
      <c r="N5008" s="14"/>
      <c r="O5008" s="14"/>
      <c r="P5008" s="14"/>
    </row>
    <row r="5009" spans="8:16" ht="15.75" hidden="1" customHeight="1">
      <c r="H5009" s="14"/>
      <c r="I5009" s="567"/>
      <c r="J5009" s="15"/>
      <c r="N5009" s="14"/>
      <c r="O5009" s="14"/>
      <c r="P5009" s="14"/>
    </row>
    <row r="5010" spans="8:16" ht="15.75" hidden="1" customHeight="1">
      <c r="H5010" s="14"/>
      <c r="I5010" s="567"/>
      <c r="J5010" s="15"/>
      <c r="N5010" s="14"/>
      <c r="O5010" s="14"/>
      <c r="P5010" s="14"/>
    </row>
    <row r="5011" spans="8:16" ht="15.75" hidden="1" customHeight="1">
      <c r="H5011" s="14"/>
      <c r="I5011" s="567"/>
      <c r="J5011" s="15"/>
      <c r="N5011" s="14"/>
      <c r="O5011" s="14"/>
      <c r="P5011" s="14"/>
    </row>
    <row r="5012" spans="8:16" ht="15.75" hidden="1" customHeight="1">
      <c r="H5012" s="14"/>
      <c r="I5012" s="567"/>
      <c r="J5012" s="15"/>
      <c r="N5012" s="14"/>
      <c r="O5012" s="14"/>
      <c r="P5012" s="14"/>
    </row>
    <row r="5013" spans="8:16" ht="15.75" hidden="1" customHeight="1">
      <c r="H5013" s="14"/>
      <c r="I5013" s="567"/>
      <c r="J5013" s="15"/>
      <c r="N5013" s="14"/>
      <c r="O5013" s="14"/>
      <c r="P5013" s="14"/>
    </row>
    <row r="5014" spans="8:16" ht="15.75" hidden="1" customHeight="1">
      <c r="H5014" s="14"/>
      <c r="I5014" s="567"/>
      <c r="J5014" s="15"/>
      <c r="N5014" s="14"/>
      <c r="O5014" s="14"/>
      <c r="P5014" s="14"/>
    </row>
    <row r="5015" spans="8:16" ht="15.75" hidden="1" customHeight="1">
      <c r="H5015" s="14"/>
      <c r="I5015" s="567"/>
      <c r="J5015" s="15"/>
      <c r="N5015" s="14"/>
      <c r="O5015" s="14"/>
      <c r="P5015" s="14"/>
    </row>
    <row r="5016" spans="8:16" ht="15.75" hidden="1" customHeight="1">
      <c r="H5016" s="14"/>
      <c r="I5016" s="567"/>
      <c r="J5016" s="15"/>
      <c r="N5016" s="14"/>
      <c r="O5016" s="14"/>
      <c r="P5016" s="14"/>
    </row>
    <row r="5017" spans="8:16" ht="15.75" hidden="1" customHeight="1">
      <c r="H5017" s="14"/>
      <c r="I5017" s="567"/>
      <c r="J5017" s="15"/>
      <c r="N5017" s="14"/>
      <c r="O5017" s="14"/>
      <c r="P5017" s="14"/>
    </row>
    <row r="5018" spans="8:16" ht="15.75" hidden="1" customHeight="1">
      <c r="H5018" s="14"/>
      <c r="I5018" s="567"/>
      <c r="J5018" s="15"/>
      <c r="N5018" s="14"/>
      <c r="O5018" s="14"/>
      <c r="P5018" s="14"/>
    </row>
    <row r="5019" spans="8:16" ht="15.75" hidden="1" customHeight="1">
      <c r="H5019" s="14"/>
      <c r="I5019" s="567"/>
      <c r="J5019" s="15"/>
      <c r="N5019" s="14"/>
      <c r="O5019" s="14"/>
      <c r="P5019" s="14"/>
    </row>
    <row r="5020" spans="8:16" ht="15.75" hidden="1" customHeight="1">
      <c r="H5020" s="14"/>
      <c r="I5020" s="567"/>
      <c r="J5020" s="15"/>
      <c r="N5020" s="14"/>
      <c r="O5020" s="14"/>
      <c r="P5020" s="14"/>
    </row>
    <row r="5021" spans="8:16" ht="15.75" hidden="1" customHeight="1">
      <c r="H5021" s="14"/>
      <c r="I5021" s="567"/>
      <c r="J5021" s="15"/>
      <c r="N5021" s="14"/>
      <c r="O5021" s="14"/>
      <c r="P5021" s="14"/>
    </row>
    <row r="5022" spans="8:16" ht="15.75" hidden="1" customHeight="1">
      <c r="H5022" s="14"/>
      <c r="I5022" s="567"/>
      <c r="J5022" s="15"/>
      <c r="N5022" s="14"/>
      <c r="O5022" s="14"/>
      <c r="P5022" s="14"/>
    </row>
    <row r="5023" spans="8:16" ht="15.75" hidden="1" customHeight="1">
      <c r="H5023" s="14"/>
      <c r="I5023" s="567"/>
      <c r="J5023" s="15"/>
      <c r="N5023" s="14"/>
      <c r="O5023" s="14"/>
      <c r="P5023" s="14"/>
    </row>
    <row r="5024" spans="8:16" ht="15.75" hidden="1" customHeight="1">
      <c r="H5024" s="14"/>
      <c r="I5024" s="567"/>
      <c r="J5024" s="15"/>
      <c r="N5024" s="14"/>
      <c r="O5024" s="14"/>
      <c r="P5024" s="14"/>
    </row>
    <row r="5025" spans="8:16" ht="15.75" hidden="1" customHeight="1">
      <c r="H5025" s="14"/>
      <c r="I5025" s="567"/>
      <c r="J5025" s="15"/>
      <c r="N5025" s="14"/>
      <c r="O5025" s="14"/>
      <c r="P5025" s="14"/>
    </row>
    <row r="5026" spans="8:16" ht="15.75" hidden="1" customHeight="1">
      <c r="H5026" s="14"/>
      <c r="I5026" s="567"/>
      <c r="J5026" s="15"/>
      <c r="N5026" s="14"/>
      <c r="O5026" s="14"/>
      <c r="P5026" s="14"/>
    </row>
    <row r="5027" spans="8:16" ht="15.75" hidden="1" customHeight="1">
      <c r="H5027" s="14"/>
      <c r="I5027" s="567"/>
      <c r="J5027" s="15"/>
      <c r="N5027" s="14"/>
      <c r="O5027" s="14"/>
      <c r="P5027" s="14"/>
    </row>
    <row r="5028" spans="8:16" ht="15.75" hidden="1" customHeight="1">
      <c r="H5028" s="14"/>
      <c r="I5028" s="567"/>
      <c r="J5028" s="15"/>
      <c r="N5028" s="14"/>
      <c r="O5028" s="14"/>
      <c r="P5028" s="14"/>
    </row>
    <row r="5029" spans="8:16" ht="15.75" hidden="1" customHeight="1">
      <c r="H5029" s="14"/>
      <c r="I5029" s="567"/>
      <c r="J5029" s="15"/>
      <c r="N5029" s="14"/>
      <c r="O5029" s="14"/>
      <c r="P5029" s="14"/>
    </row>
    <row r="5030" spans="8:16" ht="15.75" hidden="1" customHeight="1">
      <c r="H5030" s="14"/>
      <c r="I5030" s="567"/>
      <c r="J5030" s="15"/>
      <c r="N5030" s="14"/>
      <c r="O5030" s="14"/>
      <c r="P5030" s="14"/>
    </row>
    <row r="5031" spans="8:16" ht="15.75" hidden="1" customHeight="1">
      <c r="H5031" s="14"/>
      <c r="I5031" s="567"/>
      <c r="J5031" s="15"/>
      <c r="N5031" s="14"/>
      <c r="O5031" s="14"/>
      <c r="P5031" s="14"/>
    </row>
    <row r="5032" spans="8:16" ht="15.75" hidden="1" customHeight="1">
      <c r="H5032" s="14"/>
      <c r="I5032" s="567"/>
      <c r="J5032" s="15"/>
      <c r="N5032" s="14"/>
      <c r="O5032" s="14"/>
      <c r="P5032" s="14"/>
    </row>
    <row r="5033" spans="8:16" ht="15.75" hidden="1" customHeight="1">
      <c r="H5033" s="14"/>
      <c r="I5033" s="567"/>
      <c r="J5033" s="15"/>
      <c r="N5033" s="14"/>
      <c r="O5033" s="14"/>
      <c r="P5033" s="14"/>
    </row>
    <row r="5034" spans="8:16" ht="15.75" hidden="1" customHeight="1">
      <c r="H5034" s="14"/>
      <c r="I5034" s="567"/>
      <c r="J5034" s="15"/>
      <c r="N5034" s="14"/>
      <c r="O5034" s="14"/>
      <c r="P5034" s="14"/>
    </row>
    <row r="5035" spans="8:16" ht="15.75" hidden="1" customHeight="1">
      <c r="H5035" s="14"/>
      <c r="I5035" s="567"/>
      <c r="J5035" s="15"/>
      <c r="N5035" s="14"/>
      <c r="O5035" s="14"/>
      <c r="P5035" s="14"/>
    </row>
    <row r="5036" spans="8:16" ht="15.75" hidden="1" customHeight="1">
      <c r="H5036" s="14"/>
      <c r="I5036" s="567"/>
      <c r="J5036" s="15"/>
      <c r="N5036" s="14"/>
      <c r="O5036" s="14"/>
      <c r="P5036" s="14"/>
    </row>
    <row r="5037" spans="8:16" ht="15.75" hidden="1" customHeight="1">
      <c r="H5037" s="14"/>
      <c r="I5037" s="567"/>
      <c r="J5037" s="15"/>
      <c r="N5037" s="14"/>
      <c r="O5037" s="14"/>
      <c r="P5037" s="14"/>
    </row>
    <row r="5038" spans="8:16" ht="15.75" hidden="1" customHeight="1">
      <c r="H5038" s="14"/>
      <c r="I5038" s="567"/>
      <c r="J5038" s="15"/>
      <c r="N5038" s="14"/>
      <c r="O5038" s="14"/>
      <c r="P5038" s="14"/>
    </row>
    <row r="5039" spans="8:16" ht="15.75" hidden="1" customHeight="1">
      <c r="H5039" s="14"/>
      <c r="I5039" s="567"/>
      <c r="J5039" s="15"/>
      <c r="N5039" s="14"/>
      <c r="O5039" s="14"/>
      <c r="P5039" s="14"/>
    </row>
    <row r="5040" spans="8:16" ht="15.75" hidden="1" customHeight="1">
      <c r="H5040" s="14"/>
      <c r="I5040" s="567"/>
      <c r="J5040" s="15"/>
      <c r="N5040" s="14"/>
      <c r="O5040" s="14"/>
      <c r="P5040" s="14"/>
    </row>
    <row r="5041" spans="8:16" ht="15.75" hidden="1" customHeight="1">
      <c r="H5041" s="14"/>
      <c r="I5041" s="567"/>
      <c r="J5041" s="15"/>
      <c r="N5041" s="14"/>
      <c r="O5041" s="14"/>
      <c r="P5041" s="14"/>
    </row>
    <row r="5042" spans="8:16" ht="15.75" hidden="1" customHeight="1">
      <c r="H5042" s="14"/>
      <c r="I5042" s="567"/>
      <c r="J5042" s="15"/>
      <c r="N5042" s="14"/>
      <c r="O5042" s="14"/>
      <c r="P5042" s="14"/>
    </row>
    <row r="5043" spans="8:16" ht="15.75" hidden="1" customHeight="1">
      <c r="H5043" s="14"/>
      <c r="I5043" s="567"/>
      <c r="J5043" s="15"/>
      <c r="N5043" s="14"/>
      <c r="O5043" s="14"/>
      <c r="P5043" s="14"/>
    </row>
    <row r="5044" spans="8:16" ht="15.75" hidden="1" customHeight="1">
      <c r="H5044" s="14"/>
      <c r="I5044" s="567"/>
      <c r="J5044" s="15"/>
      <c r="N5044" s="14"/>
      <c r="O5044" s="14"/>
      <c r="P5044" s="14"/>
    </row>
    <row r="5045" spans="8:16" ht="15.75" hidden="1" customHeight="1">
      <c r="H5045" s="14"/>
      <c r="I5045" s="567"/>
      <c r="J5045" s="15"/>
      <c r="N5045" s="14"/>
      <c r="O5045" s="14"/>
      <c r="P5045" s="14"/>
    </row>
    <row r="5046" spans="8:16" ht="15.75" hidden="1" customHeight="1">
      <c r="H5046" s="14"/>
      <c r="I5046" s="567"/>
      <c r="J5046" s="15"/>
      <c r="N5046" s="14"/>
      <c r="O5046" s="14"/>
      <c r="P5046" s="14"/>
    </row>
    <row r="5047" spans="8:16" ht="15.75" hidden="1" customHeight="1">
      <c r="H5047" s="14"/>
      <c r="I5047" s="567"/>
      <c r="J5047" s="15"/>
      <c r="N5047" s="14"/>
      <c r="O5047" s="14"/>
      <c r="P5047" s="14"/>
    </row>
    <row r="5048" spans="8:16" ht="15.75" hidden="1" customHeight="1">
      <c r="H5048" s="14"/>
      <c r="I5048" s="567"/>
      <c r="J5048" s="15"/>
      <c r="N5048" s="14"/>
      <c r="O5048" s="14"/>
      <c r="P5048" s="14"/>
    </row>
    <row r="5049" spans="8:16" ht="15.75" hidden="1" customHeight="1">
      <c r="H5049" s="14"/>
      <c r="I5049" s="567"/>
      <c r="J5049" s="15"/>
      <c r="N5049" s="14"/>
      <c r="O5049" s="14"/>
      <c r="P5049" s="14"/>
    </row>
    <row r="5050" spans="8:16" ht="15.75" hidden="1" customHeight="1">
      <c r="H5050" s="14"/>
      <c r="I5050" s="567"/>
      <c r="J5050" s="15"/>
      <c r="N5050" s="14"/>
      <c r="O5050" s="14"/>
      <c r="P5050" s="14"/>
    </row>
    <row r="5051" spans="8:16" ht="15.75" hidden="1" customHeight="1">
      <c r="H5051" s="14"/>
      <c r="I5051" s="567"/>
      <c r="J5051" s="15"/>
      <c r="N5051" s="14"/>
      <c r="O5051" s="14"/>
      <c r="P5051" s="14"/>
    </row>
    <row r="5052" spans="8:16" ht="15.75" hidden="1" customHeight="1">
      <c r="H5052" s="14"/>
      <c r="I5052" s="567"/>
      <c r="J5052" s="15"/>
      <c r="N5052" s="14"/>
      <c r="O5052" s="14"/>
      <c r="P5052" s="14"/>
    </row>
    <row r="5053" spans="8:16" ht="15.75" hidden="1" customHeight="1">
      <c r="H5053" s="14"/>
      <c r="I5053" s="567"/>
      <c r="J5053" s="15"/>
      <c r="N5053" s="14"/>
      <c r="O5053" s="14"/>
      <c r="P5053" s="14"/>
    </row>
    <row r="5054" spans="8:16" ht="15.75" hidden="1" customHeight="1">
      <c r="H5054" s="14"/>
      <c r="I5054" s="567"/>
      <c r="J5054" s="15"/>
      <c r="N5054" s="14"/>
      <c r="O5054" s="14"/>
      <c r="P5054" s="14"/>
    </row>
    <row r="5055" spans="8:16" ht="15.75" hidden="1" customHeight="1">
      <c r="H5055" s="14"/>
      <c r="I5055" s="567"/>
      <c r="J5055" s="15"/>
      <c r="N5055" s="14"/>
      <c r="O5055" s="14"/>
      <c r="P5055" s="14"/>
    </row>
    <row r="5056" spans="8:16" ht="15.75" hidden="1" customHeight="1">
      <c r="H5056" s="14"/>
      <c r="I5056" s="567"/>
      <c r="J5056" s="15"/>
      <c r="N5056" s="14"/>
      <c r="O5056" s="14"/>
      <c r="P5056" s="14"/>
    </row>
    <row r="5057" spans="8:16" ht="15.75" hidden="1" customHeight="1">
      <c r="H5057" s="14"/>
      <c r="I5057" s="567"/>
      <c r="J5057" s="15"/>
      <c r="N5057" s="14"/>
      <c r="O5057" s="14"/>
      <c r="P5057" s="14"/>
    </row>
    <row r="5058" spans="8:16" ht="15.75" hidden="1" customHeight="1">
      <c r="H5058" s="14"/>
      <c r="I5058" s="567"/>
      <c r="J5058" s="15"/>
      <c r="N5058" s="14"/>
      <c r="O5058" s="14"/>
      <c r="P5058" s="14"/>
    </row>
    <row r="5059" spans="8:16" ht="15.75" hidden="1" customHeight="1">
      <c r="H5059" s="14"/>
      <c r="I5059" s="567"/>
      <c r="J5059" s="15"/>
      <c r="N5059" s="14"/>
      <c r="O5059" s="14"/>
      <c r="P5059" s="14"/>
    </row>
    <row r="5060" spans="8:16" ht="15.75" hidden="1" customHeight="1">
      <c r="H5060" s="14"/>
      <c r="I5060" s="567"/>
      <c r="J5060" s="15"/>
      <c r="N5060" s="14"/>
      <c r="O5060" s="14"/>
      <c r="P5060" s="14"/>
    </row>
    <row r="5061" spans="8:16" ht="15.75" hidden="1" customHeight="1">
      <c r="H5061" s="14"/>
      <c r="I5061" s="567"/>
      <c r="J5061" s="15"/>
      <c r="N5061" s="14"/>
      <c r="O5061" s="14"/>
      <c r="P5061" s="14"/>
    </row>
    <row r="5062" spans="8:16" ht="15.75" hidden="1" customHeight="1">
      <c r="H5062" s="14"/>
      <c r="I5062" s="567"/>
      <c r="J5062" s="15"/>
      <c r="N5062" s="14"/>
      <c r="O5062" s="14"/>
      <c r="P5062" s="14"/>
    </row>
    <row r="5063" spans="8:16" ht="15.75" hidden="1" customHeight="1">
      <c r="H5063" s="14"/>
      <c r="I5063" s="567"/>
      <c r="J5063" s="15"/>
      <c r="N5063" s="14"/>
      <c r="O5063" s="14"/>
      <c r="P5063" s="14"/>
    </row>
    <row r="5064" spans="8:16" ht="15.75" hidden="1" customHeight="1">
      <c r="H5064" s="14"/>
      <c r="I5064" s="567"/>
      <c r="J5064" s="15"/>
      <c r="N5064" s="14"/>
      <c r="O5064" s="14"/>
      <c r="P5064" s="14"/>
    </row>
    <row r="5065" spans="8:16" ht="15.75" hidden="1" customHeight="1">
      <c r="H5065" s="14"/>
      <c r="I5065" s="567"/>
      <c r="J5065" s="15"/>
      <c r="N5065" s="14"/>
      <c r="O5065" s="14"/>
      <c r="P5065" s="14"/>
    </row>
    <row r="5066" spans="8:16" ht="15.75" hidden="1" customHeight="1">
      <c r="H5066" s="14"/>
      <c r="I5066" s="567"/>
      <c r="J5066" s="15"/>
      <c r="N5066" s="14"/>
      <c r="O5066" s="14"/>
      <c r="P5066" s="14"/>
    </row>
    <row r="5067" spans="8:16" ht="15.75" hidden="1" customHeight="1">
      <c r="H5067" s="14"/>
      <c r="I5067" s="567"/>
      <c r="J5067" s="15"/>
      <c r="N5067" s="14"/>
      <c r="O5067" s="14"/>
      <c r="P5067" s="14"/>
    </row>
    <row r="5068" spans="8:16" ht="15.75" hidden="1" customHeight="1">
      <c r="H5068" s="14"/>
      <c r="I5068" s="567"/>
      <c r="J5068" s="15"/>
      <c r="N5068" s="14"/>
      <c r="O5068" s="14"/>
      <c r="P5068" s="14"/>
    </row>
    <row r="5069" spans="8:16" ht="15.75" hidden="1" customHeight="1">
      <c r="H5069" s="14"/>
      <c r="I5069" s="567"/>
      <c r="J5069" s="15"/>
      <c r="N5069" s="14"/>
      <c r="O5069" s="14"/>
      <c r="P5069" s="14"/>
    </row>
    <row r="5070" spans="8:16" ht="15.75" hidden="1" customHeight="1">
      <c r="H5070" s="14"/>
      <c r="I5070" s="567"/>
      <c r="J5070" s="15"/>
      <c r="N5070" s="14"/>
      <c r="O5070" s="14"/>
      <c r="P5070" s="14"/>
    </row>
    <row r="5071" spans="8:16" ht="15.75" hidden="1" customHeight="1">
      <c r="H5071" s="14"/>
      <c r="I5071" s="567"/>
      <c r="J5071" s="15"/>
      <c r="N5071" s="14"/>
      <c r="O5071" s="14"/>
      <c r="P5071" s="14"/>
    </row>
    <row r="5072" spans="8:16" ht="15.75" hidden="1" customHeight="1">
      <c r="H5072" s="14"/>
      <c r="I5072" s="567"/>
      <c r="J5072" s="15"/>
      <c r="N5072" s="14"/>
      <c r="O5072" s="14"/>
      <c r="P5072" s="14"/>
    </row>
    <row r="5073" spans="8:16" ht="15.75" hidden="1" customHeight="1">
      <c r="H5073" s="14"/>
      <c r="I5073" s="567"/>
      <c r="J5073" s="15"/>
      <c r="N5073" s="14"/>
      <c r="O5073" s="14"/>
      <c r="P5073" s="14"/>
    </row>
    <row r="5074" spans="8:16" ht="15.75" hidden="1" customHeight="1">
      <c r="H5074" s="14"/>
      <c r="I5074" s="567"/>
      <c r="J5074" s="15"/>
      <c r="N5074" s="14"/>
      <c r="O5074" s="14"/>
      <c r="P5074" s="14"/>
    </row>
    <row r="5075" spans="8:16" ht="15.75" hidden="1" customHeight="1">
      <c r="H5075" s="14"/>
      <c r="I5075" s="567"/>
      <c r="J5075" s="15"/>
      <c r="N5075" s="14"/>
      <c r="O5075" s="14"/>
      <c r="P5075" s="14"/>
    </row>
    <row r="5076" spans="8:16" ht="15.75" hidden="1" customHeight="1">
      <c r="H5076" s="14"/>
      <c r="I5076" s="567"/>
      <c r="J5076" s="15"/>
      <c r="N5076" s="14"/>
      <c r="O5076" s="14"/>
      <c r="P5076" s="14"/>
    </row>
    <row r="5077" spans="8:16" ht="15.75" hidden="1" customHeight="1">
      <c r="H5077" s="14"/>
      <c r="I5077" s="567"/>
      <c r="J5077" s="15"/>
      <c r="N5077" s="14"/>
      <c r="O5077" s="14"/>
      <c r="P5077" s="14"/>
    </row>
    <row r="5078" spans="8:16" ht="15.75" hidden="1" customHeight="1">
      <c r="H5078" s="14"/>
      <c r="I5078" s="567"/>
      <c r="J5078" s="15"/>
      <c r="N5078" s="14"/>
      <c r="O5078" s="14"/>
      <c r="P5078" s="14"/>
    </row>
    <row r="5079" spans="8:16" ht="15.75" hidden="1" customHeight="1">
      <c r="H5079" s="14"/>
      <c r="I5079" s="567"/>
      <c r="J5079" s="15"/>
      <c r="N5079" s="14"/>
      <c r="O5079" s="14"/>
      <c r="P5079" s="14"/>
    </row>
    <row r="5080" spans="8:16" ht="15.75" hidden="1" customHeight="1">
      <c r="H5080" s="14"/>
      <c r="I5080" s="567"/>
      <c r="J5080" s="15"/>
      <c r="N5080" s="14"/>
      <c r="O5080" s="14"/>
      <c r="P5080" s="14"/>
    </row>
    <row r="5081" spans="8:16" ht="15.75" hidden="1" customHeight="1">
      <c r="H5081" s="14"/>
      <c r="I5081" s="567"/>
      <c r="J5081" s="15"/>
      <c r="N5081" s="14"/>
      <c r="O5081" s="14"/>
      <c r="P5081" s="14"/>
    </row>
    <row r="5082" spans="8:16" ht="15.75" hidden="1" customHeight="1">
      <c r="H5082" s="14"/>
      <c r="I5082" s="567"/>
      <c r="J5082" s="15"/>
      <c r="N5082" s="14"/>
      <c r="O5082" s="14"/>
      <c r="P5082" s="14"/>
    </row>
    <row r="5083" spans="8:16" ht="15.75" hidden="1" customHeight="1">
      <c r="H5083" s="14"/>
      <c r="I5083" s="567"/>
      <c r="J5083" s="15"/>
      <c r="N5083" s="14"/>
      <c r="O5083" s="14"/>
      <c r="P5083" s="14"/>
    </row>
    <row r="5084" spans="8:16" ht="15.75" hidden="1" customHeight="1">
      <c r="H5084" s="14"/>
      <c r="I5084" s="567"/>
      <c r="J5084" s="15"/>
      <c r="N5084" s="14"/>
      <c r="O5084" s="14"/>
      <c r="P5084" s="14"/>
    </row>
    <row r="5085" spans="8:16" ht="15.75" hidden="1" customHeight="1">
      <c r="H5085" s="14"/>
      <c r="I5085" s="567"/>
      <c r="J5085" s="15"/>
      <c r="N5085" s="14"/>
      <c r="O5085" s="14"/>
      <c r="P5085" s="14"/>
    </row>
    <row r="5086" spans="8:16" ht="15.75" hidden="1" customHeight="1">
      <c r="H5086" s="14"/>
      <c r="I5086" s="567"/>
      <c r="J5086" s="15"/>
      <c r="N5086" s="14"/>
      <c r="O5086" s="14"/>
      <c r="P5086" s="14"/>
    </row>
    <row r="5087" spans="8:16" ht="15.75" hidden="1" customHeight="1">
      <c r="H5087" s="14"/>
      <c r="I5087" s="567"/>
      <c r="J5087" s="15"/>
      <c r="N5087" s="14"/>
      <c r="O5087" s="14"/>
      <c r="P5087" s="14"/>
    </row>
    <row r="5088" spans="8:16" ht="15.75" hidden="1" customHeight="1">
      <c r="H5088" s="14"/>
      <c r="I5088" s="567"/>
      <c r="J5088" s="15"/>
      <c r="N5088" s="14"/>
      <c r="O5088" s="14"/>
      <c r="P5088" s="14"/>
    </row>
    <row r="5089" spans="8:16" ht="15.75" hidden="1" customHeight="1">
      <c r="H5089" s="14"/>
      <c r="I5089" s="567"/>
      <c r="J5089" s="15"/>
      <c r="N5089" s="14"/>
      <c r="O5089" s="14"/>
      <c r="P5089" s="14"/>
    </row>
    <row r="5090" spans="8:16" ht="15.75" hidden="1" customHeight="1">
      <c r="H5090" s="14"/>
      <c r="I5090" s="567"/>
      <c r="J5090" s="15"/>
      <c r="N5090" s="14"/>
      <c r="O5090" s="14"/>
      <c r="P5090" s="14"/>
    </row>
    <row r="5091" spans="8:16" ht="15.75" hidden="1" customHeight="1">
      <c r="H5091" s="14"/>
      <c r="I5091" s="567"/>
      <c r="J5091" s="15"/>
      <c r="N5091" s="14"/>
      <c r="O5091" s="14"/>
      <c r="P5091" s="14"/>
    </row>
    <row r="5092" spans="8:16" ht="15.75" hidden="1" customHeight="1">
      <c r="H5092" s="14"/>
      <c r="I5092" s="567"/>
      <c r="J5092" s="15"/>
      <c r="N5092" s="14"/>
      <c r="O5092" s="14"/>
      <c r="P5092" s="14"/>
    </row>
    <row r="5093" spans="8:16" ht="15.75" hidden="1" customHeight="1">
      <c r="H5093" s="14"/>
      <c r="I5093" s="567"/>
      <c r="J5093" s="15"/>
      <c r="N5093" s="14"/>
      <c r="O5093" s="14"/>
      <c r="P5093" s="14"/>
    </row>
    <row r="5094" spans="8:16" ht="15.75" hidden="1" customHeight="1">
      <c r="H5094" s="14"/>
      <c r="I5094" s="567"/>
      <c r="J5094" s="15"/>
      <c r="N5094" s="14"/>
      <c r="O5094" s="14"/>
      <c r="P5094" s="14"/>
    </row>
    <row r="5095" spans="8:16" ht="15.75" hidden="1" customHeight="1">
      <c r="H5095" s="14"/>
      <c r="I5095" s="567"/>
      <c r="J5095" s="15"/>
      <c r="N5095" s="14"/>
      <c r="O5095" s="14"/>
      <c r="P5095" s="14"/>
    </row>
    <row r="5096" spans="8:16" ht="15.75" hidden="1" customHeight="1">
      <c r="H5096" s="14"/>
      <c r="I5096" s="567"/>
      <c r="J5096" s="15"/>
      <c r="N5096" s="14"/>
      <c r="O5096" s="14"/>
      <c r="P5096" s="14"/>
    </row>
    <row r="5097" spans="8:16" ht="15.75" hidden="1" customHeight="1">
      <c r="H5097" s="14"/>
      <c r="I5097" s="567"/>
      <c r="J5097" s="15"/>
      <c r="N5097" s="14"/>
      <c r="O5097" s="14"/>
      <c r="P5097" s="14"/>
    </row>
    <row r="5098" spans="8:16" ht="15.75" hidden="1" customHeight="1">
      <c r="H5098" s="14"/>
      <c r="I5098" s="567"/>
      <c r="J5098" s="15"/>
      <c r="N5098" s="14"/>
      <c r="O5098" s="14"/>
      <c r="P5098" s="14"/>
    </row>
    <row r="5099" spans="8:16" ht="15.75" hidden="1" customHeight="1">
      <c r="H5099" s="14"/>
      <c r="I5099" s="567"/>
      <c r="J5099" s="15"/>
      <c r="N5099" s="14"/>
      <c r="O5099" s="14"/>
      <c r="P5099" s="14"/>
    </row>
    <row r="5100" spans="8:16" ht="15.75" hidden="1" customHeight="1">
      <c r="H5100" s="14"/>
      <c r="I5100" s="567"/>
      <c r="J5100" s="15"/>
      <c r="N5100" s="14"/>
      <c r="O5100" s="14"/>
      <c r="P5100" s="14"/>
    </row>
    <row r="5101" spans="8:16" ht="15.75" hidden="1" customHeight="1">
      <c r="H5101" s="14"/>
      <c r="I5101" s="567"/>
      <c r="J5101" s="15"/>
      <c r="N5101" s="14"/>
      <c r="O5101" s="14"/>
      <c r="P5101" s="14"/>
    </row>
    <row r="5102" spans="8:16" ht="15.75" hidden="1" customHeight="1">
      <c r="H5102" s="14"/>
      <c r="I5102" s="567"/>
      <c r="J5102" s="15"/>
      <c r="N5102" s="14"/>
      <c r="O5102" s="14"/>
      <c r="P5102" s="14"/>
    </row>
    <row r="5103" spans="8:16" ht="15.75" hidden="1" customHeight="1">
      <c r="H5103" s="14"/>
      <c r="I5103" s="567"/>
      <c r="J5103" s="15"/>
      <c r="N5103" s="14"/>
      <c r="O5103" s="14"/>
      <c r="P5103" s="14"/>
    </row>
    <row r="5104" spans="8:16" ht="15.75" hidden="1" customHeight="1">
      <c r="H5104" s="14"/>
      <c r="I5104" s="567"/>
      <c r="J5104" s="15"/>
      <c r="N5104" s="14"/>
      <c r="O5104" s="14"/>
      <c r="P5104" s="14"/>
    </row>
    <row r="5105" spans="8:16" ht="15.75" hidden="1" customHeight="1">
      <c r="H5105" s="14"/>
      <c r="I5105" s="567"/>
      <c r="J5105" s="15"/>
      <c r="N5105" s="14"/>
      <c r="O5105" s="14"/>
      <c r="P5105" s="14"/>
    </row>
    <row r="5106" spans="8:16" ht="15.75" hidden="1" customHeight="1">
      <c r="H5106" s="14"/>
      <c r="I5106" s="567"/>
      <c r="J5106" s="15"/>
      <c r="N5106" s="14"/>
      <c r="O5106" s="14"/>
      <c r="P5106" s="14"/>
    </row>
    <row r="5107" spans="8:16" ht="15.75" hidden="1" customHeight="1">
      <c r="H5107" s="14"/>
      <c r="I5107" s="567"/>
      <c r="J5107" s="15"/>
      <c r="N5107" s="14"/>
      <c r="O5107" s="14"/>
      <c r="P5107" s="14"/>
    </row>
    <row r="5108" spans="8:16" ht="15.75" hidden="1" customHeight="1">
      <c r="H5108" s="14"/>
      <c r="I5108" s="567"/>
      <c r="J5108" s="15"/>
      <c r="N5108" s="14"/>
      <c r="O5108" s="14"/>
      <c r="P5108" s="14"/>
    </row>
    <row r="5109" spans="8:16" ht="15.75" hidden="1" customHeight="1">
      <c r="H5109" s="14"/>
      <c r="I5109" s="567"/>
      <c r="J5109" s="15"/>
      <c r="N5109" s="14"/>
      <c r="O5109" s="14"/>
      <c r="P5109" s="14"/>
    </row>
    <row r="5110" spans="8:16" ht="15.75" hidden="1" customHeight="1">
      <c r="H5110" s="14"/>
      <c r="I5110" s="567"/>
      <c r="J5110" s="15"/>
      <c r="N5110" s="14"/>
      <c r="O5110" s="14"/>
      <c r="P5110" s="14"/>
    </row>
    <row r="5111" spans="8:16" ht="15.75" hidden="1" customHeight="1">
      <c r="H5111" s="14"/>
      <c r="I5111" s="567"/>
      <c r="J5111" s="15"/>
      <c r="N5111" s="14"/>
      <c r="O5111" s="14"/>
      <c r="P5111" s="14"/>
    </row>
    <row r="5112" spans="8:16" ht="15.75" hidden="1" customHeight="1">
      <c r="H5112" s="14"/>
      <c r="I5112" s="567"/>
      <c r="J5112" s="15"/>
      <c r="N5112" s="14"/>
      <c r="O5112" s="14"/>
      <c r="P5112" s="14"/>
    </row>
    <row r="5113" spans="8:16" ht="15.75" hidden="1" customHeight="1">
      <c r="H5113" s="14"/>
      <c r="I5113" s="567"/>
      <c r="J5113" s="15"/>
      <c r="N5113" s="14"/>
      <c r="O5113" s="14"/>
      <c r="P5113" s="14"/>
    </row>
    <row r="5114" spans="8:16" ht="15.75" hidden="1" customHeight="1">
      <c r="H5114" s="14"/>
      <c r="I5114" s="567"/>
      <c r="J5114" s="15"/>
      <c r="N5114" s="14"/>
      <c r="O5114" s="14"/>
      <c r="P5114" s="14"/>
    </row>
    <row r="5115" spans="8:16" ht="15.75" hidden="1" customHeight="1">
      <c r="H5115" s="14"/>
      <c r="I5115" s="567"/>
      <c r="J5115" s="15"/>
      <c r="N5115" s="14"/>
      <c r="O5115" s="14"/>
      <c r="P5115" s="14"/>
    </row>
    <row r="5116" spans="8:16" ht="15.75" hidden="1" customHeight="1">
      <c r="H5116" s="14"/>
      <c r="I5116" s="567"/>
      <c r="J5116" s="15"/>
      <c r="N5116" s="14"/>
      <c r="O5116" s="14"/>
      <c r="P5116" s="14"/>
    </row>
    <row r="5117" spans="8:16" ht="15.75" hidden="1" customHeight="1">
      <c r="H5117" s="14"/>
      <c r="I5117" s="567"/>
      <c r="J5117" s="15"/>
      <c r="N5117" s="14"/>
      <c r="O5117" s="14"/>
      <c r="P5117" s="14"/>
    </row>
    <row r="5118" spans="8:16" ht="15.75" hidden="1" customHeight="1">
      <c r="H5118" s="14"/>
      <c r="I5118" s="567"/>
      <c r="J5118" s="15"/>
      <c r="N5118" s="14"/>
      <c r="O5118" s="14"/>
      <c r="P5118" s="14"/>
    </row>
    <row r="5119" spans="8:16" ht="15.75" hidden="1" customHeight="1">
      <c r="H5119" s="14"/>
      <c r="I5119" s="567"/>
      <c r="J5119" s="15"/>
      <c r="N5119" s="14"/>
      <c r="O5119" s="14"/>
      <c r="P5119" s="14"/>
    </row>
    <row r="5120" spans="8:16" ht="15.75" hidden="1" customHeight="1">
      <c r="H5120" s="14"/>
      <c r="I5120" s="567"/>
      <c r="J5120" s="15"/>
      <c r="N5120" s="14"/>
      <c r="O5120" s="14"/>
      <c r="P5120" s="14"/>
    </row>
    <row r="5121" spans="8:16" ht="15.75" hidden="1" customHeight="1">
      <c r="H5121" s="14"/>
      <c r="I5121" s="567"/>
      <c r="J5121" s="15"/>
      <c r="N5121" s="14"/>
      <c r="O5121" s="14"/>
      <c r="P5121" s="14"/>
    </row>
    <row r="5122" spans="8:16" ht="15.75" hidden="1" customHeight="1">
      <c r="H5122" s="14"/>
      <c r="I5122" s="567"/>
      <c r="J5122" s="15"/>
      <c r="N5122" s="14"/>
      <c r="O5122" s="14"/>
      <c r="P5122" s="14"/>
    </row>
    <row r="5123" spans="8:16" ht="15.75" hidden="1" customHeight="1">
      <c r="H5123" s="14"/>
      <c r="I5123" s="567"/>
      <c r="J5123" s="15"/>
      <c r="N5123" s="14"/>
      <c r="O5123" s="14"/>
      <c r="P5123" s="14"/>
    </row>
    <row r="5124" spans="8:16" ht="15.75" hidden="1" customHeight="1">
      <c r="H5124" s="14"/>
      <c r="I5124" s="567"/>
      <c r="J5124" s="15"/>
      <c r="N5124" s="14"/>
      <c r="O5124" s="14"/>
      <c r="P5124" s="14"/>
    </row>
    <row r="5125" spans="8:16" ht="15.75" hidden="1" customHeight="1">
      <c r="H5125" s="14"/>
      <c r="I5125" s="567"/>
      <c r="J5125" s="15"/>
      <c r="N5125" s="14"/>
      <c r="O5125" s="14"/>
      <c r="P5125" s="14"/>
    </row>
    <row r="5126" spans="8:16" ht="15.75" hidden="1" customHeight="1">
      <c r="H5126" s="14"/>
      <c r="I5126" s="567"/>
      <c r="J5126" s="15"/>
      <c r="N5126" s="14"/>
      <c r="O5126" s="14"/>
      <c r="P5126" s="14"/>
    </row>
    <row r="5127" spans="8:16" ht="15.75" hidden="1" customHeight="1">
      <c r="H5127" s="14"/>
      <c r="I5127" s="567"/>
      <c r="J5127" s="15"/>
      <c r="N5127" s="14"/>
      <c r="O5127" s="14"/>
      <c r="P5127" s="14"/>
    </row>
    <row r="5128" spans="8:16" ht="15.75" hidden="1" customHeight="1">
      <c r="H5128" s="14"/>
      <c r="I5128" s="567"/>
      <c r="J5128" s="15"/>
      <c r="N5128" s="14"/>
      <c r="O5128" s="14"/>
      <c r="P5128" s="14"/>
    </row>
    <row r="5129" spans="8:16" ht="15.75" hidden="1" customHeight="1">
      <c r="H5129" s="14"/>
      <c r="I5129" s="567"/>
      <c r="J5129" s="15"/>
      <c r="N5129" s="14"/>
      <c r="O5129" s="14"/>
      <c r="P5129" s="14"/>
    </row>
    <row r="5130" spans="8:16" ht="15.75" hidden="1" customHeight="1">
      <c r="H5130" s="14"/>
      <c r="I5130" s="567"/>
      <c r="J5130" s="15"/>
      <c r="N5130" s="14"/>
      <c r="O5130" s="14"/>
      <c r="P5130" s="14"/>
    </row>
    <row r="5131" spans="8:16" ht="15.75" hidden="1" customHeight="1">
      <c r="H5131" s="14"/>
      <c r="I5131" s="567"/>
      <c r="J5131" s="15"/>
      <c r="N5131" s="14"/>
      <c r="O5131" s="14"/>
      <c r="P5131" s="14"/>
    </row>
    <row r="5132" spans="8:16" ht="15.75" hidden="1" customHeight="1">
      <c r="H5132" s="14"/>
      <c r="I5132" s="567"/>
      <c r="J5132" s="15"/>
      <c r="N5132" s="14"/>
      <c r="O5132" s="14"/>
      <c r="P5132" s="14"/>
    </row>
    <row r="5133" spans="8:16" ht="15.75" hidden="1" customHeight="1">
      <c r="H5133" s="14"/>
      <c r="I5133" s="567"/>
      <c r="J5133" s="15"/>
      <c r="N5133" s="14"/>
      <c r="O5133" s="14"/>
      <c r="P5133" s="14"/>
    </row>
    <row r="5134" spans="8:16" ht="15.75" hidden="1" customHeight="1">
      <c r="H5134" s="14"/>
      <c r="I5134" s="567"/>
      <c r="J5134" s="15"/>
      <c r="N5134" s="14"/>
      <c r="O5134" s="14"/>
      <c r="P5134" s="14"/>
    </row>
    <row r="5135" spans="8:16" ht="15.75" hidden="1" customHeight="1">
      <c r="H5135" s="14"/>
      <c r="I5135" s="567"/>
      <c r="J5135" s="15"/>
      <c r="N5135" s="14"/>
      <c r="O5135" s="14"/>
      <c r="P5135" s="14"/>
    </row>
    <row r="5136" spans="8:16" ht="15.75" hidden="1" customHeight="1">
      <c r="H5136" s="14"/>
      <c r="I5136" s="567"/>
      <c r="J5136" s="15"/>
      <c r="N5136" s="14"/>
      <c r="O5136" s="14"/>
      <c r="P5136" s="14"/>
    </row>
    <row r="5137" spans="8:16" ht="15.75" hidden="1" customHeight="1">
      <c r="H5137" s="14"/>
      <c r="I5137" s="567"/>
      <c r="J5137" s="15"/>
      <c r="N5137" s="14"/>
      <c r="O5137" s="14"/>
      <c r="P5137" s="14"/>
    </row>
    <row r="5138" spans="8:16" ht="15.75" hidden="1" customHeight="1">
      <c r="H5138" s="14"/>
      <c r="I5138" s="567"/>
      <c r="J5138" s="15"/>
      <c r="N5138" s="14"/>
      <c r="O5138" s="14"/>
      <c r="P5138" s="14"/>
    </row>
    <row r="5139" spans="8:16" ht="15.75" hidden="1" customHeight="1">
      <c r="H5139" s="14"/>
      <c r="I5139" s="567"/>
      <c r="J5139" s="15"/>
      <c r="N5139" s="14"/>
      <c r="O5139" s="14"/>
      <c r="P5139" s="14"/>
    </row>
    <row r="5140" spans="8:16" ht="15.75" hidden="1" customHeight="1">
      <c r="H5140" s="14"/>
      <c r="I5140" s="567"/>
      <c r="J5140" s="15"/>
      <c r="N5140" s="14"/>
      <c r="O5140" s="14"/>
      <c r="P5140" s="14"/>
    </row>
    <row r="5141" spans="8:16" ht="15.75" hidden="1" customHeight="1">
      <c r="H5141" s="14"/>
      <c r="I5141" s="567"/>
      <c r="J5141" s="15"/>
      <c r="N5141" s="14"/>
      <c r="O5141" s="14"/>
      <c r="P5141" s="14"/>
    </row>
    <row r="5142" spans="8:16" ht="15.75" hidden="1" customHeight="1">
      <c r="H5142" s="14"/>
      <c r="I5142" s="567"/>
      <c r="J5142" s="15"/>
      <c r="N5142" s="14"/>
      <c r="O5142" s="14"/>
      <c r="P5142" s="14"/>
    </row>
    <row r="5143" spans="8:16" ht="15.75" hidden="1" customHeight="1">
      <c r="H5143" s="14"/>
      <c r="I5143" s="567"/>
      <c r="J5143" s="15"/>
      <c r="N5143" s="14"/>
      <c r="O5143" s="14"/>
      <c r="P5143" s="14"/>
    </row>
    <row r="5144" spans="8:16" ht="15.75" hidden="1" customHeight="1">
      <c r="H5144" s="14"/>
      <c r="I5144" s="567"/>
      <c r="J5144" s="15"/>
      <c r="N5144" s="14"/>
      <c r="O5144" s="14"/>
      <c r="P5144" s="14"/>
    </row>
    <row r="5145" spans="8:16" ht="15.75" hidden="1" customHeight="1">
      <c r="H5145" s="14"/>
      <c r="I5145" s="567"/>
      <c r="J5145" s="15"/>
      <c r="N5145" s="14"/>
      <c r="O5145" s="14"/>
      <c r="P5145" s="14"/>
    </row>
    <row r="5146" spans="8:16" ht="15.75" hidden="1" customHeight="1">
      <c r="H5146" s="14"/>
      <c r="I5146" s="567"/>
      <c r="J5146" s="15"/>
      <c r="N5146" s="14"/>
      <c r="O5146" s="14"/>
      <c r="P5146" s="14"/>
    </row>
    <row r="5147" spans="8:16" ht="15.75" hidden="1" customHeight="1">
      <c r="H5147" s="14"/>
      <c r="I5147" s="567"/>
      <c r="J5147" s="15"/>
      <c r="N5147" s="14"/>
      <c r="O5147" s="14"/>
      <c r="P5147" s="14"/>
    </row>
    <row r="5148" spans="8:16" ht="15.75" hidden="1" customHeight="1">
      <c r="H5148" s="14"/>
      <c r="I5148" s="567"/>
      <c r="J5148" s="15"/>
      <c r="N5148" s="14"/>
      <c r="O5148" s="14"/>
      <c r="P5148" s="14"/>
    </row>
    <row r="5149" spans="8:16" ht="15.75" hidden="1" customHeight="1">
      <c r="H5149" s="14"/>
      <c r="I5149" s="567"/>
      <c r="J5149" s="15"/>
      <c r="N5149" s="14"/>
      <c r="O5149" s="14"/>
      <c r="P5149" s="14"/>
    </row>
    <row r="5150" spans="8:16" ht="15.75" hidden="1" customHeight="1">
      <c r="H5150" s="14"/>
      <c r="I5150" s="567"/>
      <c r="J5150" s="15"/>
      <c r="N5150" s="14"/>
      <c r="O5150" s="14"/>
      <c r="P5150" s="14"/>
    </row>
    <row r="5151" spans="8:16" ht="15.75" hidden="1" customHeight="1">
      <c r="H5151" s="14"/>
      <c r="I5151" s="567"/>
      <c r="J5151" s="15"/>
      <c r="N5151" s="14"/>
      <c r="O5151" s="14"/>
      <c r="P5151" s="14"/>
    </row>
    <row r="5152" spans="8:16" ht="15.75" hidden="1" customHeight="1">
      <c r="H5152" s="14"/>
      <c r="I5152" s="567"/>
      <c r="J5152" s="15"/>
      <c r="N5152" s="14"/>
      <c r="O5152" s="14"/>
      <c r="P5152" s="14"/>
    </row>
    <row r="5153" spans="8:16" ht="15.75" hidden="1" customHeight="1">
      <c r="H5153" s="14"/>
      <c r="I5153" s="567"/>
      <c r="J5153" s="15"/>
      <c r="N5153" s="14"/>
      <c r="O5153" s="14"/>
      <c r="P5153" s="14"/>
    </row>
    <row r="5154" spans="8:16" ht="15.75" hidden="1" customHeight="1">
      <c r="H5154" s="14"/>
      <c r="I5154" s="567"/>
      <c r="J5154" s="15"/>
      <c r="N5154" s="14"/>
      <c r="O5154" s="14"/>
      <c r="P5154" s="14"/>
    </row>
    <row r="5155" spans="8:16" ht="15.75" hidden="1" customHeight="1">
      <c r="H5155" s="14"/>
      <c r="I5155" s="567"/>
      <c r="J5155" s="15"/>
      <c r="N5155" s="14"/>
      <c r="O5155" s="14"/>
      <c r="P5155" s="14"/>
    </row>
    <row r="5156" spans="8:16" ht="15.75" hidden="1" customHeight="1">
      <c r="H5156" s="14"/>
      <c r="I5156" s="567"/>
      <c r="J5156" s="15"/>
      <c r="N5156" s="14"/>
      <c r="O5156" s="14"/>
      <c r="P5156" s="14"/>
    </row>
    <row r="5157" spans="8:16" ht="15.75" hidden="1" customHeight="1">
      <c r="H5157" s="14"/>
      <c r="I5157" s="567"/>
      <c r="J5157" s="15"/>
      <c r="N5157" s="14"/>
      <c r="O5157" s="14"/>
      <c r="P5157" s="14"/>
    </row>
    <row r="5158" spans="8:16" ht="15.75" hidden="1" customHeight="1">
      <c r="H5158" s="14"/>
      <c r="I5158" s="567"/>
      <c r="J5158" s="15"/>
      <c r="N5158" s="14"/>
      <c r="O5158" s="14"/>
      <c r="P5158" s="14"/>
    </row>
    <row r="5159" spans="8:16" ht="15.75" hidden="1" customHeight="1">
      <c r="H5159" s="14"/>
      <c r="I5159" s="567"/>
      <c r="J5159" s="15"/>
      <c r="N5159" s="14"/>
      <c r="O5159" s="14"/>
      <c r="P5159" s="14"/>
    </row>
    <row r="5160" spans="8:16" ht="15.75" hidden="1" customHeight="1">
      <c r="H5160" s="14"/>
      <c r="I5160" s="567"/>
      <c r="J5160" s="15"/>
      <c r="N5160" s="14"/>
      <c r="O5160" s="14"/>
      <c r="P5160" s="14"/>
    </row>
    <row r="5161" spans="8:16" ht="15.75" hidden="1" customHeight="1">
      <c r="H5161" s="14"/>
      <c r="I5161" s="567"/>
      <c r="J5161" s="15"/>
      <c r="N5161" s="14"/>
      <c r="O5161" s="14"/>
      <c r="P5161" s="14"/>
    </row>
    <row r="5162" spans="8:16" ht="15.75" hidden="1" customHeight="1">
      <c r="H5162" s="14"/>
      <c r="I5162" s="567"/>
      <c r="J5162" s="15"/>
      <c r="N5162" s="14"/>
      <c r="O5162" s="14"/>
      <c r="P5162" s="14"/>
    </row>
    <row r="5163" spans="8:16" ht="15.75" hidden="1" customHeight="1">
      <c r="H5163" s="14"/>
      <c r="I5163" s="567"/>
      <c r="J5163" s="15"/>
      <c r="N5163" s="14"/>
      <c r="O5163" s="14"/>
      <c r="P5163" s="14"/>
    </row>
    <row r="5164" spans="8:16" ht="15.75" hidden="1" customHeight="1">
      <c r="H5164" s="14"/>
      <c r="I5164" s="567"/>
      <c r="J5164" s="15"/>
      <c r="N5164" s="14"/>
      <c r="O5164" s="14"/>
      <c r="P5164" s="14"/>
    </row>
    <row r="5165" spans="8:16" ht="15.75" hidden="1" customHeight="1">
      <c r="H5165" s="14"/>
      <c r="I5165" s="567"/>
      <c r="J5165" s="15"/>
      <c r="N5165" s="14"/>
      <c r="O5165" s="14"/>
      <c r="P5165" s="14"/>
    </row>
    <row r="5166" spans="8:16" ht="15.75" hidden="1" customHeight="1">
      <c r="H5166" s="14"/>
      <c r="I5166" s="567"/>
      <c r="J5166" s="15"/>
      <c r="N5166" s="14"/>
      <c r="O5166" s="14"/>
      <c r="P5166" s="14"/>
    </row>
    <row r="5167" spans="8:16" ht="15.75" hidden="1" customHeight="1">
      <c r="H5167" s="14"/>
      <c r="I5167" s="567"/>
      <c r="J5167" s="15"/>
      <c r="N5167" s="14"/>
      <c r="O5167" s="14"/>
      <c r="P5167" s="14"/>
    </row>
    <row r="5168" spans="8:16" ht="15.75" hidden="1" customHeight="1">
      <c r="H5168" s="14"/>
      <c r="I5168" s="567"/>
      <c r="J5168" s="15"/>
      <c r="N5168" s="14"/>
      <c r="O5168" s="14"/>
      <c r="P5168" s="14"/>
    </row>
    <row r="5169" spans="8:16" ht="15.75" hidden="1" customHeight="1">
      <c r="H5169" s="14"/>
      <c r="I5169" s="567"/>
      <c r="J5169" s="15"/>
      <c r="N5169" s="14"/>
      <c r="O5169" s="14"/>
      <c r="P5169" s="14"/>
    </row>
    <row r="5170" spans="8:16" ht="15.75" hidden="1" customHeight="1">
      <c r="H5170" s="14"/>
      <c r="I5170" s="567"/>
      <c r="J5170" s="15"/>
      <c r="N5170" s="14"/>
      <c r="O5170" s="14"/>
      <c r="P5170" s="14"/>
    </row>
    <row r="5171" spans="8:16" ht="15.75" hidden="1" customHeight="1">
      <c r="H5171" s="14"/>
      <c r="I5171" s="567"/>
      <c r="J5171" s="15"/>
      <c r="N5171" s="14"/>
      <c r="O5171" s="14"/>
      <c r="P5171" s="14"/>
    </row>
    <row r="5172" spans="8:16" ht="15.75" hidden="1" customHeight="1">
      <c r="H5172" s="14"/>
      <c r="I5172" s="567"/>
      <c r="J5172" s="15"/>
      <c r="N5172" s="14"/>
      <c r="O5172" s="14"/>
      <c r="P5172" s="14"/>
    </row>
    <row r="5173" spans="8:16" ht="15.75" hidden="1" customHeight="1">
      <c r="H5173" s="14"/>
      <c r="I5173" s="567"/>
      <c r="J5173" s="15"/>
      <c r="N5173" s="14"/>
      <c r="O5173" s="14"/>
      <c r="P5173" s="14"/>
    </row>
    <row r="5174" spans="8:16" ht="15.75" hidden="1" customHeight="1">
      <c r="H5174" s="14"/>
      <c r="I5174" s="567"/>
      <c r="J5174" s="15"/>
      <c r="N5174" s="14"/>
      <c r="O5174" s="14"/>
      <c r="P5174" s="14"/>
    </row>
    <row r="5175" spans="8:16" ht="15.75" hidden="1" customHeight="1">
      <c r="H5175" s="14"/>
      <c r="I5175" s="567"/>
      <c r="J5175" s="15"/>
      <c r="N5175" s="14"/>
      <c r="O5175" s="14"/>
      <c r="P5175" s="14"/>
    </row>
    <row r="5176" spans="8:16" ht="15.75" hidden="1" customHeight="1">
      <c r="H5176" s="14"/>
      <c r="I5176" s="567"/>
      <c r="J5176" s="15"/>
      <c r="N5176" s="14"/>
      <c r="O5176" s="14"/>
      <c r="P5176" s="14"/>
    </row>
    <row r="5177" spans="8:16" ht="15.75" hidden="1" customHeight="1">
      <c r="H5177" s="14"/>
      <c r="I5177" s="567"/>
      <c r="J5177" s="15"/>
      <c r="N5177" s="14"/>
      <c r="O5177" s="14"/>
      <c r="P5177" s="14"/>
    </row>
    <row r="5178" spans="8:16" ht="15.75" hidden="1" customHeight="1">
      <c r="H5178" s="14"/>
      <c r="I5178" s="567"/>
      <c r="J5178" s="15"/>
      <c r="N5178" s="14"/>
      <c r="O5178" s="14"/>
      <c r="P5178" s="14"/>
    </row>
    <row r="5179" spans="8:16" ht="15.75" hidden="1" customHeight="1">
      <c r="H5179" s="14"/>
      <c r="I5179" s="567"/>
      <c r="J5179" s="15"/>
      <c r="N5179" s="14"/>
      <c r="O5179" s="14"/>
      <c r="P5179" s="14"/>
    </row>
    <row r="5180" spans="8:16" ht="15.75" hidden="1" customHeight="1">
      <c r="H5180" s="14"/>
      <c r="I5180" s="567"/>
      <c r="J5180" s="15"/>
      <c r="N5180" s="14"/>
      <c r="O5180" s="14"/>
      <c r="P5180" s="14"/>
    </row>
    <row r="5181" spans="8:16" ht="15.75" hidden="1" customHeight="1">
      <c r="H5181" s="14"/>
      <c r="I5181" s="567"/>
      <c r="J5181" s="15"/>
      <c r="N5181" s="14"/>
      <c r="O5181" s="14"/>
      <c r="P5181" s="14"/>
    </row>
    <row r="5182" spans="8:16" ht="15.75" hidden="1" customHeight="1">
      <c r="H5182" s="14"/>
      <c r="I5182" s="567"/>
      <c r="J5182" s="15"/>
      <c r="N5182" s="14"/>
      <c r="O5182" s="14"/>
      <c r="P5182" s="14"/>
    </row>
    <row r="5183" spans="8:16" ht="15.75" hidden="1" customHeight="1">
      <c r="H5183" s="14"/>
      <c r="I5183" s="567"/>
      <c r="J5183" s="15"/>
      <c r="N5183" s="14"/>
      <c r="O5183" s="14"/>
      <c r="P5183" s="14"/>
    </row>
    <row r="5184" spans="8:16" ht="15.75" hidden="1" customHeight="1">
      <c r="H5184" s="14"/>
      <c r="I5184" s="567"/>
      <c r="J5184" s="15"/>
      <c r="N5184" s="14"/>
      <c r="O5184" s="14"/>
      <c r="P5184" s="14"/>
    </row>
    <row r="5185" spans="8:16" ht="15.75" hidden="1" customHeight="1">
      <c r="H5185" s="14"/>
      <c r="I5185" s="567"/>
      <c r="J5185" s="15"/>
      <c r="N5185" s="14"/>
      <c r="O5185" s="14"/>
      <c r="P5185" s="14"/>
    </row>
    <row r="5186" spans="8:16" ht="15.75" hidden="1" customHeight="1">
      <c r="H5186" s="14"/>
      <c r="I5186" s="567"/>
      <c r="J5186" s="15"/>
      <c r="N5186" s="14"/>
      <c r="O5186" s="14"/>
      <c r="P5186" s="14"/>
    </row>
    <row r="5187" spans="8:16" ht="15.75" hidden="1" customHeight="1">
      <c r="H5187" s="14"/>
      <c r="I5187" s="567"/>
      <c r="J5187" s="15"/>
      <c r="N5187" s="14"/>
      <c r="O5187" s="14"/>
      <c r="P5187" s="14"/>
    </row>
    <row r="5188" spans="8:16" ht="15.75" hidden="1" customHeight="1">
      <c r="H5188" s="14"/>
      <c r="I5188" s="567"/>
      <c r="J5188" s="15"/>
      <c r="N5188" s="14"/>
      <c r="O5188" s="14"/>
      <c r="P5188" s="14"/>
    </row>
    <row r="5189" spans="8:16" ht="15.75" hidden="1" customHeight="1">
      <c r="H5189" s="14"/>
      <c r="I5189" s="567"/>
      <c r="J5189" s="15"/>
      <c r="N5189" s="14"/>
      <c r="O5189" s="14"/>
      <c r="P5189" s="14"/>
    </row>
    <row r="5190" spans="8:16" ht="15.75" hidden="1" customHeight="1">
      <c r="H5190" s="14"/>
      <c r="I5190" s="567"/>
      <c r="J5190" s="15"/>
      <c r="N5190" s="14"/>
      <c r="O5190" s="14"/>
      <c r="P5190" s="14"/>
    </row>
    <row r="5191" spans="8:16" ht="15.75" hidden="1" customHeight="1">
      <c r="H5191" s="14"/>
      <c r="I5191" s="567"/>
      <c r="J5191" s="15"/>
      <c r="N5191" s="14"/>
      <c r="O5191" s="14"/>
      <c r="P5191" s="14"/>
    </row>
    <row r="5192" spans="8:16" ht="15.75" hidden="1" customHeight="1">
      <c r="H5192" s="14"/>
      <c r="I5192" s="567"/>
      <c r="J5192" s="15"/>
      <c r="N5192" s="14"/>
      <c r="O5192" s="14"/>
      <c r="P5192" s="14"/>
    </row>
    <row r="5193" spans="8:16" ht="15.75" hidden="1" customHeight="1">
      <c r="H5193" s="14"/>
      <c r="I5193" s="567"/>
      <c r="J5193" s="15"/>
      <c r="N5193" s="14"/>
      <c r="O5193" s="14"/>
      <c r="P5193" s="14"/>
    </row>
    <row r="5194" spans="8:16" ht="15.75" hidden="1" customHeight="1">
      <c r="H5194" s="14"/>
      <c r="I5194" s="567"/>
      <c r="J5194" s="15"/>
      <c r="N5194" s="14"/>
      <c r="O5194" s="14"/>
      <c r="P5194" s="14"/>
    </row>
    <row r="5195" spans="8:16" ht="15.75" hidden="1" customHeight="1">
      <c r="H5195" s="14"/>
      <c r="I5195" s="567"/>
      <c r="J5195" s="15"/>
      <c r="N5195" s="14"/>
      <c r="O5195" s="14"/>
      <c r="P5195" s="14"/>
    </row>
    <row r="5196" spans="8:16" ht="15.75" hidden="1" customHeight="1">
      <c r="H5196" s="14"/>
      <c r="I5196" s="567"/>
      <c r="J5196" s="15"/>
      <c r="N5196" s="14"/>
      <c r="O5196" s="14"/>
      <c r="P5196" s="14"/>
    </row>
    <row r="5197" spans="8:16" ht="15.75" hidden="1" customHeight="1">
      <c r="H5197" s="14"/>
      <c r="I5197" s="567"/>
      <c r="J5197" s="15"/>
      <c r="N5197" s="14"/>
      <c r="O5197" s="14"/>
      <c r="P5197" s="14"/>
    </row>
    <row r="5198" spans="8:16" ht="15.75" hidden="1" customHeight="1">
      <c r="H5198" s="14"/>
      <c r="I5198" s="567"/>
      <c r="J5198" s="15"/>
      <c r="N5198" s="14"/>
      <c r="O5198" s="14"/>
      <c r="P5198" s="14"/>
    </row>
    <row r="5199" spans="8:16" ht="15.75" hidden="1" customHeight="1">
      <c r="H5199" s="14"/>
      <c r="I5199" s="567"/>
      <c r="J5199" s="15"/>
      <c r="N5199" s="14"/>
      <c r="O5199" s="14"/>
      <c r="P5199" s="14"/>
    </row>
    <row r="5200" spans="8:16" ht="15.75" hidden="1" customHeight="1">
      <c r="H5200" s="14"/>
      <c r="I5200" s="567"/>
      <c r="J5200" s="15"/>
      <c r="N5200" s="14"/>
      <c r="O5200" s="14"/>
      <c r="P5200" s="14"/>
    </row>
    <row r="5201" spans="8:16" ht="15.75" hidden="1" customHeight="1">
      <c r="H5201" s="14"/>
      <c r="I5201" s="567"/>
      <c r="J5201" s="15"/>
      <c r="N5201" s="14"/>
      <c r="O5201" s="14"/>
      <c r="P5201" s="14"/>
    </row>
    <row r="5202" spans="8:16" ht="15.75" hidden="1" customHeight="1">
      <c r="H5202" s="14"/>
      <c r="I5202" s="567"/>
      <c r="J5202" s="15"/>
      <c r="N5202" s="14"/>
      <c r="O5202" s="14"/>
      <c r="P5202" s="14"/>
    </row>
    <row r="5203" spans="8:16" ht="15.75" hidden="1" customHeight="1">
      <c r="H5203" s="14"/>
      <c r="I5203" s="567"/>
      <c r="J5203" s="15"/>
      <c r="N5203" s="14"/>
      <c r="O5203" s="14"/>
      <c r="P5203" s="14"/>
    </row>
    <row r="5204" spans="8:16" ht="15.75" hidden="1" customHeight="1">
      <c r="H5204" s="14"/>
      <c r="I5204" s="567"/>
      <c r="J5204" s="15"/>
      <c r="N5204" s="14"/>
      <c r="O5204" s="14"/>
      <c r="P5204" s="14"/>
    </row>
    <row r="5205" spans="8:16" ht="15.75" hidden="1" customHeight="1">
      <c r="H5205" s="14"/>
      <c r="I5205" s="567"/>
      <c r="J5205" s="15"/>
      <c r="N5205" s="14"/>
      <c r="O5205" s="14"/>
      <c r="P5205" s="14"/>
    </row>
    <row r="5206" spans="8:16" ht="15.75" hidden="1" customHeight="1">
      <c r="H5206" s="14"/>
      <c r="I5206" s="567"/>
      <c r="J5206" s="15"/>
      <c r="N5206" s="14"/>
      <c r="O5206" s="14"/>
      <c r="P5206" s="14"/>
    </row>
    <row r="5207" spans="8:16" ht="15.75" hidden="1" customHeight="1">
      <c r="H5207" s="14"/>
      <c r="I5207" s="567"/>
      <c r="J5207" s="15"/>
      <c r="N5207" s="14"/>
      <c r="O5207" s="14"/>
      <c r="P5207" s="14"/>
    </row>
    <row r="5208" spans="8:16" ht="15.75" hidden="1" customHeight="1">
      <c r="H5208" s="14"/>
      <c r="I5208" s="567"/>
      <c r="J5208" s="15"/>
      <c r="N5208" s="14"/>
      <c r="O5208" s="14"/>
      <c r="P5208" s="14"/>
    </row>
    <row r="5209" spans="8:16" ht="15.75" hidden="1" customHeight="1">
      <c r="H5209" s="14"/>
      <c r="I5209" s="567"/>
      <c r="J5209" s="15"/>
      <c r="N5209" s="14"/>
      <c r="O5209" s="14"/>
      <c r="P5209" s="14"/>
    </row>
    <row r="5210" spans="8:16" ht="15.75" hidden="1" customHeight="1">
      <c r="H5210" s="14"/>
      <c r="I5210" s="567"/>
      <c r="J5210" s="15"/>
      <c r="N5210" s="14"/>
      <c r="O5210" s="14"/>
      <c r="P5210" s="14"/>
    </row>
    <row r="5211" spans="8:16" ht="15.75" hidden="1" customHeight="1">
      <c r="H5211" s="14"/>
      <c r="I5211" s="567"/>
      <c r="J5211" s="15"/>
      <c r="N5211" s="14"/>
      <c r="O5211" s="14"/>
      <c r="P5211" s="14"/>
    </row>
    <row r="5212" spans="8:16" ht="15.75" hidden="1" customHeight="1">
      <c r="H5212" s="14"/>
      <c r="I5212" s="567"/>
      <c r="J5212" s="15"/>
      <c r="N5212" s="14"/>
      <c r="O5212" s="14"/>
      <c r="P5212" s="14"/>
    </row>
    <row r="5213" spans="8:16" ht="15.75" hidden="1" customHeight="1">
      <c r="H5213" s="14"/>
      <c r="I5213" s="567"/>
      <c r="J5213" s="15"/>
      <c r="N5213" s="14"/>
      <c r="O5213" s="14"/>
      <c r="P5213" s="14"/>
    </row>
    <row r="5214" spans="8:16" ht="15.75" hidden="1" customHeight="1">
      <c r="H5214" s="14"/>
      <c r="I5214" s="567"/>
      <c r="J5214" s="15"/>
      <c r="N5214" s="14"/>
      <c r="O5214" s="14"/>
      <c r="P5214" s="14"/>
    </row>
    <row r="5215" spans="8:16" ht="15.75" hidden="1" customHeight="1">
      <c r="H5215" s="14"/>
      <c r="I5215" s="567"/>
      <c r="J5215" s="15"/>
      <c r="N5215" s="14"/>
      <c r="O5215" s="14"/>
      <c r="P5215" s="14"/>
    </row>
    <row r="5216" spans="8:16" ht="15.75" hidden="1" customHeight="1">
      <c r="H5216" s="14"/>
      <c r="I5216" s="567"/>
      <c r="J5216" s="15"/>
      <c r="N5216" s="14"/>
      <c r="O5216" s="14"/>
      <c r="P5216" s="14"/>
    </row>
    <row r="5217" spans="8:16" ht="15.75" hidden="1" customHeight="1">
      <c r="H5217" s="14"/>
      <c r="I5217" s="567"/>
      <c r="J5217" s="15"/>
      <c r="N5217" s="14"/>
      <c r="O5217" s="14"/>
      <c r="P5217" s="14"/>
    </row>
    <row r="5218" spans="8:16" ht="15.75" hidden="1" customHeight="1">
      <c r="H5218" s="14"/>
      <c r="I5218" s="567"/>
      <c r="J5218" s="15"/>
      <c r="N5218" s="14"/>
      <c r="O5218" s="14"/>
      <c r="P5218" s="14"/>
    </row>
    <row r="5219" spans="8:16" ht="15.75" hidden="1" customHeight="1">
      <c r="H5219" s="14"/>
      <c r="I5219" s="567"/>
      <c r="J5219" s="15"/>
      <c r="N5219" s="14"/>
      <c r="O5219" s="14"/>
      <c r="P5219" s="14"/>
    </row>
    <row r="5220" spans="8:16" ht="15.75" hidden="1" customHeight="1">
      <c r="H5220" s="14"/>
      <c r="I5220" s="567"/>
      <c r="J5220" s="15"/>
      <c r="N5220" s="14"/>
      <c r="O5220" s="14"/>
      <c r="P5220" s="14"/>
    </row>
    <row r="5221" spans="8:16" ht="15.75" hidden="1" customHeight="1">
      <c r="H5221" s="14"/>
      <c r="I5221" s="567"/>
      <c r="J5221" s="15"/>
      <c r="N5221" s="14"/>
      <c r="O5221" s="14"/>
      <c r="P5221" s="14"/>
    </row>
    <row r="5222" spans="8:16" ht="15.75" hidden="1" customHeight="1">
      <c r="H5222" s="14"/>
      <c r="I5222" s="567"/>
      <c r="J5222" s="15"/>
      <c r="N5222" s="14"/>
      <c r="O5222" s="14"/>
      <c r="P5222" s="14"/>
    </row>
    <row r="5223" spans="8:16" ht="15.75" hidden="1" customHeight="1">
      <c r="H5223" s="14"/>
      <c r="I5223" s="567"/>
      <c r="J5223" s="15"/>
      <c r="N5223" s="14"/>
      <c r="O5223" s="14"/>
      <c r="P5223" s="14"/>
    </row>
    <row r="5224" spans="8:16" ht="15.75" hidden="1" customHeight="1">
      <c r="H5224" s="14"/>
      <c r="I5224" s="567"/>
      <c r="J5224" s="15"/>
      <c r="N5224" s="14"/>
      <c r="O5224" s="14"/>
      <c r="P5224" s="14"/>
    </row>
    <row r="5225" spans="8:16" ht="15.75" hidden="1" customHeight="1">
      <c r="H5225" s="14"/>
      <c r="I5225" s="567"/>
      <c r="J5225" s="15"/>
      <c r="N5225" s="14"/>
      <c r="O5225" s="14"/>
      <c r="P5225" s="14"/>
    </row>
    <row r="5226" spans="8:16" ht="15.75" hidden="1" customHeight="1">
      <c r="H5226" s="14"/>
      <c r="I5226" s="567"/>
      <c r="J5226" s="15"/>
      <c r="N5226" s="14"/>
      <c r="O5226" s="14"/>
      <c r="P5226" s="14"/>
    </row>
    <row r="5227" spans="8:16" ht="15.75" hidden="1" customHeight="1">
      <c r="H5227" s="14"/>
      <c r="I5227" s="567"/>
      <c r="J5227" s="15"/>
      <c r="N5227" s="14"/>
      <c r="O5227" s="14"/>
      <c r="P5227" s="14"/>
    </row>
    <row r="5228" spans="8:16" ht="15.75" hidden="1" customHeight="1">
      <c r="H5228" s="14"/>
      <c r="I5228" s="567"/>
      <c r="J5228" s="15"/>
      <c r="N5228" s="14"/>
      <c r="O5228" s="14"/>
      <c r="P5228" s="14"/>
    </row>
    <row r="5229" spans="8:16" ht="15.75" hidden="1" customHeight="1">
      <c r="H5229" s="14"/>
      <c r="I5229" s="567"/>
      <c r="J5229" s="15"/>
      <c r="N5229" s="14"/>
      <c r="O5229" s="14"/>
      <c r="P5229" s="14"/>
    </row>
    <row r="5230" spans="8:16" ht="15.75" hidden="1" customHeight="1">
      <c r="H5230" s="14"/>
      <c r="I5230" s="567"/>
      <c r="J5230" s="15"/>
      <c r="N5230" s="14"/>
      <c r="O5230" s="14"/>
      <c r="P5230" s="14"/>
    </row>
    <row r="5231" spans="8:16" ht="15.75" hidden="1" customHeight="1">
      <c r="H5231" s="14"/>
      <c r="I5231" s="567"/>
      <c r="J5231" s="15"/>
      <c r="N5231" s="14"/>
      <c r="O5231" s="14"/>
      <c r="P5231" s="14"/>
    </row>
    <row r="5232" spans="8:16" ht="15.75" hidden="1" customHeight="1">
      <c r="H5232" s="14"/>
      <c r="I5232" s="567"/>
      <c r="J5232" s="15"/>
      <c r="N5232" s="14"/>
      <c r="O5232" s="14"/>
      <c r="P5232" s="14"/>
    </row>
    <row r="5233" spans="8:16" ht="15.75" hidden="1" customHeight="1">
      <c r="H5233" s="14"/>
      <c r="I5233" s="567"/>
      <c r="J5233" s="15"/>
      <c r="N5233" s="14"/>
      <c r="O5233" s="14"/>
      <c r="P5233" s="14"/>
    </row>
    <row r="5234" spans="8:16" ht="15.75" hidden="1" customHeight="1">
      <c r="H5234" s="14"/>
      <c r="I5234" s="567"/>
      <c r="J5234" s="15"/>
      <c r="N5234" s="14"/>
      <c r="O5234" s="14"/>
      <c r="P5234" s="14"/>
    </row>
    <row r="5235" spans="8:16" ht="15.75" hidden="1" customHeight="1">
      <c r="H5235" s="14"/>
      <c r="I5235" s="567"/>
      <c r="J5235" s="15"/>
      <c r="N5235" s="14"/>
      <c r="O5235" s="14"/>
      <c r="P5235" s="14"/>
    </row>
    <row r="5236" spans="8:16" ht="15.75" hidden="1" customHeight="1">
      <c r="H5236" s="14"/>
      <c r="I5236" s="567"/>
      <c r="J5236" s="15"/>
      <c r="N5236" s="14"/>
      <c r="O5236" s="14"/>
      <c r="P5236" s="14"/>
    </row>
    <row r="5237" spans="8:16" ht="15.75" hidden="1" customHeight="1">
      <c r="H5237" s="14"/>
      <c r="I5237" s="567"/>
      <c r="J5237" s="15"/>
      <c r="N5237" s="14"/>
      <c r="O5237" s="14"/>
      <c r="P5237" s="14"/>
    </row>
    <row r="5238" spans="8:16" ht="15.75" hidden="1" customHeight="1">
      <c r="H5238" s="14"/>
      <c r="I5238" s="567"/>
      <c r="J5238" s="15"/>
      <c r="N5238" s="14"/>
      <c r="O5238" s="14"/>
      <c r="P5238" s="14"/>
    </row>
    <row r="5239" spans="8:16" ht="15.75" hidden="1" customHeight="1">
      <c r="H5239" s="14"/>
      <c r="I5239" s="567"/>
      <c r="J5239" s="15"/>
      <c r="N5239" s="14"/>
      <c r="O5239" s="14"/>
      <c r="P5239" s="14"/>
    </row>
    <row r="5240" spans="8:16" ht="15.75" hidden="1" customHeight="1">
      <c r="H5240" s="14"/>
      <c r="I5240" s="567"/>
      <c r="J5240" s="15"/>
      <c r="N5240" s="14"/>
      <c r="O5240" s="14"/>
      <c r="P5240" s="14"/>
    </row>
    <row r="5241" spans="8:16" ht="15.75" hidden="1" customHeight="1">
      <c r="H5241" s="14"/>
      <c r="I5241" s="567"/>
      <c r="J5241" s="15"/>
      <c r="N5241" s="14"/>
      <c r="O5241" s="14"/>
      <c r="P5241" s="14"/>
    </row>
    <row r="5242" spans="8:16" ht="15.75" hidden="1" customHeight="1">
      <c r="H5242" s="14"/>
      <c r="I5242" s="567"/>
      <c r="J5242" s="15"/>
      <c r="N5242" s="14"/>
      <c r="O5242" s="14"/>
      <c r="P5242" s="14"/>
    </row>
    <row r="5243" spans="8:16" ht="15.75" hidden="1" customHeight="1">
      <c r="H5243" s="14"/>
      <c r="I5243" s="567"/>
      <c r="J5243" s="15"/>
      <c r="N5243" s="14"/>
      <c r="O5243" s="14"/>
      <c r="P5243" s="14"/>
    </row>
    <row r="5244" spans="8:16" ht="15.75" hidden="1" customHeight="1">
      <c r="H5244" s="14"/>
      <c r="I5244" s="567"/>
      <c r="J5244" s="15"/>
      <c r="N5244" s="14"/>
      <c r="O5244" s="14"/>
      <c r="P5244" s="14"/>
    </row>
    <row r="5245" spans="8:16" ht="15.75" hidden="1" customHeight="1">
      <c r="H5245" s="14"/>
      <c r="I5245" s="567"/>
      <c r="J5245" s="15"/>
      <c r="N5245" s="14"/>
      <c r="O5245" s="14"/>
      <c r="P5245" s="14"/>
    </row>
    <row r="5246" spans="8:16" ht="15.75" hidden="1" customHeight="1">
      <c r="H5246" s="14"/>
      <c r="I5246" s="567"/>
      <c r="J5246" s="15"/>
      <c r="N5246" s="14"/>
      <c r="O5246" s="14"/>
      <c r="P5246" s="14"/>
    </row>
    <row r="5247" spans="8:16" ht="15.75" hidden="1" customHeight="1">
      <c r="H5247" s="14"/>
      <c r="I5247" s="567"/>
      <c r="J5247" s="15"/>
      <c r="N5247" s="14"/>
      <c r="O5247" s="14"/>
      <c r="P5247" s="14"/>
    </row>
    <row r="5248" spans="8:16" ht="15.75" hidden="1" customHeight="1">
      <c r="H5248" s="14"/>
      <c r="I5248" s="567"/>
      <c r="J5248" s="15"/>
      <c r="N5248" s="14"/>
      <c r="O5248" s="14"/>
      <c r="P5248" s="14"/>
    </row>
    <row r="5249" spans="8:16" ht="15.75" hidden="1" customHeight="1">
      <c r="H5249" s="14"/>
      <c r="I5249" s="567"/>
      <c r="J5249" s="15"/>
      <c r="N5249" s="14"/>
      <c r="O5249" s="14"/>
      <c r="P5249" s="14"/>
    </row>
    <row r="5250" spans="8:16" ht="15.75" hidden="1" customHeight="1">
      <c r="H5250" s="14"/>
      <c r="I5250" s="567"/>
      <c r="J5250" s="15"/>
      <c r="N5250" s="14"/>
      <c r="O5250" s="14"/>
      <c r="P5250" s="14"/>
    </row>
    <row r="5251" spans="8:16" ht="15.75" hidden="1" customHeight="1">
      <c r="H5251" s="14"/>
      <c r="I5251" s="567"/>
      <c r="J5251" s="15"/>
      <c r="N5251" s="14"/>
      <c r="O5251" s="14"/>
      <c r="P5251" s="14"/>
    </row>
    <row r="5252" spans="8:16" ht="15.75" hidden="1" customHeight="1">
      <c r="H5252" s="14"/>
      <c r="I5252" s="567"/>
      <c r="J5252" s="15"/>
      <c r="N5252" s="14"/>
      <c r="O5252" s="14"/>
      <c r="P5252" s="14"/>
    </row>
    <row r="5253" spans="8:16" ht="15.75" hidden="1" customHeight="1">
      <c r="H5253" s="14"/>
      <c r="I5253" s="567"/>
      <c r="J5253" s="15"/>
      <c r="N5253" s="14"/>
      <c r="O5253" s="14"/>
      <c r="P5253" s="14"/>
    </row>
    <row r="5254" spans="8:16" ht="15.75" hidden="1" customHeight="1">
      <c r="H5254" s="14"/>
      <c r="I5254" s="567"/>
      <c r="J5254" s="15"/>
      <c r="N5254" s="14"/>
      <c r="O5254" s="14"/>
      <c r="P5254" s="14"/>
    </row>
    <row r="5255" spans="8:16" ht="15.75" hidden="1" customHeight="1">
      <c r="H5255" s="14"/>
      <c r="I5255" s="567"/>
      <c r="J5255" s="15"/>
      <c r="N5255" s="14"/>
      <c r="O5255" s="14"/>
      <c r="P5255" s="14"/>
    </row>
    <row r="5256" spans="8:16" ht="15.75" hidden="1" customHeight="1">
      <c r="H5256" s="14"/>
      <c r="I5256" s="567"/>
      <c r="J5256" s="15"/>
      <c r="N5256" s="14"/>
      <c r="O5256" s="14"/>
      <c r="P5256" s="14"/>
    </row>
    <row r="5257" spans="8:16" ht="15.75" hidden="1" customHeight="1">
      <c r="H5257" s="14"/>
      <c r="I5257" s="567"/>
      <c r="J5257" s="15"/>
      <c r="N5257" s="14"/>
      <c r="O5257" s="14"/>
      <c r="P5257" s="14"/>
    </row>
    <row r="5258" spans="8:16" ht="15.75" hidden="1" customHeight="1">
      <c r="H5258" s="14"/>
      <c r="I5258" s="567"/>
      <c r="J5258" s="15"/>
      <c r="N5258" s="14"/>
      <c r="O5258" s="14"/>
      <c r="P5258" s="14"/>
    </row>
    <row r="5259" spans="8:16" ht="15.75" hidden="1" customHeight="1">
      <c r="H5259" s="14"/>
      <c r="I5259" s="567"/>
      <c r="J5259" s="15"/>
      <c r="N5259" s="14"/>
      <c r="O5259" s="14"/>
      <c r="P5259" s="14"/>
    </row>
    <row r="5260" spans="8:16" ht="15.75" hidden="1" customHeight="1">
      <c r="H5260" s="14"/>
      <c r="I5260" s="567"/>
      <c r="J5260" s="15"/>
      <c r="N5260" s="14"/>
      <c r="O5260" s="14"/>
      <c r="P5260" s="14"/>
    </row>
    <row r="5261" spans="8:16" ht="15.75" hidden="1" customHeight="1">
      <c r="H5261" s="14"/>
      <c r="I5261" s="567"/>
      <c r="J5261" s="15"/>
      <c r="N5261" s="14"/>
      <c r="O5261" s="14"/>
      <c r="P5261" s="14"/>
    </row>
    <row r="5262" spans="8:16" ht="15.75" hidden="1" customHeight="1">
      <c r="H5262" s="14"/>
      <c r="I5262" s="567"/>
      <c r="J5262" s="15"/>
      <c r="N5262" s="14"/>
      <c r="O5262" s="14"/>
      <c r="P5262" s="14"/>
    </row>
    <row r="5263" spans="8:16" ht="15.75" hidden="1" customHeight="1">
      <c r="H5263" s="14"/>
      <c r="I5263" s="567"/>
      <c r="J5263" s="15"/>
      <c r="N5263" s="14"/>
      <c r="O5263" s="14"/>
      <c r="P5263" s="14"/>
    </row>
    <row r="5264" spans="8:16" ht="15.75" hidden="1" customHeight="1">
      <c r="H5264" s="14"/>
      <c r="I5264" s="567"/>
      <c r="J5264" s="15"/>
      <c r="N5264" s="14"/>
      <c r="O5264" s="14"/>
      <c r="P5264" s="14"/>
    </row>
    <row r="5265" spans="8:16" ht="15.75" hidden="1" customHeight="1">
      <c r="H5265" s="14"/>
      <c r="I5265" s="567"/>
      <c r="J5265" s="15"/>
      <c r="N5265" s="14"/>
      <c r="O5265" s="14"/>
      <c r="P5265" s="14"/>
    </row>
    <row r="5266" spans="8:16" ht="15.75" hidden="1" customHeight="1">
      <c r="H5266" s="14"/>
      <c r="I5266" s="567"/>
      <c r="J5266" s="15"/>
      <c r="N5266" s="14"/>
      <c r="O5266" s="14"/>
      <c r="P5266" s="14"/>
    </row>
    <row r="5267" spans="8:16" ht="15.75" hidden="1" customHeight="1">
      <c r="H5267" s="14"/>
      <c r="I5267" s="567"/>
      <c r="J5267" s="15"/>
      <c r="N5267" s="14"/>
      <c r="O5267" s="14"/>
      <c r="P5267" s="14"/>
    </row>
    <row r="5268" spans="8:16" ht="15.75" hidden="1" customHeight="1">
      <c r="H5268" s="14"/>
      <c r="I5268" s="567"/>
      <c r="J5268" s="15"/>
      <c r="N5268" s="14"/>
      <c r="O5268" s="14"/>
      <c r="P5268" s="14"/>
    </row>
    <row r="5269" spans="8:16" ht="15.75" hidden="1" customHeight="1">
      <c r="H5269" s="14"/>
      <c r="I5269" s="567"/>
      <c r="J5269" s="15"/>
      <c r="N5269" s="14"/>
      <c r="O5269" s="14"/>
      <c r="P5269" s="14"/>
    </row>
    <row r="5270" spans="8:16" ht="15.75" hidden="1" customHeight="1">
      <c r="H5270" s="14"/>
      <c r="I5270" s="567"/>
      <c r="J5270" s="15"/>
      <c r="N5270" s="14"/>
      <c r="O5270" s="14"/>
      <c r="P5270" s="14"/>
    </row>
    <row r="5271" spans="8:16" ht="15.75" hidden="1" customHeight="1">
      <c r="H5271" s="14"/>
      <c r="I5271" s="567"/>
      <c r="J5271" s="15"/>
      <c r="N5271" s="14"/>
      <c r="O5271" s="14"/>
      <c r="P5271" s="14"/>
    </row>
    <row r="5272" spans="8:16" ht="15.75" hidden="1" customHeight="1">
      <c r="H5272" s="14"/>
      <c r="I5272" s="567"/>
      <c r="J5272" s="15"/>
      <c r="N5272" s="14"/>
      <c r="O5272" s="14"/>
      <c r="P5272" s="14"/>
    </row>
    <row r="5273" spans="8:16" ht="15.75" hidden="1" customHeight="1">
      <c r="H5273" s="14"/>
      <c r="I5273" s="567"/>
      <c r="J5273" s="15"/>
      <c r="N5273" s="14"/>
      <c r="O5273" s="14"/>
      <c r="P5273" s="14"/>
    </row>
    <row r="5274" spans="8:16" ht="15.75" hidden="1" customHeight="1">
      <c r="H5274" s="14"/>
      <c r="I5274" s="567"/>
      <c r="J5274" s="15"/>
      <c r="N5274" s="14"/>
      <c r="O5274" s="14"/>
      <c r="P5274" s="14"/>
    </row>
    <row r="5275" spans="8:16" ht="15.75" hidden="1" customHeight="1">
      <c r="H5275" s="14"/>
      <c r="I5275" s="567"/>
      <c r="J5275" s="15"/>
      <c r="N5275" s="14"/>
      <c r="O5275" s="14"/>
      <c r="P5275" s="14"/>
    </row>
    <row r="5276" spans="8:16" ht="15.75" hidden="1" customHeight="1">
      <c r="H5276" s="14"/>
      <c r="I5276" s="567"/>
      <c r="J5276" s="15"/>
      <c r="N5276" s="14"/>
      <c r="O5276" s="14"/>
      <c r="P5276" s="14"/>
    </row>
    <row r="5277" spans="8:16" ht="15.75" hidden="1" customHeight="1">
      <c r="H5277" s="14"/>
      <c r="I5277" s="567"/>
      <c r="J5277" s="15"/>
      <c r="N5277" s="14"/>
      <c r="O5277" s="14"/>
      <c r="P5277" s="14"/>
    </row>
    <row r="5278" spans="8:16" ht="15.75" hidden="1" customHeight="1">
      <c r="H5278" s="14"/>
      <c r="I5278" s="567"/>
      <c r="J5278" s="15"/>
      <c r="N5278" s="14"/>
      <c r="O5278" s="14"/>
      <c r="P5278" s="14"/>
    </row>
    <row r="5279" spans="8:16" ht="15.75" hidden="1" customHeight="1">
      <c r="H5279" s="14"/>
      <c r="I5279" s="567"/>
      <c r="J5279" s="15"/>
      <c r="N5279" s="14"/>
      <c r="O5279" s="14"/>
      <c r="P5279" s="14"/>
    </row>
    <row r="5280" spans="8:16" ht="15.75" hidden="1" customHeight="1">
      <c r="H5280" s="14"/>
      <c r="I5280" s="567"/>
      <c r="J5280" s="15"/>
      <c r="N5280" s="14"/>
      <c r="O5280" s="14"/>
      <c r="P5280" s="14"/>
    </row>
    <row r="5281" spans="8:16" ht="15.75" hidden="1" customHeight="1">
      <c r="H5281" s="14"/>
      <c r="I5281" s="567"/>
      <c r="J5281" s="15"/>
      <c r="N5281" s="14"/>
      <c r="O5281" s="14"/>
      <c r="P5281" s="14"/>
    </row>
    <row r="5282" spans="8:16" ht="15.75" hidden="1" customHeight="1">
      <c r="H5282" s="14"/>
      <c r="I5282" s="567"/>
      <c r="J5282" s="15"/>
      <c r="N5282" s="14"/>
      <c r="O5282" s="14"/>
      <c r="P5282" s="14"/>
    </row>
    <row r="5283" spans="8:16" ht="15.75" hidden="1" customHeight="1">
      <c r="H5283" s="14"/>
      <c r="I5283" s="567"/>
      <c r="J5283" s="15"/>
      <c r="N5283" s="14"/>
      <c r="O5283" s="14"/>
      <c r="P5283" s="14"/>
    </row>
    <row r="5284" spans="8:16" ht="15.75" hidden="1" customHeight="1">
      <c r="H5284" s="14"/>
      <c r="I5284" s="567"/>
      <c r="J5284" s="15"/>
      <c r="N5284" s="14"/>
      <c r="O5284" s="14"/>
      <c r="P5284" s="14"/>
    </row>
    <row r="5285" spans="8:16" ht="15.75" hidden="1" customHeight="1">
      <c r="H5285" s="14"/>
      <c r="I5285" s="567"/>
      <c r="J5285" s="15"/>
      <c r="N5285" s="14"/>
      <c r="O5285" s="14"/>
      <c r="P5285" s="14"/>
    </row>
    <row r="5286" spans="8:16" ht="15.75" hidden="1" customHeight="1">
      <c r="H5286" s="14"/>
      <c r="I5286" s="567"/>
      <c r="J5286" s="15"/>
      <c r="N5286" s="14"/>
      <c r="O5286" s="14"/>
      <c r="P5286" s="14"/>
    </row>
    <row r="5287" spans="8:16" ht="15.75" hidden="1" customHeight="1">
      <c r="H5287" s="14"/>
      <c r="I5287" s="567"/>
      <c r="J5287" s="15"/>
      <c r="N5287" s="14"/>
      <c r="O5287" s="14"/>
      <c r="P5287" s="14"/>
    </row>
    <row r="5288" spans="8:16" ht="15.75" hidden="1" customHeight="1">
      <c r="H5288" s="14"/>
      <c r="I5288" s="567"/>
      <c r="J5288" s="15"/>
      <c r="N5288" s="14"/>
      <c r="O5288" s="14"/>
      <c r="P5288" s="14"/>
    </row>
    <row r="5289" spans="8:16" ht="15.75" hidden="1" customHeight="1">
      <c r="H5289" s="14"/>
      <c r="I5289" s="567"/>
      <c r="J5289" s="15"/>
      <c r="N5289" s="14"/>
      <c r="O5289" s="14"/>
      <c r="P5289" s="14"/>
    </row>
    <row r="5290" spans="8:16" ht="15.75" hidden="1" customHeight="1">
      <c r="H5290" s="14"/>
      <c r="I5290" s="567"/>
      <c r="J5290" s="15"/>
      <c r="N5290" s="14"/>
      <c r="O5290" s="14"/>
      <c r="P5290" s="14"/>
    </row>
    <row r="5291" spans="8:16" ht="15.75" hidden="1" customHeight="1">
      <c r="H5291" s="14"/>
      <c r="I5291" s="567"/>
      <c r="J5291" s="15"/>
      <c r="N5291" s="14"/>
      <c r="O5291" s="14"/>
      <c r="P5291" s="14"/>
    </row>
    <row r="5292" spans="8:16" ht="15.75" hidden="1" customHeight="1">
      <c r="H5292" s="14"/>
      <c r="I5292" s="567"/>
      <c r="J5292" s="15"/>
      <c r="N5292" s="14"/>
      <c r="O5292" s="14"/>
      <c r="P5292" s="14"/>
    </row>
    <row r="5293" spans="8:16" ht="15.75" hidden="1" customHeight="1">
      <c r="H5293" s="14"/>
      <c r="I5293" s="567"/>
      <c r="J5293" s="15"/>
      <c r="N5293" s="14"/>
      <c r="O5293" s="14"/>
      <c r="P5293" s="14"/>
    </row>
    <row r="5294" spans="8:16" ht="15.75" hidden="1" customHeight="1">
      <c r="H5294" s="14"/>
      <c r="I5294" s="567"/>
      <c r="J5294" s="15"/>
      <c r="N5294" s="14"/>
      <c r="O5294" s="14"/>
      <c r="P5294" s="14"/>
    </row>
    <row r="5295" spans="8:16" ht="15.75" hidden="1" customHeight="1">
      <c r="H5295" s="14"/>
      <c r="I5295" s="567"/>
      <c r="J5295" s="15"/>
      <c r="N5295" s="14"/>
      <c r="O5295" s="14"/>
      <c r="P5295" s="14"/>
    </row>
    <row r="5296" spans="8:16" ht="15.75" hidden="1" customHeight="1">
      <c r="H5296" s="14"/>
      <c r="I5296" s="567"/>
      <c r="J5296" s="15"/>
      <c r="N5296" s="14"/>
      <c r="O5296" s="14"/>
      <c r="P5296" s="14"/>
    </row>
    <row r="5297" spans="8:16" ht="15.75" hidden="1" customHeight="1">
      <c r="H5297" s="14"/>
      <c r="I5297" s="567"/>
      <c r="J5297" s="15"/>
      <c r="N5297" s="14"/>
      <c r="O5297" s="14"/>
      <c r="P5297" s="14"/>
    </row>
    <row r="5298" spans="8:16" ht="15.75" hidden="1" customHeight="1">
      <c r="H5298" s="14"/>
      <c r="I5298" s="567"/>
      <c r="J5298" s="15"/>
      <c r="N5298" s="14"/>
      <c r="O5298" s="14"/>
      <c r="P5298" s="14"/>
    </row>
    <row r="5299" spans="8:16" ht="15.75" hidden="1" customHeight="1">
      <c r="H5299" s="14"/>
      <c r="I5299" s="567"/>
      <c r="J5299" s="15"/>
      <c r="N5299" s="14"/>
      <c r="O5299" s="14"/>
      <c r="P5299" s="14"/>
    </row>
    <row r="5300" spans="8:16" ht="15.75" hidden="1" customHeight="1">
      <c r="H5300" s="14"/>
      <c r="I5300" s="567"/>
      <c r="J5300" s="15"/>
      <c r="N5300" s="14"/>
      <c r="O5300" s="14"/>
      <c r="P5300" s="14"/>
    </row>
    <row r="5301" spans="8:16" ht="15.75" hidden="1" customHeight="1">
      <c r="H5301" s="14"/>
      <c r="I5301" s="567"/>
      <c r="J5301" s="15"/>
      <c r="N5301" s="14"/>
      <c r="O5301" s="14"/>
      <c r="P5301" s="14"/>
    </row>
    <row r="5302" spans="8:16" ht="15.75" hidden="1" customHeight="1">
      <c r="H5302" s="14"/>
      <c r="I5302" s="567"/>
      <c r="J5302" s="15"/>
      <c r="N5302" s="14"/>
      <c r="O5302" s="14"/>
      <c r="P5302" s="14"/>
    </row>
    <row r="5303" spans="8:16" ht="15.75" hidden="1" customHeight="1">
      <c r="H5303" s="14"/>
      <c r="I5303" s="567"/>
      <c r="J5303" s="15"/>
      <c r="N5303" s="14"/>
      <c r="O5303" s="14"/>
      <c r="P5303" s="14"/>
    </row>
    <row r="5304" spans="8:16" ht="15.75" hidden="1" customHeight="1">
      <c r="H5304" s="14"/>
      <c r="I5304" s="567"/>
      <c r="J5304" s="15"/>
      <c r="N5304" s="14"/>
      <c r="O5304" s="14"/>
      <c r="P5304" s="14"/>
    </row>
    <row r="5305" spans="8:16" ht="15.75" hidden="1" customHeight="1">
      <c r="H5305" s="14"/>
      <c r="I5305" s="567"/>
      <c r="J5305" s="15"/>
      <c r="N5305" s="14"/>
      <c r="O5305" s="14"/>
      <c r="P5305" s="14"/>
    </row>
    <row r="5306" spans="8:16" ht="15.75" hidden="1" customHeight="1">
      <c r="H5306" s="14"/>
      <c r="I5306" s="567"/>
      <c r="J5306" s="15"/>
      <c r="N5306" s="14"/>
      <c r="O5306" s="14"/>
      <c r="P5306" s="14"/>
    </row>
    <row r="5307" spans="8:16" ht="15.75" hidden="1" customHeight="1">
      <c r="H5307" s="14"/>
      <c r="I5307" s="567"/>
      <c r="J5307" s="15"/>
      <c r="N5307" s="14"/>
      <c r="O5307" s="14"/>
      <c r="P5307" s="14"/>
    </row>
    <row r="5308" spans="8:16" ht="15.75" hidden="1" customHeight="1">
      <c r="H5308" s="14"/>
      <c r="I5308" s="567"/>
      <c r="J5308" s="15"/>
      <c r="N5308" s="14"/>
      <c r="O5308" s="14"/>
      <c r="P5308" s="14"/>
    </row>
    <row r="5309" spans="8:16" ht="15.75" hidden="1" customHeight="1">
      <c r="H5309" s="14"/>
      <c r="I5309" s="567"/>
      <c r="J5309" s="15"/>
      <c r="N5309" s="14"/>
      <c r="O5309" s="14"/>
      <c r="P5309" s="14"/>
    </row>
    <row r="5310" spans="8:16" ht="15.75" hidden="1" customHeight="1">
      <c r="H5310" s="14"/>
      <c r="I5310" s="567"/>
      <c r="J5310" s="15"/>
      <c r="N5310" s="14"/>
      <c r="O5310" s="14"/>
      <c r="P5310" s="14"/>
    </row>
    <row r="5311" spans="8:16" ht="15.75" hidden="1" customHeight="1">
      <c r="H5311" s="14"/>
      <c r="I5311" s="567"/>
      <c r="J5311" s="15"/>
      <c r="N5311" s="14"/>
      <c r="O5311" s="14"/>
      <c r="P5311" s="14"/>
    </row>
    <row r="5312" spans="8:16" ht="15.75" hidden="1" customHeight="1">
      <c r="H5312" s="14"/>
      <c r="I5312" s="567"/>
      <c r="J5312" s="15"/>
      <c r="N5312" s="14"/>
      <c r="O5312" s="14"/>
      <c r="P5312" s="14"/>
    </row>
    <row r="5313" spans="8:16" ht="15.75" hidden="1" customHeight="1">
      <c r="H5313" s="14"/>
      <c r="I5313" s="567"/>
      <c r="J5313" s="15"/>
      <c r="N5313" s="14"/>
      <c r="O5313" s="14"/>
      <c r="P5313" s="14"/>
    </row>
    <row r="5314" spans="8:16" ht="15.75" hidden="1" customHeight="1">
      <c r="H5314" s="14"/>
      <c r="I5314" s="567"/>
      <c r="J5314" s="15"/>
      <c r="N5314" s="14"/>
      <c r="O5314" s="14"/>
      <c r="P5314" s="14"/>
    </row>
    <row r="5315" spans="8:16" ht="15.75" hidden="1" customHeight="1">
      <c r="H5315" s="14"/>
      <c r="I5315" s="567"/>
      <c r="J5315" s="15"/>
      <c r="N5315" s="14"/>
      <c r="O5315" s="14"/>
      <c r="P5315" s="14"/>
    </row>
    <row r="5316" spans="8:16" ht="15.75" hidden="1" customHeight="1">
      <c r="H5316" s="14"/>
      <c r="I5316" s="567"/>
      <c r="J5316" s="15"/>
      <c r="N5316" s="14"/>
      <c r="O5316" s="14"/>
      <c r="P5316" s="14"/>
    </row>
    <row r="5317" spans="8:16" ht="15.75" hidden="1" customHeight="1">
      <c r="H5317" s="14"/>
      <c r="I5317" s="567"/>
      <c r="J5317" s="15"/>
      <c r="N5317" s="14"/>
      <c r="O5317" s="14"/>
      <c r="P5317" s="14"/>
    </row>
    <row r="5318" spans="8:16" ht="15.75" hidden="1" customHeight="1">
      <c r="H5318" s="14"/>
      <c r="I5318" s="567"/>
      <c r="J5318" s="15"/>
      <c r="N5318" s="14"/>
      <c r="O5318" s="14"/>
      <c r="P5318" s="14"/>
    </row>
    <row r="5319" spans="8:16" ht="15.75" hidden="1" customHeight="1">
      <c r="H5319" s="14"/>
      <c r="I5319" s="567"/>
      <c r="J5319" s="15"/>
      <c r="N5319" s="14"/>
      <c r="O5319" s="14"/>
      <c r="P5319" s="14"/>
    </row>
    <row r="5320" spans="8:16" ht="15.75" hidden="1" customHeight="1">
      <c r="H5320" s="14"/>
      <c r="I5320" s="567"/>
      <c r="J5320" s="15"/>
      <c r="N5320" s="14"/>
      <c r="O5320" s="14"/>
      <c r="P5320" s="14"/>
    </row>
    <row r="5321" spans="8:16" ht="15.75" hidden="1" customHeight="1">
      <c r="H5321" s="14"/>
      <c r="I5321" s="567"/>
      <c r="J5321" s="15"/>
      <c r="N5321" s="14"/>
      <c r="O5321" s="14"/>
      <c r="P5321" s="14"/>
    </row>
    <row r="5322" spans="8:16" ht="15.75" hidden="1" customHeight="1">
      <c r="H5322" s="14"/>
      <c r="I5322" s="567"/>
      <c r="J5322" s="15"/>
      <c r="N5322" s="14"/>
      <c r="O5322" s="14"/>
      <c r="P5322" s="14"/>
    </row>
    <row r="5323" spans="8:16" ht="15.75" hidden="1" customHeight="1">
      <c r="H5323" s="14"/>
      <c r="I5323" s="567"/>
      <c r="J5323" s="15"/>
      <c r="N5323" s="14"/>
      <c r="O5323" s="14"/>
      <c r="P5323" s="14"/>
    </row>
    <row r="5324" spans="8:16" ht="15.75" hidden="1" customHeight="1">
      <c r="H5324" s="14"/>
      <c r="I5324" s="567"/>
      <c r="J5324" s="15"/>
      <c r="N5324" s="14"/>
      <c r="O5324" s="14"/>
      <c r="P5324" s="14"/>
    </row>
    <row r="5325" spans="8:16" ht="15.75" hidden="1" customHeight="1">
      <c r="H5325" s="14"/>
      <c r="I5325" s="567"/>
      <c r="J5325" s="15"/>
      <c r="N5325" s="14"/>
      <c r="O5325" s="14"/>
      <c r="P5325" s="14"/>
    </row>
    <row r="5326" spans="8:16" ht="15.75" hidden="1" customHeight="1">
      <c r="H5326" s="14"/>
      <c r="I5326" s="567"/>
      <c r="J5326" s="15"/>
      <c r="N5326" s="14"/>
      <c r="O5326" s="14"/>
      <c r="P5326" s="14"/>
    </row>
    <row r="5327" spans="8:16" ht="15.75" hidden="1" customHeight="1">
      <c r="H5327" s="14"/>
      <c r="I5327" s="567"/>
      <c r="J5327" s="15"/>
      <c r="N5327" s="14"/>
      <c r="O5327" s="14"/>
      <c r="P5327" s="14"/>
    </row>
    <row r="5328" spans="8:16" ht="15.75" hidden="1" customHeight="1">
      <c r="H5328" s="14"/>
      <c r="I5328" s="567"/>
      <c r="J5328" s="15"/>
      <c r="N5328" s="14"/>
      <c r="O5328" s="14"/>
      <c r="P5328" s="14"/>
    </row>
    <row r="5329" spans="8:16" ht="15.75" hidden="1" customHeight="1">
      <c r="H5329" s="14"/>
      <c r="I5329" s="567"/>
      <c r="J5329" s="15"/>
      <c r="N5329" s="14"/>
      <c r="O5329" s="14"/>
      <c r="P5329" s="14"/>
    </row>
    <row r="5330" spans="8:16" ht="15.75" hidden="1" customHeight="1">
      <c r="H5330" s="14"/>
      <c r="I5330" s="567"/>
      <c r="J5330" s="15"/>
      <c r="N5330" s="14"/>
      <c r="O5330" s="14"/>
      <c r="P5330" s="14"/>
    </row>
    <row r="5331" spans="8:16" ht="15.75" hidden="1" customHeight="1">
      <c r="H5331" s="14"/>
      <c r="I5331" s="567"/>
      <c r="J5331" s="15"/>
      <c r="N5331" s="14"/>
      <c r="O5331" s="14"/>
      <c r="P5331" s="14"/>
    </row>
    <row r="5332" spans="8:16" ht="15.75" hidden="1" customHeight="1">
      <c r="H5332" s="14"/>
      <c r="I5332" s="567"/>
      <c r="J5332" s="15"/>
      <c r="N5332" s="14"/>
      <c r="O5332" s="14"/>
      <c r="P5332" s="14"/>
    </row>
    <row r="5333" spans="8:16" ht="15.75" hidden="1" customHeight="1">
      <c r="H5333" s="14"/>
      <c r="I5333" s="567"/>
      <c r="J5333" s="15"/>
      <c r="N5333" s="14"/>
      <c r="O5333" s="14"/>
      <c r="P5333" s="14"/>
    </row>
    <row r="5334" spans="8:16" ht="15.75" hidden="1" customHeight="1">
      <c r="H5334" s="14"/>
      <c r="I5334" s="567"/>
      <c r="J5334" s="15"/>
      <c r="N5334" s="14"/>
      <c r="O5334" s="14"/>
      <c r="P5334" s="14"/>
    </row>
    <row r="5335" spans="8:16" ht="15.75" hidden="1" customHeight="1">
      <c r="H5335" s="14"/>
      <c r="I5335" s="567"/>
      <c r="J5335" s="15"/>
      <c r="N5335" s="14"/>
      <c r="O5335" s="14"/>
      <c r="P5335" s="14"/>
    </row>
    <row r="5336" spans="8:16" ht="15.75" hidden="1" customHeight="1">
      <c r="H5336" s="14"/>
      <c r="I5336" s="567"/>
      <c r="J5336" s="15"/>
      <c r="N5336" s="14"/>
      <c r="O5336" s="14"/>
      <c r="P5336" s="14"/>
    </row>
    <row r="5337" spans="8:16" ht="15.75" hidden="1" customHeight="1">
      <c r="H5337" s="14"/>
      <c r="I5337" s="567"/>
      <c r="J5337" s="15"/>
      <c r="N5337" s="14"/>
      <c r="O5337" s="14"/>
      <c r="P5337" s="14"/>
    </row>
    <row r="5338" spans="8:16" ht="15.75" hidden="1" customHeight="1">
      <c r="H5338" s="14"/>
      <c r="I5338" s="567"/>
      <c r="J5338" s="15"/>
      <c r="N5338" s="14"/>
      <c r="O5338" s="14"/>
      <c r="P5338" s="14"/>
    </row>
    <row r="5339" spans="8:16" ht="15.75" hidden="1" customHeight="1">
      <c r="H5339" s="14"/>
      <c r="I5339" s="567"/>
      <c r="J5339" s="15"/>
      <c r="N5339" s="14"/>
      <c r="O5339" s="14"/>
      <c r="P5339" s="14"/>
    </row>
    <row r="5340" spans="8:16" ht="15.75" hidden="1" customHeight="1">
      <c r="H5340" s="14"/>
      <c r="I5340" s="567"/>
      <c r="J5340" s="15"/>
      <c r="N5340" s="14"/>
      <c r="O5340" s="14"/>
      <c r="P5340" s="14"/>
    </row>
    <row r="5341" spans="8:16" ht="15.75" hidden="1" customHeight="1">
      <c r="H5341" s="14"/>
      <c r="I5341" s="567"/>
      <c r="J5341" s="15"/>
      <c r="N5341" s="14"/>
      <c r="O5341" s="14"/>
      <c r="P5341" s="14"/>
    </row>
    <row r="5342" spans="8:16" ht="15.75" hidden="1" customHeight="1">
      <c r="H5342" s="14"/>
      <c r="I5342" s="567"/>
      <c r="J5342" s="15"/>
      <c r="N5342" s="14"/>
      <c r="O5342" s="14"/>
      <c r="P5342" s="14"/>
    </row>
    <row r="5343" spans="8:16" ht="15.75" hidden="1" customHeight="1">
      <c r="H5343" s="14"/>
      <c r="I5343" s="567"/>
      <c r="J5343" s="15"/>
      <c r="N5343" s="14"/>
      <c r="O5343" s="14"/>
      <c r="P5343" s="14"/>
    </row>
    <row r="5344" spans="8:16" ht="15.75" hidden="1" customHeight="1">
      <c r="H5344" s="14"/>
      <c r="I5344" s="567"/>
      <c r="J5344" s="15"/>
      <c r="N5344" s="14"/>
      <c r="O5344" s="14"/>
      <c r="P5344" s="14"/>
    </row>
    <row r="5345" spans="8:16" ht="15.75" hidden="1" customHeight="1">
      <c r="H5345" s="14"/>
      <c r="I5345" s="567"/>
      <c r="J5345" s="15"/>
      <c r="N5345" s="14"/>
      <c r="O5345" s="14"/>
      <c r="P5345" s="14"/>
    </row>
    <row r="5346" spans="8:16" ht="15.75" hidden="1" customHeight="1">
      <c r="H5346" s="14"/>
      <c r="I5346" s="567"/>
      <c r="J5346" s="15"/>
      <c r="N5346" s="14"/>
      <c r="O5346" s="14"/>
      <c r="P5346" s="14"/>
    </row>
    <row r="5347" spans="8:16" ht="15.75" hidden="1" customHeight="1">
      <c r="H5347" s="14"/>
      <c r="I5347" s="567"/>
      <c r="J5347" s="15"/>
      <c r="N5347" s="14"/>
      <c r="O5347" s="14"/>
      <c r="P5347" s="14"/>
    </row>
    <row r="5348" spans="8:16" ht="15.75" hidden="1" customHeight="1">
      <c r="H5348" s="14"/>
      <c r="I5348" s="567"/>
      <c r="J5348" s="15"/>
      <c r="N5348" s="14"/>
      <c r="O5348" s="14"/>
      <c r="P5348" s="14"/>
    </row>
    <row r="5349" spans="8:16" ht="15.75" hidden="1" customHeight="1">
      <c r="H5349" s="14"/>
      <c r="I5349" s="567"/>
      <c r="J5349" s="15"/>
      <c r="N5349" s="14"/>
      <c r="O5349" s="14"/>
      <c r="P5349" s="14"/>
    </row>
    <row r="5350" spans="8:16" ht="15.75" hidden="1" customHeight="1">
      <c r="H5350" s="14"/>
      <c r="I5350" s="567"/>
      <c r="J5350" s="15"/>
      <c r="N5350" s="14"/>
      <c r="O5350" s="14"/>
      <c r="P5350" s="14"/>
    </row>
    <row r="5351" spans="8:16" ht="15.75" hidden="1" customHeight="1">
      <c r="H5351" s="14"/>
      <c r="I5351" s="567"/>
      <c r="J5351" s="15"/>
      <c r="N5351" s="14"/>
      <c r="O5351" s="14"/>
      <c r="P5351" s="14"/>
    </row>
    <row r="5352" spans="8:16" ht="15.75" hidden="1" customHeight="1">
      <c r="H5352" s="14"/>
      <c r="I5352" s="567"/>
      <c r="J5352" s="15"/>
      <c r="N5352" s="14"/>
      <c r="O5352" s="14"/>
      <c r="P5352" s="14"/>
    </row>
    <row r="5353" spans="8:16" ht="15.75" hidden="1" customHeight="1">
      <c r="H5353" s="14"/>
      <c r="I5353" s="567"/>
      <c r="J5353" s="15"/>
      <c r="N5353" s="14"/>
      <c r="O5353" s="14"/>
      <c r="P5353" s="14"/>
    </row>
    <row r="5354" spans="8:16" ht="15.75" hidden="1" customHeight="1">
      <c r="H5354" s="14"/>
      <c r="I5354" s="567"/>
      <c r="J5354" s="15"/>
      <c r="N5354" s="14"/>
      <c r="O5354" s="14"/>
      <c r="P5354" s="14"/>
    </row>
    <row r="5355" spans="8:16" ht="15.75" hidden="1" customHeight="1">
      <c r="H5355" s="14"/>
      <c r="I5355" s="567"/>
      <c r="J5355" s="15"/>
      <c r="N5355" s="14"/>
      <c r="O5355" s="14"/>
      <c r="P5355" s="14"/>
    </row>
    <row r="5356" spans="8:16" ht="15.75" hidden="1" customHeight="1">
      <c r="H5356" s="14"/>
      <c r="I5356" s="567"/>
      <c r="J5356" s="15"/>
      <c r="N5356" s="14"/>
      <c r="O5356" s="14"/>
      <c r="P5356" s="14"/>
    </row>
    <row r="5357" spans="8:16" ht="15.75" hidden="1" customHeight="1">
      <c r="H5357" s="14"/>
      <c r="I5357" s="567"/>
      <c r="J5357" s="15"/>
      <c r="N5357" s="14"/>
      <c r="O5357" s="14"/>
      <c r="P5357" s="14"/>
    </row>
    <row r="5358" spans="8:16" ht="15.75" hidden="1" customHeight="1">
      <c r="H5358" s="14"/>
      <c r="I5358" s="567"/>
      <c r="J5358" s="15"/>
      <c r="N5358" s="14"/>
      <c r="O5358" s="14"/>
      <c r="P5358" s="14"/>
    </row>
    <row r="5359" spans="8:16" ht="15.75" hidden="1" customHeight="1">
      <c r="H5359" s="14"/>
      <c r="I5359" s="567"/>
      <c r="J5359" s="15"/>
      <c r="N5359" s="14"/>
      <c r="O5359" s="14"/>
      <c r="P5359" s="14"/>
    </row>
    <row r="5360" spans="8:16" ht="15.75" hidden="1" customHeight="1">
      <c r="H5360" s="14"/>
      <c r="I5360" s="567"/>
      <c r="J5360" s="15"/>
      <c r="N5360" s="14"/>
      <c r="O5360" s="14"/>
      <c r="P5360" s="14"/>
    </row>
    <row r="5361" spans="8:16" ht="15.75" hidden="1" customHeight="1">
      <c r="H5361" s="14"/>
      <c r="I5361" s="567"/>
      <c r="J5361" s="15"/>
      <c r="N5361" s="14"/>
      <c r="O5361" s="14"/>
      <c r="P5361" s="14"/>
    </row>
    <row r="5362" spans="8:16" ht="15.75" hidden="1" customHeight="1">
      <c r="H5362" s="14"/>
      <c r="I5362" s="567"/>
      <c r="J5362" s="15"/>
      <c r="N5362" s="14"/>
      <c r="O5362" s="14"/>
      <c r="P5362" s="14"/>
    </row>
    <row r="5363" spans="8:16" ht="15.75" hidden="1" customHeight="1">
      <c r="H5363" s="14"/>
      <c r="I5363" s="567"/>
      <c r="J5363" s="15"/>
      <c r="N5363" s="14"/>
      <c r="O5363" s="14"/>
      <c r="P5363" s="14"/>
    </row>
    <row r="5364" spans="8:16" ht="15.75" hidden="1" customHeight="1">
      <c r="H5364" s="14"/>
      <c r="I5364" s="567"/>
      <c r="J5364" s="15"/>
      <c r="N5364" s="14"/>
      <c r="O5364" s="14"/>
      <c r="P5364" s="14"/>
    </row>
    <row r="5365" spans="8:16" ht="15.75" hidden="1" customHeight="1">
      <c r="H5365" s="14"/>
      <c r="I5365" s="567"/>
      <c r="J5365" s="15"/>
      <c r="N5365" s="14"/>
      <c r="O5365" s="14"/>
      <c r="P5365" s="14"/>
    </row>
    <row r="5366" spans="8:16" ht="15.75" hidden="1" customHeight="1">
      <c r="H5366" s="14"/>
      <c r="I5366" s="567"/>
      <c r="J5366" s="15"/>
      <c r="N5366" s="14"/>
      <c r="O5366" s="14"/>
      <c r="P5366" s="14"/>
    </row>
    <row r="5367" spans="8:16" ht="15.75" hidden="1" customHeight="1">
      <c r="H5367" s="14"/>
      <c r="I5367" s="567"/>
      <c r="J5367" s="15"/>
      <c r="N5367" s="14"/>
      <c r="O5367" s="14"/>
      <c r="P5367" s="14"/>
    </row>
    <row r="5368" spans="8:16" ht="15.75" hidden="1" customHeight="1">
      <c r="H5368" s="14"/>
      <c r="I5368" s="567"/>
      <c r="J5368" s="15"/>
      <c r="N5368" s="14"/>
      <c r="O5368" s="14"/>
      <c r="P5368" s="14"/>
    </row>
    <row r="5369" spans="8:16" ht="15.75" hidden="1" customHeight="1">
      <c r="H5369" s="14"/>
      <c r="I5369" s="567"/>
      <c r="J5369" s="15"/>
      <c r="N5369" s="14"/>
      <c r="O5369" s="14"/>
      <c r="P5369" s="14"/>
    </row>
    <row r="5370" spans="8:16" ht="15.75" hidden="1" customHeight="1">
      <c r="H5370" s="14"/>
      <c r="I5370" s="567"/>
      <c r="J5370" s="15"/>
      <c r="N5370" s="14"/>
      <c r="O5370" s="14"/>
      <c r="P5370" s="14"/>
    </row>
    <row r="5371" spans="8:16" ht="15.75" hidden="1" customHeight="1">
      <c r="H5371" s="14"/>
      <c r="I5371" s="567"/>
      <c r="J5371" s="15"/>
      <c r="N5371" s="14"/>
      <c r="O5371" s="14"/>
      <c r="P5371" s="14"/>
    </row>
    <row r="5372" spans="8:16" ht="15.75" hidden="1" customHeight="1">
      <c r="H5372" s="14"/>
      <c r="I5372" s="567"/>
      <c r="J5372" s="15"/>
      <c r="N5372" s="14"/>
      <c r="O5372" s="14"/>
      <c r="P5372" s="14"/>
    </row>
    <row r="5373" spans="8:16" ht="15.75" hidden="1" customHeight="1">
      <c r="H5373" s="14"/>
      <c r="I5373" s="567"/>
      <c r="J5373" s="15"/>
      <c r="N5373" s="14"/>
      <c r="O5373" s="14"/>
      <c r="P5373" s="14"/>
    </row>
    <row r="5374" spans="8:16" ht="15.75" hidden="1" customHeight="1">
      <c r="H5374" s="14"/>
      <c r="I5374" s="567"/>
      <c r="J5374" s="15"/>
      <c r="N5374" s="14"/>
      <c r="O5374" s="14"/>
      <c r="P5374" s="14"/>
    </row>
    <row r="5375" spans="8:16" ht="15.75" hidden="1" customHeight="1">
      <c r="H5375" s="14"/>
      <c r="I5375" s="567"/>
      <c r="J5375" s="15"/>
      <c r="N5375" s="14"/>
      <c r="O5375" s="14"/>
      <c r="P5375" s="14"/>
    </row>
    <row r="5376" spans="8:16" ht="15.75" hidden="1" customHeight="1">
      <c r="H5376" s="14"/>
      <c r="I5376" s="567"/>
      <c r="J5376" s="15"/>
      <c r="N5376" s="14"/>
      <c r="O5376" s="14"/>
      <c r="P5376" s="14"/>
    </row>
    <row r="5377" spans="8:16" ht="15.75" hidden="1" customHeight="1">
      <c r="H5377" s="14"/>
      <c r="I5377" s="567"/>
      <c r="J5377" s="15"/>
      <c r="N5377" s="14"/>
      <c r="O5377" s="14"/>
      <c r="P5377" s="14"/>
    </row>
    <row r="5378" spans="8:16" ht="15.75" hidden="1" customHeight="1">
      <c r="H5378" s="14"/>
      <c r="I5378" s="567"/>
      <c r="J5378" s="15"/>
      <c r="N5378" s="14"/>
      <c r="O5378" s="14"/>
      <c r="P5378" s="14"/>
    </row>
    <row r="5379" spans="8:16" ht="15.75" hidden="1" customHeight="1">
      <c r="H5379" s="14"/>
      <c r="I5379" s="567"/>
      <c r="J5379" s="15"/>
      <c r="N5379" s="14"/>
      <c r="O5379" s="14"/>
      <c r="P5379" s="14"/>
    </row>
    <row r="5380" spans="8:16" ht="15.75" hidden="1" customHeight="1">
      <c r="H5380" s="14"/>
      <c r="I5380" s="567"/>
      <c r="J5380" s="15"/>
      <c r="N5380" s="14"/>
      <c r="O5380" s="14"/>
      <c r="P5380" s="14"/>
    </row>
    <row r="5381" spans="8:16" ht="15.75" hidden="1" customHeight="1">
      <c r="H5381" s="14"/>
      <c r="I5381" s="567"/>
      <c r="J5381" s="15"/>
      <c r="N5381" s="14"/>
      <c r="O5381" s="14"/>
      <c r="P5381" s="14"/>
    </row>
    <row r="5382" spans="8:16" ht="15.75" hidden="1" customHeight="1">
      <c r="H5382" s="14"/>
      <c r="I5382" s="567"/>
      <c r="J5382" s="15"/>
      <c r="N5382" s="14"/>
      <c r="O5382" s="14"/>
      <c r="P5382" s="14"/>
    </row>
    <row r="5383" spans="8:16" ht="15.75" hidden="1" customHeight="1">
      <c r="H5383" s="14"/>
      <c r="I5383" s="567"/>
      <c r="J5383" s="15"/>
      <c r="N5383" s="14"/>
      <c r="O5383" s="14"/>
      <c r="P5383" s="14"/>
    </row>
    <row r="5384" spans="8:16" ht="15.75" hidden="1" customHeight="1">
      <c r="H5384" s="14"/>
      <c r="I5384" s="567"/>
      <c r="J5384" s="15"/>
      <c r="N5384" s="14"/>
      <c r="O5384" s="14"/>
      <c r="P5384" s="14"/>
    </row>
    <row r="5385" spans="8:16" ht="15.75" hidden="1" customHeight="1">
      <c r="H5385" s="14"/>
      <c r="I5385" s="567"/>
      <c r="J5385" s="15"/>
      <c r="N5385" s="14"/>
      <c r="O5385" s="14"/>
      <c r="P5385" s="14"/>
    </row>
    <row r="5386" spans="8:16" ht="15.75" hidden="1" customHeight="1">
      <c r="H5386" s="14"/>
      <c r="I5386" s="567"/>
      <c r="J5386" s="15"/>
      <c r="N5386" s="14"/>
      <c r="O5386" s="14"/>
      <c r="P5386" s="14"/>
    </row>
    <row r="5387" spans="8:16" ht="15.75" hidden="1" customHeight="1">
      <c r="H5387" s="14"/>
      <c r="I5387" s="567"/>
      <c r="J5387" s="15"/>
      <c r="N5387" s="14"/>
      <c r="O5387" s="14"/>
      <c r="P5387" s="14"/>
    </row>
    <row r="5388" spans="8:16" ht="15.75" hidden="1" customHeight="1">
      <c r="H5388" s="14"/>
      <c r="I5388" s="567"/>
      <c r="J5388" s="15"/>
      <c r="N5388" s="14"/>
      <c r="O5388" s="14"/>
      <c r="P5388" s="14"/>
    </row>
    <row r="5389" spans="8:16" ht="15.75" hidden="1" customHeight="1">
      <c r="H5389" s="14"/>
      <c r="I5389" s="567"/>
      <c r="J5389" s="15"/>
      <c r="N5389" s="14"/>
      <c r="O5389" s="14"/>
      <c r="P5389" s="14"/>
    </row>
    <row r="5390" spans="8:16" ht="15.75" hidden="1" customHeight="1">
      <c r="H5390" s="14"/>
      <c r="I5390" s="567"/>
      <c r="J5390" s="15"/>
      <c r="N5390" s="14"/>
      <c r="O5390" s="14"/>
      <c r="P5390" s="14"/>
    </row>
    <row r="5391" spans="8:16" ht="15.75" hidden="1" customHeight="1">
      <c r="H5391" s="14"/>
      <c r="I5391" s="567"/>
      <c r="J5391" s="15"/>
      <c r="N5391" s="14"/>
      <c r="O5391" s="14"/>
      <c r="P5391" s="14"/>
    </row>
    <row r="5392" spans="8:16" ht="15.75" hidden="1" customHeight="1">
      <c r="H5392" s="14"/>
      <c r="I5392" s="567"/>
      <c r="J5392" s="15"/>
      <c r="P5392" s="14"/>
    </row>
    <row r="5393" spans="8:16" ht="15.75" hidden="1" customHeight="1">
      <c r="H5393" s="14"/>
      <c r="I5393" s="567"/>
      <c r="J5393" s="15"/>
      <c r="P5393" s="14"/>
    </row>
    <row r="5394" spans="8:16" ht="15.75" hidden="1" customHeight="1">
      <c r="H5394" s="14"/>
      <c r="I5394" s="567"/>
      <c r="J5394" s="15"/>
      <c r="P5394" s="14"/>
    </row>
    <row r="5395" spans="8:16" ht="15.75" hidden="1" customHeight="1">
      <c r="H5395" s="14"/>
      <c r="I5395" s="567"/>
      <c r="J5395" s="15"/>
      <c r="P5395" s="14"/>
    </row>
    <row r="5396" spans="8:16" ht="15.75" hidden="1" customHeight="1">
      <c r="H5396" s="14"/>
      <c r="I5396" s="567"/>
      <c r="J5396" s="15"/>
      <c r="P5396" s="14"/>
    </row>
    <row r="5397" spans="8:16" ht="15.75" hidden="1" customHeight="1">
      <c r="H5397" s="14"/>
      <c r="I5397" s="567"/>
      <c r="J5397" s="15"/>
      <c r="P5397" s="14"/>
    </row>
    <row r="5398" spans="8:16" ht="15.75" hidden="1" customHeight="1">
      <c r="H5398" s="14"/>
      <c r="I5398" s="567"/>
      <c r="J5398" s="15"/>
      <c r="P5398" s="14"/>
    </row>
    <row r="5399" spans="8:16" ht="15.75" hidden="1" customHeight="1">
      <c r="H5399" s="14"/>
      <c r="I5399" s="567"/>
      <c r="J5399" s="15"/>
      <c r="P5399" s="14"/>
    </row>
    <row r="5400" spans="8:16" ht="15.75" hidden="1" customHeight="1">
      <c r="H5400" s="14"/>
      <c r="I5400" s="567"/>
      <c r="J5400" s="15"/>
      <c r="P5400" s="14"/>
    </row>
    <row r="5401" spans="8:16" ht="15.75" hidden="1" customHeight="1">
      <c r="H5401" s="14"/>
      <c r="I5401" s="567"/>
      <c r="J5401" s="15"/>
      <c r="P5401" s="14"/>
    </row>
    <row r="5402" spans="8:16" ht="15.75" hidden="1" customHeight="1">
      <c r="H5402" s="14"/>
      <c r="I5402" s="567"/>
      <c r="J5402" s="15"/>
      <c r="P5402" s="14"/>
    </row>
    <row r="5403" spans="8:16" ht="15.75" hidden="1" customHeight="1">
      <c r="H5403" s="14"/>
      <c r="I5403" s="567"/>
      <c r="J5403" s="15"/>
      <c r="P5403" s="14"/>
    </row>
    <row r="5404" spans="8:16" ht="15.75" hidden="1" customHeight="1">
      <c r="H5404" s="14"/>
      <c r="I5404" s="567"/>
      <c r="J5404" s="15"/>
      <c r="P5404" s="14"/>
    </row>
    <row r="5405" spans="8:16" ht="15.75" hidden="1" customHeight="1">
      <c r="H5405" s="14"/>
      <c r="I5405" s="567"/>
      <c r="J5405" s="15"/>
    </row>
    <row r="5406" spans="8:16" ht="15.75" hidden="1" customHeight="1">
      <c r="H5406" s="14"/>
      <c r="I5406" s="567"/>
      <c r="J5406" s="15"/>
    </row>
    <row r="5407" spans="8:16" ht="15.75" hidden="1" customHeight="1">
      <c r="H5407" s="14"/>
      <c r="I5407" s="567"/>
      <c r="J5407" s="15"/>
    </row>
    <row r="5408" spans="8:16" ht="15.75" hidden="1" customHeight="1">
      <c r="H5408" s="14"/>
      <c r="I5408" s="567"/>
      <c r="J5408" s="15"/>
    </row>
    <row r="5409" spans="8:10" ht="15.75" hidden="1" customHeight="1">
      <c r="H5409" s="14"/>
      <c r="I5409" s="567"/>
      <c r="J5409" s="15"/>
    </row>
    <row r="5410" spans="8:10" ht="15.75" hidden="1" customHeight="1">
      <c r="H5410" s="14"/>
      <c r="I5410" s="567"/>
      <c r="J5410" s="15"/>
    </row>
    <row r="5411" spans="8:10" ht="15.75" hidden="1" customHeight="1">
      <c r="H5411" s="14"/>
      <c r="I5411" s="567"/>
      <c r="J5411" s="15"/>
    </row>
    <row r="5412" spans="8:10" ht="15.75" hidden="1" customHeight="1">
      <c r="H5412" s="14"/>
      <c r="I5412" s="567"/>
      <c r="J5412" s="15"/>
    </row>
    <row r="5413" spans="8:10" ht="15.75" hidden="1" customHeight="1">
      <c r="H5413" s="14"/>
      <c r="I5413" s="567"/>
      <c r="J5413" s="15"/>
    </row>
    <row r="5414" spans="8:10" ht="15.75" hidden="1" customHeight="1">
      <c r="H5414" s="14"/>
      <c r="I5414" s="567"/>
      <c r="J5414" s="15"/>
    </row>
    <row r="5415" spans="8:10" ht="15.75" hidden="1" customHeight="1">
      <c r="H5415" s="14"/>
      <c r="I5415" s="567"/>
      <c r="J5415" s="15"/>
    </row>
    <row r="5416" spans="8:10" ht="15.75" hidden="1" customHeight="1">
      <c r="H5416" s="14"/>
      <c r="I5416" s="567"/>
      <c r="J5416" s="15"/>
    </row>
    <row r="5417" spans="8:10" ht="15.75" hidden="1" customHeight="1">
      <c r="H5417" s="14"/>
      <c r="I5417" s="567"/>
      <c r="J5417" s="15"/>
    </row>
    <row r="5418" spans="8:10" ht="15.75" hidden="1" customHeight="1">
      <c r="H5418" s="14"/>
      <c r="I5418" s="567"/>
      <c r="J5418" s="15"/>
    </row>
    <row r="5419" spans="8:10" ht="15.75" hidden="1" customHeight="1">
      <c r="H5419" s="14"/>
      <c r="I5419" s="567"/>
      <c r="J5419" s="15"/>
    </row>
    <row r="5420" spans="8:10" ht="15.75" hidden="1" customHeight="1">
      <c r="H5420" s="14"/>
      <c r="I5420" s="567"/>
      <c r="J5420" s="15"/>
    </row>
    <row r="5421" spans="8:10" ht="15.75" hidden="1" customHeight="1">
      <c r="H5421" s="14"/>
      <c r="I5421" s="567"/>
      <c r="J5421" s="15"/>
    </row>
    <row r="5422" spans="8:10" ht="15.75" hidden="1" customHeight="1">
      <c r="H5422" s="14"/>
      <c r="I5422" s="567"/>
      <c r="J5422" s="15"/>
    </row>
    <row r="5423" spans="8:10" ht="15.75" hidden="1" customHeight="1">
      <c r="H5423" s="14"/>
      <c r="I5423" s="567"/>
      <c r="J5423" s="15"/>
    </row>
    <row r="5424" spans="8:10" ht="15.75" hidden="1" customHeight="1">
      <c r="H5424" s="14"/>
      <c r="I5424" s="567"/>
      <c r="J5424" s="15"/>
    </row>
    <row r="5425" spans="8:10" ht="15.75" hidden="1" customHeight="1">
      <c r="H5425" s="14"/>
      <c r="I5425" s="567"/>
      <c r="J5425" s="15"/>
    </row>
    <row r="5426" spans="8:10" ht="15.75" hidden="1" customHeight="1">
      <c r="H5426" s="14"/>
      <c r="I5426" s="567"/>
      <c r="J5426" s="15"/>
    </row>
    <row r="5427" spans="8:10" ht="15.75" hidden="1" customHeight="1">
      <c r="H5427" s="14"/>
      <c r="I5427" s="567"/>
      <c r="J5427" s="15"/>
    </row>
    <row r="5428" spans="8:10" ht="15.75" hidden="1" customHeight="1">
      <c r="H5428" s="14"/>
      <c r="I5428" s="567"/>
      <c r="J5428" s="15"/>
    </row>
    <row r="5429" spans="8:10" ht="15.75" hidden="1" customHeight="1">
      <c r="H5429" s="14"/>
      <c r="I5429" s="567"/>
      <c r="J5429" s="15"/>
    </row>
    <row r="5430" spans="8:10" ht="15.75" hidden="1" customHeight="1">
      <c r="H5430" s="14"/>
      <c r="I5430" s="567"/>
      <c r="J5430" s="15"/>
    </row>
    <row r="5431" spans="8:10" ht="15.75" hidden="1" customHeight="1">
      <c r="H5431" s="14"/>
      <c r="I5431" s="567"/>
      <c r="J5431" s="15"/>
    </row>
    <row r="5432" spans="8:10" ht="15.75" hidden="1" customHeight="1">
      <c r="H5432" s="14"/>
      <c r="I5432" s="567"/>
      <c r="J5432" s="15"/>
    </row>
    <row r="5433" spans="8:10" ht="15.75" hidden="1" customHeight="1">
      <c r="H5433" s="14"/>
      <c r="I5433" s="567"/>
      <c r="J5433" s="15"/>
    </row>
    <row r="5434" spans="8:10" ht="15.75" hidden="1" customHeight="1">
      <c r="H5434" s="14"/>
      <c r="I5434" s="567"/>
      <c r="J5434" s="15"/>
    </row>
    <row r="5435" spans="8:10" ht="15.75" hidden="1" customHeight="1">
      <c r="H5435" s="14"/>
      <c r="I5435" s="567"/>
      <c r="J5435" s="15"/>
    </row>
    <row r="5436" spans="8:10" ht="15.75" hidden="1" customHeight="1">
      <c r="H5436" s="14"/>
      <c r="I5436" s="567"/>
      <c r="J5436" s="15"/>
    </row>
    <row r="5437" spans="8:10" ht="15.75" hidden="1" customHeight="1">
      <c r="H5437" s="14"/>
      <c r="I5437" s="567"/>
      <c r="J5437" s="15"/>
    </row>
    <row r="5438" spans="8:10" ht="15.75" hidden="1" customHeight="1">
      <c r="H5438" s="14"/>
      <c r="I5438" s="567"/>
      <c r="J5438" s="15"/>
    </row>
    <row r="5439" spans="8:10" ht="15.75" hidden="1" customHeight="1">
      <c r="H5439" s="14"/>
      <c r="I5439" s="567"/>
      <c r="J5439" s="15"/>
    </row>
    <row r="5440" spans="8:10" ht="15.75" hidden="1" customHeight="1">
      <c r="H5440" s="14"/>
      <c r="I5440" s="567"/>
      <c r="J5440" s="15"/>
    </row>
    <row r="5441" spans="8:10" ht="15.75" hidden="1" customHeight="1">
      <c r="H5441" s="14"/>
      <c r="I5441" s="567"/>
      <c r="J5441" s="15"/>
    </row>
    <row r="5442" spans="8:10" ht="15.75" hidden="1" customHeight="1">
      <c r="H5442" s="14"/>
      <c r="I5442" s="567"/>
      <c r="J5442" s="15"/>
    </row>
    <row r="5443" spans="8:10" ht="15.75" hidden="1" customHeight="1">
      <c r="H5443" s="14"/>
      <c r="I5443" s="567"/>
      <c r="J5443" s="15"/>
    </row>
    <row r="5444" spans="8:10" ht="15.75" hidden="1" customHeight="1">
      <c r="H5444" s="14"/>
      <c r="I5444" s="567"/>
      <c r="J5444" s="15"/>
    </row>
    <row r="5445" spans="8:10" ht="15.75" hidden="1" customHeight="1">
      <c r="H5445" s="14"/>
      <c r="I5445" s="567"/>
      <c r="J5445" s="15"/>
    </row>
    <row r="5446" spans="8:10" ht="15.75" hidden="1" customHeight="1">
      <c r="H5446" s="14"/>
      <c r="I5446" s="567"/>
      <c r="J5446" s="15"/>
    </row>
    <row r="5447" spans="8:10" ht="15.75" hidden="1" customHeight="1">
      <c r="H5447" s="14"/>
      <c r="I5447" s="567"/>
      <c r="J5447" s="15"/>
    </row>
    <row r="5448" spans="8:10" ht="15.75" hidden="1" customHeight="1">
      <c r="H5448" s="14"/>
      <c r="I5448" s="567"/>
      <c r="J5448" s="15"/>
    </row>
    <row r="5449" spans="8:10" ht="15.75" hidden="1" customHeight="1">
      <c r="H5449" s="14"/>
      <c r="I5449" s="567"/>
      <c r="J5449" s="15"/>
    </row>
    <row r="5450" spans="8:10" ht="15.75" hidden="1" customHeight="1">
      <c r="H5450" s="14"/>
      <c r="I5450" s="567"/>
      <c r="J5450" s="15"/>
    </row>
    <row r="5451" spans="8:10" ht="15.75" hidden="1" customHeight="1">
      <c r="H5451" s="14"/>
      <c r="I5451" s="567"/>
      <c r="J5451" s="15"/>
    </row>
    <row r="5452" spans="8:10" ht="15.75" hidden="1" customHeight="1">
      <c r="H5452" s="14"/>
      <c r="I5452" s="567"/>
      <c r="J5452" s="15"/>
    </row>
    <row r="5453" spans="8:10" ht="15.75" hidden="1" customHeight="1">
      <c r="H5453" s="14"/>
      <c r="I5453" s="567"/>
      <c r="J5453" s="15"/>
    </row>
    <row r="5454" spans="8:10" ht="15.75" hidden="1" customHeight="1">
      <c r="H5454" s="14"/>
      <c r="I5454" s="567"/>
      <c r="J5454" s="15"/>
    </row>
    <row r="5455" spans="8:10" ht="15.75" hidden="1" customHeight="1">
      <c r="H5455" s="14"/>
      <c r="I5455" s="567"/>
      <c r="J5455" s="15"/>
    </row>
    <row r="5456" spans="8:10" ht="15.75" hidden="1" customHeight="1">
      <c r="H5456" s="14"/>
      <c r="I5456" s="567"/>
      <c r="J5456" s="15"/>
    </row>
    <row r="5457" spans="8:10" ht="15.75" hidden="1" customHeight="1">
      <c r="H5457" s="14"/>
      <c r="I5457" s="567"/>
      <c r="J5457" s="15"/>
    </row>
    <row r="5458" spans="8:10" ht="15.75" hidden="1" customHeight="1">
      <c r="H5458" s="14"/>
      <c r="I5458" s="567"/>
      <c r="J5458" s="15"/>
    </row>
    <row r="5459" spans="8:10" ht="15.75" hidden="1" customHeight="1">
      <c r="H5459" s="14"/>
      <c r="I5459" s="567"/>
      <c r="J5459" s="15"/>
    </row>
    <row r="5460" spans="8:10" ht="15.75" hidden="1" customHeight="1">
      <c r="H5460" s="14"/>
      <c r="I5460" s="567"/>
      <c r="J5460" s="15"/>
    </row>
    <row r="5461" spans="8:10" ht="15.75" hidden="1" customHeight="1">
      <c r="H5461" s="14"/>
      <c r="I5461" s="567"/>
      <c r="J5461" s="15"/>
    </row>
    <row r="5462" spans="8:10" ht="15.75" hidden="1" customHeight="1">
      <c r="H5462" s="14"/>
      <c r="I5462" s="567"/>
      <c r="J5462" s="15"/>
    </row>
    <row r="5463" spans="8:10" ht="15.75" hidden="1" customHeight="1">
      <c r="H5463" s="14"/>
      <c r="I5463" s="567"/>
      <c r="J5463" s="15"/>
    </row>
    <row r="5464" spans="8:10" ht="15.75" hidden="1" customHeight="1">
      <c r="H5464" s="14"/>
      <c r="I5464" s="567"/>
      <c r="J5464" s="15"/>
    </row>
    <row r="5465" spans="8:10" ht="15.75" hidden="1" customHeight="1">
      <c r="H5465" s="14"/>
      <c r="I5465" s="567"/>
      <c r="J5465" s="15"/>
    </row>
    <row r="5466" spans="8:10" ht="15.75" hidden="1" customHeight="1">
      <c r="H5466" s="14"/>
      <c r="I5466" s="567"/>
      <c r="J5466" s="15"/>
    </row>
    <row r="5467" spans="8:10" ht="15.75" hidden="1" customHeight="1">
      <c r="H5467" s="14"/>
      <c r="I5467" s="567"/>
      <c r="J5467" s="15"/>
    </row>
    <row r="5468" spans="8:10" ht="15.75" hidden="1" customHeight="1">
      <c r="H5468" s="14"/>
      <c r="I5468" s="567"/>
      <c r="J5468" s="15"/>
    </row>
    <row r="5469" spans="8:10" ht="15.75" hidden="1" customHeight="1">
      <c r="H5469" s="14"/>
      <c r="I5469" s="567"/>
      <c r="J5469" s="15"/>
    </row>
    <row r="5470" spans="8:10" ht="15.75" hidden="1" customHeight="1">
      <c r="H5470" s="14"/>
      <c r="I5470" s="567"/>
      <c r="J5470" s="15"/>
    </row>
    <row r="5471" spans="8:10" ht="15.75" hidden="1" customHeight="1">
      <c r="H5471" s="14"/>
      <c r="I5471" s="567"/>
      <c r="J5471" s="15"/>
    </row>
    <row r="5472" spans="8:10" ht="15.75" hidden="1" customHeight="1">
      <c r="H5472" s="14"/>
      <c r="I5472" s="567"/>
      <c r="J5472" s="15"/>
    </row>
    <row r="5473" spans="8:10" ht="15.75" hidden="1" customHeight="1">
      <c r="H5473" s="14"/>
      <c r="I5473" s="567"/>
      <c r="J5473" s="15"/>
    </row>
    <row r="5474" spans="8:10" ht="15.75" hidden="1" customHeight="1">
      <c r="H5474" s="14"/>
      <c r="I5474" s="567"/>
      <c r="J5474" s="15"/>
    </row>
    <row r="5475" spans="8:10" ht="15.75" hidden="1" customHeight="1">
      <c r="H5475" s="14"/>
      <c r="I5475" s="567"/>
      <c r="J5475" s="15"/>
    </row>
    <row r="5476" spans="8:10" ht="15.75" hidden="1" customHeight="1">
      <c r="H5476" s="14"/>
      <c r="I5476" s="567"/>
      <c r="J5476" s="15"/>
    </row>
    <row r="5477" spans="8:10" ht="15.75" hidden="1" customHeight="1">
      <c r="H5477" s="14"/>
      <c r="I5477" s="567"/>
      <c r="J5477" s="15"/>
    </row>
    <row r="5478" spans="8:10" ht="15.75" hidden="1" customHeight="1">
      <c r="H5478" s="14"/>
      <c r="I5478" s="567"/>
      <c r="J5478" s="15"/>
    </row>
    <row r="5479" spans="8:10" ht="15.75" hidden="1" customHeight="1">
      <c r="H5479" s="14"/>
      <c r="I5479" s="567"/>
      <c r="J5479" s="15"/>
    </row>
    <row r="5480" spans="8:10" ht="15.75" hidden="1" customHeight="1">
      <c r="H5480" s="14"/>
      <c r="I5480" s="567"/>
      <c r="J5480" s="15"/>
    </row>
    <row r="5481" spans="8:10" ht="15.75" hidden="1" customHeight="1">
      <c r="H5481" s="14"/>
      <c r="I5481" s="567"/>
      <c r="J5481" s="15"/>
    </row>
    <row r="5482" spans="8:10" ht="15.75" hidden="1" customHeight="1">
      <c r="H5482" s="14"/>
      <c r="I5482" s="567"/>
      <c r="J5482" s="15"/>
    </row>
    <row r="5483" spans="8:10" ht="15.75" hidden="1" customHeight="1">
      <c r="H5483" s="14"/>
      <c r="I5483" s="567"/>
      <c r="J5483" s="15"/>
    </row>
    <row r="5484" spans="8:10" ht="15.75" hidden="1" customHeight="1">
      <c r="H5484" s="14"/>
      <c r="I5484" s="567"/>
      <c r="J5484" s="15"/>
    </row>
    <row r="5485" spans="8:10" ht="15.75" hidden="1" customHeight="1">
      <c r="H5485" s="14"/>
      <c r="I5485" s="567"/>
      <c r="J5485" s="15"/>
    </row>
    <row r="5486" spans="8:10" ht="15.75" hidden="1" customHeight="1">
      <c r="H5486" s="14"/>
      <c r="I5486" s="567"/>
      <c r="J5486" s="15"/>
    </row>
    <row r="5487" spans="8:10" ht="15.75" hidden="1" customHeight="1">
      <c r="H5487" s="14"/>
      <c r="I5487" s="567"/>
      <c r="J5487" s="15"/>
    </row>
    <row r="5488" spans="8:10" ht="15.75" hidden="1" customHeight="1">
      <c r="H5488" s="14"/>
      <c r="I5488" s="567"/>
      <c r="J5488" s="15"/>
    </row>
    <row r="5489" spans="8:10" ht="15.75" hidden="1" customHeight="1">
      <c r="H5489" s="14"/>
      <c r="I5489" s="567"/>
      <c r="J5489" s="15"/>
    </row>
    <row r="5490" spans="8:10" ht="15.75" hidden="1" customHeight="1">
      <c r="H5490" s="14"/>
      <c r="I5490" s="567"/>
      <c r="J5490" s="15"/>
    </row>
    <row r="5491" spans="8:10" ht="15.75" hidden="1" customHeight="1">
      <c r="H5491" s="14"/>
      <c r="I5491" s="567"/>
      <c r="J5491" s="15"/>
    </row>
    <row r="5492" spans="8:10" ht="15.75" hidden="1" customHeight="1">
      <c r="H5492" s="14"/>
      <c r="I5492" s="567"/>
      <c r="J5492" s="15"/>
    </row>
    <row r="5493" spans="8:10" ht="15.75" hidden="1" customHeight="1">
      <c r="H5493" s="14"/>
      <c r="I5493" s="567"/>
      <c r="J5493" s="15"/>
    </row>
    <row r="5494" spans="8:10" ht="15.75" hidden="1" customHeight="1">
      <c r="H5494" s="14"/>
      <c r="I5494" s="567"/>
      <c r="J5494" s="15"/>
    </row>
    <row r="5495" spans="8:10" ht="15.75" hidden="1" customHeight="1">
      <c r="H5495" s="14"/>
      <c r="I5495" s="567"/>
      <c r="J5495" s="15"/>
    </row>
    <row r="5496" spans="8:10" ht="15.75" hidden="1" customHeight="1">
      <c r="H5496" s="14"/>
      <c r="I5496" s="567"/>
      <c r="J5496" s="15"/>
    </row>
    <row r="5497" spans="8:10" ht="15.75" hidden="1" customHeight="1">
      <c r="H5497" s="14"/>
      <c r="I5497" s="567"/>
      <c r="J5497" s="15"/>
    </row>
    <row r="5498" spans="8:10" ht="15.75" hidden="1" customHeight="1">
      <c r="H5498" s="14"/>
      <c r="I5498" s="567"/>
      <c r="J5498" s="15"/>
    </row>
    <row r="5499" spans="8:10" ht="15.75" hidden="1" customHeight="1">
      <c r="H5499" s="14"/>
      <c r="I5499" s="567"/>
      <c r="J5499" s="15"/>
    </row>
    <row r="5500" spans="8:10" ht="15.75" hidden="1" customHeight="1">
      <c r="H5500" s="14"/>
      <c r="I5500" s="567"/>
      <c r="J5500" s="15"/>
    </row>
    <row r="5501" spans="8:10" ht="15.75" hidden="1" customHeight="1">
      <c r="H5501" s="14"/>
      <c r="I5501" s="567"/>
      <c r="J5501" s="15"/>
    </row>
    <row r="5502" spans="8:10" ht="15.75" hidden="1" customHeight="1">
      <c r="H5502" s="14"/>
      <c r="I5502" s="567"/>
      <c r="J5502" s="15"/>
    </row>
    <row r="5503" spans="8:10" ht="15.75" hidden="1" customHeight="1">
      <c r="H5503" s="14"/>
      <c r="I5503" s="567"/>
      <c r="J5503" s="15"/>
    </row>
    <row r="5504" spans="8:10" ht="15.75" hidden="1" customHeight="1">
      <c r="H5504" s="14"/>
      <c r="I5504" s="567"/>
      <c r="J5504" s="15"/>
    </row>
    <row r="5505" spans="8:10" ht="15.75" hidden="1" customHeight="1">
      <c r="H5505" s="14"/>
      <c r="I5505" s="567"/>
      <c r="J5505" s="15"/>
    </row>
    <row r="5506" spans="8:10" ht="15.75" hidden="1" customHeight="1">
      <c r="H5506" s="14"/>
      <c r="I5506" s="567"/>
      <c r="J5506" s="15"/>
    </row>
    <row r="5507" spans="8:10" ht="15.75" hidden="1" customHeight="1">
      <c r="H5507" s="14"/>
      <c r="I5507" s="567"/>
      <c r="J5507" s="15"/>
    </row>
    <row r="5508" spans="8:10" ht="15.75" hidden="1" customHeight="1">
      <c r="H5508" s="14"/>
      <c r="I5508" s="567"/>
      <c r="J5508" s="15"/>
    </row>
    <row r="5509" spans="8:10" ht="15.75" hidden="1" customHeight="1">
      <c r="H5509" s="14"/>
      <c r="I5509" s="567"/>
      <c r="J5509" s="15"/>
    </row>
    <row r="5510" spans="8:10" ht="15.75" hidden="1" customHeight="1">
      <c r="H5510" s="14"/>
      <c r="I5510" s="567"/>
      <c r="J5510" s="15"/>
    </row>
    <row r="5511" spans="8:10" ht="15.75" hidden="1" customHeight="1">
      <c r="H5511" s="14"/>
      <c r="I5511" s="567"/>
      <c r="J5511" s="15"/>
    </row>
    <row r="5512" spans="8:10" ht="15.75" hidden="1" customHeight="1">
      <c r="H5512" s="14"/>
      <c r="I5512" s="567"/>
      <c r="J5512" s="15"/>
    </row>
    <row r="5513" spans="8:10" ht="15.75" hidden="1" customHeight="1">
      <c r="H5513" s="14"/>
      <c r="I5513" s="567"/>
      <c r="J5513" s="15"/>
    </row>
    <row r="5514" spans="8:10" ht="15.75" hidden="1" customHeight="1">
      <c r="H5514" s="14"/>
      <c r="I5514" s="567"/>
      <c r="J5514" s="15"/>
    </row>
    <row r="5515" spans="8:10" ht="15.75" hidden="1" customHeight="1">
      <c r="H5515" s="14"/>
      <c r="I5515" s="567"/>
      <c r="J5515" s="15"/>
    </row>
    <row r="5516" spans="8:10" ht="15.75" hidden="1" customHeight="1">
      <c r="H5516" s="14"/>
      <c r="I5516" s="567"/>
      <c r="J5516" s="15"/>
    </row>
    <row r="5517" spans="8:10" ht="15.75" hidden="1" customHeight="1">
      <c r="H5517" s="14"/>
      <c r="I5517" s="567"/>
      <c r="J5517" s="15"/>
    </row>
    <row r="5518" spans="8:10" ht="15.75" hidden="1" customHeight="1">
      <c r="H5518" s="14"/>
      <c r="I5518" s="567"/>
      <c r="J5518" s="15"/>
    </row>
    <row r="5519" spans="8:10" ht="15.75" hidden="1" customHeight="1">
      <c r="H5519" s="14"/>
      <c r="I5519" s="567"/>
      <c r="J5519" s="15"/>
    </row>
    <row r="5520" spans="8:10" ht="15.75" hidden="1" customHeight="1">
      <c r="H5520" s="14"/>
      <c r="I5520" s="567"/>
      <c r="J5520" s="15"/>
    </row>
    <row r="5521" spans="8:10" ht="15.75" hidden="1" customHeight="1">
      <c r="H5521" s="14"/>
      <c r="I5521" s="567"/>
      <c r="J5521" s="15"/>
    </row>
    <row r="5522" spans="8:10" ht="15.75" hidden="1" customHeight="1">
      <c r="H5522" s="14"/>
      <c r="I5522" s="567"/>
      <c r="J5522" s="15"/>
    </row>
    <row r="5523" spans="8:10" ht="15.75" hidden="1" customHeight="1">
      <c r="H5523" s="14"/>
      <c r="I5523" s="567"/>
      <c r="J5523" s="15"/>
    </row>
    <row r="5524" spans="8:10" ht="15.75" hidden="1" customHeight="1">
      <c r="H5524" s="14"/>
      <c r="I5524" s="567"/>
      <c r="J5524" s="15"/>
    </row>
    <row r="5525" spans="8:10" ht="15.75" hidden="1" customHeight="1">
      <c r="H5525" s="14"/>
      <c r="I5525" s="567"/>
      <c r="J5525" s="15"/>
    </row>
    <row r="5526" spans="8:10" ht="15.75" hidden="1" customHeight="1">
      <c r="H5526" s="14"/>
      <c r="I5526" s="567"/>
      <c r="J5526" s="15"/>
    </row>
    <row r="5527" spans="8:10" ht="15.75" hidden="1" customHeight="1">
      <c r="H5527" s="14"/>
      <c r="I5527" s="567"/>
      <c r="J5527" s="15"/>
    </row>
    <row r="5528" spans="8:10" ht="15.75" hidden="1" customHeight="1">
      <c r="H5528" s="14"/>
      <c r="I5528" s="567"/>
      <c r="J5528" s="15"/>
    </row>
    <row r="5529" spans="8:10" ht="15.75" hidden="1" customHeight="1">
      <c r="H5529" s="14"/>
      <c r="I5529" s="567"/>
      <c r="J5529" s="15"/>
    </row>
    <row r="5530" spans="8:10" ht="15.75" hidden="1" customHeight="1">
      <c r="H5530" s="14"/>
      <c r="I5530" s="567"/>
      <c r="J5530" s="15"/>
    </row>
    <row r="5531" spans="8:10" ht="15.75" hidden="1" customHeight="1">
      <c r="H5531" s="14"/>
      <c r="I5531" s="567"/>
      <c r="J5531" s="15"/>
    </row>
    <row r="5532" spans="8:10" ht="15.75" hidden="1" customHeight="1">
      <c r="H5532" s="14"/>
      <c r="I5532" s="567"/>
      <c r="J5532" s="15"/>
    </row>
    <row r="5533" spans="8:10" ht="15.75" hidden="1" customHeight="1">
      <c r="H5533" s="14"/>
      <c r="I5533" s="567"/>
      <c r="J5533" s="15"/>
    </row>
    <row r="5534" spans="8:10" ht="15.75" hidden="1" customHeight="1">
      <c r="H5534" s="14"/>
      <c r="I5534" s="567"/>
      <c r="J5534" s="15"/>
    </row>
    <row r="5535" spans="8:10" ht="15.75" hidden="1" customHeight="1">
      <c r="H5535" s="14"/>
      <c r="I5535" s="567"/>
      <c r="J5535" s="15"/>
    </row>
    <row r="5536" spans="8:10" ht="15.75" hidden="1" customHeight="1">
      <c r="H5536" s="14"/>
      <c r="I5536" s="567"/>
      <c r="J5536" s="15"/>
    </row>
    <row r="5537" spans="8:10" ht="15.75" hidden="1" customHeight="1">
      <c r="H5537" s="14"/>
      <c r="I5537" s="567"/>
      <c r="J5537" s="15"/>
    </row>
    <row r="5538" spans="8:10" ht="15.75" hidden="1" customHeight="1">
      <c r="H5538" s="14"/>
      <c r="I5538" s="567"/>
      <c r="J5538" s="15"/>
    </row>
    <row r="5539" spans="8:10" ht="15.75" hidden="1" customHeight="1">
      <c r="H5539" s="14"/>
      <c r="I5539" s="567"/>
      <c r="J5539" s="15"/>
    </row>
    <row r="5540" spans="8:10" ht="15.75" hidden="1" customHeight="1">
      <c r="H5540" s="14"/>
      <c r="I5540" s="567"/>
      <c r="J5540" s="15"/>
    </row>
    <row r="5541" spans="8:10" ht="15.75" hidden="1" customHeight="1">
      <c r="H5541" s="14"/>
      <c r="I5541" s="567"/>
      <c r="J5541" s="15"/>
    </row>
    <row r="5542" spans="8:10" ht="15.75" hidden="1" customHeight="1">
      <c r="H5542" s="14"/>
      <c r="I5542" s="567"/>
      <c r="J5542" s="15"/>
    </row>
    <row r="5543" spans="8:10" ht="15.75" hidden="1" customHeight="1">
      <c r="H5543" s="14"/>
      <c r="I5543" s="567"/>
      <c r="J5543" s="15"/>
    </row>
    <row r="5544" spans="8:10" ht="15.75" hidden="1" customHeight="1">
      <c r="H5544" s="14"/>
      <c r="I5544" s="567"/>
      <c r="J5544" s="15"/>
    </row>
    <row r="5545" spans="8:10" ht="15.75" hidden="1" customHeight="1">
      <c r="H5545" s="14"/>
      <c r="I5545" s="567"/>
      <c r="J5545" s="15"/>
    </row>
    <row r="5546" spans="8:10" ht="15.75" hidden="1" customHeight="1">
      <c r="H5546" s="14"/>
      <c r="I5546" s="567"/>
      <c r="J5546" s="15"/>
    </row>
    <row r="5547" spans="8:10" ht="15.75" hidden="1" customHeight="1">
      <c r="H5547" s="14"/>
      <c r="I5547" s="567"/>
      <c r="J5547" s="15"/>
    </row>
    <row r="5548" spans="8:10" ht="15.75" hidden="1" customHeight="1">
      <c r="H5548" s="14"/>
      <c r="I5548" s="567"/>
      <c r="J5548" s="15"/>
    </row>
    <row r="5549" spans="8:10" ht="15.75" hidden="1" customHeight="1">
      <c r="H5549" s="14"/>
      <c r="I5549" s="567"/>
      <c r="J5549" s="15"/>
    </row>
    <row r="5550" spans="8:10" ht="15.75" hidden="1" customHeight="1">
      <c r="H5550" s="14"/>
      <c r="I5550" s="567"/>
      <c r="J5550" s="15"/>
    </row>
    <row r="5551" spans="8:10" ht="15.75" hidden="1" customHeight="1">
      <c r="H5551" s="14"/>
      <c r="I5551" s="567"/>
      <c r="J5551" s="15"/>
    </row>
    <row r="5552" spans="8:10" ht="15.75" hidden="1" customHeight="1">
      <c r="H5552" s="14"/>
      <c r="I5552" s="567"/>
      <c r="J5552" s="15"/>
    </row>
    <row r="5553" spans="8:10" ht="15.75" hidden="1" customHeight="1">
      <c r="H5553" s="14"/>
      <c r="I5553" s="567"/>
      <c r="J5553" s="15"/>
    </row>
    <row r="5554" spans="8:10" ht="15.75" hidden="1" customHeight="1">
      <c r="H5554" s="14"/>
      <c r="I5554" s="567"/>
      <c r="J5554" s="15"/>
    </row>
    <row r="5555" spans="8:10" ht="15.75" hidden="1" customHeight="1">
      <c r="H5555" s="14"/>
      <c r="I5555" s="567"/>
      <c r="J5555" s="15"/>
    </row>
    <row r="5556" spans="8:10" ht="15.75" hidden="1" customHeight="1">
      <c r="H5556" s="14"/>
      <c r="I5556" s="567"/>
      <c r="J5556" s="15"/>
    </row>
    <row r="5557" spans="8:10" ht="15.75" hidden="1" customHeight="1">
      <c r="H5557" s="14"/>
      <c r="I5557" s="567"/>
      <c r="J5557" s="15"/>
    </row>
    <row r="5558" spans="8:10" ht="15.75" hidden="1" customHeight="1">
      <c r="H5558" s="14"/>
      <c r="I5558" s="567"/>
      <c r="J5558" s="15"/>
    </row>
    <row r="5559" spans="8:10" ht="15.75" hidden="1" customHeight="1">
      <c r="H5559" s="14"/>
      <c r="I5559" s="567"/>
      <c r="J5559" s="15"/>
    </row>
    <row r="5560" spans="8:10" ht="15.75" hidden="1" customHeight="1">
      <c r="H5560" s="14"/>
      <c r="I5560" s="567"/>
      <c r="J5560" s="15"/>
    </row>
    <row r="5561" spans="8:10" ht="15.75" hidden="1" customHeight="1">
      <c r="H5561" s="14"/>
      <c r="I5561" s="567"/>
      <c r="J5561" s="15"/>
    </row>
    <row r="5562" spans="8:10" ht="15.75" hidden="1" customHeight="1">
      <c r="H5562" s="14"/>
      <c r="I5562" s="567"/>
      <c r="J5562" s="15"/>
    </row>
    <row r="5563" spans="8:10" ht="15.75" hidden="1" customHeight="1">
      <c r="H5563" s="14"/>
      <c r="I5563" s="567"/>
      <c r="J5563" s="15"/>
    </row>
    <row r="5564" spans="8:10" ht="15.75" hidden="1" customHeight="1">
      <c r="H5564" s="14"/>
      <c r="I5564" s="567"/>
      <c r="J5564" s="15"/>
    </row>
    <row r="5565" spans="8:10" ht="15.75" hidden="1" customHeight="1">
      <c r="H5565" s="14"/>
      <c r="I5565" s="567"/>
      <c r="J5565" s="15"/>
    </row>
    <row r="5566" spans="8:10" ht="15.75" hidden="1" customHeight="1">
      <c r="H5566" s="14"/>
      <c r="I5566" s="567"/>
      <c r="J5566" s="15"/>
    </row>
    <row r="5567" spans="8:10" ht="15.75" hidden="1" customHeight="1">
      <c r="H5567" s="14"/>
      <c r="I5567" s="567"/>
      <c r="J5567" s="15"/>
    </row>
    <row r="5568" spans="8:10" ht="15.75" hidden="1" customHeight="1">
      <c r="H5568" s="14"/>
      <c r="I5568" s="567"/>
      <c r="J5568" s="15"/>
    </row>
    <row r="5569" spans="8:10" ht="15.75" hidden="1" customHeight="1">
      <c r="H5569" s="14"/>
      <c r="I5569" s="567"/>
      <c r="J5569" s="15"/>
    </row>
    <row r="5570" spans="8:10" ht="15.75" hidden="1" customHeight="1">
      <c r="H5570" s="14"/>
      <c r="I5570" s="567"/>
      <c r="J5570" s="15"/>
    </row>
    <row r="5571" spans="8:10" ht="15.75" hidden="1" customHeight="1">
      <c r="H5571" s="14"/>
      <c r="I5571" s="567"/>
      <c r="J5571" s="15"/>
    </row>
    <row r="5572" spans="8:10" ht="15.75" hidden="1" customHeight="1">
      <c r="H5572" s="14"/>
      <c r="I5572" s="567"/>
      <c r="J5572" s="15"/>
    </row>
    <row r="5573" spans="8:10" ht="15.75" hidden="1" customHeight="1">
      <c r="H5573" s="14"/>
      <c r="I5573" s="567"/>
      <c r="J5573" s="15"/>
    </row>
    <row r="5574" spans="8:10" ht="15.75" hidden="1" customHeight="1">
      <c r="H5574" s="14"/>
      <c r="I5574" s="567"/>
      <c r="J5574" s="15"/>
    </row>
    <row r="5575" spans="8:10" ht="15.75" hidden="1" customHeight="1">
      <c r="H5575" s="14"/>
      <c r="I5575" s="567"/>
      <c r="J5575" s="15"/>
    </row>
    <row r="5576" spans="8:10" ht="15.75" hidden="1" customHeight="1">
      <c r="H5576" s="14"/>
      <c r="I5576" s="567"/>
      <c r="J5576" s="15"/>
    </row>
    <row r="5577" spans="8:10" ht="15.75" hidden="1" customHeight="1">
      <c r="H5577" s="14"/>
      <c r="I5577" s="567"/>
      <c r="J5577" s="15"/>
    </row>
    <row r="5578" spans="8:10" ht="15.75" hidden="1" customHeight="1">
      <c r="H5578" s="14"/>
      <c r="I5578" s="567"/>
      <c r="J5578" s="15"/>
    </row>
    <row r="5579" spans="8:10" ht="15.75" hidden="1" customHeight="1">
      <c r="H5579" s="14"/>
      <c r="I5579" s="567"/>
      <c r="J5579" s="15"/>
    </row>
    <row r="5580" spans="8:10" ht="15.75" hidden="1" customHeight="1">
      <c r="H5580" s="14"/>
      <c r="I5580" s="567"/>
      <c r="J5580" s="15"/>
    </row>
    <row r="5581" spans="8:10" ht="15.75" hidden="1" customHeight="1">
      <c r="H5581" s="14"/>
      <c r="I5581" s="567"/>
      <c r="J5581" s="15"/>
    </row>
    <row r="5582" spans="8:10" ht="15.75" hidden="1" customHeight="1">
      <c r="H5582" s="14"/>
      <c r="I5582" s="567"/>
      <c r="J5582" s="15"/>
    </row>
    <row r="5583" spans="8:10" ht="15.75" hidden="1" customHeight="1">
      <c r="H5583" s="14"/>
      <c r="I5583" s="567"/>
      <c r="J5583" s="15"/>
    </row>
    <row r="5584" spans="8:10" ht="15.75" hidden="1" customHeight="1">
      <c r="H5584" s="14"/>
      <c r="I5584" s="567"/>
      <c r="J5584" s="15"/>
    </row>
    <row r="5585" spans="8:10" ht="15.75" hidden="1" customHeight="1">
      <c r="H5585" s="14"/>
      <c r="I5585" s="567"/>
      <c r="J5585" s="15"/>
    </row>
    <row r="5586" spans="8:10" ht="15.75" hidden="1" customHeight="1">
      <c r="H5586" s="14"/>
      <c r="I5586" s="567"/>
      <c r="J5586" s="15"/>
    </row>
    <row r="5587" spans="8:10" ht="15.75" hidden="1" customHeight="1">
      <c r="H5587" s="14"/>
      <c r="I5587" s="567"/>
      <c r="J5587" s="15"/>
    </row>
    <row r="5588" spans="8:10" ht="15.75" hidden="1" customHeight="1">
      <c r="H5588" s="14"/>
      <c r="I5588" s="567"/>
      <c r="J5588" s="15"/>
    </row>
    <row r="5589" spans="8:10" ht="15.75" hidden="1" customHeight="1">
      <c r="H5589" s="14"/>
      <c r="I5589" s="567"/>
      <c r="J5589" s="15"/>
    </row>
    <row r="5590" spans="8:10" ht="15.75" hidden="1" customHeight="1">
      <c r="H5590" s="14"/>
      <c r="I5590" s="567"/>
      <c r="J5590" s="15"/>
    </row>
    <row r="5591" spans="8:10" ht="15.75" hidden="1" customHeight="1">
      <c r="H5591" s="14"/>
      <c r="I5591" s="567"/>
      <c r="J5591" s="15"/>
    </row>
    <row r="5592" spans="8:10" ht="15.75" hidden="1" customHeight="1">
      <c r="H5592" s="14"/>
      <c r="I5592" s="567"/>
      <c r="J5592" s="15"/>
    </row>
    <row r="5593" spans="8:10" ht="15.75" hidden="1" customHeight="1">
      <c r="H5593" s="14"/>
      <c r="I5593" s="567"/>
      <c r="J5593" s="15"/>
    </row>
    <row r="5594" spans="8:10" ht="15.75" hidden="1" customHeight="1">
      <c r="H5594" s="14"/>
      <c r="I5594" s="567"/>
      <c r="J5594" s="15"/>
    </row>
    <row r="5595" spans="8:10" ht="15.75" hidden="1" customHeight="1">
      <c r="H5595" s="14"/>
      <c r="I5595" s="567"/>
      <c r="J5595" s="15"/>
    </row>
    <row r="5596" spans="8:10" ht="15.75" hidden="1" customHeight="1">
      <c r="H5596" s="14"/>
      <c r="I5596" s="567"/>
      <c r="J5596" s="15"/>
    </row>
    <row r="5597" spans="8:10" ht="15.75" hidden="1" customHeight="1">
      <c r="H5597" s="14"/>
      <c r="I5597" s="567"/>
      <c r="J5597" s="15"/>
    </row>
    <row r="5598" spans="8:10" ht="15.75" hidden="1" customHeight="1">
      <c r="H5598" s="14"/>
      <c r="I5598" s="567"/>
      <c r="J5598" s="15"/>
    </row>
    <row r="5599" spans="8:10" ht="15.75" hidden="1" customHeight="1">
      <c r="H5599" s="14"/>
      <c r="I5599" s="567"/>
      <c r="J5599" s="15"/>
    </row>
    <row r="5600" spans="8:10" ht="15.75" hidden="1" customHeight="1">
      <c r="H5600" s="14"/>
      <c r="I5600" s="567"/>
      <c r="J5600" s="15"/>
    </row>
    <row r="5601" spans="8:10" ht="15.75" hidden="1" customHeight="1">
      <c r="H5601" s="14"/>
      <c r="I5601" s="567"/>
      <c r="J5601" s="15"/>
    </row>
    <row r="5602" spans="8:10" ht="15.75" hidden="1" customHeight="1">
      <c r="H5602" s="14"/>
      <c r="I5602" s="567"/>
      <c r="J5602" s="15"/>
    </row>
    <row r="5603" spans="8:10" ht="15.75" hidden="1" customHeight="1">
      <c r="H5603" s="14"/>
      <c r="I5603" s="567"/>
      <c r="J5603" s="15"/>
    </row>
    <row r="5604" spans="8:10" ht="15.75" hidden="1" customHeight="1">
      <c r="H5604" s="14"/>
      <c r="I5604" s="567"/>
      <c r="J5604" s="15"/>
    </row>
    <row r="5605" spans="8:10" ht="15.75" hidden="1" customHeight="1">
      <c r="H5605" s="14"/>
      <c r="I5605" s="567"/>
      <c r="J5605" s="15"/>
    </row>
    <row r="5606" spans="8:10" ht="15.75" hidden="1" customHeight="1">
      <c r="H5606" s="14"/>
      <c r="I5606" s="567"/>
      <c r="J5606" s="15"/>
    </row>
    <row r="5607" spans="8:10" ht="15.75" hidden="1" customHeight="1">
      <c r="H5607" s="14"/>
      <c r="I5607" s="567"/>
      <c r="J5607" s="15"/>
    </row>
    <row r="5608" spans="8:10" ht="15.75" hidden="1" customHeight="1">
      <c r="H5608" s="14"/>
      <c r="I5608" s="567"/>
      <c r="J5608" s="15"/>
    </row>
    <row r="5609" spans="8:10" ht="15.75" hidden="1" customHeight="1">
      <c r="H5609" s="14"/>
      <c r="I5609" s="567"/>
      <c r="J5609" s="15"/>
    </row>
    <row r="5610" spans="8:10" ht="15.75" hidden="1" customHeight="1">
      <c r="H5610" s="14"/>
      <c r="I5610" s="567"/>
      <c r="J5610" s="15"/>
    </row>
    <row r="5611" spans="8:10" ht="15.75" hidden="1" customHeight="1">
      <c r="H5611" s="14"/>
      <c r="I5611" s="567"/>
      <c r="J5611" s="15"/>
    </row>
    <row r="5612" spans="8:10" ht="15.75" hidden="1" customHeight="1">
      <c r="H5612" s="14"/>
      <c r="I5612" s="567"/>
      <c r="J5612" s="15"/>
    </row>
    <row r="5613" spans="8:10" ht="15.75" hidden="1" customHeight="1">
      <c r="H5613" s="14"/>
      <c r="I5613" s="567"/>
      <c r="J5613" s="15"/>
    </row>
    <row r="5614" spans="8:10" ht="15.75" hidden="1" customHeight="1">
      <c r="H5614" s="14"/>
      <c r="I5614" s="567"/>
      <c r="J5614" s="15"/>
    </row>
    <row r="5615" spans="8:10" ht="15.75" hidden="1" customHeight="1">
      <c r="H5615" s="14"/>
      <c r="I5615" s="567"/>
      <c r="J5615" s="15"/>
    </row>
    <row r="5616" spans="8:10" ht="15.75" hidden="1" customHeight="1">
      <c r="H5616" s="14"/>
      <c r="I5616" s="567"/>
      <c r="J5616" s="15"/>
    </row>
    <row r="5617" spans="8:10" ht="15.75" hidden="1" customHeight="1">
      <c r="H5617" s="14"/>
      <c r="I5617" s="567"/>
      <c r="J5617" s="15"/>
    </row>
    <row r="5618" spans="8:10" ht="15.75" hidden="1" customHeight="1">
      <c r="H5618" s="14"/>
      <c r="I5618" s="567"/>
      <c r="J5618" s="15"/>
    </row>
    <row r="5619" spans="8:10" ht="15.75" hidden="1" customHeight="1">
      <c r="H5619" s="14"/>
      <c r="I5619" s="567"/>
      <c r="J5619" s="15"/>
    </row>
    <row r="5620" spans="8:10" ht="15.75" hidden="1" customHeight="1">
      <c r="H5620" s="14"/>
      <c r="I5620" s="567"/>
      <c r="J5620" s="15"/>
    </row>
    <row r="5621" spans="8:10" ht="15.75" hidden="1" customHeight="1">
      <c r="H5621" s="14"/>
      <c r="I5621" s="567"/>
      <c r="J5621" s="15"/>
    </row>
    <row r="5622" spans="8:10" ht="15.75" hidden="1" customHeight="1">
      <c r="H5622" s="14"/>
      <c r="I5622" s="567"/>
      <c r="J5622" s="15"/>
    </row>
    <row r="5623" spans="8:10" ht="15.75" hidden="1" customHeight="1">
      <c r="H5623" s="14"/>
      <c r="I5623" s="567"/>
      <c r="J5623" s="15"/>
    </row>
    <row r="5624" spans="8:10" ht="15.75" hidden="1" customHeight="1">
      <c r="H5624" s="14"/>
      <c r="I5624" s="567"/>
      <c r="J5624" s="15"/>
    </row>
    <row r="5625" spans="8:10" ht="15.75" hidden="1" customHeight="1">
      <c r="H5625" s="14"/>
      <c r="I5625" s="567"/>
      <c r="J5625" s="15"/>
    </row>
    <row r="5626" spans="8:10" ht="15.75" hidden="1" customHeight="1">
      <c r="H5626" s="14"/>
      <c r="I5626" s="567"/>
      <c r="J5626" s="15"/>
    </row>
    <row r="5627" spans="8:10" ht="15.75" hidden="1" customHeight="1">
      <c r="H5627" s="14"/>
      <c r="I5627" s="567"/>
      <c r="J5627" s="15"/>
    </row>
    <row r="5628" spans="8:10" ht="15.75" hidden="1" customHeight="1">
      <c r="H5628" s="14"/>
      <c r="I5628" s="567"/>
      <c r="J5628" s="15"/>
    </row>
    <row r="5629" spans="8:10" ht="15.75" hidden="1" customHeight="1">
      <c r="H5629" s="14"/>
      <c r="I5629" s="567"/>
      <c r="J5629" s="15"/>
    </row>
    <row r="5630" spans="8:10" ht="15.75" hidden="1" customHeight="1">
      <c r="H5630" s="14"/>
      <c r="I5630" s="567"/>
      <c r="J5630" s="15"/>
    </row>
    <row r="5631" spans="8:10" ht="15.75" hidden="1" customHeight="1">
      <c r="H5631" s="14"/>
      <c r="I5631" s="567"/>
      <c r="J5631" s="15"/>
    </row>
    <row r="5632" spans="8:10" ht="15.75" hidden="1" customHeight="1">
      <c r="H5632" s="14"/>
      <c r="I5632" s="567"/>
      <c r="J5632" s="15"/>
    </row>
    <row r="5633" spans="8:10" ht="15.75" hidden="1" customHeight="1">
      <c r="H5633" s="14"/>
      <c r="I5633" s="567"/>
      <c r="J5633" s="15"/>
    </row>
    <row r="5634" spans="8:10" ht="15.75" hidden="1" customHeight="1">
      <c r="H5634" s="14"/>
      <c r="I5634" s="567"/>
      <c r="J5634" s="15"/>
    </row>
    <row r="5635" spans="8:10" ht="15.75" hidden="1" customHeight="1">
      <c r="H5635" s="14"/>
      <c r="I5635" s="567"/>
      <c r="J5635" s="15"/>
    </row>
    <row r="5636" spans="8:10" ht="15.75" hidden="1" customHeight="1">
      <c r="H5636" s="14"/>
      <c r="I5636" s="567"/>
      <c r="J5636" s="15"/>
    </row>
    <row r="5637" spans="8:10" ht="15.75" hidden="1" customHeight="1">
      <c r="H5637" s="14"/>
      <c r="I5637" s="567"/>
      <c r="J5637" s="15"/>
    </row>
    <row r="5638" spans="8:10" ht="15.75" hidden="1" customHeight="1">
      <c r="H5638" s="14"/>
      <c r="I5638" s="567"/>
      <c r="J5638" s="15"/>
    </row>
    <row r="5639" spans="8:10" ht="15.75" hidden="1" customHeight="1">
      <c r="H5639" s="14"/>
      <c r="I5639" s="567"/>
      <c r="J5639" s="15"/>
    </row>
    <row r="5640" spans="8:10" ht="15.75" hidden="1" customHeight="1">
      <c r="H5640" s="14"/>
      <c r="I5640" s="567"/>
      <c r="J5640" s="15"/>
    </row>
    <row r="5641" spans="8:10" ht="15.75" hidden="1" customHeight="1">
      <c r="H5641" s="14"/>
      <c r="I5641" s="567"/>
      <c r="J5641" s="15"/>
    </row>
    <row r="5642" spans="8:10" ht="15.75" hidden="1" customHeight="1">
      <c r="H5642" s="14"/>
      <c r="I5642" s="567"/>
      <c r="J5642" s="15"/>
    </row>
    <row r="5643" spans="8:10" ht="15.75" hidden="1" customHeight="1">
      <c r="H5643" s="14"/>
      <c r="I5643" s="567"/>
      <c r="J5643" s="15"/>
    </row>
    <row r="5644" spans="8:10" ht="15.75" hidden="1" customHeight="1">
      <c r="H5644" s="14"/>
      <c r="I5644" s="567"/>
      <c r="J5644" s="15"/>
    </row>
    <row r="5645" spans="8:10" ht="15.75" hidden="1" customHeight="1">
      <c r="H5645" s="14"/>
      <c r="I5645" s="567"/>
      <c r="J5645" s="15"/>
    </row>
    <row r="5646" spans="8:10" ht="15.75" hidden="1" customHeight="1">
      <c r="H5646" s="14"/>
      <c r="I5646" s="567"/>
      <c r="J5646" s="15"/>
    </row>
    <row r="5647" spans="8:10" ht="15.75" hidden="1" customHeight="1">
      <c r="H5647" s="14"/>
      <c r="I5647" s="567"/>
      <c r="J5647" s="15"/>
    </row>
    <row r="5648" spans="8:10" ht="15.75" hidden="1" customHeight="1">
      <c r="H5648" s="14"/>
      <c r="I5648" s="567"/>
      <c r="J5648" s="15"/>
    </row>
    <row r="5649" spans="8:10" ht="15.75" hidden="1" customHeight="1">
      <c r="H5649" s="14"/>
      <c r="I5649" s="567"/>
      <c r="J5649" s="15"/>
    </row>
    <row r="5650" spans="8:10" ht="15.75" hidden="1" customHeight="1">
      <c r="H5650" s="14"/>
      <c r="I5650" s="567"/>
      <c r="J5650" s="15"/>
    </row>
    <row r="5651" spans="8:10" ht="15.75" hidden="1" customHeight="1">
      <c r="H5651" s="14"/>
      <c r="I5651" s="567"/>
      <c r="J5651" s="15"/>
    </row>
    <row r="5652" spans="8:10" ht="15.75" hidden="1" customHeight="1">
      <c r="H5652" s="14"/>
      <c r="I5652" s="567"/>
      <c r="J5652" s="15"/>
    </row>
    <row r="5653" spans="8:10" ht="15.75" hidden="1" customHeight="1">
      <c r="H5653" s="14"/>
      <c r="I5653" s="567"/>
      <c r="J5653" s="15"/>
    </row>
    <row r="5654" spans="8:10" ht="15.75" hidden="1" customHeight="1">
      <c r="H5654" s="14"/>
      <c r="I5654" s="567"/>
      <c r="J5654" s="15"/>
    </row>
    <row r="5655" spans="8:10" ht="15.75" hidden="1" customHeight="1">
      <c r="H5655" s="14"/>
      <c r="I5655" s="567"/>
      <c r="J5655" s="15"/>
    </row>
    <row r="5656" spans="8:10" ht="15.75" hidden="1" customHeight="1">
      <c r="H5656" s="14"/>
      <c r="I5656" s="567"/>
      <c r="J5656" s="15"/>
    </row>
    <row r="5657" spans="8:10" ht="15.75" hidden="1" customHeight="1">
      <c r="H5657" s="14"/>
      <c r="I5657" s="567"/>
      <c r="J5657" s="15"/>
    </row>
    <row r="5658" spans="8:10" ht="15.75" hidden="1" customHeight="1">
      <c r="H5658" s="14"/>
      <c r="I5658" s="567"/>
      <c r="J5658" s="15"/>
    </row>
    <row r="5659" spans="8:10" ht="15.75" hidden="1" customHeight="1">
      <c r="H5659" s="14"/>
      <c r="I5659" s="567"/>
      <c r="J5659" s="15"/>
    </row>
    <row r="5660" spans="8:10" ht="15.75" hidden="1" customHeight="1">
      <c r="H5660" s="14"/>
      <c r="I5660" s="567"/>
      <c r="J5660" s="15"/>
    </row>
    <row r="5661" spans="8:10" ht="15.75" hidden="1" customHeight="1">
      <c r="H5661" s="14"/>
      <c r="I5661" s="567"/>
      <c r="J5661" s="15"/>
    </row>
    <row r="5662" spans="8:10" ht="15.75" hidden="1" customHeight="1">
      <c r="H5662" s="14"/>
      <c r="I5662" s="567"/>
      <c r="J5662" s="15"/>
    </row>
    <row r="5663" spans="8:10" ht="15.75" hidden="1" customHeight="1">
      <c r="H5663" s="14"/>
      <c r="I5663" s="567"/>
      <c r="J5663" s="15"/>
    </row>
    <row r="5664" spans="8:10" ht="15.75" hidden="1" customHeight="1">
      <c r="H5664" s="14"/>
      <c r="I5664" s="567"/>
      <c r="J5664" s="15"/>
    </row>
    <row r="5665" spans="8:10" ht="15.75" hidden="1" customHeight="1">
      <c r="H5665" s="14"/>
      <c r="I5665" s="567"/>
      <c r="J5665" s="15"/>
    </row>
    <row r="5666" spans="8:10" ht="15.75" hidden="1" customHeight="1">
      <c r="H5666" s="14"/>
      <c r="I5666" s="567"/>
      <c r="J5666" s="15"/>
    </row>
    <row r="5667" spans="8:10" ht="15.75" hidden="1" customHeight="1">
      <c r="H5667" s="14"/>
      <c r="I5667" s="567"/>
      <c r="J5667" s="15"/>
    </row>
    <row r="5668" spans="8:10" ht="15.75" hidden="1" customHeight="1">
      <c r="H5668" s="14"/>
      <c r="I5668" s="567"/>
      <c r="J5668" s="15"/>
    </row>
    <row r="5669" spans="8:10" ht="15.75" hidden="1" customHeight="1">
      <c r="H5669" s="14"/>
      <c r="I5669" s="567"/>
      <c r="J5669" s="15"/>
    </row>
    <row r="5670" spans="8:10" ht="15.75" hidden="1" customHeight="1">
      <c r="H5670" s="14"/>
      <c r="I5670" s="567"/>
      <c r="J5670" s="15"/>
    </row>
    <row r="5671" spans="8:10" ht="15.75" hidden="1" customHeight="1">
      <c r="H5671" s="14"/>
      <c r="I5671" s="567"/>
      <c r="J5671" s="15"/>
    </row>
    <row r="5672" spans="8:10" ht="15.75" hidden="1" customHeight="1">
      <c r="H5672" s="14"/>
      <c r="I5672" s="567"/>
      <c r="J5672" s="15"/>
    </row>
    <row r="5673" spans="8:10" ht="15.75" hidden="1" customHeight="1">
      <c r="H5673" s="14"/>
      <c r="I5673" s="567"/>
      <c r="J5673" s="15"/>
    </row>
    <row r="5674" spans="8:10" ht="15.75" hidden="1" customHeight="1">
      <c r="H5674" s="14"/>
      <c r="I5674" s="567"/>
      <c r="J5674" s="15"/>
    </row>
    <row r="5675" spans="8:10" ht="15.75" hidden="1" customHeight="1">
      <c r="H5675" s="14"/>
      <c r="I5675" s="567"/>
      <c r="J5675" s="15"/>
    </row>
    <row r="5676" spans="8:10" ht="15.75" hidden="1" customHeight="1">
      <c r="H5676" s="14"/>
      <c r="I5676" s="567"/>
      <c r="J5676" s="15"/>
    </row>
    <row r="5677" spans="8:10" ht="15.75" hidden="1" customHeight="1">
      <c r="H5677" s="14"/>
      <c r="I5677" s="567"/>
      <c r="J5677" s="15"/>
    </row>
    <row r="5678" spans="8:10" ht="15.75" hidden="1" customHeight="1">
      <c r="H5678" s="14"/>
      <c r="I5678" s="567"/>
      <c r="J5678" s="15"/>
    </row>
    <row r="5679" spans="8:10" ht="15.75" hidden="1" customHeight="1">
      <c r="H5679" s="14"/>
      <c r="I5679" s="567"/>
      <c r="J5679" s="15"/>
    </row>
    <row r="5680" spans="8:10" ht="15.75" hidden="1" customHeight="1">
      <c r="H5680" s="14"/>
      <c r="I5680" s="567"/>
      <c r="J5680" s="15"/>
    </row>
    <row r="5681" spans="8:10" ht="15.75" hidden="1" customHeight="1">
      <c r="H5681" s="14"/>
      <c r="I5681" s="567"/>
      <c r="J5681" s="15"/>
    </row>
    <row r="5682" spans="8:10" ht="15.75" hidden="1" customHeight="1">
      <c r="H5682" s="14"/>
      <c r="I5682" s="567"/>
      <c r="J5682" s="15"/>
    </row>
    <row r="5683" spans="8:10" ht="15.75" hidden="1" customHeight="1">
      <c r="H5683" s="14"/>
      <c r="I5683" s="567"/>
      <c r="J5683" s="15"/>
    </row>
    <row r="5684" spans="8:10" ht="15.75" hidden="1" customHeight="1">
      <c r="H5684" s="14"/>
      <c r="I5684" s="567"/>
      <c r="J5684" s="15"/>
    </row>
    <row r="5685" spans="8:10" ht="15.75" hidden="1" customHeight="1">
      <c r="H5685" s="14"/>
      <c r="I5685" s="567"/>
      <c r="J5685" s="15"/>
    </row>
    <row r="5686" spans="8:10" ht="15.75" hidden="1" customHeight="1">
      <c r="H5686" s="14"/>
      <c r="I5686" s="567"/>
      <c r="J5686" s="15"/>
    </row>
    <row r="5687" spans="8:10" ht="15.75" hidden="1" customHeight="1">
      <c r="H5687" s="14"/>
      <c r="I5687" s="567"/>
      <c r="J5687" s="15"/>
    </row>
    <row r="5688" spans="8:10" ht="15.75" hidden="1" customHeight="1">
      <c r="H5688" s="14"/>
      <c r="I5688" s="567"/>
      <c r="J5688" s="15"/>
    </row>
    <row r="5689" spans="8:10" ht="15.75" hidden="1" customHeight="1">
      <c r="H5689" s="14"/>
      <c r="I5689" s="567"/>
      <c r="J5689" s="15"/>
    </row>
    <row r="5690" spans="8:10" ht="15.75" hidden="1" customHeight="1">
      <c r="H5690" s="14"/>
      <c r="I5690" s="567"/>
      <c r="J5690" s="15"/>
    </row>
    <row r="5691" spans="8:10" ht="15.75" hidden="1" customHeight="1">
      <c r="H5691" s="14"/>
      <c r="I5691" s="567"/>
      <c r="J5691" s="15"/>
    </row>
    <row r="5692" spans="8:10" ht="15.75" hidden="1" customHeight="1">
      <c r="H5692" s="14"/>
      <c r="I5692" s="567"/>
      <c r="J5692" s="15"/>
    </row>
    <row r="5693" spans="8:10" ht="15.75" hidden="1" customHeight="1">
      <c r="H5693" s="14"/>
      <c r="I5693" s="567"/>
      <c r="J5693" s="15"/>
    </row>
    <row r="5694" spans="8:10" ht="15.75" hidden="1" customHeight="1">
      <c r="H5694" s="14"/>
      <c r="I5694" s="567"/>
      <c r="J5694" s="15"/>
    </row>
    <row r="5695" spans="8:10" ht="15.75" hidden="1" customHeight="1">
      <c r="H5695" s="14"/>
      <c r="I5695" s="567"/>
      <c r="J5695" s="15"/>
    </row>
    <row r="5696" spans="8:10" ht="15.75" hidden="1" customHeight="1">
      <c r="H5696" s="14"/>
      <c r="I5696" s="567"/>
      <c r="J5696" s="15"/>
    </row>
    <row r="5697" spans="8:10" ht="15.75" hidden="1" customHeight="1">
      <c r="H5697" s="14"/>
      <c r="I5697" s="567"/>
      <c r="J5697" s="15"/>
    </row>
    <row r="5698" spans="8:10" ht="15.75" hidden="1" customHeight="1">
      <c r="H5698" s="14"/>
      <c r="I5698" s="567"/>
      <c r="J5698" s="15"/>
    </row>
    <row r="5699" spans="8:10" ht="15.75" hidden="1" customHeight="1">
      <c r="H5699" s="14"/>
      <c r="I5699" s="567"/>
      <c r="J5699" s="15"/>
    </row>
    <row r="5700" spans="8:10" ht="15.75" hidden="1" customHeight="1">
      <c r="H5700" s="14"/>
      <c r="I5700" s="567"/>
      <c r="J5700" s="15"/>
    </row>
    <row r="5701" spans="8:10" ht="15.75" hidden="1" customHeight="1">
      <c r="H5701" s="14"/>
      <c r="I5701" s="567"/>
      <c r="J5701" s="15"/>
    </row>
    <row r="5702" spans="8:10" ht="15.75" hidden="1" customHeight="1">
      <c r="H5702" s="14"/>
      <c r="I5702" s="567"/>
      <c r="J5702" s="15"/>
    </row>
    <row r="5703" spans="8:10" ht="15.75" hidden="1" customHeight="1">
      <c r="H5703" s="14"/>
      <c r="I5703" s="567"/>
      <c r="J5703" s="15"/>
    </row>
    <row r="5704" spans="8:10" ht="15.75" hidden="1" customHeight="1">
      <c r="H5704" s="14"/>
      <c r="I5704" s="567"/>
      <c r="J5704" s="15"/>
    </row>
    <row r="5705" spans="8:10" ht="15.75" hidden="1" customHeight="1">
      <c r="H5705" s="14"/>
      <c r="I5705" s="567"/>
      <c r="J5705" s="15"/>
    </row>
    <row r="5706" spans="8:10" ht="15.75" hidden="1" customHeight="1">
      <c r="H5706" s="14"/>
      <c r="I5706" s="567"/>
      <c r="J5706" s="15"/>
    </row>
    <row r="5707" spans="8:10" ht="15.75" hidden="1" customHeight="1">
      <c r="H5707" s="14"/>
      <c r="I5707" s="567"/>
      <c r="J5707" s="15"/>
    </row>
    <row r="5708" spans="8:10" ht="15.75" hidden="1" customHeight="1">
      <c r="H5708" s="14"/>
      <c r="I5708" s="567"/>
      <c r="J5708" s="15"/>
    </row>
    <row r="5709" spans="8:10" ht="15.75" hidden="1" customHeight="1">
      <c r="H5709" s="14"/>
      <c r="I5709" s="567"/>
      <c r="J5709" s="15"/>
    </row>
    <row r="5710" spans="8:10" ht="15.75" hidden="1" customHeight="1">
      <c r="H5710" s="14"/>
      <c r="I5710" s="567"/>
      <c r="J5710" s="15"/>
    </row>
    <row r="5711" spans="8:10" ht="15.75" hidden="1" customHeight="1">
      <c r="H5711" s="14"/>
      <c r="I5711" s="567"/>
      <c r="J5711" s="15"/>
    </row>
    <row r="5712" spans="8:10" ht="15.75" hidden="1" customHeight="1">
      <c r="H5712" s="14"/>
      <c r="I5712" s="567"/>
      <c r="J5712" s="15"/>
    </row>
    <row r="5713" spans="8:10" ht="15.75" hidden="1" customHeight="1">
      <c r="H5713" s="14"/>
      <c r="I5713" s="567"/>
      <c r="J5713" s="15"/>
    </row>
    <row r="5714" spans="8:10" ht="15.75" hidden="1" customHeight="1">
      <c r="H5714" s="14"/>
      <c r="I5714" s="567"/>
      <c r="J5714" s="15"/>
    </row>
    <row r="5715" spans="8:10" ht="15.75" hidden="1" customHeight="1">
      <c r="H5715" s="14"/>
      <c r="I5715" s="567"/>
      <c r="J5715" s="15"/>
    </row>
    <row r="5716" spans="8:10" ht="15.75" hidden="1" customHeight="1">
      <c r="H5716" s="14"/>
      <c r="I5716" s="567"/>
      <c r="J5716" s="15"/>
    </row>
    <row r="5717" spans="8:10" ht="15.75" hidden="1" customHeight="1">
      <c r="H5717" s="14"/>
      <c r="I5717" s="567"/>
      <c r="J5717" s="15"/>
    </row>
    <row r="5718" spans="8:10" ht="15.75" hidden="1" customHeight="1">
      <c r="H5718" s="14"/>
      <c r="I5718" s="567"/>
      <c r="J5718" s="15"/>
    </row>
    <row r="5719" spans="8:10" ht="15.75" hidden="1" customHeight="1">
      <c r="H5719" s="14"/>
      <c r="I5719" s="567"/>
      <c r="J5719" s="15"/>
    </row>
    <row r="5720" spans="8:10" ht="15.75" hidden="1" customHeight="1">
      <c r="H5720" s="14"/>
      <c r="I5720" s="567"/>
      <c r="J5720" s="15"/>
    </row>
    <row r="5721" spans="8:10" ht="15.75" hidden="1" customHeight="1">
      <c r="H5721" s="14"/>
      <c r="I5721" s="567"/>
      <c r="J5721" s="15"/>
    </row>
    <row r="5722" spans="8:10" ht="15.75" hidden="1" customHeight="1">
      <c r="H5722" s="14"/>
      <c r="I5722" s="567"/>
      <c r="J5722" s="15"/>
    </row>
    <row r="5723" spans="8:10" ht="15.75" hidden="1" customHeight="1">
      <c r="H5723" s="14"/>
      <c r="I5723" s="567"/>
      <c r="J5723" s="15"/>
    </row>
    <row r="5724" spans="8:10" ht="15.75" hidden="1" customHeight="1">
      <c r="H5724" s="14"/>
      <c r="I5724" s="567"/>
      <c r="J5724" s="15"/>
    </row>
    <row r="5725" spans="8:10" ht="15.75" hidden="1" customHeight="1">
      <c r="H5725" s="14"/>
      <c r="I5725" s="567"/>
      <c r="J5725" s="15"/>
    </row>
    <row r="5726" spans="8:10" ht="15.75" hidden="1" customHeight="1">
      <c r="H5726" s="14"/>
      <c r="I5726" s="567"/>
      <c r="J5726" s="15"/>
    </row>
    <row r="5727" spans="8:10" ht="15.75" hidden="1" customHeight="1">
      <c r="H5727" s="14"/>
      <c r="I5727" s="567"/>
      <c r="J5727" s="15"/>
    </row>
    <row r="5728" spans="8:10" ht="15.75" hidden="1" customHeight="1">
      <c r="H5728" s="14"/>
      <c r="I5728" s="567"/>
      <c r="J5728" s="15"/>
    </row>
    <row r="5729" spans="8:10" ht="15.75" hidden="1" customHeight="1">
      <c r="H5729" s="14"/>
      <c r="I5729" s="567"/>
      <c r="J5729" s="15"/>
    </row>
    <row r="5730" spans="8:10" ht="15.75" hidden="1" customHeight="1">
      <c r="H5730" s="14"/>
      <c r="I5730" s="567"/>
      <c r="J5730" s="15"/>
    </row>
    <row r="5731" spans="8:10" ht="15.75" hidden="1" customHeight="1">
      <c r="H5731" s="14"/>
      <c r="I5731" s="567"/>
      <c r="J5731" s="15"/>
    </row>
    <row r="5732" spans="8:10" ht="15.75" hidden="1" customHeight="1">
      <c r="H5732" s="14"/>
      <c r="I5732" s="567"/>
      <c r="J5732" s="15"/>
    </row>
    <row r="5733" spans="8:10" ht="15.75" hidden="1" customHeight="1">
      <c r="H5733" s="14"/>
      <c r="I5733" s="567"/>
      <c r="J5733" s="15"/>
    </row>
    <row r="5734" spans="8:10" ht="15.75" hidden="1" customHeight="1">
      <c r="H5734" s="14"/>
      <c r="I5734" s="567"/>
      <c r="J5734" s="15"/>
    </row>
    <row r="5735" spans="8:10" ht="15.75" hidden="1" customHeight="1">
      <c r="H5735" s="14"/>
      <c r="I5735" s="567"/>
      <c r="J5735" s="15"/>
    </row>
    <row r="5736" spans="8:10" ht="15.75" hidden="1" customHeight="1">
      <c r="H5736" s="14"/>
      <c r="I5736" s="567"/>
      <c r="J5736" s="15"/>
    </row>
    <row r="5737" spans="8:10" ht="15.75" hidden="1" customHeight="1">
      <c r="H5737" s="14"/>
      <c r="I5737" s="567"/>
      <c r="J5737" s="15"/>
    </row>
    <row r="5738" spans="8:10" ht="15.75" hidden="1" customHeight="1">
      <c r="H5738" s="14"/>
      <c r="I5738" s="567"/>
      <c r="J5738" s="15"/>
    </row>
    <row r="5739" spans="8:10" ht="15.75" hidden="1" customHeight="1">
      <c r="H5739" s="14"/>
      <c r="I5739" s="567"/>
      <c r="J5739" s="15"/>
    </row>
    <row r="5740" spans="8:10" ht="15.75" hidden="1" customHeight="1">
      <c r="H5740" s="14"/>
      <c r="I5740" s="567"/>
      <c r="J5740" s="15"/>
    </row>
    <row r="5741" spans="8:10" ht="15.75" hidden="1" customHeight="1">
      <c r="H5741" s="14"/>
      <c r="I5741" s="567"/>
      <c r="J5741" s="15"/>
    </row>
    <row r="5742" spans="8:10" ht="15.75" hidden="1" customHeight="1">
      <c r="H5742" s="14"/>
      <c r="I5742" s="567"/>
      <c r="J5742" s="15"/>
    </row>
    <row r="5743" spans="8:10" ht="15.75" hidden="1" customHeight="1">
      <c r="H5743" s="14"/>
      <c r="I5743" s="567"/>
      <c r="J5743" s="15"/>
    </row>
    <row r="5744" spans="8:10" ht="15.75" hidden="1" customHeight="1">
      <c r="H5744" s="14"/>
      <c r="I5744" s="567"/>
      <c r="J5744" s="15"/>
    </row>
    <row r="5745" spans="8:10" ht="15.75" hidden="1" customHeight="1">
      <c r="H5745" s="14"/>
      <c r="I5745" s="567"/>
      <c r="J5745" s="15"/>
    </row>
    <row r="5746" spans="8:10" ht="15.75" hidden="1" customHeight="1">
      <c r="H5746" s="14"/>
      <c r="I5746" s="567"/>
      <c r="J5746" s="15"/>
    </row>
    <row r="5747" spans="8:10" ht="15.75" hidden="1" customHeight="1">
      <c r="H5747" s="14"/>
      <c r="I5747" s="567"/>
      <c r="J5747" s="15"/>
    </row>
    <row r="5748" spans="8:10" ht="15.75" hidden="1" customHeight="1">
      <c r="H5748" s="14"/>
      <c r="I5748" s="567"/>
      <c r="J5748" s="15"/>
    </row>
    <row r="5749" spans="8:10" ht="15.75" hidden="1" customHeight="1">
      <c r="H5749" s="14"/>
      <c r="I5749" s="567"/>
      <c r="J5749" s="15"/>
    </row>
    <row r="5750" spans="8:10" ht="15.75" hidden="1" customHeight="1">
      <c r="H5750" s="14"/>
      <c r="I5750" s="567"/>
      <c r="J5750" s="15"/>
    </row>
    <row r="5751" spans="8:10" ht="15.75" hidden="1" customHeight="1">
      <c r="H5751" s="14"/>
      <c r="I5751" s="567"/>
      <c r="J5751" s="15"/>
    </row>
    <row r="5752" spans="8:10" ht="15.75" hidden="1" customHeight="1">
      <c r="H5752" s="14"/>
      <c r="I5752" s="567"/>
      <c r="J5752" s="15"/>
    </row>
    <row r="5753" spans="8:10" ht="15.75" hidden="1" customHeight="1">
      <c r="H5753" s="14"/>
      <c r="I5753" s="567"/>
      <c r="J5753" s="15"/>
    </row>
    <row r="5754" spans="8:10" ht="15.75" hidden="1" customHeight="1">
      <c r="H5754" s="14"/>
      <c r="I5754" s="567"/>
      <c r="J5754" s="15"/>
    </row>
    <row r="5755" spans="8:10" ht="15.75" hidden="1" customHeight="1">
      <c r="H5755" s="14"/>
      <c r="I5755" s="567"/>
      <c r="J5755" s="15"/>
    </row>
    <row r="5756" spans="8:10" ht="15.75" hidden="1" customHeight="1">
      <c r="H5756" s="14"/>
      <c r="I5756" s="567"/>
      <c r="J5756" s="15"/>
    </row>
    <row r="5757" spans="8:10" ht="15.75" hidden="1" customHeight="1">
      <c r="H5757" s="14"/>
      <c r="I5757" s="567"/>
      <c r="J5757" s="15"/>
    </row>
    <row r="5758" spans="8:10" ht="15.75" hidden="1" customHeight="1">
      <c r="H5758" s="14"/>
      <c r="I5758" s="567"/>
      <c r="J5758" s="15"/>
    </row>
    <row r="5759" spans="8:10" ht="15.75" hidden="1" customHeight="1">
      <c r="H5759" s="14"/>
      <c r="I5759" s="567"/>
      <c r="J5759" s="15"/>
    </row>
    <row r="5760" spans="8:10" ht="15.75" hidden="1" customHeight="1">
      <c r="H5760" s="14"/>
      <c r="I5760" s="567"/>
      <c r="J5760" s="15"/>
    </row>
    <row r="5761" spans="8:10" ht="15.75" hidden="1" customHeight="1">
      <c r="H5761" s="14"/>
      <c r="I5761" s="567"/>
      <c r="J5761" s="15"/>
    </row>
    <row r="5762" spans="8:10" ht="15.75" hidden="1" customHeight="1">
      <c r="H5762" s="14"/>
      <c r="I5762" s="567"/>
      <c r="J5762" s="15"/>
    </row>
    <row r="5763" spans="8:10" ht="15.75" hidden="1" customHeight="1">
      <c r="H5763" s="14"/>
      <c r="I5763" s="567"/>
      <c r="J5763" s="15"/>
    </row>
    <row r="5764" spans="8:10" ht="15.75" hidden="1" customHeight="1">
      <c r="H5764" s="14"/>
      <c r="I5764" s="567"/>
      <c r="J5764" s="15"/>
    </row>
    <row r="5765" spans="8:10" ht="15.75" hidden="1" customHeight="1">
      <c r="H5765" s="14"/>
      <c r="I5765" s="567"/>
      <c r="J5765" s="15"/>
    </row>
    <row r="5766" spans="8:10" ht="15.75" hidden="1" customHeight="1">
      <c r="H5766" s="14"/>
      <c r="I5766" s="567"/>
      <c r="J5766" s="15"/>
    </row>
    <row r="5767" spans="8:10" ht="15.75" hidden="1" customHeight="1">
      <c r="H5767" s="14"/>
      <c r="I5767" s="567"/>
      <c r="J5767" s="15"/>
    </row>
    <row r="5768" spans="8:10" ht="15.75" hidden="1" customHeight="1">
      <c r="H5768" s="14"/>
      <c r="I5768" s="567"/>
      <c r="J5768" s="15"/>
    </row>
    <row r="5769" spans="8:10" ht="15.75" hidden="1" customHeight="1">
      <c r="H5769" s="14"/>
      <c r="I5769" s="567"/>
      <c r="J5769" s="15"/>
    </row>
    <row r="5770" spans="8:10" ht="15.75" hidden="1" customHeight="1">
      <c r="H5770" s="14"/>
      <c r="I5770" s="567"/>
      <c r="J5770" s="15"/>
    </row>
    <row r="5771" spans="8:10" ht="15.75" hidden="1" customHeight="1">
      <c r="H5771" s="14"/>
      <c r="I5771" s="567"/>
      <c r="J5771" s="15"/>
    </row>
    <row r="5772" spans="8:10" ht="15.75" hidden="1" customHeight="1">
      <c r="H5772" s="14"/>
      <c r="I5772" s="567"/>
      <c r="J5772" s="15"/>
    </row>
    <row r="5773" spans="8:10" ht="15.75" hidden="1" customHeight="1">
      <c r="H5773" s="14"/>
      <c r="I5773" s="567"/>
      <c r="J5773" s="15"/>
    </row>
    <row r="5774" spans="8:10" ht="15.75" hidden="1" customHeight="1">
      <c r="H5774" s="14"/>
      <c r="I5774" s="567"/>
      <c r="J5774" s="15"/>
    </row>
    <row r="5775" spans="8:10" ht="15.75" hidden="1" customHeight="1">
      <c r="H5775" s="14"/>
      <c r="I5775" s="567"/>
      <c r="J5775" s="15"/>
    </row>
    <row r="5776" spans="8:10" ht="15.75" hidden="1" customHeight="1">
      <c r="H5776" s="14"/>
      <c r="I5776" s="567"/>
      <c r="J5776" s="15"/>
    </row>
    <row r="5777" spans="8:10" ht="15.75" hidden="1" customHeight="1">
      <c r="H5777" s="14"/>
      <c r="I5777" s="567"/>
      <c r="J5777" s="15"/>
    </row>
    <row r="5778" spans="8:10" ht="15.75" hidden="1" customHeight="1">
      <c r="H5778" s="14"/>
      <c r="I5778" s="567"/>
      <c r="J5778" s="15"/>
    </row>
    <row r="5779" spans="8:10" ht="15.75" hidden="1" customHeight="1">
      <c r="H5779" s="14"/>
      <c r="I5779" s="567"/>
      <c r="J5779" s="15"/>
    </row>
    <row r="5780" spans="8:10" ht="15.75" hidden="1" customHeight="1">
      <c r="H5780" s="14"/>
      <c r="I5780" s="567"/>
      <c r="J5780" s="15"/>
    </row>
    <row r="5781" spans="8:10" ht="15.75" hidden="1" customHeight="1">
      <c r="H5781" s="14"/>
      <c r="I5781" s="567"/>
      <c r="J5781" s="15"/>
    </row>
    <row r="5782" spans="8:10" ht="15.75" hidden="1" customHeight="1">
      <c r="H5782" s="14"/>
      <c r="I5782" s="567"/>
      <c r="J5782" s="15"/>
    </row>
    <row r="5783" spans="8:10" ht="15.75" hidden="1" customHeight="1">
      <c r="H5783" s="14"/>
      <c r="I5783" s="567"/>
      <c r="J5783" s="15"/>
    </row>
    <row r="5784" spans="8:10" ht="15.75" hidden="1" customHeight="1">
      <c r="H5784" s="14"/>
      <c r="I5784" s="567"/>
      <c r="J5784" s="15"/>
    </row>
    <row r="5785" spans="8:10" ht="15.75" hidden="1" customHeight="1">
      <c r="H5785" s="14"/>
      <c r="I5785" s="567"/>
      <c r="J5785" s="15"/>
    </row>
    <row r="5786" spans="8:10" ht="15.75" hidden="1" customHeight="1">
      <c r="H5786" s="14"/>
      <c r="I5786" s="567"/>
      <c r="J5786" s="15"/>
    </row>
    <row r="5787" spans="8:10" ht="15.75" hidden="1" customHeight="1">
      <c r="H5787" s="14"/>
      <c r="I5787" s="567"/>
      <c r="J5787" s="15"/>
    </row>
    <row r="5788" spans="8:10" ht="15.75" hidden="1" customHeight="1">
      <c r="H5788" s="14"/>
      <c r="I5788" s="567"/>
      <c r="J5788" s="15"/>
    </row>
    <row r="5789" spans="8:10" ht="15.75" hidden="1" customHeight="1">
      <c r="H5789" s="14"/>
      <c r="I5789" s="567"/>
      <c r="J5789" s="15"/>
    </row>
    <row r="5790" spans="8:10" ht="15.75" hidden="1" customHeight="1">
      <c r="H5790" s="14"/>
      <c r="I5790" s="567"/>
      <c r="J5790" s="15"/>
    </row>
    <row r="5791" spans="8:10" ht="15.75" hidden="1" customHeight="1">
      <c r="H5791" s="14"/>
      <c r="I5791" s="567"/>
      <c r="J5791" s="15"/>
    </row>
    <row r="5792" spans="8:10" ht="15.75" hidden="1" customHeight="1">
      <c r="H5792" s="14"/>
      <c r="I5792" s="567"/>
      <c r="J5792" s="15"/>
    </row>
    <row r="5793" spans="8:10" ht="15.75" hidden="1" customHeight="1">
      <c r="H5793" s="14"/>
      <c r="I5793" s="567"/>
      <c r="J5793" s="15"/>
    </row>
    <row r="5794" spans="8:10" ht="15.75" hidden="1" customHeight="1">
      <c r="H5794" s="14"/>
      <c r="I5794" s="567"/>
      <c r="J5794" s="15"/>
    </row>
    <row r="5795" spans="8:10" ht="15.75" hidden="1" customHeight="1">
      <c r="H5795" s="14"/>
      <c r="I5795" s="567"/>
      <c r="J5795" s="15"/>
    </row>
    <row r="5796" spans="8:10" ht="15.75" hidden="1" customHeight="1">
      <c r="H5796" s="14"/>
      <c r="I5796" s="567"/>
      <c r="J5796" s="15"/>
    </row>
    <row r="5797" spans="8:10" ht="15.75" hidden="1" customHeight="1">
      <c r="H5797" s="14"/>
      <c r="I5797" s="567"/>
      <c r="J5797" s="15"/>
    </row>
    <row r="5798" spans="8:10" ht="15.75" hidden="1" customHeight="1">
      <c r="H5798" s="14"/>
      <c r="I5798" s="567"/>
      <c r="J5798" s="15"/>
    </row>
    <row r="5799" spans="8:10" ht="15.75" hidden="1" customHeight="1">
      <c r="H5799" s="14"/>
      <c r="I5799" s="567"/>
      <c r="J5799" s="15"/>
    </row>
    <row r="5800" spans="8:10" ht="15.75" hidden="1" customHeight="1">
      <c r="H5800" s="14"/>
      <c r="I5800" s="567"/>
      <c r="J5800" s="15"/>
    </row>
    <row r="5801" spans="8:10" ht="15.75" hidden="1" customHeight="1">
      <c r="H5801" s="14"/>
      <c r="I5801" s="567"/>
      <c r="J5801" s="15"/>
    </row>
    <row r="5802" spans="8:10" ht="15.75" hidden="1" customHeight="1">
      <c r="H5802" s="14"/>
      <c r="I5802" s="567"/>
      <c r="J5802" s="15"/>
    </row>
    <row r="5803" spans="8:10" ht="15.75" hidden="1" customHeight="1">
      <c r="H5803" s="14"/>
      <c r="I5803" s="567"/>
      <c r="J5803" s="15"/>
    </row>
    <row r="5804" spans="8:10" ht="15.75" hidden="1" customHeight="1">
      <c r="H5804" s="14"/>
      <c r="I5804" s="567"/>
      <c r="J5804" s="15"/>
    </row>
    <row r="5805" spans="8:10" ht="15.75" hidden="1" customHeight="1">
      <c r="H5805" s="14"/>
      <c r="I5805" s="567"/>
      <c r="J5805" s="15"/>
    </row>
    <row r="5806" spans="8:10" ht="15.75" hidden="1" customHeight="1">
      <c r="H5806" s="14"/>
      <c r="I5806" s="567"/>
      <c r="J5806" s="15"/>
    </row>
    <row r="5807" spans="8:10" ht="15.75" hidden="1" customHeight="1">
      <c r="H5807" s="14"/>
      <c r="I5807" s="567"/>
      <c r="J5807" s="15"/>
    </row>
    <row r="5808" spans="8:10" ht="15.75" hidden="1" customHeight="1">
      <c r="H5808" s="14"/>
      <c r="I5808" s="567"/>
      <c r="J5808" s="15"/>
    </row>
    <row r="5809" spans="8:10" ht="15.75" hidden="1" customHeight="1">
      <c r="H5809" s="14"/>
      <c r="I5809" s="567"/>
      <c r="J5809" s="15"/>
    </row>
    <row r="5810" spans="8:10" ht="15.75" hidden="1" customHeight="1">
      <c r="H5810" s="14"/>
      <c r="I5810" s="567"/>
      <c r="J5810" s="15"/>
    </row>
    <row r="5811" spans="8:10" ht="15.75" hidden="1" customHeight="1">
      <c r="H5811" s="14"/>
      <c r="I5811" s="567"/>
      <c r="J5811" s="15"/>
    </row>
    <row r="5812" spans="8:10" ht="15.75" hidden="1" customHeight="1">
      <c r="H5812" s="14"/>
      <c r="I5812" s="567"/>
      <c r="J5812" s="15"/>
    </row>
    <row r="5813" spans="8:10" ht="15.75" hidden="1" customHeight="1">
      <c r="H5813" s="14"/>
      <c r="I5813" s="567"/>
      <c r="J5813" s="15"/>
    </row>
    <row r="5814" spans="8:10" ht="15.75" hidden="1" customHeight="1">
      <c r="H5814" s="14"/>
      <c r="I5814" s="567"/>
      <c r="J5814" s="15"/>
    </row>
    <row r="5815" spans="8:10" ht="15.75" hidden="1" customHeight="1">
      <c r="H5815" s="14"/>
      <c r="I5815" s="567"/>
      <c r="J5815" s="15"/>
    </row>
    <row r="5816" spans="8:10" ht="15.75" hidden="1" customHeight="1">
      <c r="H5816" s="14"/>
      <c r="I5816" s="567"/>
      <c r="J5816" s="15"/>
    </row>
    <row r="5817" spans="8:10" ht="15.75" hidden="1" customHeight="1">
      <c r="H5817" s="14"/>
      <c r="I5817" s="567"/>
      <c r="J5817" s="15"/>
    </row>
    <row r="5818" spans="8:10" ht="15.75" hidden="1" customHeight="1">
      <c r="H5818" s="14"/>
      <c r="I5818" s="567"/>
      <c r="J5818" s="15"/>
    </row>
    <row r="5819" spans="8:10" ht="15.75" hidden="1" customHeight="1">
      <c r="H5819" s="14"/>
      <c r="I5819" s="567"/>
      <c r="J5819" s="15"/>
    </row>
    <row r="5820" spans="8:10" ht="15.75" hidden="1" customHeight="1">
      <c r="H5820" s="14"/>
      <c r="I5820" s="567"/>
      <c r="J5820" s="15"/>
    </row>
    <row r="5821" spans="8:10" ht="15.75" hidden="1" customHeight="1">
      <c r="H5821" s="14"/>
      <c r="I5821" s="567"/>
      <c r="J5821" s="15"/>
    </row>
    <row r="5822" spans="8:10" ht="15.75" hidden="1" customHeight="1">
      <c r="H5822" s="14"/>
      <c r="I5822" s="567"/>
      <c r="J5822" s="15"/>
    </row>
    <row r="5823" spans="8:10" ht="15.75" hidden="1" customHeight="1">
      <c r="H5823" s="14"/>
      <c r="I5823" s="567"/>
      <c r="J5823" s="15"/>
    </row>
    <row r="5824" spans="8:10" ht="15.75" hidden="1" customHeight="1">
      <c r="H5824" s="14"/>
      <c r="I5824" s="567"/>
      <c r="J5824" s="15"/>
    </row>
    <row r="5825" spans="8:10" ht="15.75" hidden="1" customHeight="1">
      <c r="H5825" s="14"/>
      <c r="I5825" s="567"/>
      <c r="J5825" s="15"/>
    </row>
    <row r="5826" spans="8:10" ht="15.75" hidden="1" customHeight="1">
      <c r="H5826" s="14"/>
      <c r="I5826" s="567"/>
      <c r="J5826" s="15"/>
    </row>
    <row r="5827" spans="8:10" ht="15.75" hidden="1" customHeight="1">
      <c r="H5827" s="14"/>
      <c r="I5827" s="567"/>
      <c r="J5827" s="15"/>
    </row>
    <row r="5828" spans="8:10" ht="15.75" hidden="1" customHeight="1">
      <c r="H5828" s="14"/>
      <c r="I5828" s="567"/>
      <c r="J5828" s="15"/>
    </row>
    <row r="5829" spans="8:10" ht="15.75" hidden="1" customHeight="1">
      <c r="H5829" s="14"/>
      <c r="I5829" s="567"/>
      <c r="J5829" s="15"/>
    </row>
    <row r="5830" spans="8:10" ht="15.75" hidden="1" customHeight="1">
      <c r="H5830" s="14"/>
      <c r="I5830" s="567"/>
      <c r="J5830" s="15"/>
    </row>
    <row r="5831" spans="8:10" ht="15.75" hidden="1" customHeight="1">
      <c r="H5831" s="14"/>
      <c r="I5831" s="567"/>
      <c r="J5831" s="15"/>
    </row>
    <row r="5832" spans="8:10" ht="15.75" hidden="1" customHeight="1">
      <c r="H5832" s="14"/>
      <c r="I5832" s="567"/>
      <c r="J5832" s="15"/>
    </row>
    <row r="5833" spans="8:10" ht="15.75" hidden="1" customHeight="1">
      <c r="H5833" s="14"/>
      <c r="I5833" s="567"/>
      <c r="J5833" s="15"/>
    </row>
    <row r="5834" spans="8:10" ht="15.75" hidden="1" customHeight="1">
      <c r="H5834" s="14"/>
      <c r="I5834" s="567"/>
      <c r="J5834" s="15"/>
    </row>
    <row r="5835" spans="8:10" ht="15.75" hidden="1" customHeight="1">
      <c r="H5835" s="14"/>
      <c r="I5835" s="567"/>
      <c r="J5835" s="15"/>
    </row>
    <row r="5836" spans="8:10" ht="15.75" hidden="1" customHeight="1">
      <c r="H5836" s="14"/>
      <c r="I5836" s="567"/>
      <c r="J5836" s="15"/>
    </row>
    <row r="5837" spans="8:10" ht="15.75" hidden="1" customHeight="1">
      <c r="H5837" s="14"/>
      <c r="I5837" s="567"/>
      <c r="J5837" s="15"/>
    </row>
    <row r="5838" spans="8:10" ht="15.75" hidden="1" customHeight="1">
      <c r="H5838" s="14"/>
      <c r="I5838" s="567"/>
      <c r="J5838" s="15"/>
    </row>
    <row r="5839" spans="8:10" ht="15.75" hidden="1" customHeight="1">
      <c r="H5839" s="14"/>
      <c r="I5839" s="567"/>
      <c r="J5839" s="15"/>
    </row>
    <row r="5840" spans="8:10" ht="15.75" hidden="1" customHeight="1">
      <c r="H5840" s="14"/>
      <c r="I5840" s="567"/>
      <c r="J5840" s="15"/>
    </row>
    <row r="5841" spans="8:10" ht="15.75" hidden="1" customHeight="1">
      <c r="H5841" s="14"/>
      <c r="I5841" s="567"/>
      <c r="J5841" s="15"/>
    </row>
    <row r="5842" spans="8:10" ht="15.75" hidden="1" customHeight="1">
      <c r="H5842" s="14"/>
      <c r="I5842" s="567"/>
      <c r="J5842" s="15"/>
    </row>
    <row r="5843" spans="8:10" ht="15.75" hidden="1" customHeight="1">
      <c r="H5843" s="14"/>
      <c r="I5843" s="567"/>
      <c r="J5843" s="15"/>
    </row>
    <row r="5844" spans="8:10" ht="15.75" hidden="1" customHeight="1">
      <c r="H5844" s="14"/>
      <c r="I5844" s="567"/>
      <c r="J5844" s="15"/>
    </row>
    <row r="5845" spans="8:10" ht="15.75" hidden="1" customHeight="1">
      <c r="H5845" s="14"/>
      <c r="I5845" s="567"/>
      <c r="J5845" s="15"/>
    </row>
    <row r="5846" spans="8:10" ht="15.75" hidden="1" customHeight="1">
      <c r="H5846" s="14"/>
      <c r="I5846" s="567"/>
      <c r="J5846" s="15"/>
    </row>
    <row r="5847" spans="8:10" ht="15.75" hidden="1" customHeight="1">
      <c r="H5847" s="14"/>
      <c r="I5847" s="567"/>
      <c r="J5847" s="15"/>
    </row>
    <row r="5848" spans="8:10" ht="15.75" hidden="1" customHeight="1">
      <c r="H5848" s="14"/>
      <c r="I5848" s="567"/>
      <c r="J5848" s="15"/>
    </row>
    <row r="5849" spans="8:10" ht="15.75" hidden="1" customHeight="1">
      <c r="H5849" s="14"/>
      <c r="I5849" s="567"/>
      <c r="J5849" s="15"/>
    </row>
    <row r="5850" spans="8:10" ht="15.75" hidden="1" customHeight="1">
      <c r="H5850" s="14"/>
      <c r="I5850" s="567"/>
      <c r="J5850" s="15"/>
    </row>
    <row r="5851" spans="8:10" ht="15.75" hidden="1" customHeight="1">
      <c r="H5851" s="14"/>
      <c r="I5851" s="567"/>
      <c r="J5851" s="15"/>
    </row>
    <row r="5852" spans="8:10" ht="15.75" hidden="1" customHeight="1">
      <c r="H5852" s="14"/>
      <c r="I5852" s="567"/>
      <c r="J5852" s="15"/>
    </row>
    <row r="5853" spans="8:10" ht="15.75" hidden="1" customHeight="1">
      <c r="H5853" s="14"/>
      <c r="I5853" s="567"/>
      <c r="J5853" s="15"/>
    </row>
    <row r="5854" spans="8:10" ht="15.75" hidden="1" customHeight="1">
      <c r="H5854" s="14"/>
      <c r="I5854" s="567"/>
      <c r="J5854" s="15"/>
    </row>
    <row r="5855" spans="8:10" ht="15.75" hidden="1" customHeight="1">
      <c r="H5855" s="14"/>
      <c r="I5855" s="567"/>
      <c r="J5855" s="15"/>
    </row>
    <row r="5856" spans="8:10" ht="15.75" hidden="1" customHeight="1">
      <c r="H5856" s="14"/>
      <c r="I5856" s="567"/>
      <c r="J5856" s="15"/>
    </row>
    <row r="5857" spans="8:10" ht="15.75" hidden="1" customHeight="1">
      <c r="H5857" s="14"/>
      <c r="I5857" s="567"/>
      <c r="J5857" s="15"/>
    </row>
    <row r="5858" spans="8:10" ht="15.75" hidden="1" customHeight="1">
      <c r="H5858" s="14"/>
      <c r="I5858" s="567"/>
      <c r="J5858" s="15"/>
    </row>
    <row r="5859" spans="8:10" ht="15.75" hidden="1" customHeight="1">
      <c r="H5859" s="14"/>
      <c r="I5859" s="567"/>
      <c r="J5859" s="15"/>
    </row>
    <row r="5860" spans="8:10" ht="15.75" hidden="1" customHeight="1">
      <c r="H5860" s="14"/>
      <c r="I5860" s="567"/>
      <c r="J5860" s="15"/>
    </row>
    <row r="5861" spans="8:10" ht="15.75" hidden="1" customHeight="1">
      <c r="H5861" s="14"/>
      <c r="I5861" s="567"/>
      <c r="J5861" s="15"/>
    </row>
    <row r="5862" spans="8:10" ht="15.75" hidden="1" customHeight="1">
      <c r="H5862" s="14"/>
      <c r="I5862" s="567"/>
      <c r="J5862" s="15"/>
    </row>
    <row r="5863" spans="8:10" ht="15.75" hidden="1" customHeight="1">
      <c r="H5863" s="14"/>
      <c r="I5863" s="567"/>
      <c r="J5863" s="15"/>
    </row>
    <row r="5864" spans="8:10" ht="15.75" hidden="1" customHeight="1">
      <c r="H5864" s="14"/>
      <c r="I5864" s="567"/>
      <c r="J5864" s="15"/>
    </row>
    <row r="5865" spans="8:10" ht="15.75" hidden="1" customHeight="1">
      <c r="H5865" s="14"/>
      <c r="I5865" s="567"/>
      <c r="J5865" s="15"/>
    </row>
    <row r="5866" spans="8:10" ht="15.75" hidden="1" customHeight="1">
      <c r="H5866" s="14"/>
      <c r="I5866" s="567"/>
      <c r="J5866" s="15"/>
    </row>
    <row r="5867" spans="8:10" ht="15.75" hidden="1" customHeight="1">
      <c r="H5867" s="14"/>
      <c r="I5867" s="567"/>
      <c r="J5867" s="15"/>
    </row>
    <row r="5868" spans="8:10" ht="15.75" hidden="1" customHeight="1">
      <c r="H5868" s="14"/>
      <c r="I5868" s="567"/>
      <c r="J5868" s="15"/>
    </row>
    <row r="5869" spans="8:10" ht="15.75" hidden="1" customHeight="1">
      <c r="H5869" s="14"/>
      <c r="I5869" s="567"/>
      <c r="J5869" s="15"/>
    </row>
    <row r="5870" spans="8:10" ht="15.75" hidden="1" customHeight="1">
      <c r="H5870" s="14"/>
      <c r="I5870" s="567"/>
      <c r="J5870" s="15"/>
    </row>
    <row r="5871" spans="8:10" ht="15.75" hidden="1" customHeight="1">
      <c r="H5871" s="14"/>
      <c r="I5871" s="567"/>
      <c r="J5871" s="15"/>
    </row>
    <row r="5872" spans="8:10" ht="15.75" hidden="1" customHeight="1">
      <c r="H5872" s="14"/>
      <c r="I5872" s="567"/>
      <c r="J5872" s="15"/>
    </row>
    <row r="5873" spans="8:10" ht="15.75" hidden="1" customHeight="1">
      <c r="H5873" s="14"/>
      <c r="I5873" s="567"/>
      <c r="J5873" s="15"/>
    </row>
    <row r="5874" spans="8:10" ht="15.75" hidden="1" customHeight="1">
      <c r="H5874" s="14"/>
      <c r="I5874" s="567"/>
      <c r="J5874" s="15"/>
    </row>
    <row r="5875" spans="8:10" ht="15.75" hidden="1" customHeight="1">
      <c r="H5875" s="14"/>
      <c r="I5875" s="567"/>
      <c r="J5875" s="15"/>
    </row>
    <row r="5876" spans="8:10" ht="15.75" hidden="1" customHeight="1">
      <c r="H5876" s="14"/>
      <c r="I5876" s="567"/>
      <c r="J5876" s="15"/>
    </row>
    <row r="5877" spans="8:10" ht="15.75" hidden="1" customHeight="1">
      <c r="H5877" s="14"/>
      <c r="I5877" s="567"/>
      <c r="J5877" s="15"/>
    </row>
    <row r="5878" spans="8:10" ht="15.75" hidden="1" customHeight="1">
      <c r="H5878" s="14"/>
      <c r="I5878" s="567"/>
      <c r="J5878" s="15"/>
    </row>
    <row r="5879" spans="8:10" ht="15.75" hidden="1" customHeight="1">
      <c r="H5879" s="14"/>
      <c r="I5879" s="567"/>
      <c r="J5879" s="15"/>
    </row>
    <row r="5880" spans="8:10" ht="15.75" hidden="1" customHeight="1">
      <c r="H5880" s="14"/>
      <c r="I5880" s="567"/>
      <c r="J5880" s="15"/>
    </row>
    <row r="5881" spans="8:10" ht="15.75" hidden="1" customHeight="1">
      <c r="H5881" s="14"/>
      <c r="I5881" s="567"/>
      <c r="J5881" s="15"/>
    </row>
    <row r="5882" spans="8:10" ht="15.75" hidden="1" customHeight="1">
      <c r="H5882" s="14"/>
      <c r="I5882" s="567"/>
      <c r="J5882" s="15"/>
    </row>
    <row r="5883" spans="8:10" ht="15.75" hidden="1" customHeight="1">
      <c r="H5883" s="14"/>
      <c r="I5883" s="567"/>
      <c r="J5883" s="15"/>
    </row>
    <row r="5884" spans="8:10" ht="15.75" hidden="1" customHeight="1">
      <c r="H5884" s="14"/>
      <c r="I5884" s="567"/>
      <c r="J5884" s="15"/>
    </row>
    <row r="5885" spans="8:10" ht="15.75" hidden="1" customHeight="1">
      <c r="H5885" s="14"/>
      <c r="I5885" s="567"/>
      <c r="J5885" s="15"/>
    </row>
    <row r="5886" spans="8:10" ht="15.75" hidden="1" customHeight="1">
      <c r="H5886" s="14"/>
      <c r="I5886" s="567"/>
      <c r="J5886" s="15"/>
    </row>
    <row r="5887" spans="8:10" ht="15.75" hidden="1" customHeight="1">
      <c r="H5887" s="14"/>
      <c r="I5887" s="567"/>
      <c r="J5887" s="15"/>
    </row>
    <row r="5888" spans="8:10" ht="15.75" hidden="1" customHeight="1">
      <c r="H5888" s="14"/>
      <c r="I5888" s="567"/>
      <c r="J5888" s="15"/>
    </row>
    <row r="5889" spans="8:10" ht="15.75" hidden="1" customHeight="1">
      <c r="H5889" s="14"/>
      <c r="I5889" s="567"/>
      <c r="J5889" s="15"/>
    </row>
    <row r="5890" spans="8:10" ht="15.75" hidden="1" customHeight="1">
      <c r="H5890" s="14"/>
      <c r="I5890" s="567"/>
      <c r="J5890" s="15"/>
    </row>
    <row r="5891" spans="8:10" ht="15.75" hidden="1" customHeight="1">
      <c r="H5891" s="14"/>
      <c r="I5891" s="567"/>
      <c r="J5891" s="15"/>
    </row>
    <row r="5892" spans="8:10" ht="15.75" hidden="1" customHeight="1">
      <c r="H5892" s="14"/>
      <c r="I5892" s="567"/>
      <c r="J5892" s="15"/>
    </row>
    <row r="5893" spans="8:10" ht="15.75" hidden="1" customHeight="1">
      <c r="H5893" s="14"/>
      <c r="I5893" s="567"/>
      <c r="J5893" s="15"/>
    </row>
    <row r="5894" spans="8:10" ht="15.75" hidden="1" customHeight="1">
      <c r="H5894" s="14"/>
      <c r="I5894" s="567"/>
      <c r="J5894" s="15"/>
    </row>
    <row r="5895" spans="8:10" ht="15.75" hidden="1" customHeight="1">
      <c r="H5895" s="14"/>
      <c r="I5895" s="567"/>
      <c r="J5895" s="15"/>
    </row>
    <row r="5896" spans="8:10" ht="15.75" hidden="1" customHeight="1">
      <c r="H5896" s="14"/>
      <c r="I5896" s="567"/>
      <c r="J5896" s="15"/>
    </row>
    <row r="5897" spans="8:10" ht="15.75" hidden="1" customHeight="1">
      <c r="H5897" s="14"/>
      <c r="I5897" s="567"/>
      <c r="J5897" s="15"/>
    </row>
    <row r="5898" spans="8:10" ht="15.75" hidden="1" customHeight="1">
      <c r="H5898" s="14"/>
      <c r="I5898" s="567"/>
      <c r="J5898" s="15"/>
    </row>
    <row r="5899" spans="8:10" ht="15.75" hidden="1" customHeight="1">
      <c r="H5899" s="14"/>
      <c r="I5899" s="567"/>
      <c r="J5899" s="15"/>
    </row>
    <row r="5900" spans="8:10" ht="15.75" hidden="1" customHeight="1">
      <c r="H5900" s="14"/>
      <c r="I5900" s="567"/>
      <c r="J5900" s="15"/>
    </row>
    <row r="5901" spans="8:10" ht="15.75" hidden="1" customHeight="1">
      <c r="H5901" s="14"/>
      <c r="I5901" s="567"/>
      <c r="J5901" s="15"/>
    </row>
    <row r="5902" spans="8:10" ht="15.75" hidden="1" customHeight="1">
      <c r="H5902" s="14"/>
      <c r="I5902" s="567"/>
      <c r="J5902" s="15"/>
    </row>
    <row r="5903" spans="8:10" ht="15.75" hidden="1" customHeight="1">
      <c r="H5903" s="14"/>
      <c r="I5903" s="567"/>
      <c r="J5903" s="15"/>
    </row>
    <row r="5904" spans="8:10" ht="15.75" hidden="1" customHeight="1">
      <c r="H5904" s="14"/>
      <c r="I5904" s="567"/>
      <c r="J5904" s="15"/>
    </row>
    <row r="5905" spans="8:10" ht="15.75" hidden="1" customHeight="1">
      <c r="H5905" s="14"/>
      <c r="I5905" s="567"/>
      <c r="J5905" s="15"/>
    </row>
    <row r="5906" spans="8:10" ht="15.75" hidden="1" customHeight="1">
      <c r="H5906" s="14"/>
      <c r="I5906" s="567"/>
      <c r="J5906" s="15"/>
    </row>
    <row r="5907" spans="8:10" ht="15.75" hidden="1" customHeight="1">
      <c r="H5907" s="14"/>
      <c r="I5907" s="567"/>
      <c r="J5907" s="15"/>
    </row>
    <row r="5908" spans="8:10" ht="15.75" hidden="1" customHeight="1">
      <c r="H5908" s="14"/>
      <c r="I5908" s="567"/>
      <c r="J5908" s="15"/>
    </row>
    <row r="5909" spans="8:10" ht="15.75" hidden="1" customHeight="1">
      <c r="H5909" s="14"/>
      <c r="I5909" s="567"/>
      <c r="J5909" s="15"/>
    </row>
    <row r="5910" spans="8:10" ht="15.75" hidden="1" customHeight="1">
      <c r="H5910" s="14"/>
      <c r="I5910" s="567"/>
      <c r="J5910" s="15"/>
    </row>
    <row r="5911" spans="8:10" ht="15.75" hidden="1" customHeight="1">
      <c r="H5911" s="14"/>
      <c r="I5911" s="567"/>
      <c r="J5911" s="15"/>
    </row>
    <row r="5912" spans="8:10" ht="15.75" hidden="1" customHeight="1">
      <c r="H5912" s="14"/>
      <c r="I5912" s="567"/>
      <c r="J5912" s="15"/>
    </row>
    <row r="5913" spans="8:10" ht="15.75" hidden="1" customHeight="1">
      <c r="H5913" s="14"/>
      <c r="I5913" s="567"/>
      <c r="J5913" s="15"/>
    </row>
    <row r="5914" spans="8:10" ht="15.75" hidden="1" customHeight="1">
      <c r="H5914" s="14"/>
      <c r="I5914" s="567"/>
      <c r="J5914" s="15"/>
    </row>
    <row r="5915" spans="8:10" ht="15.75" hidden="1" customHeight="1">
      <c r="H5915" s="14"/>
      <c r="I5915" s="567"/>
      <c r="J5915" s="15"/>
    </row>
    <row r="5916" spans="8:10" ht="15.75" hidden="1" customHeight="1">
      <c r="H5916" s="14"/>
      <c r="I5916" s="567"/>
      <c r="J5916" s="15"/>
    </row>
    <row r="5917" spans="8:10" ht="15.75" hidden="1" customHeight="1">
      <c r="H5917" s="14"/>
      <c r="I5917" s="567"/>
      <c r="J5917" s="15"/>
    </row>
    <row r="5918" spans="8:10" ht="15.75" hidden="1" customHeight="1">
      <c r="H5918" s="14"/>
      <c r="I5918" s="567"/>
      <c r="J5918" s="15"/>
    </row>
    <row r="5919" spans="8:10" ht="15.75" hidden="1" customHeight="1">
      <c r="H5919" s="14"/>
      <c r="I5919" s="567"/>
      <c r="J5919" s="15"/>
    </row>
    <row r="5920" spans="8:10" ht="15.75" hidden="1" customHeight="1">
      <c r="H5920" s="14"/>
      <c r="I5920" s="567"/>
      <c r="J5920" s="15"/>
    </row>
    <row r="5921" spans="8:10" ht="15.75" hidden="1" customHeight="1">
      <c r="H5921" s="14"/>
      <c r="I5921" s="567"/>
      <c r="J5921" s="15"/>
    </row>
    <row r="5922" spans="8:10" ht="15.75" hidden="1" customHeight="1">
      <c r="H5922" s="14"/>
      <c r="I5922" s="567"/>
      <c r="J5922" s="15"/>
    </row>
    <row r="5923" spans="8:10" ht="15.75" hidden="1" customHeight="1">
      <c r="H5923" s="14"/>
      <c r="I5923" s="567"/>
      <c r="J5923" s="15"/>
    </row>
    <row r="5924" spans="8:10" ht="15.75" hidden="1" customHeight="1">
      <c r="H5924" s="14"/>
      <c r="I5924" s="567"/>
      <c r="J5924" s="15"/>
    </row>
    <row r="5925" spans="8:10" ht="15.75" hidden="1" customHeight="1">
      <c r="H5925" s="14"/>
      <c r="I5925" s="567"/>
      <c r="J5925" s="15"/>
    </row>
    <row r="5926" spans="8:10" ht="15.75" hidden="1" customHeight="1">
      <c r="H5926" s="14"/>
      <c r="I5926" s="567"/>
      <c r="J5926" s="15"/>
    </row>
    <row r="5927" spans="8:10" ht="15.75" hidden="1" customHeight="1">
      <c r="H5927" s="14"/>
      <c r="I5927" s="567"/>
      <c r="J5927" s="15"/>
    </row>
    <row r="5928" spans="8:10" ht="15.75" hidden="1" customHeight="1">
      <c r="H5928" s="14"/>
      <c r="I5928" s="567"/>
      <c r="J5928" s="15"/>
    </row>
    <row r="5929" spans="8:10" ht="15.75" hidden="1" customHeight="1">
      <c r="H5929" s="14"/>
      <c r="I5929" s="567"/>
      <c r="J5929" s="15"/>
    </row>
    <row r="5930" spans="8:10" ht="15.75" hidden="1" customHeight="1">
      <c r="H5930" s="14"/>
      <c r="I5930" s="567"/>
      <c r="J5930" s="15"/>
    </row>
    <row r="5931" spans="8:10" ht="15.75" hidden="1" customHeight="1">
      <c r="H5931" s="14"/>
      <c r="I5931" s="567"/>
      <c r="J5931" s="15"/>
    </row>
    <row r="5932" spans="8:10" ht="15.75" hidden="1" customHeight="1">
      <c r="H5932" s="14"/>
      <c r="I5932" s="567"/>
      <c r="J5932" s="15"/>
    </row>
    <row r="5933" spans="8:10" ht="15.75" hidden="1" customHeight="1">
      <c r="H5933" s="14"/>
      <c r="I5933" s="567"/>
      <c r="J5933" s="15"/>
    </row>
    <row r="5934" spans="8:10" ht="15.75" hidden="1" customHeight="1">
      <c r="H5934" s="14"/>
      <c r="I5934" s="567"/>
      <c r="J5934" s="15"/>
    </row>
    <row r="5935" spans="8:10" ht="15.75" hidden="1" customHeight="1">
      <c r="H5935" s="14"/>
      <c r="I5935" s="567"/>
      <c r="J5935" s="15"/>
    </row>
    <row r="5936" spans="8:10" ht="15.75" hidden="1" customHeight="1">
      <c r="H5936" s="14"/>
      <c r="I5936" s="567"/>
      <c r="J5936" s="15"/>
    </row>
    <row r="5937" spans="8:10" ht="15.75" hidden="1" customHeight="1">
      <c r="H5937" s="14"/>
      <c r="I5937" s="567"/>
      <c r="J5937" s="15"/>
    </row>
    <row r="5938" spans="8:10" ht="15.75" hidden="1" customHeight="1">
      <c r="H5938" s="14"/>
      <c r="I5938" s="567"/>
      <c r="J5938" s="15"/>
    </row>
    <row r="5939" spans="8:10" ht="15.75" hidden="1" customHeight="1">
      <c r="H5939" s="14"/>
      <c r="I5939" s="567"/>
      <c r="J5939" s="15"/>
    </row>
    <row r="5940" spans="8:10" ht="15.75" hidden="1" customHeight="1">
      <c r="H5940" s="14"/>
      <c r="I5940" s="567"/>
      <c r="J5940" s="15"/>
    </row>
    <row r="5941" spans="8:10" ht="15.75" hidden="1" customHeight="1">
      <c r="H5941" s="14"/>
      <c r="I5941" s="567"/>
      <c r="J5941" s="15"/>
    </row>
    <row r="5942" spans="8:10" ht="15.75" hidden="1" customHeight="1">
      <c r="H5942" s="14"/>
      <c r="I5942" s="567"/>
      <c r="J5942" s="15"/>
    </row>
    <row r="5943" spans="8:10" ht="15.75" hidden="1" customHeight="1">
      <c r="H5943" s="14"/>
      <c r="I5943" s="567"/>
      <c r="J5943" s="15"/>
    </row>
    <row r="5944" spans="8:10" ht="15.75" hidden="1" customHeight="1">
      <c r="H5944" s="14"/>
      <c r="I5944" s="567"/>
      <c r="J5944" s="15"/>
    </row>
    <row r="5945" spans="8:10" ht="15.75" hidden="1" customHeight="1">
      <c r="H5945" s="14"/>
      <c r="I5945" s="567"/>
      <c r="J5945" s="15"/>
    </row>
    <row r="5946" spans="8:10" ht="15.75" hidden="1" customHeight="1">
      <c r="H5946" s="14"/>
      <c r="I5946" s="567"/>
      <c r="J5946" s="15"/>
    </row>
    <row r="5947" spans="8:10" ht="15.75" hidden="1" customHeight="1">
      <c r="H5947" s="14"/>
      <c r="I5947" s="567"/>
      <c r="J5947" s="15"/>
    </row>
    <row r="5948" spans="8:10" ht="15.75" hidden="1" customHeight="1">
      <c r="H5948" s="14"/>
      <c r="I5948" s="567"/>
      <c r="J5948" s="15"/>
    </row>
    <row r="5949" spans="8:10" ht="15.75" hidden="1" customHeight="1">
      <c r="H5949" s="14"/>
      <c r="I5949" s="567"/>
      <c r="J5949" s="15"/>
    </row>
    <row r="5950" spans="8:10" ht="15.75" hidden="1" customHeight="1">
      <c r="H5950" s="14"/>
      <c r="I5950" s="567"/>
      <c r="J5950" s="15"/>
    </row>
    <row r="5951" spans="8:10" ht="15.75" hidden="1" customHeight="1">
      <c r="H5951" s="14"/>
      <c r="I5951" s="567"/>
      <c r="J5951" s="15"/>
    </row>
    <row r="5952" spans="8:10" ht="15.75" hidden="1" customHeight="1">
      <c r="H5952" s="14"/>
      <c r="I5952" s="567"/>
      <c r="J5952" s="15"/>
    </row>
    <row r="5953" spans="8:10" ht="15.75" hidden="1" customHeight="1">
      <c r="H5953" s="14"/>
      <c r="I5953" s="567"/>
      <c r="J5953" s="15"/>
    </row>
    <row r="5954" spans="8:10" ht="15.75" hidden="1" customHeight="1">
      <c r="H5954" s="14"/>
      <c r="I5954" s="567"/>
      <c r="J5954" s="15"/>
    </row>
    <row r="5955" spans="8:10" ht="15.75" hidden="1" customHeight="1">
      <c r="H5955" s="14"/>
      <c r="I5955" s="567"/>
      <c r="J5955" s="15"/>
    </row>
    <row r="5956" spans="8:10" ht="15.75" hidden="1" customHeight="1">
      <c r="H5956" s="14"/>
      <c r="I5956" s="567"/>
      <c r="J5956" s="15"/>
    </row>
    <row r="5957" spans="8:10" ht="15.75" hidden="1" customHeight="1">
      <c r="H5957" s="14"/>
      <c r="I5957" s="567"/>
      <c r="J5957" s="15"/>
    </row>
    <row r="5958" spans="8:10" ht="15.75" hidden="1" customHeight="1">
      <c r="H5958" s="14"/>
      <c r="I5958" s="567"/>
      <c r="J5958" s="15"/>
    </row>
    <row r="5959" spans="8:10" ht="15.75" hidden="1" customHeight="1">
      <c r="H5959" s="14"/>
      <c r="I5959" s="567"/>
      <c r="J5959" s="15"/>
    </row>
    <row r="5960" spans="8:10" ht="15.75" hidden="1" customHeight="1">
      <c r="H5960" s="14"/>
      <c r="I5960" s="567"/>
      <c r="J5960" s="15"/>
    </row>
    <row r="5961" spans="8:10" ht="15.75" hidden="1" customHeight="1">
      <c r="H5961" s="14"/>
      <c r="I5961" s="567"/>
      <c r="J5961" s="15"/>
    </row>
    <row r="5962" spans="8:10" ht="15.75" hidden="1" customHeight="1">
      <c r="H5962" s="14"/>
      <c r="I5962" s="567"/>
      <c r="J5962" s="15"/>
    </row>
    <row r="5963" spans="8:10" ht="15.75" hidden="1" customHeight="1">
      <c r="H5963" s="14"/>
      <c r="I5963" s="567"/>
      <c r="J5963" s="15"/>
    </row>
    <row r="5964" spans="8:10" ht="15.75" hidden="1" customHeight="1">
      <c r="H5964" s="14"/>
      <c r="I5964" s="567"/>
      <c r="J5964" s="15"/>
    </row>
    <row r="5965" spans="8:10" ht="15.75" hidden="1" customHeight="1">
      <c r="H5965" s="14"/>
      <c r="I5965" s="567"/>
      <c r="J5965" s="15"/>
    </row>
    <row r="5966" spans="8:10" ht="15.75" hidden="1" customHeight="1">
      <c r="H5966" s="14"/>
      <c r="I5966" s="567"/>
      <c r="J5966" s="15"/>
    </row>
    <row r="5967" spans="8:10" ht="15.75" hidden="1" customHeight="1">
      <c r="H5967" s="14"/>
      <c r="I5967" s="567"/>
      <c r="J5967" s="15"/>
    </row>
    <row r="5968" spans="8:10" ht="15.75" hidden="1" customHeight="1">
      <c r="H5968" s="14"/>
      <c r="I5968" s="567"/>
      <c r="J5968" s="15"/>
    </row>
    <row r="5969" spans="8:10" ht="15.75" hidden="1" customHeight="1">
      <c r="H5969" s="14"/>
      <c r="I5969" s="567"/>
      <c r="J5969" s="15"/>
    </row>
    <row r="5970" spans="8:10" ht="15.75" hidden="1" customHeight="1">
      <c r="H5970" s="14"/>
      <c r="I5970" s="567"/>
      <c r="J5970" s="15"/>
    </row>
    <row r="5971" spans="8:10" ht="15.75" hidden="1" customHeight="1">
      <c r="H5971" s="14"/>
      <c r="I5971" s="567"/>
      <c r="J5971" s="15"/>
    </row>
    <row r="5972" spans="8:10" ht="15.75" hidden="1" customHeight="1">
      <c r="H5972" s="14"/>
      <c r="I5972" s="567"/>
      <c r="J5972" s="15"/>
    </row>
    <row r="5973" spans="8:10" ht="15.75" hidden="1" customHeight="1">
      <c r="H5973" s="14"/>
      <c r="I5973" s="567"/>
      <c r="J5973" s="15"/>
    </row>
    <row r="5974" spans="8:10" ht="15.75" hidden="1" customHeight="1">
      <c r="H5974" s="14"/>
      <c r="I5974" s="567"/>
      <c r="J5974" s="15"/>
    </row>
    <row r="5975" spans="8:10" ht="15.75" hidden="1" customHeight="1">
      <c r="H5975" s="14"/>
      <c r="I5975" s="567"/>
      <c r="J5975" s="15"/>
    </row>
    <row r="5976" spans="8:10" ht="15.75" hidden="1" customHeight="1">
      <c r="H5976" s="14"/>
      <c r="I5976" s="567"/>
      <c r="J5976" s="15"/>
    </row>
    <row r="5977" spans="8:10" ht="15.75" hidden="1" customHeight="1">
      <c r="H5977" s="14"/>
      <c r="I5977" s="567"/>
      <c r="J5977" s="15"/>
    </row>
    <row r="5978" spans="8:10" ht="15.75" hidden="1" customHeight="1">
      <c r="H5978" s="14"/>
      <c r="I5978" s="567"/>
      <c r="J5978" s="15"/>
    </row>
    <row r="5979" spans="8:10" ht="15.75" hidden="1" customHeight="1">
      <c r="H5979" s="14"/>
      <c r="I5979" s="567"/>
      <c r="J5979" s="15"/>
    </row>
    <row r="5980" spans="8:10" ht="15.75" hidden="1" customHeight="1">
      <c r="H5980" s="14"/>
      <c r="I5980" s="567"/>
      <c r="J5980" s="15"/>
    </row>
    <row r="5981" spans="8:10" ht="15.75" hidden="1" customHeight="1">
      <c r="H5981" s="14"/>
      <c r="I5981" s="567"/>
      <c r="J5981" s="15"/>
    </row>
    <row r="5982" spans="8:10" ht="15.75" hidden="1" customHeight="1">
      <c r="H5982" s="14"/>
      <c r="I5982" s="567"/>
      <c r="J5982" s="15"/>
    </row>
    <row r="5983" spans="8:10" ht="15.75" hidden="1" customHeight="1">
      <c r="H5983" s="14"/>
      <c r="I5983" s="567"/>
      <c r="J5983" s="15"/>
    </row>
    <row r="5984" spans="8:10" ht="15.75" hidden="1" customHeight="1">
      <c r="H5984" s="14"/>
      <c r="I5984" s="567"/>
      <c r="J5984" s="15"/>
    </row>
    <row r="5985" spans="8:10" ht="15.75" hidden="1" customHeight="1">
      <c r="H5985" s="14"/>
      <c r="I5985" s="567"/>
      <c r="J5985" s="15"/>
    </row>
    <row r="5986" spans="8:10" ht="15.75" hidden="1" customHeight="1">
      <c r="H5986" s="14"/>
      <c r="I5986" s="567"/>
      <c r="J5986" s="15"/>
    </row>
    <row r="5987" spans="8:10" ht="15.75" hidden="1" customHeight="1">
      <c r="H5987" s="14"/>
      <c r="I5987" s="567"/>
      <c r="J5987" s="15"/>
    </row>
    <row r="5988" spans="8:10" ht="15.75" hidden="1" customHeight="1">
      <c r="H5988" s="14"/>
      <c r="I5988" s="567"/>
      <c r="J5988" s="15"/>
    </row>
    <row r="5989" spans="8:10" ht="15.75" hidden="1" customHeight="1">
      <c r="H5989" s="14"/>
      <c r="I5989" s="567"/>
      <c r="J5989" s="15"/>
    </row>
    <row r="5990" spans="8:10" ht="15.75" hidden="1" customHeight="1">
      <c r="H5990" s="14"/>
      <c r="I5990" s="567"/>
      <c r="J5990" s="15"/>
    </row>
    <row r="5991" spans="8:10" ht="15.75" hidden="1" customHeight="1">
      <c r="H5991" s="14"/>
      <c r="I5991" s="567"/>
      <c r="J5991" s="15"/>
    </row>
    <row r="5992" spans="8:10" ht="15.75" hidden="1" customHeight="1">
      <c r="H5992" s="14"/>
      <c r="I5992" s="567"/>
      <c r="J5992" s="15"/>
    </row>
    <row r="5993" spans="8:10" ht="15.75" hidden="1" customHeight="1">
      <c r="H5993" s="14"/>
      <c r="I5993" s="567"/>
      <c r="J5993" s="15"/>
    </row>
    <row r="5994" spans="8:10" ht="15.75" hidden="1" customHeight="1">
      <c r="H5994" s="14"/>
      <c r="I5994" s="567"/>
      <c r="J5994" s="15"/>
    </row>
    <row r="5995" spans="8:10" ht="15.75" hidden="1" customHeight="1">
      <c r="H5995" s="14"/>
      <c r="I5995" s="567"/>
      <c r="J5995" s="15"/>
    </row>
    <row r="5996" spans="8:10" ht="15.75" hidden="1" customHeight="1">
      <c r="H5996" s="14"/>
      <c r="I5996" s="567"/>
      <c r="J5996" s="15"/>
    </row>
    <row r="5997" spans="8:10" ht="15.75" hidden="1" customHeight="1">
      <c r="H5997" s="14"/>
      <c r="I5997" s="567"/>
      <c r="J5997" s="15"/>
    </row>
    <row r="5998" spans="8:10" ht="15.75" hidden="1" customHeight="1">
      <c r="H5998" s="14"/>
      <c r="I5998" s="567"/>
      <c r="J5998" s="15"/>
    </row>
    <row r="5999" spans="8:10" ht="15.75" hidden="1" customHeight="1">
      <c r="H5999" s="14"/>
      <c r="I5999" s="567"/>
      <c r="J5999" s="15"/>
    </row>
    <row r="6000" spans="8:10" ht="15.75" hidden="1" customHeight="1">
      <c r="H6000" s="14"/>
      <c r="I6000" s="567"/>
      <c r="J6000" s="15"/>
    </row>
    <row r="6001" spans="8:10" ht="15.75" hidden="1" customHeight="1">
      <c r="H6001" s="14"/>
      <c r="I6001" s="567"/>
      <c r="J6001" s="15"/>
    </row>
    <row r="6002" spans="8:10" ht="15.75" hidden="1" customHeight="1">
      <c r="H6002" s="14"/>
      <c r="I6002" s="567"/>
      <c r="J6002" s="15"/>
    </row>
    <row r="6003" spans="8:10" ht="15.75" hidden="1" customHeight="1">
      <c r="H6003" s="14"/>
      <c r="I6003" s="567"/>
      <c r="J6003" s="15"/>
    </row>
    <row r="6004" spans="8:10" ht="15.75" hidden="1" customHeight="1">
      <c r="H6004" s="14"/>
      <c r="I6004" s="567"/>
      <c r="J6004" s="15"/>
    </row>
    <row r="6005" spans="8:10" ht="15.75" hidden="1" customHeight="1">
      <c r="H6005" s="14"/>
      <c r="I6005" s="567"/>
      <c r="J6005" s="15"/>
    </row>
    <row r="6006" spans="8:10" ht="15.75" hidden="1" customHeight="1">
      <c r="H6006" s="14"/>
      <c r="I6006" s="567"/>
      <c r="J6006" s="15"/>
    </row>
    <row r="6007" spans="8:10" ht="15.75" hidden="1" customHeight="1">
      <c r="H6007" s="14"/>
      <c r="I6007" s="567"/>
      <c r="J6007" s="15"/>
    </row>
    <row r="6008" spans="8:10" ht="15.75" hidden="1" customHeight="1">
      <c r="H6008" s="14"/>
      <c r="I6008" s="567"/>
      <c r="J6008" s="15"/>
    </row>
    <row r="6009" spans="8:10" ht="15.75" hidden="1" customHeight="1">
      <c r="H6009" s="14"/>
      <c r="I6009" s="567"/>
      <c r="J6009" s="15"/>
    </row>
    <row r="6010" spans="8:10" ht="15.75" hidden="1" customHeight="1">
      <c r="H6010" s="14"/>
      <c r="I6010" s="567"/>
      <c r="J6010" s="15"/>
    </row>
    <row r="6011" spans="8:10" ht="15.75" hidden="1" customHeight="1">
      <c r="H6011" s="14"/>
      <c r="I6011" s="567"/>
      <c r="J6011" s="15"/>
    </row>
    <row r="6012" spans="8:10" ht="15.75" hidden="1" customHeight="1">
      <c r="H6012" s="14"/>
      <c r="I6012" s="567"/>
      <c r="J6012" s="15"/>
    </row>
    <row r="6013" spans="8:10" ht="15.75" hidden="1" customHeight="1">
      <c r="H6013" s="14"/>
      <c r="I6013" s="567"/>
      <c r="J6013" s="15"/>
    </row>
    <row r="6014" spans="8:10" ht="15.75" hidden="1" customHeight="1">
      <c r="H6014" s="14"/>
      <c r="I6014" s="567"/>
      <c r="J6014" s="15"/>
    </row>
    <row r="6015" spans="8:10" ht="15.75" hidden="1" customHeight="1">
      <c r="H6015" s="14"/>
      <c r="I6015" s="567"/>
      <c r="J6015" s="15"/>
    </row>
    <row r="6016" spans="8:10" ht="15.75" hidden="1" customHeight="1">
      <c r="H6016" s="14"/>
      <c r="I6016" s="567"/>
      <c r="J6016" s="15"/>
    </row>
    <row r="6017" spans="8:10" ht="15.75" hidden="1" customHeight="1">
      <c r="H6017" s="14"/>
      <c r="I6017" s="567"/>
      <c r="J6017" s="15"/>
    </row>
    <row r="6018" spans="8:10" ht="15.75" hidden="1" customHeight="1">
      <c r="H6018" s="14"/>
      <c r="I6018" s="567"/>
      <c r="J6018" s="15"/>
    </row>
    <row r="6019" spans="8:10" ht="15.75" hidden="1" customHeight="1">
      <c r="H6019" s="14"/>
      <c r="I6019" s="567"/>
      <c r="J6019" s="15"/>
    </row>
    <row r="6020" spans="8:10" ht="15.75" hidden="1" customHeight="1">
      <c r="H6020" s="14"/>
      <c r="I6020" s="567"/>
      <c r="J6020" s="15"/>
    </row>
    <row r="6021" spans="8:10" ht="15.75" hidden="1" customHeight="1">
      <c r="H6021" s="14"/>
      <c r="I6021" s="567"/>
      <c r="J6021" s="15"/>
    </row>
    <row r="6022" spans="8:10" ht="15.75" hidden="1" customHeight="1">
      <c r="H6022" s="14"/>
      <c r="I6022" s="567"/>
      <c r="J6022" s="15"/>
    </row>
    <row r="6023" spans="8:10" ht="15.75" hidden="1" customHeight="1">
      <c r="H6023" s="14"/>
      <c r="I6023" s="567"/>
      <c r="J6023" s="15"/>
    </row>
    <row r="6024" spans="8:10" ht="15.75" hidden="1" customHeight="1">
      <c r="H6024" s="14"/>
      <c r="I6024" s="567"/>
      <c r="J6024" s="15"/>
    </row>
    <row r="6025" spans="8:10" ht="15.75" hidden="1" customHeight="1">
      <c r="H6025" s="14"/>
      <c r="I6025" s="567"/>
      <c r="J6025" s="15"/>
    </row>
    <row r="6026" spans="8:10" ht="15.75" hidden="1" customHeight="1">
      <c r="H6026" s="14"/>
      <c r="I6026" s="567"/>
      <c r="J6026" s="15"/>
    </row>
    <row r="6027" spans="8:10" ht="15.75" hidden="1" customHeight="1">
      <c r="H6027" s="14"/>
      <c r="I6027" s="567"/>
      <c r="J6027" s="15"/>
    </row>
    <row r="6028" spans="8:10" ht="15.75" hidden="1" customHeight="1">
      <c r="H6028" s="14"/>
      <c r="I6028" s="567"/>
      <c r="J6028" s="15"/>
    </row>
    <row r="6029" spans="8:10" ht="15.75" hidden="1" customHeight="1">
      <c r="H6029" s="14"/>
      <c r="I6029" s="567"/>
      <c r="J6029" s="15"/>
    </row>
    <row r="6030" spans="8:10" ht="15.75" hidden="1" customHeight="1">
      <c r="H6030" s="14"/>
      <c r="I6030" s="567"/>
      <c r="J6030" s="15"/>
    </row>
    <row r="6031" spans="8:10" ht="15.75" hidden="1" customHeight="1">
      <c r="H6031" s="14"/>
      <c r="I6031" s="567"/>
      <c r="J6031" s="15"/>
    </row>
    <row r="6032" spans="8:10" ht="15.75" hidden="1" customHeight="1">
      <c r="H6032" s="14"/>
      <c r="I6032" s="567"/>
      <c r="J6032" s="15"/>
    </row>
    <row r="6033" spans="8:10" ht="15.75" hidden="1" customHeight="1">
      <c r="H6033" s="14"/>
      <c r="I6033" s="567"/>
      <c r="J6033" s="15"/>
    </row>
    <row r="6034" spans="8:10" ht="15.75" hidden="1" customHeight="1">
      <c r="H6034" s="14"/>
      <c r="I6034" s="567"/>
      <c r="J6034" s="15"/>
    </row>
    <row r="6035" spans="8:10" ht="15.75" hidden="1" customHeight="1">
      <c r="H6035" s="14"/>
      <c r="I6035" s="567"/>
      <c r="J6035" s="15"/>
    </row>
    <row r="6036" spans="8:10" ht="15.75" hidden="1" customHeight="1">
      <c r="H6036" s="14"/>
      <c r="I6036" s="567"/>
      <c r="J6036" s="15"/>
    </row>
    <row r="6037" spans="8:10" ht="15.75" hidden="1" customHeight="1">
      <c r="H6037" s="14"/>
      <c r="I6037" s="567"/>
      <c r="J6037" s="15"/>
    </row>
    <row r="6038" spans="8:10" ht="15.75" hidden="1" customHeight="1">
      <c r="H6038" s="14"/>
      <c r="I6038" s="567"/>
      <c r="J6038" s="15"/>
    </row>
    <row r="6039" spans="8:10" ht="15.75" hidden="1" customHeight="1">
      <c r="H6039" s="14"/>
      <c r="I6039" s="567"/>
      <c r="J6039" s="15"/>
    </row>
    <row r="6040" spans="8:10" ht="15.75" hidden="1" customHeight="1">
      <c r="H6040" s="14"/>
      <c r="I6040" s="567"/>
      <c r="J6040" s="15"/>
    </row>
    <row r="6041" spans="8:10" ht="15.75" hidden="1" customHeight="1">
      <c r="H6041" s="14"/>
      <c r="I6041" s="567"/>
      <c r="J6041" s="15"/>
    </row>
    <row r="6042" spans="8:10" ht="15.75" hidden="1" customHeight="1">
      <c r="H6042" s="14"/>
      <c r="I6042" s="567"/>
      <c r="J6042" s="15"/>
    </row>
    <row r="6043" spans="8:10" ht="15.75" hidden="1" customHeight="1">
      <c r="H6043" s="14"/>
      <c r="I6043" s="567"/>
      <c r="J6043" s="15"/>
    </row>
    <row r="6044" spans="8:10" ht="15.75" hidden="1" customHeight="1">
      <c r="H6044" s="14"/>
      <c r="I6044" s="567"/>
      <c r="J6044" s="15"/>
    </row>
    <row r="6045" spans="8:10" ht="15.75" hidden="1" customHeight="1">
      <c r="H6045" s="14"/>
      <c r="I6045" s="567"/>
      <c r="J6045" s="15"/>
    </row>
    <row r="6046" spans="8:10" ht="15.75" hidden="1" customHeight="1">
      <c r="H6046" s="14"/>
      <c r="I6046" s="567"/>
      <c r="J6046" s="15"/>
    </row>
    <row r="6047" spans="8:10" ht="15.75" hidden="1" customHeight="1">
      <c r="H6047" s="14"/>
      <c r="I6047" s="567"/>
      <c r="J6047" s="15"/>
    </row>
    <row r="6048" spans="8:10" ht="15.75" hidden="1" customHeight="1">
      <c r="H6048" s="14"/>
      <c r="I6048" s="567"/>
      <c r="J6048" s="15"/>
    </row>
    <row r="6049" spans="8:10" ht="15.75" hidden="1" customHeight="1">
      <c r="H6049" s="14"/>
      <c r="I6049" s="567"/>
      <c r="J6049" s="15"/>
    </row>
    <row r="6050" spans="8:10" ht="15.75" hidden="1" customHeight="1">
      <c r="H6050" s="14"/>
      <c r="I6050" s="567"/>
      <c r="J6050" s="15"/>
    </row>
    <row r="6051" spans="8:10" ht="15.75" hidden="1" customHeight="1">
      <c r="H6051" s="14"/>
      <c r="I6051" s="567"/>
      <c r="J6051" s="15"/>
    </row>
    <row r="6052" spans="8:10" ht="15.75" hidden="1" customHeight="1">
      <c r="H6052" s="14"/>
      <c r="I6052" s="567"/>
      <c r="J6052" s="15"/>
    </row>
    <row r="6053" spans="8:10" ht="15.75" hidden="1" customHeight="1">
      <c r="H6053" s="14"/>
      <c r="I6053" s="567"/>
      <c r="J6053" s="15"/>
    </row>
    <row r="6054" spans="8:10" ht="15.75" hidden="1" customHeight="1">
      <c r="H6054" s="14"/>
      <c r="I6054" s="567"/>
      <c r="J6054" s="15"/>
    </row>
    <row r="6055" spans="8:10" ht="15.75" hidden="1" customHeight="1">
      <c r="H6055" s="14"/>
      <c r="I6055" s="567"/>
      <c r="J6055" s="15"/>
    </row>
    <row r="6056" spans="8:10" ht="15.75" hidden="1" customHeight="1">
      <c r="H6056" s="14"/>
      <c r="I6056" s="567"/>
      <c r="J6056" s="15"/>
    </row>
    <row r="6057" spans="8:10" ht="15.75" hidden="1" customHeight="1">
      <c r="H6057" s="14"/>
      <c r="I6057" s="567"/>
      <c r="J6057" s="15"/>
    </row>
    <row r="6058" spans="8:10" ht="15.75" hidden="1" customHeight="1">
      <c r="H6058" s="14"/>
      <c r="I6058" s="567"/>
      <c r="J6058" s="15"/>
    </row>
    <row r="6059" spans="8:10" ht="15.75" hidden="1" customHeight="1">
      <c r="H6059" s="14"/>
      <c r="I6059" s="567"/>
      <c r="J6059" s="15"/>
    </row>
    <row r="6060" spans="8:10" ht="15.75" hidden="1" customHeight="1">
      <c r="H6060" s="14"/>
      <c r="I6060" s="567"/>
      <c r="J6060" s="15"/>
    </row>
    <row r="6061" spans="8:10" ht="15.75" hidden="1" customHeight="1">
      <c r="H6061" s="14"/>
      <c r="I6061" s="567"/>
      <c r="J6061" s="15"/>
    </row>
    <row r="6062" spans="8:10" ht="15.75" hidden="1" customHeight="1">
      <c r="H6062" s="14"/>
      <c r="I6062" s="567"/>
      <c r="J6062" s="15"/>
    </row>
    <row r="6063" spans="8:10" ht="15.75" hidden="1" customHeight="1">
      <c r="H6063" s="14"/>
      <c r="I6063" s="567"/>
      <c r="J6063" s="15"/>
    </row>
    <row r="6064" spans="8:10" ht="15.75" hidden="1" customHeight="1">
      <c r="H6064" s="14"/>
      <c r="I6064" s="567"/>
      <c r="J6064" s="15"/>
    </row>
    <row r="6065" spans="8:10" ht="15.75" hidden="1" customHeight="1">
      <c r="H6065" s="14"/>
      <c r="I6065" s="567"/>
      <c r="J6065" s="15"/>
    </row>
    <row r="6066" spans="8:10" ht="15.75" hidden="1" customHeight="1">
      <c r="H6066" s="14"/>
      <c r="I6066" s="567"/>
      <c r="J6066" s="15"/>
    </row>
    <row r="6067" spans="8:10" ht="15.75" hidden="1" customHeight="1">
      <c r="H6067" s="14"/>
      <c r="I6067" s="567"/>
      <c r="J6067" s="15"/>
    </row>
    <row r="6068" spans="8:10" ht="15.75" hidden="1" customHeight="1">
      <c r="H6068" s="14"/>
      <c r="I6068" s="567"/>
      <c r="J6068" s="15"/>
    </row>
    <row r="6069" spans="8:10" ht="15.75" hidden="1" customHeight="1">
      <c r="H6069" s="14"/>
      <c r="I6069" s="567"/>
      <c r="J6069" s="15"/>
    </row>
    <row r="6070" spans="8:10" ht="15.75" hidden="1" customHeight="1">
      <c r="H6070" s="14"/>
      <c r="I6070" s="567"/>
      <c r="J6070" s="15"/>
    </row>
    <row r="6071" spans="8:10" ht="15.75" hidden="1" customHeight="1">
      <c r="H6071" s="14"/>
      <c r="I6071" s="567"/>
      <c r="J6071" s="15"/>
    </row>
    <row r="6072" spans="8:10" ht="15.75" hidden="1" customHeight="1">
      <c r="H6072" s="14"/>
      <c r="I6072" s="567"/>
      <c r="J6072" s="15"/>
    </row>
    <row r="6073" spans="8:10" ht="15.75" hidden="1" customHeight="1">
      <c r="H6073" s="14"/>
      <c r="I6073" s="567"/>
      <c r="J6073" s="15"/>
    </row>
    <row r="6074" spans="8:10" ht="15.75" hidden="1" customHeight="1">
      <c r="H6074" s="14"/>
      <c r="I6074" s="567"/>
      <c r="J6074" s="15"/>
    </row>
    <row r="6075" spans="8:10" ht="15.75" hidden="1" customHeight="1">
      <c r="H6075" s="14"/>
      <c r="I6075" s="567"/>
      <c r="J6075" s="15"/>
    </row>
    <row r="6076" spans="8:10" ht="15.75" hidden="1" customHeight="1">
      <c r="H6076" s="14"/>
      <c r="I6076" s="567"/>
      <c r="J6076" s="15"/>
    </row>
    <row r="6077" spans="8:10" ht="15.75" hidden="1" customHeight="1">
      <c r="H6077" s="14"/>
      <c r="I6077" s="567"/>
      <c r="J6077" s="15"/>
    </row>
    <row r="6078" spans="8:10" ht="15.75" hidden="1" customHeight="1">
      <c r="H6078" s="14"/>
      <c r="I6078" s="567"/>
      <c r="J6078" s="15"/>
    </row>
    <row r="6079" spans="8:10" ht="15.75" hidden="1" customHeight="1">
      <c r="H6079" s="14"/>
      <c r="I6079" s="567"/>
      <c r="J6079" s="15"/>
    </row>
    <row r="6080" spans="8:10" ht="15.75" hidden="1" customHeight="1">
      <c r="H6080" s="14"/>
      <c r="I6080" s="567"/>
      <c r="J6080" s="15"/>
    </row>
    <row r="6081" spans="8:10" ht="15.75" hidden="1" customHeight="1">
      <c r="H6081" s="14"/>
      <c r="I6081" s="567"/>
      <c r="J6081" s="15"/>
    </row>
    <row r="6082" spans="8:10" ht="15.75" hidden="1" customHeight="1">
      <c r="H6082" s="14"/>
      <c r="I6082" s="567"/>
      <c r="J6082" s="15"/>
    </row>
    <row r="6083" spans="8:10" ht="15.75" hidden="1" customHeight="1">
      <c r="H6083" s="14"/>
      <c r="I6083" s="567"/>
      <c r="J6083" s="15"/>
    </row>
    <row r="6084" spans="8:10" ht="15.75" hidden="1" customHeight="1">
      <c r="H6084" s="14"/>
      <c r="I6084" s="567"/>
      <c r="J6084" s="15"/>
    </row>
    <row r="6085" spans="8:10" ht="15.75" hidden="1" customHeight="1">
      <c r="H6085" s="14"/>
      <c r="I6085" s="567"/>
      <c r="J6085" s="15"/>
    </row>
    <row r="6086" spans="8:10" ht="15.75" hidden="1" customHeight="1">
      <c r="H6086" s="14"/>
      <c r="I6086" s="567"/>
      <c r="J6086" s="15"/>
    </row>
    <row r="6087" spans="8:10" ht="15.75" hidden="1" customHeight="1">
      <c r="H6087" s="14"/>
      <c r="I6087" s="567"/>
      <c r="J6087" s="15"/>
    </row>
    <row r="6088" spans="8:10" ht="15.75" hidden="1" customHeight="1">
      <c r="H6088" s="14"/>
      <c r="I6088" s="567"/>
      <c r="J6088" s="15"/>
    </row>
    <row r="6089" spans="8:10" ht="15.75" hidden="1" customHeight="1">
      <c r="H6089" s="14"/>
      <c r="I6089" s="567"/>
      <c r="J6089" s="15"/>
    </row>
    <row r="6090" spans="8:10" ht="15.75" hidden="1" customHeight="1">
      <c r="H6090" s="14"/>
      <c r="I6090" s="567"/>
      <c r="J6090" s="15"/>
    </row>
    <row r="6091" spans="8:10" ht="15.75" hidden="1" customHeight="1">
      <c r="H6091" s="14"/>
      <c r="I6091" s="567"/>
      <c r="J6091" s="15"/>
    </row>
    <row r="6092" spans="8:10" ht="15.75" hidden="1" customHeight="1">
      <c r="H6092" s="14"/>
      <c r="I6092" s="567"/>
      <c r="J6092" s="15"/>
    </row>
    <row r="6093" spans="8:10" ht="15.75" hidden="1" customHeight="1">
      <c r="H6093" s="14"/>
      <c r="I6093" s="567"/>
      <c r="J6093" s="15"/>
    </row>
    <row r="6094" spans="8:10" ht="15.75" hidden="1" customHeight="1">
      <c r="H6094" s="14"/>
      <c r="I6094" s="567"/>
      <c r="J6094" s="15"/>
    </row>
    <row r="6095" spans="8:10" ht="15.75" hidden="1" customHeight="1">
      <c r="H6095" s="14"/>
      <c r="I6095" s="567"/>
      <c r="J6095" s="15"/>
    </row>
    <row r="6096" spans="8:10" ht="15.75" hidden="1" customHeight="1">
      <c r="H6096" s="14"/>
      <c r="I6096" s="567"/>
      <c r="J6096" s="15"/>
    </row>
    <row r="6097" spans="8:10" ht="15.75" hidden="1" customHeight="1">
      <c r="H6097" s="14"/>
      <c r="I6097" s="567"/>
      <c r="J6097" s="15"/>
    </row>
    <row r="6098" spans="8:10" ht="15.75" hidden="1" customHeight="1">
      <c r="H6098" s="14"/>
      <c r="I6098" s="567"/>
      <c r="J6098" s="15"/>
    </row>
    <row r="6099" spans="8:10" ht="15.75" hidden="1" customHeight="1">
      <c r="H6099" s="14"/>
      <c r="I6099" s="567"/>
      <c r="J6099" s="15"/>
    </row>
    <row r="6100" spans="8:10" ht="15.75" hidden="1" customHeight="1">
      <c r="H6100" s="14"/>
      <c r="I6100" s="567"/>
      <c r="J6100" s="15"/>
    </row>
    <row r="6101" spans="8:10" ht="15.75" hidden="1" customHeight="1">
      <c r="H6101" s="14"/>
      <c r="I6101" s="567"/>
      <c r="J6101" s="15"/>
    </row>
    <row r="6102" spans="8:10" ht="15.75" hidden="1" customHeight="1">
      <c r="H6102" s="14"/>
      <c r="I6102" s="567"/>
      <c r="J6102" s="15"/>
    </row>
    <row r="6103" spans="8:10" ht="15.75" hidden="1" customHeight="1">
      <c r="H6103" s="14"/>
      <c r="I6103" s="567"/>
      <c r="J6103" s="15"/>
    </row>
    <row r="6104" spans="8:10" ht="15.75" hidden="1" customHeight="1">
      <c r="H6104" s="14"/>
      <c r="I6104" s="567"/>
      <c r="J6104" s="15"/>
    </row>
    <row r="6105" spans="8:10" ht="15.75" hidden="1" customHeight="1">
      <c r="H6105" s="14"/>
      <c r="I6105" s="567"/>
      <c r="J6105" s="15"/>
    </row>
    <row r="6106" spans="8:10" ht="15.75" hidden="1" customHeight="1">
      <c r="H6106" s="14"/>
      <c r="I6106" s="567"/>
      <c r="J6106" s="15"/>
    </row>
    <row r="6107" spans="8:10" ht="15.75" hidden="1" customHeight="1">
      <c r="H6107" s="14"/>
      <c r="I6107" s="567"/>
      <c r="J6107" s="15"/>
    </row>
    <row r="6108" spans="8:10" ht="15.75" hidden="1" customHeight="1">
      <c r="H6108" s="14"/>
      <c r="I6108" s="567"/>
      <c r="J6108" s="15"/>
    </row>
    <row r="6109" spans="8:10" ht="15.75" hidden="1" customHeight="1">
      <c r="H6109" s="14"/>
      <c r="I6109" s="567"/>
      <c r="J6109" s="15"/>
    </row>
    <row r="6110" spans="8:10" ht="15.75" hidden="1" customHeight="1">
      <c r="H6110" s="14"/>
      <c r="I6110" s="567"/>
      <c r="J6110" s="15"/>
    </row>
    <row r="6111" spans="8:10" ht="15.75" hidden="1" customHeight="1">
      <c r="H6111" s="14"/>
      <c r="I6111" s="567"/>
      <c r="J6111" s="15"/>
    </row>
    <row r="6112" spans="8:10" ht="15.75" hidden="1" customHeight="1">
      <c r="H6112" s="14"/>
      <c r="I6112" s="567"/>
      <c r="J6112" s="15"/>
    </row>
    <row r="6113" spans="8:10" ht="15.75" hidden="1" customHeight="1">
      <c r="H6113" s="14"/>
      <c r="I6113" s="567"/>
      <c r="J6113" s="15"/>
    </row>
    <row r="6114" spans="8:10" ht="15.75" hidden="1" customHeight="1">
      <c r="H6114" s="14"/>
      <c r="I6114" s="567"/>
      <c r="J6114" s="15"/>
    </row>
    <row r="6115" spans="8:10" ht="15.75" hidden="1" customHeight="1">
      <c r="H6115" s="14"/>
      <c r="I6115" s="567"/>
      <c r="J6115" s="15"/>
    </row>
    <row r="6116" spans="8:10" ht="15.75" hidden="1" customHeight="1">
      <c r="H6116" s="14"/>
      <c r="I6116" s="567"/>
      <c r="J6116" s="15"/>
    </row>
    <row r="6117" spans="8:10" ht="15.75" hidden="1" customHeight="1">
      <c r="H6117" s="14"/>
      <c r="I6117" s="567"/>
      <c r="J6117" s="15"/>
    </row>
    <row r="6118" spans="8:10" ht="15.75" hidden="1" customHeight="1">
      <c r="H6118" s="14"/>
      <c r="I6118" s="567"/>
      <c r="J6118" s="15"/>
    </row>
    <row r="6119" spans="8:10" ht="15.75" hidden="1" customHeight="1">
      <c r="H6119" s="14"/>
      <c r="I6119" s="567"/>
      <c r="J6119" s="15"/>
    </row>
    <row r="6120" spans="8:10" ht="15.75" hidden="1" customHeight="1">
      <c r="H6120" s="14"/>
      <c r="I6120" s="567"/>
      <c r="J6120" s="15"/>
    </row>
    <row r="6121" spans="8:10" ht="15.75" hidden="1" customHeight="1">
      <c r="H6121" s="14"/>
      <c r="I6121" s="567"/>
      <c r="J6121" s="15"/>
    </row>
    <row r="6122" spans="8:10" ht="15.75" hidden="1" customHeight="1">
      <c r="H6122" s="14"/>
      <c r="I6122" s="567"/>
      <c r="J6122" s="15"/>
    </row>
    <row r="6123" spans="8:10" ht="15.75" hidden="1" customHeight="1">
      <c r="H6123" s="14"/>
      <c r="I6123" s="567"/>
      <c r="J6123" s="15"/>
    </row>
    <row r="6124" spans="8:10" ht="15.75" hidden="1" customHeight="1">
      <c r="H6124" s="14"/>
      <c r="I6124" s="567"/>
      <c r="J6124" s="15"/>
    </row>
    <row r="6125" spans="8:10" ht="15.75" hidden="1" customHeight="1">
      <c r="H6125" s="14"/>
      <c r="I6125" s="567"/>
      <c r="J6125" s="15"/>
    </row>
    <row r="6126" spans="8:10" ht="15.75" hidden="1" customHeight="1">
      <c r="H6126" s="14"/>
      <c r="I6126" s="567"/>
      <c r="J6126" s="15"/>
    </row>
    <row r="6127" spans="8:10" ht="15.75" hidden="1" customHeight="1">
      <c r="H6127" s="14"/>
      <c r="I6127" s="567"/>
      <c r="J6127" s="15"/>
    </row>
    <row r="6128" spans="8:10" ht="15.75" hidden="1" customHeight="1">
      <c r="H6128" s="14"/>
      <c r="I6128" s="567"/>
      <c r="J6128" s="15"/>
    </row>
    <row r="6129" spans="8:10" ht="15.75" hidden="1" customHeight="1">
      <c r="H6129" s="14"/>
      <c r="I6129" s="567"/>
      <c r="J6129" s="15"/>
    </row>
    <row r="6130" spans="8:10" ht="15.75" hidden="1" customHeight="1">
      <c r="H6130" s="14"/>
      <c r="I6130" s="567"/>
      <c r="J6130" s="15"/>
    </row>
    <row r="6131" spans="8:10" ht="15.75" hidden="1" customHeight="1">
      <c r="H6131" s="14"/>
      <c r="I6131" s="567"/>
      <c r="J6131" s="15"/>
    </row>
    <row r="6132" spans="8:10" ht="15.75" hidden="1" customHeight="1">
      <c r="H6132" s="14"/>
      <c r="I6132" s="567"/>
      <c r="J6132" s="15"/>
    </row>
    <row r="6133" spans="8:10" ht="15.75" hidden="1" customHeight="1">
      <c r="H6133" s="14"/>
      <c r="I6133" s="567"/>
      <c r="J6133" s="15"/>
    </row>
    <row r="6134" spans="8:10" ht="15.75" hidden="1" customHeight="1">
      <c r="H6134" s="14"/>
      <c r="I6134" s="567"/>
      <c r="J6134" s="15"/>
    </row>
    <row r="6135" spans="8:10" ht="15.75" hidden="1" customHeight="1">
      <c r="H6135" s="14"/>
      <c r="I6135" s="567"/>
      <c r="J6135" s="15"/>
    </row>
    <row r="6136" spans="8:10" ht="15.75" hidden="1" customHeight="1">
      <c r="H6136" s="14"/>
      <c r="I6136" s="567"/>
      <c r="J6136" s="15"/>
    </row>
    <row r="6137" spans="8:10" ht="15.75" hidden="1" customHeight="1">
      <c r="H6137" s="14"/>
      <c r="I6137" s="567"/>
      <c r="J6137" s="15"/>
    </row>
    <row r="6138" spans="8:10" ht="15.75" hidden="1" customHeight="1">
      <c r="H6138" s="14"/>
      <c r="I6138" s="567"/>
      <c r="J6138" s="15"/>
    </row>
    <row r="6139" spans="8:10" ht="15.75" hidden="1" customHeight="1">
      <c r="H6139" s="14"/>
      <c r="I6139" s="567"/>
      <c r="J6139" s="15"/>
    </row>
    <row r="6140" spans="8:10" ht="15.75" hidden="1" customHeight="1">
      <c r="H6140" s="14"/>
      <c r="I6140" s="567"/>
      <c r="J6140" s="15"/>
    </row>
    <row r="6141" spans="8:10" ht="15.75" hidden="1" customHeight="1">
      <c r="H6141" s="14"/>
      <c r="I6141" s="567"/>
      <c r="J6141" s="15"/>
    </row>
    <row r="6142" spans="8:10" ht="15.75" hidden="1" customHeight="1">
      <c r="H6142" s="14"/>
      <c r="I6142" s="567"/>
      <c r="J6142" s="15"/>
    </row>
    <row r="6143" spans="8:10" ht="15.75" hidden="1" customHeight="1">
      <c r="H6143" s="14"/>
      <c r="I6143" s="567"/>
      <c r="J6143" s="15"/>
    </row>
    <row r="6144" spans="8:10" ht="15.75" hidden="1" customHeight="1">
      <c r="H6144" s="14"/>
      <c r="I6144" s="567"/>
      <c r="J6144" s="15"/>
    </row>
    <row r="6145" spans="8:10" ht="15.75" hidden="1" customHeight="1">
      <c r="H6145" s="14"/>
      <c r="I6145" s="567"/>
      <c r="J6145" s="15"/>
    </row>
    <row r="6146" spans="8:10" ht="15.75" hidden="1" customHeight="1">
      <c r="H6146" s="14"/>
      <c r="I6146" s="567"/>
      <c r="J6146" s="15"/>
    </row>
    <row r="6147" spans="8:10" ht="15.75" hidden="1" customHeight="1">
      <c r="H6147" s="14"/>
      <c r="I6147" s="567"/>
      <c r="J6147" s="15"/>
    </row>
    <row r="6148" spans="8:10" ht="15.75" hidden="1" customHeight="1">
      <c r="H6148" s="14"/>
      <c r="I6148" s="567"/>
      <c r="J6148" s="15"/>
    </row>
    <row r="6149" spans="8:10" ht="15.75" hidden="1" customHeight="1">
      <c r="H6149" s="14"/>
      <c r="I6149" s="567"/>
      <c r="J6149" s="15"/>
    </row>
    <row r="6150" spans="8:10" ht="15.75" hidden="1" customHeight="1">
      <c r="H6150" s="14"/>
      <c r="I6150" s="567"/>
      <c r="J6150" s="15"/>
    </row>
    <row r="6151" spans="8:10" ht="15.75" hidden="1" customHeight="1">
      <c r="H6151" s="14"/>
      <c r="I6151" s="567"/>
      <c r="J6151" s="15"/>
    </row>
    <row r="6152" spans="8:10" ht="15.75" hidden="1" customHeight="1">
      <c r="H6152" s="14"/>
      <c r="I6152" s="567"/>
      <c r="J6152" s="15"/>
    </row>
    <row r="6153" spans="8:10" ht="15.75" hidden="1" customHeight="1">
      <c r="H6153" s="14"/>
      <c r="I6153" s="567"/>
      <c r="J6153" s="15"/>
    </row>
    <row r="6154" spans="8:10" ht="15.75" hidden="1" customHeight="1">
      <c r="H6154" s="14"/>
      <c r="I6154" s="567"/>
      <c r="J6154" s="15"/>
    </row>
    <row r="6155" spans="8:10" ht="15.75" hidden="1" customHeight="1">
      <c r="H6155" s="14"/>
      <c r="I6155" s="567"/>
      <c r="J6155" s="15"/>
    </row>
    <row r="6156" spans="8:10" ht="15.75" hidden="1" customHeight="1">
      <c r="H6156" s="14"/>
      <c r="I6156" s="567"/>
      <c r="J6156" s="15"/>
    </row>
    <row r="6157" spans="8:10" ht="15.75" hidden="1" customHeight="1">
      <c r="H6157" s="14"/>
      <c r="I6157" s="567"/>
      <c r="J6157" s="15"/>
    </row>
    <row r="6158" spans="8:10" ht="15.75" hidden="1" customHeight="1">
      <c r="H6158" s="14"/>
      <c r="I6158" s="567"/>
      <c r="J6158" s="15"/>
    </row>
    <row r="6159" spans="8:10" ht="15.75" hidden="1" customHeight="1">
      <c r="H6159" s="14"/>
      <c r="I6159" s="567"/>
      <c r="J6159" s="15"/>
    </row>
    <row r="6160" spans="8:10" ht="15.75" hidden="1" customHeight="1">
      <c r="H6160" s="14"/>
      <c r="I6160" s="567"/>
      <c r="J6160" s="15"/>
    </row>
    <row r="6161" spans="8:10" ht="15.75" hidden="1" customHeight="1">
      <c r="H6161" s="14"/>
      <c r="I6161" s="567"/>
      <c r="J6161" s="15"/>
    </row>
    <row r="6162" spans="8:10" ht="15.75" hidden="1" customHeight="1">
      <c r="H6162" s="14"/>
      <c r="I6162" s="567"/>
      <c r="J6162" s="15"/>
    </row>
    <row r="6163" spans="8:10" ht="15.75" hidden="1" customHeight="1">
      <c r="H6163" s="14"/>
      <c r="I6163" s="567"/>
      <c r="J6163" s="15"/>
    </row>
    <row r="6164" spans="8:10" ht="15.75" hidden="1" customHeight="1">
      <c r="H6164" s="14"/>
      <c r="I6164" s="567"/>
      <c r="J6164" s="15"/>
    </row>
    <row r="6165" spans="8:10" ht="15.75" hidden="1" customHeight="1">
      <c r="H6165" s="14"/>
      <c r="I6165" s="567"/>
      <c r="J6165" s="15"/>
    </row>
    <row r="6166" spans="8:10" ht="15.75" hidden="1" customHeight="1">
      <c r="H6166" s="14"/>
      <c r="I6166" s="567"/>
      <c r="J6166" s="15"/>
    </row>
    <row r="6167" spans="8:10" ht="15.75" hidden="1" customHeight="1">
      <c r="H6167" s="14"/>
      <c r="I6167" s="567"/>
      <c r="J6167" s="15"/>
    </row>
    <row r="6168" spans="8:10" ht="15.75" hidden="1" customHeight="1">
      <c r="H6168" s="14"/>
      <c r="I6168" s="567"/>
      <c r="J6168" s="15"/>
    </row>
    <row r="6169" spans="8:10" ht="15.75" hidden="1" customHeight="1">
      <c r="H6169" s="14"/>
      <c r="I6169" s="567"/>
      <c r="J6169" s="15"/>
    </row>
    <row r="6170" spans="8:10" ht="15.75" hidden="1" customHeight="1">
      <c r="H6170" s="14"/>
      <c r="I6170" s="567"/>
      <c r="J6170" s="15"/>
    </row>
    <row r="6171" spans="8:10" ht="15.75" hidden="1" customHeight="1">
      <c r="H6171" s="14"/>
      <c r="I6171" s="567"/>
      <c r="J6171" s="15"/>
    </row>
    <row r="6172" spans="8:10" ht="15.75" hidden="1" customHeight="1">
      <c r="H6172" s="14"/>
      <c r="I6172" s="567"/>
      <c r="J6172" s="15"/>
    </row>
    <row r="6173" spans="8:10" ht="15.75" hidden="1" customHeight="1">
      <c r="H6173" s="14"/>
      <c r="I6173" s="567"/>
      <c r="J6173" s="15"/>
    </row>
    <row r="6174" spans="8:10" ht="15.75" hidden="1" customHeight="1">
      <c r="H6174" s="14"/>
      <c r="I6174" s="567"/>
      <c r="J6174" s="15"/>
    </row>
    <row r="6175" spans="8:10" ht="15.75" hidden="1" customHeight="1">
      <c r="H6175" s="14"/>
      <c r="I6175" s="567"/>
      <c r="J6175" s="15"/>
    </row>
    <row r="6176" spans="8:10" ht="15.75" hidden="1" customHeight="1">
      <c r="H6176" s="14"/>
      <c r="I6176" s="567"/>
      <c r="J6176" s="15"/>
    </row>
    <row r="6177" spans="8:10" ht="15.75" hidden="1" customHeight="1">
      <c r="H6177" s="14"/>
      <c r="I6177" s="567"/>
      <c r="J6177" s="15"/>
    </row>
    <row r="6178" spans="8:10" ht="15.75" hidden="1" customHeight="1">
      <c r="H6178" s="14"/>
      <c r="I6178" s="567"/>
      <c r="J6178" s="15"/>
    </row>
    <row r="6179" spans="8:10" ht="15.75" hidden="1" customHeight="1">
      <c r="H6179" s="14"/>
      <c r="I6179" s="567"/>
      <c r="J6179" s="15"/>
    </row>
    <row r="6180" spans="8:10" ht="15.75" hidden="1" customHeight="1">
      <c r="H6180" s="14"/>
      <c r="I6180" s="567"/>
      <c r="J6180" s="15"/>
    </row>
    <row r="6181" spans="8:10" ht="15.75" hidden="1" customHeight="1">
      <c r="H6181" s="14"/>
      <c r="I6181" s="567"/>
      <c r="J6181" s="15"/>
    </row>
    <row r="6182" spans="8:10" ht="15.75" hidden="1" customHeight="1">
      <c r="H6182" s="14"/>
      <c r="I6182" s="567"/>
      <c r="J6182" s="15"/>
    </row>
    <row r="6183" spans="8:10" ht="15.75" hidden="1" customHeight="1">
      <c r="H6183" s="14"/>
      <c r="I6183" s="567"/>
      <c r="J6183" s="15"/>
    </row>
    <row r="6184" spans="8:10" ht="15.75" hidden="1" customHeight="1">
      <c r="H6184" s="14"/>
      <c r="I6184" s="567"/>
      <c r="J6184" s="15"/>
    </row>
    <row r="6185" spans="8:10" ht="15.75" hidden="1" customHeight="1">
      <c r="H6185" s="14"/>
      <c r="I6185" s="567"/>
      <c r="J6185" s="15"/>
    </row>
    <row r="6186" spans="8:10" ht="15.75" hidden="1" customHeight="1">
      <c r="H6186" s="14"/>
      <c r="I6186" s="567"/>
      <c r="J6186" s="15"/>
    </row>
    <row r="6187" spans="8:10" ht="15.75" hidden="1" customHeight="1">
      <c r="H6187" s="14"/>
      <c r="I6187" s="567"/>
      <c r="J6187" s="15"/>
    </row>
    <row r="6188" spans="8:10" ht="15.75" hidden="1" customHeight="1">
      <c r="H6188" s="14"/>
      <c r="I6188" s="567"/>
      <c r="J6188" s="15"/>
    </row>
    <row r="6189" spans="8:10" ht="15.75" hidden="1" customHeight="1">
      <c r="H6189" s="14"/>
      <c r="I6189" s="567"/>
      <c r="J6189" s="15"/>
    </row>
    <row r="6190" spans="8:10" ht="15.75" hidden="1" customHeight="1">
      <c r="H6190" s="14"/>
      <c r="I6190" s="567"/>
      <c r="J6190" s="15"/>
    </row>
    <row r="6191" spans="8:10" ht="15.75" hidden="1" customHeight="1">
      <c r="H6191" s="14"/>
      <c r="I6191" s="567"/>
      <c r="J6191" s="15"/>
    </row>
    <row r="6192" spans="8:10" ht="15.75" hidden="1" customHeight="1">
      <c r="H6192" s="14"/>
      <c r="I6192" s="567"/>
      <c r="J6192" s="15"/>
    </row>
    <row r="6193" spans="8:10" ht="15.75" hidden="1" customHeight="1">
      <c r="H6193" s="14"/>
      <c r="I6193" s="567"/>
      <c r="J6193" s="15"/>
    </row>
    <row r="6194" spans="8:10" ht="15.75" hidden="1" customHeight="1">
      <c r="H6194" s="14"/>
      <c r="I6194" s="567"/>
      <c r="J6194" s="15"/>
    </row>
    <row r="6195" spans="8:10" ht="15.75" hidden="1" customHeight="1">
      <c r="H6195" s="14"/>
      <c r="I6195" s="567"/>
      <c r="J6195" s="15"/>
    </row>
    <row r="6196" spans="8:10" ht="15.75" hidden="1" customHeight="1">
      <c r="H6196" s="14"/>
      <c r="I6196" s="567"/>
      <c r="J6196" s="15"/>
    </row>
    <row r="6197" spans="8:10" ht="15.75" hidden="1" customHeight="1">
      <c r="H6197" s="14"/>
      <c r="I6197" s="567"/>
      <c r="J6197" s="15"/>
    </row>
    <row r="6198" spans="8:10" ht="15.75" hidden="1" customHeight="1">
      <c r="H6198" s="14"/>
      <c r="I6198" s="567"/>
      <c r="J6198" s="15"/>
    </row>
    <row r="6199" spans="8:10" ht="15.75" hidden="1" customHeight="1">
      <c r="H6199" s="14"/>
      <c r="I6199" s="567"/>
      <c r="J6199" s="15"/>
    </row>
    <row r="6200" spans="8:10" ht="15.75" hidden="1" customHeight="1">
      <c r="H6200" s="14"/>
      <c r="I6200" s="567"/>
      <c r="J6200" s="15"/>
    </row>
    <row r="6201" spans="8:10" ht="15.75" hidden="1" customHeight="1">
      <c r="H6201" s="14"/>
      <c r="I6201" s="567"/>
      <c r="J6201" s="15"/>
    </row>
    <row r="6202" spans="8:10" ht="15.75" hidden="1" customHeight="1">
      <c r="H6202" s="14"/>
      <c r="I6202" s="567"/>
      <c r="J6202" s="15"/>
    </row>
    <row r="6203" spans="8:10" ht="15.75" hidden="1" customHeight="1">
      <c r="H6203" s="14"/>
      <c r="I6203" s="567"/>
      <c r="J6203" s="15"/>
    </row>
    <row r="6204" spans="8:10" ht="15.75" hidden="1" customHeight="1">
      <c r="H6204" s="14"/>
      <c r="I6204" s="567"/>
      <c r="J6204" s="15"/>
    </row>
    <row r="6205" spans="8:10" ht="15.75" hidden="1" customHeight="1">
      <c r="H6205" s="14"/>
      <c r="I6205" s="567"/>
      <c r="J6205" s="15"/>
    </row>
    <row r="6206" spans="8:10" ht="15.75" hidden="1" customHeight="1">
      <c r="H6206" s="14"/>
      <c r="I6206" s="567"/>
      <c r="J6206" s="15"/>
    </row>
    <row r="6207" spans="8:10" ht="15.75" hidden="1" customHeight="1">
      <c r="H6207" s="14"/>
      <c r="I6207" s="567"/>
      <c r="J6207" s="15"/>
    </row>
    <row r="6208" spans="8:10" ht="15.75" hidden="1" customHeight="1">
      <c r="H6208" s="14"/>
      <c r="I6208" s="567"/>
      <c r="J6208" s="15"/>
    </row>
    <row r="6209" spans="8:10" ht="15.75" hidden="1" customHeight="1">
      <c r="H6209" s="14"/>
      <c r="I6209" s="567"/>
      <c r="J6209" s="15"/>
    </row>
    <row r="6210" spans="8:10" ht="15.75" hidden="1" customHeight="1">
      <c r="H6210" s="14"/>
      <c r="I6210" s="567"/>
      <c r="J6210" s="15"/>
    </row>
    <row r="6211" spans="8:10" ht="15.75" hidden="1" customHeight="1">
      <c r="H6211" s="14"/>
      <c r="I6211" s="567"/>
      <c r="J6211" s="15"/>
    </row>
    <row r="6212" spans="8:10" ht="15.75" hidden="1" customHeight="1">
      <c r="H6212" s="14"/>
      <c r="I6212" s="567"/>
      <c r="J6212" s="15"/>
    </row>
    <row r="6213" spans="8:10" ht="15.75" hidden="1" customHeight="1">
      <c r="H6213" s="14"/>
      <c r="I6213" s="567"/>
      <c r="J6213" s="15"/>
    </row>
    <row r="6214" spans="8:10" ht="15.75" hidden="1" customHeight="1">
      <c r="H6214" s="14"/>
      <c r="I6214" s="567"/>
      <c r="J6214" s="15"/>
    </row>
    <row r="6215" spans="8:10" ht="15.75" hidden="1" customHeight="1">
      <c r="H6215" s="14"/>
      <c r="I6215" s="567"/>
      <c r="J6215" s="15"/>
    </row>
    <row r="6216" spans="8:10" ht="15.75" hidden="1" customHeight="1">
      <c r="H6216" s="14"/>
      <c r="I6216" s="567"/>
      <c r="J6216" s="15"/>
    </row>
    <row r="6217" spans="8:10" ht="15.75" hidden="1" customHeight="1">
      <c r="H6217" s="14"/>
      <c r="I6217" s="567"/>
      <c r="J6217" s="15"/>
    </row>
    <row r="6218" spans="8:10" ht="15.75" hidden="1" customHeight="1">
      <c r="H6218" s="14"/>
      <c r="I6218" s="567"/>
      <c r="J6218" s="15"/>
    </row>
    <row r="6219" spans="8:10" ht="15.75" hidden="1" customHeight="1">
      <c r="H6219" s="14"/>
      <c r="I6219" s="567"/>
      <c r="J6219" s="15"/>
    </row>
    <row r="6220" spans="8:10" ht="15.75" hidden="1" customHeight="1">
      <c r="H6220" s="14"/>
      <c r="I6220" s="567"/>
      <c r="J6220" s="15"/>
    </row>
    <row r="6221" spans="8:10" ht="15.75" hidden="1" customHeight="1">
      <c r="H6221" s="14"/>
      <c r="I6221" s="567"/>
      <c r="J6221" s="15"/>
    </row>
    <row r="6222" spans="8:10" ht="15.75" hidden="1" customHeight="1">
      <c r="H6222" s="14"/>
      <c r="I6222" s="567"/>
      <c r="J6222" s="15"/>
    </row>
    <row r="6223" spans="8:10" ht="15.75" hidden="1" customHeight="1">
      <c r="H6223" s="14"/>
      <c r="I6223" s="567"/>
      <c r="J6223" s="15"/>
    </row>
    <row r="6224" spans="8:10" ht="15.75" hidden="1" customHeight="1">
      <c r="H6224" s="14"/>
      <c r="I6224" s="567"/>
      <c r="J6224" s="15"/>
    </row>
    <row r="6225" spans="8:10" ht="15.75" hidden="1" customHeight="1">
      <c r="H6225" s="14"/>
      <c r="I6225" s="567"/>
      <c r="J6225" s="15"/>
    </row>
    <row r="6226" spans="8:10" ht="15.75" hidden="1" customHeight="1">
      <c r="H6226" s="14"/>
      <c r="I6226" s="567"/>
      <c r="J6226" s="15"/>
    </row>
    <row r="6227" spans="8:10" ht="15.75" hidden="1" customHeight="1">
      <c r="H6227" s="14"/>
      <c r="I6227" s="567"/>
      <c r="J6227" s="15"/>
    </row>
    <row r="6228" spans="8:10" ht="15.75" hidden="1" customHeight="1">
      <c r="H6228" s="14"/>
      <c r="I6228" s="567"/>
      <c r="J6228" s="15"/>
    </row>
    <row r="6229" spans="8:10" ht="15.75" hidden="1" customHeight="1">
      <c r="H6229" s="14"/>
      <c r="I6229" s="567"/>
      <c r="J6229" s="15"/>
    </row>
    <row r="6230" spans="8:10" ht="15.75" hidden="1" customHeight="1">
      <c r="H6230" s="14"/>
      <c r="I6230" s="567"/>
      <c r="J6230" s="15"/>
    </row>
    <row r="6231" spans="8:10" ht="15.75" hidden="1" customHeight="1">
      <c r="H6231" s="14"/>
      <c r="I6231" s="567"/>
      <c r="J6231" s="15"/>
    </row>
    <row r="6232" spans="8:10" ht="15.75" hidden="1" customHeight="1">
      <c r="H6232" s="14"/>
      <c r="I6232" s="567"/>
      <c r="J6232" s="15"/>
    </row>
    <row r="6233" spans="8:10" ht="15.75" hidden="1" customHeight="1">
      <c r="H6233" s="14"/>
      <c r="I6233" s="567"/>
      <c r="J6233" s="15"/>
    </row>
    <row r="6234" spans="8:10" ht="15.75" hidden="1" customHeight="1">
      <c r="H6234" s="14"/>
      <c r="I6234" s="567"/>
      <c r="J6234" s="15"/>
    </row>
    <row r="6235" spans="8:10" ht="15.75" hidden="1" customHeight="1">
      <c r="H6235" s="14"/>
      <c r="I6235" s="567"/>
      <c r="J6235" s="15"/>
    </row>
    <row r="6236" spans="8:10" ht="15.75" hidden="1" customHeight="1">
      <c r="H6236" s="14"/>
      <c r="I6236" s="567"/>
      <c r="J6236" s="15"/>
    </row>
    <row r="6237" spans="8:10" ht="15.75" hidden="1" customHeight="1">
      <c r="H6237" s="14"/>
      <c r="I6237" s="567"/>
      <c r="J6237" s="15"/>
    </row>
    <row r="6238" spans="8:10" ht="15.75" hidden="1" customHeight="1">
      <c r="H6238" s="14"/>
      <c r="I6238" s="567"/>
      <c r="J6238" s="15"/>
    </row>
    <row r="6239" spans="8:10" ht="15.75" hidden="1" customHeight="1">
      <c r="H6239" s="14"/>
      <c r="I6239" s="567"/>
      <c r="J6239" s="15"/>
    </row>
    <row r="6240" spans="8:10" ht="15.75" hidden="1" customHeight="1">
      <c r="H6240" s="14"/>
      <c r="I6240" s="567"/>
      <c r="J6240" s="15"/>
    </row>
    <row r="6241" spans="8:10" ht="15.75" hidden="1" customHeight="1">
      <c r="H6241" s="14"/>
      <c r="I6241" s="567"/>
      <c r="J6241" s="15"/>
    </row>
    <row r="6242" spans="8:10" ht="15.75" hidden="1" customHeight="1">
      <c r="H6242" s="14"/>
      <c r="I6242" s="567"/>
      <c r="J6242" s="15"/>
    </row>
    <row r="6243" spans="8:10" ht="15.75" hidden="1" customHeight="1">
      <c r="H6243" s="14"/>
      <c r="I6243" s="567"/>
      <c r="J6243" s="15"/>
    </row>
    <row r="6244" spans="8:10" ht="15.75" hidden="1" customHeight="1">
      <c r="H6244" s="14"/>
      <c r="I6244" s="567"/>
      <c r="J6244" s="15"/>
    </row>
    <row r="6245" spans="8:10" ht="15.75" hidden="1" customHeight="1">
      <c r="H6245" s="14"/>
      <c r="I6245" s="567"/>
      <c r="J6245" s="15"/>
    </row>
    <row r="6246" spans="8:10" ht="15.75" hidden="1" customHeight="1">
      <c r="H6246" s="14"/>
      <c r="I6246" s="567"/>
      <c r="J6246" s="15"/>
    </row>
    <row r="6247" spans="8:10" ht="15.75" hidden="1" customHeight="1">
      <c r="H6247" s="14"/>
      <c r="I6247" s="567"/>
      <c r="J6247" s="15"/>
    </row>
    <row r="6248" spans="8:10" ht="15.75" hidden="1" customHeight="1">
      <c r="H6248" s="14"/>
      <c r="I6248" s="567"/>
      <c r="J6248" s="15"/>
    </row>
    <row r="6249" spans="8:10" ht="15.75" hidden="1" customHeight="1">
      <c r="H6249" s="14"/>
      <c r="I6249" s="567"/>
      <c r="J6249" s="15"/>
    </row>
    <row r="6250" spans="8:10" ht="15.75" hidden="1" customHeight="1">
      <c r="H6250" s="14"/>
      <c r="I6250" s="567"/>
      <c r="J6250" s="15"/>
    </row>
    <row r="6251" spans="8:10" ht="15.75" hidden="1" customHeight="1">
      <c r="H6251" s="14"/>
      <c r="I6251" s="567"/>
      <c r="J6251" s="15"/>
    </row>
    <row r="6252" spans="8:10" ht="15.75" hidden="1" customHeight="1">
      <c r="H6252" s="14"/>
      <c r="I6252" s="567"/>
      <c r="J6252" s="15"/>
    </row>
    <row r="6253" spans="8:10" ht="15.75" hidden="1" customHeight="1">
      <c r="H6253" s="14"/>
      <c r="I6253" s="567"/>
      <c r="J6253" s="15"/>
    </row>
    <row r="6254" spans="8:10" ht="15.75" hidden="1" customHeight="1">
      <c r="H6254" s="14"/>
      <c r="I6254" s="567"/>
      <c r="J6254" s="15"/>
    </row>
    <row r="6255" spans="8:10" ht="15.75" hidden="1" customHeight="1">
      <c r="H6255" s="14"/>
      <c r="I6255" s="567"/>
      <c r="J6255" s="15"/>
    </row>
    <row r="6256" spans="8:10" ht="15.75" hidden="1" customHeight="1">
      <c r="H6256" s="14"/>
      <c r="I6256" s="567"/>
      <c r="J6256" s="15"/>
    </row>
    <row r="6257" spans="8:10" ht="15.75" hidden="1" customHeight="1">
      <c r="H6257" s="14"/>
      <c r="I6257" s="567"/>
      <c r="J6257" s="15"/>
    </row>
    <row r="6258" spans="8:10" ht="15.75" hidden="1" customHeight="1">
      <c r="H6258" s="14"/>
      <c r="I6258" s="567"/>
      <c r="J6258" s="15"/>
    </row>
    <row r="6259" spans="8:10" ht="15.75" hidden="1" customHeight="1">
      <c r="H6259" s="14"/>
      <c r="I6259" s="567"/>
      <c r="J6259" s="15"/>
    </row>
    <row r="6260" spans="8:10" ht="15.75" hidden="1" customHeight="1">
      <c r="H6260" s="14"/>
      <c r="I6260" s="567"/>
      <c r="J6260" s="15"/>
    </row>
    <row r="6261" spans="8:10" ht="15.75" hidden="1" customHeight="1">
      <c r="H6261" s="14"/>
      <c r="I6261" s="567"/>
      <c r="J6261" s="15"/>
    </row>
    <row r="6262" spans="8:10" ht="15.75" hidden="1" customHeight="1">
      <c r="H6262" s="14"/>
      <c r="I6262" s="567"/>
      <c r="J6262" s="15"/>
    </row>
    <row r="6263" spans="8:10" ht="15.75" hidden="1" customHeight="1">
      <c r="H6263" s="14"/>
      <c r="I6263" s="567"/>
      <c r="J6263" s="15"/>
    </row>
    <row r="6264" spans="8:10" ht="15.75" hidden="1" customHeight="1">
      <c r="H6264" s="14"/>
      <c r="I6264" s="567"/>
      <c r="J6264" s="15"/>
    </row>
    <row r="6265" spans="8:10" ht="15.75" hidden="1" customHeight="1">
      <c r="H6265" s="14"/>
      <c r="I6265" s="567"/>
      <c r="J6265" s="15"/>
    </row>
    <row r="6266" spans="8:10" ht="15.75" hidden="1" customHeight="1">
      <c r="H6266" s="14"/>
      <c r="I6266" s="567"/>
      <c r="J6266" s="15"/>
    </row>
    <row r="6267" spans="8:10" ht="15.75" hidden="1" customHeight="1">
      <c r="H6267" s="14"/>
      <c r="I6267" s="567"/>
      <c r="J6267" s="15"/>
    </row>
    <row r="6268" spans="8:10" ht="15.75" hidden="1" customHeight="1">
      <c r="H6268" s="14"/>
      <c r="I6268" s="567"/>
      <c r="J6268" s="15"/>
    </row>
    <row r="6269" spans="8:10" ht="15.75" hidden="1" customHeight="1">
      <c r="H6269" s="14"/>
      <c r="I6269" s="567"/>
      <c r="J6269" s="15"/>
    </row>
    <row r="6270" spans="8:10" ht="15.75" hidden="1" customHeight="1">
      <c r="H6270" s="14"/>
      <c r="I6270" s="567"/>
      <c r="J6270" s="15"/>
    </row>
    <row r="6271" spans="8:10" ht="15.75" hidden="1" customHeight="1">
      <c r="H6271" s="14"/>
      <c r="I6271" s="567"/>
      <c r="J6271" s="15"/>
    </row>
    <row r="6272" spans="8:10" ht="15.75" hidden="1" customHeight="1">
      <c r="H6272" s="14"/>
      <c r="I6272" s="567"/>
      <c r="J6272" s="15"/>
    </row>
    <row r="6273" spans="8:10" ht="15.75" hidden="1" customHeight="1">
      <c r="H6273" s="14"/>
      <c r="I6273" s="567"/>
      <c r="J6273" s="15"/>
    </row>
    <row r="6274" spans="8:10" ht="15.75" hidden="1" customHeight="1">
      <c r="H6274" s="14"/>
      <c r="I6274" s="567"/>
      <c r="J6274" s="15"/>
    </row>
    <row r="6275" spans="8:10" ht="15.75" hidden="1" customHeight="1">
      <c r="H6275" s="14"/>
      <c r="I6275" s="567"/>
      <c r="J6275" s="15"/>
    </row>
    <row r="6276" spans="8:10" ht="15.75" hidden="1" customHeight="1">
      <c r="H6276" s="14"/>
      <c r="I6276" s="567"/>
      <c r="J6276" s="15"/>
    </row>
    <row r="6277" spans="8:10" ht="15.75" hidden="1" customHeight="1">
      <c r="H6277" s="14"/>
      <c r="I6277" s="567"/>
      <c r="J6277" s="15"/>
    </row>
    <row r="6278" spans="8:10" ht="15.75" hidden="1" customHeight="1">
      <c r="H6278" s="14"/>
      <c r="I6278" s="567"/>
      <c r="J6278" s="15"/>
    </row>
    <row r="6279" spans="8:10" ht="15.75" hidden="1" customHeight="1">
      <c r="H6279" s="14"/>
      <c r="I6279" s="567"/>
      <c r="J6279" s="15"/>
    </row>
    <row r="6280" spans="8:10" ht="15.75" hidden="1" customHeight="1">
      <c r="H6280" s="14"/>
      <c r="I6280" s="567"/>
      <c r="J6280" s="15"/>
    </row>
    <row r="6281" spans="8:10" ht="15.75" hidden="1" customHeight="1">
      <c r="H6281" s="14"/>
      <c r="I6281" s="567"/>
      <c r="J6281" s="15"/>
    </row>
    <row r="6282" spans="8:10" ht="15.75" hidden="1" customHeight="1">
      <c r="H6282" s="14"/>
      <c r="I6282" s="567"/>
      <c r="J6282" s="15"/>
    </row>
    <row r="6283" spans="8:10" ht="15.75" hidden="1" customHeight="1">
      <c r="H6283" s="14"/>
      <c r="I6283" s="567"/>
      <c r="J6283" s="15"/>
    </row>
    <row r="6284" spans="8:10" ht="15.75" hidden="1" customHeight="1">
      <c r="H6284" s="14"/>
      <c r="I6284" s="567"/>
      <c r="J6284" s="15"/>
    </row>
    <row r="6285" spans="8:10" ht="15.75" hidden="1" customHeight="1">
      <c r="H6285" s="14"/>
      <c r="I6285" s="567"/>
      <c r="J6285" s="15"/>
    </row>
    <row r="6286" spans="8:10" ht="15.75" hidden="1" customHeight="1">
      <c r="H6286" s="14"/>
      <c r="I6286" s="567"/>
      <c r="J6286" s="15"/>
    </row>
    <row r="6287" spans="8:10" ht="15.75" hidden="1" customHeight="1">
      <c r="H6287" s="14"/>
      <c r="I6287" s="567"/>
      <c r="J6287" s="15"/>
    </row>
    <row r="6288" spans="8:10" ht="15.75" hidden="1" customHeight="1">
      <c r="H6288" s="14"/>
      <c r="I6288" s="567"/>
      <c r="J6288" s="15"/>
    </row>
    <row r="6289" spans="8:10" ht="15.75" hidden="1" customHeight="1">
      <c r="H6289" s="14"/>
      <c r="I6289" s="567"/>
      <c r="J6289" s="15"/>
    </row>
    <row r="6290" spans="8:10" ht="15.75" hidden="1" customHeight="1">
      <c r="H6290" s="14"/>
      <c r="I6290" s="567"/>
      <c r="J6290" s="15"/>
    </row>
    <row r="6291" spans="8:10" ht="15.75" hidden="1" customHeight="1">
      <c r="H6291" s="14"/>
      <c r="I6291" s="567"/>
      <c r="J6291" s="15"/>
    </row>
    <row r="6292" spans="8:10" ht="15.75" hidden="1" customHeight="1">
      <c r="H6292" s="14"/>
      <c r="I6292" s="567"/>
      <c r="J6292" s="15"/>
    </row>
    <row r="6293" spans="8:10" ht="15.75" hidden="1" customHeight="1">
      <c r="H6293" s="14"/>
      <c r="I6293" s="567"/>
      <c r="J6293" s="15"/>
    </row>
    <row r="6294" spans="8:10" ht="15.75" hidden="1" customHeight="1">
      <c r="H6294" s="14"/>
      <c r="I6294" s="567"/>
      <c r="J6294" s="15"/>
    </row>
    <row r="6295" spans="8:10" ht="15.75" hidden="1" customHeight="1">
      <c r="H6295" s="14"/>
      <c r="I6295" s="567"/>
      <c r="J6295" s="15"/>
    </row>
    <row r="6296" spans="8:10" ht="15.75" hidden="1" customHeight="1">
      <c r="H6296" s="14"/>
      <c r="I6296" s="567"/>
      <c r="J6296" s="15"/>
    </row>
    <row r="6297" spans="8:10" ht="15.75" hidden="1" customHeight="1">
      <c r="H6297" s="14"/>
      <c r="I6297" s="567"/>
      <c r="J6297" s="15"/>
    </row>
    <row r="6298" spans="8:10" ht="15.75" hidden="1" customHeight="1">
      <c r="H6298" s="14"/>
      <c r="I6298" s="567"/>
      <c r="J6298" s="15"/>
    </row>
    <row r="6299" spans="8:10" ht="15.75" hidden="1" customHeight="1">
      <c r="H6299" s="14"/>
      <c r="I6299" s="567"/>
      <c r="J6299" s="15"/>
    </row>
    <row r="6300" spans="8:10" ht="15.75" hidden="1" customHeight="1">
      <c r="H6300" s="14"/>
      <c r="I6300" s="567"/>
      <c r="J6300" s="15"/>
    </row>
    <row r="6301" spans="8:10" ht="15.75" hidden="1" customHeight="1">
      <c r="H6301" s="14"/>
      <c r="I6301" s="567"/>
      <c r="J6301" s="15"/>
    </row>
    <row r="6302" spans="8:10" ht="15.75" hidden="1" customHeight="1">
      <c r="H6302" s="14"/>
      <c r="I6302" s="567"/>
      <c r="J6302" s="15"/>
    </row>
    <row r="6303" spans="8:10" ht="15.75" hidden="1" customHeight="1">
      <c r="H6303" s="14"/>
      <c r="I6303" s="567"/>
      <c r="J6303" s="15"/>
    </row>
    <row r="6304" spans="8:10" ht="15.75" hidden="1" customHeight="1">
      <c r="H6304" s="14"/>
      <c r="I6304" s="567"/>
      <c r="J6304" s="15"/>
    </row>
    <row r="6305" spans="8:10" ht="15.75" hidden="1" customHeight="1">
      <c r="H6305" s="14"/>
      <c r="I6305" s="567"/>
      <c r="J6305" s="15"/>
    </row>
    <row r="6306" spans="8:10" ht="15.75" hidden="1" customHeight="1">
      <c r="H6306" s="14"/>
      <c r="I6306" s="567"/>
      <c r="J6306" s="15"/>
    </row>
    <row r="6307" spans="8:10" ht="15.75" hidden="1" customHeight="1">
      <c r="H6307" s="14"/>
      <c r="I6307" s="567"/>
      <c r="J6307" s="15"/>
    </row>
    <row r="6308" spans="8:10" ht="15.75" hidden="1" customHeight="1">
      <c r="H6308" s="14"/>
      <c r="I6308" s="567"/>
      <c r="J6308" s="15"/>
    </row>
    <row r="6309" spans="8:10" ht="15.75" hidden="1" customHeight="1">
      <c r="H6309" s="14"/>
      <c r="I6309" s="567"/>
      <c r="J6309" s="15"/>
    </row>
    <row r="6310" spans="8:10" ht="15.75" hidden="1" customHeight="1">
      <c r="H6310" s="14"/>
      <c r="I6310" s="567"/>
      <c r="J6310" s="15"/>
    </row>
    <row r="6311" spans="8:10" ht="15.75" hidden="1" customHeight="1">
      <c r="H6311" s="14"/>
      <c r="I6311" s="567"/>
      <c r="J6311" s="15"/>
    </row>
    <row r="6312" spans="8:10" ht="15.75" hidden="1" customHeight="1">
      <c r="H6312" s="14"/>
      <c r="I6312" s="567"/>
      <c r="J6312" s="15"/>
    </row>
    <row r="6313" spans="8:10" ht="15.75" hidden="1" customHeight="1">
      <c r="H6313" s="14"/>
      <c r="I6313" s="567"/>
      <c r="J6313" s="15"/>
    </row>
    <row r="6314" spans="8:10" ht="15.75" hidden="1" customHeight="1">
      <c r="H6314" s="14"/>
      <c r="I6314" s="567"/>
      <c r="J6314" s="15"/>
    </row>
    <row r="6315" spans="8:10" ht="15.75" hidden="1" customHeight="1">
      <c r="H6315" s="14"/>
      <c r="I6315" s="567"/>
      <c r="J6315" s="15"/>
    </row>
    <row r="6316" spans="8:10" ht="15.75" hidden="1" customHeight="1">
      <c r="H6316" s="14"/>
      <c r="I6316" s="567"/>
      <c r="J6316" s="15"/>
    </row>
    <row r="6317" spans="8:10" ht="15.75" hidden="1" customHeight="1">
      <c r="H6317" s="14"/>
      <c r="I6317" s="567"/>
      <c r="J6317" s="15"/>
    </row>
    <row r="6318" spans="8:10" ht="15.75" hidden="1" customHeight="1">
      <c r="H6318" s="14"/>
      <c r="I6318" s="567"/>
      <c r="J6318" s="15"/>
    </row>
    <row r="6319" spans="8:10" ht="15.75" hidden="1" customHeight="1">
      <c r="H6319" s="14"/>
      <c r="I6319" s="567"/>
      <c r="J6319" s="15"/>
    </row>
    <row r="6320" spans="8:10" ht="15.75" hidden="1" customHeight="1">
      <c r="H6320" s="14"/>
      <c r="I6320" s="567"/>
      <c r="J6320" s="15"/>
    </row>
    <row r="6321" spans="8:10" ht="15.75" hidden="1" customHeight="1">
      <c r="H6321" s="14"/>
      <c r="I6321" s="567"/>
      <c r="J6321" s="15"/>
    </row>
    <row r="6322" spans="8:10" ht="15.75" hidden="1" customHeight="1">
      <c r="H6322" s="14"/>
      <c r="I6322" s="567"/>
      <c r="J6322" s="15"/>
    </row>
    <row r="6323" spans="8:10" ht="15.75" hidden="1" customHeight="1">
      <c r="H6323" s="14"/>
      <c r="I6323" s="567"/>
      <c r="J6323" s="15"/>
    </row>
    <row r="6324" spans="8:10" ht="15.75" hidden="1" customHeight="1">
      <c r="H6324" s="14"/>
      <c r="I6324" s="567"/>
      <c r="J6324" s="15"/>
    </row>
    <row r="6325" spans="8:10" ht="15.75" hidden="1" customHeight="1">
      <c r="H6325" s="14"/>
      <c r="I6325" s="567"/>
      <c r="J6325" s="15"/>
    </row>
    <row r="6326" spans="8:10" ht="15.75" hidden="1" customHeight="1">
      <c r="H6326" s="14"/>
      <c r="I6326" s="567"/>
      <c r="J6326" s="15"/>
    </row>
    <row r="6327" spans="8:10" ht="15.75" hidden="1" customHeight="1">
      <c r="H6327" s="14"/>
      <c r="I6327" s="567"/>
      <c r="J6327" s="15"/>
    </row>
    <row r="6328" spans="8:10" ht="15.75" hidden="1" customHeight="1">
      <c r="H6328" s="14"/>
      <c r="I6328" s="567"/>
      <c r="J6328" s="15"/>
    </row>
    <row r="6329" spans="8:10" ht="15.75" hidden="1" customHeight="1">
      <c r="H6329" s="14"/>
      <c r="I6329" s="567"/>
      <c r="J6329" s="15"/>
    </row>
    <row r="6330" spans="8:10" ht="15.75" hidden="1" customHeight="1">
      <c r="H6330" s="14"/>
      <c r="I6330" s="567"/>
      <c r="J6330" s="15"/>
    </row>
    <row r="6331" spans="8:10" ht="15.75" hidden="1" customHeight="1">
      <c r="H6331" s="14"/>
      <c r="I6331" s="567"/>
      <c r="J6331" s="15"/>
    </row>
    <row r="6332" spans="8:10" ht="15.75" hidden="1" customHeight="1">
      <c r="H6332" s="14"/>
      <c r="I6332" s="567"/>
      <c r="J6332" s="15"/>
    </row>
    <row r="6333" spans="8:10" ht="15.75" hidden="1" customHeight="1">
      <c r="H6333" s="14"/>
      <c r="I6333" s="567"/>
      <c r="J6333" s="15"/>
    </row>
    <row r="6334" spans="8:10" ht="15.75" hidden="1" customHeight="1">
      <c r="H6334" s="14"/>
      <c r="I6334" s="567"/>
      <c r="J6334" s="15"/>
    </row>
    <row r="6335" spans="8:10" ht="15.75" hidden="1" customHeight="1">
      <c r="H6335" s="14"/>
      <c r="I6335" s="567"/>
      <c r="J6335" s="15"/>
    </row>
    <row r="6336" spans="8:10" ht="15.75" hidden="1" customHeight="1">
      <c r="H6336" s="14"/>
      <c r="I6336" s="567"/>
      <c r="J6336" s="15"/>
    </row>
    <row r="6337" spans="8:10" ht="15.75" hidden="1" customHeight="1">
      <c r="H6337" s="14"/>
      <c r="I6337" s="567"/>
      <c r="J6337" s="15"/>
    </row>
    <row r="6338" spans="8:10" ht="15.75" hidden="1" customHeight="1">
      <c r="H6338" s="14"/>
      <c r="I6338" s="567"/>
      <c r="J6338" s="15"/>
    </row>
    <row r="6339" spans="8:10" ht="15.75" hidden="1" customHeight="1">
      <c r="H6339" s="14"/>
      <c r="I6339" s="567"/>
      <c r="J6339" s="15"/>
    </row>
    <row r="6340" spans="8:10" ht="15.75" hidden="1" customHeight="1">
      <c r="H6340" s="14"/>
      <c r="I6340" s="567"/>
      <c r="J6340" s="15"/>
    </row>
    <row r="6341" spans="8:10" ht="15.75" hidden="1" customHeight="1">
      <c r="H6341" s="14"/>
      <c r="I6341" s="567"/>
      <c r="J6341" s="15"/>
    </row>
    <row r="6342" spans="8:10" ht="15.75" hidden="1" customHeight="1">
      <c r="H6342" s="14"/>
      <c r="I6342" s="567"/>
      <c r="J6342" s="15"/>
    </row>
    <row r="6343" spans="8:10" ht="15.75" hidden="1" customHeight="1">
      <c r="H6343" s="14"/>
      <c r="I6343" s="567"/>
      <c r="J6343" s="15"/>
    </row>
    <row r="6344" spans="8:10" ht="15.75" hidden="1" customHeight="1">
      <c r="H6344" s="14"/>
      <c r="I6344" s="567"/>
      <c r="J6344" s="15"/>
    </row>
    <row r="6345" spans="8:10" ht="15.75" hidden="1" customHeight="1">
      <c r="H6345" s="14"/>
      <c r="I6345" s="567"/>
      <c r="J6345" s="15"/>
    </row>
    <row r="6346" spans="8:10" ht="15.75" hidden="1" customHeight="1">
      <c r="H6346" s="14"/>
      <c r="I6346" s="567"/>
      <c r="J6346" s="15"/>
    </row>
    <row r="6347" spans="8:10" ht="15.75" hidden="1" customHeight="1">
      <c r="H6347" s="14"/>
      <c r="I6347" s="567"/>
      <c r="J6347" s="15"/>
    </row>
    <row r="6348" spans="8:10" ht="15.75" hidden="1" customHeight="1">
      <c r="H6348" s="14"/>
      <c r="I6348" s="567"/>
      <c r="J6348" s="15"/>
    </row>
    <row r="6349" spans="8:10" ht="15.75" hidden="1" customHeight="1">
      <c r="H6349" s="14"/>
      <c r="I6349" s="567"/>
      <c r="J6349" s="15"/>
    </row>
    <row r="6350" spans="8:10" ht="15.75" hidden="1" customHeight="1">
      <c r="H6350" s="14"/>
      <c r="I6350" s="567"/>
      <c r="J6350" s="15"/>
    </row>
    <row r="6351" spans="8:10" ht="15.75" hidden="1" customHeight="1">
      <c r="H6351" s="14"/>
      <c r="I6351" s="567"/>
      <c r="J6351" s="15"/>
    </row>
    <row r="6352" spans="8:10" ht="15.75" hidden="1" customHeight="1">
      <c r="H6352" s="14"/>
      <c r="I6352" s="567"/>
      <c r="J6352" s="15"/>
    </row>
    <row r="6353" spans="8:10" ht="15.75" hidden="1" customHeight="1">
      <c r="H6353" s="14"/>
      <c r="I6353" s="567"/>
      <c r="J6353" s="15"/>
    </row>
    <row r="6354" spans="8:10" ht="15.75" hidden="1" customHeight="1">
      <c r="H6354" s="14"/>
      <c r="I6354" s="567"/>
      <c r="J6354" s="15"/>
    </row>
    <row r="6355" spans="8:10" ht="15.75" hidden="1" customHeight="1">
      <c r="H6355" s="14"/>
      <c r="I6355" s="567"/>
      <c r="J6355" s="15"/>
    </row>
    <row r="6356" spans="8:10" ht="15.75" hidden="1" customHeight="1">
      <c r="H6356" s="14"/>
      <c r="I6356" s="567"/>
      <c r="J6356" s="15"/>
    </row>
    <row r="6357" spans="8:10" ht="15.75" hidden="1" customHeight="1">
      <c r="H6357" s="14"/>
      <c r="I6357" s="567"/>
      <c r="J6357" s="15"/>
    </row>
    <row r="6358" spans="8:10" ht="15.75" hidden="1" customHeight="1">
      <c r="H6358" s="14"/>
      <c r="I6358" s="567"/>
      <c r="J6358" s="15"/>
    </row>
    <row r="6359" spans="8:10" ht="15.75" hidden="1" customHeight="1">
      <c r="H6359" s="14"/>
      <c r="I6359" s="567"/>
      <c r="J6359" s="15"/>
    </row>
    <row r="6360" spans="8:10" ht="15.75" hidden="1" customHeight="1">
      <c r="H6360" s="14"/>
      <c r="I6360" s="567"/>
      <c r="J6360" s="15"/>
    </row>
    <row r="6361" spans="8:10" ht="15.75" hidden="1" customHeight="1">
      <c r="H6361" s="14"/>
      <c r="I6361" s="567"/>
      <c r="J6361" s="15"/>
    </row>
    <row r="6362" spans="8:10" ht="15.75" hidden="1" customHeight="1">
      <c r="H6362" s="14"/>
      <c r="I6362" s="567"/>
      <c r="J6362" s="15"/>
    </row>
    <row r="6363" spans="8:10" ht="15.75" hidden="1" customHeight="1">
      <c r="H6363" s="14"/>
      <c r="I6363" s="567"/>
      <c r="J6363" s="15"/>
    </row>
    <row r="6364" spans="8:10" ht="15.75" hidden="1" customHeight="1">
      <c r="H6364" s="14"/>
      <c r="I6364" s="567"/>
      <c r="J6364" s="15"/>
    </row>
    <row r="6365" spans="8:10" ht="15.75" hidden="1" customHeight="1">
      <c r="H6365" s="14"/>
      <c r="I6365" s="567"/>
      <c r="J6365" s="15"/>
    </row>
    <row r="6366" spans="8:10" ht="15.75" hidden="1" customHeight="1">
      <c r="H6366" s="14"/>
      <c r="I6366" s="567"/>
      <c r="J6366" s="15"/>
    </row>
    <row r="6367" spans="8:10" ht="15.75" hidden="1" customHeight="1">
      <c r="H6367" s="14"/>
      <c r="I6367" s="567"/>
      <c r="J6367" s="15"/>
    </row>
    <row r="6368" spans="8:10" ht="15.75" hidden="1" customHeight="1">
      <c r="H6368" s="14"/>
      <c r="I6368" s="567"/>
      <c r="J6368" s="15"/>
    </row>
    <row r="6369" spans="8:10" ht="15.75" hidden="1" customHeight="1">
      <c r="H6369" s="14"/>
      <c r="I6369" s="567"/>
      <c r="J6369" s="15"/>
    </row>
    <row r="6370" spans="8:10" ht="15.75" hidden="1" customHeight="1">
      <c r="H6370" s="14"/>
      <c r="I6370" s="567"/>
      <c r="J6370" s="15"/>
    </row>
    <row r="6371" spans="8:10" ht="15.75" hidden="1" customHeight="1">
      <c r="H6371" s="14"/>
      <c r="I6371" s="567"/>
      <c r="J6371" s="15"/>
    </row>
    <row r="6372" spans="8:10" ht="15.75" hidden="1" customHeight="1">
      <c r="H6372" s="14"/>
      <c r="I6372" s="567"/>
      <c r="J6372" s="15"/>
    </row>
    <row r="6373" spans="8:10" ht="15.75" hidden="1" customHeight="1">
      <c r="H6373" s="14"/>
      <c r="I6373" s="567"/>
      <c r="J6373" s="15"/>
    </row>
    <row r="6374" spans="8:10" ht="15.75" hidden="1" customHeight="1">
      <c r="H6374" s="14"/>
      <c r="I6374" s="567"/>
      <c r="J6374" s="15"/>
    </row>
    <row r="6375" spans="8:10" ht="15.75" hidden="1" customHeight="1">
      <c r="H6375" s="14"/>
      <c r="I6375" s="567"/>
      <c r="J6375" s="15"/>
    </row>
    <row r="6376" spans="8:10" ht="15.75" hidden="1" customHeight="1">
      <c r="H6376" s="14"/>
      <c r="I6376" s="567"/>
      <c r="J6376" s="15"/>
    </row>
    <row r="6377" spans="8:10" ht="15.75" hidden="1" customHeight="1">
      <c r="H6377" s="14"/>
      <c r="I6377" s="567"/>
      <c r="J6377" s="15"/>
    </row>
    <row r="6378" spans="8:10" ht="15.75" hidden="1" customHeight="1">
      <c r="H6378" s="14"/>
      <c r="I6378" s="567"/>
      <c r="J6378" s="15"/>
    </row>
    <row r="6379" spans="8:10" ht="15.75" hidden="1" customHeight="1">
      <c r="H6379" s="14"/>
      <c r="I6379" s="567"/>
      <c r="J6379" s="15"/>
    </row>
    <row r="6380" spans="8:10" ht="15.75" hidden="1" customHeight="1">
      <c r="H6380" s="14"/>
      <c r="I6380" s="567"/>
      <c r="J6380" s="15"/>
    </row>
    <row r="6381" spans="8:10" ht="15.75" hidden="1" customHeight="1">
      <c r="H6381" s="14"/>
      <c r="I6381" s="567"/>
      <c r="J6381" s="15"/>
    </row>
    <row r="6382" spans="8:10" ht="15.75" hidden="1" customHeight="1">
      <c r="H6382" s="14"/>
      <c r="I6382" s="567"/>
      <c r="J6382" s="15"/>
    </row>
    <row r="6383" spans="8:10" ht="15.75" hidden="1" customHeight="1">
      <c r="H6383" s="14"/>
      <c r="I6383" s="567"/>
      <c r="J6383" s="15"/>
    </row>
    <row r="6384" spans="8:10" ht="15.75" hidden="1" customHeight="1">
      <c r="H6384" s="14"/>
      <c r="I6384" s="567"/>
      <c r="J6384" s="15"/>
    </row>
    <row r="6385" spans="8:10" ht="15.75" hidden="1" customHeight="1">
      <c r="H6385" s="14"/>
      <c r="I6385" s="567"/>
      <c r="J6385" s="15"/>
    </row>
    <row r="6386" spans="8:10" ht="15.75" hidden="1" customHeight="1">
      <c r="H6386" s="14"/>
      <c r="I6386" s="567"/>
      <c r="J6386" s="15"/>
    </row>
    <row r="6387" spans="8:10" ht="15.75" hidden="1" customHeight="1">
      <c r="H6387" s="14"/>
      <c r="I6387" s="567"/>
      <c r="J6387" s="15"/>
    </row>
    <row r="6388" spans="8:10" ht="15.75" hidden="1" customHeight="1">
      <c r="H6388" s="14"/>
      <c r="I6388" s="567"/>
      <c r="J6388" s="15"/>
    </row>
    <row r="6389" spans="8:10" ht="15.75" hidden="1" customHeight="1">
      <c r="H6389" s="14"/>
      <c r="I6389" s="567"/>
      <c r="J6389" s="15"/>
    </row>
    <row r="6390" spans="8:10" ht="15.75" hidden="1" customHeight="1">
      <c r="H6390" s="14"/>
      <c r="I6390" s="567"/>
      <c r="J6390" s="15"/>
    </row>
    <row r="6391" spans="8:10" ht="15.75" hidden="1" customHeight="1">
      <c r="H6391" s="14"/>
      <c r="I6391" s="567"/>
      <c r="J6391" s="15"/>
    </row>
    <row r="6392" spans="8:10" ht="15.75" hidden="1" customHeight="1">
      <c r="H6392" s="14"/>
      <c r="I6392" s="567"/>
      <c r="J6392" s="15"/>
    </row>
    <row r="6393" spans="8:10" ht="15.75" hidden="1" customHeight="1">
      <c r="H6393" s="14"/>
      <c r="I6393" s="567"/>
      <c r="J6393" s="15"/>
    </row>
    <row r="6394" spans="8:10" ht="15.75" hidden="1" customHeight="1">
      <c r="H6394" s="14"/>
      <c r="I6394" s="567"/>
      <c r="J6394" s="15"/>
    </row>
    <row r="6395" spans="8:10" ht="15.75" hidden="1" customHeight="1">
      <c r="H6395" s="14"/>
      <c r="I6395" s="567"/>
      <c r="J6395" s="15"/>
    </row>
    <row r="6396" spans="8:10" ht="15.75" hidden="1" customHeight="1">
      <c r="H6396" s="14"/>
      <c r="I6396" s="567"/>
      <c r="J6396" s="15"/>
    </row>
    <row r="6397" spans="8:10" ht="15.75" hidden="1" customHeight="1">
      <c r="H6397" s="14"/>
      <c r="I6397" s="567"/>
      <c r="J6397" s="15"/>
    </row>
    <row r="6398" spans="8:10" ht="15.75" hidden="1" customHeight="1">
      <c r="H6398" s="14"/>
      <c r="I6398" s="567"/>
      <c r="J6398" s="15"/>
    </row>
    <row r="6399" spans="8:10" ht="15.75" hidden="1" customHeight="1">
      <c r="H6399" s="14"/>
      <c r="I6399" s="567"/>
      <c r="J6399" s="15"/>
    </row>
    <row r="6400" spans="8:10" ht="15.75" hidden="1" customHeight="1">
      <c r="H6400" s="14"/>
      <c r="I6400" s="567"/>
      <c r="J6400" s="15"/>
    </row>
    <row r="6401" spans="8:10" ht="15.75" hidden="1" customHeight="1">
      <c r="H6401" s="14"/>
      <c r="I6401" s="567"/>
      <c r="J6401" s="15"/>
    </row>
    <row r="6402" spans="8:10" ht="15.75" hidden="1" customHeight="1">
      <c r="H6402" s="14"/>
      <c r="I6402" s="567"/>
      <c r="J6402" s="15"/>
    </row>
    <row r="6403" spans="8:10" ht="15.75" hidden="1" customHeight="1">
      <c r="H6403" s="14"/>
      <c r="I6403" s="567"/>
      <c r="J6403" s="15"/>
    </row>
    <row r="6404" spans="8:10" ht="15.75" hidden="1" customHeight="1">
      <c r="H6404" s="14"/>
      <c r="I6404" s="567"/>
      <c r="J6404" s="15"/>
    </row>
    <row r="6405" spans="8:10" ht="15.75" hidden="1" customHeight="1">
      <c r="H6405" s="14"/>
      <c r="I6405" s="567"/>
      <c r="J6405" s="15"/>
    </row>
    <row r="6406" spans="8:10" ht="15.75" hidden="1" customHeight="1">
      <c r="H6406" s="14"/>
      <c r="I6406" s="567"/>
      <c r="J6406" s="15"/>
    </row>
    <row r="6407" spans="8:10" ht="15.75" hidden="1" customHeight="1">
      <c r="H6407" s="14"/>
      <c r="I6407" s="567"/>
      <c r="J6407" s="15"/>
    </row>
    <row r="6408" spans="8:10" ht="15.75" hidden="1" customHeight="1">
      <c r="H6408" s="14"/>
      <c r="I6408" s="567"/>
      <c r="J6408" s="15"/>
    </row>
    <row r="6409" spans="8:10" ht="15.75" hidden="1" customHeight="1">
      <c r="H6409" s="14"/>
      <c r="I6409" s="567"/>
      <c r="J6409" s="15"/>
    </row>
    <row r="6410" spans="8:10" ht="15.75" hidden="1" customHeight="1">
      <c r="H6410" s="14"/>
      <c r="I6410" s="567"/>
      <c r="J6410" s="15"/>
    </row>
    <row r="6411" spans="8:10" ht="15.75" hidden="1" customHeight="1">
      <c r="H6411" s="14"/>
      <c r="I6411" s="567"/>
      <c r="J6411" s="15"/>
    </row>
    <row r="6412" spans="8:10" ht="15.75" hidden="1" customHeight="1">
      <c r="H6412" s="14"/>
      <c r="I6412" s="567"/>
      <c r="J6412" s="15"/>
    </row>
    <row r="6413" spans="8:10" ht="15.75" hidden="1" customHeight="1">
      <c r="H6413" s="14"/>
      <c r="I6413" s="567"/>
      <c r="J6413" s="15"/>
    </row>
    <row r="6414" spans="8:10" ht="15.75" hidden="1" customHeight="1">
      <c r="H6414" s="14"/>
      <c r="I6414" s="567"/>
      <c r="J6414" s="15"/>
    </row>
    <row r="6415" spans="8:10" ht="15.75" hidden="1" customHeight="1">
      <c r="H6415" s="14"/>
      <c r="I6415" s="567"/>
      <c r="J6415" s="15"/>
    </row>
    <row r="6416" spans="8:10" ht="15.75" hidden="1" customHeight="1">
      <c r="H6416" s="14"/>
      <c r="I6416" s="567"/>
      <c r="J6416" s="15"/>
    </row>
    <row r="6417" spans="8:10" ht="15.75" hidden="1" customHeight="1">
      <c r="H6417" s="14"/>
      <c r="I6417" s="567"/>
      <c r="J6417" s="15"/>
    </row>
    <row r="6418" spans="8:10" ht="15.75" hidden="1" customHeight="1">
      <c r="H6418" s="14"/>
      <c r="I6418" s="567"/>
      <c r="J6418" s="15"/>
    </row>
    <row r="6419" spans="8:10" ht="15.75" hidden="1" customHeight="1">
      <c r="H6419" s="14"/>
      <c r="I6419" s="567"/>
      <c r="J6419" s="15"/>
    </row>
    <row r="6420" spans="8:10" ht="15.75" hidden="1" customHeight="1">
      <c r="H6420" s="14"/>
      <c r="I6420" s="567"/>
      <c r="J6420" s="15"/>
    </row>
    <row r="6421" spans="8:10" ht="15.75" hidden="1" customHeight="1">
      <c r="H6421" s="14"/>
      <c r="I6421" s="567"/>
      <c r="J6421" s="15"/>
    </row>
    <row r="6422" spans="8:10" ht="15.75" hidden="1" customHeight="1">
      <c r="H6422" s="14"/>
      <c r="I6422" s="567"/>
      <c r="J6422" s="15"/>
    </row>
    <row r="6423" spans="8:10" ht="15.75" hidden="1" customHeight="1">
      <c r="H6423" s="14"/>
      <c r="I6423" s="567"/>
      <c r="J6423" s="15"/>
    </row>
    <row r="6424" spans="8:10" ht="15.75" hidden="1" customHeight="1">
      <c r="H6424" s="14"/>
      <c r="I6424" s="567"/>
      <c r="J6424" s="15"/>
    </row>
    <row r="6425" spans="8:10" ht="15.75" hidden="1" customHeight="1">
      <c r="H6425" s="14"/>
      <c r="I6425" s="567"/>
      <c r="J6425" s="15"/>
    </row>
    <row r="6426" spans="8:10" ht="15.75" hidden="1" customHeight="1">
      <c r="H6426" s="14"/>
      <c r="I6426" s="567"/>
      <c r="J6426" s="15"/>
    </row>
    <row r="6427" spans="8:10" ht="15.75" hidden="1" customHeight="1">
      <c r="H6427" s="14"/>
      <c r="I6427" s="567"/>
      <c r="J6427" s="15"/>
    </row>
    <row r="6428" spans="8:10" ht="15.75" hidden="1" customHeight="1">
      <c r="H6428" s="14"/>
      <c r="I6428" s="567"/>
      <c r="J6428" s="15"/>
    </row>
    <row r="6429" spans="8:10" ht="15.75" hidden="1" customHeight="1">
      <c r="H6429" s="14"/>
      <c r="I6429" s="567"/>
      <c r="J6429" s="15"/>
    </row>
    <row r="6430" spans="8:10" ht="15.75" hidden="1" customHeight="1">
      <c r="H6430" s="14"/>
      <c r="I6430" s="567"/>
      <c r="J6430" s="15"/>
    </row>
    <row r="6431" spans="8:10" ht="15.75" hidden="1" customHeight="1">
      <c r="H6431" s="14"/>
      <c r="I6431" s="567"/>
      <c r="J6431" s="15"/>
    </row>
    <row r="6432" spans="8:10" ht="15.75" hidden="1" customHeight="1">
      <c r="H6432" s="14"/>
      <c r="I6432" s="567"/>
      <c r="J6432" s="15"/>
    </row>
    <row r="6433" spans="8:10" ht="15.75" hidden="1" customHeight="1">
      <c r="H6433" s="14"/>
      <c r="I6433" s="567"/>
      <c r="J6433" s="15"/>
    </row>
    <row r="6434" spans="8:10" ht="15.75" hidden="1" customHeight="1">
      <c r="H6434" s="14"/>
      <c r="I6434" s="567"/>
      <c r="J6434" s="15"/>
    </row>
    <row r="6435" spans="8:10" ht="15.75" hidden="1" customHeight="1">
      <c r="H6435" s="14"/>
      <c r="I6435" s="567"/>
      <c r="J6435" s="15"/>
    </row>
    <row r="6436" spans="8:10" ht="15.75" hidden="1" customHeight="1">
      <c r="H6436" s="14"/>
      <c r="I6436" s="567"/>
      <c r="J6436" s="15"/>
    </row>
    <row r="6437" spans="8:10" ht="15.75" hidden="1" customHeight="1">
      <c r="H6437" s="14"/>
      <c r="I6437" s="567"/>
      <c r="J6437" s="15"/>
    </row>
    <row r="6438" spans="8:10" ht="15.75" hidden="1" customHeight="1">
      <c r="H6438" s="14"/>
      <c r="I6438" s="567"/>
      <c r="J6438" s="15"/>
    </row>
    <row r="6439" spans="8:10" ht="15.75" hidden="1" customHeight="1">
      <c r="H6439" s="14"/>
      <c r="I6439" s="567"/>
      <c r="J6439" s="15"/>
    </row>
    <row r="6440" spans="8:10" ht="15.75" hidden="1" customHeight="1">
      <c r="H6440" s="14"/>
      <c r="I6440" s="567"/>
      <c r="J6440" s="15"/>
    </row>
    <row r="6441" spans="8:10" ht="15.75" hidden="1" customHeight="1">
      <c r="H6441" s="14"/>
      <c r="I6441" s="567"/>
      <c r="J6441" s="15"/>
    </row>
    <row r="6442" spans="8:10" ht="15.75" hidden="1" customHeight="1">
      <c r="H6442" s="14"/>
      <c r="I6442" s="567"/>
      <c r="J6442" s="15"/>
    </row>
    <row r="6443" spans="8:10" ht="15.75" hidden="1" customHeight="1">
      <c r="H6443" s="14"/>
      <c r="I6443" s="567"/>
      <c r="J6443" s="15"/>
    </row>
    <row r="6444" spans="8:10" ht="15.75" hidden="1" customHeight="1">
      <c r="H6444" s="14"/>
      <c r="I6444" s="567"/>
      <c r="J6444" s="15"/>
    </row>
    <row r="6445" spans="8:10" ht="15.75" hidden="1" customHeight="1">
      <c r="H6445" s="14"/>
      <c r="I6445" s="567"/>
      <c r="J6445" s="15"/>
    </row>
    <row r="6446" spans="8:10" ht="15.75" hidden="1" customHeight="1">
      <c r="H6446" s="14"/>
      <c r="I6446" s="567"/>
      <c r="J6446" s="15"/>
    </row>
    <row r="6447" spans="8:10" ht="15.75" hidden="1" customHeight="1">
      <c r="H6447" s="14"/>
      <c r="I6447" s="567"/>
      <c r="J6447" s="15"/>
    </row>
    <row r="6448" spans="8:10" ht="15.75" hidden="1" customHeight="1">
      <c r="H6448" s="14"/>
      <c r="I6448" s="567"/>
      <c r="J6448" s="15"/>
    </row>
    <row r="6449" spans="8:10" ht="15.75" hidden="1" customHeight="1">
      <c r="H6449" s="14"/>
      <c r="I6449" s="567"/>
      <c r="J6449" s="15"/>
    </row>
    <row r="6450" spans="8:10" ht="15.75" hidden="1" customHeight="1">
      <c r="H6450" s="14"/>
      <c r="I6450" s="567"/>
      <c r="J6450" s="15"/>
    </row>
    <row r="6451" spans="8:10" ht="15.75" hidden="1" customHeight="1">
      <c r="H6451" s="14"/>
      <c r="I6451" s="567"/>
      <c r="J6451" s="15"/>
    </row>
    <row r="6452" spans="8:10" ht="15.75" hidden="1" customHeight="1">
      <c r="H6452" s="14"/>
      <c r="I6452" s="567"/>
      <c r="J6452" s="15"/>
    </row>
    <row r="6453" spans="8:10" ht="15.75" hidden="1" customHeight="1">
      <c r="H6453" s="14"/>
      <c r="I6453" s="567"/>
      <c r="J6453" s="15"/>
    </row>
    <row r="6454" spans="8:10" ht="15.75" hidden="1" customHeight="1">
      <c r="H6454" s="14"/>
      <c r="I6454" s="567"/>
      <c r="J6454" s="15"/>
    </row>
    <row r="6455" spans="8:10" ht="15.75" hidden="1" customHeight="1">
      <c r="H6455" s="14"/>
      <c r="I6455" s="567"/>
      <c r="J6455" s="15"/>
    </row>
    <row r="6456" spans="8:10" ht="15.75" hidden="1" customHeight="1">
      <c r="H6456" s="14"/>
      <c r="I6456" s="567"/>
      <c r="J6456" s="15"/>
    </row>
    <row r="6457" spans="8:10" ht="15.75" hidden="1" customHeight="1">
      <c r="H6457" s="14"/>
      <c r="I6457" s="567"/>
      <c r="J6457" s="15"/>
    </row>
    <row r="6458" spans="8:10" ht="15.75" hidden="1" customHeight="1">
      <c r="H6458" s="14"/>
      <c r="I6458" s="567"/>
      <c r="J6458" s="15"/>
    </row>
    <row r="6459" spans="8:10" ht="15.75" hidden="1" customHeight="1">
      <c r="H6459" s="14"/>
      <c r="I6459" s="567"/>
      <c r="J6459" s="15"/>
    </row>
    <row r="6460" spans="8:10" ht="15.75" hidden="1" customHeight="1">
      <c r="H6460" s="14"/>
      <c r="I6460" s="567"/>
      <c r="J6460" s="15"/>
    </row>
    <row r="6461" spans="8:10" ht="15.75" hidden="1" customHeight="1">
      <c r="H6461" s="14"/>
      <c r="I6461" s="567"/>
      <c r="J6461" s="15"/>
    </row>
    <row r="6462" spans="8:10" ht="15.75" hidden="1" customHeight="1">
      <c r="H6462" s="14"/>
      <c r="I6462" s="567"/>
      <c r="J6462" s="15"/>
    </row>
    <row r="6463" spans="8:10" ht="15.75" hidden="1" customHeight="1">
      <c r="H6463" s="14"/>
      <c r="I6463" s="567"/>
      <c r="J6463" s="15"/>
    </row>
    <row r="6464" spans="8:10" ht="15.75" hidden="1" customHeight="1">
      <c r="H6464" s="14"/>
      <c r="I6464" s="567"/>
      <c r="J6464" s="15"/>
    </row>
    <row r="6465" spans="8:10" ht="15.75" hidden="1" customHeight="1">
      <c r="H6465" s="14"/>
      <c r="I6465" s="567"/>
      <c r="J6465" s="15"/>
    </row>
    <row r="6466" spans="8:10" ht="15.75" hidden="1" customHeight="1">
      <c r="H6466" s="14"/>
      <c r="I6466" s="567"/>
      <c r="J6466" s="15"/>
    </row>
    <row r="6467" spans="8:10" ht="15.75" hidden="1" customHeight="1">
      <c r="H6467" s="14"/>
      <c r="I6467" s="567"/>
      <c r="J6467" s="15"/>
    </row>
    <row r="6468" spans="8:10" ht="15.75" hidden="1" customHeight="1">
      <c r="H6468" s="14"/>
      <c r="I6468" s="567"/>
      <c r="J6468" s="15"/>
    </row>
    <row r="6469" spans="8:10" ht="15.75" hidden="1" customHeight="1">
      <c r="H6469" s="14"/>
      <c r="I6469" s="567"/>
      <c r="J6469" s="15"/>
    </row>
    <row r="6470" spans="8:10" ht="15.75" hidden="1" customHeight="1">
      <c r="H6470" s="14"/>
      <c r="I6470" s="567"/>
      <c r="J6470" s="15"/>
    </row>
    <row r="6471" spans="8:10" ht="15.75" hidden="1" customHeight="1">
      <c r="H6471" s="14"/>
      <c r="I6471" s="567"/>
      <c r="J6471" s="15"/>
    </row>
    <row r="6472" spans="8:10" ht="15.75" hidden="1" customHeight="1">
      <c r="H6472" s="14"/>
      <c r="I6472" s="567"/>
      <c r="J6472" s="15"/>
    </row>
    <row r="6473" spans="8:10" ht="15.75" hidden="1" customHeight="1">
      <c r="H6473" s="14"/>
      <c r="I6473" s="567"/>
      <c r="J6473" s="15"/>
    </row>
    <row r="6474" spans="8:10" ht="15.75" hidden="1" customHeight="1">
      <c r="H6474" s="14"/>
      <c r="I6474" s="567"/>
      <c r="J6474" s="15"/>
    </row>
    <row r="6475" spans="8:10" ht="15.75" hidden="1" customHeight="1">
      <c r="H6475" s="14"/>
      <c r="I6475" s="567"/>
      <c r="J6475" s="15"/>
    </row>
    <row r="6476" spans="8:10" ht="15.75" hidden="1" customHeight="1">
      <c r="H6476" s="14"/>
      <c r="I6476" s="567"/>
      <c r="J6476" s="15"/>
    </row>
    <row r="6477" spans="8:10" ht="15.75" hidden="1" customHeight="1">
      <c r="H6477" s="14"/>
      <c r="I6477" s="567"/>
      <c r="J6477" s="15"/>
    </row>
    <row r="6478" spans="8:10" ht="15.75" hidden="1" customHeight="1">
      <c r="H6478" s="14"/>
      <c r="I6478" s="567"/>
      <c r="J6478" s="15"/>
    </row>
    <row r="6479" spans="8:10" ht="15.75" hidden="1" customHeight="1">
      <c r="H6479" s="14"/>
      <c r="I6479" s="567"/>
      <c r="J6479" s="15"/>
    </row>
    <row r="6480" spans="8:10" ht="15.75" hidden="1" customHeight="1">
      <c r="H6480" s="14"/>
      <c r="I6480" s="567"/>
      <c r="J6480" s="15"/>
    </row>
    <row r="6481" spans="8:10" ht="15.75" hidden="1" customHeight="1">
      <c r="H6481" s="14"/>
      <c r="I6481" s="567"/>
      <c r="J6481" s="15"/>
    </row>
    <row r="6482" spans="8:10" ht="15.75" hidden="1" customHeight="1">
      <c r="H6482" s="14"/>
      <c r="I6482" s="567"/>
      <c r="J6482" s="15"/>
    </row>
    <row r="6483" spans="8:10" ht="15.75" hidden="1" customHeight="1">
      <c r="H6483" s="14"/>
      <c r="I6483" s="567"/>
      <c r="J6483" s="15"/>
    </row>
    <row r="6484" spans="8:10" ht="15.75" hidden="1" customHeight="1">
      <c r="H6484" s="14"/>
      <c r="I6484" s="567"/>
      <c r="J6484" s="15"/>
    </row>
    <row r="6485" spans="8:10" ht="15.75" hidden="1" customHeight="1">
      <c r="H6485" s="14"/>
      <c r="I6485" s="567"/>
      <c r="J6485" s="15"/>
    </row>
    <row r="6486" spans="8:10" ht="15.75" hidden="1" customHeight="1">
      <c r="H6486" s="14"/>
      <c r="I6486" s="567"/>
      <c r="J6486" s="15"/>
    </row>
    <row r="6487" spans="8:10" ht="15.75" hidden="1" customHeight="1">
      <c r="H6487" s="14"/>
      <c r="I6487" s="567"/>
      <c r="J6487" s="15"/>
    </row>
    <row r="6488" spans="8:10" ht="15.75" hidden="1" customHeight="1">
      <c r="H6488" s="14"/>
      <c r="I6488" s="567"/>
      <c r="J6488" s="15"/>
    </row>
    <row r="6489" spans="8:10" ht="15.75" hidden="1" customHeight="1">
      <c r="H6489" s="14"/>
      <c r="I6489" s="567"/>
      <c r="J6489" s="15"/>
    </row>
    <row r="6490" spans="8:10" ht="15.75" hidden="1" customHeight="1">
      <c r="H6490" s="14"/>
      <c r="I6490" s="567"/>
      <c r="J6490" s="15"/>
    </row>
    <row r="6491" spans="8:10" ht="15.75" hidden="1" customHeight="1">
      <c r="H6491" s="14"/>
      <c r="I6491" s="567"/>
      <c r="J6491" s="15"/>
    </row>
    <row r="6492" spans="8:10" ht="15.75" hidden="1" customHeight="1">
      <c r="H6492" s="14"/>
      <c r="I6492" s="567"/>
      <c r="J6492" s="15"/>
    </row>
    <row r="6493" spans="8:10" ht="15.75" hidden="1" customHeight="1">
      <c r="H6493" s="14"/>
      <c r="I6493" s="567"/>
      <c r="J6493" s="15"/>
    </row>
    <row r="6494" spans="8:10" ht="15.75" hidden="1" customHeight="1">
      <c r="H6494" s="14"/>
      <c r="I6494" s="567"/>
      <c r="J6494" s="15"/>
    </row>
    <row r="6495" spans="8:10" ht="15.75" hidden="1" customHeight="1">
      <c r="H6495" s="14"/>
      <c r="I6495" s="567"/>
      <c r="J6495" s="15"/>
    </row>
    <row r="6496" spans="8:10" ht="15.75" hidden="1" customHeight="1">
      <c r="H6496" s="14"/>
      <c r="I6496" s="567"/>
      <c r="J6496" s="15"/>
    </row>
    <row r="6497" spans="8:10" ht="15.75" hidden="1" customHeight="1">
      <c r="H6497" s="14"/>
      <c r="I6497" s="567"/>
      <c r="J6497" s="15"/>
    </row>
    <row r="6498" spans="8:10" ht="15.75" hidden="1" customHeight="1">
      <c r="H6498" s="14"/>
      <c r="I6498" s="567"/>
      <c r="J6498" s="15"/>
    </row>
    <row r="6499" spans="8:10" ht="15.75" hidden="1" customHeight="1">
      <c r="H6499" s="14"/>
      <c r="I6499" s="567"/>
      <c r="J6499" s="15"/>
    </row>
    <row r="6500" spans="8:10" ht="15.75" hidden="1" customHeight="1">
      <c r="H6500" s="14"/>
      <c r="I6500" s="567"/>
      <c r="J6500" s="15"/>
    </row>
    <row r="6501" spans="8:10" ht="15.75" hidden="1" customHeight="1">
      <c r="H6501" s="14"/>
      <c r="I6501" s="567"/>
      <c r="J6501" s="15"/>
    </row>
    <row r="6502" spans="8:10" ht="15.75" hidden="1" customHeight="1">
      <c r="H6502" s="14"/>
      <c r="I6502" s="567"/>
      <c r="J6502" s="15"/>
    </row>
    <row r="6503" spans="8:10" ht="15.75" hidden="1" customHeight="1">
      <c r="H6503" s="14"/>
      <c r="I6503" s="567"/>
      <c r="J6503" s="15"/>
    </row>
    <row r="6504" spans="8:10" ht="15.75" hidden="1" customHeight="1">
      <c r="H6504" s="14"/>
      <c r="I6504" s="567"/>
      <c r="J6504" s="15"/>
    </row>
    <row r="6505" spans="8:10" ht="15.75" hidden="1" customHeight="1">
      <c r="H6505" s="14"/>
      <c r="I6505" s="567"/>
      <c r="J6505" s="15"/>
    </row>
    <row r="6506" spans="8:10" ht="15.75" hidden="1" customHeight="1">
      <c r="H6506" s="14"/>
      <c r="I6506" s="567"/>
      <c r="J6506" s="15"/>
    </row>
    <row r="6507" spans="8:10" ht="15.75" hidden="1" customHeight="1">
      <c r="H6507" s="14"/>
      <c r="I6507" s="567"/>
      <c r="J6507" s="15"/>
    </row>
    <row r="6508" spans="8:10" ht="15.75" hidden="1" customHeight="1">
      <c r="H6508" s="14"/>
      <c r="I6508" s="567"/>
      <c r="J6508" s="15"/>
    </row>
    <row r="6509" spans="8:10" ht="15.75" hidden="1" customHeight="1">
      <c r="H6509" s="14"/>
      <c r="I6509" s="567"/>
      <c r="J6509" s="15"/>
    </row>
    <row r="6510" spans="8:10" ht="15.75" hidden="1" customHeight="1">
      <c r="H6510" s="14"/>
      <c r="I6510" s="567"/>
      <c r="J6510" s="15"/>
    </row>
    <row r="6511" spans="8:10" ht="15.75" hidden="1" customHeight="1">
      <c r="H6511" s="14"/>
      <c r="I6511" s="567"/>
      <c r="J6511" s="15"/>
    </row>
    <row r="6512" spans="8:10" ht="15.75" hidden="1" customHeight="1">
      <c r="H6512" s="14"/>
      <c r="I6512" s="567"/>
      <c r="J6512" s="15"/>
    </row>
    <row r="6513" spans="8:10" ht="15.75" hidden="1" customHeight="1">
      <c r="H6513" s="14"/>
      <c r="I6513" s="567"/>
      <c r="J6513" s="15"/>
    </row>
    <row r="6514" spans="8:10" ht="15.75" hidden="1" customHeight="1">
      <c r="H6514" s="14"/>
      <c r="I6514" s="567"/>
      <c r="J6514" s="15"/>
    </row>
    <row r="6515" spans="8:10" ht="15.75" hidden="1" customHeight="1">
      <c r="H6515" s="14"/>
      <c r="I6515" s="567"/>
      <c r="J6515" s="15"/>
    </row>
    <row r="6516" spans="8:10" ht="15.75" hidden="1" customHeight="1">
      <c r="H6516" s="14"/>
      <c r="I6516" s="567"/>
      <c r="J6516" s="15"/>
    </row>
    <row r="6517" spans="8:10" ht="15.75" hidden="1" customHeight="1">
      <c r="H6517" s="14"/>
      <c r="I6517" s="567"/>
      <c r="J6517" s="15"/>
    </row>
    <row r="6518" spans="8:10" ht="15.75" hidden="1" customHeight="1">
      <c r="H6518" s="14"/>
      <c r="I6518" s="567"/>
      <c r="J6518" s="15"/>
    </row>
    <row r="6519" spans="8:10" ht="15.75" hidden="1" customHeight="1">
      <c r="H6519" s="14"/>
      <c r="I6519" s="567"/>
      <c r="J6519" s="15"/>
    </row>
    <row r="6520" spans="8:10" ht="15.75" hidden="1" customHeight="1">
      <c r="H6520" s="14"/>
      <c r="I6520" s="567"/>
      <c r="J6520" s="15"/>
    </row>
    <row r="6521" spans="8:10" ht="15.75" hidden="1" customHeight="1">
      <c r="H6521" s="14"/>
      <c r="I6521" s="567"/>
      <c r="J6521" s="15"/>
    </row>
    <row r="6522" spans="8:10" ht="15.75" hidden="1" customHeight="1">
      <c r="H6522" s="14"/>
      <c r="I6522" s="567"/>
      <c r="J6522" s="15"/>
    </row>
    <row r="6523" spans="8:10" ht="15.75" hidden="1" customHeight="1">
      <c r="H6523" s="14"/>
      <c r="I6523" s="567"/>
      <c r="J6523" s="15"/>
    </row>
    <row r="6524" spans="8:10" ht="15.75" hidden="1" customHeight="1">
      <c r="H6524" s="14"/>
      <c r="I6524" s="567"/>
      <c r="J6524" s="15"/>
    </row>
    <row r="6525" spans="8:10" ht="15.75" hidden="1" customHeight="1">
      <c r="H6525" s="14"/>
      <c r="I6525" s="567"/>
      <c r="J6525" s="15"/>
    </row>
    <row r="6526" spans="8:10" ht="15.75" hidden="1" customHeight="1">
      <c r="H6526" s="14"/>
      <c r="I6526" s="567"/>
      <c r="J6526" s="15"/>
    </row>
    <row r="6527" spans="8:10" ht="15.75" hidden="1" customHeight="1">
      <c r="H6527" s="14"/>
      <c r="I6527" s="567"/>
      <c r="J6527" s="15"/>
    </row>
    <row r="6528" spans="8:10" ht="15.75" hidden="1" customHeight="1">
      <c r="H6528" s="14"/>
      <c r="I6528" s="567"/>
      <c r="J6528" s="15"/>
    </row>
    <row r="6529" spans="8:10" ht="15.75" hidden="1" customHeight="1">
      <c r="H6529" s="14"/>
      <c r="I6529" s="567"/>
      <c r="J6529" s="15"/>
    </row>
    <row r="6530" spans="8:10" ht="15.75" hidden="1" customHeight="1">
      <c r="H6530" s="14"/>
      <c r="I6530" s="567"/>
      <c r="J6530" s="15"/>
    </row>
    <row r="6531" spans="8:10" ht="15.75" hidden="1" customHeight="1">
      <c r="H6531" s="14"/>
      <c r="I6531" s="567"/>
      <c r="J6531" s="15"/>
    </row>
    <row r="6532" spans="8:10" ht="15.75" hidden="1" customHeight="1">
      <c r="H6532" s="14"/>
      <c r="I6532" s="567"/>
      <c r="J6532" s="15"/>
    </row>
    <row r="6533" spans="8:10" ht="15.75" hidden="1" customHeight="1">
      <c r="H6533" s="14"/>
      <c r="I6533" s="567"/>
      <c r="J6533" s="15"/>
    </row>
    <row r="6534" spans="8:10" ht="15.75" hidden="1" customHeight="1">
      <c r="H6534" s="14"/>
      <c r="I6534" s="567"/>
      <c r="J6534" s="15"/>
    </row>
    <row r="6535" spans="8:10" ht="15.75" hidden="1" customHeight="1">
      <c r="H6535" s="14"/>
      <c r="I6535" s="567"/>
      <c r="J6535" s="15"/>
    </row>
    <row r="6536" spans="8:10" ht="15.75" hidden="1" customHeight="1">
      <c r="H6536" s="14"/>
      <c r="I6536" s="567"/>
      <c r="J6536" s="15"/>
    </row>
    <row r="6537" spans="8:10" ht="15.75" hidden="1" customHeight="1">
      <c r="H6537" s="14"/>
      <c r="I6537" s="567"/>
      <c r="J6537" s="15"/>
    </row>
    <row r="6538" spans="8:10" ht="15.75" hidden="1" customHeight="1">
      <c r="H6538" s="14"/>
      <c r="I6538" s="567"/>
      <c r="J6538" s="15"/>
    </row>
    <row r="6539" spans="8:10" ht="15.75" hidden="1" customHeight="1">
      <c r="H6539" s="14"/>
      <c r="I6539" s="567"/>
      <c r="J6539" s="15"/>
    </row>
    <row r="6540" spans="8:10" ht="15.75" hidden="1" customHeight="1">
      <c r="H6540" s="14"/>
      <c r="I6540" s="567"/>
      <c r="J6540" s="15"/>
    </row>
    <row r="6541" spans="8:10" ht="15.75" hidden="1" customHeight="1">
      <c r="H6541" s="14"/>
      <c r="I6541" s="567"/>
      <c r="J6541" s="15"/>
    </row>
    <row r="6542" spans="8:10" ht="15.75" hidden="1" customHeight="1">
      <c r="H6542" s="14"/>
      <c r="I6542" s="567"/>
      <c r="J6542" s="15"/>
    </row>
    <row r="6543" spans="8:10" ht="15.75" hidden="1" customHeight="1">
      <c r="H6543" s="14"/>
      <c r="I6543" s="567"/>
      <c r="J6543" s="15"/>
    </row>
    <row r="6544" spans="8:10" ht="15.75" hidden="1" customHeight="1">
      <c r="H6544" s="14"/>
      <c r="I6544" s="567"/>
      <c r="J6544" s="15"/>
    </row>
    <row r="6545" spans="8:10" ht="15.75" hidden="1" customHeight="1">
      <c r="H6545" s="14"/>
      <c r="I6545" s="567"/>
      <c r="J6545" s="15"/>
    </row>
    <row r="6546" spans="8:10" ht="15.75" hidden="1" customHeight="1">
      <c r="H6546" s="14"/>
      <c r="I6546" s="567"/>
      <c r="J6546" s="15"/>
    </row>
    <row r="6547" spans="8:10" ht="15.75" hidden="1" customHeight="1">
      <c r="H6547" s="14"/>
      <c r="I6547" s="567"/>
      <c r="J6547" s="15"/>
    </row>
    <row r="6548" spans="8:10" ht="15.75" hidden="1" customHeight="1">
      <c r="H6548" s="14"/>
      <c r="I6548" s="567"/>
      <c r="J6548" s="15"/>
    </row>
    <row r="6549" spans="8:10" ht="15.75" hidden="1" customHeight="1">
      <c r="H6549" s="14"/>
      <c r="I6549" s="567"/>
      <c r="J6549" s="15"/>
    </row>
    <row r="6550" spans="8:10" ht="15.75" hidden="1" customHeight="1">
      <c r="H6550" s="14"/>
      <c r="I6550" s="567"/>
      <c r="J6550" s="15"/>
    </row>
    <row r="6551" spans="8:10" ht="15.75" hidden="1" customHeight="1">
      <c r="H6551" s="14"/>
      <c r="I6551" s="567"/>
      <c r="J6551" s="15"/>
    </row>
    <row r="6552" spans="8:10" ht="15.75" hidden="1" customHeight="1">
      <c r="H6552" s="14"/>
      <c r="I6552" s="567"/>
      <c r="J6552" s="15"/>
    </row>
    <row r="6553" spans="8:10" ht="15.75" hidden="1" customHeight="1">
      <c r="H6553" s="14"/>
      <c r="I6553" s="567"/>
      <c r="J6553" s="15"/>
    </row>
    <row r="6554" spans="8:10" ht="15.75" hidden="1" customHeight="1">
      <c r="H6554" s="14"/>
      <c r="I6554" s="567"/>
      <c r="J6554" s="15"/>
    </row>
    <row r="6555" spans="8:10" ht="15.75" hidden="1" customHeight="1">
      <c r="H6555" s="14"/>
      <c r="I6555" s="567"/>
      <c r="J6555" s="15"/>
    </row>
    <row r="6556" spans="8:10" ht="15.75" hidden="1" customHeight="1">
      <c r="H6556" s="14"/>
      <c r="I6556" s="567"/>
      <c r="J6556" s="15"/>
    </row>
    <row r="6557" spans="8:10" ht="15.75" hidden="1" customHeight="1">
      <c r="H6557" s="14"/>
      <c r="I6557" s="567"/>
      <c r="J6557" s="15"/>
    </row>
    <row r="6558" spans="8:10" ht="15.75" hidden="1" customHeight="1">
      <c r="H6558" s="14"/>
      <c r="I6558" s="567"/>
      <c r="J6558" s="15"/>
    </row>
    <row r="6559" spans="8:10" ht="15.75" hidden="1" customHeight="1">
      <c r="H6559" s="14"/>
      <c r="I6559" s="567"/>
      <c r="J6559" s="15"/>
    </row>
    <row r="6560" spans="8:10" ht="15.75" hidden="1" customHeight="1">
      <c r="H6560" s="14"/>
      <c r="I6560" s="567"/>
      <c r="J6560" s="15"/>
    </row>
    <row r="6561" ht="15.75" customHeight="1"/>
    <row r="6562" ht="15.75" customHeight="1"/>
    <row r="6563" ht="15.75" customHeight="1"/>
    <row r="6564" ht="15.75" customHeight="1"/>
    <row r="6565" ht="15.75" customHeight="1"/>
    <row r="6566" ht="15.75" customHeight="1"/>
    <row r="6567" ht="15.75" customHeight="1"/>
    <row r="6568" ht="15.75" customHeight="1"/>
    <row r="6569" ht="15.75" customHeight="1"/>
    <row r="6570" ht="15.75" customHeight="1"/>
    <row r="6571" ht="15.75" customHeight="1"/>
    <row r="6572" ht="15.75" customHeight="1"/>
    <row r="6573" ht="15.75" customHeight="1"/>
    <row r="6574" ht="15.75" customHeight="1"/>
    <row r="6575" ht="15.75" customHeight="1"/>
    <row r="6576" ht="15.75" customHeight="1"/>
    <row r="6577" ht="15.75" customHeight="1"/>
    <row r="6578" ht="15.75" customHeight="1"/>
    <row r="6579" ht="15.75" customHeight="1"/>
    <row r="6580" ht="15.75" customHeight="1"/>
    <row r="6581" ht="15.75" customHeight="1"/>
    <row r="6582" ht="15.75" customHeight="1"/>
    <row r="6583" ht="15.75" customHeight="1"/>
    <row r="6584" ht="15.75" customHeight="1"/>
    <row r="6585" ht="15.75" customHeight="1"/>
    <row r="6586" ht="15.75" customHeight="1"/>
    <row r="6587" ht="15.75" customHeight="1"/>
    <row r="6588" ht="15.75" customHeight="1"/>
    <row r="6589" ht="15.75" customHeight="1"/>
    <row r="6590" ht="15.75" customHeight="1"/>
    <row r="6591" ht="15.75" customHeight="1"/>
    <row r="6592" ht="15.75" customHeight="1"/>
    <row r="6593" ht="15.75" customHeight="1"/>
    <row r="6594" ht="15.75" customHeight="1"/>
    <row r="6595" ht="15.75" customHeight="1"/>
    <row r="6596" ht="15.75" customHeight="1"/>
    <row r="6597" ht="15.75" customHeight="1"/>
    <row r="6598" ht="15.75" customHeight="1"/>
    <row r="6599" ht="15.75" customHeight="1"/>
    <row r="6600" ht="15.75" customHeight="1"/>
    <row r="6601" ht="15.75" customHeight="1"/>
    <row r="6602" ht="15.75" customHeight="1"/>
    <row r="6603" ht="15.75" customHeight="1"/>
  </sheetData>
  <autoFilter ref="A2:BD1274" xr:uid="{30836D33-D6C7-4EB3-AA06-BDCCE9B77AA3}">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filterColumn colId="52" showButton="0"/>
    <filterColumn colId="53" showButton="0"/>
  </autoFilter>
  <mergeCells count="14">
    <mergeCell ref="A1274:BD1274"/>
    <mergeCell ref="BF1:BI1"/>
    <mergeCell ref="Q3:S3"/>
    <mergeCell ref="AF3:AM3"/>
    <mergeCell ref="A1:BD1"/>
    <mergeCell ref="AT2:AV2"/>
    <mergeCell ref="AN2:AP2"/>
    <mergeCell ref="N2:P2"/>
    <mergeCell ref="T2:V2"/>
    <mergeCell ref="W2:Y2"/>
    <mergeCell ref="Z2:AB2"/>
    <mergeCell ref="AC2:AE2"/>
    <mergeCell ref="AQ2:AS2"/>
    <mergeCell ref="BA2:BC2"/>
  </mergeCells>
  <phoneticPr fontId="0" type="noConversion"/>
  <conditionalFormatting sqref="BE1275 BE5:BE535 BE538:BE1273">
    <cfRule type="containsText" dxfId="29305" priority="6738" operator="containsText" text="a">
      <formula>NOT(ISERROR(SEARCH("a",BE5)))</formula>
    </cfRule>
    <cfRule type="containsText" dxfId="29304" priority="6739" operator="containsText" text="R">
      <formula>NOT(ISERROR(SEARCH("R",BE5)))</formula>
    </cfRule>
  </conditionalFormatting>
  <conditionalFormatting sqref="J390:K406 L33:AJ33 L35:AJ35 M34:AJ34 L37:AJ37 M36:AJ36 L39:AJ41 M38:AJ38 M42:AJ42 L43:AJ43 L47:AJ47 M46:AJ46 L49:AJ49 M48:AJ48 L51:AJ51 M50:AJ50 L53:AJ53 M52:AJ52 L55:AJ55 M54:AJ54 M56:AJ56 AY175:AZ263 B226:H226 L57:AJ57 L45:AJ45 M44:AJ44 L59:AJ59 M58:AJ58 M60:AJ60 AY265:AZ383 AK140:AL383 A227:H383 A385:A386 I352:I383 L387:AV405 J364:K383 J387:K388 A387:I406 AK138:AL138 L406:V406 Y406:AX406 AW444:AX444 AW503:AX503 AW584:AX584 AW624:AX624 AW732:AX732 AW787:AX787 A882:AV892 AW892:AX892 AW948:AX948 G896:G951 AW1131:AX1131 AW1203:AX1203 AW1253:AX1253 AM135:AV383 L373:AJ383 L372:AB372 AD372:AJ372 AW593:AX593 H893:AV951 A409:AV409 A410:K410 M410:AV410 A738:AV738 A737:I737 L737:AV737 AW796:AX796 AY729:AZ781 AW789:AX789 A893:F951 A753:AV830 AY783:AZ1217 AY1219:AZ1219 AW1221:AZ1221 AY1222:AZ1273 AW1223:AX1223 A1123:AV1273 AY1275:AZ1402 A1275:AV1402 AY387:AZ535 AW656:AX656 AK33:AV134 AY49:AZ173 AW124:AX173 A33:H225 J33:K205 I33:I298 L61:AJ371 A538:AV736 AY538:AZ727 A411:AV535">
    <cfRule type="expression" dxfId="29303" priority="6646">
      <formula>$A33="Overhead Cable"</formula>
    </cfRule>
    <cfRule type="expression" dxfId="29302" priority="6647">
      <formula>$A33="Level Crossing"</formula>
    </cfRule>
    <cfRule type="expression" dxfId="29301" priority="6648">
      <formula>$A33="Neutral Section"</formula>
    </cfRule>
    <cfRule type="expression" dxfId="29300" priority="6649">
      <formula>$A33="Tunnel"</formula>
    </cfRule>
    <cfRule type="expression" dxfId="29299" priority="6650">
      <formula>$A33="Bridge"</formula>
    </cfRule>
    <cfRule type="expression" dxfId="29298" priority="6651">
      <formula>$A33="Drainage Works"</formula>
    </cfRule>
    <cfRule type="expression" dxfId="29297" priority="6652">
      <formula>$A33="Underpass"</formula>
    </cfRule>
    <cfRule type="expression" dxfId="29296" priority="6653">
      <formula>$A33="Overcrossing"</formula>
    </cfRule>
    <cfRule type="expression" dxfId="29295" priority="6654">
      <formula>$A33="Overpass"</formula>
    </cfRule>
    <cfRule type="expression" dxfId="29294" priority="6655">
      <formula>$A33="Station"</formula>
    </cfRule>
    <cfRule type="expression" dxfId="29293" priority="6656">
      <formula>$A33="Overlap between sections"</formula>
    </cfRule>
  </conditionalFormatting>
  <conditionalFormatting sqref="BA4:BC4">
    <cfRule type="expression" dxfId="29292" priority="6644">
      <formula>$BE4="R"</formula>
    </cfRule>
  </conditionalFormatting>
  <conditionalFormatting sqref="B4:E4 BE4 J4 AG4 AN4:AS4 AY4:BC4 G4:H4">
    <cfRule type="expression" dxfId="29291" priority="6642">
      <formula>$M4="NON DEFINED"</formula>
    </cfRule>
    <cfRule type="expression" dxfId="29290" priority="6643">
      <formula>$AY4="N.D."</formula>
    </cfRule>
  </conditionalFormatting>
  <conditionalFormatting sqref="A4:E4 J4 AG4 AN4:AS4 AY4:BE4 G4:H4">
    <cfRule type="cellIs" dxfId="29289" priority="6641" operator="equal">
      <formula>0</formula>
    </cfRule>
  </conditionalFormatting>
  <conditionalFormatting sqref="BA729:BC781 BA783:BC1216 BA1222:BC1273 BA1275:BC1402 BA33:BC535 BA538:BC727">
    <cfRule type="expression" dxfId="29288" priority="6634">
      <formula>$BE33="A"</formula>
    </cfRule>
    <cfRule type="expression" dxfId="29287" priority="6635">
      <formula>$BE33="R"</formula>
    </cfRule>
  </conditionalFormatting>
  <conditionalFormatting sqref="J390:K406 AW406:AX406 L33:AJ33 L35:AJ35 M34:AJ34 L37:AJ37 M36:AJ36 L39:AJ41 M38:AJ38 M42:AJ42 L43:AJ43 L47:AJ47 M46:AJ46 L49:AJ49 M48:AJ48 L51:AJ51 M50:AJ50 L53:AJ53 M52:AJ52 L55:AJ55 M54:AJ54 M56:AJ56 AY175:AZ263 B391:H406 B386:G390 L57:AJ57 L45:AJ45 M44:AJ44 L59:AJ59 M58:AJ58 M60:AJ60 AK138:AL138 L406:V406 Y406:AJ406 AW444:AX444 AW503:AX503 AW584:AX584 AW624:AX624 AW732:AX732 AW787:AX787 B882:AV892 AW892:AX892 B893:F951 AW948:AX948 G896:G951 AW1131:AX1131 AW1203:AX1203 AW1253:AX1253 AK140:AL406 I352:I406 L373:AJ405 L372:AB372 AD372:AJ372 AM135:AV406 J364:K384 AW372:AX372 AW593:AX593 H893:AV951 B409:AV409 B410:K410 M410:AV410 B738:AV738 B737:I737 L737:AV737 AW796:AX796 AY729:AZ781 AW789:AX789 B753:AV830 AY783:AZ1217 AY1219:AZ1219 AW1221:AZ1221 AW1223:AX1223 B1123:AV1273 AY1222:AZ1273 A1274 AY1275:AZ1402 B1275:AV1402 AY265:AZ535 B411:AV535 AW656:AX656 AK33:AV134 AY49:AZ173 AW124:AX173 J33:K205 I33:I298 B33:H385 L61:AJ371 B538:AV736 AY538:AZ727">
    <cfRule type="expression" dxfId="29286" priority="6631">
      <formula>$M33="NON DEFINED"</formula>
    </cfRule>
    <cfRule type="expression" dxfId="29285" priority="6632">
      <formula>$AZ33="N.D."</formula>
    </cfRule>
    <cfRule type="expression" dxfId="29284" priority="6633">
      <formula>$AY33="N.D."</formula>
    </cfRule>
  </conditionalFormatting>
  <conditionalFormatting sqref="I4">
    <cfRule type="expression" dxfId="29283" priority="6603">
      <formula>$M4="NON DEFINED"</formula>
    </cfRule>
    <cfRule type="expression" dxfId="29282" priority="6604">
      <formula>$AY4="N.D."</formula>
    </cfRule>
  </conditionalFormatting>
  <conditionalFormatting sqref="I4">
    <cfRule type="cellIs" dxfId="29281" priority="6602" operator="equal">
      <formula>0</formula>
    </cfRule>
  </conditionalFormatting>
  <conditionalFormatting sqref="K4">
    <cfRule type="expression" dxfId="29280" priority="6586">
      <formula>$M4="NON DEFINED"</formula>
    </cfRule>
    <cfRule type="expression" dxfId="29279" priority="6587">
      <formula>$AY4="N.D."</formula>
    </cfRule>
  </conditionalFormatting>
  <conditionalFormatting sqref="K4">
    <cfRule type="cellIs" dxfId="29278" priority="6585" operator="equal">
      <formula>0</formula>
    </cfRule>
  </conditionalFormatting>
  <conditionalFormatting sqref="L4">
    <cfRule type="expression" dxfId="29277" priority="6569">
      <formula>$M4="NON DEFINED"</formula>
    </cfRule>
    <cfRule type="expression" dxfId="29276" priority="6570">
      <formula>$AY4="N.D."</formula>
    </cfRule>
  </conditionalFormatting>
  <conditionalFormatting sqref="L4">
    <cfRule type="cellIs" dxfId="29275" priority="6568" operator="equal">
      <formula>0</formula>
    </cfRule>
  </conditionalFormatting>
  <conditionalFormatting sqref="M4">
    <cfRule type="expression" dxfId="29274" priority="6552">
      <formula>$M4="NON DEFINED"</formula>
    </cfRule>
    <cfRule type="expression" dxfId="29273" priority="6553">
      <formula>$AY4="N.D."</formula>
    </cfRule>
  </conditionalFormatting>
  <conditionalFormatting sqref="M4">
    <cfRule type="cellIs" dxfId="29272" priority="6551" operator="equal">
      <formula>0</formula>
    </cfRule>
  </conditionalFormatting>
  <conditionalFormatting sqref="N4">
    <cfRule type="expression" dxfId="29271" priority="6532">
      <formula>$M4="NON DEFINED"</formula>
    </cfRule>
    <cfRule type="expression" dxfId="29270" priority="6533">
      <formula>$AY4="N.D."</formula>
    </cfRule>
  </conditionalFormatting>
  <conditionalFormatting sqref="N4">
    <cfRule type="cellIs" dxfId="29269" priority="6531" operator="equal">
      <formula>0</formula>
    </cfRule>
  </conditionalFormatting>
  <conditionalFormatting sqref="O4">
    <cfRule type="expression" dxfId="29268" priority="6515">
      <formula>$M4="NON DEFINED"</formula>
    </cfRule>
    <cfRule type="expression" dxfId="29267" priority="6516">
      <formula>$AY4="N.D."</formula>
    </cfRule>
  </conditionalFormatting>
  <conditionalFormatting sqref="O4">
    <cfRule type="cellIs" dxfId="29266" priority="6514" operator="equal">
      <formula>0</formula>
    </cfRule>
  </conditionalFormatting>
  <conditionalFormatting sqref="P4">
    <cfRule type="expression" dxfId="29265" priority="6498">
      <formula>$M4="NON DEFINED"</formula>
    </cfRule>
    <cfRule type="expression" dxfId="29264" priority="6499">
      <formula>$AY4="N.D."</formula>
    </cfRule>
  </conditionalFormatting>
  <conditionalFormatting sqref="P4">
    <cfRule type="cellIs" dxfId="29263" priority="6497" operator="equal">
      <formula>0</formula>
    </cfRule>
  </conditionalFormatting>
  <conditionalFormatting sqref="AC4">
    <cfRule type="expression" dxfId="29262" priority="6464">
      <formula>$M4="NON DEFINED"</formula>
    </cfRule>
    <cfRule type="expression" dxfId="29261" priority="6465">
      <formula>$AY4="N.D."</formula>
    </cfRule>
  </conditionalFormatting>
  <conditionalFormatting sqref="AC4">
    <cfRule type="cellIs" dxfId="29260" priority="6463" operator="equal">
      <formula>0</formula>
    </cfRule>
  </conditionalFormatting>
  <conditionalFormatting sqref="AD4">
    <cfRule type="expression" dxfId="29259" priority="6447">
      <formula>$M4="NON DEFINED"</formula>
    </cfRule>
    <cfRule type="expression" dxfId="29258" priority="6448">
      <formula>$AY4="N.D."</formula>
    </cfRule>
  </conditionalFormatting>
  <conditionalFormatting sqref="AD4">
    <cfRule type="cellIs" dxfId="29257" priority="6446" operator="equal">
      <formula>0</formula>
    </cfRule>
  </conditionalFormatting>
  <conditionalFormatting sqref="AE4">
    <cfRule type="expression" dxfId="29256" priority="6430">
      <formula>$M4="NON DEFINED"</formula>
    </cfRule>
    <cfRule type="expression" dxfId="29255" priority="6431">
      <formula>$AY4="N.D."</formula>
    </cfRule>
  </conditionalFormatting>
  <conditionalFormatting sqref="AE4">
    <cfRule type="cellIs" dxfId="29254" priority="6429" operator="equal">
      <formula>0</formula>
    </cfRule>
  </conditionalFormatting>
  <conditionalFormatting sqref="AJ4">
    <cfRule type="expression" dxfId="29253" priority="6413">
      <formula>$M4="NON DEFINED"</formula>
    </cfRule>
    <cfRule type="expression" dxfId="29252" priority="6414">
      <formula>$AY4="N.D."</formula>
    </cfRule>
  </conditionalFormatting>
  <conditionalFormatting sqref="AJ4">
    <cfRule type="cellIs" dxfId="29251" priority="6412" operator="equal">
      <formula>0</formula>
    </cfRule>
  </conditionalFormatting>
  <conditionalFormatting sqref="AK4">
    <cfRule type="expression" dxfId="29250" priority="6396">
      <formula>$M4="NON DEFINED"</formula>
    </cfRule>
    <cfRule type="expression" dxfId="29249" priority="6397">
      <formula>$AY4="N.D."</formula>
    </cfRule>
  </conditionalFormatting>
  <conditionalFormatting sqref="AK4">
    <cfRule type="cellIs" dxfId="29248" priority="6395" operator="equal">
      <formula>0</formula>
    </cfRule>
  </conditionalFormatting>
  <conditionalFormatting sqref="AL4">
    <cfRule type="expression" dxfId="29247" priority="6379">
      <formula>$M4="NON DEFINED"</formula>
    </cfRule>
    <cfRule type="expression" dxfId="29246" priority="6380">
      <formula>$AY4="N.D."</formula>
    </cfRule>
  </conditionalFormatting>
  <conditionalFormatting sqref="AL4">
    <cfRule type="cellIs" dxfId="29245" priority="6378" operator="equal">
      <formula>0</formula>
    </cfRule>
  </conditionalFormatting>
  <conditionalFormatting sqref="AM4">
    <cfRule type="expression" dxfId="29244" priority="6362">
      <formula>$M4="NON DEFINED"</formula>
    </cfRule>
    <cfRule type="expression" dxfId="29243" priority="6363">
      <formula>$AY4="N.D."</formula>
    </cfRule>
  </conditionalFormatting>
  <conditionalFormatting sqref="AM4">
    <cfRule type="cellIs" dxfId="29242" priority="6361" operator="equal">
      <formula>0</formula>
    </cfRule>
  </conditionalFormatting>
  <conditionalFormatting sqref="AT4">
    <cfRule type="expression" dxfId="29241" priority="6345">
      <formula>$M4="NON DEFINED"</formula>
    </cfRule>
    <cfRule type="expression" dxfId="29240" priority="6346">
      <formula>$AY4="N.D."</formula>
    </cfRule>
  </conditionalFormatting>
  <conditionalFormatting sqref="AT4">
    <cfRule type="cellIs" dxfId="29239" priority="6344" operator="equal">
      <formula>0</formula>
    </cfRule>
  </conditionalFormatting>
  <conditionalFormatting sqref="AU4">
    <cfRule type="expression" dxfId="29238" priority="6328">
      <formula>$M4="NON DEFINED"</formula>
    </cfRule>
    <cfRule type="expression" dxfId="29237" priority="6329">
      <formula>$AY4="N.D."</formula>
    </cfRule>
  </conditionalFormatting>
  <conditionalFormatting sqref="AU4">
    <cfRule type="cellIs" dxfId="29236" priority="6327" operator="equal">
      <formula>0</formula>
    </cfRule>
  </conditionalFormatting>
  <conditionalFormatting sqref="AV4">
    <cfRule type="expression" dxfId="29235" priority="6311">
      <formula>$M4="NON DEFINED"</formula>
    </cfRule>
    <cfRule type="expression" dxfId="29234" priority="6312">
      <formula>$AY4="N.D."</formula>
    </cfRule>
  </conditionalFormatting>
  <conditionalFormatting sqref="AV4">
    <cfRule type="cellIs" dxfId="29233" priority="6310" operator="equal">
      <formula>0</formula>
    </cfRule>
  </conditionalFormatting>
  <conditionalFormatting sqref="AW4">
    <cfRule type="expression" dxfId="29232" priority="6294">
      <formula>$M4="NON DEFINED"</formula>
    </cfRule>
    <cfRule type="expression" dxfId="29231" priority="6295">
      <formula>$AY4="N.D."</formula>
    </cfRule>
  </conditionalFormatting>
  <conditionalFormatting sqref="AW4">
    <cfRule type="cellIs" dxfId="29230" priority="6293" operator="equal">
      <formula>0</formula>
    </cfRule>
  </conditionalFormatting>
  <conditionalFormatting sqref="AX4">
    <cfRule type="expression" dxfId="29229" priority="6277">
      <formula>$M4="NON DEFINED"</formula>
    </cfRule>
    <cfRule type="expression" dxfId="29228" priority="6278">
      <formula>$AY4="N.D."</formula>
    </cfRule>
  </conditionalFormatting>
  <conditionalFormatting sqref="AX4">
    <cfRule type="cellIs" dxfId="29227" priority="6276" operator="equal">
      <formula>0</formula>
    </cfRule>
  </conditionalFormatting>
  <conditionalFormatting sqref="F4">
    <cfRule type="expression" dxfId="29226" priority="6260">
      <formula>$M4="NON DEFINED"</formula>
    </cfRule>
    <cfRule type="expression" dxfId="29225" priority="6261">
      <formula>$AY4="N.D."</formula>
    </cfRule>
  </conditionalFormatting>
  <conditionalFormatting sqref="F4">
    <cfRule type="cellIs" dxfId="29224" priority="6259" operator="equal">
      <formula>0</formula>
    </cfRule>
  </conditionalFormatting>
  <conditionalFormatting sqref="Q4">
    <cfRule type="expression" dxfId="29223" priority="6243">
      <formula>$M4="NON DEFINED"</formula>
    </cfRule>
    <cfRule type="expression" dxfId="29222" priority="6244">
      <formula>$AY4="N.D."</formula>
    </cfRule>
  </conditionalFormatting>
  <conditionalFormatting sqref="Q4">
    <cfRule type="cellIs" dxfId="29221" priority="6242" operator="equal">
      <formula>0</formula>
    </cfRule>
  </conditionalFormatting>
  <conditionalFormatting sqref="T4">
    <cfRule type="expression" dxfId="29220" priority="6226">
      <formula>$M4="NON DEFINED"</formula>
    </cfRule>
    <cfRule type="expression" dxfId="29219" priority="6227">
      <formula>$AY4="N.D."</formula>
    </cfRule>
  </conditionalFormatting>
  <conditionalFormatting sqref="T4">
    <cfRule type="cellIs" dxfId="29218" priority="6225" operator="equal">
      <formula>0</formula>
    </cfRule>
  </conditionalFormatting>
  <conditionalFormatting sqref="U4">
    <cfRule type="expression" dxfId="29217" priority="6209">
      <formula>$M4="NON DEFINED"</formula>
    </cfRule>
    <cfRule type="expression" dxfId="29216" priority="6210">
      <formula>$AY4="N.D."</formula>
    </cfRule>
  </conditionalFormatting>
  <conditionalFormatting sqref="U4">
    <cfRule type="cellIs" dxfId="29215" priority="6208" operator="equal">
      <formula>0</formula>
    </cfRule>
  </conditionalFormatting>
  <conditionalFormatting sqref="V4">
    <cfRule type="expression" dxfId="29214" priority="6192">
      <formula>$M4="NON DEFINED"</formula>
    </cfRule>
    <cfRule type="expression" dxfId="29213" priority="6193">
      <formula>$AY4="N.D."</formula>
    </cfRule>
  </conditionalFormatting>
  <conditionalFormatting sqref="V4">
    <cfRule type="cellIs" dxfId="29212" priority="6191" operator="equal">
      <formula>0</formula>
    </cfRule>
  </conditionalFormatting>
  <conditionalFormatting sqref="AF4">
    <cfRule type="expression" dxfId="29211" priority="6175">
      <formula>$M4="NON DEFINED"</formula>
    </cfRule>
    <cfRule type="expression" dxfId="29210" priority="6176">
      <formula>$AY4="N.D."</formula>
    </cfRule>
  </conditionalFormatting>
  <conditionalFormatting sqref="AF4">
    <cfRule type="cellIs" dxfId="29209" priority="6174" operator="equal">
      <formula>0</formula>
    </cfRule>
  </conditionalFormatting>
  <conditionalFormatting sqref="AH4">
    <cfRule type="expression" dxfId="29208" priority="6158">
      <formula>$M4="NON DEFINED"</formula>
    </cfRule>
    <cfRule type="expression" dxfId="29207" priority="6159">
      <formula>$AY4="N.D."</formula>
    </cfRule>
  </conditionalFormatting>
  <conditionalFormatting sqref="AH4">
    <cfRule type="cellIs" dxfId="29206" priority="6157" operator="equal">
      <formula>0</formula>
    </cfRule>
  </conditionalFormatting>
  <conditionalFormatting sqref="AI4">
    <cfRule type="expression" dxfId="29205" priority="6141">
      <formula>$M4="NON DEFINED"</formula>
    </cfRule>
    <cfRule type="expression" dxfId="29204" priority="6142">
      <formula>$AY4="N.D."</formula>
    </cfRule>
  </conditionalFormatting>
  <conditionalFormatting sqref="AI4">
    <cfRule type="cellIs" dxfId="29203" priority="6140" operator="equal">
      <formula>0</formula>
    </cfRule>
  </conditionalFormatting>
  <conditionalFormatting sqref="R4">
    <cfRule type="expression" dxfId="29202" priority="6124">
      <formula>$M4="NON DEFINED"</formula>
    </cfRule>
    <cfRule type="expression" dxfId="29201" priority="6125">
      <formula>$AY4="N.D."</formula>
    </cfRule>
  </conditionalFormatting>
  <conditionalFormatting sqref="R4">
    <cfRule type="cellIs" dxfId="29200" priority="6123" operator="equal">
      <formula>0</formula>
    </cfRule>
  </conditionalFormatting>
  <conditionalFormatting sqref="S4">
    <cfRule type="expression" dxfId="29199" priority="6107">
      <formula>$M4="NON DEFINED"</formula>
    </cfRule>
    <cfRule type="expression" dxfId="29198" priority="6108">
      <formula>$AY4="N.D."</formula>
    </cfRule>
  </conditionalFormatting>
  <conditionalFormatting sqref="S4">
    <cfRule type="cellIs" dxfId="29197" priority="6106" operator="equal">
      <formula>0</formula>
    </cfRule>
  </conditionalFormatting>
  <conditionalFormatting sqref="W4">
    <cfRule type="expression" dxfId="29196" priority="6090">
      <formula>$M4="NON DEFINED"</formula>
    </cfRule>
    <cfRule type="expression" dxfId="29195" priority="6091">
      <formula>$AY4="N.D."</formula>
    </cfRule>
  </conditionalFormatting>
  <conditionalFormatting sqref="W4">
    <cfRule type="cellIs" dxfId="29194" priority="6089" operator="equal">
      <formula>0</formula>
    </cfRule>
  </conditionalFormatting>
  <conditionalFormatting sqref="X4">
    <cfRule type="expression" dxfId="29193" priority="6056">
      <formula>$M4="NON DEFINED"</formula>
    </cfRule>
    <cfRule type="expression" dxfId="29192" priority="6057">
      <formula>$AY4="N.D."</formula>
    </cfRule>
  </conditionalFormatting>
  <conditionalFormatting sqref="X4">
    <cfRule type="cellIs" dxfId="29191" priority="6055" operator="equal">
      <formula>0</formula>
    </cfRule>
  </conditionalFormatting>
  <conditionalFormatting sqref="Y4">
    <cfRule type="expression" dxfId="29190" priority="6039">
      <formula>$M4="NON DEFINED"</formula>
    </cfRule>
    <cfRule type="expression" dxfId="29189" priority="6040">
      <formula>$AY4="N.D."</formula>
    </cfRule>
  </conditionalFormatting>
  <conditionalFormatting sqref="Y4">
    <cfRule type="cellIs" dxfId="29188" priority="6038" operator="equal">
      <formula>0</formula>
    </cfRule>
  </conditionalFormatting>
  <conditionalFormatting sqref="Z4">
    <cfRule type="expression" dxfId="29187" priority="6022">
      <formula>$M4="NON DEFINED"</formula>
    </cfRule>
    <cfRule type="expression" dxfId="29186" priority="6023">
      <formula>$AY4="N.D."</formula>
    </cfRule>
  </conditionalFormatting>
  <conditionalFormatting sqref="Z4">
    <cfRule type="cellIs" dxfId="29185" priority="6021" operator="equal">
      <formula>0</formula>
    </cfRule>
  </conditionalFormatting>
  <conditionalFormatting sqref="AA4">
    <cfRule type="expression" dxfId="29184" priority="6005">
      <formula>$M4="NON DEFINED"</formula>
    </cfRule>
    <cfRule type="expression" dxfId="29183" priority="6006">
      <formula>$AY4="N.D."</formula>
    </cfRule>
  </conditionalFormatting>
  <conditionalFormatting sqref="AA4">
    <cfRule type="cellIs" dxfId="29182" priority="6004" operator="equal">
      <formula>0</formula>
    </cfRule>
  </conditionalFormatting>
  <conditionalFormatting sqref="AB4">
    <cfRule type="expression" dxfId="29181" priority="5988">
      <formula>$M4="NON DEFINED"</formula>
    </cfRule>
    <cfRule type="expression" dxfId="29180" priority="5989">
      <formula>$AY4="N.D."</formula>
    </cfRule>
  </conditionalFormatting>
  <conditionalFormatting sqref="AB4">
    <cfRule type="cellIs" dxfId="29179" priority="5987" operator="equal">
      <formula>0</formula>
    </cfRule>
  </conditionalFormatting>
  <conditionalFormatting sqref="J207 J215:J260 J262:J264 J266:J286 J292:J298 J310:J316 J324:J342 J344:J348 J352:J360 AZ33:AZ47 J362">
    <cfRule type="expression" dxfId="29178" priority="5984">
      <formula>$M33="NON DEFINED"</formula>
    </cfRule>
    <cfRule type="expression" dxfId="29177" priority="5985">
      <formula>$AZ33="N.D."</formula>
    </cfRule>
    <cfRule type="expression" dxfId="29176" priority="5986">
      <formula>$AY33="N.D."</formula>
    </cfRule>
  </conditionalFormatting>
  <conditionalFormatting sqref="AY33:AY47">
    <cfRule type="expression" dxfId="29175" priority="5981">
      <formula>$M33="NON DEFINED"</formula>
    </cfRule>
    <cfRule type="expression" dxfId="29174" priority="5982">
      <formula>$AZ33="N.D."</formula>
    </cfRule>
    <cfRule type="expression" dxfId="29173" priority="5983">
      <formula>$AY33="N.D."</formula>
    </cfRule>
  </conditionalFormatting>
  <conditionalFormatting sqref="J207 J215:J260 J262:J264 J266:J286 J292:J298 J310:J316 J324:J342 J344:J348 J352:J360 AY33:AZ47 J362">
    <cfRule type="expression" dxfId="29172" priority="5969">
      <formula>$A33="Overhead Cable"</formula>
    </cfRule>
    <cfRule type="expression" dxfId="29171" priority="5970">
      <formula>$A33="Level Crossing"</formula>
    </cfRule>
    <cfRule type="expression" dxfId="29170" priority="5971">
      <formula>$A33="Neutral Section"</formula>
    </cfRule>
    <cfRule type="expression" dxfId="29169" priority="5972">
      <formula>$A33="Tunnel"</formula>
    </cfRule>
    <cfRule type="expression" dxfId="29168" priority="5973">
      <formula>$A33="Bridge"</formula>
    </cfRule>
    <cfRule type="expression" dxfId="29167" priority="5974">
      <formula>$A33="Drainage Works"</formula>
    </cfRule>
    <cfRule type="expression" dxfId="29166" priority="5975">
      <formula>$A33="Underpass"</formula>
    </cfRule>
    <cfRule type="expression" dxfId="29165" priority="5976">
      <formula>$A33="Overcrossing"</formula>
    </cfRule>
    <cfRule type="expression" dxfId="29164" priority="5977">
      <formula>$A33="Overpass"</formula>
    </cfRule>
    <cfRule type="expression" dxfId="29163" priority="5978">
      <formula>$A33="Station"</formula>
    </cfRule>
    <cfRule type="expression" dxfId="29162" priority="5979">
      <formula>$A33="Overlap between sections"</formula>
    </cfRule>
  </conditionalFormatting>
  <conditionalFormatting sqref="AN1275:AP1402 AN33:AP535 AN538:AP1273">
    <cfRule type="cellIs" dxfId="29161" priority="5968" operator="notEqual">
      <formula>5.5</formula>
    </cfRule>
  </conditionalFormatting>
  <conditionalFormatting sqref="B1275:B1402 B33:B535 B538:B1273">
    <cfRule type="expression" dxfId="29160" priority="5951">
      <formula>AND($AH33&gt;2499,$AH33&lt;2901)</formula>
    </cfRule>
  </conditionalFormatting>
  <conditionalFormatting sqref="I310:I332 I334:I342 I344:I348">
    <cfRule type="expression" dxfId="29159" priority="5948">
      <formula>$M310="NON DEFINED"</formula>
    </cfRule>
    <cfRule type="expression" dxfId="29158" priority="5949">
      <formula>$AZ310="N.D."</formula>
    </cfRule>
    <cfRule type="expression" dxfId="29157" priority="5950">
      <formula>$AY310="N.D."</formula>
    </cfRule>
  </conditionalFormatting>
  <conditionalFormatting sqref="I310:I332 I334:I342 I344:I348">
    <cfRule type="expression" dxfId="29156" priority="5937">
      <formula>$A310="Overhead Cable"</formula>
    </cfRule>
    <cfRule type="expression" dxfId="29155" priority="5938">
      <formula>$A310="Level Crossing"</formula>
    </cfRule>
    <cfRule type="expression" dxfId="29154" priority="5939">
      <formula>$A310="Neutral Section"</formula>
    </cfRule>
    <cfRule type="expression" dxfId="29153" priority="5940">
      <formula>$A310="Tunnel"</formula>
    </cfRule>
    <cfRule type="expression" dxfId="29152" priority="5941">
      <formula>$A310="Bridge"</formula>
    </cfRule>
    <cfRule type="expression" dxfId="29151" priority="5942">
      <formula>$A310="Drainage Works"</formula>
    </cfRule>
    <cfRule type="expression" dxfId="29150" priority="5943">
      <formula>$A310="Underpass"</formula>
    </cfRule>
    <cfRule type="expression" dxfId="29149" priority="5944">
      <formula>$A310="Overcrossing"</formula>
    </cfRule>
    <cfRule type="expression" dxfId="29148" priority="5945">
      <formula>$A310="Overpass"</formula>
    </cfRule>
    <cfRule type="expression" dxfId="29147" priority="5946">
      <formula>$A310="Station"</formula>
    </cfRule>
    <cfRule type="expression" dxfId="29146" priority="5947">
      <formula>$A310="Overlap between sections"</formula>
    </cfRule>
  </conditionalFormatting>
  <conditionalFormatting sqref="K207 K262:K264 K292:K298 K310:K316 K324:K332 K352:K360 K215:K252 K344:K348 K334:K342 K362 K254:K260 K266:K286">
    <cfRule type="expression" dxfId="29145" priority="5934">
      <formula>$M207="NON DEFINED"</formula>
    </cfRule>
    <cfRule type="expression" dxfId="29144" priority="5935">
      <formula>$AZ207="N.D."</formula>
    </cfRule>
    <cfRule type="expression" dxfId="29143" priority="5936">
      <formula>$AY207="N.D."</formula>
    </cfRule>
  </conditionalFormatting>
  <conditionalFormatting sqref="K207 K262:K264 K292:K298 K310:K316 K324:K332 K352:K360 K215:K252 K344:K348 K334:K342 K362 K254:K260 K266:K286">
    <cfRule type="expression" dxfId="29142" priority="5923">
      <formula>$A207="Overhead Cable"</formula>
    </cfRule>
    <cfRule type="expression" dxfId="29141" priority="5924">
      <formula>$A207="Level Crossing"</formula>
    </cfRule>
    <cfRule type="expression" dxfId="29140" priority="5925">
      <formula>$A207="Neutral Section"</formula>
    </cfRule>
    <cfRule type="expression" dxfId="29139" priority="5926">
      <formula>$A207="Tunnel"</formula>
    </cfRule>
    <cfRule type="expression" dxfId="29138" priority="5927">
      <formula>$A207="Bridge"</formula>
    </cfRule>
    <cfRule type="expression" dxfId="29137" priority="5928">
      <formula>$A207="Drainage Works"</formula>
    </cfRule>
    <cfRule type="expression" dxfId="29136" priority="5929">
      <formula>$A207="Underpass"</formula>
    </cfRule>
    <cfRule type="expression" dxfId="29135" priority="5930">
      <formula>$A207="Overcrossing"</formula>
    </cfRule>
    <cfRule type="expression" dxfId="29134" priority="5931">
      <formula>$A207="Overpass"</formula>
    </cfRule>
    <cfRule type="expression" dxfId="29133" priority="5932">
      <formula>$A207="Station"</formula>
    </cfRule>
    <cfRule type="expression" dxfId="29132" priority="5933">
      <formula>$A207="Overlap between sections"</formula>
    </cfRule>
  </conditionalFormatting>
  <conditionalFormatting sqref="AK136">
    <cfRule type="expression" dxfId="29131" priority="5794">
      <formula>$M136="NON DEFINED"</formula>
    </cfRule>
    <cfRule type="expression" dxfId="29130" priority="5795">
      <formula>$AZ136="N.D."</formula>
    </cfRule>
    <cfRule type="expression" dxfId="29129" priority="5796">
      <formula>$AY136="N.D."</formula>
    </cfRule>
  </conditionalFormatting>
  <conditionalFormatting sqref="AK136">
    <cfRule type="expression" dxfId="29128" priority="5783">
      <formula>$A136="Overhead Cable"</formula>
    </cfRule>
    <cfRule type="expression" dxfId="29127" priority="5784">
      <formula>$A136="Level Crossing"</formula>
    </cfRule>
    <cfRule type="expression" dxfId="29126" priority="5785">
      <formula>$A136="Neutral Section"</formula>
    </cfRule>
    <cfRule type="expression" dxfId="29125" priority="5786">
      <formula>$A136="Tunnel"</formula>
    </cfRule>
    <cfRule type="expression" dxfId="29124" priority="5787">
      <formula>$A136="Bridge"</formula>
    </cfRule>
    <cfRule type="expression" dxfId="29123" priority="5788">
      <formula>$A136="Drainage Works"</formula>
    </cfRule>
    <cfRule type="expression" dxfId="29122" priority="5789">
      <formula>$A136="Underpass"</formula>
    </cfRule>
    <cfRule type="expression" dxfId="29121" priority="5790">
      <formula>$A136="Overcrossing"</formula>
    </cfRule>
    <cfRule type="expression" dxfId="29120" priority="5791">
      <formula>$A136="Overpass"</formula>
    </cfRule>
    <cfRule type="expression" dxfId="29119" priority="5792">
      <formula>$A136="Station"</formula>
    </cfRule>
    <cfRule type="expression" dxfId="29118" priority="5793">
      <formula>$A136="Overlap between sections"</formula>
    </cfRule>
  </conditionalFormatting>
  <conditionalFormatting sqref="AL136">
    <cfRule type="expression" dxfId="29117" priority="5780">
      <formula>$M136="NON DEFINED"</formula>
    </cfRule>
    <cfRule type="expression" dxfId="29116" priority="5781">
      <formula>$AZ136="N.D."</formula>
    </cfRule>
    <cfRule type="expression" dxfId="29115" priority="5782">
      <formula>$AY136="N.D."</formula>
    </cfRule>
  </conditionalFormatting>
  <conditionalFormatting sqref="AL136">
    <cfRule type="expression" dxfId="29114" priority="5769">
      <formula>$A136="Overhead Cable"</formula>
    </cfRule>
    <cfRule type="expression" dxfId="29113" priority="5770">
      <formula>$A136="Level Crossing"</formula>
    </cfRule>
    <cfRule type="expression" dxfId="29112" priority="5771">
      <formula>$A136="Neutral Section"</formula>
    </cfRule>
    <cfRule type="expression" dxfId="29111" priority="5772">
      <formula>$A136="Tunnel"</formula>
    </cfRule>
    <cfRule type="expression" dxfId="29110" priority="5773">
      <formula>$A136="Bridge"</formula>
    </cfRule>
    <cfRule type="expression" dxfId="29109" priority="5774">
      <formula>$A136="Drainage Works"</formula>
    </cfRule>
    <cfRule type="expression" dxfId="29108" priority="5775">
      <formula>$A136="Underpass"</formula>
    </cfRule>
    <cfRule type="expression" dxfId="29107" priority="5776">
      <formula>$A136="Overcrossing"</formula>
    </cfRule>
    <cfRule type="expression" dxfId="29106" priority="5777">
      <formula>$A136="Overpass"</formula>
    </cfRule>
    <cfRule type="expression" dxfId="29105" priority="5778">
      <formula>$A136="Station"</formula>
    </cfRule>
    <cfRule type="expression" dxfId="29104" priority="5779">
      <formula>$A136="Overlap between sections"</formula>
    </cfRule>
  </conditionalFormatting>
  <conditionalFormatting sqref="AW49:AW55 AW262 AW266 AW268 AW270 AW272 AW274 AW276 AW278 AW280 AW282 AW284 AW286 AW288 AW290 AW292 AW294 AW296 AW298 AW300 AW302 AW304 AW306 AW308 AW310 AW312 AW314 AW316 AW318 AW320:AW322 AW324 AW326 AW328 AW330 AW332 AW334:AW336 AW338 AW340 AW342 AW344 AW346 AW348 AW350 AW352 AW354 AW356 AW358 AW360 AW362:AW364 AW366 AW368 AW370 AW374 AW376 AW378:AW382 AW384 AW386 AW388 AW390 AW392 AW394 AW396 AW398 AW400 AW402 AW404 AW224 AW226 AW228:AW260 AW122 AW57 AW59 AW61 AW63 AW65:AW67 AW69 AW71 AW74 AW76 AW78 AW80 AW82 AW84 AW86 AW88 AW90 AW92:AW120 AW33:AW47 AW175:AW222">
    <cfRule type="expression" dxfId="29103" priority="5710">
      <formula>$M33="NON DEFINED"</formula>
    </cfRule>
    <cfRule type="expression" dxfId="29102" priority="5711">
      <formula>$AZ33="N.D."</formula>
    </cfRule>
    <cfRule type="expression" dxfId="29101" priority="5712">
      <formula>$AY33="N.D."</formula>
    </cfRule>
  </conditionalFormatting>
  <conditionalFormatting sqref="AW49:AW55 AW262 AW266 AW268 AW270 AW272 AW274 AW276 AW278 AW280 AW282 AW284 AW286 AW288 AW290 AW292 AW294 AW296 AW298 AW300 AW302 AW304 AW306 AW308 AW310 AW312 AW314 AW316 AW318 AW320:AW322 AW324 AW326 AW328 AW330 AW332 AW334:AW336 AW338 AW340 AW342 AW344 AW346 AW348 AW350 AW352 AW354 AW356 AW358 AW360 AW362:AW364 AW366 AW368 AW370 AW372 AW374 AW376 AW378:AW382 AW388 AW390 AW392 AW394 AW396 AW398 AW400 AW402 AW404 AW224 AW226 AW228:AW260 AW122 AW57 AW59 AW61 AW63 AW65:AW67 AW69 AW71 AW74 AW76 AW78 AW80 AW82 AW84 AW86 AW88 AW90 AW92:AW120 AW33:AW47 AW175:AW222">
    <cfRule type="expression" dxfId="29100" priority="5699">
      <formula>$A33="Overhead Cable"</formula>
    </cfRule>
    <cfRule type="expression" dxfId="29099" priority="5700">
      <formula>$A33="Level Crossing"</formula>
    </cfRule>
    <cfRule type="expression" dxfId="29098" priority="5701">
      <formula>$A33="Neutral Section"</formula>
    </cfRule>
    <cfRule type="expression" dxfId="29097" priority="5702">
      <formula>$A33="Tunnel"</formula>
    </cfRule>
    <cfRule type="expression" dxfId="29096" priority="5703">
      <formula>$A33="Bridge"</formula>
    </cfRule>
    <cfRule type="expression" dxfId="29095" priority="5704">
      <formula>$A33="Drainage Works"</formula>
    </cfRule>
    <cfRule type="expression" dxfId="29094" priority="5705">
      <formula>$A33="Underpass"</formula>
    </cfRule>
    <cfRule type="expression" dxfId="29093" priority="5706">
      <formula>$A33="Overcrossing"</formula>
    </cfRule>
    <cfRule type="expression" dxfId="29092" priority="5707">
      <formula>$A33="Overpass"</formula>
    </cfRule>
    <cfRule type="expression" dxfId="29091" priority="5708">
      <formula>$A33="Station"</formula>
    </cfRule>
    <cfRule type="expression" dxfId="29090" priority="5709">
      <formula>$A33="Overlap between sections"</formula>
    </cfRule>
  </conditionalFormatting>
  <conditionalFormatting sqref="AX49:AX55 AX262 AX266 AX268 AX270 AX272 AX274 AX276 AX278 AX280 AX282 AX284 AX286 AX288 AX290 AX292 AX294 AX296 AX298 AX300 AX302 AX304 AX306 AX308 AX310 AX312 AX314 AX316 AX318 AX320:AX322 AX324 AX326 AX328 AX330 AX332 AX334:AX336 AX338 AX340 AX342 AX344 AX346 AX348 AX350 AX352 AX354 AX356 AX358 AX360 AX362:AX364 AX366 AX368 AX370 AX374 AX376 AX378:AX382 AX384 AX386 AX388 AX390 AX392 AX394 AX396 AX398 AX400 AX402 AX404 AX224 AX226 AX228:AX260 AX122 AX57 AX59 AX61 AX63 AX65:AX67 AX69 AX71 AX74 AX76 AX78 AX80 AX82 AX84 AX86 AX88 AX90 AX92:AX120 AX33:AX47 AX175:AX222">
    <cfRule type="expression" dxfId="29089" priority="5696">
      <formula>$M33="NON DEFINED"</formula>
    </cfRule>
    <cfRule type="expression" dxfId="29088" priority="5697">
      <formula>$AZ33="N.D."</formula>
    </cfRule>
    <cfRule type="expression" dxfId="29087" priority="5698">
      <formula>$AY33="N.D."</formula>
    </cfRule>
  </conditionalFormatting>
  <conditionalFormatting sqref="AX49:AX55 AX262 AX266 AX268 AX270 AX272 AX274 AX276 AX278 AX280 AX282 AX284 AX286 AX288 AX290 AX292 AX294 AX296 AX298 AX300 AX302 AX304 AX306 AX308 AX310 AX312 AX314 AX316 AX318 AX320:AX322 AX324 AX326 AX328 AX330 AX332 AX334:AX336 AX338 AX340 AX342 AX344 AX346 AX348 AX350 AX352 AX354 AX356 AX358 AX360 AX362:AX364 AX366 AX368 AX370 AX372 AX374 AX376 AX378:AX382 AX388 AX390 AX392 AX394 AX396 AX398 AX400 AX402 AX404 AX224 AX226 AX228:AX260 AX122 AX57 AX59 AX61 AX63 AX65:AX67 AX69 AX71 AX74 AX76 AX78 AX80 AX82 AX84 AX86 AX88 AX90 AX92:AX120 AX33:AX47 AX175:AX222">
    <cfRule type="expression" dxfId="29086" priority="5685">
      <formula>$A33="Overhead Cable"</formula>
    </cfRule>
    <cfRule type="expression" dxfId="29085" priority="5686">
      <formula>$A33="Level Crossing"</formula>
    </cfRule>
    <cfRule type="expression" dxfId="29084" priority="5687">
      <formula>$A33="Neutral Section"</formula>
    </cfRule>
    <cfRule type="expression" dxfId="29083" priority="5688">
      <formula>$A33="Tunnel"</formula>
    </cfRule>
    <cfRule type="expression" dxfId="29082" priority="5689">
      <formula>$A33="Bridge"</formula>
    </cfRule>
    <cfRule type="expression" dxfId="29081" priority="5690">
      <formula>$A33="Drainage Works"</formula>
    </cfRule>
    <cfRule type="expression" dxfId="29080" priority="5691">
      <formula>$A33="Underpass"</formula>
    </cfRule>
    <cfRule type="expression" dxfId="29079" priority="5692">
      <formula>$A33="Overcrossing"</formula>
    </cfRule>
    <cfRule type="expression" dxfId="29078" priority="5693">
      <formula>$A33="Overpass"</formula>
    </cfRule>
    <cfRule type="expression" dxfId="29077" priority="5694">
      <formula>$A33="Station"</formula>
    </cfRule>
    <cfRule type="expression" dxfId="29076" priority="5695">
      <formula>$A33="Overlap between sections"</formula>
    </cfRule>
  </conditionalFormatting>
  <conditionalFormatting sqref="BD467 BD469 BD471 BD473 BD475:BD477 BD479 BD481 BD483 BD485 BD487 BD489 BD491 BD493 BD495 BD497 BD1219 BD1221:BD1273 BD1275:BD1402 BD499:BD535 BD33:BD406 BD538:BD1217">
    <cfRule type="containsText" dxfId="29075" priority="5460" operator="containsText" text="Poner a mano">
      <formula>NOT(ISERROR(SEARCH("Poner a mano",BD33)))</formula>
    </cfRule>
  </conditionalFormatting>
  <conditionalFormatting sqref="J208:J211 J213:J214">
    <cfRule type="expression" dxfId="29074" priority="5334">
      <formula>$M208="NON DEFINED"</formula>
    </cfRule>
    <cfRule type="expression" dxfId="29073" priority="5335">
      <formula>$AZ208="N.D."</formula>
    </cfRule>
    <cfRule type="expression" dxfId="29072" priority="5336">
      <formula>$AY208="N.D."</formula>
    </cfRule>
  </conditionalFormatting>
  <conditionalFormatting sqref="J208:J211 J213:J214">
    <cfRule type="expression" dxfId="29071" priority="5323">
      <formula>$A208="Overhead Cable"</formula>
    </cfRule>
    <cfRule type="expression" dxfId="29070" priority="5324">
      <formula>$A208="Level Crossing"</formula>
    </cfRule>
    <cfRule type="expression" dxfId="29069" priority="5325">
      <formula>$A208="Neutral Section"</formula>
    </cfRule>
    <cfRule type="expression" dxfId="29068" priority="5326">
      <formula>$A208="Tunnel"</formula>
    </cfRule>
    <cfRule type="expression" dxfId="29067" priority="5327">
      <formula>$A208="Bridge"</formula>
    </cfRule>
    <cfRule type="expression" dxfId="29066" priority="5328">
      <formula>$A208="Drainage Works"</formula>
    </cfRule>
    <cfRule type="expression" dxfId="29065" priority="5329">
      <formula>$A208="Underpass"</formula>
    </cfRule>
    <cfRule type="expression" dxfId="29064" priority="5330">
      <formula>$A208="Overcrossing"</formula>
    </cfRule>
    <cfRule type="expression" dxfId="29063" priority="5331">
      <formula>$A208="Overpass"</formula>
    </cfRule>
    <cfRule type="expression" dxfId="29062" priority="5332">
      <formula>$A208="Station"</formula>
    </cfRule>
    <cfRule type="expression" dxfId="29061" priority="5333">
      <formula>$A208="Overlap between sections"</formula>
    </cfRule>
  </conditionalFormatting>
  <conditionalFormatting sqref="K208:K211 K213:K214">
    <cfRule type="expression" dxfId="29060" priority="5320">
      <formula>$M208="NON DEFINED"</formula>
    </cfRule>
    <cfRule type="expression" dxfId="29059" priority="5321">
      <formula>$AZ208="N.D."</formula>
    </cfRule>
    <cfRule type="expression" dxfId="29058" priority="5322">
      <formula>$AY208="N.D."</formula>
    </cfRule>
  </conditionalFormatting>
  <conditionalFormatting sqref="K208:K211 K213:K214">
    <cfRule type="expression" dxfId="29057" priority="5309">
      <formula>$A208="Overhead Cable"</formula>
    </cfRule>
    <cfRule type="expression" dxfId="29056" priority="5310">
      <formula>$A208="Level Crossing"</formula>
    </cfRule>
    <cfRule type="expression" dxfId="29055" priority="5311">
      <formula>$A208="Neutral Section"</formula>
    </cfRule>
    <cfRule type="expression" dxfId="29054" priority="5312">
      <formula>$A208="Tunnel"</formula>
    </cfRule>
    <cfRule type="expression" dxfId="29053" priority="5313">
      <formula>$A208="Bridge"</formula>
    </cfRule>
    <cfRule type="expression" dxfId="29052" priority="5314">
      <formula>$A208="Drainage Works"</formula>
    </cfRule>
    <cfRule type="expression" dxfId="29051" priority="5315">
      <formula>$A208="Underpass"</formula>
    </cfRule>
    <cfRule type="expression" dxfId="29050" priority="5316">
      <formula>$A208="Overcrossing"</formula>
    </cfRule>
    <cfRule type="expression" dxfId="29049" priority="5317">
      <formula>$A208="Overpass"</formula>
    </cfRule>
    <cfRule type="expression" dxfId="29048" priority="5318">
      <formula>$A208="Station"</formula>
    </cfRule>
    <cfRule type="expression" dxfId="29047" priority="5319">
      <formula>$A208="Overlap between sections"</formula>
    </cfRule>
  </conditionalFormatting>
  <conditionalFormatting sqref="J206">
    <cfRule type="expression" dxfId="29046" priority="5306">
      <formula>$M206="NON DEFINED"</formula>
    </cfRule>
    <cfRule type="expression" dxfId="29045" priority="5307">
      <formula>$AZ206="N.D."</formula>
    </cfRule>
    <cfRule type="expression" dxfId="29044" priority="5308">
      <formula>$AY206="N.D."</formula>
    </cfRule>
  </conditionalFormatting>
  <conditionalFormatting sqref="J206">
    <cfRule type="expression" dxfId="29043" priority="5295">
      <formula>$A206="Overhead Cable"</formula>
    </cfRule>
    <cfRule type="expression" dxfId="29042" priority="5296">
      <formula>$A206="Level Crossing"</formula>
    </cfRule>
    <cfRule type="expression" dxfId="29041" priority="5297">
      <formula>$A206="Neutral Section"</formula>
    </cfRule>
    <cfRule type="expression" dxfId="29040" priority="5298">
      <formula>$A206="Tunnel"</formula>
    </cfRule>
    <cfRule type="expression" dxfId="29039" priority="5299">
      <formula>$A206="Bridge"</formula>
    </cfRule>
    <cfRule type="expression" dxfId="29038" priority="5300">
      <formula>$A206="Drainage Works"</formula>
    </cfRule>
    <cfRule type="expression" dxfId="29037" priority="5301">
      <formula>$A206="Underpass"</formula>
    </cfRule>
    <cfRule type="expression" dxfId="29036" priority="5302">
      <formula>$A206="Overcrossing"</formula>
    </cfRule>
    <cfRule type="expression" dxfId="29035" priority="5303">
      <formula>$A206="Overpass"</formula>
    </cfRule>
    <cfRule type="expression" dxfId="29034" priority="5304">
      <formula>$A206="Station"</formula>
    </cfRule>
    <cfRule type="expression" dxfId="29033" priority="5305">
      <formula>$A206="Overlap between sections"</formula>
    </cfRule>
  </conditionalFormatting>
  <conditionalFormatting sqref="K206">
    <cfRule type="expression" dxfId="29032" priority="5292">
      <formula>$M206="NON DEFINED"</formula>
    </cfRule>
    <cfRule type="expression" dxfId="29031" priority="5293">
      <formula>$AZ206="N.D."</formula>
    </cfRule>
    <cfRule type="expression" dxfId="29030" priority="5294">
      <formula>$AY206="N.D."</formula>
    </cfRule>
  </conditionalFormatting>
  <conditionalFormatting sqref="K206">
    <cfRule type="expression" dxfId="29029" priority="5281">
      <formula>$A206="Overhead Cable"</formula>
    </cfRule>
    <cfRule type="expression" dxfId="29028" priority="5282">
      <formula>$A206="Level Crossing"</formula>
    </cfRule>
    <cfRule type="expression" dxfId="29027" priority="5283">
      <formula>$A206="Neutral Section"</formula>
    </cfRule>
    <cfRule type="expression" dxfId="29026" priority="5284">
      <formula>$A206="Tunnel"</formula>
    </cfRule>
    <cfRule type="expression" dxfId="29025" priority="5285">
      <formula>$A206="Bridge"</formula>
    </cfRule>
    <cfRule type="expression" dxfId="29024" priority="5286">
      <formula>$A206="Drainage Works"</formula>
    </cfRule>
    <cfRule type="expression" dxfId="29023" priority="5287">
      <formula>$A206="Underpass"</formula>
    </cfRule>
    <cfRule type="expression" dxfId="29022" priority="5288">
      <formula>$A206="Overcrossing"</formula>
    </cfRule>
    <cfRule type="expression" dxfId="29021" priority="5289">
      <formula>$A206="Overpass"</formula>
    </cfRule>
    <cfRule type="expression" dxfId="29020" priority="5290">
      <formula>$A206="Station"</formula>
    </cfRule>
    <cfRule type="expression" dxfId="29019" priority="5291">
      <formula>$A206="Overlap between sections"</formula>
    </cfRule>
  </conditionalFormatting>
  <conditionalFormatting sqref="J212">
    <cfRule type="expression" dxfId="29018" priority="5278">
      <formula>$M212="NON DEFINED"</formula>
    </cfRule>
    <cfRule type="expression" dxfId="29017" priority="5279">
      <formula>$AZ212="N.D."</formula>
    </cfRule>
    <cfRule type="expression" dxfId="29016" priority="5280">
      <formula>$AY212="N.D."</formula>
    </cfRule>
  </conditionalFormatting>
  <conditionalFormatting sqref="J212">
    <cfRule type="expression" dxfId="29015" priority="5267">
      <formula>$A212="Overhead Cable"</formula>
    </cfRule>
    <cfRule type="expression" dxfId="29014" priority="5268">
      <formula>$A212="Level Crossing"</formula>
    </cfRule>
    <cfRule type="expression" dxfId="29013" priority="5269">
      <formula>$A212="Neutral Section"</formula>
    </cfRule>
    <cfRule type="expression" dxfId="29012" priority="5270">
      <formula>$A212="Tunnel"</formula>
    </cfRule>
    <cfRule type="expression" dxfId="29011" priority="5271">
      <formula>$A212="Bridge"</formula>
    </cfRule>
    <cfRule type="expression" dxfId="29010" priority="5272">
      <formula>$A212="Drainage Works"</formula>
    </cfRule>
    <cfRule type="expression" dxfId="29009" priority="5273">
      <formula>$A212="Underpass"</formula>
    </cfRule>
    <cfRule type="expression" dxfId="29008" priority="5274">
      <formula>$A212="Overcrossing"</formula>
    </cfRule>
    <cfRule type="expression" dxfId="29007" priority="5275">
      <formula>$A212="Overpass"</formula>
    </cfRule>
    <cfRule type="expression" dxfId="29006" priority="5276">
      <formula>$A212="Station"</formula>
    </cfRule>
    <cfRule type="expression" dxfId="29005" priority="5277">
      <formula>$A212="Overlap between sections"</formula>
    </cfRule>
  </conditionalFormatting>
  <conditionalFormatting sqref="K212">
    <cfRule type="expression" dxfId="29004" priority="5264">
      <formula>$M212="NON DEFINED"</formula>
    </cfRule>
    <cfRule type="expression" dxfId="29003" priority="5265">
      <formula>$AZ212="N.D."</formula>
    </cfRule>
    <cfRule type="expression" dxfId="29002" priority="5266">
      <formula>$AY212="N.D."</formula>
    </cfRule>
  </conditionalFormatting>
  <conditionalFormatting sqref="K212">
    <cfRule type="expression" dxfId="29001" priority="5253">
      <formula>$A212="Overhead Cable"</formula>
    </cfRule>
    <cfRule type="expression" dxfId="29000" priority="5254">
      <formula>$A212="Level Crossing"</formula>
    </cfRule>
    <cfRule type="expression" dxfId="28999" priority="5255">
      <formula>$A212="Neutral Section"</formula>
    </cfRule>
    <cfRule type="expression" dxfId="28998" priority="5256">
      <formula>$A212="Tunnel"</formula>
    </cfRule>
    <cfRule type="expression" dxfId="28997" priority="5257">
      <formula>$A212="Bridge"</formula>
    </cfRule>
    <cfRule type="expression" dxfId="28996" priority="5258">
      <formula>$A212="Drainage Works"</formula>
    </cfRule>
    <cfRule type="expression" dxfId="28995" priority="5259">
      <formula>$A212="Underpass"</formula>
    </cfRule>
    <cfRule type="expression" dxfId="28994" priority="5260">
      <formula>$A212="Overcrossing"</formula>
    </cfRule>
    <cfRule type="expression" dxfId="28993" priority="5261">
      <formula>$A212="Overpass"</formula>
    </cfRule>
    <cfRule type="expression" dxfId="28992" priority="5262">
      <formula>$A212="Station"</formula>
    </cfRule>
    <cfRule type="expression" dxfId="28991" priority="5263">
      <formula>$A212="Overlap between sections"</formula>
    </cfRule>
  </conditionalFormatting>
  <conditionalFormatting sqref="J261">
    <cfRule type="expression" dxfId="28990" priority="5250">
      <formula>$M261="NON DEFINED"</formula>
    </cfRule>
    <cfRule type="expression" dxfId="28989" priority="5251">
      <formula>$AZ261="N.D."</formula>
    </cfRule>
    <cfRule type="expression" dxfId="28988" priority="5252">
      <formula>$AY261="N.D."</formula>
    </cfRule>
  </conditionalFormatting>
  <conditionalFormatting sqref="J261">
    <cfRule type="expression" dxfId="28987" priority="5239">
      <formula>$A261="Overhead Cable"</formula>
    </cfRule>
    <cfRule type="expression" dxfId="28986" priority="5240">
      <formula>$A261="Level Crossing"</formula>
    </cfRule>
    <cfRule type="expression" dxfId="28985" priority="5241">
      <formula>$A261="Neutral Section"</formula>
    </cfRule>
    <cfRule type="expression" dxfId="28984" priority="5242">
      <formula>$A261="Tunnel"</formula>
    </cfRule>
    <cfRule type="expression" dxfId="28983" priority="5243">
      <formula>$A261="Bridge"</formula>
    </cfRule>
    <cfRule type="expression" dxfId="28982" priority="5244">
      <formula>$A261="Drainage Works"</formula>
    </cfRule>
    <cfRule type="expression" dxfId="28981" priority="5245">
      <formula>$A261="Underpass"</formula>
    </cfRule>
    <cfRule type="expression" dxfId="28980" priority="5246">
      <formula>$A261="Overcrossing"</formula>
    </cfRule>
    <cfRule type="expression" dxfId="28979" priority="5247">
      <formula>$A261="Overpass"</formula>
    </cfRule>
    <cfRule type="expression" dxfId="28978" priority="5248">
      <formula>$A261="Station"</formula>
    </cfRule>
    <cfRule type="expression" dxfId="28977" priority="5249">
      <formula>$A261="Overlap between sections"</formula>
    </cfRule>
  </conditionalFormatting>
  <conditionalFormatting sqref="J265">
    <cfRule type="expression" dxfId="28976" priority="5222">
      <formula>$M265="NON DEFINED"</formula>
    </cfRule>
    <cfRule type="expression" dxfId="28975" priority="5223">
      <formula>$AZ265="N.D."</formula>
    </cfRule>
    <cfRule type="expression" dxfId="28974" priority="5224">
      <formula>$AY265="N.D."</formula>
    </cfRule>
  </conditionalFormatting>
  <conditionalFormatting sqref="J265">
    <cfRule type="expression" dxfId="28973" priority="5211">
      <formula>$A265="Overhead Cable"</formula>
    </cfRule>
    <cfRule type="expression" dxfId="28972" priority="5212">
      <formula>$A265="Level Crossing"</formula>
    </cfRule>
    <cfRule type="expression" dxfId="28971" priority="5213">
      <formula>$A265="Neutral Section"</formula>
    </cfRule>
    <cfRule type="expression" dxfId="28970" priority="5214">
      <formula>$A265="Tunnel"</formula>
    </cfRule>
    <cfRule type="expression" dxfId="28969" priority="5215">
      <formula>$A265="Bridge"</formula>
    </cfRule>
    <cfRule type="expression" dxfId="28968" priority="5216">
      <formula>$A265="Drainage Works"</formula>
    </cfRule>
    <cfRule type="expression" dxfId="28967" priority="5217">
      <formula>$A265="Underpass"</formula>
    </cfRule>
    <cfRule type="expression" dxfId="28966" priority="5218">
      <formula>$A265="Overcrossing"</formula>
    </cfRule>
    <cfRule type="expression" dxfId="28965" priority="5219">
      <formula>$A265="Overpass"</formula>
    </cfRule>
    <cfRule type="expression" dxfId="28964" priority="5220">
      <formula>$A265="Station"</formula>
    </cfRule>
    <cfRule type="expression" dxfId="28963" priority="5221">
      <formula>$A265="Overlap between sections"</formula>
    </cfRule>
  </conditionalFormatting>
  <conditionalFormatting sqref="K265">
    <cfRule type="expression" dxfId="28962" priority="5208">
      <formula>$M265="NON DEFINED"</formula>
    </cfRule>
    <cfRule type="expression" dxfId="28961" priority="5209">
      <formula>$AZ265="N.D."</formula>
    </cfRule>
    <cfRule type="expression" dxfId="28960" priority="5210">
      <formula>$AY265="N.D."</formula>
    </cfRule>
  </conditionalFormatting>
  <conditionalFormatting sqref="K265">
    <cfRule type="expression" dxfId="28959" priority="5197">
      <formula>$A265="Overhead Cable"</formula>
    </cfRule>
    <cfRule type="expression" dxfId="28958" priority="5198">
      <formula>$A265="Level Crossing"</formula>
    </cfRule>
    <cfRule type="expression" dxfId="28957" priority="5199">
      <formula>$A265="Neutral Section"</formula>
    </cfRule>
    <cfRule type="expression" dxfId="28956" priority="5200">
      <formula>$A265="Tunnel"</formula>
    </cfRule>
    <cfRule type="expression" dxfId="28955" priority="5201">
      <formula>$A265="Bridge"</formula>
    </cfRule>
    <cfRule type="expression" dxfId="28954" priority="5202">
      <formula>$A265="Drainage Works"</formula>
    </cfRule>
    <cfRule type="expression" dxfId="28953" priority="5203">
      <formula>$A265="Underpass"</formula>
    </cfRule>
    <cfRule type="expression" dxfId="28952" priority="5204">
      <formula>$A265="Overcrossing"</formula>
    </cfRule>
    <cfRule type="expression" dxfId="28951" priority="5205">
      <formula>$A265="Overpass"</formula>
    </cfRule>
    <cfRule type="expression" dxfId="28950" priority="5206">
      <formula>$A265="Station"</formula>
    </cfRule>
    <cfRule type="expression" dxfId="28949" priority="5207">
      <formula>$A265="Overlap between sections"</formula>
    </cfRule>
  </conditionalFormatting>
  <conditionalFormatting sqref="J288:J290">
    <cfRule type="expression" dxfId="28948" priority="5194">
      <formula>$M288="NON DEFINED"</formula>
    </cfRule>
    <cfRule type="expression" dxfId="28947" priority="5195">
      <formula>$AZ288="N.D."</formula>
    </cfRule>
    <cfRule type="expression" dxfId="28946" priority="5196">
      <formula>$AY288="N.D."</formula>
    </cfRule>
  </conditionalFormatting>
  <conditionalFormatting sqref="J288:J290">
    <cfRule type="expression" dxfId="28945" priority="5183">
      <formula>$A288="Overhead Cable"</formula>
    </cfRule>
    <cfRule type="expression" dxfId="28944" priority="5184">
      <formula>$A288="Level Crossing"</formula>
    </cfRule>
    <cfRule type="expression" dxfId="28943" priority="5185">
      <formula>$A288="Neutral Section"</formula>
    </cfRule>
    <cfRule type="expression" dxfId="28942" priority="5186">
      <formula>$A288="Tunnel"</formula>
    </cfRule>
    <cfRule type="expression" dxfId="28941" priority="5187">
      <formula>$A288="Bridge"</formula>
    </cfRule>
    <cfRule type="expression" dxfId="28940" priority="5188">
      <formula>$A288="Drainage Works"</formula>
    </cfRule>
    <cfRule type="expression" dxfId="28939" priority="5189">
      <formula>$A288="Underpass"</formula>
    </cfRule>
    <cfRule type="expression" dxfId="28938" priority="5190">
      <formula>$A288="Overcrossing"</formula>
    </cfRule>
    <cfRule type="expression" dxfId="28937" priority="5191">
      <formula>$A288="Overpass"</formula>
    </cfRule>
    <cfRule type="expression" dxfId="28936" priority="5192">
      <formula>$A288="Station"</formula>
    </cfRule>
    <cfRule type="expression" dxfId="28935" priority="5193">
      <formula>$A288="Overlap between sections"</formula>
    </cfRule>
  </conditionalFormatting>
  <conditionalFormatting sqref="K288:K290">
    <cfRule type="expression" dxfId="28934" priority="5180">
      <formula>$M288="NON DEFINED"</formula>
    </cfRule>
    <cfRule type="expression" dxfId="28933" priority="5181">
      <formula>$AZ288="N.D."</formula>
    </cfRule>
    <cfRule type="expression" dxfId="28932" priority="5182">
      <formula>$AY288="N.D."</formula>
    </cfRule>
  </conditionalFormatting>
  <conditionalFormatting sqref="K288:K290">
    <cfRule type="expression" dxfId="28931" priority="5169">
      <formula>$A288="Overhead Cable"</formula>
    </cfRule>
    <cfRule type="expression" dxfId="28930" priority="5170">
      <formula>$A288="Level Crossing"</formula>
    </cfRule>
    <cfRule type="expression" dxfId="28929" priority="5171">
      <formula>$A288="Neutral Section"</formula>
    </cfRule>
    <cfRule type="expression" dxfId="28928" priority="5172">
      <formula>$A288="Tunnel"</formula>
    </cfRule>
    <cfRule type="expression" dxfId="28927" priority="5173">
      <formula>$A288="Bridge"</formula>
    </cfRule>
    <cfRule type="expression" dxfId="28926" priority="5174">
      <formula>$A288="Drainage Works"</formula>
    </cfRule>
    <cfRule type="expression" dxfId="28925" priority="5175">
      <formula>$A288="Underpass"</formula>
    </cfRule>
    <cfRule type="expression" dxfId="28924" priority="5176">
      <formula>$A288="Overcrossing"</formula>
    </cfRule>
    <cfRule type="expression" dxfId="28923" priority="5177">
      <formula>$A288="Overpass"</formula>
    </cfRule>
    <cfRule type="expression" dxfId="28922" priority="5178">
      <formula>$A288="Station"</formula>
    </cfRule>
    <cfRule type="expression" dxfId="28921" priority="5179">
      <formula>$A288="Overlap between sections"</formula>
    </cfRule>
  </conditionalFormatting>
  <conditionalFormatting sqref="J287">
    <cfRule type="expression" dxfId="28920" priority="5166">
      <formula>$M287="NON DEFINED"</formula>
    </cfRule>
    <cfRule type="expression" dxfId="28919" priority="5167">
      <formula>$AZ287="N.D."</formula>
    </cfRule>
    <cfRule type="expression" dxfId="28918" priority="5168">
      <formula>$AY287="N.D."</formula>
    </cfRule>
  </conditionalFormatting>
  <conditionalFormatting sqref="J287">
    <cfRule type="expression" dxfId="28917" priority="5155">
      <formula>$A287="Overhead Cable"</formula>
    </cfRule>
    <cfRule type="expression" dxfId="28916" priority="5156">
      <formula>$A287="Level Crossing"</formula>
    </cfRule>
    <cfRule type="expression" dxfId="28915" priority="5157">
      <formula>$A287="Neutral Section"</formula>
    </cfRule>
    <cfRule type="expression" dxfId="28914" priority="5158">
      <formula>$A287="Tunnel"</formula>
    </cfRule>
    <cfRule type="expression" dxfId="28913" priority="5159">
      <formula>$A287="Bridge"</formula>
    </cfRule>
    <cfRule type="expression" dxfId="28912" priority="5160">
      <formula>$A287="Drainage Works"</formula>
    </cfRule>
    <cfRule type="expression" dxfId="28911" priority="5161">
      <formula>$A287="Underpass"</formula>
    </cfRule>
    <cfRule type="expression" dxfId="28910" priority="5162">
      <formula>$A287="Overcrossing"</formula>
    </cfRule>
    <cfRule type="expression" dxfId="28909" priority="5163">
      <formula>$A287="Overpass"</formula>
    </cfRule>
    <cfRule type="expression" dxfId="28908" priority="5164">
      <formula>$A287="Station"</formula>
    </cfRule>
    <cfRule type="expression" dxfId="28907" priority="5165">
      <formula>$A287="Overlap between sections"</formula>
    </cfRule>
  </conditionalFormatting>
  <conditionalFormatting sqref="K287">
    <cfRule type="expression" dxfId="28906" priority="5152">
      <formula>$M287="NON DEFINED"</formula>
    </cfRule>
    <cfRule type="expression" dxfId="28905" priority="5153">
      <formula>$AZ287="N.D."</formula>
    </cfRule>
    <cfRule type="expression" dxfId="28904" priority="5154">
      <formula>$AY287="N.D."</formula>
    </cfRule>
  </conditionalFormatting>
  <conditionalFormatting sqref="K287">
    <cfRule type="expression" dxfId="28903" priority="5141">
      <formula>$A287="Overhead Cable"</formula>
    </cfRule>
    <cfRule type="expression" dxfId="28902" priority="5142">
      <formula>$A287="Level Crossing"</formula>
    </cfRule>
    <cfRule type="expression" dxfId="28901" priority="5143">
      <formula>$A287="Neutral Section"</formula>
    </cfRule>
    <cfRule type="expression" dxfId="28900" priority="5144">
      <formula>$A287="Tunnel"</formula>
    </cfRule>
    <cfRule type="expression" dxfId="28899" priority="5145">
      <formula>$A287="Bridge"</formula>
    </cfRule>
    <cfRule type="expression" dxfId="28898" priority="5146">
      <formula>$A287="Drainage Works"</formula>
    </cfRule>
    <cfRule type="expression" dxfId="28897" priority="5147">
      <formula>$A287="Underpass"</formula>
    </cfRule>
    <cfRule type="expression" dxfId="28896" priority="5148">
      <formula>$A287="Overcrossing"</formula>
    </cfRule>
    <cfRule type="expression" dxfId="28895" priority="5149">
      <formula>$A287="Overpass"</formula>
    </cfRule>
    <cfRule type="expression" dxfId="28894" priority="5150">
      <formula>$A287="Station"</formula>
    </cfRule>
    <cfRule type="expression" dxfId="28893" priority="5151">
      <formula>$A287="Overlap between sections"</formula>
    </cfRule>
  </conditionalFormatting>
  <conditionalFormatting sqref="J291">
    <cfRule type="expression" dxfId="28892" priority="5138">
      <formula>$M291="NON DEFINED"</formula>
    </cfRule>
    <cfRule type="expression" dxfId="28891" priority="5139">
      <formula>$AZ291="N.D."</formula>
    </cfRule>
    <cfRule type="expression" dxfId="28890" priority="5140">
      <formula>$AY291="N.D."</formula>
    </cfRule>
  </conditionalFormatting>
  <conditionalFormatting sqref="J291">
    <cfRule type="expression" dxfId="28889" priority="5127">
      <formula>$A291="Overhead Cable"</formula>
    </cfRule>
    <cfRule type="expression" dxfId="28888" priority="5128">
      <formula>$A291="Level Crossing"</formula>
    </cfRule>
    <cfRule type="expression" dxfId="28887" priority="5129">
      <formula>$A291="Neutral Section"</formula>
    </cfRule>
    <cfRule type="expression" dxfId="28886" priority="5130">
      <formula>$A291="Tunnel"</formula>
    </cfRule>
    <cfRule type="expression" dxfId="28885" priority="5131">
      <formula>$A291="Bridge"</formula>
    </cfRule>
    <cfRule type="expression" dxfId="28884" priority="5132">
      <formula>$A291="Drainage Works"</formula>
    </cfRule>
    <cfRule type="expression" dxfId="28883" priority="5133">
      <formula>$A291="Underpass"</formula>
    </cfRule>
    <cfRule type="expression" dxfId="28882" priority="5134">
      <formula>$A291="Overcrossing"</formula>
    </cfRule>
    <cfRule type="expression" dxfId="28881" priority="5135">
      <formula>$A291="Overpass"</formula>
    </cfRule>
    <cfRule type="expression" dxfId="28880" priority="5136">
      <formula>$A291="Station"</formula>
    </cfRule>
    <cfRule type="expression" dxfId="28879" priority="5137">
      <formula>$A291="Overlap between sections"</formula>
    </cfRule>
  </conditionalFormatting>
  <conditionalFormatting sqref="K291">
    <cfRule type="expression" dxfId="28878" priority="5124">
      <formula>$M291="NON DEFINED"</formula>
    </cfRule>
    <cfRule type="expression" dxfId="28877" priority="5125">
      <formula>$AZ291="N.D."</formula>
    </cfRule>
    <cfRule type="expression" dxfId="28876" priority="5126">
      <formula>$AY291="N.D."</formula>
    </cfRule>
  </conditionalFormatting>
  <conditionalFormatting sqref="K291">
    <cfRule type="expression" dxfId="28875" priority="5113">
      <formula>$A291="Overhead Cable"</formula>
    </cfRule>
    <cfRule type="expression" dxfId="28874" priority="5114">
      <formula>$A291="Level Crossing"</formula>
    </cfRule>
    <cfRule type="expression" dxfId="28873" priority="5115">
      <formula>$A291="Neutral Section"</formula>
    </cfRule>
    <cfRule type="expression" dxfId="28872" priority="5116">
      <formula>$A291="Tunnel"</formula>
    </cfRule>
    <cfRule type="expression" dxfId="28871" priority="5117">
      <formula>$A291="Bridge"</formula>
    </cfRule>
    <cfRule type="expression" dxfId="28870" priority="5118">
      <formula>$A291="Drainage Works"</formula>
    </cfRule>
    <cfRule type="expression" dxfId="28869" priority="5119">
      <formula>$A291="Underpass"</formula>
    </cfRule>
    <cfRule type="expression" dxfId="28868" priority="5120">
      <formula>$A291="Overcrossing"</formula>
    </cfRule>
    <cfRule type="expression" dxfId="28867" priority="5121">
      <formula>$A291="Overpass"</formula>
    </cfRule>
    <cfRule type="expression" dxfId="28866" priority="5122">
      <formula>$A291="Station"</formula>
    </cfRule>
    <cfRule type="expression" dxfId="28865" priority="5123">
      <formula>$A291="Overlap between sections"</formula>
    </cfRule>
  </conditionalFormatting>
  <conditionalFormatting sqref="J299:J309">
    <cfRule type="expression" dxfId="28864" priority="5110">
      <formula>$M299="NON DEFINED"</formula>
    </cfRule>
    <cfRule type="expression" dxfId="28863" priority="5111">
      <formula>$AZ299="N.D."</formula>
    </cfRule>
    <cfRule type="expression" dxfId="28862" priority="5112">
      <formula>$AY299="N.D."</formula>
    </cfRule>
  </conditionalFormatting>
  <conditionalFormatting sqref="J299:J309">
    <cfRule type="expression" dxfId="28861" priority="5099">
      <formula>$A299="Overhead Cable"</formula>
    </cfRule>
    <cfRule type="expression" dxfId="28860" priority="5100">
      <formula>$A299="Level Crossing"</formula>
    </cfRule>
    <cfRule type="expression" dxfId="28859" priority="5101">
      <formula>$A299="Neutral Section"</formula>
    </cfRule>
    <cfRule type="expression" dxfId="28858" priority="5102">
      <formula>$A299="Tunnel"</formula>
    </cfRule>
    <cfRule type="expression" dxfId="28857" priority="5103">
      <formula>$A299="Bridge"</formula>
    </cfRule>
    <cfRule type="expression" dxfId="28856" priority="5104">
      <formula>$A299="Drainage Works"</formula>
    </cfRule>
    <cfRule type="expression" dxfId="28855" priority="5105">
      <formula>$A299="Underpass"</formula>
    </cfRule>
    <cfRule type="expression" dxfId="28854" priority="5106">
      <formula>$A299="Overcrossing"</formula>
    </cfRule>
    <cfRule type="expression" dxfId="28853" priority="5107">
      <formula>$A299="Overpass"</formula>
    </cfRule>
    <cfRule type="expression" dxfId="28852" priority="5108">
      <formula>$A299="Station"</formula>
    </cfRule>
    <cfRule type="expression" dxfId="28851" priority="5109">
      <formula>$A299="Overlap between sections"</formula>
    </cfRule>
  </conditionalFormatting>
  <conditionalFormatting sqref="I299:I309">
    <cfRule type="expression" dxfId="28850" priority="5096">
      <formula>$M299="NON DEFINED"</formula>
    </cfRule>
    <cfRule type="expression" dxfId="28849" priority="5097">
      <formula>$AZ299="N.D."</formula>
    </cfRule>
    <cfRule type="expression" dxfId="28848" priority="5098">
      <formula>$AY299="N.D."</formula>
    </cfRule>
  </conditionalFormatting>
  <conditionalFormatting sqref="I299:I309">
    <cfRule type="expression" dxfId="28847" priority="5085">
      <formula>$A299="Overhead Cable"</formula>
    </cfRule>
    <cfRule type="expression" dxfId="28846" priority="5086">
      <formula>$A299="Level Crossing"</formula>
    </cfRule>
    <cfRule type="expression" dxfId="28845" priority="5087">
      <formula>$A299="Neutral Section"</formula>
    </cfRule>
    <cfRule type="expression" dxfId="28844" priority="5088">
      <formula>$A299="Tunnel"</formula>
    </cfRule>
    <cfRule type="expression" dxfId="28843" priority="5089">
      <formula>$A299="Bridge"</formula>
    </cfRule>
    <cfRule type="expression" dxfId="28842" priority="5090">
      <formula>$A299="Drainage Works"</formula>
    </cfRule>
    <cfRule type="expression" dxfId="28841" priority="5091">
      <formula>$A299="Underpass"</formula>
    </cfRule>
    <cfRule type="expression" dxfId="28840" priority="5092">
      <formula>$A299="Overcrossing"</formula>
    </cfRule>
    <cfRule type="expression" dxfId="28839" priority="5093">
      <formula>$A299="Overpass"</formula>
    </cfRule>
    <cfRule type="expression" dxfId="28838" priority="5094">
      <formula>$A299="Station"</formula>
    </cfRule>
    <cfRule type="expression" dxfId="28837" priority="5095">
      <formula>$A299="Overlap between sections"</formula>
    </cfRule>
  </conditionalFormatting>
  <conditionalFormatting sqref="K299:K309">
    <cfRule type="expression" dxfId="28836" priority="5082">
      <formula>$M299="NON DEFINED"</formula>
    </cfRule>
    <cfRule type="expression" dxfId="28835" priority="5083">
      <formula>$AZ299="N.D."</formula>
    </cfRule>
    <cfRule type="expression" dxfId="28834" priority="5084">
      <formula>$AY299="N.D."</formula>
    </cfRule>
  </conditionalFormatting>
  <conditionalFormatting sqref="K299:K309">
    <cfRule type="expression" dxfId="28833" priority="5071">
      <formula>$A299="Overhead Cable"</formula>
    </cfRule>
    <cfRule type="expression" dxfId="28832" priority="5072">
      <formula>$A299="Level Crossing"</formula>
    </cfRule>
    <cfRule type="expression" dxfId="28831" priority="5073">
      <formula>$A299="Neutral Section"</formula>
    </cfRule>
    <cfRule type="expression" dxfId="28830" priority="5074">
      <formula>$A299="Tunnel"</formula>
    </cfRule>
    <cfRule type="expression" dxfId="28829" priority="5075">
      <formula>$A299="Bridge"</formula>
    </cfRule>
    <cfRule type="expression" dxfId="28828" priority="5076">
      <formula>$A299="Drainage Works"</formula>
    </cfRule>
    <cfRule type="expression" dxfId="28827" priority="5077">
      <formula>$A299="Underpass"</formula>
    </cfRule>
    <cfRule type="expression" dxfId="28826" priority="5078">
      <formula>$A299="Overcrossing"</formula>
    </cfRule>
    <cfRule type="expression" dxfId="28825" priority="5079">
      <formula>$A299="Overpass"</formula>
    </cfRule>
    <cfRule type="expression" dxfId="28824" priority="5080">
      <formula>$A299="Station"</formula>
    </cfRule>
    <cfRule type="expression" dxfId="28823" priority="5081">
      <formula>$A299="Overlap between sections"</formula>
    </cfRule>
  </conditionalFormatting>
  <conditionalFormatting sqref="J318:J322">
    <cfRule type="expression" dxfId="28822" priority="5068">
      <formula>$M318="NON DEFINED"</formula>
    </cfRule>
    <cfRule type="expression" dxfId="28821" priority="5069">
      <formula>$AZ318="N.D."</formula>
    </cfRule>
    <cfRule type="expression" dxfId="28820" priority="5070">
      <formula>$AY318="N.D."</formula>
    </cfRule>
  </conditionalFormatting>
  <conditionalFormatting sqref="J318:J322">
    <cfRule type="expression" dxfId="28819" priority="5057">
      <formula>$A318="Overhead Cable"</formula>
    </cfRule>
    <cfRule type="expression" dxfId="28818" priority="5058">
      <formula>$A318="Level Crossing"</formula>
    </cfRule>
    <cfRule type="expression" dxfId="28817" priority="5059">
      <formula>$A318="Neutral Section"</formula>
    </cfRule>
    <cfRule type="expression" dxfId="28816" priority="5060">
      <formula>$A318="Tunnel"</formula>
    </cfRule>
    <cfRule type="expression" dxfId="28815" priority="5061">
      <formula>$A318="Bridge"</formula>
    </cfRule>
    <cfRule type="expression" dxfId="28814" priority="5062">
      <formula>$A318="Drainage Works"</formula>
    </cfRule>
    <cfRule type="expression" dxfId="28813" priority="5063">
      <formula>$A318="Underpass"</formula>
    </cfRule>
    <cfRule type="expression" dxfId="28812" priority="5064">
      <formula>$A318="Overcrossing"</formula>
    </cfRule>
    <cfRule type="expression" dxfId="28811" priority="5065">
      <formula>$A318="Overpass"</formula>
    </cfRule>
    <cfRule type="expression" dxfId="28810" priority="5066">
      <formula>$A318="Station"</formula>
    </cfRule>
    <cfRule type="expression" dxfId="28809" priority="5067">
      <formula>$A318="Overlap between sections"</formula>
    </cfRule>
  </conditionalFormatting>
  <conditionalFormatting sqref="K318:K322">
    <cfRule type="expression" dxfId="28808" priority="5054">
      <formula>$M318="NON DEFINED"</formula>
    </cfRule>
    <cfRule type="expression" dxfId="28807" priority="5055">
      <formula>$AZ318="N.D."</formula>
    </cfRule>
    <cfRule type="expression" dxfId="28806" priority="5056">
      <formula>$AY318="N.D."</formula>
    </cfRule>
  </conditionalFormatting>
  <conditionalFormatting sqref="K318:K322">
    <cfRule type="expression" dxfId="28805" priority="5043">
      <formula>$A318="Overhead Cable"</formula>
    </cfRule>
    <cfRule type="expression" dxfId="28804" priority="5044">
      <formula>$A318="Level Crossing"</formula>
    </cfRule>
    <cfRule type="expression" dxfId="28803" priority="5045">
      <formula>$A318="Neutral Section"</formula>
    </cfRule>
    <cfRule type="expression" dxfId="28802" priority="5046">
      <formula>$A318="Tunnel"</formula>
    </cfRule>
    <cfRule type="expression" dxfId="28801" priority="5047">
      <formula>$A318="Bridge"</formula>
    </cfRule>
    <cfRule type="expression" dxfId="28800" priority="5048">
      <formula>$A318="Drainage Works"</formula>
    </cfRule>
    <cfRule type="expression" dxfId="28799" priority="5049">
      <formula>$A318="Underpass"</formula>
    </cfRule>
    <cfRule type="expression" dxfId="28798" priority="5050">
      <formula>$A318="Overcrossing"</formula>
    </cfRule>
    <cfRule type="expression" dxfId="28797" priority="5051">
      <formula>$A318="Overpass"</formula>
    </cfRule>
    <cfRule type="expression" dxfId="28796" priority="5052">
      <formula>$A318="Station"</formula>
    </cfRule>
    <cfRule type="expression" dxfId="28795" priority="5053">
      <formula>$A318="Overlap between sections"</formula>
    </cfRule>
  </conditionalFormatting>
  <conditionalFormatting sqref="J317">
    <cfRule type="expression" dxfId="28794" priority="5040">
      <formula>$M317="NON DEFINED"</formula>
    </cfRule>
    <cfRule type="expression" dxfId="28793" priority="5041">
      <formula>$AZ317="N.D."</formula>
    </cfRule>
    <cfRule type="expression" dxfId="28792" priority="5042">
      <formula>$AY317="N.D."</formula>
    </cfRule>
  </conditionalFormatting>
  <conditionalFormatting sqref="J317">
    <cfRule type="expression" dxfId="28791" priority="5029">
      <formula>$A317="Overhead Cable"</formula>
    </cfRule>
    <cfRule type="expression" dxfId="28790" priority="5030">
      <formula>$A317="Level Crossing"</formula>
    </cfRule>
    <cfRule type="expression" dxfId="28789" priority="5031">
      <formula>$A317="Neutral Section"</formula>
    </cfRule>
    <cfRule type="expression" dxfId="28788" priority="5032">
      <formula>$A317="Tunnel"</formula>
    </cfRule>
    <cfRule type="expression" dxfId="28787" priority="5033">
      <formula>$A317="Bridge"</formula>
    </cfRule>
    <cfRule type="expression" dxfId="28786" priority="5034">
      <formula>$A317="Drainage Works"</formula>
    </cfRule>
    <cfRule type="expression" dxfId="28785" priority="5035">
      <formula>$A317="Underpass"</formula>
    </cfRule>
    <cfRule type="expression" dxfId="28784" priority="5036">
      <formula>$A317="Overcrossing"</formula>
    </cfRule>
    <cfRule type="expression" dxfId="28783" priority="5037">
      <formula>$A317="Overpass"</formula>
    </cfRule>
    <cfRule type="expression" dxfId="28782" priority="5038">
      <formula>$A317="Station"</formula>
    </cfRule>
    <cfRule type="expression" dxfId="28781" priority="5039">
      <formula>$A317="Overlap between sections"</formula>
    </cfRule>
  </conditionalFormatting>
  <conditionalFormatting sqref="K317">
    <cfRule type="expression" dxfId="28780" priority="5026">
      <formula>$M317="NON DEFINED"</formula>
    </cfRule>
    <cfRule type="expression" dxfId="28779" priority="5027">
      <formula>$AZ317="N.D."</formula>
    </cfRule>
    <cfRule type="expression" dxfId="28778" priority="5028">
      <formula>$AY317="N.D."</formula>
    </cfRule>
  </conditionalFormatting>
  <conditionalFormatting sqref="K317">
    <cfRule type="expression" dxfId="28777" priority="5015">
      <formula>$A317="Overhead Cable"</formula>
    </cfRule>
    <cfRule type="expression" dxfId="28776" priority="5016">
      <formula>$A317="Level Crossing"</formula>
    </cfRule>
    <cfRule type="expression" dxfId="28775" priority="5017">
      <formula>$A317="Neutral Section"</formula>
    </cfRule>
    <cfRule type="expression" dxfId="28774" priority="5018">
      <formula>$A317="Tunnel"</formula>
    </cfRule>
    <cfRule type="expression" dxfId="28773" priority="5019">
      <formula>$A317="Bridge"</formula>
    </cfRule>
    <cfRule type="expression" dxfId="28772" priority="5020">
      <formula>$A317="Drainage Works"</formula>
    </cfRule>
    <cfRule type="expression" dxfId="28771" priority="5021">
      <formula>$A317="Underpass"</formula>
    </cfRule>
    <cfRule type="expression" dxfId="28770" priority="5022">
      <formula>$A317="Overcrossing"</formula>
    </cfRule>
    <cfRule type="expression" dxfId="28769" priority="5023">
      <formula>$A317="Overpass"</formula>
    </cfRule>
    <cfRule type="expression" dxfId="28768" priority="5024">
      <formula>$A317="Station"</formula>
    </cfRule>
    <cfRule type="expression" dxfId="28767" priority="5025">
      <formula>$A317="Overlap between sections"</formula>
    </cfRule>
  </conditionalFormatting>
  <conditionalFormatting sqref="J323">
    <cfRule type="expression" dxfId="28766" priority="5012">
      <formula>$M323="NON DEFINED"</formula>
    </cfRule>
    <cfRule type="expression" dxfId="28765" priority="5013">
      <formula>$AZ323="N.D."</formula>
    </cfRule>
    <cfRule type="expression" dxfId="28764" priority="5014">
      <formula>$AY323="N.D."</formula>
    </cfRule>
  </conditionalFormatting>
  <conditionalFormatting sqref="J323">
    <cfRule type="expression" dxfId="28763" priority="5001">
      <formula>$A323="Overhead Cable"</formula>
    </cfRule>
    <cfRule type="expression" dxfId="28762" priority="5002">
      <formula>$A323="Level Crossing"</formula>
    </cfRule>
    <cfRule type="expression" dxfId="28761" priority="5003">
      <formula>$A323="Neutral Section"</formula>
    </cfRule>
    <cfRule type="expression" dxfId="28760" priority="5004">
      <formula>$A323="Tunnel"</formula>
    </cfRule>
    <cfRule type="expression" dxfId="28759" priority="5005">
      <formula>$A323="Bridge"</formula>
    </cfRule>
    <cfRule type="expression" dxfId="28758" priority="5006">
      <formula>$A323="Drainage Works"</formula>
    </cfRule>
    <cfRule type="expression" dxfId="28757" priority="5007">
      <formula>$A323="Underpass"</formula>
    </cfRule>
    <cfRule type="expression" dxfId="28756" priority="5008">
      <formula>$A323="Overcrossing"</formula>
    </cfRule>
    <cfRule type="expression" dxfId="28755" priority="5009">
      <formula>$A323="Overpass"</formula>
    </cfRule>
    <cfRule type="expression" dxfId="28754" priority="5010">
      <formula>$A323="Station"</formula>
    </cfRule>
    <cfRule type="expression" dxfId="28753" priority="5011">
      <formula>$A323="Overlap between sections"</formula>
    </cfRule>
  </conditionalFormatting>
  <conditionalFormatting sqref="K323">
    <cfRule type="expression" dxfId="28752" priority="4998">
      <formula>$M323="NON DEFINED"</formula>
    </cfRule>
    <cfRule type="expression" dxfId="28751" priority="4999">
      <formula>$AZ323="N.D."</formula>
    </cfRule>
    <cfRule type="expression" dxfId="28750" priority="5000">
      <formula>$AY323="N.D."</formula>
    </cfRule>
  </conditionalFormatting>
  <conditionalFormatting sqref="K323">
    <cfRule type="expression" dxfId="28749" priority="4987">
      <formula>$A323="Overhead Cable"</formula>
    </cfRule>
    <cfRule type="expression" dxfId="28748" priority="4988">
      <formula>$A323="Level Crossing"</formula>
    </cfRule>
    <cfRule type="expression" dxfId="28747" priority="4989">
      <formula>$A323="Neutral Section"</formula>
    </cfRule>
    <cfRule type="expression" dxfId="28746" priority="4990">
      <formula>$A323="Tunnel"</formula>
    </cfRule>
    <cfRule type="expression" dxfId="28745" priority="4991">
      <formula>$A323="Bridge"</formula>
    </cfRule>
    <cfRule type="expression" dxfId="28744" priority="4992">
      <formula>$A323="Drainage Works"</formula>
    </cfRule>
    <cfRule type="expression" dxfId="28743" priority="4993">
      <formula>$A323="Underpass"</formula>
    </cfRule>
    <cfRule type="expression" dxfId="28742" priority="4994">
      <formula>$A323="Overcrossing"</formula>
    </cfRule>
    <cfRule type="expression" dxfId="28741" priority="4995">
      <formula>$A323="Overpass"</formula>
    </cfRule>
    <cfRule type="expression" dxfId="28740" priority="4996">
      <formula>$A323="Station"</formula>
    </cfRule>
    <cfRule type="expression" dxfId="28739" priority="4997">
      <formula>$A323="Overlap between sections"</formula>
    </cfRule>
  </conditionalFormatting>
  <conditionalFormatting sqref="K333">
    <cfRule type="expression" dxfId="28738" priority="4984">
      <formula>$M333="NON DEFINED"</formula>
    </cfRule>
    <cfRule type="expression" dxfId="28737" priority="4985">
      <formula>$AZ333="N.D."</formula>
    </cfRule>
    <cfRule type="expression" dxfId="28736" priority="4986">
      <formula>$AY333="N.D."</formula>
    </cfRule>
  </conditionalFormatting>
  <conditionalFormatting sqref="K333">
    <cfRule type="expression" dxfId="28735" priority="4973">
      <formula>$A333="Overhead Cable"</formula>
    </cfRule>
    <cfRule type="expression" dxfId="28734" priority="4974">
      <formula>$A333="Level Crossing"</formula>
    </cfRule>
    <cfRule type="expression" dxfId="28733" priority="4975">
      <formula>$A333="Neutral Section"</formula>
    </cfRule>
    <cfRule type="expression" dxfId="28732" priority="4976">
      <formula>$A333="Tunnel"</formula>
    </cfRule>
    <cfRule type="expression" dxfId="28731" priority="4977">
      <formula>$A333="Bridge"</formula>
    </cfRule>
    <cfRule type="expression" dxfId="28730" priority="4978">
      <formula>$A333="Drainage Works"</formula>
    </cfRule>
    <cfRule type="expression" dxfId="28729" priority="4979">
      <formula>$A333="Underpass"</formula>
    </cfRule>
    <cfRule type="expression" dxfId="28728" priority="4980">
      <formula>$A333="Overcrossing"</formula>
    </cfRule>
    <cfRule type="expression" dxfId="28727" priority="4981">
      <formula>$A333="Overpass"</formula>
    </cfRule>
    <cfRule type="expression" dxfId="28726" priority="4982">
      <formula>$A333="Station"</formula>
    </cfRule>
    <cfRule type="expression" dxfId="28725" priority="4983">
      <formula>$A333="Overlap between sections"</formula>
    </cfRule>
  </conditionalFormatting>
  <conditionalFormatting sqref="I333">
    <cfRule type="expression" dxfId="28724" priority="4970">
      <formula>$M333="NON DEFINED"</formula>
    </cfRule>
    <cfRule type="expression" dxfId="28723" priority="4971">
      <formula>$AZ333="N.D."</formula>
    </cfRule>
    <cfRule type="expression" dxfId="28722" priority="4972">
      <formula>$AY333="N.D."</formula>
    </cfRule>
  </conditionalFormatting>
  <conditionalFormatting sqref="I333">
    <cfRule type="expression" dxfId="28721" priority="4959">
      <formula>$A333="Overhead Cable"</formula>
    </cfRule>
    <cfRule type="expression" dxfId="28720" priority="4960">
      <formula>$A333="Level Crossing"</formula>
    </cfRule>
    <cfRule type="expression" dxfId="28719" priority="4961">
      <formula>$A333="Neutral Section"</formula>
    </cfRule>
    <cfRule type="expression" dxfId="28718" priority="4962">
      <formula>$A333="Tunnel"</formula>
    </cfRule>
    <cfRule type="expression" dxfId="28717" priority="4963">
      <formula>$A333="Bridge"</formula>
    </cfRule>
    <cfRule type="expression" dxfId="28716" priority="4964">
      <formula>$A333="Drainage Works"</formula>
    </cfRule>
    <cfRule type="expression" dxfId="28715" priority="4965">
      <formula>$A333="Underpass"</formula>
    </cfRule>
    <cfRule type="expression" dxfId="28714" priority="4966">
      <formula>$A333="Overcrossing"</formula>
    </cfRule>
    <cfRule type="expression" dxfId="28713" priority="4967">
      <formula>$A333="Overpass"</formula>
    </cfRule>
    <cfRule type="expression" dxfId="28712" priority="4968">
      <formula>$A333="Station"</formula>
    </cfRule>
    <cfRule type="expression" dxfId="28711" priority="4969">
      <formula>$A333="Overlap between sections"</formula>
    </cfRule>
  </conditionalFormatting>
  <conditionalFormatting sqref="J343">
    <cfRule type="expression" dxfId="28710" priority="4956">
      <formula>$M343="NON DEFINED"</formula>
    </cfRule>
    <cfRule type="expression" dxfId="28709" priority="4957">
      <formula>$AZ343="N.D."</formula>
    </cfRule>
    <cfRule type="expression" dxfId="28708" priority="4958">
      <formula>$AY343="N.D."</formula>
    </cfRule>
  </conditionalFormatting>
  <conditionalFormatting sqref="J343">
    <cfRule type="expression" dxfId="28707" priority="4945">
      <formula>$A343="Overhead Cable"</formula>
    </cfRule>
    <cfRule type="expression" dxfId="28706" priority="4946">
      <formula>$A343="Level Crossing"</formula>
    </cfRule>
    <cfRule type="expression" dxfId="28705" priority="4947">
      <formula>$A343="Neutral Section"</formula>
    </cfRule>
    <cfRule type="expression" dxfId="28704" priority="4948">
      <formula>$A343="Tunnel"</formula>
    </cfRule>
    <cfRule type="expression" dxfId="28703" priority="4949">
      <formula>$A343="Bridge"</formula>
    </cfRule>
    <cfRule type="expression" dxfId="28702" priority="4950">
      <formula>$A343="Drainage Works"</formula>
    </cfRule>
    <cfRule type="expression" dxfId="28701" priority="4951">
      <formula>$A343="Underpass"</formula>
    </cfRule>
    <cfRule type="expression" dxfId="28700" priority="4952">
      <formula>$A343="Overcrossing"</formula>
    </cfRule>
    <cfRule type="expression" dxfId="28699" priority="4953">
      <formula>$A343="Overpass"</formula>
    </cfRule>
    <cfRule type="expression" dxfId="28698" priority="4954">
      <formula>$A343="Station"</formula>
    </cfRule>
    <cfRule type="expression" dxfId="28697" priority="4955">
      <formula>$A343="Overlap between sections"</formula>
    </cfRule>
  </conditionalFormatting>
  <conditionalFormatting sqref="I343">
    <cfRule type="expression" dxfId="28696" priority="4942">
      <formula>$M343="NON DEFINED"</formula>
    </cfRule>
    <cfRule type="expression" dxfId="28695" priority="4943">
      <formula>$AZ343="N.D."</formula>
    </cfRule>
    <cfRule type="expression" dxfId="28694" priority="4944">
      <formula>$AY343="N.D."</formula>
    </cfRule>
  </conditionalFormatting>
  <conditionalFormatting sqref="I343">
    <cfRule type="expression" dxfId="28693" priority="4931">
      <formula>$A343="Overhead Cable"</formula>
    </cfRule>
    <cfRule type="expression" dxfId="28692" priority="4932">
      <formula>$A343="Level Crossing"</formula>
    </cfRule>
    <cfRule type="expression" dxfId="28691" priority="4933">
      <formula>$A343="Neutral Section"</formula>
    </cfRule>
    <cfRule type="expression" dxfId="28690" priority="4934">
      <formula>$A343="Tunnel"</formula>
    </cfRule>
    <cfRule type="expression" dxfId="28689" priority="4935">
      <formula>$A343="Bridge"</formula>
    </cfRule>
    <cfRule type="expression" dxfId="28688" priority="4936">
      <formula>$A343="Drainage Works"</formula>
    </cfRule>
    <cfRule type="expression" dxfId="28687" priority="4937">
      <formula>$A343="Underpass"</formula>
    </cfRule>
    <cfRule type="expression" dxfId="28686" priority="4938">
      <formula>$A343="Overcrossing"</formula>
    </cfRule>
    <cfRule type="expression" dxfId="28685" priority="4939">
      <formula>$A343="Overpass"</formula>
    </cfRule>
    <cfRule type="expression" dxfId="28684" priority="4940">
      <formula>$A343="Station"</formula>
    </cfRule>
    <cfRule type="expression" dxfId="28683" priority="4941">
      <formula>$A343="Overlap between sections"</formula>
    </cfRule>
  </conditionalFormatting>
  <conditionalFormatting sqref="K343">
    <cfRule type="expression" dxfId="28682" priority="4928">
      <formula>$M343="NON DEFINED"</formula>
    </cfRule>
    <cfRule type="expression" dxfId="28681" priority="4929">
      <formula>$AZ343="N.D."</formula>
    </cfRule>
    <cfRule type="expression" dxfId="28680" priority="4930">
      <formula>$AY343="N.D."</formula>
    </cfRule>
  </conditionalFormatting>
  <conditionalFormatting sqref="K343">
    <cfRule type="expression" dxfId="28679" priority="4917">
      <formula>$A343="Overhead Cable"</formula>
    </cfRule>
    <cfRule type="expression" dxfId="28678" priority="4918">
      <formula>$A343="Level Crossing"</formula>
    </cfRule>
    <cfRule type="expression" dxfId="28677" priority="4919">
      <formula>$A343="Neutral Section"</formula>
    </cfRule>
    <cfRule type="expression" dxfId="28676" priority="4920">
      <formula>$A343="Tunnel"</formula>
    </cfRule>
    <cfRule type="expression" dxfId="28675" priority="4921">
      <formula>$A343="Bridge"</formula>
    </cfRule>
    <cfRule type="expression" dxfId="28674" priority="4922">
      <formula>$A343="Drainage Works"</formula>
    </cfRule>
    <cfRule type="expression" dxfId="28673" priority="4923">
      <formula>$A343="Underpass"</formula>
    </cfRule>
    <cfRule type="expression" dxfId="28672" priority="4924">
      <formula>$A343="Overcrossing"</formula>
    </cfRule>
    <cfRule type="expression" dxfId="28671" priority="4925">
      <formula>$A343="Overpass"</formula>
    </cfRule>
    <cfRule type="expression" dxfId="28670" priority="4926">
      <formula>$A343="Station"</formula>
    </cfRule>
    <cfRule type="expression" dxfId="28669" priority="4927">
      <formula>$A343="Overlap between sections"</formula>
    </cfRule>
  </conditionalFormatting>
  <conditionalFormatting sqref="J349:J351">
    <cfRule type="expression" dxfId="28668" priority="4914">
      <formula>$M349="NON DEFINED"</formula>
    </cfRule>
    <cfRule type="expression" dxfId="28667" priority="4915">
      <formula>$AZ349="N.D."</formula>
    </cfRule>
    <cfRule type="expression" dxfId="28666" priority="4916">
      <formula>$AY349="N.D."</formula>
    </cfRule>
  </conditionalFormatting>
  <conditionalFormatting sqref="J349:J351">
    <cfRule type="expression" dxfId="28665" priority="4903">
      <formula>$A349="Overhead Cable"</formula>
    </cfRule>
    <cfRule type="expression" dxfId="28664" priority="4904">
      <formula>$A349="Level Crossing"</formula>
    </cfRule>
    <cfRule type="expression" dxfId="28663" priority="4905">
      <formula>$A349="Neutral Section"</formula>
    </cfRule>
    <cfRule type="expression" dxfId="28662" priority="4906">
      <formula>$A349="Tunnel"</formula>
    </cfRule>
    <cfRule type="expression" dxfId="28661" priority="4907">
      <formula>$A349="Bridge"</formula>
    </cfRule>
    <cfRule type="expression" dxfId="28660" priority="4908">
      <formula>$A349="Drainage Works"</formula>
    </cfRule>
    <cfRule type="expression" dxfId="28659" priority="4909">
      <formula>$A349="Underpass"</formula>
    </cfRule>
    <cfRule type="expression" dxfId="28658" priority="4910">
      <formula>$A349="Overcrossing"</formula>
    </cfRule>
    <cfRule type="expression" dxfId="28657" priority="4911">
      <formula>$A349="Overpass"</formula>
    </cfRule>
    <cfRule type="expression" dxfId="28656" priority="4912">
      <formula>$A349="Station"</formula>
    </cfRule>
    <cfRule type="expression" dxfId="28655" priority="4913">
      <formula>$A349="Overlap between sections"</formula>
    </cfRule>
  </conditionalFormatting>
  <conditionalFormatting sqref="I349:I351">
    <cfRule type="expression" dxfId="28654" priority="4900">
      <formula>$M349="NON DEFINED"</formula>
    </cfRule>
    <cfRule type="expression" dxfId="28653" priority="4901">
      <formula>$AZ349="N.D."</formula>
    </cfRule>
    <cfRule type="expression" dxfId="28652" priority="4902">
      <formula>$AY349="N.D."</formula>
    </cfRule>
  </conditionalFormatting>
  <conditionalFormatting sqref="I349:I351">
    <cfRule type="expression" dxfId="28651" priority="4889">
      <formula>$A349="Overhead Cable"</formula>
    </cfRule>
    <cfRule type="expression" dxfId="28650" priority="4890">
      <formula>$A349="Level Crossing"</formula>
    </cfRule>
    <cfRule type="expression" dxfId="28649" priority="4891">
      <formula>$A349="Neutral Section"</formula>
    </cfRule>
    <cfRule type="expression" dxfId="28648" priority="4892">
      <formula>$A349="Tunnel"</formula>
    </cfRule>
    <cfRule type="expression" dxfId="28647" priority="4893">
      <formula>$A349="Bridge"</formula>
    </cfRule>
    <cfRule type="expression" dxfId="28646" priority="4894">
      <formula>$A349="Drainage Works"</formula>
    </cfRule>
    <cfRule type="expression" dxfId="28645" priority="4895">
      <formula>$A349="Underpass"</formula>
    </cfRule>
    <cfRule type="expression" dxfId="28644" priority="4896">
      <formula>$A349="Overcrossing"</formula>
    </cfRule>
    <cfRule type="expression" dxfId="28643" priority="4897">
      <formula>$A349="Overpass"</formula>
    </cfRule>
    <cfRule type="expression" dxfId="28642" priority="4898">
      <formula>$A349="Station"</formula>
    </cfRule>
    <cfRule type="expression" dxfId="28641" priority="4899">
      <formula>$A349="Overlap between sections"</formula>
    </cfRule>
  </conditionalFormatting>
  <conditionalFormatting sqref="K349 K351">
    <cfRule type="expression" dxfId="28640" priority="4886">
      <formula>$M349="NON DEFINED"</formula>
    </cfRule>
    <cfRule type="expression" dxfId="28639" priority="4887">
      <formula>$AZ349="N.D."</formula>
    </cfRule>
    <cfRule type="expression" dxfId="28638" priority="4888">
      <formula>$AY349="N.D."</formula>
    </cfRule>
  </conditionalFormatting>
  <conditionalFormatting sqref="K349 K351">
    <cfRule type="expression" dxfId="28637" priority="4875">
      <formula>$A349="Overhead Cable"</formula>
    </cfRule>
    <cfRule type="expression" dxfId="28636" priority="4876">
      <formula>$A349="Level Crossing"</formula>
    </cfRule>
    <cfRule type="expression" dxfId="28635" priority="4877">
      <formula>$A349="Neutral Section"</formula>
    </cfRule>
    <cfRule type="expression" dxfId="28634" priority="4878">
      <formula>$A349="Tunnel"</formula>
    </cfRule>
    <cfRule type="expression" dxfId="28633" priority="4879">
      <formula>$A349="Bridge"</formula>
    </cfRule>
    <cfRule type="expression" dxfId="28632" priority="4880">
      <formula>$A349="Drainage Works"</formula>
    </cfRule>
    <cfRule type="expression" dxfId="28631" priority="4881">
      <formula>$A349="Underpass"</formula>
    </cfRule>
    <cfRule type="expression" dxfId="28630" priority="4882">
      <formula>$A349="Overcrossing"</formula>
    </cfRule>
    <cfRule type="expression" dxfId="28629" priority="4883">
      <formula>$A349="Overpass"</formula>
    </cfRule>
    <cfRule type="expression" dxfId="28628" priority="4884">
      <formula>$A349="Station"</formula>
    </cfRule>
    <cfRule type="expression" dxfId="28627" priority="4885">
      <formula>$A349="Overlap between sections"</formula>
    </cfRule>
  </conditionalFormatting>
  <conditionalFormatting sqref="J386:J388">
    <cfRule type="expression" dxfId="28626" priority="4872">
      <formula>$M386="NON DEFINED"</formula>
    </cfRule>
    <cfRule type="expression" dxfId="28625" priority="4873">
      <formula>$AZ386="N.D."</formula>
    </cfRule>
    <cfRule type="expression" dxfId="28624" priority="4874">
      <formula>$AY386="N.D."</formula>
    </cfRule>
  </conditionalFormatting>
  <conditionalFormatting sqref="K386:K388">
    <cfRule type="expression" dxfId="28623" priority="4858">
      <formula>$M386="NON DEFINED"</formula>
    </cfRule>
    <cfRule type="expression" dxfId="28622" priority="4859">
      <formula>$AZ386="N.D."</formula>
    </cfRule>
    <cfRule type="expression" dxfId="28621" priority="4860">
      <formula>$AY386="N.D."</formula>
    </cfRule>
  </conditionalFormatting>
  <conditionalFormatting sqref="J385">
    <cfRule type="expression" dxfId="28620" priority="4844">
      <formula>$M385="NON DEFINED"</formula>
    </cfRule>
    <cfRule type="expression" dxfId="28619" priority="4845">
      <formula>$AZ385="N.D."</formula>
    </cfRule>
    <cfRule type="expression" dxfId="28618" priority="4846">
      <formula>$AY385="N.D."</formula>
    </cfRule>
  </conditionalFormatting>
  <conditionalFormatting sqref="K385">
    <cfRule type="expression" dxfId="28617" priority="4830">
      <formula>$M385="NON DEFINED"</formula>
    </cfRule>
    <cfRule type="expression" dxfId="28616" priority="4831">
      <formula>$AZ385="N.D."</formula>
    </cfRule>
    <cfRule type="expression" dxfId="28615" priority="4832">
      <formula>$AY385="N.D."</formula>
    </cfRule>
  </conditionalFormatting>
  <conditionalFormatting sqref="J389">
    <cfRule type="expression" dxfId="28614" priority="4816">
      <formula>$M389="NON DEFINED"</formula>
    </cfRule>
    <cfRule type="expression" dxfId="28613" priority="4817">
      <formula>$AZ389="N.D."</formula>
    </cfRule>
    <cfRule type="expression" dxfId="28612" priority="4818">
      <formula>$AY389="N.D."</formula>
    </cfRule>
  </conditionalFormatting>
  <conditionalFormatting sqref="J389">
    <cfRule type="expression" dxfId="28611" priority="4805">
      <formula>$A389="Overhead Cable"</formula>
    </cfRule>
    <cfRule type="expression" dxfId="28610" priority="4806">
      <formula>$A389="Level Crossing"</formula>
    </cfRule>
    <cfRule type="expression" dxfId="28609" priority="4807">
      <formula>$A389="Neutral Section"</formula>
    </cfRule>
    <cfRule type="expression" dxfId="28608" priority="4808">
      <formula>$A389="Tunnel"</formula>
    </cfRule>
    <cfRule type="expression" dxfId="28607" priority="4809">
      <formula>$A389="Bridge"</formula>
    </cfRule>
    <cfRule type="expression" dxfId="28606" priority="4810">
      <formula>$A389="Drainage Works"</formula>
    </cfRule>
    <cfRule type="expression" dxfId="28605" priority="4811">
      <formula>$A389="Underpass"</formula>
    </cfRule>
    <cfRule type="expression" dxfId="28604" priority="4812">
      <formula>$A389="Overcrossing"</formula>
    </cfRule>
    <cfRule type="expression" dxfId="28603" priority="4813">
      <formula>$A389="Overpass"</formula>
    </cfRule>
    <cfRule type="expression" dxfId="28602" priority="4814">
      <formula>$A389="Station"</formula>
    </cfRule>
    <cfRule type="expression" dxfId="28601" priority="4815">
      <formula>$A389="Overlap between sections"</formula>
    </cfRule>
  </conditionalFormatting>
  <conditionalFormatting sqref="K389">
    <cfRule type="expression" dxfId="28600" priority="4802">
      <formula>$M389="NON DEFINED"</formula>
    </cfRule>
    <cfRule type="expression" dxfId="28599" priority="4803">
      <formula>$AZ389="N.D."</formula>
    </cfRule>
    <cfRule type="expression" dxfId="28598" priority="4804">
      <formula>$AY389="N.D."</formula>
    </cfRule>
  </conditionalFormatting>
  <conditionalFormatting sqref="K389">
    <cfRule type="expression" dxfId="28597" priority="4791">
      <formula>$A389="Overhead Cable"</formula>
    </cfRule>
    <cfRule type="expression" dxfId="28596" priority="4792">
      <formula>$A389="Level Crossing"</formula>
    </cfRule>
    <cfRule type="expression" dxfId="28595" priority="4793">
      <formula>$A389="Neutral Section"</formula>
    </cfRule>
    <cfRule type="expression" dxfId="28594" priority="4794">
      <formula>$A389="Tunnel"</formula>
    </cfRule>
    <cfRule type="expression" dxfId="28593" priority="4795">
      <formula>$A389="Bridge"</formula>
    </cfRule>
    <cfRule type="expression" dxfId="28592" priority="4796">
      <formula>$A389="Drainage Works"</formula>
    </cfRule>
    <cfRule type="expression" dxfId="28591" priority="4797">
      <formula>$A389="Underpass"</formula>
    </cfRule>
    <cfRule type="expression" dxfId="28590" priority="4798">
      <formula>$A389="Overcrossing"</formula>
    </cfRule>
    <cfRule type="expression" dxfId="28589" priority="4799">
      <formula>$A389="Overpass"</formula>
    </cfRule>
    <cfRule type="expression" dxfId="28588" priority="4800">
      <formula>$A389="Station"</formula>
    </cfRule>
    <cfRule type="expression" dxfId="28587" priority="4801">
      <formula>$A389="Overlap between sections"</formula>
    </cfRule>
  </conditionalFormatting>
  <conditionalFormatting sqref="AK135">
    <cfRule type="expression" dxfId="28586" priority="4788">
      <formula>$M135="NON DEFINED"</formula>
    </cfRule>
    <cfRule type="expression" dxfId="28585" priority="4789">
      <formula>$AZ135="N.D."</formula>
    </cfRule>
    <cfRule type="expression" dxfId="28584" priority="4790">
      <formula>$AY135="N.D."</formula>
    </cfRule>
  </conditionalFormatting>
  <conditionalFormatting sqref="AK135">
    <cfRule type="expression" dxfId="28583" priority="4777">
      <formula>$A135="Overhead Cable"</formula>
    </cfRule>
    <cfRule type="expression" dxfId="28582" priority="4778">
      <formula>$A135="Level Crossing"</formula>
    </cfRule>
    <cfRule type="expression" dxfId="28581" priority="4779">
      <formula>$A135="Neutral Section"</formula>
    </cfRule>
    <cfRule type="expression" dxfId="28580" priority="4780">
      <formula>$A135="Tunnel"</formula>
    </cfRule>
    <cfRule type="expression" dxfId="28579" priority="4781">
      <formula>$A135="Bridge"</formula>
    </cfRule>
    <cfRule type="expression" dxfId="28578" priority="4782">
      <formula>$A135="Drainage Works"</formula>
    </cfRule>
    <cfRule type="expression" dxfId="28577" priority="4783">
      <formula>$A135="Underpass"</formula>
    </cfRule>
    <cfRule type="expression" dxfId="28576" priority="4784">
      <formula>$A135="Overcrossing"</formula>
    </cfRule>
    <cfRule type="expression" dxfId="28575" priority="4785">
      <formula>$A135="Overpass"</formula>
    </cfRule>
    <cfRule type="expression" dxfId="28574" priority="4786">
      <formula>$A135="Station"</formula>
    </cfRule>
    <cfRule type="expression" dxfId="28573" priority="4787">
      <formula>$A135="Overlap between sections"</formula>
    </cfRule>
  </conditionalFormatting>
  <conditionalFormatting sqref="AL135">
    <cfRule type="expression" dxfId="28572" priority="4774">
      <formula>$M135="NON DEFINED"</formula>
    </cfRule>
    <cfRule type="expression" dxfId="28571" priority="4775">
      <formula>$AZ135="N.D."</formula>
    </cfRule>
    <cfRule type="expression" dxfId="28570" priority="4776">
      <formula>$AY135="N.D."</formula>
    </cfRule>
  </conditionalFormatting>
  <conditionalFormatting sqref="AL135">
    <cfRule type="expression" dxfId="28569" priority="4763">
      <formula>$A135="Overhead Cable"</formula>
    </cfRule>
    <cfRule type="expression" dxfId="28568" priority="4764">
      <formula>$A135="Level Crossing"</formula>
    </cfRule>
    <cfRule type="expression" dxfId="28567" priority="4765">
      <formula>$A135="Neutral Section"</formula>
    </cfRule>
    <cfRule type="expression" dxfId="28566" priority="4766">
      <formula>$A135="Tunnel"</formula>
    </cfRule>
    <cfRule type="expression" dxfId="28565" priority="4767">
      <formula>$A135="Bridge"</formula>
    </cfRule>
    <cfRule type="expression" dxfId="28564" priority="4768">
      <formula>$A135="Drainage Works"</formula>
    </cfRule>
    <cfRule type="expression" dxfId="28563" priority="4769">
      <formula>$A135="Underpass"</formula>
    </cfRule>
    <cfRule type="expression" dxfId="28562" priority="4770">
      <formula>$A135="Overcrossing"</formula>
    </cfRule>
    <cfRule type="expression" dxfId="28561" priority="4771">
      <formula>$A135="Overpass"</formula>
    </cfRule>
    <cfRule type="expression" dxfId="28560" priority="4772">
      <formula>$A135="Station"</formula>
    </cfRule>
    <cfRule type="expression" dxfId="28559" priority="4773">
      <formula>$A135="Overlap between sections"</formula>
    </cfRule>
  </conditionalFormatting>
  <conditionalFormatting sqref="AK137">
    <cfRule type="expression" dxfId="28558" priority="4760">
      <formula>$M137="NON DEFINED"</formula>
    </cfRule>
    <cfRule type="expression" dxfId="28557" priority="4761">
      <formula>$AZ137="N.D."</formula>
    </cfRule>
    <cfRule type="expression" dxfId="28556" priority="4762">
      <formula>$AY137="N.D."</formula>
    </cfRule>
  </conditionalFormatting>
  <conditionalFormatting sqref="AK137">
    <cfRule type="expression" dxfId="28555" priority="4749">
      <formula>$A137="Overhead Cable"</formula>
    </cfRule>
    <cfRule type="expression" dxfId="28554" priority="4750">
      <formula>$A137="Level Crossing"</formula>
    </cfRule>
    <cfRule type="expression" dxfId="28553" priority="4751">
      <formula>$A137="Neutral Section"</formula>
    </cfRule>
    <cfRule type="expression" dxfId="28552" priority="4752">
      <formula>$A137="Tunnel"</formula>
    </cfRule>
    <cfRule type="expression" dxfId="28551" priority="4753">
      <formula>$A137="Bridge"</formula>
    </cfRule>
    <cfRule type="expression" dxfId="28550" priority="4754">
      <formula>$A137="Drainage Works"</formula>
    </cfRule>
    <cfRule type="expression" dxfId="28549" priority="4755">
      <formula>$A137="Underpass"</formula>
    </cfRule>
    <cfRule type="expression" dxfId="28548" priority="4756">
      <formula>$A137="Overcrossing"</formula>
    </cfRule>
    <cfRule type="expression" dxfId="28547" priority="4757">
      <formula>$A137="Overpass"</formula>
    </cfRule>
    <cfRule type="expression" dxfId="28546" priority="4758">
      <formula>$A137="Station"</formula>
    </cfRule>
    <cfRule type="expression" dxfId="28545" priority="4759">
      <formula>$A137="Overlap between sections"</formula>
    </cfRule>
  </conditionalFormatting>
  <conditionalFormatting sqref="AL137">
    <cfRule type="expression" dxfId="28544" priority="4746">
      <formula>$M137="NON DEFINED"</formula>
    </cfRule>
    <cfRule type="expression" dxfId="28543" priority="4747">
      <formula>$AZ137="N.D."</formula>
    </cfRule>
    <cfRule type="expression" dxfId="28542" priority="4748">
      <formula>$AY137="N.D."</formula>
    </cfRule>
  </conditionalFormatting>
  <conditionalFormatting sqref="AL137">
    <cfRule type="expression" dxfId="28541" priority="4735">
      <formula>$A137="Overhead Cable"</formula>
    </cfRule>
    <cfRule type="expression" dxfId="28540" priority="4736">
      <formula>$A137="Level Crossing"</formula>
    </cfRule>
    <cfRule type="expression" dxfId="28539" priority="4737">
      <formula>$A137="Neutral Section"</formula>
    </cfRule>
    <cfRule type="expression" dxfId="28538" priority="4738">
      <formula>$A137="Tunnel"</formula>
    </cfRule>
    <cfRule type="expression" dxfId="28537" priority="4739">
      <formula>$A137="Bridge"</formula>
    </cfRule>
    <cfRule type="expression" dxfId="28536" priority="4740">
      <formula>$A137="Drainage Works"</formula>
    </cfRule>
    <cfRule type="expression" dxfId="28535" priority="4741">
      <formula>$A137="Underpass"</formula>
    </cfRule>
    <cfRule type="expression" dxfId="28534" priority="4742">
      <formula>$A137="Overcrossing"</formula>
    </cfRule>
    <cfRule type="expression" dxfId="28533" priority="4743">
      <formula>$A137="Overpass"</formula>
    </cfRule>
    <cfRule type="expression" dxfId="28532" priority="4744">
      <formula>$A137="Station"</formula>
    </cfRule>
    <cfRule type="expression" dxfId="28531" priority="4745">
      <formula>$A137="Overlap between sections"</formula>
    </cfRule>
  </conditionalFormatting>
  <conditionalFormatting sqref="AK139">
    <cfRule type="expression" dxfId="28530" priority="4732">
      <formula>$M139="NON DEFINED"</formula>
    </cfRule>
    <cfRule type="expression" dxfId="28529" priority="4733">
      <formula>$AZ139="N.D."</formula>
    </cfRule>
    <cfRule type="expression" dxfId="28528" priority="4734">
      <formula>$AY139="N.D."</formula>
    </cfRule>
  </conditionalFormatting>
  <conditionalFormatting sqref="AK139">
    <cfRule type="expression" dxfId="28527" priority="4721">
      <formula>$A139="Overhead Cable"</formula>
    </cfRule>
    <cfRule type="expression" dxfId="28526" priority="4722">
      <formula>$A139="Level Crossing"</formula>
    </cfRule>
    <cfRule type="expression" dxfId="28525" priority="4723">
      <formula>$A139="Neutral Section"</formula>
    </cfRule>
    <cfRule type="expression" dxfId="28524" priority="4724">
      <formula>$A139="Tunnel"</formula>
    </cfRule>
    <cfRule type="expression" dxfId="28523" priority="4725">
      <formula>$A139="Bridge"</formula>
    </cfRule>
    <cfRule type="expression" dxfId="28522" priority="4726">
      <formula>$A139="Drainage Works"</formula>
    </cfRule>
    <cfRule type="expression" dxfId="28521" priority="4727">
      <formula>$A139="Underpass"</formula>
    </cfRule>
    <cfRule type="expression" dxfId="28520" priority="4728">
      <formula>$A139="Overcrossing"</formula>
    </cfRule>
    <cfRule type="expression" dxfId="28519" priority="4729">
      <formula>$A139="Overpass"</formula>
    </cfRule>
    <cfRule type="expression" dxfId="28518" priority="4730">
      <formula>$A139="Station"</formula>
    </cfRule>
    <cfRule type="expression" dxfId="28517" priority="4731">
      <formula>$A139="Overlap between sections"</formula>
    </cfRule>
  </conditionalFormatting>
  <conditionalFormatting sqref="AL139">
    <cfRule type="expression" dxfId="28516" priority="4718">
      <formula>$M139="NON DEFINED"</formula>
    </cfRule>
    <cfRule type="expression" dxfId="28515" priority="4719">
      <formula>$AZ139="N.D."</formula>
    </cfRule>
    <cfRule type="expression" dxfId="28514" priority="4720">
      <formula>$AY139="N.D."</formula>
    </cfRule>
  </conditionalFormatting>
  <conditionalFormatting sqref="AL139">
    <cfRule type="expression" dxfId="28513" priority="4707">
      <formula>$A139="Overhead Cable"</formula>
    </cfRule>
    <cfRule type="expression" dxfId="28512" priority="4708">
      <formula>$A139="Level Crossing"</formula>
    </cfRule>
    <cfRule type="expression" dxfId="28511" priority="4709">
      <formula>$A139="Neutral Section"</formula>
    </cfRule>
    <cfRule type="expression" dxfId="28510" priority="4710">
      <formula>$A139="Tunnel"</formula>
    </cfRule>
    <cfRule type="expression" dxfId="28509" priority="4711">
      <formula>$A139="Bridge"</formula>
    </cfRule>
    <cfRule type="expression" dxfId="28508" priority="4712">
      <formula>$A139="Drainage Works"</formula>
    </cfRule>
    <cfRule type="expression" dxfId="28507" priority="4713">
      <formula>$A139="Underpass"</formula>
    </cfRule>
    <cfRule type="expression" dxfId="28506" priority="4714">
      <formula>$A139="Overcrossing"</formula>
    </cfRule>
    <cfRule type="expression" dxfId="28505" priority="4715">
      <formula>$A139="Overpass"</formula>
    </cfRule>
    <cfRule type="expression" dxfId="28504" priority="4716">
      <formula>$A139="Station"</formula>
    </cfRule>
    <cfRule type="expression" dxfId="28503" priority="4717">
      <formula>$A139="Overlap between sections"</formula>
    </cfRule>
  </conditionalFormatting>
  <conditionalFormatting sqref="BC729:BC781 BC783:BC1216 BC1222:BC1273 BC1275:BC1402 BC33:BC535 BC538:BC727">
    <cfRule type="expression" dxfId="28502" priority="4706">
      <formula>$M33="U.S. N.D."</formula>
    </cfRule>
  </conditionalFormatting>
  <conditionalFormatting sqref="BB729:BB781 BB783:BB1216 BB1222:BB1273 BB1275:BB1402 BB33:BB535 BB538:BB727">
    <cfRule type="expression" dxfId="28501" priority="4702">
      <formula>$AZ33="N.D."</formula>
    </cfRule>
  </conditionalFormatting>
  <conditionalFormatting sqref="BA729:BA781 BA783:BA1216 BA1222:BA1273 BA1275:BA1402 BA33:BA535 BA538:BA727">
    <cfRule type="expression" dxfId="28500" priority="4703">
      <formula>$AY33="N.D."</formula>
    </cfRule>
  </conditionalFormatting>
  <conditionalFormatting sqref="AZ48">
    <cfRule type="expression" dxfId="28499" priority="4699">
      <formula>$M48="NON DEFINED"</formula>
    </cfRule>
    <cfRule type="expression" dxfId="28498" priority="4700">
      <formula>$AZ48="N.D."</formula>
    </cfRule>
    <cfRule type="expression" dxfId="28497" priority="4701">
      <formula>$AY48="N.D."</formula>
    </cfRule>
  </conditionalFormatting>
  <conditionalFormatting sqref="AY48">
    <cfRule type="expression" dxfId="28496" priority="4696">
      <formula>$M48="NON DEFINED"</formula>
    </cfRule>
    <cfRule type="expression" dxfId="28495" priority="4697">
      <formula>$AZ48="N.D."</formula>
    </cfRule>
    <cfRule type="expression" dxfId="28494" priority="4698">
      <formula>$AY48="N.D."</formula>
    </cfRule>
  </conditionalFormatting>
  <conditionalFormatting sqref="AY48:AZ48">
    <cfRule type="expression" dxfId="28493" priority="4685">
      <formula>$A48="Overhead Cable"</formula>
    </cfRule>
    <cfRule type="expression" dxfId="28492" priority="4686">
      <formula>$A48="Level Crossing"</formula>
    </cfRule>
    <cfRule type="expression" dxfId="28491" priority="4687">
      <formula>$A48="Neutral Section"</formula>
    </cfRule>
    <cfRule type="expression" dxfId="28490" priority="4688">
      <formula>$A48="Tunnel"</formula>
    </cfRule>
    <cfRule type="expression" dxfId="28489" priority="4689">
      <formula>$A48="Bridge"</formula>
    </cfRule>
    <cfRule type="expression" dxfId="28488" priority="4690">
      <formula>$A48="Drainage Works"</formula>
    </cfRule>
    <cfRule type="expression" dxfId="28487" priority="4691">
      <formula>$A48="Underpass"</formula>
    </cfRule>
    <cfRule type="expression" dxfId="28486" priority="4692">
      <formula>$A48="Overcrossing"</formula>
    </cfRule>
    <cfRule type="expression" dxfId="28485" priority="4693">
      <formula>$A48="Overpass"</formula>
    </cfRule>
    <cfRule type="expression" dxfId="28484" priority="4694">
      <formula>$A48="Station"</formula>
    </cfRule>
    <cfRule type="expression" dxfId="28483" priority="4695">
      <formula>$A48="Overlap between sections"</formula>
    </cfRule>
  </conditionalFormatting>
  <conditionalFormatting sqref="AW48">
    <cfRule type="expression" dxfId="28482" priority="4682">
      <formula>$M48="NON DEFINED"</formula>
    </cfRule>
    <cfRule type="expression" dxfId="28481" priority="4683">
      <formula>$AZ48="N.D."</formula>
    </cfRule>
    <cfRule type="expression" dxfId="28480" priority="4684">
      <formula>$AY48="N.D."</formula>
    </cfRule>
  </conditionalFormatting>
  <conditionalFormatting sqref="AW48">
    <cfRule type="expression" dxfId="28479" priority="4671">
      <formula>$A48="Overhead Cable"</formula>
    </cfRule>
    <cfRule type="expression" dxfId="28478" priority="4672">
      <formula>$A48="Level Crossing"</formula>
    </cfRule>
    <cfRule type="expression" dxfId="28477" priority="4673">
      <formula>$A48="Neutral Section"</formula>
    </cfRule>
    <cfRule type="expression" dxfId="28476" priority="4674">
      <formula>$A48="Tunnel"</formula>
    </cfRule>
    <cfRule type="expression" dxfId="28475" priority="4675">
      <formula>$A48="Bridge"</formula>
    </cfRule>
    <cfRule type="expression" dxfId="28474" priority="4676">
      <formula>$A48="Drainage Works"</formula>
    </cfRule>
    <cfRule type="expression" dxfId="28473" priority="4677">
      <formula>$A48="Underpass"</formula>
    </cfRule>
    <cfRule type="expression" dxfId="28472" priority="4678">
      <formula>$A48="Overcrossing"</formula>
    </cfRule>
    <cfRule type="expression" dxfId="28471" priority="4679">
      <formula>$A48="Overpass"</formula>
    </cfRule>
    <cfRule type="expression" dxfId="28470" priority="4680">
      <formula>$A48="Station"</formula>
    </cfRule>
    <cfRule type="expression" dxfId="28469" priority="4681">
      <formula>$A48="Overlap between sections"</formula>
    </cfRule>
  </conditionalFormatting>
  <conditionalFormatting sqref="AX48">
    <cfRule type="expression" dxfId="28468" priority="4668">
      <formula>$M48="NON DEFINED"</formula>
    </cfRule>
    <cfRule type="expression" dxfId="28467" priority="4669">
      <formula>$AZ48="N.D."</formula>
    </cfRule>
    <cfRule type="expression" dxfId="28466" priority="4670">
      <formula>$AY48="N.D."</formula>
    </cfRule>
  </conditionalFormatting>
  <conditionalFormatting sqref="AX48">
    <cfRule type="expression" dxfId="28465" priority="4657">
      <formula>$A48="Overhead Cable"</formula>
    </cfRule>
    <cfRule type="expression" dxfId="28464" priority="4658">
      <formula>$A48="Level Crossing"</formula>
    </cfRule>
    <cfRule type="expression" dxfId="28463" priority="4659">
      <formula>$A48="Neutral Section"</formula>
    </cfRule>
    <cfRule type="expression" dxfId="28462" priority="4660">
      <formula>$A48="Tunnel"</formula>
    </cfRule>
    <cfRule type="expression" dxfId="28461" priority="4661">
      <formula>$A48="Bridge"</formula>
    </cfRule>
    <cfRule type="expression" dxfId="28460" priority="4662">
      <formula>$A48="Drainage Works"</formula>
    </cfRule>
    <cfRule type="expression" dxfId="28459" priority="4663">
      <formula>$A48="Underpass"</formula>
    </cfRule>
    <cfRule type="expression" dxfId="28458" priority="4664">
      <formula>$A48="Overcrossing"</formula>
    </cfRule>
    <cfRule type="expression" dxfId="28457" priority="4665">
      <formula>$A48="Overpass"</formula>
    </cfRule>
    <cfRule type="expression" dxfId="28456" priority="4666">
      <formula>$A48="Station"</formula>
    </cfRule>
    <cfRule type="expression" dxfId="28455" priority="4667">
      <formula>$A48="Overlap between sections"</formula>
    </cfRule>
  </conditionalFormatting>
  <conditionalFormatting sqref="AW261">
    <cfRule type="expression" dxfId="28454" priority="4654">
      <formula>$M261="NON DEFINED"</formula>
    </cfRule>
    <cfRule type="expression" dxfId="28453" priority="4655">
      <formula>$AZ261="N.D."</formula>
    </cfRule>
    <cfRule type="expression" dxfId="28452" priority="4656">
      <formula>$AY261="N.D."</formula>
    </cfRule>
  </conditionalFormatting>
  <conditionalFormatting sqref="AW261">
    <cfRule type="expression" dxfId="28451" priority="4643">
      <formula>$A261="Overhead Cable"</formula>
    </cfRule>
    <cfRule type="expression" dxfId="28450" priority="4644">
      <formula>$A261="Level Crossing"</formula>
    </cfRule>
    <cfRule type="expression" dxfId="28449" priority="4645">
      <formula>$A261="Neutral Section"</formula>
    </cfRule>
    <cfRule type="expression" dxfId="28448" priority="4646">
      <formula>$A261="Tunnel"</formula>
    </cfRule>
    <cfRule type="expression" dxfId="28447" priority="4647">
      <formula>$A261="Bridge"</formula>
    </cfRule>
    <cfRule type="expression" dxfId="28446" priority="4648">
      <formula>$A261="Drainage Works"</formula>
    </cfRule>
    <cfRule type="expression" dxfId="28445" priority="4649">
      <formula>$A261="Underpass"</formula>
    </cfRule>
    <cfRule type="expression" dxfId="28444" priority="4650">
      <formula>$A261="Overcrossing"</formula>
    </cfRule>
    <cfRule type="expression" dxfId="28443" priority="4651">
      <formula>$A261="Overpass"</formula>
    </cfRule>
    <cfRule type="expression" dxfId="28442" priority="4652">
      <formula>$A261="Station"</formula>
    </cfRule>
    <cfRule type="expression" dxfId="28441" priority="4653">
      <formula>$A261="Overlap between sections"</formula>
    </cfRule>
  </conditionalFormatting>
  <conditionalFormatting sqref="AX261">
    <cfRule type="expression" dxfId="28440" priority="4640">
      <formula>$M261="NON DEFINED"</formula>
    </cfRule>
    <cfRule type="expression" dxfId="28439" priority="4641">
      <formula>$AZ261="N.D."</formula>
    </cfRule>
    <cfRule type="expression" dxfId="28438" priority="4642">
      <formula>$AY261="N.D."</formula>
    </cfRule>
  </conditionalFormatting>
  <conditionalFormatting sqref="AX261">
    <cfRule type="expression" dxfId="28437" priority="4629">
      <formula>$A261="Overhead Cable"</formula>
    </cfRule>
    <cfRule type="expression" dxfId="28436" priority="4630">
      <formula>$A261="Level Crossing"</formula>
    </cfRule>
    <cfRule type="expression" dxfId="28435" priority="4631">
      <formula>$A261="Neutral Section"</formula>
    </cfRule>
    <cfRule type="expression" dxfId="28434" priority="4632">
      <formula>$A261="Tunnel"</formula>
    </cfRule>
    <cfRule type="expression" dxfId="28433" priority="4633">
      <formula>$A261="Bridge"</formula>
    </cfRule>
    <cfRule type="expression" dxfId="28432" priority="4634">
      <formula>$A261="Drainage Works"</formula>
    </cfRule>
    <cfRule type="expression" dxfId="28431" priority="4635">
      <formula>$A261="Underpass"</formula>
    </cfRule>
    <cfRule type="expression" dxfId="28430" priority="4636">
      <formula>$A261="Overcrossing"</formula>
    </cfRule>
    <cfRule type="expression" dxfId="28429" priority="4637">
      <formula>$A261="Overpass"</formula>
    </cfRule>
    <cfRule type="expression" dxfId="28428" priority="4638">
      <formula>$A261="Station"</formula>
    </cfRule>
    <cfRule type="expression" dxfId="28427" priority="4639">
      <formula>$A261="Overlap between sections"</formula>
    </cfRule>
  </conditionalFormatting>
  <conditionalFormatting sqref="AW263">
    <cfRule type="expression" dxfId="28426" priority="4626">
      <formula>$M263="NON DEFINED"</formula>
    </cfRule>
    <cfRule type="expression" dxfId="28425" priority="4627">
      <formula>$AZ263="N.D."</formula>
    </cfRule>
    <cfRule type="expression" dxfId="28424" priority="4628">
      <formula>$AY263="N.D."</formula>
    </cfRule>
  </conditionalFormatting>
  <conditionalFormatting sqref="AW263">
    <cfRule type="expression" dxfId="28423" priority="4615">
      <formula>$A263="Overhead Cable"</formula>
    </cfRule>
    <cfRule type="expression" dxfId="28422" priority="4616">
      <formula>$A263="Level Crossing"</formula>
    </cfRule>
    <cfRule type="expression" dxfId="28421" priority="4617">
      <formula>$A263="Neutral Section"</formula>
    </cfRule>
    <cfRule type="expression" dxfId="28420" priority="4618">
      <formula>$A263="Tunnel"</formula>
    </cfRule>
    <cfRule type="expression" dxfId="28419" priority="4619">
      <formula>$A263="Bridge"</formula>
    </cfRule>
    <cfRule type="expression" dxfId="28418" priority="4620">
      <formula>$A263="Drainage Works"</formula>
    </cfRule>
    <cfRule type="expression" dxfId="28417" priority="4621">
      <formula>$A263="Underpass"</formula>
    </cfRule>
    <cfRule type="expression" dxfId="28416" priority="4622">
      <formula>$A263="Overcrossing"</formula>
    </cfRule>
    <cfRule type="expression" dxfId="28415" priority="4623">
      <formula>$A263="Overpass"</formula>
    </cfRule>
    <cfRule type="expression" dxfId="28414" priority="4624">
      <formula>$A263="Station"</formula>
    </cfRule>
    <cfRule type="expression" dxfId="28413" priority="4625">
      <formula>$A263="Overlap between sections"</formula>
    </cfRule>
  </conditionalFormatting>
  <conditionalFormatting sqref="AX263">
    <cfRule type="expression" dxfId="28412" priority="4612">
      <formula>$M263="NON DEFINED"</formula>
    </cfRule>
    <cfRule type="expression" dxfId="28411" priority="4613">
      <formula>$AZ263="N.D."</formula>
    </cfRule>
    <cfRule type="expression" dxfId="28410" priority="4614">
      <formula>$AY263="N.D."</formula>
    </cfRule>
  </conditionalFormatting>
  <conditionalFormatting sqref="AX263">
    <cfRule type="expression" dxfId="28409" priority="4601">
      <formula>$A263="Overhead Cable"</formula>
    </cfRule>
    <cfRule type="expression" dxfId="28408" priority="4602">
      <formula>$A263="Level Crossing"</formula>
    </cfRule>
    <cfRule type="expression" dxfId="28407" priority="4603">
      <formula>$A263="Neutral Section"</formula>
    </cfRule>
    <cfRule type="expression" dxfId="28406" priority="4604">
      <formula>$A263="Tunnel"</formula>
    </cfRule>
    <cfRule type="expression" dxfId="28405" priority="4605">
      <formula>$A263="Bridge"</formula>
    </cfRule>
    <cfRule type="expression" dxfId="28404" priority="4606">
      <formula>$A263="Drainage Works"</formula>
    </cfRule>
    <cfRule type="expression" dxfId="28403" priority="4607">
      <formula>$A263="Underpass"</formula>
    </cfRule>
    <cfRule type="expression" dxfId="28402" priority="4608">
      <formula>$A263="Overcrossing"</formula>
    </cfRule>
    <cfRule type="expression" dxfId="28401" priority="4609">
      <formula>$A263="Overpass"</formula>
    </cfRule>
    <cfRule type="expression" dxfId="28400" priority="4610">
      <formula>$A263="Station"</formula>
    </cfRule>
    <cfRule type="expression" dxfId="28399" priority="4611">
      <formula>$A263="Overlap between sections"</formula>
    </cfRule>
  </conditionalFormatting>
  <conditionalFormatting sqref="AW265">
    <cfRule type="expression" dxfId="28398" priority="4598">
      <formula>$M265="NON DEFINED"</formula>
    </cfRule>
    <cfRule type="expression" dxfId="28397" priority="4599">
      <formula>$AZ265="N.D."</formula>
    </cfRule>
    <cfRule type="expression" dxfId="28396" priority="4600">
      <formula>$AY265="N.D."</formula>
    </cfRule>
  </conditionalFormatting>
  <conditionalFormatting sqref="AW265">
    <cfRule type="expression" dxfId="28395" priority="4587">
      <formula>$A265="Overhead Cable"</formula>
    </cfRule>
    <cfRule type="expression" dxfId="28394" priority="4588">
      <formula>$A265="Level Crossing"</formula>
    </cfRule>
    <cfRule type="expression" dxfId="28393" priority="4589">
      <formula>$A265="Neutral Section"</formula>
    </cfRule>
    <cfRule type="expression" dxfId="28392" priority="4590">
      <formula>$A265="Tunnel"</formula>
    </cfRule>
    <cfRule type="expression" dxfId="28391" priority="4591">
      <formula>$A265="Bridge"</formula>
    </cfRule>
    <cfRule type="expression" dxfId="28390" priority="4592">
      <formula>$A265="Drainage Works"</formula>
    </cfRule>
    <cfRule type="expression" dxfId="28389" priority="4593">
      <formula>$A265="Underpass"</formula>
    </cfRule>
    <cfRule type="expression" dxfId="28388" priority="4594">
      <formula>$A265="Overcrossing"</formula>
    </cfRule>
    <cfRule type="expression" dxfId="28387" priority="4595">
      <formula>$A265="Overpass"</formula>
    </cfRule>
    <cfRule type="expression" dxfId="28386" priority="4596">
      <formula>$A265="Station"</formula>
    </cfRule>
    <cfRule type="expression" dxfId="28385" priority="4597">
      <formula>$A265="Overlap between sections"</formula>
    </cfRule>
  </conditionalFormatting>
  <conditionalFormatting sqref="AX265">
    <cfRule type="expression" dxfId="28384" priority="4584">
      <formula>$M265="NON DEFINED"</formula>
    </cfRule>
    <cfRule type="expression" dxfId="28383" priority="4585">
      <formula>$AZ265="N.D."</formula>
    </cfRule>
    <cfRule type="expression" dxfId="28382" priority="4586">
      <formula>$AY265="N.D."</formula>
    </cfRule>
  </conditionalFormatting>
  <conditionalFormatting sqref="AX265">
    <cfRule type="expression" dxfId="28381" priority="4573">
      <formula>$A265="Overhead Cable"</formula>
    </cfRule>
    <cfRule type="expression" dxfId="28380" priority="4574">
      <formula>$A265="Level Crossing"</formula>
    </cfRule>
    <cfRule type="expression" dxfId="28379" priority="4575">
      <formula>$A265="Neutral Section"</formula>
    </cfRule>
    <cfRule type="expression" dxfId="28378" priority="4576">
      <formula>$A265="Tunnel"</formula>
    </cfRule>
    <cfRule type="expression" dxfId="28377" priority="4577">
      <formula>$A265="Bridge"</formula>
    </cfRule>
    <cfRule type="expression" dxfId="28376" priority="4578">
      <formula>$A265="Drainage Works"</formula>
    </cfRule>
    <cfRule type="expression" dxfId="28375" priority="4579">
      <formula>$A265="Underpass"</formula>
    </cfRule>
    <cfRule type="expression" dxfId="28374" priority="4580">
      <formula>$A265="Overcrossing"</formula>
    </cfRule>
    <cfRule type="expression" dxfId="28373" priority="4581">
      <formula>$A265="Overpass"</formula>
    </cfRule>
    <cfRule type="expression" dxfId="28372" priority="4582">
      <formula>$A265="Station"</formula>
    </cfRule>
    <cfRule type="expression" dxfId="28371" priority="4583">
      <formula>$A265="Overlap between sections"</formula>
    </cfRule>
  </conditionalFormatting>
  <conditionalFormatting sqref="AW267">
    <cfRule type="expression" dxfId="28370" priority="4570">
      <formula>$M267="NON DEFINED"</formula>
    </cfRule>
    <cfRule type="expression" dxfId="28369" priority="4571">
      <formula>$AZ267="N.D."</formula>
    </cfRule>
    <cfRule type="expression" dxfId="28368" priority="4572">
      <formula>$AY267="N.D."</formula>
    </cfRule>
  </conditionalFormatting>
  <conditionalFormatting sqref="AW267">
    <cfRule type="expression" dxfId="28367" priority="4559">
      <formula>$A267="Overhead Cable"</formula>
    </cfRule>
    <cfRule type="expression" dxfId="28366" priority="4560">
      <formula>$A267="Level Crossing"</formula>
    </cfRule>
    <cfRule type="expression" dxfId="28365" priority="4561">
      <formula>$A267="Neutral Section"</formula>
    </cfRule>
    <cfRule type="expression" dxfId="28364" priority="4562">
      <formula>$A267="Tunnel"</formula>
    </cfRule>
    <cfRule type="expression" dxfId="28363" priority="4563">
      <formula>$A267="Bridge"</formula>
    </cfRule>
    <cfRule type="expression" dxfId="28362" priority="4564">
      <formula>$A267="Drainage Works"</formula>
    </cfRule>
    <cfRule type="expression" dxfId="28361" priority="4565">
      <formula>$A267="Underpass"</formula>
    </cfRule>
    <cfRule type="expression" dxfId="28360" priority="4566">
      <formula>$A267="Overcrossing"</formula>
    </cfRule>
    <cfRule type="expression" dxfId="28359" priority="4567">
      <formula>$A267="Overpass"</formula>
    </cfRule>
    <cfRule type="expression" dxfId="28358" priority="4568">
      <formula>$A267="Station"</formula>
    </cfRule>
    <cfRule type="expression" dxfId="28357" priority="4569">
      <formula>$A267="Overlap between sections"</formula>
    </cfRule>
  </conditionalFormatting>
  <conditionalFormatting sqref="AX267">
    <cfRule type="expression" dxfId="28356" priority="4556">
      <formula>$M267="NON DEFINED"</formula>
    </cfRule>
    <cfRule type="expression" dxfId="28355" priority="4557">
      <formula>$AZ267="N.D."</formula>
    </cfRule>
    <cfRule type="expression" dxfId="28354" priority="4558">
      <formula>$AY267="N.D."</formula>
    </cfRule>
  </conditionalFormatting>
  <conditionalFormatting sqref="AX267">
    <cfRule type="expression" dxfId="28353" priority="4545">
      <formula>$A267="Overhead Cable"</formula>
    </cfRule>
    <cfRule type="expression" dxfId="28352" priority="4546">
      <formula>$A267="Level Crossing"</formula>
    </cfRule>
    <cfRule type="expression" dxfId="28351" priority="4547">
      <formula>$A267="Neutral Section"</formula>
    </cfRule>
    <cfRule type="expression" dxfId="28350" priority="4548">
      <formula>$A267="Tunnel"</formula>
    </cfRule>
    <cfRule type="expression" dxfId="28349" priority="4549">
      <formula>$A267="Bridge"</formula>
    </cfRule>
    <cfRule type="expression" dxfId="28348" priority="4550">
      <formula>$A267="Drainage Works"</formula>
    </cfRule>
    <cfRule type="expression" dxfId="28347" priority="4551">
      <formula>$A267="Underpass"</formula>
    </cfRule>
    <cfRule type="expression" dxfId="28346" priority="4552">
      <formula>$A267="Overcrossing"</formula>
    </cfRule>
    <cfRule type="expression" dxfId="28345" priority="4553">
      <formula>$A267="Overpass"</formula>
    </cfRule>
    <cfRule type="expression" dxfId="28344" priority="4554">
      <formula>$A267="Station"</formula>
    </cfRule>
    <cfRule type="expression" dxfId="28343" priority="4555">
      <formula>$A267="Overlap between sections"</formula>
    </cfRule>
  </conditionalFormatting>
  <conditionalFormatting sqref="AW269">
    <cfRule type="expression" dxfId="28342" priority="4542">
      <formula>$M269="NON DEFINED"</formula>
    </cfRule>
    <cfRule type="expression" dxfId="28341" priority="4543">
      <formula>$AZ269="N.D."</formula>
    </cfRule>
    <cfRule type="expression" dxfId="28340" priority="4544">
      <formula>$AY269="N.D."</formula>
    </cfRule>
  </conditionalFormatting>
  <conditionalFormatting sqref="AW269">
    <cfRule type="expression" dxfId="28339" priority="4531">
      <formula>$A269="Overhead Cable"</formula>
    </cfRule>
    <cfRule type="expression" dxfId="28338" priority="4532">
      <formula>$A269="Level Crossing"</formula>
    </cfRule>
    <cfRule type="expression" dxfId="28337" priority="4533">
      <formula>$A269="Neutral Section"</formula>
    </cfRule>
    <cfRule type="expression" dxfId="28336" priority="4534">
      <formula>$A269="Tunnel"</formula>
    </cfRule>
    <cfRule type="expression" dxfId="28335" priority="4535">
      <formula>$A269="Bridge"</formula>
    </cfRule>
    <cfRule type="expression" dxfId="28334" priority="4536">
      <formula>$A269="Drainage Works"</formula>
    </cfRule>
    <cfRule type="expression" dxfId="28333" priority="4537">
      <formula>$A269="Underpass"</formula>
    </cfRule>
    <cfRule type="expression" dxfId="28332" priority="4538">
      <formula>$A269="Overcrossing"</formula>
    </cfRule>
    <cfRule type="expression" dxfId="28331" priority="4539">
      <formula>$A269="Overpass"</formula>
    </cfRule>
    <cfRule type="expression" dxfId="28330" priority="4540">
      <formula>$A269="Station"</formula>
    </cfRule>
    <cfRule type="expression" dxfId="28329" priority="4541">
      <formula>$A269="Overlap between sections"</formula>
    </cfRule>
  </conditionalFormatting>
  <conditionalFormatting sqref="AX269">
    <cfRule type="expression" dxfId="28328" priority="4528">
      <formula>$M269="NON DEFINED"</formula>
    </cfRule>
    <cfRule type="expression" dxfId="28327" priority="4529">
      <formula>$AZ269="N.D."</formula>
    </cfRule>
    <cfRule type="expression" dxfId="28326" priority="4530">
      <formula>$AY269="N.D."</formula>
    </cfRule>
  </conditionalFormatting>
  <conditionalFormatting sqref="AX269">
    <cfRule type="expression" dxfId="28325" priority="4517">
      <formula>$A269="Overhead Cable"</formula>
    </cfRule>
    <cfRule type="expression" dxfId="28324" priority="4518">
      <formula>$A269="Level Crossing"</formula>
    </cfRule>
    <cfRule type="expression" dxfId="28323" priority="4519">
      <formula>$A269="Neutral Section"</formula>
    </cfRule>
    <cfRule type="expression" dxfId="28322" priority="4520">
      <formula>$A269="Tunnel"</formula>
    </cfRule>
    <cfRule type="expression" dxfId="28321" priority="4521">
      <formula>$A269="Bridge"</formula>
    </cfRule>
    <cfRule type="expression" dxfId="28320" priority="4522">
      <formula>$A269="Drainage Works"</formula>
    </cfRule>
    <cfRule type="expression" dxfId="28319" priority="4523">
      <formula>$A269="Underpass"</formula>
    </cfRule>
    <cfRule type="expression" dxfId="28318" priority="4524">
      <formula>$A269="Overcrossing"</formula>
    </cfRule>
    <cfRule type="expression" dxfId="28317" priority="4525">
      <formula>$A269="Overpass"</formula>
    </cfRule>
    <cfRule type="expression" dxfId="28316" priority="4526">
      <formula>$A269="Station"</formula>
    </cfRule>
    <cfRule type="expression" dxfId="28315" priority="4527">
      <formula>$A269="Overlap between sections"</formula>
    </cfRule>
  </conditionalFormatting>
  <conditionalFormatting sqref="AW271">
    <cfRule type="expression" dxfId="28314" priority="4514">
      <formula>$M271="NON DEFINED"</formula>
    </cfRule>
    <cfRule type="expression" dxfId="28313" priority="4515">
      <formula>$AZ271="N.D."</formula>
    </cfRule>
    <cfRule type="expression" dxfId="28312" priority="4516">
      <formula>$AY271="N.D."</formula>
    </cfRule>
  </conditionalFormatting>
  <conditionalFormatting sqref="AW271">
    <cfRule type="expression" dxfId="28311" priority="4503">
      <formula>$A271="Overhead Cable"</formula>
    </cfRule>
    <cfRule type="expression" dxfId="28310" priority="4504">
      <formula>$A271="Level Crossing"</formula>
    </cfRule>
    <cfRule type="expression" dxfId="28309" priority="4505">
      <formula>$A271="Neutral Section"</formula>
    </cfRule>
    <cfRule type="expression" dxfId="28308" priority="4506">
      <formula>$A271="Tunnel"</formula>
    </cfRule>
    <cfRule type="expression" dxfId="28307" priority="4507">
      <formula>$A271="Bridge"</formula>
    </cfRule>
    <cfRule type="expression" dxfId="28306" priority="4508">
      <formula>$A271="Drainage Works"</formula>
    </cfRule>
    <cfRule type="expression" dxfId="28305" priority="4509">
      <formula>$A271="Underpass"</formula>
    </cfRule>
    <cfRule type="expression" dxfId="28304" priority="4510">
      <formula>$A271="Overcrossing"</formula>
    </cfRule>
    <cfRule type="expression" dxfId="28303" priority="4511">
      <formula>$A271="Overpass"</formula>
    </cfRule>
    <cfRule type="expression" dxfId="28302" priority="4512">
      <formula>$A271="Station"</formula>
    </cfRule>
    <cfRule type="expression" dxfId="28301" priority="4513">
      <formula>$A271="Overlap between sections"</formula>
    </cfRule>
  </conditionalFormatting>
  <conditionalFormatting sqref="AX271">
    <cfRule type="expression" dxfId="28300" priority="4500">
      <formula>$M271="NON DEFINED"</formula>
    </cfRule>
    <cfRule type="expression" dxfId="28299" priority="4501">
      <formula>$AZ271="N.D."</formula>
    </cfRule>
    <cfRule type="expression" dxfId="28298" priority="4502">
      <formula>$AY271="N.D."</formula>
    </cfRule>
  </conditionalFormatting>
  <conditionalFormatting sqref="AX271">
    <cfRule type="expression" dxfId="28297" priority="4489">
      <formula>$A271="Overhead Cable"</formula>
    </cfRule>
    <cfRule type="expression" dxfId="28296" priority="4490">
      <formula>$A271="Level Crossing"</formula>
    </cfRule>
    <cfRule type="expression" dxfId="28295" priority="4491">
      <formula>$A271="Neutral Section"</formula>
    </cfRule>
    <cfRule type="expression" dxfId="28294" priority="4492">
      <formula>$A271="Tunnel"</formula>
    </cfRule>
    <cfRule type="expression" dxfId="28293" priority="4493">
      <formula>$A271="Bridge"</formula>
    </cfRule>
    <cfRule type="expression" dxfId="28292" priority="4494">
      <formula>$A271="Drainage Works"</formula>
    </cfRule>
    <cfRule type="expression" dxfId="28291" priority="4495">
      <formula>$A271="Underpass"</formula>
    </cfRule>
    <cfRule type="expression" dxfId="28290" priority="4496">
      <formula>$A271="Overcrossing"</formula>
    </cfRule>
    <cfRule type="expression" dxfId="28289" priority="4497">
      <formula>$A271="Overpass"</formula>
    </cfRule>
    <cfRule type="expression" dxfId="28288" priority="4498">
      <formula>$A271="Station"</formula>
    </cfRule>
    <cfRule type="expression" dxfId="28287" priority="4499">
      <formula>$A271="Overlap between sections"</formula>
    </cfRule>
  </conditionalFormatting>
  <conditionalFormatting sqref="AW273">
    <cfRule type="expression" dxfId="28286" priority="4486">
      <formula>$M273="NON DEFINED"</formula>
    </cfRule>
    <cfRule type="expression" dxfId="28285" priority="4487">
      <formula>$AZ273="N.D."</formula>
    </cfRule>
    <cfRule type="expression" dxfId="28284" priority="4488">
      <formula>$AY273="N.D."</formula>
    </cfRule>
  </conditionalFormatting>
  <conditionalFormatting sqref="AW273">
    <cfRule type="expression" dxfId="28283" priority="4475">
      <formula>$A273="Overhead Cable"</formula>
    </cfRule>
    <cfRule type="expression" dxfId="28282" priority="4476">
      <formula>$A273="Level Crossing"</formula>
    </cfRule>
    <cfRule type="expression" dxfId="28281" priority="4477">
      <formula>$A273="Neutral Section"</formula>
    </cfRule>
    <cfRule type="expression" dxfId="28280" priority="4478">
      <formula>$A273="Tunnel"</formula>
    </cfRule>
    <cfRule type="expression" dxfId="28279" priority="4479">
      <formula>$A273="Bridge"</formula>
    </cfRule>
    <cfRule type="expression" dxfId="28278" priority="4480">
      <formula>$A273="Drainage Works"</formula>
    </cfRule>
    <cfRule type="expression" dxfId="28277" priority="4481">
      <formula>$A273="Underpass"</formula>
    </cfRule>
    <cfRule type="expression" dxfId="28276" priority="4482">
      <formula>$A273="Overcrossing"</formula>
    </cfRule>
    <cfRule type="expression" dxfId="28275" priority="4483">
      <formula>$A273="Overpass"</formula>
    </cfRule>
    <cfRule type="expression" dxfId="28274" priority="4484">
      <formula>$A273="Station"</formula>
    </cfRule>
    <cfRule type="expression" dxfId="28273" priority="4485">
      <formula>$A273="Overlap between sections"</formula>
    </cfRule>
  </conditionalFormatting>
  <conditionalFormatting sqref="AX273">
    <cfRule type="expression" dxfId="28272" priority="4472">
      <formula>$M273="NON DEFINED"</formula>
    </cfRule>
    <cfRule type="expression" dxfId="28271" priority="4473">
      <formula>$AZ273="N.D."</formula>
    </cfRule>
    <cfRule type="expression" dxfId="28270" priority="4474">
      <formula>$AY273="N.D."</formula>
    </cfRule>
  </conditionalFormatting>
  <conditionalFormatting sqref="AX273">
    <cfRule type="expression" dxfId="28269" priority="4461">
      <formula>$A273="Overhead Cable"</formula>
    </cfRule>
    <cfRule type="expression" dxfId="28268" priority="4462">
      <formula>$A273="Level Crossing"</formula>
    </cfRule>
    <cfRule type="expression" dxfId="28267" priority="4463">
      <formula>$A273="Neutral Section"</formula>
    </cfRule>
    <cfRule type="expression" dxfId="28266" priority="4464">
      <formula>$A273="Tunnel"</formula>
    </cfRule>
    <cfRule type="expression" dxfId="28265" priority="4465">
      <formula>$A273="Bridge"</formula>
    </cfRule>
    <cfRule type="expression" dxfId="28264" priority="4466">
      <formula>$A273="Drainage Works"</formula>
    </cfRule>
    <cfRule type="expression" dxfId="28263" priority="4467">
      <formula>$A273="Underpass"</formula>
    </cfRule>
    <cfRule type="expression" dxfId="28262" priority="4468">
      <formula>$A273="Overcrossing"</formula>
    </cfRule>
    <cfRule type="expression" dxfId="28261" priority="4469">
      <formula>$A273="Overpass"</formula>
    </cfRule>
    <cfRule type="expression" dxfId="28260" priority="4470">
      <formula>$A273="Station"</formula>
    </cfRule>
    <cfRule type="expression" dxfId="28259" priority="4471">
      <formula>$A273="Overlap between sections"</formula>
    </cfRule>
  </conditionalFormatting>
  <conditionalFormatting sqref="AW275">
    <cfRule type="expression" dxfId="28258" priority="4458">
      <formula>$M275="NON DEFINED"</formula>
    </cfRule>
    <cfRule type="expression" dxfId="28257" priority="4459">
      <formula>$AZ275="N.D."</formula>
    </cfRule>
    <cfRule type="expression" dxfId="28256" priority="4460">
      <formula>$AY275="N.D."</formula>
    </cfRule>
  </conditionalFormatting>
  <conditionalFormatting sqref="AW275">
    <cfRule type="expression" dxfId="28255" priority="4447">
      <formula>$A275="Overhead Cable"</formula>
    </cfRule>
    <cfRule type="expression" dxfId="28254" priority="4448">
      <formula>$A275="Level Crossing"</formula>
    </cfRule>
    <cfRule type="expression" dxfId="28253" priority="4449">
      <formula>$A275="Neutral Section"</formula>
    </cfRule>
    <cfRule type="expression" dxfId="28252" priority="4450">
      <formula>$A275="Tunnel"</formula>
    </cfRule>
    <cfRule type="expression" dxfId="28251" priority="4451">
      <formula>$A275="Bridge"</formula>
    </cfRule>
    <cfRule type="expression" dxfId="28250" priority="4452">
      <formula>$A275="Drainage Works"</formula>
    </cfRule>
    <cfRule type="expression" dxfId="28249" priority="4453">
      <formula>$A275="Underpass"</formula>
    </cfRule>
    <cfRule type="expression" dxfId="28248" priority="4454">
      <formula>$A275="Overcrossing"</formula>
    </cfRule>
    <cfRule type="expression" dxfId="28247" priority="4455">
      <formula>$A275="Overpass"</formula>
    </cfRule>
    <cfRule type="expression" dxfId="28246" priority="4456">
      <formula>$A275="Station"</formula>
    </cfRule>
    <cfRule type="expression" dxfId="28245" priority="4457">
      <formula>$A275="Overlap between sections"</formula>
    </cfRule>
  </conditionalFormatting>
  <conditionalFormatting sqref="AX275">
    <cfRule type="expression" dxfId="28244" priority="4444">
      <formula>$M275="NON DEFINED"</formula>
    </cfRule>
    <cfRule type="expression" dxfId="28243" priority="4445">
      <formula>$AZ275="N.D."</formula>
    </cfRule>
    <cfRule type="expression" dxfId="28242" priority="4446">
      <formula>$AY275="N.D."</formula>
    </cfRule>
  </conditionalFormatting>
  <conditionalFormatting sqref="AX275">
    <cfRule type="expression" dxfId="28241" priority="4433">
      <formula>$A275="Overhead Cable"</formula>
    </cfRule>
    <cfRule type="expression" dxfId="28240" priority="4434">
      <formula>$A275="Level Crossing"</formula>
    </cfRule>
    <cfRule type="expression" dxfId="28239" priority="4435">
      <formula>$A275="Neutral Section"</formula>
    </cfRule>
    <cfRule type="expression" dxfId="28238" priority="4436">
      <formula>$A275="Tunnel"</formula>
    </cfRule>
    <cfRule type="expression" dxfId="28237" priority="4437">
      <formula>$A275="Bridge"</formula>
    </cfRule>
    <cfRule type="expression" dxfId="28236" priority="4438">
      <formula>$A275="Drainage Works"</formula>
    </cfRule>
    <cfRule type="expression" dxfId="28235" priority="4439">
      <formula>$A275="Underpass"</formula>
    </cfRule>
    <cfRule type="expression" dxfId="28234" priority="4440">
      <formula>$A275="Overcrossing"</formula>
    </cfRule>
    <cfRule type="expression" dxfId="28233" priority="4441">
      <formula>$A275="Overpass"</formula>
    </cfRule>
    <cfRule type="expression" dxfId="28232" priority="4442">
      <formula>$A275="Station"</formula>
    </cfRule>
    <cfRule type="expression" dxfId="28231" priority="4443">
      <formula>$A275="Overlap between sections"</formula>
    </cfRule>
  </conditionalFormatting>
  <conditionalFormatting sqref="AW277">
    <cfRule type="expression" dxfId="28230" priority="4430">
      <formula>$M277="NON DEFINED"</formula>
    </cfRule>
    <cfRule type="expression" dxfId="28229" priority="4431">
      <formula>$AZ277="N.D."</formula>
    </cfRule>
    <cfRule type="expression" dxfId="28228" priority="4432">
      <formula>$AY277="N.D."</formula>
    </cfRule>
  </conditionalFormatting>
  <conditionalFormatting sqref="AW277">
    <cfRule type="expression" dxfId="28227" priority="4419">
      <formula>$A277="Overhead Cable"</formula>
    </cfRule>
    <cfRule type="expression" dxfId="28226" priority="4420">
      <formula>$A277="Level Crossing"</formula>
    </cfRule>
    <cfRule type="expression" dxfId="28225" priority="4421">
      <formula>$A277="Neutral Section"</formula>
    </cfRule>
    <cfRule type="expression" dxfId="28224" priority="4422">
      <formula>$A277="Tunnel"</formula>
    </cfRule>
    <cfRule type="expression" dxfId="28223" priority="4423">
      <formula>$A277="Bridge"</formula>
    </cfRule>
    <cfRule type="expression" dxfId="28222" priority="4424">
      <formula>$A277="Drainage Works"</formula>
    </cfRule>
    <cfRule type="expression" dxfId="28221" priority="4425">
      <formula>$A277="Underpass"</formula>
    </cfRule>
    <cfRule type="expression" dxfId="28220" priority="4426">
      <formula>$A277="Overcrossing"</formula>
    </cfRule>
    <cfRule type="expression" dxfId="28219" priority="4427">
      <formula>$A277="Overpass"</formula>
    </cfRule>
    <cfRule type="expression" dxfId="28218" priority="4428">
      <formula>$A277="Station"</formula>
    </cfRule>
    <cfRule type="expression" dxfId="28217" priority="4429">
      <formula>$A277="Overlap between sections"</formula>
    </cfRule>
  </conditionalFormatting>
  <conditionalFormatting sqref="AX277">
    <cfRule type="expression" dxfId="28216" priority="4416">
      <formula>$M277="NON DEFINED"</formula>
    </cfRule>
    <cfRule type="expression" dxfId="28215" priority="4417">
      <formula>$AZ277="N.D."</formula>
    </cfRule>
    <cfRule type="expression" dxfId="28214" priority="4418">
      <formula>$AY277="N.D."</formula>
    </cfRule>
  </conditionalFormatting>
  <conditionalFormatting sqref="AX277">
    <cfRule type="expression" dxfId="28213" priority="4405">
      <formula>$A277="Overhead Cable"</formula>
    </cfRule>
    <cfRule type="expression" dxfId="28212" priority="4406">
      <formula>$A277="Level Crossing"</formula>
    </cfRule>
    <cfRule type="expression" dxfId="28211" priority="4407">
      <formula>$A277="Neutral Section"</formula>
    </cfRule>
    <cfRule type="expression" dxfId="28210" priority="4408">
      <formula>$A277="Tunnel"</formula>
    </cfRule>
    <cfRule type="expression" dxfId="28209" priority="4409">
      <formula>$A277="Bridge"</formula>
    </cfRule>
    <cfRule type="expression" dxfId="28208" priority="4410">
      <formula>$A277="Drainage Works"</formula>
    </cfRule>
    <cfRule type="expression" dxfId="28207" priority="4411">
      <formula>$A277="Underpass"</formula>
    </cfRule>
    <cfRule type="expression" dxfId="28206" priority="4412">
      <formula>$A277="Overcrossing"</formula>
    </cfRule>
    <cfRule type="expression" dxfId="28205" priority="4413">
      <formula>$A277="Overpass"</formula>
    </cfRule>
    <cfRule type="expression" dxfId="28204" priority="4414">
      <formula>$A277="Station"</formula>
    </cfRule>
    <cfRule type="expression" dxfId="28203" priority="4415">
      <formula>$A277="Overlap between sections"</formula>
    </cfRule>
  </conditionalFormatting>
  <conditionalFormatting sqref="AW279">
    <cfRule type="expression" dxfId="28202" priority="4402">
      <formula>$M279="NON DEFINED"</formula>
    </cfRule>
    <cfRule type="expression" dxfId="28201" priority="4403">
      <formula>$AZ279="N.D."</formula>
    </cfRule>
    <cfRule type="expression" dxfId="28200" priority="4404">
      <formula>$AY279="N.D."</formula>
    </cfRule>
  </conditionalFormatting>
  <conditionalFormatting sqref="AW279">
    <cfRule type="expression" dxfId="28199" priority="4391">
      <formula>$A279="Overhead Cable"</formula>
    </cfRule>
    <cfRule type="expression" dxfId="28198" priority="4392">
      <formula>$A279="Level Crossing"</formula>
    </cfRule>
    <cfRule type="expression" dxfId="28197" priority="4393">
      <formula>$A279="Neutral Section"</formula>
    </cfRule>
    <cfRule type="expression" dxfId="28196" priority="4394">
      <formula>$A279="Tunnel"</formula>
    </cfRule>
    <cfRule type="expression" dxfId="28195" priority="4395">
      <formula>$A279="Bridge"</formula>
    </cfRule>
    <cfRule type="expression" dxfId="28194" priority="4396">
      <formula>$A279="Drainage Works"</formula>
    </cfRule>
    <cfRule type="expression" dxfId="28193" priority="4397">
      <formula>$A279="Underpass"</formula>
    </cfRule>
    <cfRule type="expression" dxfId="28192" priority="4398">
      <formula>$A279="Overcrossing"</formula>
    </cfRule>
    <cfRule type="expression" dxfId="28191" priority="4399">
      <formula>$A279="Overpass"</formula>
    </cfRule>
    <cfRule type="expression" dxfId="28190" priority="4400">
      <formula>$A279="Station"</formula>
    </cfRule>
    <cfRule type="expression" dxfId="28189" priority="4401">
      <formula>$A279="Overlap between sections"</formula>
    </cfRule>
  </conditionalFormatting>
  <conditionalFormatting sqref="AX279">
    <cfRule type="expression" dxfId="28188" priority="4388">
      <formula>$M279="NON DEFINED"</formula>
    </cfRule>
    <cfRule type="expression" dxfId="28187" priority="4389">
      <formula>$AZ279="N.D."</formula>
    </cfRule>
    <cfRule type="expression" dxfId="28186" priority="4390">
      <formula>$AY279="N.D."</formula>
    </cfRule>
  </conditionalFormatting>
  <conditionalFormatting sqref="AX279">
    <cfRule type="expression" dxfId="28185" priority="4377">
      <formula>$A279="Overhead Cable"</formula>
    </cfRule>
    <cfRule type="expression" dxfId="28184" priority="4378">
      <formula>$A279="Level Crossing"</formula>
    </cfRule>
    <cfRule type="expression" dxfId="28183" priority="4379">
      <formula>$A279="Neutral Section"</formula>
    </cfRule>
    <cfRule type="expression" dxfId="28182" priority="4380">
      <formula>$A279="Tunnel"</formula>
    </cfRule>
    <cfRule type="expression" dxfId="28181" priority="4381">
      <formula>$A279="Bridge"</formula>
    </cfRule>
    <cfRule type="expression" dxfId="28180" priority="4382">
      <formula>$A279="Drainage Works"</formula>
    </cfRule>
    <cfRule type="expression" dxfId="28179" priority="4383">
      <formula>$A279="Underpass"</formula>
    </cfRule>
    <cfRule type="expression" dxfId="28178" priority="4384">
      <formula>$A279="Overcrossing"</formula>
    </cfRule>
    <cfRule type="expression" dxfId="28177" priority="4385">
      <formula>$A279="Overpass"</formula>
    </cfRule>
    <cfRule type="expression" dxfId="28176" priority="4386">
      <formula>$A279="Station"</formula>
    </cfRule>
    <cfRule type="expression" dxfId="28175" priority="4387">
      <formula>$A279="Overlap between sections"</formula>
    </cfRule>
  </conditionalFormatting>
  <conditionalFormatting sqref="AW281">
    <cfRule type="expression" dxfId="28174" priority="4374">
      <formula>$M281="NON DEFINED"</formula>
    </cfRule>
    <cfRule type="expression" dxfId="28173" priority="4375">
      <formula>$AZ281="N.D."</formula>
    </cfRule>
    <cfRule type="expression" dxfId="28172" priority="4376">
      <formula>$AY281="N.D."</formula>
    </cfRule>
  </conditionalFormatting>
  <conditionalFormatting sqref="AW281">
    <cfRule type="expression" dxfId="28171" priority="4363">
      <formula>$A281="Overhead Cable"</formula>
    </cfRule>
    <cfRule type="expression" dxfId="28170" priority="4364">
      <formula>$A281="Level Crossing"</formula>
    </cfRule>
    <cfRule type="expression" dxfId="28169" priority="4365">
      <formula>$A281="Neutral Section"</formula>
    </cfRule>
    <cfRule type="expression" dxfId="28168" priority="4366">
      <formula>$A281="Tunnel"</formula>
    </cfRule>
    <cfRule type="expression" dxfId="28167" priority="4367">
      <formula>$A281="Bridge"</formula>
    </cfRule>
    <cfRule type="expression" dxfId="28166" priority="4368">
      <formula>$A281="Drainage Works"</formula>
    </cfRule>
    <cfRule type="expression" dxfId="28165" priority="4369">
      <formula>$A281="Underpass"</formula>
    </cfRule>
    <cfRule type="expression" dxfId="28164" priority="4370">
      <formula>$A281="Overcrossing"</formula>
    </cfRule>
    <cfRule type="expression" dxfId="28163" priority="4371">
      <formula>$A281="Overpass"</formula>
    </cfRule>
    <cfRule type="expression" dxfId="28162" priority="4372">
      <formula>$A281="Station"</formula>
    </cfRule>
    <cfRule type="expression" dxfId="28161" priority="4373">
      <formula>$A281="Overlap between sections"</formula>
    </cfRule>
  </conditionalFormatting>
  <conditionalFormatting sqref="AX281">
    <cfRule type="expression" dxfId="28160" priority="4360">
      <formula>$M281="NON DEFINED"</formula>
    </cfRule>
    <cfRule type="expression" dxfId="28159" priority="4361">
      <formula>$AZ281="N.D."</formula>
    </cfRule>
    <cfRule type="expression" dxfId="28158" priority="4362">
      <formula>$AY281="N.D."</formula>
    </cfRule>
  </conditionalFormatting>
  <conditionalFormatting sqref="AX281">
    <cfRule type="expression" dxfId="28157" priority="4349">
      <formula>$A281="Overhead Cable"</formula>
    </cfRule>
    <cfRule type="expression" dxfId="28156" priority="4350">
      <formula>$A281="Level Crossing"</formula>
    </cfRule>
    <cfRule type="expression" dxfId="28155" priority="4351">
      <formula>$A281="Neutral Section"</formula>
    </cfRule>
    <cfRule type="expression" dxfId="28154" priority="4352">
      <formula>$A281="Tunnel"</formula>
    </cfRule>
    <cfRule type="expression" dxfId="28153" priority="4353">
      <formula>$A281="Bridge"</formula>
    </cfRule>
    <cfRule type="expression" dxfId="28152" priority="4354">
      <formula>$A281="Drainage Works"</formula>
    </cfRule>
    <cfRule type="expression" dxfId="28151" priority="4355">
      <formula>$A281="Underpass"</formula>
    </cfRule>
    <cfRule type="expression" dxfId="28150" priority="4356">
      <formula>$A281="Overcrossing"</formula>
    </cfRule>
    <cfRule type="expression" dxfId="28149" priority="4357">
      <formula>$A281="Overpass"</formula>
    </cfRule>
    <cfRule type="expression" dxfId="28148" priority="4358">
      <formula>$A281="Station"</formula>
    </cfRule>
    <cfRule type="expression" dxfId="28147" priority="4359">
      <formula>$A281="Overlap between sections"</formula>
    </cfRule>
  </conditionalFormatting>
  <conditionalFormatting sqref="AW283">
    <cfRule type="expression" dxfId="28146" priority="4346">
      <formula>$M283="NON DEFINED"</formula>
    </cfRule>
    <cfRule type="expression" dxfId="28145" priority="4347">
      <formula>$AZ283="N.D."</formula>
    </cfRule>
    <cfRule type="expression" dxfId="28144" priority="4348">
      <formula>$AY283="N.D."</formula>
    </cfRule>
  </conditionalFormatting>
  <conditionalFormatting sqref="AW283">
    <cfRule type="expression" dxfId="28143" priority="4335">
      <formula>$A283="Overhead Cable"</formula>
    </cfRule>
    <cfRule type="expression" dxfId="28142" priority="4336">
      <formula>$A283="Level Crossing"</formula>
    </cfRule>
    <cfRule type="expression" dxfId="28141" priority="4337">
      <formula>$A283="Neutral Section"</formula>
    </cfRule>
    <cfRule type="expression" dxfId="28140" priority="4338">
      <formula>$A283="Tunnel"</formula>
    </cfRule>
    <cfRule type="expression" dxfId="28139" priority="4339">
      <formula>$A283="Bridge"</formula>
    </cfRule>
    <cfRule type="expression" dxfId="28138" priority="4340">
      <formula>$A283="Drainage Works"</formula>
    </cfRule>
    <cfRule type="expression" dxfId="28137" priority="4341">
      <formula>$A283="Underpass"</formula>
    </cfRule>
    <cfRule type="expression" dxfId="28136" priority="4342">
      <formula>$A283="Overcrossing"</formula>
    </cfRule>
    <cfRule type="expression" dxfId="28135" priority="4343">
      <formula>$A283="Overpass"</formula>
    </cfRule>
    <cfRule type="expression" dxfId="28134" priority="4344">
      <formula>$A283="Station"</formula>
    </cfRule>
    <cfRule type="expression" dxfId="28133" priority="4345">
      <formula>$A283="Overlap between sections"</formula>
    </cfRule>
  </conditionalFormatting>
  <conditionalFormatting sqref="AX283">
    <cfRule type="expression" dxfId="28132" priority="4332">
      <formula>$M283="NON DEFINED"</formula>
    </cfRule>
    <cfRule type="expression" dxfId="28131" priority="4333">
      <formula>$AZ283="N.D."</formula>
    </cfRule>
    <cfRule type="expression" dxfId="28130" priority="4334">
      <formula>$AY283="N.D."</formula>
    </cfRule>
  </conditionalFormatting>
  <conditionalFormatting sqref="AX283">
    <cfRule type="expression" dxfId="28129" priority="4321">
      <formula>$A283="Overhead Cable"</formula>
    </cfRule>
    <cfRule type="expression" dxfId="28128" priority="4322">
      <formula>$A283="Level Crossing"</formula>
    </cfRule>
    <cfRule type="expression" dxfId="28127" priority="4323">
      <formula>$A283="Neutral Section"</formula>
    </cfRule>
    <cfRule type="expression" dxfId="28126" priority="4324">
      <formula>$A283="Tunnel"</formula>
    </cfRule>
    <cfRule type="expression" dxfId="28125" priority="4325">
      <formula>$A283="Bridge"</formula>
    </cfRule>
    <cfRule type="expression" dxfId="28124" priority="4326">
      <formula>$A283="Drainage Works"</formula>
    </cfRule>
    <cfRule type="expression" dxfId="28123" priority="4327">
      <formula>$A283="Underpass"</formula>
    </cfRule>
    <cfRule type="expression" dxfId="28122" priority="4328">
      <formula>$A283="Overcrossing"</formula>
    </cfRule>
    <cfRule type="expression" dxfId="28121" priority="4329">
      <formula>$A283="Overpass"</formula>
    </cfRule>
    <cfRule type="expression" dxfId="28120" priority="4330">
      <formula>$A283="Station"</formula>
    </cfRule>
    <cfRule type="expression" dxfId="28119" priority="4331">
      <formula>$A283="Overlap between sections"</formula>
    </cfRule>
  </conditionalFormatting>
  <conditionalFormatting sqref="AW285">
    <cfRule type="expression" dxfId="28118" priority="4318">
      <formula>$M285="NON DEFINED"</formula>
    </cfRule>
    <cfRule type="expression" dxfId="28117" priority="4319">
      <formula>$AZ285="N.D."</formula>
    </cfRule>
    <cfRule type="expression" dxfId="28116" priority="4320">
      <formula>$AY285="N.D."</formula>
    </cfRule>
  </conditionalFormatting>
  <conditionalFormatting sqref="AW285">
    <cfRule type="expression" dxfId="28115" priority="4307">
      <formula>$A285="Overhead Cable"</formula>
    </cfRule>
    <cfRule type="expression" dxfId="28114" priority="4308">
      <formula>$A285="Level Crossing"</formula>
    </cfRule>
    <cfRule type="expression" dxfId="28113" priority="4309">
      <formula>$A285="Neutral Section"</formula>
    </cfRule>
    <cfRule type="expression" dxfId="28112" priority="4310">
      <formula>$A285="Tunnel"</formula>
    </cfRule>
    <cfRule type="expression" dxfId="28111" priority="4311">
      <formula>$A285="Bridge"</formula>
    </cfRule>
    <cfRule type="expression" dxfId="28110" priority="4312">
      <formula>$A285="Drainage Works"</formula>
    </cfRule>
    <cfRule type="expression" dxfId="28109" priority="4313">
      <formula>$A285="Underpass"</formula>
    </cfRule>
    <cfRule type="expression" dxfId="28108" priority="4314">
      <formula>$A285="Overcrossing"</formula>
    </cfRule>
    <cfRule type="expression" dxfId="28107" priority="4315">
      <formula>$A285="Overpass"</formula>
    </cfRule>
    <cfRule type="expression" dxfId="28106" priority="4316">
      <formula>$A285="Station"</formula>
    </cfRule>
    <cfRule type="expression" dxfId="28105" priority="4317">
      <formula>$A285="Overlap between sections"</formula>
    </cfRule>
  </conditionalFormatting>
  <conditionalFormatting sqref="AX285">
    <cfRule type="expression" dxfId="28104" priority="4304">
      <formula>$M285="NON DEFINED"</formula>
    </cfRule>
    <cfRule type="expression" dxfId="28103" priority="4305">
      <formula>$AZ285="N.D."</formula>
    </cfRule>
    <cfRule type="expression" dxfId="28102" priority="4306">
      <formula>$AY285="N.D."</formula>
    </cfRule>
  </conditionalFormatting>
  <conditionalFormatting sqref="AX285">
    <cfRule type="expression" dxfId="28101" priority="4293">
      <formula>$A285="Overhead Cable"</formula>
    </cfRule>
    <cfRule type="expression" dxfId="28100" priority="4294">
      <formula>$A285="Level Crossing"</formula>
    </cfRule>
    <cfRule type="expression" dxfId="28099" priority="4295">
      <formula>$A285="Neutral Section"</formula>
    </cfRule>
    <cfRule type="expression" dxfId="28098" priority="4296">
      <formula>$A285="Tunnel"</formula>
    </cfRule>
    <cfRule type="expression" dxfId="28097" priority="4297">
      <formula>$A285="Bridge"</formula>
    </cfRule>
    <cfRule type="expression" dxfId="28096" priority="4298">
      <formula>$A285="Drainage Works"</formula>
    </cfRule>
    <cfRule type="expression" dxfId="28095" priority="4299">
      <formula>$A285="Underpass"</formula>
    </cfRule>
    <cfRule type="expression" dxfId="28094" priority="4300">
      <formula>$A285="Overcrossing"</formula>
    </cfRule>
    <cfRule type="expression" dxfId="28093" priority="4301">
      <formula>$A285="Overpass"</formula>
    </cfRule>
    <cfRule type="expression" dxfId="28092" priority="4302">
      <formula>$A285="Station"</formula>
    </cfRule>
    <cfRule type="expression" dxfId="28091" priority="4303">
      <formula>$A285="Overlap between sections"</formula>
    </cfRule>
  </conditionalFormatting>
  <conditionalFormatting sqref="AW287">
    <cfRule type="expression" dxfId="28090" priority="4290">
      <formula>$M287="NON DEFINED"</formula>
    </cfRule>
    <cfRule type="expression" dxfId="28089" priority="4291">
      <formula>$AZ287="N.D."</formula>
    </cfRule>
    <cfRule type="expression" dxfId="28088" priority="4292">
      <formula>$AY287="N.D."</formula>
    </cfRule>
  </conditionalFormatting>
  <conditionalFormatting sqref="AW287">
    <cfRule type="expression" dxfId="28087" priority="4279">
      <formula>$A287="Overhead Cable"</formula>
    </cfRule>
    <cfRule type="expression" dxfId="28086" priority="4280">
      <formula>$A287="Level Crossing"</formula>
    </cfRule>
    <cfRule type="expression" dxfId="28085" priority="4281">
      <formula>$A287="Neutral Section"</formula>
    </cfRule>
    <cfRule type="expression" dxfId="28084" priority="4282">
      <formula>$A287="Tunnel"</formula>
    </cfRule>
    <cfRule type="expression" dxfId="28083" priority="4283">
      <formula>$A287="Bridge"</formula>
    </cfRule>
    <cfRule type="expression" dxfId="28082" priority="4284">
      <formula>$A287="Drainage Works"</formula>
    </cfRule>
    <cfRule type="expression" dxfId="28081" priority="4285">
      <formula>$A287="Underpass"</formula>
    </cfRule>
    <cfRule type="expression" dxfId="28080" priority="4286">
      <formula>$A287="Overcrossing"</formula>
    </cfRule>
    <cfRule type="expression" dxfId="28079" priority="4287">
      <formula>$A287="Overpass"</formula>
    </cfRule>
    <cfRule type="expression" dxfId="28078" priority="4288">
      <formula>$A287="Station"</formula>
    </cfRule>
    <cfRule type="expression" dxfId="28077" priority="4289">
      <formula>$A287="Overlap between sections"</formula>
    </cfRule>
  </conditionalFormatting>
  <conditionalFormatting sqref="AX287">
    <cfRule type="expression" dxfId="28076" priority="4276">
      <formula>$M287="NON DEFINED"</formula>
    </cfRule>
    <cfRule type="expression" dxfId="28075" priority="4277">
      <formula>$AZ287="N.D."</formula>
    </cfRule>
    <cfRule type="expression" dxfId="28074" priority="4278">
      <formula>$AY287="N.D."</formula>
    </cfRule>
  </conditionalFormatting>
  <conditionalFormatting sqref="AX287">
    <cfRule type="expression" dxfId="28073" priority="4265">
      <formula>$A287="Overhead Cable"</formula>
    </cfRule>
    <cfRule type="expression" dxfId="28072" priority="4266">
      <formula>$A287="Level Crossing"</formula>
    </cfRule>
    <cfRule type="expression" dxfId="28071" priority="4267">
      <formula>$A287="Neutral Section"</formula>
    </cfRule>
    <cfRule type="expression" dxfId="28070" priority="4268">
      <formula>$A287="Tunnel"</formula>
    </cfRule>
    <cfRule type="expression" dxfId="28069" priority="4269">
      <formula>$A287="Bridge"</formula>
    </cfRule>
    <cfRule type="expression" dxfId="28068" priority="4270">
      <formula>$A287="Drainage Works"</formula>
    </cfRule>
    <cfRule type="expression" dxfId="28067" priority="4271">
      <formula>$A287="Underpass"</formula>
    </cfRule>
    <cfRule type="expression" dxfId="28066" priority="4272">
      <formula>$A287="Overcrossing"</formula>
    </cfRule>
    <cfRule type="expression" dxfId="28065" priority="4273">
      <formula>$A287="Overpass"</formula>
    </cfRule>
    <cfRule type="expression" dxfId="28064" priority="4274">
      <formula>$A287="Station"</formula>
    </cfRule>
    <cfRule type="expression" dxfId="28063" priority="4275">
      <formula>$A287="Overlap between sections"</formula>
    </cfRule>
  </conditionalFormatting>
  <conditionalFormatting sqref="AW289">
    <cfRule type="expression" dxfId="28062" priority="4262">
      <formula>$M289="NON DEFINED"</formula>
    </cfRule>
    <cfRule type="expression" dxfId="28061" priority="4263">
      <formula>$AZ289="N.D."</formula>
    </cfRule>
    <cfRule type="expression" dxfId="28060" priority="4264">
      <formula>$AY289="N.D."</formula>
    </cfRule>
  </conditionalFormatting>
  <conditionalFormatting sqref="AW289">
    <cfRule type="expression" dxfId="28059" priority="4251">
      <formula>$A289="Overhead Cable"</formula>
    </cfRule>
    <cfRule type="expression" dxfId="28058" priority="4252">
      <formula>$A289="Level Crossing"</formula>
    </cfRule>
    <cfRule type="expression" dxfId="28057" priority="4253">
      <formula>$A289="Neutral Section"</formula>
    </cfRule>
    <cfRule type="expression" dxfId="28056" priority="4254">
      <formula>$A289="Tunnel"</formula>
    </cfRule>
    <cfRule type="expression" dxfId="28055" priority="4255">
      <formula>$A289="Bridge"</formula>
    </cfRule>
    <cfRule type="expression" dxfId="28054" priority="4256">
      <formula>$A289="Drainage Works"</formula>
    </cfRule>
    <cfRule type="expression" dxfId="28053" priority="4257">
      <formula>$A289="Underpass"</formula>
    </cfRule>
    <cfRule type="expression" dxfId="28052" priority="4258">
      <formula>$A289="Overcrossing"</formula>
    </cfRule>
    <cfRule type="expression" dxfId="28051" priority="4259">
      <formula>$A289="Overpass"</formula>
    </cfRule>
    <cfRule type="expression" dxfId="28050" priority="4260">
      <formula>$A289="Station"</formula>
    </cfRule>
    <cfRule type="expression" dxfId="28049" priority="4261">
      <formula>$A289="Overlap between sections"</formula>
    </cfRule>
  </conditionalFormatting>
  <conditionalFormatting sqref="AX289">
    <cfRule type="expression" dxfId="28048" priority="4248">
      <formula>$M289="NON DEFINED"</formula>
    </cfRule>
    <cfRule type="expression" dxfId="28047" priority="4249">
      <formula>$AZ289="N.D."</formula>
    </cfRule>
    <cfRule type="expression" dxfId="28046" priority="4250">
      <formula>$AY289="N.D."</formula>
    </cfRule>
  </conditionalFormatting>
  <conditionalFormatting sqref="AX289">
    <cfRule type="expression" dxfId="28045" priority="4237">
      <formula>$A289="Overhead Cable"</formula>
    </cfRule>
    <cfRule type="expression" dxfId="28044" priority="4238">
      <formula>$A289="Level Crossing"</formula>
    </cfRule>
    <cfRule type="expression" dxfId="28043" priority="4239">
      <formula>$A289="Neutral Section"</formula>
    </cfRule>
    <cfRule type="expression" dxfId="28042" priority="4240">
      <formula>$A289="Tunnel"</formula>
    </cfRule>
    <cfRule type="expression" dxfId="28041" priority="4241">
      <formula>$A289="Bridge"</formula>
    </cfRule>
    <cfRule type="expression" dxfId="28040" priority="4242">
      <formula>$A289="Drainage Works"</formula>
    </cfRule>
    <cfRule type="expression" dxfId="28039" priority="4243">
      <formula>$A289="Underpass"</formula>
    </cfRule>
    <cfRule type="expression" dxfId="28038" priority="4244">
      <formula>$A289="Overcrossing"</formula>
    </cfRule>
    <cfRule type="expression" dxfId="28037" priority="4245">
      <formula>$A289="Overpass"</formula>
    </cfRule>
    <cfRule type="expression" dxfId="28036" priority="4246">
      <formula>$A289="Station"</formula>
    </cfRule>
    <cfRule type="expression" dxfId="28035" priority="4247">
      <formula>$A289="Overlap between sections"</formula>
    </cfRule>
  </conditionalFormatting>
  <conditionalFormatting sqref="AW291">
    <cfRule type="expression" dxfId="28034" priority="4234">
      <formula>$M291="NON DEFINED"</formula>
    </cfRule>
    <cfRule type="expression" dxfId="28033" priority="4235">
      <formula>$AZ291="N.D."</formula>
    </cfRule>
    <cfRule type="expression" dxfId="28032" priority="4236">
      <formula>$AY291="N.D."</formula>
    </cfRule>
  </conditionalFormatting>
  <conditionalFormatting sqref="AW291">
    <cfRule type="expression" dxfId="28031" priority="4223">
      <formula>$A291="Overhead Cable"</formula>
    </cfRule>
    <cfRule type="expression" dxfId="28030" priority="4224">
      <formula>$A291="Level Crossing"</formula>
    </cfRule>
    <cfRule type="expression" dxfId="28029" priority="4225">
      <formula>$A291="Neutral Section"</formula>
    </cfRule>
    <cfRule type="expression" dxfId="28028" priority="4226">
      <formula>$A291="Tunnel"</formula>
    </cfRule>
    <cfRule type="expression" dxfId="28027" priority="4227">
      <formula>$A291="Bridge"</formula>
    </cfRule>
    <cfRule type="expression" dxfId="28026" priority="4228">
      <formula>$A291="Drainage Works"</formula>
    </cfRule>
    <cfRule type="expression" dxfId="28025" priority="4229">
      <formula>$A291="Underpass"</formula>
    </cfRule>
    <cfRule type="expression" dxfId="28024" priority="4230">
      <formula>$A291="Overcrossing"</formula>
    </cfRule>
    <cfRule type="expression" dxfId="28023" priority="4231">
      <formula>$A291="Overpass"</formula>
    </cfRule>
    <cfRule type="expression" dxfId="28022" priority="4232">
      <formula>$A291="Station"</formula>
    </cfRule>
    <cfRule type="expression" dxfId="28021" priority="4233">
      <formula>$A291="Overlap between sections"</formula>
    </cfRule>
  </conditionalFormatting>
  <conditionalFormatting sqref="AX291">
    <cfRule type="expression" dxfId="28020" priority="4220">
      <formula>$M291="NON DEFINED"</formula>
    </cfRule>
    <cfRule type="expression" dxfId="28019" priority="4221">
      <formula>$AZ291="N.D."</formula>
    </cfRule>
    <cfRule type="expression" dxfId="28018" priority="4222">
      <formula>$AY291="N.D."</formula>
    </cfRule>
  </conditionalFormatting>
  <conditionalFormatting sqref="AX291">
    <cfRule type="expression" dxfId="28017" priority="4209">
      <formula>$A291="Overhead Cable"</formula>
    </cfRule>
    <cfRule type="expression" dxfId="28016" priority="4210">
      <formula>$A291="Level Crossing"</formula>
    </cfRule>
    <cfRule type="expression" dxfId="28015" priority="4211">
      <formula>$A291="Neutral Section"</formula>
    </cfRule>
    <cfRule type="expression" dxfId="28014" priority="4212">
      <formula>$A291="Tunnel"</formula>
    </cfRule>
    <cfRule type="expression" dxfId="28013" priority="4213">
      <formula>$A291="Bridge"</formula>
    </cfRule>
    <cfRule type="expression" dxfId="28012" priority="4214">
      <formula>$A291="Drainage Works"</formula>
    </cfRule>
    <cfRule type="expression" dxfId="28011" priority="4215">
      <formula>$A291="Underpass"</formula>
    </cfRule>
    <cfRule type="expression" dxfId="28010" priority="4216">
      <formula>$A291="Overcrossing"</formula>
    </cfRule>
    <cfRule type="expression" dxfId="28009" priority="4217">
      <formula>$A291="Overpass"</formula>
    </cfRule>
    <cfRule type="expression" dxfId="28008" priority="4218">
      <formula>$A291="Station"</formula>
    </cfRule>
    <cfRule type="expression" dxfId="28007" priority="4219">
      <formula>$A291="Overlap between sections"</formula>
    </cfRule>
  </conditionalFormatting>
  <conditionalFormatting sqref="AW293">
    <cfRule type="expression" dxfId="28006" priority="4206">
      <formula>$M293="NON DEFINED"</formula>
    </cfRule>
    <cfRule type="expression" dxfId="28005" priority="4207">
      <formula>$AZ293="N.D."</formula>
    </cfRule>
    <cfRule type="expression" dxfId="28004" priority="4208">
      <formula>$AY293="N.D."</formula>
    </cfRule>
  </conditionalFormatting>
  <conditionalFormatting sqref="AW293">
    <cfRule type="expression" dxfId="28003" priority="4195">
      <formula>$A293="Overhead Cable"</formula>
    </cfRule>
    <cfRule type="expression" dxfId="28002" priority="4196">
      <formula>$A293="Level Crossing"</formula>
    </cfRule>
    <cfRule type="expression" dxfId="28001" priority="4197">
      <formula>$A293="Neutral Section"</formula>
    </cfRule>
    <cfRule type="expression" dxfId="28000" priority="4198">
      <formula>$A293="Tunnel"</formula>
    </cfRule>
    <cfRule type="expression" dxfId="27999" priority="4199">
      <formula>$A293="Bridge"</formula>
    </cfRule>
    <cfRule type="expression" dxfId="27998" priority="4200">
      <formula>$A293="Drainage Works"</formula>
    </cfRule>
    <cfRule type="expression" dxfId="27997" priority="4201">
      <formula>$A293="Underpass"</formula>
    </cfRule>
    <cfRule type="expression" dxfId="27996" priority="4202">
      <formula>$A293="Overcrossing"</formula>
    </cfRule>
    <cfRule type="expression" dxfId="27995" priority="4203">
      <formula>$A293="Overpass"</formula>
    </cfRule>
    <cfRule type="expression" dxfId="27994" priority="4204">
      <formula>$A293="Station"</formula>
    </cfRule>
    <cfRule type="expression" dxfId="27993" priority="4205">
      <formula>$A293="Overlap between sections"</formula>
    </cfRule>
  </conditionalFormatting>
  <conditionalFormatting sqref="AX293">
    <cfRule type="expression" dxfId="27992" priority="4192">
      <formula>$M293="NON DEFINED"</formula>
    </cfRule>
    <cfRule type="expression" dxfId="27991" priority="4193">
      <formula>$AZ293="N.D."</formula>
    </cfRule>
    <cfRule type="expression" dxfId="27990" priority="4194">
      <formula>$AY293="N.D."</formula>
    </cfRule>
  </conditionalFormatting>
  <conditionalFormatting sqref="AX293">
    <cfRule type="expression" dxfId="27989" priority="4181">
      <formula>$A293="Overhead Cable"</formula>
    </cfRule>
    <cfRule type="expression" dxfId="27988" priority="4182">
      <formula>$A293="Level Crossing"</formula>
    </cfRule>
    <cfRule type="expression" dxfId="27987" priority="4183">
      <formula>$A293="Neutral Section"</formula>
    </cfRule>
    <cfRule type="expression" dxfId="27986" priority="4184">
      <formula>$A293="Tunnel"</formula>
    </cfRule>
    <cfRule type="expression" dxfId="27985" priority="4185">
      <formula>$A293="Bridge"</formula>
    </cfRule>
    <cfRule type="expression" dxfId="27984" priority="4186">
      <formula>$A293="Drainage Works"</formula>
    </cfRule>
    <cfRule type="expression" dxfId="27983" priority="4187">
      <formula>$A293="Underpass"</formula>
    </cfRule>
    <cfRule type="expression" dxfId="27982" priority="4188">
      <formula>$A293="Overcrossing"</formula>
    </cfRule>
    <cfRule type="expression" dxfId="27981" priority="4189">
      <formula>$A293="Overpass"</formula>
    </cfRule>
    <cfRule type="expression" dxfId="27980" priority="4190">
      <formula>$A293="Station"</formula>
    </cfRule>
    <cfRule type="expression" dxfId="27979" priority="4191">
      <formula>$A293="Overlap between sections"</formula>
    </cfRule>
  </conditionalFormatting>
  <conditionalFormatting sqref="AW295">
    <cfRule type="expression" dxfId="27978" priority="4178">
      <formula>$M295="NON DEFINED"</formula>
    </cfRule>
    <cfRule type="expression" dxfId="27977" priority="4179">
      <formula>$AZ295="N.D."</formula>
    </cfRule>
    <cfRule type="expression" dxfId="27976" priority="4180">
      <formula>$AY295="N.D."</formula>
    </cfRule>
  </conditionalFormatting>
  <conditionalFormatting sqref="AW295">
    <cfRule type="expression" dxfId="27975" priority="4167">
      <formula>$A295="Overhead Cable"</formula>
    </cfRule>
    <cfRule type="expression" dxfId="27974" priority="4168">
      <formula>$A295="Level Crossing"</formula>
    </cfRule>
    <cfRule type="expression" dxfId="27973" priority="4169">
      <formula>$A295="Neutral Section"</formula>
    </cfRule>
    <cfRule type="expression" dxfId="27972" priority="4170">
      <formula>$A295="Tunnel"</formula>
    </cfRule>
    <cfRule type="expression" dxfId="27971" priority="4171">
      <formula>$A295="Bridge"</formula>
    </cfRule>
    <cfRule type="expression" dxfId="27970" priority="4172">
      <formula>$A295="Drainage Works"</formula>
    </cfRule>
    <cfRule type="expression" dxfId="27969" priority="4173">
      <formula>$A295="Underpass"</formula>
    </cfRule>
    <cfRule type="expression" dxfId="27968" priority="4174">
      <formula>$A295="Overcrossing"</formula>
    </cfRule>
    <cfRule type="expression" dxfId="27967" priority="4175">
      <formula>$A295="Overpass"</formula>
    </cfRule>
    <cfRule type="expression" dxfId="27966" priority="4176">
      <formula>$A295="Station"</formula>
    </cfRule>
    <cfRule type="expression" dxfId="27965" priority="4177">
      <formula>$A295="Overlap between sections"</formula>
    </cfRule>
  </conditionalFormatting>
  <conditionalFormatting sqref="AX295">
    <cfRule type="expression" dxfId="27964" priority="4164">
      <formula>$M295="NON DEFINED"</formula>
    </cfRule>
    <cfRule type="expression" dxfId="27963" priority="4165">
      <formula>$AZ295="N.D."</formula>
    </cfRule>
    <cfRule type="expression" dxfId="27962" priority="4166">
      <formula>$AY295="N.D."</formula>
    </cfRule>
  </conditionalFormatting>
  <conditionalFormatting sqref="AX295">
    <cfRule type="expression" dxfId="27961" priority="4153">
      <formula>$A295="Overhead Cable"</formula>
    </cfRule>
    <cfRule type="expression" dxfId="27960" priority="4154">
      <formula>$A295="Level Crossing"</formula>
    </cfRule>
    <cfRule type="expression" dxfId="27959" priority="4155">
      <formula>$A295="Neutral Section"</formula>
    </cfRule>
    <cfRule type="expression" dxfId="27958" priority="4156">
      <formula>$A295="Tunnel"</formula>
    </cfRule>
    <cfRule type="expression" dxfId="27957" priority="4157">
      <formula>$A295="Bridge"</formula>
    </cfRule>
    <cfRule type="expression" dxfId="27956" priority="4158">
      <formula>$A295="Drainage Works"</formula>
    </cfRule>
    <cfRule type="expression" dxfId="27955" priority="4159">
      <formula>$A295="Underpass"</formula>
    </cfRule>
    <cfRule type="expression" dxfId="27954" priority="4160">
      <formula>$A295="Overcrossing"</formula>
    </cfRule>
    <cfRule type="expression" dxfId="27953" priority="4161">
      <formula>$A295="Overpass"</formula>
    </cfRule>
    <cfRule type="expression" dxfId="27952" priority="4162">
      <formula>$A295="Station"</formula>
    </cfRule>
    <cfRule type="expression" dxfId="27951" priority="4163">
      <formula>$A295="Overlap between sections"</formula>
    </cfRule>
  </conditionalFormatting>
  <conditionalFormatting sqref="AW297">
    <cfRule type="expression" dxfId="27950" priority="4150">
      <formula>$M297="NON DEFINED"</formula>
    </cfRule>
    <cfRule type="expression" dxfId="27949" priority="4151">
      <formula>$AZ297="N.D."</formula>
    </cfRule>
    <cfRule type="expression" dxfId="27948" priority="4152">
      <formula>$AY297="N.D."</formula>
    </cfRule>
  </conditionalFormatting>
  <conditionalFormatting sqref="AW297">
    <cfRule type="expression" dxfId="27947" priority="4139">
      <formula>$A297="Overhead Cable"</formula>
    </cfRule>
    <cfRule type="expression" dxfId="27946" priority="4140">
      <formula>$A297="Level Crossing"</formula>
    </cfRule>
    <cfRule type="expression" dxfId="27945" priority="4141">
      <formula>$A297="Neutral Section"</formula>
    </cfRule>
    <cfRule type="expression" dxfId="27944" priority="4142">
      <formula>$A297="Tunnel"</formula>
    </cfRule>
    <cfRule type="expression" dxfId="27943" priority="4143">
      <formula>$A297="Bridge"</formula>
    </cfRule>
    <cfRule type="expression" dxfId="27942" priority="4144">
      <formula>$A297="Drainage Works"</formula>
    </cfRule>
    <cfRule type="expression" dxfId="27941" priority="4145">
      <formula>$A297="Underpass"</formula>
    </cfRule>
    <cfRule type="expression" dxfId="27940" priority="4146">
      <formula>$A297="Overcrossing"</formula>
    </cfRule>
    <cfRule type="expression" dxfId="27939" priority="4147">
      <formula>$A297="Overpass"</formula>
    </cfRule>
    <cfRule type="expression" dxfId="27938" priority="4148">
      <formula>$A297="Station"</formula>
    </cfRule>
    <cfRule type="expression" dxfId="27937" priority="4149">
      <formula>$A297="Overlap between sections"</formula>
    </cfRule>
  </conditionalFormatting>
  <conditionalFormatting sqref="AX297">
    <cfRule type="expression" dxfId="27936" priority="4136">
      <formula>$M297="NON DEFINED"</formula>
    </cfRule>
    <cfRule type="expression" dxfId="27935" priority="4137">
      <formula>$AZ297="N.D."</formula>
    </cfRule>
    <cfRule type="expression" dxfId="27934" priority="4138">
      <formula>$AY297="N.D."</formula>
    </cfRule>
  </conditionalFormatting>
  <conditionalFormatting sqref="AX297">
    <cfRule type="expression" dxfId="27933" priority="4125">
      <formula>$A297="Overhead Cable"</formula>
    </cfRule>
    <cfRule type="expression" dxfId="27932" priority="4126">
      <formula>$A297="Level Crossing"</formula>
    </cfRule>
    <cfRule type="expression" dxfId="27931" priority="4127">
      <formula>$A297="Neutral Section"</formula>
    </cfRule>
    <cfRule type="expression" dxfId="27930" priority="4128">
      <formula>$A297="Tunnel"</formula>
    </cfRule>
    <cfRule type="expression" dxfId="27929" priority="4129">
      <formula>$A297="Bridge"</formula>
    </cfRule>
    <cfRule type="expression" dxfId="27928" priority="4130">
      <formula>$A297="Drainage Works"</formula>
    </cfRule>
    <cfRule type="expression" dxfId="27927" priority="4131">
      <formula>$A297="Underpass"</formula>
    </cfRule>
    <cfRule type="expression" dxfId="27926" priority="4132">
      <formula>$A297="Overcrossing"</formula>
    </cfRule>
    <cfRule type="expression" dxfId="27925" priority="4133">
      <formula>$A297="Overpass"</formula>
    </cfRule>
    <cfRule type="expression" dxfId="27924" priority="4134">
      <formula>$A297="Station"</formula>
    </cfRule>
    <cfRule type="expression" dxfId="27923" priority="4135">
      <formula>$A297="Overlap between sections"</formula>
    </cfRule>
  </conditionalFormatting>
  <conditionalFormatting sqref="AW299">
    <cfRule type="expression" dxfId="27922" priority="4122">
      <formula>$M299="NON DEFINED"</formula>
    </cfRule>
    <cfRule type="expression" dxfId="27921" priority="4123">
      <formula>$AZ299="N.D."</formula>
    </cfRule>
    <cfRule type="expression" dxfId="27920" priority="4124">
      <formula>$AY299="N.D."</formula>
    </cfRule>
  </conditionalFormatting>
  <conditionalFormatting sqref="AW299">
    <cfRule type="expression" dxfId="27919" priority="4111">
      <formula>$A299="Overhead Cable"</formula>
    </cfRule>
    <cfRule type="expression" dxfId="27918" priority="4112">
      <formula>$A299="Level Crossing"</formula>
    </cfRule>
    <cfRule type="expression" dxfId="27917" priority="4113">
      <formula>$A299="Neutral Section"</formula>
    </cfRule>
    <cfRule type="expression" dxfId="27916" priority="4114">
      <formula>$A299="Tunnel"</formula>
    </cfRule>
    <cfRule type="expression" dxfId="27915" priority="4115">
      <formula>$A299="Bridge"</formula>
    </cfRule>
    <cfRule type="expression" dxfId="27914" priority="4116">
      <formula>$A299="Drainage Works"</formula>
    </cfRule>
    <cfRule type="expression" dxfId="27913" priority="4117">
      <formula>$A299="Underpass"</formula>
    </cfRule>
    <cfRule type="expression" dxfId="27912" priority="4118">
      <formula>$A299="Overcrossing"</formula>
    </cfRule>
    <cfRule type="expression" dxfId="27911" priority="4119">
      <formula>$A299="Overpass"</formula>
    </cfRule>
    <cfRule type="expression" dxfId="27910" priority="4120">
      <formula>$A299="Station"</formula>
    </cfRule>
    <cfRule type="expression" dxfId="27909" priority="4121">
      <formula>$A299="Overlap between sections"</formula>
    </cfRule>
  </conditionalFormatting>
  <conditionalFormatting sqref="AX299">
    <cfRule type="expression" dxfId="27908" priority="4108">
      <formula>$M299="NON DEFINED"</formula>
    </cfRule>
    <cfRule type="expression" dxfId="27907" priority="4109">
      <formula>$AZ299="N.D."</formula>
    </cfRule>
    <cfRule type="expression" dxfId="27906" priority="4110">
      <formula>$AY299="N.D."</formula>
    </cfRule>
  </conditionalFormatting>
  <conditionalFormatting sqref="AX299">
    <cfRule type="expression" dxfId="27905" priority="4097">
      <formula>$A299="Overhead Cable"</formula>
    </cfRule>
    <cfRule type="expression" dxfId="27904" priority="4098">
      <formula>$A299="Level Crossing"</formula>
    </cfRule>
    <cfRule type="expression" dxfId="27903" priority="4099">
      <formula>$A299="Neutral Section"</formula>
    </cfRule>
    <cfRule type="expression" dxfId="27902" priority="4100">
      <formula>$A299="Tunnel"</formula>
    </cfRule>
    <cfRule type="expression" dxfId="27901" priority="4101">
      <formula>$A299="Bridge"</formula>
    </cfRule>
    <cfRule type="expression" dxfId="27900" priority="4102">
      <formula>$A299="Drainage Works"</formula>
    </cfRule>
    <cfRule type="expression" dxfId="27899" priority="4103">
      <formula>$A299="Underpass"</formula>
    </cfRule>
    <cfRule type="expression" dxfId="27898" priority="4104">
      <formula>$A299="Overcrossing"</formula>
    </cfRule>
    <cfRule type="expression" dxfId="27897" priority="4105">
      <formula>$A299="Overpass"</formula>
    </cfRule>
    <cfRule type="expression" dxfId="27896" priority="4106">
      <formula>$A299="Station"</formula>
    </cfRule>
    <cfRule type="expression" dxfId="27895" priority="4107">
      <formula>$A299="Overlap between sections"</formula>
    </cfRule>
  </conditionalFormatting>
  <conditionalFormatting sqref="AW301">
    <cfRule type="expression" dxfId="27894" priority="4094">
      <formula>$M301="NON DEFINED"</formula>
    </cfRule>
    <cfRule type="expression" dxfId="27893" priority="4095">
      <formula>$AZ301="N.D."</formula>
    </cfRule>
    <cfRule type="expression" dxfId="27892" priority="4096">
      <formula>$AY301="N.D."</formula>
    </cfRule>
  </conditionalFormatting>
  <conditionalFormatting sqref="AW301">
    <cfRule type="expression" dxfId="27891" priority="4083">
      <formula>$A301="Overhead Cable"</formula>
    </cfRule>
    <cfRule type="expression" dxfId="27890" priority="4084">
      <formula>$A301="Level Crossing"</formula>
    </cfRule>
    <cfRule type="expression" dxfId="27889" priority="4085">
      <formula>$A301="Neutral Section"</formula>
    </cfRule>
    <cfRule type="expression" dxfId="27888" priority="4086">
      <formula>$A301="Tunnel"</formula>
    </cfRule>
    <cfRule type="expression" dxfId="27887" priority="4087">
      <formula>$A301="Bridge"</formula>
    </cfRule>
    <cfRule type="expression" dxfId="27886" priority="4088">
      <formula>$A301="Drainage Works"</formula>
    </cfRule>
    <cfRule type="expression" dxfId="27885" priority="4089">
      <formula>$A301="Underpass"</formula>
    </cfRule>
    <cfRule type="expression" dxfId="27884" priority="4090">
      <formula>$A301="Overcrossing"</formula>
    </cfRule>
    <cfRule type="expression" dxfId="27883" priority="4091">
      <formula>$A301="Overpass"</formula>
    </cfRule>
    <cfRule type="expression" dxfId="27882" priority="4092">
      <formula>$A301="Station"</formula>
    </cfRule>
    <cfRule type="expression" dxfId="27881" priority="4093">
      <formula>$A301="Overlap between sections"</formula>
    </cfRule>
  </conditionalFormatting>
  <conditionalFormatting sqref="AX301">
    <cfRule type="expression" dxfId="27880" priority="4080">
      <formula>$M301="NON DEFINED"</formula>
    </cfRule>
    <cfRule type="expression" dxfId="27879" priority="4081">
      <formula>$AZ301="N.D."</formula>
    </cfRule>
    <cfRule type="expression" dxfId="27878" priority="4082">
      <formula>$AY301="N.D."</formula>
    </cfRule>
  </conditionalFormatting>
  <conditionalFormatting sqref="AX301">
    <cfRule type="expression" dxfId="27877" priority="4069">
      <formula>$A301="Overhead Cable"</formula>
    </cfRule>
    <cfRule type="expression" dxfId="27876" priority="4070">
      <formula>$A301="Level Crossing"</formula>
    </cfRule>
    <cfRule type="expression" dxfId="27875" priority="4071">
      <formula>$A301="Neutral Section"</formula>
    </cfRule>
    <cfRule type="expression" dxfId="27874" priority="4072">
      <formula>$A301="Tunnel"</formula>
    </cfRule>
    <cfRule type="expression" dxfId="27873" priority="4073">
      <formula>$A301="Bridge"</formula>
    </cfRule>
    <cfRule type="expression" dxfId="27872" priority="4074">
      <formula>$A301="Drainage Works"</formula>
    </cfRule>
    <cfRule type="expression" dxfId="27871" priority="4075">
      <formula>$A301="Underpass"</formula>
    </cfRule>
    <cfRule type="expression" dxfId="27870" priority="4076">
      <formula>$A301="Overcrossing"</formula>
    </cfRule>
    <cfRule type="expression" dxfId="27869" priority="4077">
      <formula>$A301="Overpass"</formula>
    </cfRule>
    <cfRule type="expression" dxfId="27868" priority="4078">
      <formula>$A301="Station"</formula>
    </cfRule>
    <cfRule type="expression" dxfId="27867" priority="4079">
      <formula>$A301="Overlap between sections"</formula>
    </cfRule>
  </conditionalFormatting>
  <conditionalFormatting sqref="AW303">
    <cfRule type="expression" dxfId="27866" priority="4066">
      <formula>$M303="NON DEFINED"</formula>
    </cfRule>
    <cfRule type="expression" dxfId="27865" priority="4067">
      <formula>$AZ303="N.D."</formula>
    </cfRule>
    <cfRule type="expression" dxfId="27864" priority="4068">
      <formula>$AY303="N.D."</formula>
    </cfRule>
  </conditionalFormatting>
  <conditionalFormatting sqref="AW303">
    <cfRule type="expression" dxfId="27863" priority="4055">
      <formula>$A303="Overhead Cable"</formula>
    </cfRule>
    <cfRule type="expression" dxfId="27862" priority="4056">
      <formula>$A303="Level Crossing"</formula>
    </cfRule>
    <cfRule type="expression" dxfId="27861" priority="4057">
      <formula>$A303="Neutral Section"</formula>
    </cfRule>
    <cfRule type="expression" dxfId="27860" priority="4058">
      <formula>$A303="Tunnel"</formula>
    </cfRule>
    <cfRule type="expression" dxfId="27859" priority="4059">
      <formula>$A303="Bridge"</formula>
    </cfRule>
    <cfRule type="expression" dxfId="27858" priority="4060">
      <formula>$A303="Drainage Works"</formula>
    </cfRule>
    <cfRule type="expression" dxfId="27857" priority="4061">
      <formula>$A303="Underpass"</formula>
    </cfRule>
    <cfRule type="expression" dxfId="27856" priority="4062">
      <formula>$A303="Overcrossing"</formula>
    </cfRule>
    <cfRule type="expression" dxfId="27855" priority="4063">
      <formula>$A303="Overpass"</formula>
    </cfRule>
    <cfRule type="expression" dxfId="27854" priority="4064">
      <formula>$A303="Station"</formula>
    </cfRule>
    <cfRule type="expression" dxfId="27853" priority="4065">
      <formula>$A303="Overlap between sections"</formula>
    </cfRule>
  </conditionalFormatting>
  <conditionalFormatting sqref="AX303">
    <cfRule type="expression" dxfId="27852" priority="4052">
      <formula>$M303="NON DEFINED"</formula>
    </cfRule>
    <cfRule type="expression" dxfId="27851" priority="4053">
      <formula>$AZ303="N.D."</formula>
    </cfRule>
    <cfRule type="expression" dxfId="27850" priority="4054">
      <formula>$AY303="N.D."</formula>
    </cfRule>
  </conditionalFormatting>
  <conditionalFormatting sqref="AX303">
    <cfRule type="expression" dxfId="27849" priority="4041">
      <formula>$A303="Overhead Cable"</formula>
    </cfRule>
    <cfRule type="expression" dxfId="27848" priority="4042">
      <formula>$A303="Level Crossing"</formula>
    </cfRule>
    <cfRule type="expression" dxfId="27847" priority="4043">
      <formula>$A303="Neutral Section"</formula>
    </cfRule>
    <cfRule type="expression" dxfId="27846" priority="4044">
      <formula>$A303="Tunnel"</formula>
    </cfRule>
    <cfRule type="expression" dxfId="27845" priority="4045">
      <formula>$A303="Bridge"</formula>
    </cfRule>
    <cfRule type="expression" dxfId="27844" priority="4046">
      <formula>$A303="Drainage Works"</formula>
    </cfRule>
    <cfRule type="expression" dxfId="27843" priority="4047">
      <formula>$A303="Underpass"</formula>
    </cfRule>
    <cfRule type="expression" dxfId="27842" priority="4048">
      <formula>$A303="Overcrossing"</formula>
    </cfRule>
    <cfRule type="expression" dxfId="27841" priority="4049">
      <formula>$A303="Overpass"</formula>
    </cfRule>
    <cfRule type="expression" dxfId="27840" priority="4050">
      <formula>$A303="Station"</formula>
    </cfRule>
    <cfRule type="expression" dxfId="27839" priority="4051">
      <formula>$A303="Overlap between sections"</formula>
    </cfRule>
  </conditionalFormatting>
  <conditionalFormatting sqref="AW305">
    <cfRule type="expression" dxfId="27838" priority="4038">
      <formula>$M305="NON DEFINED"</formula>
    </cfRule>
    <cfRule type="expression" dxfId="27837" priority="4039">
      <formula>$AZ305="N.D."</formula>
    </cfRule>
    <cfRule type="expression" dxfId="27836" priority="4040">
      <formula>$AY305="N.D."</formula>
    </cfRule>
  </conditionalFormatting>
  <conditionalFormatting sqref="AW305">
    <cfRule type="expression" dxfId="27835" priority="4027">
      <formula>$A305="Overhead Cable"</formula>
    </cfRule>
    <cfRule type="expression" dxfId="27834" priority="4028">
      <formula>$A305="Level Crossing"</formula>
    </cfRule>
    <cfRule type="expression" dxfId="27833" priority="4029">
      <formula>$A305="Neutral Section"</formula>
    </cfRule>
    <cfRule type="expression" dxfId="27832" priority="4030">
      <formula>$A305="Tunnel"</formula>
    </cfRule>
    <cfRule type="expression" dxfId="27831" priority="4031">
      <formula>$A305="Bridge"</formula>
    </cfRule>
    <cfRule type="expression" dxfId="27830" priority="4032">
      <formula>$A305="Drainage Works"</formula>
    </cfRule>
    <cfRule type="expression" dxfId="27829" priority="4033">
      <formula>$A305="Underpass"</formula>
    </cfRule>
    <cfRule type="expression" dxfId="27828" priority="4034">
      <formula>$A305="Overcrossing"</formula>
    </cfRule>
    <cfRule type="expression" dxfId="27827" priority="4035">
      <formula>$A305="Overpass"</formula>
    </cfRule>
    <cfRule type="expression" dxfId="27826" priority="4036">
      <formula>$A305="Station"</formula>
    </cfRule>
    <cfRule type="expression" dxfId="27825" priority="4037">
      <formula>$A305="Overlap between sections"</formula>
    </cfRule>
  </conditionalFormatting>
  <conditionalFormatting sqref="AX305">
    <cfRule type="expression" dxfId="27824" priority="4024">
      <formula>$M305="NON DEFINED"</formula>
    </cfRule>
    <cfRule type="expression" dxfId="27823" priority="4025">
      <formula>$AZ305="N.D."</formula>
    </cfRule>
    <cfRule type="expression" dxfId="27822" priority="4026">
      <formula>$AY305="N.D."</formula>
    </cfRule>
  </conditionalFormatting>
  <conditionalFormatting sqref="AX305">
    <cfRule type="expression" dxfId="27821" priority="4013">
      <formula>$A305="Overhead Cable"</formula>
    </cfRule>
    <cfRule type="expression" dxfId="27820" priority="4014">
      <formula>$A305="Level Crossing"</formula>
    </cfRule>
    <cfRule type="expression" dxfId="27819" priority="4015">
      <formula>$A305="Neutral Section"</formula>
    </cfRule>
    <cfRule type="expression" dxfId="27818" priority="4016">
      <formula>$A305="Tunnel"</formula>
    </cfRule>
    <cfRule type="expression" dxfId="27817" priority="4017">
      <formula>$A305="Bridge"</formula>
    </cfRule>
    <cfRule type="expression" dxfId="27816" priority="4018">
      <formula>$A305="Drainage Works"</formula>
    </cfRule>
    <cfRule type="expression" dxfId="27815" priority="4019">
      <formula>$A305="Underpass"</formula>
    </cfRule>
    <cfRule type="expression" dxfId="27814" priority="4020">
      <formula>$A305="Overcrossing"</formula>
    </cfRule>
    <cfRule type="expression" dxfId="27813" priority="4021">
      <formula>$A305="Overpass"</formula>
    </cfRule>
    <cfRule type="expression" dxfId="27812" priority="4022">
      <formula>$A305="Station"</formula>
    </cfRule>
    <cfRule type="expression" dxfId="27811" priority="4023">
      <formula>$A305="Overlap between sections"</formula>
    </cfRule>
  </conditionalFormatting>
  <conditionalFormatting sqref="AW307">
    <cfRule type="expression" dxfId="27810" priority="4010">
      <formula>$M307="NON DEFINED"</formula>
    </cfRule>
    <cfRule type="expression" dxfId="27809" priority="4011">
      <formula>$AZ307="N.D."</formula>
    </cfRule>
    <cfRule type="expression" dxfId="27808" priority="4012">
      <formula>$AY307="N.D."</formula>
    </cfRule>
  </conditionalFormatting>
  <conditionalFormatting sqref="AW307">
    <cfRule type="expression" dxfId="27807" priority="3999">
      <formula>$A307="Overhead Cable"</formula>
    </cfRule>
    <cfRule type="expression" dxfId="27806" priority="4000">
      <formula>$A307="Level Crossing"</formula>
    </cfRule>
    <cfRule type="expression" dxfId="27805" priority="4001">
      <formula>$A307="Neutral Section"</formula>
    </cfRule>
    <cfRule type="expression" dxfId="27804" priority="4002">
      <formula>$A307="Tunnel"</formula>
    </cfRule>
    <cfRule type="expression" dxfId="27803" priority="4003">
      <formula>$A307="Bridge"</formula>
    </cfRule>
    <cfRule type="expression" dxfId="27802" priority="4004">
      <formula>$A307="Drainage Works"</formula>
    </cfRule>
    <cfRule type="expression" dxfId="27801" priority="4005">
      <formula>$A307="Underpass"</formula>
    </cfRule>
    <cfRule type="expression" dxfId="27800" priority="4006">
      <formula>$A307="Overcrossing"</formula>
    </cfRule>
    <cfRule type="expression" dxfId="27799" priority="4007">
      <formula>$A307="Overpass"</formula>
    </cfRule>
    <cfRule type="expression" dxfId="27798" priority="4008">
      <formula>$A307="Station"</formula>
    </cfRule>
    <cfRule type="expression" dxfId="27797" priority="4009">
      <formula>$A307="Overlap between sections"</formula>
    </cfRule>
  </conditionalFormatting>
  <conditionalFormatting sqref="AX307">
    <cfRule type="expression" dxfId="27796" priority="3996">
      <formula>$M307="NON DEFINED"</formula>
    </cfRule>
    <cfRule type="expression" dxfId="27795" priority="3997">
      <formula>$AZ307="N.D."</formula>
    </cfRule>
    <cfRule type="expression" dxfId="27794" priority="3998">
      <formula>$AY307="N.D."</formula>
    </cfRule>
  </conditionalFormatting>
  <conditionalFormatting sqref="AX307">
    <cfRule type="expression" dxfId="27793" priority="3985">
      <formula>$A307="Overhead Cable"</formula>
    </cfRule>
    <cfRule type="expression" dxfId="27792" priority="3986">
      <formula>$A307="Level Crossing"</formula>
    </cfRule>
    <cfRule type="expression" dxfId="27791" priority="3987">
      <formula>$A307="Neutral Section"</formula>
    </cfRule>
    <cfRule type="expression" dxfId="27790" priority="3988">
      <formula>$A307="Tunnel"</formula>
    </cfRule>
    <cfRule type="expression" dxfId="27789" priority="3989">
      <formula>$A307="Bridge"</formula>
    </cfRule>
    <cfRule type="expression" dxfId="27788" priority="3990">
      <formula>$A307="Drainage Works"</formula>
    </cfRule>
    <cfRule type="expression" dxfId="27787" priority="3991">
      <formula>$A307="Underpass"</formula>
    </cfRule>
    <cfRule type="expression" dxfId="27786" priority="3992">
      <formula>$A307="Overcrossing"</formula>
    </cfRule>
    <cfRule type="expression" dxfId="27785" priority="3993">
      <formula>$A307="Overpass"</formula>
    </cfRule>
    <cfRule type="expression" dxfId="27784" priority="3994">
      <formula>$A307="Station"</formula>
    </cfRule>
    <cfRule type="expression" dxfId="27783" priority="3995">
      <formula>$A307="Overlap between sections"</formula>
    </cfRule>
  </conditionalFormatting>
  <conditionalFormatting sqref="AW309">
    <cfRule type="expression" dxfId="27782" priority="3982">
      <formula>$M309="NON DEFINED"</formula>
    </cfRule>
    <cfRule type="expression" dxfId="27781" priority="3983">
      <formula>$AZ309="N.D."</formula>
    </cfRule>
    <cfRule type="expression" dxfId="27780" priority="3984">
      <formula>$AY309="N.D."</formula>
    </cfRule>
  </conditionalFormatting>
  <conditionalFormatting sqref="AW309">
    <cfRule type="expression" dxfId="27779" priority="3971">
      <formula>$A309="Overhead Cable"</formula>
    </cfRule>
    <cfRule type="expression" dxfId="27778" priority="3972">
      <formula>$A309="Level Crossing"</formula>
    </cfRule>
    <cfRule type="expression" dxfId="27777" priority="3973">
      <formula>$A309="Neutral Section"</formula>
    </cfRule>
    <cfRule type="expression" dxfId="27776" priority="3974">
      <formula>$A309="Tunnel"</formula>
    </cfRule>
    <cfRule type="expression" dxfId="27775" priority="3975">
      <formula>$A309="Bridge"</formula>
    </cfRule>
    <cfRule type="expression" dxfId="27774" priority="3976">
      <formula>$A309="Drainage Works"</formula>
    </cfRule>
    <cfRule type="expression" dxfId="27773" priority="3977">
      <formula>$A309="Underpass"</formula>
    </cfRule>
    <cfRule type="expression" dxfId="27772" priority="3978">
      <formula>$A309="Overcrossing"</formula>
    </cfRule>
    <cfRule type="expression" dxfId="27771" priority="3979">
      <formula>$A309="Overpass"</formula>
    </cfRule>
    <cfRule type="expression" dxfId="27770" priority="3980">
      <formula>$A309="Station"</formula>
    </cfRule>
    <cfRule type="expression" dxfId="27769" priority="3981">
      <formula>$A309="Overlap between sections"</formula>
    </cfRule>
  </conditionalFormatting>
  <conditionalFormatting sqref="AX309">
    <cfRule type="expression" dxfId="27768" priority="3968">
      <formula>$M309="NON DEFINED"</formula>
    </cfRule>
    <cfRule type="expression" dxfId="27767" priority="3969">
      <formula>$AZ309="N.D."</formula>
    </cfRule>
    <cfRule type="expression" dxfId="27766" priority="3970">
      <formula>$AY309="N.D."</formula>
    </cfRule>
  </conditionalFormatting>
  <conditionalFormatting sqref="AX309">
    <cfRule type="expression" dxfId="27765" priority="3957">
      <formula>$A309="Overhead Cable"</formula>
    </cfRule>
    <cfRule type="expression" dxfId="27764" priority="3958">
      <formula>$A309="Level Crossing"</formula>
    </cfRule>
    <cfRule type="expression" dxfId="27763" priority="3959">
      <formula>$A309="Neutral Section"</formula>
    </cfRule>
    <cfRule type="expression" dxfId="27762" priority="3960">
      <formula>$A309="Tunnel"</formula>
    </cfRule>
    <cfRule type="expression" dxfId="27761" priority="3961">
      <formula>$A309="Bridge"</formula>
    </cfRule>
    <cfRule type="expression" dxfId="27760" priority="3962">
      <formula>$A309="Drainage Works"</formula>
    </cfRule>
    <cfRule type="expression" dxfId="27759" priority="3963">
      <formula>$A309="Underpass"</formula>
    </cfRule>
    <cfRule type="expression" dxfId="27758" priority="3964">
      <formula>$A309="Overcrossing"</formula>
    </cfRule>
    <cfRule type="expression" dxfId="27757" priority="3965">
      <formula>$A309="Overpass"</formula>
    </cfRule>
    <cfRule type="expression" dxfId="27756" priority="3966">
      <formula>$A309="Station"</formula>
    </cfRule>
    <cfRule type="expression" dxfId="27755" priority="3967">
      <formula>$A309="Overlap between sections"</formula>
    </cfRule>
  </conditionalFormatting>
  <conditionalFormatting sqref="AW311">
    <cfRule type="expression" dxfId="27754" priority="3954">
      <formula>$M311="NON DEFINED"</formula>
    </cfRule>
    <cfRule type="expression" dxfId="27753" priority="3955">
      <formula>$AZ311="N.D."</formula>
    </cfRule>
    <cfRule type="expression" dxfId="27752" priority="3956">
      <formula>$AY311="N.D."</formula>
    </cfRule>
  </conditionalFormatting>
  <conditionalFormatting sqref="AW311">
    <cfRule type="expression" dxfId="27751" priority="3943">
      <formula>$A311="Overhead Cable"</formula>
    </cfRule>
    <cfRule type="expression" dxfId="27750" priority="3944">
      <formula>$A311="Level Crossing"</formula>
    </cfRule>
    <cfRule type="expression" dxfId="27749" priority="3945">
      <formula>$A311="Neutral Section"</formula>
    </cfRule>
    <cfRule type="expression" dxfId="27748" priority="3946">
      <formula>$A311="Tunnel"</formula>
    </cfRule>
    <cfRule type="expression" dxfId="27747" priority="3947">
      <formula>$A311="Bridge"</formula>
    </cfRule>
    <cfRule type="expression" dxfId="27746" priority="3948">
      <formula>$A311="Drainage Works"</formula>
    </cfRule>
    <cfRule type="expression" dxfId="27745" priority="3949">
      <formula>$A311="Underpass"</formula>
    </cfRule>
    <cfRule type="expression" dxfId="27744" priority="3950">
      <formula>$A311="Overcrossing"</formula>
    </cfRule>
    <cfRule type="expression" dxfId="27743" priority="3951">
      <formula>$A311="Overpass"</formula>
    </cfRule>
    <cfRule type="expression" dxfId="27742" priority="3952">
      <formula>$A311="Station"</formula>
    </cfRule>
    <cfRule type="expression" dxfId="27741" priority="3953">
      <formula>$A311="Overlap between sections"</formula>
    </cfRule>
  </conditionalFormatting>
  <conditionalFormatting sqref="AX311">
    <cfRule type="expression" dxfId="27740" priority="3940">
      <formula>$M311="NON DEFINED"</formula>
    </cfRule>
    <cfRule type="expression" dxfId="27739" priority="3941">
      <formula>$AZ311="N.D."</formula>
    </cfRule>
    <cfRule type="expression" dxfId="27738" priority="3942">
      <formula>$AY311="N.D."</formula>
    </cfRule>
  </conditionalFormatting>
  <conditionalFormatting sqref="AX311">
    <cfRule type="expression" dxfId="27737" priority="3929">
      <formula>$A311="Overhead Cable"</formula>
    </cfRule>
    <cfRule type="expression" dxfId="27736" priority="3930">
      <formula>$A311="Level Crossing"</formula>
    </cfRule>
    <cfRule type="expression" dxfId="27735" priority="3931">
      <formula>$A311="Neutral Section"</formula>
    </cfRule>
    <cfRule type="expression" dxfId="27734" priority="3932">
      <formula>$A311="Tunnel"</formula>
    </cfRule>
    <cfRule type="expression" dxfId="27733" priority="3933">
      <formula>$A311="Bridge"</formula>
    </cfRule>
    <cfRule type="expression" dxfId="27732" priority="3934">
      <formula>$A311="Drainage Works"</formula>
    </cfRule>
    <cfRule type="expression" dxfId="27731" priority="3935">
      <formula>$A311="Underpass"</formula>
    </cfRule>
    <cfRule type="expression" dxfId="27730" priority="3936">
      <formula>$A311="Overcrossing"</formula>
    </cfRule>
    <cfRule type="expression" dxfId="27729" priority="3937">
      <formula>$A311="Overpass"</formula>
    </cfRule>
    <cfRule type="expression" dxfId="27728" priority="3938">
      <formula>$A311="Station"</formula>
    </cfRule>
    <cfRule type="expression" dxfId="27727" priority="3939">
      <formula>$A311="Overlap between sections"</formula>
    </cfRule>
  </conditionalFormatting>
  <conditionalFormatting sqref="AW313">
    <cfRule type="expression" dxfId="27726" priority="3926">
      <formula>$M313="NON DEFINED"</formula>
    </cfRule>
    <cfRule type="expression" dxfId="27725" priority="3927">
      <formula>$AZ313="N.D."</formula>
    </cfRule>
    <cfRule type="expression" dxfId="27724" priority="3928">
      <formula>$AY313="N.D."</formula>
    </cfRule>
  </conditionalFormatting>
  <conditionalFormatting sqref="AW313">
    <cfRule type="expression" dxfId="27723" priority="3915">
      <formula>$A313="Overhead Cable"</formula>
    </cfRule>
    <cfRule type="expression" dxfId="27722" priority="3916">
      <formula>$A313="Level Crossing"</formula>
    </cfRule>
    <cfRule type="expression" dxfId="27721" priority="3917">
      <formula>$A313="Neutral Section"</formula>
    </cfRule>
    <cfRule type="expression" dxfId="27720" priority="3918">
      <formula>$A313="Tunnel"</formula>
    </cfRule>
    <cfRule type="expression" dxfId="27719" priority="3919">
      <formula>$A313="Bridge"</formula>
    </cfRule>
    <cfRule type="expression" dxfId="27718" priority="3920">
      <formula>$A313="Drainage Works"</formula>
    </cfRule>
    <cfRule type="expression" dxfId="27717" priority="3921">
      <formula>$A313="Underpass"</formula>
    </cfRule>
    <cfRule type="expression" dxfId="27716" priority="3922">
      <formula>$A313="Overcrossing"</formula>
    </cfRule>
    <cfRule type="expression" dxfId="27715" priority="3923">
      <formula>$A313="Overpass"</formula>
    </cfRule>
    <cfRule type="expression" dxfId="27714" priority="3924">
      <formula>$A313="Station"</formula>
    </cfRule>
    <cfRule type="expression" dxfId="27713" priority="3925">
      <formula>$A313="Overlap between sections"</formula>
    </cfRule>
  </conditionalFormatting>
  <conditionalFormatting sqref="AX313">
    <cfRule type="expression" dxfId="27712" priority="3912">
      <formula>$M313="NON DEFINED"</formula>
    </cfRule>
    <cfRule type="expression" dxfId="27711" priority="3913">
      <formula>$AZ313="N.D."</formula>
    </cfRule>
    <cfRule type="expression" dxfId="27710" priority="3914">
      <formula>$AY313="N.D."</formula>
    </cfRule>
  </conditionalFormatting>
  <conditionalFormatting sqref="AX313">
    <cfRule type="expression" dxfId="27709" priority="3901">
      <formula>$A313="Overhead Cable"</formula>
    </cfRule>
    <cfRule type="expression" dxfId="27708" priority="3902">
      <formula>$A313="Level Crossing"</formula>
    </cfRule>
    <cfRule type="expression" dxfId="27707" priority="3903">
      <formula>$A313="Neutral Section"</formula>
    </cfRule>
    <cfRule type="expression" dxfId="27706" priority="3904">
      <formula>$A313="Tunnel"</formula>
    </cfRule>
    <cfRule type="expression" dxfId="27705" priority="3905">
      <formula>$A313="Bridge"</formula>
    </cfRule>
    <cfRule type="expression" dxfId="27704" priority="3906">
      <formula>$A313="Drainage Works"</formula>
    </cfRule>
    <cfRule type="expression" dxfId="27703" priority="3907">
      <formula>$A313="Underpass"</formula>
    </cfRule>
    <cfRule type="expression" dxfId="27702" priority="3908">
      <formula>$A313="Overcrossing"</formula>
    </cfRule>
    <cfRule type="expression" dxfId="27701" priority="3909">
      <formula>$A313="Overpass"</formula>
    </cfRule>
    <cfRule type="expression" dxfId="27700" priority="3910">
      <formula>$A313="Station"</formula>
    </cfRule>
    <cfRule type="expression" dxfId="27699" priority="3911">
      <formula>$A313="Overlap between sections"</formula>
    </cfRule>
  </conditionalFormatting>
  <conditionalFormatting sqref="AW315">
    <cfRule type="expression" dxfId="27698" priority="3898">
      <formula>$M315="NON DEFINED"</formula>
    </cfRule>
    <cfRule type="expression" dxfId="27697" priority="3899">
      <formula>$AZ315="N.D."</formula>
    </cfRule>
    <cfRule type="expression" dxfId="27696" priority="3900">
      <formula>$AY315="N.D."</formula>
    </cfRule>
  </conditionalFormatting>
  <conditionalFormatting sqref="AW315">
    <cfRule type="expression" dxfId="27695" priority="3887">
      <formula>$A315="Overhead Cable"</formula>
    </cfRule>
    <cfRule type="expression" dxfId="27694" priority="3888">
      <formula>$A315="Level Crossing"</formula>
    </cfRule>
    <cfRule type="expression" dxfId="27693" priority="3889">
      <formula>$A315="Neutral Section"</formula>
    </cfRule>
    <cfRule type="expression" dxfId="27692" priority="3890">
      <formula>$A315="Tunnel"</formula>
    </cfRule>
    <cfRule type="expression" dxfId="27691" priority="3891">
      <formula>$A315="Bridge"</formula>
    </cfRule>
    <cfRule type="expression" dxfId="27690" priority="3892">
      <formula>$A315="Drainage Works"</formula>
    </cfRule>
    <cfRule type="expression" dxfId="27689" priority="3893">
      <formula>$A315="Underpass"</formula>
    </cfRule>
    <cfRule type="expression" dxfId="27688" priority="3894">
      <formula>$A315="Overcrossing"</formula>
    </cfRule>
    <cfRule type="expression" dxfId="27687" priority="3895">
      <formula>$A315="Overpass"</formula>
    </cfRule>
    <cfRule type="expression" dxfId="27686" priority="3896">
      <formula>$A315="Station"</formula>
    </cfRule>
    <cfRule type="expression" dxfId="27685" priority="3897">
      <formula>$A315="Overlap between sections"</formula>
    </cfRule>
  </conditionalFormatting>
  <conditionalFormatting sqref="AX315">
    <cfRule type="expression" dxfId="27684" priority="3884">
      <formula>$M315="NON DEFINED"</formula>
    </cfRule>
    <cfRule type="expression" dxfId="27683" priority="3885">
      <formula>$AZ315="N.D."</formula>
    </cfRule>
    <cfRule type="expression" dxfId="27682" priority="3886">
      <formula>$AY315="N.D."</formula>
    </cfRule>
  </conditionalFormatting>
  <conditionalFormatting sqref="AX315">
    <cfRule type="expression" dxfId="27681" priority="3873">
      <formula>$A315="Overhead Cable"</formula>
    </cfRule>
    <cfRule type="expression" dxfId="27680" priority="3874">
      <formula>$A315="Level Crossing"</formula>
    </cfRule>
    <cfRule type="expression" dxfId="27679" priority="3875">
      <formula>$A315="Neutral Section"</formula>
    </cfRule>
    <cfRule type="expression" dxfId="27678" priority="3876">
      <formula>$A315="Tunnel"</formula>
    </cfRule>
    <cfRule type="expression" dxfId="27677" priority="3877">
      <formula>$A315="Bridge"</formula>
    </cfRule>
    <cfRule type="expression" dxfId="27676" priority="3878">
      <formula>$A315="Drainage Works"</formula>
    </cfRule>
    <cfRule type="expression" dxfId="27675" priority="3879">
      <formula>$A315="Underpass"</formula>
    </cfRule>
    <cfRule type="expression" dxfId="27674" priority="3880">
      <formula>$A315="Overcrossing"</formula>
    </cfRule>
    <cfRule type="expression" dxfId="27673" priority="3881">
      <formula>$A315="Overpass"</formula>
    </cfRule>
    <cfRule type="expression" dxfId="27672" priority="3882">
      <formula>$A315="Station"</formula>
    </cfRule>
    <cfRule type="expression" dxfId="27671" priority="3883">
      <formula>$A315="Overlap between sections"</formula>
    </cfRule>
  </conditionalFormatting>
  <conditionalFormatting sqref="AW317">
    <cfRule type="expression" dxfId="27670" priority="3870">
      <formula>$M317="NON DEFINED"</formula>
    </cfRule>
    <cfRule type="expression" dxfId="27669" priority="3871">
      <formula>$AZ317="N.D."</formula>
    </cfRule>
    <cfRule type="expression" dxfId="27668" priority="3872">
      <formula>$AY317="N.D."</formula>
    </cfRule>
  </conditionalFormatting>
  <conditionalFormatting sqref="AW317">
    <cfRule type="expression" dxfId="27667" priority="3859">
      <formula>$A317="Overhead Cable"</formula>
    </cfRule>
    <cfRule type="expression" dxfId="27666" priority="3860">
      <formula>$A317="Level Crossing"</formula>
    </cfRule>
    <cfRule type="expression" dxfId="27665" priority="3861">
      <formula>$A317="Neutral Section"</formula>
    </cfRule>
    <cfRule type="expression" dxfId="27664" priority="3862">
      <formula>$A317="Tunnel"</formula>
    </cfRule>
    <cfRule type="expression" dxfId="27663" priority="3863">
      <formula>$A317="Bridge"</formula>
    </cfRule>
    <cfRule type="expression" dxfId="27662" priority="3864">
      <formula>$A317="Drainage Works"</formula>
    </cfRule>
    <cfRule type="expression" dxfId="27661" priority="3865">
      <formula>$A317="Underpass"</formula>
    </cfRule>
    <cfRule type="expression" dxfId="27660" priority="3866">
      <formula>$A317="Overcrossing"</formula>
    </cfRule>
    <cfRule type="expression" dxfId="27659" priority="3867">
      <formula>$A317="Overpass"</formula>
    </cfRule>
    <cfRule type="expression" dxfId="27658" priority="3868">
      <formula>$A317="Station"</formula>
    </cfRule>
    <cfRule type="expression" dxfId="27657" priority="3869">
      <formula>$A317="Overlap between sections"</formula>
    </cfRule>
  </conditionalFormatting>
  <conditionalFormatting sqref="AX317">
    <cfRule type="expression" dxfId="27656" priority="3856">
      <formula>$M317="NON DEFINED"</formula>
    </cfRule>
    <cfRule type="expression" dxfId="27655" priority="3857">
      <formula>$AZ317="N.D."</formula>
    </cfRule>
    <cfRule type="expression" dxfId="27654" priority="3858">
      <formula>$AY317="N.D."</formula>
    </cfRule>
  </conditionalFormatting>
  <conditionalFormatting sqref="AX317">
    <cfRule type="expression" dxfId="27653" priority="3845">
      <formula>$A317="Overhead Cable"</formula>
    </cfRule>
    <cfRule type="expression" dxfId="27652" priority="3846">
      <formula>$A317="Level Crossing"</formula>
    </cfRule>
    <cfRule type="expression" dxfId="27651" priority="3847">
      <formula>$A317="Neutral Section"</formula>
    </cfRule>
    <cfRule type="expression" dxfId="27650" priority="3848">
      <formula>$A317="Tunnel"</formula>
    </cfRule>
    <cfRule type="expression" dxfId="27649" priority="3849">
      <formula>$A317="Bridge"</formula>
    </cfRule>
    <cfRule type="expression" dxfId="27648" priority="3850">
      <formula>$A317="Drainage Works"</formula>
    </cfRule>
    <cfRule type="expression" dxfId="27647" priority="3851">
      <formula>$A317="Underpass"</formula>
    </cfRule>
    <cfRule type="expression" dxfId="27646" priority="3852">
      <formula>$A317="Overcrossing"</formula>
    </cfRule>
    <cfRule type="expression" dxfId="27645" priority="3853">
      <formula>$A317="Overpass"</formula>
    </cfRule>
    <cfRule type="expression" dxfId="27644" priority="3854">
      <formula>$A317="Station"</formula>
    </cfRule>
    <cfRule type="expression" dxfId="27643" priority="3855">
      <formula>$A317="Overlap between sections"</formula>
    </cfRule>
  </conditionalFormatting>
  <conditionalFormatting sqref="AW319">
    <cfRule type="expression" dxfId="27642" priority="3842">
      <formula>$M319="NON DEFINED"</formula>
    </cfRule>
    <cfRule type="expression" dxfId="27641" priority="3843">
      <formula>$AZ319="N.D."</formula>
    </cfRule>
    <cfRule type="expression" dxfId="27640" priority="3844">
      <formula>$AY319="N.D."</formula>
    </cfRule>
  </conditionalFormatting>
  <conditionalFormatting sqref="AW319">
    <cfRule type="expression" dxfId="27639" priority="3831">
      <formula>$A319="Overhead Cable"</formula>
    </cfRule>
    <cfRule type="expression" dxfId="27638" priority="3832">
      <formula>$A319="Level Crossing"</formula>
    </cfRule>
    <cfRule type="expression" dxfId="27637" priority="3833">
      <formula>$A319="Neutral Section"</formula>
    </cfRule>
    <cfRule type="expression" dxfId="27636" priority="3834">
      <formula>$A319="Tunnel"</formula>
    </cfRule>
    <cfRule type="expression" dxfId="27635" priority="3835">
      <formula>$A319="Bridge"</formula>
    </cfRule>
    <cfRule type="expression" dxfId="27634" priority="3836">
      <formula>$A319="Drainage Works"</formula>
    </cfRule>
    <cfRule type="expression" dxfId="27633" priority="3837">
      <formula>$A319="Underpass"</formula>
    </cfRule>
    <cfRule type="expression" dxfId="27632" priority="3838">
      <formula>$A319="Overcrossing"</formula>
    </cfRule>
    <cfRule type="expression" dxfId="27631" priority="3839">
      <formula>$A319="Overpass"</formula>
    </cfRule>
    <cfRule type="expression" dxfId="27630" priority="3840">
      <formula>$A319="Station"</formula>
    </cfRule>
    <cfRule type="expression" dxfId="27629" priority="3841">
      <formula>$A319="Overlap between sections"</formula>
    </cfRule>
  </conditionalFormatting>
  <conditionalFormatting sqref="AX319">
    <cfRule type="expression" dxfId="27628" priority="3828">
      <formula>$M319="NON DEFINED"</formula>
    </cfRule>
    <cfRule type="expression" dxfId="27627" priority="3829">
      <formula>$AZ319="N.D."</formula>
    </cfRule>
    <cfRule type="expression" dxfId="27626" priority="3830">
      <formula>$AY319="N.D."</formula>
    </cfRule>
  </conditionalFormatting>
  <conditionalFormatting sqref="AX319">
    <cfRule type="expression" dxfId="27625" priority="3817">
      <formula>$A319="Overhead Cable"</formula>
    </cfRule>
    <cfRule type="expression" dxfId="27624" priority="3818">
      <formula>$A319="Level Crossing"</formula>
    </cfRule>
    <cfRule type="expression" dxfId="27623" priority="3819">
      <formula>$A319="Neutral Section"</formula>
    </cfRule>
    <cfRule type="expression" dxfId="27622" priority="3820">
      <formula>$A319="Tunnel"</formula>
    </cfRule>
    <cfRule type="expression" dxfId="27621" priority="3821">
      <formula>$A319="Bridge"</formula>
    </cfRule>
    <cfRule type="expression" dxfId="27620" priority="3822">
      <formula>$A319="Drainage Works"</formula>
    </cfRule>
    <cfRule type="expression" dxfId="27619" priority="3823">
      <formula>$A319="Underpass"</formula>
    </cfRule>
    <cfRule type="expression" dxfId="27618" priority="3824">
      <formula>$A319="Overcrossing"</formula>
    </cfRule>
    <cfRule type="expression" dxfId="27617" priority="3825">
      <formula>$A319="Overpass"</formula>
    </cfRule>
    <cfRule type="expression" dxfId="27616" priority="3826">
      <formula>$A319="Station"</formula>
    </cfRule>
    <cfRule type="expression" dxfId="27615" priority="3827">
      <formula>$A319="Overlap between sections"</formula>
    </cfRule>
  </conditionalFormatting>
  <conditionalFormatting sqref="AW323">
    <cfRule type="expression" dxfId="27614" priority="3814">
      <formula>$M323="NON DEFINED"</formula>
    </cfRule>
    <cfRule type="expression" dxfId="27613" priority="3815">
      <formula>$AZ323="N.D."</formula>
    </cfRule>
    <cfRule type="expression" dxfId="27612" priority="3816">
      <formula>$AY323="N.D."</formula>
    </cfRule>
  </conditionalFormatting>
  <conditionalFormatting sqref="AW323">
    <cfRule type="expression" dxfId="27611" priority="3803">
      <formula>$A323="Overhead Cable"</formula>
    </cfRule>
    <cfRule type="expression" dxfId="27610" priority="3804">
      <formula>$A323="Level Crossing"</formula>
    </cfRule>
    <cfRule type="expression" dxfId="27609" priority="3805">
      <formula>$A323="Neutral Section"</formula>
    </cfRule>
    <cfRule type="expression" dxfId="27608" priority="3806">
      <formula>$A323="Tunnel"</formula>
    </cfRule>
    <cfRule type="expression" dxfId="27607" priority="3807">
      <formula>$A323="Bridge"</formula>
    </cfRule>
    <cfRule type="expression" dxfId="27606" priority="3808">
      <formula>$A323="Drainage Works"</formula>
    </cfRule>
    <cfRule type="expression" dxfId="27605" priority="3809">
      <formula>$A323="Underpass"</formula>
    </cfRule>
    <cfRule type="expression" dxfId="27604" priority="3810">
      <formula>$A323="Overcrossing"</formula>
    </cfRule>
    <cfRule type="expression" dxfId="27603" priority="3811">
      <formula>$A323="Overpass"</formula>
    </cfRule>
    <cfRule type="expression" dxfId="27602" priority="3812">
      <formula>$A323="Station"</formula>
    </cfRule>
    <cfRule type="expression" dxfId="27601" priority="3813">
      <formula>$A323="Overlap between sections"</formula>
    </cfRule>
  </conditionalFormatting>
  <conditionalFormatting sqref="AX323">
    <cfRule type="expression" dxfId="27600" priority="3800">
      <formula>$M323="NON DEFINED"</formula>
    </cfRule>
    <cfRule type="expression" dxfId="27599" priority="3801">
      <formula>$AZ323="N.D."</formula>
    </cfRule>
    <cfRule type="expression" dxfId="27598" priority="3802">
      <formula>$AY323="N.D."</formula>
    </cfRule>
  </conditionalFormatting>
  <conditionalFormatting sqref="AX323">
    <cfRule type="expression" dxfId="27597" priority="3789">
      <formula>$A323="Overhead Cable"</formula>
    </cfRule>
    <cfRule type="expression" dxfId="27596" priority="3790">
      <formula>$A323="Level Crossing"</formula>
    </cfRule>
    <cfRule type="expression" dxfId="27595" priority="3791">
      <formula>$A323="Neutral Section"</formula>
    </cfRule>
    <cfRule type="expression" dxfId="27594" priority="3792">
      <formula>$A323="Tunnel"</formula>
    </cfRule>
    <cfRule type="expression" dxfId="27593" priority="3793">
      <formula>$A323="Bridge"</formula>
    </cfRule>
    <cfRule type="expression" dxfId="27592" priority="3794">
      <formula>$A323="Drainage Works"</formula>
    </cfRule>
    <cfRule type="expression" dxfId="27591" priority="3795">
      <formula>$A323="Underpass"</formula>
    </cfRule>
    <cfRule type="expression" dxfId="27590" priority="3796">
      <formula>$A323="Overcrossing"</formula>
    </cfRule>
    <cfRule type="expression" dxfId="27589" priority="3797">
      <formula>$A323="Overpass"</formula>
    </cfRule>
    <cfRule type="expression" dxfId="27588" priority="3798">
      <formula>$A323="Station"</formula>
    </cfRule>
    <cfRule type="expression" dxfId="27587" priority="3799">
      <formula>$A323="Overlap between sections"</formula>
    </cfRule>
  </conditionalFormatting>
  <conditionalFormatting sqref="AW325">
    <cfRule type="expression" dxfId="27586" priority="3786">
      <formula>$M325="NON DEFINED"</formula>
    </cfRule>
    <cfRule type="expression" dxfId="27585" priority="3787">
      <formula>$AZ325="N.D."</formula>
    </cfRule>
    <cfRule type="expression" dxfId="27584" priority="3788">
      <formula>$AY325="N.D."</formula>
    </cfRule>
  </conditionalFormatting>
  <conditionalFormatting sqref="AW325">
    <cfRule type="expression" dxfId="27583" priority="3775">
      <formula>$A325="Overhead Cable"</formula>
    </cfRule>
    <cfRule type="expression" dxfId="27582" priority="3776">
      <formula>$A325="Level Crossing"</formula>
    </cfRule>
    <cfRule type="expression" dxfId="27581" priority="3777">
      <formula>$A325="Neutral Section"</formula>
    </cfRule>
    <cfRule type="expression" dxfId="27580" priority="3778">
      <formula>$A325="Tunnel"</formula>
    </cfRule>
    <cfRule type="expression" dxfId="27579" priority="3779">
      <formula>$A325="Bridge"</formula>
    </cfRule>
    <cfRule type="expression" dxfId="27578" priority="3780">
      <formula>$A325="Drainage Works"</formula>
    </cfRule>
    <cfRule type="expression" dxfId="27577" priority="3781">
      <formula>$A325="Underpass"</formula>
    </cfRule>
    <cfRule type="expression" dxfId="27576" priority="3782">
      <formula>$A325="Overcrossing"</formula>
    </cfRule>
    <cfRule type="expression" dxfId="27575" priority="3783">
      <formula>$A325="Overpass"</formula>
    </cfRule>
    <cfRule type="expression" dxfId="27574" priority="3784">
      <formula>$A325="Station"</formula>
    </cfRule>
    <cfRule type="expression" dxfId="27573" priority="3785">
      <formula>$A325="Overlap between sections"</formula>
    </cfRule>
  </conditionalFormatting>
  <conditionalFormatting sqref="AX325">
    <cfRule type="expression" dxfId="27572" priority="3772">
      <formula>$M325="NON DEFINED"</formula>
    </cfRule>
    <cfRule type="expression" dxfId="27571" priority="3773">
      <formula>$AZ325="N.D."</formula>
    </cfRule>
    <cfRule type="expression" dxfId="27570" priority="3774">
      <formula>$AY325="N.D."</formula>
    </cfRule>
  </conditionalFormatting>
  <conditionalFormatting sqref="AX325">
    <cfRule type="expression" dxfId="27569" priority="3761">
      <formula>$A325="Overhead Cable"</formula>
    </cfRule>
    <cfRule type="expression" dxfId="27568" priority="3762">
      <formula>$A325="Level Crossing"</formula>
    </cfRule>
    <cfRule type="expression" dxfId="27567" priority="3763">
      <formula>$A325="Neutral Section"</formula>
    </cfRule>
    <cfRule type="expression" dxfId="27566" priority="3764">
      <formula>$A325="Tunnel"</formula>
    </cfRule>
    <cfRule type="expression" dxfId="27565" priority="3765">
      <formula>$A325="Bridge"</formula>
    </cfRule>
    <cfRule type="expression" dxfId="27564" priority="3766">
      <formula>$A325="Drainage Works"</formula>
    </cfRule>
    <cfRule type="expression" dxfId="27563" priority="3767">
      <formula>$A325="Underpass"</formula>
    </cfRule>
    <cfRule type="expression" dxfId="27562" priority="3768">
      <formula>$A325="Overcrossing"</formula>
    </cfRule>
    <cfRule type="expression" dxfId="27561" priority="3769">
      <formula>$A325="Overpass"</formula>
    </cfRule>
    <cfRule type="expression" dxfId="27560" priority="3770">
      <formula>$A325="Station"</formula>
    </cfRule>
    <cfRule type="expression" dxfId="27559" priority="3771">
      <formula>$A325="Overlap between sections"</formula>
    </cfRule>
  </conditionalFormatting>
  <conditionalFormatting sqref="AW327">
    <cfRule type="expression" dxfId="27558" priority="3758">
      <formula>$M327="NON DEFINED"</formula>
    </cfRule>
    <cfRule type="expression" dxfId="27557" priority="3759">
      <formula>$AZ327="N.D."</formula>
    </cfRule>
    <cfRule type="expression" dxfId="27556" priority="3760">
      <formula>$AY327="N.D."</formula>
    </cfRule>
  </conditionalFormatting>
  <conditionalFormatting sqref="AW327">
    <cfRule type="expression" dxfId="27555" priority="3747">
      <formula>$A327="Overhead Cable"</formula>
    </cfRule>
    <cfRule type="expression" dxfId="27554" priority="3748">
      <formula>$A327="Level Crossing"</formula>
    </cfRule>
    <cfRule type="expression" dxfId="27553" priority="3749">
      <formula>$A327="Neutral Section"</formula>
    </cfRule>
    <cfRule type="expression" dxfId="27552" priority="3750">
      <formula>$A327="Tunnel"</formula>
    </cfRule>
    <cfRule type="expression" dxfId="27551" priority="3751">
      <formula>$A327="Bridge"</formula>
    </cfRule>
    <cfRule type="expression" dxfId="27550" priority="3752">
      <formula>$A327="Drainage Works"</formula>
    </cfRule>
    <cfRule type="expression" dxfId="27549" priority="3753">
      <formula>$A327="Underpass"</formula>
    </cfRule>
    <cfRule type="expression" dxfId="27548" priority="3754">
      <formula>$A327="Overcrossing"</formula>
    </cfRule>
    <cfRule type="expression" dxfId="27547" priority="3755">
      <formula>$A327="Overpass"</formula>
    </cfRule>
    <cfRule type="expression" dxfId="27546" priority="3756">
      <formula>$A327="Station"</formula>
    </cfRule>
    <cfRule type="expression" dxfId="27545" priority="3757">
      <formula>$A327="Overlap between sections"</formula>
    </cfRule>
  </conditionalFormatting>
  <conditionalFormatting sqref="AX327">
    <cfRule type="expression" dxfId="27544" priority="3744">
      <formula>$M327="NON DEFINED"</formula>
    </cfRule>
    <cfRule type="expression" dxfId="27543" priority="3745">
      <formula>$AZ327="N.D."</formula>
    </cfRule>
    <cfRule type="expression" dxfId="27542" priority="3746">
      <formula>$AY327="N.D."</formula>
    </cfRule>
  </conditionalFormatting>
  <conditionalFormatting sqref="AX327">
    <cfRule type="expression" dxfId="27541" priority="3733">
      <formula>$A327="Overhead Cable"</formula>
    </cfRule>
    <cfRule type="expression" dxfId="27540" priority="3734">
      <formula>$A327="Level Crossing"</formula>
    </cfRule>
    <cfRule type="expression" dxfId="27539" priority="3735">
      <formula>$A327="Neutral Section"</formula>
    </cfRule>
    <cfRule type="expression" dxfId="27538" priority="3736">
      <formula>$A327="Tunnel"</formula>
    </cfRule>
    <cfRule type="expression" dxfId="27537" priority="3737">
      <formula>$A327="Bridge"</formula>
    </cfRule>
    <cfRule type="expression" dxfId="27536" priority="3738">
      <formula>$A327="Drainage Works"</formula>
    </cfRule>
    <cfRule type="expression" dxfId="27535" priority="3739">
      <formula>$A327="Underpass"</formula>
    </cfRule>
    <cfRule type="expression" dxfId="27534" priority="3740">
      <formula>$A327="Overcrossing"</formula>
    </cfRule>
    <cfRule type="expression" dxfId="27533" priority="3741">
      <formula>$A327="Overpass"</formula>
    </cfRule>
    <cfRule type="expression" dxfId="27532" priority="3742">
      <formula>$A327="Station"</formula>
    </cfRule>
    <cfRule type="expression" dxfId="27531" priority="3743">
      <formula>$A327="Overlap between sections"</formula>
    </cfRule>
  </conditionalFormatting>
  <conditionalFormatting sqref="AW329">
    <cfRule type="expression" dxfId="27530" priority="3730">
      <formula>$M329="NON DEFINED"</formula>
    </cfRule>
    <cfRule type="expression" dxfId="27529" priority="3731">
      <formula>$AZ329="N.D."</formula>
    </cfRule>
    <cfRule type="expression" dxfId="27528" priority="3732">
      <formula>$AY329="N.D."</formula>
    </cfRule>
  </conditionalFormatting>
  <conditionalFormatting sqref="AW329">
    <cfRule type="expression" dxfId="27527" priority="3719">
      <formula>$A329="Overhead Cable"</formula>
    </cfRule>
    <cfRule type="expression" dxfId="27526" priority="3720">
      <formula>$A329="Level Crossing"</formula>
    </cfRule>
    <cfRule type="expression" dxfId="27525" priority="3721">
      <formula>$A329="Neutral Section"</formula>
    </cfRule>
    <cfRule type="expression" dxfId="27524" priority="3722">
      <formula>$A329="Tunnel"</formula>
    </cfRule>
    <cfRule type="expression" dxfId="27523" priority="3723">
      <formula>$A329="Bridge"</formula>
    </cfRule>
    <cfRule type="expression" dxfId="27522" priority="3724">
      <formula>$A329="Drainage Works"</formula>
    </cfRule>
    <cfRule type="expression" dxfId="27521" priority="3725">
      <formula>$A329="Underpass"</formula>
    </cfRule>
    <cfRule type="expression" dxfId="27520" priority="3726">
      <formula>$A329="Overcrossing"</formula>
    </cfRule>
    <cfRule type="expression" dxfId="27519" priority="3727">
      <formula>$A329="Overpass"</formula>
    </cfRule>
    <cfRule type="expression" dxfId="27518" priority="3728">
      <formula>$A329="Station"</formula>
    </cfRule>
    <cfRule type="expression" dxfId="27517" priority="3729">
      <formula>$A329="Overlap between sections"</formula>
    </cfRule>
  </conditionalFormatting>
  <conditionalFormatting sqref="AX329">
    <cfRule type="expression" dxfId="27516" priority="3716">
      <formula>$M329="NON DEFINED"</formula>
    </cfRule>
    <cfRule type="expression" dxfId="27515" priority="3717">
      <formula>$AZ329="N.D."</formula>
    </cfRule>
    <cfRule type="expression" dxfId="27514" priority="3718">
      <formula>$AY329="N.D."</formula>
    </cfRule>
  </conditionalFormatting>
  <conditionalFormatting sqref="AX329">
    <cfRule type="expression" dxfId="27513" priority="3705">
      <formula>$A329="Overhead Cable"</formula>
    </cfRule>
    <cfRule type="expression" dxfId="27512" priority="3706">
      <formula>$A329="Level Crossing"</formula>
    </cfRule>
    <cfRule type="expression" dxfId="27511" priority="3707">
      <formula>$A329="Neutral Section"</formula>
    </cfRule>
    <cfRule type="expression" dxfId="27510" priority="3708">
      <formula>$A329="Tunnel"</formula>
    </cfRule>
    <cfRule type="expression" dxfId="27509" priority="3709">
      <formula>$A329="Bridge"</formula>
    </cfRule>
    <cfRule type="expression" dxfId="27508" priority="3710">
      <formula>$A329="Drainage Works"</formula>
    </cfRule>
    <cfRule type="expression" dxfId="27507" priority="3711">
      <formula>$A329="Underpass"</formula>
    </cfRule>
    <cfRule type="expression" dxfId="27506" priority="3712">
      <formula>$A329="Overcrossing"</formula>
    </cfRule>
    <cfRule type="expression" dxfId="27505" priority="3713">
      <formula>$A329="Overpass"</formula>
    </cfRule>
    <cfRule type="expression" dxfId="27504" priority="3714">
      <formula>$A329="Station"</formula>
    </cfRule>
    <cfRule type="expression" dxfId="27503" priority="3715">
      <formula>$A329="Overlap between sections"</formula>
    </cfRule>
  </conditionalFormatting>
  <conditionalFormatting sqref="AW331">
    <cfRule type="expression" dxfId="27502" priority="3702">
      <formula>$M331="NON DEFINED"</formula>
    </cfRule>
    <cfRule type="expression" dxfId="27501" priority="3703">
      <formula>$AZ331="N.D."</formula>
    </cfRule>
    <cfRule type="expression" dxfId="27500" priority="3704">
      <formula>$AY331="N.D."</formula>
    </cfRule>
  </conditionalFormatting>
  <conditionalFormatting sqref="AW331">
    <cfRule type="expression" dxfId="27499" priority="3691">
      <formula>$A331="Overhead Cable"</formula>
    </cfRule>
    <cfRule type="expression" dxfId="27498" priority="3692">
      <formula>$A331="Level Crossing"</formula>
    </cfRule>
    <cfRule type="expression" dxfId="27497" priority="3693">
      <formula>$A331="Neutral Section"</formula>
    </cfRule>
    <cfRule type="expression" dxfId="27496" priority="3694">
      <formula>$A331="Tunnel"</formula>
    </cfRule>
    <cfRule type="expression" dxfId="27495" priority="3695">
      <formula>$A331="Bridge"</formula>
    </cfRule>
    <cfRule type="expression" dxfId="27494" priority="3696">
      <formula>$A331="Drainage Works"</formula>
    </cfRule>
    <cfRule type="expression" dxfId="27493" priority="3697">
      <formula>$A331="Underpass"</formula>
    </cfRule>
    <cfRule type="expression" dxfId="27492" priority="3698">
      <formula>$A331="Overcrossing"</formula>
    </cfRule>
    <cfRule type="expression" dxfId="27491" priority="3699">
      <formula>$A331="Overpass"</formula>
    </cfRule>
    <cfRule type="expression" dxfId="27490" priority="3700">
      <formula>$A331="Station"</formula>
    </cfRule>
    <cfRule type="expression" dxfId="27489" priority="3701">
      <formula>$A331="Overlap between sections"</formula>
    </cfRule>
  </conditionalFormatting>
  <conditionalFormatting sqref="AX331">
    <cfRule type="expression" dxfId="27488" priority="3688">
      <formula>$M331="NON DEFINED"</formula>
    </cfRule>
    <cfRule type="expression" dxfId="27487" priority="3689">
      <formula>$AZ331="N.D."</formula>
    </cfRule>
    <cfRule type="expression" dxfId="27486" priority="3690">
      <formula>$AY331="N.D."</formula>
    </cfRule>
  </conditionalFormatting>
  <conditionalFormatting sqref="AX331">
    <cfRule type="expression" dxfId="27485" priority="3677">
      <formula>$A331="Overhead Cable"</formula>
    </cfRule>
    <cfRule type="expression" dxfId="27484" priority="3678">
      <formula>$A331="Level Crossing"</formula>
    </cfRule>
    <cfRule type="expression" dxfId="27483" priority="3679">
      <formula>$A331="Neutral Section"</formula>
    </cfRule>
    <cfRule type="expression" dxfId="27482" priority="3680">
      <formula>$A331="Tunnel"</formula>
    </cfRule>
    <cfRule type="expression" dxfId="27481" priority="3681">
      <formula>$A331="Bridge"</formula>
    </cfRule>
    <cfRule type="expression" dxfId="27480" priority="3682">
      <formula>$A331="Drainage Works"</formula>
    </cfRule>
    <cfRule type="expression" dxfId="27479" priority="3683">
      <formula>$A331="Underpass"</formula>
    </cfRule>
    <cfRule type="expression" dxfId="27478" priority="3684">
      <formula>$A331="Overcrossing"</formula>
    </cfRule>
    <cfRule type="expression" dxfId="27477" priority="3685">
      <formula>$A331="Overpass"</formula>
    </cfRule>
    <cfRule type="expression" dxfId="27476" priority="3686">
      <formula>$A331="Station"</formula>
    </cfRule>
    <cfRule type="expression" dxfId="27475" priority="3687">
      <formula>$A331="Overlap between sections"</formula>
    </cfRule>
  </conditionalFormatting>
  <conditionalFormatting sqref="AW333">
    <cfRule type="expression" dxfId="27474" priority="3674">
      <formula>$M333="NON DEFINED"</formula>
    </cfRule>
    <cfRule type="expression" dxfId="27473" priority="3675">
      <formula>$AZ333="N.D."</formula>
    </cfRule>
    <cfRule type="expression" dxfId="27472" priority="3676">
      <formula>$AY333="N.D."</formula>
    </cfRule>
  </conditionalFormatting>
  <conditionalFormatting sqref="AW333">
    <cfRule type="expression" dxfId="27471" priority="3663">
      <formula>$A333="Overhead Cable"</formula>
    </cfRule>
    <cfRule type="expression" dxfId="27470" priority="3664">
      <formula>$A333="Level Crossing"</formula>
    </cfRule>
    <cfRule type="expression" dxfId="27469" priority="3665">
      <formula>$A333="Neutral Section"</formula>
    </cfRule>
    <cfRule type="expression" dxfId="27468" priority="3666">
      <formula>$A333="Tunnel"</formula>
    </cfRule>
    <cfRule type="expression" dxfId="27467" priority="3667">
      <formula>$A333="Bridge"</formula>
    </cfRule>
    <cfRule type="expression" dxfId="27466" priority="3668">
      <formula>$A333="Drainage Works"</formula>
    </cfRule>
    <cfRule type="expression" dxfId="27465" priority="3669">
      <formula>$A333="Underpass"</formula>
    </cfRule>
    <cfRule type="expression" dxfId="27464" priority="3670">
      <formula>$A333="Overcrossing"</formula>
    </cfRule>
    <cfRule type="expression" dxfId="27463" priority="3671">
      <formula>$A333="Overpass"</formula>
    </cfRule>
    <cfRule type="expression" dxfId="27462" priority="3672">
      <formula>$A333="Station"</formula>
    </cfRule>
    <cfRule type="expression" dxfId="27461" priority="3673">
      <formula>$A333="Overlap between sections"</formula>
    </cfRule>
  </conditionalFormatting>
  <conditionalFormatting sqref="AX333">
    <cfRule type="expression" dxfId="27460" priority="3660">
      <formula>$M333="NON DEFINED"</formula>
    </cfRule>
    <cfRule type="expression" dxfId="27459" priority="3661">
      <formula>$AZ333="N.D."</formula>
    </cfRule>
    <cfRule type="expression" dxfId="27458" priority="3662">
      <formula>$AY333="N.D."</formula>
    </cfRule>
  </conditionalFormatting>
  <conditionalFormatting sqref="AX333">
    <cfRule type="expression" dxfId="27457" priority="3649">
      <formula>$A333="Overhead Cable"</formula>
    </cfRule>
    <cfRule type="expression" dxfId="27456" priority="3650">
      <formula>$A333="Level Crossing"</formula>
    </cfRule>
    <cfRule type="expression" dxfId="27455" priority="3651">
      <formula>$A333="Neutral Section"</formula>
    </cfRule>
    <cfRule type="expression" dxfId="27454" priority="3652">
      <formula>$A333="Tunnel"</formula>
    </cfRule>
    <cfRule type="expression" dxfId="27453" priority="3653">
      <formula>$A333="Bridge"</formula>
    </cfRule>
    <cfRule type="expression" dxfId="27452" priority="3654">
      <formula>$A333="Drainage Works"</formula>
    </cfRule>
    <cfRule type="expression" dxfId="27451" priority="3655">
      <formula>$A333="Underpass"</formula>
    </cfRule>
    <cfRule type="expression" dxfId="27450" priority="3656">
      <formula>$A333="Overcrossing"</formula>
    </cfRule>
    <cfRule type="expression" dxfId="27449" priority="3657">
      <formula>$A333="Overpass"</formula>
    </cfRule>
    <cfRule type="expression" dxfId="27448" priority="3658">
      <formula>$A333="Station"</formula>
    </cfRule>
    <cfRule type="expression" dxfId="27447" priority="3659">
      <formula>$A333="Overlap between sections"</formula>
    </cfRule>
  </conditionalFormatting>
  <conditionalFormatting sqref="AX405">
    <cfRule type="expression" dxfId="27446" priority="2753">
      <formula>$A405="Overhead Cable"</formula>
    </cfRule>
    <cfRule type="expression" dxfId="27445" priority="2754">
      <formula>$A405="Level Crossing"</formula>
    </cfRule>
    <cfRule type="expression" dxfId="27444" priority="2755">
      <formula>$A405="Neutral Section"</formula>
    </cfRule>
    <cfRule type="expression" dxfId="27443" priority="2756">
      <formula>$A405="Tunnel"</formula>
    </cfRule>
    <cfRule type="expression" dxfId="27442" priority="2757">
      <formula>$A405="Bridge"</formula>
    </cfRule>
    <cfRule type="expression" dxfId="27441" priority="2758">
      <formula>$A405="Drainage Works"</formula>
    </cfRule>
    <cfRule type="expression" dxfId="27440" priority="2759">
      <formula>$A405="Underpass"</formula>
    </cfRule>
    <cfRule type="expression" dxfId="27439" priority="2760">
      <formula>$A405="Overcrossing"</formula>
    </cfRule>
    <cfRule type="expression" dxfId="27438" priority="2761">
      <formula>$A405="Overpass"</formula>
    </cfRule>
    <cfRule type="expression" dxfId="27437" priority="2762">
      <formula>$A405="Station"</formula>
    </cfRule>
    <cfRule type="expression" dxfId="27436" priority="2763">
      <formula>$A405="Overlap between sections"</formula>
    </cfRule>
  </conditionalFormatting>
  <conditionalFormatting sqref="AW337">
    <cfRule type="expression" dxfId="27435" priority="3646">
      <formula>$M337="NON DEFINED"</formula>
    </cfRule>
    <cfRule type="expression" dxfId="27434" priority="3647">
      <formula>$AZ337="N.D."</formula>
    </cfRule>
    <cfRule type="expression" dxfId="27433" priority="3648">
      <formula>$AY337="N.D."</formula>
    </cfRule>
  </conditionalFormatting>
  <conditionalFormatting sqref="AW337">
    <cfRule type="expression" dxfId="27432" priority="3635">
      <formula>$A337="Overhead Cable"</formula>
    </cfRule>
    <cfRule type="expression" dxfId="27431" priority="3636">
      <formula>$A337="Level Crossing"</formula>
    </cfRule>
    <cfRule type="expression" dxfId="27430" priority="3637">
      <formula>$A337="Neutral Section"</formula>
    </cfRule>
    <cfRule type="expression" dxfId="27429" priority="3638">
      <formula>$A337="Tunnel"</formula>
    </cfRule>
    <cfRule type="expression" dxfId="27428" priority="3639">
      <formula>$A337="Bridge"</formula>
    </cfRule>
    <cfRule type="expression" dxfId="27427" priority="3640">
      <formula>$A337="Drainage Works"</formula>
    </cfRule>
    <cfRule type="expression" dxfId="27426" priority="3641">
      <formula>$A337="Underpass"</formula>
    </cfRule>
    <cfRule type="expression" dxfId="27425" priority="3642">
      <formula>$A337="Overcrossing"</formula>
    </cfRule>
    <cfRule type="expression" dxfId="27424" priority="3643">
      <formula>$A337="Overpass"</formula>
    </cfRule>
    <cfRule type="expression" dxfId="27423" priority="3644">
      <formula>$A337="Station"</formula>
    </cfRule>
    <cfRule type="expression" dxfId="27422" priority="3645">
      <formula>$A337="Overlap between sections"</formula>
    </cfRule>
  </conditionalFormatting>
  <conditionalFormatting sqref="AX337">
    <cfRule type="expression" dxfId="27421" priority="3632">
      <formula>$M337="NON DEFINED"</formula>
    </cfRule>
    <cfRule type="expression" dxfId="27420" priority="3633">
      <formula>$AZ337="N.D."</formula>
    </cfRule>
    <cfRule type="expression" dxfId="27419" priority="3634">
      <formula>$AY337="N.D."</formula>
    </cfRule>
  </conditionalFormatting>
  <conditionalFormatting sqref="AX337">
    <cfRule type="expression" dxfId="27418" priority="3621">
      <formula>$A337="Overhead Cable"</formula>
    </cfRule>
    <cfRule type="expression" dxfId="27417" priority="3622">
      <formula>$A337="Level Crossing"</formula>
    </cfRule>
    <cfRule type="expression" dxfId="27416" priority="3623">
      <formula>$A337="Neutral Section"</formula>
    </cfRule>
    <cfRule type="expression" dxfId="27415" priority="3624">
      <formula>$A337="Tunnel"</formula>
    </cfRule>
    <cfRule type="expression" dxfId="27414" priority="3625">
      <formula>$A337="Bridge"</formula>
    </cfRule>
    <cfRule type="expression" dxfId="27413" priority="3626">
      <formula>$A337="Drainage Works"</formula>
    </cfRule>
    <cfRule type="expression" dxfId="27412" priority="3627">
      <formula>$A337="Underpass"</formula>
    </cfRule>
    <cfRule type="expression" dxfId="27411" priority="3628">
      <formula>$A337="Overcrossing"</formula>
    </cfRule>
    <cfRule type="expression" dxfId="27410" priority="3629">
      <formula>$A337="Overpass"</formula>
    </cfRule>
    <cfRule type="expression" dxfId="27409" priority="3630">
      <formula>$A337="Station"</formula>
    </cfRule>
    <cfRule type="expression" dxfId="27408" priority="3631">
      <formula>$A337="Overlap between sections"</formula>
    </cfRule>
  </conditionalFormatting>
  <conditionalFormatting sqref="AW339">
    <cfRule type="expression" dxfId="27407" priority="3618">
      <formula>$M339="NON DEFINED"</formula>
    </cfRule>
    <cfRule type="expression" dxfId="27406" priority="3619">
      <formula>$AZ339="N.D."</formula>
    </cfRule>
    <cfRule type="expression" dxfId="27405" priority="3620">
      <formula>$AY339="N.D."</formula>
    </cfRule>
  </conditionalFormatting>
  <conditionalFormatting sqref="AW339">
    <cfRule type="expression" dxfId="27404" priority="3607">
      <formula>$A339="Overhead Cable"</formula>
    </cfRule>
    <cfRule type="expression" dxfId="27403" priority="3608">
      <formula>$A339="Level Crossing"</formula>
    </cfRule>
    <cfRule type="expression" dxfId="27402" priority="3609">
      <formula>$A339="Neutral Section"</formula>
    </cfRule>
    <cfRule type="expression" dxfId="27401" priority="3610">
      <formula>$A339="Tunnel"</formula>
    </cfRule>
    <cfRule type="expression" dxfId="27400" priority="3611">
      <formula>$A339="Bridge"</formula>
    </cfRule>
    <cfRule type="expression" dxfId="27399" priority="3612">
      <formula>$A339="Drainage Works"</formula>
    </cfRule>
    <cfRule type="expression" dxfId="27398" priority="3613">
      <formula>$A339="Underpass"</formula>
    </cfRule>
    <cfRule type="expression" dxfId="27397" priority="3614">
      <formula>$A339="Overcrossing"</formula>
    </cfRule>
    <cfRule type="expression" dxfId="27396" priority="3615">
      <formula>$A339="Overpass"</formula>
    </cfRule>
    <cfRule type="expression" dxfId="27395" priority="3616">
      <formula>$A339="Station"</formula>
    </cfRule>
    <cfRule type="expression" dxfId="27394" priority="3617">
      <formula>$A339="Overlap between sections"</formula>
    </cfRule>
  </conditionalFormatting>
  <conditionalFormatting sqref="AX339">
    <cfRule type="expression" dxfId="27393" priority="3604">
      <formula>$M339="NON DEFINED"</formula>
    </cfRule>
    <cfRule type="expression" dxfId="27392" priority="3605">
      <formula>$AZ339="N.D."</formula>
    </cfRule>
    <cfRule type="expression" dxfId="27391" priority="3606">
      <formula>$AY339="N.D."</formula>
    </cfRule>
  </conditionalFormatting>
  <conditionalFormatting sqref="AX339">
    <cfRule type="expression" dxfId="27390" priority="3593">
      <formula>$A339="Overhead Cable"</formula>
    </cfRule>
    <cfRule type="expression" dxfId="27389" priority="3594">
      <formula>$A339="Level Crossing"</formula>
    </cfRule>
    <cfRule type="expression" dxfId="27388" priority="3595">
      <formula>$A339="Neutral Section"</formula>
    </cfRule>
    <cfRule type="expression" dxfId="27387" priority="3596">
      <formula>$A339="Tunnel"</formula>
    </cfRule>
    <cfRule type="expression" dxfId="27386" priority="3597">
      <formula>$A339="Bridge"</formula>
    </cfRule>
    <cfRule type="expression" dxfId="27385" priority="3598">
      <formula>$A339="Drainage Works"</formula>
    </cfRule>
    <cfRule type="expression" dxfId="27384" priority="3599">
      <formula>$A339="Underpass"</formula>
    </cfRule>
    <cfRule type="expression" dxfId="27383" priority="3600">
      <formula>$A339="Overcrossing"</formula>
    </cfRule>
    <cfRule type="expression" dxfId="27382" priority="3601">
      <formula>$A339="Overpass"</formula>
    </cfRule>
    <cfRule type="expression" dxfId="27381" priority="3602">
      <formula>$A339="Station"</formula>
    </cfRule>
    <cfRule type="expression" dxfId="27380" priority="3603">
      <formula>$A339="Overlap between sections"</formula>
    </cfRule>
  </conditionalFormatting>
  <conditionalFormatting sqref="AW341">
    <cfRule type="expression" dxfId="27379" priority="3590">
      <formula>$M341="NON DEFINED"</formula>
    </cfRule>
    <cfRule type="expression" dxfId="27378" priority="3591">
      <formula>$AZ341="N.D."</formula>
    </cfRule>
    <cfRule type="expression" dxfId="27377" priority="3592">
      <formula>$AY341="N.D."</formula>
    </cfRule>
  </conditionalFormatting>
  <conditionalFormatting sqref="AW341">
    <cfRule type="expression" dxfId="27376" priority="3579">
      <formula>$A341="Overhead Cable"</formula>
    </cfRule>
    <cfRule type="expression" dxfId="27375" priority="3580">
      <formula>$A341="Level Crossing"</formula>
    </cfRule>
    <cfRule type="expression" dxfId="27374" priority="3581">
      <formula>$A341="Neutral Section"</formula>
    </cfRule>
    <cfRule type="expression" dxfId="27373" priority="3582">
      <formula>$A341="Tunnel"</formula>
    </cfRule>
    <cfRule type="expression" dxfId="27372" priority="3583">
      <formula>$A341="Bridge"</formula>
    </cfRule>
    <cfRule type="expression" dxfId="27371" priority="3584">
      <formula>$A341="Drainage Works"</formula>
    </cfRule>
    <cfRule type="expression" dxfId="27370" priority="3585">
      <formula>$A341="Underpass"</formula>
    </cfRule>
    <cfRule type="expression" dxfId="27369" priority="3586">
      <formula>$A341="Overcrossing"</formula>
    </cfRule>
    <cfRule type="expression" dxfId="27368" priority="3587">
      <formula>$A341="Overpass"</formula>
    </cfRule>
    <cfRule type="expression" dxfId="27367" priority="3588">
      <formula>$A341="Station"</formula>
    </cfRule>
    <cfRule type="expression" dxfId="27366" priority="3589">
      <formula>$A341="Overlap between sections"</formula>
    </cfRule>
  </conditionalFormatting>
  <conditionalFormatting sqref="AX341">
    <cfRule type="expression" dxfId="27365" priority="3576">
      <formula>$M341="NON DEFINED"</formula>
    </cfRule>
    <cfRule type="expression" dxfId="27364" priority="3577">
      <formula>$AZ341="N.D."</formula>
    </cfRule>
    <cfRule type="expression" dxfId="27363" priority="3578">
      <formula>$AY341="N.D."</formula>
    </cfRule>
  </conditionalFormatting>
  <conditionalFormatting sqref="AX341">
    <cfRule type="expression" dxfId="27362" priority="3565">
      <formula>$A341="Overhead Cable"</formula>
    </cfRule>
    <cfRule type="expression" dxfId="27361" priority="3566">
      <formula>$A341="Level Crossing"</formula>
    </cfRule>
    <cfRule type="expression" dxfId="27360" priority="3567">
      <formula>$A341="Neutral Section"</formula>
    </cfRule>
    <cfRule type="expression" dxfId="27359" priority="3568">
      <formula>$A341="Tunnel"</formula>
    </cfRule>
    <cfRule type="expression" dxfId="27358" priority="3569">
      <formula>$A341="Bridge"</formula>
    </cfRule>
    <cfRule type="expression" dxfId="27357" priority="3570">
      <formula>$A341="Drainage Works"</formula>
    </cfRule>
    <cfRule type="expression" dxfId="27356" priority="3571">
      <formula>$A341="Underpass"</formula>
    </cfRule>
    <cfRule type="expression" dxfId="27355" priority="3572">
      <formula>$A341="Overcrossing"</formula>
    </cfRule>
    <cfRule type="expression" dxfId="27354" priority="3573">
      <formula>$A341="Overpass"</formula>
    </cfRule>
    <cfRule type="expression" dxfId="27353" priority="3574">
      <formula>$A341="Station"</formula>
    </cfRule>
    <cfRule type="expression" dxfId="27352" priority="3575">
      <formula>$A341="Overlap between sections"</formula>
    </cfRule>
  </conditionalFormatting>
  <conditionalFormatting sqref="AW343">
    <cfRule type="expression" dxfId="27351" priority="3562">
      <formula>$M343="NON DEFINED"</formula>
    </cfRule>
    <cfRule type="expression" dxfId="27350" priority="3563">
      <formula>$AZ343="N.D."</formula>
    </cfRule>
    <cfRule type="expression" dxfId="27349" priority="3564">
      <formula>$AY343="N.D."</formula>
    </cfRule>
  </conditionalFormatting>
  <conditionalFormatting sqref="AW343">
    <cfRule type="expression" dxfId="27348" priority="3551">
      <formula>$A343="Overhead Cable"</formula>
    </cfRule>
    <cfRule type="expression" dxfId="27347" priority="3552">
      <formula>$A343="Level Crossing"</formula>
    </cfRule>
    <cfRule type="expression" dxfId="27346" priority="3553">
      <formula>$A343="Neutral Section"</formula>
    </cfRule>
    <cfRule type="expression" dxfId="27345" priority="3554">
      <formula>$A343="Tunnel"</formula>
    </cfRule>
    <cfRule type="expression" dxfId="27344" priority="3555">
      <formula>$A343="Bridge"</formula>
    </cfRule>
    <cfRule type="expression" dxfId="27343" priority="3556">
      <formula>$A343="Drainage Works"</formula>
    </cfRule>
    <cfRule type="expression" dxfId="27342" priority="3557">
      <formula>$A343="Underpass"</formula>
    </cfRule>
    <cfRule type="expression" dxfId="27341" priority="3558">
      <formula>$A343="Overcrossing"</formula>
    </cfRule>
    <cfRule type="expression" dxfId="27340" priority="3559">
      <formula>$A343="Overpass"</formula>
    </cfRule>
    <cfRule type="expression" dxfId="27339" priority="3560">
      <formula>$A343="Station"</formula>
    </cfRule>
    <cfRule type="expression" dxfId="27338" priority="3561">
      <formula>$A343="Overlap between sections"</formula>
    </cfRule>
  </conditionalFormatting>
  <conditionalFormatting sqref="AX343">
    <cfRule type="expression" dxfId="27337" priority="3548">
      <formula>$M343="NON DEFINED"</formula>
    </cfRule>
    <cfRule type="expression" dxfId="27336" priority="3549">
      <formula>$AZ343="N.D."</formula>
    </cfRule>
    <cfRule type="expression" dxfId="27335" priority="3550">
      <formula>$AY343="N.D."</formula>
    </cfRule>
  </conditionalFormatting>
  <conditionalFormatting sqref="AX343">
    <cfRule type="expression" dxfId="27334" priority="3537">
      <formula>$A343="Overhead Cable"</formula>
    </cfRule>
    <cfRule type="expression" dxfId="27333" priority="3538">
      <formula>$A343="Level Crossing"</formula>
    </cfRule>
    <cfRule type="expression" dxfId="27332" priority="3539">
      <formula>$A343="Neutral Section"</formula>
    </cfRule>
    <cfRule type="expression" dxfId="27331" priority="3540">
      <formula>$A343="Tunnel"</formula>
    </cfRule>
    <cfRule type="expression" dxfId="27330" priority="3541">
      <formula>$A343="Bridge"</formula>
    </cfRule>
    <cfRule type="expression" dxfId="27329" priority="3542">
      <formula>$A343="Drainage Works"</formula>
    </cfRule>
    <cfRule type="expression" dxfId="27328" priority="3543">
      <formula>$A343="Underpass"</formula>
    </cfRule>
    <cfRule type="expression" dxfId="27327" priority="3544">
      <formula>$A343="Overcrossing"</formula>
    </cfRule>
    <cfRule type="expression" dxfId="27326" priority="3545">
      <formula>$A343="Overpass"</formula>
    </cfRule>
    <cfRule type="expression" dxfId="27325" priority="3546">
      <formula>$A343="Station"</formula>
    </cfRule>
    <cfRule type="expression" dxfId="27324" priority="3547">
      <formula>$A343="Overlap between sections"</formula>
    </cfRule>
  </conditionalFormatting>
  <conditionalFormatting sqref="AW345">
    <cfRule type="expression" dxfId="27323" priority="3534">
      <formula>$M345="NON DEFINED"</formula>
    </cfRule>
    <cfRule type="expression" dxfId="27322" priority="3535">
      <formula>$AZ345="N.D."</formula>
    </cfRule>
    <cfRule type="expression" dxfId="27321" priority="3536">
      <formula>$AY345="N.D."</formula>
    </cfRule>
  </conditionalFormatting>
  <conditionalFormatting sqref="AW345">
    <cfRule type="expression" dxfId="27320" priority="3523">
      <formula>$A345="Overhead Cable"</formula>
    </cfRule>
    <cfRule type="expression" dxfId="27319" priority="3524">
      <formula>$A345="Level Crossing"</formula>
    </cfRule>
    <cfRule type="expression" dxfId="27318" priority="3525">
      <formula>$A345="Neutral Section"</formula>
    </cfRule>
    <cfRule type="expression" dxfId="27317" priority="3526">
      <formula>$A345="Tunnel"</formula>
    </cfRule>
    <cfRule type="expression" dxfId="27316" priority="3527">
      <formula>$A345="Bridge"</formula>
    </cfRule>
    <cfRule type="expression" dxfId="27315" priority="3528">
      <formula>$A345="Drainage Works"</formula>
    </cfRule>
    <cfRule type="expression" dxfId="27314" priority="3529">
      <formula>$A345="Underpass"</formula>
    </cfRule>
    <cfRule type="expression" dxfId="27313" priority="3530">
      <formula>$A345="Overcrossing"</formula>
    </cfRule>
    <cfRule type="expression" dxfId="27312" priority="3531">
      <formula>$A345="Overpass"</formula>
    </cfRule>
    <cfRule type="expression" dxfId="27311" priority="3532">
      <formula>$A345="Station"</formula>
    </cfRule>
    <cfRule type="expression" dxfId="27310" priority="3533">
      <formula>$A345="Overlap between sections"</formula>
    </cfRule>
  </conditionalFormatting>
  <conditionalFormatting sqref="AX345">
    <cfRule type="expression" dxfId="27309" priority="3520">
      <formula>$M345="NON DEFINED"</formula>
    </cfRule>
    <cfRule type="expression" dxfId="27308" priority="3521">
      <formula>$AZ345="N.D."</formula>
    </cfRule>
    <cfRule type="expression" dxfId="27307" priority="3522">
      <formula>$AY345="N.D."</formula>
    </cfRule>
  </conditionalFormatting>
  <conditionalFormatting sqref="AX345">
    <cfRule type="expression" dxfId="27306" priority="3509">
      <formula>$A345="Overhead Cable"</formula>
    </cfRule>
    <cfRule type="expression" dxfId="27305" priority="3510">
      <formula>$A345="Level Crossing"</formula>
    </cfRule>
    <cfRule type="expression" dxfId="27304" priority="3511">
      <formula>$A345="Neutral Section"</formula>
    </cfRule>
    <cfRule type="expression" dxfId="27303" priority="3512">
      <formula>$A345="Tunnel"</formula>
    </cfRule>
    <cfRule type="expression" dxfId="27302" priority="3513">
      <formula>$A345="Bridge"</formula>
    </cfRule>
    <cfRule type="expression" dxfId="27301" priority="3514">
      <formula>$A345="Drainage Works"</formula>
    </cfRule>
    <cfRule type="expression" dxfId="27300" priority="3515">
      <formula>$A345="Underpass"</formula>
    </cfRule>
    <cfRule type="expression" dxfId="27299" priority="3516">
      <formula>$A345="Overcrossing"</formula>
    </cfRule>
    <cfRule type="expression" dxfId="27298" priority="3517">
      <formula>$A345="Overpass"</formula>
    </cfRule>
    <cfRule type="expression" dxfId="27297" priority="3518">
      <formula>$A345="Station"</formula>
    </cfRule>
    <cfRule type="expression" dxfId="27296" priority="3519">
      <formula>$A345="Overlap between sections"</formula>
    </cfRule>
  </conditionalFormatting>
  <conditionalFormatting sqref="AW347">
    <cfRule type="expression" dxfId="27295" priority="3506">
      <formula>$M347="NON DEFINED"</formula>
    </cfRule>
    <cfRule type="expression" dxfId="27294" priority="3507">
      <formula>$AZ347="N.D."</formula>
    </cfRule>
    <cfRule type="expression" dxfId="27293" priority="3508">
      <formula>$AY347="N.D."</formula>
    </cfRule>
  </conditionalFormatting>
  <conditionalFormatting sqref="AW347">
    <cfRule type="expression" dxfId="27292" priority="3495">
      <formula>$A347="Overhead Cable"</formula>
    </cfRule>
    <cfRule type="expression" dxfId="27291" priority="3496">
      <formula>$A347="Level Crossing"</formula>
    </cfRule>
    <cfRule type="expression" dxfId="27290" priority="3497">
      <formula>$A347="Neutral Section"</formula>
    </cfRule>
    <cfRule type="expression" dxfId="27289" priority="3498">
      <formula>$A347="Tunnel"</formula>
    </cfRule>
    <cfRule type="expression" dxfId="27288" priority="3499">
      <formula>$A347="Bridge"</formula>
    </cfRule>
    <cfRule type="expression" dxfId="27287" priority="3500">
      <formula>$A347="Drainage Works"</formula>
    </cfRule>
    <cfRule type="expression" dxfId="27286" priority="3501">
      <formula>$A347="Underpass"</formula>
    </cfRule>
    <cfRule type="expression" dxfId="27285" priority="3502">
      <formula>$A347="Overcrossing"</formula>
    </cfRule>
    <cfRule type="expression" dxfId="27284" priority="3503">
      <formula>$A347="Overpass"</formula>
    </cfRule>
    <cfRule type="expression" dxfId="27283" priority="3504">
      <formula>$A347="Station"</formula>
    </cfRule>
    <cfRule type="expression" dxfId="27282" priority="3505">
      <formula>$A347="Overlap between sections"</formula>
    </cfRule>
  </conditionalFormatting>
  <conditionalFormatting sqref="AX347">
    <cfRule type="expression" dxfId="27281" priority="3492">
      <formula>$M347="NON DEFINED"</formula>
    </cfRule>
    <cfRule type="expression" dxfId="27280" priority="3493">
      <formula>$AZ347="N.D."</formula>
    </cfRule>
    <cfRule type="expression" dxfId="27279" priority="3494">
      <formula>$AY347="N.D."</formula>
    </cfRule>
  </conditionalFormatting>
  <conditionalFormatting sqref="AX347">
    <cfRule type="expression" dxfId="27278" priority="3481">
      <formula>$A347="Overhead Cable"</formula>
    </cfRule>
    <cfRule type="expression" dxfId="27277" priority="3482">
      <formula>$A347="Level Crossing"</formula>
    </cfRule>
    <cfRule type="expression" dxfId="27276" priority="3483">
      <formula>$A347="Neutral Section"</formula>
    </cfRule>
    <cfRule type="expression" dxfId="27275" priority="3484">
      <formula>$A347="Tunnel"</formula>
    </cfRule>
    <cfRule type="expression" dxfId="27274" priority="3485">
      <formula>$A347="Bridge"</formula>
    </cfRule>
    <cfRule type="expression" dxfId="27273" priority="3486">
      <formula>$A347="Drainage Works"</formula>
    </cfRule>
    <cfRule type="expression" dxfId="27272" priority="3487">
      <formula>$A347="Underpass"</formula>
    </cfRule>
    <cfRule type="expression" dxfId="27271" priority="3488">
      <formula>$A347="Overcrossing"</formula>
    </cfRule>
    <cfRule type="expression" dxfId="27270" priority="3489">
      <formula>$A347="Overpass"</formula>
    </cfRule>
    <cfRule type="expression" dxfId="27269" priority="3490">
      <formula>$A347="Station"</formula>
    </cfRule>
    <cfRule type="expression" dxfId="27268" priority="3491">
      <formula>$A347="Overlap between sections"</formula>
    </cfRule>
  </conditionalFormatting>
  <conditionalFormatting sqref="AW349">
    <cfRule type="expression" dxfId="27267" priority="3478">
      <formula>$M349="NON DEFINED"</formula>
    </cfRule>
    <cfRule type="expression" dxfId="27266" priority="3479">
      <formula>$AZ349="N.D."</formula>
    </cfRule>
    <cfRule type="expression" dxfId="27265" priority="3480">
      <formula>$AY349="N.D."</formula>
    </cfRule>
  </conditionalFormatting>
  <conditionalFormatting sqref="AW349">
    <cfRule type="expression" dxfId="27264" priority="3467">
      <formula>$A349="Overhead Cable"</formula>
    </cfRule>
    <cfRule type="expression" dxfId="27263" priority="3468">
      <formula>$A349="Level Crossing"</formula>
    </cfRule>
    <cfRule type="expression" dxfId="27262" priority="3469">
      <formula>$A349="Neutral Section"</formula>
    </cfRule>
    <cfRule type="expression" dxfId="27261" priority="3470">
      <formula>$A349="Tunnel"</formula>
    </cfRule>
    <cfRule type="expression" dxfId="27260" priority="3471">
      <formula>$A349="Bridge"</formula>
    </cfRule>
    <cfRule type="expression" dxfId="27259" priority="3472">
      <formula>$A349="Drainage Works"</formula>
    </cfRule>
    <cfRule type="expression" dxfId="27258" priority="3473">
      <formula>$A349="Underpass"</formula>
    </cfRule>
    <cfRule type="expression" dxfId="27257" priority="3474">
      <formula>$A349="Overcrossing"</formula>
    </cfRule>
    <cfRule type="expression" dxfId="27256" priority="3475">
      <formula>$A349="Overpass"</formula>
    </cfRule>
    <cfRule type="expression" dxfId="27255" priority="3476">
      <formula>$A349="Station"</formula>
    </cfRule>
    <cfRule type="expression" dxfId="27254" priority="3477">
      <formula>$A349="Overlap between sections"</formula>
    </cfRule>
  </conditionalFormatting>
  <conditionalFormatting sqref="AX349">
    <cfRule type="expression" dxfId="27253" priority="3464">
      <formula>$M349="NON DEFINED"</formula>
    </cfRule>
    <cfRule type="expression" dxfId="27252" priority="3465">
      <formula>$AZ349="N.D."</formula>
    </cfRule>
    <cfRule type="expression" dxfId="27251" priority="3466">
      <formula>$AY349="N.D."</formula>
    </cfRule>
  </conditionalFormatting>
  <conditionalFormatting sqref="AX349">
    <cfRule type="expression" dxfId="27250" priority="3453">
      <formula>$A349="Overhead Cable"</formula>
    </cfRule>
    <cfRule type="expression" dxfId="27249" priority="3454">
      <formula>$A349="Level Crossing"</formula>
    </cfRule>
    <cfRule type="expression" dxfId="27248" priority="3455">
      <formula>$A349="Neutral Section"</formula>
    </cfRule>
    <cfRule type="expression" dxfId="27247" priority="3456">
      <formula>$A349="Tunnel"</formula>
    </cfRule>
    <cfRule type="expression" dxfId="27246" priority="3457">
      <formula>$A349="Bridge"</formula>
    </cfRule>
    <cfRule type="expression" dxfId="27245" priority="3458">
      <formula>$A349="Drainage Works"</formula>
    </cfRule>
    <cfRule type="expression" dxfId="27244" priority="3459">
      <formula>$A349="Underpass"</formula>
    </cfRule>
    <cfRule type="expression" dxfId="27243" priority="3460">
      <formula>$A349="Overcrossing"</formula>
    </cfRule>
    <cfRule type="expression" dxfId="27242" priority="3461">
      <formula>$A349="Overpass"</formula>
    </cfRule>
    <cfRule type="expression" dxfId="27241" priority="3462">
      <formula>$A349="Station"</formula>
    </cfRule>
    <cfRule type="expression" dxfId="27240" priority="3463">
      <formula>$A349="Overlap between sections"</formula>
    </cfRule>
  </conditionalFormatting>
  <conditionalFormatting sqref="AW351">
    <cfRule type="expression" dxfId="27239" priority="3450">
      <formula>$M351="NON DEFINED"</formula>
    </cfRule>
    <cfRule type="expression" dxfId="27238" priority="3451">
      <formula>$AZ351="N.D."</formula>
    </cfRule>
    <cfRule type="expression" dxfId="27237" priority="3452">
      <formula>$AY351="N.D."</formula>
    </cfRule>
  </conditionalFormatting>
  <conditionalFormatting sqref="AW351">
    <cfRule type="expression" dxfId="27236" priority="3439">
      <formula>$A351="Overhead Cable"</formula>
    </cfRule>
    <cfRule type="expression" dxfId="27235" priority="3440">
      <formula>$A351="Level Crossing"</formula>
    </cfRule>
    <cfRule type="expression" dxfId="27234" priority="3441">
      <formula>$A351="Neutral Section"</formula>
    </cfRule>
    <cfRule type="expression" dxfId="27233" priority="3442">
      <formula>$A351="Tunnel"</formula>
    </cfRule>
    <cfRule type="expression" dxfId="27232" priority="3443">
      <formula>$A351="Bridge"</formula>
    </cfRule>
    <cfRule type="expression" dxfId="27231" priority="3444">
      <formula>$A351="Drainage Works"</formula>
    </cfRule>
    <cfRule type="expression" dxfId="27230" priority="3445">
      <formula>$A351="Underpass"</formula>
    </cfRule>
    <cfRule type="expression" dxfId="27229" priority="3446">
      <formula>$A351="Overcrossing"</formula>
    </cfRule>
    <cfRule type="expression" dxfId="27228" priority="3447">
      <formula>$A351="Overpass"</formula>
    </cfRule>
    <cfRule type="expression" dxfId="27227" priority="3448">
      <formula>$A351="Station"</formula>
    </cfRule>
    <cfRule type="expression" dxfId="27226" priority="3449">
      <formula>$A351="Overlap between sections"</formula>
    </cfRule>
  </conditionalFormatting>
  <conditionalFormatting sqref="AX351">
    <cfRule type="expression" dxfId="27225" priority="3436">
      <formula>$M351="NON DEFINED"</formula>
    </cfRule>
    <cfRule type="expression" dxfId="27224" priority="3437">
      <formula>$AZ351="N.D."</formula>
    </cfRule>
    <cfRule type="expression" dxfId="27223" priority="3438">
      <formula>$AY351="N.D."</formula>
    </cfRule>
  </conditionalFormatting>
  <conditionalFormatting sqref="AX351">
    <cfRule type="expression" dxfId="27222" priority="3425">
      <formula>$A351="Overhead Cable"</formula>
    </cfRule>
    <cfRule type="expression" dxfId="27221" priority="3426">
      <formula>$A351="Level Crossing"</formula>
    </cfRule>
    <cfRule type="expression" dxfId="27220" priority="3427">
      <formula>$A351="Neutral Section"</formula>
    </cfRule>
    <cfRule type="expression" dxfId="27219" priority="3428">
      <formula>$A351="Tunnel"</formula>
    </cfRule>
    <cfRule type="expression" dxfId="27218" priority="3429">
      <formula>$A351="Bridge"</formula>
    </cfRule>
    <cfRule type="expression" dxfId="27217" priority="3430">
      <formula>$A351="Drainage Works"</formula>
    </cfRule>
    <cfRule type="expression" dxfId="27216" priority="3431">
      <formula>$A351="Underpass"</formula>
    </cfRule>
    <cfRule type="expression" dxfId="27215" priority="3432">
      <formula>$A351="Overcrossing"</formula>
    </cfRule>
    <cfRule type="expression" dxfId="27214" priority="3433">
      <formula>$A351="Overpass"</formula>
    </cfRule>
    <cfRule type="expression" dxfId="27213" priority="3434">
      <formula>$A351="Station"</formula>
    </cfRule>
    <cfRule type="expression" dxfId="27212" priority="3435">
      <formula>$A351="Overlap between sections"</formula>
    </cfRule>
  </conditionalFormatting>
  <conditionalFormatting sqref="AW353">
    <cfRule type="expression" dxfId="27211" priority="3422">
      <formula>$M353="NON DEFINED"</formula>
    </cfRule>
    <cfRule type="expression" dxfId="27210" priority="3423">
      <formula>$AZ353="N.D."</formula>
    </cfRule>
    <cfRule type="expression" dxfId="27209" priority="3424">
      <formula>$AY353="N.D."</formula>
    </cfRule>
  </conditionalFormatting>
  <conditionalFormatting sqref="AW353">
    <cfRule type="expression" dxfId="27208" priority="3411">
      <formula>$A353="Overhead Cable"</formula>
    </cfRule>
    <cfRule type="expression" dxfId="27207" priority="3412">
      <formula>$A353="Level Crossing"</formula>
    </cfRule>
    <cfRule type="expression" dxfId="27206" priority="3413">
      <formula>$A353="Neutral Section"</formula>
    </cfRule>
    <cfRule type="expression" dxfId="27205" priority="3414">
      <formula>$A353="Tunnel"</formula>
    </cfRule>
    <cfRule type="expression" dxfId="27204" priority="3415">
      <formula>$A353="Bridge"</formula>
    </cfRule>
    <cfRule type="expression" dxfId="27203" priority="3416">
      <formula>$A353="Drainage Works"</formula>
    </cfRule>
    <cfRule type="expression" dxfId="27202" priority="3417">
      <formula>$A353="Underpass"</formula>
    </cfRule>
    <cfRule type="expression" dxfId="27201" priority="3418">
      <formula>$A353="Overcrossing"</formula>
    </cfRule>
    <cfRule type="expression" dxfId="27200" priority="3419">
      <formula>$A353="Overpass"</formula>
    </cfRule>
    <cfRule type="expression" dxfId="27199" priority="3420">
      <formula>$A353="Station"</formula>
    </cfRule>
    <cfRule type="expression" dxfId="27198" priority="3421">
      <formula>$A353="Overlap between sections"</formula>
    </cfRule>
  </conditionalFormatting>
  <conditionalFormatting sqref="AX353">
    <cfRule type="expression" dxfId="27197" priority="3408">
      <formula>$M353="NON DEFINED"</formula>
    </cfRule>
    <cfRule type="expression" dxfId="27196" priority="3409">
      <formula>$AZ353="N.D."</formula>
    </cfRule>
    <cfRule type="expression" dxfId="27195" priority="3410">
      <formula>$AY353="N.D."</formula>
    </cfRule>
  </conditionalFormatting>
  <conditionalFormatting sqref="AX353">
    <cfRule type="expression" dxfId="27194" priority="3397">
      <formula>$A353="Overhead Cable"</formula>
    </cfRule>
    <cfRule type="expression" dxfId="27193" priority="3398">
      <formula>$A353="Level Crossing"</formula>
    </cfRule>
    <cfRule type="expression" dxfId="27192" priority="3399">
      <formula>$A353="Neutral Section"</formula>
    </cfRule>
    <cfRule type="expression" dxfId="27191" priority="3400">
      <formula>$A353="Tunnel"</formula>
    </cfRule>
    <cfRule type="expression" dxfId="27190" priority="3401">
      <formula>$A353="Bridge"</formula>
    </cfRule>
    <cfRule type="expression" dxfId="27189" priority="3402">
      <formula>$A353="Drainage Works"</formula>
    </cfRule>
    <cfRule type="expression" dxfId="27188" priority="3403">
      <formula>$A353="Underpass"</formula>
    </cfRule>
    <cfRule type="expression" dxfId="27187" priority="3404">
      <formula>$A353="Overcrossing"</formula>
    </cfRule>
    <cfRule type="expression" dxfId="27186" priority="3405">
      <formula>$A353="Overpass"</formula>
    </cfRule>
    <cfRule type="expression" dxfId="27185" priority="3406">
      <formula>$A353="Station"</formula>
    </cfRule>
    <cfRule type="expression" dxfId="27184" priority="3407">
      <formula>$A353="Overlap between sections"</formula>
    </cfRule>
  </conditionalFormatting>
  <conditionalFormatting sqref="AW355">
    <cfRule type="expression" dxfId="27183" priority="3394">
      <formula>$M355="NON DEFINED"</formula>
    </cfRule>
    <cfRule type="expression" dxfId="27182" priority="3395">
      <formula>$AZ355="N.D."</formula>
    </cfRule>
    <cfRule type="expression" dxfId="27181" priority="3396">
      <formula>$AY355="N.D."</formula>
    </cfRule>
  </conditionalFormatting>
  <conditionalFormatting sqref="AW355">
    <cfRule type="expression" dxfId="27180" priority="3383">
      <formula>$A355="Overhead Cable"</formula>
    </cfRule>
    <cfRule type="expression" dxfId="27179" priority="3384">
      <formula>$A355="Level Crossing"</formula>
    </cfRule>
    <cfRule type="expression" dxfId="27178" priority="3385">
      <formula>$A355="Neutral Section"</formula>
    </cfRule>
    <cfRule type="expression" dxfId="27177" priority="3386">
      <formula>$A355="Tunnel"</formula>
    </cfRule>
    <cfRule type="expression" dxfId="27176" priority="3387">
      <formula>$A355="Bridge"</formula>
    </cfRule>
    <cfRule type="expression" dxfId="27175" priority="3388">
      <formula>$A355="Drainage Works"</formula>
    </cfRule>
    <cfRule type="expression" dxfId="27174" priority="3389">
      <formula>$A355="Underpass"</formula>
    </cfRule>
    <cfRule type="expression" dxfId="27173" priority="3390">
      <formula>$A355="Overcrossing"</formula>
    </cfRule>
    <cfRule type="expression" dxfId="27172" priority="3391">
      <formula>$A355="Overpass"</formula>
    </cfRule>
    <cfRule type="expression" dxfId="27171" priority="3392">
      <formula>$A355="Station"</formula>
    </cfRule>
    <cfRule type="expression" dxfId="27170" priority="3393">
      <formula>$A355="Overlap between sections"</formula>
    </cfRule>
  </conditionalFormatting>
  <conditionalFormatting sqref="AX355">
    <cfRule type="expression" dxfId="27169" priority="3380">
      <formula>$M355="NON DEFINED"</formula>
    </cfRule>
    <cfRule type="expression" dxfId="27168" priority="3381">
      <formula>$AZ355="N.D."</formula>
    </cfRule>
    <cfRule type="expression" dxfId="27167" priority="3382">
      <formula>$AY355="N.D."</formula>
    </cfRule>
  </conditionalFormatting>
  <conditionalFormatting sqref="AX355">
    <cfRule type="expression" dxfId="27166" priority="3369">
      <formula>$A355="Overhead Cable"</formula>
    </cfRule>
    <cfRule type="expression" dxfId="27165" priority="3370">
      <formula>$A355="Level Crossing"</formula>
    </cfRule>
    <cfRule type="expression" dxfId="27164" priority="3371">
      <formula>$A355="Neutral Section"</formula>
    </cfRule>
    <cfRule type="expression" dxfId="27163" priority="3372">
      <formula>$A355="Tunnel"</formula>
    </cfRule>
    <cfRule type="expression" dxfId="27162" priority="3373">
      <formula>$A355="Bridge"</formula>
    </cfRule>
    <cfRule type="expression" dxfId="27161" priority="3374">
      <formula>$A355="Drainage Works"</formula>
    </cfRule>
    <cfRule type="expression" dxfId="27160" priority="3375">
      <formula>$A355="Underpass"</formula>
    </cfRule>
    <cfRule type="expression" dxfId="27159" priority="3376">
      <formula>$A355="Overcrossing"</formula>
    </cfRule>
    <cfRule type="expression" dxfId="27158" priority="3377">
      <formula>$A355="Overpass"</formula>
    </cfRule>
    <cfRule type="expression" dxfId="27157" priority="3378">
      <formula>$A355="Station"</formula>
    </cfRule>
    <cfRule type="expression" dxfId="27156" priority="3379">
      <formula>$A355="Overlap between sections"</formula>
    </cfRule>
  </conditionalFormatting>
  <conditionalFormatting sqref="AW357">
    <cfRule type="expression" dxfId="27155" priority="3366">
      <formula>$M357="NON DEFINED"</formula>
    </cfRule>
    <cfRule type="expression" dxfId="27154" priority="3367">
      <formula>$AZ357="N.D."</formula>
    </cfRule>
    <cfRule type="expression" dxfId="27153" priority="3368">
      <formula>$AY357="N.D."</formula>
    </cfRule>
  </conditionalFormatting>
  <conditionalFormatting sqref="AW357">
    <cfRule type="expression" dxfId="27152" priority="3355">
      <formula>$A357="Overhead Cable"</formula>
    </cfRule>
    <cfRule type="expression" dxfId="27151" priority="3356">
      <formula>$A357="Level Crossing"</formula>
    </cfRule>
    <cfRule type="expression" dxfId="27150" priority="3357">
      <formula>$A357="Neutral Section"</formula>
    </cfRule>
    <cfRule type="expression" dxfId="27149" priority="3358">
      <formula>$A357="Tunnel"</formula>
    </cfRule>
    <cfRule type="expression" dxfId="27148" priority="3359">
      <formula>$A357="Bridge"</formula>
    </cfRule>
    <cfRule type="expression" dxfId="27147" priority="3360">
      <formula>$A357="Drainage Works"</formula>
    </cfRule>
    <cfRule type="expression" dxfId="27146" priority="3361">
      <formula>$A357="Underpass"</formula>
    </cfRule>
    <cfRule type="expression" dxfId="27145" priority="3362">
      <formula>$A357="Overcrossing"</formula>
    </cfRule>
    <cfRule type="expression" dxfId="27144" priority="3363">
      <formula>$A357="Overpass"</formula>
    </cfRule>
    <cfRule type="expression" dxfId="27143" priority="3364">
      <formula>$A357="Station"</formula>
    </cfRule>
    <cfRule type="expression" dxfId="27142" priority="3365">
      <formula>$A357="Overlap between sections"</formula>
    </cfRule>
  </conditionalFormatting>
  <conditionalFormatting sqref="AX357">
    <cfRule type="expression" dxfId="27141" priority="3352">
      <formula>$M357="NON DEFINED"</formula>
    </cfRule>
    <cfRule type="expression" dxfId="27140" priority="3353">
      <formula>$AZ357="N.D."</formula>
    </cfRule>
    <cfRule type="expression" dxfId="27139" priority="3354">
      <formula>$AY357="N.D."</formula>
    </cfRule>
  </conditionalFormatting>
  <conditionalFormatting sqref="AX357">
    <cfRule type="expression" dxfId="27138" priority="3341">
      <formula>$A357="Overhead Cable"</formula>
    </cfRule>
    <cfRule type="expression" dxfId="27137" priority="3342">
      <formula>$A357="Level Crossing"</formula>
    </cfRule>
    <cfRule type="expression" dxfId="27136" priority="3343">
      <formula>$A357="Neutral Section"</formula>
    </cfRule>
    <cfRule type="expression" dxfId="27135" priority="3344">
      <formula>$A357="Tunnel"</formula>
    </cfRule>
    <cfRule type="expression" dxfId="27134" priority="3345">
      <formula>$A357="Bridge"</formula>
    </cfRule>
    <cfRule type="expression" dxfId="27133" priority="3346">
      <formula>$A357="Drainage Works"</formula>
    </cfRule>
    <cfRule type="expression" dxfId="27132" priority="3347">
      <formula>$A357="Underpass"</formula>
    </cfRule>
    <cfRule type="expression" dxfId="27131" priority="3348">
      <formula>$A357="Overcrossing"</formula>
    </cfRule>
    <cfRule type="expression" dxfId="27130" priority="3349">
      <formula>$A357="Overpass"</formula>
    </cfRule>
    <cfRule type="expression" dxfId="27129" priority="3350">
      <formula>$A357="Station"</formula>
    </cfRule>
    <cfRule type="expression" dxfId="27128" priority="3351">
      <formula>$A357="Overlap between sections"</formula>
    </cfRule>
  </conditionalFormatting>
  <conditionalFormatting sqref="AW359">
    <cfRule type="expression" dxfId="27127" priority="3338">
      <formula>$M359="NON DEFINED"</formula>
    </cfRule>
    <cfRule type="expression" dxfId="27126" priority="3339">
      <formula>$AZ359="N.D."</formula>
    </cfRule>
    <cfRule type="expression" dxfId="27125" priority="3340">
      <formula>$AY359="N.D."</formula>
    </cfRule>
  </conditionalFormatting>
  <conditionalFormatting sqref="AW359">
    <cfRule type="expression" dxfId="27124" priority="3327">
      <formula>$A359="Overhead Cable"</formula>
    </cfRule>
    <cfRule type="expression" dxfId="27123" priority="3328">
      <formula>$A359="Level Crossing"</formula>
    </cfRule>
    <cfRule type="expression" dxfId="27122" priority="3329">
      <formula>$A359="Neutral Section"</formula>
    </cfRule>
    <cfRule type="expression" dxfId="27121" priority="3330">
      <formula>$A359="Tunnel"</formula>
    </cfRule>
    <cfRule type="expression" dxfId="27120" priority="3331">
      <formula>$A359="Bridge"</formula>
    </cfRule>
    <cfRule type="expression" dxfId="27119" priority="3332">
      <formula>$A359="Drainage Works"</formula>
    </cfRule>
    <cfRule type="expression" dxfId="27118" priority="3333">
      <formula>$A359="Underpass"</formula>
    </cfRule>
    <cfRule type="expression" dxfId="27117" priority="3334">
      <formula>$A359="Overcrossing"</formula>
    </cfRule>
    <cfRule type="expression" dxfId="27116" priority="3335">
      <formula>$A359="Overpass"</formula>
    </cfRule>
    <cfRule type="expression" dxfId="27115" priority="3336">
      <formula>$A359="Station"</formula>
    </cfRule>
    <cfRule type="expression" dxfId="27114" priority="3337">
      <formula>$A359="Overlap between sections"</formula>
    </cfRule>
  </conditionalFormatting>
  <conditionalFormatting sqref="AX359">
    <cfRule type="expression" dxfId="27113" priority="3324">
      <formula>$M359="NON DEFINED"</formula>
    </cfRule>
    <cfRule type="expression" dxfId="27112" priority="3325">
      <formula>$AZ359="N.D."</formula>
    </cfRule>
    <cfRule type="expression" dxfId="27111" priority="3326">
      <formula>$AY359="N.D."</formula>
    </cfRule>
  </conditionalFormatting>
  <conditionalFormatting sqref="AX359">
    <cfRule type="expression" dxfId="27110" priority="3313">
      <formula>$A359="Overhead Cable"</formula>
    </cfRule>
    <cfRule type="expression" dxfId="27109" priority="3314">
      <formula>$A359="Level Crossing"</formula>
    </cfRule>
    <cfRule type="expression" dxfId="27108" priority="3315">
      <formula>$A359="Neutral Section"</formula>
    </cfRule>
    <cfRule type="expression" dxfId="27107" priority="3316">
      <formula>$A359="Tunnel"</formula>
    </cfRule>
    <cfRule type="expression" dxfId="27106" priority="3317">
      <formula>$A359="Bridge"</formula>
    </cfRule>
    <cfRule type="expression" dxfId="27105" priority="3318">
      <formula>$A359="Drainage Works"</formula>
    </cfRule>
    <cfRule type="expression" dxfId="27104" priority="3319">
      <formula>$A359="Underpass"</formula>
    </cfRule>
    <cfRule type="expression" dxfId="27103" priority="3320">
      <formula>$A359="Overcrossing"</formula>
    </cfRule>
    <cfRule type="expression" dxfId="27102" priority="3321">
      <formula>$A359="Overpass"</formula>
    </cfRule>
    <cfRule type="expression" dxfId="27101" priority="3322">
      <formula>$A359="Station"</formula>
    </cfRule>
    <cfRule type="expression" dxfId="27100" priority="3323">
      <formula>$A359="Overlap between sections"</formula>
    </cfRule>
  </conditionalFormatting>
  <conditionalFormatting sqref="AW361">
    <cfRule type="expression" dxfId="27099" priority="3310">
      <formula>$M361="NON DEFINED"</formula>
    </cfRule>
    <cfRule type="expression" dxfId="27098" priority="3311">
      <formula>$AZ361="N.D."</formula>
    </cfRule>
    <cfRule type="expression" dxfId="27097" priority="3312">
      <formula>$AY361="N.D."</formula>
    </cfRule>
  </conditionalFormatting>
  <conditionalFormatting sqref="AW361">
    <cfRule type="expression" dxfId="27096" priority="3299">
      <formula>$A361="Overhead Cable"</formula>
    </cfRule>
    <cfRule type="expression" dxfId="27095" priority="3300">
      <formula>$A361="Level Crossing"</formula>
    </cfRule>
    <cfRule type="expression" dxfId="27094" priority="3301">
      <formula>$A361="Neutral Section"</formula>
    </cfRule>
    <cfRule type="expression" dxfId="27093" priority="3302">
      <formula>$A361="Tunnel"</formula>
    </cfRule>
    <cfRule type="expression" dxfId="27092" priority="3303">
      <formula>$A361="Bridge"</formula>
    </cfRule>
    <cfRule type="expression" dxfId="27091" priority="3304">
      <formula>$A361="Drainage Works"</formula>
    </cfRule>
    <cfRule type="expression" dxfId="27090" priority="3305">
      <formula>$A361="Underpass"</formula>
    </cfRule>
    <cfRule type="expression" dxfId="27089" priority="3306">
      <formula>$A361="Overcrossing"</formula>
    </cfRule>
    <cfRule type="expression" dxfId="27088" priority="3307">
      <formula>$A361="Overpass"</formula>
    </cfRule>
    <cfRule type="expression" dxfId="27087" priority="3308">
      <formula>$A361="Station"</formula>
    </cfRule>
    <cfRule type="expression" dxfId="27086" priority="3309">
      <formula>$A361="Overlap between sections"</formula>
    </cfRule>
  </conditionalFormatting>
  <conditionalFormatting sqref="AX361">
    <cfRule type="expression" dxfId="27085" priority="3296">
      <formula>$M361="NON DEFINED"</formula>
    </cfRule>
    <cfRule type="expression" dxfId="27084" priority="3297">
      <formula>$AZ361="N.D."</formula>
    </cfRule>
    <cfRule type="expression" dxfId="27083" priority="3298">
      <formula>$AY361="N.D."</formula>
    </cfRule>
  </conditionalFormatting>
  <conditionalFormatting sqref="AX361">
    <cfRule type="expression" dxfId="27082" priority="3285">
      <formula>$A361="Overhead Cable"</formula>
    </cfRule>
    <cfRule type="expression" dxfId="27081" priority="3286">
      <formula>$A361="Level Crossing"</formula>
    </cfRule>
    <cfRule type="expression" dxfId="27080" priority="3287">
      <formula>$A361="Neutral Section"</formula>
    </cfRule>
    <cfRule type="expression" dxfId="27079" priority="3288">
      <formula>$A361="Tunnel"</formula>
    </cfRule>
    <cfRule type="expression" dxfId="27078" priority="3289">
      <formula>$A361="Bridge"</formula>
    </cfRule>
    <cfRule type="expression" dxfId="27077" priority="3290">
      <formula>$A361="Drainage Works"</formula>
    </cfRule>
    <cfRule type="expression" dxfId="27076" priority="3291">
      <formula>$A361="Underpass"</formula>
    </cfRule>
    <cfRule type="expression" dxfId="27075" priority="3292">
      <formula>$A361="Overcrossing"</formula>
    </cfRule>
    <cfRule type="expression" dxfId="27074" priority="3293">
      <formula>$A361="Overpass"</formula>
    </cfRule>
    <cfRule type="expression" dxfId="27073" priority="3294">
      <formula>$A361="Station"</formula>
    </cfRule>
    <cfRule type="expression" dxfId="27072" priority="3295">
      <formula>$A361="Overlap between sections"</formula>
    </cfRule>
  </conditionalFormatting>
  <conditionalFormatting sqref="AW365">
    <cfRule type="expression" dxfId="27071" priority="3282">
      <formula>$M365="NON DEFINED"</formula>
    </cfRule>
    <cfRule type="expression" dxfId="27070" priority="3283">
      <formula>$AZ365="N.D."</formula>
    </cfRule>
    <cfRule type="expression" dxfId="27069" priority="3284">
      <formula>$AY365="N.D."</formula>
    </cfRule>
  </conditionalFormatting>
  <conditionalFormatting sqref="AW365">
    <cfRule type="expression" dxfId="27068" priority="3271">
      <formula>$A365="Overhead Cable"</formula>
    </cfRule>
    <cfRule type="expression" dxfId="27067" priority="3272">
      <formula>$A365="Level Crossing"</formula>
    </cfRule>
    <cfRule type="expression" dxfId="27066" priority="3273">
      <formula>$A365="Neutral Section"</formula>
    </cfRule>
    <cfRule type="expression" dxfId="27065" priority="3274">
      <formula>$A365="Tunnel"</formula>
    </cfRule>
    <cfRule type="expression" dxfId="27064" priority="3275">
      <formula>$A365="Bridge"</formula>
    </cfRule>
    <cfRule type="expression" dxfId="27063" priority="3276">
      <formula>$A365="Drainage Works"</formula>
    </cfRule>
    <cfRule type="expression" dxfId="27062" priority="3277">
      <formula>$A365="Underpass"</formula>
    </cfRule>
    <cfRule type="expression" dxfId="27061" priority="3278">
      <formula>$A365="Overcrossing"</formula>
    </cfRule>
    <cfRule type="expression" dxfId="27060" priority="3279">
      <formula>$A365="Overpass"</formula>
    </cfRule>
    <cfRule type="expression" dxfId="27059" priority="3280">
      <formula>$A365="Station"</formula>
    </cfRule>
    <cfRule type="expression" dxfId="27058" priority="3281">
      <formula>$A365="Overlap between sections"</formula>
    </cfRule>
  </conditionalFormatting>
  <conditionalFormatting sqref="AX365">
    <cfRule type="expression" dxfId="27057" priority="3268">
      <formula>$M365="NON DEFINED"</formula>
    </cfRule>
    <cfRule type="expression" dxfId="27056" priority="3269">
      <formula>$AZ365="N.D."</formula>
    </cfRule>
    <cfRule type="expression" dxfId="27055" priority="3270">
      <formula>$AY365="N.D."</formula>
    </cfRule>
  </conditionalFormatting>
  <conditionalFormatting sqref="AX365">
    <cfRule type="expression" dxfId="27054" priority="3257">
      <formula>$A365="Overhead Cable"</formula>
    </cfRule>
    <cfRule type="expression" dxfId="27053" priority="3258">
      <formula>$A365="Level Crossing"</formula>
    </cfRule>
    <cfRule type="expression" dxfId="27052" priority="3259">
      <formula>$A365="Neutral Section"</formula>
    </cfRule>
    <cfRule type="expression" dxfId="27051" priority="3260">
      <formula>$A365="Tunnel"</formula>
    </cfRule>
    <cfRule type="expression" dxfId="27050" priority="3261">
      <formula>$A365="Bridge"</formula>
    </cfRule>
    <cfRule type="expression" dxfId="27049" priority="3262">
      <formula>$A365="Drainage Works"</formula>
    </cfRule>
    <cfRule type="expression" dxfId="27048" priority="3263">
      <formula>$A365="Underpass"</formula>
    </cfRule>
    <cfRule type="expression" dxfId="27047" priority="3264">
      <formula>$A365="Overcrossing"</formula>
    </cfRule>
    <cfRule type="expression" dxfId="27046" priority="3265">
      <formula>$A365="Overpass"</formula>
    </cfRule>
    <cfRule type="expression" dxfId="27045" priority="3266">
      <formula>$A365="Station"</formula>
    </cfRule>
    <cfRule type="expression" dxfId="27044" priority="3267">
      <formula>$A365="Overlap between sections"</formula>
    </cfRule>
  </conditionalFormatting>
  <conditionalFormatting sqref="AW367">
    <cfRule type="expression" dxfId="27043" priority="3254">
      <formula>$M367="NON DEFINED"</formula>
    </cfRule>
    <cfRule type="expression" dxfId="27042" priority="3255">
      <formula>$AZ367="N.D."</formula>
    </cfRule>
    <cfRule type="expression" dxfId="27041" priority="3256">
      <formula>$AY367="N.D."</formula>
    </cfRule>
  </conditionalFormatting>
  <conditionalFormatting sqref="AW367">
    <cfRule type="expression" dxfId="27040" priority="3243">
      <formula>$A367="Overhead Cable"</formula>
    </cfRule>
    <cfRule type="expression" dxfId="27039" priority="3244">
      <formula>$A367="Level Crossing"</formula>
    </cfRule>
    <cfRule type="expression" dxfId="27038" priority="3245">
      <formula>$A367="Neutral Section"</formula>
    </cfRule>
    <cfRule type="expression" dxfId="27037" priority="3246">
      <formula>$A367="Tunnel"</formula>
    </cfRule>
    <cfRule type="expression" dxfId="27036" priority="3247">
      <formula>$A367="Bridge"</formula>
    </cfRule>
    <cfRule type="expression" dxfId="27035" priority="3248">
      <formula>$A367="Drainage Works"</formula>
    </cfRule>
    <cfRule type="expression" dxfId="27034" priority="3249">
      <formula>$A367="Underpass"</formula>
    </cfRule>
    <cfRule type="expression" dxfId="27033" priority="3250">
      <formula>$A367="Overcrossing"</formula>
    </cfRule>
    <cfRule type="expression" dxfId="27032" priority="3251">
      <formula>$A367="Overpass"</formula>
    </cfRule>
    <cfRule type="expression" dxfId="27031" priority="3252">
      <formula>$A367="Station"</formula>
    </cfRule>
    <cfRule type="expression" dxfId="27030" priority="3253">
      <formula>$A367="Overlap between sections"</formula>
    </cfRule>
  </conditionalFormatting>
  <conditionalFormatting sqref="AX367">
    <cfRule type="expression" dxfId="27029" priority="3240">
      <formula>$M367="NON DEFINED"</formula>
    </cfRule>
    <cfRule type="expression" dxfId="27028" priority="3241">
      <formula>$AZ367="N.D."</formula>
    </cfRule>
    <cfRule type="expression" dxfId="27027" priority="3242">
      <formula>$AY367="N.D."</formula>
    </cfRule>
  </conditionalFormatting>
  <conditionalFormatting sqref="AX367">
    <cfRule type="expression" dxfId="27026" priority="3229">
      <formula>$A367="Overhead Cable"</formula>
    </cfRule>
    <cfRule type="expression" dxfId="27025" priority="3230">
      <formula>$A367="Level Crossing"</formula>
    </cfRule>
    <cfRule type="expression" dxfId="27024" priority="3231">
      <formula>$A367="Neutral Section"</formula>
    </cfRule>
    <cfRule type="expression" dxfId="27023" priority="3232">
      <formula>$A367="Tunnel"</formula>
    </cfRule>
    <cfRule type="expression" dxfId="27022" priority="3233">
      <formula>$A367="Bridge"</formula>
    </cfRule>
    <cfRule type="expression" dxfId="27021" priority="3234">
      <formula>$A367="Drainage Works"</formula>
    </cfRule>
    <cfRule type="expression" dxfId="27020" priority="3235">
      <formula>$A367="Underpass"</formula>
    </cfRule>
    <cfRule type="expression" dxfId="27019" priority="3236">
      <formula>$A367="Overcrossing"</formula>
    </cfRule>
    <cfRule type="expression" dxfId="27018" priority="3237">
      <formula>$A367="Overpass"</formula>
    </cfRule>
    <cfRule type="expression" dxfId="27017" priority="3238">
      <formula>$A367="Station"</formula>
    </cfRule>
    <cfRule type="expression" dxfId="27016" priority="3239">
      <formula>$A367="Overlap between sections"</formula>
    </cfRule>
  </conditionalFormatting>
  <conditionalFormatting sqref="AW369">
    <cfRule type="expression" dxfId="27015" priority="3226">
      <formula>$M369="NON DEFINED"</formula>
    </cfRule>
    <cfRule type="expression" dxfId="27014" priority="3227">
      <formula>$AZ369="N.D."</formula>
    </cfRule>
    <cfRule type="expression" dxfId="27013" priority="3228">
      <formula>$AY369="N.D."</formula>
    </cfRule>
  </conditionalFormatting>
  <conditionalFormatting sqref="AW369">
    <cfRule type="expression" dxfId="27012" priority="3215">
      <formula>$A369="Overhead Cable"</formula>
    </cfRule>
    <cfRule type="expression" dxfId="27011" priority="3216">
      <formula>$A369="Level Crossing"</formula>
    </cfRule>
    <cfRule type="expression" dxfId="27010" priority="3217">
      <formula>$A369="Neutral Section"</formula>
    </cfRule>
    <cfRule type="expression" dxfId="27009" priority="3218">
      <formula>$A369="Tunnel"</formula>
    </cfRule>
    <cfRule type="expression" dxfId="27008" priority="3219">
      <formula>$A369="Bridge"</formula>
    </cfRule>
    <cfRule type="expression" dxfId="27007" priority="3220">
      <formula>$A369="Drainage Works"</formula>
    </cfRule>
    <cfRule type="expression" dxfId="27006" priority="3221">
      <formula>$A369="Underpass"</formula>
    </cfRule>
    <cfRule type="expression" dxfId="27005" priority="3222">
      <formula>$A369="Overcrossing"</formula>
    </cfRule>
    <cfRule type="expression" dxfId="27004" priority="3223">
      <formula>$A369="Overpass"</formula>
    </cfRule>
    <cfRule type="expression" dxfId="27003" priority="3224">
      <formula>$A369="Station"</formula>
    </cfRule>
    <cfRule type="expression" dxfId="27002" priority="3225">
      <formula>$A369="Overlap between sections"</formula>
    </cfRule>
  </conditionalFormatting>
  <conditionalFormatting sqref="AX369">
    <cfRule type="expression" dxfId="27001" priority="3212">
      <formula>$M369="NON DEFINED"</formula>
    </cfRule>
    <cfRule type="expression" dxfId="27000" priority="3213">
      <formula>$AZ369="N.D."</formula>
    </cfRule>
    <cfRule type="expression" dxfId="26999" priority="3214">
      <formula>$AY369="N.D."</formula>
    </cfRule>
  </conditionalFormatting>
  <conditionalFormatting sqref="AX369">
    <cfRule type="expression" dxfId="26998" priority="3201">
      <formula>$A369="Overhead Cable"</formula>
    </cfRule>
    <cfRule type="expression" dxfId="26997" priority="3202">
      <formula>$A369="Level Crossing"</formula>
    </cfRule>
    <cfRule type="expression" dxfId="26996" priority="3203">
      <formula>$A369="Neutral Section"</formula>
    </cfRule>
    <cfRule type="expression" dxfId="26995" priority="3204">
      <formula>$A369="Tunnel"</formula>
    </cfRule>
    <cfRule type="expression" dxfId="26994" priority="3205">
      <formula>$A369="Bridge"</formula>
    </cfRule>
    <cfRule type="expression" dxfId="26993" priority="3206">
      <formula>$A369="Drainage Works"</formula>
    </cfRule>
    <cfRule type="expression" dxfId="26992" priority="3207">
      <formula>$A369="Underpass"</formula>
    </cfRule>
    <cfRule type="expression" dxfId="26991" priority="3208">
      <formula>$A369="Overcrossing"</formula>
    </cfRule>
    <cfRule type="expression" dxfId="26990" priority="3209">
      <formula>$A369="Overpass"</formula>
    </cfRule>
    <cfRule type="expression" dxfId="26989" priority="3210">
      <formula>$A369="Station"</formula>
    </cfRule>
    <cfRule type="expression" dxfId="26988" priority="3211">
      <formula>$A369="Overlap between sections"</formula>
    </cfRule>
  </conditionalFormatting>
  <conditionalFormatting sqref="AW371">
    <cfRule type="expression" dxfId="26987" priority="3198">
      <formula>$M371="NON DEFINED"</formula>
    </cfRule>
    <cfRule type="expression" dxfId="26986" priority="3199">
      <formula>$AZ371="N.D."</formula>
    </cfRule>
    <cfRule type="expression" dxfId="26985" priority="3200">
      <formula>$AY371="N.D."</formula>
    </cfRule>
  </conditionalFormatting>
  <conditionalFormatting sqref="AW371">
    <cfRule type="expression" dxfId="26984" priority="3187">
      <formula>$A371="Overhead Cable"</formula>
    </cfRule>
    <cfRule type="expression" dxfId="26983" priority="3188">
      <formula>$A371="Level Crossing"</formula>
    </cfRule>
    <cfRule type="expression" dxfId="26982" priority="3189">
      <formula>$A371="Neutral Section"</formula>
    </cfRule>
    <cfRule type="expression" dxfId="26981" priority="3190">
      <formula>$A371="Tunnel"</formula>
    </cfRule>
    <cfRule type="expression" dxfId="26980" priority="3191">
      <formula>$A371="Bridge"</formula>
    </cfRule>
    <cfRule type="expression" dxfId="26979" priority="3192">
      <formula>$A371="Drainage Works"</formula>
    </cfRule>
    <cfRule type="expression" dxfId="26978" priority="3193">
      <formula>$A371="Underpass"</formula>
    </cfRule>
    <cfRule type="expression" dxfId="26977" priority="3194">
      <formula>$A371="Overcrossing"</formula>
    </cfRule>
    <cfRule type="expression" dxfId="26976" priority="3195">
      <formula>$A371="Overpass"</formula>
    </cfRule>
    <cfRule type="expression" dxfId="26975" priority="3196">
      <formula>$A371="Station"</formula>
    </cfRule>
    <cfRule type="expression" dxfId="26974" priority="3197">
      <formula>$A371="Overlap between sections"</formula>
    </cfRule>
  </conditionalFormatting>
  <conditionalFormatting sqref="AX371">
    <cfRule type="expression" dxfId="26973" priority="3184">
      <formula>$M371="NON DEFINED"</formula>
    </cfRule>
    <cfRule type="expression" dxfId="26972" priority="3185">
      <formula>$AZ371="N.D."</formula>
    </cfRule>
    <cfRule type="expression" dxfId="26971" priority="3186">
      <formula>$AY371="N.D."</formula>
    </cfRule>
  </conditionalFormatting>
  <conditionalFormatting sqref="AX371">
    <cfRule type="expression" dxfId="26970" priority="3173">
      <formula>$A371="Overhead Cable"</formula>
    </cfRule>
    <cfRule type="expression" dxfId="26969" priority="3174">
      <formula>$A371="Level Crossing"</formula>
    </cfRule>
    <cfRule type="expression" dxfId="26968" priority="3175">
      <formula>$A371="Neutral Section"</formula>
    </cfRule>
    <cfRule type="expression" dxfId="26967" priority="3176">
      <formula>$A371="Tunnel"</formula>
    </cfRule>
    <cfRule type="expression" dxfId="26966" priority="3177">
      <formula>$A371="Bridge"</formula>
    </cfRule>
    <cfRule type="expression" dxfId="26965" priority="3178">
      <formula>$A371="Drainage Works"</formula>
    </cfRule>
    <cfRule type="expression" dxfId="26964" priority="3179">
      <formula>$A371="Underpass"</formula>
    </cfRule>
    <cfRule type="expression" dxfId="26963" priority="3180">
      <formula>$A371="Overcrossing"</formula>
    </cfRule>
    <cfRule type="expression" dxfId="26962" priority="3181">
      <formula>$A371="Overpass"</formula>
    </cfRule>
    <cfRule type="expression" dxfId="26961" priority="3182">
      <formula>$A371="Station"</formula>
    </cfRule>
    <cfRule type="expression" dxfId="26960" priority="3183">
      <formula>$A371="Overlap between sections"</formula>
    </cfRule>
  </conditionalFormatting>
  <conditionalFormatting sqref="AW373">
    <cfRule type="expression" dxfId="26959" priority="3170">
      <formula>$M373="NON DEFINED"</formula>
    </cfRule>
    <cfRule type="expression" dxfId="26958" priority="3171">
      <formula>$AZ373="N.D."</formula>
    </cfRule>
    <cfRule type="expression" dxfId="26957" priority="3172">
      <formula>$AY373="N.D."</formula>
    </cfRule>
  </conditionalFormatting>
  <conditionalFormatting sqref="AW373">
    <cfRule type="expression" dxfId="26956" priority="3159">
      <formula>$A373="Overhead Cable"</formula>
    </cfRule>
    <cfRule type="expression" dxfId="26955" priority="3160">
      <formula>$A373="Level Crossing"</formula>
    </cfRule>
    <cfRule type="expression" dxfId="26954" priority="3161">
      <formula>$A373="Neutral Section"</formula>
    </cfRule>
    <cfRule type="expression" dxfId="26953" priority="3162">
      <formula>$A373="Tunnel"</formula>
    </cfRule>
    <cfRule type="expression" dxfId="26952" priority="3163">
      <formula>$A373="Bridge"</formula>
    </cfRule>
    <cfRule type="expression" dxfId="26951" priority="3164">
      <formula>$A373="Drainage Works"</formula>
    </cfRule>
    <cfRule type="expression" dxfId="26950" priority="3165">
      <formula>$A373="Underpass"</formula>
    </cfRule>
    <cfRule type="expression" dxfId="26949" priority="3166">
      <formula>$A373="Overcrossing"</formula>
    </cfRule>
    <cfRule type="expression" dxfId="26948" priority="3167">
      <formula>$A373="Overpass"</formula>
    </cfRule>
    <cfRule type="expression" dxfId="26947" priority="3168">
      <formula>$A373="Station"</formula>
    </cfRule>
    <cfRule type="expression" dxfId="26946" priority="3169">
      <formula>$A373="Overlap between sections"</formula>
    </cfRule>
  </conditionalFormatting>
  <conditionalFormatting sqref="AX373">
    <cfRule type="expression" dxfId="26945" priority="3156">
      <formula>$M373="NON DEFINED"</formula>
    </cfRule>
    <cfRule type="expression" dxfId="26944" priority="3157">
      <formula>$AZ373="N.D."</formula>
    </cfRule>
    <cfRule type="expression" dxfId="26943" priority="3158">
      <formula>$AY373="N.D."</formula>
    </cfRule>
  </conditionalFormatting>
  <conditionalFormatting sqref="AX373">
    <cfRule type="expression" dxfId="26942" priority="3145">
      <formula>$A373="Overhead Cable"</formula>
    </cfRule>
    <cfRule type="expression" dxfId="26941" priority="3146">
      <formula>$A373="Level Crossing"</formula>
    </cfRule>
    <cfRule type="expression" dxfId="26940" priority="3147">
      <formula>$A373="Neutral Section"</formula>
    </cfRule>
    <cfRule type="expression" dxfId="26939" priority="3148">
      <formula>$A373="Tunnel"</formula>
    </cfRule>
    <cfRule type="expression" dxfId="26938" priority="3149">
      <formula>$A373="Bridge"</formula>
    </cfRule>
    <cfRule type="expression" dxfId="26937" priority="3150">
      <formula>$A373="Drainage Works"</formula>
    </cfRule>
    <cfRule type="expression" dxfId="26936" priority="3151">
      <formula>$A373="Underpass"</formula>
    </cfRule>
    <cfRule type="expression" dxfId="26935" priority="3152">
      <formula>$A373="Overcrossing"</formula>
    </cfRule>
    <cfRule type="expression" dxfId="26934" priority="3153">
      <formula>$A373="Overpass"</formula>
    </cfRule>
    <cfRule type="expression" dxfId="26933" priority="3154">
      <formula>$A373="Station"</formula>
    </cfRule>
    <cfRule type="expression" dxfId="26932" priority="3155">
      <formula>$A373="Overlap between sections"</formula>
    </cfRule>
  </conditionalFormatting>
  <conditionalFormatting sqref="AW375">
    <cfRule type="expression" dxfId="26931" priority="3142">
      <formula>$M375="NON DEFINED"</formula>
    </cfRule>
    <cfRule type="expression" dxfId="26930" priority="3143">
      <formula>$AZ375="N.D."</formula>
    </cfRule>
    <cfRule type="expression" dxfId="26929" priority="3144">
      <formula>$AY375="N.D."</formula>
    </cfRule>
  </conditionalFormatting>
  <conditionalFormatting sqref="AW375">
    <cfRule type="expression" dxfId="26928" priority="3131">
      <formula>$A375="Overhead Cable"</formula>
    </cfRule>
    <cfRule type="expression" dxfId="26927" priority="3132">
      <formula>$A375="Level Crossing"</formula>
    </cfRule>
    <cfRule type="expression" dxfId="26926" priority="3133">
      <formula>$A375="Neutral Section"</formula>
    </cfRule>
    <cfRule type="expression" dxfId="26925" priority="3134">
      <formula>$A375="Tunnel"</formula>
    </cfRule>
    <cfRule type="expression" dxfId="26924" priority="3135">
      <formula>$A375="Bridge"</formula>
    </cfRule>
    <cfRule type="expression" dxfId="26923" priority="3136">
      <formula>$A375="Drainage Works"</formula>
    </cfRule>
    <cfRule type="expression" dxfId="26922" priority="3137">
      <formula>$A375="Underpass"</formula>
    </cfRule>
    <cfRule type="expression" dxfId="26921" priority="3138">
      <formula>$A375="Overcrossing"</formula>
    </cfRule>
    <cfRule type="expression" dxfId="26920" priority="3139">
      <formula>$A375="Overpass"</formula>
    </cfRule>
    <cfRule type="expression" dxfId="26919" priority="3140">
      <formula>$A375="Station"</formula>
    </cfRule>
    <cfRule type="expression" dxfId="26918" priority="3141">
      <formula>$A375="Overlap between sections"</formula>
    </cfRule>
  </conditionalFormatting>
  <conditionalFormatting sqref="AX375">
    <cfRule type="expression" dxfId="26917" priority="3128">
      <formula>$M375="NON DEFINED"</formula>
    </cfRule>
    <cfRule type="expression" dxfId="26916" priority="3129">
      <formula>$AZ375="N.D."</formula>
    </cfRule>
    <cfRule type="expression" dxfId="26915" priority="3130">
      <formula>$AY375="N.D."</formula>
    </cfRule>
  </conditionalFormatting>
  <conditionalFormatting sqref="AX375">
    <cfRule type="expression" dxfId="26914" priority="3117">
      <formula>$A375="Overhead Cable"</formula>
    </cfRule>
    <cfRule type="expression" dxfId="26913" priority="3118">
      <formula>$A375="Level Crossing"</formula>
    </cfRule>
    <cfRule type="expression" dxfId="26912" priority="3119">
      <formula>$A375="Neutral Section"</formula>
    </cfRule>
    <cfRule type="expression" dxfId="26911" priority="3120">
      <formula>$A375="Tunnel"</formula>
    </cfRule>
    <cfRule type="expression" dxfId="26910" priority="3121">
      <formula>$A375="Bridge"</formula>
    </cfRule>
    <cfRule type="expression" dxfId="26909" priority="3122">
      <formula>$A375="Drainage Works"</formula>
    </cfRule>
    <cfRule type="expression" dxfId="26908" priority="3123">
      <formula>$A375="Underpass"</formula>
    </cfRule>
    <cfRule type="expression" dxfId="26907" priority="3124">
      <formula>$A375="Overcrossing"</formula>
    </cfRule>
    <cfRule type="expression" dxfId="26906" priority="3125">
      <formula>$A375="Overpass"</formula>
    </cfRule>
    <cfRule type="expression" dxfId="26905" priority="3126">
      <formula>$A375="Station"</formula>
    </cfRule>
    <cfRule type="expression" dxfId="26904" priority="3127">
      <formula>$A375="Overlap between sections"</formula>
    </cfRule>
  </conditionalFormatting>
  <conditionalFormatting sqref="AW377">
    <cfRule type="expression" dxfId="26903" priority="3114">
      <formula>$M377="NON DEFINED"</formula>
    </cfRule>
    <cfRule type="expression" dxfId="26902" priority="3115">
      <formula>$AZ377="N.D."</formula>
    </cfRule>
    <cfRule type="expression" dxfId="26901" priority="3116">
      <formula>$AY377="N.D."</formula>
    </cfRule>
  </conditionalFormatting>
  <conditionalFormatting sqref="AW377">
    <cfRule type="expression" dxfId="26900" priority="3103">
      <formula>$A377="Overhead Cable"</formula>
    </cfRule>
    <cfRule type="expression" dxfId="26899" priority="3104">
      <formula>$A377="Level Crossing"</formula>
    </cfRule>
    <cfRule type="expression" dxfId="26898" priority="3105">
      <formula>$A377="Neutral Section"</formula>
    </cfRule>
    <cfRule type="expression" dxfId="26897" priority="3106">
      <formula>$A377="Tunnel"</formula>
    </cfRule>
    <cfRule type="expression" dxfId="26896" priority="3107">
      <formula>$A377="Bridge"</formula>
    </cfRule>
    <cfRule type="expression" dxfId="26895" priority="3108">
      <formula>$A377="Drainage Works"</formula>
    </cfRule>
    <cfRule type="expression" dxfId="26894" priority="3109">
      <formula>$A377="Underpass"</formula>
    </cfRule>
    <cfRule type="expression" dxfId="26893" priority="3110">
      <formula>$A377="Overcrossing"</formula>
    </cfRule>
    <cfRule type="expression" dxfId="26892" priority="3111">
      <formula>$A377="Overpass"</formula>
    </cfRule>
    <cfRule type="expression" dxfId="26891" priority="3112">
      <formula>$A377="Station"</formula>
    </cfRule>
    <cfRule type="expression" dxfId="26890" priority="3113">
      <formula>$A377="Overlap between sections"</formula>
    </cfRule>
  </conditionalFormatting>
  <conditionalFormatting sqref="AX377">
    <cfRule type="expression" dxfId="26889" priority="3100">
      <formula>$M377="NON DEFINED"</formula>
    </cfRule>
    <cfRule type="expression" dxfId="26888" priority="3101">
      <formula>$AZ377="N.D."</formula>
    </cfRule>
    <cfRule type="expression" dxfId="26887" priority="3102">
      <formula>$AY377="N.D."</formula>
    </cfRule>
  </conditionalFormatting>
  <conditionalFormatting sqref="AX377">
    <cfRule type="expression" dxfId="26886" priority="3089">
      <formula>$A377="Overhead Cable"</formula>
    </cfRule>
    <cfRule type="expression" dxfId="26885" priority="3090">
      <formula>$A377="Level Crossing"</formula>
    </cfRule>
    <cfRule type="expression" dxfId="26884" priority="3091">
      <formula>$A377="Neutral Section"</formula>
    </cfRule>
    <cfRule type="expression" dxfId="26883" priority="3092">
      <formula>$A377="Tunnel"</formula>
    </cfRule>
    <cfRule type="expression" dxfId="26882" priority="3093">
      <formula>$A377="Bridge"</formula>
    </cfRule>
    <cfRule type="expression" dxfId="26881" priority="3094">
      <formula>$A377="Drainage Works"</formula>
    </cfRule>
    <cfRule type="expression" dxfId="26880" priority="3095">
      <formula>$A377="Underpass"</formula>
    </cfRule>
    <cfRule type="expression" dxfId="26879" priority="3096">
      <formula>$A377="Overcrossing"</formula>
    </cfRule>
    <cfRule type="expression" dxfId="26878" priority="3097">
      <formula>$A377="Overpass"</formula>
    </cfRule>
    <cfRule type="expression" dxfId="26877" priority="3098">
      <formula>$A377="Station"</formula>
    </cfRule>
    <cfRule type="expression" dxfId="26876" priority="3099">
      <formula>$A377="Overlap between sections"</formula>
    </cfRule>
  </conditionalFormatting>
  <conditionalFormatting sqref="AW383">
    <cfRule type="expression" dxfId="26875" priority="3086">
      <formula>$M383="NON DEFINED"</formula>
    </cfRule>
    <cfRule type="expression" dxfId="26874" priority="3087">
      <formula>$AZ383="N.D."</formula>
    </cfRule>
    <cfRule type="expression" dxfId="26873" priority="3088">
      <formula>$AY383="N.D."</formula>
    </cfRule>
  </conditionalFormatting>
  <conditionalFormatting sqref="AW383">
    <cfRule type="expression" dxfId="26872" priority="3075">
      <formula>$A383="Overhead Cable"</formula>
    </cfRule>
    <cfRule type="expression" dxfId="26871" priority="3076">
      <formula>$A383="Level Crossing"</formula>
    </cfRule>
    <cfRule type="expression" dxfId="26870" priority="3077">
      <formula>$A383="Neutral Section"</formula>
    </cfRule>
    <cfRule type="expression" dxfId="26869" priority="3078">
      <formula>$A383="Tunnel"</formula>
    </cfRule>
    <cfRule type="expression" dxfId="26868" priority="3079">
      <formula>$A383="Bridge"</formula>
    </cfRule>
    <cfRule type="expression" dxfId="26867" priority="3080">
      <formula>$A383="Drainage Works"</formula>
    </cfRule>
    <cfRule type="expression" dxfId="26866" priority="3081">
      <formula>$A383="Underpass"</formula>
    </cfRule>
    <cfRule type="expression" dxfId="26865" priority="3082">
      <formula>$A383="Overcrossing"</formula>
    </cfRule>
    <cfRule type="expression" dxfId="26864" priority="3083">
      <formula>$A383="Overpass"</formula>
    </cfRule>
    <cfRule type="expression" dxfId="26863" priority="3084">
      <formula>$A383="Station"</formula>
    </cfRule>
    <cfRule type="expression" dxfId="26862" priority="3085">
      <formula>$A383="Overlap between sections"</formula>
    </cfRule>
  </conditionalFormatting>
  <conditionalFormatting sqref="AX383">
    <cfRule type="expression" dxfId="26861" priority="3072">
      <formula>$M383="NON DEFINED"</formula>
    </cfRule>
    <cfRule type="expression" dxfId="26860" priority="3073">
      <formula>$AZ383="N.D."</formula>
    </cfRule>
    <cfRule type="expression" dxfId="26859" priority="3074">
      <formula>$AY383="N.D."</formula>
    </cfRule>
  </conditionalFormatting>
  <conditionalFormatting sqref="AX383">
    <cfRule type="expression" dxfId="26858" priority="3061">
      <formula>$A383="Overhead Cable"</formula>
    </cfRule>
    <cfRule type="expression" dxfId="26857" priority="3062">
      <formula>$A383="Level Crossing"</formula>
    </cfRule>
    <cfRule type="expression" dxfId="26856" priority="3063">
      <formula>$A383="Neutral Section"</formula>
    </cfRule>
    <cfRule type="expression" dxfId="26855" priority="3064">
      <formula>$A383="Tunnel"</formula>
    </cfRule>
    <cfRule type="expression" dxfId="26854" priority="3065">
      <formula>$A383="Bridge"</formula>
    </cfRule>
    <cfRule type="expression" dxfId="26853" priority="3066">
      <formula>$A383="Drainage Works"</formula>
    </cfRule>
    <cfRule type="expression" dxfId="26852" priority="3067">
      <formula>$A383="Underpass"</formula>
    </cfRule>
    <cfRule type="expression" dxfId="26851" priority="3068">
      <formula>$A383="Overcrossing"</formula>
    </cfRule>
    <cfRule type="expression" dxfId="26850" priority="3069">
      <formula>$A383="Overpass"</formula>
    </cfRule>
    <cfRule type="expression" dxfId="26849" priority="3070">
      <formula>$A383="Station"</formula>
    </cfRule>
    <cfRule type="expression" dxfId="26848" priority="3071">
      <formula>$A383="Overlap between sections"</formula>
    </cfRule>
  </conditionalFormatting>
  <conditionalFormatting sqref="AW385">
    <cfRule type="expression" dxfId="26847" priority="3058">
      <formula>$M385="NON DEFINED"</formula>
    </cfRule>
    <cfRule type="expression" dxfId="26846" priority="3059">
      <formula>$AZ385="N.D."</formula>
    </cfRule>
    <cfRule type="expression" dxfId="26845" priority="3060">
      <formula>$AY385="N.D."</formula>
    </cfRule>
  </conditionalFormatting>
  <conditionalFormatting sqref="AX385">
    <cfRule type="expression" dxfId="26844" priority="3044">
      <formula>$M385="NON DEFINED"</formula>
    </cfRule>
    <cfRule type="expression" dxfId="26843" priority="3045">
      <formula>$AZ385="N.D."</formula>
    </cfRule>
    <cfRule type="expression" dxfId="26842" priority="3046">
      <formula>$AY385="N.D."</formula>
    </cfRule>
  </conditionalFormatting>
  <conditionalFormatting sqref="AW387">
    <cfRule type="expression" dxfId="26841" priority="3030">
      <formula>$M387="NON DEFINED"</formula>
    </cfRule>
    <cfRule type="expression" dxfId="26840" priority="3031">
      <formula>$AZ387="N.D."</formula>
    </cfRule>
    <cfRule type="expression" dxfId="26839" priority="3032">
      <formula>$AY387="N.D."</formula>
    </cfRule>
  </conditionalFormatting>
  <conditionalFormatting sqref="AW387">
    <cfRule type="expression" dxfId="26838" priority="3019">
      <formula>$A387="Overhead Cable"</formula>
    </cfRule>
    <cfRule type="expression" dxfId="26837" priority="3020">
      <formula>$A387="Level Crossing"</formula>
    </cfRule>
    <cfRule type="expression" dxfId="26836" priority="3021">
      <formula>$A387="Neutral Section"</formula>
    </cfRule>
    <cfRule type="expression" dxfId="26835" priority="3022">
      <formula>$A387="Tunnel"</formula>
    </cfRule>
    <cfRule type="expression" dxfId="26834" priority="3023">
      <formula>$A387="Bridge"</formula>
    </cfRule>
    <cfRule type="expression" dxfId="26833" priority="3024">
      <formula>$A387="Drainage Works"</formula>
    </cfRule>
    <cfRule type="expression" dxfId="26832" priority="3025">
      <formula>$A387="Underpass"</formula>
    </cfRule>
    <cfRule type="expression" dxfId="26831" priority="3026">
      <formula>$A387="Overcrossing"</formula>
    </cfRule>
    <cfRule type="expression" dxfId="26830" priority="3027">
      <formula>$A387="Overpass"</formula>
    </cfRule>
    <cfRule type="expression" dxfId="26829" priority="3028">
      <formula>$A387="Station"</formula>
    </cfRule>
    <cfRule type="expression" dxfId="26828" priority="3029">
      <formula>$A387="Overlap between sections"</formula>
    </cfRule>
  </conditionalFormatting>
  <conditionalFormatting sqref="AX387">
    <cfRule type="expression" dxfId="26827" priority="3016">
      <formula>$M387="NON DEFINED"</formula>
    </cfRule>
    <cfRule type="expression" dxfId="26826" priority="3017">
      <formula>$AZ387="N.D."</formula>
    </cfRule>
    <cfRule type="expression" dxfId="26825" priority="3018">
      <formula>$AY387="N.D."</formula>
    </cfRule>
  </conditionalFormatting>
  <conditionalFormatting sqref="AX387">
    <cfRule type="expression" dxfId="26824" priority="3005">
      <formula>$A387="Overhead Cable"</formula>
    </cfRule>
    <cfRule type="expression" dxfId="26823" priority="3006">
      <formula>$A387="Level Crossing"</formula>
    </cfRule>
    <cfRule type="expression" dxfId="26822" priority="3007">
      <formula>$A387="Neutral Section"</formula>
    </cfRule>
    <cfRule type="expression" dxfId="26821" priority="3008">
      <formula>$A387="Tunnel"</formula>
    </cfRule>
    <cfRule type="expression" dxfId="26820" priority="3009">
      <formula>$A387="Bridge"</formula>
    </cfRule>
    <cfRule type="expression" dxfId="26819" priority="3010">
      <formula>$A387="Drainage Works"</formula>
    </cfRule>
    <cfRule type="expression" dxfId="26818" priority="3011">
      <formula>$A387="Underpass"</formula>
    </cfRule>
    <cfRule type="expression" dxfId="26817" priority="3012">
      <formula>$A387="Overcrossing"</formula>
    </cfRule>
    <cfRule type="expression" dxfId="26816" priority="3013">
      <formula>$A387="Overpass"</formula>
    </cfRule>
    <cfRule type="expression" dxfId="26815" priority="3014">
      <formula>$A387="Station"</formula>
    </cfRule>
    <cfRule type="expression" dxfId="26814" priority="3015">
      <formula>$A387="Overlap between sections"</formula>
    </cfRule>
  </conditionalFormatting>
  <conditionalFormatting sqref="AW389">
    <cfRule type="expression" dxfId="26813" priority="3002">
      <formula>$M389="NON DEFINED"</formula>
    </cfRule>
    <cfRule type="expression" dxfId="26812" priority="3003">
      <formula>$AZ389="N.D."</formula>
    </cfRule>
    <cfRule type="expression" dxfId="26811" priority="3004">
      <formula>$AY389="N.D."</formula>
    </cfRule>
  </conditionalFormatting>
  <conditionalFormatting sqref="AW389">
    <cfRule type="expression" dxfId="26810" priority="2991">
      <formula>$A389="Overhead Cable"</formula>
    </cfRule>
    <cfRule type="expression" dxfId="26809" priority="2992">
      <formula>$A389="Level Crossing"</formula>
    </cfRule>
    <cfRule type="expression" dxfId="26808" priority="2993">
      <formula>$A389="Neutral Section"</formula>
    </cfRule>
    <cfRule type="expression" dxfId="26807" priority="2994">
      <formula>$A389="Tunnel"</formula>
    </cfRule>
    <cfRule type="expression" dxfId="26806" priority="2995">
      <formula>$A389="Bridge"</formula>
    </cfRule>
    <cfRule type="expression" dxfId="26805" priority="2996">
      <formula>$A389="Drainage Works"</formula>
    </cfRule>
    <cfRule type="expression" dxfId="26804" priority="2997">
      <formula>$A389="Underpass"</formula>
    </cfRule>
    <cfRule type="expression" dxfId="26803" priority="2998">
      <formula>$A389="Overcrossing"</formula>
    </cfRule>
    <cfRule type="expression" dxfId="26802" priority="2999">
      <formula>$A389="Overpass"</formula>
    </cfRule>
    <cfRule type="expression" dxfId="26801" priority="3000">
      <formula>$A389="Station"</formula>
    </cfRule>
    <cfRule type="expression" dxfId="26800" priority="3001">
      <formula>$A389="Overlap between sections"</formula>
    </cfRule>
  </conditionalFormatting>
  <conditionalFormatting sqref="AX389">
    <cfRule type="expression" dxfId="26799" priority="2988">
      <formula>$M389="NON DEFINED"</formula>
    </cfRule>
    <cfRule type="expression" dxfId="26798" priority="2989">
      <formula>$AZ389="N.D."</formula>
    </cfRule>
    <cfRule type="expression" dxfId="26797" priority="2990">
      <formula>$AY389="N.D."</formula>
    </cfRule>
  </conditionalFormatting>
  <conditionalFormatting sqref="AX389">
    <cfRule type="expression" dxfId="26796" priority="2977">
      <formula>$A389="Overhead Cable"</formula>
    </cfRule>
    <cfRule type="expression" dxfId="26795" priority="2978">
      <formula>$A389="Level Crossing"</formula>
    </cfRule>
    <cfRule type="expression" dxfId="26794" priority="2979">
      <formula>$A389="Neutral Section"</formula>
    </cfRule>
    <cfRule type="expression" dxfId="26793" priority="2980">
      <formula>$A389="Tunnel"</formula>
    </cfRule>
    <cfRule type="expression" dxfId="26792" priority="2981">
      <formula>$A389="Bridge"</formula>
    </cfRule>
    <cfRule type="expression" dxfId="26791" priority="2982">
      <formula>$A389="Drainage Works"</formula>
    </cfRule>
    <cfRule type="expression" dxfId="26790" priority="2983">
      <formula>$A389="Underpass"</formula>
    </cfRule>
    <cfRule type="expression" dxfId="26789" priority="2984">
      <formula>$A389="Overcrossing"</formula>
    </cfRule>
    <cfRule type="expression" dxfId="26788" priority="2985">
      <formula>$A389="Overpass"</formula>
    </cfRule>
    <cfRule type="expression" dxfId="26787" priority="2986">
      <formula>$A389="Station"</formula>
    </cfRule>
    <cfRule type="expression" dxfId="26786" priority="2987">
      <formula>$A389="Overlap between sections"</formula>
    </cfRule>
  </conditionalFormatting>
  <conditionalFormatting sqref="AW391">
    <cfRule type="expression" dxfId="26785" priority="2974">
      <formula>$M391="NON DEFINED"</formula>
    </cfRule>
    <cfRule type="expression" dxfId="26784" priority="2975">
      <formula>$AZ391="N.D."</formula>
    </cfRule>
    <cfRule type="expression" dxfId="26783" priority="2976">
      <formula>$AY391="N.D."</formula>
    </cfRule>
  </conditionalFormatting>
  <conditionalFormatting sqref="AW391">
    <cfRule type="expression" dxfId="26782" priority="2963">
      <formula>$A391="Overhead Cable"</formula>
    </cfRule>
    <cfRule type="expression" dxfId="26781" priority="2964">
      <formula>$A391="Level Crossing"</formula>
    </cfRule>
    <cfRule type="expression" dxfId="26780" priority="2965">
      <formula>$A391="Neutral Section"</formula>
    </cfRule>
    <cfRule type="expression" dxfId="26779" priority="2966">
      <formula>$A391="Tunnel"</formula>
    </cfRule>
    <cfRule type="expression" dxfId="26778" priority="2967">
      <formula>$A391="Bridge"</formula>
    </cfRule>
    <cfRule type="expression" dxfId="26777" priority="2968">
      <formula>$A391="Drainage Works"</formula>
    </cfRule>
    <cfRule type="expression" dxfId="26776" priority="2969">
      <formula>$A391="Underpass"</formula>
    </cfRule>
    <cfRule type="expression" dxfId="26775" priority="2970">
      <formula>$A391="Overcrossing"</formula>
    </cfRule>
    <cfRule type="expression" dxfId="26774" priority="2971">
      <formula>$A391="Overpass"</formula>
    </cfRule>
    <cfRule type="expression" dxfId="26773" priority="2972">
      <formula>$A391="Station"</formula>
    </cfRule>
    <cfRule type="expression" dxfId="26772" priority="2973">
      <formula>$A391="Overlap between sections"</formula>
    </cfRule>
  </conditionalFormatting>
  <conditionalFormatting sqref="AX391">
    <cfRule type="expression" dxfId="26771" priority="2960">
      <formula>$M391="NON DEFINED"</formula>
    </cfRule>
    <cfRule type="expression" dxfId="26770" priority="2961">
      <formula>$AZ391="N.D."</formula>
    </cfRule>
    <cfRule type="expression" dxfId="26769" priority="2962">
      <formula>$AY391="N.D."</formula>
    </cfRule>
  </conditionalFormatting>
  <conditionalFormatting sqref="AX391">
    <cfRule type="expression" dxfId="26768" priority="2949">
      <formula>$A391="Overhead Cable"</formula>
    </cfRule>
    <cfRule type="expression" dxfId="26767" priority="2950">
      <formula>$A391="Level Crossing"</formula>
    </cfRule>
    <cfRule type="expression" dxfId="26766" priority="2951">
      <formula>$A391="Neutral Section"</formula>
    </cfRule>
    <cfRule type="expression" dxfId="26765" priority="2952">
      <formula>$A391="Tunnel"</formula>
    </cfRule>
    <cfRule type="expression" dxfId="26764" priority="2953">
      <formula>$A391="Bridge"</formula>
    </cfRule>
    <cfRule type="expression" dxfId="26763" priority="2954">
      <formula>$A391="Drainage Works"</formula>
    </cfRule>
    <cfRule type="expression" dxfId="26762" priority="2955">
      <formula>$A391="Underpass"</formula>
    </cfRule>
    <cfRule type="expression" dxfId="26761" priority="2956">
      <formula>$A391="Overcrossing"</formula>
    </cfRule>
    <cfRule type="expression" dxfId="26760" priority="2957">
      <formula>$A391="Overpass"</formula>
    </cfRule>
    <cfRule type="expression" dxfId="26759" priority="2958">
      <formula>$A391="Station"</formula>
    </cfRule>
    <cfRule type="expression" dxfId="26758" priority="2959">
      <formula>$A391="Overlap between sections"</formula>
    </cfRule>
  </conditionalFormatting>
  <conditionalFormatting sqref="AW393">
    <cfRule type="expression" dxfId="26757" priority="2946">
      <formula>$M393="NON DEFINED"</formula>
    </cfRule>
    <cfRule type="expression" dxfId="26756" priority="2947">
      <formula>$AZ393="N.D."</formula>
    </cfRule>
    <cfRule type="expression" dxfId="26755" priority="2948">
      <formula>$AY393="N.D."</formula>
    </cfRule>
  </conditionalFormatting>
  <conditionalFormatting sqref="AW393">
    <cfRule type="expression" dxfId="26754" priority="2935">
      <formula>$A393="Overhead Cable"</formula>
    </cfRule>
    <cfRule type="expression" dxfId="26753" priority="2936">
      <formula>$A393="Level Crossing"</formula>
    </cfRule>
    <cfRule type="expression" dxfId="26752" priority="2937">
      <formula>$A393="Neutral Section"</formula>
    </cfRule>
    <cfRule type="expression" dxfId="26751" priority="2938">
      <formula>$A393="Tunnel"</formula>
    </cfRule>
    <cfRule type="expression" dxfId="26750" priority="2939">
      <formula>$A393="Bridge"</formula>
    </cfRule>
    <cfRule type="expression" dxfId="26749" priority="2940">
      <formula>$A393="Drainage Works"</formula>
    </cfRule>
    <cfRule type="expression" dxfId="26748" priority="2941">
      <formula>$A393="Underpass"</formula>
    </cfRule>
    <cfRule type="expression" dxfId="26747" priority="2942">
      <formula>$A393="Overcrossing"</formula>
    </cfRule>
    <cfRule type="expression" dxfId="26746" priority="2943">
      <formula>$A393="Overpass"</formula>
    </cfRule>
    <cfRule type="expression" dxfId="26745" priority="2944">
      <formula>$A393="Station"</formula>
    </cfRule>
    <cfRule type="expression" dxfId="26744" priority="2945">
      <formula>$A393="Overlap between sections"</formula>
    </cfRule>
  </conditionalFormatting>
  <conditionalFormatting sqref="AX393">
    <cfRule type="expression" dxfId="26743" priority="2932">
      <formula>$M393="NON DEFINED"</formula>
    </cfRule>
    <cfRule type="expression" dxfId="26742" priority="2933">
      <formula>$AZ393="N.D."</formula>
    </cfRule>
    <cfRule type="expression" dxfId="26741" priority="2934">
      <formula>$AY393="N.D."</formula>
    </cfRule>
  </conditionalFormatting>
  <conditionalFormatting sqref="AX393">
    <cfRule type="expression" dxfId="26740" priority="2921">
      <formula>$A393="Overhead Cable"</formula>
    </cfRule>
    <cfRule type="expression" dxfId="26739" priority="2922">
      <formula>$A393="Level Crossing"</formula>
    </cfRule>
    <cfRule type="expression" dxfId="26738" priority="2923">
      <formula>$A393="Neutral Section"</formula>
    </cfRule>
    <cfRule type="expression" dxfId="26737" priority="2924">
      <formula>$A393="Tunnel"</formula>
    </cfRule>
    <cfRule type="expression" dxfId="26736" priority="2925">
      <formula>$A393="Bridge"</formula>
    </cfRule>
    <cfRule type="expression" dxfId="26735" priority="2926">
      <formula>$A393="Drainage Works"</formula>
    </cfRule>
    <cfRule type="expression" dxfId="26734" priority="2927">
      <formula>$A393="Underpass"</formula>
    </cfRule>
    <cfRule type="expression" dxfId="26733" priority="2928">
      <formula>$A393="Overcrossing"</formula>
    </cfRule>
    <cfRule type="expression" dxfId="26732" priority="2929">
      <formula>$A393="Overpass"</formula>
    </cfRule>
    <cfRule type="expression" dxfId="26731" priority="2930">
      <formula>$A393="Station"</formula>
    </cfRule>
    <cfRule type="expression" dxfId="26730" priority="2931">
      <formula>$A393="Overlap between sections"</formula>
    </cfRule>
  </conditionalFormatting>
  <conditionalFormatting sqref="AW395">
    <cfRule type="expression" dxfId="26729" priority="2918">
      <formula>$M395="NON DEFINED"</formula>
    </cfRule>
    <cfRule type="expression" dxfId="26728" priority="2919">
      <formula>$AZ395="N.D."</formula>
    </cfRule>
    <cfRule type="expression" dxfId="26727" priority="2920">
      <formula>$AY395="N.D."</formula>
    </cfRule>
  </conditionalFormatting>
  <conditionalFormatting sqref="AW395">
    <cfRule type="expression" dxfId="26726" priority="2907">
      <formula>$A395="Overhead Cable"</formula>
    </cfRule>
    <cfRule type="expression" dxfId="26725" priority="2908">
      <formula>$A395="Level Crossing"</formula>
    </cfRule>
    <cfRule type="expression" dxfId="26724" priority="2909">
      <formula>$A395="Neutral Section"</formula>
    </cfRule>
    <cfRule type="expression" dxfId="26723" priority="2910">
      <formula>$A395="Tunnel"</formula>
    </cfRule>
    <cfRule type="expression" dxfId="26722" priority="2911">
      <formula>$A395="Bridge"</formula>
    </cfRule>
    <cfRule type="expression" dxfId="26721" priority="2912">
      <formula>$A395="Drainage Works"</formula>
    </cfRule>
    <cfRule type="expression" dxfId="26720" priority="2913">
      <formula>$A395="Underpass"</formula>
    </cfRule>
    <cfRule type="expression" dxfId="26719" priority="2914">
      <formula>$A395="Overcrossing"</formula>
    </cfRule>
    <cfRule type="expression" dxfId="26718" priority="2915">
      <formula>$A395="Overpass"</formula>
    </cfRule>
    <cfRule type="expression" dxfId="26717" priority="2916">
      <formula>$A395="Station"</formula>
    </cfRule>
    <cfRule type="expression" dxfId="26716" priority="2917">
      <formula>$A395="Overlap between sections"</formula>
    </cfRule>
  </conditionalFormatting>
  <conditionalFormatting sqref="AX395">
    <cfRule type="expression" dxfId="26715" priority="2904">
      <formula>$M395="NON DEFINED"</formula>
    </cfRule>
    <cfRule type="expression" dxfId="26714" priority="2905">
      <formula>$AZ395="N.D."</formula>
    </cfRule>
    <cfRule type="expression" dxfId="26713" priority="2906">
      <formula>$AY395="N.D."</formula>
    </cfRule>
  </conditionalFormatting>
  <conditionalFormatting sqref="AX395">
    <cfRule type="expression" dxfId="26712" priority="2893">
      <formula>$A395="Overhead Cable"</formula>
    </cfRule>
    <cfRule type="expression" dxfId="26711" priority="2894">
      <formula>$A395="Level Crossing"</formula>
    </cfRule>
    <cfRule type="expression" dxfId="26710" priority="2895">
      <formula>$A395="Neutral Section"</formula>
    </cfRule>
    <cfRule type="expression" dxfId="26709" priority="2896">
      <formula>$A395="Tunnel"</formula>
    </cfRule>
    <cfRule type="expression" dxfId="26708" priority="2897">
      <formula>$A395="Bridge"</formula>
    </cfRule>
    <cfRule type="expression" dxfId="26707" priority="2898">
      <formula>$A395="Drainage Works"</formula>
    </cfRule>
    <cfRule type="expression" dxfId="26706" priority="2899">
      <formula>$A395="Underpass"</formula>
    </cfRule>
    <cfRule type="expression" dxfId="26705" priority="2900">
      <formula>$A395="Overcrossing"</formula>
    </cfRule>
    <cfRule type="expression" dxfId="26704" priority="2901">
      <formula>$A395="Overpass"</formula>
    </cfRule>
    <cfRule type="expression" dxfId="26703" priority="2902">
      <formula>$A395="Station"</formula>
    </cfRule>
    <cfRule type="expression" dxfId="26702" priority="2903">
      <formula>$A395="Overlap between sections"</formula>
    </cfRule>
  </conditionalFormatting>
  <conditionalFormatting sqref="AW397">
    <cfRule type="expression" dxfId="26701" priority="2890">
      <formula>$M397="NON DEFINED"</formula>
    </cfRule>
    <cfRule type="expression" dxfId="26700" priority="2891">
      <formula>$AZ397="N.D."</formula>
    </cfRule>
    <cfRule type="expression" dxfId="26699" priority="2892">
      <formula>$AY397="N.D."</formula>
    </cfRule>
  </conditionalFormatting>
  <conditionalFormatting sqref="AW397">
    <cfRule type="expression" dxfId="26698" priority="2879">
      <formula>$A397="Overhead Cable"</formula>
    </cfRule>
    <cfRule type="expression" dxfId="26697" priority="2880">
      <formula>$A397="Level Crossing"</formula>
    </cfRule>
    <cfRule type="expression" dxfId="26696" priority="2881">
      <formula>$A397="Neutral Section"</formula>
    </cfRule>
    <cfRule type="expression" dxfId="26695" priority="2882">
      <formula>$A397="Tunnel"</formula>
    </cfRule>
    <cfRule type="expression" dxfId="26694" priority="2883">
      <formula>$A397="Bridge"</formula>
    </cfRule>
    <cfRule type="expression" dxfId="26693" priority="2884">
      <formula>$A397="Drainage Works"</formula>
    </cfRule>
    <cfRule type="expression" dxfId="26692" priority="2885">
      <formula>$A397="Underpass"</formula>
    </cfRule>
    <cfRule type="expression" dxfId="26691" priority="2886">
      <formula>$A397="Overcrossing"</formula>
    </cfRule>
    <cfRule type="expression" dxfId="26690" priority="2887">
      <formula>$A397="Overpass"</formula>
    </cfRule>
    <cfRule type="expression" dxfId="26689" priority="2888">
      <formula>$A397="Station"</formula>
    </cfRule>
    <cfRule type="expression" dxfId="26688" priority="2889">
      <formula>$A397="Overlap between sections"</formula>
    </cfRule>
  </conditionalFormatting>
  <conditionalFormatting sqref="AX397">
    <cfRule type="expression" dxfId="26687" priority="2876">
      <formula>$M397="NON DEFINED"</formula>
    </cfRule>
    <cfRule type="expression" dxfId="26686" priority="2877">
      <formula>$AZ397="N.D."</formula>
    </cfRule>
    <cfRule type="expression" dxfId="26685" priority="2878">
      <formula>$AY397="N.D."</formula>
    </cfRule>
  </conditionalFormatting>
  <conditionalFormatting sqref="AX397">
    <cfRule type="expression" dxfId="26684" priority="2865">
      <formula>$A397="Overhead Cable"</formula>
    </cfRule>
    <cfRule type="expression" dxfId="26683" priority="2866">
      <formula>$A397="Level Crossing"</formula>
    </cfRule>
    <cfRule type="expression" dxfId="26682" priority="2867">
      <formula>$A397="Neutral Section"</formula>
    </cfRule>
    <cfRule type="expression" dxfId="26681" priority="2868">
      <formula>$A397="Tunnel"</formula>
    </cfRule>
    <cfRule type="expression" dxfId="26680" priority="2869">
      <formula>$A397="Bridge"</formula>
    </cfRule>
    <cfRule type="expression" dxfId="26679" priority="2870">
      <formula>$A397="Drainage Works"</formula>
    </cfRule>
    <cfRule type="expression" dxfId="26678" priority="2871">
      <formula>$A397="Underpass"</formula>
    </cfRule>
    <cfRule type="expression" dxfId="26677" priority="2872">
      <formula>$A397="Overcrossing"</formula>
    </cfRule>
    <cfRule type="expression" dxfId="26676" priority="2873">
      <formula>$A397="Overpass"</formula>
    </cfRule>
    <cfRule type="expression" dxfId="26675" priority="2874">
      <formula>$A397="Station"</formula>
    </cfRule>
    <cfRule type="expression" dxfId="26674" priority="2875">
      <formula>$A397="Overlap between sections"</formula>
    </cfRule>
  </conditionalFormatting>
  <conditionalFormatting sqref="AW399">
    <cfRule type="expression" dxfId="26673" priority="2862">
      <formula>$M399="NON DEFINED"</formula>
    </cfRule>
    <cfRule type="expression" dxfId="26672" priority="2863">
      <formula>$AZ399="N.D."</formula>
    </cfRule>
    <cfRule type="expression" dxfId="26671" priority="2864">
      <formula>$AY399="N.D."</formula>
    </cfRule>
  </conditionalFormatting>
  <conditionalFormatting sqref="AW399">
    <cfRule type="expression" dxfId="26670" priority="2851">
      <formula>$A399="Overhead Cable"</formula>
    </cfRule>
    <cfRule type="expression" dxfId="26669" priority="2852">
      <formula>$A399="Level Crossing"</formula>
    </cfRule>
    <cfRule type="expression" dxfId="26668" priority="2853">
      <formula>$A399="Neutral Section"</formula>
    </cfRule>
    <cfRule type="expression" dxfId="26667" priority="2854">
      <formula>$A399="Tunnel"</formula>
    </cfRule>
    <cfRule type="expression" dxfId="26666" priority="2855">
      <formula>$A399="Bridge"</formula>
    </cfRule>
    <cfRule type="expression" dxfId="26665" priority="2856">
      <formula>$A399="Drainage Works"</formula>
    </cfRule>
    <cfRule type="expression" dxfId="26664" priority="2857">
      <formula>$A399="Underpass"</formula>
    </cfRule>
    <cfRule type="expression" dxfId="26663" priority="2858">
      <formula>$A399="Overcrossing"</formula>
    </cfRule>
    <cfRule type="expression" dxfId="26662" priority="2859">
      <formula>$A399="Overpass"</formula>
    </cfRule>
    <cfRule type="expression" dxfId="26661" priority="2860">
      <formula>$A399="Station"</formula>
    </cfRule>
    <cfRule type="expression" dxfId="26660" priority="2861">
      <formula>$A399="Overlap between sections"</formula>
    </cfRule>
  </conditionalFormatting>
  <conditionalFormatting sqref="AX399">
    <cfRule type="expression" dxfId="26659" priority="2848">
      <formula>$M399="NON DEFINED"</formula>
    </cfRule>
    <cfRule type="expression" dxfId="26658" priority="2849">
      <formula>$AZ399="N.D."</formula>
    </cfRule>
    <cfRule type="expression" dxfId="26657" priority="2850">
      <formula>$AY399="N.D."</formula>
    </cfRule>
  </conditionalFormatting>
  <conditionalFormatting sqref="AX399">
    <cfRule type="expression" dxfId="26656" priority="2837">
      <formula>$A399="Overhead Cable"</formula>
    </cfRule>
    <cfRule type="expression" dxfId="26655" priority="2838">
      <formula>$A399="Level Crossing"</formula>
    </cfRule>
    <cfRule type="expression" dxfId="26654" priority="2839">
      <formula>$A399="Neutral Section"</formula>
    </cfRule>
    <cfRule type="expression" dxfId="26653" priority="2840">
      <formula>$A399="Tunnel"</formula>
    </cfRule>
    <cfRule type="expression" dxfId="26652" priority="2841">
      <formula>$A399="Bridge"</formula>
    </cfRule>
    <cfRule type="expression" dxfId="26651" priority="2842">
      <formula>$A399="Drainage Works"</formula>
    </cfRule>
    <cfRule type="expression" dxfId="26650" priority="2843">
      <formula>$A399="Underpass"</formula>
    </cfRule>
    <cfRule type="expression" dxfId="26649" priority="2844">
      <formula>$A399="Overcrossing"</formula>
    </cfRule>
    <cfRule type="expression" dxfId="26648" priority="2845">
      <formula>$A399="Overpass"</formula>
    </cfRule>
    <cfRule type="expression" dxfId="26647" priority="2846">
      <formula>$A399="Station"</formula>
    </cfRule>
    <cfRule type="expression" dxfId="26646" priority="2847">
      <formula>$A399="Overlap between sections"</formula>
    </cfRule>
  </conditionalFormatting>
  <conditionalFormatting sqref="AW401">
    <cfRule type="expression" dxfId="26645" priority="2834">
      <formula>$M401="NON DEFINED"</formula>
    </cfRule>
    <cfRule type="expression" dxfId="26644" priority="2835">
      <formula>$AZ401="N.D."</formula>
    </cfRule>
    <cfRule type="expression" dxfId="26643" priority="2836">
      <formula>$AY401="N.D."</formula>
    </cfRule>
  </conditionalFormatting>
  <conditionalFormatting sqref="AW401">
    <cfRule type="expression" dxfId="26642" priority="2823">
      <formula>$A401="Overhead Cable"</formula>
    </cfRule>
    <cfRule type="expression" dxfId="26641" priority="2824">
      <formula>$A401="Level Crossing"</formula>
    </cfRule>
    <cfRule type="expression" dxfId="26640" priority="2825">
      <formula>$A401="Neutral Section"</formula>
    </cfRule>
    <cfRule type="expression" dxfId="26639" priority="2826">
      <formula>$A401="Tunnel"</formula>
    </cfRule>
    <cfRule type="expression" dxfId="26638" priority="2827">
      <formula>$A401="Bridge"</formula>
    </cfRule>
    <cfRule type="expression" dxfId="26637" priority="2828">
      <formula>$A401="Drainage Works"</formula>
    </cfRule>
    <cfRule type="expression" dxfId="26636" priority="2829">
      <formula>$A401="Underpass"</formula>
    </cfRule>
    <cfRule type="expression" dxfId="26635" priority="2830">
      <formula>$A401="Overcrossing"</formula>
    </cfRule>
    <cfRule type="expression" dxfId="26634" priority="2831">
      <formula>$A401="Overpass"</formula>
    </cfRule>
    <cfRule type="expression" dxfId="26633" priority="2832">
      <formula>$A401="Station"</formula>
    </cfRule>
    <cfRule type="expression" dxfId="26632" priority="2833">
      <formula>$A401="Overlap between sections"</formula>
    </cfRule>
  </conditionalFormatting>
  <conditionalFormatting sqref="AX401">
    <cfRule type="expression" dxfId="26631" priority="2820">
      <formula>$M401="NON DEFINED"</formula>
    </cfRule>
    <cfRule type="expression" dxfId="26630" priority="2821">
      <formula>$AZ401="N.D."</formula>
    </cfRule>
    <cfRule type="expression" dxfId="26629" priority="2822">
      <formula>$AY401="N.D."</formula>
    </cfRule>
  </conditionalFormatting>
  <conditionalFormatting sqref="AX401">
    <cfRule type="expression" dxfId="26628" priority="2809">
      <formula>$A401="Overhead Cable"</formula>
    </cfRule>
    <cfRule type="expression" dxfId="26627" priority="2810">
      <formula>$A401="Level Crossing"</formula>
    </cfRule>
    <cfRule type="expression" dxfId="26626" priority="2811">
      <formula>$A401="Neutral Section"</formula>
    </cfRule>
    <cfRule type="expression" dxfId="26625" priority="2812">
      <formula>$A401="Tunnel"</formula>
    </cfRule>
    <cfRule type="expression" dxfId="26624" priority="2813">
      <formula>$A401="Bridge"</formula>
    </cfRule>
    <cfRule type="expression" dxfId="26623" priority="2814">
      <formula>$A401="Drainage Works"</formula>
    </cfRule>
    <cfRule type="expression" dxfId="26622" priority="2815">
      <formula>$A401="Underpass"</formula>
    </cfRule>
    <cfRule type="expression" dxfId="26621" priority="2816">
      <formula>$A401="Overcrossing"</formula>
    </cfRule>
    <cfRule type="expression" dxfId="26620" priority="2817">
      <formula>$A401="Overpass"</formula>
    </cfRule>
    <cfRule type="expression" dxfId="26619" priority="2818">
      <formula>$A401="Station"</formula>
    </cfRule>
    <cfRule type="expression" dxfId="26618" priority="2819">
      <formula>$A401="Overlap between sections"</formula>
    </cfRule>
  </conditionalFormatting>
  <conditionalFormatting sqref="AW403">
    <cfRule type="expression" dxfId="26617" priority="2806">
      <formula>$M403="NON DEFINED"</formula>
    </cfRule>
    <cfRule type="expression" dxfId="26616" priority="2807">
      <formula>$AZ403="N.D."</formula>
    </cfRule>
    <cfRule type="expression" dxfId="26615" priority="2808">
      <formula>$AY403="N.D."</formula>
    </cfRule>
  </conditionalFormatting>
  <conditionalFormatting sqref="AW403">
    <cfRule type="expression" dxfId="26614" priority="2795">
      <formula>$A403="Overhead Cable"</formula>
    </cfRule>
    <cfRule type="expression" dxfId="26613" priority="2796">
      <formula>$A403="Level Crossing"</formula>
    </cfRule>
    <cfRule type="expression" dxfId="26612" priority="2797">
      <formula>$A403="Neutral Section"</formula>
    </cfRule>
    <cfRule type="expression" dxfId="26611" priority="2798">
      <formula>$A403="Tunnel"</formula>
    </cfRule>
    <cfRule type="expression" dxfId="26610" priority="2799">
      <formula>$A403="Bridge"</formula>
    </cfRule>
    <cfRule type="expression" dxfId="26609" priority="2800">
      <formula>$A403="Drainage Works"</formula>
    </cfRule>
    <cfRule type="expression" dxfId="26608" priority="2801">
      <formula>$A403="Underpass"</formula>
    </cfRule>
    <cfRule type="expression" dxfId="26607" priority="2802">
      <formula>$A403="Overcrossing"</formula>
    </cfRule>
    <cfRule type="expression" dxfId="26606" priority="2803">
      <formula>$A403="Overpass"</formula>
    </cfRule>
    <cfRule type="expression" dxfId="26605" priority="2804">
      <formula>$A403="Station"</formula>
    </cfRule>
    <cfRule type="expression" dxfId="26604" priority="2805">
      <formula>$A403="Overlap between sections"</formula>
    </cfRule>
  </conditionalFormatting>
  <conditionalFormatting sqref="AX403">
    <cfRule type="expression" dxfId="26603" priority="2792">
      <formula>$M403="NON DEFINED"</formula>
    </cfRule>
    <cfRule type="expression" dxfId="26602" priority="2793">
      <formula>$AZ403="N.D."</formula>
    </cfRule>
    <cfRule type="expression" dxfId="26601" priority="2794">
      <formula>$AY403="N.D."</formula>
    </cfRule>
  </conditionalFormatting>
  <conditionalFormatting sqref="AX403">
    <cfRule type="expression" dxfId="26600" priority="2781">
      <formula>$A403="Overhead Cable"</formula>
    </cfRule>
    <cfRule type="expression" dxfId="26599" priority="2782">
      <formula>$A403="Level Crossing"</formula>
    </cfRule>
    <cfRule type="expression" dxfId="26598" priority="2783">
      <formula>$A403="Neutral Section"</formula>
    </cfRule>
    <cfRule type="expression" dxfId="26597" priority="2784">
      <formula>$A403="Tunnel"</formula>
    </cfRule>
    <cfRule type="expression" dxfId="26596" priority="2785">
      <formula>$A403="Bridge"</formula>
    </cfRule>
    <cfRule type="expression" dxfId="26595" priority="2786">
      <formula>$A403="Drainage Works"</formula>
    </cfRule>
    <cfRule type="expression" dxfId="26594" priority="2787">
      <formula>$A403="Underpass"</formula>
    </cfRule>
    <cfRule type="expression" dxfId="26593" priority="2788">
      <formula>$A403="Overcrossing"</formula>
    </cfRule>
    <cfRule type="expression" dxfId="26592" priority="2789">
      <formula>$A403="Overpass"</formula>
    </cfRule>
    <cfRule type="expression" dxfId="26591" priority="2790">
      <formula>$A403="Station"</formula>
    </cfRule>
    <cfRule type="expression" dxfId="26590" priority="2791">
      <formula>$A403="Overlap between sections"</formula>
    </cfRule>
  </conditionalFormatting>
  <conditionalFormatting sqref="AW405">
    <cfRule type="expression" dxfId="26589" priority="2778">
      <formula>$M405="NON DEFINED"</formula>
    </cfRule>
    <cfRule type="expression" dxfId="26588" priority="2779">
      <formula>$AZ405="N.D."</formula>
    </cfRule>
    <cfRule type="expression" dxfId="26587" priority="2780">
      <formula>$AY405="N.D."</formula>
    </cfRule>
  </conditionalFormatting>
  <conditionalFormatting sqref="AW405">
    <cfRule type="expression" dxfId="26586" priority="2767">
      <formula>$A405="Overhead Cable"</formula>
    </cfRule>
    <cfRule type="expression" dxfId="26585" priority="2768">
      <formula>$A405="Level Crossing"</formula>
    </cfRule>
    <cfRule type="expression" dxfId="26584" priority="2769">
      <formula>$A405="Neutral Section"</formula>
    </cfRule>
    <cfRule type="expression" dxfId="26583" priority="2770">
      <formula>$A405="Tunnel"</formula>
    </cfRule>
    <cfRule type="expression" dxfId="26582" priority="2771">
      <formula>$A405="Bridge"</formula>
    </cfRule>
    <cfRule type="expression" dxfId="26581" priority="2772">
      <formula>$A405="Drainage Works"</formula>
    </cfRule>
    <cfRule type="expression" dxfId="26580" priority="2773">
      <formula>$A405="Underpass"</formula>
    </cfRule>
    <cfRule type="expression" dxfId="26579" priority="2774">
      <formula>$A405="Overcrossing"</formula>
    </cfRule>
    <cfRule type="expression" dxfId="26578" priority="2775">
      <formula>$A405="Overpass"</formula>
    </cfRule>
    <cfRule type="expression" dxfId="26577" priority="2776">
      <formula>$A405="Station"</formula>
    </cfRule>
    <cfRule type="expression" dxfId="26576" priority="2777">
      <formula>$A405="Overlap between sections"</formula>
    </cfRule>
  </conditionalFormatting>
  <conditionalFormatting sqref="AX405">
    <cfRule type="expression" dxfId="26575" priority="2764">
      <formula>$M405="NON DEFINED"</formula>
    </cfRule>
    <cfRule type="expression" dxfId="26574" priority="2765">
      <formula>$AZ405="N.D."</formula>
    </cfRule>
    <cfRule type="expression" dxfId="26573" priority="2766">
      <formula>$AY405="N.D."</formula>
    </cfRule>
  </conditionalFormatting>
  <conditionalFormatting sqref="AW223">
    <cfRule type="expression" dxfId="26572" priority="2750">
      <formula>$M223="NON DEFINED"</formula>
    </cfRule>
    <cfRule type="expression" dxfId="26571" priority="2751">
      <formula>$AZ223="N.D."</formula>
    </cfRule>
    <cfRule type="expression" dxfId="26570" priority="2752">
      <formula>$AY223="N.D."</formula>
    </cfRule>
  </conditionalFormatting>
  <conditionalFormatting sqref="AW223">
    <cfRule type="expression" dxfId="26569" priority="2739">
      <formula>$A223="Overhead Cable"</formula>
    </cfRule>
    <cfRule type="expression" dxfId="26568" priority="2740">
      <formula>$A223="Level Crossing"</formula>
    </cfRule>
    <cfRule type="expression" dxfId="26567" priority="2741">
      <formula>$A223="Neutral Section"</formula>
    </cfRule>
    <cfRule type="expression" dxfId="26566" priority="2742">
      <formula>$A223="Tunnel"</formula>
    </cfRule>
    <cfRule type="expression" dxfId="26565" priority="2743">
      <formula>$A223="Bridge"</formula>
    </cfRule>
    <cfRule type="expression" dxfId="26564" priority="2744">
      <formula>$A223="Drainage Works"</formula>
    </cfRule>
    <cfRule type="expression" dxfId="26563" priority="2745">
      <formula>$A223="Underpass"</formula>
    </cfRule>
    <cfRule type="expression" dxfId="26562" priority="2746">
      <formula>$A223="Overcrossing"</formula>
    </cfRule>
    <cfRule type="expression" dxfId="26561" priority="2747">
      <formula>$A223="Overpass"</formula>
    </cfRule>
    <cfRule type="expression" dxfId="26560" priority="2748">
      <formula>$A223="Station"</formula>
    </cfRule>
    <cfRule type="expression" dxfId="26559" priority="2749">
      <formula>$A223="Overlap between sections"</formula>
    </cfRule>
  </conditionalFormatting>
  <conditionalFormatting sqref="AX223">
    <cfRule type="expression" dxfId="26558" priority="2736">
      <formula>$M223="NON DEFINED"</formula>
    </cfRule>
    <cfRule type="expression" dxfId="26557" priority="2737">
      <formula>$AZ223="N.D."</formula>
    </cfRule>
    <cfRule type="expression" dxfId="26556" priority="2738">
      <formula>$AY223="N.D."</formula>
    </cfRule>
  </conditionalFormatting>
  <conditionalFormatting sqref="AX223">
    <cfRule type="expression" dxfId="26555" priority="2725">
      <formula>$A223="Overhead Cable"</formula>
    </cfRule>
    <cfRule type="expression" dxfId="26554" priority="2726">
      <formula>$A223="Level Crossing"</formula>
    </cfRule>
    <cfRule type="expression" dxfId="26553" priority="2727">
      <formula>$A223="Neutral Section"</formula>
    </cfRule>
    <cfRule type="expression" dxfId="26552" priority="2728">
      <formula>$A223="Tunnel"</formula>
    </cfRule>
    <cfRule type="expression" dxfId="26551" priority="2729">
      <formula>$A223="Bridge"</formula>
    </cfRule>
    <cfRule type="expression" dxfId="26550" priority="2730">
      <formula>$A223="Drainage Works"</formula>
    </cfRule>
    <cfRule type="expression" dxfId="26549" priority="2731">
      <formula>$A223="Underpass"</formula>
    </cfRule>
    <cfRule type="expression" dxfId="26548" priority="2732">
      <formula>$A223="Overcrossing"</formula>
    </cfRule>
    <cfRule type="expression" dxfId="26547" priority="2733">
      <formula>$A223="Overpass"</formula>
    </cfRule>
    <cfRule type="expression" dxfId="26546" priority="2734">
      <formula>$A223="Station"</formula>
    </cfRule>
    <cfRule type="expression" dxfId="26545" priority="2735">
      <formula>$A223="Overlap between sections"</formula>
    </cfRule>
  </conditionalFormatting>
  <conditionalFormatting sqref="AW225">
    <cfRule type="expression" dxfId="26544" priority="2722">
      <formula>$M225="NON DEFINED"</formula>
    </cfRule>
    <cfRule type="expression" dxfId="26543" priority="2723">
      <formula>$AZ225="N.D."</formula>
    </cfRule>
    <cfRule type="expression" dxfId="26542" priority="2724">
      <formula>$AY225="N.D."</formula>
    </cfRule>
  </conditionalFormatting>
  <conditionalFormatting sqref="AW225">
    <cfRule type="expression" dxfId="26541" priority="2711">
      <formula>$A225="Overhead Cable"</formula>
    </cfRule>
    <cfRule type="expression" dxfId="26540" priority="2712">
      <formula>$A225="Level Crossing"</formula>
    </cfRule>
    <cfRule type="expression" dxfId="26539" priority="2713">
      <formula>$A225="Neutral Section"</formula>
    </cfRule>
    <cfRule type="expression" dxfId="26538" priority="2714">
      <formula>$A225="Tunnel"</formula>
    </cfRule>
    <cfRule type="expression" dxfId="26537" priority="2715">
      <formula>$A225="Bridge"</formula>
    </cfRule>
    <cfRule type="expression" dxfId="26536" priority="2716">
      <formula>$A225="Drainage Works"</formula>
    </cfRule>
    <cfRule type="expression" dxfId="26535" priority="2717">
      <formula>$A225="Underpass"</formula>
    </cfRule>
    <cfRule type="expression" dxfId="26534" priority="2718">
      <formula>$A225="Overcrossing"</formula>
    </cfRule>
    <cfRule type="expression" dxfId="26533" priority="2719">
      <formula>$A225="Overpass"</formula>
    </cfRule>
    <cfRule type="expression" dxfId="26532" priority="2720">
      <formula>$A225="Station"</formula>
    </cfRule>
    <cfRule type="expression" dxfId="26531" priority="2721">
      <formula>$A225="Overlap between sections"</formula>
    </cfRule>
  </conditionalFormatting>
  <conditionalFormatting sqref="AX225">
    <cfRule type="expression" dxfId="26530" priority="2708">
      <formula>$M225="NON DEFINED"</formula>
    </cfRule>
    <cfRule type="expression" dxfId="26529" priority="2709">
      <formula>$AZ225="N.D."</formula>
    </cfRule>
    <cfRule type="expression" dxfId="26528" priority="2710">
      <formula>$AY225="N.D."</formula>
    </cfRule>
  </conditionalFormatting>
  <conditionalFormatting sqref="AX225">
    <cfRule type="expression" dxfId="26527" priority="2697">
      <formula>$A225="Overhead Cable"</formula>
    </cfRule>
    <cfRule type="expression" dxfId="26526" priority="2698">
      <formula>$A225="Level Crossing"</formula>
    </cfRule>
    <cfRule type="expression" dxfId="26525" priority="2699">
      <formula>$A225="Neutral Section"</formula>
    </cfRule>
    <cfRule type="expression" dxfId="26524" priority="2700">
      <formula>$A225="Tunnel"</formula>
    </cfRule>
    <cfRule type="expression" dxfId="26523" priority="2701">
      <formula>$A225="Bridge"</formula>
    </cfRule>
    <cfRule type="expression" dxfId="26522" priority="2702">
      <formula>$A225="Drainage Works"</formula>
    </cfRule>
    <cfRule type="expression" dxfId="26521" priority="2703">
      <formula>$A225="Underpass"</formula>
    </cfRule>
    <cfRule type="expression" dxfId="26520" priority="2704">
      <formula>$A225="Overcrossing"</formula>
    </cfRule>
    <cfRule type="expression" dxfId="26519" priority="2705">
      <formula>$A225="Overpass"</formula>
    </cfRule>
    <cfRule type="expression" dxfId="26518" priority="2706">
      <formula>$A225="Station"</formula>
    </cfRule>
    <cfRule type="expression" dxfId="26517" priority="2707">
      <formula>$A225="Overlap between sections"</formula>
    </cfRule>
  </conditionalFormatting>
  <conditionalFormatting sqref="AW227">
    <cfRule type="expression" dxfId="26516" priority="2694">
      <formula>$M227="NON DEFINED"</formula>
    </cfRule>
    <cfRule type="expression" dxfId="26515" priority="2695">
      <formula>$AZ227="N.D."</formula>
    </cfRule>
    <cfRule type="expression" dxfId="26514" priority="2696">
      <formula>$AY227="N.D."</formula>
    </cfRule>
  </conditionalFormatting>
  <conditionalFormatting sqref="AW227">
    <cfRule type="expression" dxfId="26513" priority="2683">
      <formula>$A227="Overhead Cable"</formula>
    </cfRule>
    <cfRule type="expression" dxfId="26512" priority="2684">
      <formula>$A227="Level Crossing"</formula>
    </cfRule>
    <cfRule type="expression" dxfId="26511" priority="2685">
      <formula>$A227="Neutral Section"</formula>
    </cfRule>
    <cfRule type="expression" dxfId="26510" priority="2686">
      <formula>$A227="Tunnel"</formula>
    </cfRule>
    <cfRule type="expression" dxfId="26509" priority="2687">
      <formula>$A227="Bridge"</formula>
    </cfRule>
    <cfRule type="expression" dxfId="26508" priority="2688">
      <formula>$A227="Drainage Works"</formula>
    </cfRule>
    <cfRule type="expression" dxfId="26507" priority="2689">
      <formula>$A227="Underpass"</formula>
    </cfRule>
    <cfRule type="expression" dxfId="26506" priority="2690">
      <formula>$A227="Overcrossing"</formula>
    </cfRule>
    <cfRule type="expression" dxfId="26505" priority="2691">
      <formula>$A227="Overpass"</formula>
    </cfRule>
    <cfRule type="expression" dxfId="26504" priority="2692">
      <formula>$A227="Station"</formula>
    </cfRule>
    <cfRule type="expression" dxfId="26503" priority="2693">
      <formula>$A227="Overlap between sections"</formula>
    </cfRule>
  </conditionalFormatting>
  <conditionalFormatting sqref="AX227">
    <cfRule type="expression" dxfId="26502" priority="2680">
      <formula>$M227="NON DEFINED"</formula>
    </cfRule>
    <cfRule type="expression" dxfId="26501" priority="2681">
      <formula>$AZ227="N.D."</formula>
    </cfRule>
    <cfRule type="expression" dxfId="26500" priority="2682">
      <formula>$AY227="N.D."</formula>
    </cfRule>
  </conditionalFormatting>
  <conditionalFormatting sqref="AX227">
    <cfRule type="expression" dxfId="26499" priority="2669">
      <formula>$A227="Overhead Cable"</formula>
    </cfRule>
    <cfRule type="expression" dxfId="26498" priority="2670">
      <formula>$A227="Level Crossing"</formula>
    </cfRule>
    <cfRule type="expression" dxfId="26497" priority="2671">
      <formula>$A227="Neutral Section"</formula>
    </cfRule>
    <cfRule type="expression" dxfId="26496" priority="2672">
      <formula>$A227="Tunnel"</formula>
    </cfRule>
    <cfRule type="expression" dxfId="26495" priority="2673">
      <formula>$A227="Bridge"</formula>
    </cfRule>
    <cfRule type="expression" dxfId="26494" priority="2674">
      <formula>$A227="Drainage Works"</formula>
    </cfRule>
    <cfRule type="expression" dxfId="26493" priority="2675">
      <formula>$A227="Underpass"</formula>
    </cfRule>
    <cfRule type="expression" dxfId="26492" priority="2676">
      <formula>$A227="Overcrossing"</formula>
    </cfRule>
    <cfRule type="expression" dxfId="26491" priority="2677">
      <formula>$A227="Overpass"</formula>
    </cfRule>
    <cfRule type="expression" dxfId="26490" priority="2678">
      <formula>$A227="Station"</formula>
    </cfRule>
    <cfRule type="expression" dxfId="26489" priority="2679">
      <formula>$A227="Overlap between sections"</formula>
    </cfRule>
  </conditionalFormatting>
  <conditionalFormatting sqref="AW121">
    <cfRule type="expression" dxfId="26488" priority="2666">
      <formula>$M121="NON DEFINED"</formula>
    </cfRule>
    <cfRule type="expression" dxfId="26487" priority="2667">
      <formula>$AZ121="N.D."</formula>
    </cfRule>
    <cfRule type="expression" dxfId="26486" priority="2668">
      <formula>$AY121="N.D."</formula>
    </cfRule>
  </conditionalFormatting>
  <conditionalFormatting sqref="AW121">
    <cfRule type="expression" dxfId="26485" priority="2655">
      <formula>$A121="Overhead Cable"</formula>
    </cfRule>
    <cfRule type="expression" dxfId="26484" priority="2656">
      <formula>$A121="Level Crossing"</formula>
    </cfRule>
    <cfRule type="expression" dxfId="26483" priority="2657">
      <formula>$A121="Neutral Section"</formula>
    </cfRule>
    <cfRule type="expression" dxfId="26482" priority="2658">
      <formula>$A121="Tunnel"</formula>
    </cfRule>
    <cfRule type="expression" dxfId="26481" priority="2659">
      <formula>$A121="Bridge"</formula>
    </cfRule>
    <cfRule type="expression" dxfId="26480" priority="2660">
      <formula>$A121="Drainage Works"</formula>
    </cfRule>
    <cfRule type="expression" dxfId="26479" priority="2661">
      <formula>$A121="Underpass"</formula>
    </cfRule>
    <cfRule type="expression" dxfId="26478" priority="2662">
      <formula>$A121="Overcrossing"</formula>
    </cfRule>
    <cfRule type="expression" dxfId="26477" priority="2663">
      <formula>$A121="Overpass"</formula>
    </cfRule>
    <cfRule type="expression" dxfId="26476" priority="2664">
      <formula>$A121="Station"</formula>
    </cfRule>
    <cfRule type="expression" dxfId="26475" priority="2665">
      <formula>$A121="Overlap between sections"</formula>
    </cfRule>
  </conditionalFormatting>
  <conditionalFormatting sqref="AX121">
    <cfRule type="expression" dxfId="26474" priority="2652">
      <formula>$M121="NON DEFINED"</formula>
    </cfRule>
    <cfRule type="expression" dxfId="26473" priority="2653">
      <formula>$AZ121="N.D."</formula>
    </cfRule>
    <cfRule type="expression" dxfId="26472" priority="2654">
      <formula>$AY121="N.D."</formula>
    </cfRule>
  </conditionalFormatting>
  <conditionalFormatting sqref="AX121">
    <cfRule type="expression" dxfId="26471" priority="2641">
      <formula>$A121="Overhead Cable"</formula>
    </cfRule>
    <cfRule type="expression" dxfId="26470" priority="2642">
      <formula>$A121="Level Crossing"</formula>
    </cfRule>
    <cfRule type="expression" dxfId="26469" priority="2643">
      <formula>$A121="Neutral Section"</formula>
    </cfRule>
    <cfRule type="expression" dxfId="26468" priority="2644">
      <formula>$A121="Tunnel"</formula>
    </cfRule>
    <cfRule type="expression" dxfId="26467" priority="2645">
      <formula>$A121="Bridge"</formula>
    </cfRule>
    <cfRule type="expression" dxfId="26466" priority="2646">
      <formula>$A121="Drainage Works"</formula>
    </cfRule>
    <cfRule type="expression" dxfId="26465" priority="2647">
      <formula>$A121="Underpass"</formula>
    </cfRule>
    <cfRule type="expression" dxfId="26464" priority="2648">
      <formula>$A121="Overcrossing"</formula>
    </cfRule>
    <cfRule type="expression" dxfId="26463" priority="2649">
      <formula>$A121="Overpass"</formula>
    </cfRule>
    <cfRule type="expression" dxfId="26462" priority="2650">
      <formula>$A121="Station"</formula>
    </cfRule>
    <cfRule type="expression" dxfId="26461" priority="2651">
      <formula>$A121="Overlap between sections"</formula>
    </cfRule>
  </conditionalFormatting>
  <conditionalFormatting sqref="AW123">
    <cfRule type="expression" dxfId="26460" priority="2638">
      <formula>$M123="NON DEFINED"</formula>
    </cfRule>
    <cfRule type="expression" dxfId="26459" priority="2639">
      <formula>$AZ123="N.D."</formula>
    </cfRule>
    <cfRule type="expression" dxfId="26458" priority="2640">
      <formula>$AY123="N.D."</formula>
    </cfRule>
  </conditionalFormatting>
  <conditionalFormatting sqref="AW123">
    <cfRule type="expression" dxfId="26457" priority="2627">
      <formula>$A123="Overhead Cable"</formula>
    </cfRule>
    <cfRule type="expression" dxfId="26456" priority="2628">
      <formula>$A123="Level Crossing"</formula>
    </cfRule>
    <cfRule type="expression" dxfId="26455" priority="2629">
      <formula>$A123="Neutral Section"</formula>
    </cfRule>
    <cfRule type="expression" dxfId="26454" priority="2630">
      <formula>$A123="Tunnel"</formula>
    </cfRule>
    <cfRule type="expression" dxfId="26453" priority="2631">
      <formula>$A123="Bridge"</formula>
    </cfRule>
    <cfRule type="expression" dxfId="26452" priority="2632">
      <formula>$A123="Drainage Works"</formula>
    </cfRule>
    <cfRule type="expression" dxfId="26451" priority="2633">
      <formula>$A123="Underpass"</formula>
    </cfRule>
    <cfRule type="expression" dxfId="26450" priority="2634">
      <formula>$A123="Overcrossing"</formula>
    </cfRule>
    <cfRule type="expression" dxfId="26449" priority="2635">
      <formula>$A123="Overpass"</formula>
    </cfRule>
    <cfRule type="expression" dxfId="26448" priority="2636">
      <formula>$A123="Station"</formula>
    </cfRule>
    <cfRule type="expression" dxfId="26447" priority="2637">
      <formula>$A123="Overlap between sections"</formula>
    </cfRule>
  </conditionalFormatting>
  <conditionalFormatting sqref="AX123">
    <cfRule type="expression" dxfId="26446" priority="2624">
      <formula>$M123="NON DEFINED"</formula>
    </cfRule>
    <cfRule type="expression" dxfId="26445" priority="2625">
      <formula>$AZ123="N.D."</formula>
    </cfRule>
    <cfRule type="expression" dxfId="26444" priority="2626">
      <formula>$AY123="N.D."</formula>
    </cfRule>
  </conditionalFormatting>
  <conditionalFormatting sqref="AX123">
    <cfRule type="expression" dxfId="26443" priority="2613">
      <formula>$A123="Overhead Cable"</formula>
    </cfRule>
    <cfRule type="expression" dxfId="26442" priority="2614">
      <formula>$A123="Level Crossing"</formula>
    </cfRule>
    <cfRule type="expression" dxfId="26441" priority="2615">
      <formula>$A123="Neutral Section"</formula>
    </cfRule>
    <cfRule type="expression" dxfId="26440" priority="2616">
      <formula>$A123="Tunnel"</formula>
    </cfRule>
    <cfRule type="expression" dxfId="26439" priority="2617">
      <formula>$A123="Bridge"</formula>
    </cfRule>
    <cfRule type="expression" dxfId="26438" priority="2618">
      <formula>$A123="Drainage Works"</formula>
    </cfRule>
    <cfRule type="expression" dxfId="26437" priority="2619">
      <formula>$A123="Underpass"</formula>
    </cfRule>
    <cfRule type="expression" dxfId="26436" priority="2620">
      <formula>$A123="Overcrossing"</formula>
    </cfRule>
    <cfRule type="expression" dxfId="26435" priority="2621">
      <formula>$A123="Overpass"</formula>
    </cfRule>
    <cfRule type="expression" dxfId="26434" priority="2622">
      <formula>$A123="Station"</formula>
    </cfRule>
    <cfRule type="expression" dxfId="26433" priority="2623">
      <formula>$A123="Overlap between sections"</formula>
    </cfRule>
  </conditionalFormatting>
  <conditionalFormatting sqref="AW56">
    <cfRule type="expression" dxfId="26432" priority="2610">
      <formula>$M56="NON DEFINED"</formula>
    </cfRule>
    <cfRule type="expression" dxfId="26431" priority="2611">
      <formula>$AZ56="N.D."</formula>
    </cfRule>
    <cfRule type="expression" dxfId="26430" priority="2612">
      <formula>$AY56="N.D."</formula>
    </cfRule>
  </conditionalFormatting>
  <conditionalFormatting sqref="AW56">
    <cfRule type="expression" dxfId="26429" priority="2599">
      <formula>$A56="Overhead Cable"</formula>
    </cfRule>
    <cfRule type="expression" dxfId="26428" priority="2600">
      <formula>$A56="Level Crossing"</formula>
    </cfRule>
    <cfRule type="expression" dxfId="26427" priority="2601">
      <formula>$A56="Neutral Section"</formula>
    </cfRule>
    <cfRule type="expression" dxfId="26426" priority="2602">
      <formula>$A56="Tunnel"</formula>
    </cfRule>
    <cfRule type="expression" dxfId="26425" priority="2603">
      <formula>$A56="Bridge"</formula>
    </cfRule>
    <cfRule type="expression" dxfId="26424" priority="2604">
      <formula>$A56="Drainage Works"</formula>
    </cfRule>
    <cfRule type="expression" dxfId="26423" priority="2605">
      <formula>$A56="Underpass"</formula>
    </cfRule>
    <cfRule type="expression" dxfId="26422" priority="2606">
      <formula>$A56="Overcrossing"</formula>
    </cfRule>
    <cfRule type="expression" dxfId="26421" priority="2607">
      <formula>$A56="Overpass"</formula>
    </cfRule>
    <cfRule type="expression" dxfId="26420" priority="2608">
      <formula>$A56="Station"</formula>
    </cfRule>
    <cfRule type="expression" dxfId="26419" priority="2609">
      <formula>$A56="Overlap between sections"</formula>
    </cfRule>
  </conditionalFormatting>
  <conditionalFormatting sqref="AX56">
    <cfRule type="expression" dxfId="26418" priority="2596">
      <formula>$M56="NON DEFINED"</formula>
    </cfRule>
    <cfRule type="expression" dxfId="26417" priority="2597">
      <formula>$AZ56="N.D."</formula>
    </cfRule>
    <cfRule type="expression" dxfId="26416" priority="2598">
      <formula>$AY56="N.D."</formula>
    </cfRule>
  </conditionalFormatting>
  <conditionalFormatting sqref="AX56">
    <cfRule type="expression" dxfId="26415" priority="2585">
      <formula>$A56="Overhead Cable"</formula>
    </cfRule>
    <cfRule type="expression" dxfId="26414" priority="2586">
      <formula>$A56="Level Crossing"</formula>
    </cfRule>
    <cfRule type="expression" dxfId="26413" priority="2587">
      <formula>$A56="Neutral Section"</formula>
    </cfRule>
    <cfRule type="expression" dxfId="26412" priority="2588">
      <formula>$A56="Tunnel"</formula>
    </cfRule>
    <cfRule type="expression" dxfId="26411" priority="2589">
      <formula>$A56="Bridge"</formula>
    </cfRule>
    <cfRule type="expression" dxfId="26410" priority="2590">
      <formula>$A56="Drainage Works"</formula>
    </cfRule>
    <cfRule type="expression" dxfId="26409" priority="2591">
      <formula>$A56="Underpass"</formula>
    </cfRule>
    <cfRule type="expression" dxfId="26408" priority="2592">
      <formula>$A56="Overcrossing"</formula>
    </cfRule>
    <cfRule type="expression" dxfId="26407" priority="2593">
      <formula>$A56="Overpass"</formula>
    </cfRule>
    <cfRule type="expression" dxfId="26406" priority="2594">
      <formula>$A56="Station"</formula>
    </cfRule>
    <cfRule type="expression" dxfId="26405" priority="2595">
      <formula>$A56="Overlap between sections"</formula>
    </cfRule>
  </conditionalFormatting>
  <conditionalFormatting sqref="AW58">
    <cfRule type="expression" dxfId="26404" priority="2582">
      <formula>$M58="NON DEFINED"</formula>
    </cfRule>
    <cfRule type="expression" dxfId="26403" priority="2583">
      <formula>$AZ58="N.D."</formula>
    </cfRule>
    <cfRule type="expression" dxfId="26402" priority="2584">
      <formula>$AY58="N.D."</formula>
    </cfRule>
  </conditionalFormatting>
  <conditionalFormatting sqref="AW58">
    <cfRule type="expression" dxfId="26401" priority="2571">
      <formula>$A58="Overhead Cable"</formula>
    </cfRule>
    <cfRule type="expression" dxfId="26400" priority="2572">
      <formula>$A58="Level Crossing"</formula>
    </cfRule>
    <cfRule type="expression" dxfId="26399" priority="2573">
      <formula>$A58="Neutral Section"</formula>
    </cfRule>
    <cfRule type="expression" dxfId="26398" priority="2574">
      <formula>$A58="Tunnel"</formula>
    </cfRule>
    <cfRule type="expression" dxfId="26397" priority="2575">
      <formula>$A58="Bridge"</formula>
    </cfRule>
    <cfRule type="expression" dxfId="26396" priority="2576">
      <formula>$A58="Drainage Works"</formula>
    </cfRule>
    <cfRule type="expression" dxfId="26395" priority="2577">
      <formula>$A58="Underpass"</formula>
    </cfRule>
    <cfRule type="expression" dxfId="26394" priority="2578">
      <formula>$A58="Overcrossing"</formula>
    </cfRule>
    <cfRule type="expression" dxfId="26393" priority="2579">
      <formula>$A58="Overpass"</formula>
    </cfRule>
    <cfRule type="expression" dxfId="26392" priority="2580">
      <formula>$A58="Station"</formula>
    </cfRule>
    <cfRule type="expression" dxfId="26391" priority="2581">
      <formula>$A58="Overlap between sections"</formula>
    </cfRule>
  </conditionalFormatting>
  <conditionalFormatting sqref="AX58">
    <cfRule type="expression" dxfId="26390" priority="2568">
      <formula>$M58="NON DEFINED"</formula>
    </cfRule>
    <cfRule type="expression" dxfId="26389" priority="2569">
      <formula>$AZ58="N.D."</formula>
    </cfRule>
    <cfRule type="expression" dxfId="26388" priority="2570">
      <formula>$AY58="N.D."</formula>
    </cfRule>
  </conditionalFormatting>
  <conditionalFormatting sqref="AX58">
    <cfRule type="expression" dxfId="26387" priority="2557">
      <formula>$A58="Overhead Cable"</formula>
    </cfRule>
    <cfRule type="expression" dxfId="26386" priority="2558">
      <formula>$A58="Level Crossing"</formula>
    </cfRule>
    <cfRule type="expression" dxfId="26385" priority="2559">
      <formula>$A58="Neutral Section"</formula>
    </cfRule>
    <cfRule type="expression" dxfId="26384" priority="2560">
      <formula>$A58="Tunnel"</formula>
    </cfRule>
    <cfRule type="expression" dxfId="26383" priority="2561">
      <formula>$A58="Bridge"</formula>
    </cfRule>
    <cfRule type="expression" dxfId="26382" priority="2562">
      <formula>$A58="Drainage Works"</formula>
    </cfRule>
    <cfRule type="expression" dxfId="26381" priority="2563">
      <formula>$A58="Underpass"</formula>
    </cfRule>
    <cfRule type="expression" dxfId="26380" priority="2564">
      <formula>$A58="Overcrossing"</formula>
    </cfRule>
    <cfRule type="expression" dxfId="26379" priority="2565">
      <formula>$A58="Overpass"</formula>
    </cfRule>
    <cfRule type="expression" dxfId="26378" priority="2566">
      <formula>$A58="Station"</formula>
    </cfRule>
    <cfRule type="expression" dxfId="26377" priority="2567">
      <formula>$A58="Overlap between sections"</formula>
    </cfRule>
  </conditionalFormatting>
  <conditionalFormatting sqref="AW60">
    <cfRule type="expression" dxfId="26376" priority="2554">
      <formula>$M60="NON DEFINED"</formula>
    </cfRule>
    <cfRule type="expression" dxfId="26375" priority="2555">
      <formula>$AZ60="N.D."</formula>
    </cfRule>
    <cfRule type="expression" dxfId="26374" priority="2556">
      <formula>$AY60="N.D."</formula>
    </cfRule>
  </conditionalFormatting>
  <conditionalFormatting sqref="AW60">
    <cfRule type="expression" dxfId="26373" priority="2543">
      <formula>$A60="Overhead Cable"</formula>
    </cfRule>
    <cfRule type="expression" dxfId="26372" priority="2544">
      <formula>$A60="Level Crossing"</formula>
    </cfRule>
    <cfRule type="expression" dxfId="26371" priority="2545">
      <formula>$A60="Neutral Section"</formula>
    </cfRule>
    <cfRule type="expression" dxfId="26370" priority="2546">
      <formula>$A60="Tunnel"</formula>
    </cfRule>
    <cfRule type="expression" dxfId="26369" priority="2547">
      <formula>$A60="Bridge"</formula>
    </cfRule>
    <cfRule type="expression" dxfId="26368" priority="2548">
      <formula>$A60="Drainage Works"</formula>
    </cfRule>
    <cfRule type="expression" dxfId="26367" priority="2549">
      <formula>$A60="Underpass"</formula>
    </cfRule>
    <cfRule type="expression" dxfId="26366" priority="2550">
      <formula>$A60="Overcrossing"</formula>
    </cfRule>
    <cfRule type="expression" dxfId="26365" priority="2551">
      <formula>$A60="Overpass"</formula>
    </cfRule>
    <cfRule type="expression" dxfId="26364" priority="2552">
      <formula>$A60="Station"</formula>
    </cfRule>
    <cfRule type="expression" dxfId="26363" priority="2553">
      <formula>$A60="Overlap between sections"</formula>
    </cfRule>
  </conditionalFormatting>
  <conditionalFormatting sqref="AX60">
    <cfRule type="expression" dxfId="26362" priority="2540">
      <formula>$M60="NON DEFINED"</formula>
    </cfRule>
    <cfRule type="expression" dxfId="26361" priority="2541">
      <formula>$AZ60="N.D."</formula>
    </cfRule>
    <cfRule type="expression" dxfId="26360" priority="2542">
      <formula>$AY60="N.D."</formula>
    </cfRule>
  </conditionalFormatting>
  <conditionalFormatting sqref="AX60">
    <cfRule type="expression" dxfId="26359" priority="2529">
      <formula>$A60="Overhead Cable"</formula>
    </cfRule>
    <cfRule type="expression" dxfId="26358" priority="2530">
      <formula>$A60="Level Crossing"</formula>
    </cfRule>
    <cfRule type="expression" dxfId="26357" priority="2531">
      <formula>$A60="Neutral Section"</formula>
    </cfRule>
    <cfRule type="expression" dxfId="26356" priority="2532">
      <formula>$A60="Tunnel"</formula>
    </cfRule>
    <cfRule type="expression" dxfId="26355" priority="2533">
      <formula>$A60="Bridge"</formula>
    </cfRule>
    <cfRule type="expression" dxfId="26354" priority="2534">
      <formula>$A60="Drainage Works"</formula>
    </cfRule>
    <cfRule type="expression" dxfId="26353" priority="2535">
      <formula>$A60="Underpass"</formula>
    </cfRule>
    <cfRule type="expression" dxfId="26352" priority="2536">
      <formula>$A60="Overcrossing"</formula>
    </cfRule>
    <cfRule type="expression" dxfId="26351" priority="2537">
      <formula>$A60="Overpass"</formula>
    </cfRule>
    <cfRule type="expression" dxfId="26350" priority="2538">
      <formula>$A60="Station"</formula>
    </cfRule>
    <cfRule type="expression" dxfId="26349" priority="2539">
      <formula>$A60="Overlap between sections"</formula>
    </cfRule>
  </conditionalFormatting>
  <conditionalFormatting sqref="AW62">
    <cfRule type="expression" dxfId="26348" priority="2526">
      <formula>$M62="NON DEFINED"</formula>
    </cfRule>
    <cfRule type="expression" dxfId="26347" priority="2527">
      <formula>$AZ62="N.D."</formula>
    </cfRule>
    <cfRule type="expression" dxfId="26346" priority="2528">
      <formula>$AY62="N.D."</formula>
    </cfRule>
  </conditionalFormatting>
  <conditionalFormatting sqref="AW62">
    <cfRule type="expression" dxfId="26345" priority="2515">
      <formula>$A62="Overhead Cable"</formula>
    </cfRule>
    <cfRule type="expression" dxfId="26344" priority="2516">
      <formula>$A62="Level Crossing"</formula>
    </cfRule>
    <cfRule type="expression" dxfId="26343" priority="2517">
      <formula>$A62="Neutral Section"</formula>
    </cfRule>
    <cfRule type="expression" dxfId="26342" priority="2518">
      <formula>$A62="Tunnel"</formula>
    </cfRule>
    <cfRule type="expression" dxfId="26341" priority="2519">
      <formula>$A62="Bridge"</formula>
    </cfRule>
    <cfRule type="expression" dxfId="26340" priority="2520">
      <formula>$A62="Drainage Works"</formula>
    </cfRule>
    <cfRule type="expression" dxfId="26339" priority="2521">
      <formula>$A62="Underpass"</formula>
    </cfRule>
    <cfRule type="expression" dxfId="26338" priority="2522">
      <formula>$A62="Overcrossing"</formula>
    </cfRule>
    <cfRule type="expression" dxfId="26337" priority="2523">
      <formula>$A62="Overpass"</formula>
    </cfRule>
    <cfRule type="expression" dxfId="26336" priority="2524">
      <formula>$A62="Station"</formula>
    </cfRule>
    <cfRule type="expression" dxfId="26335" priority="2525">
      <formula>$A62="Overlap between sections"</formula>
    </cfRule>
  </conditionalFormatting>
  <conditionalFormatting sqref="AX62">
    <cfRule type="expression" dxfId="26334" priority="2512">
      <formula>$M62="NON DEFINED"</formula>
    </cfRule>
    <cfRule type="expression" dxfId="26333" priority="2513">
      <formula>$AZ62="N.D."</formula>
    </cfRule>
    <cfRule type="expression" dxfId="26332" priority="2514">
      <formula>$AY62="N.D."</formula>
    </cfRule>
  </conditionalFormatting>
  <conditionalFormatting sqref="AX62">
    <cfRule type="expression" dxfId="26331" priority="2501">
      <formula>$A62="Overhead Cable"</formula>
    </cfRule>
    <cfRule type="expression" dxfId="26330" priority="2502">
      <formula>$A62="Level Crossing"</formula>
    </cfRule>
    <cfRule type="expression" dxfId="26329" priority="2503">
      <formula>$A62="Neutral Section"</formula>
    </cfRule>
    <cfRule type="expression" dxfId="26328" priority="2504">
      <formula>$A62="Tunnel"</formula>
    </cfRule>
    <cfRule type="expression" dxfId="26327" priority="2505">
      <formula>$A62="Bridge"</formula>
    </cfRule>
    <cfRule type="expression" dxfId="26326" priority="2506">
      <formula>$A62="Drainage Works"</formula>
    </cfRule>
    <cfRule type="expression" dxfId="26325" priority="2507">
      <formula>$A62="Underpass"</formula>
    </cfRule>
    <cfRule type="expression" dxfId="26324" priority="2508">
      <formula>$A62="Overcrossing"</formula>
    </cfRule>
    <cfRule type="expression" dxfId="26323" priority="2509">
      <formula>$A62="Overpass"</formula>
    </cfRule>
    <cfRule type="expression" dxfId="26322" priority="2510">
      <formula>$A62="Station"</formula>
    </cfRule>
    <cfRule type="expression" dxfId="26321" priority="2511">
      <formula>$A62="Overlap between sections"</formula>
    </cfRule>
  </conditionalFormatting>
  <conditionalFormatting sqref="AW64">
    <cfRule type="expression" dxfId="26320" priority="2498">
      <formula>$M64="NON DEFINED"</formula>
    </cfRule>
    <cfRule type="expression" dxfId="26319" priority="2499">
      <formula>$AZ64="N.D."</formula>
    </cfRule>
    <cfRule type="expression" dxfId="26318" priority="2500">
      <formula>$AY64="N.D."</formula>
    </cfRule>
  </conditionalFormatting>
  <conditionalFormatting sqref="AW64">
    <cfRule type="expression" dxfId="26317" priority="2487">
      <formula>$A64="Overhead Cable"</formula>
    </cfRule>
    <cfRule type="expression" dxfId="26316" priority="2488">
      <formula>$A64="Level Crossing"</formula>
    </cfRule>
    <cfRule type="expression" dxfId="26315" priority="2489">
      <formula>$A64="Neutral Section"</formula>
    </cfRule>
    <cfRule type="expression" dxfId="26314" priority="2490">
      <formula>$A64="Tunnel"</formula>
    </cfRule>
    <cfRule type="expression" dxfId="26313" priority="2491">
      <formula>$A64="Bridge"</formula>
    </cfRule>
    <cfRule type="expression" dxfId="26312" priority="2492">
      <formula>$A64="Drainage Works"</formula>
    </cfRule>
    <cfRule type="expression" dxfId="26311" priority="2493">
      <formula>$A64="Underpass"</formula>
    </cfRule>
    <cfRule type="expression" dxfId="26310" priority="2494">
      <formula>$A64="Overcrossing"</formula>
    </cfRule>
    <cfRule type="expression" dxfId="26309" priority="2495">
      <formula>$A64="Overpass"</formula>
    </cfRule>
    <cfRule type="expression" dxfId="26308" priority="2496">
      <formula>$A64="Station"</formula>
    </cfRule>
    <cfRule type="expression" dxfId="26307" priority="2497">
      <formula>$A64="Overlap between sections"</formula>
    </cfRule>
  </conditionalFormatting>
  <conditionalFormatting sqref="AX64">
    <cfRule type="expression" dxfId="26306" priority="2484">
      <formula>$M64="NON DEFINED"</formula>
    </cfRule>
    <cfRule type="expression" dxfId="26305" priority="2485">
      <formula>$AZ64="N.D."</formula>
    </cfRule>
    <cfRule type="expression" dxfId="26304" priority="2486">
      <formula>$AY64="N.D."</formula>
    </cfRule>
  </conditionalFormatting>
  <conditionalFormatting sqref="AX64">
    <cfRule type="expression" dxfId="26303" priority="2473">
      <formula>$A64="Overhead Cable"</formula>
    </cfRule>
    <cfRule type="expression" dxfId="26302" priority="2474">
      <formula>$A64="Level Crossing"</formula>
    </cfRule>
    <cfRule type="expression" dxfId="26301" priority="2475">
      <formula>$A64="Neutral Section"</formula>
    </cfRule>
    <cfRule type="expression" dxfId="26300" priority="2476">
      <formula>$A64="Tunnel"</formula>
    </cfRule>
    <cfRule type="expression" dxfId="26299" priority="2477">
      <formula>$A64="Bridge"</formula>
    </cfRule>
    <cfRule type="expression" dxfId="26298" priority="2478">
      <formula>$A64="Drainage Works"</formula>
    </cfRule>
    <cfRule type="expression" dxfId="26297" priority="2479">
      <formula>$A64="Underpass"</formula>
    </cfRule>
    <cfRule type="expression" dxfId="26296" priority="2480">
      <formula>$A64="Overcrossing"</formula>
    </cfRule>
    <cfRule type="expression" dxfId="26295" priority="2481">
      <formula>$A64="Overpass"</formula>
    </cfRule>
    <cfRule type="expression" dxfId="26294" priority="2482">
      <formula>$A64="Station"</formula>
    </cfRule>
    <cfRule type="expression" dxfId="26293" priority="2483">
      <formula>$A64="Overlap between sections"</formula>
    </cfRule>
  </conditionalFormatting>
  <conditionalFormatting sqref="AW68">
    <cfRule type="expression" dxfId="26292" priority="2470">
      <formula>$M68="NON DEFINED"</formula>
    </cfRule>
    <cfRule type="expression" dxfId="26291" priority="2471">
      <formula>$AZ68="N.D."</formula>
    </cfRule>
    <cfRule type="expression" dxfId="26290" priority="2472">
      <formula>$AY68="N.D."</formula>
    </cfRule>
  </conditionalFormatting>
  <conditionalFormatting sqref="AW68">
    <cfRule type="expression" dxfId="26289" priority="2459">
      <formula>$A68="Overhead Cable"</formula>
    </cfRule>
    <cfRule type="expression" dxfId="26288" priority="2460">
      <formula>$A68="Level Crossing"</formula>
    </cfRule>
    <cfRule type="expression" dxfId="26287" priority="2461">
      <formula>$A68="Neutral Section"</formula>
    </cfRule>
    <cfRule type="expression" dxfId="26286" priority="2462">
      <formula>$A68="Tunnel"</formula>
    </cfRule>
    <cfRule type="expression" dxfId="26285" priority="2463">
      <formula>$A68="Bridge"</formula>
    </cfRule>
    <cfRule type="expression" dxfId="26284" priority="2464">
      <formula>$A68="Drainage Works"</formula>
    </cfRule>
    <cfRule type="expression" dxfId="26283" priority="2465">
      <formula>$A68="Underpass"</formula>
    </cfRule>
    <cfRule type="expression" dxfId="26282" priority="2466">
      <formula>$A68="Overcrossing"</formula>
    </cfRule>
    <cfRule type="expression" dxfId="26281" priority="2467">
      <formula>$A68="Overpass"</formula>
    </cfRule>
    <cfRule type="expression" dxfId="26280" priority="2468">
      <formula>$A68="Station"</formula>
    </cfRule>
    <cfRule type="expression" dxfId="26279" priority="2469">
      <formula>$A68="Overlap between sections"</formula>
    </cfRule>
  </conditionalFormatting>
  <conditionalFormatting sqref="AX68">
    <cfRule type="expression" dxfId="26278" priority="2456">
      <formula>$M68="NON DEFINED"</formula>
    </cfRule>
    <cfRule type="expression" dxfId="26277" priority="2457">
      <formula>$AZ68="N.D."</formula>
    </cfRule>
    <cfRule type="expression" dxfId="26276" priority="2458">
      <formula>$AY68="N.D."</formula>
    </cfRule>
  </conditionalFormatting>
  <conditionalFormatting sqref="AX68">
    <cfRule type="expression" dxfId="26275" priority="2445">
      <formula>$A68="Overhead Cable"</formula>
    </cfRule>
    <cfRule type="expression" dxfId="26274" priority="2446">
      <formula>$A68="Level Crossing"</formula>
    </cfRule>
    <cfRule type="expression" dxfId="26273" priority="2447">
      <formula>$A68="Neutral Section"</formula>
    </cfRule>
    <cfRule type="expression" dxfId="26272" priority="2448">
      <formula>$A68="Tunnel"</formula>
    </cfRule>
    <cfRule type="expression" dxfId="26271" priority="2449">
      <formula>$A68="Bridge"</formula>
    </cfRule>
    <cfRule type="expression" dxfId="26270" priority="2450">
      <formula>$A68="Drainage Works"</formula>
    </cfRule>
    <cfRule type="expression" dxfId="26269" priority="2451">
      <formula>$A68="Underpass"</formula>
    </cfRule>
    <cfRule type="expression" dxfId="26268" priority="2452">
      <formula>$A68="Overcrossing"</formula>
    </cfRule>
    <cfRule type="expression" dxfId="26267" priority="2453">
      <formula>$A68="Overpass"</formula>
    </cfRule>
    <cfRule type="expression" dxfId="26266" priority="2454">
      <formula>$A68="Station"</formula>
    </cfRule>
    <cfRule type="expression" dxfId="26265" priority="2455">
      <formula>$A68="Overlap between sections"</formula>
    </cfRule>
  </conditionalFormatting>
  <conditionalFormatting sqref="AW70">
    <cfRule type="expression" dxfId="26264" priority="2442">
      <formula>$M70="NON DEFINED"</formula>
    </cfRule>
    <cfRule type="expression" dxfId="26263" priority="2443">
      <formula>$AZ70="N.D."</formula>
    </cfRule>
    <cfRule type="expression" dxfId="26262" priority="2444">
      <formula>$AY70="N.D."</formula>
    </cfRule>
  </conditionalFormatting>
  <conditionalFormatting sqref="AW70">
    <cfRule type="expression" dxfId="26261" priority="2431">
      <formula>$A70="Overhead Cable"</formula>
    </cfRule>
    <cfRule type="expression" dxfId="26260" priority="2432">
      <formula>$A70="Level Crossing"</formula>
    </cfRule>
    <cfRule type="expression" dxfId="26259" priority="2433">
      <formula>$A70="Neutral Section"</formula>
    </cfRule>
    <cfRule type="expression" dxfId="26258" priority="2434">
      <formula>$A70="Tunnel"</formula>
    </cfRule>
    <cfRule type="expression" dxfId="26257" priority="2435">
      <formula>$A70="Bridge"</formula>
    </cfRule>
    <cfRule type="expression" dxfId="26256" priority="2436">
      <formula>$A70="Drainage Works"</formula>
    </cfRule>
    <cfRule type="expression" dxfId="26255" priority="2437">
      <formula>$A70="Underpass"</formula>
    </cfRule>
    <cfRule type="expression" dxfId="26254" priority="2438">
      <formula>$A70="Overcrossing"</formula>
    </cfRule>
    <cfRule type="expression" dxfId="26253" priority="2439">
      <formula>$A70="Overpass"</formula>
    </cfRule>
    <cfRule type="expression" dxfId="26252" priority="2440">
      <formula>$A70="Station"</formula>
    </cfRule>
    <cfRule type="expression" dxfId="26251" priority="2441">
      <formula>$A70="Overlap between sections"</formula>
    </cfRule>
  </conditionalFormatting>
  <conditionalFormatting sqref="AX70">
    <cfRule type="expression" dxfId="26250" priority="2428">
      <formula>$M70="NON DEFINED"</formula>
    </cfRule>
    <cfRule type="expression" dxfId="26249" priority="2429">
      <formula>$AZ70="N.D."</formula>
    </cfRule>
    <cfRule type="expression" dxfId="26248" priority="2430">
      <formula>$AY70="N.D."</formula>
    </cfRule>
  </conditionalFormatting>
  <conditionalFormatting sqref="AX70">
    <cfRule type="expression" dxfId="26247" priority="2417">
      <formula>$A70="Overhead Cable"</formula>
    </cfRule>
    <cfRule type="expression" dxfId="26246" priority="2418">
      <formula>$A70="Level Crossing"</formula>
    </cfRule>
    <cfRule type="expression" dxfId="26245" priority="2419">
      <formula>$A70="Neutral Section"</formula>
    </cfRule>
    <cfRule type="expression" dxfId="26244" priority="2420">
      <formula>$A70="Tunnel"</formula>
    </cfRule>
    <cfRule type="expression" dxfId="26243" priority="2421">
      <formula>$A70="Bridge"</formula>
    </cfRule>
    <cfRule type="expression" dxfId="26242" priority="2422">
      <formula>$A70="Drainage Works"</formula>
    </cfRule>
    <cfRule type="expression" dxfId="26241" priority="2423">
      <formula>$A70="Underpass"</formula>
    </cfRule>
    <cfRule type="expression" dxfId="26240" priority="2424">
      <formula>$A70="Overcrossing"</formula>
    </cfRule>
    <cfRule type="expression" dxfId="26239" priority="2425">
      <formula>$A70="Overpass"</formula>
    </cfRule>
    <cfRule type="expression" dxfId="26238" priority="2426">
      <formula>$A70="Station"</formula>
    </cfRule>
    <cfRule type="expression" dxfId="26237" priority="2427">
      <formula>$A70="Overlap between sections"</formula>
    </cfRule>
  </conditionalFormatting>
  <conditionalFormatting sqref="AW72:AW73">
    <cfRule type="expression" dxfId="26236" priority="2414">
      <formula>$M72="NON DEFINED"</formula>
    </cfRule>
    <cfRule type="expression" dxfId="26235" priority="2415">
      <formula>$AZ72="N.D."</formula>
    </cfRule>
    <cfRule type="expression" dxfId="26234" priority="2416">
      <formula>$AY72="N.D."</formula>
    </cfRule>
  </conditionalFormatting>
  <conditionalFormatting sqref="AW72:AW73">
    <cfRule type="expression" dxfId="26233" priority="2403">
      <formula>$A72="Overhead Cable"</formula>
    </cfRule>
    <cfRule type="expression" dxfId="26232" priority="2404">
      <formula>$A72="Level Crossing"</formula>
    </cfRule>
    <cfRule type="expression" dxfId="26231" priority="2405">
      <formula>$A72="Neutral Section"</formula>
    </cfRule>
    <cfRule type="expression" dxfId="26230" priority="2406">
      <formula>$A72="Tunnel"</formula>
    </cfRule>
    <cfRule type="expression" dxfId="26229" priority="2407">
      <formula>$A72="Bridge"</formula>
    </cfRule>
    <cfRule type="expression" dxfId="26228" priority="2408">
      <formula>$A72="Drainage Works"</formula>
    </cfRule>
    <cfRule type="expression" dxfId="26227" priority="2409">
      <formula>$A72="Underpass"</formula>
    </cfRule>
    <cfRule type="expression" dxfId="26226" priority="2410">
      <formula>$A72="Overcrossing"</formula>
    </cfRule>
    <cfRule type="expression" dxfId="26225" priority="2411">
      <formula>$A72="Overpass"</formula>
    </cfRule>
    <cfRule type="expression" dxfId="26224" priority="2412">
      <formula>$A72="Station"</formula>
    </cfRule>
    <cfRule type="expression" dxfId="26223" priority="2413">
      <formula>$A72="Overlap between sections"</formula>
    </cfRule>
  </conditionalFormatting>
  <conditionalFormatting sqref="AX72:AX73">
    <cfRule type="expression" dxfId="26222" priority="2400">
      <formula>$M72="NON DEFINED"</formula>
    </cfRule>
    <cfRule type="expression" dxfId="26221" priority="2401">
      <formula>$AZ72="N.D."</formula>
    </cfRule>
    <cfRule type="expression" dxfId="26220" priority="2402">
      <formula>$AY72="N.D."</formula>
    </cfRule>
  </conditionalFormatting>
  <conditionalFormatting sqref="AX72:AX73">
    <cfRule type="expression" dxfId="26219" priority="2389">
      <formula>$A72="Overhead Cable"</formula>
    </cfRule>
    <cfRule type="expression" dxfId="26218" priority="2390">
      <formula>$A72="Level Crossing"</formula>
    </cfRule>
    <cfRule type="expression" dxfId="26217" priority="2391">
      <formula>$A72="Neutral Section"</formula>
    </cfRule>
    <cfRule type="expression" dxfId="26216" priority="2392">
      <formula>$A72="Tunnel"</formula>
    </cfRule>
    <cfRule type="expression" dxfId="26215" priority="2393">
      <formula>$A72="Bridge"</formula>
    </cfRule>
    <cfRule type="expression" dxfId="26214" priority="2394">
      <formula>$A72="Drainage Works"</formula>
    </cfRule>
    <cfRule type="expression" dxfId="26213" priority="2395">
      <formula>$A72="Underpass"</formula>
    </cfRule>
    <cfRule type="expression" dxfId="26212" priority="2396">
      <formula>$A72="Overcrossing"</formula>
    </cfRule>
    <cfRule type="expression" dxfId="26211" priority="2397">
      <formula>$A72="Overpass"</formula>
    </cfRule>
    <cfRule type="expression" dxfId="26210" priority="2398">
      <formula>$A72="Station"</formula>
    </cfRule>
    <cfRule type="expression" dxfId="26209" priority="2399">
      <formula>$A72="Overlap between sections"</formula>
    </cfRule>
  </conditionalFormatting>
  <conditionalFormatting sqref="AW75">
    <cfRule type="expression" dxfId="26208" priority="2386">
      <formula>$M75="NON DEFINED"</formula>
    </cfRule>
    <cfRule type="expression" dxfId="26207" priority="2387">
      <formula>$AZ75="N.D."</formula>
    </cfRule>
    <cfRule type="expression" dxfId="26206" priority="2388">
      <formula>$AY75="N.D."</formula>
    </cfRule>
  </conditionalFormatting>
  <conditionalFormatting sqref="AW75">
    <cfRule type="expression" dxfId="26205" priority="2375">
      <formula>$A75="Overhead Cable"</formula>
    </cfRule>
    <cfRule type="expression" dxfId="26204" priority="2376">
      <formula>$A75="Level Crossing"</formula>
    </cfRule>
    <cfRule type="expression" dxfId="26203" priority="2377">
      <formula>$A75="Neutral Section"</formula>
    </cfRule>
    <cfRule type="expression" dxfId="26202" priority="2378">
      <formula>$A75="Tunnel"</formula>
    </cfRule>
    <cfRule type="expression" dxfId="26201" priority="2379">
      <formula>$A75="Bridge"</formula>
    </cfRule>
    <cfRule type="expression" dxfId="26200" priority="2380">
      <formula>$A75="Drainage Works"</formula>
    </cfRule>
    <cfRule type="expression" dxfId="26199" priority="2381">
      <formula>$A75="Underpass"</formula>
    </cfRule>
    <cfRule type="expression" dxfId="26198" priority="2382">
      <formula>$A75="Overcrossing"</formula>
    </cfRule>
    <cfRule type="expression" dxfId="26197" priority="2383">
      <formula>$A75="Overpass"</formula>
    </cfRule>
    <cfRule type="expression" dxfId="26196" priority="2384">
      <formula>$A75="Station"</formula>
    </cfRule>
    <cfRule type="expression" dxfId="26195" priority="2385">
      <formula>$A75="Overlap between sections"</formula>
    </cfRule>
  </conditionalFormatting>
  <conditionalFormatting sqref="AX75">
    <cfRule type="expression" dxfId="26194" priority="2372">
      <formula>$M75="NON DEFINED"</formula>
    </cfRule>
    <cfRule type="expression" dxfId="26193" priority="2373">
      <formula>$AZ75="N.D."</formula>
    </cfRule>
    <cfRule type="expression" dxfId="26192" priority="2374">
      <formula>$AY75="N.D."</formula>
    </cfRule>
  </conditionalFormatting>
  <conditionalFormatting sqref="AX75">
    <cfRule type="expression" dxfId="26191" priority="2361">
      <formula>$A75="Overhead Cable"</formula>
    </cfRule>
    <cfRule type="expression" dxfId="26190" priority="2362">
      <formula>$A75="Level Crossing"</formula>
    </cfRule>
    <cfRule type="expression" dxfId="26189" priority="2363">
      <formula>$A75="Neutral Section"</formula>
    </cfRule>
    <cfRule type="expression" dxfId="26188" priority="2364">
      <formula>$A75="Tunnel"</formula>
    </cfRule>
    <cfRule type="expression" dxfId="26187" priority="2365">
      <formula>$A75="Bridge"</formula>
    </cfRule>
    <cfRule type="expression" dxfId="26186" priority="2366">
      <formula>$A75="Drainage Works"</formula>
    </cfRule>
    <cfRule type="expression" dxfId="26185" priority="2367">
      <formula>$A75="Underpass"</formula>
    </cfRule>
    <cfRule type="expression" dxfId="26184" priority="2368">
      <formula>$A75="Overcrossing"</formula>
    </cfRule>
    <cfRule type="expression" dxfId="26183" priority="2369">
      <formula>$A75="Overpass"</formula>
    </cfRule>
    <cfRule type="expression" dxfId="26182" priority="2370">
      <formula>$A75="Station"</formula>
    </cfRule>
    <cfRule type="expression" dxfId="26181" priority="2371">
      <formula>$A75="Overlap between sections"</formula>
    </cfRule>
  </conditionalFormatting>
  <conditionalFormatting sqref="AW77">
    <cfRule type="expression" dxfId="26180" priority="2358">
      <formula>$M77="NON DEFINED"</formula>
    </cfRule>
    <cfRule type="expression" dxfId="26179" priority="2359">
      <formula>$AZ77="N.D."</formula>
    </cfRule>
    <cfRule type="expression" dxfId="26178" priority="2360">
      <formula>$AY77="N.D."</formula>
    </cfRule>
  </conditionalFormatting>
  <conditionalFormatting sqref="AW77">
    <cfRule type="expression" dxfId="26177" priority="2347">
      <formula>$A77="Overhead Cable"</formula>
    </cfRule>
    <cfRule type="expression" dxfId="26176" priority="2348">
      <formula>$A77="Level Crossing"</formula>
    </cfRule>
    <cfRule type="expression" dxfId="26175" priority="2349">
      <formula>$A77="Neutral Section"</formula>
    </cfRule>
    <cfRule type="expression" dxfId="26174" priority="2350">
      <formula>$A77="Tunnel"</formula>
    </cfRule>
    <cfRule type="expression" dxfId="26173" priority="2351">
      <formula>$A77="Bridge"</formula>
    </cfRule>
    <cfRule type="expression" dxfId="26172" priority="2352">
      <formula>$A77="Drainage Works"</formula>
    </cfRule>
    <cfRule type="expression" dxfId="26171" priority="2353">
      <formula>$A77="Underpass"</formula>
    </cfRule>
    <cfRule type="expression" dxfId="26170" priority="2354">
      <formula>$A77="Overcrossing"</formula>
    </cfRule>
    <cfRule type="expression" dxfId="26169" priority="2355">
      <formula>$A77="Overpass"</formula>
    </cfRule>
    <cfRule type="expression" dxfId="26168" priority="2356">
      <formula>$A77="Station"</formula>
    </cfRule>
    <cfRule type="expression" dxfId="26167" priority="2357">
      <formula>$A77="Overlap between sections"</formula>
    </cfRule>
  </conditionalFormatting>
  <conditionalFormatting sqref="AX77">
    <cfRule type="expression" dxfId="26166" priority="2344">
      <formula>$M77="NON DEFINED"</formula>
    </cfRule>
    <cfRule type="expression" dxfId="26165" priority="2345">
      <formula>$AZ77="N.D."</formula>
    </cfRule>
    <cfRule type="expression" dxfId="26164" priority="2346">
      <formula>$AY77="N.D."</formula>
    </cfRule>
  </conditionalFormatting>
  <conditionalFormatting sqref="AX77">
    <cfRule type="expression" dxfId="26163" priority="2333">
      <formula>$A77="Overhead Cable"</formula>
    </cfRule>
    <cfRule type="expression" dxfId="26162" priority="2334">
      <formula>$A77="Level Crossing"</formula>
    </cfRule>
    <cfRule type="expression" dxfId="26161" priority="2335">
      <formula>$A77="Neutral Section"</formula>
    </cfRule>
    <cfRule type="expression" dxfId="26160" priority="2336">
      <formula>$A77="Tunnel"</formula>
    </cfRule>
    <cfRule type="expression" dxfId="26159" priority="2337">
      <formula>$A77="Bridge"</formula>
    </cfRule>
    <cfRule type="expression" dxfId="26158" priority="2338">
      <formula>$A77="Drainage Works"</formula>
    </cfRule>
    <cfRule type="expression" dxfId="26157" priority="2339">
      <formula>$A77="Underpass"</formula>
    </cfRule>
    <cfRule type="expression" dxfId="26156" priority="2340">
      <formula>$A77="Overcrossing"</formula>
    </cfRule>
    <cfRule type="expression" dxfId="26155" priority="2341">
      <formula>$A77="Overpass"</formula>
    </cfRule>
    <cfRule type="expression" dxfId="26154" priority="2342">
      <formula>$A77="Station"</formula>
    </cfRule>
    <cfRule type="expression" dxfId="26153" priority="2343">
      <formula>$A77="Overlap between sections"</formula>
    </cfRule>
  </conditionalFormatting>
  <conditionalFormatting sqref="AW79">
    <cfRule type="expression" dxfId="26152" priority="2330">
      <formula>$M79="NON DEFINED"</formula>
    </cfRule>
    <cfRule type="expression" dxfId="26151" priority="2331">
      <formula>$AZ79="N.D."</formula>
    </cfRule>
    <cfRule type="expression" dxfId="26150" priority="2332">
      <formula>$AY79="N.D."</formula>
    </cfRule>
  </conditionalFormatting>
  <conditionalFormatting sqref="AW79">
    <cfRule type="expression" dxfId="26149" priority="2319">
      <formula>$A79="Overhead Cable"</formula>
    </cfRule>
    <cfRule type="expression" dxfId="26148" priority="2320">
      <formula>$A79="Level Crossing"</formula>
    </cfRule>
    <cfRule type="expression" dxfId="26147" priority="2321">
      <formula>$A79="Neutral Section"</formula>
    </cfRule>
    <cfRule type="expression" dxfId="26146" priority="2322">
      <formula>$A79="Tunnel"</formula>
    </cfRule>
    <cfRule type="expression" dxfId="26145" priority="2323">
      <formula>$A79="Bridge"</formula>
    </cfRule>
    <cfRule type="expression" dxfId="26144" priority="2324">
      <formula>$A79="Drainage Works"</formula>
    </cfRule>
    <cfRule type="expression" dxfId="26143" priority="2325">
      <formula>$A79="Underpass"</formula>
    </cfRule>
    <cfRule type="expression" dxfId="26142" priority="2326">
      <formula>$A79="Overcrossing"</formula>
    </cfRule>
    <cfRule type="expression" dxfId="26141" priority="2327">
      <formula>$A79="Overpass"</formula>
    </cfRule>
    <cfRule type="expression" dxfId="26140" priority="2328">
      <formula>$A79="Station"</formula>
    </cfRule>
    <cfRule type="expression" dxfId="26139" priority="2329">
      <formula>$A79="Overlap between sections"</formula>
    </cfRule>
  </conditionalFormatting>
  <conditionalFormatting sqref="AX79">
    <cfRule type="expression" dxfId="26138" priority="2316">
      <formula>$M79="NON DEFINED"</formula>
    </cfRule>
    <cfRule type="expression" dxfId="26137" priority="2317">
      <formula>$AZ79="N.D."</formula>
    </cfRule>
    <cfRule type="expression" dxfId="26136" priority="2318">
      <formula>$AY79="N.D."</formula>
    </cfRule>
  </conditionalFormatting>
  <conditionalFormatting sqref="AX79">
    <cfRule type="expression" dxfId="26135" priority="2305">
      <formula>$A79="Overhead Cable"</formula>
    </cfRule>
    <cfRule type="expression" dxfId="26134" priority="2306">
      <formula>$A79="Level Crossing"</formula>
    </cfRule>
    <cfRule type="expression" dxfId="26133" priority="2307">
      <formula>$A79="Neutral Section"</formula>
    </cfRule>
    <cfRule type="expression" dxfId="26132" priority="2308">
      <formula>$A79="Tunnel"</formula>
    </cfRule>
    <cfRule type="expression" dxfId="26131" priority="2309">
      <formula>$A79="Bridge"</formula>
    </cfRule>
    <cfRule type="expression" dxfId="26130" priority="2310">
      <formula>$A79="Drainage Works"</formula>
    </cfRule>
    <cfRule type="expression" dxfId="26129" priority="2311">
      <formula>$A79="Underpass"</formula>
    </cfRule>
    <cfRule type="expression" dxfId="26128" priority="2312">
      <formula>$A79="Overcrossing"</formula>
    </cfRule>
    <cfRule type="expression" dxfId="26127" priority="2313">
      <formula>$A79="Overpass"</formula>
    </cfRule>
    <cfRule type="expression" dxfId="26126" priority="2314">
      <formula>$A79="Station"</formula>
    </cfRule>
    <cfRule type="expression" dxfId="26125" priority="2315">
      <formula>$A79="Overlap between sections"</formula>
    </cfRule>
  </conditionalFormatting>
  <conditionalFormatting sqref="AW81">
    <cfRule type="expression" dxfId="26124" priority="2302">
      <formula>$M81="NON DEFINED"</formula>
    </cfRule>
    <cfRule type="expression" dxfId="26123" priority="2303">
      <formula>$AZ81="N.D."</formula>
    </cfRule>
    <cfRule type="expression" dxfId="26122" priority="2304">
      <formula>$AY81="N.D."</formula>
    </cfRule>
  </conditionalFormatting>
  <conditionalFormatting sqref="AW81">
    <cfRule type="expression" dxfId="26121" priority="2291">
      <formula>$A81="Overhead Cable"</formula>
    </cfRule>
    <cfRule type="expression" dxfId="26120" priority="2292">
      <formula>$A81="Level Crossing"</formula>
    </cfRule>
    <cfRule type="expression" dxfId="26119" priority="2293">
      <formula>$A81="Neutral Section"</formula>
    </cfRule>
    <cfRule type="expression" dxfId="26118" priority="2294">
      <formula>$A81="Tunnel"</formula>
    </cfRule>
    <cfRule type="expression" dxfId="26117" priority="2295">
      <formula>$A81="Bridge"</formula>
    </cfRule>
    <cfRule type="expression" dxfId="26116" priority="2296">
      <formula>$A81="Drainage Works"</formula>
    </cfRule>
    <cfRule type="expression" dxfId="26115" priority="2297">
      <formula>$A81="Underpass"</formula>
    </cfRule>
    <cfRule type="expression" dxfId="26114" priority="2298">
      <formula>$A81="Overcrossing"</formula>
    </cfRule>
    <cfRule type="expression" dxfId="26113" priority="2299">
      <formula>$A81="Overpass"</formula>
    </cfRule>
    <cfRule type="expression" dxfId="26112" priority="2300">
      <formula>$A81="Station"</formula>
    </cfRule>
    <cfRule type="expression" dxfId="26111" priority="2301">
      <formula>$A81="Overlap between sections"</formula>
    </cfRule>
  </conditionalFormatting>
  <conditionalFormatting sqref="AX81">
    <cfRule type="expression" dxfId="26110" priority="2288">
      <formula>$M81="NON DEFINED"</formula>
    </cfRule>
    <cfRule type="expression" dxfId="26109" priority="2289">
      <formula>$AZ81="N.D."</formula>
    </cfRule>
    <cfRule type="expression" dxfId="26108" priority="2290">
      <formula>$AY81="N.D."</formula>
    </cfRule>
  </conditionalFormatting>
  <conditionalFormatting sqref="AX81">
    <cfRule type="expression" dxfId="26107" priority="2277">
      <formula>$A81="Overhead Cable"</formula>
    </cfRule>
    <cfRule type="expression" dxfId="26106" priority="2278">
      <formula>$A81="Level Crossing"</formula>
    </cfRule>
    <cfRule type="expression" dxfId="26105" priority="2279">
      <formula>$A81="Neutral Section"</formula>
    </cfRule>
    <cfRule type="expression" dxfId="26104" priority="2280">
      <formula>$A81="Tunnel"</formula>
    </cfRule>
    <cfRule type="expression" dxfId="26103" priority="2281">
      <formula>$A81="Bridge"</formula>
    </cfRule>
    <cfRule type="expression" dxfId="26102" priority="2282">
      <formula>$A81="Drainage Works"</formula>
    </cfRule>
    <cfRule type="expression" dxfId="26101" priority="2283">
      <formula>$A81="Underpass"</formula>
    </cfRule>
    <cfRule type="expression" dxfId="26100" priority="2284">
      <formula>$A81="Overcrossing"</formula>
    </cfRule>
    <cfRule type="expression" dxfId="26099" priority="2285">
      <formula>$A81="Overpass"</formula>
    </cfRule>
    <cfRule type="expression" dxfId="26098" priority="2286">
      <formula>$A81="Station"</formula>
    </cfRule>
    <cfRule type="expression" dxfId="26097" priority="2287">
      <formula>$A81="Overlap between sections"</formula>
    </cfRule>
  </conditionalFormatting>
  <conditionalFormatting sqref="AW83">
    <cfRule type="expression" dxfId="26096" priority="2274">
      <formula>$M83="NON DEFINED"</formula>
    </cfRule>
    <cfRule type="expression" dxfId="26095" priority="2275">
      <formula>$AZ83="N.D."</formula>
    </cfRule>
    <cfRule type="expression" dxfId="26094" priority="2276">
      <formula>$AY83="N.D."</formula>
    </cfRule>
  </conditionalFormatting>
  <conditionalFormatting sqref="AW83">
    <cfRule type="expression" dxfId="26093" priority="2263">
      <formula>$A83="Overhead Cable"</formula>
    </cfRule>
    <cfRule type="expression" dxfId="26092" priority="2264">
      <formula>$A83="Level Crossing"</formula>
    </cfRule>
    <cfRule type="expression" dxfId="26091" priority="2265">
      <formula>$A83="Neutral Section"</formula>
    </cfRule>
    <cfRule type="expression" dxfId="26090" priority="2266">
      <formula>$A83="Tunnel"</formula>
    </cfRule>
    <cfRule type="expression" dxfId="26089" priority="2267">
      <formula>$A83="Bridge"</formula>
    </cfRule>
    <cfRule type="expression" dxfId="26088" priority="2268">
      <formula>$A83="Drainage Works"</formula>
    </cfRule>
    <cfRule type="expression" dxfId="26087" priority="2269">
      <formula>$A83="Underpass"</formula>
    </cfRule>
    <cfRule type="expression" dxfId="26086" priority="2270">
      <formula>$A83="Overcrossing"</formula>
    </cfRule>
    <cfRule type="expression" dxfId="26085" priority="2271">
      <formula>$A83="Overpass"</formula>
    </cfRule>
    <cfRule type="expression" dxfId="26084" priority="2272">
      <formula>$A83="Station"</formula>
    </cfRule>
    <cfRule type="expression" dxfId="26083" priority="2273">
      <formula>$A83="Overlap between sections"</formula>
    </cfRule>
  </conditionalFormatting>
  <conditionalFormatting sqref="AX83">
    <cfRule type="expression" dxfId="26082" priority="2260">
      <formula>$M83="NON DEFINED"</formula>
    </cfRule>
    <cfRule type="expression" dxfId="26081" priority="2261">
      <formula>$AZ83="N.D."</formula>
    </cfRule>
    <cfRule type="expression" dxfId="26080" priority="2262">
      <formula>$AY83="N.D."</formula>
    </cfRule>
  </conditionalFormatting>
  <conditionalFormatting sqref="AX83">
    <cfRule type="expression" dxfId="26079" priority="2249">
      <formula>$A83="Overhead Cable"</formula>
    </cfRule>
    <cfRule type="expression" dxfId="26078" priority="2250">
      <formula>$A83="Level Crossing"</formula>
    </cfRule>
    <cfRule type="expression" dxfId="26077" priority="2251">
      <formula>$A83="Neutral Section"</formula>
    </cfRule>
    <cfRule type="expression" dxfId="26076" priority="2252">
      <formula>$A83="Tunnel"</formula>
    </cfRule>
    <cfRule type="expression" dxfId="26075" priority="2253">
      <formula>$A83="Bridge"</formula>
    </cfRule>
    <cfRule type="expression" dxfId="26074" priority="2254">
      <formula>$A83="Drainage Works"</formula>
    </cfRule>
    <cfRule type="expression" dxfId="26073" priority="2255">
      <formula>$A83="Underpass"</formula>
    </cfRule>
    <cfRule type="expression" dxfId="26072" priority="2256">
      <formula>$A83="Overcrossing"</formula>
    </cfRule>
    <cfRule type="expression" dxfId="26071" priority="2257">
      <formula>$A83="Overpass"</formula>
    </cfRule>
    <cfRule type="expression" dxfId="26070" priority="2258">
      <formula>$A83="Station"</formula>
    </cfRule>
    <cfRule type="expression" dxfId="26069" priority="2259">
      <formula>$A83="Overlap between sections"</formula>
    </cfRule>
  </conditionalFormatting>
  <conditionalFormatting sqref="AW85">
    <cfRule type="expression" dxfId="26068" priority="2246">
      <formula>$M85="NON DEFINED"</formula>
    </cfRule>
    <cfRule type="expression" dxfId="26067" priority="2247">
      <formula>$AZ85="N.D."</formula>
    </cfRule>
    <cfRule type="expression" dxfId="26066" priority="2248">
      <formula>$AY85="N.D."</formula>
    </cfRule>
  </conditionalFormatting>
  <conditionalFormatting sqref="AW85">
    <cfRule type="expression" dxfId="26065" priority="2235">
      <formula>$A85="Overhead Cable"</formula>
    </cfRule>
    <cfRule type="expression" dxfId="26064" priority="2236">
      <formula>$A85="Level Crossing"</formula>
    </cfRule>
    <cfRule type="expression" dxfId="26063" priority="2237">
      <formula>$A85="Neutral Section"</formula>
    </cfRule>
    <cfRule type="expression" dxfId="26062" priority="2238">
      <formula>$A85="Tunnel"</formula>
    </cfRule>
    <cfRule type="expression" dxfId="26061" priority="2239">
      <formula>$A85="Bridge"</formula>
    </cfRule>
    <cfRule type="expression" dxfId="26060" priority="2240">
      <formula>$A85="Drainage Works"</formula>
    </cfRule>
    <cfRule type="expression" dxfId="26059" priority="2241">
      <formula>$A85="Underpass"</formula>
    </cfRule>
    <cfRule type="expression" dxfId="26058" priority="2242">
      <formula>$A85="Overcrossing"</formula>
    </cfRule>
    <cfRule type="expression" dxfId="26057" priority="2243">
      <formula>$A85="Overpass"</formula>
    </cfRule>
    <cfRule type="expression" dxfId="26056" priority="2244">
      <formula>$A85="Station"</formula>
    </cfRule>
    <cfRule type="expression" dxfId="26055" priority="2245">
      <formula>$A85="Overlap between sections"</formula>
    </cfRule>
  </conditionalFormatting>
  <conditionalFormatting sqref="AX85">
    <cfRule type="expression" dxfId="26054" priority="2232">
      <formula>$M85="NON DEFINED"</formula>
    </cfRule>
    <cfRule type="expression" dxfId="26053" priority="2233">
      <formula>$AZ85="N.D."</formula>
    </cfRule>
    <cfRule type="expression" dxfId="26052" priority="2234">
      <formula>$AY85="N.D."</formula>
    </cfRule>
  </conditionalFormatting>
  <conditionalFormatting sqref="AX85">
    <cfRule type="expression" dxfId="26051" priority="2221">
      <formula>$A85="Overhead Cable"</formula>
    </cfRule>
    <cfRule type="expression" dxfId="26050" priority="2222">
      <formula>$A85="Level Crossing"</formula>
    </cfRule>
    <cfRule type="expression" dxfId="26049" priority="2223">
      <formula>$A85="Neutral Section"</formula>
    </cfRule>
    <cfRule type="expression" dxfId="26048" priority="2224">
      <formula>$A85="Tunnel"</formula>
    </cfRule>
    <cfRule type="expression" dxfId="26047" priority="2225">
      <formula>$A85="Bridge"</formula>
    </cfRule>
    <cfRule type="expression" dxfId="26046" priority="2226">
      <formula>$A85="Drainage Works"</formula>
    </cfRule>
    <cfRule type="expression" dxfId="26045" priority="2227">
      <formula>$A85="Underpass"</formula>
    </cfRule>
    <cfRule type="expression" dxfId="26044" priority="2228">
      <formula>$A85="Overcrossing"</formula>
    </cfRule>
    <cfRule type="expression" dxfId="26043" priority="2229">
      <formula>$A85="Overpass"</formula>
    </cfRule>
    <cfRule type="expression" dxfId="26042" priority="2230">
      <formula>$A85="Station"</formula>
    </cfRule>
    <cfRule type="expression" dxfId="26041" priority="2231">
      <formula>$A85="Overlap between sections"</formula>
    </cfRule>
  </conditionalFormatting>
  <conditionalFormatting sqref="AW87">
    <cfRule type="expression" dxfId="26040" priority="2218">
      <formula>$M87="NON DEFINED"</formula>
    </cfRule>
    <cfRule type="expression" dxfId="26039" priority="2219">
      <formula>$AZ87="N.D."</formula>
    </cfRule>
    <cfRule type="expression" dxfId="26038" priority="2220">
      <formula>$AY87="N.D."</formula>
    </cfRule>
  </conditionalFormatting>
  <conditionalFormatting sqref="AW87">
    <cfRule type="expression" dxfId="26037" priority="2207">
      <formula>$A87="Overhead Cable"</formula>
    </cfRule>
    <cfRule type="expression" dxfId="26036" priority="2208">
      <formula>$A87="Level Crossing"</formula>
    </cfRule>
    <cfRule type="expression" dxfId="26035" priority="2209">
      <formula>$A87="Neutral Section"</formula>
    </cfRule>
    <cfRule type="expression" dxfId="26034" priority="2210">
      <formula>$A87="Tunnel"</formula>
    </cfRule>
    <cfRule type="expression" dxfId="26033" priority="2211">
      <formula>$A87="Bridge"</formula>
    </cfRule>
    <cfRule type="expression" dxfId="26032" priority="2212">
      <formula>$A87="Drainage Works"</formula>
    </cfRule>
    <cfRule type="expression" dxfId="26031" priority="2213">
      <formula>$A87="Underpass"</formula>
    </cfRule>
    <cfRule type="expression" dxfId="26030" priority="2214">
      <formula>$A87="Overcrossing"</formula>
    </cfRule>
    <cfRule type="expression" dxfId="26029" priority="2215">
      <formula>$A87="Overpass"</formula>
    </cfRule>
    <cfRule type="expression" dxfId="26028" priority="2216">
      <formula>$A87="Station"</formula>
    </cfRule>
    <cfRule type="expression" dxfId="26027" priority="2217">
      <formula>$A87="Overlap between sections"</formula>
    </cfRule>
  </conditionalFormatting>
  <conditionalFormatting sqref="AX87">
    <cfRule type="expression" dxfId="26026" priority="2204">
      <formula>$M87="NON DEFINED"</formula>
    </cfRule>
    <cfRule type="expression" dxfId="26025" priority="2205">
      <formula>$AZ87="N.D."</formula>
    </cfRule>
    <cfRule type="expression" dxfId="26024" priority="2206">
      <formula>$AY87="N.D."</formula>
    </cfRule>
  </conditionalFormatting>
  <conditionalFormatting sqref="AX87">
    <cfRule type="expression" dxfId="26023" priority="2193">
      <formula>$A87="Overhead Cable"</formula>
    </cfRule>
    <cfRule type="expression" dxfId="26022" priority="2194">
      <formula>$A87="Level Crossing"</formula>
    </cfRule>
    <cfRule type="expression" dxfId="26021" priority="2195">
      <formula>$A87="Neutral Section"</formula>
    </cfRule>
    <cfRule type="expression" dxfId="26020" priority="2196">
      <formula>$A87="Tunnel"</formula>
    </cfRule>
    <cfRule type="expression" dxfId="26019" priority="2197">
      <formula>$A87="Bridge"</formula>
    </cfRule>
    <cfRule type="expression" dxfId="26018" priority="2198">
      <formula>$A87="Drainage Works"</formula>
    </cfRule>
    <cfRule type="expression" dxfId="26017" priority="2199">
      <formula>$A87="Underpass"</formula>
    </cfRule>
    <cfRule type="expression" dxfId="26016" priority="2200">
      <formula>$A87="Overcrossing"</formula>
    </cfRule>
    <cfRule type="expression" dxfId="26015" priority="2201">
      <formula>$A87="Overpass"</formula>
    </cfRule>
    <cfRule type="expression" dxfId="26014" priority="2202">
      <formula>$A87="Station"</formula>
    </cfRule>
    <cfRule type="expression" dxfId="26013" priority="2203">
      <formula>$A87="Overlap between sections"</formula>
    </cfRule>
  </conditionalFormatting>
  <conditionalFormatting sqref="AW89">
    <cfRule type="expression" dxfId="26012" priority="2190">
      <formula>$M89="NON DEFINED"</formula>
    </cfRule>
    <cfRule type="expression" dxfId="26011" priority="2191">
      <formula>$AZ89="N.D."</formula>
    </cfRule>
    <cfRule type="expression" dxfId="26010" priority="2192">
      <formula>$AY89="N.D."</formula>
    </cfRule>
  </conditionalFormatting>
  <conditionalFormatting sqref="AW89">
    <cfRule type="expression" dxfId="26009" priority="2179">
      <formula>$A89="Overhead Cable"</formula>
    </cfRule>
    <cfRule type="expression" dxfId="26008" priority="2180">
      <formula>$A89="Level Crossing"</formula>
    </cfRule>
    <cfRule type="expression" dxfId="26007" priority="2181">
      <formula>$A89="Neutral Section"</formula>
    </cfRule>
    <cfRule type="expression" dxfId="26006" priority="2182">
      <formula>$A89="Tunnel"</formula>
    </cfRule>
    <cfRule type="expression" dxfId="26005" priority="2183">
      <formula>$A89="Bridge"</formula>
    </cfRule>
    <cfRule type="expression" dxfId="26004" priority="2184">
      <formula>$A89="Drainage Works"</formula>
    </cfRule>
    <cfRule type="expression" dxfId="26003" priority="2185">
      <formula>$A89="Underpass"</formula>
    </cfRule>
    <cfRule type="expression" dxfId="26002" priority="2186">
      <formula>$A89="Overcrossing"</formula>
    </cfRule>
    <cfRule type="expression" dxfId="26001" priority="2187">
      <formula>$A89="Overpass"</formula>
    </cfRule>
    <cfRule type="expression" dxfId="26000" priority="2188">
      <formula>$A89="Station"</formula>
    </cfRule>
    <cfRule type="expression" dxfId="25999" priority="2189">
      <formula>$A89="Overlap between sections"</formula>
    </cfRule>
  </conditionalFormatting>
  <conditionalFormatting sqref="AX89">
    <cfRule type="expression" dxfId="25998" priority="2176">
      <formula>$M89="NON DEFINED"</formula>
    </cfRule>
    <cfRule type="expression" dxfId="25997" priority="2177">
      <formula>$AZ89="N.D."</formula>
    </cfRule>
    <cfRule type="expression" dxfId="25996" priority="2178">
      <formula>$AY89="N.D."</formula>
    </cfRule>
  </conditionalFormatting>
  <conditionalFormatting sqref="AX89">
    <cfRule type="expression" dxfId="25995" priority="2165">
      <formula>$A89="Overhead Cable"</formula>
    </cfRule>
    <cfRule type="expression" dxfId="25994" priority="2166">
      <formula>$A89="Level Crossing"</formula>
    </cfRule>
    <cfRule type="expression" dxfId="25993" priority="2167">
      <formula>$A89="Neutral Section"</formula>
    </cfRule>
    <cfRule type="expression" dxfId="25992" priority="2168">
      <formula>$A89="Tunnel"</formula>
    </cfRule>
    <cfRule type="expression" dxfId="25991" priority="2169">
      <formula>$A89="Bridge"</formula>
    </cfRule>
    <cfRule type="expression" dxfId="25990" priority="2170">
      <formula>$A89="Drainage Works"</formula>
    </cfRule>
    <cfRule type="expression" dxfId="25989" priority="2171">
      <formula>$A89="Underpass"</formula>
    </cfRule>
    <cfRule type="expression" dxfId="25988" priority="2172">
      <formula>$A89="Overcrossing"</formula>
    </cfRule>
    <cfRule type="expression" dxfId="25987" priority="2173">
      <formula>$A89="Overpass"</formula>
    </cfRule>
    <cfRule type="expression" dxfId="25986" priority="2174">
      <formula>$A89="Station"</formula>
    </cfRule>
    <cfRule type="expression" dxfId="25985" priority="2175">
      <formula>$A89="Overlap between sections"</formula>
    </cfRule>
  </conditionalFormatting>
  <conditionalFormatting sqref="AW91">
    <cfRule type="expression" dxfId="25984" priority="2162">
      <formula>$M91="NON DEFINED"</formula>
    </cfRule>
    <cfRule type="expression" dxfId="25983" priority="2163">
      <formula>$AZ91="N.D."</formula>
    </cfRule>
    <cfRule type="expression" dxfId="25982" priority="2164">
      <formula>$AY91="N.D."</formula>
    </cfRule>
  </conditionalFormatting>
  <conditionalFormatting sqref="AW91">
    <cfRule type="expression" dxfId="25981" priority="2151">
      <formula>$A91="Overhead Cable"</formula>
    </cfRule>
    <cfRule type="expression" dxfId="25980" priority="2152">
      <formula>$A91="Level Crossing"</formula>
    </cfRule>
    <cfRule type="expression" dxfId="25979" priority="2153">
      <formula>$A91="Neutral Section"</formula>
    </cfRule>
    <cfRule type="expression" dxfId="25978" priority="2154">
      <formula>$A91="Tunnel"</formula>
    </cfRule>
    <cfRule type="expression" dxfId="25977" priority="2155">
      <formula>$A91="Bridge"</formula>
    </cfRule>
    <cfRule type="expression" dxfId="25976" priority="2156">
      <formula>$A91="Drainage Works"</formula>
    </cfRule>
    <cfRule type="expression" dxfId="25975" priority="2157">
      <formula>$A91="Underpass"</formula>
    </cfRule>
    <cfRule type="expression" dxfId="25974" priority="2158">
      <formula>$A91="Overcrossing"</formula>
    </cfRule>
    <cfRule type="expression" dxfId="25973" priority="2159">
      <formula>$A91="Overpass"</formula>
    </cfRule>
    <cfRule type="expression" dxfId="25972" priority="2160">
      <formula>$A91="Station"</formula>
    </cfRule>
    <cfRule type="expression" dxfId="25971" priority="2161">
      <formula>$A91="Overlap between sections"</formula>
    </cfRule>
  </conditionalFormatting>
  <conditionalFormatting sqref="AX91">
    <cfRule type="expression" dxfId="25970" priority="2148">
      <formula>$M91="NON DEFINED"</formula>
    </cfRule>
    <cfRule type="expression" dxfId="25969" priority="2149">
      <formula>$AZ91="N.D."</formula>
    </cfRule>
    <cfRule type="expression" dxfId="25968" priority="2150">
      <formula>$AY91="N.D."</formula>
    </cfRule>
  </conditionalFormatting>
  <conditionalFormatting sqref="AX91">
    <cfRule type="expression" dxfId="25967" priority="2137">
      <formula>$A91="Overhead Cable"</formula>
    </cfRule>
    <cfRule type="expression" dxfId="25966" priority="2138">
      <formula>$A91="Level Crossing"</formula>
    </cfRule>
    <cfRule type="expression" dxfId="25965" priority="2139">
      <formula>$A91="Neutral Section"</formula>
    </cfRule>
    <cfRule type="expression" dxfId="25964" priority="2140">
      <formula>$A91="Tunnel"</formula>
    </cfRule>
    <cfRule type="expression" dxfId="25963" priority="2141">
      <formula>$A91="Bridge"</formula>
    </cfRule>
    <cfRule type="expression" dxfId="25962" priority="2142">
      <formula>$A91="Drainage Works"</formula>
    </cfRule>
    <cfRule type="expression" dxfId="25961" priority="2143">
      <formula>$A91="Underpass"</formula>
    </cfRule>
    <cfRule type="expression" dxfId="25960" priority="2144">
      <formula>$A91="Overcrossing"</formula>
    </cfRule>
    <cfRule type="expression" dxfId="25959" priority="2145">
      <formula>$A91="Overpass"</formula>
    </cfRule>
    <cfRule type="expression" dxfId="25958" priority="2146">
      <formula>$A91="Station"</formula>
    </cfRule>
    <cfRule type="expression" dxfId="25957" priority="2147">
      <formula>$A91="Overlap between sections"</formula>
    </cfRule>
  </conditionalFormatting>
  <conditionalFormatting sqref="L5:AJ32 A5:H32 AM5:AV32">
    <cfRule type="expression" dxfId="25956" priority="1800">
      <formula>$A5="Overhead Cable"</formula>
    </cfRule>
    <cfRule type="expression" dxfId="25955" priority="1801">
      <formula>$A5="Level Crossing"</formula>
    </cfRule>
    <cfRule type="expression" dxfId="25954" priority="1802">
      <formula>$A5="Neutral Section"</formula>
    </cfRule>
    <cfRule type="expression" dxfId="25953" priority="1803">
      <formula>$A5="Tunnel"</formula>
    </cfRule>
    <cfRule type="expression" dxfId="25952" priority="1804">
      <formula>$A5="Bridge"</formula>
    </cfRule>
    <cfRule type="expression" dxfId="25951" priority="1805">
      <formula>$A5="Drainage Works"</formula>
    </cfRule>
    <cfRule type="expression" dxfId="25950" priority="1806">
      <formula>$A5="Underpass"</formula>
    </cfRule>
    <cfRule type="expression" dxfId="25949" priority="1807">
      <formula>$A5="Overcrossing"</formula>
    </cfRule>
    <cfRule type="expression" dxfId="25948" priority="1808">
      <formula>$A5="Overpass"</formula>
    </cfRule>
    <cfRule type="expression" dxfId="25947" priority="1809">
      <formula>$A5="Station"</formula>
    </cfRule>
    <cfRule type="expression" dxfId="25946" priority="1810">
      <formula>$A5="Overlap between sections"</formula>
    </cfRule>
  </conditionalFormatting>
  <conditionalFormatting sqref="BA5:BC32">
    <cfRule type="expression" dxfId="25945" priority="1798">
      <formula>$BE5="A"</formula>
    </cfRule>
    <cfRule type="expression" dxfId="25944" priority="1799">
      <formula>$BE5="R"</formula>
    </cfRule>
  </conditionalFormatting>
  <conditionalFormatting sqref="B5:H32 L5:AJ32 AM5:AV32">
    <cfRule type="expression" dxfId="25943" priority="1795">
      <formula>$M5="NON DEFINED"</formula>
    </cfRule>
    <cfRule type="expression" dxfId="25942" priority="1796">
      <formula>$AZ5="N.D."</formula>
    </cfRule>
    <cfRule type="expression" dxfId="25941" priority="1797">
      <formula>$AY5="N.D."</formula>
    </cfRule>
  </conditionalFormatting>
  <conditionalFormatting sqref="J5:J32 AZ5:AZ32">
    <cfRule type="expression" dxfId="25940" priority="1792">
      <formula>$M5="NON DEFINED"</formula>
    </cfRule>
    <cfRule type="expression" dxfId="25939" priority="1793">
      <formula>$AZ5="N.D."</formula>
    </cfRule>
    <cfRule type="expression" dxfId="25938" priority="1794">
      <formula>$AY5="N.D."</formula>
    </cfRule>
  </conditionalFormatting>
  <conditionalFormatting sqref="AY5:AY32">
    <cfRule type="expression" dxfId="25937" priority="1789">
      <formula>$M5="NON DEFINED"</formula>
    </cfRule>
    <cfRule type="expression" dxfId="25936" priority="1790">
      <formula>$AZ5="N.D."</formula>
    </cfRule>
    <cfRule type="expression" dxfId="25935" priority="1791">
      <formula>$AY5="N.D."</formula>
    </cfRule>
  </conditionalFormatting>
  <conditionalFormatting sqref="J5:J32 AY5:AZ32">
    <cfRule type="expression" dxfId="25934" priority="1778">
      <formula>$A5="Overhead Cable"</formula>
    </cfRule>
    <cfRule type="expression" dxfId="25933" priority="1779">
      <formula>$A5="Level Crossing"</formula>
    </cfRule>
    <cfRule type="expression" dxfId="25932" priority="1780">
      <formula>$A5="Neutral Section"</formula>
    </cfRule>
    <cfRule type="expression" dxfId="25931" priority="1781">
      <formula>$A5="Tunnel"</formula>
    </cfRule>
    <cfRule type="expression" dxfId="25930" priority="1782">
      <formula>$A5="Bridge"</formula>
    </cfRule>
    <cfRule type="expression" dxfId="25929" priority="1783">
      <formula>$A5="Drainage Works"</formula>
    </cfRule>
    <cfRule type="expression" dxfId="25928" priority="1784">
      <formula>$A5="Underpass"</formula>
    </cfRule>
    <cfRule type="expression" dxfId="25927" priority="1785">
      <formula>$A5="Overcrossing"</formula>
    </cfRule>
    <cfRule type="expression" dxfId="25926" priority="1786">
      <formula>$A5="Overpass"</formula>
    </cfRule>
    <cfRule type="expression" dxfId="25925" priority="1787">
      <formula>$A5="Station"</formula>
    </cfRule>
    <cfRule type="expression" dxfId="25924" priority="1788">
      <formula>$A5="Overlap between sections"</formula>
    </cfRule>
  </conditionalFormatting>
  <conditionalFormatting sqref="AN5:AP32">
    <cfRule type="cellIs" dxfId="25923" priority="1777" operator="notEqual">
      <formula>5.5</formula>
    </cfRule>
  </conditionalFormatting>
  <conditionalFormatting sqref="B5:B32">
    <cfRule type="expression" dxfId="25922" priority="1776">
      <formula>AND($AH5&gt;2499,$AH5&lt;2901)</formula>
    </cfRule>
  </conditionalFormatting>
  <conditionalFormatting sqref="I5:I32">
    <cfRule type="expression" dxfId="25921" priority="1773">
      <formula>$M5="NON DEFINED"</formula>
    </cfRule>
    <cfRule type="expression" dxfId="25920" priority="1774">
      <formula>$AZ5="N.D."</formula>
    </cfRule>
    <cfRule type="expression" dxfId="25919" priority="1775">
      <formula>$AY5="N.D."</formula>
    </cfRule>
  </conditionalFormatting>
  <conditionalFormatting sqref="I5:I32">
    <cfRule type="expression" dxfId="25918" priority="1762">
      <formula>$A5="Overhead Cable"</formula>
    </cfRule>
    <cfRule type="expression" dxfId="25917" priority="1763">
      <formula>$A5="Level Crossing"</formula>
    </cfRule>
    <cfRule type="expression" dxfId="25916" priority="1764">
      <formula>$A5="Neutral Section"</formula>
    </cfRule>
    <cfRule type="expression" dxfId="25915" priority="1765">
      <formula>$A5="Tunnel"</formula>
    </cfRule>
    <cfRule type="expression" dxfId="25914" priority="1766">
      <formula>$A5="Bridge"</formula>
    </cfRule>
    <cfRule type="expression" dxfId="25913" priority="1767">
      <formula>$A5="Drainage Works"</formula>
    </cfRule>
    <cfRule type="expression" dxfId="25912" priority="1768">
      <formula>$A5="Underpass"</formula>
    </cfRule>
    <cfRule type="expression" dxfId="25911" priority="1769">
      <formula>$A5="Overcrossing"</formula>
    </cfRule>
    <cfRule type="expression" dxfId="25910" priority="1770">
      <formula>$A5="Overpass"</formula>
    </cfRule>
    <cfRule type="expression" dxfId="25909" priority="1771">
      <formula>$A5="Station"</formula>
    </cfRule>
    <cfRule type="expression" dxfId="25908" priority="1772">
      <formula>$A5="Overlap between sections"</formula>
    </cfRule>
  </conditionalFormatting>
  <conditionalFormatting sqref="K5:K32">
    <cfRule type="expression" dxfId="25907" priority="1759">
      <formula>$M5="NON DEFINED"</formula>
    </cfRule>
    <cfRule type="expression" dxfId="25906" priority="1760">
      <formula>$AZ5="N.D."</formula>
    </cfRule>
    <cfRule type="expression" dxfId="25905" priority="1761">
      <formula>$AY5="N.D."</formula>
    </cfRule>
  </conditionalFormatting>
  <conditionalFormatting sqref="K5:K32">
    <cfRule type="expression" dxfId="25904" priority="1748">
      <formula>$A5="Overhead Cable"</formula>
    </cfRule>
    <cfRule type="expression" dxfId="25903" priority="1749">
      <formula>$A5="Level Crossing"</formula>
    </cfRule>
    <cfRule type="expression" dxfId="25902" priority="1750">
      <formula>$A5="Neutral Section"</formula>
    </cfRule>
    <cfRule type="expression" dxfId="25901" priority="1751">
      <formula>$A5="Tunnel"</formula>
    </cfRule>
    <cfRule type="expression" dxfId="25900" priority="1752">
      <formula>$A5="Bridge"</formula>
    </cfRule>
    <cfRule type="expression" dxfId="25899" priority="1753">
      <formula>$A5="Drainage Works"</formula>
    </cfRule>
    <cfRule type="expression" dxfId="25898" priority="1754">
      <formula>$A5="Underpass"</formula>
    </cfRule>
    <cfRule type="expression" dxfId="25897" priority="1755">
      <formula>$A5="Overcrossing"</formula>
    </cfRule>
    <cfRule type="expression" dxfId="25896" priority="1756">
      <formula>$A5="Overpass"</formula>
    </cfRule>
    <cfRule type="expression" dxfId="25895" priority="1757">
      <formula>$A5="Station"</formula>
    </cfRule>
    <cfRule type="expression" dxfId="25894" priority="1758">
      <formula>$A5="Overlap between sections"</formula>
    </cfRule>
  </conditionalFormatting>
  <conditionalFormatting sqref="AK5:AK32">
    <cfRule type="expression" dxfId="25893" priority="1745">
      <formula>$M5="NON DEFINED"</formula>
    </cfRule>
    <cfRule type="expression" dxfId="25892" priority="1746">
      <formula>$AZ5="N.D."</formula>
    </cfRule>
    <cfRule type="expression" dxfId="25891" priority="1747">
      <formula>$AY5="N.D."</formula>
    </cfRule>
  </conditionalFormatting>
  <conditionalFormatting sqref="AK5:AK32">
    <cfRule type="expression" dxfId="25890" priority="1734">
      <formula>$A5="Overhead Cable"</formula>
    </cfRule>
    <cfRule type="expression" dxfId="25889" priority="1735">
      <formula>$A5="Level Crossing"</formula>
    </cfRule>
    <cfRule type="expression" dxfId="25888" priority="1736">
      <formula>$A5="Neutral Section"</formula>
    </cfRule>
    <cfRule type="expression" dxfId="25887" priority="1737">
      <formula>$A5="Tunnel"</formula>
    </cfRule>
    <cfRule type="expression" dxfId="25886" priority="1738">
      <formula>$A5="Bridge"</formula>
    </cfRule>
    <cfRule type="expression" dxfId="25885" priority="1739">
      <formula>$A5="Drainage Works"</formula>
    </cfRule>
    <cfRule type="expression" dxfId="25884" priority="1740">
      <formula>$A5="Underpass"</formula>
    </cfRule>
    <cfRule type="expression" dxfId="25883" priority="1741">
      <formula>$A5="Overcrossing"</formula>
    </cfRule>
    <cfRule type="expression" dxfId="25882" priority="1742">
      <formula>$A5="Overpass"</formula>
    </cfRule>
    <cfRule type="expression" dxfId="25881" priority="1743">
      <formula>$A5="Station"</formula>
    </cfRule>
    <cfRule type="expression" dxfId="25880" priority="1744">
      <formula>$A5="Overlap between sections"</formula>
    </cfRule>
  </conditionalFormatting>
  <conditionalFormatting sqref="AL5:AL32">
    <cfRule type="expression" dxfId="25879" priority="1731">
      <formula>$M5="NON DEFINED"</formula>
    </cfRule>
    <cfRule type="expression" dxfId="25878" priority="1732">
      <formula>$AZ5="N.D."</formula>
    </cfRule>
    <cfRule type="expression" dxfId="25877" priority="1733">
      <formula>$AY5="N.D."</formula>
    </cfRule>
  </conditionalFormatting>
  <conditionalFormatting sqref="AL5:AL32">
    <cfRule type="expression" dxfId="25876" priority="1720">
      <formula>$A5="Overhead Cable"</formula>
    </cfRule>
    <cfRule type="expression" dxfId="25875" priority="1721">
      <formula>$A5="Level Crossing"</formula>
    </cfRule>
    <cfRule type="expression" dxfId="25874" priority="1722">
      <formula>$A5="Neutral Section"</formula>
    </cfRule>
    <cfRule type="expression" dxfId="25873" priority="1723">
      <formula>$A5="Tunnel"</formula>
    </cfRule>
    <cfRule type="expression" dxfId="25872" priority="1724">
      <formula>$A5="Bridge"</formula>
    </cfRule>
    <cfRule type="expression" dxfId="25871" priority="1725">
      <formula>$A5="Drainage Works"</formula>
    </cfRule>
    <cfRule type="expression" dxfId="25870" priority="1726">
      <formula>$A5="Underpass"</formula>
    </cfRule>
    <cfRule type="expression" dxfId="25869" priority="1727">
      <formula>$A5="Overcrossing"</formula>
    </cfRule>
    <cfRule type="expression" dxfId="25868" priority="1728">
      <formula>$A5="Overpass"</formula>
    </cfRule>
    <cfRule type="expression" dxfId="25867" priority="1729">
      <formula>$A5="Station"</formula>
    </cfRule>
    <cfRule type="expression" dxfId="25866" priority="1730">
      <formula>$A5="Overlap between sections"</formula>
    </cfRule>
  </conditionalFormatting>
  <conditionalFormatting sqref="AW5:AW32">
    <cfRule type="expression" dxfId="25865" priority="1717">
      <formula>$M5="NON DEFINED"</formula>
    </cfRule>
    <cfRule type="expression" dxfId="25864" priority="1718">
      <formula>$AZ5="N.D."</formula>
    </cfRule>
    <cfRule type="expression" dxfId="25863" priority="1719">
      <formula>$AY5="N.D."</formula>
    </cfRule>
  </conditionalFormatting>
  <conditionalFormatting sqref="AW5:AW32">
    <cfRule type="expression" dxfId="25862" priority="1706">
      <formula>$A5="Overhead Cable"</formula>
    </cfRule>
    <cfRule type="expression" dxfId="25861" priority="1707">
      <formula>$A5="Level Crossing"</formula>
    </cfRule>
    <cfRule type="expression" dxfId="25860" priority="1708">
      <formula>$A5="Neutral Section"</formula>
    </cfRule>
    <cfRule type="expression" dxfId="25859" priority="1709">
      <formula>$A5="Tunnel"</formula>
    </cfRule>
    <cfRule type="expression" dxfId="25858" priority="1710">
      <formula>$A5="Bridge"</formula>
    </cfRule>
    <cfRule type="expression" dxfId="25857" priority="1711">
      <formula>$A5="Drainage Works"</formula>
    </cfRule>
    <cfRule type="expression" dxfId="25856" priority="1712">
      <formula>$A5="Underpass"</formula>
    </cfRule>
    <cfRule type="expression" dxfId="25855" priority="1713">
      <formula>$A5="Overcrossing"</formula>
    </cfRule>
    <cfRule type="expression" dxfId="25854" priority="1714">
      <formula>$A5="Overpass"</formula>
    </cfRule>
    <cfRule type="expression" dxfId="25853" priority="1715">
      <formula>$A5="Station"</formula>
    </cfRule>
    <cfRule type="expression" dxfId="25852" priority="1716">
      <formula>$A5="Overlap between sections"</formula>
    </cfRule>
  </conditionalFormatting>
  <conditionalFormatting sqref="AX5:AX32">
    <cfRule type="expression" dxfId="25851" priority="1703">
      <formula>$M5="NON DEFINED"</formula>
    </cfRule>
    <cfRule type="expression" dxfId="25850" priority="1704">
      <formula>$AZ5="N.D."</formula>
    </cfRule>
    <cfRule type="expression" dxfId="25849" priority="1705">
      <formula>$AY5="N.D."</formula>
    </cfRule>
  </conditionalFormatting>
  <conditionalFormatting sqref="AX5:AX32">
    <cfRule type="expression" dxfId="25848" priority="1692">
      <formula>$A5="Overhead Cable"</formula>
    </cfRule>
    <cfRule type="expression" dxfId="25847" priority="1693">
      <formula>$A5="Level Crossing"</formula>
    </cfRule>
    <cfRule type="expression" dxfId="25846" priority="1694">
      <formula>$A5="Neutral Section"</formula>
    </cfRule>
    <cfRule type="expression" dxfId="25845" priority="1695">
      <formula>$A5="Tunnel"</formula>
    </cfRule>
    <cfRule type="expression" dxfId="25844" priority="1696">
      <formula>$A5="Bridge"</formula>
    </cfRule>
    <cfRule type="expression" dxfId="25843" priority="1697">
      <formula>$A5="Drainage Works"</formula>
    </cfRule>
    <cfRule type="expression" dxfId="25842" priority="1698">
      <formula>$A5="Underpass"</formula>
    </cfRule>
    <cfRule type="expression" dxfId="25841" priority="1699">
      <formula>$A5="Overcrossing"</formula>
    </cfRule>
    <cfRule type="expression" dxfId="25840" priority="1700">
      <formula>$A5="Overpass"</formula>
    </cfRule>
    <cfRule type="expression" dxfId="25839" priority="1701">
      <formula>$A5="Station"</formula>
    </cfRule>
    <cfRule type="expression" dxfId="25838" priority="1702">
      <formula>$A5="Overlap between sections"</formula>
    </cfRule>
  </conditionalFormatting>
  <conditionalFormatting sqref="BD5:BD32">
    <cfRule type="containsText" dxfId="25837" priority="1691" operator="containsText" text="Poner a mano">
      <formula>NOT(ISERROR(SEARCH("Poner a mano",BD5)))</formula>
    </cfRule>
  </conditionalFormatting>
  <conditionalFormatting sqref="BC5:BC32">
    <cfRule type="expression" dxfId="25836" priority="1690">
      <formula>$M5="U.S. N.D."</formula>
    </cfRule>
  </conditionalFormatting>
  <conditionalFormatting sqref="BB5:BB32">
    <cfRule type="expression" dxfId="25835" priority="1688">
      <formula>$AZ5="N.D."</formula>
    </cfRule>
  </conditionalFormatting>
  <conditionalFormatting sqref="BA5:BA32">
    <cfRule type="expression" dxfId="25834" priority="1689">
      <formula>$AY5="N.D."</formula>
    </cfRule>
  </conditionalFormatting>
  <conditionalFormatting sqref="L34">
    <cfRule type="expression" dxfId="25833" priority="1677">
      <formula>$A34="Overhead Cable"</formula>
    </cfRule>
    <cfRule type="expression" dxfId="25832" priority="1678">
      <formula>$A34="Level Crossing"</formula>
    </cfRule>
    <cfRule type="expression" dxfId="25831" priority="1679">
      <formula>$A34="Neutral Section"</formula>
    </cfRule>
    <cfRule type="expression" dxfId="25830" priority="1680">
      <formula>$A34="Tunnel"</formula>
    </cfRule>
    <cfRule type="expression" dxfId="25829" priority="1681">
      <formula>$A34="Bridge"</formula>
    </cfRule>
    <cfRule type="expression" dxfId="25828" priority="1682">
      <formula>$A34="Drainage Works"</formula>
    </cfRule>
    <cfRule type="expression" dxfId="25827" priority="1683">
      <formula>$A34="Underpass"</formula>
    </cfRule>
    <cfRule type="expression" dxfId="25826" priority="1684">
      <formula>$A34="Overcrossing"</formula>
    </cfRule>
    <cfRule type="expression" dxfId="25825" priority="1685">
      <formula>$A34="Overpass"</formula>
    </cfRule>
    <cfRule type="expression" dxfId="25824" priority="1686">
      <formula>$A34="Station"</formula>
    </cfRule>
    <cfRule type="expression" dxfId="25823" priority="1687">
      <formula>$A34="Overlap between sections"</formula>
    </cfRule>
  </conditionalFormatting>
  <conditionalFormatting sqref="L34">
    <cfRule type="expression" dxfId="25822" priority="1674">
      <formula>$M34="NON DEFINED"</formula>
    </cfRule>
    <cfRule type="expression" dxfId="25821" priority="1675">
      <formula>$AZ34="N.D."</formula>
    </cfRule>
    <cfRule type="expression" dxfId="25820" priority="1676">
      <formula>$AY34="N.D."</formula>
    </cfRule>
  </conditionalFormatting>
  <conditionalFormatting sqref="L36">
    <cfRule type="expression" dxfId="25819" priority="1663">
      <formula>$A36="Overhead Cable"</formula>
    </cfRule>
    <cfRule type="expression" dxfId="25818" priority="1664">
      <formula>$A36="Level Crossing"</formula>
    </cfRule>
    <cfRule type="expression" dxfId="25817" priority="1665">
      <formula>$A36="Neutral Section"</formula>
    </cfRule>
    <cfRule type="expression" dxfId="25816" priority="1666">
      <formula>$A36="Tunnel"</formula>
    </cfRule>
    <cfRule type="expression" dxfId="25815" priority="1667">
      <formula>$A36="Bridge"</formula>
    </cfRule>
    <cfRule type="expression" dxfId="25814" priority="1668">
      <formula>$A36="Drainage Works"</formula>
    </cfRule>
    <cfRule type="expression" dxfId="25813" priority="1669">
      <formula>$A36="Underpass"</formula>
    </cfRule>
    <cfRule type="expression" dxfId="25812" priority="1670">
      <formula>$A36="Overcrossing"</formula>
    </cfRule>
    <cfRule type="expression" dxfId="25811" priority="1671">
      <formula>$A36="Overpass"</formula>
    </cfRule>
    <cfRule type="expression" dxfId="25810" priority="1672">
      <formula>$A36="Station"</formula>
    </cfRule>
    <cfRule type="expression" dxfId="25809" priority="1673">
      <formula>$A36="Overlap between sections"</formula>
    </cfRule>
  </conditionalFormatting>
  <conditionalFormatting sqref="L36">
    <cfRule type="expression" dxfId="25808" priority="1660">
      <formula>$M36="NON DEFINED"</formula>
    </cfRule>
    <cfRule type="expression" dxfId="25807" priority="1661">
      <formula>$AZ36="N.D."</formula>
    </cfRule>
    <cfRule type="expression" dxfId="25806" priority="1662">
      <formula>$AY36="N.D."</formula>
    </cfRule>
  </conditionalFormatting>
  <conditionalFormatting sqref="L38">
    <cfRule type="expression" dxfId="25805" priority="1649">
      <formula>$A38="Overhead Cable"</formula>
    </cfRule>
    <cfRule type="expression" dxfId="25804" priority="1650">
      <formula>$A38="Level Crossing"</formula>
    </cfRule>
    <cfRule type="expression" dxfId="25803" priority="1651">
      <formula>$A38="Neutral Section"</formula>
    </cfRule>
    <cfRule type="expression" dxfId="25802" priority="1652">
      <formula>$A38="Tunnel"</formula>
    </cfRule>
    <cfRule type="expression" dxfId="25801" priority="1653">
      <formula>$A38="Bridge"</formula>
    </cfRule>
    <cfRule type="expression" dxfId="25800" priority="1654">
      <formula>$A38="Drainage Works"</formula>
    </cfRule>
    <cfRule type="expression" dxfId="25799" priority="1655">
      <formula>$A38="Underpass"</formula>
    </cfRule>
    <cfRule type="expression" dxfId="25798" priority="1656">
      <formula>$A38="Overcrossing"</formula>
    </cfRule>
    <cfRule type="expression" dxfId="25797" priority="1657">
      <formula>$A38="Overpass"</formula>
    </cfRule>
    <cfRule type="expression" dxfId="25796" priority="1658">
      <formula>$A38="Station"</formula>
    </cfRule>
    <cfRule type="expression" dxfId="25795" priority="1659">
      <formula>$A38="Overlap between sections"</formula>
    </cfRule>
  </conditionalFormatting>
  <conditionalFormatting sqref="L38">
    <cfRule type="expression" dxfId="25794" priority="1646">
      <formula>$M38="NON DEFINED"</formula>
    </cfRule>
    <cfRule type="expression" dxfId="25793" priority="1647">
      <formula>$AZ38="N.D."</formula>
    </cfRule>
    <cfRule type="expression" dxfId="25792" priority="1648">
      <formula>$AY38="N.D."</formula>
    </cfRule>
  </conditionalFormatting>
  <conditionalFormatting sqref="L50">
    <cfRule type="expression" dxfId="25791" priority="1593">
      <formula>$A50="Overhead Cable"</formula>
    </cfRule>
    <cfRule type="expression" dxfId="25790" priority="1594">
      <formula>$A50="Level Crossing"</formula>
    </cfRule>
    <cfRule type="expression" dxfId="25789" priority="1595">
      <formula>$A50="Neutral Section"</formula>
    </cfRule>
    <cfRule type="expression" dxfId="25788" priority="1596">
      <formula>$A50="Tunnel"</formula>
    </cfRule>
    <cfRule type="expression" dxfId="25787" priority="1597">
      <formula>$A50="Bridge"</formula>
    </cfRule>
    <cfRule type="expression" dxfId="25786" priority="1598">
      <formula>$A50="Drainage Works"</formula>
    </cfRule>
    <cfRule type="expression" dxfId="25785" priority="1599">
      <formula>$A50="Underpass"</formula>
    </cfRule>
    <cfRule type="expression" dxfId="25784" priority="1600">
      <formula>$A50="Overcrossing"</formula>
    </cfRule>
    <cfRule type="expression" dxfId="25783" priority="1601">
      <formula>$A50="Overpass"</formula>
    </cfRule>
    <cfRule type="expression" dxfId="25782" priority="1602">
      <formula>$A50="Station"</formula>
    </cfRule>
    <cfRule type="expression" dxfId="25781" priority="1603">
      <formula>$A50="Overlap between sections"</formula>
    </cfRule>
  </conditionalFormatting>
  <conditionalFormatting sqref="L50">
    <cfRule type="expression" dxfId="25780" priority="1590">
      <formula>$M50="NON DEFINED"</formula>
    </cfRule>
    <cfRule type="expression" dxfId="25779" priority="1591">
      <formula>$AZ50="N.D."</formula>
    </cfRule>
    <cfRule type="expression" dxfId="25778" priority="1592">
      <formula>$AY50="N.D."</formula>
    </cfRule>
  </conditionalFormatting>
  <conditionalFormatting sqref="L52">
    <cfRule type="expression" dxfId="25777" priority="1579">
      <formula>$A52="Overhead Cable"</formula>
    </cfRule>
    <cfRule type="expression" dxfId="25776" priority="1580">
      <formula>$A52="Level Crossing"</formula>
    </cfRule>
    <cfRule type="expression" dxfId="25775" priority="1581">
      <formula>$A52="Neutral Section"</formula>
    </cfRule>
    <cfRule type="expression" dxfId="25774" priority="1582">
      <formula>$A52="Tunnel"</formula>
    </cfRule>
    <cfRule type="expression" dxfId="25773" priority="1583">
      <formula>$A52="Bridge"</formula>
    </cfRule>
    <cfRule type="expression" dxfId="25772" priority="1584">
      <formula>$A52="Drainage Works"</formula>
    </cfRule>
    <cfRule type="expression" dxfId="25771" priority="1585">
      <formula>$A52="Underpass"</formula>
    </cfRule>
    <cfRule type="expression" dxfId="25770" priority="1586">
      <formula>$A52="Overcrossing"</formula>
    </cfRule>
    <cfRule type="expression" dxfId="25769" priority="1587">
      <formula>$A52="Overpass"</formula>
    </cfRule>
    <cfRule type="expression" dxfId="25768" priority="1588">
      <formula>$A52="Station"</formula>
    </cfRule>
    <cfRule type="expression" dxfId="25767" priority="1589">
      <formula>$A52="Overlap between sections"</formula>
    </cfRule>
  </conditionalFormatting>
  <conditionalFormatting sqref="L52">
    <cfRule type="expression" dxfId="25766" priority="1576">
      <formula>$M52="NON DEFINED"</formula>
    </cfRule>
    <cfRule type="expression" dxfId="25765" priority="1577">
      <formula>$AZ52="N.D."</formula>
    </cfRule>
    <cfRule type="expression" dxfId="25764" priority="1578">
      <formula>$AY52="N.D."</formula>
    </cfRule>
  </conditionalFormatting>
  <conditionalFormatting sqref="L54">
    <cfRule type="expression" dxfId="25763" priority="1565">
      <formula>$A54="Overhead Cable"</formula>
    </cfRule>
    <cfRule type="expression" dxfId="25762" priority="1566">
      <formula>$A54="Level Crossing"</formula>
    </cfRule>
    <cfRule type="expression" dxfId="25761" priority="1567">
      <formula>$A54="Neutral Section"</formula>
    </cfRule>
    <cfRule type="expression" dxfId="25760" priority="1568">
      <formula>$A54="Tunnel"</formula>
    </cfRule>
    <cfRule type="expression" dxfId="25759" priority="1569">
      <formula>$A54="Bridge"</formula>
    </cfRule>
    <cfRule type="expression" dxfId="25758" priority="1570">
      <formula>$A54="Drainage Works"</formula>
    </cfRule>
    <cfRule type="expression" dxfId="25757" priority="1571">
      <formula>$A54="Underpass"</formula>
    </cfRule>
    <cfRule type="expression" dxfId="25756" priority="1572">
      <formula>$A54="Overcrossing"</formula>
    </cfRule>
    <cfRule type="expression" dxfId="25755" priority="1573">
      <formula>$A54="Overpass"</formula>
    </cfRule>
    <cfRule type="expression" dxfId="25754" priority="1574">
      <formula>$A54="Station"</formula>
    </cfRule>
    <cfRule type="expression" dxfId="25753" priority="1575">
      <formula>$A54="Overlap between sections"</formula>
    </cfRule>
  </conditionalFormatting>
  <conditionalFormatting sqref="L54">
    <cfRule type="expression" dxfId="25752" priority="1562">
      <formula>$M54="NON DEFINED"</formula>
    </cfRule>
    <cfRule type="expression" dxfId="25751" priority="1563">
      <formula>$AZ54="N.D."</formula>
    </cfRule>
    <cfRule type="expression" dxfId="25750" priority="1564">
      <formula>$AY54="N.D."</formula>
    </cfRule>
  </conditionalFormatting>
  <conditionalFormatting sqref="AY174:AZ174">
    <cfRule type="expression" dxfId="25749" priority="1537">
      <formula>$A174="Overhead Cable"</formula>
    </cfRule>
    <cfRule type="expression" dxfId="25748" priority="1538">
      <formula>$A174="Level Crossing"</formula>
    </cfRule>
    <cfRule type="expression" dxfId="25747" priority="1539">
      <formula>$A174="Neutral Section"</formula>
    </cfRule>
    <cfRule type="expression" dxfId="25746" priority="1540">
      <formula>$A174="Tunnel"</formula>
    </cfRule>
    <cfRule type="expression" dxfId="25745" priority="1541">
      <formula>$A174="Bridge"</formula>
    </cfRule>
    <cfRule type="expression" dxfId="25744" priority="1542">
      <formula>$A174="Drainage Works"</formula>
    </cfRule>
    <cfRule type="expression" dxfId="25743" priority="1543">
      <formula>$A174="Underpass"</formula>
    </cfRule>
    <cfRule type="expression" dxfId="25742" priority="1544">
      <formula>$A174="Overcrossing"</formula>
    </cfRule>
    <cfRule type="expression" dxfId="25741" priority="1545">
      <formula>$A174="Overpass"</formula>
    </cfRule>
    <cfRule type="expression" dxfId="25740" priority="1546">
      <formula>$A174="Station"</formula>
    </cfRule>
    <cfRule type="expression" dxfId="25739" priority="1547">
      <formula>$A174="Overlap between sections"</formula>
    </cfRule>
  </conditionalFormatting>
  <conditionalFormatting sqref="AY174:AZ174">
    <cfRule type="expression" dxfId="25738" priority="1534">
      <formula>$M174="NON DEFINED"</formula>
    </cfRule>
    <cfRule type="expression" dxfId="25737" priority="1535">
      <formula>$AZ174="N.D."</formula>
    </cfRule>
    <cfRule type="expression" dxfId="25736" priority="1536">
      <formula>$AY174="N.D."</formula>
    </cfRule>
  </conditionalFormatting>
  <conditionalFormatting sqref="AW174">
    <cfRule type="expression" dxfId="25735" priority="1531">
      <formula>$M174="NON DEFINED"</formula>
    </cfRule>
    <cfRule type="expression" dxfId="25734" priority="1532">
      <formula>$AZ174="N.D."</formula>
    </cfRule>
    <cfRule type="expression" dxfId="25733" priority="1533">
      <formula>$AY174="N.D."</formula>
    </cfRule>
  </conditionalFormatting>
  <conditionalFormatting sqref="AW174">
    <cfRule type="expression" dxfId="25732" priority="1520">
      <formula>$A174="Overhead Cable"</formula>
    </cfRule>
    <cfRule type="expression" dxfId="25731" priority="1521">
      <formula>$A174="Level Crossing"</formula>
    </cfRule>
    <cfRule type="expression" dxfId="25730" priority="1522">
      <formula>$A174="Neutral Section"</formula>
    </cfRule>
    <cfRule type="expression" dxfId="25729" priority="1523">
      <formula>$A174="Tunnel"</formula>
    </cfRule>
    <cfRule type="expression" dxfId="25728" priority="1524">
      <formula>$A174="Bridge"</formula>
    </cfRule>
    <cfRule type="expression" dxfId="25727" priority="1525">
      <formula>$A174="Drainage Works"</formula>
    </cfRule>
    <cfRule type="expression" dxfId="25726" priority="1526">
      <formula>$A174="Underpass"</formula>
    </cfRule>
    <cfRule type="expression" dxfId="25725" priority="1527">
      <formula>$A174="Overcrossing"</formula>
    </cfRule>
    <cfRule type="expression" dxfId="25724" priority="1528">
      <formula>$A174="Overpass"</formula>
    </cfRule>
    <cfRule type="expression" dxfId="25723" priority="1529">
      <formula>$A174="Station"</formula>
    </cfRule>
    <cfRule type="expression" dxfId="25722" priority="1530">
      <formula>$A174="Overlap between sections"</formula>
    </cfRule>
  </conditionalFormatting>
  <conditionalFormatting sqref="AX174">
    <cfRule type="expression" dxfId="25721" priority="1517">
      <formula>$M174="NON DEFINED"</formula>
    </cfRule>
    <cfRule type="expression" dxfId="25720" priority="1518">
      <formula>$AZ174="N.D."</formula>
    </cfRule>
    <cfRule type="expression" dxfId="25719" priority="1519">
      <formula>$AY174="N.D."</formula>
    </cfRule>
  </conditionalFormatting>
  <conditionalFormatting sqref="AX174">
    <cfRule type="expression" dxfId="25718" priority="1506">
      <formula>$A174="Overhead Cable"</formula>
    </cfRule>
    <cfRule type="expression" dxfId="25717" priority="1507">
      <formula>$A174="Level Crossing"</formula>
    </cfRule>
    <cfRule type="expression" dxfId="25716" priority="1508">
      <formula>$A174="Neutral Section"</formula>
    </cfRule>
    <cfRule type="expression" dxfId="25715" priority="1509">
      <formula>$A174="Tunnel"</formula>
    </cfRule>
    <cfRule type="expression" dxfId="25714" priority="1510">
      <formula>$A174="Bridge"</formula>
    </cfRule>
    <cfRule type="expression" dxfId="25713" priority="1511">
      <formula>$A174="Drainage Works"</formula>
    </cfRule>
    <cfRule type="expression" dxfId="25712" priority="1512">
      <formula>$A174="Underpass"</formula>
    </cfRule>
    <cfRule type="expression" dxfId="25711" priority="1513">
      <formula>$A174="Overcrossing"</formula>
    </cfRule>
    <cfRule type="expression" dxfId="25710" priority="1514">
      <formula>$A174="Overpass"</formula>
    </cfRule>
    <cfRule type="expression" dxfId="25709" priority="1515">
      <formula>$A174="Station"</formula>
    </cfRule>
    <cfRule type="expression" dxfId="25708" priority="1516">
      <formula>$A174="Overlap between sections"</formula>
    </cfRule>
  </conditionalFormatting>
  <conditionalFormatting sqref="BF6:BG6 BI6 BF8:BG8 BF10:BG10 BF12:BG12 BF14:BG14 BF16:BG16 BF18:BG18 BF20:BG20 BF22:BG22 BF24:BG24 BF26:BG26 BF28:BG28 BF30:BG30 BF32:BG32 BF34:BG34 BF36:BG36 BF38:BG38 BF40:BG40 BF42:BG42 BF44:BG44 BF46:BG46 BF48:BG48 BF50:BG50 BF52:BG52 BF54:BG54 BF56:BG56 BF58:BG58 BF60:BG60 BF62:BG62 BF64:BG64 BF66:BG66 BF68:BG68 BF70:BG70 BF72:BG72 BF74:BG74 BF76:BG76 BF78:BG78 BF80:BG80 BF82:BG82 BF84:BG84 BF86:BG86 BF88:BG88 BF90:BG90 BF92:BG92 BF94:BG94 BF96:BG96 BF98:BG98 BF100:BG100 BF102:BG102 BF104:BG104 BF106:BG106 BF108:BG108 BF110:BG110 BF112:BG112 BF114:BG114 BF116:BG116 BF118:BG118 BF120:BG120 BF122:BG122 BF124:BG124 BF126:BG126 BF128:BG128 BF130:BG130 BF132:BG132 BF134:BG134 BF136:BG136 BF138:BG138 BF140:BG140 BF142:BG142 BF144:BG144 BF146:BG146 BF148:BG148 BF150:BG150 BF152:BG152 BF154:BG154 BF156:BG156 BF158:BG158 BF160:BG160 BF162:BG162 BF164:BG164 BF166:BG166 BF168:BG168 BF170:BG170 BF172:BG172 BF174:BG174 BF176:BG176 BF178:BG178 BF180:BG180 BF182:BG182 BF184:BG184 BF186:BG186 BF188:BG188 BF190:BG190 BF192:BG192 BF194:BG194 BF196:BG196 BF198:BG198 BF200:BG200 BF202:BG202 BF204:BG204 BF206:BG206 BF208:BG208 BF210:BG210 BF212:BG212 BF214:BG214 BF216:BG216 BF218:BG218 BF220:BG220 BF222:BG222 BF224:BG224 BF226:BG226 BF228:BG228 BF230:BG230 BF232:BG232 BF234:BG234 BF236:BG236 BF238:BG238 BF240:BG240 BF242:BG242 BF244:BG244 BF246:BG246 BF248:BG248 BF250:BG250 BF252:BG252 BF254:BG254 BF256:BG256 BF258:BG258 BF260:BG260 BF262:BG262 BF264:BG264 BF266:BG266 BF268:BG268 BF270:BG270 BF272:BG272 BF274:BG274 BF276:BG276 BF278:BG278 BF280:BG280 BF282:BG282 BF284:BG284 BF286:BG286 BF288:BG288 BF290:BG290 BF292:BG292 BF294:BG294 BF296:BG296 BF298:BG298 BF300:BG300 BF302:BG302 BF304:BG304 BF306:BG306 BF308:BG308 BF310:BG310 BF312:BG312 BF314:BG314 BF316:BG316 BF318:BG318 BF320:BG320 BF322:BG322 BF324:BG324 BF326:BG326 BF328:BG328 BF330:BG330 BF332:BG332 BF334:BG334 BF336:BG336 BF338:BG338 BF340:BG340 BF342:BG342 BF344:BG344 BF346:BG346 BF348:BG348 BF350:BG350 BF352:BG352 BF354:BG354 BF356:BG356 BF358:BG358 BF360:BG360 BF362:BG362 BF364:BG364 BF366:BG366 BF368:BG368 BF370:BG370 BF372:BG372 BF374:BG374 BF376:BG376 BF378:BG378 BF380:BG380 BF382:BG382 BF384:BG384 BF386:BG386 BF388:BG388 BF390:BG390 BF392:BG392 BF394:BG394 BF396:BG396 BF398:BG398 BF400:BG400 BF402:BG402 BF404:BG404 BF406:BG406 BF408:BG408 BF410:BG410 BF412:BG412 BF414:BG414 BF416:BG416 BF418:BG418 BF420:BG420 BF422:BG422 BF424:BG424 BF426:BG426 BF428:BG428 BF430:BG430 BF432:BG432 BF434:BG434 BF436:BG436 BF438:BG438 BF440:BG440 BF442:BG442 BF444:BG444 BF446:BG446 BF448:BG448 BF450:BG450 BF452:BG452 BF454:BG454 BF456:BG456 BF458:BG458 BF460:BG460 BF462:BG462 BF464:BG464 BF466:BG466 BF468:BG468 BF470:BG470 BF472:BG472 BF474:BG474 BF476:BG476 BF478:BG478 BF480:BG480 BF482:BG482 BF484:BG484 BF486:BG486 BF488:BG488 BF490:BG490 BF492:BG492 BF494:BG494 BF496:BG496 BF498:BG498 BF500:BG500 BF502:BG502 BF504:BG504 BF506:BG506 BF508:BG508 BF510:BG510 BF512:BG512 BF514:BG514 BF516:BG516 BF518:BG518 BF520:BG520 BF522:BG522 BF524:BG524 BF526:BG526 BF528:BG528 BF530:BG530 BF532:BG532 BF534:BG534 BF538:BG538 BF540:BG540 BF542:BG542 BF544:BG544 BF546:BG546 BF548:BG548 BF550:BG550 BF552:BG552 BF554:BG554 BF556:BG556 BF558:BG558 BF560:BG560 BF562:BG562 BF564:BG564 BF566:BG566 BF568:BG568 BF570:BG570 BF572:BG572 BF574:BG574 BF576:BG576 BF578:BG578 BF580:BG580 BF582:BG582 BF584:BG584 BF586:BG586 BF588:BG588 BF590:BG590 BF592:BG592 BF594:BG594 BF596:BG596 BF598:BG598 BF600:BG600 BF602:BG602 BF604:BG604 BF606:BG606 BF608:BG608 BF610:BG610 BF612:BG612 BF614:BG614 BF616:BG616 BF618:BG618 BF620:BG620 BF622:BG622 BF624:BG624 BF626:BG626 BF628:BG628 BF630:BG630 BF632:BG632 BF634:BG634 BF636:BG636 BF638:BG638 BF640:BG640 BF642:BG642 BF644:BG644 BF646:BG646 BF648:BG648 BF658:BG658 BF660:BG660 BF662:BG662 BF664:BG664 BF666:BG666 BF668:BG668 BF670:BG670 BF672:BG672 BF674:BG674 BF676:BG676 BF678:BG678 BF680:BG680 BF682:BG682 BF684:BG684 BF686:BG686 BF688:BG688 BF690:BG690 BF692:BG692 BF694:BG694 BF696:BG696 BF698:BG698 BF700:BG700 BF702:BG702 BF704:BG704 BF706:BG706 BF708:BG708 BF710:BG710 BF712:BG712 BF714:BG714 BF716:BG716 BF718:BG718 BF720:BG720 BF722:BG722 BF724:BG724 BF726:BG726 BF730:BG730 BF732:BG732 BF734:BG734 BF736:BG736 BF738:BG738 BF740:BG740 BF742:BG742 BF744:BG744 BF746:BG746 BF748:BG748 BF750:BG750 BF752:BG752 BF754:BG754 BF756:BG756 BF758:BG758 BF760:BG760 BF762:BG762 BF764:BG764 BF766:BG766 BF768:BG768 BF770:BG770 BF772:BG772 BF774:BG774 BF776:BG776 BF778:BG778 BF780:BG780 BF782:BG782 BF784:BG784 BF786:BG786 BF788:BG788 BF790:BG790 BF792:BG792 BF794:BG794 BF796:BG796 BF798:BG798 BF800:BG800 BF802:BG802 BF804:BG804 BF806:BG806 BF808:BG808 BF810:BG810 BF812:BG812 BF814:BG814 BF816:BG816 BF818:BG818 BF838:BG838 BF840:BG840 BF842:BG842 BF844:BG844 BF846:BG846 BF848:BG848 BF850:BG850 BF852:BG852 BF854:BG854 BF856:BG856 BF858:BG858 BF860:BG860 BF862:BG862 BF864:BG864 BF866:BG866 BF868:BG868 BF870:BG870 BF872:BG872 BF874:BG874 BF876:BG876 BF878:BG878 BF880:BG880 BF882:BG882 BF884:BG884 BF886:BG886 BF888:BG888 BF890:BG890 BF892:BG892 BF894:BG894 BF896:BG896 BF898:BG898 BF900:BG900 BF902:BG902 BF904:BG904 BF906:BG906 BF908:BG908 BF910:BG910 BF912:BG912 BF914:BG914 BF916:BG916 BF918:BG918 BF920:BG920 BF922:BG922 BF924:BG924 BF926:BG926 BF928:BG928 BF930:BG930 BF932:BG932 BF934:BG934 BF936:BG936 BF938:BG938 BF940:BG940 BF942:BG942 BF944:BG944 BF946:BG946 BF948:BG948 BF950:BG950 BF952:BG952 BF954:BG954 BF956:BG956 BF958:BG958 BF960:BG960 BF962:BG962 BF964:BG964 BF966:BG966 BF968:BG968 BF970:BG970 BF972:BG972 BF974:BG974 BF976:BG976 BF978:BG978 BF980:BG980 BF982:BG982 BF984:BG984 BF986:BG986 BF988:BG988 BF990:BG990 BF992:BG992 BF994:BG994 BF996:BG996 BF998:BG998 BF1000:BG1000 BF1002:BG1002 BF1004:BG1004 BF1006:BG1006 BF1008:BG1008 BF1010:BG1010 BF1012:BG1012 BF1014:BG1014 BF1016:BG1016 BF1018:BG1018 BF1020:BG1020 BF1022:BG1022 BF1024:BG1024 BF1026:BG1026 BF1028:BG1028 BF1030:BG1030 BF1032:BG1032 BF1034:BG1034 BF1036:BG1036 BF1038:BG1038 BF1040:BG1040 BF1042:BG1042 BF1044:BG1044 BF1046:BG1046 BF1048:BG1048 BF1050:BG1050 BF1052:BG1052 BF1054:BG1054 BF1056:BG1056 BF1058:BG1058 BF1060:BG1060 BF1062:BG1062 BF1064:BG1064 BF1066:BG1066 BF1068:BG1068 BF1070:BG1070 BF1072:BG1072 BF1074:BG1074 BF1076:BG1076 BF1078:BG1078 BF1080:BG1080 BF1082:BG1082 BF1084:BG1084 BF1086:BG1086 BF1088:BG1088 BF1090:BG1090 BF1092:BG1092 BF1094:BG1094 BF1096:BG1096 BF1098:BG1098 BF1100:BG1100 BF1102:BG1102 BF1104:BG1104 BF1106:BG1106 BF1108:BG1108 BF1110:BG1110 BF1112:BG1112 BF1114:BG1114 BF1116:BG1116 BF1118:BG1118 BF1120:BG1120 BF1122:BG1122 BF1124:BG1124 BF1126:BG1126 BF1128:BG1128 BF1130:BG1130 BF1132:BG1132 BF1134:BG1134 BF1136:BG1136 BF1138:BG1138 BF1140:BG1140 BF1142:BG1142 BF1144:BG1144 BF1146:BG1146 BF1148:BG1148 BF1150:BG1150 BF1152:BG1152 BF1154:BG1154 BF1156:BG1156 BF1158:BG1158 BF1160:BG1160 BF1162:BG1162 BF1164:BG1164 BF1166:BG1166 BF1168:BG1168 BF1170:BG1170 BF1172:BG1172 BF1174:BG1174 BF1176:BG1176 BF1178:BG1178 BF1180:BG1180 BF1182:BG1182 BF1184:BG1184 BF1186:BG1186 BF1188:BG1188 BF1190:BG1190 BF1192:BG1192 BF1194:BG1194 BF1196:BG1196 BF1198:BG1198 BF1200:BG1200 BF1202:BG1202 BF1204:BG1204 BF1206:BG1206 BF1208:BG1208 BF1210:BG1210 BF1212:BG1212 BF1214:BG1214 BF1222:BG1222 BF1224:BG1224 BF1226:BG1226 BF1228:BG1228 BF1230:BG1230 BF1232:BG1232 BF1234:BG1234 BF1236:BG1236 BF1238:BG1238 BF1240:BG1240 BF1242:BG1242 BF1244:BG1244 BF1246:BG1246 BF1248:BG1248 BF1250:BG1250 BF1252:BG1252 BF1254:BG1254 BF1256:BG1256 BF1258:BG1258 BF1260:BG1260 BF1262:BG1262 BF1264:BG1264 BF1266:BG1266 BF1268:BG1268 BF1270:BG1270 BF1272:BG1272 BI8 BI10 BI12 BI14 BI16 BI18 BI20 BI22 BI24 BI26 BI28 BI30 BI32 BI34 BI36 BI38 BI40 BI42 BI44 BI46 BI48 BI50 BI52 BI54 BI56 BI58 BI60 BI62 BI64 BI66 BI68 BI70 BI72 BI74 BI76 BI78 BI80 BI82 BI84 BI86 BI88 BI90 BI92 BI94 BI96 BI98 BI100 BI102 BI104 BI106 BI108 BI110 BI112 BI114 BI116 BI118 BI120 BI122 BI124 BI126 BI128 BI130 BI132 BI134 BI136 BI138 BI140 BI142 BI144 BI146 BI148 BI150 BI152 BI154 BI156 BI158 BI160 BI162 BI164 BI166 BI168 BI170 BI172 BI174 BI176 BI178 BI180 BI182 BI184 BI186 BI188 BI190 BI192 BI194 BI196 BI198 BI200 BI202 BI204 BI206 BI208 BI210 BI212 BI214 BI216 BI218 BI220 BI222 BI224 BI226 BI228 BI230 BI232 BI234 BI236 BI238 BI240 BI242 BI244 BI246 BI248 BI250 BI252 BI254 BI256 BI258 BI260 BI262 BI264 BI266 BI268 BI270 BI272 BI274 BI276 BI278 BI280 BI282 BI284 BI286 BI288 BI290 BI292 BI294 BI296 BI298 BI300 BI302 BI304 BI306 BI308 BI310 BI312 BI314 BI316 BI318 BI320 BI322 BI324 BI326 BI328 BI330 BI332 BI334 BI336 BI338 BI340 BI342 BI344 BI346 BI348 BI350 BI352 BI354 BI356 BI358 BI360 BI362 BI364 BI366 BI368 BI370 BI372 BI374 BI376 BI378 BI380 BI382 BI384 BI386 BI388 BI390 BI392 BI394 BI396 BI398 BI400 BI402 BI404 BI406 BI408 BI410 BI412 BI414 BI416 BI418 BI420 BI422 BI424 BI426 BI428 BI430 BI432 BI434 BI436 BI438 BI440 BI442 BI444 BI446 BI448 BI450 BI452 BI454 BI456 BI458 BI460 BI462 BI464 BI466 BI468 BI470 BI472 BI474 BI476 BI478 BI480 BI482 BI484 BI486 BI488 BI490 BI492 BI494 BI496 BI498 BI500 BI502 BI504 BI506 BI508 BI510 BI512 BI514 BI516 BI518 BI520 BI522 BI524 BI526 BI528 BI530 BI532 BI534 BI538 BI540 BI542 BI544 BI546 BI548 BI550 BI552 BI554 BI556 BI558 BI560 BI562 BI564 BI566 BI568 BI570 BI572 BI574 BI576 BI578 BI580 BI582 BI584 BI586 BI588 BI590 BI592 BI594 BI596 BI598 BI600 BI602 BI604 BI606 BI608 BI610 BI612 BI614 BI616 BI618 BI620 BI622 BI624 BI626 BI628 BI630 BI632 BI634 BI636 BI638 BI640 BI642 BI644 BI646 BI648 BI658 BI660 BI662 BI664 BI666 BI668 BI670 BI672 BI674 BI676 BI678 BI680 BI682 BI684 BI686 BI688 BI690 BI692 BI694 BI696 BI698 BI700 BI702 BI704 BI706 BI708 BI710 BI712 BI714 BI716 BI718 BI720 BI722 BI724 BI726 BI730 BI732 BI734 BI736 BI738 BI740 BI742 BI744 BI746 BI748 BI750 BI752 BI754 BI756 BI758 BI760 BI762 BI764 BI766 BI768 BI770 BI772 BI774 BI776 BI778 BI780 BI782 BI784 BI786 BI788 BI790 BI792 BI794 BI796 BI798 BI800 BI802 BI804 BI806 BI808 BI810 BI812 BI814 BI816 BI818 BI838 BI840 BI842 BI844 BI846 BI848 BI850 BI852 BI854 BI856 BI858 BI860 BI862 BI864 BI866 BI868 BI870 BI872 BI874 BI876 BI878 BI880 BI882 BI884 BI886 BI888 BI890 BI892 BI894 BI896 BI898 BI900 BI902 BI904 BI906 BI908 BI910 BI912 BI914 BI916 BI918 BI920 BI922 BI924 BI926 BI928 BI930 BI932 BI934 BI936 BI938 BI940 BI942 BI944 BI946 BI948 BI950 BI952 BI954 BI956 BI958 BI960 BI962 BI964 BI966 BI968 BI970 BI972 BI974 BI976 BI978 BI980 BI982 BI984 BI986 BI988 BI990 BI992 BI994 BI996 BI998 BI1000 BI1002 BI1004 BI1006 BI1008 BI1010 BI1012 BI1014 BI1016 BI1018 BI1020 BI1022 BI1024 BI1026 BI1028 BI1030 BI1032 BI1034 BI1036 BI1038 BI1040 BI1042 BI1044 BI1046 BI1048 BI1050 BI1052 BI1054 BI1056 BI1058 BI1060 BI1062 BI1064 BI1066 BI1068 BI1070 BI1072 BI1074 BI1076 BI1078 BI1080 BI1082 BI1084 BI1086 BI1088 BI1090 BI1092 BI1094 BI1096 BI1098 BI1100 BI1102 BI1104 BI1106 BI1108 BI1110 BI1112 BI1114 BI1116 BI1118 BI1120 BI1122 BI1124 BI1126 BI1128 BI1130 BI1132 BI1134 BI1136 BI1138 BI1140 BI1142 BI1144 BI1146 BI1148 BI1150 BI1152 BI1154 BI1156 BI1158 BI1160 BI1162 BI1164 BI1166 BI1168 BI1170 BI1172 BI1174 BI1176 BI1178 BI1180 BI1182 BI1184 BI1186 BI1188 BI1190 BI1192 BI1194 BI1196 BI1198 BI1200 BI1202 BI1204 BI1206 BI1208 BI1210 BI1212 BI1214 BI1222 BI1224 BI1226 BI1228 BI1230 BI1232 BI1234 BI1236 BI1238 BI1240 BI1242 BI1244 BI1246 BI1248 BI1250 BI1252 BI1254 BI1256 BI1258 BI1260 BI1262 BI1264 BI1266 BI1268 BI1270 BI1272 BF820:BG820 BF822:BG822 BF824:BG824 BF826:BG826 BF828:BG828 BF830:BG830 BF832:BG832 BF834:BG834 BF836:BG836 BI820 BI822 BI824 BI826 BI828 BI830 BI832 BI834 BI836 BF1216:BG1216 BF1218:BG1218 BF1220:BG1220 BI1216 BI1218 BI1220 BF650:BG650 BF652:BG652 BF654:BG654 BF656:BG656 BI650 BI652 BI654 BI656">
    <cfRule type="containsBlanks" dxfId="25707" priority="1505">
      <formula>LEN(TRIM(BF6))=0</formula>
    </cfRule>
  </conditionalFormatting>
  <conditionalFormatting sqref="A226">
    <cfRule type="expression" dxfId="25706" priority="1493">
      <formula>$A226="Overhead Cable"</formula>
    </cfRule>
    <cfRule type="expression" dxfId="25705" priority="1494">
      <formula>$A226="Level Crossing"</formula>
    </cfRule>
    <cfRule type="expression" dxfId="25704" priority="1495">
      <formula>$A226="Neutral Section"</formula>
    </cfRule>
    <cfRule type="expression" dxfId="25703" priority="1496">
      <formula>$A226="Tunnel"</formula>
    </cfRule>
    <cfRule type="expression" dxfId="25702" priority="1497">
      <formula>$A226="Bridge"</formula>
    </cfRule>
    <cfRule type="expression" dxfId="25701" priority="1498">
      <formula>$A226="Drainage Works"</formula>
    </cfRule>
    <cfRule type="expression" dxfId="25700" priority="1499">
      <formula>$A226="Underpass"</formula>
    </cfRule>
    <cfRule type="expression" dxfId="25699" priority="1500">
      <formula>$A226="Overcrossing"</formula>
    </cfRule>
    <cfRule type="expression" dxfId="25698" priority="1501">
      <formula>$A226="Overpass"</formula>
    </cfRule>
    <cfRule type="expression" dxfId="25697" priority="1502">
      <formula>$A226="Station"</formula>
    </cfRule>
    <cfRule type="expression" dxfId="25696" priority="1503">
      <formula>$A226="Overlap between sections"</formula>
    </cfRule>
  </conditionalFormatting>
  <conditionalFormatting sqref="AY264:AZ264">
    <cfRule type="expression" dxfId="25695" priority="1482">
      <formula>$A264="Overhead Cable"</formula>
    </cfRule>
    <cfRule type="expression" dxfId="25694" priority="1483">
      <formula>$A264="Level Crossing"</formula>
    </cfRule>
    <cfRule type="expression" dxfId="25693" priority="1484">
      <formula>$A264="Neutral Section"</formula>
    </cfRule>
    <cfRule type="expression" dxfId="25692" priority="1485">
      <formula>$A264="Tunnel"</formula>
    </cfRule>
    <cfRule type="expression" dxfId="25691" priority="1486">
      <formula>$A264="Bridge"</formula>
    </cfRule>
    <cfRule type="expression" dxfId="25690" priority="1487">
      <formula>$A264="Drainage Works"</formula>
    </cfRule>
    <cfRule type="expression" dxfId="25689" priority="1488">
      <formula>$A264="Underpass"</formula>
    </cfRule>
    <cfRule type="expression" dxfId="25688" priority="1489">
      <formula>$A264="Overcrossing"</formula>
    </cfRule>
    <cfRule type="expression" dxfId="25687" priority="1490">
      <formula>$A264="Overpass"</formula>
    </cfRule>
    <cfRule type="expression" dxfId="25686" priority="1491">
      <formula>$A264="Station"</formula>
    </cfRule>
    <cfRule type="expression" dxfId="25685" priority="1492">
      <formula>$A264="Overlap between sections"</formula>
    </cfRule>
  </conditionalFormatting>
  <conditionalFormatting sqref="AY264:AZ264">
    <cfRule type="expression" dxfId="25684" priority="1479">
      <formula>$M264="NON DEFINED"</formula>
    </cfRule>
    <cfRule type="expression" dxfId="25683" priority="1480">
      <formula>$AZ264="N.D."</formula>
    </cfRule>
    <cfRule type="expression" dxfId="25682" priority="1481">
      <formula>$AY264="N.D."</formula>
    </cfRule>
  </conditionalFormatting>
  <conditionalFormatting sqref="AW264">
    <cfRule type="expression" dxfId="25681" priority="1476">
      <formula>$M264="NON DEFINED"</formula>
    </cfRule>
    <cfRule type="expression" dxfId="25680" priority="1477">
      <formula>$AZ264="N.D."</formula>
    </cfRule>
    <cfRule type="expression" dxfId="25679" priority="1478">
      <formula>$AY264="N.D."</formula>
    </cfRule>
  </conditionalFormatting>
  <conditionalFormatting sqref="AW264">
    <cfRule type="expression" dxfId="25678" priority="1465">
      <formula>$A264="Overhead Cable"</formula>
    </cfRule>
    <cfRule type="expression" dxfId="25677" priority="1466">
      <formula>$A264="Level Crossing"</formula>
    </cfRule>
    <cfRule type="expression" dxfId="25676" priority="1467">
      <formula>$A264="Neutral Section"</formula>
    </cfRule>
    <cfRule type="expression" dxfId="25675" priority="1468">
      <formula>$A264="Tunnel"</formula>
    </cfRule>
    <cfRule type="expression" dxfId="25674" priority="1469">
      <formula>$A264="Bridge"</formula>
    </cfRule>
    <cfRule type="expression" dxfId="25673" priority="1470">
      <formula>$A264="Drainage Works"</formula>
    </cfRule>
    <cfRule type="expression" dxfId="25672" priority="1471">
      <formula>$A264="Underpass"</formula>
    </cfRule>
    <cfRule type="expression" dxfId="25671" priority="1472">
      <formula>$A264="Overcrossing"</formula>
    </cfRule>
    <cfRule type="expression" dxfId="25670" priority="1473">
      <formula>$A264="Overpass"</formula>
    </cfRule>
    <cfRule type="expression" dxfId="25669" priority="1474">
      <formula>$A264="Station"</formula>
    </cfRule>
    <cfRule type="expression" dxfId="25668" priority="1475">
      <formula>$A264="Overlap between sections"</formula>
    </cfRule>
  </conditionalFormatting>
  <conditionalFormatting sqref="AX264">
    <cfRule type="expression" dxfId="25667" priority="1462">
      <formula>$M264="NON DEFINED"</formula>
    </cfRule>
    <cfRule type="expression" dxfId="25666" priority="1463">
      <formula>$AZ264="N.D."</formula>
    </cfRule>
    <cfRule type="expression" dxfId="25665" priority="1464">
      <formula>$AY264="N.D."</formula>
    </cfRule>
  </conditionalFormatting>
  <conditionalFormatting sqref="AX264">
    <cfRule type="expression" dxfId="25664" priority="1451">
      <formula>$A264="Overhead Cable"</formula>
    </cfRule>
    <cfRule type="expression" dxfId="25663" priority="1452">
      <formula>$A264="Level Crossing"</formula>
    </cfRule>
    <cfRule type="expression" dxfId="25662" priority="1453">
      <formula>$A264="Neutral Section"</formula>
    </cfRule>
    <cfRule type="expression" dxfId="25661" priority="1454">
      <formula>$A264="Tunnel"</formula>
    </cfRule>
    <cfRule type="expression" dxfId="25660" priority="1455">
      <formula>$A264="Bridge"</formula>
    </cfRule>
    <cfRule type="expression" dxfId="25659" priority="1456">
      <formula>$A264="Drainage Works"</formula>
    </cfRule>
    <cfRule type="expression" dxfId="25658" priority="1457">
      <formula>$A264="Underpass"</formula>
    </cfRule>
    <cfRule type="expression" dxfId="25657" priority="1458">
      <formula>$A264="Overcrossing"</formula>
    </cfRule>
    <cfRule type="expression" dxfId="25656" priority="1459">
      <formula>$A264="Overpass"</formula>
    </cfRule>
    <cfRule type="expression" dxfId="25655" priority="1460">
      <formula>$A264="Station"</formula>
    </cfRule>
    <cfRule type="expression" dxfId="25654" priority="1461">
      <formula>$A264="Overlap between sections"</formula>
    </cfRule>
  </conditionalFormatting>
  <conditionalFormatting sqref="A739:F751 A752:G752 I746:AV752 A990:G994 A1068:G1092 H739:AV745 A407:AV407 H831:I831 L831:AV831 H841:H847 H853:H861 L841:AV847 H848:AV852 L853:AV861 H871:I877 H862:AV870 L871:AV877 H878:AV881 A952:AV989 I990:AV994 B1053:AV1053 A995:AV1052 A1093:H1093 L1089:AV1093 A1054:AV1067 I1068:AV1088 A408:M408 P408:AV408 A1094:AV1112 A831:F881 I832:AV832 H833:AV840">
    <cfRule type="expression" dxfId="25653" priority="1440">
      <formula>$A407="Overhead Cable"</formula>
    </cfRule>
    <cfRule type="expression" dxfId="25652" priority="1441">
      <formula>$A407="Level Crossing"</formula>
    </cfRule>
    <cfRule type="expression" dxfId="25651" priority="1442">
      <formula>$A407="Neutral Section"</formula>
    </cfRule>
    <cfRule type="expression" dxfId="25650" priority="1443">
      <formula>$A407="Tunnel"</formula>
    </cfRule>
    <cfRule type="expression" dxfId="25649" priority="1444">
      <formula>$A407="Bridge"</formula>
    </cfRule>
    <cfRule type="expression" dxfId="25648" priority="1445">
      <formula>$A407="Drainage Works"</formula>
    </cfRule>
    <cfRule type="expression" dxfId="25647" priority="1446">
      <formula>$A407="Underpass"</formula>
    </cfRule>
    <cfRule type="expression" dxfId="25646" priority="1447">
      <formula>$A407="Overcrossing"</formula>
    </cfRule>
    <cfRule type="expression" dxfId="25645" priority="1448">
      <formula>$A407="Overpass"</formula>
    </cfRule>
    <cfRule type="expression" dxfId="25644" priority="1449">
      <formula>$A407="Station"</formula>
    </cfRule>
    <cfRule type="expression" dxfId="25643" priority="1450">
      <formula>$A407="Overlap between sections"</formula>
    </cfRule>
  </conditionalFormatting>
  <conditionalFormatting sqref="B739:F751 B752:G752 I746:AV752 B990:G994 B1068:G1092 H739:AV745 B407:AV407 H831:I831 L831:AV831 H841:H847 H853:H861 L841:AV847 H848:AV852 L853:AV861 H871:I877 H862:AV870 L871:AV877 H878:AV881 B952:AV989 I990:AV994 B1093:H1093 L1089:AV1093 B995:AV1067 I1068:AV1088 B408:M408 P408:AV408 B1094:AV1112 B831:F881 I832:AV832 H833:AV840">
    <cfRule type="expression" dxfId="25642" priority="1435">
      <formula>$M407="NON DEFINED"</formula>
    </cfRule>
    <cfRule type="expression" dxfId="25641" priority="1436">
      <formula>$AZ407="N.D."</formula>
    </cfRule>
    <cfRule type="expression" dxfId="25640" priority="1437">
      <formula>$AY407="N.D."</formula>
    </cfRule>
  </conditionalFormatting>
  <conditionalFormatting sqref="AW408 AW414 AW420 AW426 AW432 AW438 AW450 AW456 AW462 AW468 AW474 AW480 AW486 AW492 AW498 AW504 AW510 AW516 AW522 AW528 AW534 AW542 AW548 AW554 AW560 AW566 AW572 AW578 AW596 AW602 AW608 AW614 AW620 AW626 AW632 AW638 AW644 AW650 AW658 AW664 AW670 AW676 AW682 AW688 AW694 AW700 AW706 AW712 AW718 AW724 AW738 AW744 AW750 AW756 AW762 AW768 AW774 AW780 AW786 AW790 AW794 AW798 AW804 AW810 AW816 AW826 AW838 AW844 AW850 AW856 AW862 AW868 AW874 AW880 AW886 AW898 AW904 AW910 AW916 AW922 AW928 AW934 AW940 AW946 AW952 AW958 AW964 AW970 AW976 AW982 AW988 AW994 AW1000 AW1006 AW1012 AW1018 AW1024 AW1030 AW1036 AW1042 AW1048 AW1054 AW1060 AW1066 AW1072 AW1078 AW1084 AW1090 AW1096 AW1102 AW1108 AW410 AW416 AW422 AW428 AW434 AW440 AW452 AW458 AW464 AW470 AW476 AW482 AW488 AW494 AW500 AW506 AW512 AW518 AW524 AW530 AW538 AW544 AW550 AW556 AW562 AW568 AW574 AW580 AW586 AW598 AW604 AW610 AW616 AW622 AW628 AW634 AW640 AW646 AW654 AW660 AW666 AW672 AW678 AW684 AW690 AW696 AW702 AW708 AW714 AW720 AW726 AW734 AW740 AW746 AW752 AW758 AW764 AW770 AW776 AW800 AW806 AW812 AW818 AW828:AW830 AW840 AW846 AW852 AW858 AW864 AW870 AW876 AW882 AW888 AW894 AW900 AW906 AW912 AW918 AW924 AW930 AW936 AW942 AW954 AW960 AW966 AW972 AW978 AW984 AW990 AW996 AW1002 AW1008 AW1014 AW1020 AW1026 AW1032 AW1038 AW1044 AW1050 AW1056 AW1062 AW1068 AW1074 AW1080 AW1086 AW1092 AW1098 AW1104 AW1110 AW412 AW418 AW424 AW430 AW436 AW448 AW454 AW460 AW466 AW472 AW478 AW484 AW490 AW496 AW502 AW508 AW514 AW520 AW526 AW532 AW540 AW546 AW552 AW558 AW564 AW570 AW576 AW582 AW594 AW600 AW606 AW612 AW618 AW630 AW636 AW642 AW648 AW662 AW668 AW674 AW680 AW686 AW692 AW698 AW704 AW710 AW716 AW722 AW730 AW736 AW742 AW748 AW754 AW760 AW766 AW772 AW778 AW784 AW788 AW792 AW802 AW808 AW814 AW822 AW832:AW834 AW842 AW848 AW854 AW860 AW866 AW872 AW878 AW884 AW890 AW896 AW902 AW908 AW914 AW920 AW926 AW932 AW938 AW944 AW950 AW956 AW962 AW968 AW974 AW980 AW986 AW992 AW998 AW1004 AW1010 AW1016 AW1022 AW1028 AW1034 AW1040 AW1046 AW1052 AW1058 AW1064 AW1070 AW1076 AW1082 AW1088 AW1094 AW1100 AW1106 AW1112 AW442 AW446">
    <cfRule type="expression" dxfId="25639" priority="1430">
      <formula>$M408="NON DEFINED"</formula>
    </cfRule>
    <cfRule type="expression" dxfId="25638" priority="1431">
      <formula>$AZ408="N.D."</formula>
    </cfRule>
    <cfRule type="expression" dxfId="25637" priority="1432">
      <formula>$AY408="N.D."</formula>
    </cfRule>
  </conditionalFormatting>
  <conditionalFormatting sqref="AW408 AW414 AW420 AW426 AW432 AW438 AW450 AW456 AW462 AW468 AW474 AW480 AW486 AW492 AW498 AW504 AW510 AW516 AW522 AW528 AW534 AW542 AW548 AW554 AW560 AW566 AW572 AW578 AW596 AW602 AW608 AW614 AW620 AW626 AW632 AW638 AW644 AW650 AW658 AW664 AW670 AW676 AW682 AW688 AW694 AW700 AW706 AW712 AW718 AW724 AW738 AW744 AW750 AW756 AW762 AW768 AW774 AW780 AW786 AW790 AW794 AW798 AW804 AW810 AW816 AW826 AW838 AW844 AW850 AW856 AW862 AW868 AW874 AW880 AW886 AW898 AW904 AW910 AW916 AW922 AW928 AW934 AW940 AW946 AW952 AW958 AW964 AW970 AW976 AW982 AW988 AW994 AW1000 AW1006 AW1012 AW1018 AW1024 AW1030 AW1036 AW1042 AW1048 AW1054 AW1060 AW1066 AW1072 AW1078 AW1084 AW1090 AW1096 AW1102 AW1108 AW410 AW416 AW422 AW428 AW434 AW440 AW452 AW458 AW464 AW470 AW476 AW482 AW488 AW494 AW500 AW506 AW512 AW518 AW524 AW530 AW538 AW544 AW550 AW556 AW562 AW568 AW574 AW580 AW586 AW598 AW604 AW610 AW616 AW622 AW628 AW634 AW640 AW646 AW654 AW660 AW666 AW672 AW678 AW684 AW690 AW696 AW702 AW708 AW714 AW720 AW726 AW734 AW740 AW746 AW752 AW758 AW764 AW770 AW776 AW800 AW806 AW812 AW818 AW828:AW830 AW840 AW846 AW852 AW858 AW864 AW870 AW876 AW882 AW888 AW894 AW900 AW906 AW912 AW918 AW924 AW930 AW936 AW942 AW954 AW960 AW966 AW972 AW978 AW984 AW990 AW996 AW1002 AW1008 AW1014 AW1020 AW1026 AW1032 AW1038 AW1044 AW1050 AW1056 AW1062 AW1068 AW1074 AW1080 AW1086 AW1092 AW1098 AW1104 AW1110 AW412 AW418 AW424 AW430 AW436 AW448 AW454 AW460 AW466 AW472 AW478 AW484 AW490 AW496 AW502 AW508 AW514 AW520 AW526 AW532 AW540 AW546 AW552 AW558 AW564 AW570 AW576 AW582 AW594 AW600 AW606 AW612 AW618 AW630 AW636 AW642 AW648 AW662 AW668 AW674 AW680 AW686 AW692 AW698 AW704 AW710 AW716 AW722 AW730 AW736 AW742 AW748 AW754 AW760 AW766 AW772 AW778 AW784 AW788 AW792 AW802 AW808 AW814 AW822 AW832:AW834 AW842 AW848 AW854 AW860 AW866 AW872 AW878 AW884 AW890 AW896 AW902 AW908 AW914 AW920 AW926 AW932 AW938 AW944 AW950 AW956 AW962 AW968 AW974 AW980 AW986 AW992 AW998 AW1004 AW1010 AW1016 AW1022 AW1028 AW1034 AW1040 AW1046 AW1052 AW1058 AW1064 AW1070 AW1076 AW1082 AW1088 AW1094 AW1100 AW1106 AW1112 AW442 AW446">
    <cfRule type="expression" dxfId="25636" priority="1419">
      <formula>$A408="Overhead Cable"</formula>
    </cfRule>
    <cfRule type="expression" dxfId="25635" priority="1420">
      <formula>$A408="Level Crossing"</formula>
    </cfRule>
    <cfRule type="expression" dxfId="25634" priority="1421">
      <formula>$A408="Neutral Section"</formula>
    </cfRule>
    <cfRule type="expression" dxfId="25633" priority="1422">
      <formula>$A408="Tunnel"</formula>
    </cfRule>
    <cfRule type="expression" dxfId="25632" priority="1423">
      <formula>$A408="Bridge"</formula>
    </cfRule>
    <cfRule type="expression" dxfId="25631" priority="1424">
      <formula>$A408="Drainage Works"</formula>
    </cfRule>
    <cfRule type="expression" dxfId="25630" priority="1425">
      <formula>$A408="Underpass"</formula>
    </cfRule>
    <cfRule type="expression" dxfId="25629" priority="1426">
      <formula>$A408="Overcrossing"</formula>
    </cfRule>
    <cfRule type="expression" dxfId="25628" priority="1427">
      <formula>$A408="Overpass"</formula>
    </cfRule>
    <cfRule type="expression" dxfId="25627" priority="1428">
      <formula>$A408="Station"</formula>
    </cfRule>
    <cfRule type="expression" dxfId="25626" priority="1429">
      <formula>$A408="Overlap between sections"</formula>
    </cfRule>
  </conditionalFormatting>
  <conditionalFormatting sqref="AX408 AX414 AX420 AX426 AX432 AX438 AX450 AX456 AX462 AX468 AX474 AX480 AX486 AX492 AX498 AX504 AX510 AX516 AX522 AX528 AX534 AX542 AX548 AX554 AX560 AX566 AX572 AX578 AX596 AX602 AX608 AX614 AX620 AX626 AX632 AX638 AX644 AX650 AX658 AX664 AX670 AX676 AX682 AX688 AX694 AX700 AX706 AX712 AX718 AX724 AX738 AX744 AX750 AX756 AX762 AX768 AX774 AX780 AX786 AX790 AX794 AX798 AX804 AX810 AX816 AX826 AX838 AX844 AX850 AX856 AX862 AX868 AX874 AX880 AX886 AX898 AX904 AX910 AX916 AX922 AX928 AX934 AX940 AX946 AX952 AX958 AX964 AX970 AX976 AX982 AX988 AX994 AX1000 AX1006 AX1012 AX1018 AX1024 AX1030 AX1036 AX1042 AX1048 AX1054 AX1060 AX1066 AX1072 AX1078 AX1084 AX1090 AX1096 AX1102 AX1108 AX410 AX416 AX422 AX428 AX434 AX440 AX452 AX458 AX464 AX470 AX476 AX482 AX488 AX494 AX500 AX506 AX512 AX518 AX524 AX530 AX538 AX544 AX550 AX556 AX562 AX568 AX574 AX580 AX586 AX598 AX604 AX610 AX616 AX622 AX628 AX634 AX640 AX646 AX654 AX660 AX666 AX672 AX678 AX684 AX690 AX696 AX702 AX708 AX714 AX720 AX726 AX734 AX740 AX746 AX752 AX758 AX764 AX770 AX776 AX800 AX806 AX812 AX818 AX828:AX830 AX840 AX846 AX852 AX858 AX864 AX870 AX876 AX882 AX888 AX894 AX900 AX906 AX912 AX918 AX924 AX930 AX936 AX942 AX954 AX960 AX966 AX972 AX978 AX984 AX990 AX996 AX1002 AX1008 AX1014 AX1020 AX1026 AX1032 AX1038 AX1044 AX1050 AX1056 AX1062 AX1068 AX1074 AX1080 AX1086 AX1092 AX1098 AX1104 AX1110 AX412 AX418 AX424 AX430 AX436 AX448 AX454 AX460 AX466 AX472 AX478 AX484 AX490 AX496 AX502 AX508 AX514 AX520 AX526 AX532 AX540 AX546 AX552 AX558 AX564 AX570 AX576 AX582 AX594 AX600 AX606 AX612 AX618 AX630 AX636 AX642 AX648 AX662 AX668 AX674 AX680 AX686 AX692 AX698 AX704 AX710 AX716 AX722 AX730 AX736 AX742 AX748 AX754 AX760 AX766 AX772 AX778 AX784 AX788 AX792 AX802 AX808 AX814 AX822 AX832:AX834 AX842 AX848 AX854 AX860 AX866 AX872 AX878 AX884 AX890 AX896 AX902 AX908 AX914 AX920 AX926 AX932 AX938 AX944 AX950 AX956 AX962 AX968 AX974 AX980 AX986 AX992 AX998 AX1004 AX1010 AX1016 AX1022 AX1028 AX1034 AX1040 AX1046 AX1052 AX1058 AX1064 AX1070 AX1076 AX1082 AX1088 AX1094 AX1100 AX1106 AX1112 AX442 AX446">
    <cfRule type="expression" dxfId="25625" priority="1416">
      <formula>$M408="NON DEFINED"</formula>
    </cfRule>
    <cfRule type="expression" dxfId="25624" priority="1417">
      <formula>$AZ408="N.D."</formula>
    </cfRule>
    <cfRule type="expression" dxfId="25623" priority="1418">
      <formula>$AY408="N.D."</formula>
    </cfRule>
  </conditionalFormatting>
  <conditionalFormatting sqref="AX408 AX414 AX420 AX426 AX432 AX438 AX450 AX456 AX462 AX468 AX474 AX480 AX486 AX492 AX498 AX504 AX510 AX516 AX522 AX528 AX534 AX542 AX548 AX554 AX560 AX566 AX572 AX578 AX596 AX602 AX608 AX614 AX620 AX626 AX632 AX638 AX644 AX650 AX658 AX664 AX670 AX676 AX682 AX688 AX694 AX700 AX706 AX712 AX718 AX724 AX738 AX744 AX750 AX756 AX762 AX768 AX774 AX780 AX786 AX790 AX794 AX798 AX804 AX810 AX816 AX826 AX838 AX844 AX850 AX856 AX862 AX868 AX874 AX880 AX886 AX898 AX904 AX910 AX916 AX922 AX928 AX934 AX940 AX946 AX952 AX958 AX964 AX970 AX976 AX982 AX988 AX994 AX1000 AX1006 AX1012 AX1018 AX1024 AX1030 AX1036 AX1042 AX1048 AX1054 AX1060 AX1066 AX1072 AX1078 AX1084 AX1090 AX1096 AX1102 AX1108 AX410 AX416 AX422 AX428 AX434 AX440 AX452 AX458 AX464 AX470 AX476 AX482 AX488 AX494 AX500 AX506 AX512 AX518 AX524 AX530 AX538 AX544 AX550 AX556 AX562 AX568 AX574 AX580 AX586 AX598 AX604 AX610 AX616 AX622 AX628 AX634 AX640 AX646 AX654 AX660 AX666 AX672 AX678 AX684 AX690 AX696 AX702 AX708 AX714 AX720 AX726 AX734 AX740 AX746 AX752 AX758 AX764 AX770 AX776 AX800 AX806 AX812 AX818 AX828:AX830 AX840 AX846 AX852 AX858 AX864 AX870 AX876 AX882 AX888 AX894 AX900 AX906 AX912 AX918 AX924 AX930 AX936 AX942 AX954 AX960 AX966 AX972 AX978 AX984 AX990 AX996 AX1002 AX1008 AX1014 AX1020 AX1026 AX1032 AX1038 AX1044 AX1050 AX1056 AX1062 AX1068 AX1074 AX1080 AX1086 AX1092 AX1098 AX1104 AX1110 AX412 AX418 AX424 AX430 AX436 AX448 AX454 AX460 AX466 AX472 AX478 AX484 AX490 AX496 AX502 AX508 AX514 AX520 AX526 AX532 AX540 AX546 AX552 AX558 AX564 AX570 AX576 AX582 AX594 AX600 AX606 AX612 AX618 AX630 AX636 AX642 AX648 AX662 AX668 AX674 AX680 AX686 AX692 AX698 AX704 AX710 AX716 AX722 AX730 AX736 AX742 AX748 AX754 AX760 AX766 AX772 AX778 AX784 AX788 AX792 AX802 AX808 AX814 AX822 AX832:AX834 AX842 AX848 AX854 AX860 AX866 AX872 AX878 AX884 AX890 AX896 AX902 AX908 AX914 AX920 AX926 AX932 AX938 AX944 AX950 AX956 AX962 AX968 AX974 AX980 AX986 AX992 AX998 AX1004 AX1010 AX1016 AX1022 AX1028 AX1034 AX1040 AX1046 AX1052 AX1058 AX1064 AX1070 AX1076 AX1082 AX1088 AX1094 AX1100 AX1106 AX1112 AX442 AX446">
    <cfRule type="expression" dxfId="25622" priority="1405">
      <formula>$A408="Overhead Cable"</formula>
    </cfRule>
    <cfRule type="expression" dxfId="25621" priority="1406">
      <formula>$A408="Level Crossing"</formula>
    </cfRule>
    <cfRule type="expression" dxfId="25620" priority="1407">
      <formula>$A408="Neutral Section"</formula>
    </cfRule>
    <cfRule type="expression" dxfId="25619" priority="1408">
      <formula>$A408="Tunnel"</formula>
    </cfRule>
    <cfRule type="expression" dxfId="25618" priority="1409">
      <formula>$A408="Bridge"</formula>
    </cfRule>
    <cfRule type="expression" dxfId="25617" priority="1410">
      <formula>$A408="Drainage Works"</formula>
    </cfRule>
    <cfRule type="expression" dxfId="25616" priority="1411">
      <formula>$A408="Underpass"</formula>
    </cfRule>
    <cfRule type="expression" dxfId="25615" priority="1412">
      <formula>$A408="Overcrossing"</formula>
    </cfRule>
    <cfRule type="expression" dxfId="25614" priority="1413">
      <formula>$A408="Overpass"</formula>
    </cfRule>
    <cfRule type="expression" dxfId="25613" priority="1414">
      <formula>$A408="Station"</formula>
    </cfRule>
    <cfRule type="expression" dxfId="25612" priority="1415">
      <formula>$A408="Overlap between sections"</formula>
    </cfRule>
  </conditionalFormatting>
  <conditionalFormatting sqref="BD442 BD444 BD446 BD407:BD440 BD448:BD462 BD464">
    <cfRule type="containsText" dxfId="25611" priority="1404" operator="containsText" text="Poner a mano">
      <formula>NOT(ISERROR(SEARCH("Poner a mano",BD407)))</formula>
    </cfRule>
  </conditionalFormatting>
  <conditionalFormatting sqref="AW407 AW413 AW419 AW425 AW431 AW437 AW449 AW455 AW461 AW467 AW473 AW479 AW485 AW491 AW497 AW509 AW515 AW521 AW527 AW533 AW541 AW547 AW553 AW559 AW565 AW571 AW577 AW583 AW589 AW595 AW601 AW607 AW613 AW619 AW625 AW631 AW637 AW643 AW649 AW657 AW663 AW669 AW675 AW681 AW687 AW693 AW699 AW705 AW711 AW717 AW723 AW731 AW737 AW743 AW749 AW755 AW761 AW767 AW773 AW779 AW785 AW793 AW797 AW803 AW809 AW815 AW823:AW825 AW835:AW837 AW843 AW849 AW855 AW861 AW867 AW873 AW879 AW885 AW891 AW897 AW903 AW909 AW915 AW921 AW927 AW933 AW939 AW945 AW951 AW957 AW963 AW969 AW975 AW981 AW987 AW993 AW999 AW1005 AW1011 AW1017 AW1023 AW1029 AW1035 AW1041 AW1047 AW1053 AW1059 AW1065 AW1071 AW1077 AW1083 AW1089 AW1095 AW1101 AW1107">
    <cfRule type="expression" dxfId="25610" priority="1398">
      <formula>$M407="NON DEFINED"</formula>
    </cfRule>
    <cfRule type="expression" dxfId="25609" priority="1399">
      <formula>$AZ407="N.D."</formula>
    </cfRule>
    <cfRule type="expression" dxfId="25608" priority="1400">
      <formula>$AY407="N.D."</formula>
    </cfRule>
  </conditionalFormatting>
  <conditionalFormatting sqref="AW407 AW413 AW419 AW425 AW431 AW437 AW449 AW455 AW461 AW467 AW473 AW479 AW485 AW491 AW497 AW509 AW515 AW521 AW527 AW533 AW541 AW547 AW553 AW559 AW565 AW571 AW577 AW583 AW589 AW595 AW601 AW607 AW613 AW619 AW625 AW631 AW637 AW643 AW649 AW657 AW663 AW669 AW675 AW681 AW687 AW693 AW699 AW705 AW711 AW717 AW723 AW731 AW737 AW743 AW749 AW755 AW761 AW767 AW773 AW779 AW785 AW793 AW797 AW803 AW809 AW815 AW823:AW825 AW835:AW837 AW843 AW849 AW855 AW861 AW867 AW873 AW879 AW885 AW891 AW897 AW903 AW909 AW915 AW921 AW927 AW933 AW939 AW945 AW951 AW957 AW963 AW969 AW975 AW981 AW987 AW993 AW999 AW1005 AW1011 AW1017 AW1023 AW1029 AW1035 AW1041 AW1047 AW1053 AW1059 AW1065 AW1071 AW1077 AW1083 AW1089 AW1095 AW1101 AW1107">
    <cfRule type="expression" dxfId="25607" priority="1387">
      <formula>$A407="Overhead Cable"</formula>
    </cfRule>
    <cfRule type="expression" dxfId="25606" priority="1388">
      <formula>$A407="Level Crossing"</formula>
    </cfRule>
    <cfRule type="expression" dxfId="25605" priority="1389">
      <formula>$A407="Neutral Section"</formula>
    </cfRule>
    <cfRule type="expression" dxfId="25604" priority="1390">
      <formula>$A407="Tunnel"</formula>
    </cfRule>
    <cfRule type="expression" dxfId="25603" priority="1391">
      <formula>$A407="Bridge"</formula>
    </cfRule>
    <cfRule type="expression" dxfId="25602" priority="1392">
      <formula>$A407="Drainage Works"</formula>
    </cfRule>
    <cfRule type="expression" dxfId="25601" priority="1393">
      <formula>$A407="Underpass"</formula>
    </cfRule>
    <cfRule type="expression" dxfId="25600" priority="1394">
      <formula>$A407="Overcrossing"</formula>
    </cfRule>
    <cfRule type="expression" dxfId="25599" priority="1395">
      <formula>$A407="Overpass"</formula>
    </cfRule>
    <cfRule type="expression" dxfId="25598" priority="1396">
      <formula>$A407="Station"</formula>
    </cfRule>
    <cfRule type="expression" dxfId="25597" priority="1397">
      <formula>$A407="Overlap between sections"</formula>
    </cfRule>
  </conditionalFormatting>
  <conditionalFormatting sqref="AX407 AX413 AX419 AX425 AX431 AX437 AX449 AX455 AX461 AX467 AX473 AX479 AX485 AX491 AX497 AX509 AX515 AX521 AX527 AX533 AX541 AX547 AX553 AX559 AX565 AX571 AX577 AX583 AX589 AX595 AX601 AX607 AX613 AX619 AX625 AX631 AX637 AX643 AX649 AX657 AX663 AX669 AX675 AX681 AX687 AX693 AX699 AX705 AX711 AX717 AX723 AX731 AX737 AX743 AX749 AX755 AX761 AX767 AX773 AX779 AX785 AX793 AX797 AX803 AX809 AX815 AX823:AX825 AX835:AX837 AX843 AX849 AX855 AX861 AX867 AX873 AX879 AX885 AX891 AX897 AX903 AX909 AX915 AX921 AX927 AX933 AX939 AX945 AX951 AX957 AX963 AX969 AX975 AX981 AX987 AX993 AX999 AX1005 AX1011 AX1017 AX1023 AX1029 AX1035 AX1041 AX1047 AX1053 AX1059 AX1065 AX1071 AX1077 AX1083 AX1089 AX1095 AX1101 AX1107">
    <cfRule type="expression" dxfId="25596" priority="1384">
      <formula>$M407="NON DEFINED"</formula>
    </cfRule>
    <cfRule type="expression" dxfId="25595" priority="1385">
      <formula>$AZ407="N.D."</formula>
    </cfRule>
    <cfRule type="expression" dxfId="25594" priority="1386">
      <formula>$AY407="N.D."</formula>
    </cfRule>
  </conditionalFormatting>
  <conditionalFormatting sqref="AX407 AX413 AX419 AX425 AX431 AX437 AX449 AX455 AX461 AX467 AX473 AX479 AX485 AX491 AX497 AX509 AX515 AX521 AX527 AX533 AX541 AX547 AX553 AX559 AX565 AX571 AX577 AX583 AX589 AX595 AX601 AX607 AX613 AX619 AX625 AX631 AX637 AX643 AX649 AX657 AX663 AX669 AX675 AX681 AX687 AX693 AX699 AX705 AX711 AX717 AX723 AX731 AX737 AX743 AX749 AX755 AX761 AX767 AX773 AX779 AX785 AX793 AX797 AX803 AX809 AX815 AX823:AX825 AX835:AX837 AX843 AX849 AX855 AX861 AX867 AX873 AX879 AX885 AX891 AX897 AX903 AX909 AX915 AX921 AX927 AX933 AX939 AX945 AX951 AX957 AX963 AX969 AX975 AX981 AX987 AX993 AX999 AX1005 AX1011 AX1017 AX1023 AX1029 AX1035 AX1041 AX1047 AX1053 AX1059 AX1065 AX1071 AX1077 AX1083 AX1089 AX1095 AX1101 AX1107">
    <cfRule type="expression" dxfId="25593" priority="1373">
      <formula>$A407="Overhead Cable"</formula>
    </cfRule>
    <cfRule type="expression" dxfId="25592" priority="1374">
      <formula>$A407="Level Crossing"</formula>
    </cfRule>
    <cfRule type="expression" dxfId="25591" priority="1375">
      <formula>$A407="Neutral Section"</formula>
    </cfRule>
    <cfRule type="expression" dxfId="25590" priority="1376">
      <formula>$A407="Tunnel"</formula>
    </cfRule>
    <cfRule type="expression" dxfId="25589" priority="1377">
      <formula>$A407="Bridge"</formula>
    </cfRule>
    <cfRule type="expression" dxfId="25588" priority="1378">
      <formula>$A407="Drainage Works"</formula>
    </cfRule>
    <cfRule type="expression" dxfId="25587" priority="1379">
      <formula>$A407="Underpass"</formula>
    </cfRule>
    <cfRule type="expression" dxfId="25586" priority="1380">
      <formula>$A407="Overcrossing"</formula>
    </cfRule>
    <cfRule type="expression" dxfId="25585" priority="1381">
      <formula>$A407="Overpass"</formula>
    </cfRule>
    <cfRule type="expression" dxfId="25584" priority="1382">
      <formula>$A407="Station"</formula>
    </cfRule>
    <cfRule type="expression" dxfId="25583" priority="1383">
      <formula>$A407="Overlap between sections"</formula>
    </cfRule>
  </conditionalFormatting>
  <conditionalFormatting sqref="AW409 AW415 AW421 AW427 AW433 AW439 AW451 AW457 AW463 AW469 AW475 AW481 AW487 AW493 AW499 AW505 AW511 AW517 AW523 AW529 AW535 AW543 AW549 AW555 AW561 AW567 AW573 AW579 AW585 AW591 AW597 AW603 AW609 AW615 AW621 AW627 AW633 AW639 AW645 AW651:AW653 AW659 AW665 AW671 AW677 AW683 AW689 AW695 AW701 AW707 AW713 AW719 AW725 AW733 AW739 AW745 AW751 AW757 AW763 AW769 AW775 AW781 AW791 AW799 AW805 AW811 AW817 AW827 AW839 AW845 AW851 AW857 AW863 AW869 AW875 AW881 AW887 AW893 AW899 AW905 AW911 AW917 AW923 AW929 AW935 AW941 AW947 AW953 AW959 AW965 AW971 AW977 AW983 AW989 AW995 AW1001 AW1007 AW1013 AW1019 AW1025 AW1031 AW1037 AW1043 AW1049 AW1055 AW1061 AW1067 AW1073 AW1079 AW1085 AW1091 AW1097 AW1103 AW1109 AW441 AW443 AW445">
    <cfRule type="expression" dxfId="25582" priority="1370">
      <formula>$M409="NON DEFINED"</formula>
    </cfRule>
    <cfRule type="expression" dxfId="25581" priority="1371">
      <formula>$AZ409="N.D."</formula>
    </cfRule>
    <cfRule type="expression" dxfId="25580" priority="1372">
      <formula>$AY409="N.D."</formula>
    </cfRule>
  </conditionalFormatting>
  <conditionalFormatting sqref="AW409 AW415 AW421 AW427 AW433 AW439 AW451 AW457 AW463 AW469 AW475 AW481 AW487 AW493 AW499 AW505 AW511 AW517 AW523 AW529 AW535 AW543 AW549 AW555 AW561 AW567 AW573 AW579 AW585 AW591 AW597 AW603 AW609 AW615 AW621 AW627 AW633 AW639 AW645 AW651:AW653 AW659 AW665 AW671 AW677 AW683 AW689 AW695 AW701 AW707 AW713 AW719 AW725 AW733 AW739 AW745 AW751 AW757 AW763 AW769 AW775 AW781 AW791 AW799 AW805 AW811 AW817 AW827 AW839 AW845 AW851 AW857 AW863 AW869 AW875 AW881 AW887 AW893 AW899 AW905 AW911 AW917 AW923 AW929 AW935 AW941 AW947 AW953 AW959 AW965 AW971 AW977 AW983 AW989 AW995 AW1001 AW1007 AW1013 AW1019 AW1025 AW1031 AW1037 AW1043 AW1049 AW1055 AW1061 AW1067 AW1073 AW1079 AW1085 AW1091 AW1097 AW1103 AW1109 AW441 AW443 AW445">
    <cfRule type="expression" dxfId="25579" priority="1359">
      <formula>$A409="Overhead Cable"</formula>
    </cfRule>
    <cfRule type="expression" dxfId="25578" priority="1360">
      <formula>$A409="Level Crossing"</formula>
    </cfRule>
    <cfRule type="expression" dxfId="25577" priority="1361">
      <formula>$A409="Neutral Section"</formula>
    </cfRule>
    <cfRule type="expression" dxfId="25576" priority="1362">
      <formula>$A409="Tunnel"</formula>
    </cfRule>
    <cfRule type="expression" dxfId="25575" priority="1363">
      <formula>$A409="Bridge"</formula>
    </cfRule>
    <cfRule type="expression" dxfId="25574" priority="1364">
      <formula>$A409="Drainage Works"</formula>
    </cfRule>
    <cfRule type="expression" dxfId="25573" priority="1365">
      <formula>$A409="Underpass"</formula>
    </cfRule>
    <cfRule type="expression" dxfId="25572" priority="1366">
      <formula>$A409="Overcrossing"</formula>
    </cfRule>
    <cfRule type="expression" dxfId="25571" priority="1367">
      <formula>$A409="Overpass"</formula>
    </cfRule>
    <cfRule type="expression" dxfId="25570" priority="1368">
      <formula>$A409="Station"</formula>
    </cfRule>
    <cfRule type="expression" dxfId="25569" priority="1369">
      <formula>$A409="Overlap between sections"</formula>
    </cfRule>
  </conditionalFormatting>
  <conditionalFormatting sqref="AX409 AX415 AX421 AX427 AX433 AX439 AX451 AX457 AX463 AX469 AX475 AX481 AX487 AX493 AX499 AX505 AX511 AX517 AX523 AX529 AX535 AX543 AX549 AX555 AX561 AX567 AX573 AX579 AX585 AX591 AX597 AX603 AX609 AX615 AX621 AX627 AX633 AX639 AX645 AX651:AX653 AX659 AX665 AX671 AX677 AX683 AX689 AX695 AX701 AX707 AX713 AX719 AX725 AX733 AX739 AX745 AX751 AX757 AX763 AX769 AX775 AX781 AX791 AX799 AX805 AX811 AX817 AX827 AX839 AX845 AX851 AX857 AX863 AX869 AX875 AX881 AX887 AX893 AX899 AX905 AX911 AX917 AX923 AX929 AX935 AX941 AX947 AX953 AX959 AX965 AX971 AX977 AX983 AX989 AX995 AX1001 AX1007 AX1013 AX1019 AX1025 AX1031 AX1037 AX1043 AX1049 AX1055 AX1061 AX1067 AX1073 AX1079 AX1085 AX1091 AX1097 AX1103 AX1109 AX441 AX443 AX445">
    <cfRule type="expression" dxfId="25568" priority="1356">
      <formula>$M409="NON DEFINED"</formula>
    </cfRule>
    <cfRule type="expression" dxfId="25567" priority="1357">
      <formula>$AZ409="N.D."</formula>
    </cfRule>
    <cfRule type="expression" dxfId="25566" priority="1358">
      <formula>$AY409="N.D."</formula>
    </cfRule>
  </conditionalFormatting>
  <conditionalFormatting sqref="AX409 AX415 AX421 AX427 AX433 AX439 AX451 AX457 AX463 AX469 AX475 AX481 AX487 AX493 AX499 AX505 AX511 AX517 AX523 AX529 AX535 AX543 AX549 AX555 AX561 AX567 AX573 AX579 AX585 AX591 AX597 AX603 AX609 AX615 AX621 AX627 AX633 AX639 AX645 AX651:AX653 AX659 AX665 AX671 AX677 AX683 AX689 AX695 AX701 AX707 AX713 AX719 AX725 AX733 AX739 AX745 AX751 AX757 AX763 AX769 AX775 AX781 AX791 AX799 AX805 AX811 AX817 AX827 AX839 AX845 AX851 AX857 AX863 AX869 AX875 AX881 AX887 AX893 AX899 AX905 AX911 AX917 AX923 AX929 AX935 AX941 AX947 AX953 AX959 AX965 AX971 AX977 AX983 AX989 AX995 AX1001 AX1007 AX1013 AX1019 AX1025 AX1031 AX1037 AX1043 AX1049 AX1055 AX1061 AX1067 AX1073 AX1079 AX1085 AX1091 AX1097 AX1103 AX1109 AX441 AX443 AX445">
    <cfRule type="expression" dxfId="25565" priority="1345">
      <formula>$A409="Overhead Cable"</formula>
    </cfRule>
    <cfRule type="expression" dxfId="25564" priority="1346">
      <formula>$A409="Level Crossing"</formula>
    </cfRule>
    <cfRule type="expression" dxfId="25563" priority="1347">
      <formula>$A409="Neutral Section"</formula>
    </cfRule>
    <cfRule type="expression" dxfId="25562" priority="1348">
      <formula>$A409="Tunnel"</formula>
    </cfRule>
    <cfRule type="expression" dxfId="25561" priority="1349">
      <formula>$A409="Bridge"</formula>
    </cfRule>
    <cfRule type="expression" dxfId="25560" priority="1350">
      <formula>$A409="Drainage Works"</formula>
    </cfRule>
    <cfRule type="expression" dxfId="25559" priority="1351">
      <formula>$A409="Underpass"</formula>
    </cfRule>
    <cfRule type="expression" dxfId="25558" priority="1352">
      <formula>$A409="Overcrossing"</formula>
    </cfRule>
    <cfRule type="expression" dxfId="25557" priority="1353">
      <formula>$A409="Overpass"</formula>
    </cfRule>
    <cfRule type="expression" dxfId="25556" priority="1354">
      <formula>$A409="Station"</formula>
    </cfRule>
    <cfRule type="expression" dxfId="25555" priority="1355">
      <formula>$A409="Overlap between sections"</formula>
    </cfRule>
  </conditionalFormatting>
  <conditionalFormatting sqref="AW411 AW417 AW423 AW429 AW435 AW447 AW453 AW459 AW465 AW471 AW477 AW483 AW489 AW495 AW501 AW507 AW513 AW519 AW525 AW531 AW539 AW545 AW551 AW557 AW563 AW569 AW575 AW581 AW587 AW599 AW605 AW611 AW617 AW623 AW629 AW635 AW641 AW647 AW655 AW661 AW667 AW673 AW679 AW685 AW691 AW697 AW703 AW709 AW715 AW721 AW727 AW735 AW741 AW747 AW753 AW759 AW765 AW771 AW777 AW783 AW795 AW801 AW807 AW813 AW819:AW821 AW831 AW841 AW847 AW853 AW859 AW865 AW871 AW877 AW883 AW889 AW895 AW901 AW907 AW913 AW919 AW925 AW931 AW937 AW943 AW949 AW955 AW961 AW967 AW973 AW979 AW985 AW991 AW997 AW1003 AW1009 AW1015 AW1021 AW1027 AW1033 AW1039 AW1045 AW1051 AW1057 AW1063 AW1069 AW1075 AW1081 AW1087 AW1093 AW1099 AW1105 AW1111 AW729">
    <cfRule type="expression" dxfId="25554" priority="1342">
      <formula>$M411="NON DEFINED"</formula>
    </cfRule>
    <cfRule type="expression" dxfId="25553" priority="1343">
      <formula>$AZ411="N.D."</formula>
    </cfRule>
    <cfRule type="expression" dxfId="25552" priority="1344">
      <formula>$AY411="N.D."</formula>
    </cfRule>
  </conditionalFormatting>
  <conditionalFormatting sqref="AW411 AW417 AW423 AW429 AW435 AW447 AW453 AW459 AW465 AW471 AW477 AW483 AW489 AW495 AW501 AW507 AW513 AW519 AW525 AW531 AW539 AW545 AW551 AW557 AW563 AW569 AW575 AW581 AW587 AW599 AW605 AW611 AW617 AW623 AW629 AW635 AW641 AW647 AW655 AW661 AW667 AW673 AW679 AW685 AW691 AW697 AW703 AW709 AW715 AW721 AW727 AW735 AW741 AW747 AW753 AW759 AW765 AW771 AW777 AW783 AW795 AW801 AW807 AW813 AW819:AW821 AW831 AW841 AW847 AW853 AW859 AW865 AW871 AW877 AW883 AW889 AW895 AW901 AW907 AW913 AW919 AW925 AW931 AW937 AW943 AW949 AW955 AW961 AW967 AW973 AW979 AW985 AW991 AW997 AW1003 AW1009 AW1015 AW1021 AW1027 AW1033 AW1039 AW1045 AW1051 AW1057 AW1063 AW1069 AW1075 AW1081 AW1087 AW1093 AW1099 AW1105 AW1111 AW729">
    <cfRule type="expression" dxfId="25551" priority="1331">
      <formula>$A411="Overhead Cable"</formula>
    </cfRule>
    <cfRule type="expression" dxfId="25550" priority="1332">
      <formula>$A411="Level Crossing"</formula>
    </cfRule>
    <cfRule type="expression" dxfId="25549" priority="1333">
      <formula>$A411="Neutral Section"</formula>
    </cfRule>
    <cfRule type="expression" dxfId="25548" priority="1334">
      <formula>$A411="Tunnel"</formula>
    </cfRule>
    <cfRule type="expression" dxfId="25547" priority="1335">
      <formula>$A411="Bridge"</formula>
    </cfRule>
    <cfRule type="expression" dxfId="25546" priority="1336">
      <formula>$A411="Drainage Works"</formula>
    </cfRule>
    <cfRule type="expression" dxfId="25545" priority="1337">
      <formula>$A411="Underpass"</formula>
    </cfRule>
    <cfRule type="expression" dxfId="25544" priority="1338">
      <formula>$A411="Overcrossing"</formula>
    </cfRule>
    <cfRule type="expression" dxfId="25543" priority="1339">
      <formula>$A411="Overpass"</formula>
    </cfRule>
    <cfRule type="expression" dxfId="25542" priority="1340">
      <formula>$A411="Station"</formula>
    </cfRule>
    <cfRule type="expression" dxfId="25541" priority="1341">
      <formula>$A411="Overlap between sections"</formula>
    </cfRule>
  </conditionalFormatting>
  <conditionalFormatting sqref="AX411 AX417 AX423 AX429 AX435 AX447 AX453 AX459 AX465 AX471 AX477 AX483 AX489 AX495 AX501 AX507 AX513 AX519 AX525 AX531 AX539 AX545 AX551 AX557 AX563 AX569 AX575 AX581 AX587 AX599 AX605 AX611 AX617 AX623 AX629 AX635 AX641 AX647 AX655 AX661 AX667 AX673 AX679 AX685 AX691 AX697 AX703 AX709 AX715 AX721 AX727 AX735 AX741 AX747 AX753 AX759 AX765 AX771 AX777 AX783 AX795 AX801 AX807 AX813 AX819:AX821 AX831 AX841 AX847 AX853 AX859 AX865 AX871 AX877 AX883 AX889 AX895 AX901 AX907 AX913 AX919 AX925 AX931 AX937 AX943 AX949 AX955 AX961 AX967 AX973 AX979 AX985 AX991 AX997 AX1003 AX1009 AX1015 AX1021 AX1027 AX1033 AX1039 AX1045 AX1051 AX1057 AX1063 AX1069 AX1075 AX1081 AX1087 AX1093 AX1099 AX1105 AX1111 AX729">
    <cfRule type="expression" dxfId="25540" priority="1328">
      <formula>$M411="NON DEFINED"</formula>
    </cfRule>
    <cfRule type="expression" dxfId="25539" priority="1329">
      <formula>$AZ411="N.D."</formula>
    </cfRule>
    <cfRule type="expression" dxfId="25538" priority="1330">
      <formula>$AY411="N.D."</formula>
    </cfRule>
  </conditionalFormatting>
  <conditionalFormatting sqref="AX411 AX417 AX423 AX429 AX435 AX447 AX453 AX459 AX465 AX471 AX477 AX483 AX489 AX495 AX501 AX507 AX513 AX519 AX525 AX531 AX539 AX545 AX551 AX557 AX563 AX569 AX575 AX581 AX587 AX599 AX605 AX611 AX617 AX623 AX629 AX635 AX641 AX647 AX655 AX661 AX667 AX673 AX679 AX685 AX691 AX697 AX703 AX709 AX715 AX721 AX727 AX735 AX741 AX747 AX753 AX759 AX765 AX771 AX777 AX783 AX795 AX801 AX807 AX813 AX819:AX821 AX831 AX841 AX847 AX853 AX859 AX865 AX871 AX877 AX883 AX889 AX895 AX901 AX907 AX913 AX919 AX925 AX931 AX937 AX943 AX949 AX955 AX961 AX967 AX973 AX979 AX985 AX991 AX997 AX1003 AX1009 AX1015 AX1021 AX1027 AX1033 AX1039 AX1045 AX1051 AX1057 AX1063 AX1069 AX1075 AX1081 AX1087 AX1093 AX1099 AX1105 AX1111 AX729">
    <cfRule type="expression" dxfId="25537" priority="1317">
      <formula>$A411="Overhead Cable"</formula>
    </cfRule>
    <cfRule type="expression" dxfId="25536" priority="1318">
      <formula>$A411="Level Crossing"</formula>
    </cfRule>
    <cfRule type="expression" dxfId="25535" priority="1319">
      <formula>$A411="Neutral Section"</formula>
    </cfRule>
    <cfRule type="expression" dxfId="25534" priority="1320">
      <formula>$A411="Tunnel"</formula>
    </cfRule>
    <cfRule type="expression" dxfId="25533" priority="1321">
      <formula>$A411="Bridge"</formula>
    </cfRule>
    <cfRule type="expression" dxfId="25532" priority="1322">
      <formula>$A411="Drainage Works"</formula>
    </cfRule>
    <cfRule type="expression" dxfId="25531" priority="1323">
      <formula>$A411="Underpass"</formula>
    </cfRule>
    <cfRule type="expression" dxfId="25530" priority="1324">
      <formula>$A411="Overcrossing"</formula>
    </cfRule>
    <cfRule type="expression" dxfId="25529" priority="1325">
      <formula>$A411="Overpass"</formula>
    </cfRule>
    <cfRule type="expression" dxfId="25528" priority="1326">
      <formula>$A411="Station"</formula>
    </cfRule>
    <cfRule type="expression" dxfId="25527" priority="1327">
      <formula>$A411="Overlap between sections"</formula>
    </cfRule>
  </conditionalFormatting>
  <conditionalFormatting sqref="BD441">
    <cfRule type="containsText" dxfId="25526" priority="1314" operator="containsText" text="Poner a mano">
      <formula>NOT(ISERROR(SEARCH("Poner a mano",BD441)))</formula>
    </cfRule>
  </conditionalFormatting>
  <conditionalFormatting sqref="BD443">
    <cfRule type="containsText" dxfId="25525" priority="1313" operator="containsText" text="Poner a mano">
      <formula>NOT(ISERROR(SEARCH("Poner a mano",BD443)))</formula>
    </cfRule>
  </conditionalFormatting>
  <conditionalFormatting sqref="BD445">
    <cfRule type="containsText" dxfId="25524" priority="1312" operator="containsText" text="Poner a mano">
      <formula>NOT(ISERROR(SEARCH("Poner a mano",BD445)))</formula>
    </cfRule>
  </conditionalFormatting>
  <conditionalFormatting sqref="BD447">
    <cfRule type="containsText" dxfId="25523" priority="1311" operator="containsText" text="Poner a mano">
      <formula>NOT(ISERROR(SEARCH("Poner a mano",BD447)))</formula>
    </cfRule>
  </conditionalFormatting>
  <conditionalFormatting sqref="BD463">
    <cfRule type="containsText" dxfId="25522" priority="1310" operator="containsText" text="Poner a mano">
      <formula>NOT(ISERROR(SEARCH("Poner a mano",BD463)))</formula>
    </cfRule>
  </conditionalFormatting>
  <conditionalFormatting sqref="BD465">
    <cfRule type="containsText" dxfId="25521" priority="1309" operator="containsText" text="Poner a mano">
      <formula>NOT(ISERROR(SEARCH("Poner a mano",BD465)))</formula>
    </cfRule>
  </conditionalFormatting>
  <conditionalFormatting sqref="H386:H390">
    <cfRule type="expression" dxfId="25520" priority="1306">
      <formula>$M386="NON DEFINED"</formula>
    </cfRule>
    <cfRule type="expression" dxfId="25519" priority="1307">
      <formula>$AZ386="N.D."</formula>
    </cfRule>
    <cfRule type="expression" dxfId="25518" priority="1308">
      <formula>$AY386="N.D."</formula>
    </cfRule>
  </conditionalFormatting>
  <conditionalFormatting sqref="A1113:AV1113 A1115:AV1115 A1114:K1114 M1114:AV1114 A1117:AV1117 A1116:K1116 M1116:AV1116 A1119:AV1119 A1118:K1118 M1118:AV1118 A1121:AV1121 A1120:K1120 M1120:AV1120 A1122:K1122 M1122:AV1122">
    <cfRule type="expression" dxfId="25517" priority="1284">
      <formula>$A1113="Overhead Cable"</formula>
    </cfRule>
    <cfRule type="expression" dxfId="25516" priority="1285">
      <formula>$A1113="Level Crossing"</formula>
    </cfRule>
    <cfRule type="expression" dxfId="25515" priority="1286">
      <formula>$A1113="Neutral Section"</formula>
    </cfRule>
    <cfRule type="expression" dxfId="25514" priority="1287">
      <formula>$A1113="Tunnel"</formula>
    </cfRule>
    <cfRule type="expression" dxfId="25513" priority="1288">
      <formula>$A1113="Bridge"</formula>
    </cfRule>
    <cfRule type="expression" dxfId="25512" priority="1289">
      <formula>$A1113="Drainage Works"</formula>
    </cfRule>
    <cfRule type="expression" dxfId="25511" priority="1290">
      <formula>$A1113="Underpass"</formula>
    </cfRule>
    <cfRule type="expression" dxfId="25510" priority="1291">
      <formula>$A1113="Overcrossing"</formula>
    </cfRule>
    <cfRule type="expression" dxfId="25509" priority="1292">
      <formula>$A1113="Overpass"</formula>
    </cfRule>
    <cfRule type="expression" dxfId="25508" priority="1293">
      <formula>$A1113="Station"</formula>
    </cfRule>
    <cfRule type="expression" dxfId="25507" priority="1294">
      <formula>$A1113="Overlap between sections"</formula>
    </cfRule>
  </conditionalFormatting>
  <conditionalFormatting sqref="B1113:AV1113 B1115:AV1115 B1114:K1114 M1114:AV1114 B1117:AV1117 B1116:K1116 M1116:AV1116 B1119:AV1119 B1118:K1118 M1118:AV1118 B1121:AV1121 B1120:K1120 M1120:AV1120 B1122:K1122 M1122:AV1122">
    <cfRule type="expression" dxfId="25506" priority="1279">
      <formula>$M1113="NON DEFINED"</formula>
    </cfRule>
    <cfRule type="expression" dxfId="25505" priority="1280">
      <formula>$AZ1113="N.D."</formula>
    </cfRule>
    <cfRule type="expression" dxfId="25504" priority="1281">
      <formula>$AY1113="N.D."</formula>
    </cfRule>
  </conditionalFormatting>
  <conditionalFormatting sqref="AW1115 AW1125 AW1137 AW1147 AW1157 AW1167 AW1177 AW1187 AW1197 AW1207 AW1227 AW1237 AW1247 AW1257 AW1267 AW1121 AW1143 AW1153 AW1163 AW1173 AW1183 AW1193 AW1213 AW1233 AW1243 AW1263 AW1273 AW1117 AW1127 AW1139 AW1149 AW1159 AW1169 AW1179 AW1189 AW1199 AW1209 AW1229 AW1239 AW1249 AW1259 AW1269 AW1113 AW1123 AW1133 AW1145 AW1155 AW1165 AW1175 AW1185 AW1195 AW1205 AW1215 AW1225 AW1235 AW1245 AW1255 AW1265 AW1119 AW1129 AW1141 AW1151 AW1161 AW1171 AW1181 AW1191 AW1201 AW1211 AW1231 AW1241 AW1251 AW1261 AW1271">
    <cfRule type="expression" dxfId="25503" priority="1274">
      <formula>$M1113="NON DEFINED"</formula>
    </cfRule>
    <cfRule type="expression" dxfId="25502" priority="1275">
      <formula>$AZ1113="N.D."</formula>
    </cfRule>
    <cfRule type="expression" dxfId="25501" priority="1276">
      <formula>$AY1113="N.D."</formula>
    </cfRule>
  </conditionalFormatting>
  <conditionalFormatting sqref="AW1115 AW1125 AW1137 AW1147 AW1157 AW1167 AW1177 AW1187 AW1197 AW1207 AW1227 AW1237 AW1247 AW1257 AW1267 AW1121 AW1143 AW1153 AW1163 AW1173 AW1183 AW1193 AW1213 AW1233 AW1243 AW1263 AW1273 AW1117 AW1127 AW1139 AW1149 AW1159 AW1169 AW1179 AW1189 AW1199 AW1209 AW1229 AW1239 AW1249 AW1259 AW1269 AW1113 AW1123 AW1133 AW1145 AW1155 AW1165 AW1175 AW1185 AW1195 AW1205 AW1215 AW1225 AW1235 AW1245 AW1255 AW1265 AW1119 AW1129 AW1141 AW1151 AW1161 AW1171 AW1181 AW1191 AW1201 AW1211 AW1231 AW1241 AW1251 AW1261 AW1271">
    <cfRule type="expression" dxfId="25500" priority="1263">
      <formula>$A1113="Overhead Cable"</formula>
    </cfRule>
    <cfRule type="expression" dxfId="25499" priority="1264">
      <formula>$A1113="Level Crossing"</formula>
    </cfRule>
    <cfRule type="expression" dxfId="25498" priority="1265">
      <formula>$A1113="Neutral Section"</formula>
    </cfRule>
    <cfRule type="expression" dxfId="25497" priority="1266">
      <formula>$A1113="Tunnel"</formula>
    </cfRule>
    <cfRule type="expression" dxfId="25496" priority="1267">
      <formula>$A1113="Bridge"</formula>
    </cfRule>
    <cfRule type="expression" dxfId="25495" priority="1268">
      <formula>$A1113="Drainage Works"</formula>
    </cfRule>
    <cfRule type="expression" dxfId="25494" priority="1269">
      <formula>$A1113="Underpass"</formula>
    </cfRule>
    <cfRule type="expression" dxfId="25493" priority="1270">
      <formula>$A1113="Overcrossing"</formula>
    </cfRule>
    <cfRule type="expression" dxfId="25492" priority="1271">
      <formula>$A1113="Overpass"</formula>
    </cfRule>
    <cfRule type="expression" dxfId="25491" priority="1272">
      <formula>$A1113="Station"</formula>
    </cfRule>
    <cfRule type="expression" dxfId="25490" priority="1273">
      <formula>$A1113="Overlap between sections"</formula>
    </cfRule>
  </conditionalFormatting>
  <conditionalFormatting sqref="AX1115 AX1125 AX1137 AX1147 AX1157 AX1167 AX1177 AX1187 AX1197 AX1207 AX1227 AX1237 AX1247 AX1257 AX1267 AX1121 AX1143 AX1153 AX1163 AX1173 AX1183 AX1193 AX1213 AX1233 AX1243 AX1263 AX1273 AX1117 AX1127 AX1139 AX1149 AX1159 AX1169 AX1179 AX1189 AX1199 AX1209 AX1229 AX1239 AX1249 AX1259 AX1269 AX1113 AX1123 AX1133 AX1145 AX1155 AX1165 AX1175 AX1185 AX1195 AX1205 AX1215 AX1225 AX1235 AX1245 AX1255 AX1265 AX1119 AX1129 AX1141 AX1151 AX1161 AX1171 AX1181 AX1191 AX1201 AX1211 AX1231 AX1241 AX1251 AX1261 AX1271">
    <cfRule type="expression" dxfId="25489" priority="1260">
      <formula>$M1113="NON DEFINED"</formula>
    </cfRule>
    <cfRule type="expression" dxfId="25488" priority="1261">
      <formula>$AZ1113="N.D."</formula>
    </cfRule>
    <cfRule type="expression" dxfId="25487" priority="1262">
      <formula>$AY1113="N.D."</formula>
    </cfRule>
  </conditionalFormatting>
  <conditionalFormatting sqref="AX1115 AX1125 AX1137 AX1147 AX1157 AX1167 AX1177 AX1187 AX1197 AX1207 AX1227 AX1237 AX1247 AX1257 AX1267 AX1121 AX1143 AX1153 AX1163 AX1173 AX1183 AX1193 AX1213 AX1233 AX1243 AX1263 AX1273 AX1117 AX1127 AX1139 AX1149 AX1159 AX1169 AX1179 AX1189 AX1199 AX1209 AX1229 AX1239 AX1249 AX1259 AX1269 AX1113 AX1123 AX1133 AX1145 AX1155 AX1165 AX1175 AX1185 AX1195 AX1205 AX1215 AX1225 AX1235 AX1245 AX1255 AX1265 AX1119 AX1129 AX1141 AX1151 AX1161 AX1171 AX1181 AX1191 AX1201 AX1211 AX1231 AX1241 AX1251 AX1261 AX1271">
    <cfRule type="expression" dxfId="25486" priority="1249">
      <formula>$A1113="Overhead Cable"</formula>
    </cfRule>
    <cfRule type="expression" dxfId="25485" priority="1250">
      <formula>$A1113="Level Crossing"</formula>
    </cfRule>
    <cfRule type="expression" dxfId="25484" priority="1251">
      <formula>$A1113="Neutral Section"</formula>
    </cfRule>
    <cfRule type="expression" dxfId="25483" priority="1252">
      <formula>$A1113="Tunnel"</formula>
    </cfRule>
    <cfRule type="expression" dxfId="25482" priority="1253">
      <formula>$A1113="Bridge"</formula>
    </cfRule>
    <cfRule type="expression" dxfId="25481" priority="1254">
      <formula>$A1113="Drainage Works"</formula>
    </cfRule>
    <cfRule type="expression" dxfId="25480" priority="1255">
      <formula>$A1113="Underpass"</formula>
    </cfRule>
    <cfRule type="expression" dxfId="25479" priority="1256">
      <formula>$A1113="Overcrossing"</formula>
    </cfRule>
    <cfRule type="expression" dxfId="25478" priority="1257">
      <formula>$A1113="Overpass"</formula>
    </cfRule>
    <cfRule type="expression" dxfId="25477" priority="1258">
      <formula>$A1113="Station"</formula>
    </cfRule>
    <cfRule type="expression" dxfId="25476" priority="1259">
      <formula>$A1113="Overlap between sections"</formula>
    </cfRule>
  </conditionalFormatting>
  <conditionalFormatting sqref="AW1114 AW1124 AW1134:AW1136 AW1146 AW1156 AW1166 AW1176 AW1186 AW1196 AW1206 AW1216:AW1217 AW1226 AW1236 AW1246 AW1256 AW1266 AW1120 AW1130 AW1142 AW1152 AW1162 AW1172 AW1182 AW1192 AW1202 AW1212 AW1232 AW1242 AW1252 AW1262 AW1272 AW1219">
    <cfRule type="expression" dxfId="25475" priority="1242">
      <formula>$M1114="NON DEFINED"</formula>
    </cfRule>
    <cfRule type="expression" dxfId="25474" priority="1243">
      <formula>$AZ1114="N.D."</formula>
    </cfRule>
    <cfRule type="expression" dxfId="25473" priority="1244">
      <formula>$AY1114="N.D."</formula>
    </cfRule>
  </conditionalFormatting>
  <conditionalFormatting sqref="AW1114 AW1124 AW1134:AW1136 AW1146 AW1156 AW1166 AW1176 AW1186 AW1196 AW1206 AW1216:AW1217 AW1226 AW1236 AW1246 AW1256 AW1266 AW1120 AW1130 AW1142 AW1152 AW1162 AW1172 AW1182 AW1192 AW1202 AW1212 AW1232 AW1242 AW1252 AW1262 AW1272 AW1219">
    <cfRule type="expression" dxfId="25472" priority="1231">
      <formula>$A1114="Overhead Cable"</formula>
    </cfRule>
    <cfRule type="expression" dxfId="25471" priority="1232">
      <formula>$A1114="Level Crossing"</formula>
    </cfRule>
    <cfRule type="expression" dxfId="25470" priority="1233">
      <formula>$A1114="Neutral Section"</formula>
    </cfRule>
    <cfRule type="expression" dxfId="25469" priority="1234">
      <formula>$A1114="Tunnel"</formula>
    </cfRule>
    <cfRule type="expression" dxfId="25468" priority="1235">
      <formula>$A1114="Bridge"</formula>
    </cfRule>
    <cfRule type="expression" dxfId="25467" priority="1236">
      <formula>$A1114="Drainage Works"</formula>
    </cfRule>
    <cfRule type="expression" dxfId="25466" priority="1237">
      <formula>$A1114="Underpass"</formula>
    </cfRule>
    <cfRule type="expression" dxfId="25465" priority="1238">
      <formula>$A1114="Overcrossing"</formula>
    </cfRule>
    <cfRule type="expression" dxfId="25464" priority="1239">
      <formula>$A1114="Overpass"</formula>
    </cfRule>
    <cfRule type="expression" dxfId="25463" priority="1240">
      <formula>$A1114="Station"</formula>
    </cfRule>
    <cfRule type="expression" dxfId="25462" priority="1241">
      <formula>$A1114="Overlap between sections"</formula>
    </cfRule>
  </conditionalFormatting>
  <conditionalFormatting sqref="AX1114 AX1124 AX1134:AX1136 AX1146 AX1156 AX1166 AX1176 AX1186 AX1196 AX1206 AX1216:AX1217 AX1226 AX1236 AX1246 AX1256 AX1266 AX1120 AX1130 AX1142 AX1152 AX1162 AX1172 AX1182 AX1192 AX1202 AX1212 AX1232 AX1242 AX1252 AX1262 AX1272 AX1219">
    <cfRule type="expression" dxfId="25461" priority="1228">
      <formula>$M1114="NON DEFINED"</formula>
    </cfRule>
    <cfRule type="expression" dxfId="25460" priority="1229">
      <formula>$AZ1114="N.D."</formula>
    </cfRule>
    <cfRule type="expression" dxfId="25459" priority="1230">
      <formula>$AY1114="N.D."</formula>
    </cfRule>
  </conditionalFormatting>
  <conditionalFormatting sqref="AX1114 AX1124 AX1134:AX1136 AX1146 AX1156 AX1166 AX1176 AX1186 AX1196 AX1206 AX1216:AX1217 AX1226 AX1236 AX1246 AX1256 AX1266 AX1120 AX1130 AX1142 AX1152 AX1162 AX1172 AX1182 AX1192 AX1202 AX1212 AX1232 AX1242 AX1252 AX1262 AX1272 AX1219">
    <cfRule type="expression" dxfId="25458" priority="1217">
      <formula>$A1114="Overhead Cable"</formula>
    </cfRule>
    <cfRule type="expression" dxfId="25457" priority="1218">
      <formula>$A1114="Level Crossing"</formula>
    </cfRule>
    <cfRule type="expression" dxfId="25456" priority="1219">
      <formula>$A1114="Neutral Section"</formula>
    </cfRule>
    <cfRule type="expression" dxfId="25455" priority="1220">
      <formula>$A1114="Tunnel"</formula>
    </cfRule>
    <cfRule type="expression" dxfId="25454" priority="1221">
      <formula>$A1114="Bridge"</formula>
    </cfRule>
    <cfRule type="expression" dxfId="25453" priority="1222">
      <formula>$A1114="Drainage Works"</formula>
    </cfRule>
    <cfRule type="expression" dxfId="25452" priority="1223">
      <formula>$A1114="Underpass"</formula>
    </cfRule>
    <cfRule type="expression" dxfId="25451" priority="1224">
      <formula>$A1114="Overcrossing"</formula>
    </cfRule>
    <cfRule type="expression" dxfId="25450" priority="1225">
      <formula>$A1114="Overpass"</formula>
    </cfRule>
    <cfRule type="expression" dxfId="25449" priority="1226">
      <formula>$A1114="Station"</formula>
    </cfRule>
    <cfRule type="expression" dxfId="25448" priority="1227">
      <formula>$A1114="Overlap between sections"</formula>
    </cfRule>
  </conditionalFormatting>
  <conditionalFormatting sqref="AW1116 AW1126 AW1138 AW1148 AW1158 AW1168 AW1178 AW1188 AW1198 AW1208 AW1222 AW1228 AW1238 AW1248 AW1258 AW1268 AW1122 AW1132 AW1144 AW1154 AW1164 AW1174 AW1184 AW1194 AW1204 AW1214 AW1224 AW1234 AW1244 AW1254 AW1264">
    <cfRule type="expression" dxfId="25447" priority="1214">
      <formula>$M1116="NON DEFINED"</formula>
    </cfRule>
    <cfRule type="expression" dxfId="25446" priority="1215">
      <formula>$AZ1116="N.D."</formula>
    </cfRule>
    <cfRule type="expression" dxfId="25445" priority="1216">
      <formula>$AY1116="N.D."</formula>
    </cfRule>
  </conditionalFormatting>
  <conditionalFormatting sqref="AW1116 AW1126 AW1138 AW1148 AW1158 AW1168 AW1178 AW1188 AW1198 AW1208 AW1222 AW1228 AW1238 AW1248 AW1258 AW1268 AW1122 AW1132 AW1144 AW1154 AW1164 AW1174 AW1184 AW1194 AW1204 AW1214 AW1224 AW1234 AW1244 AW1254 AW1264">
    <cfRule type="expression" dxfId="25444" priority="1203">
      <formula>$A1116="Overhead Cable"</formula>
    </cfRule>
    <cfRule type="expression" dxfId="25443" priority="1204">
      <formula>$A1116="Level Crossing"</formula>
    </cfRule>
    <cfRule type="expression" dxfId="25442" priority="1205">
      <formula>$A1116="Neutral Section"</formula>
    </cfRule>
    <cfRule type="expression" dxfId="25441" priority="1206">
      <formula>$A1116="Tunnel"</formula>
    </cfRule>
    <cfRule type="expression" dxfId="25440" priority="1207">
      <formula>$A1116="Bridge"</formula>
    </cfRule>
    <cfRule type="expression" dxfId="25439" priority="1208">
      <formula>$A1116="Drainage Works"</formula>
    </cfRule>
    <cfRule type="expression" dxfId="25438" priority="1209">
      <formula>$A1116="Underpass"</formula>
    </cfRule>
    <cfRule type="expression" dxfId="25437" priority="1210">
      <formula>$A1116="Overcrossing"</formula>
    </cfRule>
    <cfRule type="expression" dxfId="25436" priority="1211">
      <formula>$A1116="Overpass"</formula>
    </cfRule>
    <cfRule type="expression" dxfId="25435" priority="1212">
      <formula>$A1116="Station"</formula>
    </cfRule>
    <cfRule type="expression" dxfId="25434" priority="1213">
      <formula>$A1116="Overlap between sections"</formula>
    </cfRule>
  </conditionalFormatting>
  <conditionalFormatting sqref="AX1116 AX1126 AX1138 AX1148 AX1158 AX1168 AX1178 AX1188 AX1198 AX1208 AX1222 AX1228 AX1238 AX1248 AX1258 AX1268 AX1122 AX1132 AX1144 AX1154 AX1164 AX1174 AX1184 AX1194 AX1204 AX1214 AX1224 AX1234 AX1244 AX1254 AX1264">
    <cfRule type="expression" dxfId="25433" priority="1200">
      <formula>$M1116="NON DEFINED"</formula>
    </cfRule>
    <cfRule type="expression" dxfId="25432" priority="1201">
      <formula>$AZ1116="N.D."</formula>
    </cfRule>
    <cfRule type="expression" dxfId="25431" priority="1202">
      <formula>$AY1116="N.D."</formula>
    </cfRule>
  </conditionalFormatting>
  <conditionalFormatting sqref="AX1116 AX1126 AX1138 AX1148 AX1158 AX1168 AX1178 AX1188 AX1198 AX1208 AX1222 AX1228 AX1238 AX1248 AX1258 AX1268 AX1122 AX1132 AX1144 AX1154 AX1164 AX1174 AX1184 AX1194 AX1204 AX1214 AX1224 AX1234 AX1244 AX1254 AX1264">
    <cfRule type="expression" dxfId="25430" priority="1189">
      <formula>$A1116="Overhead Cable"</formula>
    </cfRule>
    <cfRule type="expression" dxfId="25429" priority="1190">
      <formula>$A1116="Level Crossing"</formula>
    </cfRule>
    <cfRule type="expression" dxfId="25428" priority="1191">
      <formula>$A1116="Neutral Section"</formula>
    </cfRule>
    <cfRule type="expression" dxfId="25427" priority="1192">
      <formula>$A1116="Tunnel"</formula>
    </cfRule>
    <cfRule type="expression" dxfId="25426" priority="1193">
      <formula>$A1116="Bridge"</formula>
    </cfRule>
    <cfRule type="expression" dxfId="25425" priority="1194">
      <formula>$A1116="Drainage Works"</formula>
    </cfRule>
    <cfRule type="expression" dxfId="25424" priority="1195">
      <formula>$A1116="Underpass"</formula>
    </cfRule>
    <cfRule type="expression" dxfId="25423" priority="1196">
      <formula>$A1116="Overcrossing"</formula>
    </cfRule>
    <cfRule type="expression" dxfId="25422" priority="1197">
      <formula>$A1116="Overpass"</formula>
    </cfRule>
    <cfRule type="expression" dxfId="25421" priority="1198">
      <formula>$A1116="Station"</formula>
    </cfRule>
    <cfRule type="expression" dxfId="25420" priority="1199">
      <formula>$A1116="Overlap between sections"</formula>
    </cfRule>
  </conditionalFormatting>
  <conditionalFormatting sqref="AW1118 AW1128 AW1140 AW1150 AW1160 AW1170 AW1180 AW1190 AW1200 AW1210 AW1230 AW1240 AW1250 AW1260 AW1270">
    <cfRule type="expression" dxfId="25419" priority="1186">
      <formula>$M1118="NON DEFINED"</formula>
    </cfRule>
    <cfRule type="expression" dxfId="25418" priority="1187">
      <formula>$AZ1118="N.D."</formula>
    </cfRule>
    <cfRule type="expression" dxfId="25417" priority="1188">
      <formula>$AY1118="N.D."</formula>
    </cfRule>
  </conditionalFormatting>
  <conditionalFormatting sqref="AW1118 AW1128 AW1140 AW1150 AW1160 AW1170 AW1180 AW1190 AW1200 AW1210 AW1230 AW1240 AW1250 AW1260 AW1270">
    <cfRule type="expression" dxfId="25416" priority="1175">
      <formula>$A1118="Overhead Cable"</formula>
    </cfRule>
    <cfRule type="expression" dxfId="25415" priority="1176">
      <formula>$A1118="Level Crossing"</formula>
    </cfRule>
    <cfRule type="expression" dxfId="25414" priority="1177">
      <formula>$A1118="Neutral Section"</formula>
    </cfRule>
    <cfRule type="expression" dxfId="25413" priority="1178">
      <formula>$A1118="Tunnel"</formula>
    </cfRule>
    <cfRule type="expression" dxfId="25412" priority="1179">
      <formula>$A1118="Bridge"</formula>
    </cfRule>
    <cfRule type="expression" dxfId="25411" priority="1180">
      <formula>$A1118="Drainage Works"</formula>
    </cfRule>
    <cfRule type="expression" dxfId="25410" priority="1181">
      <formula>$A1118="Underpass"</formula>
    </cfRule>
    <cfRule type="expression" dxfId="25409" priority="1182">
      <formula>$A1118="Overcrossing"</formula>
    </cfRule>
    <cfRule type="expression" dxfId="25408" priority="1183">
      <formula>$A1118="Overpass"</formula>
    </cfRule>
    <cfRule type="expression" dxfId="25407" priority="1184">
      <formula>$A1118="Station"</formula>
    </cfRule>
    <cfRule type="expression" dxfId="25406" priority="1185">
      <formula>$A1118="Overlap between sections"</formula>
    </cfRule>
  </conditionalFormatting>
  <conditionalFormatting sqref="AX1118 AX1128 AX1140 AX1150 AX1160 AX1170 AX1180 AX1190 AX1200 AX1210 AX1230 AX1240 AX1250 AX1260 AX1270">
    <cfRule type="expression" dxfId="25405" priority="1172">
      <formula>$M1118="NON DEFINED"</formula>
    </cfRule>
    <cfRule type="expression" dxfId="25404" priority="1173">
      <formula>$AZ1118="N.D."</formula>
    </cfRule>
    <cfRule type="expression" dxfId="25403" priority="1174">
      <formula>$AY1118="N.D."</formula>
    </cfRule>
  </conditionalFormatting>
  <conditionalFormatting sqref="AX1118 AX1128 AX1140 AX1150 AX1160 AX1170 AX1180 AX1190 AX1200 AX1210 AX1230 AX1240 AX1250 AX1260 AX1270">
    <cfRule type="expression" dxfId="25402" priority="1161">
      <formula>$A1118="Overhead Cable"</formula>
    </cfRule>
    <cfRule type="expression" dxfId="25401" priority="1162">
      <formula>$A1118="Level Crossing"</formula>
    </cfRule>
    <cfRule type="expression" dxfId="25400" priority="1163">
      <formula>$A1118="Neutral Section"</formula>
    </cfRule>
    <cfRule type="expression" dxfId="25399" priority="1164">
      <formula>$A1118="Tunnel"</formula>
    </cfRule>
    <cfRule type="expression" dxfId="25398" priority="1165">
      <formula>$A1118="Bridge"</formula>
    </cfRule>
    <cfRule type="expression" dxfId="25397" priority="1166">
      <formula>$A1118="Drainage Works"</formula>
    </cfRule>
    <cfRule type="expression" dxfId="25396" priority="1167">
      <formula>$A1118="Underpass"</formula>
    </cfRule>
    <cfRule type="expression" dxfId="25395" priority="1168">
      <formula>$A1118="Overcrossing"</formula>
    </cfRule>
    <cfRule type="expression" dxfId="25394" priority="1169">
      <formula>$A1118="Overpass"</formula>
    </cfRule>
    <cfRule type="expression" dxfId="25393" priority="1170">
      <formula>$A1118="Station"</formula>
    </cfRule>
    <cfRule type="expression" dxfId="25392" priority="1171">
      <formula>$A1118="Overlap between sections"</formula>
    </cfRule>
  </conditionalFormatting>
  <conditionalFormatting sqref="G739:G751">
    <cfRule type="expression" dxfId="25391" priority="1150">
      <formula>$A739="Overhead Cable"</formula>
    </cfRule>
    <cfRule type="expression" dxfId="25390" priority="1151">
      <formula>$A739="Level Crossing"</formula>
    </cfRule>
    <cfRule type="expression" dxfId="25389" priority="1152">
      <formula>$A739="Neutral Section"</formula>
    </cfRule>
    <cfRule type="expression" dxfId="25388" priority="1153">
      <formula>$A739="Tunnel"</formula>
    </cfRule>
    <cfRule type="expression" dxfId="25387" priority="1154">
      <formula>$A739="Bridge"</formula>
    </cfRule>
    <cfRule type="expression" dxfId="25386" priority="1155">
      <formula>$A739="Drainage Works"</formula>
    </cfRule>
    <cfRule type="expression" dxfId="25385" priority="1156">
      <formula>$A739="Underpass"</formula>
    </cfRule>
    <cfRule type="expression" dxfId="25384" priority="1157">
      <formula>$A739="Overcrossing"</formula>
    </cfRule>
    <cfRule type="expression" dxfId="25383" priority="1158">
      <formula>$A739="Overpass"</formula>
    </cfRule>
    <cfRule type="expression" dxfId="25382" priority="1159">
      <formula>$A739="Station"</formula>
    </cfRule>
    <cfRule type="expression" dxfId="25381" priority="1160">
      <formula>$A739="Overlap between sections"</formula>
    </cfRule>
  </conditionalFormatting>
  <conditionalFormatting sqref="G739:G751">
    <cfRule type="expression" dxfId="25380" priority="1147">
      <formula>$M739="NON DEFINED"</formula>
    </cfRule>
    <cfRule type="expression" dxfId="25379" priority="1148">
      <formula>$AZ739="N.D."</formula>
    </cfRule>
    <cfRule type="expression" dxfId="25378" priority="1149">
      <formula>$AY739="N.D."</formula>
    </cfRule>
  </conditionalFormatting>
  <conditionalFormatting sqref="H746:H752">
    <cfRule type="expression" dxfId="25377" priority="1144">
      <formula>$M746="NON DEFINED"</formula>
    </cfRule>
    <cfRule type="expression" dxfId="25376" priority="1145">
      <formula>$AZ746="N.D."</formula>
    </cfRule>
    <cfRule type="expression" dxfId="25375" priority="1146">
      <formula>$AY746="N.D."</formula>
    </cfRule>
  </conditionalFormatting>
  <conditionalFormatting sqref="H746:H752">
    <cfRule type="expression" dxfId="25374" priority="1133">
      <formula>$A746="Overhead Cable"</formula>
    </cfRule>
    <cfRule type="expression" dxfId="25373" priority="1134">
      <formula>$A746="Level Crossing"</formula>
    </cfRule>
    <cfRule type="expression" dxfId="25372" priority="1135">
      <formula>$A746="Neutral Section"</formula>
    </cfRule>
    <cfRule type="expression" dxfId="25371" priority="1136">
      <formula>$A746="Tunnel"</formula>
    </cfRule>
    <cfRule type="expression" dxfId="25370" priority="1137">
      <formula>$A746="Bridge"</formula>
    </cfRule>
    <cfRule type="expression" dxfId="25369" priority="1138">
      <formula>$A746="Drainage Works"</formula>
    </cfRule>
    <cfRule type="expression" dxfId="25368" priority="1139">
      <formula>$A746="Underpass"</formula>
    </cfRule>
    <cfRule type="expression" dxfId="25367" priority="1140">
      <formula>$A746="Overcrossing"</formula>
    </cfRule>
    <cfRule type="expression" dxfId="25366" priority="1141">
      <formula>$A746="Overpass"</formula>
    </cfRule>
    <cfRule type="expression" dxfId="25365" priority="1142">
      <formula>$A746="Station"</formula>
    </cfRule>
    <cfRule type="expression" dxfId="25364" priority="1143">
      <formula>$A746="Overlap between sections"</formula>
    </cfRule>
  </conditionalFormatting>
  <conditionalFormatting sqref="G835:G881">
    <cfRule type="expression" dxfId="25363" priority="1130">
      <formula>$M835="NON DEFINED"</formula>
    </cfRule>
    <cfRule type="expression" dxfId="25362" priority="1131">
      <formula>$AZ835="N.D."</formula>
    </cfRule>
    <cfRule type="expression" dxfId="25361" priority="1132">
      <formula>$AY835="N.D."</formula>
    </cfRule>
  </conditionalFormatting>
  <conditionalFormatting sqref="G835:G881">
    <cfRule type="expression" dxfId="25360" priority="1119">
      <formula>$A835="Overhead Cable"</formula>
    </cfRule>
    <cfRule type="expression" dxfId="25359" priority="1120">
      <formula>$A835="Level Crossing"</formula>
    </cfRule>
    <cfRule type="expression" dxfId="25358" priority="1121">
      <formula>$A835="Neutral Section"</formula>
    </cfRule>
    <cfRule type="expression" dxfId="25357" priority="1122">
      <formula>$A835="Tunnel"</formula>
    </cfRule>
    <cfRule type="expression" dxfId="25356" priority="1123">
      <formula>$A835="Bridge"</formula>
    </cfRule>
    <cfRule type="expression" dxfId="25355" priority="1124">
      <formula>$A835="Drainage Works"</formula>
    </cfRule>
    <cfRule type="expression" dxfId="25354" priority="1125">
      <formula>$A835="Underpass"</formula>
    </cfRule>
    <cfRule type="expression" dxfId="25353" priority="1126">
      <formula>$A835="Overcrossing"</formula>
    </cfRule>
    <cfRule type="expression" dxfId="25352" priority="1127">
      <formula>$A835="Overpass"</formula>
    </cfRule>
    <cfRule type="expression" dxfId="25351" priority="1128">
      <formula>$A835="Station"</formula>
    </cfRule>
    <cfRule type="expression" dxfId="25350" priority="1129">
      <formula>$A835="Overlap between sections"</formula>
    </cfRule>
  </conditionalFormatting>
  <conditionalFormatting sqref="G831:G834">
    <cfRule type="expression" dxfId="25349" priority="1108">
      <formula>$A831="Overhead Cable"</formula>
    </cfRule>
    <cfRule type="expression" dxfId="25348" priority="1109">
      <formula>$A831="Level Crossing"</formula>
    </cfRule>
    <cfRule type="expression" dxfId="25347" priority="1110">
      <formula>$A831="Neutral Section"</formula>
    </cfRule>
    <cfRule type="expression" dxfId="25346" priority="1111">
      <formula>$A831="Tunnel"</formula>
    </cfRule>
    <cfRule type="expression" dxfId="25345" priority="1112">
      <formula>$A831="Bridge"</formula>
    </cfRule>
    <cfRule type="expression" dxfId="25344" priority="1113">
      <formula>$A831="Drainage Works"</formula>
    </cfRule>
    <cfRule type="expression" dxfId="25343" priority="1114">
      <formula>$A831="Underpass"</formula>
    </cfRule>
    <cfRule type="expression" dxfId="25342" priority="1115">
      <formula>$A831="Overcrossing"</formula>
    </cfRule>
    <cfRule type="expression" dxfId="25341" priority="1116">
      <formula>$A831="Overpass"</formula>
    </cfRule>
    <cfRule type="expression" dxfId="25340" priority="1117">
      <formula>$A831="Station"</formula>
    </cfRule>
    <cfRule type="expression" dxfId="25339" priority="1118">
      <formula>$A831="Overlap between sections"</formula>
    </cfRule>
  </conditionalFormatting>
  <conditionalFormatting sqref="G831:G834">
    <cfRule type="expression" dxfId="25338" priority="1105">
      <formula>$M831="NON DEFINED"</formula>
    </cfRule>
    <cfRule type="expression" dxfId="25337" priority="1106">
      <formula>$AZ831="N.D."</formula>
    </cfRule>
    <cfRule type="expression" dxfId="25336" priority="1107">
      <formula>$AY831="N.D."</formula>
    </cfRule>
  </conditionalFormatting>
  <conditionalFormatting sqref="G893:G895">
    <cfRule type="expression" dxfId="25335" priority="1080">
      <formula>$A893="Overhead Cable"</formula>
    </cfRule>
    <cfRule type="expression" dxfId="25334" priority="1081">
      <formula>$A893="Level Crossing"</formula>
    </cfRule>
    <cfRule type="expression" dxfId="25333" priority="1082">
      <formula>$A893="Neutral Section"</formula>
    </cfRule>
    <cfRule type="expression" dxfId="25332" priority="1083">
      <formula>$A893="Tunnel"</formula>
    </cfRule>
    <cfRule type="expression" dxfId="25331" priority="1084">
      <formula>$A893="Bridge"</formula>
    </cfRule>
    <cfRule type="expression" dxfId="25330" priority="1085">
      <formula>$A893="Drainage Works"</formula>
    </cfRule>
    <cfRule type="expression" dxfId="25329" priority="1086">
      <formula>$A893="Underpass"</formula>
    </cfRule>
    <cfRule type="expression" dxfId="25328" priority="1087">
      <formula>$A893="Overcrossing"</formula>
    </cfRule>
    <cfRule type="expression" dxfId="25327" priority="1088">
      <formula>$A893="Overpass"</formula>
    </cfRule>
    <cfRule type="expression" dxfId="25326" priority="1089">
      <formula>$A893="Station"</formula>
    </cfRule>
    <cfRule type="expression" dxfId="25325" priority="1090">
      <formula>$A893="Overlap between sections"</formula>
    </cfRule>
  </conditionalFormatting>
  <conditionalFormatting sqref="G893:G895">
    <cfRule type="expression" dxfId="25324" priority="1077">
      <formula>$M893="NON DEFINED"</formula>
    </cfRule>
    <cfRule type="expression" dxfId="25323" priority="1078">
      <formula>$AZ893="N.D."</formula>
    </cfRule>
    <cfRule type="expression" dxfId="25322" priority="1079">
      <formula>$AY893="N.D."</formula>
    </cfRule>
  </conditionalFormatting>
  <conditionalFormatting sqref="H990:H994">
    <cfRule type="expression" dxfId="25321" priority="1074">
      <formula>$M990="NON DEFINED"</formula>
    </cfRule>
    <cfRule type="expression" dxfId="25320" priority="1075">
      <formula>$AZ990="N.D."</formula>
    </cfRule>
    <cfRule type="expression" dxfId="25319" priority="1076">
      <formula>$AY990="N.D."</formula>
    </cfRule>
  </conditionalFormatting>
  <conditionalFormatting sqref="H990:H994">
    <cfRule type="expression" dxfId="25318" priority="1063">
      <formula>$A990="Overhead Cable"</formula>
    </cfRule>
    <cfRule type="expression" dxfId="25317" priority="1064">
      <formula>$A990="Level Crossing"</formula>
    </cfRule>
    <cfRule type="expression" dxfId="25316" priority="1065">
      <formula>$A990="Neutral Section"</formula>
    </cfRule>
    <cfRule type="expression" dxfId="25315" priority="1066">
      <formula>$A990="Tunnel"</formula>
    </cfRule>
    <cfRule type="expression" dxfId="25314" priority="1067">
      <formula>$A990="Bridge"</formula>
    </cfRule>
    <cfRule type="expression" dxfId="25313" priority="1068">
      <formula>$A990="Drainage Works"</formula>
    </cfRule>
    <cfRule type="expression" dxfId="25312" priority="1069">
      <formula>$A990="Underpass"</formula>
    </cfRule>
    <cfRule type="expression" dxfId="25311" priority="1070">
      <formula>$A990="Overcrossing"</formula>
    </cfRule>
    <cfRule type="expression" dxfId="25310" priority="1071">
      <formula>$A990="Overpass"</formula>
    </cfRule>
    <cfRule type="expression" dxfId="25309" priority="1072">
      <formula>$A990="Station"</formula>
    </cfRule>
    <cfRule type="expression" dxfId="25308" priority="1073">
      <formula>$A990="Overlap between sections"</formula>
    </cfRule>
  </conditionalFormatting>
  <conditionalFormatting sqref="H1068:H1092">
    <cfRule type="expression" dxfId="25307" priority="1060">
      <formula>$M1068="NON DEFINED"</formula>
    </cfRule>
    <cfRule type="expression" dxfId="25306" priority="1061">
      <formula>$AZ1068="N.D."</formula>
    </cfRule>
    <cfRule type="expression" dxfId="25305" priority="1062">
      <formula>$AY1068="N.D."</formula>
    </cfRule>
  </conditionalFormatting>
  <conditionalFormatting sqref="H1068:H1092">
    <cfRule type="expression" dxfId="25304" priority="1049">
      <formula>$A1068="Overhead Cable"</formula>
    </cfRule>
    <cfRule type="expression" dxfId="25303" priority="1050">
      <formula>$A1068="Level Crossing"</formula>
    </cfRule>
    <cfRule type="expression" dxfId="25302" priority="1051">
      <formula>$A1068="Neutral Section"</formula>
    </cfRule>
    <cfRule type="expression" dxfId="25301" priority="1052">
      <formula>$A1068="Tunnel"</formula>
    </cfRule>
    <cfRule type="expression" dxfId="25300" priority="1053">
      <formula>$A1068="Bridge"</formula>
    </cfRule>
    <cfRule type="expression" dxfId="25299" priority="1054">
      <formula>$A1068="Drainage Works"</formula>
    </cfRule>
    <cfRule type="expression" dxfId="25298" priority="1055">
      <formula>$A1068="Underpass"</formula>
    </cfRule>
    <cfRule type="expression" dxfId="25297" priority="1056">
      <formula>$A1068="Overcrossing"</formula>
    </cfRule>
    <cfRule type="expression" dxfId="25296" priority="1057">
      <formula>$A1068="Overpass"</formula>
    </cfRule>
    <cfRule type="expression" dxfId="25295" priority="1058">
      <formula>$A1068="Station"</formula>
    </cfRule>
    <cfRule type="expression" dxfId="25294" priority="1059">
      <formula>$A1068="Overlap between sections"</formula>
    </cfRule>
  </conditionalFormatting>
  <conditionalFormatting sqref="L42">
    <cfRule type="expression" dxfId="25293" priority="1038">
      <formula>$A42="Overhead Cable"</formula>
    </cfRule>
    <cfRule type="expression" dxfId="25292" priority="1039">
      <formula>$A42="Level Crossing"</formula>
    </cfRule>
    <cfRule type="expression" dxfId="25291" priority="1040">
      <formula>$A42="Neutral Section"</formula>
    </cfRule>
    <cfRule type="expression" dxfId="25290" priority="1041">
      <formula>$A42="Tunnel"</formula>
    </cfRule>
    <cfRule type="expression" dxfId="25289" priority="1042">
      <formula>$A42="Bridge"</formula>
    </cfRule>
    <cfRule type="expression" dxfId="25288" priority="1043">
      <formula>$A42="Drainage Works"</formula>
    </cfRule>
    <cfRule type="expression" dxfId="25287" priority="1044">
      <formula>$A42="Underpass"</formula>
    </cfRule>
    <cfRule type="expression" dxfId="25286" priority="1045">
      <formula>$A42="Overcrossing"</formula>
    </cfRule>
    <cfRule type="expression" dxfId="25285" priority="1046">
      <formula>$A42="Overpass"</formula>
    </cfRule>
    <cfRule type="expression" dxfId="25284" priority="1047">
      <formula>$A42="Station"</formula>
    </cfRule>
    <cfRule type="expression" dxfId="25283" priority="1048">
      <formula>$A42="Overlap between sections"</formula>
    </cfRule>
  </conditionalFormatting>
  <conditionalFormatting sqref="L42">
    <cfRule type="expression" dxfId="25282" priority="1035">
      <formula>$M42="NON DEFINED"</formula>
    </cfRule>
    <cfRule type="expression" dxfId="25281" priority="1036">
      <formula>$AZ42="N.D."</formula>
    </cfRule>
    <cfRule type="expression" dxfId="25280" priority="1037">
      <formula>$AY42="N.D."</formula>
    </cfRule>
  </conditionalFormatting>
  <conditionalFormatting sqref="L44">
    <cfRule type="expression" dxfId="25279" priority="1024">
      <formula>$A44="Overhead Cable"</formula>
    </cfRule>
    <cfRule type="expression" dxfId="25278" priority="1025">
      <formula>$A44="Level Crossing"</formula>
    </cfRule>
    <cfRule type="expression" dxfId="25277" priority="1026">
      <formula>$A44="Neutral Section"</formula>
    </cfRule>
    <cfRule type="expression" dxfId="25276" priority="1027">
      <formula>$A44="Tunnel"</formula>
    </cfRule>
    <cfRule type="expression" dxfId="25275" priority="1028">
      <formula>$A44="Bridge"</formula>
    </cfRule>
    <cfRule type="expression" dxfId="25274" priority="1029">
      <formula>$A44="Drainage Works"</formula>
    </cfRule>
    <cfRule type="expression" dxfId="25273" priority="1030">
      <formula>$A44="Underpass"</formula>
    </cfRule>
    <cfRule type="expression" dxfId="25272" priority="1031">
      <formula>$A44="Overcrossing"</formula>
    </cfRule>
    <cfRule type="expression" dxfId="25271" priority="1032">
      <formula>$A44="Overpass"</formula>
    </cfRule>
    <cfRule type="expression" dxfId="25270" priority="1033">
      <formula>$A44="Station"</formula>
    </cfRule>
    <cfRule type="expression" dxfId="25269" priority="1034">
      <formula>$A44="Overlap between sections"</formula>
    </cfRule>
  </conditionalFormatting>
  <conditionalFormatting sqref="L44">
    <cfRule type="expression" dxfId="25268" priority="1021">
      <formula>$M44="NON DEFINED"</formula>
    </cfRule>
    <cfRule type="expression" dxfId="25267" priority="1022">
      <formula>$AZ44="N.D."</formula>
    </cfRule>
    <cfRule type="expression" dxfId="25266" priority="1023">
      <formula>$AY44="N.D."</formula>
    </cfRule>
  </conditionalFormatting>
  <conditionalFormatting sqref="L46">
    <cfRule type="expression" dxfId="25265" priority="1010">
      <formula>$A46="Overhead Cable"</formula>
    </cfRule>
    <cfRule type="expression" dxfId="25264" priority="1011">
      <formula>$A46="Level Crossing"</formula>
    </cfRule>
    <cfRule type="expression" dxfId="25263" priority="1012">
      <formula>$A46="Neutral Section"</formula>
    </cfRule>
    <cfRule type="expression" dxfId="25262" priority="1013">
      <formula>$A46="Tunnel"</formula>
    </cfRule>
    <cfRule type="expression" dxfId="25261" priority="1014">
      <formula>$A46="Bridge"</formula>
    </cfRule>
    <cfRule type="expression" dxfId="25260" priority="1015">
      <formula>$A46="Drainage Works"</formula>
    </cfRule>
    <cfRule type="expression" dxfId="25259" priority="1016">
      <formula>$A46="Underpass"</formula>
    </cfRule>
    <cfRule type="expression" dxfId="25258" priority="1017">
      <formula>$A46="Overcrossing"</formula>
    </cfRule>
    <cfRule type="expression" dxfId="25257" priority="1018">
      <formula>$A46="Overpass"</formula>
    </cfRule>
    <cfRule type="expression" dxfId="25256" priority="1019">
      <formula>$A46="Station"</formula>
    </cfRule>
    <cfRule type="expression" dxfId="25255" priority="1020">
      <formula>$A46="Overlap between sections"</formula>
    </cfRule>
  </conditionalFormatting>
  <conditionalFormatting sqref="L46">
    <cfRule type="expression" dxfId="25254" priority="1007">
      <formula>$M46="NON DEFINED"</formula>
    </cfRule>
    <cfRule type="expression" dxfId="25253" priority="1008">
      <formula>$AZ46="N.D."</formula>
    </cfRule>
    <cfRule type="expression" dxfId="25252" priority="1009">
      <formula>$AY46="N.D."</formula>
    </cfRule>
  </conditionalFormatting>
  <conditionalFormatting sqref="L48">
    <cfRule type="expression" dxfId="25251" priority="996">
      <formula>$A48="Overhead Cable"</formula>
    </cfRule>
    <cfRule type="expression" dxfId="25250" priority="997">
      <formula>$A48="Level Crossing"</formula>
    </cfRule>
    <cfRule type="expression" dxfId="25249" priority="998">
      <formula>$A48="Neutral Section"</formula>
    </cfRule>
    <cfRule type="expression" dxfId="25248" priority="999">
      <formula>$A48="Tunnel"</formula>
    </cfRule>
    <cfRule type="expression" dxfId="25247" priority="1000">
      <formula>$A48="Bridge"</formula>
    </cfRule>
    <cfRule type="expression" dxfId="25246" priority="1001">
      <formula>$A48="Drainage Works"</formula>
    </cfRule>
    <cfRule type="expression" dxfId="25245" priority="1002">
      <formula>$A48="Underpass"</formula>
    </cfRule>
    <cfRule type="expression" dxfId="25244" priority="1003">
      <formula>$A48="Overcrossing"</formula>
    </cfRule>
    <cfRule type="expression" dxfId="25243" priority="1004">
      <formula>$A48="Overpass"</formula>
    </cfRule>
    <cfRule type="expression" dxfId="25242" priority="1005">
      <formula>$A48="Station"</formula>
    </cfRule>
    <cfRule type="expression" dxfId="25241" priority="1006">
      <formula>$A48="Overlap between sections"</formula>
    </cfRule>
  </conditionalFormatting>
  <conditionalFormatting sqref="L48">
    <cfRule type="expression" dxfId="25240" priority="993">
      <formula>$M48="NON DEFINED"</formula>
    </cfRule>
    <cfRule type="expression" dxfId="25239" priority="994">
      <formula>$AZ48="N.D."</formula>
    </cfRule>
    <cfRule type="expression" dxfId="25238" priority="995">
      <formula>$AY48="N.D."</formula>
    </cfRule>
  </conditionalFormatting>
  <conditionalFormatting sqref="L56">
    <cfRule type="expression" dxfId="25237" priority="982">
      <formula>$A56="Overhead Cable"</formula>
    </cfRule>
    <cfRule type="expression" dxfId="25236" priority="983">
      <formula>$A56="Level Crossing"</formula>
    </cfRule>
    <cfRule type="expression" dxfId="25235" priority="984">
      <formula>$A56="Neutral Section"</formula>
    </cfRule>
    <cfRule type="expression" dxfId="25234" priority="985">
      <formula>$A56="Tunnel"</formula>
    </cfRule>
    <cfRule type="expression" dxfId="25233" priority="986">
      <formula>$A56="Bridge"</formula>
    </cfRule>
    <cfRule type="expression" dxfId="25232" priority="987">
      <formula>$A56="Drainage Works"</formula>
    </cfRule>
    <cfRule type="expression" dxfId="25231" priority="988">
      <formula>$A56="Underpass"</formula>
    </cfRule>
    <cfRule type="expression" dxfId="25230" priority="989">
      <formula>$A56="Overcrossing"</formula>
    </cfRule>
    <cfRule type="expression" dxfId="25229" priority="990">
      <formula>$A56="Overpass"</formula>
    </cfRule>
    <cfRule type="expression" dxfId="25228" priority="991">
      <formula>$A56="Station"</formula>
    </cfRule>
    <cfRule type="expression" dxfId="25227" priority="992">
      <formula>$A56="Overlap between sections"</formula>
    </cfRule>
  </conditionalFormatting>
  <conditionalFormatting sqref="L56">
    <cfRule type="expression" dxfId="25226" priority="979">
      <formula>$M56="NON DEFINED"</formula>
    </cfRule>
    <cfRule type="expression" dxfId="25225" priority="980">
      <formula>$AZ56="N.D."</formula>
    </cfRule>
    <cfRule type="expression" dxfId="25224" priority="981">
      <formula>$AY56="N.D."</formula>
    </cfRule>
  </conditionalFormatting>
  <conditionalFormatting sqref="L58">
    <cfRule type="expression" dxfId="25223" priority="968">
      <formula>$A58="Overhead Cable"</formula>
    </cfRule>
    <cfRule type="expression" dxfId="25222" priority="969">
      <formula>$A58="Level Crossing"</formula>
    </cfRule>
    <cfRule type="expression" dxfId="25221" priority="970">
      <formula>$A58="Neutral Section"</formula>
    </cfRule>
    <cfRule type="expression" dxfId="25220" priority="971">
      <formula>$A58="Tunnel"</formula>
    </cfRule>
    <cfRule type="expression" dxfId="25219" priority="972">
      <formula>$A58="Bridge"</formula>
    </cfRule>
    <cfRule type="expression" dxfId="25218" priority="973">
      <formula>$A58="Drainage Works"</formula>
    </cfRule>
    <cfRule type="expression" dxfId="25217" priority="974">
      <formula>$A58="Underpass"</formula>
    </cfRule>
    <cfRule type="expression" dxfId="25216" priority="975">
      <formula>$A58="Overcrossing"</formula>
    </cfRule>
    <cfRule type="expression" dxfId="25215" priority="976">
      <formula>$A58="Overpass"</formula>
    </cfRule>
    <cfRule type="expression" dxfId="25214" priority="977">
      <formula>$A58="Station"</formula>
    </cfRule>
    <cfRule type="expression" dxfId="25213" priority="978">
      <formula>$A58="Overlap between sections"</formula>
    </cfRule>
  </conditionalFormatting>
  <conditionalFormatting sqref="L58">
    <cfRule type="expression" dxfId="25212" priority="965">
      <formula>$M58="NON DEFINED"</formula>
    </cfRule>
    <cfRule type="expression" dxfId="25211" priority="966">
      <formula>$AZ58="N.D."</formula>
    </cfRule>
    <cfRule type="expression" dxfId="25210" priority="967">
      <formula>$AY58="N.D."</formula>
    </cfRule>
  </conditionalFormatting>
  <conditionalFormatting sqref="L60">
    <cfRule type="expression" dxfId="25209" priority="954">
      <formula>$A60="Overhead Cable"</formula>
    </cfRule>
    <cfRule type="expression" dxfId="25208" priority="955">
      <formula>$A60="Level Crossing"</formula>
    </cfRule>
    <cfRule type="expression" dxfId="25207" priority="956">
      <formula>$A60="Neutral Section"</formula>
    </cfRule>
    <cfRule type="expression" dxfId="25206" priority="957">
      <formula>$A60="Tunnel"</formula>
    </cfRule>
    <cfRule type="expression" dxfId="25205" priority="958">
      <formula>$A60="Bridge"</formula>
    </cfRule>
    <cfRule type="expression" dxfId="25204" priority="959">
      <formula>$A60="Drainage Works"</formula>
    </cfRule>
    <cfRule type="expression" dxfId="25203" priority="960">
      <formula>$A60="Underpass"</formula>
    </cfRule>
    <cfRule type="expression" dxfId="25202" priority="961">
      <formula>$A60="Overcrossing"</formula>
    </cfRule>
    <cfRule type="expression" dxfId="25201" priority="962">
      <formula>$A60="Overpass"</formula>
    </cfRule>
    <cfRule type="expression" dxfId="25200" priority="963">
      <formula>$A60="Station"</formula>
    </cfRule>
    <cfRule type="expression" dxfId="25199" priority="964">
      <formula>$A60="Overlap between sections"</formula>
    </cfRule>
  </conditionalFormatting>
  <conditionalFormatting sqref="L60">
    <cfRule type="expression" dxfId="25198" priority="951">
      <formula>$M60="NON DEFINED"</formula>
    </cfRule>
    <cfRule type="expression" dxfId="25197" priority="952">
      <formula>$AZ60="N.D."</formula>
    </cfRule>
    <cfRule type="expression" dxfId="25196" priority="953">
      <formula>$AY60="N.D."</formula>
    </cfRule>
  </conditionalFormatting>
  <conditionalFormatting sqref="K350">
    <cfRule type="expression" dxfId="25195" priority="948">
      <formula>$M350="NON DEFINED"</formula>
    </cfRule>
    <cfRule type="expression" dxfId="25194" priority="949">
      <formula>$AZ350="N.D."</formula>
    </cfRule>
    <cfRule type="expression" dxfId="25193" priority="950">
      <formula>$AY350="N.D."</formula>
    </cfRule>
  </conditionalFormatting>
  <conditionalFormatting sqref="K350">
    <cfRule type="expression" dxfId="25192" priority="937">
      <formula>$A350="Overhead Cable"</formula>
    </cfRule>
    <cfRule type="expression" dxfId="25191" priority="938">
      <formula>$A350="Level Crossing"</formula>
    </cfRule>
    <cfRule type="expression" dxfId="25190" priority="939">
      <formula>$A350="Neutral Section"</formula>
    </cfRule>
    <cfRule type="expression" dxfId="25189" priority="940">
      <formula>$A350="Tunnel"</formula>
    </cfRule>
    <cfRule type="expression" dxfId="25188" priority="941">
      <formula>$A350="Bridge"</formula>
    </cfRule>
    <cfRule type="expression" dxfId="25187" priority="942">
      <formula>$A350="Drainage Works"</formula>
    </cfRule>
    <cfRule type="expression" dxfId="25186" priority="943">
      <formula>$A350="Underpass"</formula>
    </cfRule>
    <cfRule type="expression" dxfId="25185" priority="944">
      <formula>$A350="Overcrossing"</formula>
    </cfRule>
    <cfRule type="expression" dxfId="25184" priority="945">
      <formula>$A350="Overpass"</formula>
    </cfRule>
    <cfRule type="expression" dxfId="25183" priority="946">
      <formula>$A350="Station"</formula>
    </cfRule>
    <cfRule type="expression" dxfId="25182" priority="947">
      <formula>$A350="Overlap between sections"</formula>
    </cfRule>
  </conditionalFormatting>
  <conditionalFormatting sqref="J361">
    <cfRule type="expression" dxfId="25181" priority="934">
      <formula>$M361="NON DEFINED"</formula>
    </cfRule>
    <cfRule type="expression" dxfId="25180" priority="935">
      <formula>$AZ361="N.D."</formula>
    </cfRule>
    <cfRule type="expression" dxfId="25179" priority="936">
      <formula>$AY361="N.D."</formula>
    </cfRule>
  </conditionalFormatting>
  <conditionalFormatting sqref="J361">
    <cfRule type="expression" dxfId="25178" priority="923">
      <formula>$A361="Overhead Cable"</formula>
    </cfRule>
    <cfRule type="expression" dxfId="25177" priority="924">
      <formula>$A361="Level Crossing"</formula>
    </cfRule>
    <cfRule type="expression" dxfId="25176" priority="925">
      <formula>$A361="Neutral Section"</formula>
    </cfRule>
    <cfRule type="expression" dxfId="25175" priority="926">
      <formula>$A361="Tunnel"</formula>
    </cfRule>
    <cfRule type="expression" dxfId="25174" priority="927">
      <formula>$A361="Bridge"</formula>
    </cfRule>
    <cfRule type="expression" dxfId="25173" priority="928">
      <formula>$A361="Drainage Works"</formula>
    </cfRule>
    <cfRule type="expression" dxfId="25172" priority="929">
      <formula>$A361="Underpass"</formula>
    </cfRule>
    <cfRule type="expression" dxfId="25171" priority="930">
      <formula>$A361="Overcrossing"</formula>
    </cfRule>
    <cfRule type="expression" dxfId="25170" priority="931">
      <formula>$A361="Overpass"</formula>
    </cfRule>
    <cfRule type="expression" dxfId="25169" priority="932">
      <formula>$A361="Station"</formula>
    </cfRule>
    <cfRule type="expression" dxfId="25168" priority="933">
      <formula>$A361="Overlap between sections"</formula>
    </cfRule>
  </conditionalFormatting>
  <conditionalFormatting sqref="K361">
    <cfRule type="expression" dxfId="25167" priority="920">
      <formula>$M361="NON DEFINED"</formula>
    </cfRule>
    <cfRule type="expression" dxfId="25166" priority="921">
      <formula>$AZ361="N.D."</formula>
    </cfRule>
    <cfRule type="expression" dxfId="25165" priority="922">
      <formula>$AY361="N.D."</formula>
    </cfRule>
  </conditionalFormatting>
  <conditionalFormatting sqref="K361">
    <cfRule type="expression" dxfId="25164" priority="909">
      <formula>$A361="Overhead Cable"</formula>
    </cfRule>
    <cfRule type="expression" dxfId="25163" priority="910">
      <formula>$A361="Level Crossing"</formula>
    </cfRule>
    <cfRule type="expression" dxfId="25162" priority="911">
      <formula>$A361="Neutral Section"</formula>
    </cfRule>
    <cfRule type="expression" dxfId="25161" priority="912">
      <formula>$A361="Tunnel"</formula>
    </cfRule>
    <cfRule type="expression" dxfId="25160" priority="913">
      <formula>$A361="Bridge"</formula>
    </cfRule>
    <cfRule type="expression" dxfId="25159" priority="914">
      <formula>$A361="Drainage Works"</formula>
    </cfRule>
    <cfRule type="expression" dxfId="25158" priority="915">
      <formula>$A361="Underpass"</formula>
    </cfRule>
    <cfRule type="expression" dxfId="25157" priority="916">
      <formula>$A361="Overcrossing"</formula>
    </cfRule>
    <cfRule type="expression" dxfId="25156" priority="917">
      <formula>$A361="Overpass"</formula>
    </cfRule>
    <cfRule type="expression" dxfId="25155" priority="918">
      <formula>$A361="Station"</formula>
    </cfRule>
    <cfRule type="expression" dxfId="25154" priority="919">
      <formula>$A361="Overlap between sections"</formula>
    </cfRule>
  </conditionalFormatting>
  <conditionalFormatting sqref="J363">
    <cfRule type="expression" dxfId="25153" priority="906">
      <formula>$M363="NON DEFINED"</formula>
    </cfRule>
    <cfRule type="expression" dxfId="25152" priority="907">
      <formula>$AZ363="N.D."</formula>
    </cfRule>
    <cfRule type="expression" dxfId="25151" priority="908">
      <formula>$AY363="N.D."</formula>
    </cfRule>
  </conditionalFormatting>
  <conditionalFormatting sqref="J363">
    <cfRule type="expression" dxfId="25150" priority="895">
      <formula>$A363="Overhead Cable"</formula>
    </cfRule>
    <cfRule type="expression" dxfId="25149" priority="896">
      <formula>$A363="Level Crossing"</formula>
    </cfRule>
    <cfRule type="expression" dxfId="25148" priority="897">
      <formula>$A363="Neutral Section"</formula>
    </cfRule>
    <cfRule type="expression" dxfId="25147" priority="898">
      <formula>$A363="Tunnel"</formula>
    </cfRule>
    <cfRule type="expression" dxfId="25146" priority="899">
      <formula>$A363="Bridge"</formula>
    </cfRule>
    <cfRule type="expression" dxfId="25145" priority="900">
      <formula>$A363="Drainage Works"</formula>
    </cfRule>
    <cfRule type="expression" dxfId="25144" priority="901">
      <formula>$A363="Underpass"</formula>
    </cfRule>
    <cfRule type="expression" dxfId="25143" priority="902">
      <formula>$A363="Overcrossing"</formula>
    </cfRule>
    <cfRule type="expression" dxfId="25142" priority="903">
      <formula>$A363="Overpass"</formula>
    </cfRule>
    <cfRule type="expression" dxfId="25141" priority="904">
      <formula>$A363="Station"</formula>
    </cfRule>
    <cfRule type="expression" dxfId="25140" priority="905">
      <formula>$A363="Overlap between sections"</formula>
    </cfRule>
  </conditionalFormatting>
  <conditionalFormatting sqref="K363">
    <cfRule type="expression" dxfId="25139" priority="892">
      <formula>$M363="NON DEFINED"</formula>
    </cfRule>
    <cfRule type="expression" dxfId="25138" priority="893">
      <formula>$AZ363="N.D."</formula>
    </cfRule>
    <cfRule type="expression" dxfId="25137" priority="894">
      <formula>$AY363="N.D."</formula>
    </cfRule>
  </conditionalFormatting>
  <conditionalFormatting sqref="K363">
    <cfRule type="expression" dxfId="25136" priority="881">
      <formula>$A363="Overhead Cable"</formula>
    </cfRule>
    <cfRule type="expression" dxfId="25135" priority="882">
      <formula>$A363="Level Crossing"</formula>
    </cfRule>
    <cfRule type="expression" dxfId="25134" priority="883">
      <formula>$A363="Neutral Section"</formula>
    </cfRule>
    <cfRule type="expression" dxfId="25133" priority="884">
      <formula>$A363="Tunnel"</formula>
    </cfRule>
    <cfRule type="expression" dxfId="25132" priority="885">
      <formula>$A363="Bridge"</formula>
    </cfRule>
    <cfRule type="expression" dxfId="25131" priority="886">
      <formula>$A363="Drainage Works"</formula>
    </cfRule>
    <cfRule type="expression" dxfId="25130" priority="887">
      <formula>$A363="Underpass"</formula>
    </cfRule>
    <cfRule type="expression" dxfId="25129" priority="888">
      <formula>$A363="Overcrossing"</formula>
    </cfRule>
    <cfRule type="expression" dxfId="25128" priority="889">
      <formula>$A363="Overpass"</formula>
    </cfRule>
    <cfRule type="expression" dxfId="25127" priority="890">
      <formula>$A363="Station"</formula>
    </cfRule>
    <cfRule type="expression" dxfId="25126" priority="891">
      <formula>$A363="Overlap between sections"</formula>
    </cfRule>
  </conditionalFormatting>
  <conditionalFormatting sqref="AY384:AZ385 B384:I385 L384:AV385 J384:K384 AW384:AX384 I385:AZ385">
    <cfRule type="expression" dxfId="25125" priority="8473">
      <formula>$A385="Overhead Cable"</formula>
    </cfRule>
    <cfRule type="expression" dxfId="25124" priority="8474">
      <formula>$A385="Level Crossing"</formula>
    </cfRule>
    <cfRule type="expression" dxfId="25123" priority="8475">
      <formula>$A385="Neutral Section"</formula>
    </cfRule>
    <cfRule type="expression" dxfId="25122" priority="8476">
      <formula>$A385="Tunnel"</formula>
    </cfRule>
    <cfRule type="expression" dxfId="25121" priority="8477">
      <formula>$A385="Bridge"</formula>
    </cfRule>
    <cfRule type="expression" dxfId="25120" priority="8478">
      <formula>$A385="Drainage Works"</formula>
    </cfRule>
    <cfRule type="expression" dxfId="25119" priority="8479">
      <formula>$A385="Underpass"</formula>
    </cfRule>
    <cfRule type="expression" dxfId="25118" priority="8480">
      <formula>$A385="Overcrossing"</formula>
    </cfRule>
    <cfRule type="expression" dxfId="25117" priority="8481">
      <formula>$A385="Overpass"</formula>
    </cfRule>
    <cfRule type="expression" dxfId="25116" priority="8482">
      <formula>$A385="Station"</formula>
    </cfRule>
    <cfRule type="expression" dxfId="25115" priority="8483">
      <formula>$A385="Overlap between sections"</formula>
    </cfRule>
  </conditionalFormatting>
  <conditionalFormatting sqref="B386:AZ386">
    <cfRule type="expression" dxfId="25114" priority="8484">
      <formula>#REF!="Overhead Cable"</formula>
    </cfRule>
    <cfRule type="expression" dxfId="25113" priority="8485">
      <formula>#REF!="Level Crossing"</formula>
    </cfRule>
    <cfRule type="expression" dxfId="25112" priority="8486">
      <formula>#REF!="Neutral Section"</formula>
    </cfRule>
    <cfRule type="expression" dxfId="25111" priority="8487">
      <formula>#REF!="Tunnel"</formula>
    </cfRule>
    <cfRule type="expression" dxfId="25110" priority="8488">
      <formula>#REF!="Bridge"</formula>
    </cfRule>
    <cfRule type="expression" dxfId="25109" priority="8489">
      <formula>#REF!="Drainage Works"</formula>
    </cfRule>
    <cfRule type="expression" dxfId="25108" priority="8490">
      <formula>#REF!="Underpass"</formula>
    </cfRule>
    <cfRule type="expression" dxfId="25107" priority="8491">
      <formula>#REF!="Overcrossing"</formula>
    </cfRule>
    <cfRule type="expression" dxfId="25106" priority="8492">
      <formula>#REF!="Overpass"</formula>
    </cfRule>
    <cfRule type="expression" dxfId="25105" priority="8493">
      <formula>#REF!="Station"</formula>
    </cfRule>
    <cfRule type="expression" dxfId="25104" priority="8494">
      <formula>#REF!="Overlap between sections"</formula>
    </cfRule>
  </conditionalFormatting>
  <conditionalFormatting sqref="AW588">
    <cfRule type="expression" dxfId="25103" priority="878">
      <formula>$M588="NON DEFINED"</formula>
    </cfRule>
    <cfRule type="expression" dxfId="25102" priority="879">
      <formula>$AZ588="N.D."</formula>
    </cfRule>
    <cfRule type="expression" dxfId="25101" priority="880">
      <formula>$AY588="N.D."</formula>
    </cfRule>
  </conditionalFormatting>
  <conditionalFormatting sqref="AW588">
    <cfRule type="expression" dxfId="25100" priority="867">
      <formula>$A588="Overhead Cable"</formula>
    </cfRule>
    <cfRule type="expression" dxfId="25099" priority="868">
      <formula>$A588="Level Crossing"</formula>
    </cfRule>
    <cfRule type="expression" dxfId="25098" priority="869">
      <formula>$A588="Neutral Section"</formula>
    </cfRule>
    <cfRule type="expression" dxfId="25097" priority="870">
      <formula>$A588="Tunnel"</formula>
    </cfRule>
    <cfRule type="expression" dxfId="25096" priority="871">
      <formula>$A588="Bridge"</formula>
    </cfRule>
    <cfRule type="expression" dxfId="25095" priority="872">
      <formula>$A588="Drainage Works"</formula>
    </cfRule>
    <cfRule type="expression" dxfId="25094" priority="873">
      <formula>$A588="Underpass"</formula>
    </cfRule>
    <cfRule type="expression" dxfId="25093" priority="874">
      <formula>$A588="Overcrossing"</formula>
    </cfRule>
    <cfRule type="expression" dxfId="25092" priority="875">
      <formula>$A588="Overpass"</formula>
    </cfRule>
    <cfRule type="expression" dxfId="25091" priority="876">
      <formula>$A588="Station"</formula>
    </cfRule>
    <cfRule type="expression" dxfId="25090" priority="877">
      <formula>$A588="Overlap between sections"</formula>
    </cfRule>
  </conditionalFormatting>
  <conditionalFormatting sqref="AX588">
    <cfRule type="expression" dxfId="25089" priority="864">
      <formula>$M588="NON DEFINED"</formula>
    </cfRule>
    <cfRule type="expression" dxfId="25088" priority="865">
      <formula>$AZ588="N.D."</formula>
    </cfRule>
    <cfRule type="expression" dxfId="25087" priority="866">
      <formula>$AY588="N.D."</formula>
    </cfRule>
  </conditionalFormatting>
  <conditionalFormatting sqref="AX588">
    <cfRule type="expression" dxfId="25086" priority="853">
      <formula>$A588="Overhead Cable"</formula>
    </cfRule>
    <cfRule type="expression" dxfId="25085" priority="854">
      <formula>$A588="Level Crossing"</formula>
    </cfRule>
    <cfRule type="expression" dxfId="25084" priority="855">
      <formula>$A588="Neutral Section"</formula>
    </cfRule>
    <cfRule type="expression" dxfId="25083" priority="856">
      <formula>$A588="Tunnel"</formula>
    </cfRule>
    <cfRule type="expression" dxfId="25082" priority="857">
      <formula>$A588="Bridge"</formula>
    </cfRule>
    <cfRule type="expression" dxfId="25081" priority="858">
      <formula>$A588="Drainage Works"</formula>
    </cfRule>
    <cfRule type="expression" dxfId="25080" priority="859">
      <formula>$A588="Underpass"</formula>
    </cfRule>
    <cfRule type="expression" dxfId="25079" priority="860">
      <formula>$A588="Overcrossing"</formula>
    </cfRule>
    <cfRule type="expression" dxfId="25078" priority="861">
      <formula>$A588="Overpass"</formula>
    </cfRule>
    <cfRule type="expression" dxfId="25077" priority="862">
      <formula>$A588="Station"</formula>
    </cfRule>
    <cfRule type="expression" dxfId="25076" priority="863">
      <formula>$A588="Overlap between sections"</formula>
    </cfRule>
  </conditionalFormatting>
  <conditionalFormatting sqref="AW590">
    <cfRule type="expression" dxfId="25075" priority="850">
      <formula>$M590="NON DEFINED"</formula>
    </cfRule>
    <cfRule type="expression" dxfId="25074" priority="851">
      <formula>$AZ590="N.D."</formula>
    </cfRule>
    <cfRule type="expression" dxfId="25073" priority="852">
      <formula>$AY590="N.D."</formula>
    </cfRule>
  </conditionalFormatting>
  <conditionalFormatting sqref="AW590">
    <cfRule type="expression" dxfId="25072" priority="839">
      <formula>$A590="Overhead Cable"</formula>
    </cfRule>
    <cfRule type="expression" dxfId="25071" priority="840">
      <formula>$A590="Level Crossing"</formula>
    </cfRule>
    <cfRule type="expression" dxfId="25070" priority="841">
      <formula>$A590="Neutral Section"</formula>
    </cfRule>
    <cfRule type="expression" dxfId="25069" priority="842">
      <formula>$A590="Tunnel"</formula>
    </cfRule>
    <cfRule type="expression" dxfId="25068" priority="843">
      <formula>$A590="Bridge"</formula>
    </cfRule>
    <cfRule type="expression" dxfId="25067" priority="844">
      <formula>$A590="Drainage Works"</formula>
    </cfRule>
    <cfRule type="expression" dxfId="25066" priority="845">
      <formula>$A590="Underpass"</formula>
    </cfRule>
    <cfRule type="expression" dxfId="25065" priority="846">
      <formula>$A590="Overcrossing"</formula>
    </cfRule>
    <cfRule type="expression" dxfId="25064" priority="847">
      <formula>$A590="Overpass"</formula>
    </cfRule>
    <cfRule type="expression" dxfId="25063" priority="848">
      <formula>$A590="Station"</formula>
    </cfRule>
    <cfRule type="expression" dxfId="25062" priority="849">
      <formula>$A590="Overlap between sections"</formula>
    </cfRule>
  </conditionalFormatting>
  <conditionalFormatting sqref="AX590">
    <cfRule type="expression" dxfId="25061" priority="836">
      <formula>$M590="NON DEFINED"</formula>
    </cfRule>
    <cfRule type="expression" dxfId="25060" priority="837">
      <formula>$AZ590="N.D."</formula>
    </cfRule>
    <cfRule type="expression" dxfId="25059" priority="838">
      <formula>$AY590="N.D."</formula>
    </cfRule>
  </conditionalFormatting>
  <conditionalFormatting sqref="AX590">
    <cfRule type="expression" dxfId="25058" priority="825">
      <formula>$A590="Overhead Cable"</formula>
    </cfRule>
    <cfRule type="expression" dxfId="25057" priority="826">
      <formula>$A590="Level Crossing"</formula>
    </cfRule>
    <cfRule type="expression" dxfId="25056" priority="827">
      <formula>$A590="Neutral Section"</formula>
    </cfRule>
    <cfRule type="expression" dxfId="25055" priority="828">
      <formula>$A590="Tunnel"</formula>
    </cfRule>
    <cfRule type="expression" dxfId="25054" priority="829">
      <formula>$A590="Bridge"</formula>
    </cfRule>
    <cfRule type="expression" dxfId="25053" priority="830">
      <formula>$A590="Drainage Works"</formula>
    </cfRule>
    <cfRule type="expression" dxfId="25052" priority="831">
      <formula>$A590="Underpass"</formula>
    </cfRule>
    <cfRule type="expression" dxfId="25051" priority="832">
      <formula>$A590="Overcrossing"</formula>
    </cfRule>
    <cfRule type="expression" dxfId="25050" priority="833">
      <formula>$A590="Overpass"</formula>
    </cfRule>
    <cfRule type="expression" dxfId="25049" priority="834">
      <formula>$A590="Station"</formula>
    </cfRule>
    <cfRule type="expression" dxfId="25048" priority="835">
      <formula>$A590="Overlap between sections"</formula>
    </cfRule>
  </conditionalFormatting>
  <conditionalFormatting sqref="AW592">
    <cfRule type="expression" dxfId="25047" priority="822">
      <formula>$M592="NON DEFINED"</formula>
    </cfRule>
    <cfRule type="expression" dxfId="25046" priority="823">
      <formula>$AZ592="N.D."</formula>
    </cfRule>
    <cfRule type="expression" dxfId="25045" priority="824">
      <formula>$AY592="N.D."</formula>
    </cfRule>
  </conditionalFormatting>
  <conditionalFormatting sqref="AW592">
    <cfRule type="expression" dxfId="25044" priority="811">
      <formula>$A592="Overhead Cable"</formula>
    </cfRule>
    <cfRule type="expression" dxfId="25043" priority="812">
      <formula>$A592="Level Crossing"</formula>
    </cfRule>
    <cfRule type="expression" dxfId="25042" priority="813">
      <formula>$A592="Neutral Section"</formula>
    </cfRule>
    <cfRule type="expression" dxfId="25041" priority="814">
      <formula>$A592="Tunnel"</formula>
    </cfRule>
    <cfRule type="expression" dxfId="25040" priority="815">
      <formula>$A592="Bridge"</formula>
    </cfRule>
    <cfRule type="expression" dxfId="25039" priority="816">
      <formula>$A592="Drainage Works"</formula>
    </cfRule>
    <cfRule type="expression" dxfId="25038" priority="817">
      <formula>$A592="Underpass"</formula>
    </cfRule>
    <cfRule type="expression" dxfId="25037" priority="818">
      <formula>$A592="Overcrossing"</formula>
    </cfRule>
    <cfRule type="expression" dxfId="25036" priority="819">
      <formula>$A592="Overpass"</formula>
    </cfRule>
    <cfRule type="expression" dxfId="25035" priority="820">
      <formula>$A592="Station"</formula>
    </cfRule>
    <cfRule type="expression" dxfId="25034" priority="821">
      <formula>$A592="Overlap between sections"</formula>
    </cfRule>
  </conditionalFormatting>
  <conditionalFormatting sqref="AX592">
    <cfRule type="expression" dxfId="25033" priority="808">
      <formula>$M592="NON DEFINED"</formula>
    </cfRule>
    <cfRule type="expression" dxfId="25032" priority="809">
      <formula>$AZ592="N.D."</formula>
    </cfRule>
    <cfRule type="expression" dxfId="25031" priority="810">
      <formula>$AY592="N.D."</formula>
    </cfRule>
  </conditionalFormatting>
  <conditionalFormatting sqref="AX592">
    <cfRule type="expression" dxfId="25030" priority="797">
      <formula>$A592="Overhead Cable"</formula>
    </cfRule>
    <cfRule type="expression" dxfId="25029" priority="798">
      <formula>$A592="Level Crossing"</formula>
    </cfRule>
    <cfRule type="expression" dxfId="25028" priority="799">
      <formula>$A592="Neutral Section"</formula>
    </cfRule>
    <cfRule type="expression" dxfId="25027" priority="800">
      <formula>$A592="Tunnel"</formula>
    </cfRule>
    <cfRule type="expression" dxfId="25026" priority="801">
      <formula>$A592="Bridge"</formula>
    </cfRule>
    <cfRule type="expression" dxfId="25025" priority="802">
      <formula>$A592="Drainage Works"</formula>
    </cfRule>
    <cfRule type="expression" dxfId="25024" priority="803">
      <formula>$A592="Underpass"</formula>
    </cfRule>
    <cfRule type="expression" dxfId="25023" priority="804">
      <formula>$A592="Overcrossing"</formula>
    </cfRule>
    <cfRule type="expression" dxfId="25022" priority="805">
      <formula>$A592="Overpass"</formula>
    </cfRule>
    <cfRule type="expression" dxfId="25021" priority="806">
      <formula>$A592="Station"</formula>
    </cfRule>
    <cfRule type="expression" dxfId="25020" priority="807">
      <formula>$A592="Overlap between sections"</formula>
    </cfRule>
  </conditionalFormatting>
  <conditionalFormatting sqref="J831">
    <cfRule type="expression" dxfId="25019" priority="786">
      <formula>$A831="Overhead Cable"</formula>
    </cfRule>
    <cfRule type="expression" dxfId="25018" priority="787">
      <formula>$A831="Level Crossing"</formula>
    </cfRule>
    <cfRule type="expression" dxfId="25017" priority="788">
      <formula>$A831="Neutral Section"</formula>
    </cfRule>
    <cfRule type="expression" dxfId="25016" priority="789">
      <formula>$A831="Tunnel"</formula>
    </cfRule>
    <cfRule type="expression" dxfId="25015" priority="790">
      <formula>$A831="Bridge"</formula>
    </cfRule>
    <cfRule type="expression" dxfId="25014" priority="791">
      <formula>$A831="Drainage Works"</formula>
    </cfRule>
    <cfRule type="expression" dxfId="25013" priority="792">
      <formula>$A831="Underpass"</formula>
    </cfRule>
    <cfRule type="expression" dxfId="25012" priority="793">
      <formula>$A831="Overcrossing"</formula>
    </cfRule>
    <cfRule type="expression" dxfId="25011" priority="794">
      <formula>$A831="Overpass"</formula>
    </cfRule>
    <cfRule type="expression" dxfId="25010" priority="795">
      <formula>$A831="Station"</formula>
    </cfRule>
    <cfRule type="expression" dxfId="25009" priority="796">
      <formula>$A831="Overlap between sections"</formula>
    </cfRule>
  </conditionalFormatting>
  <conditionalFormatting sqref="J831">
    <cfRule type="expression" dxfId="25008" priority="783">
      <formula>$M831="NON DEFINED"</formula>
    </cfRule>
    <cfRule type="expression" dxfId="25007" priority="784">
      <formula>$AZ831="N.D."</formula>
    </cfRule>
    <cfRule type="expression" dxfId="25006" priority="785">
      <formula>$AY831="N.D."</formula>
    </cfRule>
  </conditionalFormatting>
  <conditionalFormatting sqref="K831">
    <cfRule type="expression" dxfId="25005" priority="772">
      <formula>$A831="Overhead Cable"</formula>
    </cfRule>
    <cfRule type="expression" dxfId="25004" priority="773">
      <formula>$A831="Level Crossing"</formula>
    </cfRule>
    <cfRule type="expression" dxfId="25003" priority="774">
      <formula>$A831="Neutral Section"</formula>
    </cfRule>
    <cfRule type="expression" dxfId="25002" priority="775">
      <formula>$A831="Tunnel"</formula>
    </cfRule>
    <cfRule type="expression" dxfId="25001" priority="776">
      <formula>$A831="Bridge"</formula>
    </cfRule>
    <cfRule type="expression" dxfId="25000" priority="777">
      <formula>$A831="Drainage Works"</formula>
    </cfRule>
    <cfRule type="expression" dxfId="24999" priority="778">
      <formula>$A831="Underpass"</formula>
    </cfRule>
    <cfRule type="expression" dxfId="24998" priority="779">
      <formula>$A831="Overcrossing"</formula>
    </cfRule>
    <cfRule type="expression" dxfId="24997" priority="780">
      <formula>$A831="Overpass"</formula>
    </cfRule>
    <cfRule type="expression" dxfId="24996" priority="781">
      <formula>$A831="Station"</formula>
    </cfRule>
    <cfRule type="expression" dxfId="24995" priority="782">
      <formula>$A831="Overlap between sections"</formula>
    </cfRule>
  </conditionalFormatting>
  <conditionalFormatting sqref="K831">
    <cfRule type="expression" dxfId="24994" priority="769">
      <formula>$M831="NON DEFINED"</formula>
    </cfRule>
    <cfRule type="expression" dxfId="24993" priority="770">
      <formula>$AZ831="N.D."</formula>
    </cfRule>
    <cfRule type="expression" dxfId="24992" priority="771">
      <formula>$AY831="N.D."</formula>
    </cfRule>
  </conditionalFormatting>
  <conditionalFormatting sqref="I841:K847">
    <cfRule type="expression" dxfId="24991" priority="758">
      <formula>$A841="Overhead Cable"</formula>
    </cfRule>
    <cfRule type="expression" dxfId="24990" priority="759">
      <formula>$A841="Level Crossing"</formula>
    </cfRule>
    <cfRule type="expression" dxfId="24989" priority="760">
      <formula>$A841="Neutral Section"</formula>
    </cfRule>
    <cfRule type="expression" dxfId="24988" priority="761">
      <formula>$A841="Tunnel"</formula>
    </cfRule>
    <cfRule type="expression" dxfId="24987" priority="762">
      <formula>$A841="Bridge"</formula>
    </cfRule>
    <cfRule type="expression" dxfId="24986" priority="763">
      <formula>$A841="Drainage Works"</formula>
    </cfRule>
    <cfRule type="expression" dxfId="24985" priority="764">
      <formula>$A841="Underpass"</formula>
    </cfRule>
    <cfRule type="expression" dxfId="24984" priority="765">
      <formula>$A841="Overcrossing"</formula>
    </cfRule>
    <cfRule type="expression" dxfId="24983" priority="766">
      <formula>$A841="Overpass"</formula>
    </cfRule>
    <cfRule type="expression" dxfId="24982" priority="767">
      <formula>$A841="Station"</formula>
    </cfRule>
    <cfRule type="expression" dxfId="24981" priority="768">
      <formula>$A841="Overlap between sections"</formula>
    </cfRule>
  </conditionalFormatting>
  <conditionalFormatting sqref="I841:K847">
    <cfRule type="expression" dxfId="24980" priority="755">
      <formula>$M841="NON DEFINED"</formula>
    </cfRule>
    <cfRule type="expression" dxfId="24979" priority="756">
      <formula>$AZ841="N.D."</formula>
    </cfRule>
    <cfRule type="expression" dxfId="24978" priority="757">
      <formula>$AY841="N.D."</formula>
    </cfRule>
  </conditionalFormatting>
  <conditionalFormatting sqref="I853:K860">
    <cfRule type="expression" dxfId="24977" priority="744">
      <formula>$A853="Overhead Cable"</formula>
    </cfRule>
    <cfRule type="expression" dxfId="24976" priority="745">
      <formula>$A853="Level Crossing"</formula>
    </cfRule>
    <cfRule type="expression" dxfId="24975" priority="746">
      <formula>$A853="Neutral Section"</formula>
    </cfRule>
    <cfRule type="expression" dxfId="24974" priority="747">
      <formula>$A853="Tunnel"</formula>
    </cfRule>
    <cfRule type="expression" dxfId="24973" priority="748">
      <formula>$A853="Bridge"</formula>
    </cfRule>
    <cfRule type="expression" dxfId="24972" priority="749">
      <formula>$A853="Drainage Works"</formula>
    </cfRule>
    <cfRule type="expression" dxfId="24971" priority="750">
      <formula>$A853="Underpass"</formula>
    </cfRule>
    <cfRule type="expression" dxfId="24970" priority="751">
      <formula>$A853="Overcrossing"</formula>
    </cfRule>
    <cfRule type="expression" dxfId="24969" priority="752">
      <formula>$A853="Overpass"</formula>
    </cfRule>
    <cfRule type="expression" dxfId="24968" priority="753">
      <formula>$A853="Station"</formula>
    </cfRule>
    <cfRule type="expression" dxfId="24967" priority="754">
      <formula>$A853="Overlap between sections"</formula>
    </cfRule>
  </conditionalFormatting>
  <conditionalFormatting sqref="I853:K860">
    <cfRule type="expression" dxfId="24966" priority="741">
      <formula>$M853="NON DEFINED"</formula>
    </cfRule>
    <cfRule type="expression" dxfId="24965" priority="742">
      <formula>$AZ853="N.D."</formula>
    </cfRule>
    <cfRule type="expression" dxfId="24964" priority="743">
      <formula>$AY853="N.D."</formula>
    </cfRule>
  </conditionalFormatting>
  <conditionalFormatting sqref="I861">
    <cfRule type="expression" dxfId="24963" priority="730">
      <formula>$A861="Overhead Cable"</formula>
    </cfRule>
    <cfRule type="expression" dxfId="24962" priority="731">
      <formula>$A861="Level Crossing"</formula>
    </cfRule>
    <cfRule type="expression" dxfId="24961" priority="732">
      <formula>$A861="Neutral Section"</formula>
    </cfRule>
    <cfRule type="expression" dxfId="24960" priority="733">
      <formula>$A861="Tunnel"</formula>
    </cfRule>
    <cfRule type="expression" dxfId="24959" priority="734">
      <formula>$A861="Bridge"</formula>
    </cfRule>
    <cfRule type="expression" dxfId="24958" priority="735">
      <formula>$A861="Drainage Works"</formula>
    </cfRule>
    <cfRule type="expression" dxfId="24957" priority="736">
      <formula>$A861="Underpass"</formula>
    </cfRule>
    <cfRule type="expression" dxfId="24956" priority="737">
      <formula>$A861="Overcrossing"</formula>
    </cfRule>
    <cfRule type="expression" dxfId="24955" priority="738">
      <formula>$A861="Overpass"</formula>
    </cfRule>
    <cfRule type="expression" dxfId="24954" priority="739">
      <formula>$A861="Station"</formula>
    </cfRule>
    <cfRule type="expression" dxfId="24953" priority="740">
      <formula>$A861="Overlap between sections"</formula>
    </cfRule>
  </conditionalFormatting>
  <conditionalFormatting sqref="I861">
    <cfRule type="expression" dxfId="24952" priority="727">
      <formula>$M861="NON DEFINED"</formula>
    </cfRule>
    <cfRule type="expression" dxfId="24951" priority="728">
      <formula>$AZ861="N.D."</formula>
    </cfRule>
    <cfRule type="expression" dxfId="24950" priority="729">
      <formula>$AY861="N.D."</formula>
    </cfRule>
  </conditionalFormatting>
  <conditionalFormatting sqref="J861">
    <cfRule type="expression" dxfId="24949" priority="716">
      <formula>$A861="Overhead Cable"</formula>
    </cfRule>
    <cfRule type="expression" dxfId="24948" priority="717">
      <formula>$A861="Level Crossing"</formula>
    </cfRule>
    <cfRule type="expression" dxfId="24947" priority="718">
      <formula>$A861="Neutral Section"</formula>
    </cfRule>
    <cfRule type="expression" dxfId="24946" priority="719">
      <formula>$A861="Tunnel"</formula>
    </cfRule>
    <cfRule type="expression" dxfId="24945" priority="720">
      <formula>$A861="Bridge"</formula>
    </cfRule>
    <cfRule type="expression" dxfId="24944" priority="721">
      <formula>$A861="Drainage Works"</formula>
    </cfRule>
    <cfRule type="expression" dxfId="24943" priority="722">
      <formula>$A861="Underpass"</formula>
    </cfRule>
    <cfRule type="expression" dxfId="24942" priority="723">
      <formula>$A861="Overcrossing"</formula>
    </cfRule>
    <cfRule type="expression" dxfId="24941" priority="724">
      <formula>$A861="Overpass"</formula>
    </cfRule>
    <cfRule type="expression" dxfId="24940" priority="725">
      <formula>$A861="Station"</formula>
    </cfRule>
    <cfRule type="expression" dxfId="24939" priority="726">
      <formula>$A861="Overlap between sections"</formula>
    </cfRule>
  </conditionalFormatting>
  <conditionalFormatting sqref="J861">
    <cfRule type="expression" dxfId="24938" priority="713">
      <formula>$M861="NON DEFINED"</formula>
    </cfRule>
    <cfRule type="expression" dxfId="24937" priority="714">
      <formula>$AZ861="N.D."</formula>
    </cfRule>
    <cfRule type="expression" dxfId="24936" priority="715">
      <formula>$AY861="N.D."</formula>
    </cfRule>
  </conditionalFormatting>
  <conditionalFormatting sqref="K861">
    <cfRule type="expression" dxfId="24935" priority="702">
      <formula>$A861="Overhead Cable"</formula>
    </cfRule>
    <cfRule type="expression" dxfId="24934" priority="703">
      <formula>$A861="Level Crossing"</formula>
    </cfRule>
    <cfRule type="expression" dxfId="24933" priority="704">
      <formula>$A861="Neutral Section"</formula>
    </cfRule>
    <cfRule type="expression" dxfId="24932" priority="705">
      <formula>$A861="Tunnel"</formula>
    </cfRule>
    <cfRule type="expression" dxfId="24931" priority="706">
      <formula>$A861="Bridge"</formula>
    </cfRule>
    <cfRule type="expression" dxfId="24930" priority="707">
      <formula>$A861="Drainage Works"</formula>
    </cfRule>
    <cfRule type="expression" dxfId="24929" priority="708">
      <formula>$A861="Underpass"</formula>
    </cfRule>
    <cfRule type="expression" dxfId="24928" priority="709">
      <formula>$A861="Overcrossing"</formula>
    </cfRule>
    <cfRule type="expression" dxfId="24927" priority="710">
      <formula>$A861="Overpass"</formula>
    </cfRule>
    <cfRule type="expression" dxfId="24926" priority="711">
      <formula>$A861="Station"</formula>
    </cfRule>
    <cfRule type="expression" dxfId="24925" priority="712">
      <formula>$A861="Overlap between sections"</formula>
    </cfRule>
  </conditionalFormatting>
  <conditionalFormatting sqref="K861">
    <cfRule type="expression" dxfId="24924" priority="699">
      <formula>$M861="NON DEFINED"</formula>
    </cfRule>
    <cfRule type="expression" dxfId="24923" priority="700">
      <formula>$AZ861="N.D."</formula>
    </cfRule>
    <cfRule type="expression" dxfId="24922" priority="701">
      <formula>$AY861="N.D."</formula>
    </cfRule>
  </conditionalFormatting>
  <conditionalFormatting sqref="J871:K877">
    <cfRule type="expression" dxfId="24921" priority="688">
      <formula>$A871="Overhead Cable"</formula>
    </cfRule>
    <cfRule type="expression" dxfId="24920" priority="689">
      <formula>$A871="Level Crossing"</formula>
    </cfRule>
    <cfRule type="expression" dxfId="24919" priority="690">
      <formula>$A871="Neutral Section"</formula>
    </cfRule>
    <cfRule type="expression" dxfId="24918" priority="691">
      <formula>$A871="Tunnel"</formula>
    </cfRule>
    <cfRule type="expression" dxfId="24917" priority="692">
      <formula>$A871="Bridge"</formula>
    </cfRule>
    <cfRule type="expression" dxfId="24916" priority="693">
      <formula>$A871="Drainage Works"</formula>
    </cfRule>
    <cfRule type="expression" dxfId="24915" priority="694">
      <formula>$A871="Underpass"</formula>
    </cfRule>
    <cfRule type="expression" dxfId="24914" priority="695">
      <formula>$A871="Overcrossing"</formula>
    </cfRule>
    <cfRule type="expression" dxfId="24913" priority="696">
      <formula>$A871="Overpass"</formula>
    </cfRule>
    <cfRule type="expression" dxfId="24912" priority="697">
      <formula>$A871="Station"</formula>
    </cfRule>
    <cfRule type="expression" dxfId="24911" priority="698">
      <formula>$A871="Overlap between sections"</formula>
    </cfRule>
  </conditionalFormatting>
  <conditionalFormatting sqref="J871:K877">
    <cfRule type="expression" dxfId="24910" priority="685">
      <formula>$M871="NON DEFINED"</formula>
    </cfRule>
    <cfRule type="expression" dxfId="24909" priority="686">
      <formula>$AZ871="N.D."</formula>
    </cfRule>
    <cfRule type="expression" dxfId="24908" priority="687">
      <formula>$AY871="N.D."</formula>
    </cfRule>
  </conditionalFormatting>
  <conditionalFormatting sqref="A1053">
    <cfRule type="expression" dxfId="24907" priority="674">
      <formula>$A1053="Overhead Cable"</formula>
    </cfRule>
    <cfRule type="expression" dxfId="24906" priority="675">
      <formula>$A1053="Level Crossing"</formula>
    </cfRule>
    <cfRule type="expression" dxfId="24905" priority="676">
      <formula>$A1053="Neutral Section"</formula>
    </cfRule>
    <cfRule type="expression" dxfId="24904" priority="677">
      <formula>$A1053="Tunnel"</formula>
    </cfRule>
    <cfRule type="expression" dxfId="24903" priority="678">
      <formula>$A1053="Bridge"</formula>
    </cfRule>
    <cfRule type="expression" dxfId="24902" priority="679">
      <formula>$A1053="Drainage Works"</formula>
    </cfRule>
    <cfRule type="expression" dxfId="24901" priority="680">
      <formula>$A1053="Underpass"</formula>
    </cfRule>
    <cfRule type="expression" dxfId="24900" priority="681">
      <formula>$A1053="Overcrossing"</formula>
    </cfRule>
    <cfRule type="expression" dxfId="24899" priority="682">
      <formula>$A1053="Overpass"</formula>
    </cfRule>
    <cfRule type="expression" dxfId="24898" priority="683">
      <formula>$A1053="Station"</formula>
    </cfRule>
    <cfRule type="expression" dxfId="24897" priority="684">
      <formula>$A1053="Overlap between sections"</formula>
    </cfRule>
  </conditionalFormatting>
  <conditionalFormatting sqref="I1089:K1091">
    <cfRule type="expression" dxfId="24896" priority="671">
      <formula>$M1089="NON DEFINED"</formula>
    </cfRule>
    <cfRule type="expression" dxfId="24895" priority="672">
      <formula>$AZ1089="N.D."</formula>
    </cfRule>
    <cfRule type="expression" dxfId="24894" priority="673">
      <formula>$AY1089="N.D."</formula>
    </cfRule>
  </conditionalFormatting>
  <conditionalFormatting sqref="I1089:K1091">
    <cfRule type="expression" dxfId="24893" priority="660">
      <formula>$A1089="Overhead Cable"</formula>
    </cfRule>
    <cfRule type="expression" dxfId="24892" priority="661">
      <formula>$A1089="Level Crossing"</formula>
    </cfRule>
    <cfRule type="expression" dxfId="24891" priority="662">
      <formula>$A1089="Neutral Section"</formula>
    </cfRule>
    <cfRule type="expression" dxfId="24890" priority="663">
      <formula>$A1089="Tunnel"</formula>
    </cfRule>
    <cfRule type="expression" dxfId="24889" priority="664">
      <formula>$A1089="Bridge"</formula>
    </cfRule>
    <cfRule type="expression" dxfId="24888" priority="665">
      <formula>$A1089="Drainage Works"</formula>
    </cfRule>
    <cfRule type="expression" dxfId="24887" priority="666">
      <formula>$A1089="Underpass"</formula>
    </cfRule>
    <cfRule type="expression" dxfId="24886" priority="667">
      <formula>$A1089="Overcrossing"</formula>
    </cfRule>
    <cfRule type="expression" dxfId="24885" priority="668">
      <formula>$A1089="Overpass"</formula>
    </cfRule>
    <cfRule type="expression" dxfId="24884" priority="669">
      <formula>$A1089="Station"</formula>
    </cfRule>
    <cfRule type="expression" dxfId="24883" priority="670">
      <formula>$A1089="Overlap between sections"</formula>
    </cfRule>
  </conditionalFormatting>
  <conditionalFormatting sqref="I1092:K1093">
    <cfRule type="expression" dxfId="24882" priority="649">
      <formula>$A1092="Overhead Cable"</formula>
    </cfRule>
    <cfRule type="expression" dxfId="24881" priority="650">
      <formula>$A1092="Level Crossing"</formula>
    </cfRule>
    <cfRule type="expression" dxfId="24880" priority="651">
      <formula>$A1092="Neutral Section"</formula>
    </cfRule>
    <cfRule type="expression" dxfId="24879" priority="652">
      <formula>$A1092="Tunnel"</formula>
    </cfRule>
    <cfRule type="expression" dxfId="24878" priority="653">
      <formula>$A1092="Bridge"</formula>
    </cfRule>
    <cfRule type="expression" dxfId="24877" priority="654">
      <formula>$A1092="Drainage Works"</formula>
    </cfRule>
    <cfRule type="expression" dxfId="24876" priority="655">
      <formula>$A1092="Underpass"</formula>
    </cfRule>
    <cfRule type="expression" dxfId="24875" priority="656">
      <formula>$A1092="Overcrossing"</formula>
    </cfRule>
    <cfRule type="expression" dxfId="24874" priority="657">
      <formula>$A1092="Overpass"</formula>
    </cfRule>
    <cfRule type="expression" dxfId="24873" priority="658">
      <formula>$A1092="Station"</formula>
    </cfRule>
    <cfRule type="expression" dxfId="24872" priority="659">
      <formula>$A1092="Overlap between sections"</formula>
    </cfRule>
  </conditionalFormatting>
  <conditionalFormatting sqref="I1092:K1093">
    <cfRule type="expression" dxfId="24871" priority="646">
      <formula>$M1092="NON DEFINED"</formula>
    </cfRule>
    <cfRule type="expression" dxfId="24870" priority="647">
      <formula>$AZ1092="N.D."</formula>
    </cfRule>
    <cfRule type="expression" dxfId="24869" priority="648">
      <formula>$AY1092="N.D."</formula>
    </cfRule>
  </conditionalFormatting>
  <conditionalFormatting sqref="L1114">
    <cfRule type="expression" dxfId="24868" priority="635">
      <formula>$A1114="Overhead Cable"</formula>
    </cfRule>
    <cfRule type="expression" dxfId="24867" priority="636">
      <formula>$A1114="Level Crossing"</formula>
    </cfRule>
    <cfRule type="expression" dxfId="24866" priority="637">
      <formula>$A1114="Neutral Section"</formula>
    </cfRule>
    <cfRule type="expression" dxfId="24865" priority="638">
      <formula>$A1114="Tunnel"</formula>
    </cfRule>
    <cfRule type="expression" dxfId="24864" priority="639">
      <formula>$A1114="Bridge"</formula>
    </cfRule>
    <cfRule type="expression" dxfId="24863" priority="640">
      <formula>$A1114="Drainage Works"</formula>
    </cfRule>
    <cfRule type="expression" dxfId="24862" priority="641">
      <formula>$A1114="Underpass"</formula>
    </cfRule>
    <cfRule type="expression" dxfId="24861" priority="642">
      <formula>$A1114="Overcrossing"</formula>
    </cfRule>
    <cfRule type="expression" dxfId="24860" priority="643">
      <formula>$A1114="Overpass"</formula>
    </cfRule>
    <cfRule type="expression" dxfId="24859" priority="644">
      <formula>$A1114="Station"</formula>
    </cfRule>
    <cfRule type="expression" dxfId="24858" priority="645">
      <formula>$A1114="Overlap between sections"</formula>
    </cfRule>
  </conditionalFormatting>
  <conditionalFormatting sqref="L1114">
    <cfRule type="expression" dxfId="24857" priority="632">
      <formula>$M1114="NON DEFINED"</formula>
    </cfRule>
    <cfRule type="expression" dxfId="24856" priority="633">
      <formula>$AZ1114="N.D."</formula>
    </cfRule>
    <cfRule type="expression" dxfId="24855" priority="634">
      <formula>$AY1114="N.D."</formula>
    </cfRule>
  </conditionalFormatting>
  <conditionalFormatting sqref="L1116">
    <cfRule type="expression" dxfId="24854" priority="621">
      <formula>$A1116="Overhead Cable"</formula>
    </cfRule>
    <cfRule type="expression" dxfId="24853" priority="622">
      <formula>$A1116="Level Crossing"</formula>
    </cfRule>
    <cfRule type="expression" dxfId="24852" priority="623">
      <formula>$A1116="Neutral Section"</formula>
    </cfRule>
    <cfRule type="expression" dxfId="24851" priority="624">
      <formula>$A1116="Tunnel"</formula>
    </cfRule>
    <cfRule type="expression" dxfId="24850" priority="625">
      <formula>$A1116="Bridge"</formula>
    </cfRule>
    <cfRule type="expression" dxfId="24849" priority="626">
      <formula>$A1116="Drainage Works"</formula>
    </cfRule>
    <cfRule type="expression" dxfId="24848" priority="627">
      <formula>$A1116="Underpass"</formula>
    </cfRule>
    <cfRule type="expression" dxfId="24847" priority="628">
      <formula>$A1116="Overcrossing"</formula>
    </cfRule>
    <cfRule type="expression" dxfId="24846" priority="629">
      <formula>$A1116="Overpass"</formula>
    </cfRule>
    <cfRule type="expression" dxfId="24845" priority="630">
      <formula>$A1116="Station"</formula>
    </cfRule>
    <cfRule type="expression" dxfId="24844" priority="631">
      <formula>$A1116="Overlap between sections"</formula>
    </cfRule>
  </conditionalFormatting>
  <conditionalFormatting sqref="L1116">
    <cfRule type="expression" dxfId="24843" priority="618">
      <formula>$M1116="NON DEFINED"</formula>
    </cfRule>
    <cfRule type="expression" dxfId="24842" priority="619">
      <formula>$AZ1116="N.D."</formula>
    </cfRule>
    <cfRule type="expression" dxfId="24841" priority="620">
      <formula>$AY1116="N.D."</formula>
    </cfRule>
  </conditionalFormatting>
  <conditionalFormatting sqref="L1118">
    <cfRule type="expression" dxfId="24840" priority="607">
      <formula>$A1118="Overhead Cable"</formula>
    </cfRule>
    <cfRule type="expression" dxfId="24839" priority="608">
      <formula>$A1118="Level Crossing"</formula>
    </cfRule>
    <cfRule type="expression" dxfId="24838" priority="609">
      <formula>$A1118="Neutral Section"</formula>
    </cfRule>
    <cfRule type="expression" dxfId="24837" priority="610">
      <formula>$A1118="Tunnel"</formula>
    </cfRule>
    <cfRule type="expression" dxfId="24836" priority="611">
      <formula>$A1118="Bridge"</formula>
    </cfRule>
    <cfRule type="expression" dxfId="24835" priority="612">
      <formula>$A1118="Drainage Works"</formula>
    </cfRule>
    <cfRule type="expression" dxfId="24834" priority="613">
      <formula>$A1118="Underpass"</formula>
    </cfRule>
    <cfRule type="expression" dxfId="24833" priority="614">
      <formula>$A1118="Overcrossing"</formula>
    </cfRule>
    <cfRule type="expression" dxfId="24832" priority="615">
      <formula>$A1118="Overpass"</formula>
    </cfRule>
    <cfRule type="expression" dxfId="24831" priority="616">
      <formula>$A1118="Station"</formula>
    </cfRule>
    <cfRule type="expression" dxfId="24830" priority="617">
      <formula>$A1118="Overlap between sections"</formula>
    </cfRule>
  </conditionalFormatting>
  <conditionalFormatting sqref="L1118">
    <cfRule type="expression" dxfId="24829" priority="604">
      <formula>$M1118="NON DEFINED"</formula>
    </cfRule>
    <cfRule type="expression" dxfId="24828" priority="605">
      <formula>$AZ1118="N.D."</formula>
    </cfRule>
    <cfRule type="expression" dxfId="24827" priority="606">
      <formula>$AY1118="N.D."</formula>
    </cfRule>
  </conditionalFormatting>
  <conditionalFormatting sqref="L1120">
    <cfRule type="expression" dxfId="24826" priority="593">
      <formula>$A1120="Overhead Cable"</formula>
    </cfRule>
    <cfRule type="expression" dxfId="24825" priority="594">
      <formula>$A1120="Level Crossing"</formula>
    </cfRule>
    <cfRule type="expression" dxfId="24824" priority="595">
      <formula>$A1120="Neutral Section"</formula>
    </cfRule>
    <cfRule type="expression" dxfId="24823" priority="596">
      <formula>$A1120="Tunnel"</formula>
    </cfRule>
    <cfRule type="expression" dxfId="24822" priority="597">
      <formula>$A1120="Bridge"</formula>
    </cfRule>
    <cfRule type="expression" dxfId="24821" priority="598">
      <formula>$A1120="Drainage Works"</formula>
    </cfRule>
    <cfRule type="expression" dxfId="24820" priority="599">
      <formula>$A1120="Underpass"</formula>
    </cfRule>
    <cfRule type="expression" dxfId="24819" priority="600">
      <formula>$A1120="Overcrossing"</formula>
    </cfRule>
    <cfRule type="expression" dxfId="24818" priority="601">
      <formula>$A1120="Overpass"</formula>
    </cfRule>
    <cfRule type="expression" dxfId="24817" priority="602">
      <formula>$A1120="Station"</formula>
    </cfRule>
    <cfRule type="expression" dxfId="24816" priority="603">
      <formula>$A1120="Overlap between sections"</formula>
    </cfRule>
  </conditionalFormatting>
  <conditionalFormatting sqref="L1120">
    <cfRule type="expression" dxfId="24815" priority="590">
      <formula>$M1120="NON DEFINED"</formula>
    </cfRule>
    <cfRule type="expression" dxfId="24814" priority="591">
      <formula>$AZ1120="N.D."</formula>
    </cfRule>
    <cfRule type="expression" dxfId="24813" priority="592">
      <formula>$AY1120="N.D."</formula>
    </cfRule>
  </conditionalFormatting>
  <conditionalFormatting sqref="L1122">
    <cfRule type="expression" dxfId="24812" priority="579">
      <formula>$A1122="Overhead Cable"</formula>
    </cfRule>
    <cfRule type="expression" dxfId="24811" priority="580">
      <formula>$A1122="Level Crossing"</formula>
    </cfRule>
    <cfRule type="expression" dxfId="24810" priority="581">
      <formula>$A1122="Neutral Section"</formula>
    </cfRule>
    <cfRule type="expression" dxfId="24809" priority="582">
      <formula>$A1122="Tunnel"</formula>
    </cfRule>
    <cfRule type="expression" dxfId="24808" priority="583">
      <formula>$A1122="Bridge"</formula>
    </cfRule>
    <cfRule type="expression" dxfId="24807" priority="584">
      <formula>$A1122="Drainage Works"</formula>
    </cfRule>
    <cfRule type="expression" dxfId="24806" priority="585">
      <formula>$A1122="Underpass"</formula>
    </cfRule>
    <cfRule type="expression" dxfId="24805" priority="586">
      <formula>$A1122="Overcrossing"</formula>
    </cfRule>
    <cfRule type="expression" dxfId="24804" priority="587">
      <formula>$A1122="Overpass"</formula>
    </cfRule>
    <cfRule type="expression" dxfId="24803" priority="588">
      <formula>$A1122="Station"</formula>
    </cfRule>
    <cfRule type="expression" dxfId="24802" priority="589">
      <formula>$A1122="Overlap between sections"</formula>
    </cfRule>
  </conditionalFormatting>
  <conditionalFormatting sqref="L1122">
    <cfRule type="expression" dxfId="24801" priority="576">
      <formula>$M1122="NON DEFINED"</formula>
    </cfRule>
    <cfRule type="expression" dxfId="24800" priority="577">
      <formula>$AZ1122="N.D."</formula>
    </cfRule>
    <cfRule type="expression" dxfId="24799" priority="578">
      <formula>$AY1122="N.D."</formula>
    </cfRule>
  </conditionalFormatting>
  <conditionalFormatting sqref="BD466">
    <cfRule type="containsText" dxfId="24798" priority="575" operator="containsText" text="Poner a mano">
      <formula>NOT(ISERROR(SEARCH("Poner a mano",BD466)))</formula>
    </cfRule>
  </conditionalFormatting>
  <conditionalFormatting sqref="BD468">
    <cfRule type="containsText" dxfId="24797" priority="574" operator="containsText" text="Poner a mano">
      <formula>NOT(ISERROR(SEARCH("Poner a mano",BD468)))</formula>
    </cfRule>
  </conditionalFormatting>
  <conditionalFormatting sqref="BD470">
    <cfRule type="containsText" dxfId="24796" priority="573" operator="containsText" text="Poner a mano">
      <formula>NOT(ISERROR(SEARCH("Poner a mano",BD470)))</formula>
    </cfRule>
  </conditionalFormatting>
  <conditionalFormatting sqref="BD472">
    <cfRule type="containsText" dxfId="24795" priority="572" operator="containsText" text="Poner a mano">
      <formula>NOT(ISERROR(SEARCH("Poner a mano",BD472)))</formula>
    </cfRule>
  </conditionalFormatting>
  <conditionalFormatting sqref="BD474">
    <cfRule type="containsText" dxfId="24794" priority="571" operator="containsText" text="Poner a mano">
      <formula>NOT(ISERROR(SEARCH("Poner a mano",BD474)))</formula>
    </cfRule>
  </conditionalFormatting>
  <conditionalFormatting sqref="BD478">
    <cfRule type="containsText" dxfId="24793" priority="570" operator="containsText" text="Poner a mano">
      <formula>NOT(ISERROR(SEARCH("Poner a mano",BD478)))</formula>
    </cfRule>
  </conditionalFormatting>
  <conditionalFormatting sqref="BD480">
    <cfRule type="containsText" dxfId="24792" priority="569" operator="containsText" text="Poner a mano">
      <formula>NOT(ISERROR(SEARCH("Poner a mano",BD480)))</formula>
    </cfRule>
  </conditionalFormatting>
  <conditionalFormatting sqref="BD482">
    <cfRule type="containsText" dxfId="24791" priority="568" operator="containsText" text="Poner a mano">
      <formula>NOT(ISERROR(SEARCH("Poner a mano",BD482)))</formula>
    </cfRule>
  </conditionalFormatting>
  <conditionalFormatting sqref="BD484">
    <cfRule type="containsText" dxfId="24790" priority="567" operator="containsText" text="Poner a mano">
      <formula>NOT(ISERROR(SEARCH("Poner a mano",BD484)))</formula>
    </cfRule>
  </conditionalFormatting>
  <conditionalFormatting sqref="BD486">
    <cfRule type="containsText" dxfId="24789" priority="566" operator="containsText" text="Poner a mano">
      <formula>NOT(ISERROR(SEARCH("Poner a mano",BD486)))</formula>
    </cfRule>
  </conditionalFormatting>
  <conditionalFormatting sqref="BD488">
    <cfRule type="containsText" dxfId="24788" priority="565" operator="containsText" text="Poner a mano">
      <formula>NOT(ISERROR(SEARCH("Poner a mano",BD488)))</formula>
    </cfRule>
  </conditionalFormatting>
  <conditionalFormatting sqref="BD490">
    <cfRule type="containsText" dxfId="24787" priority="564" operator="containsText" text="Poner a mano">
      <formula>NOT(ISERROR(SEARCH("Poner a mano",BD490)))</formula>
    </cfRule>
  </conditionalFormatting>
  <conditionalFormatting sqref="BD492">
    <cfRule type="containsText" dxfId="24786" priority="563" operator="containsText" text="Poner a mano">
      <formula>NOT(ISERROR(SEARCH("Poner a mano",BD492)))</formula>
    </cfRule>
  </conditionalFormatting>
  <conditionalFormatting sqref="BD494">
    <cfRule type="containsText" dxfId="24785" priority="562" operator="containsText" text="Poner a mano">
      <formula>NOT(ISERROR(SEARCH("Poner a mano",BD494)))</formula>
    </cfRule>
  </conditionalFormatting>
  <conditionalFormatting sqref="BD496">
    <cfRule type="containsText" dxfId="24784" priority="561" operator="containsText" text="Poner a mano">
      <formula>NOT(ISERROR(SEARCH("Poner a mano",BD496)))</formula>
    </cfRule>
  </conditionalFormatting>
  <conditionalFormatting sqref="BD498">
    <cfRule type="containsText" dxfId="24783" priority="560" operator="containsText" text="Poner a mano">
      <formula>NOT(ISERROR(SEARCH("Poner a mano",BD498)))</formula>
    </cfRule>
  </conditionalFormatting>
  <conditionalFormatting sqref="N408">
    <cfRule type="expression" dxfId="24782" priority="549">
      <formula>$A408="Overhead Cable"</formula>
    </cfRule>
    <cfRule type="expression" dxfId="24781" priority="550">
      <formula>$A408="Level Crossing"</formula>
    </cfRule>
    <cfRule type="expression" dxfId="24780" priority="551">
      <formula>$A408="Neutral Section"</formula>
    </cfRule>
    <cfRule type="expression" dxfId="24779" priority="552">
      <formula>$A408="Tunnel"</formula>
    </cfRule>
    <cfRule type="expression" dxfId="24778" priority="553">
      <formula>$A408="Bridge"</formula>
    </cfRule>
    <cfRule type="expression" dxfId="24777" priority="554">
      <formula>$A408="Drainage Works"</formula>
    </cfRule>
    <cfRule type="expression" dxfId="24776" priority="555">
      <formula>$A408="Underpass"</formula>
    </cfRule>
    <cfRule type="expression" dxfId="24775" priority="556">
      <formula>$A408="Overcrossing"</formula>
    </cfRule>
    <cfRule type="expression" dxfId="24774" priority="557">
      <formula>$A408="Overpass"</formula>
    </cfRule>
    <cfRule type="expression" dxfId="24773" priority="558">
      <formula>$A408="Station"</formula>
    </cfRule>
    <cfRule type="expression" dxfId="24772" priority="559">
      <formula>$A408="Overlap between sections"</formula>
    </cfRule>
  </conditionalFormatting>
  <conditionalFormatting sqref="N408">
    <cfRule type="expression" dxfId="24771" priority="546">
      <formula>$M408="NON DEFINED"</formula>
    </cfRule>
    <cfRule type="expression" dxfId="24770" priority="547">
      <formula>$AZ408="N.D."</formula>
    </cfRule>
    <cfRule type="expression" dxfId="24769" priority="548">
      <formula>$AY408="N.D."</formula>
    </cfRule>
  </conditionalFormatting>
  <conditionalFormatting sqref="O408">
    <cfRule type="expression" dxfId="24768" priority="535">
      <formula>$A408="Overhead Cable"</formula>
    </cfRule>
    <cfRule type="expression" dxfId="24767" priority="536">
      <formula>$A408="Level Crossing"</formula>
    </cfRule>
    <cfRule type="expression" dxfId="24766" priority="537">
      <formula>$A408="Neutral Section"</formula>
    </cfRule>
    <cfRule type="expression" dxfId="24765" priority="538">
      <formula>$A408="Tunnel"</formula>
    </cfRule>
    <cfRule type="expression" dxfId="24764" priority="539">
      <formula>$A408="Bridge"</formula>
    </cfRule>
    <cfRule type="expression" dxfId="24763" priority="540">
      <formula>$A408="Drainage Works"</formula>
    </cfRule>
    <cfRule type="expression" dxfId="24762" priority="541">
      <formula>$A408="Underpass"</formula>
    </cfRule>
    <cfRule type="expression" dxfId="24761" priority="542">
      <formula>$A408="Overcrossing"</formula>
    </cfRule>
    <cfRule type="expression" dxfId="24760" priority="543">
      <formula>$A408="Overpass"</formula>
    </cfRule>
    <cfRule type="expression" dxfId="24759" priority="544">
      <formula>$A408="Station"</formula>
    </cfRule>
    <cfRule type="expression" dxfId="24758" priority="545">
      <formula>$A408="Overlap between sections"</formula>
    </cfRule>
  </conditionalFormatting>
  <conditionalFormatting sqref="O408">
    <cfRule type="expression" dxfId="24757" priority="532">
      <formula>$M408="NON DEFINED"</formula>
    </cfRule>
    <cfRule type="expression" dxfId="24756" priority="533">
      <formula>$AZ408="N.D."</formula>
    </cfRule>
    <cfRule type="expression" dxfId="24755" priority="534">
      <formula>$AY408="N.D."</formula>
    </cfRule>
  </conditionalFormatting>
  <conditionalFormatting sqref="W406:X406">
    <cfRule type="expression" dxfId="24754" priority="521">
      <formula>$A406="Overhead Cable"</formula>
    </cfRule>
    <cfRule type="expression" dxfId="24753" priority="522">
      <formula>$A406="Level Crossing"</formula>
    </cfRule>
    <cfRule type="expression" dxfId="24752" priority="523">
      <formula>$A406="Neutral Section"</formula>
    </cfRule>
    <cfRule type="expression" dxfId="24751" priority="524">
      <formula>$A406="Tunnel"</formula>
    </cfRule>
    <cfRule type="expression" dxfId="24750" priority="525">
      <formula>$A406="Bridge"</formula>
    </cfRule>
    <cfRule type="expression" dxfId="24749" priority="526">
      <formula>$A406="Drainage Works"</formula>
    </cfRule>
    <cfRule type="expression" dxfId="24748" priority="527">
      <formula>$A406="Underpass"</formula>
    </cfRule>
    <cfRule type="expression" dxfId="24747" priority="528">
      <formula>$A406="Overcrossing"</formula>
    </cfRule>
    <cfRule type="expression" dxfId="24746" priority="529">
      <formula>$A406="Overpass"</formula>
    </cfRule>
    <cfRule type="expression" dxfId="24745" priority="530">
      <formula>$A406="Station"</formula>
    </cfRule>
    <cfRule type="expression" dxfId="24744" priority="531">
      <formula>$A406="Overlap between sections"</formula>
    </cfRule>
  </conditionalFormatting>
  <conditionalFormatting sqref="W406:X406">
    <cfRule type="expression" dxfId="24743" priority="518">
      <formula>$M406="NON DEFINED"</formula>
    </cfRule>
    <cfRule type="expression" dxfId="24742" priority="519">
      <formula>$AZ406="N.D."</formula>
    </cfRule>
    <cfRule type="expression" dxfId="24741" priority="520">
      <formula>$AY406="N.D."</formula>
    </cfRule>
  </conditionalFormatting>
  <conditionalFormatting sqref="L410">
    <cfRule type="expression" dxfId="24740" priority="507">
      <formula>$A410="Overhead Cable"</formula>
    </cfRule>
    <cfRule type="expression" dxfId="24739" priority="508">
      <formula>$A410="Level Crossing"</formula>
    </cfRule>
    <cfRule type="expression" dxfId="24738" priority="509">
      <formula>$A410="Neutral Section"</formula>
    </cfRule>
    <cfRule type="expression" dxfId="24737" priority="510">
      <formula>$A410="Tunnel"</formula>
    </cfRule>
    <cfRule type="expression" dxfId="24736" priority="511">
      <formula>$A410="Bridge"</formula>
    </cfRule>
    <cfRule type="expression" dxfId="24735" priority="512">
      <formula>$A410="Drainage Works"</formula>
    </cfRule>
    <cfRule type="expression" dxfId="24734" priority="513">
      <formula>$A410="Underpass"</formula>
    </cfRule>
    <cfRule type="expression" dxfId="24733" priority="514">
      <formula>$A410="Overcrossing"</formula>
    </cfRule>
    <cfRule type="expression" dxfId="24732" priority="515">
      <formula>$A410="Overpass"</formula>
    </cfRule>
    <cfRule type="expression" dxfId="24731" priority="516">
      <formula>$A410="Station"</formula>
    </cfRule>
    <cfRule type="expression" dxfId="24730" priority="517">
      <formula>$A410="Overlap between sections"</formula>
    </cfRule>
  </conditionalFormatting>
  <conditionalFormatting sqref="L410">
    <cfRule type="expression" dxfId="24729" priority="504">
      <formula>$M410="NON DEFINED"</formula>
    </cfRule>
    <cfRule type="expression" dxfId="24728" priority="505">
      <formula>$AZ410="N.D."</formula>
    </cfRule>
    <cfRule type="expression" dxfId="24727" priority="506">
      <formula>$AY410="N.D."</formula>
    </cfRule>
  </conditionalFormatting>
  <conditionalFormatting sqref="K261">
    <cfRule type="expression" dxfId="24726" priority="473">
      <formula>$M261="NON DEFINED"</formula>
    </cfRule>
    <cfRule type="expression" dxfId="24725" priority="474">
      <formula>$AZ261="N.D."</formula>
    </cfRule>
    <cfRule type="expression" dxfId="24724" priority="475">
      <formula>$AY261="N.D."</formula>
    </cfRule>
  </conditionalFormatting>
  <conditionalFormatting sqref="K261">
    <cfRule type="expression" dxfId="24723" priority="462">
      <formula>$A261="Overhead Cable"</formula>
    </cfRule>
    <cfRule type="expression" dxfId="24722" priority="463">
      <formula>$A261="Level Crossing"</formula>
    </cfRule>
    <cfRule type="expression" dxfId="24721" priority="464">
      <formula>$A261="Neutral Section"</formula>
    </cfRule>
    <cfRule type="expression" dxfId="24720" priority="465">
      <formula>$A261="Tunnel"</formula>
    </cfRule>
    <cfRule type="expression" dxfId="24719" priority="466">
      <formula>$A261="Bridge"</formula>
    </cfRule>
    <cfRule type="expression" dxfId="24718" priority="467">
      <formula>$A261="Drainage Works"</formula>
    </cfRule>
    <cfRule type="expression" dxfId="24717" priority="468">
      <formula>$A261="Underpass"</formula>
    </cfRule>
    <cfRule type="expression" dxfId="24716" priority="469">
      <formula>$A261="Overcrossing"</formula>
    </cfRule>
    <cfRule type="expression" dxfId="24715" priority="470">
      <formula>$A261="Overpass"</formula>
    </cfRule>
    <cfRule type="expression" dxfId="24714" priority="471">
      <formula>$A261="Station"</formula>
    </cfRule>
    <cfRule type="expression" dxfId="24713" priority="472">
      <formula>$A261="Overlap between sections"</formula>
    </cfRule>
  </conditionalFormatting>
  <conditionalFormatting sqref="K253">
    <cfRule type="expression" dxfId="24712" priority="459">
      <formula>$M253="NON DEFINED"</formula>
    </cfRule>
    <cfRule type="expression" dxfId="24711" priority="460">
      <formula>$AZ253="N.D."</formula>
    </cfRule>
    <cfRule type="expression" dxfId="24710" priority="461">
      <formula>$AY253="N.D."</formula>
    </cfRule>
  </conditionalFormatting>
  <conditionalFormatting sqref="K253">
    <cfRule type="expression" dxfId="24709" priority="448">
      <formula>$A253="Overhead Cable"</formula>
    </cfRule>
    <cfRule type="expression" dxfId="24708" priority="449">
      <formula>$A253="Level Crossing"</formula>
    </cfRule>
    <cfRule type="expression" dxfId="24707" priority="450">
      <formula>$A253="Neutral Section"</formula>
    </cfRule>
    <cfRule type="expression" dxfId="24706" priority="451">
      <formula>$A253="Tunnel"</formula>
    </cfRule>
    <cfRule type="expression" dxfId="24705" priority="452">
      <formula>$A253="Bridge"</formula>
    </cfRule>
    <cfRule type="expression" dxfId="24704" priority="453">
      <formula>$A253="Drainage Works"</formula>
    </cfRule>
    <cfRule type="expression" dxfId="24703" priority="454">
      <formula>$A253="Underpass"</formula>
    </cfRule>
    <cfRule type="expression" dxfId="24702" priority="455">
      <formula>$A253="Overcrossing"</formula>
    </cfRule>
    <cfRule type="expression" dxfId="24701" priority="456">
      <formula>$A253="Overpass"</formula>
    </cfRule>
    <cfRule type="expression" dxfId="24700" priority="457">
      <formula>$A253="Station"</formula>
    </cfRule>
    <cfRule type="expression" dxfId="24699" priority="458">
      <formula>$A253="Overlap between sections"</formula>
    </cfRule>
  </conditionalFormatting>
  <conditionalFormatting sqref="AY728:AZ728">
    <cfRule type="expression" dxfId="24698" priority="437">
      <formula>$A728="Overhead Cable"</formula>
    </cfRule>
    <cfRule type="expression" dxfId="24697" priority="438">
      <formula>$A728="Level Crossing"</formula>
    </cfRule>
    <cfRule type="expression" dxfId="24696" priority="439">
      <formula>$A728="Neutral Section"</formula>
    </cfRule>
    <cfRule type="expression" dxfId="24695" priority="440">
      <formula>$A728="Tunnel"</formula>
    </cfRule>
    <cfRule type="expression" dxfId="24694" priority="441">
      <formula>$A728="Bridge"</formula>
    </cfRule>
    <cfRule type="expression" dxfId="24693" priority="442">
      <formula>$A728="Drainage Works"</formula>
    </cfRule>
    <cfRule type="expression" dxfId="24692" priority="443">
      <formula>$A728="Underpass"</formula>
    </cfRule>
    <cfRule type="expression" dxfId="24691" priority="444">
      <formula>$A728="Overcrossing"</formula>
    </cfRule>
    <cfRule type="expression" dxfId="24690" priority="445">
      <formula>$A728="Overpass"</formula>
    </cfRule>
    <cfRule type="expression" dxfId="24689" priority="446">
      <formula>$A728="Station"</formula>
    </cfRule>
    <cfRule type="expression" dxfId="24688" priority="447">
      <formula>$A728="Overlap between sections"</formula>
    </cfRule>
  </conditionalFormatting>
  <conditionalFormatting sqref="BA728:BC728">
    <cfRule type="expression" dxfId="24687" priority="435">
      <formula>$BE728="A"</formula>
    </cfRule>
    <cfRule type="expression" dxfId="24686" priority="436">
      <formula>$BE728="R"</formula>
    </cfRule>
  </conditionalFormatting>
  <conditionalFormatting sqref="AY728:AZ728">
    <cfRule type="expression" dxfId="24685" priority="432">
      <formula>$M728="NON DEFINED"</formula>
    </cfRule>
    <cfRule type="expression" dxfId="24684" priority="433">
      <formula>$AZ728="N.D."</formula>
    </cfRule>
    <cfRule type="expression" dxfId="24683" priority="434">
      <formula>$AY728="N.D."</formula>
    </cfRule>
  </conditionalFormatting>
  <conditionalFormatting sqref="BC728">
    <cfRule type="expression" dxfId="24682" priority="431">
      <formula>$M728="U.S. N.D."</formula>
    </cfRule>
  </conditionalFormatting>
  <conditionalFormatting sqref="BB728">
    <cfRule type="expression" dxfId="24681" priority="429">
      <formula>$AZ728="N.D."</formula>
    </cfRule>
  </conditionalFormatting>
  <conditionalFormatting sqref="BA728">
    <cfRule type="expression" dxfId="24680" priority="430">
      <formula>$AY728="N.D."</formula>
    </cfRule>
  </conditionalFormatting>
  <conditionalFormatting sqref="AW728">
    <cfRule type="expression" dxfId="24679" priority="426">
      <formula>$M728="NON DEFINED"</formula>
    </cfRule>
    <cfRule type="expression" dxfId="24678" priority="427">
      <formula>$AZ728="N.D."</formula>
    </cfRule>
    <cfRule type="expression" dxfId="24677" priority="428">
      <formula>$AY728="N.D."</formula>
    </cfRule>
  </conditionalFormatting>
  <conditionalFormatting sqref="AW728">
    <cfRule type="expression" dxfId="24676" priority="415">
      <formula>$A728="Overhead Cable"</formula>
    </cfRule>
    <cfRule type="expression" dxfId="24675" priority="416">
      <formula>$A728="Level Crossing"</formula>
    </cfRule>
    <cfRule type="expression" dxfId="24674" priority="417">
      <formula>$A728="Neutral Section"</formula>
    </cfRule>
    <cfRule type="expression" dxfId="24673" priority="418">
      <formula>$A728="Tunnel"</formula>
    </cfRule>
    <cfRule type="expression" dxfId="24672" priority="419">
      <formula>$A728="Bridge"</formula>
    </cfRule>
    <cfRule type="expression" dxfId="24671" priority="420">
      <formula>$A728="Drainage Works"</formula>
    </cfRule>
    <cfRule type="expression" dxfId="24670" priority="421">
      <formula>$A728="Underpass"</formula>
    </cfRule>
    <cfRule type="expression" dxfId="24669" priority="422">
      <formula>$A728="Overcrossing"</formula>
    </cfRule>
    <cfRule type="expression" dxfId="24668" priority="423">
      <formula>$A728="Overpass"</formula>
    </cfRule>
    <cfRule type="expression" dxfId="24667" priority="424">
      <formula>$A728="Station"</formula>
    </cfRule>
    <cfRule type="expression" dxfId="24666" priority="425">
      <formula>$A728="Overlap between sections"</formula>
    </cfRule>
  </conditionalFormatting>
  <conditionalFormatting sqref="AX728">
    <cfRule type="expression" dxfId="24665" priority="412">
      <formula>$M728="NON DEFINED"</formula>
    </cfRule>
    <cfRule type="expression" dxfId="24664" priority="413">
      <formula>$AZ728="N.D."</formula>
    </cfRule>
    <cfRule type="expression" dxfId="24663" priority="414">
      <formula>$AY728="N.D."</formula>
    </cfRule>
  </conditionalFormatting>
  <conditionalFormatting sqref="AX728">
    <cfRule type="expression" dxfId="24662" priority="401">
      <formula>$A728="Overhead Cable"</formula>
    </cfRule>
    <cfRule type="expression" dxfId="24661" priority="402">
      <formula>$A728="Level Crossing"</formula>
    </cfRule>
    <cfRule type="expression" dxfId="24660" priority="403">
      <formula>$A728="Neutral Section"</formula>
    </cfRule>
    <cfRule type="expression" dxfId="24659" priority="404">
      <formula>$A728="Tunnel"</formula>
    </cfRule>
    <cfRule type="expression" dxfId="24658" priority="405">
      <formula>$A728="Bridge"</formula>
    </cfRule>
    <cfRule type="expression" dxfId="24657" priority="406">
      <formula>$A728="Drainage Works"</formula>
    </cfRule>
    <cfRule type="expression" dxfId="24656" priority="407">
      <formula>$A728="Underpass"</formula>
    </cfRule>
    <cfRule type="expression" dxfId="24655" priority="408">
      <formula>$A728="Overcrossing"</formula>
    </cfRule>
    <cfRule type="expression" dxfId="24654" priority="409">
      <formula>$A728="Overpass"</formula>
    </cfRule>
    <cfRule type="expression" dxfId="24653" priority="410">
      <formula>$A728="Station"</formula>
    </cfRule>
    <cfRule type="expression" dxfId="24652" priority="411">
      <formula>$A728="Overlap between sections"</formula>
    </cfRule>
  </conditionalFormatting>
  <conditionalFormatting sqref="BF728:BG728 BI728">
    <cfRule type="containsBlanks" dxfId="24651" priority="400">
      <formula>LEN(TRIM(BF728))=0</formula>
    </cfRule>
  </conditionalFormatting>
  <conditionalFormatting sqref="J737:K737">
    <cfRule type="expression" dxfId="24650" priority="389">
      <formula>$A737="Overhead Cable"</formula>
    </cfRule>
    <cfRule type="expression" dxfId="24649" priority="390">
      <formula>$A737="Level Crossing"</formula>
    </cfRule>
    <cfRule type="expression" dxfId="24648" priority="391">
      <formula>$A737="Neutral Section"</formula>
    </cfRule>
    <cfRule type="expression" dxfId="24647" priority="392">
      <formula>$A737="Tunnel"</formula>
    </cfRule>
    <cfRule type="expression" dxfId="24646" priority="393">
      <formula>$A737="Bridge"</formula>
    </cfRule>
    <cfRule type="expression" dxfId="24645" priority="394">
      <formula>$A737="Drainage Works"</formula>
    </cfRule>
    <cfRule type="expression" dxfId="24644" priority="395">
      <formula>$A737="Underpass"</formula>
    </cfRule>
    <cfRule type="expression" dxfId="24643" priority="396">
      <formula>$A737="Overcrossing"</formula>
    </cfRule>
    <cfRule type="expression" dxfId="24642" priority="397">
      <formula>$A737="Overpass"</formula>
    </cfRule>
    <cfRule type="expression" dxfId="24641" priority="398">
      <formula>$A737="Station"</formula>
    </cfRule>
    <cfRule type="expression" dxfId="24640" priority="399">
      <formula>$A737="Overlap between sections"</formula>
    </cfRule>
  </conditionalFormatting>
  <conditionalFormatting sqref="J737:K737">
    <cfRule type="expression" dxfId="24639" priority="386">
      <formula>$M737="NON DEFINED"</formula>
    </cfRule>
    <cfRule type="expression" dxfId="24638" priority="387">
      <formula>$AZ737="N.D."</formula>
    </cfRule>
    <cfRule type="expression" dxfId="24637" priority="388">
      <formula>$AY737="N.D."</formula>
    </cfRule>
  </conditionalFormatting>
  <conditionalFormatting sqref="H832">
    <cfRule type="expression" dxfId="24636" priority="375">
      <formula>$A832="Overhead Cable"</formula>
    </cfRule>
    <cfRule type="expression" dxfId="24635" priority="376">
      <formula>$A832="Level Crossing"</formula>
    </cfRule>
    <cfRule type="expression" dxfId="24634" priority="377">
      <formula>$A832="Neutral Section"</formula>
    </cfRule>
    <cfRule type="expression" dxfId="24633" priority="378">
      <formula>$A832="Tunnel"</formula>
    </cfRule>
    <cfRule type="expression" dxfId="24632" priority="379">
      <formula>$A832="Bridge"</formula>
    </cfRule>
    <cfRule type="expression" dxfId="24631" priority="380">
      <formula>$A832="Drainage Works"</formula>
    </cfRule>
    <cfRule type="expression" dxfId="24630" priority="381">
      <formula>$A832="Underpass"</formula>
    </cfRule>
    <cfRule type="expression" dxfId="24629" priority="382">
      <formula>$A832="Overcrossing"</formula>
    </cfRule>
    <cfRule type="expression" dxfId="24628" priority="383">
      <formula>$A832="Overpass"</formula>
    </cfRule>
    <cfRule type="expression" dxfId="24627" priority="384">
      <formula>$A832="Station"</formula>
    </cfRule>
    <cfRule type="expression" dxfId="24626" priority="385">
      <formula>$A832="Overlap between sections"</formula>
    </cfRule>
  </conditionalFormatting>
  <conditionalFormatting sqref="H832">
    <cfRule type="expression" dxfId="24625" priority="372">
      <formula>$M832="NON DEFINED"</formula>
    </cfRule>
    <cfRule type="expression" dxfId="24624" priority="373">
      <formula>$AZ832="N.D."</formula>
    </cfRule>
    <cfRule type="expression" dxfId="24623" priority="374">
      <formula>$AY832="N.D."</formula>
    </cfRule>
  </conditionalFormatting>
  <conditionalFormatting sqref="AY782:AZ782">
    <cfRule type="expression" dxfId="24622" priority="361">
      <formula>$A782="Overhead Cable"</formula>
    </cfRule>
    <cfRule type="expression" dxfId="24621" priority="362">
      <formula>$A782="Level Crossing"</formula>
    </cfRule>
    <cfRule type="expression" dxfId="24620" priority="363">
      <formula>$A782="Neutral Section"</formula>
    </cfRule>
    <cfRule type="expression" dxfId="24619" priority="364">
      <formula>$A782="Tunnel"</formula>
    </cfRule>
    <cfRule type="expression" dxfId="24618" priority="365">
      <formula>$A782="Bridge"</formula>
    </cfRule>
    <cfRule type="expression" dxfId="24617" priority="366">
      <formula>$A782="Drainage Works"</formula>
    </cfRule>
    <cfRule type="expression" dxfId="24616" priority="367">
      <formula>$A782="Underpass"</formula>
    </cfRule>
    <cfRule type="expression" dxfId="24615" priority="368">
      <formula>$A782="Overcrossing"</formula>
    </cfRule>
    <cfRule type="expression" dxfId="24614" priority="369">
      <formula>$A782="Overpass"</formula>
    </cfRule>
    <cfRule type="expression" dxfId="24613" priority="370">
      <formula>$A782="Station"</formula>
    </cfRule>
    <cfRule type="expression" dxfId="24612" priority="371">
      <formula>$A782="Overlap between sections"</formula>
    </cfRule>
  </conditionalFormatting>
  <conditionalFormatting sqref="BA782:BC782">
    <cfRule type="expression" dxfId="24611" priority="359">
      <formula>$BE782="A"</formula>
    </cfRule>
    <cfRule type="expression" dxfId="24610" priority="360">
      <formula>$BE782="R"</formula>
    </cfRule>
  </conditionalFormatting>
  <conditionalFormatting sqref="AY782:AZ782">
    <cfRule type="expression" dxfId="24609" priority="356">
      <formula>$M782="NON DEFINED"</formula>
    </cfRule>
    <cfRule type="expression" dxfId="24608" priority="357">
      <formula>$AZ782="N.D."</formula>
    </cfRule>
    <cfRule type="expression" dxfId="24607" priority="358">
      <formula>$AY782="N.D."</formula>
    </cfRule>
  </conditionalFormatting>
  <conditionalFormatting sqref="BC782">
    <cfRule type="expression" dxfId="24606" priority="355">
      <formula>$M782="U.S. N.D."</formula>
    </cfRule>
  </conditionalFormatting>
  <conditionalFormatting sqref="BB782">
    <cfRule type="expression" dxfId="24605" priority="353">
      <formula>$AZ782="N.D."</formula>
    </cfRule>
  </conditionalFormatting>
  <conditionalFormatting sqref="BA782">
    <cfRule type="expression" dxfId="24604" priority="354">
      <formula>$AY782="N.D."</formula>
    </cfRule>
  </conditionalFormatting>
  <conditionalFormatting sqref="AW782">
    <cfRule type="expression" dxfId="24603" priority="350">
      <formula>$M782="NON DEFINED"</formula>
    </cfRule>
    <cfRule type="expression" dxfId="24602" priority="351">
      <formula>$AZ782="N.D."</formula>
    </cfRule>
    <cfRule type="expression" dxfId="24601" priority="352">
      <formula>$AY782="N.D."</formula>
    </cfRule>
  </conditionalFormatting>
  <conditionalFormatting sqref="AW782">
    <cfRule type="expression" dxfId="24600" priority="339">
      <formula>$A782="Overhead Cable"</formula>
    </cfRule>
    <cfRule type="expression" dxfId="24599" priority="340">
      <formula>$A782="Level Crossing"</formula>
    </cfRule>
    <cfRule type="expression" dxfId="24598" priority="341">
      <formula>$A782="Neutral Section"</formula>
    </cfRule>
    <cfRule type="expression" dxfId="24597" priority="342">
      <formula>$A782="Tunnel"</formula>
    </cfRule>
    <cfRule type="expression" dxfId="24596" priority="343">
      <formula>$A782="Bridge"</formula>
    </cfRule>
    <cfRule type="expression" dxfId="24595" priority="344">
      <formula>$A782="Drainage Works"</formula>
    </cfRule>
    <cfRule type="expression" dxfId="24594" priority="345">
      <formula>$A782="Underpass"</formula>
    </cfRule>
    <cfRule type="expression" dxfId="24593" priority="346">
      <formula>$A782="Overcrossing"</formula>
    </cfRule>
    <cfRule type="expression" dxfId="24592" priority="347">
      <formula>$A782="Overpass"</formula>
    </cfRule>
    <cfRule type="expression" dxfId="24591" priority="348">
      <formula>$A782="Station"</formula>
    </cfRule>
    <cfRule type="expression" dxfId="24590" priority="349">
      <formula>$A782="Overlap between sections"</formula>
    </cfRule>
  </conditionalFormatting>
  <conditionalFormatting sqref="AX782">
    <cfRule type="expression" dxfId="24589" priority="336">
      <formula>$M782="NON DEFINED"</formula>
    </cfRule>
    <cfRule type="expression" dxfId="24588" priority="337">
      <formula>$AZ782="N.D."</formula>
    </cfRule>
    <cfRule type="expression" dxfId="24587" priority="338">
      <formula>$AY782="N.D."</formula>
    </cfRule>
  </conditionalFormatting>
  <conditionalFormatting sqref="AX782">
    <cfRule type="expression" dxfId="24586" priority="325">
      <formula>$A782="Overhead Cable"</formula>
    </cfRule>
    <cfRule type="expression" dxfId="24585" priority="326">
      <formula>$A782="Level Crossing"</formula>
    </cfRule>
    <cfRule type="expression" dxfId="24584" priority="327">
      <formula>$A782="Neutral Section"</formula>
    </cfRule>
    <cfRule type="expression" dxfId="24583" priority="328">
      <formula>$A782="Tunnel"</formula>
    </cfRule>
    <cfRule type="expression" dxfId="24582" priority="329">
      <formula>$A782="Bridge"</formula>
    </cfRule>
    <cfRule type="expression" dxfId="24581" priority="330">
      <formula>$A782="Drainage Works"</formula>
    </cfRule>
    <cfRule type="expression" dxfId="24580" priority="331">
      <formula>$A782="Underpass"</formula>
    </cfRule>
    <cfRule type="expression" dxfId="24579" priority="332">
      <formula>$A782="Overcrossing"</formula>
    </cfRule>
    <cfRule type="expression" dxfId="24578" priority="333">
      <formula>$A782="Overpass"</formula>
    </cfRule>
    <cfRule type="expression" dxfId="24577" priority="334">
      <formula>$A782="Station"</formula>
    </cfRule>
    <cfRule type="expression" dxfId="24576" priority="335">
      <formula>$A782="Overlap between sections"</formula>
    </cfRule>
  </conditionalFormatting>
  <conditionalFormatting sqref="AY1218:AZ1218">
    <cfRule type="expression" dxfId="24575" priority="314">
      <formula>$A1218="Overhead Cable"</formula>
    </cfRule>
    <cfRule type="expression" dxfId="24574" priority="315">
      <formula>$A1218="Level Crossing"</formula>
    </cfRule>
    <cfRule type="expression" dxfId="24573" priority="316">
      <formula>$A1218="Neutral Section"</formula>
    </cfRule>
    <cfRule type="expression" dxfId="24572" priority="317">
      <formula>$A1218="Tunnel"</formula>
    </cfRule>
    <cfRule type="expression" dxfId="24571" priority="318">
      <formula>$A1218="Bridge"</formula>
    </cfRule>
    <cfRule type="expression" dxfId="24570" priority="319">
      <formula>$A1218="Drainage Works"</formula>
    </cfRule>
    <cfRule type="expression" dxfId="24569" priority="320">
      <formula>$A1218="Underpass"</formula>
    </cfRule>
    <cfRule type="expression" dxfId="24568" priority="321">
      <formula>$A1218="Overcrossing"</formula>
    </cfRule>
    <cfRule type="expression" dxfId="24567" priority="322">
      <formula>$A1218="Overpass"</formula>
    </cfRule>
    <cfRule type="expression" dxfId="24566" priority="323">
      <formula>$A1218="Station"</formula>
    </cfRule>
    <cfRule type="expression" dxfId="24565" priority="324">
      <formula>$A1218="Overlap between sections"</formula>
    </cfRule>
  </conditionalFormatting>
  <conditionalFormatting sqref="AY1218:AZ1218">
    <cfRule type="expression" dxfId="24564" priority="309">
      <formula>$M1218="NON DEFINED"</formula>
    </cfRule>
    <cfRule type="expression" dxfId="24563" priority="310">
      <formula>$AZ1218="N.D."</formula>
    </cfRule>
    <cfRule type="expression" dxfId="24562" priority="311">
      <formula>$AY1218="N.D."</formula>
    </cfRule>
  </conditionalFormatting>
  <conditionalFormatting sqref="BD1218">
    <cfRule type="containsText" dxfId="24561" priority="308" operator="containsText" text="Poner a mano">
      <formula>NOT(ISERROR(SEARCH("Poner a mano",BD1218)))</formula>
    </cfRule>
  </conditionalFormatting>
  <conditionalFormatting sqref="AW1218">
    <cfRule type="expression" dxfId="24560" priority="302">
      <formula>$M1218="NON DEFINED"</formula>
    </cfRule>
    <cfRule type="expression" dxfId="24559" priority="303">
      <formula>$AZ1218="N.D."</formula>
    </cfRule>
    <cfRule type="expression" dxfId="24558" priority="304">
      <formula>$AY1218="N.D."</formula>
    </cfRule>
  </conditionalFormatting>
  <conditionalFormatting sqref="AW1218">
    <cfRule type="expression" dxfId="24557" priority="291">
      <formula>$A1218="Overhead Cable"</formula>
    </cfRule>
    <cfRule type="expression" dxfId="24556" priority="292">
      <formula>$A1218="Level Crossing"</formula>
    </cfRule>
    <cfRule type="expression" dxfId="24555" priority="293">
      <formula>$A1218="Neutral Section"</formula>
    </cfRule>
    <cfRule type="expression" dxfId="24554" priority="294">
      <formula>$A1218="Tunnel"</formula>
    </cfRule>
    <cfRule type="expression" dxfId="24553" priority="295">
      <formula>$A1218="Bridge"</formula>
    </cfRule>
    <cfRule type="expression" dxfId="24552" priority="296">
      <formula>$A1218="Drainage Works"</formula>
    </cfRule>
    <cfRule type="expression" dxfId="24551" priority="297">
      <formula>$A1218="Underpass"</formula>
    </cfRule>
    <cfRule type="expression" dxfId="24550" priority="298">
      <formula>$A1218="Overcrossing"</formula>
    </cfRule>
    <cfRule type="expression" dxfId="24549" priority="299">
      <formula>$A1218="Overpass"</formula>
    </cfRule>
    <cfRule type="expression" dxfId="24548" priority="300">
      <formula>$A1218="Station"</formula>
    </cfRule>
    <cfRule type="expression" dxfId="24547" priority="301">
      <formula>$A1218="Overlap between sections"</formula>
    </cfRule>
  </conditionalFormatting>
  <conditionalFormatting sqref="AX1218">
    <cfRule type="expression" dxfId="24546" priority="288">
      <formula>$M1218="NON DEFINED"</formula>
    </cfRule>
    <cfRule type="expression" dxfId="24545" priority="289">
      <formula>$AZ1218="N.D."</formula>
    </cfRule>
    <cfRule type="expression" dxfId="24544" priority="290">
      <formula>$AY1218="N.D."</formula>
    </cfRule>
  </conditionalFormatting>
  <conditionalFormatting sqref="AX1218">
    <cfRule type="expression" dxfId="24543" priority="277">
      <formula>$A1218="Overhead Cable"</formula>
    </cfRule>
    <cfRule type="expression" dxfId="24542" priority="278">
      <formula>$A1218="Level Crossing"</formula>
    </cfRule>
    <cfRule type="expression" dxfId="24541" priority="279">
      <formula>$A1218="Neutral Section"</formula>
    </cfRule>
    <cfRule type="expression" dxfId="24540" priority="280">
      <formula>$A1218="Tunnel"</formula>
    </cfRule>
    <cfRule type="expression" dxfId="24539" priority="281">
      <formula>$A1218="Bridge"</formula>
    </cfRule>
    <cfRule type="expression" dxfId="24538" priority="282">
      <formula>$A1218="Drainage Works"</formula>
    </cfRule>
    <cfRule type="expression" dxfId="24537" priority="283">
      <formula>$A1218="Underpass"</formula>
    </cfRule>
    <cfRule type="expression" dxfId="24536" priority="284">
      <formula>$A1218="Overcrossing"</formula>
    </cfRule>
    <cfRule type="expression" dxfId="24535" priority="285">
      <formula>$A1218="Overpass"</formula>
    </cfRule>
    <cfRule type="expression" dxfId="24534" priority="286">
      <formula>$A1218="Station"</formula>
    </cfRule>
    <cfRule type="expression" dxfId="24533" priority="287">
      <formula>$A1218="Overlap between sections"</formula>
    </cfRule>
  </conditionalFormatting>
  <conditionalFormatting sqref="AY1220:AZ1220">
    <cfRule type="expression" dxfId="24532" priority="266">
      <formula>$A1220="Overhead Cable"</formula>
    </cfRule>
    <cfRule type="expression" dxfId="24531" priority="267">
      <formula>$A1220="Level Crossing"</formula>
    </cfRule>
    <cfRule type="expression" dxfId="24530" priority="268">
      <formula>$A1220="Neutral Section"</formula>
    </cfRule>
    <cfRule type="expression" dxfId="24529" priority="269">
      <formula>$A1220="Tunnel"</formula>
    </cfRule>
    <cfRule type="expression" dxfId="24528" priority="270">
      <formula>$A1220="Bridge"</formula>
    </cfRule>
    <cfRule type="expression" dxfId="24527" priority="271">
      <formula>$A1220="Drainage Works"</formula>
    </cfRule>
    <cfRule type="expression" dxfId="24526" priority="272">
      <formula>$A1220="Underpass"</formula>
    </cfRule>
    <cfRule type="expression" dxfId="24525" priority="273">
      <formula>$A1220="Overcrossing"</formula>
    </cfRule>
    <cfRule type="expression" dxfId="24524" priority="274">
      <formula>$A1220="Overpass"</formula>
    </cfRule>
    <cfRule type="expression" dxfId="24523" priority="275">
      <formula>$A1220="Station"</formula>
    </cfRule>
    <cfRule type="expression" dxfId="24522" priority="276">
      <formula>$A1220="Overlap between sections"</formula>
    </cfRule>
  </conditionalFormatting>
  <conditionalFormatting sqref="AY1220:AZ1220">
    <cfRule type="expression" dxfId="24521" priority="261">
      <formula>$M1220="NON DEFINED"</formula>
    </cfRule>
    <cfRule type="expression" dxfId="24520" priority="262">
      <formula>$AZ1220="N.D."</formula>
    </cfRule>
    <cfRule type="expression" dxfId="24519" priority="263">
      <formula>$AY1220="N.D."</formula>
    </cfRule>
  </conditionalFormatting>
  <conditionalFormatting sqref="BD1220">
    <cfRule type="containsText" dxfId="24518" priority="260" operator="containsText" text="Poner a mano">
      <formula>NOT(ISERROR(SEARCH("Poner a mano",BD1220)))</formula>
    </cfRule>
  </conditionalFormatting>
  <conditionalFormatting sqref="AW1220">
    <cfRule type="expression" dxfId="24517" priority="254">
      <formula>$M1220="NON DEFINED"</formula>
    </cfRule>
    <cfRule type="expression" dxfId="24516" priority="255">
      <formula>$AZ1220="N.D."</formula>
    </cfRule>
    <cfRule type="expression" dxfId="24515" priority="256">
      <formula>$AY1220="N.D."</formula>
    </cfRule>
  </conditionalFormatting>
  <conditionalFormatting sqref="AW1220">
    <cfRule type="expression" dxfId="24514" priority="243">
      <formula>$A1220="Overhead Cable"</formula>
    </cfRule>
    <cfRule type="expression" dxfId="24513" priority="244">
      <formula>$A1220="Level Crossing"</formula>
    </cfRule>
    <cfRule type="expression" dxfId="24512" priority="245">
      <formula>$A1220="Neutral Section"</formula>
    </cfRule>
    <cfRule type="expression" dxfId="24511" priority="246">
      <formula>$A1220="Tunnel"</formula>
    </cfRule>
    <cfRule type="expression" dxfId="24510" priority="247">
      <formula>$A1220="Bridge"</formula>
    </cfRule>
    <cfRule type="expression" dxfId="24509" priority="248">
      <formula>$A1220="Drainage Works"</formula>
    </cfRule>
    <cfRule type="expression" dxfId="24508" priority="249">
      <formula>$A1220="Underpass"</formula>
    </cfRule>
    <cfRule type="expression" dxfId="24507" priority="250">
      <formula>$A1220="Overcrossing"</formula>
    </cfRule>
    <cfRule type="expression" dxfId="24506" priority="251">
      <formula>$A1220="Overpass"</formula>
    </cfRule>
    <cfRule type="expression" dxfId="24505" priority="252">
      <formula>$A1220="Station"</formula>
    </cfRule>
    <cfRule type="expression" dxfId="24504" priority="253">
      <formula>$A1220="Overlap between sections"</formula>
    </cfRule>
  </conditionalFormatting>
  <conditionalFormatting sqref="AX1220">
    <cfRule type="expression" dxfId="24503" priority="240">
      <formula>$M1220="NON DEFINED"</formula>
    </cfRule>
    <cfRule type="expression" dxfId="24502" priority="241">
      <formula>$AZ1220="N.D."</formula>
    </cfRule>
    <cfRule type="expression" dxfId="24501" priority="242">
      <formula>$AY1220="N.D."</formula>
    </cfRule>
  </conditionalFormatting>
  <conditionalFormatting sqref="AX1220">
    <cfRule type="expression" dxfId="24500" priority="229">
      <formula>$A1220="Overhead Cable"</formula>
    </cfRule>
    <cfRule type="expression" dxfId="24499" priority="230">
      <formula>$A1220="Level Crossing"</formula>
    </cfRule>
    <cfRule type="expression" dxfId="24498" priority="231">
      <formula>$A1220="Neutral Section"</formula>
    </cfRule>
    <cfRule type="expression" dxfId="24497" priority="232">
      <formula>$A1220="Tunnel"</formula>
    </cfRule>
    <cfRule type="expression" dxfId="24496" priority="233">
      <formula>$A1220="Bridge"</formula>
    </cfRule>
    <cfRule type="expression" dxfId="24495" priority="234">
      <formula>$A1220="Drainage Works"</formula>
    </cfRule>
    <cfRule type="expression" dxfId="24494" priority="235">
      <formula>$A1220="Underpass"</formula>
    </cfRule>
    <cfRule type="expression" dxfId="24493" priority="236">
      <formula>$A1220="Overcrossing"</formula>
    </cfRule>
    <cfRule type="expression" dxfId="24492" priority="237">
      <formula>$A1220="Overpass"</formula>
    </cfRule>
    <cfRule type="expression" dxfId="24491" priority="238">
      <formula>$A1220="Station"</formula>
    </cfRule>
    <cfRule type="expression" dxfId="24490" priority="239">
      <formula>$A1220="Overlap between sections"</formula>
    </cfRule>
  </conditionalFormatting>
  <conditionalFormatting sqref="BA1217:BC1221">
    <cfRule type="expression" dxfId="24489" priority="227">
      <formula>$BE1217="A"</formula>
    </cfRule>
    <cfRule type="expression" dxfId="24488" priority="228">
      <formula>$BE1217="R"</formula>
    </cfRule>
  </conditionalFormatting>
  <conditionalFormatting sqref="BC1217:BC1221">
    <cfRule type="expression" dxfId="24487" priority="226">
      <formula>$M1217="U.S. N.D."</formula>
    </cfRule>
  </conditionalFormatting>
  <conditionalFormatting sqref="BB1217:BB1221">
    <cfRule type="expression" dxfId="24486" priority="224">
      <formula>$AZ1217="N.D."</formula>
    </cfRule>
  </conditionalFormatting>
  <conditionalFormatting sqref="BA1217:BA1221">
    <cfRule type="expression" dxfId="24485" priority="225">
      <formula>$AY1217="N.D."</formula>
    </cfRule>
  </conditionalFormatting>
  <conditionalFormatting sqref="BE1274 BE1276:BE1402">
    <cfRule type="containsText" dxfId="24484" priority="222" operator="containsText" text="a">
      <formula>NOT(ISERROR(SEARCH("a",BE1274)))</formula>
    </cfRule>
    <cfRule type="containsText" dxfId="24483" priority="223" operator="containsText" text="R">
      <formula>NOT(ISERROR(SEARCH("R",BE1274)))</formula>
    </cfRule>
  </conditionalFormatting>
  <conditionalFormatting sqref="BF1277:BG1277 BF1282:BG1282 BF1287:BG1287 BF1292:BG1292 BF1297:BG1297 BF1302:BG1302 BF1307:BG1307 BF1312:BG1312 BF1317:BG1317 BF1322:BG1322 BF1327:BG1327 BF1332:BG1332 BF1337:BG1337 BF1342:BG1342 BF1347:BG1347 BF1352:BG1352 BF1357:BG1357 BF1362:BG1362 BF1367:BG1367 BF1372:BG1372 BF1377:BG1377 BF1382:BG1382 BF1387:BG1387 BF1392:BG1392 BF1397:BG1397 BF1402:BG1402 BF1279:BG1280 BF1284:BG1285 BF1289:BG1290 BF1294:BG1295 BF1299:BG1300 BF1304:BG1305 BF1309:BG1310 BF1314:BG1315 BF1319:BG1320 BF1324:BG1325 BF1329:BG1330 BF1334:BG1335 BF1339:BG1340 BF1344:BG1345 BF1349:BG1350 BF1354:BG1355 BF1359:BG1360 BF1364:BG1365 BF1369:BG1370 BF1374:BG1375 BF1379:BG1380 BF1384:BG1385 BF1389:BG1390 BF1394:BG1395 BF1399:BG1400 BI1277 BI1282 BI1287 BI1292 BI1297 BI1302 BI1307 BI1312 BI1317 BI1322 BI1327 BI1332 BI1337 BI1342 BI1347 BI1352 BI1357 BI1362 BI1367 BI1372 BI1377 BI1382 BI1387 BI1392 BI1397 BI1402 BI1279:BI1280 BI1284:BI1285 BI1289:BI1290 BI1294:BI1295 BI1299:BI1300 BI1304:BI1305 BI1309:BI1310 BI1314:BI1315 BI1319:BI1320 BI1324:BI1325 BI1329:BI1330 BI1334:BI1335 BI1339:BI1340 BI1344:BI1345 BI1349:BI1350 BI1354:BI1355 BI1359:BI1360 BI1364:BI1365 BI1369:BI1370 BI1374:BI1375 BI1379:BI1380 BI1384:BI1385 BI1389:BI1390 BI1394:BI1395 BI1399:BI1400">
    <cfRule type="containsBlanks" dxfId="24482" priority="199">
      <formula>LEN(TRIM(BF1277))=0</formula>
    </cfRule>
  </conditionalFormatting>
  <conditionalFormatting sqref="AW1278 AW1283 AW1288 AW1293 AW1298 AW1303 AW1308 AW1313 AW1318 AW1323 AW1328 AW1333 AW1338 AW1343 AW1348 AW1353 AW1358 AW1363 AW1368 AW1373 AW1378 AW1383 AW1388 AW1393 AW1398 AW1276 AW1281 AW1286 AW1291 AW1296 AW1301 AW1306 AW1311 AW1316 AW1321 AW1326 AW1331 AW1336 AW1341 AW1346 AW1351 AW1356 AW1361 AW1366 AW1371 AW1376 AW1381 AW1386 AW1391 AW1396 AW1401">
    <cfRule type="expression" dxfId="24481" priority="196">
      <formula>$M1276="NON DEFINED"</formula>
    </cfRule>
    <cfRule type="expression" dxfId="24480" priority="197">
      <formula>$AZ1276="N.D."</formula>
    </cfRule>
    <cfRule type="expression" dxfId="24479" priority="198">
      <formula>$AY1276="N.D."</formula>
    </cfRule>
  </conditionalFormatting>
  <conditionalFormatting sqref="AW1278 AW1283 AW1288 AW1293 AW1298 AW1303 AW1308 AW1313 AW1318 AW1323 AW1328 AW1333 AW1338 AW1343 AW1348 AW1353 AW1358 AW1363 AW1368 AW1373 AW1378 AW1383 AW1388 AW1393 AW1398 AW1276 AW1281 AW1286 AW1291 AW1296 AW1301 AW1306 AW1311 AW1316 AW1321 AW1326 AW1331 AW1336 AW1341 AW1346 AW1351 AW1356 AW1361 AW1366 AW1371 AW1376 AW1381 AW1386 AW1391 AW1396 AW1401">
    <cfRule type="expression" dxfId="24478" priority="185">
      <formula>$A1276="Overhead Cable"</formula>
    </cfRule>
    <cfRule type="expression" dxfId="24477" priority="186">
      <formula>$A1276="Level Crossing"</formula>
    </cfRule>
    <cfRule type="expression" dxfId="24476" priority="187">
      <formula>$A1276="Neutral Section"</formula>
    </cfRule>
    <cfRule type="expression" dxfId="24475" priority="188">
      <formula>$A1276="Tunnel"</formula>
    </cfRule>
    <cfRule type="expression" dxfId="24474" priority="189">
      <formula>$A1276="Bridge"</formula>
    </cfRule>
    <cfRule type="expression" dxfId="24473" priority="190">
      <formula>$A1276="Drainage Works"</formula>
    </cfRule>
    <cfRule type="expression" dxfId="24472" priority="191">
      <formula>$A1276="Underpass"</formula>
    </cfRule>
    <cfRule type="expression" dxfId="24471" priority="192">
      <formula>$A1276="Overcrossing"</formula>
    </cfRule>
    <cfRule type="expression" dxfId="24470" priority="193">
      <formula>$A1276="Overpass"</formula>
    </cfRule>
    <cfRule type="expression" dxfId="24469" priority="194">
      <formula>$A1276="Station"</formula>
    </cfRule>
    <cfRule type="expression" dxfId="24468" priority="195">
      <formula>$A1276="Overlap between sections"</formula>
    </cfRule>
  </conditionalFormatting>
  <conditionalFormatting sqref="AX1278 AX1283 AX1288 AX1293 AX1298 AX1303 AX1308 AX1313 AX1318 AX1323 AX1328 AX1333 AX1338 AX1343 AX1348 AX1353 AX1358 AX1363 AX1368 AX1373 AX1378 AX1383 AX1388 AX1393 AX1398 AX1276 AX1281 AX1286 AX1291 AX1296 AX1301 AX1306 AX1311 AX1316 AX1321 AX1326 AX1331 AX1336 AX1341 AX1346 AX1351 AX1356 AX1361 AX1366 AX1371 AX1376 AX1381 AX1386 AX1391 AX1396 AX1401">
    <cfRule type="expression" dxfId="24467" priority="182">
      <formula>$M1276="NON DEFINED"</formula>
    </cfRule>
    <cfRule type="expression" dxfId="24466" priority="183">
      <formula>$AZ1276="N.D."</formula>
    </cfRule>
    <cfRule type="expression" dxfId="24465" priority="184">
      <formula>$AY1276="N.D."</formula>
    </cfRule>
  </conditionalFormatting>
  <conditionalFormatting sqref="AX1278 AX1283 AX1288 AX1293 AX1298 AX1303 AX1308 AX1313 AX1318 AX1323 AX1328 AX1333 AX1338 AX1343 AX1348 AX1353 AX1358 AX1363 AX1368 AX1373 AX1378 AX1383 AX1388 AX1393 AX1398 AX1276 AX1281 AX1286 AX1291 AX1296 AX1301 AX1306 AX1311 AX1316 AX1321 AX1326 AX1331 AX1336 AX1341 AX1346 AX1351 AX1356 AX1361 AX1366 AX1371 AX1376 AX1381 AX1386 AX1391 AX1396 AX1401">
    <cfRule type="expression" dxfId="24464" priority="171">
      <formula>$A1276="Overhead Cable"</formula>
    </cfRule>
    <cfRule type="expression" dxfId="24463" priority="172">
      <formula>$A1276="Level Crossing"</formula>
    </cfRule>
    <cfRule type="expression" dxfId="24462" priority="173">
      <formula>$A1276="Neutral Section"</formula>
    </cfRule>
    <cfRule type="expression" dxfId="24461" priority="174">
      <formula>$A1276="Tunnel"</formula>
    </cfRule>
    <cfRule type="expression" dxfId="24460" priority="175">
      <formula>$A1276="Bridge"</formula>
    </cfRule>
    <cfRule type="expression" dxfId="24459" priority="176">
      <formula>$A1276="Drainage Works"</formula>
    </cfRule>
    <cfRule type="expression" dxfId="24458" priority="177">
      <formula>$A1276="Underpass"</formula>
    </cfRule>
    <cfRule type="expression" dxfId="24457" priority="178">
      <formula>$A1276="Overcrossing"</formula>
    </cfRule>
    <cfRule type="expression" dxfId="24456" priority="179">
      <formula>$A1276="Overpass"</formula>
    </cfRule>
    <cfRule type="expression" dxfId="24455" priority="180">
      <formula>$A1276="Station"</formula>
    </cfRule>
    <cfRule type="expression" dxfId="24454" priority="181">
      <formula>$A1276="Overlap between sections"</formula>
    </cfRule>
  </conditionalFormatting>
  <conditionalFormatting sqref="AW1277 AW1282 AW1287 AW1292 AW1297 AW1302 AW1307 AW1312 AW1317 AW1322 AW1327 AW1332 AW1337 AW1342 AW1347 AW1352 AW1357 AW1362 AW1367 AW1372 AW1377 AW1382 AW1387 AW1392 AW1397 AW1402">
    <cfRule type="expression" dxfId="24453" priority="168">
      <formula>$M1277="NON DEFINED"</formula>
    </cfRule>
    <cfRule type="expression" dxfId="24452" priority="169">
      <formula>$AZ1277="N.D."</formula>
    </cfRule>
    <cfRule type="expression" dxfId="24451" priority="170">
      <formula>$AY1277="N.D."</formula>
    </cfRule>
  </conditionalFormatting>
  <conditionalFormatting sqref="AW1277 AW1282 AW1287 AW1292 AW1297 AW1302 AW1307 AW1312 AW1317 AW1322 AW1327 AW1332 AW1337 AW1342 AW1347 AW1352 AW1357 AW1362 AW1367 AW1372 AW1377 AW1382 AW1387 AW1392 AW1397 AW1402">
    <cfRule type="expression" dxfId="24450" priority="157">
      <formula>$A1277="Overhead Cable"</formula>
    </cfRule>
    <cfRule type="expression" dxfId="24449" priority="158">
      <formula>$A1277="Level Crossing"</formula>
    </cfRule>
    <cfRule type="expression" dxfId="24448" priority="159">
      <formula>$A1277="Neutral Section"</formula>
    </cfRule>
    <cfRule type="expression" dxfId="24447" priority="160">
      <formula>$A1277="Tunnel"</formula>
    </cfRule>
    <cfRule type="expression" dxfId="24446" priority="161">
      <formula>$A1277="Bridge"</formula>
    </cfRule>
    <cfRule type="expression" dxfId="24445" priority="162">
      <formula>$A1277="Drainage Works"</formula>
    </cfRule>
    <cfRule type="expression" dxfId="24444" priority="163">
      <formula>$A1277="Underpass"</formula>
    </cfRule>
    <cfRule type="expression" dxfId="24443" priority="164">
      <formula>$A1277="Overcrossing"</formula>
    </cfRule>
    <cfRule type="expression" dxfId="24442" priority="165">
      <formula>$A1277="Overpass"</formula>
    </cfRule>
    <cfRule type="expression" dxfId="24441" priority="166">
      <formula>$A1277="Station"</formula>
    </cfRule>
    <cfRule type="expression" dxfId="24440" priority="167">
      <formula>$A1277="Overlap between sections"</formula>
    </cfRule>
  </conditionalFormatting>
  <conditionalFormatting sqref="AX1277 AX1282 AX1287 AX1292 AX1297 AX1302 AX1307 AX1312 AX1317 AX1322 AX1327 AX1332 AX1337 AX1342 AX1347 AX1352 AX1357 AX1362 AX1367 AX1372 AX1377 AX1382 AX1387 AX1392 AX1397 AX1402">
    <cfRule type="expression" dxfId="24439" priority="154">
      <formula>$M1277="NON DEFINED"</formula>
    </cfRule>
    <cfRule type="expression" dxfId="24438" priority="155">
      <formula>$AZ1277="N.D."</formula>
    </cfRule>
    <cfRule type="expression" dxfId="24437" priority="156">
      <formula>$AY1277="N.D."</formula>
    </cfRule>
  </conditionalFormatting>
  <conditionalFormatting sqref="AX1277 AX1282 AX1287 AX1292 AX1297 AX1302 AX1307 AX1312 AX1317 AX1322 AX1327 AX1332 AX1337 AX1342 AX1347 AX1352 AX1357 AX1362 AX1367 AX1372 AX1377 AX1382 AX1387 AX1392 AX1397 AX1402">
    <cfRule type="expression" dxfId="24436" priority="143">
      <formula>$A1277="Overhead Cable"</formula>
    </cfRule>
    <cfRule type="expression" dxfId="24435" priority="144">
      <formula>$A1277="Level Crossing"</formula>
    </cfRule>
    <cfRule type="expression" dxfId="24434" priority="145">
      <formula>$A1277="Neutral Section"</formula>
    </cfRule>
    <cfRule type="expression" dxfId="24433" priority="146">
      <formula>$A1277="Tunnel"</formula>
    </cfRule>
    <cfRule type="expression" dxfId="24432" priority="147">
      <formula>$A1277="Bridge"</formula>
    </cfRule>
    <cfRule type="expression" dxfId="24431" priority="148">
      <formula>$A1277="Drainage Works"</formula>
    </cfRule>
    <cfRule type="expression" dxfId="24430" priority="149">
      <formula>$A1277="Underpass"</formula>
    </cfRule>
    <cfRule type="expression" dxfId="24429" priority="150">
      <formula>$A1277="Overcrossing"</formula>
    </cfRule>
    <cfRule type="expression" dxfId="24428" priority="151">
      <formula>$A1277="Overpass"</formula>
    </cfRule>
    <cfRule type="expression" dxfId="24427" priority="152">
      <formula>$A1277="Station"</formula>
    </cfRule>
    <cfRule type="expression" dxfId="24426" priority="153">
      <formula>$A1277="Overlap between sections"</formula>
    </cfRule>
  </conditionalFormatting>
  <conditionalFormatting sqref="AW1279 AW1284 AW1289 AW1294 AW1299 AW1304 AW1309 AW1314 AW1319 AW1324 AW1329 AW1334 AW1339 AW1344 AW1349 AW1354 AW1359 AW1364 AW1369 AW1374 AW1379 AW1384 AW1389 AW1394 AW1399">
    <cfRule type="expression" dxfId="24425" priority="140">
      <formula>$M1279="NON DEFINED"</formula>
    </cfRule>
    <cfRule type="expression" dxfId="24424" priority="141">
      <formula>$AZ1279="N.D."</formula>
    </cfRule>
    <cfRule type="expression" dxfId="24423" priority="142">
      <formula>$AY1279="N.D."</formula>
    </cfRule>
  </conditionalFormatting>
  <conditionalFormatting sqref="AW1279 AW1284 AW1289 AW1294 AW1299 AW1304 AW1309 AW1314 AW1319 AW1324 AW1329 AW1334 AW1339 AW1344 AW1349 AW1354 AW1359 AW1364 AW1369 AW1374 AW1379 AW1384 AW1389 AW1394 AW1399">
    <cfRule type="expression" dxfId="24422" priority="129">
      <formula>$A1279="Overhead Cable"</formula>
    </cfRule>
    <cfRule type="expression" dxfId="24421" priority="130">
      <formula>$A1279="Level Crossing"</formula>
    </cfRule>
    <cfRule type="expression" dxfId="24420" priority="131">
      <formula>$A1279="Neutral Section"</formula>
    </cfRule>
    <cfRule type="expression" dxfId="24419" priority="132">
      <formula>$A1279="Tunnel"</formula>
    </cfRule>
    <cfRule type="expression" dxfId="24418" priority="133">
      <formula>$A1279="Bridge"</formula>
    </cfRule>
    <cfRule type="expression" dxfId="24417" priority="134">
      <formula>$A1279="Drainage Works"</formula>
    </cfRule>
    <cfRule type="expression" dxfId="24416" priority="135">
      <formula>$A1279="Underpass"</formula>
    </cfRule>
    <cfRule type="expression" dxfId="24415" priority="136">
      <formula>$A1279="Overcrossing"</formula>
    </cfRule>
    <cfRule type="expression" dxfId="24414" priority="137">
      <formula>$A1279="Overpass"</formula>
    </cfRule>
    <cfRule type="expression" dxfId="24413" priority="138">
      <formula>$A1279="Station"</formula>
    </cfRule>
    <cfRule type="expression" dxfId="24412" priority="139">
      <formula>$A1279="Overlap between sections"</formula>
    </cfRule>
  </conditionalFormatting>
  <conditionalFormatting sqref="AX1279 AX1284 AX1289 AX1294 AX1299 AX1304 AX1309 AX1314 AX1319 AX1324 AX1329 AX1334 AX1339 AX1344 AX1349 AX1354 AX1359 AX1364 AX1369 AX1374 AX1379 AX1384 AX1389 AX1394 AX1399">
    <cfRule type="expression" dxfId="24411" priority="126">
      <formula>$M1279="NON DEFINED"</formula>
    </cfRule>
    <cfRule type="expression" dxfId="24410" priority="127">
      <formula>$AZ1279="N.D."</formula>
    </cfRule>
    <cfRule type="expression" dxfId="24409" priority="128">
      <formula>$AY1279="N.D."</formula>
    </cfRule>
  </conditionalFormatting>
  <conditionalFormatting sqref="AX1279 AX1284 AX1289 AX1294 AX1299 AX1304 AX1309 AX1314 AX1319 AX1324 AX1329 AX1334 AX1339 AX1344 AX1349 AX1354 AX1359 AX1364 AX1369 AX1374 AX1379 AX1384 AX1389 AX1394 AX1399">
    <cfRule type="expression" dxfId="24408" priority="115">
      <formula>$A1279="Overhead Cable"</formula>
    </cfRule>
    <cfRule type="expression" dxfId="24407" priority="116">
      <formula>$A1279="Level Crossing"</formula>
    </cfRule>
    <cfRule type="expression" dxfId="24406" priority="117">
      <formula>$A1279="Neutral Section"</formula>
    </cfRule>
    <cfRule type="expression" dxfId="24405" priority="118">
      <formula>$A1279="Tunnel"</formula>
    </cfRule>
    <cfRule type="expression" dxfId="24404" priority="119">
      <formula>$A1279="Bridge"</formula>
    </cfRule>
    <cfRule type="expression" dxfId="24403" priority="120">
      <formula>$A1279="Drainage Works"</formula>
    </cfRule>
    <cfRule type="expression" dxfId="24402" priority="121">
      <formula>$A1279="Underpass"</formula>
    </cfRule>
    <cfRule type="expression" dxfId="24401" priority="122">
      <formula>$A1279="Overcrossing"</formula>
    </cfRule>
    <cfRule type="expression" dxfId="24400" priority="123">
      <formula>$A1279="Overpass"</formula>
    </cfRule>
    <cfRule type="expression" dxfId="24399" priority="124">
      <formula>$A1279="Station"</formula>
    </cfRule>
    <cfRule type="expression" dxfId="24398" priority="125">
      <formula>$A1279="Overlap between sections"</formula>
    </cfRule>
  </conditionalFormatting>
  <conditionalFormatting sqref="AW1275 AW1280 AW1285 AW1290 AW1295 AW1300 AW1305 AW1310 AW1315 AW1320 AW1325 AW1330 AW1335 AW1340 AW1345 AW1350 AW1355 AW1360 AW1365 AW1370 AW1375 AW1380 AW1385 AW1390 AW1395 AW1400">
    <cfRule type="expression" dxfId="24397" priority="112">
      <formula>$M1275="NON DEFINED"</formula>
    </cfRule>
    <cfRule type="expression" dxfId="24396" priority="113">
      <formula>$AZ1275="N.D."</formula>
    </cfRule>
    <cfRule type="expression" dxfId="24395" priority="114">
      <formula>$AY1275="N.D."</formula>
    </cfRule>
  </conditionalFormatting>
  <conditionalFormatting sqref="AW1275 AW1280 AW1285 AW1290 AW1295 AW1300 AW1305 AW1310 AW1315 AW1320 AW1325 AW1330 AW1335 AW1340 AW1345 AW1350 AW1355 AW1360 AW1365 AW1370 AW1375 AW1380 AW1385 AW1390 AW1395 AW1400">
    <cfRule type="expression" dxfId="24394" priority="101">
      <formula>$A1275="Overhead Cable"</formula>
    </cfRule>
    <cfRule type="expression" dxfId="24393" priority="102">
      <formula>$A1275="Level Crossing"</formula>
    </cfRule>
    <cfRule type="expression" dxfId="24392" priority="103">
      <formula>$A1275="Neutral Section"</formula>
    </cfRule>
    <cfRule type="expression" dxfId="24391" priority="104">
      <formula>$A1275="Tunnel"</formula>
    </cfRule>
    <cfRule type="expression" dxfId="24390" priority="105">
      <formula>$A1275="Bridge"</formula>
    </cfRule>
    <cfRule type="expression" dxfId="24389" priority="106">
      <formula>$A1275="Drainage Works"</formula>
    </cfRule>
    <cfRule type="expression" dxfId="24388" priority="107">
      <formula>$A1275="Underpass"</formula>
    </cfRule>
    <cfRule type="expression" dxfId="24387" priority="108">
      <formula>$A1275="Overcrossing"</formula>
    </cfRule>
    <cfRule type="expression" dxfId="24386" priority="109">
      <formula>$A1275="Overpass"</formula>
    </cfRule>
    <cfRule type="expression" dxfId="24385" priority="110">
      <formula>$A1275="Station"</formula>
    </cfRule>
    <cfRule type="expression" dxfId="24384" priority="111">
      <formula>$A1275="Overlap between sections"</formula>
    </cfRule>
  </conditionalFormatting>
  <conditionalFormatting sqref="AX1275 AX1280 AX1285 AX1290 AX1295 AX1300 AX1305 AX1310 AX1315 AX1320 AX1325 AX1330 AX1335 AX1340 AX1345 AX1350 AX1355 AX1360 AX1365 AX1370 AX1375 AX1380 AX1385 AX1390 AX1395 AX1400">
    <cfRule type="expression" dxfId="24383" priority="98">
      <formula>$M1275="NON DEFINED"</formula>
    </cfRule>
    <cfRule type="expression" dxfId="24382" priority="99">
      <formula>$AZ1275="N.D."</formula>
    </cfRule>
    <cfRule type="expression" dxfId="24381" priority="100">
      <formula>$AY1275="N.D."</formula>
    </cfRule>
  </conditionalFormatting>
  <conditionalFormatting sqref="AX1275 AX1280 AX1285 AX1290 AX1295 AX1300 AX1305 AX1310 AX1315 AX1320 AX1325 AX1330 AX1335 AX1340 AX1345 AX1350 AX1355 AX1360 AX1365 AX1370 AX1375 AX1380 AX1385 AX1390 AX1395 AX1400">
    <cfRule type="expression" dxfId="24380" priority="87">
      <formula>$A1275="Overhead Cable"</formula>
    </cfRule>
    <cfRule type="expression" dxfId="24379" priority="88">
      <formula>$A1275="Level Crossing"</formula>
    </cfRule>
    <cfRule type="expression" dxfId="24378" priority="89">
      <formula>$A1275="Neutral Section"</formula>
    </cfRule>
    <cfRule type="expression" dxfId="24377" priority="90">
      <formula>$A1275="Tunnel"</formula>
    </cfRule>
    <cfRule type="expression" dxfId="24376" priority="91">
      <formula>$A1275="Bridge"</formula>
    </cfRule>
    <cfRule type="expression" dxfId="24375" priority="92">
      <formula>$A1275="Drainage Works"</formula>
    </cfRule>
    <cfRule type="expression" dxfId="24374" priority="93">
      <formula>$A1275="Underpass"</formula>
    </cfRule>
    <cfRule type="expression" dxfId="24373" priority="94">
      <formula>$A1275="Overcrossing"</formula>
    </cfRule>
    <cfRule type="expression" dxfId="24372" priority="95">
      <formula>$A1275="Overpass"</formula>
    </cfRule>
    <cfRule type="expression" dxfId="24371" priority="96">
      <formula>$A1275="Station"</formula>
    </cfRule>
    <cfRule type="expression" dxfId="24370" priority="97">
      <formula>$A1275="Overlap between sections"</formula>
    </cfRule>
  </conditionalFormatting>
  <conditionalFormatting sqref="A1274">
    <cfRule type="expression" dxfId="24369" priority="8506">
      <formula>#REF!="Overhead Cable"</formula>
    </cfRule>
    <cfRule type="expression" dxfId="24368" priority="8507">
      <formula>#REF!="Level Crossing"</formula>
    </cfRule>
    <cfRule type="expression" dxfId="24367" priority="8508">
      <formula>#REF!="Neutral Section"</formula>
    </cfRule>
    <cfRule type="expression" dxfId="24366" priority="8509">
      <formula>#REF!="Tunnel"</formula>
    </cfRule>
    <cfRule type="expression" dxfId="24365" priority="8510">
      <formula>#REF!="Bridge"</formula>
    </cfRule>
    <cfRule type="expression" dxfId="24364" priority="8511">
      <formula>#REF!="Drainage Works"</formula>
    </cfRule>
    <cfRule type="expression" dxfId="24363" priority="8512">
      <formula>#REF!="Underpass"</formula>
    </cfRule>
    <cfRule type="expression" dxfId="24362" priority="8513">
      <formula>#REF!="Overcrossing"</formula>
    </cfRule>
    <cfRule type="expression" dxfId="24361" priority="8514">
      <formula>#REF!="Overpass"</formula>
    </cfRule>
    <cfRule type="expression" dxfId="24360" priority="8515">
      <formula>#REF!="Station"</formula>
    </cfRule>
    <cfRule type="expression" dxfId="24359" priority="8516">
      <formula>#REF!="Overlap between sections"</formula>
    </cfRule>
  </conditionalFormatting>
  <conditionalFormatting sqref="BE536:BE537">
    <cfRule type="containsText" dxfId="24358" priority="80" operator="containsText" text="a">
      <formula>NOT(ISERROR(SEARCH("a",BE536)))</formula>
    </cfRule>
    <cfRule type="containsText" dxfId="24357" priority="81" operator="containsText" text="R">
      <formula>NOT(ISERROR(SEARCH("R",BE536)))</formula>
    </cfRule>
  </conditionalFormatting>
  <conditionalFormatting sqref="AY536:AZ537 A536:AV537">
    <cfRule type="expression" dxfId="24356" priority="69">
      <formula>$A536="Overhead Cable"</formula>
    </cfRule>
    <cfRule type="expression" dxfId="24355" priority="70">
      <formula>$A536="Level Crossing"</formula>
    </cfRule>
    <cfRule type="expression" dxfId="24354" priority="71">
      <formula>$A536="Neutral Section"</formula>
    </cfRule>
    <cfRule type="expression" dxfId="24353" priority="72">
      <formula>$A536="Tunnel"</formula>
    </cfRule>
    <cfRule type="expression" dxfId="24352" priority="73">
      <formula>$A536="Bridge"</formula>
    </cfRule>
    <cfRule type="expression" dxfId="24351" priority="74">
      <formula>$A536="Drainage Works"</formula>
    </cfRule>
    <cfRule type="expression" dxfId="24350" priority="75">
      <formula>$A536="Underpass"</formula>
    </cfRule>
    <cfRule type="expression" dxfId="24349" priority="76">
      <formula>$A536="Overcrossing"</formula>
    </cfRule>
    <cfRule type="expression" dxfId="24348" priority="77">
      <formula>$A536="Overpass"</formula>
    </cfRule>
    <cfRule type="expression" dxfId="24347" priority="78">
      <formula>$A536="Station"</formula>
    </cfRule>
    <cfRule type="expression" dxfId="24346" priority="79">
      <formula>$A536="Overlap between sections"</formula>
    </cfRule>
  </conditionalFormatting>
  <conditionalFormatting sqref="BA536:BC537">
    <cfRule type="expression" dxfId="24345" priority="67">
      <formula>$BE536="A"</formula>
    </cfRule>
    <cfRule type="expression" dxfId="24344" priority="68">
      <formula>$BE536="R"</formula>
    </cfRule>
  </conditionalFormatting>
  <conditionalFormatting sqref="AY536:AZ537 B536:AV537">
    <cfRule type="expression" dxfId="24343" priority="64">
      <formula>$M536="NON DEFINED"</formula>
    </cfRule>
    <cfRule type="expression" dxfId="24342" priority="65">
      <formula>$AZ536="N.D."</formula>
    </cfRule>
    <cfRule type="expression" dxfId="24341" priority="66">
      <formula>$AY536="N.D."</formula>
    </cfRule>
  </conditionalFormatting>
  <conditionalFormatting sqref="AN536:AP537">
    <cfRule type="cellIs" dxfId="24340" priority="63" operator="notEqual">
      <formula>5.5</formula>
    </cfRule>
  </conditionalFormatting>
  <conditionalFormatting sqref="B536:B537">
    <cfRule type="expression" dxfId="24339" priority="62">
      <formula>AND($AH536&gt;2499,$AH536&lt;2901)</formula>
    </cfRule>
  </conditionalFormatting>
  <conditionalFormatting sqref="BD536:BD537">
    <cfRule type="containsText" dxfId="24338" priority="61" operator="containsText" text="Poner a mano">
      <formula>NOT(ISERROR(SEARCH("Poner a mano",BD536)))</formula>
    </cfRule>
  </conditionalFormatting>
  <conditionalFormatting sqref="BC536:BC537">
    <cfRule type="expression" dxfId="24337" priority="60">
      <formula>$M536="U.S. N.D."</formula>
    </cfRule>
  </conditionalFormatting>
  <conditionalFormatting sqref="BB536:BB537">
    <cfRule type="expression" dxfId="24336" priority="58">
      <formula>$AZ536="N.D."</formula>
    </cfRule>
  </conditionalFormatting>
  <conditionalFormatting sqref="BA536:BA537">
    <cfRule type="expression" dxfId="24335" priority="59">
      <formula>$AY536="N.D."</formula>
    </cfRule>
  </conditionalFormatting>
  <conditionalFormatting sqref="BF536:BG536 BI536">
    <cfRule type="containsBlanks" dxfId="24334" priority="57">
      <formula>LEN(TRIM(BF536))=0</formula>
    </cfRule>
  </conditionalFormatting>
  <conditionalFormatting sqref="AW536">
    <cfRule type="expression" dxfId="24333" priority="54">
      <formula>$M536="NON DEFINED"</formula>
    </cfRule>
    <cfRule type="expression" dxfId="24332" priority="55">
      <formula>$AZ536="N.D."</formula>
    </cfRule>
    <cfRule type="expression" dxfId="24331" priority="56">
      <formula>$AY536="N.D."</formula>
    </cfRule>
  </conditionalFormatting>
  <conditionalFormatting sqref="AW536">
    <cfRule type="expression" dxfId="24330" priority="43">
      <formula>$A536="Overhead Cable"</formula>
    </cfRule>
    <cfRule type="expression" dxfId="24329" priority="44">
      <formula>$A536="Level Crossing"</formula>
    </cfRule>
    <cfRule type="expression" dxfId="24328" priority="45">
      <formula>$A536="Neutral Section"</formula>
    </cfRule>
    <cfRule type="expression" dxfId="24327" priority="46">
      <formula>$A536="Tunnel"</formula>
    </cfRule>
    <cfRule type="expression" dxfId="24326" priority="47">
      <formula>$A536="Bridge"</formula>
    </cfRule>
    <cfRule type="expression" dxfId="24325" priority="48">
      <formula>$A536="Drainage Works"</formula>
    </cfRule>
    <cfRule type="expression" dxfId="24324" priority="49">
      <formula>$A536="Underpass"</formula>
    </cfRule>
    <cfRule type="expression" dxfId="24323" priority="50">
      <formula>$A536="Overcrossing"</formula>
    </cfRule>
    <cfRule type="expression" dxfId="24322" priority="51">
      <formula>$A536="Overpass"</formula>
    </cfRule>
    <cfRule type="expression" dxfId="24321" priority="52">
      <formula>$A536="Station"</formula>
    </cfRule>
    <cfRule type="expression" dxfId="24320" priority="53">
      <formula>$A536="Overlap between sections"</formula>
    </cfRule>
  </conditionalFormatting>
  <conditionalFormatting sqref="AX536">
    <cfRule type="expression" dxfId="24319" priority="40">
      <formula>$M536="NON DEFINED"</formula>
    </cfRule>
    <cfRule type="expression" dxfId="24318" priority="41">
      <formula>$AZ536="N.D."</formula>
    </cfRule>
    <cfRule type="expression" dxfId="24317" priority="42">
      <formula>$AY536="N.D."</formula>
    </cfRule>
  </conditionalFormatting>
  <conditionalFormatting sqref="AX536">
    <cfRule type="expression" dxfId="24316" priority="29">
      <formula>$A536="Overhead Cable"</formula>
    </cfRule>
    <cfRule type="expression" dxfId="24315" priority="30">
      <formula>$A536="Level Crossing"</formula>
    </cfRule>
    <cfRule type="expression" dxfId="24314" priority="31">
      <formula>$A536="Neutral Section"</formula>
    </cfRule>
    <cfRule type="expression" dxfId="24313" priority="32">
      <formula>$A536="Tunnel"</formula>
    </cfRule>
    <cfRule type="expression" dxfId="24312" priority="33">
      <formula>$A536="Bridge"</formula>
    </cfRule>
    <cfRule type="expression" dxfId="24311" priority="34">
      <formula>$A536="Drainage Works"</formula>
    </cfRule>
    <cfRule type="expression" dxfId="24310" priority="35">
      <formula>$A536="Underpass"</formula>
    </cfRule>
    <cfRule type="expression" dxfId="24309" priority="36">
      <formula>$A536="Overcrossing"</formula>
    </cfRule>
    <cfRule type="expression" dxfId="24308" priority="37">
      <formula>$A536="Overpass"</formula>
    </cfRule>
    <cfRule type="expression" dxfId="24307" priority="38">
      <formula>$A536="Station"</formula>
    </cfRule>
    <cfRule type="expression" dxfId="24306" priority="39">
      <formula>$A536="Overlap between sections"</formula>
    </cfRule>
  </conditionalFormatting>
  <conditionalFormatting sqref="AW537">
    <cfRule type="expression" dxfId="24305" priority="26">
      <formula>$M537="NON DEFINED"</formula>
    </cfRule>
    <cfRule type="expression" dxfId="24304" priority="27">
      <formula>$AZ537="N.D."</formula>
    </cfRule>
    <cfRule type="expression" dxfId="24303" priority="28">
      <formula>$AY537="N.D."</formula>
    </cfRule>
  </conditionalFormatting>
  <conditionalFormatting sqref="AW537">
    <cfRule type="expression" dxfId="24302" priority="15">
      <formula>$A537="Overhead Cable"</formula>
    </cfRule>
    <cfRule type="expression" dxfId="24301" priority="16">
      <formula>$A537="Level Crossing"</formula>
    </cfRule>
    <cfRule type="expression" dxfId="24300" priority="17">
      <formula>$A537="Neutral Section"</formula>
    </cfRule>
    <cfRule type="expression" dxfId="24299" priority="18">
      <formula>$A537="Tunnel"</formula>
    </cfRule>
    <cfRule type="expression" dxfId="24298" priority="19">
      <formula>$A537="Bridge"</formula>
    </cfRule>
    <cfRule type="expression" dxfId="24297" priority="20">
      <formula>$A537="Drainage Works"</formula>
    </cfRule>
    <cfRule type="expression" dxfId="24296" priority="21">
      <formula>$A537="Underpass"</formula>
    </cfRule>
    <cfRule type="expression" dxfId="24295" priority="22">
      <formula>$A537="Overcrossing"</formula>
    </cfRule>
    <cfRule type="expression" dxfId="24294" priority="23">
      <formula>$A537="Overpass"</formula>
    </cfRule>
    <cfRule type="expression" dxfId="24293" priority="24">
      <formula>$A537="Station"</formula>
    </cfRule>
    <cfRule type="expression" dxfId="24292" priority="25">
      <formula>$A537="Overlap between sections"</formula>
    </cfRule>
  </conditionalFormatting>
  <conditionalFormatting sqref="AX537">
    <cfRule type="expression" dxfId="24291" priority="12">
      <formula>$M537="NON DEFINED"</formula>
    </cfRule>
    <cfRule type="expression" dxfId="24290" priority="13">
      <formula>$AZ537="N.D."</formula>
    </cfRule>
    <cfRule type="expression" dxfId="24289" priority="14">
      <formula>$AY537="N.D."</formula>
    </cfRule>
  </conditionalFormatting>
  <conditionalFormatting sqref="AX537">
    <cfRule type="expression" dxfId="24288" priority="1">
      <formula>$A537="Overhead Cable"</formula>
    </cfRule>
    <cfRule type="expression" dxfId="24287" priority="2">
      <formula>$A537="Level Crossing"</formula>
    </cfRule>
    <cfRule type="expression" dxfId="24286" priority="3">
      <formula>$A537="Neutral Section"</formula>
    </cfRule>
    <cfRule type="expression" dxfId="24285" priority="4">
      <formula>$A537="Tunnel"</formula>
    </cfRule>
    <cfRule type="expression" dxfId="24284" priority="5">
      <formula>$A537="Bridge"</formula>
    </cfRule>
    <cfRule type="expression" dxfId="24283" priority="6">
      <formula>$A537="Drainage Works"</formula>
    </cfRule>
    <cfRule type="expression" dxfId="24282" priority="7">
      <formula>$A537="Underpass"</formula>
    </cfRule>
    <cfRule type="expression" dxfId="24281" priority="8">
      <formula>$A537="Overcrossing"</formula>
    </cfRule>
    <cfRule type="expression" dxfId="24280" priority="9">
      <formula>$A537="Overpass"</formula>
    </cfRule>
    <cfRule type="expression" dxfId="24279" priority="10">
      <formula>$A537="Station"</formula>
    </cfRule>
    <cfRule type="expression" dxfId="24278" priority="11">
      <formula>$A537="Overlap between sections"</formula>
    </cfRule>
  </conditionalFormatting>
  <printOptions horizontalCentered="1" gridLines="1"/>
  <pageMargins left="0.39370078740157483" right="0.39370078740157483" top="0.78740157480314965" bottom="0.78740157480314965" header="0.31496062992125984" footer="0.31496062992125984"/>
  <pageSetup paperSize="9" scale="52" fitToHeight="0" orientation="landscape" cellComments="asDisplayed" r:id="rId1"/>
  <headerFooter alignWithMargins="0">
    <oddHeader>&amp;L&amp;G&amp;C
LAYOUT AND EQUIPMENT
EP 04 TRACK 1 
KP 30+300 to 60+910
&amp;R&amp;G</oddHeader>
    <oddFooter>&amp;L&amp;G
&amp;F&amp;C&amp;D&amp;RPag &amp;P of &amp;N</oddFoot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7">
    <tabColor theme="3" tint="0.59999389629810485"/>
    <pageSetUpPr fitToPage="1"/>
  </sheetPr>
  <dimension ref="A1:BK5959"/>
  <sheetViews>
    <sheetView showGridLines="0" view="pageBreakPreview" zoomScale="80" zoomScaleNormal="80" zoomScaleSheetLayoutView="80" workbookViewId="0">
      <pane xSplit="3" ySplit="3" topLeftCell="F4" activePane="bottomRight" state="frozen"/>
      <selection pane="bottomRight" activeCell="K31" sqref="K31"/>
      <selection pane="bottomLeft" activeCell="K31" sqref="K31"/>
      <selection pane="topRight" activeCell="K31" sqref="K31"/>
    </sheetView>
  </sheetViews>
  <sheetFormatPr defaultColWidth="11.42578125" defaultRowHeight="15.75" customHeight="1" zeroHeight="1"/>
  <cols>
    <col min="1" max="1" width="20.7109375" style="85" customWidth="1"/>
    <col min="2" max="2" width="12.7109375" style="8" customWidth="1"/>
    <col min="3" max="3" width="12.7109375" style="84" customWidth="1"/>
    <col min="4" max="5" width="12.7109375" style="8" hidden="1" customWidth="1"/>
    <col min="6" max="6" width="12.7109375" style="86" customWidth="1"/>
    <col min="7" max="7" width="12.7109375" style="8" customWidth="1"/>
    <col min="8" max="8" width="18.7109375" style="8" customWidth="1"/>
    <col min="9" max="9" width="12.7109375" style="13" customWidth="1"/>
    <col min="10" max="10" width="12.7109375" style="84" customWidth="1"/>
    <col min="11" max="11" width="12.7109375" style="8" customWidth="1"/>
    <col min="12" max="13" width="14.7109375" style="8" customWidth="1"/>
    <col min="14" max="16" width="8.7109375" style="8" hidden="1" customWidth="1"/>
    <col min="17" max="19" width="12.7109375" style="8" hidden="1" customWidth="1"/>
    <col min="20" max="28" width="8.7109375" style="8" hidden="1" customWidth="1"/>
    <col min="29" max="31" width="10.7109375" style="8" hidden="1" customWidth="1"/>
    <col min="32" max="36" width="12.7109375" style="8" hidden="1" customWidth="1"/>
    <col min="37" max="38" width="12.7109375" style="8" customWidth="1"/>
    <col min="39" max="39" width="12.7109375" style="8" hidden="1" customWidth="1"/>
    <col min="40" max="45" width="8.7109375" style="8" hidden="1" customWidth="1"/>
    <col min="46" max="46" width="8.7109375" style="16" hidden="1" customWidth="1"/>
    <col min="47" max="48" width="8.7109375" style="8" hidden="1" customWidth="1"/>
    <col min="49" max="52" width="12.7109375" style="8" customWidth="1"/>
    <col min="53" max="55" width="4.7109375" style="8" customWidth="1"/>
    <col min="56" max="56" width="21.7109375" style="8" customWidth="1"/>
    <col min="57" max="57" width="16.28515625" style="8" customWidth="1"/>
    <col min="58" max="61" width="14" style="8" customWidth="1"/>
    <col min="62" max="63" width="11.42578125" style="8" customWidth="1"/>
    <col min="64" max="16384" width="11.42578125" style="8"/>
  </cols>
  <sheetData>
    <row r="1" spans="1:63" s="429" customFormat="1" ht="35.25" customHeight="1" thickBot="1">
      <c r="A1" s="970" t="s">
        <v>932</v>
      </c>
      <c r="B1" s="971"/>
      <c r="C1" s="971"/>
      <c r="D1" s="971"/>
      <c r="E1" s="971"/>
      <c r="F1" s="971"/>
      <c r="G1" s="971"/>
      <c r="H1" s="971"/>
      <c r="I1" s="971"/>
      <c r="J1" s="971"/>
      <c r="K1" s="971"/>
      <c r="L1" s="971"/>
      <c r="M1" s="971"/>
      <c r="N1" s="971"/>
      <c r="O1" s="971"/>
      <c r="P1" s="971"/>
      <c r="Q1" s="971"/>
      <c r="R1" s="971"/>
      <c r="S1" s="971"/>
      <c r="T1" s="971"/>
      <c r="U1" s="971"/>
      <c r="V1" s="971"/>
      <c r="W1" s="971"/>
      <c r="X1" s="971"/>
      <c r="Y1" s="971"/>
      <c r="Z1" s="971"/>
      <c r="AA1" s="971"/>
      <c r="AB1" s="971"/>
      <c r="AC1" s="971"/>
      <c r="AD1" s="971"/>
      <c r="AE1" s="971"/>
      <c r="AF1" s="971"/>
      <c r="AG1" s="971"/>
      <c r="AH1" s="971"/>
      <c r="AI1" s="971"/>
      <c r="AJ1" s="971"/>
      <c r="AK1" s="971"/>
      <c r="AL1" s="971"/>
      <c r="AM1" s="971"/>
      <c r="AN1" s="971"/>
      <c r="AO1" s="971"/>
      <c r="AP1" s="971"/>
      <c r="AQ1" s="971"/>
      <c r="AR1" s="971"/>
      <c r="AS1" s="971"/>
      <c r="AT1" s="971"/>
      <c r="AU1" s="971"/>
      <c r="AV1" s="971"/>
      <c r="AW1" s="971"/>
      <c r="AX1" s="971"/>
      <c r="AY1" s="971"/>
      <c r="AZ1" s="971"/>
      <c r="BA1" s="971"/>
      <c r="BB1" s="971"/>
      <c r="BC1" s="971"/>
      <c r="BD1" s="972"/>
      <c r="BE1" s="430" t="s">
        <v>933</v>
      </c>
      <c r="BF1" s="958" t="s">
        <v>50</v>
      </c>
      <c r="BG1" s="958"/>
      <c r="BH1" s="958"/>
      <c r="BI1" s="958"/>
    </row>
    <row r="2" spans="1:63" s="429" customFormat="1" ht="42" customHeight="1" thickBot="1">
      <c r="A2" s="470" t="s">
        <v>51</v>
      </c>
      <c r="B2" s="469" t="s">
        <v>52</v>
      </c>
      <c r="C2" s="470" t="s">
        <v>53</v>
      </c>
      <c r="D2" s="591" t="s">
        <v>54</v>
      </c>
      <c r="E2" s="470" t="s">
        <v>55</v>
      </c>
      <c r="F2" s="470" t="s">
        <v>56</v>
      </c>
      <c r="G2" s="470" t="s">
        <v>57</v>
      </c>
      <c r="H2" s="470" t="s">
        <v>58</v>
      </c>
      <c r="I2" s="568" t="s">
        <v>59</v>
      </c>
      <c r="J2" s="470" t="s">
        <v>60</v>
      </c>
      <c r="K2" s="470" t="s">
        <v>61</v>
      </c>
      <c r="L2" s="470" t="s">
        <v>62</v>
      </c>
      <c r="M2" s="470" t="s">
        <v>63</v>
      </c>
      <c r="N2" s="973" t="s">
        <v>64</v>
      </c>
      <c r="O2" s="974"/>
      <c r="P2" s="975"/>
      <c r="Q2" s="470" t="s">
        <v>65</v>
      </c>
      <c r="R2" s="470" t="s">
        <v>66</v>
      </c>
      <c r="S2" s="470" t="s">
        <v>67</v>
      </c>
      <c r="T2" s="976" t="s">
        <v>68</v>
      </c>
      <c r="U2" s="977"/>
      <c r="V2" s="978"/>
      <c r="W2" s="973" t="s">
        <v>69</v>
      </c>
      <c r="X2" s="974"/>
      <c r="Y2" s="975"/>
      <c r="Z2" s="976" t="s">
        <v>70</v>
      </c>
      <c r="AA2" s="977"/>
      <c r="AB2" s="978"/>
      <c r="AC2" s="973" t="s">
        <v>71</v>
      </c>
      <c r="AD2" s="974"/>
      <c r="AE2" s="975"/>
      <c r="AF2" s="470" t="s">
        <v>72</v>
      </c>
      <c r="AG2" s="470" t="s">
        <v>73</v>
      </c>
      <c r="AH2" s="470" t="s">
        <v>74</v>
      </c>
      <c r="AI2" s="470" t="s">
        <v>75</v>
      </c>
      <c r="AJ2" s="472" t="s">
        <v>76</v>
      </c>
      <c r="AK2" s="470" t="s">
        <v>77</v>
      </c>
      <c r="AL2" s="470" t="s">
        <v>78</v>
      </c>
      <c r="AM2" s="590" t="s">
        <v>79</v>
      </c>
      <c r="AN2" s="973" t="s">
        <v>80</v>
      </c>
      <c r="AO2" s="974"/>
      <c r="AP2" s="975"/>
      <c r="AQ2" s="973" t="s">
        <v>81</v>
      </c>
      <c r="AR2" s="974"/>
      <c r="AS2" s="975"/>
      <c r="AT2" s="973" t="s">
        <v>82</v>
      </c>
      <c r="AU2" s="974"/>
      <c r="AV2" s="975"/>
      <c r="AW2" s="470" t="s">
        <v>83</v>
      </c>
      <c r="AX2" s="470" t="s">
        <v>84</v>
      </c>
      <c r="AY2" s="470" t="s">
        <v>85</v>
      </c>
      <c r="AZ2" s="470" t="s">
        <v>86</v>
      </c>
      <c r="BA2" s="973" t="s">
        <v>87</v>
      </c>
      <c r="BB2" s="974"/>
      <c r="BC2" s="975"/>
      <c r="BD2" s="470" t="s">
        <v>88</v>
      </c>
      <c r="BE2" s="430" t="s">
        <v>89</v>
      </c>
      <c r="BF2" s="431" t="s">
        <v>63</v>
      </c>
      <c r="BG2" s="431" t="s">
        <v>90</v>
      </c>
      <c r="BH2" s="431" t="s">
        <v>91</v>
      </c>
      <c r="BI2" s="431" t="s">
        <v>64</v>
      </c>
    </row>
    <row r="3" spans="1:63" s="429" customFormat="1" ht="15.75" customHeight="1" thickBot="1">
      <c r="A3" s="446"/>
      <c r="B3" s="467"/>
      <c r="C3" s="444"/>
      <c r="D3" s="614"/>
      <c r="E3" s="444"/>
      <c r="F3" s="444"/>
      <c r="G3" s="444"/>
      <c r="H3" s="467"/>
      <c r="I3" s="569"/>
      <c r="J3" s="444"/>
      <c r="K3" s="467"/>
      <c r="L3" s="467"/>
      <c r="M3" s="467"/>
      <c r="N3" s="471" t="s">
        <v>92</v>
      </c>
      <c r="O3" s="471" t="s">
        <v>93</v>
      </c>
      <c r="P3" s="471" t="s">
        <v>94</v>
      </c>
      <c r="Q3" s="444"/>
      <c r="R3" s="444"/>
      <c r="S3" s="444"/>
      <c r="T3" s="447" t="s">
        <v>95</v>
      </c>
      <c r="U3" s="447" t="s">
        <v>96</v>
      </c>
      <c r="V3" s="447" t="s">
        <v>97</v>
      </c>
      <c r="W3" s="447" t="s">
        <v>98</v>
      </c>
      <c r="X3" s="447" t="s">
        <v>99</v>
      </c>
      <c r="Y3" s="447" t="s">
        <v>100</v>
      </c>
      <c r="Z3" s="447" t="s">
        <v>101</v>
      </c>
      <c r="AA3" s="447" t="s">
        <v>102</v>
      </c>
      <c r="AB3" s="447" t="s">
        <v>103</v>
      </c>
      <c r="AC3" s="471" t="s">
        <v>104</v>
      </c>
      <c r="AD3" s="471" t="s">
        <v>105</v>
      </c>
      <c r="AE3" s="471" t="s">
        <v>106</v>
      </c>
      <c r="AF3" s="444"/>
      <c r="AG3" s="444"/>
      <c r="AH3" s="444"/>
      <c r="AI3" s="444"/>
      <c r="AJ3" s="467"/>
      <c r="AK3" s="467"/>
      <c r="AL3" s="467"/>
      <c r="AM3" s="467"/>
      <c r="AN3" s="447" t="s">
        <v>98</v>
      </c>
      <c r="AO3" s="447" t="s">
        <v>99</v>
      </c>
      <c r="AP3" s="447" t="s">
        <v>100</v>
      </c>
      <c r="AQ3" s="447" t="s">
        <v>107</v>
      </c>
      <c r="AR3" s="447" t="s">
        <v>108</v>
      </c>
      <c r="AS3" s="447" t="s">
        <v>109</v>
      </c>
      <c r="AT3" s="556" t="s">
        <v>110</v>
      </c>
      <c r="AU3" s="447" t="s">
        <v>111</v>
      </c>
      <c r="AV3" s="447" t="s">
        <v>112</v>
      </c>
      <c r="AW3" s="467"/>
      <c r="AX3" s="467"/>
      <c r="AY3" s="444"/>
      <c r="AZ3" s="444"/>
      <c r="BA3" s="471" t="s">
        <v>113</v>
      </c>
      <c r="BB3" s="471" t="s">
        <v>114</v>
      </c>
      <c r="BC3" s="471" t="s">
        <v>115</v>
      </c>
      <c r="BD3" s="473"/>
      <c r="BF3" s="434"/>
      <c r="BG3" s="434"/>
      <c r="BH3" s="434"/>
      <c r="BI3" s="434"/>
    </row>
    <row r="4" spans="1:63" ht="16.149999999999999" customHeight="1" thickTop="1">
      <c r="A4" s="502"/>
      <c r="B4" s="503"/>
      <c r="C4" s="504"/>
      <c r="D4" s="612"/>
      <c r="E4" s="506"/>
      <c r="F4" s="506"/>
      <c r="G4" s="507"/>
      <c r="H4" s="508"/>
      <c r="I4" s="506"/>
      <c r="J4" s="509"/>
      <c r="K4" s="508"/>
      <c r="L4" s="508"/>
      <c r="M4" s="508"/>
      <c r="N4" s="508"/>
      <c r="O4" s="508"/>
      <c r="P4" s="508"/>
      <c r="Q4" s="506"/>
      <c r="R4" s="507"/>
      <c r="S4" s="507"/>
      <c r="T4" s="506"/>
      <c r="U4" s="506"/>
      <c r="V4" s="506"/>
      <c r="W4" s="510"/>
      <c r="X4" s="510"/>
      <c r="Y4" s="510"/>
      <c r="Z4" s="510"/>
      <c r="AA4" s="510"/>
      <c r="AB4" s="510"/>
      <c r="AC4" s="508"/>
      <c r="AD4" s="508"/>
      <c r="AE4" s="508"/>
      <c r="AF4" s="506"/>
      <c r="AG4" s="505"/>
      <c r="AH4" s="506"/>
      <c r="AI4" s="506"/>
      <c r="AJ4" s="508"/>
      <c r="AK4" s="508"/>
      <c r="AL4" s="508"/>
      <c r="AM4" s="508"/>
      <c r="AN4" s="510"/>
      <c r="AO4" s="508"/>
      <c r="AP4" s="508"/>
      <c r="AQ4" s="510"/>
      <c r="AR4" s="510"/>
      <c r="AS4" s="510"/>
      <c r="AT4" s="510"/>
      <c r="AU4" s="511"/>
      <c r="AV4" s="511"/>
      <c r="AW4" s="508"/>
      <c r="AX4" s="508"/>
      <c r="AY4" s="510"/>
      <c r="AZ4" s="510"/>
      <c r="BA4" s="491"/>
      <c r="BB4" s="491"/>
      <c r="BC4" s="491"/>
      <c r="BD4" s="512"/>
      <c r="BE4" s="498"/>
      <c r="BF4" s="1175"/>
      <c r="BG4" s="1175"/>
      <c r="BH4" s="1175"/>
      <c r="BI4" s="1175"/>
      <c r="BK4" s="426"/>
    </row>
    <row r="5" spans="1:63" ht="16.149999999999999" customHeight="1">
      <c r="A5" s="646" t="s">
        <v>116</v>
      </c>
      <c r="B5" s="637"/>
      <c r="C5" s="638"/>
      <c r="D5" s="647"/>
      <c r="E5" s="640"/>
      <c r="F5" s="640"/>
      <c r="G5" s="641"/>
      <c r="H5" s="642"/>
      <c r="I5" s="640"/>
      <c r="J5" s="638">
        <f>C6-7.5</f>
        <v>30348.15</v>
      </c>
      <c r="K5" s="642" t="s">
        <v>117</v>
      </c>
      <c r="L5" s="642"/>
      <c r="M5" s="642" t="str">
        <f>IF(L5="","",
IF(AX5="PT",VLOOKUP(L5,Foundation_Calc!$V$79:$X$113,VLOOKUP(AX5,Foundation_Calc!$I$10:$J$13,2,FALSE),0),
IF(AX5="K",VLOOKUP(L5,Foundation_Calc!$V$117:$X$151,VLOOKUP(AX5,Foundation_Calc!$I$10:$J$13,2,FALSE),0),"")))</f>
        <v/>
      </c>
      <c r="N5" s="642"/>
      <c r="O5" s="642"/>
      <c r="P5" s="642"/>
      <c r="Q5" s="640"/>
      <c r="R5" s="641"/>
      <c r="S5" s="641"/>
      <c r="T5" s="640"/>
      <c r="U5" s="640"/>
      <c r="V5" s="640"/>
      <c r="W5" s="643"/>
      <c r="X5" s="643"/>
      <c r="Y5" s="643"/>
      <c r="Z5" s="643"/>
      <c r="AA5" s="643"/>
      <c r="AB5" s="643"/>
      <c r="AC5" s="642" t="str">
        <f t="shared" ref="AC5:AC74" si="0">IF(OR(AT5&gt;8,AT5&lt;-8),"PH",
IF(OR(AT5&gt;5,AT5&lt;-5),"PHQ",
IF(OR(AT5&gt;1,AT5&lt;-1),
"PHC","")))</f>
        <v/>
      </c>
      <c r="AD5" s="642"/>
      <c r="AE5" s="642"/>
      <c r="AF5" s="640"/>
      <c r="AG5" s="639"/>
      <c r="AH5" s="640"/>
      <c r="AI5" s="640"/>
      <c r="AJ5" s="642"/>
      <c r="AK5" s="642"/>
      <c r="AL5" s="642"/>
      <c r="AM5" s="642"/>
      <c r="AN5" s="644"/>
      <c r="AO5" s="643"/>
      <c r="AP5" s="643"/>
      <c r="AQ5" s="643"/>
      <c r="AR5" s="643"/>
      <c r="AS5" s="643"/>
      <c r="AT5" s="643"/>
      <c r="AU5" s="645"/>
      <c r="AV5" s="645"/>
      <c r="AW5" s="642" t="str">
        <f>IF(C5&gt;0,VLOOKUP(C5,Foundation_Calc!$A$2:$C$13,3,1),
IF(J5&gt;0,VLOOKUP(J5,Foundation_Calc!$A$2:$C$13,3,1),""))</f>
        <v>Multi Soil</v>
      </c>
      <c r="AX5" s="642" t="str">
        <f>IF(C5&gt;0,VLOOKUP(C5,Foundation_Calc!$E$35:$G$65,3,1),
IF(J5&gt;0,VLOOKUP(J5,Foundation_Calc!$E$35:$G$65,3,1),""))</f>
        <v>PT</v>
      </c>
      <c r="AY5" s="644" t="str">
        <f>IF(L5="","",
IF(AX5="PT",VLOOKUP(L5,Foundation_Calc!$K$79:$R$113,VLOOKUP(AW5,Foundation_Calc!$I$2:$J$8,2,FALSE),0),
IF(AX5="K",VLOOKUP(L5,Foundation_Calc!$K$117:$R$151,VLOOKUP(AW5,Foundation_Calc!$I$2:$J$8,2,FALSE),0),"")))</f>
        <v/>
      </c>
      <c r="AZ5" s="644">
        <f>IF(K5="","",
IF(AX5="PT",VLOOKUP(K5,Foundation_Calc!$K$79:$R$113,VLOOKUP(AW5,Foundation_Calc!$I$2:$J$8,2,FALSE),0),
IF(AX5="K",VLOOKUP(K5,Foundation_Calc!$K$117:$R$151,VLOOKUP(AW5,Foundation_Calc!$I$2:$J$8,2,FALSE),0),"")))</f>
        <v>3.9</v>
      </c>
      <c r="BA5" s="495" t="str">
        <f t="shared" ref="BA5:BA38" si="1">IF(AY5="","",IF(AY5&gt;0,"ü",""))</f>
        <v/>
      </c>
      <c r="BB5" s="495" t="str">
        <f t="shared" ref="BB5:BB38" si="2">IF(AZ5="","",IF(AZ5&gt;0,"ü",""))</f>
        <v>ü</v>
      </c>
      <c r="BC5" s="495" t="str">
        <f t="shared" ref="BC5:BC38" si="3">IF(M5="","",IF(M5="U.S.","ü",IF(M5="U.S. N.D.","ü","")))</f>
        <v/>
      </c>
      <c r="BD5" s="513" t="str">
        <f>IF(AND(L5="",H5=""),"",
IF(H5="",Pole_Calc!A$9,
IF(H5="MP",Pole_Calc!A$10,
IF(H5="AnMP",Pole_Calc!A$11,
IF(H5="A",Pole_Calc!A$12,
IF(H5="S/A",Pole_Calc!A$13,
IF(H5="A/S",Pole_Calc!A$14,"Poner a mano")))))))</f>
        <v/>
      </c>
      <c r="BE5" s="429" t="s">
        <v>118</v>
      </c>
      <c r="BF5" s="290"/>
      <c r="BG5" s="290"/>
      <c r="BH5" s="290"/>
      <c r="BI5" s="290"/>
    </row>
    <row r="6" spans="1:63" ht="16.149999999999999" customHeight="1">
      <c r="A6" s="571" t="s">
        <v>119</v>
      </c>
      <c r="B6" s="450" t="s">
        <v>934</v>
      </c>
      <c r="C6" s="3">
        <v>30355.65</v>
      </c>
      <c r="D6" s="613"/>
      <c r="E6" s="4"/>
      <c r="F6" s="4">
        <v>0</v>
      </c>
      <c r="G6" s="6"/>
      <c r="H6" s="449" t="s">
        <v>121</v>
      </c>
      <c r="I6" s="4" t="s">
        <v>122</v>
      </c>
      <c r="J6" s="3"/>
      <c r="K6" s="449"/>
      <c r="L6" s="449" t="s">
        <v>562</v>
      </c>
      <c r="M6" s="449" t="str">
        <f>IF(L6="","",
IF(AX6="PT",VLOOKUP(L6,Foundation_Calc!$V$79:$X$113,VLOOKUP(AX6,Foundation_Calc!$I$10:$J$13,2,FALSE),0),
IF(AX6="K",VLOOKUP(L6,Foundation_Calc!$V$117:$X$151,VLOOKUP(AX6,Foundation_Calc!$I$10:$J$13,2,FALSE),0),"")))</f>
        <v>C7R</v>
      </c>
      <c r="N6" s="449" t="s">
        <v>134</v>
      </c>
      <c r="O6" s="449"/>
      <c r="P6" s="449"/>
      <c r="Q6" s="4"/>
      <c r="R6" s="6"/>
      <c r="S6" s="6"/>
      <c r="T6" s="4">
        <v>30</v>
      </c>
      <c r="U6" s="4"/>
      <c r="V6" s="4"/>
      <c r="W6" s="9">
        <v>1.4</v>
      </c>
      <c r="X6" s="9"/>
      <c r="Y6" s="9"/>
      <c r="Z6" s="9"/>
      <c r="AA6" s="9"/>
      <c r="AB6" s="9"/>
      <c r="AC6" s="449" t="str">
        <f t="shared" si="0"/>
        <v>PHQ</v>
      </c>
      <c r="AD6" s="449"/>
      <c r="AE6" s="449"/>
      <c r="AF6" s="4"/>
      <c r="AG6" s="83"/>
      <c r="AH6" s="4"/>
      <c r="AI6" s="4"/>
      <c r="AJ6" s="449"/>
      <c r="AK6" s="449"/>
      <c r="AL6" s="449"/>
      <c r="AM6" s="449" t="s">
        <v>126</v>
      </c>
      <c r="AN6" s="10">
        <v>5.5</v>
      </c>
      <c r="AO6" s="9"/>
      <c r="AP6" s="9"/>
      <c r="AQ6" s="9"/>
      <c r="AR6" s="9"/>
      <c r="AS6" s="9"/>
      <c r="AT6" s="9">
        <v>-7.2580368095219905</v>
      </c>
      <c r="AU6" s="428"/>
      <c r="AV6" s="428"/>
      <c r="AW6" s="449" t="str">
        <f>IF(C6&gt;0,VLOOKUP(C6,Foundation_Calc!$A$2:$C$13,3,1),
IF(J6&gt;0,VLOOKUP(J6,Foundation_Calc!$A$2:$C$13,3,1),""))</f>
        <v>Multi Soil</v>
      </c>
      <c r="AX6" s="449" t="str">
        <f>IF(C6&gt;0,VLOOKUP(C6,Foundation_Calc!$E$35:$G$65,3,1),
IF(J6&gt;0,VLOOKUP(J6,Foundation_Calc!$E$35:$G$65,3,1),""))</f>
        <v>PT</v>
      </c>
      <c r="AY6" s="10">
        <f>IF(L6="","",
IF(AX6="PT",VLOOKUP(L6,Foundation_Calc!$K$79:$R$113,VLOOKUP(AW6,Foundation_Calc!$I$2:$J$8,2,FALSE),0),
IF(AX6="K",VLOOKUP(L6,Foundation_Calc!$K$117:$R$151,VLOOKUP(AW6,Foundation_Calc!$I$2:$J$8,2,FALSE),0),"")))</f>
        <v>3.7</v>
      </c>
      <c r="AZ6" s="10" t="str">
        <f>IF(K6="","",
IF(AX6="PT",VLOOKUP(K6,Foundation_Calc!$K$79:$R$113,VLOOKUP(AW6,Foundation_Calc!$I$2:$J$8,2,FALSE),0),
IF(AX6="K",VLOOKUP(K6,Foundation_Calc!$K$117:$R$151,VLOOKUP(AW6,Foundation_Calc!$I$2:$J$8,2,FALSE),0),"")))</f>
        <v/>
      </c>
      <c r="BA6" s="495" t="str">
        <f t="shared" si="1"/>
        <v>ü</v>
      </c>
      <c r="BB6" s="495" t="str">
        <f t="shared" si="2"/>
        <v/>
      </c>
      <c r="BC6" s="495" t="str">
        <f t="shared" si="3"/>
        <v/>
      </c>
      <c r="BD6" s="513" t="str">
        <f>IF(AND(L6="",H6=""),"",
IF(H6="",Pole_Calc!A$9,
IF(H6="MP",Pole_Calc!A$10,
IF(H6="AnMP",Pole_Calc!A$11,
IF(H6="A",Pole_Calc!A$12,
IF(H6="S/A",Pole_Calc!A$13,
IF(H6="A/S",Pole_Calc!A$14,"Poner a mano")))))))</f>
        <v>App.7-V11I-P9.5.1.6</v>
      </c>
      <c r="BE6" s="429" t="s">
        <v>118</v>
      </c>
      <c r="BF6" s="289"/>
      <c r="BG6" s="289"/>
      <c r="BH6" s="290"/>
      <c r="BI6" s="289"/>
    </row>
    <row r="7" spans="1:63" ht="16.149999999999999" customHeight="1">
      <c r="A7" s="571" t="s">
        <v>119</v>
      </c>
      <c r="B7" s="450"/>
      <c r="C7" s="3"/>
      <c r="D7" s="83"/>
      <c r="E7" s="4"/>
      <c r="F7" s="4"/>
      <c r="G7" s="6">
        <v>57</v>
      </c>
      <c r="H7" s="449"/>
      <c r="I7" s="4">
        <f>SUM(G7:G37)-50</f>
        <v>685</v>
      </c>
      <c r="J7" s="3"/>
      <c r="K7" s="449"/>
      <c r="L7" s="449"/>
      <c r="M7" s="449" t="str">
        <f>IF(L7="","",
IF(AX7="PT",VLOOKUP(L7,Foundation_Calc!$V$79:$X$113,VLOOKUP(AX7,Foundation_Calc!$I$10:$J$13,2,FALSE),0),
IF(AX7="K",VLOOKUP(L7,Foundation_Calc!$V$117:$X$151,VLOOKUP(AX7,Foundation_Calc!$I$10:$J$13,2,FALSE),0),"")))</f>
        <v/>
      </c>
      <c r="N7" s="449"/>
      <c r="O7" s="449"/>
      <c r="P7" s="449"/>
      <c r="Q7" s="4"/>
      <c r="R7" s="6"/>
      <c r="S7" s="6"/>
      <c r="T7" s="4"/>
      <c r="U7" s="4"/>
      <c r="V7" s="4"/>
      <c r="W7" s="9"/>
      <c r="X7" s="9"/>
      <c r="Y7" s="9"/>
      <c r="Z7" s="9"/>
      <c r="AA7" s="9"/>
      <c r="AB7" s="9"/>
      <c r="AC7" s="449" t="str">
        <f t="shared" si="0"/>
        <v/>
      </c>
      <c r="AD7" s="449"/>
      <c r="AE7" s="449"/>
      <c r="AF7" s="4"/>
      <c r="AG7" s="83"/>
      <c r="AH7" s="4"/>
      <c r="AI7" s="4"/>
      <c r="AJ7" s="449"/>
      <c r="AK7" s="449"/>
      <c r="AL7" s="449"/>
      <c r="AM7" s="449"/>
      <c r="AN7" s="10"/>
      <c r="AO7" s="9"/>
      <c r="AP7" s="9"/>
      <c r="AQ7" s="9">
        <f>+FL_1($U$10,$T$6,$G$7,1200,9.28, 1*$F$8)</f>
        <v>0.37314758771929835</v>
      </c>
      <c r="AR7" s="9"/>
      <c r="AS7" s="9"/>
      <c r="AT7" s="9"/>
      <c r="AU7" s="428"/>
      <c r="AV7" s="428"/>
      <c r="AW7" s="449" t="str">
        <f>IF(C7&gt;0,VLOOKUP(C7,Foundation_Calc!$A$2:$C$13,3,1),
IF(J7&gt;0,VLOOKUP(J7,Foundation_Calc!$A$2:$C$13,3,1),""))</f>
        <v/>
      </c>
      <c r="AX7" s="449" t="str">
        <f>IF(C7&gt;0,VLOOKUP(C7,Foundation_Calc!$E$35:$G$65,3,1),
IF(J7&gt;0,VLOOKUP(J7,Foundation_Calc!$E$35:$G$65,3,1),""))</f>
        <v/>
      </c>
      <c r="AY7" s="10" t="str">
        <f>IF(L7="","",
IF(AX7="PT",VLOOKUP(L7,Foundation_Calc!$K$79:$R$113,VLOOKUP(AW7,Foundation_Calc!$I$2:$J$8,2,FALSE),0),
IF(AX7="K",VLOOKUP(L7,Foundation_Calc!$K$117:$R$151,VLOOKUP(AW7,Foundation_Calc!$I$2:$J$8,2,FALSE),0),"")))</f>
        <v/>
      </c>
      <c r="AZ7" s="10" t="str">
        <f>IF(K7="","",
IF(AX7="PT",VLOOKUP(K7,Foundation_Calc!$K$79:$R$113,VLOOKUP(AW7,Foundation_Calc!$I$2:$J$8,2,FALSE),0),
IF(AX7="K",VLOOKUP(K7,Foundation_Calc!$K$117:$R$151,VLOOKUP(AW7,Foundation_Calc!$I$2:$J$8,2,FALSE),0),"")))</f>
        <v/>
      </c>
      <c r="BA7" s="495" t="str">
        <f t="shared" ref="BA7:BA9" si="4">IF(AY7="","",IF(AY7&gt;0,"ü",""))</f>
        <v/>
      </c>
      <c r="BB7" s="495" t="str">
        <f t="shared" ref="BB7:BB9" si="5">IF(AZ7="","",IF(AZ7&gt;0,"ü",""))</f>
        <v/>
      </c>
      <c r="BC7" s="495" t="str">
        <f t="shared" ref="BC7:BC9" si="6">IF(M7="","",IF(M7="U.S.","ü",IF(M7="U.S. N.D.","ü","")))</f>
        <v/>
      </c>
      <c r="BD7" s="513" t="str">
        <f>IF(AND(L7="",H7=""),"",
IF(H7="",Pole_Calc!A$9,
IF(H7="MP",Pole_Calc!A$10,
IF(H7="AnMP",Pole_Calc!A$11,
IF(H7="A",Pole_Calc!A$12,
IF(H7="S/A",Pole_Calc!A$13,
IF(H7="A/S",Pole_Calc!A$14,"Poner a mano")))))))</f>
        <v/>
      </c>
      <c r="BE7" s="429" t="s">
        <v>118</v>
      </c>
      <c r="BF7" s="290"/>
      <c r="BG7" s="290"/>
      <c r="BH7" s="290"/>
      <c r="BI7" s="290"/>
    </row>
    <row r="8" spans="1:63" ht="16.149999999999999" customHeight="1">
      <c r="A8" s="571" t="s">
        <v>119</v>
      </c>
      <c r="B8" s="450" t="s">
        <v>935</v>
      </c>
      <c r="C8" s="3">
        <f>C10-G9</f>
        <v>30387.65</v>
      </c>
      <c r="D8" s="83"/>
      <c r="E8" s="4"/>
      <c r="F8" s="4">
        <v>0</v>
      </c>
      <c r="G8" s="6"/>
      <c r="H8" s="449"/>
      <c r="I8" s="4"/>
      <c r="J8" s="3"/>
      <c r="K8" s="449"/>
      <c r="L8" s="449" t="s">
        <v>128</v>
      </c>
      <c r="M8" s="449" t="str">
        <f>IF(L8="","",
IF(AX8="PT",VLOOKUP(L8,Foundation_Calc!$V$79:$X$113,VLOOKUP(AX8,Foundation_Calc!$I$10:$J$13,2,FALSE),0),
IF(AX8="K",VLOOKUP(L8,Foundation_Calc!$V$117:$X$151,VLOOKUP(AX8,Foundation_Calc!$I$10:$J$13,2,FALSE),0),"")))</f>
        <v>T-SING FOUND.</v>
      </c>
      <c r="N8" s="449"/>
      <c r="O8" s="449"/>
      <c r="P8" s="449"/>
      <c r="Q8" s="4"/>
      <c r="R8" s="6"/>
      <c r="S8" s="6"/>
      <c r="T8" s="4"/>
      <c r="U8" s="4"/>
      <c r="V8" s="4"/>
      <c r="W8" s="9"/>
      <c r="X8" s="9"/>
      <c r="Y8" s="9"/>
      <c r="Z8" s="9"/>
      <c r="AA8" s="9"/>
      <c r="AB8" s="9"/>
      <c r="AC8" s="449"/>
      <c r="AD8" s="449"/>
      <c r="AE8" s="449"/>
      <c r="AF8" s="4"/>
      <c r="AG8" s="83"/>
      <c r="AH8" s="4"/>
      <c r="AI8" s="4"/>
      <c r="AJ8" s="449"/>
      <c r="AK8" s="449"/>
      <c r="AL8" s="449"/>
      <c r="AM8" s="449"/>
      <c r="AN8" s="10"/>
      <c r="AO8" s="9"/>
      <c r="AP8" s="9"/>
      <c r="AQ8" s="9"/>
      <c r="AR8" s="9"/>
      <c r="AS8" s="9"/>
      <c r="AT8" s="9"/>
      <c r="AU8" s="428"/>
      <c r="AV8" s="428"/>
      <c r="AW8" s="449" t="str">
        <f>IF(C8&gt;0,VLOOKUP(C8,Foundation_Calc!$A$2:$C$13,3,1),
IF(J8&gt;0,VLOOKUP(J8,Foundation_Calc!$A$2:$C$13,3,1),""))</f>
        <v>Multi Soil</v>
      </c>
      <c r="AX8" s="449" t="str">
        <f>IF(C8&gt;0,VLOOKUP(C8,Foundation_Calc!$E$35:$G$65,3,1),
IF(J8&gt;0,VLOOKUP(J8,Foundation_Calc!$E$35:$G$65,3,1),""))</f>
        <v>PT</v>
      </c>
      <c r="AY8" s="10">
        <f>IF(L8="","",
IF(AX8="PT",VLOOKUP(L8,Foundation_Calc!$K$79:$R$113,VLOOKUP(AW8,Foundation_Calc!$I$2:$J$8,2,FALSE),0),
IF(AX8="K",VLOOKUP(L8,Foundation_Calc!$K$117:$R$151,VLOOKUP(AW8,Foundation_Calc!$I$2:$J$8,2,FALSE),0),"")))</f>
        <v>1.2</v>
      </c>
      <c r="AZ8" s="10" t="str">
        <f>IF(K8="","",
IF(AX8="PT",VLOOKUP(K8,Foundation_Calc!$K$79:$R$113,VLOOKUP(AW8,Foundation_Calc!$I$2:$J$8,2,FALSE),0),
IF(AX8="K",VLOOKUP(K8,Foundation_Calc!$K$117:$R$151,VLOOKUP(AW8,Foundation_Calc!$I$2:$J$8,2,FALSE),0),"")))</f>
        <v/>
      </c>
      <c r="BA8" s="495" t="str">
        <f t="shared" si="4"/>
        <v>ü</v>
      </c>
      <c r="BB8" s="495" t="str">
        <f t="shared" si="5"/>
        <v/>
      </c>
      <c r="BC8" s="495" t="str">
        <f t="shared" si="6"/>
        <v/>
      </c>
      <c r="BD8" s="513"/>
      <c r="BE8" s="429" t="s">
        <v>118</v>
      </c>
      <c r="BF8" s="289"/>
      <c r="BG8" s="289"/>
      <c r="BH8" s="290"/>
      <c r="BI8" s="289"/>
    </row>
    <row r="9" spans="1:63" ht="16.149999999999999" customHeight="1">
      <c r="A9" s="571" t="s">
        <v>119</v>
      </c>
      <c r="B9" s="450"/>
      <c r="C9" s="3"/>
      <c r="D9" s="83"/>
      <c r="E9" s="4"/>
      <c r="F9" s="4"/>
      <c r="G9" s="6">
        <v>25</v>
      </c>
      <c r="H9" s="449"/>
      <c r="I9" s="4"/>
      <c r="J9" s="3"/>
      <c r="K9" s="449"/>
      <c r="L9" s="449"/>
      <c r="M9" s="449" t="str">
        <f>IF(L9="","",
IF(AX9="PT",VLOOKUP(L9,Foundation_Calc!$V$79:$X$113,VLOOKUP(AX9,Foundation_Calc!$I$10:$J$13,2,FALSE),0),
IF(AX9="K",VLOOKUP(L9,Foundation_Calc!$V$117:$X$151,VLOOKUP(AX9,Foundation_Calc!$I$10:$J$13,2,FALSE),0),"")))</f>
        <v/>
      </c>
      <c r="N9" s="449"/>
      <c r="O9" s="449"/>
      <c r="P9" s="449"/>
      <c r="Q9" s="4"/>
      <c r="R9" s="6"/>
      <c r="S9" s="6"/>
      <c r="T9" s="4"/>
      <c r="U9" s="4"/>
      <c r="V9" s="4"/>
      <c r="W9" s="9"/>
      <c r="X9" s="9"/>
      <c r="Y9" s="9"/>
      <c r="Z9" s="9"/>
      <c r="AA9" s="9"/>
      <c r="AB9" s="9"/>
      <c r="AC9" s="449"/>
      <c r="AD9" s="449"/>
      <c r="AE9" s="449"/>
      <c r="AF9" s="4"/>
      <c r="AG9" s="83"/>
      <c r="AH9" s="4"/>
      <c r="AI9" s="4"/>
      <c r="AJ9" s="449"/>
      <c r="AK9" s="449"/>
      <c r="AL9" s="449"/>
      <c r="AM9" s="449"/>
      <c r="AN9" s="10"/>
      <c r="AO9" s="9"/>
      <c r="AP9" s="9"/>
      <c r="AQ9" s="9"/>
      <c r="AR9" s="9"/>
      <c r="AS9" s="9"/>
      <c r="AT9" s="9"/>
      <c r="AU9" s="428"/>
      <c r="AV9" s="428"/>
      <c r="AW9" s="449" t="str">
        <f>IF(C9&gt;0,VLOOKUP(C9,Foundation_Calc!$A$2:$C$13,3,1),
IF(J9&gt;0,VLOOKUP(J9,Foundation_Calc!$A$2:$C$13,3,1),""))</f>
        <v/>
      </c>
      <c r="AX9" s="449" t="str">
        <f>IF(C9&gt;0,VLOOKUP(C9,Foundation_Calc!$E$35:$G$65,3,1),
IF(J9&gt;0,VLOOKUP(J9,Foundation_Calc!$E$35:$G$65,3,1),""))</f>
        <v/>
      </c>
      <c r="AY9" s="10" t="str">
        <f>IF(L9="","",
IF(AX9="PT",VLOOKUP(L9,Foundation_Calc!$K$79:$R$113,VLOOKUP(AW9,Foundation_Calc!$I$2:$J$8,2,FALSE),0),
IF(AX9="K",VLOOKUP(L9,Foundation_Calc!$K$117:$R$151,VLOOKUP(AW9,Foundation_Calc!$I$2:$J$8,2,FALSE),0),"")))</f>
        <v/>
      </c>
      <c r="AZ9" s="10" t="str">
        <f>IF(K9="","",
IF(AX9="PT",VLOOKUP(K9,Foundation_Calc!$K$79:$R$113,VLOOKUP(AW9,Foundation_Calc!$I$2:$J$8,2,FALSE),0),
IF(AX9="K",VLOOKUP(K9,Foundation_Calc!$K$117:$R$151,VLOOKUP(AW9,Foundation_Calc!$I$2:$J$8,2,FALSE),0),"")))</f>
        <v/>
      </c>
      <c r="BA9" s="495" t="str">
        <f t="shared" si="4"/>
        <v/>
      </c>
      <c r="BB9" s="495" t="str">
        <f t="shared" si="5"/>
        <v/>
      </c>
      <c r="BC9" s="495" t="str">
        <f t="shared" si="6"/>
        <v/>
      </c>
      <c r="BD9" s="513" t="str">
        <f>IF(AND(L9="",H9=""),"",
IF(H9="",Pole_Calc!A$9,
IF(H9="MP",Pole_Calc!A$10,
IF(H9="AnMP",Pole_Calc!A$11,
IF(H9="A",Pole_Calc!A$12,
IF(H9="S/A",Pole_Calc!A$13,
IF(H9="A/S",Pole_Calc!A$14,"Poner a mano")))))))</f>
        <v/>
      </c>
      <c r="BE9" s="429" t="s">
        <v>118</v>
      </c>
      <c r="BF9" s="290"/>
      <c r="BG9" s="290"/>
      <c r="BH9" s="290"/>
      <c r="BI9" s="290"/>
    </row>
    <row r="10" spans="1:63" ht="16.149999999999999" customHeight="1">
      <c r="A10" s="636" t="s">
        <v>936</v>
      </c>
      <c r="B10" s="637" t="s">
        <v>937</v>
      </c>
      <c r="C10" s="638">
        <f>+$C$6+$G$7</f>
        <v>30412.65</v>
      </c>
      <c r="D10" s="639"/>
      <c r="E10" s="640"/>
      <c r="F10" s="640">
        <v>0</v>
      </c>
      <c r="G10" s="641"/>
      <c r="H10" s="642" t="s">
        <v>131</v>
      </c>
      <c r="I10" s="640" t="s">
        <v>132</v>
      </c>
      <c r="J10" s="638"/>
      <c r="K10" s="642"/>
      <c r="L10" s="642" t="s">
        <v>562</v>
      </c>
      <c r="M10" s="642" t="str">
        <f>IF(L10="","",
IF(AX10="PT",VLOOKUP(L10,Foundation_Calc!$V$79:$X$113,VLOOKUP(AX10,Foundation_Calc!$I$10:$J$13,2,FALSE),0),
IF(AX10="K",VLOOKUP(L10,Foundation_Calc!$V$117:$X$151,VLOOKUP(AX10,Foundation_Calc!$I$10:$J$13,2,FALSE),0),"")))</f>
        <v>C7R</v>
      </c>
      <c r="N10" s="642" t="s">
        <v>133</v>
      </c>
      <c r="O10" s="642" t="s">
        <v>124</v>
      </c>
      <c r="P10" s="642"/>
      <c r="Q10" s="640"/>
      <c r="R10" s="641"/>
      <c r="S10" s="641"/>
      <c r="T10" s="640">
        <v>10</v>
      </c>
      <c r="U10" s="640">
        <v>-35</v>
      </c>
      <c r="V10" s="640"/>
      <c r="W10" s="643">
        <v>1.4</v>
      </c>
      <c r="X10" s="643">
        <v>2.2999999999999998</v>
      </c>
      <c r="Y10" s="643"/>
      <c r="Z10" s="643">
        <v>0.45</v>
      </c>
      <c r="AA10" s="643"/>
      <c r="AB10" s="643"/>
      <c r="AC10" s="642"/>
      <c r="AD10" s="642"/>
      <c r="AE10" s="642"/>
      <c r="AF10" s="640"/>
      <c r="AG10" s="639"/>
      <c r="AH10" s="640"/>
      <c r="AI10" s="640"/>
      <c r="AJ10" s="642" t="s">
        <v>135</v>
      </c>
      <c r="AK10" s="642"/>
      <c r="AL10" s="642"/>
      <c r="AM10" s="642" t="s">
        <v>126</v>
      </c>
      <c r="AN10" s="644">
        <v>5.5</v>
      </c>
      <c r="AO10" s="643"/>
      <c r="AP10" s="643"/>
      <c r="AQ10" s="643"/>
      <c r="AR10" s="643"/>
      <c r="AS10" s="643"/>
      <c r="AT10" s="643">
        <f>+ab($U$10,$T$6,$T$12,$G$7,$G$11, 1*$F$10,1200)</f>
        <v>-7.2580368095219905</v>
      </c>
      <c r="AU10" s="645"/>
      <c r="AV10" s="645"/>
      <c r="AW10" s="642" t="str">
        <f>IF(C10&gt;0,VLOOKUP(C10,Foundation_Calc!$A$2:$C$13,3,1),
IF(J10&gt;0,VLOOKUP(J10,Foundation_Calc!$A$2:$C$13,3,1),""))</f>
        <v>Multi Soil</v>
      </c>
      <c r="AX10" s="642" t="str">
        <f>IF(C10&gt;0,VLOOKUP(C10,Foundation_Calc!$E$35:$G$65,3,1),
IF(J10&gt;0,VLOOKUP(J10,Foundation_Calc!$E$35:$G$65,3,1),""))</f>
        <v>PT</v>
      </c>
      <c r="AY10" s="644">
        <f>IF(L10="","",
IF(AX10="PT",VLOOKUP(L10,Foundation_Calc!$K$79:$R$113,VLOOKUP(AW10,Foundation_Calc!$I$2:$J$8,2,FALSE),0),
IF(AX10="K",VLOOKUP(L10,Foundation_Calc!$K$117:$R$151,VLOOKUP(AW10,Foundation_Calc!$I$2:$J$8,2,FALSE),0),"")))</f>
        <v>3.7</v>
      </c>
      <c r="AZ10" s="644" t="str">
        <f>IF(K10="","",
IF(AX10="PT",VLOOKUP(K10,Foundation_Calc!$K$79:$R$113,VLOOKUP(AW10,Foundation_Calc!$I$2:$J$8,2,FALSE),0),
IF(AX10="K",VLOOKUP(K10,Foundation_Calc!$K$117:$R$151,VLOOKUP(AW10,Foundation_Calc!$I$2:$J$8,2,FALSE),0),"")))</f>
        <v/>
      </c>
      <c r="BA10" s="495" t="str">
        <f t="shared" si="1"/>
        <v>ü</v>
      </c>
      <c r="BB10" s="495" t="str">
        <f t="shared" si="2"/>
        <v/>
      </c>
      <c r="BC10" s="495" t="str">
        <f t="shared" si="3"/>
        <v/>
      </c>
      <c r="BD10" s="513" t="str">
        <f>IF(AND(L10="",H10=""),"",
IF(H10="",Pole_Calc!A$9,
IF(H10="MP",Pole_Calc!A$10,
IF(H10="AnMP",Pole_Calc!A$11,
IF(H10="A",Pole_Calc!A$12,
IF(H10="S/A",Pole_Calc!A$13,
IF(H10="A/S",Pole_Calc!A$14,"Poner a mano")))))))</f>
        <v>App.7-V11I-P9.5.1.5</v>
      </c>
      <c r="BE10" s="429" t="s">
        <v>118</v>
      </c>
      <c r="BF10" s="289"/>
      <c r="BG10" s="289"/>
      <c r="BH10" s="290"/>
      <c r="BI10" s="289"/>
    </row>
    <row r="11" spans="1:63" ht="16.149999999999999" customHeight="1">
      <c r="A11" s="571" t="s">
        <v>119</v>
      </c>
      <c r="B11" s="450"/>
      <c r="C11" s="3"/>
      <c r="D11" s="83"/>
      <c r="E11" s="4"/>
      <c r="F11" s="4"/>
      <c r="G11" s="6">
        <v>47</v>
      </c>
      <c r="H11" s="449"/>
      <c r="I11" s="4"/>
      <c r="J11" s="3"/>
      <c r="K11" s="449"/>
      <c r="L11" s="449"/>
      <c r="M11" s="449" t="str">
        <f>IF(L11="","",
IF(AX11="PT",VLOOKUP(L11,Foundation_Calc!$V$79:$X$113,VLOOKUP(AX11,Foundation_Calc!$I$10:$J$13,2,FALSE),0),
IF(AX11="K",VLOOKUP(L11,Foundation_Calc!$V$117:$X$151,VLOOKUP(AX11,Foundation_Calc!$I$10:$J$13,2,FALSE),0),"")))</f>
        <v/>
      </c>
      <c r="N11" s="449"/>
      <c r="O11" s="449"/>
      <c r="P11" s="449"/>
      <c r="Q11" s="4"/>
      <c r="R11" s="6"/>
      <c r="S11" s="6"/>
      <c r="T11" s="4"/>
      <c r="U11" s="4"/>
      <c r="V11" s="4"/>
      <c r="W11" s="9"/>
      <c r="X11" s="9"/>
      <c r="Y11" s="9"/>
      <c r="Z11" s="9"/>
      <c r="AA11" s="9"/>
      <c r="AB11" s="9"/>
      <c r="AC11" s="449" t="str">
        <f t="shared" si="0"/>
        <v/>
      </c>
      <c r="AD11" s="449"/>
      <c r="AE11" s="449"/>
      <c r="AF11" s="4"/>
      <c r="AG11" s="83"/>
      <c r="AH11" s="4"/>
      <c r="AI11" s="4"/>
      <c r="AJ11" s="449"/>
      <c r="AK11" s="449"/>
      <c r="AL11" s="449"/>
      <c r="AM11" s="449"/>
      <c r="AN11" s="10"/>
      <c r="AO11" s="9"/>
      <c r="AP11" s="9"/>
      <c r="AQ11" s="9">
        <f>+FL_2($T$12,$U$10,$G$11,1200,9.28, 1*$F$12)</f>
        <v>-0.35695465849645375</v>
      </c>
      <c r="AR11" s="9"/>
      <c r="AS11" s="9"/>
      <c r="AT11" s="9"/>
      <c r="AU11" s="428"/>
      <c r="AV11" s="428"/>
      <c r="AW11" s="449" t="str">
        <f>IF(C11&gt;0,VLOOKUP(C11,Foundation_Calc!$A$2:$C$13,3,1),
IF(J11&gt;0,VLOOKUP(J11,Foundation_Calc!$A$2:$C$13,3,1),""))</f>
        <v/>
      </c>
      <c r="AX11" s="449" t="str">
        <f>IF(C11&gt;0,VLOOKUP(C11,Foundation_Calc!$E$35:$G$65,3,1),
IF(J11&gt;0,VLOOKUP(J11,Foundation_Calc!$E$35:$G$65,3,1),""))</f>
        <v/>
      </c>
      <c r="AY11" s="10" t="str">
        <f>IF(L11="","",
IF(AX11="PT",VLOOKUP(L11,Foundation_Calc!$K$79:$R$113,VLOOKUP(AW11,Foundation_Calc!$I$2:$J$8,2,FALSE),0),
IF(AX11="K",VLOOKUP(L11,Foundation_Calc!$K$117:$R$151,VLOOKUP(AW11,Foundation_Calc!$I$2:$J$8,2,FALSE),0),"")))</f>
        <v/>
      </c>
      <c r="AZ11" s="10" t="str">
        <f>IF(K11="","",
IF(AX11="PT",VLOOKUP(K11,Foundation_Calc!$K$79:$R$113,VLOOKUP(AW11,Foundation_Calc!$I$2:$J$8,2,FALSE),0),
IF(AX11="K",VLOOKUP(K11,Foundation_Calc!$K$117:$R$151,VLOOKUP(AW11,Foundation_Calc!$I$2:$J$8,2,FALSE),0),"")))</f>
        <v/>
      </c>
      <c r="BA11" s="495" t="str">
        <f t="shared" si="1"/>
        <v/>
      </c>
      <c r="BB11" s="495" t="str">
        <f t="shared" si="2"/>
        <v/>
      </c>
      <c r="BC11" s="495" t="str">
        <f t="shared" si="3"/>
        <v/>
      </c>
      <c r="BD11" s="513" t="str">
        <f>IF(AND(L11="",H11=""),"",
IF(H11="",Pole_Calc!A$9,
IF(H11="MP",Pole_Calc!A$10,
IF(H11="AnMP",Pole_Calc!A$11,
IF(H11="A",Pole_Calc!A$12,
IF(H11="S/A",Pole_Calc!A$13,
IF(H11="A/S",Pole_Calc!A$14,"Poner a mano")))))))</f>
        <v/>
      </c>
      <c r="BE11" s="429" t="s">
        <v>118</v>
      </c>
      <c r="BF11" s="290"/>
      <c r="BG11" s="290"/>
      <c r="BH11" s="290"/>
      <c r="BI11" s="290"/>
    </row>
    <row r="12" spans="1:63" ht="16.149999999999999" customHeight="1">
      <c r="A12" s="636" t="s">
        <v>938</v>
      </c>
      <c r="B12" s="637" t="s">
        <v>939</v>
      </c>
      <c r="C12" s="638">
        <f>+$C$10+$G$11</f>
        <v>30459.65</v>
      </c>
      <c r="D12" s="639"/>
      <c r="E12" s="640"/>
      <c r="F12" s="640">
        <v>0</v>
      </c>
      <c r="G12" s="641"/>
      <c r="H12" s="642" t="s">
        <v>131</v>
      </c>
      <c r="I12" s="640" t="s">
        <v>132</v>
      </c>
      <c r="J12" s="638"/>
      <c r="K12" s="642"/>
      <c r="L12" s="642" t="s">
        <v>562</v>
      </c>
      <c r="M12" s="642" t="str">
        <f>IF(L12="","",
IF(AX12="PT",VLOOKUP(L12,Foundation_Calc!$V$79:$X$113,VLOOKUP(AX12,Foundation_Calc!$I$10:$J$13,2,FALSE),0),
IF(AX12="K",VLOOKUP(L12,Foundation_Calc!$V$117:$X$151,VLOOKUP(AX12,Foundation_Calc!$I$10:$J$13,2,FALSE),0),"")))</f>
        <v>C7R</v>
      </c>
      <c r="N12" s="642" t="s">
        <v>134</v>
      </c>
      <c r="O12" s="642" t="s">
        <v>133</v>
      </c>
      <c r="P12" s="642"/>
      <c r="Q12" s="640"/>
      <c r="R12" s="641"/>
      <c r="S12" s="641"/>
      <c r="T12" s="640">
        <v>35</v>
      </c>
      <c r="U12" s="640">
        <v>-10</v>
      </c>
      <c r="V12" s="640"/>
      <c r="W12" s="643">
        <v>1.4</v>
      </c>
      <c r="X12" s="643">
        <v>2.2999999999999998</v>
      </c>
      <c r="Y12" s="643"/>
      <c r="Z12" s="643"/>
      <c r="AA12" s="643">
        <v>0.45</v>
      </c>
      <c r="AB12" s="643"/>
      <c r="AC12" s="642" t="str">
        <f t="shared" si="0"/>
        <v>PHQ</v>
      </c>
      <c r="AD12" s="642"/>
      <c r="AE12" s="642"/>
      <c r="AF12" s="640"/>
      <c r="AG12" s="639"/>
      <c r="AH12" s="640"/>
      <c r="AI12" s="640"/>
      <c r="AJ12" s="642" t="s">
        <v>135</v>
      </c>
      <c r="AK12" s="642"/>
      <c r="AL12" s="642"/>
      <c r="AM12" s="642" t="s">
        <v>126</v>
      </c>
      <c r="AN12" s="644">
        <v>5.5</v>
      </c>
      <c r="AO12" s="643"/>
      <c r="AP12" s="643"/>
      <c r="AQ12" s="643"/>
      <c r="AR12" s="643"/>
      <c r="AS12" s="643"/>
      <c r="AT12" s="643">
        <f>+ab($T$12,$U$10,$U$14,$G$11,$G$13, 1*$F$12,1200)</f>
        <v>6.4151580778988491</v>
      </c>
      <c r="AU12" s="645"/>
      <c r="AV12" s="645"/>
      <c r="AW12" s="642" t="str">
        <f>IF(C12&gt;0,VLOOKUP(C12,Foundation_Calc!$A$2:$C$13,3,1),
IF(J12&gt;0,VLOOKUP(J12,Foundation_Calc!$A$2:$C$13,3,1),""))</f>
        <v>Multi Soil</v>
      </c>
      <c r="AX12" s="642" t="str">
        <f>IF(C12&gt;0,VLOOKUP(C12,Foundation_Calc!$E$35:$G$65,3,1),
IF(J12&gt;0,VLOOKUP(J12,Foundation_Calc!$E$35:$G$65,3,1),""))</f>
        <v>PT</v>
      </c>
      <c r="AY12" s="644">
        <f>IF(L12="","",
IF(AX12="PT",VLOOKUP(L12,Foundation_Calc!$K$79:$R$113,VLOOKUP(AW12,Foundation_Calc!$I$2:$J$8,2,FALSE),0),
IF(AX12="K",VLOOKUP(L12,Foundation_Calc!$K$117:$R$151,VLOOKUP(AW12,Foundation_Calc!$I$2:$J$8,2,FALSE),0),"")))</f>
        <v>3.7</v>
      </c>
      <c r="AZ12" s="644" t="str">
        <f>IF(K12="","",
IF(AX12="PT",VLOOKUP(K12,Foundation_Calc!$K$79:$R$113,VLOOKUP(AW12,Foundation_Calc!$I$2:$J$8,2,FALSE),0),
IF(AX12="K",VLOOKUP(K12,Foundation_Calc!$K$117:$R$151,VLOOKUP(AW12,Foundation_Calc!$I$2:$J$8,2,FALSE),0),"")))</f>
        <v/>
      </c>
      <c r="BA12" s="495" t="str">
        <f t="shared" si="1"/>
        <v>ü</v>
      </c>
      <c r="BB12" s="495" t="str">
        <f t="shared" si="2"/>
        <v/>
      </c>
      <c r="BC12" s="495" t="str">
        <f t="shared" si="3"/>
        <v/>
      </c>
      <c r="BD12" s="513" t="str">
        <f>IF(AND(L12="",H12=""),"",
IF(H12="",Pole_Calc!A$9,
IF(H12="MP",Pole_Calc!A$10,
IF(H12="AnMP",Pole_Calc!A$11,
IF(H12="A",Pole_Calc!A$12,
IF(H12="S/A",Pole_Calc!A$13,
IF(H12="A/S",Pole_Calc!A$14,"Poner a mano")))))))</f>
        <v>App.7-V11I-P9.5.1.5</v>
      </c>
      <c r="BE12" s="429" t="s">
        <v>118</v>
      </c>
      <c r="BF12" s="289"/>
      <c r="BG12" s="289"/>
      <c r="BH12" s="290"/>
      <c r="BI12" s="289"/>
    </row>
    <row r="13" spans="1:63" ht="16.149999999999999" customHeight="1">
      <c r="A13" s="571" t="s">
        <v>119</v>
      </c>
      <c r="B13" s="450"/>
      <c r="C13" s="3"/>
      <c r="D13" s="83"/>
      <c r="E13" s="4"/>
      <c r="F13" s="4"/>
      <c r="G13" s="6">
        <v>47</v>
      </c>
      <c r="H13" s="449"/>
      <c r="I13" s="4"/>
      <c r="J13" s="3"/>
      <c r="K13" s="449"/>
      <c r="L13" s="449"/>
      <c r="M13" s="449" t="str">
        <f>IF(L13="","",
IF(AX13="PT",VLOOKUP(L13,Foundation_Calc!$V$79:$X$113,VLOOKUP(AX13,Foundation_Calc!$I$10:$J$13,2,FALSE),0),
IF(AX13="K",VLOOKUP(L13,Foundation_Calc!$V$117:$X$151,VLOOKUP(AX13,Foundation_Calc!$I$10:$J$13,2,FALSE),0),"")))</f>
        <v/>
      </c>
      <c r="N13" s="449"/>
      <c r="O13" s="449"/>
      <c r="P13" s="449"/>
      <c r="Q13" s="4"/>
      <c r="R13" s="6"/>
      <c r="S13" s="6"/>
      <c r="T13" s="4"/>
      <c r="U13" s="4"/>
      <c r="V13" s="4"/>
      <c r="W13" s="9"/>
      <c r="X13" s="9"/>
      <c r="Y13" s="9"/>
      <c r="Z13" s="9"/>
      <c r="AA13" s="9"/>
      <c r="AB13" s="9"/>
      <c r="AC13" s="449" t="str">
        <f t="shared" si="0"/>
        <v/>
      </c>
      <c r="AD13" s="449"/>
      <c r="AE13" s="449"/>
      <c r="AF13" s="4"/>
      <c r="AG13" s="83"/>
      <c r="AH13" s="4"/>
      <c r="AI13" s="4"/>
      <c r="AJ13" s="449"/>
      <c r="AK13" s="449"/>
      <c r="AL13" s="449"/>
      <c r="AM13" s="449"/>
      <c r="AN13" s="10"/>
      <c r="AO13" s="9"/>
      <c r="AP13" s="9"/>
      <c r="AQ13" s="9">
        <f>+FL_1($T$14,$U$12,$G$13,1200,9.28, 1*$F$14)</f>
        <v>0.22524425531914893</v>
      </c>
      <c r="AR13" s="9"/>
      <c r="AS13" s="9"/>
      <c r="AT13" s="9"/>
      <c r="AU13" s="428"/>
      <c r="AV13" s="428"/>
      <c r="AW13" s="449" t="str">
        <f>IF(C13&gt;0,VLOOKUP(C13,Foundation_Calc!$A$2:$C$13,3,1),
IF(J13&gt;0,VLOOKUP(J13,Foundation_Calc!$A$2:$C$13,3,1),""))</f>
        <v/>
      </c>
      <c r="AX13" s="449" t="str">
        <f>IF(C13&gt;0,VLOOKUP(C13,Foundation_Calc!$E$35:$G$65,3,1),
IF(J13&gt;0,VLOOKUP(J13,Foundation_Calc!$E$35:$G$65,3,1),""))</f>
        <v/>
      </c>
      <c r="AY13" s="10" t="str">
        <f>IF(L13="","",
IF(AX13="PT",VLOOKUP(L13,Foundation_Calc!$K$79:$R$113,VLOOKUP(AW13,Foundation_Calc!$I$2:$J$8,2,FALSE),0),
IF(AX13="K",VLOOKUP(L13,Foundation_Calc!$K$117:$R$151,VLOOKUP(AW13,Foundation_Calc!$I$2:$J$8,2,FALSE),0),"")))</f>
        <v/>
      </c>
      <c r="AZ13" s="10" t="str">
        <f>IF(K13="","",
IF(AX13="PT",VLOOKUP(K13,Foundation_Calc!$K$79:$R$113,VLOOKUP(AW13,Foundation_Calc!$I$2:$J$8,2,FALSE),0),
IF(AX13="K",VLOOKUP(K13,Foundation_Calc!$K$117:$R$151,VLOOKUP(AW13,Foundation_Calc!$I$2:$J$8,2,FALSE),0),"")))</f>
        <v/>
      </c>
      <c r="BA13" s="495" t="str">
        <f t="shared" si="1"/>
        <v/>
      </c>
      <c r="BB13" s="495" t="str">
        <f t="shared" si="2"/>
        <v/>
      </c>
      <c r="BC13" s="495" t="str">
        <f t="shared" si="3"/>
        <v/>
      </c>
      <c r="BD13" s="513" t="str">
        <f>IF(AND(L13="",H13=""),"",
IF(H13="",Pole_Calc!A$9,
IF(H13="MP",Pole_Calc!A$10,
IF(H13="AnMP",Pole_Calc!A$11,
IF(H13="A",Pole_Calc!A$12,
IF(H13="S/A",Pole_Calc!A$13,
IF(H13="A/S",Pole_Calc!A$14,"Poner a mano")))))))</f>
        <v/>
      </c>
      <c r="BE13" s="429" t="s">
        <v>118</v>
      </c>
      <c r="BF13" s="290"/>
      <c r="BG13" s="290"/>
      <c r="BH13" s="290"/>
      <c r="BI13" s="290"/>
    </row>
    <row r="14" spans="1:63" ht="16.149999999999999" customHeight="1">
      <c r="A14" s="571" t="s">
        <v>119</v>
      </c>
      <c r="B14" s="450" t="s">
        <v>940</v>
      </c>
      <c r="C14" s="3">
        <f>+$C$12+$G$13</f>
        <v>30506.65</v>
      </c>
      <c r="D14" s="83"/>
      <c r="E14" s="4"/>
      <c r="F14" s="4">
        <v>0</v>
      </c>
      <c r="G14" s="6"/>
      <c r="H14" s="449" t="s">
        <v>131</v>
      </c>
      <c r="I14" s="4"/>
      <c r="J14" s="3"/>
      <c r="K14" s="449"/>
      <c r="L14" s="449" t="s">
        <v>562</v>
      </c>
      <c r="M14" s="449" t="str">
        <f>IF(L14="","",
IF(AX14="PT",VLOOKUP(L14,Foundation_Calc!$V$79:$X$113,VLOOKUP(AX14,Foundation_Calc!$I$10:$J$13,2,FALSE),0),
IF(AX14="K",VLOOKUP(L14,Foundation_Calc!$V$117:$X$151,VLOOKUP(AX14,Foundation_Calc!$I$10:$J$13,2,FALSE),0),"")))</f>
        <v>C7R</v>
      </c>
      <c r="N14" s="449" t="s">
        <v>133</v>
      </c>
      <c r="O14" s="449" t="s">
        <v>124</v>
      </c>
      <c r="P14" s="449"/>
      <c r="Q14" s="4"/>
      <c r="R14" s="6"/>
      <c r="S14" s="6"/>
      <c r="T14" s="4">
        <v>10</v>
      </c>
      <c r="U14" s="4">
        <v>-35</v>
      </c>
      <c r="V14" s="4"/>
      <c r="W14" s="643">
        <v>1.4</v>
      </c>
      <c r="X14" s="643">
        <v>2.2999999999999998</v>
      </c>
      <c r="Y14" s="9"/>
      <c r="Z14" s="643">
        <v>0.45</v>
      </c>
      <c r="AA14" s="9"/>
      <c r="AB14" s="9"/>
      <c r="AC14" s="449"/>
      <c r="AD14" s="449"/>
      <c r="AE14" s="449"/>
      <c r="AF14" s="4"/>
      <c r="AG14" s="83"/>
      <c r="AH14" s="4"/>
      <c r="AI14" s="4"/>
      <c r="AJ14" s="449"/>
      <c r="AK14" s="449"/>
      <c r="AL14" s="449"/>
      <c r="AM14" s="449" t="s">
        <v>126</v>
      </c>
      <c r="AN14" s="10">
        <v>5.5</v>
      </c>
      <c r="AO14" s="9"/>
      <c r="AP14" s="9"/>
      <c r="AQ14" s="9"/>
      <c r="AR14" s="9"/>
      <c r="AS14" s="9"/>
      <c r="AT14" s="9">
        <f>+ab($U$14,$T$12,$T$20,$G$13,$G$19, 1*$F$14,1200)</f>
        <v>-5.8227239225449958</v>
      </c>
      <c r="AU14" s="428"/>
      <c r="AV14" s="428"/>
      <c r="AW14" s="449" t="str">
        <f>IF(C14&gt;0,VLOOKUP(C14,Foundation_Calc!$A$2:$C$13,3,1),
IF(J14&gt;0,VLOOKUP(J14,Foundation_Calc!$A$2:$C$13,3,1),""))</f>
        <v>Multi Soil</v>
      </c>
      <c r="AX14" s="449" t="str">
        <f>IF(C14&gt;0,VLOOKUP(C14,Foundation_Calc!$E$35:$G$65,3,1),
IF(J14&gt;0,VLOOKUP(J14,Foundation_Calc!$E$35:$G$65,3,1),""))</f>
        <v>PT</v>
      </c>
      <c r="AY14" s="10">
        <f>IF(L14="","",
IF(AX14="PT",VLOOKUP(L14,Foundation_Calc!$K$79:$R$113,VLOOKUP(AW14,Foundation_Calc!$I$2:$J$8,2,FALSE),0),
IF(AX14="K",VLOOKUP(L14,Foundation_Calc!$K$117:$R$151,VLOOKUP(AW14,Foundation_Calc!$I$2:$J$8,2,FALSE),0),"")))</f>
        <v>3.7</v>
      </c>
      <c r="AZ14" s="10" t="str">
        <f>IF(K14="","",
IF(AX14="PT",VLOOKUP(K14,Foundation_Calc!$K$79:$R$113,VLOOKUP(AW14,Foundation_Calc!$I$2:$J$8,2,FALSE),0),
IF(AX14="K",VLOOKUP(K14,Foundation_Calc!$K$117:$R$151,VLOOKUP(AW14,Foundation_Calc!$I$2:$J$8,2,FALSE),0),"")))</f>
        <v/>
      </c>
      <c r="BA14" s="495" t="str">
        <f t="shared" si="1"/>
        <v>ü</v>
      </c>
      <c r="BB14" s="495" t="str">
        <f t="shared" si="2"/>
        <v/>
      </c>
      <c r="BC14" s="495" t="str">
        <f t="shared" si="3"/>
        <v/>
      </c>
      <c r="BD14" s="513" t="str">
        <f>IF(AND(L14="",H14=""),"",
IF(H14="",Pole_Calc!A$9,
IF(H14="MP",Pole_Calc!A$10,
IF(H14="AnMP",Pole_Calc!A$11,
IF(H14="A",Pole_Calc!A$12,
IF(H14="S/A",Pole_Calc!A$13,
IF(H14="A/S",Pole_Calc!A$14,"Poner a mano")))))))</f>
        <v>App.7-V11I-P9.5.1.5</v>
      </c>
      <c r="BE14" s="429" t="s">
        <v>118</v>
      </c>
      <c r="BF14" s="289"/>
      <c r="BG14" s="289"/>
      <c r="BH14" s="290"/>
      <c r="BI14" s="289"/>
    </row>
    <row r="15" spans="1:63" ht="16.149999999999999" customHeight="1">
      <c r="A15" s="571" t="s">
        <v>119</v>
      </c>
      <c r="B15" s="450"/>
      <c r="C15" s="3"/>
      <c r="D15" s="83"/>
      <c r="E15" s="4"/>
      <c r="F15" s="4"/>
      <c r="G15" s="6">
        <v>5</v>
      </c>
      <c r="H15" s="449"/>
      <c r="I15" s="4"/>
      <c r="J15" s="3"/>
      <c r="K15" s="449"/>
      <c r="L15" s="449"/>
      <c r="M15" s="449" t="str">
        <f>IF(L15="","",
IF(AX15="PT",VLOOKUP(L15,Foundation_Calc!$V$79:$X$113,VLOOKUP(AX15,Foundation_Calc!$I$10:$J$13,2,FALSE),0),
IF(AX15="K",VLOOKUP(L15,Foundation_Calc!$V$117:$X$151,VLOOKUP(AX15,Foundation_Calc!$I$10:$J$13,2,FALSE),0),"")))</f>
        <v/>
      </c>
      <c r="N15" s="449"/>
      <c r="O15" s="449"/>
      <c r="P15" s="449"/>
      <c r="Q15" s="4"/>
      <c r="R15" s="6"/>
      <c r="S15" s="6"/>
      <c r="T15" s="4"/>
      <c r="U15" s="4"/>
      <c r="V15" s="4"/>
      <c r="W15" s="9"/>
      <c r="X15" s="9"/>
      <c r="Y15" s="9"/>
      <c r="Z15" s="9"/>
      <c r="AA15" s="9"/>
      <c r="AB15" s="9"/>
      <c r="AC15" s="449" t="str">
        <f t="shared" si="0"/>
        <v/>
      </c>
      <c r="AD15" s="449"/>
      <c r="AE15" s="449"/>
      <c r="AF15" s="4"/>
      <c r="AG15" s="83"/>
      <c r="AH15" s="4"/>
      <c r="AI15" s="4"/>
      <c r="AJ15" s="449"/>
      <c r="AK15" s="449"/>
      <c r="AL15" s="449"/>
      <c r="AM15" s="449"/>
      <c r="AN15" s="10"/>
      <c r="AO15" s="9"/>
      <c r="AP15" s="9"/>
      <c r="AQ15" s="9">
        <f>+FL_1($T$16,$T$14,$G$15,1200,9.28, 1*$F$16)</f>
        <v>0.1001806279999989</v>
      </c>
      <c r="AR15" s="9"/>
      <c r="AS15" s="9"/>
      <c r="AT15" s="9"/>
      <c r="AU15" s="428"/>
      <c r="AV15" s="428"/>
      <c r="AW15" s="449" t="str">
        <f>IF(C15&gt;0,VLOOKUP(C15,Foundation_Calc!$A$2:$C$13,3,1),
IF(J15&gt;0,VLOOKUP(J15,Foundation_Calc!$A$2:$C$13,3,1),""))</f>
        <v/>
      </c>
      <c r="AX15" s="449" t="str">
        <f>IF(C15&gt;0,VLOOKUP(C15,Foundation_Calc!$E$35:$G$65,3,1),
IF(J15&gt;0,VLOOKUP(J15,Foundation_Calc!$E$35:$G$65,3,1),""))</f>
        <v/>
      </c>
      <c r="AY15" s="10" t="str">
        <f>IF(L15="","",
IF(AX15="PT",VLOOKUP(L15,Foundation_Calc!$K$79:$R$113,VLOOKUP(AW15,Foundation_Calc!$I$2:$J$8,2,FALSE),0),
IF(AX15="K",VLOOKUP(L15,Foundation_Calc!$K$117:$R$151,VLOOKUP(AW15,Foundation_Calc!$I$2:$J$8,2,FALSE),0),"")))</f>
        <v/>
      </c>
      <c r="AZ15" s="10" t="str">
        <f>IF(K15="","",
IF(AX15="PT",VLOOKUP(K15,Foundation_Calc!$K$79:$R$113,VLOOKUP(AW15,Foundation_Calc!$I$2:$J$8,2,FALSE),0),
IF(AX15="K",VLOOKUP(K15,Foundation_Calc!$K$117:$R$151,VLOOKUP(AW15,Foundation_Calc!$I$2:$J$8,2,FALSE),0),"")))</f>
        <v/>
      </c>
      <c r="BA15" s="495" t="str">
        <f t="shared" si="1"/>
        <v/>
      </c>
      <c r="BB15" s="495" t="str">
        <f t="shared" si="2"/>
        <v/>
      </c>
      <c r="BC15" s="495" t="str">
        <f t="shared" si="3"/>
        <v/>
      </c>
      <c r="BD15" s="513" t="str">
        <f>IF(AND(L15="",H15=""),"",
IF(H15="",Pole_Calc!A$9,
IF(H15="MP",Pole_Calc!A$10,
IF(H15="AnMP",Pole_Calc!A$11,
IF(H15="A",Pole_Calc!A$12,
IF(H15="S/A",Pole_Calc!A$13,
IF(H15="A/S",Pole_Calc!A$14,"Poner a mano")))))))</f>
        <v/>
      </c>
      <c r="BE15" s="429" t="s">
        <v>118</v>
      </c>
      <c r="BF15" s="290"/>
      <c r="BG15" s="290"/>
      <c r="BH15" s="290"/>
      <c r="BI15" s="290"/>
    </row>
    <row r="16" spans="1:63" ht="16.149999999999999" customHeight="1">
      <c r="A16" s="636"/>
      <c r="B16" s="637" t="s">
        <v>941</v>
      </c>
      <c r="C16" s="638">
        <f>+$C$14+$G$15</f>
        <v>30511.65</v>
      </c>
      <c r="D16" s="639"/>
      <c r="E16" s="640"/>
      <c r="F16" s="640">
        <v>0</v>
      </c>
      <c r="G16" s="641"/>
      <c r="H16" s="642"/>
      <c r="I16" s="640"/>
      <c r="J16" s="638"/>
      <c r="K16" s="642"/>
      <c r="L16" s="642" t="s">
        <v>142</v>
      </c>
      <c r="M16" s="642" t="str">
        <f>IF(L16="","",
IF(AX16="PT",VLOOKUP(L16,Foundation_Calc!$V$79:$X$113,VLOOKUP(AX16,Foundation_Calc!$I$10:$J$13,2,FALSE),0),
IF(AX16="K",VLOOKUP(L16,Foundation_Calc!$V$117:$X$151,VLOOKUP(AX16,Foundation_Calc!$I$10:$J$13,2,FALSE),0),"")))</f>
        <v>C9R</v>
      </c>
      <c r="N16" s="642"/>
      <c r="O16" s="642"/>
      <c r="P16" s="642"/>
      <c r="Q16" s="640"/>
      <c r="R16" s="641"/>
      <c r="S16" s="641"/>
      <c r="T16" s="640"/>
      <c r="U16" s="640"/>
      <c r="V16" s="640"/>
      <c r="W16" s="643"/>
      <c r="X16" s="643"/>
      <c r="Y16" s="643"/>
      <c r="Z16" s="643"/>
      <c r="AA16" s="643"/>
      <c r="AB16" s="643"/>
      <c r="AC16" s="642" t="str">
        <f t="shared" si="0"/>
        <v/>
      </c>
      <c r="AD16" s="642"/>
      <c r="AE16" s="642"/>
      <c r="AF16" s="640"/>
      <c r="AG16" s="639"/>
      <c r="AH16" s="640"/>
      <c r="AI16" s="640"/>
      <c r="AJ16" s="642"/>
      <c r="AK16" s="642"/>
      <c r="AL16" s="642"/>
      <c r="AM16" s="642" t="s">
        <v>126</v>
      </c>
      <c r="AN16" s="644"/>
      <c r="AO16" s="643"/>
      <c r="AP16" s="643"/>
      <c r="AQ16" s="643"/>
      <c r="AR16" s="643"/>
      <c r="AS16" s="643"/>
      <c r="AT16" s="643"/>
      <c r="AU16" s="645"/>
      <c r="AV16" s="645"/>
      <c r="AW16" s="642" t="str">
        <f>IF(C16&gt;0,VLOOKUP(C16,Foundation_Calc!$A$2:$C$13,3,1),
IF(J16&gt;0,VLOOKUP(J16,Foundation_Calc!$A$2:$C$13,3,1),""))</f>
        <v>Multi Soil</v>
      </c>
      <c r="AX16" s="642" t="str">
        <f>IF(C16&gt;0,VLOOKUP(C16,Foundation_Calc!$E$35:$G$65,3,1),
IF(J16&gt;0,VLOOKUP(J16,Foundation_Calc!$E$35:$G$65,3,1),""))</f>
        <v>PT</v>
      </c>
      <c r="AY16" s="644">
        <f>IF(L16="","",
IF(AX16="PT",VLOOKUP(L16,Foundation_Calc!$K$79:$R$113,VLOOKUP(AW16,Foundation_Calc!$I$2:$J$8,2,FALSE),0),
IF(AX16="K",VLOOKUP(L16,Foundation_Calc!$K$117:$R$151,VLOOKUP(AW16,Foundation_Calc!$I$2:$J$8,2,FALSE),0),"")))</f>
        <v>4.4000000000000004</v>
      </c>
      <c r="AZ16" s="644" t="str">
        <f>IF(K16="","",
IF(AX16="PT",VLOOKUP(K16,Foundation_Calc!$K$79:$R$113,VLOOKUP(AW16,Foundation_Calc!$I$2:$J$8,2,FALSE),0),
IF(AX16="K",VLOOKUP(K16,Foundation_Calc!$K$117:$R$151,VLOOKUP(AW16,Foundation_Calc!$I$2:$J$8,2,FALSE),0),"")))</f>
        <v/>
      </c>
      <c r="BA16" s="495" t="str">
        <f t="shared" si="1"/>
        <v>ü</v>
      </c>
      <c r="BB16" s="495" t="str">
        <f t="shared" si="2"/>
        <v/>
      </c>
      <c r="BC16" s="495" t="str">
        <f t="shared" si="3"/>
        <v/>
      </c>
      <c r="BD16" s="513" t="str">
        <f>Pole_Calc!A$323</f>
        <v>App.8-V08H-10.7.4.2</v>
      </c>
      <c r="BE16" s="429" t="s">
        <v>118</v>
      </c>
      <c r="BF16" s="289"/>
      <c r="BG16" s="289"/>
      <c r="BH16" s="290"/>
      <c r="BI16" s="289"/>
    </row>
    <row r="17" spans="1:61" ht="16.149999999999999" customHeight="1">
      <c r="A17" s="636" t="s">
        <v>942</v>
      </c>
      <c r="B17" s="637"/>
      <c r="C17" s="638"/>
      <c r="D17" s="639"/>
      <c r="E17" s="640"/>
      <c r="F17" s="640"/>
      <c r="G17" s="641">
        <v>3</v>
      </c>
      <c r="H17" s="642"/>
      <c r="I17" s="640"/>
      <c r="J17" s="638"/>
      <c r="K17" s="642"/>
      <c r="L17" s="642"/>
      <c r="M17" s="642" t="str">
        <f>IF(L17="","",
IF(AX17="PT",VLOOKUP(L17,Foundation_Calc!$V$79:$X$113,VLOOKUP(AX17,Foundation_Calc!$I$10:$J$13,2,FALSE),0),
IF(AX17="K",VLOOKUP(L17,Foundation_Calc!$V$117:$X$151,VLOOKUP(AX17,Foundation_Calc!$I$10:$J$13,2,FALSE),0),"")))</f>
        <v/>
      </c>
      <c r="N17" s="642"/>
      <c r="O17" s="642"/>
      <c r="P17" s="642"/>
      <c r="Q17" s="640"/>
      <c r="R17" s="641"/>
      <c r="S17" s="641"/>
      <c r="T17" s="640"/>
      <c r="U17" s="640"/>
      <c r="V17" s="640"/>
      <c r="W17" s="643"/>
      <c r="X17" s="643"/>
      <c r="Y17" s="643"/>
      <c r="Z17" s="643"/>
      <c r="AA17" s="643"/>
      <c r="AB17" s="643"/>
      <c r="AC17" s="642" t="str">
        <f t="shared" si="0"/>
        <v/>
      </c>
      <c r="AD17" s="642"/>
      <c r="AE17" s="642"/>
      <c r="AF17" s="640"/>
      <c r="AG17" s="639"/>
      <c r="AH17" s="640"/>
      <c r="AI17" s="640"/>
      <c r="AJ17" s="642" t="s">
        <v>563</v>
      </c>
      <c r="AK17" s="642"/>
      <c r="AL17" s="642"/>
      <c r="AM17" s="642"/>
      <c r="AN17" s="644"/>
      <c r="AO17" s="643"/>
      <c r="AP17" s="643"/>
      <c r="AQ17" s="643"/>
      <c r="AR17" s="643"/>
      <c r="AS17" s="643"/>
      <c r="AT17" s="643"/>
      <c r="AU17" s="645"/>
      <c r="AV17" s="645"/>
      <c r="AW17" s="642" t="str">
        <f>IF(C17&gt;0,VLOOKUP(C17,Foundation_Calc!$A$2:$C$13,3,1),
IF(J17&gt;0,VLOOKUP(J17,Foundation_Calc!$A$2:$C$13,3,1),""))</f>
        <v/>
      </c>
      <c r="AX17" s="642" t="str">
        <f>IF(C17&gt;0,VLOOKUP(C17,Foundation_Calc!$E$35:$G$65,3,1),
IF(J17&gt;0,VLOOKUP(J17,Foundation_Calc!$E$35:$G$65,3,1),""))</f>
        <v/>
      </c>
      <c r="AY17" s="644" t="str">
        <f>IF(L17="","",
IF(AX17="PT",VLOOKUP(L17,Foundation_Calc!$K$79:$R$113,VLOOKUP(AW17,Foundation_Calc!$I$2:$J$8,2,FALSE),0),
IF(AX17="K",VLOOKUP(L17,Foundation_Calc!$K$117:$R$151,VLOOKUP(AW17,Foundation_Calc!$I$2:$J$8,2,FALSE),0),"")))</f>
        <v/>
      </c>
      <c r="AZ17" s="644" t="str">
        <f>IF(K17="","",
IF(AX17="PT",VLOOKUP(K17,Foundation_Calc!$K$79:$R$113,VLOOKUP(AW17,Foundation_Calc!$I$2:$J$8,2,FALSE),0),
IF(AX17="K",VLOOKUP(K17,Foundation_Calc!$K$117:$R$151,VLOOKUP(AW17,Foundation_Calc!$I$2:$J$8,2,FALSE),0),"")))</f>
        <v/>
      </c>
      <c r="BA17" s="495" t="str">
        <f t="shared" si="1"/>
        <v/>
      </c>
      <c r="BB17" s="495" t="str">
        <f t="shared" si="2"/>
        <v/>
      </c>
      <c r="BC17" s="495" t="str">
        <f t="shared" si="3"/>
        <v/>
      </c>
      <c r="BD17" s="513" t="str">
        <f>IF(AND(L17="",H17=""),"",
IF(H17="",Pole_Calc!A$9,
IF(H17="MP",Pole_Calc!A$10,
IF(H17="AnMP",Pole_Calc!A$11,
IF(H17="A",Pole_Calc!A$12,
IF(H17="S/A",Pole_Calc!A$13,
IF(H17="A/S",Pole_Calc!A$14,"Poner a mano")))))))</f>
        <v/>
      </c>
      <c r="BE17" s="429" t="s">
        <v>118</v>
      </c>
      <c r="BF17" s="290"/>
      <c r="BG17" s="290"/>
      <c r="BH17" s="290"/>
      <c r="BI17" s="290"/>
    </row>
    <row r="18" spans="1:61" ht="16.149999999999999" customHeight="1">
      <c r="A18" s="571" t="s">
        <v>119</v>
      </c>
      <c r="B18" s="637" t="s">
        <v>943</v>
      </c>
      <c r="C18" s="638">
        <f>+$C$16+$G$17</f>
        <v>30514.65</v>
      </c>
      <c r="D18" s="83"/>
      <c r="E18" s="4"/>
      <c r="F18" s="4">
        <v>0</v>
      </c>
      <c r="G18" s="641"/>
      <c r="H18" s="642"/>
      <c r="I18" s="640"/>
      <c r="J18" s="638"/>
      <c r="K18" s="642"/>
      <c r="L18" s="642" t="s">
        <v>142</v>
      </c>
      <c r="M18" s="642" t="str">
        <f>IF(L18="","",
IF(AX18="PT",VLOOKUP(L18,Foundation_Calc!$V$79:$X$113,VLOOKUP(AX18,Foundation_Calc!$I$10:$J$13,2,FALSE),0),
IF(AX18="K",VLOOKUP(L18,Foundation_Calc!$V$117:$X$151,VLOOKUP(AX18,Foundation_Calc!$I$10:$J$13,2,FALSE),0),"")))</f>
        <v>C9R</v>
      </c>
      <c r="N18" s="642"/>
      <c r="O18" s="642"/>
      <c r="P18" s="642"/>
      <c r="Q18" s="640"/>
      <c r="R18" s="641"/>
      <c r="S18" s="641"/>
      <c r="T18" s="640"/>
      <c r="U18" s="640"/>
      <c r="V18" s="640"/>
      <c r="W18" s="643"/>
      <c r="X18" s="643"/>
      <c r="Y18" s="643"/>
      <c r="Z18" s="643"/>
      <c r="AA18" s="643"/>
      <c r="AB18" s="643"/>
      <c r="AC18" s="642" t="str">
        <f t="shared" si="0"/>
        <v/>
      </c>
      <c r="AD18" s="642"/>
      <c r="AE18" s="642"/>
      <c r="AF18" s="640"/>
      <c r="AG18" s="639"/>
      <c r="AH18" s="640"/>
      <c r="AI18" s="640"/>
      <c r="AJ18" s="642"/>
      <c r="AK18" s="642"/>
      <c r="AL18" s="642"/>
      <c r="AM18" s="642" t="s">
        <v>126</v>
      </c>
      <c r="AN18" s="644"/>
      <c r="AO18" s="643"/>
      <c r="AP18" s="643"/>
      <c r="AQ18" s="643"/>
      <c r="AR18" s="643"/>
      <c r="AS18" s="643"/>
      <c r="AT18" s="643"/>
      <c r="AU18" s="645"/>
      <c r="AV18" s="645"/>
      <c r="AW18" s="642" t="str">
        <f>IF(C18&gt;0,VLOOKUP(C18,Foundation_Calc!$A$2:$C$13,3,1),
IF(J18&gt;0,VLOOKUP(J18,Foundation_Calc!$A$2:$C$13,3,1),""))</f>
        <v>Multi Soil</v>
      </c>
      <c r="AX18" s="642" t="str">
        <f>IF(C18&gt;0,VLOOKUP(C18,Foundation_Calc!$E$35:$G$65,3,1),
IF(J18&gt;0,VLOOKUP(J18,Foundation_Calc!$E$35:$G$65,3,1),""))</f>
        <v>PT</v>
      </c>
      <c r="AY18" s="644">
        <f>IF(L18="","",
IF(AX18="PT",VLOOKUP(L18,Foundation_Calc!$K$79:$R$113,VLOOKUP(AW18,Foundation_Calc!$I$2:$J$8,2,FALSE),0),
IF(AX18="K",VLOOKUP(L18,Foundation_Calc!$K$117:$R$151,VLOOKUP(AW18,Foundation_Calc!$I$2:$J$8,2,FALSE),0),"")))</f>
        <v>4.4000000000000004</v>
      </c>
      <c r="AZ18" s="644" t="str">
        <f>IF(K18="","",
IF(AX18="PT",VLOOKUP(K18,Foundation_Calc!$K$79:$R$113,VLOOKUP(AW18,Foundation_Calc!$I$2:$J$8,2,FALSE),0),
IF(AX18="K",VLOOKUP(K18,Foundation_Calc!$K$117:$R$151,VLOOKUP(AW18,Foundation_Calc!$I$2:$J$8,2,FALSE),0),"")))</f>
        <v/>
      </c>
      <c r="BA18" s="495" t="str">
        <f t="shared" si="1"/>
        <v>ü</v>
      </c>
      <c r="BB18" s="495" t="str">
        <f t="shared" si="2"/>
        <v/>
      </c>
      <c r="BC18" s="495" t="str">
        <f t="shared" si="3"/>
        <v/>
      </c>
      <c r="BD18" s="513" t="str">
        <f>Pole_Calc!A$323</f>
        <v>App.8-V08H-10.7.4.2</v>
      </c>
      <c r="BE18" s="429" t="s">
        <v>118</v>
      </c>
      <c r="BF18" s="289"/>
      <c r="BG18" s="289"/>
      <c r="BH18" s="290"/>
      <c r="BI18" s="289"/>
    </row>
    <row r="19" spans="1:61" ht="16.149999999999999" customHeight="1">
      <c r="A19" s="571" t="s">
        <v>119</v>
      </c>
      <c r="B19" s="450"/>
      <c r="C19" s="3"/>
      <c r="D19" s="83"/>
      <c r="E19" s="4"/>
      <c r="F19" s="4"/>
      <c r="G19" s="6">
        <v>39</v>
      </c>
      <c r="H19" s="449"/>
      <c r="I19" s="4"/>
      <c r="J19" s="3"/>
      <c r="K19" s="449"/>
      <c r="L19" s="449"/>
      <c r="M19" s="449" t="str">
        <f>IF(L19="","",
IF(AX19="PT",VLOOKUP(L19,Foundation_Calc!$V$79:$X$113,VLOOKUP(AX19,Foundation_Calc!$I$10:$J$13,2,FALSE),0),
IF(AX19="K",VLOOKUP(L19,Foundation_Calc!$V$117:$X$151,VLOOKUP(AX19,Foundation_Calc!$I$10:$J$13,2,FALSE),0),"")))</f>
        <v/>
      </c>
      <c r="N19" s="449"/>
      <c r="O19" s="449"/>
      <c r="P19" s="449"/>
      <c r="Q19" s="4"/>
      <c r="R19" s="6"/>
      <c r="S19" s="6"/>
      <c r="T19" s="4"/>
      <c r="U19" s="4"/>
      <c r="V19" s="4"/>
      <c r="W19" s="9"/>
      <c r="X19" s="9"/>
      <c r="Y19" s="9"/>
      <c r="Z19" s="9"/>
      <c r="AA19" s="9"/>
      <c r="AB19" s="9"/>
      <c r="AC19" s="449" t="str">
        <f t="shared" si="0"/>
        <v/>
      </c>
      <c r="AD19" s="449"/>
      <c r="AE19" s="449"/>
      <c r="AF19" s="4"/>
      <c r="AG19" s="83"/>
      <c r="AH19" s="4"/>
      <c r="AI19" s="4"/>
      <c r="AJ19" s="449"/>
      <c r="AK19" s="449"/>
      <c r="AL19" s="449"/>
      <c r="AM19" s="449"/>
      <c r="AN19" s="10"/>
      <c r="AO19" s="9"/>
      <c r="AP19" s="9"/>
      <c r="AQ19" s="9"/>
      <c r="AR19" s="9"/>
      <c r="AS19" s="9"/>
      <c r="AT19" s="9"/>
      <c r="AU19" s="428"/>
      <c r="AV19" s="428"/>
      <c r="AW19" s="449" t="str">
        <f>IF(C19&gt;0,VLOOKUP(C19,Foundation_Calc!$A$2:$C$13,3,1),
IF(J19&gt;0,VLOOKUP(J19,Foundation_Calc!$A$2:$C$13,3,1),""))</f>
        <v/>
      </c>
      <c r="AX19" s="449" t="str">
        <f>IF(C19&gt;0,VLOOKUP(C19,Foundation_Calc!$E$35:$G$65,3,1),
IF(J19&gt;0,VLOOKUP(J19,Foundation_Calc!$E$35:$G$65,3,1),""))</f>
        <v/>
      </c>
      <c r="AY19" s="10" t="str">
        <f>IF(L19="","",
IF(AX19="PT",VLOOKUP(L19,Foundation_Calc!$K$79:$R$113,VLOOKUP(AW19,Foundation_Calc!$I$2:$J$8,2,FALSE),0),
IF(AX19="K",VLOOKUP(L19,Foundation_Calc!$K$117:$R$151,VLOOKUP(AW19,Foundation_Calc!$I$2:$J$8,2,FALSE),0),"")))</f>
        <v/>
      </c>
      <c r="AZ19" s="10" t="str">
        <f>IF(K19="","",
IF(AX19="PT",VLOOKUP(K19,Foundation_Calc!$K$79:$R$113,VLOOKUP(AW19,Foundation_Calc!$I$2:$J$8,2,FALSE),0),
IF(AX19="K",VLOOKUP(K19,Foundation_Calc!$K$117:$R$151,VLOOKUP(AW19,Foundation_Calc!$I$2:$J$8,2,FALSE),0),"")))</f>
        <v/>
      </c>
      <c r="BA19" s="495" t="str">
        <f t="shared" si="1"/>
        <v/>
      </c>
      <c r="BB19" s="495" t="str">
        <f t="shared" si="2"/>
        <v/>
      </c>
      <c r="BC19" s="495" t="str">
        <f t="shared" si="3"/>
        <v/>
      </c>
      <c r="BD19" s="513" t="str">
        <f>IF(AND(L19="",H19=""),"",
IF(H19="",Pole_Calc!A$9,
IF(H19="MP",Pole_Calc!A$10,
IF(H19="AnMP",Pole_Calc!A$11,
IF(H19="A",Pole_Calc!A$12,
IF(H19="S/A",Pole_Calc!A$13,
IF(H19="A/S",Pole_Calc!A$14,"Poner a mano")))))))</f>
        <v/>
      </c>
      <c r="BE19" s="429" t="s">
        <v>118</v>
      </c>
      <c r="BF19" s="290"/>
      <c r="BG19" s="290"/>
      <c r="BH19" s="290"/>
      <c r="BI19" s="290"/>
    </row>
    <row r="20" spans="1:61" ht="16.149999999999999" customHeight="1">
      <c r="A20" s="636" t="s">
        <v>944</v>
      </c>
      <c r="B20" s="637" t="s">
        <v>945</v>
      </c>
      <c r="C20" s="638">
        <f>+$C$18+$G$19</f>
        <v>30553.65</v>
      </c>
      <c r="D20" s="639"/>
      <c r="E20" s="640"/>
      <c r="F20" s="640">
        <v>0</v>
      </c>
      <c r="G20" s="641"/>
      <c r="H20" s="642" t="s">
        <v>131</v>
      </c>
      <c r="I20" s="640" t="s">
        <v>132</v>
      </c>
      <c r="J20" s="638"/>
      <c r="K20" s="642"/>
      <c r="L20" s="642" t="s">
        <v>148</v>
      </c>
      <c r="M20" s="642" t="str">
        <f>IF(L20="","",
IF(AX20="PT",VLOOKUP(L20,Foundation_Calc!$V$79:$X$113,VLOOKUP(AX20,Foundation_Calc!$I$10:$J$13,2,FALSE),0),
IF(AX20="K",VLOOKUP(L20,Foundation_Calc!$V$117:$X$151,VLOOKUP(AX20,Foundation_Calc!$I$10:$J$13,2,FALSE),0),"")))</f>
        <v>C4R</v>
      </c>
      <c r="N20" s="642" t="s">
        <v>134</v>
      </c>
      <c r="O20" s="642" t="s">
        <v>133</v>
      </c>
      <c r="P20" s="642"/>
      <c r="Q20" s="640"/>
      <c r="R20" s="641"/>
      <c r="S20" s="641"/>
      <c r="T20" s="640">
        <v>35</v>
      </c>
      <c r="U20" s="640">
        <v>-10</v>
      </c>
      <c r="V20" s="640"/>
      <c r="W20" s="643">
        <v>1.4</v>
      </c>
      <c r="X20" s="643">
        <v>2.2999999999999998</v>
      </c>
      <c r="Y20" s="643"/>
      <c r="Z20" s="643"/>
      <c r="AA20" s="643">
        <v>0.45</v>
      </c>
      <c r="AB20" s="643"/>
      <c r="AC20" s="642" t="str">
        <f t="shared" si="0"/>
        <v>PHQ</v>
      </c>
      <c r="AD20" s="642"/>
      <c r="AE20" s="642"/>
      <c r="AF20" s="640"/>
      <c r="AG20" s="639"/>
      <c r="AH20" s="640"/>
      <c r="AI20" s="640"/>
      <c r="AJ20" s="642" t="s">
        <v>135</v>
      </c>
      <c r="AK20" s="642"/>
      <c r="AL20" s="642"/>
      <c r="AM20" s="642" t="s">
        <v>126</v>
      </c>
      <c r="AN20" s="644">
        <v>5.5</v>
      </c>
      <c r="AO20" s="643"/>
      <c r="AP20" s="643"/>
      <c r="AQ20" s="643"/>
      <c r="AR20" s="643"/>
      <c r="AS20" s="643"/>
      <c r="AT20" s="643">
        <f>+ab($T$20,$U$14,$T$24,$G$19,$G$23, 1*$F$20,1200)</f>
        <v>6.5094218244272586</v>
      </c>
      <c r="AU20" s="645"/>
      <c r="AV20" s="645"/>
      <c r="AW20" s="642" t="str">
        <f>IF(C20&gt;0,VLOOKUP(C20,Foundation_Calc!$A$2:$C$13,3,1),
IF(J20&gt;0,VLOOKUP(J20,Foundation_Calc!$A$2:$C$13,3,1),""))</f>
        <v>Multi Soil</v>
      </c>
      <c r="AX20" s="642" t="str">
        <f>IF(C20&gt;0,VLOOKUP(C20,Foundation_Calc!$E$35:$G$65,3,1),
IF(J20&gt;0,VLOOKUP(J20,Foundation_Calc!$E$35:$G$65,3,1),""))</f>
        <v>PT</v>
      </c>
      <c r="AY20" s="644">
        <f>IF(L20="","",
IF(AX20="PT",VLOOKUP(L20,Foundation_Calc!$K$79:$R$113,VLOOKUP(AW20,Foundation_Calc!$I$2:$J$8,2,FALSE),0),
IF(AX20="K",VLOOKUP(L20,Foundation_Calc!$K$117:$R$151,VLOOKUP(AW20,Foundation_Calc!$I$2:$J$8,2,FALSE),0),"")))</f>
        <v>3.7</v>
      </c>
      <c r="AZ20" s="644" t="str">
        <f>IF(K20="","",
IF(AX20="PT",VLOOKUP(K20,Foundation_Calc!$K$79:$R$113,VLOOKUP(AW20,Foundation_Calc!$I$2:$J$8,2,FALSE),0),
IF(AX20="K",VLOOKUP(K20,Foundation_Calc!$K$117:$R$151,VLOOKUP(AW20,Foundation_Calc!$I$2:$J$8,2,FALSE),0),"")))</f>
        <v/>
      </c>
      <c r="BA20" s="495" t="str">
        <f t="shared" si="1"/>
        <v>ü</v>
      </c>
      <c r="BB20" s="495" t="str">
        <f t="shared" si="2"/>
        <v/>
      </c>
      <c r="BC20" s="495" t="str">
        <f t="shared" si="3"/>
        <v/>
      </c>
      <c r="BD20" s="513" t="str">
        <f>IF(AND(L20="",H20=""),"",
IF(H20="",Pole_Calc!A$9,
IF(H20="MP",Pole_Calc!A$10,
IF(H20="AnMP",Pole_Calc!A$11,
IF(H20="A",Pole_Calc!A$12,
IF(H20="S/A",Pole_Calc!A$13,
IF(H20="A/S",Pole_Calc!A$14,"Poner a mano")))))))</f>
        <v>App.7-V11I-P9.5.1.5</v>
      </c>
      <c r="BE20" s="429" t="s">
        <v>118</v>
      </c>
      <c r="BF20" s="289"/>
      <c r="BG20" s="289"/>
      <c r="BH20" s="290"/>
      <c r="BI20" s="289"/>
    </row>
    <row r="21" spans="1:61" ht="16.149999999999999" customHeight="1">
      <c r="A21" s="571" t="s">
        <v>119</v>
      </c>
      <c r="B21" s="450"/>
      <c r="C21" s="3"/>
      <c r="D21" s="83"/>
      <c r="E21" s="4"/>
      <c r="F21" s="4"/>
      <c r="G21" s="6">
        <v>25</v>
      </c>
      <c r="H21" s="449"/>
      <c r="I21" s="4"/>
      <c r="J21" s="3"/>
      <c r="K21" s="449"/>
      <c r="L21" s="449"/>
      <c r="M21" s="449" t="str">
        <f>IF(L21="","",
IF(AX21="PT",VLOOKUP(L21,Foundation_Calc!$V$79:$X$113,VLOOKUP(AX21,Foundation_Calc!$I$10:$J$13,2,FALSE),0),
IF(AX21="K",VLOOKUP(L21,Foundation_Calc!$V$117:$X$151,VLOOKUP(AX21,Foundation_Calc!$I$10:$J$13,2,FALSE),0),"")))</f>
        <v/>
      </c>
      <c r="N21" s="449"/>
      <c r="O21" s="449"/>
      <c r="P21" s="449"/>
      <c r="Q21" s="4"/>
      <c r="R21" s="6"/>
      <c r="S21" s="6"/>
      <c r="T21" s="4"/>
      <c r="U21" s="4"/>
      <c r="V21" s="4"/>
      <c r="W21" s="9"/>
      <c r="X21" s="9"/>
      <c r="Y21" s="9"/>
      <c r="Z21" s="9"/>
      <c r="AA21" s="9"/>
      <c r="AB21" s="9"/>
      <c r="AC21" s="449"/>
      <c r="AD21" s="449"/>
      <c r="AE21" s="449"/>
      <c r="AF21" s="4"/>
      <c r="AG21" s="83"/>
      <c r="AH21" s="4"/>
      <c r="AI21" s="4"/>
      <c r="AJ21" s="449"/>
      <c r="AK21" s="449"/>
      <c r="AL21" s="449"/>
      <c r="AM21" s="449"/>
      <c r="AN21" s="10"/>
      <c r="AO21" s="9"/>
      <c r="AP21" s="9"/>
      <c r="AQ21" s="9">
        <f>+FL_1($T$24,$T$20,$G$23,1200,9.28, 1*$F$24)</f>
        <v>0.42314758771929833</v>
      </c>
      <c r="AR21" s="9"/>
      <c r="AS21" s="9"/>
      <c r="AT21" s="9"/>
      <c r="AU21" s="428"/>
      <c r="AV21" s="428"/>
      <c r="AW21" s="449"/>
      <c r="AX21" s="449" t="str">
        <f>IF(C21&gt;0,VLOOKUP(C21,Foundation_Calc!$E$35:$G$65,3,1),
IF(J21&gt;0,VLOOKUP(J21,Foundation_Calc!$E$35:$G$65,3,1),""))</f>
        <v/>
      </c>
      <c r="AY21" s="10" t="str">
        <f>IF(L21="","",
IF(AX21="PT",VLOOKUP(L21,Foundation_Calc!$K$79:$R$113,VLOOKUP(AW21,Foundation_Calc!$I$2:$J$8,2,FALSE),0),
IF(AX21="K",VLOOKUP(L21,Foundation_Calc!$K$117:$R$151,VLOOKUP(AW21,Foundation_Calc!$I$2:$J$8,2,FALSE),0),"")))</f>
        <v/>
      </c>
      <c r="AZ21" s="10" t="str">
        <f>IF(K21="","",
IF(AX21="PT",VLOOKUP(K21,Foundation_Calc!$K$79:$R$113,VLOOKUP(AW21,Foundation_Calc!$I$2:$J$8,2,FALSE),0),
IF(AX21="K",VLOOKUP(K21,Foundation_Calc!$K$117:$R$151,VLOOKUP(AW21,Foundation_Calc!$I$2:$J$8,2,FALSE),0),"")))</f>
        <v/>
      </c>
      <c r="BA21" s="495" t="str">
        <f t="shared" ref="BA21:BA23" si="7">IF(AY21="","",IF(AY21&gt;0,"ü",""))</f>
        <v/>
      </c>
      <c r="BB21" s="495" t="str">
        <f t="shared" ref="BB21:BB23" si="8">IF(AZ21="","",IF(AZ21&gt;0,"ü",""))</f>
        <v/>
      </c>
      <c r="BC21" s="495" t="str">
        <f t="shared" ref="BC21:BC23" si="9">IF(M21="","",IF(M21="U.S.","ü",IF(M21="U.S. N.D.","ü","")))</f>
        <v/>
      </c>
      <c r="BD21" s="513" t="str">
        <f>IF(AND(L21="",H21=""),"",
IF(H21="",Pole_Calc!A$9,
IF(H21="MP",Pole_Calc!A$10,
IF(H21="AnMP",Pole_Calc!A$11,
IF(H21="A",Pole_Calc!A$12,
IF(H21="S/A",Pole_Calc!A$13,
IF(H21="A/S",Pole_Calc!A$14,"Poner a mano")))))))</f>
        <v/>
      </c>
      <c r="BE21" s="429" t="s">
        <v>118</v>
      </c>
      <c r="BF21" s="290"/>
      <c r="BG21" s="290"/>
      <c r="BH21" s="290"/>
      <c r="BI21" s="290"/>
    </row>
    <row r="22" spans="1:61" ht="16.149999999999999" customHeight="1">
      <c r="A22" s="571" t="s">
        <v>119</v>
      </c>
      <c r="B22" s="450" t="s">
        <v>946</v>
      </c>
      <c r="C22" s="3">
        <f>C20+G21</f>
        <v>30578.65</v>
      </c>
      <c r="D22" s="83"/>
      <c r="E22" s="4"/>
      <c r="F22" s="4">
        <v>0</v>
      </c>
      <c r="G22" s="6"/>
      <c r="H22" s="449"/>
      <c r="I22" s="4"/>
      <c r="J22" s="3"/>
      <c r="K22" s="449"/>
      <c r="L22" s="449" t="s">
        <v>128</v>
      </c>
      <c r="M22" s="449" t="str">
        <f>IF(L22="","",
IF(AX22="PT",VLOOKUP(L22,Foundation_Calc!$V$79:$X$113,VLOOKUP(AX22,Foundation_Calc!$I$10:$J$13,2,FALSE),0),
IF(AX22="K",VLOOKUP(L22,Foundation_Calc!$V$117:$X$151,VLOOKUP(AX22,Foundation_Calc!$I$10:$J$13,2,FALSE),0),"")))</f>
        <v>T-SING FOUND.</v>
      </c>
      <c r="N22" s="449"/>
      <c r="O22" s="449"/>
      <c r="P22" s="449"/>
      <c r="Q22" s="4"/>
      <c r="R22" s="6"/>
      <c r="S22" s="6"/>
      <c r="T22" s="4"/>
      <c r="U22" s="4"/>
      <c r="V22" s="4"/>
      <c r="W22" s="9"/>
      <c r="X22" s="9"/>
      <c r="Y22" s="9"/>
      <c r="Z22" s="9"/>
      <c r="AA22" s="9"/>
      <c r="AB22" s="9"/>
      <c r="AC22" s="449"/>
      <c r="AD22" s="449"/>
      <c r="AE22" s="449"/>
      <c r="AF22" s="4"/>
      <c r="AG22" s="83"/>
      <c r="AH22" s="4"/>
      <c r="AI22" s="4"/>
      <c r="AJ22" s="449"/>
      <c r="AK22" s="449"/>
      <c r="AL22" s="449"/>
      <c r="AM22" s="449"/>
      <c r="AN22" s="10"/>
      <c r="AO22" s="9"/>
      <c r="AP22" s="9"/>
      <c r="AQ22" s="9"/>
      <c r="AR22" s="9"/>
      <c r="AS22" s="9"/>
      <c r="AT22" s="9"/>
      <c r="AU22" s="428"/>
      <c r="AV22" s="428"/>
      <c r="AW22" s="449" t="str">
        <f>IF(C22&gt;0,VLOOKUP(C22,Foundation_Calc!$A$2:$C$13,3,1),
IF(J22&gt;0,VLOOKUP(J22,Foundation_Calc!$A$2:$C$13,3,1),""))</f>
        <v>Multi Soil</v>
      </c>
      <c r="AX22" s="449" t="str">
        <f>IF(C22&gt;0,VLOOKUP(C22,Foundation_Calc!$E$35:$G$65,3,1),
IF(J22&gt;0,VLOOKUP(J22,Foundation_Calc!$E$35:$G$65,3,1),""))</f>
        <v>PT</v>
      </c>
      <c r="AY22" s="10">
        <f>IF(L22="","",
IF(AX22="PT",VLOOKUP(L22,Foundation_Calc!$K$79:$R$113,VLOOKUP(AW22,Foundation_Calc!$I$2:$J$8,2,FALSE),0),
IF(AX22="K",VLOOKUP(L22,Foundation_Calc!$K$117:$R$151,VLOOKUP(AW22,Foundation_Calc!$I$2:$J$8,2,FALSE),0),"")))</f>
        <v>1.2</v>
      </c>
      <c r="AZ22" s="10" t="str">
        <f>IF(K22="","",
IF(AX22="PT",VLOOKUP(K22,Foundation_Calc!$K$79:$R$113,VLOOKUP(AW22,Foundation_Calc!$I$2:$J$8,2,FALSE),0),
IF(AX22="K",VLOOKUP(K22,Foundation_Calc!$K$117:$R$151,VLOOKUP(AW22,Foundation_Calc!$I$2:$J$8,2,FALSE),0),"")))</f>
        <v/>
      </c>
      <c r="BA22" s="495" t="str">
        <f t="shared" si="7"/>
        <v>ü</v>
      </c>
      <c r="BB22" s="495" t="str">
        <f t="shared" si="8"/>
        <v/>
      </c>
      <c r="BC22" s="495" t="str">
        <f t="shared" si="9"/>
        <v/>
      </c>
      <c r="BD22" s="513"/>
      <c r="BE22" s="429" t="s">
        <v>118</v>
      </c>
      <c r="BF22" s="289"/>
      <c r="BG22" s="289"/>
      <c r="BH22" s="290"/>
      <c r="BI22" s="289"/>
    </row>
    <row r="23" spans="1:61" ht="16.149999999999999" customHeight="1">
      <c r="A23" s="571" t="s">
        <v>119</v>
      </c>
      <c r="B23" s="450"/>
      <c r="C23" s="3"/>
      <c r="D23" s="83"/>
      <c r="E23" s="4"/>
      <c r="F23" s="4"/>
      <c r="G23" s="6">
        <v>57</v>
      </c>
      <c r="H23" s="449"/>
      <c r="I23" s="4"/>
      <c r="J23" s="3"/>
      <c r="K23" s="449"/>
      <c r="L23" s="449"/>
      <c r="M23" s="449" t="str">
        <f>IF(L23="","",
IF(AX23="PT",VLOOKUP(L23,Foundation_Calc!$V$79:$X$113,VLOOKUP(AX23,Foundation_Calc!$I$10:$J$13,2,FALSE),0),
IF(AX23="K",VLOOKUP(L23,Foundation_Calc!$V$117:$X$151,VLOOKUP(AX23,Foundation_Calc!$I$10:$J$13,2,FALSE),0),"")))</f>
        <v/>
      </c>
      <c r="N23" s="449"/>
      <c r="O23" s="449"/>
      <c r="P23" s="449"/>
      <c r="Q23" s="4"/>
      <c r="R23" s="6"/>
      <c r="S23" s="6"/>
      <c r="T23" s="4"/>
      <c r="U23" s="4"/>
      <c r="V23" s="4"/>
      <c r="W23" s="9"/>
      <c r="X23" s="9"/>
      <c r="Y23" s="9"/>
      <c r="Z23" s="9"/>
      <c r="AA23" s="9"/>
      <c r="AB23" s="9"/>
      <c r="AC23" s="449" t="str">
        <f t="shared" si="0"/>
        <v/>
      </c>
      <c r="AD23" s="449"/>
      <c r="AE23" s="449"/>
      <c r="AF23" s="4"/>
      <c r="AG23" s="83"/>
      <c r="AH23" s="4"/>
      <c r="AI23" s="4"/>
      <c r="AJ23" s="449"/>
      <c r="AK23" s="449"/>
      <c r="AL23" s="449"/>
      <c r="AM23" s="449"/>
      <c r="AN23" s="10"/>
      <c r="AO23" s="9"/>
      <c r="AP23" s="9"/>
      <c r="AQ23" s="9"/>
      <c r="AR23" s="9"/>
      <c r="AS23" s="9"/>
      <c r="AT23" s="9"/>
      <c r="AU23" s="428"/>
      <c r="AV23" s="428"/>
      <c r="AW23" s="449" t="str">
        <f>IF(C23&gt;0,VLOOKUP(C23,Foundation_Calc!$A$2:$C$13,3,1),
IF(J23&gt;0,VLOOKUP(J23,Foundation_Calc!$A$2:$C$13,3,1),""))</f>
        <v/>
      </c>
      <c r="AX23" s="449" t="str">
        <f>IF(C23&gt;0,VLOOKUP(C23,Foundation_Calc!$E$35:$G$65,3,1),
IF(J23&gt;0,VLOOKUP(J23,Foundation_Calc!$E$35:$G$65,3,1),""))</f>
        <v/>
      </c>
      <c r="AY23" s="10" t="str">
        <f>IF(L23="","",
IF(AX23="PT",VLOOKUP(L23,Foundation_Calc!$K$79:$R$113,VLOOKUP(AW23,Foundation_Calc!$I$2:$J$8,2,FALSE),0),
IF(AX23="K",VLOOKUP(L23,Foundation_Calc!$K$117:$R$151,VLOOKUP(AW23,Foundation_Calc!$I$2:$J$8,2,FALSE),0),"")))</f>
        <v/>
      </c>
      <c r="AZ23" s="10" t="str">
        <f>IF(K23="","",
IF(AX23="PT",VLOOKUP(K23,Foundation_Calc!$K$79:$R$113,VLOOKUP(AW23,Foundation_Calc!$I$2:$J$8,2,FALSE),0),
IF(AX23="K",VLOOKUP(K23,Foundation_Calc!$K$117:$R$151,VLOOKUP(AW23,Foundation_Calc!$I$2:$J$8,2,FALSE),0),"")))</f>
        <v/>
      </c>
      <c r="BA23" s="495" t="str">
        <f t="shared" si="7"/>
        <v/>
      </c>
      <c r="BB23" s="495" t="str">
        <f t="shared" si="8"/>
        <v/>
      </c>
      <c r="BC23" s="495" t="str">
        <f t="shared" si="9"/>
        <v/>
      </c>
      <c r="BD23" s="513" t="str">
        <f>IF(AND(L23="",H23=""),"",
IF(H23="",Pole_Calc!A$9,
IF(H23="MP",Pole_Calc!A$10,
IF(H23="AnMP",Pole_Calc!A$11,
IF(H23="A",Pole_Calc!A$12,
IF(H23="S/A",Pole_Calc!A$13,
IF(H23="A/S",Pole_Calc!A$14,"Poner a mano")))))))</f>
        <v/>
      </c>
      <c r="BE23" s="429" t="s">
        <v>118</v>
      </c>
      <c r="BF23" s="290"/>
      <c r="BG23" s="290"/>
      <c r="BH23" s="290"/>
      <c r="BI23" s="290"/>
    </row>
    <row r="24" spans="1:61" ht="16.149999999999999" customHeight="1">
      <c r="A24" s="571" t="s">
        <v>119</v>
      </c>
      <c r="B24" s="450" t="s">
        <v>947</v>
      </c>
      <c r="C24" s="3">
        <f>+$C$20+$G$23</f>
        <v>30610.65</v>
      </c>
      <c r="D24" s="83"/>
      <c r="E24" s="4"/>
      <c r="F24" s="4">
        <v>0</v>
      </c>
      <c r="G24" s="6"/>
      <c r="H24" s="449" t="s">
        <v>121</v>
      </c>
      <c r="I24" s="4" t="s">
        <v>122</v>
      </c>
      <c r="J24" s="3"/>
      <c r="K24" s="449"/>
      <c r="L24" s="449" t="s">
        <v>151</v>
      </c>
      <c r="M24" s="449" t="str">
        <f>IF(L24="","",
IF(AX24="PT",VLOOKUP(L24,Foundation_Calc!$V$79:$X$113,VLOOKUP(AX24,Foundation_Calc!$I$10:$J$13,2,FALSE),0),
IF(AX24="K",VLOOKUP(L24,Foundation_Calc!$V$117:$X$151,VLOOKUP(AX24,Foundation_Calc!$I$10:$J$13,2,FALSE),0),"")))</f>
        <v>C4R</v>
      </c>
      <c r="N24" s="449" t="s">
        <v>124</v>
      </c>
      <c r="O24" s="449"/>
      <c r="P24" s="449"/>
      <c r="Q24" s="4"/>
      <c r="R24" s="6"/>
      <c r="S24" s="6"/>
      <c r="T24" s="4">
        <v>-30</v>
      </c>
      <c r="U24" s="4"/>
      <c r="V24" s="4"/>
      <c r="W24" s="9">
        <v>1.4</v>
      </c>
      <c r="X24" s="9"/>
      <c r="Y24" s="9"/>
      <c r="Z24" s="9"/>
      <c r="AA24" s="9"/>
      <c r="AB24" s="9"/>
      <c r="AC24" s="449" t="str">
        <f t="shared" si="0"/>
        <v>PH</v>
      </c>
      <c r="AD24" s="449"/>
      <c r="AE24" s="449"/>
      <c r="AF24" s="4"/>
      <c r="AG24" s="83"/>
      <c r="AH24" s="4"/>
      <c r="AI24" s="4"/>
      <c r="AJ24" s="449"/>
      <c r="AK24" s="449"/>
      <c r="AL24" s="449"/>
      <c r="AM24" s="449" t="s">
        <v>126</v>
      </c>
      <c r="AN24" s="10">
        <v>5.5</v>
      </c>
      <c r="AO24" s="9"/>
      <c r="AP24" s="9"/>
      <c r="AQ24" s="9"/>
      <c r="AR24" s="9"/>
      <c r="AS24" s="9"/>
      <c r="AT24" s="9">
        <f>+ab($T$24,$T$20,$T$26,$G$23,$G$25, 1*$F$24,1200)</f>
        <v>-8.5651372321996533</v>
      </c>
      <c r="AU24" s="428"/>
      <c r="AV24" s="428"/>
      <c r="AW24" s="449" t="str">
        <f>IF(C24&gt;0,VLOOKUP(C24,Foundation_Calc!$A$2:$C$13,3,1),
IF(J24&gt;0,VLOOKUP(J24,Foundation_Calc!$A$2:$C$13,3,1),""))</f>
        <v>Multi Soil</v>
      </c>
      <c r="AX24" s="449" t="str">
        <f>IF(C24&gt;0,VLOOKUP(C24,Foundation_Calc!$E$35:$G$65,3,1),
IF(J24&gt;0,VLOOKUP(J24,Foundation_Calc!$E$35:$G$65,3,1),""))</f>
        <v>PT</v>
      </c>
      <c r="AY24" s="10">
        <f>IF(L24="","",
IF(AX24="PT",VLOOKUP(L24,Foundation_Calc!$K$79:$R$113,VLOOKUP(AW24,Foundation_Calc!$I$2:$J$8,2,FALSE),0),
IF(AX24="K",VLOOKUP(L24,Foundation_Calc!$K$117:$R$151,VLOOKUP(AW24,Foundation_Calc!$I$2:$J$8,2,FALSE),0),"")))</f>
        <v>3.5</v>
      </c>
      <c r="AZ24" s="10" t="str">
        <f>IF(K24="","",
IF(AX24="PT",VLOOKUP(K24,Foundation_Calc!$K$79:$R$113,VLOOKUP(AW24,Foundation_Calc!$I$2:$J$8,2,FALSE),0),
IF(AX24="K",VLOOKUP(K24,Foundation_Calc!$K$117:$R$151,VLOOKUP(AW24,Foundation_Calc!$I$2:$J$8,2,FALSE),0),"")))</f>
        <v/>
      </c>
      <c r="BA24" s="495" t="str">
        <f t="shared" si="1"/>
        <v>ü</v>
      </c>
      <c r="BB24" s="495" t="str">
        <f t="shared" si="2"/>
        <v/>
      </c>
      <c r="BC24" s="495" t="str">
        <f t="shared" si="3"/>
        <v/>
      </c>
      <c r="BD24" s="513" t="str">
        <f>IF(AND(L24="",H24=""),"",
IF(H24="",Pole_Calc!A$9,
IF(H24="MP",Pole_Calc!A$10,
IF(H24="AnMP",Pole_Calc!A$11,
IF(H24="A",Pole_Calc!A$12,
IF(H24="S/A",Pole_Calc!A$13,
IF(H24="A/S",Pole_Calc!A$14,"Poner a mano")))))))</f>
        <v>App.7-V11I-P9.5.1.6</v>
      </c>
      <c r="BE24" s="429" t="s">
        <v>118</v>
      </c>
      <c r="BF24" s="289"/>
      <c r="BG24" s="289"/>
      <c r="BH24" s="290"/>
      <c r="BI24" s="289"/>
    </row>
    <row r="25" spans="1:61" ht="16.149999999999999" customHeight="1">
      <c r="A25" s="646" t="s">
        <v>116</v>
      </c>
      <c r="B25" s="637"/>
      <c r="C25" s="638"/>
      <c r="D25" s="639"/>
      <c r="E25" s="640"/>
      <c r="F25" s="640"/>
      <c r="G25" s="641">
        <v>60</v>
      </c>
      <c r="H25" s="642"/>
      <c r="I25" s="640"/>
      <c r="J25" s="638">
        <f>C24+7.5</f>
        <v>30618.15</v>
      </c>
      <c r="K25" s="642" t="s">
        <v>117</v>
      </c>
      <c r="L25" s="642"/>
      <c r="M25" s="642" t="str">
        <f>IF(L25="","",
IF(AX25="PT",VLOOKUP(L25,Foundation_Calc!$V$79:$X$113,VLOOKUP(AX25,Foundation_Calc!$I$10:$J$13,2,FALSE),0),
IF(AX25="K",VLOOKUP(L25,Foundation_Calc!$V$117:$X$151,VLOOKUP(AX25,Foundation_Calc!$I$10:$J$13,2,FALSE),0),"")))</f>
        <v/>
      </c>
      <c r="N25" s="642"/>
      <c r="O25" s="642"/>
      <c r="P25" s="642"/>
      <c r="Q25" s="640"/>
      <c r="R25" s="641"/>
      <c r="S25" s="641"/>
      <c r="T25" s="640"/>
      <c r="U25" s="640"/>
      <c r="V25" s="640"/>
      <c r="W25" s="643"/>
      <c r="X25" s="643"/>
      <c r="Y25" s="643"/>
      <c r="Z25" s="643"/>
      <c r="AA25" s="643"/>
      <c r="AB25" s="643"/>
      <c r="AC25" s="642" t="str">
        <f t="shared" si="0"/>
        <v/>
      </c>
      <c r="AD25" s="642"/>
      <c r="AE25" s="642"/>
      <c r="AF25" s="640"/>
      <c r="AG25" s="639"/>
      <c r="AH25" s="640"/>
      <c r="AI25" s="640"/>
      <c r="AJ25" s="642"/>
      <c r="AK25" s="642"/>
      <c r="AL25" s="642"/>
      <c r="AM25" s="642"/>
      <c r="AN25" s="644"/>
      <c r="AO25" s="643"/>
      <c r="AP25" s="643"/>
      <c r="AQ25" s="643">
        <f>+FL_1($T$26,$T$24,$G$25,1200,9.28, 1*$F$26)</f>
        <v>0.44888002799999999</v>
      </c>
      <c r="AR25" s="643"/>
      <c r="AS25" s="643"/>
      <c r="AT25" s="643"/>
      <c r="AU25" s="645"/>
      <c r="AV25" s="645"/>
      <c r="AW25" s="642" t="str">
        <f>IF(C25&gt;0,VLOOKUP(C25,Foundation_Calc!$A$2:$C$13,3,1),
IF(J25&gt;0,VLOOKUP(J25,Foundation_Calc!$A$2:$C$13,3,1),""))</f>
        <v>Multi Soil</v>
      </c>
      <c r="AX25" s="642" t="str">
        <f>IF(C25&gt;0,VLOOKUP(C25,Foundation_Calc!$E$35:$G$65,3,1),
IF(J25&gt;0,VLOOKUP(J25,Foundation_Calc!$E$35:$G$65,3,1),""))</f>
        <v>PT</v>
      </c>
      <c r="AY25" s="644" t="str">
        <f>IF(L25="","",
IF(AX25="PT",VLOOKUP(L25,Foundation_Calc!$K$79:$R$113,VLOOKUP(AW25,Foundation_Calc!$I$2:$J$8,2,FALSE),0),
IF(AX25="K",VLOOKUP(L25,Foundation_Calc!$K$117:$R$151,VLOOKUP(AW25,Foundation_Calc!$I$2:$J$8,2,FALSE),0),"")))</f>
        <v/>
      </c>
      <c r="AZ25" s="644">
        <f>IF(K25="","",
IF(AX25="PT",VLOOKUP(K25,Foundation_Calc!$K$79:$R$113,VLOOKUP(AW25,Foundation_Calc!$I$2:$J$8,2,FALSE),0),
IF(AX25="K",VLOOKUP(K25,Foundation_Calc!$K$117:$R$151,VLOOKUP(AW25,Foundation_Calc!$I$2:$J$8,2,FALSE),0),"")))</f>
        <v>3.9</v>
      </c>
      <c r="BA25" s="495" t="str">
        <f t="shared" si="1"/>
        <v/>
      </c>
      <c r="BB25" s="495" t="str">
        <f t="shared" si="2"/>
        <v>ü</v>
      </c>
      <c r="BC25" s="495" t="str">
        <f t="shared" si="3"/>
        <v/>
      </c>
      <c r="BD25" s="516" t="str">
        <f>IF(AND(L25="",H25=""),"",
IF(H25="",Pole_Calc!A$9,
IF(H25="MP",Pole_Calc!A$10,
IF(H25="AnMP",Pole_Calc!A$11,
IF(H25="A",Pole_Calc!A$12,
IF(H25="S/A",Pole_Calc!A$13,
IF(H25="A/S",Pole_Calc!A$14,"Poner a mano")))))))</f>
        <v/>
      </c>
      <c r="BE25" s="429" t="s">
        <v>118</v>
      </c>
      <c r="BF25" s="290"/>
      <c r="BG25" s="290"/>
      <c r="BH25" s="290"/>
      <c r="BI25" s="290"/>
    </row>
    <row r="26" spans="1:61" ht="16.149999999999999" customHeight="1">
      <c r="A26" s="571"/>
      <c r="B26" s="450" t="s">
        <v>948</v>
      </c>
      <c r="C26" s="3">
        <f>+$C$24+$G$25</f>
        <v>30670.65</v>
      </c>
      <c r="D26" s="83"/>
      <c r="E26" s="4"/>
      <c r="F26" s="4">
        <v>0</v>
      </c>
      <c r="G26" s="6"/>
      <c r="H26" s="449"/>
      <c r="I26" s="4"/>
      <c r="J26" s="3"/>
      <c r="K26" s="449"/>
      <c r="L26" s="449" t="s">
        <v>153</v>
      </c>
      <c r="M26" s="449" t="str">
        <f>IF(L26="","",
IF(AX26="PT",VLOOKUP(L26,Foundation_Calc!$V$79:$X$113,VLOOKUP(AX26,Foundation_Calc!$I$10:$J$13,2,FALSE),0),
IF(AX26="K",VLOOKUP(L26,Foundation_Calc!$V$117:$X$151,VLOOKUP(AX26,Foundation_Calc!$I$10:$J$13,2,FALSE),0),"")))</f>
        <v>C3R</v>
      </c>
      <c r="N26" s="449" t="s">
        <v>134</v>
      </c>
      <c r="O26" s="449"/>
      <c r="P26" s="449"/>
      <c r="Q26" s="4"/>
      <c r="R26" s="6"/>
      <c r="S26" s="6"/>
      <c r="T26" s="4">
        <v>35</v>
      </c>
      <c r="U26" s="4"/>
      <c r="V26" s="4"/>
      <c r="W26" s="9">
        <v>1.4</v>
      </c>
      <c r="X26" s="9"/>
      <c r="Y26" s="9"/>
      <c r="Z26" s="9"/>
      <c r="AA26" s="9"/>
      <c r="AB26" s="9"/>
      <c r="AC26" s="449" t="str">
        <f t="shared" si="0"/>
        <v>PH</v>
      </c>
      <c r="AD26" s="449"/>
      <c r="AE26" s="449"/>
      <c r="AF26" s="4"/>
      <c r="AG26" s="83"/>
      <c r="AH26" s="4"/>
      <c r="AI26" s="4"/>
      <c r="AJ26" s="449"/>
      <c r="AK26" s="449"/>
      <c r="AL26" s="449"/>
      <c r="AM26" s="449" t="s">
        <v>126</v>
      </c>
      <c r="AN26" s="10">
        <v>5.5</v>
      </c>
      <c r="AO26" s="9"/>
      <c r="AP26" s="9"/>
      <c r="AQ26" s="9"/>
      <c r="AR26" s="9"/>
      <c r="AS26" s="9"/>
      <c r="AT26" s="9">
        <f>+ab($T$26,$T$24,$T$28,$G$25,$G$27, 1*$F$26,1200)</f>
        <v>8.6082565622482612</v>
      </c>
      <c r="AU26" s="428"/>
      <c r="AV26" s="428"/>
      <c r="AW26" s="449" t="str">
        <f>IF(C26&gt;0,VLOOKUP(C26,Foundation_Calc!$A$2:$C$13,3,1),
IF(J26&gt;0,VLOOKUP(J26,Foundation_Calc!$A$2:$C$13,3,1),""))</f>
        <v>Multi Soil</v>
      </c>
      <c r="AX26" s="449" t="str">
        <f>IF(C26&gt;0,VLOOKUP(C26,Foundation_Calc!$E$35:$G$65,3,1),
IF(J26&gt;0,VLOOKUP(J26,Foundation_Calc!$E$35:$G$65,3,1),""))</f>
        <v>PT</v>
      </c>
      <c r="AY26" s="10">
        <f>IF(L26="","",
IF(AX26="PT",VLOOKUP(L26,Foundation_Calc!$K$79:$R$113,VLOOKUP(AW26,Foundation_Calc!$I$2:$J$8,2,FALSE),0),
IF(AX26="K",VLOOKUP(L26,Foundation_Calc!$K$117:$R$151,VLOOKUP(AW26,Foundation_Calc!$I$2:$J$8,2,FALSE),0),"")))</f>
        <v>3.5</v>
      </c>
      <c r="AZ26" s="10" t="str">
        <f>IF(K26="","",
IF(AX26="PT",VLOOKUP(K26,Foundation_Calc!$K$79:$R$113,VLOOKUP(AW26,Foundation_Calc!$I$2:$J$8,2,FALSE),0),
IF(AX26="K",VLOOKUP(K26,Foundation_Calc!$K$117:$R$151,VLOOKUP(AW26,Foundation_Calc!$I$2:$J$8,2,FALSE),0),"")))</f>
        <v/>
      </c>
      <c r="BA26" s="495" t="str">
        <f t="shared" si="1"/>
        <v>ü</v>
      </c>
      <c r="BB26" s="495" t="str">
        <f t="shared" si="2"/>
        <v/>
      </c>
      <c r="BC26" s="495" t="str">
        <f t="shared" si="3"/>
        <v/>
      </c>
      <c r="BD26" s="513" t="str">
        <f>IF(AND(L26="",H26=""),"",
IF(H26="",Pole_Calc!A$9,
IF(H26="MP",Pole_Calc!A$10,
IF(H26="AnMP",Pole_Calc!A$11,
IF(H26="A",Pole_Calc!A$12,
IF(H26="S/A",Pole_Calc!A$13,
IF(H26="A/S",Pole_Calc!A$14,"Poner a mano")))))))</f>
        <v>App.7-V11I-P9.5.1.1</v>
      </c>
      <c r="BE26" s="429" t="s">
        <v>118</v>
      </c>
      <c r="BF26" s="289"/>
      <c r="BG26" s="289"/>
      <c r="BH26" s="290"/>
      <c r="BI26" s="289"/>
    </row>
    <row r="27" spans="1:61" ht="16.149999999999999" customHeight="1">
      <c r="A27" s="571"/>
      <c r="B27" s="450"/>
      <c r="C27" s="3"/>
      <c r="D27" s="83"/>
      <c r="E27" s="4"/>
      <c r="F27" s="4"/>
      <c r="G27" s="6">
        <v>62</v>
      </c>
      <c r="H27" s="449"/>
      <c r="I27" s="4"/>
      <c r="J27" s="3"/>
      <c r="K27" s="449"/>
      <c r="L27" s="449"/>
      <c r="M27" s="449" t="str">
        <f>IF(L27="","",
IF(AX27="PT",VLOOKUP(L27,Foundation_Calc!$V$79:$X$113,VLOOKUP(AX27,Foundation_Calc!$I$10:$J$13,2,FALSE),0),
IF(AX27="K",VLOOKUP(L27,Foundation_Calc!$V$117:$X$151,VLOOKUP(AX27,Foundation_Calc!$I$10:$J$13,2,FALSE),0),"")))</f>
        <v/>
      </c>
      <c r="N27" s="449"/>
      <c r="O27" s="449"/>
      <c r="P27" s="449"/>
      <c r="Q27" s="4"/>
      <c r="R27" s="6"/>
      <c r="S27" s="6"/>
      <c r="T27" s="4"/>
      <c r="U27" s="4"/>
      <c r="V27" s="4"/>
      <c r="W27" s="9"/>
      <c r="X27" s="9"/>
      <c r="Y27" s="9"/>
      <c r="Z27" s="9"/>
      <c r="AA27" s="9"/>
      <c r="AB27" s="9"/>
      <c r="AC27" s="449" t="str">
        <f t="shared" si="0"/>
        <v/>
      </c>
      <c r="AD27" s="449"/>
      <c r="AE27" s="449"/>
      <c r="AF27" s="4"/>
      <c r="AG27" s="83"/>
      <c r="AH27" s="4"/>
      <c r="AI27" s="4"/>
      <c r="AJ27" s="449"/>
      <c r="AK27" s="449"/>
      <c r="AL27" s="449"/>
      <c r="AM27" s="449"/>
      <c r="AN27" s="10"/>
      <c r="AO27" s="9"/>
      <c r="AP27" s="9"/>
      <c r="AQ27" s="9">
        <f>+FL_2($T$28,$T$26,$G$27,1200,9.28, 1*$F$28)</f>
        <v>-0.45400350967741931</v>
      </c>
      <c r="AR27" s="9"/>
      <c r="AS27" s="9"/>
      <c r="AT27" s="9"/>
      <c r="AU27" s="428"/>
      <c r="AV27" s="428"/>
      <c r="AW27" s="449" t="str">
        <f>IF(C27&gt;0,VLOOKUP(C27,Foundation_Calc!$A$2:$C$13,3,1),
IF(J27&gt;0,VLOOKUP(J27,Foundation_Calc!$A$2:$C$13,3,1),""))</f>
        <v/>
      </c>
      <c r="AX27" s="449" t="str">
        <f>IF(C27&gt;0,VLOOKUP(C27,Foundation_Calc!$E$35:$G$65,3,1),
IF(J27&gt;0,VLOOKUP(J27,Foundation_Calc!$E$35:$G$65,3,1),""))</f>
        <v/>
      </c>
      <c r="AY27" s="10" t="str">
        <f>IF(L27="","",
IF(AX27="PT",VLOOKUP(L27,Foundation_Calc!$K$79:$R$113,VLOOKUP(AW27,Foundation_Calc!$I$2:$J$8,2,FALSE),0),
IF(AX27="K",VLOOKUP(L27,Foundation_Calc!$K$117:$R$151,VLOOKUP(AW27,Foundation_Calc!$I$2:$J$8,2,FALSE),0),"")))</f>
        <v/>
      </c>
      <c r="AZ27" s="10" t="str">
        <f>IF(K27="","",
IF(AX27="PT",VLOOKUP(K27,Foundation_Calc!$K$79:$R$113,VLOOKUP(AW27,Foundation_Calc!$I$2:$J$8,2,FALSE),0),
IF(AX27="K",VLOOKUP(K27,Foundation_Calc!$K$117:$R$151,VLOOKUP(AW27,Foundation_Calc!$I$2:$J$8,2,FALSE),0),"")))</f>
        <v/>
      </c>
      <c r="BA27" s="495" t="str">
        <f t="shared" si="1"/>
        <v/>
      </c>
      <c r="BB27" s="495" t="str">
        <f t="shared" si="2"/>
        <v/>
      </c>
      <c r="BC27" s="495" t="str">
        <f t="shared" si="3"/>
        <v/>
      </c>
      <c r="BD27" s="513" t="str">
        <f>IF(AND(L27="",H27=""),"",
IF(H27="",Pole_Calc!A$9,
IF(H27="MP",Pole_Calc!A$10,
IF(H27="AnMP",Pole_Calc!A$11,
IF(H27="A",Pole_Calc!A$12,
IF(H27="S/A",Pole_Calc!A$13,
IF(H27="A/S",Pole_Calc!A$14,"Poner a mano")))))))</f>
        <v/>
      </c>
      <c r="BE27" s="429" t="s">
        <v>118</v>
      </c>
      <c r="BF27" s="290"/>
      <c r="BG27" s="290"/>
      <c r="BH27" s="290"/>
      <c r="BI27" s="290"/>
    </row>
    <row r="28" spans="1:61" ht="16.149999999999999" customHeight="1">
      <c r="A28" s="514"/>
      <c r="B28" s="450" t="s">
        <v>949</v>
      </c>
      <c r="C28" s="3">
        <f>+$C$26+$G$27</f>
        <v>30732.65</v>
      </c>
      <c r="D28" s="83"/>
      <c r="E28" s="4"/>
      <c r="F28" s="4">
        <v>0</v>
      </c>
      <c r="G28" s="6"/>
      <c r="H28" s="449"/>
      <c r="I28" s="4"/>
      <c r="J28" s="3"/>
      <c r="K28" s="449"/>
      <c r="L28" s="449" t="s">
        <v>153</v>
      </c>
      <c r="M28" s="449" t="str">
        <f>IF(L28="","",
IF(AX28="PT",VLOOKUP(L28,Foundation_Calc!$V$79:$X$113,VLOOKUP(AX28,Foundation_Calc!$I$10:$J$13,2,FALSE),0),
IF(AX28="K",VLOOKUP(L28,Foundation_Calc!$V$117:$X$151,VLOOKUP(AX28,Foundation_Calc!$I$10:$J$13,2,FALSE),0),"")))</f>
        <v>C3R</v>
      </c>
      <c r="N28" s="449" t="s">
        <v>124</v>
      </c>
      <c r="O28" s="449"/>
      <c r="P28" s="449"/>
      <c r="Q28" s="4"/>
      <c r="R28" s="6"/>
      <c r="S28" s="6"/>
      <c r="T28" s="4">
        <v>-35</v>
      </c>
      <c r="U28" s="4"/>
      <c r="V28" s="4"/>
      <c r="W28" s="9">
        <v>1.4</v>
      </c>
      <c r="X28" s="9"/>
      <c r="Y28" s="9"/>
      <c r="Z28" s="9"/>
      <c r="AA28" s="9"/>
      <c r="AB28" s="9"/>
      <c r="AC28" s="449" t="str">
        <f t="shared" si="0"/>
        <v>PH</v>
      </c>
      <c r="AD28" s="449"/>
      <c r="AE28" s="449"/>
      <c r="AF28" s="4"/>
      <c r="AG28" s="83"/>
      <c r="AH28" s="4"/>
      <c r="AI28" s="4"/>
      <c r="AJ28" s="449"/>
      <c r="AK28" s="449"/>
      <c r="AL28" s="449"/>
      <c r="AM28" s="449" t="s">
        <v>126</v>
      </c>
      <c r="AN28" s="10">
        <v>5.5</v>
      </c>
      <c r="AO28" s="9"/>
      <c r="AP28" s="9"/>
      <c r="AQ28" s="9"/>
      <c r="AR28" s="9"/>
      <c r="AS28" s="9"/>
      <c r="AT28" s="9">
        <f>+ab($T$28,$T$26,$T$30,$G$27,$G$29, 1*$F$28,1200)</f>
        <v>-8.7443431418580957</v>
      </c>
      <c r="AU28" s="428"/>
      <c r="AV28" s="428"/>
      <c r="AW28" s="449" t="str">
        <f>IF(C28&gt;0,VLOOKUP(C28,Foundation_Calc!$A$2:$C$13,3,1),
IF(J28&gt;0,VLOOKUP(J28,Foundation_Calc!$A$2:$C$13,3,1),""))</f>
        <v>Multi Soil</v>
      </c>
      <c r="AX28" s="449" t="str">
        <f>IF(C28&gt;0,VLOOKUP(C28,Foundation_Calc!$E$35:$G$65,3,1),
IF(J28&gt;0,VLOOKUP(J28,Foundation_Calc!$E$35:$G$65,3,1),""))</f>
        <v>PT</v>
      </c>
      <c r="AY28" s="10">
        <f>IF(L28="","",
IF(AX28="PT",VLOOKUP(L28,Foundation_Calc!$K$79:$R$113,VLOOKUP(AW28,Foundation_Calc!$I$2:$J$8,2,FALSE),0),
IF(AX28="K",VLOOKUP(L28,Foundation_Calc!$K$117:$R$151,VLOOKUP(AW28,Foundation_Calc!$I$2:$J$8,2,FALSE),0),"")))</f>
        <v>3.5</v>
      </c>
      <c r="AZ28" s="10" t="str">
        <f>IF(K28="","",
IF(AX28="PT",VLOOKUP(K28,Foundation_Calc!$K$79:$R$113,VLOOKUP(AW28,Foundation_Calc!$I$2:$J$8,2,FALSE),0),
IF(AX28="K",VLOOKUP(K28,Foundation_Calc!$K$117:$R$151,VLOOKUP(AW28,Foundation_Calc!$I$2:$J$8,2,FALSE),0),"")))</f>
        <v/>
      </c>
      <c r="BA28" s="495" t="str">
        <f t="shared" si="1"/>
        <v>ü</v>
      </c>
      <c r="BB28" s="495" t="str">
        <f t="shared" si="2"/>
        <v/>
      </c>
      <c r="BC28" s="495" t="str">
        <f t="shared" si="3"/>
        <v/>
      </c>
      <c r="BD28" s="513" t="str">
        <f>IF(AND(L28="",H28=""),"",
IF(H28="",Pole_Calc!A$9,
IF(H28="MP",Pole_Calc!A$10,
IF(H28="AnMP",Pole_Calc!A$11,
IF(H28="A",Pole_Calc!A$12,
IF(H28="S/A",Pole_Calc!A$13,
IF(H28="A/S",Pole_Calc!A$14,"Poner a mano")))))))</f>
        <v>App.7-V11I-P9.5.1.1</v>
      </c>
      <c r="BE28" s="429" t="s">
        <v>118</v>
      </c>
      <c r="BF28" s="289"/>
      <c r="BG28" s="289"/>
      <c r="BH28" s="290"/>
      <c r="BI28" s="289"/>
    </row>
    <row r="29" spans="1:61" ht="16.149999999999999" customHeight="1">
      <c r="A29" s="628"/>
      <c r="B29" s="450"/>
      <c r="C29" s="537"/>
      <c r="D29" s="538"/>
      <c r="E29" s="539"/>
      <c r="F29" s="539"/>
      <c r="G29" s="6">
        <v>62</v>
      </c>
      <c r="H29" s="541"/>
      <c r="I29" s="539"/>
      <c r="J29" s="537"/>
      <c r="K29" s="541"/>
      <c r="L29" s="541"/>
      <c r="M29" s="541" t="str">
        <f>IF(L29="","",
IF(AX29="PT",VLOOKUP(L29,Foundation_Calc!$V$79:$X$113,VLOOKUP(AX29,Foundation_Calc!$I$10:$J$13,2,FALSE),0),
IF(AX29="K",VLOOKUP(L29,Foundation_Calc!$V$117:$X$151,VLOOKUP(AX29,Foundation_Calc!$I$10:$J$13,2,FALSE),0),"")))</f>
        <v/>
      </c>
      <c r="N29" s="541"/>
      <c r="O29" s="541"/>
      <c r="P29" s="541"/>
      <c r="Q29" s="539"/>
      <c r="R29" s="540"/>
      <c r="S29" s="540"/>
      <c r="T29" s="539"/>
      <c r="U29" s="539"/>
      <c r="V29" s="539"/>
      <c r="W29" s="542"/>
      <c r="X29" s="542"/>
      <c r="Y29" s="542"/>
      <c r="Z29" s="542"/>
      <c r="AA29" s="542"/>
      <c r="AB29" s="542"/>
      <c r="AC29" s="541" t="str">
        <f t="shared" si="0"/>
        <v/>
      </c>
      <c r="AD29" s="541"/>
      <c r="AE29" s="541"/>
      <c r="AF29" s="539"/>
      <c r="AG29" s="538"/>
      <c r="AH29" s="539"/>
      <c r="AI29" s="539"/>
      <c r="AJ29" s="541"/>
      <c r="AK29" s="541"/>
      <c r="AL29" s="541"/>
      <c r="AM29" s="541"/>
      <c r="AN29" s="543"/>
      <c r="AO29" s="542"/>
      <c r="AP29" s="542"/>
      <c r="AQ29" s="542">
        <f>+FL_2($T$30,$T$28,$G$29,1200,9.28, 1*$F$30)</f>
        <v>-0.46765016498924739</v>
      </c>
      <c r="AR29" s="542"/>
      <c r="AS29" s="542"/>
      <c r="AT29" s="542"/>
      <c r="AU29" s="544"/>
      <c r="AV29" s="544"/>
      <c r="AW29" s="541" t="str">
        <f>IF(C29&gt;0,VLOOKUP(C29,Foundation_Calc!$A$2:$C$13,3,1),
IF(J29&gt;0,VLOOKUP(J29,Foundation_Calc!$A$2:$C$13,3,1),""))</f>
        <v/>
      </c>
      <c r="AX29" s="541" t="str">
        <f>IF(C29&gt;0,VLOOKUP(C29,Foundation_Calc!$E$35:$G$65,3,1),
IF(J29&gt;0,VLOOKUP(J29,Foundation_Calc!$E$35:$G$65,3,1),""))</f>
        <v/>
      </c>
      <c r="AY29" s="543" t="str">
        <f>IF(L29="","",
IF(AX29="PT",VLOOKUP(L29,Foundation_Calc!$K$79:$R$113,VLOOKUP(AW29,Foundation_Calc!$I$2:$J$8,2,FALSE),0),
IF(AX29="K",VLOOKUP(L29,Foundation_Calc!$K$117:$R$151,VLOOKUP(AW29,Foundation_Calc!$I$2:$J$8,2,FALSE),0),"")))</f>
        <v/>
      </c>
      <c r="AZ29" s="543" t="str">
        <f>IF(K29="","",
IF(AX29="PT",VLOOKUP(K29,Foundation_Calc!$K$79:$R$113,VLOOKUP(AW29,Foundation_Calc!$I$2:$J$8,2,FALSE),0),
IF(AX29="K",VLOOKUP(K29,Foundation_Calc!$K$117:$R$151,VLOOKUP(AW29,Foundation_Calc!$I$2:$J$8,2,FALSE),0),"")))</f>
        <v/>
      </c>
      <c r="BA29" s="550" t="str">
        <f t="shared" si="1"/>
        <v/>
      </c>
      <c r="BB29" s="550" t="str">
        <f t="shared" si="2"/>
        <v/>
      </c>
      <c r="BC29" s="550" t="str">
        <f t="shared" si="3"/>
        <v/>
      </c>
      <c r="BD29" s="516" t="str">
        <f>IF(AND(L29="",H29=""),"",
IF(H29="",Pole_Calc!A$9,
IF(H29="MP",Pole_Calc!A$10,
IF(H29="AnMP",Pole_Calc!A$11,
IF(H29="A",Pole_Calc!A$12,
IF(H29="S/A",Pole_Calc!A$13,
IF(H29="A/S",Pole_Calc!A$14,"Poner a mano")))))))</f>
        <v/>
      </c>
      <c r="BE29" s="429" t="s">
        <v>118</v>
      </c>
      <c r="BF29" s="290"/>
      <c r="BG29" s="290"/>
      <c r="BH29" s="290"/>
      <c r="BI29" s="290"/>
    </row>
    <row r="30" spans="1:61" ht="16.149999999999999" customHeight="1">
      <c r="A30" s="514"/>
      <c r="B30" s="450" t="s">
        <v>950</v>
      </c>
      <c r="C30" s="3">
        <f>+$C$28+$G$29</f>
        <v>30794.65</v>
      </c>
      <c r="D30" s="83"/>
      <c r="E30" s="4"/>
      <c r="F30" s="4">
        <v>0</v>
      </c>
      <c r="G30" s="6"/>
      <c r="H30" s="449"/>
      <c r="I30" s="4"/>
      <c r="J30" s="3"/>
      <c r="K30" s="449"/>
      <c r="L30" s="449" t="s">
        <v>153</v>
      </c>
      <c r="M30" s="449" t="str">
        <f>IF(L30="","",
IF(AX30="PT",VLOOKUP(L30,Foundation_Calc!$V$79:$X$113,VLOOKUP(AX30,Foundation_Calc!$I$10:$J$13,2,FALSE),0),
IF(AX30="K",VLOOKUP(L30,Foundation_Calc!$V$117:$X$151,VLOOKUP(AX30,Foundation_Calc!$I$10:$J$13,2,FALSE),0),"")))</f>
        <v>C3R</v>
      </c>
      <c r="N30" s="449" t="s">
        <v>134</v>
      </c>
      <c r="O30" s="449"/>
      <c r="P30" s="449"/>
      <c r="Q30" s="4"/>
      <c r="R30" s="6"/>
      <c r="S30" s="6"/>
      <c r="T30" s="4">
        <v>30</v>
      </c>
      <c r="U30" s="4"/>
      <c r="V30" s="4"/>
      <c r="W30" s="9">
        <v>1.4</v>
      </c>
      <c r="X30" s="9"/>
      <c r="Y30" s="9"/>
      <c r="Z30" s="9"/>
      <c r="AA30" s="9"/>
      <c r="AB30" s="9"/>
      <c r="AC30" s="449" t="str">
        <f t="shared" si="0"/>
        <v>PH</v>
      </c>
      <c r="AD30" s="449"/>
      <c r="AE30" s="449"/>
      <c r="AF30" s="4"/>
      <c r="AG30" s="83"/>
      <c r="AH30" s="4"/>
      <c r="AI30" s="4"/>
      <c r="AJ30" s="449"/>
      <c r="AK30" s="449"/>
      <c r="AL30" s="449"/>
      <c r="AM30" s="449" t="s">
        <v>126</v>
      </c>
      <c r="AN30" s="10">
        <v>5.5</v>
      </c>
      <c r="AO30" s="9"/>
      <c r="AP30" s="9"/>
      <c r="AQ30" s="9"/>
      <c r="AR30" s="9"/>
      <c r="AS30" s="9"/>
      <c r="AT30" s="9">
        <f>+ab($T$30,$T$28,$T$32,$G$29,$G$31, 1*$F$30,1200)</f>
        <v>9.8172082785389527</v>
      </c>
      <c r="AU30" s="428"/>
      <c r="AV30" s="428"/>
      <c r="AW30" s="449" t="str">
        <f>IF(C30&gt;0,VLOOKUP(C30,Foundation_Calc!$A$2:$C$13,3,1),
IF(J30&gt;0,VLOOKUP(J30,Foundation_Calc!$A$2:$C$13,3,1),""))</f>
        <v>Multi Soil</v>
      </c>
      <c r="AX30" s="449" t="str">
        <f>IF(C30&gt;0,VLOOKUP(C30,Foundation_Calc!$E$35:$G$65,3,1),
IF(J30&gt;0,VLOOKUP(J30,Foundation_Calc!$E$35:$G$65,3,1),""))</f>
        <v>PT</v>
      </c>
      <c r="AY30" s="10">
        <f>IF(L30="","",
IF(AX30="PT",VLOOKUP(L30,Foundation_Calc!$K$79:$R$113,VLOOKUP(AW30,Foundation_Calc!$I$2:$J$8,2,FALSE),0),
IF(AX30="K",VLOOKUP(L30,Foundation_Calc!$K$117:$R$151,VLOOKUP(AW30,Foundation_Calc!$I$2:$J$8,2,FALSE),0),"")))</f>
        <v>3.5</v>
      </c>
      <c r="AZ30" s="10" t="str">
        <f>IF(K30="","",
IF(AX30="PT",VLOOKUP(K30,Foundation_Calc!$K$79:$R$113,VLOOKUP(AW30,Foundation_Calc!$I$2:$J$8,2,FALSE),0),
IF(AX30="K",VLOOKUP(K30,Foundation_Calc!$K$117:$R$151,VLOOKUP(AW30,Foundation_Calc!$I$2:$J$8,2,FALSE),0),"")))</f>
        <v/>
      </c>
      <c r="BA30" s="495" t="str">
        <f t="shared" si="1"/>
        <v>ü</v>
      </c>
      <c r="BB30" s="495" t="str">
        <f t="shared" si="2"/>
        <v/>
      </c>
      <c r="BC30" s="495" t="str">
        <f t="shared" si="3"/>
        <v/>
      </c>
      <c r="BD30" s="513" t="str">
        <f>IF(AND(L30="",H30=""),"",
IF(H30="",Pole_Calc!A$9,
IF(H30="MP",Pole_Calc!A$10,
IF(H30="AnMP",Pole_Calc!A$11,
IF(H30="A",Pole_Calc!A$12,
IF(H30="S/A",Pole_Calc!A$13,
IF(H30="A/S",Pole_Calc!A$14,"Poner a mano")))))))</f>
        <v>App.7-V11I-P9.5.1.1</v>
      </c>
      <c r="BE30" s="429" t="s">
        <v>118</v>
      </c>
      <c r="BF30" s="289"/>
      <c r="BG30" s="289"/>
      <c r="BH30" s="290"/>
      <c r="BI30" s="289"/>
    </row>
    <row r="31" spans="1:61" ht="16.149999999999999" customHeight="1">
      <c r="A31" s="514"/>
      <c r="B31" s="450"/>
      <c r="C31" s="3"/>
      <c r="D31" s="83"/>
      <c r="E31" s="4"/>
      <c r="F31" s="4"/>
      <c r="G31" s="6">
        <v>62</v>
      </c>
      <c r="H31" s="449"/>
      <c r="I31" s="4"/>
      <c r="J31" s="3">
        <f>C32-7.5</f>
        <v>30849.15</v>
      </c>
      <c r="K31" s="449" t="s">
        <v>117</v>
      </c>
      <c r="L31" s="449"/>
      <c r="M31" s="449" t="str">
        <f>IF(L31="","",
IF(AX31="PT",VLOOKUP(L31,Foundation_Calc!$V$79:$X$113,VLOOKUP(AX31,Foundation_Calc!$I$10:$J$13,2,FALSE),0),
IF(AX31="K",VLOOKUP(L31,Foundation_Calc!$V$117:$X$151,VLOOKUP(AX31,Foundation_Calc!$I$10:$J$13,2,FALSE),0),"")))</f>
        <v/>
      </c>
      <c r="N31" s="449"/>
      <c r="O31" s="449"/>
      <c r="P31" s="449"/>
      <c r="Q31" s="4"/>
      <c r="R31" s="6"/>
      <c r="S31" s="6"/>
      <c r="T31" s="4"/>
      <c r="U31" s="4"/>
      <c r="V31" s="4"/>
      <c r="W31" s="9"/>
      <c r="X31" s="9"/>
      <c r="Y31" s="9"/>
      <c r="Z31" s="9"/>
      <c r="AA31" s="9"/>
      <c r="AB31" s="9"/>
      <c r="AC31" s="449" t="str">
        <f t="shared" si="0"/>
        <v/>
      </c>
      <c r="AD31" s="449"/>
      <c r="AE31" s="449"/>
      <c r="AF31" s="4"/>
      <c r="AG31" s="83"/>
      <c r="AH31" s="4"/>
      <c r="AI31" s="4"/>
      <c r="AJ31" s="449"/>
      <c r="AK31" s="449"/>
      <c r="AL31" s="449"/>
      <c r="AM31" s="449"/>
      <c r="AN31" s="10"/>
      <c r="AO31" s="9"/>
      <c r="AP31" s="9"/>
      <c r="AQ31" s="9">
        <f>+FL_1($T$32,$T$30,$G$31,1200,9.28, 1*$F$32)</f>
        <v>0.44746645199999996</v>
      </c>
      <c r="AR31" s="9"/>
      <c r="AS31" s="9"/>
      <c r="AT31" s="9"/>
      <c r="AU31" s="428"/>
      <c r="AV31" s="428"/>
      <c r="AW31" s="449" t="str">
        <f>IF(C31&gt;0,VLOOKUP(C31,Foundation_Calc!$A$2:$C$13,3,1),
IF(J31&gt;0,VLOOKUP(J31,Foundation_Calc!$A$2:$C$13,3,1),""))</f>
        <v>Multi Soil</v>
      </c>
      <c r="AX31" s="449" t="str">
        <f>IF(C31&gt;0,VLOOKUP(C31,Foundation_Calc!$E$35:$G$65,3,1),
IF(J31&gt;0,VLOOKUP(J31,Foundation_Calc!$E$35:$G$65,3,1),""))</f>
        <v>PT</v>
      </c>
      <c r="AY31" s="10" t="str">
        <f>IF(L31="","",
IF(AX31="PT",VLOOKUP(L31,Foundation_Calc!$K$79:$R$113,VLOOKUP(AW31,Foundation_Calc!$I$2:$J$8,2,FALSE),0),
IF(AX31="K",VLOOKUP(L31,Foundation_Calc!$K$117:$R$151,VLOOKUP(AW31,Foundation_Calc!$I$2:$J$8,2,FALSE),0),"")))</f>
        <v/>
      </c>
      <c r="AZ31" s="10">
        <f>IF(K31="","",
IF(AX31="PT",VLOOKUP(K31,Foundation_Calc!$K$79:$R$113,VLOOKUP(AW31,Foundation_Calc!$I$2:$J$8,2,FALSE),0),
IF(AX31="K",VLOOKUP(K31,Foundation_Calc!$K$117:$R$151,VLOOKUP(AW31,Foundation_Calc!$I$2:$J$8,2,FALSE),0),"")))</f>
        <v>3.9</v>
      </c>
      <c r="BA31" s="495" t="str">
        <f t="shared" si="1"/>
        <v/>
      </c>
      <c r="BB31" s="495" t="str">
        <f t="shared" si="2"/>
        <v>ü</v>
      </c>
      <c r="BC31" s="495" t="str">
        <f t="shared" si="3"/>
        <v/>
      </c>
      <c r="BD31" s="513" t="str">
        <f>IF(AND(L31="",H31=""),"",
IF(H31="",Pole_Calc!A$9,
IF(H31="MP",Pole_Calc!A$10,
IF(H31="AnMP",Pole_Calc!A$11,
IF(H31="A",Pole_Calc!A$12,
IF(H31="S/A",Pole_Calc!A$13,
IF(H31="A/S",Pole_Calc!A$14,"Poner a mano")))))))</f>
        <v/>
      </c>
      <c r="BE31" s="429" t="s">
        <v>118</v>
      </c>
      <c r="BF31" s="290"/>
      <c r="BG31" s="290"/>
      <c r="BH31" s="290"/>
      <c r="BI31" s="290"/>
    </row>
    <row r="32" spans="1:61" ht="16.149999999999999" customHeight="1">
      <c r="A32" s="514"/>
      <c r="B32" s="450" t="s">
        <v>951</v>
      </c>
      <c r="C32" s="3">
        <f>+$C$30+$G$31</f>
        <v>30856.65</v>
      </c>
      <c r="D32" s="83"/>
      <c r="E32" s="4"/>
      <c r="F32" s="4">
        <v>0</v>
      </c>
      <c r="G32" s="6"/>
      <c r="H32" s="449" t="s">
        <v>121</v>
      </c>
      <c r="I32" s="4" t="s">
        <v>122</v>
      </c>
      <c r="J32" s="3"/>
      <c r="K32" s="449"/>
      <c r="L32" s="449" t="s">
        <v>151</v>
      </c>
      <c r="M32" s="449" t="str">
        <f>IF(L32="","",
IF(AX32="PT",VLOOKUP(L32,Foundation_Calc!$V$79:$X$113,VLOOKUP(AX32,Foundation_Calc!$I$10:$J$13,2,FALSE),0),
IF(AX32="K",VLOOKUP(L32,Foundation_Calc!$V$117:$X$151,VLOOKUP(AX32,Foundation_Calc!$I$10:$J$13,2,FALSE),0),"")))</f>
        <v>C4R</v>
      </c>
      <c r="N32" s="449" t="s">
        <v>124</v>
      </c>
      <c r="O32" s="449"/>
      <c r="P32" s="449"/>
      <c r="Q32" s="4"/>
      <c r="R32" s="6"/>
      <c r="S32" s="6"/>
      <c r="T32" s="4">
        <v>-25</v>
      </c>
      <c r="U32" s="4"/>
      <c r="V32" s="4"/>
      <c r="W32" s="9">
        <v>1.4</v>
      </c>
      <c r="X32" s="9"/>
      <c r="Y32" s="9"/>
      <c r="Z32" s="9"/>
      <c r="AA32" s="9"/>
      <c r="AB32" s="9"/>
      <c r="AC32" s="449" t="str">
        <f t="shared" si="0"/>
        <v>PH</v>
      </c>
      <c r="AD32" s="449"/>
      <c r="AE32" s="449"/>
      <c r="AF32" s="4"/>
      <c r="AG32" s="83"/>
      <c r="AH32" s="4"/>
      <c r="AI32" s="4"/>
      <c r="AJ32" s="449"/>
      <c r="AK32" s="449"/>
      <c r="AL32" s="449"/>
      <c r="AM32" s="449" t="s">
        <v>126</v>
      </c>
      <c r="AN32" s="10">
        <v>5.5</v>
      </c>
      <c r="AO32" s="9"/>
      <c r="AP32" s="9"/>
      <c r="AQ32" s="9"/>
      <c r="AR32" s="9"/>
      <c r="AS32" s="9"/>
      <c r="AT32" s="9">
        <f>+ab($T$32,$T$30,$U$34,$G$31,$G$33, 1*$F$32,1200)</f>
        <v>-12.329657504196032</v>
      </c>
      <c r="AU32" s="428"/>
      <c r="AV32" s="428"/>
      <c r="AW32" s="449" t="str">
        <f>IF(C32&gt;0,VLOOKUP(C32,Foundation_Calc!$A$2:$C$13,3,1),
IF(J32&gt;0,VLOOKUP(J32,Foundation_Calc!$A$2:$C$13,3,1),""))</f>
        <v>Multi Soil</v>
      </c>
      <c r="AX32" s="449" t="str">
        <f>IF(C32&gt;0,VLOOKUP(C32,Foundation_Calc!$E$35:$G$65,3,1),
IF(J32&gt;0,VLOOKUP(J32,Foundation_Calc!$E$35:$G$65,3,1),""))</f>
        <v>PT</v>
      </c>
      <c r="AY32" s="10">
        <f>IF(L32="","",
IF(AX32="PT",VLOOKUP(L32,Foundation_Calc!$K$79:$R$113,VLOOKUP(AW32,Foundation_Calc!$I$2:$J$8,2,FALSE),0),
IF(AX32="K",VLOOKUP(L32,Foundation_Calc!$K$117:$R$151,VLOOKUP(AW32,Foundation_Calc!$I$2:$J$8,2,FALSE),0),"")))</f>
        <v>3.5</v>
      </c>
      <c r="AZ32" s="10" t="str">
        <f>IF(K32="","",
IF(AX32="PT",VLOOKUP(K32,Foundation_Calc!$K$79:$R$113,VLOOKUP(AW32,Foundation_Calc!$I$2:$J$8,2,FALSE),0),
IF(AX32="K",VLOOKUP(K32,Foundation_Calc!$K$117:$R$151,VLOOKUP(AW32,Foundation_Calc!$I$2:$J$8,2,FALSE),0),"")))</f>
        <v/>
      </c>
      <c r="BA32" s="495" t="str">
        <f t="shared" si="1"/>
        <v>ü</v>
      </c>
      <c r="BB32" s="495" t="str">
        <f t="shared" si="2"/>
        <v/>
      </c>
      <c r="BC32" s="495" t="str">
        <f t="shared" si="3"/>
        <v/>
      </c>
      <c r="BD32" s="513" t="str">
        <f>IF(AND(L32="",H32=""),"",
IF(H32="",Pole_Calc!A$9,
IF(H32="MP",Pole_Calc!A$10,
IF(H32="AnMP",Pole_Calc!A$11,
IF(H32="A",Pole_Calc!A$12,
IF(H32="S/A",Pole_Calc!A$13,
IF(H32="A/S",Pole_Calc!A$14,"Poner a mano")))))))</f>
        <v>App.7-V11I-P9.5.1.6</v>
      </c>
      <c r="BE32" s="429" t="s">
        <v>118</v>
      </c>
      <c r="BF32" s="289"/>
      <c r="BG32" s="289"/>
      <c r="BH32" s="290"/>
      <c r="BI32" s="289"/>
    </row>
    <row r="33" spans="1:61" ht="16.149999999999999" customHeight="1">
      <c r="A33" s="514"/>
      <c r="B33" s="450"/>
      <c r="C33" s="3"/>
      <c r="D33" s="83"/>
      <c r="E33" s="4"/>
      <c r="F33" s="4"/>
      <c r="G33" s="540">
        <v>62</v>
      </c>
      <c r="H33" s="449"/>
      <c r="I33" s="4"/>
      <c r="J33" s="3"/>
      <c r="K33" s="449"/>
      <c r="L33" s="449"/>
      <c r="M33" s="449" t="str">
        <f>IF(L33="","",
IF(AX33="PT",VLOOKUP(L33,Foundation_Calc!$V$79:$X$113,VLOOKUP(AX33,Foundation_Calc!$I$10:$J$13,2,FALSE),0),
IF(AX33="K",VLOOKUP(L33,Foundation_Calc!$V$117:$X$151,VLOOKUP(AX33,Foundation_Calc!$I$10:$J$13,2,FALSE),0),"")))</f>
        <v/>
      </c>
      <c r="N33" s="449"/>
      <c r="O33" s="449"/>
      <c r="P33" s="449"/>
      <c r="Q33" s="4"/>
      <c r="R33" s="6"/>
      <c r="S33" s="6"/>
      <c r="T33" s="4"/>
      <c r="U33" s="4"/>
      <c r="V33" s="4"/>
      <c r="W33" s="9"/>
      <c r="X33" s="9"/>
      <c r="Y33" s="9"/>
      <c r="Z33" s="9"/>
      <c r="AA33" s="9"/>
      <c r="AB33" s="9"/>
      <c r="AC33" s="449" t="str">
        <f t="shared" si="0"/>
        <v/>
      </c>
      <c r="AD33" s="449"/>
      <c r="AE33" s="449"/>
      <c r="AF33" s="4"/>
      <c r="AG33" s="83"/>
      <c r="AH33" s="4"/>
      <c r="AI33" s="4"/>
      <c r="AJ33" s="449"/>
      <c r="AK33" s="449"/>
      <c r="AL33" s="449"/>
      <c r="AM33" s="449"/>
      <c r="AN33" s="10"/>
      <c r="AO33" s="9"/>
      <c r="AP33" s="9"/>
      <c r="AQ33" s="9">
        <f>+FL_2($U$34,$T$32,$G$33,1200,9.28, 1*$F$34)</f>
        <v>-0.44849828627956978</v>
      </c>
      <c r="AR33" s="9"/>
      <c r="AS33" s="9"/>
      <c r="AT33" s="9"/>
      <c r="AU33" s="428"/>
      <c r="AV33" s="428"/>
      <c r="AW33" s="449" t="str">
        <f>IF(C33&gt;0,VLOOKUP(C33,Foundation_Calc!$A$2:$C$13,3,1),
IF(J33&gt;0,VLOOKUP(J33,Foundation_Calc!$A$2:$C$13,3,1),""))</f>
        <v/>
      </c>
      <c r="AX33" s="449" t="str">
        <f>IF(C33&gt;0,VLOOKUP(C33,Foundation_Calc!$E$35:$G$65,3,1),
IF(J33&gt;0,VLOOKUP(J33,Foundation_Calc!$E$35:$G$65,3,1),""))</f>
        <v/>
      </c>
      <c r="AY33" s="10" t="str">
        <f>IF(L33="","",
IF(AX33="PT",VLOOKUP(L33,Foundation_Calc!$K$79:$R$113,VLOOKUP(AW33,Foundation_Calc!$I$2:$J$8,2,FALSE),0),
IF(AX33="K",VLOOKUP(L33,Foundation_Calc!$K$117:$R$151,VLOOKUP(AW33,Foundation_Calc!$I$2:$J$8,2,FALSE),0),"")))</f>
        <v/>
      </c>
      <c r="AZ33" s="10" t="str">
        <f>IF(K33="","",
IF(AX33="PT",VLOOKUP(K33,Foundation_Calc!$K$79:$R$113,VLOOKUP(AW33,Foundation_Calc!$I$2:$J$8,2,FALSE),0),
IF(AX33="K",VLOOKUP(K33,Foundation_Calc!$K$117:$R$151,VLOOKUP(AW33,Foundation_Calc!$I$2:$J$8,2,FALSE),0),"")))</f>
        <v/>
      </c>
      <c r="BA33" s="495" t="str">
        <f t="shared" si="1"/>
        <v/>
      </c>
      <c r="BB33" s="495" t="str">
        <f t="shared" si="2"/>
        <v/>
      </c>
      <c r="BC33" s="495" t="str">
        <f t="shared" si="3"/>
        <v/>
      </c>
      <c r="BD33" s="513" t="str">
        <f>IF(AND(L33="",H33=""),"",
IF(H33="",Pole_Calc!A$9,
IF(H33="MP",Pole_Calc!A$10,
IF(H33="AnMP",Pole_Calc!A$11,
IF(H33="A",Pole_Calc!A$12,
IF(H33="S/A",Pole_Calc!A$13,
IF(H33="A/S",Pole_Calc!A$14,"Poner a mano")))))))</f>
        <v/>
      </c>
      <c r="BE33" s="429" t="s">
        <v>118</v>
      </c>
      <c r="BF33" s="290"/>
      <c r="BG33" s="290"/>
      <c r="BH33" s="290"/>
      <c r="BI33" s="290"/>
    </row>
    <row r="34" spans="1:61" ht="16.149999999999999" customHeight="1">
      <c r="A34" s="514"/>
      <c r="B34" s="450" t="s">
        <v>952</v>
      </c>
      <c r="C34" s="3">
        <f>+$C$32+$G$33</f>
        <v>30918.65</v>
      </c>
      <c r="D34" s="83"/>
      <c r="E34" s="4"/>
      <c r="F34" s="4">
        <v>0</v>
      </c>
      <c r="G34" s="6"/>
      <c r="H34" s="449" t="s">
        <v>131</v>
      </c>
      <c r="I34" s="4"/>
      <c r="J34" s="3"/>
      <c r="K34" s="449"/>
      <c r="L34" s="449" t="s">
        <v>158</v>
      </c>
      <c r="M34" s="449" t="str">
        <f>IF(L34="","",
IF(AX34="PT",VLOOKUP(L34,Foundation_Calc!$V$79:$X$113,VLOOKUP(AX34,Foundation_Calc!$I$10:$J$13,2,FALSE),0),
IF(AX34="K",VLOOKUP(L34,Foundation_Calc!$V$117:$X$151,VLOOKUP(AX34,Foundation_Calc!$I$10:$J$13,2,FALSE),0),"")))</f>
        <v>C4R</v>
      </c>
      <c r="N34" s="449" t="s">
        <v>133</v>
      </c>
      <c r="O34" s="449" t="s">
        <v>134</v>
      </c>
      <c r="P34" s="449"/>
      <c r="Q34" s="4"/>
      <c r="R34" s="6"/>
      <c r="S34" s="6"/>
      <c r="T34" s="4">
        <v>35</v>
      </c>
      <c r="U34" s="4">
        <v>15</v>
      </c>
      <c r="V34" s="4"/>
      <c r="W34" s="9">
        <v>1.4</v>
      </c>
      <c r="X34" s="9">
        <v>2.2999999999999998</v>
      </c>
      <c r="Y34" s="9"/>
      <c r="Z34" s="9">
        <v>0.6</v>
      </c>
      <c r="AA34" s="9"/>
      <c r="AB34" s="9"/>
      <c r="AC34" s="449"/>
      <c r="AD34" s="449"/>
      <c r="AE34" s="449"/>
      <c r="AF34" s="4"/>
      <c r="AG34" s="83"/>
      <c r="AH34" s="4"/>
      <c r="AI34" s="4"/>
      <c r="AJ34" s="449"/>
      <c r="AK34" s="449"/>
      <c r="AL34" s="449"/>
      <c r="AM34" s="449" t="s">
        <v>126</v>
      </c>
      <c r="AN34" s="10">
        <v>5.5</v>
      </c>
      <c r="AO34" s="9"/>
      <c r="AP34" s="9"/>
      <c r="AQ34" s="9"/>
      <c r="AR34" s="9"/>
      <c r="AS34" s="9"/>
      <c r="AT34" s="9">
        <f>+ab($U$34,$T$32,$U$36,$G$33,$G$35, 1*$F$34,1200)</f>
        <v>12.527882802954466</v>
      </c>
      <c r="AU34" s="428"/>
      <c r="AV34" s="428"/>
      <c r="AW34" s="449" t="str">
        <f>IF(C34&gt;0,VLOOKUP(C34,Foundation_Calc!$A$2:$C$13,3,1),
IF(J34&gt;0,VLOOKUP(J34,Foundation_Calc!$A$2:$C$13,3,1),""))</f>
        <v>Multi Soil</v>
      </c>
      <c r="AX34" s="449" t="str">
        <f>IF(C34&gt;0,VLOOKUP(C34,Foundation_Calc!$E$35:$G$65,3,1),
IF(J34&gt;0,VLOOKUP(J34,Foundation_Calc!$E$35:$G$65,3,1),""))</f>
        <v>PT</v>
      </c>
      <c r="AY34" s="10">
        <f>IF(L34="","",
IF(AX34="PT",VLOOKUP(L34,Foundation_Calc!$K$79:$R$113,VLOOKUP(AW34,Foundation_Calc!$I$2:$J$8,2,FALSE),0),
IF(AX34="K",VLOOKUP(L34,Foundation_Calc!$K$117:$R$151,VLOOKUP(AW34,Foundation_Calc!$I$2:$J$8,2,FALSE),0),"")))</f>
        <v>3.5</v>
      </c>
      <c r="AZ34" s="10" t="str">
        <f>IF(K34="","",
IF(AX34="PT",VLOOKUP(K34,Foundation_Calc!$K$79:$R$113,VLOOKUP(AW34,Foundation_Calc!$I$2:$J$8,2,FALSE),0),
IF(AX34="K",VLOOKUP(K34,Foundation_Calc!$K$117:$R$151,VLOOKUP(AW34,Foundation_Calc!$I$2:$J$8,2,FALSE),0),"")))</f>
        <v/>
      </c>
      <c r="BA34" s="495" t="str">
        <f t="shared" si="1"/>
        <v>ü</v>
      </c>
      <c r="BB34" s="495" t="str">
        <f t="shared" si="2"/>
        <v/>
      </c>
      <c r="BC34" s="495" t="str">
        <f t="shared" si="3"/>
        <v/>
      </c>
      <c r="BD34" s="513" t="str">
        <f>IF(AND(L34="",H34=""),"",
IF(H34="",Pole_Calc!A$9,
IF(H34="MP",Pole_Calc!A$10,
IF(H34="AnMP",Pole_Calc!A$11,
IF(H34="A",Pole_Calc!A$12,
IF(H34="S/A",Pole_Calc!A$13,
IF(H34="A/S",Pole_Calc!A$14,"Poner a mano")))))))</f>
        <v>App.7-V11I-P9.5.1.5</v>
      </c>
      <c r="BE34" s="429" t="s">
        <v>118</v>
      </c>
      <c r="BF34" s="289"/>
      <c r="BG34" s="289"/>
      <c r="BH34" s="290"/>
      <c r="BI34" s="289"/>
    </row>
    <row r="35" spans="1:61" ht="16.149999999999999" customHeight="1">
      <c r="A35" s="514"/>
      <c r="B35" s="450"/>
      <c r="C35" s="3"/>
      <c r="D35" s="83"/>
      <c r="E35" s="4"/>
      <c r="F35" s="4"/>
      <c r="G35" s="6">
        <v>58</v>
      </c>
      <c r="H35" s="449"/>
      <c r="I35" s="4"/>
      <c r="J35" s="3"/>
      <c r="K35" s="449"/>
      <c r="L35" s="449"/>
      <c r="M35" s="449" t="str">
        <f>IF(L35="","",
IF(AX35="PT",VLOOKUP(L35,Foundation_Calc!$V$79:$X$113,VLOOKUP(AX35,Foundation_Calc!$I$10:$J$13,2,FALSE),0),
IF(AX35="K",VLOOKUP(L35,Foundation_Calc!$V$117:$X$151,VLOOKUP(AX35,Foundation_Calc!$I$10:$J$13,2,FALSE),0),"")))</f>
        <v/>
      </c>
      <c r="N35" s="449"/>
      <c r="O35" s="449"/>
      <c r="P35" s="449"/>
      <c r="Q35" s="4"/>
      <c r="R35" s="6"/>
      <c r="S35" s="6"/>
      <c r="T35" s="4"/>
      <c r="U35" s="4"/>
      <c r="V35" s="4"/>
      <c r="W35" s="9"/>
      <c r="X35" s="9"/>
      <c r="Y35" s="9"/>
      <c r="Z35" s="9"/>
      <c r="AA35" s="9"/>
      <c r="AB35" s="9"/>
      <c r="AC35" s="449" t="str">
        <f t="shared" si="0"/>
        <v/>
      </c>
      <c r="AD35" s="449"/>
      <c r="AE35" s="449"/>
      <c r="AF35" s="4"/>
      <c r="AG35" s="83"/>
      <c r="AH35" s="4"/>
      <c r="AI35" s="4"/>
      <c r="AJ35" s="449"/>
      <c r="AK35" s="449"/>
      <c r="AL35" s="449"/>
      <c r="AM35" s="449"/>
      <c r="AN35" s="10"/>
      <c r="AO35" s="9"/>
      <c r="AP35" s="9"/>
      <c r="AQ35" s="9">
        <f>+FL_2($T$36,$U$34,$G$35,1200,9.28, 1*$F$36)</f>
        <v>-0.34248442294252873</v>
      </c>
      <c r="AR35" s="9"/>
      <c r="AS35" s="9"/>
      <c r="AT35" s="9"/>
      <c r="AU35" s="428"/>
      <c r="AV35" s="428"/>
      <c r="AW35" s="449" t="str">
        <f>IF(C35&gt;0,VLOOKUP(C35,Foundation_Calc!$A$2:$C$13,3,1),
IF(J35&gt;0,VLOOKUP(J35,Foundation_Calc!$A$2:$C$13,3,1),""))</f>
        <v/>
      </c>
      <c r="AX35" s="449" t="str">
        <f>IF(C35&gt;0,VLOOKUP(C35,Foundation_Calc!$E$35:$G$65,3,1),
IF(J35&gt;0,VLOOKUP(J35,Foundation_Calc!$E$35:$G$65,3,1),""))</f>
        <v/>
      </c>
      <c r="AY35" s="10" t="str">
        <f>IF(L35="","",
IF(AX35="PT",VLOOKUP(L35,Foundation_Calc!$K$79:$R$113,VLOOKUP(AW35,Foundation_Calc!$I$2:$J$8,2,FALSE),0),
IF(AX35="K",VLOOKUP(L35,Foundation_Calc!$K$117:$R$151,VLOOKUP(AW35,Foundation_Calc!$I$2:$J$8,2,FALSE),0),"")))</f>
        <v/>
      </c>
      <c r="AZ35" s="10" t="str">
        <f>IF(K35="","",
IF(AX35="PT",VLOOKUP(K35,Foundation_Calc!$K$79:$R$113,VLOOKUP(AW35,Foundation_Calc!$I$2:$J$8,2,FALSE),0),
IF(AX35="K",VLOOKUP(K35,Foundation_Calc!$K$117:$R$151,VLOOKUP(AW35,Foundation_Calc!$I$2:$J$8,2,FALSE),0),"")))</f>
        <v/>
      </c>
      <c r="BA35" s="495" t="str">
        <f t="shared" si="1"/>
        <v/>
      </c>
      <c r="BB35" s="495" t="str">
        <f t="shared" si="2"/>
        <v/>
      </c>
      <c r="BC35" s="495" t="str">
        <f t="shared" si="3"/>
        <v/>
      </c>
      <c r="BD35" s="513" t="str">
        <f>IF(AND(L35="",H35=""),"",
IF(H35="",Pole_Calc!A$9,
IF(H35="MP",Pole_Calc!A$10,
IF(H35="AnMP",Pole_Calc!A$11,
IF(H35="A",Pole_Calc!A$12,
IF(H35="S/A",Pole_Calc!A$13,
IF(H35="A/S",Pole_Calc!A$14,"Poner a mano")))))))</f>
        <v/>
      </c>
      <c r="BE35" s="429" t="s">
        <v>118</v>
      </c>
      <c r="BF35" s="290"/>
      <c r="BG35" s="290"/>
      <c r="BH35" s="290"/>
      <c r="BI35" s="290"/>
    </row>
    <row r="36" spans="1:61" ht="16.149999999999999" customHeight="1">
      <c r="A36" s="514"/>
      <c r="B36" s="450" t="s">
        <v>953</v>
      </c>
      <c r="C36" s="3">
        <f>+$C$34+$G$35</f>
        <v>30976.65</v>
      </c>
      <c r="D36" s="83"/>
      <c r="E36" s="4"/>
      <c r="F36" s="4">
        <v>0</v>
      </c>
      <c r="G36" s="6"/>
      <c r="H36" s="449" t="s">
        <v>131</v>
      </c>
      <c r="I36" s="4"/>
      <c r="J36" s="3"/>
      <c r="K36" s="449"/>
      <c r="L36" s="449" t="s">
        <v>158</v>
      </c>
      <c r="M36" s="449" t="str">
        <f>IF(L36="","",
IF(AX36="PT",VLOOKUP(L36,Foundation_Calc!$V$79:$X$113,VLOOKUP(AX36,Foundation_Calc!$I$10:$J$13,2,FALSE),0),
IF(AX36="K",VLOOKUP(L36,Foundation_Calc!$V$117:$X$151,VLOOKUP(AX36,Foundation_Calc!$I$10:$J$13,2,FALSE),0),"")))</f>
        <v>C4R</v>
      </c>
      <c r="N36" s="449" t="s">
        <v>124</v>
      </c>
      <c r="O36" s="449" t="s">
        <v>133</v>
      </c>
      <c r="P36" s="449"/>
      <c r="Q36" s="4"/>
      <c r="R36" s="6"/>
      <c r="S36" s="6"/>
      <c r="T36" s="4">
        <v>-15</v>
      </c>
      <c r="U36" s="4">
        <v>-35</v>
      </c>
      <c r="V36" s="4"/>
      <c r="W36" s="9">
        <v>1.4</v>
      </c>
      <c r="X36" s="9">
        <v>2.2999999999999998</v>
      </c>
      <c r="Y36" s="9"/>
      <c r="Z36" s="9"/>
      <c r="AA36" s="9">
        <v>0.6</v>
      </c>
      <c r="AB36" s="9"/>
      <c r="AC36" s="449" t="str">
        <f t="shared" si="0"/>
        <v>PH</v>
      </c>
      <c r="AD36" s="449"/>
      <c r="AE36" s="449"/>
      <c r="AF36" s="4"/>
      <c r="AG36" s="83"/>
      <c r="AH36" s="4"/>
      <c r="AI36" s="4"/>
      <c r="AJ36" s="449"/>
      <c r="AK36" s="449"/>
      <c r="AL36" s="449"/>
      <c r="AM36" s="449" t="s">
        <v>126</v>
      </c>
      <c r="AN36" s="10">
        <v>5.5</v>
      </c>
      <c r="AO36" s="9"/>
      <c r="AP36" s="9"/>
      <c r="AQ36" s="9"/>
      <c r="AR36" s="9"/>
      <c r="AS36" s="9"/>
      <c r="AT36" s="9">
        <f>+ab($T$36,$T$34,$T$38,$G$35,$G$37, 1*$F$36,1200)</f>
        <v>-12.69236443248821</v>
      </c>
      <c r="AU36" s="428"/>
      <c r="AV36" s="428"/>
      <c r="AW36" s="449" t="str">
        <f>IF(C36&gt;0,VLOOKUP(C36,Foundation_Calc!$A$2:$C$13,3,1),
IF(J36&gt;0,VLOOKUP(J36,Foundation_Calc!$A$2:$C$13,3,1),""))</f>
        <v>Multi Soil</v>
      </c>
      <c r="AX36" s="449" t="str">
        <f>IF(C36&gt;0,VLOOKUP(C36,Foundation_Calc!$E$35:$G$65,3,1),
IF(J36&gt;0,VLOOKUP(J36,Foundation_Calc!$E$35:$G$65,3,1),""))</f>
        <v>PT</v>
      </c>
      <c r="AY36" s="10">
        <f>IF(L36="","",
IF(AX36="PT",VLOOKUP(L36,Foundation_Calc!$K$79:$R$113,VLOOKUP(AW36,Foundation_Calc!$I$2:$J$8,2,FALSE),0),
IF(AX36="K",VLOOKUP(L36,Foundation_Calc!$K$117:$R$151,VLOOKUP(AW36,Foundation_Calc!$I$2:$J$8,2,FALSE),0),"")))</f>
        <v>3.5</v>
      </c>
      <c r="AZ36" s="10" t="str">
        <f>IF(K36="","",
IF(AX36="PT",VLOOKUP(K36,Foundation_Calc!$K$79:$R$113,VLOOKUP(AW36,Foundation_Calc!$I$2:$J$8,2,FALSE),0),
IF(AX36="K",VLOOKUP(K36,Foundation_Calc!$K$117:$R$151,VLOOKUP(AW36,Foundation_Calc!$I$2:$J$8,2,FALSE),0),"")))</f>
        <v/>
      </c>
      <c r="BA36" s="495" t="str">
        <f t="shared" si="1"/>
        <v>ü</v>
      </c>
      <c r="BB36" s="495" t="str">
        <f t="shared" si="2"/>
        <v/>
      </c>
      <c r="BC36" s="495" t="str">
        <f t="shared" si="3"/>
        <v/>
      </c>
      <c r="BD36" s="513" t="str">
        <f>IF(AND(L36="",H36=""),"",
IF(H36="",Pole_Calc!A$9,
IF(H36="MP",Pole_Calc!A$10,
IF(H36="AnMP",Pole_Calc!A$11,
IF(H36="A",Pole_Calc!A$12,
IF(H36="S/A",Pole_Calc!A$13,
IF(H36="A/S",Pole_Calc!A$14,"Poner a mano")))))))</f>
        <v>App.7-V11I-P9.5.1.5</v>
      </c>
      <c r="BE36" s="429" t="s">
        <v>118</v>
      </c>
      <c r="BF36" s="289"/>
      <c r="BG36" s="289"/>
      <c r="BH36" s="290"/>
      <c r="BI36" s="289"/>
    </row>
    <row r="37" spans="1:61" ht="16.149999999999999" customHeight="1">
      <c r="A37" s="685" t="s">
        <v>160</v>
      </c>
      <c r="B37" s="686"/>
      <c r="C37" s="687"/>
      <c r="D37" s="688"/>
      <c r="E37" s="689"/>
      <c r="F37" s="689"/>
      <c r="G37" s="690">
        <v>64</v>
      </c>
      <c r="H37" s="691"/>
      <c r="I37" s="689"/>
      <c r="J37" s="687"/>
      <c r="K37" s="691"/>
      <c r="L37" s="691"/>
      <c r="M37" s="691" t="str">
        <f>IF(L37="","",
IF(AX37="PT",VLOOKUP(L37,Foundation_Calc!$V$79:$X$113,VLOOKUP(AX37,Foundation_Calc!$I$10:$J$13,2,FALSE),0),
IF(AX37="K",VLOOKUP(L37,Foundation_Calc!$V$117:$X$151,VLOOKUP(AX37,Foundation_Calc!$I$10:$J$13,2,FALSE),0),"")))</f>
        <v/>
      </c>
      <c r="N37" s="691"/>
      <c r="O37" s="691"/>
      <c r="P37" s="691"/>
      <c r="Q37" s="689"/>
      <c r="R37" s="690"/>
      <c r="S37" s="690"/>
      <c r="T37" s="689"/>
      <c r="U37" s="689"/>
      <c r="V37" s="689"/>
      <c r="W37" s="692"/>
      <c r="X37" s="692"/>
      <c r="Y37" s="692"/>
      <c r="Z37" s="692"/>
      <c r="AA37" s="692"/>
      <c r="AB37" s="692"/>
      <c r="AC37" s="691" t="str">
        <f t="shared" si="0"/>
        <v/>
      </c>
      <c r="AD37" s="691"/>
      <c r="AE37" s="691"/>
      <c r="AF37" s="689"/>
      <c r="AG37" s="688"/>
      <c r="AH37" s="689"/>
      <c r="AI37" s="689"/>
      <c r="AJ37" s="691"/>
      <c r="AK37" s="691"/>
      <c r="AL37" s="691"/>
      <c r="AM37" s="691"/>
      <c r="AN37" s="693"/>
      <c r="AO37" s="692"/>
      <c r="AP37" s="692"/>
      <c r="AQ37" s="692">
        <f>+FL_1($T$38,$T$36,$G$37,1200,9.28, 1*$F$38)</f>
        <v>0.47120259199999998</v>
      </c>
      <c r="AR37" s="692"/>
      <c r="AS37" s="692"/>
      <c r="AT37" s="692"/>
      <c r="AU37" s="694"/>
      <c r="AV37" s="694"/>
      <c r="AW37" s="691" t="str">
        <f>IF(C37&gt;0,VLOOKUP(C37,Foundation_Calc!$A$2:$C$13,3,1),
IF(J37&gt;0,VLOOKUP(J37,Foundation_Calc!$A$2:$C$13,3,1),""))</f>
        <v/>
      </c>
      <c r="AX37" s="691" t="str">
        <f>IF(C37&gt;0,VLOOKUP(C37,Foundation_Calc!$E$35:$G$65,3,1),
IF(J37&gt;0,VLOOKUP(J37,Foundation_Calc!$E$35:$G$65,3,1),""))</f>
        <v/>
      </c>
      <c r="AY37" s="693" t="str">
        <f>IF(L37="","",
IF(AX37="PT",VLOOKUP(L37,Foundation_Calc!$K$79:$R$113,VLOOKUP(AW37,Foundation_Calc!$I$2:$J$8,2,FALSE),0),
IF(AX37="K",VLOOKUP(L37,Foundation_Calc!$K$117:$R$151,VLOOKUP(AW37,Foundation_Calc!$I$2:$J$8,2,FALSE),0),"")))</f>
        <v/>
      </c>
      <c r="AZ37" s="693" t="str">
        <f>IF(K37="","",
IF(AX37="PT",VLOOKUP(K37,Foundation_Calc!$K$79:$R$113,VLOOKUP(AW37,Foundation_Calc!$I$2:$J$8,2,FALSE),0),
IF(AX37="K",VLOOKUP(K37,Foundation_Calc!$K$117:$R$151,VLOOKUP(AW37,Foundation_Calc!$I$2:$J$8,2,FALSE),0),"")))</f>
        <v/>
      </c>
      <c r="BA37" s="495" t="str">
        <f t="shared" si="1"/>
        <v/>
      </c>
      <c r="BB37" s="495" t="str">
        <f t="shared" si="2"/>
        <v/>
      </c>
      <c r="BC37" s="495" t="str">
        <f t="shared" si="3"/>
        <v/>
      </c>
      <c r="BD37" s="513" t="str">
        <f>IF(AND(L37="",H37=""),"",
IF(H37="",Pole_Calc!A$9,
IF(H37="MP",Pole_Calc!A$10,
IF(H37="AnMP",Pole_Calc!A$11,
IF(H37="A",Pole_Calc!A$12,
IF(H37="S/A",Pole_Calc!A$13,
IF(H37="A/S",Pole_Calc!A$14,"Poner a mano")))))))</f>
        <v/>
      </c>
      <c r="BE37" s="429" t="s">
        <v>118</v>
      </c>
      <c r="BF37" s="290"/>
      <c r="BG37" s="290"/>
      <c r="BH37" s="290"/>
      <c r="BI37" s="290"/>
    </row>
    <row r="38" spans="1:61" ht="16.149999999999999" customHeight="1">
      <c r="A38" s="514"/>
      <c r="B38" s="450" t="s">
        <v>954</v>
      </c>
      <c r="C38" s="3">
        <f>+$C$36+$G$37</f>
        <v>31040.65</v>
      </c>
      <c r="D38" s="83"/>
      <c r="E38" s="4"/>
      <c r="F38" s="4">
        <v>0</v>
      </c>
      <c r="G38" s="6"/>
      <c r="H38" s="449" t="s">
        <v>121</v>
      </c>
      <c r="I38" s="4" t="s">
        <v>162</v>
      </c>
      <c r="J38" s="3"/>
      <c r="K38" s="449"/>
      <c r="L38" s="449" t="s">
        <v>151</v>
      </c>
      <c r="M38" s="449" t="str">
        <f>IF(L38="","",
IF(AX38="PT",VLOOKUP(L38,Foundation_Calc!$V$79:$X$113,VLOOKUP(AX38,Foundation_Calc!$I$10:$J$13,2,FALSE),0),
IF(AX38="K",VLOOKUP(L38,Foundation_Calc!$V$117:$X$151,VLOOKUP(AX38,Foundation_Calc!$I$10:$J$13,2,FALSE),0),"")))</f>
        <v>C4R</v>
      </c>
      <c r="N38" s="449" t="s">
        <v>134</v>
      </c>
      <c r="O38" s="449"/>
      <c r="P38" s="449"/>
      <c r="Q38" s="4"/>
      <c r="R38" s="6"/>
      <c r="S38" s="6"/>
      <c r="T38" s="4">
        <v>25</v>
      </c>
      <c r="U38" s="4"/>
      <c r="V38" s="4"/>
      <c r="W38" s="9">
        <v>1.4</v>
      </c>
      <c r="X38" s="9"/>
      <c r="Y38" s="9"/>
      <c r="Z38" s="9"/>
      <c r="AA38" s="9"/>
      <c r="AB38" s="9"/>
      <c r="AC38" s="449" t="str">
        <f t="shared" si="0"/>
        <v>PH</v>
      </c>
      <c r="AD38" s="449"/>
      <c r="AE38" s="449"/>
      <c r="AF38" s="4"/>
      <c r="AG38" s="83"/>
      <c r="AH38" s="4"/>
      <c r="AI38" s="4"/>
      <c r="AJ38" s="449"/>
      <c r="AK38" s="449"/>
      <c r="AL38" s="449"/>
      <c r="AM38" s="449" t="s">
        <v>126</v>
      </c>
      <c r="AN38" s="10">
        <v>5.5</v>
      </c>
      <c r="AO38" s="9"/>
      <c r="AP38" s="9"/>
      <c r="AQ38" s="9"/>
      <c r="AR38" s="9"/>
      <c r="AS38" s="9"/>
      <c r="AT38" s="9">
        <f>+ab($T$38,$T$36,$T$40,$G$37,$G$39, 1*$F$38,1200)</f>
        <v>12.098019644162099</v>
      </c>
      <c r="AU38" s="428"/>
      <c r="AV38" s="428"/>
      <c r="AW38" s="449" t="str">
        <f>IF(C38&gt;0,VLOOKUP(C38,Foundation_Calc!$A$2:$C$13,3,1),
IF(J38&gt;0,VLOOKUP(J38,Foundation_Calc!$A$2:$C$13,3,1),""))</f>
        <v>Multi Soil</v>
      </c>
      <c r="AX38" s="449" t="str">
        <f>IF(C38&gt;0,VLOOKUP(C38,Foundation_Calc!$E$35:$G$65,3,1),
IF(J38&gt;0,VLOOKUP(J38,Foundation_Calc!$E$35:$G$65,3,1),""))</f>
        <v>PT</v>
      </c>
      <c r="AY38" s="10">
        <f>IF(L38="","",
IF(AX38="PT",VLOOKUP(L38,Foundation_Calc!$K$79:$R$113,VLOOKUP(AW38,Foundation_Calc!$I$2:$J$8,2,FALSE),0),
IF(AX38="K",VLOOKUP(L38,Foundation_Calc!$K$117:$R$151,VLOOKUP(AW38,Foundation_Calc!$I$2:$J$8,2,FALSE),0),"")))</f>
        <v>3.5</v>
      </c>
      <c r="AZ38" s="10" t="str">
        <f>IF(K38="","",
IF(AX38="PT",VLOOKUP(K38,Foundation_Calc!$K$79:$R$113,VLOOKUP(AW38,Foundation_Calc!$I$2:$J$8,2,FALSE),0),
IF(AX38="K",VLOOKUP(K38,Foundation_Calc!$K$117:$R$151,VLOOKUP(AW38,Foundation_Calc!$I$2:$J$8,2,FALSE),0),"")))</f>
        <v/>
      </c>
      <c r="BA38" s="495" t="str">
        <f t="shared" si="1"/>
        <v>ü</v>
      </c>
      <c r="BB38" s="495" t="str">
        <f t="shared" si="2"/>
        <v/>
      </c>
      <c r="BC38" s="495" t="str">
        <f t="shared" si="3"/>
        <v/>
      </c>
      <c r="BD38" s="513" t="str">
        <f>IF(AND(L38="",H38=""),"",
IF(H38="",Pole_Calc!A$9,
IF(H38="MP",Pole_Calc!A$10,
IF(H38="AnMP",Pole_Calc!A$11,
IF(H38="A",Pole_Calc!A$12,
IF(H38="S/A",Pole_Calc!A$13,
IF(H38="A/S",Pole_Calc!A$14,"Poner a mano")))))))</f>
        <v>App.7-V11I-P9.5.1.6</v>
      </c>
      <c r="BE38" s="429" t="s">
        <v>118</v>
      </c>
      <c r="BF38" s="289"/>
      <c r="BG38" s="289"/>
      <c r="BH38" s="290"/>
      <c r="BI38" s="289"/>
    </row>
    <row r="39" spans="1:61" ht="16.149999999999999" customHeight="1">
      <c r="A39" s="514"/>
      <c r="B39" s="450"/>
      <c r="C39" s="3"/>
      <c r="D39" s="83"/>
      <c r="E39" s="4"/>
      <c r="F39" s="4"/>
      <c r="G39" s="6">
        <v>64</v>
      </c>
      <c r="H39" s="449"/>
      <c r="I39" s="4"/>
      <c r="J39" s="3">
        <f>C38+7.5</f>
        <v>31048.15</v>
      </c>
      <c r="K39" s="449" t="s">
        <v>117</v>
      </c>
      <c r="L39" s="449"/>
      <c r="M39" s="449" t="str">
        <f>IF(L39="","",
IF(AX39="PT",VLOOKUP(L39,Foundation_Calc!$V$79:$X$113,VLOOKUP(AX39,Foundation_Calc!$I$10:$J$13,2,FALSE),0),
IF(AX39="K",VLOOKUP(L39,Foundation_Calc!$V$117:$X$151,VLOOKUP(AX39,Foundation_Calc!$I$10:$J$13,2,FALSE),0),"")))</f>
        <v/>
      </c>
      <c r="N39" s="449"/>
      <c r="O39" s="449"/>
      <c r="P39" s="449"/>
      <c r="Q39" s="4"/>
      <c r="R39" s="6"/>
      <c r="S39" s="6"/>
      <c r="T39" s="4"/>
      <c r="U39" s="4"/>
      <c r="V39" s="4"/>
      <c r="W39" s="9"/>
      <c r="X39" s="9"/>
      <c r="Y39" s="9"/>
      <c r="Z39" s="9"/>
      <c r="AA39" s="9"/>
      <c r="AB39" s="9"/>
      <c r="AC39" s="449" t="str">
        <f t="shared" si="0"/>
        <v/>
      </c>
      <c r="AD39" s="449"/>
      <c r="AE39" s="449"/>
      <c r="AF39" s="4"/>
      <c r="AG39" s="83"/>
      <c r="AH39" s="4"/>
      <c r="AI39" s="4"/>
      <c r="AJ39" s="449"/>
      <c r="AK39" s="449"/>
      <c r="AL39" s="449"/>
      <c r="AM39" s="449"/>
      <c r="AN39" s="10"/>
      <c r="AO39" s="9"/>
      <c r="AP39" s="9"/>
      <c r="AQ39" s="9">
        <f>+FL_2($T$40,$T$38,$G$39,1200,9.28, 1*$F$40)</f>
        <v>-0.50277249866666662</v>
      </c>
      <c r="AR39" s="9"/>
      <c r="AS39" s="9"/>
      <c r="AT39" s="9"/>
      <c r="AU39" s="428"/>
      <c r="AV39" s="428"/>
      <c r="AW39" s="449" t="str">
        <f>IF(C39&gt;0,VLOOKUP(C39,Foundation_Calc!$A$2:$C$13,3,1),
IF(J39&gt;0,VLOOKUP(J39,Foundation_Calc!$A$2:$C$13,3,1),""))</f>
        <v>Multi Soil</v>
      </c>
      <c r="AX39" s="449" t="str">
        <f>IF(C39&gt;0,VLOOKUP(C39,Foundation_Calc!$E$35:$G$65,3,1),
IF(J39&gt;0,VLOOKUP(J39,Foundation_Calc!$E$35:$G$65,3,1),""))</f>
        <v>PT</v>
      </c>
      <c r="AY39" s="10" t="str">
        <f>IF(L39="","",
IF(AX39="PT",VLOOKUP(L39,Foundation_Calc!$K$79:$R$113,VLOOKUP(AW39,Foundation_Calc!$I$2:$J$8,2,FALSE),0),
IF(AX39="K",VLOOKUP(L39,Foundation_Calc!$K$117:$R$151,VLOOKUP(AW39,Foundation_Calc!$I$2:$J$8,2,FALSE),0),"")))</f>
        <v/>
      </c>
      <c r="AZ39" s="10">
        <f>IF(K39="","",
IF(AX39="PT",VLOOKUP(K39,Foundation_Calc!$K$79:$R$113,VLOOKUP(AW39,Foundation_Calc!$I$2:$J$8,2,FALSE),0),
IF(AX39="K",VLOOKUP(K39,Foundation_Calc!$K$117:$R$151,VLOOKUP(AW39,Foundation_Calc!$I$2:$J$8,2,FALSE),0),"")))</f>
        <v>3.9</v>
      </c>
      <c r="BA39" s="495" t="str">
        <f t="shared" ref="BA39:BB39" si="10">IF(AY39="","",IF(AY39&gt;0,"ü",""))</f>
        <v/>
      </c>
      <c r="BB39" s="495" t="str">
        <f t="shared" si="10"/>
        <v>ü</v>
      </c>
      <c r="BC39" s="495" t="str">
        <f t="shared" ref="BC39" si="11">IF(M39="","",IF(M39="U.S.","ü",IF(M39="U.S. N.D.","ü","")))</f>
        <v/>
      </c>
      <c r="BD39" s="513" t="str">
        <f>IF(AND(L39="",H39=""),"",
IF(H39="",Pole_Calc!A$9,
IF(H39="MP",Pole_Calc!A$10,
IF(H39="AnMP",Pole_Calc!A$11,
IF(H39="A",Pole_Calc!A$12,
IF(H39="S/A",Pole_Calc!A$13,
IF(H39="A/S",Pole_Calc!A$14,"Poner a mano")))))))</f>
        <v/>
      </c>
      <c r="BE39" s="429" t="s">
        <v>118</v>
      </c>
      <c r="BF39" s="290"/>
      <c r="BG39" s="290"/>
      <c r="BH39" s="290"/>
      <c r="BI39" s="290"/>
    </row>
    <row r="40" spans="1:61" ht="16.149999999999999" customHeight="1">
      <c r="A40" s="514"/>
      <c r="B40" s="450" t="s">
        <v>955</v>
      </c>
      <c r="C40" s="3">
        <f>+$C$38+$G$39</f>
        <v>31104.65</v>
      </c>
      <c r="D40" s="83"/>
      <c r="E40" s="4"/>
      <c r="F40" s="4">
        <v>0</v>
      </c>
      <c r="G40" s="6"/>
      <c r="H40" s="449"/>
      <c r="I40" s="4"/>
      <c r="J40" s="3"/>
      <c r="K40" s="449"/>
      <c r="L40" s="449" t="s">
        <v>153</v>
      </c>
      <c r="M40" s="449" t="str">
        <f>IF(L40="","",
IF(AX40="PT",VLOOKUP(L40,Foundation_Calc!$V$79:$X$113,VLOOKUP(AX40,Foundation_Calc!$I$10:$J$13,2,FALSE),0),
IF(AX40="K",VLOOKUP(L40,Foundation_Calc!$V$117:$X$151,VLOOKUP(AX40,Foundation_Calc!$I$10:$J$13,2,FALSE),0),"")))</f>
        <v>C3R</v>
      </c>
      <c r="N40" s="449" t="s">
        <v>124</v>
      </c>
      <c r="O40" s="449"/>
      <c r="P40" s="449"/>
      <c r="Q40" s="4"/>
      <c r="R40" s="6"/>
      <c r="S40" s="6"/>
      <c r="T40" s="4">
        <v>-35</v>
      </c>
      <c r="U40" s="4"/>
      <c r="V40" s="4"/>
      <c r="W40" s="9">
        <v>1.4</v>
      </c>
      <c r="X40" s="9"/>
      <c r="Y40" s="9"/>
      <c r="Z40" s="9"/>
      <c r="AA40" s="9"/>
      <c r="AB40" s="9"/>
      <c r="AC40" s="449" t="str">
        <f t="shared" si="0"/>
        <v>PH</v>
      </c>
      <c r="AD40" s="449"/>
      <c r="AE40" s="449"/>
      <c r="AF40" s="4"/>
      <c r="AG40" s="83"/>
      <c r="AH40" s="4"/>
      <c r="AI40" s="4"/>
      <c r="AJ40" s="449"/>
      <c r="AK40" s="449"/>
      <c r="AL40" s="449"/>
      <c r="AM40" s="449" t="s">
        <v>126</v>
      </c>
      <c r="AN40" s="10">
        <v>5.5</v>
      </c>
      <c r="AO40" s="9"/>
      <c r="AP40" s="9"/>
      <c r="AQ40" s="9"/>
      <c r="AR40" s="9"/>
      <c r="AS40" s="9"/>
      <c r="AT40" s="9">
        <f>+ab($T$40,$T$38,$T$42,$G$39,$G$41, 1*$F$40,1200)</f>
        <v>-9.2057193791725922</v>
      </c>
      <c r="AU40" s="428"/>
      <c r="AV40" s="428"/>
      <c r="AW40" s="449" t="str">
        <f>IF(C40&gt;0,VLOOKUP(C40,Foundation_Calc!$A$2:$C$13,3,1),
IF(J40&gt;0,VLOOKUP(J40,Foundation_Calc!$A$2:$C$13,3,1),""))</f>
        <v>Multi Soil</v>
      </c>
      <c r="AX40" s="449" t="str">
        <f>IF(C40&gt;0,VLOOKUP(C40,Foundation_Calc!$E$35:$G$65,3,1),
IF(J40&gt;0,VLOOKUP(J40,Foundation_Calc!$E$35:$G$65,3,1),""))</f>
        <v>PT</v>
      </c>
      <c r="AY40" s="10">
        <f>IF(L40="","",
IF(AX40="PT",VLOOKUP(L40,Foundation_Calc!$K$79:$R$113,VLOOKUP(AW40,Foundation_Calc!$I$2:$J$8,2,FALSE),0),
IF(AX40="K",VLOOKUP(L40,Foundation_Calc!$K$117:$R$151,VLOOKUP(AW40,Foundation_Calc!$I$2:$J$8,2,FALSE),0),"")))</f>
        <v>3.5</v>
      </c>
      <c r="AZ40" s="10" t="str">
        <f>IF(K40="","",
IF(AX40="PT",VLOOKUP(K40,Foundation_Calc!$K$79:$R$113,VLOOKUP(AW40,Foundation_Calc!$I$2:$J$8,2,FALSE),0),
IF(AX40="K",VLOOKUP(K40,Foundation_Calc!$K$117:$R$151,VLOOKUP(AW40,Foundation_Calc!$I$2:$J$8,2,FALSE),0),"")))</f>
        <v/>
      </c>
      <c r="BA40" s="495" t="str">
        <f t="shared" ref="BA40:BA104" si="12">IF(AY40="","",IF(AY40&gt;0,"ü",""))</f>
        <v>ü</v>
      </c>
      <c r="BB40" s="495" t="str">
        <f t="shared" ref="BB40:BB104" si="13">IF(AZ40="","",IF(AZ40&gt;0,"ü",""))</f>
        <v/>
      </c>
      <c r="BC40" s="495" t="str">
        <f t="shared" ref="BC40:BC104" si="14">IF(M40="","",IF(M40="U.S.","ü",IF(M40="U.S. N.D.","ü","")))</f>
        <v/>
      </c>
      <c r="BD40" s="513" t="str">
        <f>IF(AND(L40="",H40=""),"",
IF(H40="",Pole_Calc!A$9,
IF(H40="MP",Pole_Calc!A$10,
IF(H40="AnMP",Pole_Calc!A$11,
IF(H40="A",Pole_Calc!A$12,
IF(H40="S/A",Pole_Calc!A$13,
IF(H40="A/S",Pole_Calc!A$14,"Poner a mano")))))))</f>
        <v>App.7-V11I-P9.5.1.1</v>
      </c>
      <c r="BE40" s="429" t="s">
        <v>118</v>
      </c>
      <c r="BF40" s="289"/>
      <c r="BG40" s="289"/>
      <c r="BH40" s="290"/>
      <c r="BI40" s="289"/>
    </row>
    <row r="41" spans="1:61" ht="16.149999999999999" customHeight="1">
      <c r="A41" s="514"/>
      <c r="B41" s="450"/>
      <c r="C41" s="3"/>
      <c r="D41" s="83"/>
      <c r="E41" s="4"/>
      <c r="F41" s="4"/>
      <c r="G41" s="6">
        <v>62</v>
      </c>
      <c r="H41" s="449"/>
      <c r="I41" s="4"/>
      <c r="J41" s="3"/>
      <c r="K41" s="449"/>
      <c r="L41" s="449"/>
      <c r="M41" s="449" t="str">
        <f>IF(L41="","",
IF(AX41="PT",VLOOKUP(L41,Foundation_Calc!$V$79:$X$113,VLOOKUP(AX41,Foundation_Calc!$I$10:$J$13,2,FALSE),0),
IF(AX41="K",VLOOKUP(L41,Foundation_Calc!$V$117:$X$151,VLOOKUP(AX41,Foundation_Calc!$I$10:$J$13,2,FALSE),0),"")))</f>
        <v/>
      </c>
      <c r="N41" s="449"/>
      <c r="O41" s="449"/>
      <c r="P41" s="449"/>
      <c r="Q41" s="4"/>
      <c r="R41" s="6"/>
      <c r="S41" s="6"/>
      <c r="T41" s="4"/>
      <c r="U41" s="4"/>
      <c r="V41" s="4"/>
      <c r="W41" s="9"/>
      <c r="X41" s="9"/>
      <c r="Y41" s="9"/>
      <c r="Z41" s="9"/>
      <c r="AA41" s="9"/>
      <c r="AB41" s="9"/>
      <c r="AC41" s="449" t="str">
        <f t="shared" si="0"/>
        <v/>
      </c>
      <c r="AD41" s="449"/>
      <c r="AE41" s="449"/>
      <c r="AF41" s="4"/>
      <c r="AG41" s="83"/>
      <c r="AH41" s="4"/>
      <c r="AI41" s="4"/>
      <c r="AJ41" s="449"/>
      <c r="AK41" s="449"/>
      <c r="AL41" s="449"/>
      <c r="AM41" s="449"/>
      <c r="AN41" s="10"/>
      <c r="AO41" s="9"/>
      <c r="AP41" s="9"/>
      <c r="AQ41" s="9">
        <f>+FL_1($T$42,$T$40,$G$41,1200,9.28, 1*$F$42)</f>
        <v>0.45400350967741931</v>
      </c>
      <c r="AR41" s="9"/>
      <c r="AS41" s="9"/>
      <c r="AT41" s="9"/>
      <c r="AU41" s="428"/>
      <c r="AV41" s="428"/>
      <c r="AW41" s="449" t="str">
        <f>IF(C41&gt;0,VLOOKUP(C41,Foundation_Calc!$A$2:$C$13,3,1),
IF(J41&gt;0,VLOOKUP(J41,Foundation_Calc!$A$2:$C$13,3,1),""))</f>
        <v/>
      </c>
      <c r="AX41" s="449" t="str">
        <f>IF(C41&gt;0,VLOOKUP(C41,Foundation_Calc!$E$35:$G$65,3,1),
IF(J41&gt;0,VLOOKUP(J41,Foundation_Calc!$E$35:$G$65,3,1),""))</f>
        <v/>
      </c>
      <c r="AY41" s="10" t="str">
        <f>IF(L41="","",
IF(AX41="PT",VLOOKUP(L41,Foundation_Calc!$K$79:$R$113,VLOOKUP(AW41,Foundation_Calc!$I$2:$J$8,2,FALSE),0),
IF(AX41="K",VLOOKUP(L41,Foundation_Calc!$K$117:$R$151,VLOOKUP(AW41,Foundation_Calc!$I$2:$J$8,2,FALSE),0),"")))</f>
        <v/>
      </c>
      <c r="AZ41" s="10" t="str">
        <f>IF(K41="","",
IF(AX41="PT",VLOOKUP(K41,Foundation_Calc!$K$79:$R$113,VLOOKUP(AW41,Foundation_Calc!$I$2:$J$8,2,FALSE),0),
IF(AX41="K",VLOOKUP(K41,Foundation_Calc!$K$117:$R$151,VLOOKUP(AW41,Foundation_Calc!$I$2:$J$8,2,FALSE),0),"")))</f>
        <v/>
      </c>
      <c r="BA41" s="495" t="str">
        <f t="shared" si="12"/>
        <v/>
      </c>
      <c r="BB41" s="495" t="str">
        <f t="shared" si="13"/>
        <v/>
      </c>
      <c r="BC41" s="495" t="str">
        <f t="shared" si="14"/>
        <v/>
      </c>
      <c r="BD41" s="513" t="str">
        <f>IF(AND(L41="",H41=""),"",
IF(H41="",Pole_Calc!A$9,
IF(H41="MP",Pole_Calc!A$10,
IF(H41="AnMP",Pole_Calc!A$11,
IF(H41="A",Pole_Calc!A$12,
IF(H41="S/A",Pole_Calc!A$13,
IF(H41="A/S",Pole_Calc!A$14,"Poner a mano")))))))</f>
        <v/>
      </c>
      <c r="BE41" s="429" t="s">
        <v>118</v>
      </c>
      <c r="BF41" s="290"/>
      <c r="BG41" s="290"/>
      <c r="BH41" s="290"/>
      <c r="BI41" s="290"/>
    </row>
    <row r="42" spans="1:61" ht="16.149999999999999" customHeight="1">
      <c r="A42" s="514"/>
      <c r="B42" s="450" t="s">
        <v>956</v>
      </c>
      <c r="C42" s="3">
        <f>+$C$40+$G$41</f>
        <v>31166.65</v>
      </c>
      <c r="D42" s="83"/>
      <c r="E42" s="4"/>
      <c r="F42" s="4">
        <v>0</v>
      </c>
      <c r="G42" s="6"/>
      <c r="H42" s="449"/>
      <c r="I42" s="4"/>
      <c r="J42" s="3"/>
      <c r="K42" s="449"/>
      <c r="L42" s="449" t="s">
        <v>153</v>
      </c>
      <c r="M42" s="449" t="str">
        <f>IF(L42="","",
IF(AX42="PT",VLOOKUP(L42,Foundation_Calc!$V$79:$X$113,VLOOKUP(AX42,Foundation_Calc!$I$10:$J$13,2,FALSE),0),
IF(AX42="K",VLOOKUP(L42,Foundation_Calc!$V$117:$X$151,VLOOKUP(AX42,Foundation_Calc!$I$10:$J$13,2,FALSE),0),"")))</f>
        <v>C3R</v>
      </c>
      <c r="N42" s="449" t="s">
        <v>134</v>
      </c>
      <c r="O42" s="449"/>
      <c r="P42" s="449"/>
      <c r="Q42" s="4"/>
      <c r="R42" s="6"/>
      <c r="S42" s="6"/>
      <c r="T42" s="4">
        <v>35</v>
      </c>
      <c r="U42" s="4"/>
      <c r="V42" s="4"/>
      <c r="W42" s="9">
        <v>1.4</v>
      </c>
      <c r="X42" s="9"/>
      <c r="Y42" s="9"/>
      <c r="Z42" s="9"/>
      <c r="AA42" s="9"/>
      <c r="AB42" s="9"/>
      <c r="AC42" s="449" t="str">
        <f t="shared" si="0"/>
        <v>PH</v>
      </c>
      <c r="AD42" s="449"/>
      <c r="AE42" s="449"/>
      <c r="AF42" s="4"/>
      <c r="AG42" s="83"/>
      <c r="AH42" s="4"/>
      <c r="AI42" s="4"/>
      <c r="AJ42" s="449"/>
      <c r="AK42" s="449"/>
      <c r="AL42" s="449"/>
      <c r="AM42" s="449" t="s">
        <v>126</v>
      </c>
      <c r="AN42" s="10">
        <v>5.5</v>
      </c>
      <c r="AO42" s="9"/>
      <c r="AP42" s="9"/>
      <c r="AQ42" s="9"/>
      <c r="AR42" s="9"/>
      <c r="AS42" s="9"/>
      <c r="AT42" s="9">
        <f>+ab($T$42,$T$40,$T$44,$G$41,$G$43, 1*$F$42,1200)</f>
        <v>8.4365744899000195</v>
      </c>
      <c r="AU42" s="428"/>
      <c r="AV42" s="428"/>
      <c r="AW42" s="449" t="str">
        <f>IF(C42&gt;0,VLOOKUP(C42,Foundation_Calc!$A$2:$C$13,3,1),
IF(J42&gt;0,VLOOKUP(J42,Foundation_Calc!$A$2:$C$13,3,1),""))</f>
        <v>Multi Soil</v>
      </c>
      <c r="AX42" s="449" t="str">
        <f>IF(C42&gt;0,VLOOKUP(C42,Foundation_Calc!$E$35:$G$65,3,1),
IF(J42&gt;0,VLOOKUP(J42,Foundation_Calc!$E$35:$G$65,3,1),""))</f>
        <v>PT</v>
      </c>
      <c r="AY42" s="10">
        <f>IF(L42="","",
IF(AX42="PT",VLOOKUP(L42,Foundation_Calc!$K$79:$R$113,VLOOKUP(AW42,Foundation_Calc!$I$2:$J$8,2,FALSE),0),
IF(AX42="K",VLOOKUP(L42,Foundation_Calc!$K$117:$R$151,VLOOKUP(AW42,Foundation_Calc!$I$2:$J$8,2,FALSE),0),"")))</f>
        <v>3.5</v>
      </c>
      <c r="AZ42" s="10" t="str">
        <f>IF(K42="","",
IF(AX42="PT",VLOOKUP(K42,Foundation_Calc!$K$79:$R$113,VLOOKUP(AW42,Foundation_Calc!$I$2:$J$8,2,FALSE),0),
IF(AX42="K",VLOOKUP(K42,Foundation_Calc!$K$117:$R$151,VLOOKUP(AW42,Foundation_Calc!$I$2:$J$8,2,FALSE),0),"")))</f>
        <v/>
      </c>
      <c r="BA42" s="495" t="str">
        <f t="shared" si="12"/>
        <v>ü</v>
      </c>
      <c r="BB42" s="495" t="str">
        <f t="shared" si="13"/>
        <v/>
      </c>
      <c r="BC42" s="495" t="str">
        <f t="shared" si="14"/>
        <v/>
      </c>
      <c r="BD42" s="513" t="str">
        <f>IF(AND(L42="",H42=""),"",
IF(H42="",Pole_Calc!A$9,
IF(H42="MP",Pole_Calc!A$10,
IF(H42="AnMP",Pole_Calc!A$11,
IF(H42="A",Pole_Calc!A$12,
IF(H42="S/A",Pole_Calc!A$13,
IF(H42="A/S",Pole_Calc!A$14,"Poner a mano")))))))</f>
        <v>App.7-V11I-P9.5.1.1</v>
      </c>
      <c r="BE42" s="429" t="s">
        <v>118</v>
      </c>
      <c r="BF42" s="289"/>
      <c r="BG42" s="289"/>
      <c r="BH42" s="290"/>
      <c r="BI42" s="289"/>
    </row>
    <row r="43" spans="1:61" ht="16.149999999999999" customHeight="1">
      <c r="A43" s="514"/>
      <c r="B43" s="450"/>
      <c r="C43" s="3"/>
      <c r="D43" s="83"/>
      <c r="E43" s="4"/>
      <c r="F43" s="4"/>
      <c r="G43" s="6">
        <v>62</v>
      </c>
      <c r="H43" s="449"/>
      <c r="I43" s="4"/>
      <c r="J43" s="3"/>
      <c r="K43" s="449"/>
      <c r="L43" s="449"/>
      <c r="M43" s="449" t="str">
        <f>IF(L43="","",
IF(AX43="PT",VLOOKUP(L43,Foundation_Calc!$V$79:$X$113,VLOOKUP(AX43,Foundation_Calc!$I$10:$J$13,2,FALSE),0),
IF(AX43="K",VLOOKUP(L43,Foundation_Calc!$V$117:$X$151,VLOOKUP(AX43,Foundation_Calc!$I$10:$J$13,2,FALSE),0),"")))</f>
        <v/>
      </c>
      <c r="N43" s="449"/>
      <c r="O43" s="449"/>
      <c r="P43" s="449"/>
      <c r="Q43" s="4"/>
      <c r="R43" s="6"/>
      <c r="S43" s="6"/>
      <c r="T43" s="4"/>
      <c r="U43" s="4"/>
      <c r="V43" s="4"/>
      <c r="W43" s="9"/>
      <c r="X43" s="9"/>
      <c r="Y43" s="9"/>
      <c r="Z43" s="9"/>
      <c r="AA43" s="9"/>
      <c r="AB43" s="9"/>
      <c r="AC43" s="449" t="str">
        <f t="shared" si="0"/>
        <v/>
      </c>
      <c r="AD43" s="449"/>
      <c r="AE43" s="449"/>
      <c r="AF43" s="4"/>
      <c r="AG43" s="83"/>
      <c r="AH43" s="4"/>
      <c r="AI43" s="4"/>
      <c r="AJ43" s="449"/>
      <c r="AK43" s="449"/>
      <c r="AL43" s="449"/>
      <c r="AM43" s="449"/>
      <c r="AN43" s="10"/>
      <c r="AO43" s="9"/>
      <c r="AP43" s="9"/>
      <c r="AQ43" s="9">
        <f>+FL_2($T$44,$T$42,$G$43,1200,9.28, 1*$F$44)</f>
        <v>-0.45400350967741931</v>
      </c>
      <c r="AR43" s="9"/>
      <c r="AS43" s="9"/>
      <c r="AT43" s="9"/>
      <c r="AU43" s="428"/>
      <c r="AV43" s="428"/>
      <c r="AW43" s="449" t="str">
        <f>IF(C43&gt;0,VLOOKUP(C43,Foundation_Calc!$A$2:$C$13,3,1),
IF(J43&gt;0,VLOOKUP(J43,Foundation_Calc!$A$2:$C$13,3,1),""))</f>
        <v/>
      </c>
      <c r="AX43" s="449" t="str">
        <f>IF(C43&gt;0,VLOOKUP(C43,Foundation_Calc!$E$35:$G$65,3,1),
IF(J43&gt;0,VLOOKUP(J43,Foundation_Calc!$E$35:$G$65,3,1),""))</f>
        <v/>
      </c>
      <c r="AY43" s="10" t="str">
        <f>IF(L43="","",
IF(AX43="PT",VLOOKUP(L43,Foundation_Calc!$K$79:$R$113,VLOOKUP(AW43,Foundation_Calc!$I$2:$J$8,2,FALSE),0),
IF(AX43="K",VLOOKUP(L43,Foundation_Calc!$K$117:$R$151,VLOOKUP(AW43,Foundation_Calc!$I$2:$J$8,2,FALSE),0),"")))</f>
        <v/>
      </c>
      <c r="AZ43" s="10" t="str">
        <f>IF(K43="","",
IF(AX43="PT",VLOOKUP(K43,Foundation_Calc!$K$79:$R$113,VLOOKUP(AW43,Foundation_Calc!$I$2:$J$8,2,FALSE),0),
IF(AX43="K",VLOOKUP(K43,Foundation_Calc!$K$117:$R$151,VLOOKUP(AW43,Foundation_Calc!$I$2:$J$8,2,FALSE),0),"")))</f>
        <v/>
      </c>
      <c r="BA43" s="495" t="str">
        <f t="shared" si="12"/>
        <v/>
      </c>
      <c r="BB43" s="495" t="str">
        <f t="shared" si="13"/>
        <v/>
      </c>
      <c r="BC43" s="495" t="str">
        <f t="shared" si="14"/>
        <v/>
      </c>
      <c r="BD43" s="513" t="str">
        <f>IF(AND(L43="",H43=""),"",
IF(H43="",Pole_Calc!A$9,
IF(H43="MP",Pole_Calc!A$10,
IF(H43="AnMP",Pole_Calc!A$11,
IF(H43="A",Pole_Calc!A$12,
IF(H43="S/A",Pole_Calc!A$13,
IF(H43="A/S",Pole_Calc!A$14,"Poner a mano")))))))</f>
        <v/>
      </c>
      <c r="BE43" s="429" t="s">
        <v>118</v>
      </c>
      <c r="BF43" s="290"/>
      <c r="BG43" s="290"/>
      <c r="BH43" s="290"/>
      <c r="BI43" s="290"/>
    </row>
    <row r="44" spans="1:61" ht="16.149999999999999" customHeight="1">
      <c r="A44" s="514"/>
      <c r="B44" s="450" t="s">
        <v>957</v>
      </c>
      <c r="C44" s="3">
        <f>+$C$42+$G$43</f>
        <v>31228.65</v>
      </c>
      <c r="D44" s="83"/>
      <c r="E44" s="4"/>
      <c r="F44" s="4">
        <v>0</v>
      </c>
      <c r="G44" s="6"/>
      <c r="H44" s="449"/>
      <c r="I44" s="4"/>
      <c r="J44" s="3"/>
      <c r="K44" s="449"/>
      <c r="L44" s="449" t="s">
        <v>153</v>
      </c>
      <c r="M44" s="449" t="str">
        <f>IF(L44="","",
IF(AX44="PT",VLOOKUP(L44,Foundation_Calc!$V$79:$X$113,VLOOKUP(AX44,Foundation_Calc!$I$10:$J$13,2,FALSE),0),
IF(AX44="K",VLOOKUP(L44,Foundation_Calc!$V$117:$X$151,VLOOKUP(AX44,Foundation_Calc!$I$10:$J$13,2,FALSE),0),"")))</f>
        <v>C3R</v>
      </c>
      <c r="N44" s="449" t="s">
        <v>124</v>
      </c>
      <c r="O44" s="449"/>
      <c r="P44" s="449"/>
      <c r="Q44" s="4"/>
      <c r="R44" s="6"/>
      <c r="S44" s="6"/>
      <c r="T44" s="4">
        <v>-35</v>
      </c>
      <c r="U44" s="4"/>
      <c r="V44" s="4"/>
      <c r="W44" s="9">
        <v>1.4</v>
      </c>
      <c r="X44" s="9"/>
      <c r="Y44" s="9"/>
      <c r="Z44" s="9"/>
      <c r="AA44" s="9"/>
      <c r="AB44" s="9"/>
      <c r="AC44" s="449" t="str">
        <f t="shared" si="0"/>
        <v>PH</v>
      </c>
      <c r="AD44" s="449"/>
      <c r="AE44" s="449"/>
      <c r="AF44" s="4"/>
      <c r="AG44" s="83"/>
      <c r="AH44" s="4"/>
      <c r="AI44" s="4"/>
      <c r="AJ44" s="449"/>
      <c r="AK44" s="449"/>
      <c r="AL44" s="449"/>
      <c r="AM44" s="449" t="s">
        <v>126</v>
      </c>
      <c r="AN44" s="10">
        <v>5.5</v>
      </c>
      <c r="AO44" s="9"/>
      <c r="AP44" s="9"/>
      <c r="AQ44" s="9"/>
      <c r="AR44" s="9"/>
      <c r="AS44" s="9"/>
      <c r="AT44" s="9">
        <f>+ab($T$44,$T$42,$T$46,$G$43,$G$45, 1*$F$44,1200)</f>
        <v>-8.4366201521118445</v>
      </c>
      <c r="AU44" s="428"/>
      <c r="AV44" s="428"/>
      <c r="AW44" s="449" t="str">
        <f>IF(C44&gt;0,VLOOKUP(C44,Foundation_Calc!$A$2:$C$13,3,1),
IF(J44&gt;0,VLOOKUP(J44,Foundation_Calc!$A$2:$C$13,3,1),""))</f>
        <v>Multi Soil</v>
      </c>
      <c r="AX44" s="449" t="str">
        <f>IF(C44&gt;0,VLOOKUP(C44,Foundation_Calc!$E$35:$G$65,3,1),
IF(J44&gt;0,VLOOKUP(J44,Foundation_Calc!$E$35:$G$65,3,1),""))</f>
        <v>PT</v>
      </c>
      <c r="AY44" s="10">
        <f>IF(L44="","",
IF(AX44="PT",VLOOKUP(L44,Foundation_Calc!$K$79:$R$113,VLOOKUP(AW44,Foundation_Calc!$I$2:$J$8,2,FALSE),0),
IF(AX44="K",VLOOKUP(L44,Foundation_Calc!$K$117:$R$151,VLOOKUP(AW44,Foundation_Calc!$I$2:$J$8,2,FALSE),0),"")))</f>
        <v>3.5</v>
      </c>
      <c r="AZ44" s="10" t="str">
        <f>IF(K44="","",
IF(AX44="PT",VLOOKUP(K44,Foundation_Calc!$K$79:$R$113,VLOOKUP(AW44,Foundation_Calc!$I$2:$J$8,2,FALSE),0),
IF(AX44="K",VLOOKUP(K44,Foundation_Calc!$K$117:$R$151,VLOOKUP(AW44,Foundation_Calc!$I$2:$J$8,2,FALSE),0),"")))</f>
        <v/>
      </c>
      <c r="BA44" s="495" t="str">
        <f t="shared" si="12"/>
        <v>ü</v>
      </c>
      <c r="BB44" s="495" t="str">
        <f t="shared" si="13"/>
        <v/>
      </c>
      <c r="BC44" s="495" t="str">
        <f t="shared" si="14"/>
        <v/>
      </c>
      <c r="BD44" s="513" t="str">
        <f>IF(AND(L44="",H44=""),"",
IF(H44="",Pole_Calc!A$9,
IF(H44="MP",Pole_Calc!A$10,
IF(H44="AnMP",Pole_Calc!A$11,
IF(H44="A",Pole_Calc!A$12,
IF(H44="S/A",Pole_Calc!A$13,
IF(H44="A/S",Pole_Calc!A$14,"Poner a mano")))))))</f>
        <v>App.7-V11I-P9.5.1.1</v>
      </c>
      <c r="BE44" s="429" t="s">
        <v>118</v>
      </c>
      <c r="BF44" s="289"/>
      <c r="BG44" s="289"/>
      <c r="BH44" s="290"/>
      <c r="BI44" s="289"/>
    </row>
    <row r="45" spans="1:61" ht="16.149999999999999" customHeight="1">
      <c r="A45" s="514"/>
      <c r="B45" s="450"/>
      <c r="C45" s="3"/>
      <c r="D45" s="83"/>
      <c r="E45" s="4"/>
      <c r="F45" s="4"/>
      <c r="G45" s="6">
        <v>62</v>
      </c>
      <c r="H45" s="449"/>
      <c r="I45" s="4"/>
      <c r="J45" s="3">
        <f>C46-7.5</f>
        <v>31283.15</v>
      </c>
      <c r="K45" s="449" t="s">
        <v>166</v>
      </c>
      <c r="L45" s="449"/>
      <c r="M45" s="449" t="str">
        <f>IF(L45="","",
IF(AX45="PT",VLOOKUP(L45,Foundation_Calc!$V$79:$X$113,VLOOKUP(AX45,Foundation_Calc!$I$10:$J$13,2,FALSE),0),
IF(AX45="K",VLOOKUP(L45,Foundation_Calc!$V$117:$X$151,VLOOKUP(AX45,Foundation_Calc!$I$10:$J$13,2,FALSE),0),"")))</f>
        <v/>
      </c>
      <c r="N45" s="449"/>
      <c r="O45" s="449"/>
      <c r="P45" s="449"/>
      <c r="Q45" s="4"/>
      <c r="R45" s="6"/>
      <c r="S45" s="6"/>
      <c r="T45" s="4"/>
      <c r="U45" s="4"/>
      <c r="V45" s="4"/>
      <c r="W45" s="9"/>
      <c r="X45" s="9"/>
      <c r="Y45" s="9"/>
      <c r="Z45" s="9"/>
      <c r="AA45" s="9"/>
      <c r="AB45" s="9"/>
      <c r="AC45" s="449" t="str">
        <f t="shared" si="0"/>
        <v/>
      </c>
      <c r="AD45" s="449"/>
      <c r="AE45" s="449"/>
      <c r="AF45" s="4"/>
      <c r="AG45" s="83"/>
      <c r="AH45" s="4"/>
      <c r="AI45" s="4"/>
      <c r="AJ45" s="449"/>
      <c r="AK45" s="449"/>
      <c r="AL45" s="449"/>
      <c r="AM45" s="449"/>
      <c r="AN45" s="10"/>
      <c r="AO45" s="9"/>
      <c r="AP45" s="9"/>
      <c r="AQ45" s="9">
        <f>+FL_1($T$46,$T$44,$G$45,1200,9.28, 1*$F$46)</f>
        <v>0.45400350967741931</v>
      </c>
      <c r="AR45" s="9"/>
      <c r="AS45" s="9"/>
      <c r="AT45" s="9"/>
      <c r="AU45" s="428"/>
      <c r="AV45" s="428"/>
      <c r="AW45" s="449" t="str">
        <f>IF(C45&gt;0,VLOOKUP(C45,Foundation_Calc!$A$2:$C$13,3,1),
IF(J45&gt;0,VLOOKUP(J45,Foundation_Calc!$A$2:$C$13,3,1),""))</f>
        <v>Multi Soil</v>
      </c>
      <c r="AX45" s="449" t="str">
        <f>IF(C45&gt;0,VLOOKUP(C45,Foundation_Calc!$E$35:$G$65,3,1),
IF(J45&gt;0,VLOOKUP(J45,Foundation_Calc!$E$35:$G$65,3,1),""))</f>
        <v>PT</v>
      </c>
      <c r="AY45" s="10" t="str">
        <f>IF(L45="","",
IF(AX45="PT",VLOOKUP(L45,Foundation_Calc!$K$79:$R$113,VLOOKUP(AW45,Foundation_Calc!$I$2:$J$8,2,FALSE),0),
IF(AX45="K",VLOOKUP(L45,Foundation_Calc!$K$117:$R$151,VLOOKUP(AW45,Foundation_Calc!$I$2:$J$8,2,FALSE),0),"")))</f>
        <v/>
      </c>
      <c r="AZ45" s="10">
        <f>IF(K45="","",
IF(AX45="PT",VLOOKUP(K45,Foundation_Calc!$K$79:$R$113,VLOOKUP(AW45,Foundation_Calc!$I$2:$J$8,2,FALSE),0),
IF(AX45="K",VLOOKUP(K45,Foundation_Calc!$K$117:$R$151,VLOOKUP(AW45,Foundation_Calc!$I$2:$J$8,2,FALSE),0),"")))</f>
        <v>2.8</v>
      </c>
      <c r="BA45" s="495" t="str">
        <f t="shared" si="12"/>
        <v/>
      </c>
      <c r="BB45" s="495" t="str">
        <f t="shared" si="13"/>
        <v>ü</v>
      </c>
      <c r="BC45" s="495" t="str">
        <f t="shared" si="14"/>
        <v/>
      </c>
      <c r="BD45" s="513" t="str">
        <f>IF(AND(L45="",H45=""),"",
IF(H45="",Pole_Calc!A$9,
IF(H45="MP",Pole_Calc!A$10,
IF(H45="AnMP",Pole_Calc!A$11,
IF(H45="A",Pole_Calc!A$12,
IF(H45="S/A",Pole_Calc!A$13,
IF(H45="A/S",Pole_Calc!A$14,"Poner a mano")))))))</f>
        <v/>
      </c>
      <c r="BE45" s="429" t="s">
        <v>118</v>
      </c>
      <c r="BF45" s="290"/>
      <c r="BG45" s="290"/>
      <c r="BH45" s="290"/>
      <c r="BI45" s="290"/>
    </row>
    <row r="46" spans="1:61" ht="16.149999999999999" customHeight="1">
      <c r="A46" s="514"/>
      <c r="B46" s="450" t="s">
        <v>958</v>
      </c>
      <c r="C46" s="3">
        <f>+$C$44+$G$45</f>
        <v>31290.65</v>
      </c>
      <c r="D46" s="83"/>
      <c r="E46" s="4"/>
      <c r="F46" s="4">
        <v>0</v>
      </c>
      <c r="G46" s="6"/>
      <c r="H46" s="449" t="s">
        <v>168</v>
      </c>
      <c r="I46" s="4"/>
      <c r="J46" s="3"/>
      <c r="K46" s="449"/>
      <c r="L46" s="449" t="s">
        <v>158</v>
      </c>
      <c r="M46" s="449" t="str">
        <f>IF(L46="","",
IF(AX46="PT",VLOOKUP(L46,Foundation_Calc!$V$79:$X$113,VLOOKUP(AX46,Foundation_Calc!$I$10:$J$13,2,FALSE),0),
IF(AX46="K",VLOOKUP(L46,Foundation_Calc!$V$117:$X$151,VLOOKUP(AX46,Foundation_Calc!$I$10:$J$13,2,FALSE),0),"")))</f>
        <v>C4R</v>
      </c>
      <c r="N46" s="449" t="s">
        <v>134</v>
      </c>
      <c r="O46" s="449"/>
      <c r="P46" s="449"/>
      <c r="Q46" s="4"/>
      <c r="R46" s="6"/>
      <c r="S46" s="6"/>
      <c r="T46" s="4">
        <v>35</v>
      </c>
      <c r="U46" s="4"/>
      <c r="V46" s="4"/>
      <c r="W46" s="9">
        <v>1.4</v>
      </c>
      <c r="X46" s="9"/>
      <c r="Y46" s="9"/>
      <c r="Z46" s="9"/>
      <c r="AA46" s="9"/>
      <c r="AB46" s="9"/>
      <c r="AC46" s="449" t="str">
        <f t="shared" si="0"/>
        <v>PH</v>
      </c>
      <c r="AD46" s="449"/>
      <c r="AE46" s="449"/>
      <c r="AF46" s="4"/>
      <c r="AG46" s="83"/>
      <c r="AH46" s="4"/>
      <c r="AI46" s="4"/>
      <c r="AJ46" s="449"/>
      <c r="AK46" s="449"/>
      <c r="AL46" s="449"/>
      <c r="AM46" s="449" t="s">
        <v>126</v>
      </c>
      <c r="AN46" s="10">
        <v>5.5</v>
      </c>
      <c r="AO46" s="9"/>
      <c r="AP46" s="9"/>
      <c r="AQ46" s="9"/>
      <c r="AR46" s="9"/>
      <c r="AS46" s="9"/>
      <c r="AT46" s="9">
        <f>+ab($T$46,$T$44,$T$48,$G$45,$G$47, 1*$F$46,1200)</f>
        <v>8.3002133012442592</v>
      </c>
      <c r="AU46" s="428"/>
      <c r="AV46" s="428"/>
      <c r="AW46" s="449" t="str">
        <f>IF(C46&gt;0,VLOOKUP(C46,Foundation_Calc!$A$2:$C$13,3,1),
IF(J46&gt;0,VLOOKUP(J46,Foundation_Calc!$A$2:$C$13,3,1),""))</f>
        <v>Multi Soil</v>
      </c>
      <c r="AX46" s="449" t="str">
        <f>IF(C46&gt;0,VLOOKUP(C46,Foundation_Calc!$E$35:$G$65,3,1),
IF(J46&gt;0,VLOOKUP(J46,Foundation_Calc!$E$35:$G$65,3,1),""))</f>
        <v>PT</v>
      </c>
      <c r="AY46" s="10">
        <f>IF(L46="","",
IF(AX46="PT",VLOOKUP(L46,Foundation_Calc!$K$79:$R$113,VLOOKUP(AW46,Foundation_Calc!$I$2:$J$8,2,FALSE),0),
IF(AX46="K",VLOOKUP(L46,Foundation_Calc!$K$117:$R$151,VLOOKUP(AW46,Foundation_Calc!$I$2:$J$8,2,FALSE),0),"")))</f>
        <v>3.5</v>
      </c>
      <c r="AZ46" s="10" t="str">
        <f>IF(K46="","",
IF(AX46="PT",VLOOKUP(K46,Foundation_Calc!$K$79:$R$113,VLOOKUP(AW46,Foundation_Calc!$I$2:$J$8,2,FALSE),0),
IF(AX46="K",VLOOKUP(K46,Foundation_Calc!$K$117:$R$151,VLOOKUP(AW46,Foundation_Calc!$I$2:$J$8,2,FALSE),0),"")))</f>
        <v/>
      </c>
      <c r="BA46" s="495" t="str">
        <f t="shared" si="12"/>
        <v>ü</v>
      </c>
      <c r="BB46" s="495" t="str">
        <f t="shared" si="13"/>
        <v/>
      </c>
      <c r="BC46" s="495" t="str">
        <f t="shared" si="14"/>
        <v/>
      </c>
      <c r="BD46" s="513" t="str">
        <f>IF(AND(L46="",H46=""),"",
IF(H46="",Pole_Calc!A$9,
IF(H46="MP",Pole_Calc!A$10,
IF(H46="AnMP",Pole_Calc!A$11,
IF(H46="A",Pole_Calc!A$12,
IF(H46="S/A",Pole_Calc!A$13,
IF(H46="A/S",Pole_Calc!A$14,"Poner a mano")))))))</f>
        <v>App.7-V11I-P9.5.1.3</v>
      </c>
      <c r="BE46" s="429" t="s">
        <v>118</v>
      </c>
      <c r="BF46" s="289"/>
      <c r="BG46" s="289"/>
      <c r="BH46" s="290"/>
      <c r="BI46" s="289"/>
    </row>
    <row r="47" spans="1:61" ht="16.149999999999999" customHeight="1">
      <c r="A47" s="514" t="s">
        <v>169</v>
      </c>
      <c r="B47" s="450"/>
      <c r="C47" s="3"/>
      <c r="D47" s="83"/>
      <c r="E47" s="4"/>
      <c r="F47" s="4"/>
      <c r="G47" s="6">
        <v>60</v>
      </c>
      <c r="H47" s="449"/>
      <c r="I47" s="4">
        <f>SUM(G33:G47)</f>
        <v>494</v>
      </c>
      <c r="J47" s="3"/>
      <c r="K47" s="449"/>
      <c r="L47" s="449"/>
      <c r="M47" s="449" t="str">
        <f>IF(L47="","",
IF(AX47="PT",VLOOKUP(L47,Foundation_Calc!$V$79:$X$113,VLOOKUP(AX47,Foundation_Calc!$I$10:$J$13,2,FALSE),0),
IF(AX47="K",VLOOKUP(L47,Foundation_Calc!$V$117:$X$151,VLOOKUP(AX47,Foundation_Calc!$I$10:$J$13,2,FALSE),0),"")))</f>
        <v/>
      </c>
      <c r="N47" s="449"/>
      <c r="O47" s="449"/>
      <c r="P47" s="449"/>
      <c r="Q47" s="4"/>
      <c r="R47" s="6"/>
      <c r="S47" s="6"/>
      <c r="T47" s="4"/>
      <c r="U47" s="4"/>
      <c r="V47" s="4"/>
      <c r="W47" s="9"/>
      <c r="X47" s="9"/>
      <c r="Y47" s="9"/>
      <c r="Z47" s="9"/>
      <c r="AA47" s="9"/>
      <c r="AB47" s="9"/>
      <c r="AC47" s="449" t="str">
        <f t="shared" si="0"/>
        <v/>
      </c>
      <c r="AD47" s="449"/>
      <c r="AE47" s="449"/>
      <c r="AF47" s="4"/>
      <c r="AG47" s="83"/>
      <c r="AH47" s="4"/>
      <c r="AI47" s="4"/>
      <c r="AJ47" s="449"/>
      <c r="AK47" s="449"/>
      <c r="AL47" s="449"/>
      <c r="AM47" s="449"/>
      <c r="AN47" s="10"/>
      <c r="AO47" s="9"/>
      <c r="AP47" s="9"/>
      <c r="AQ47" s="9">
        <f>+FL_2($T$48,$T$46,$G$47,1200,9.28, 1*$F$48)</f>
        <v>-0.43600286799999999</v>
      </c>
      <c r="AR47" s="9"/>
      <c r="AS47" s="9"/>
      <c r="AT47" s="9"/>
      <c r="AU47" s="428"/>
      <c r="AV47" s="428"/>
      <c r="AW47" s="449" t="str">
        <f>IF(C47&gt;0,VLOOKUP(C47,Foundation_Calc!$A$2:$C$13,3,1),
IF(J47&gt;0,VLOOKUP(J47,Foundation_Calc!$A$2:$C$13,3,1),""))</f>
        <v/>
      </c>
      <c r="AX47" s="449" t="str">
        <f>IF(C47&gt;0,VLOOKUP(C47,Foundation_Calc!$E$35:$G$65,3,1),
IF(J47&gt;0,VLOOKUP(J47,Foundation_Calc!$E$35:$G$65,3,1),""))</f>
        <v/>
      </c>
      <c r="AY47" s="10" t="str">
        <f>IF(L47="","",
IF(AX47="PT",VLOOKUP(L47,Foundation_Calc!$K$79:$R$113,VLOOKUP(AW47,Foundation_Calc!$I$2:$J$8,2,FALSE),0),
IF(AX47="K",VLOOKUP(L47,Foundation_Calc!$K$117:$R$151,VLOOKUP(AW47,Foundation_Calc!$I$2:$J$8,2,FALSE),0),"")))</f>
        <v/>
      </c>
      <c r="AZ47" s="10" t="str">
        <f>IF(K47="","",
IF(AX47="PT",VLOOKUP(K47,Foundation_Calc!$K$79:$R$113,VLOOKUP(AW47,Foundation_Calc!$I$2:$J$8,2,FALSE),0),
IF(AX47="K",VLOOKUP(K47,Foundation_Calc!$K$117:$R$151,VLOOKUP(AW47,Foundation_Calc!$I$2:$J$8,2,FALSE),0),"")))</f>
        <v/>
      </c>
      <c r="BA47" s="495" t="str">
        <f t="shared" si="12"/>
        <v/>
      </c>
      <c r="BB47" s="495" t="str">
        <f t="shared" si="13"/>
        <v/>
      </c>
      <c r="BC47" s="495" t="str">
        <f t="shared" si="14"/>
        <v/>
      </c>
      <c r="BD47" s="513" t="str">
        <f>IF(AND(L47="",H47=""),"",
IF(H47="",Pole_Calc!A$9,
IF(H47="MP",Pole_Calc!A$10,
IF(H47="AnMP",Pole_Calc!A$11,
IF(H47="A",Pole_Calc!A$12,
IF(H47="S/A",Pole_Calc!A$13,
IF(H47="A/S",Pole_Calc!A$14,"Poner a mano")))))))</f>
        <v/>
      </c>
      <c r="BE47" s="429" t="s">
        <v>118</v>
      </c>
      <c r="BF47" s="290"/>
      <c r="BG47" s="290"/>
      <c r="BH47" s="290"/>
      <c r="BI47" s="290"/>
    </row>
    <row r="48" spans="1:61" ht="16.149999999999999" customHeight="1">
      <c r="A48" s="514"/>
      <c r="B48" s="450" t="s">
        <v>959</v>
      </c>
      <c r="C48" s="3">
        <f>+$C$46+$G$47</f>
        <v>31350.65</v>
      </c>
      <c r="D48" s="83"/>
      <c r="E48" s="4"/>
      <c r="F48" s="4">
        <v>0</v>
      </c>
      <c r="G48" s="6"/>
      <c r="H48" s="449" t="s">
        <v>171</v>
      </c>
      <c r="I48" s="4"/>
      <c r="J48" s="3"/>
      <c r="K48" s="449"/>
      <c r="L48" s="449" t="s">
        <v>153</v>
      </c>
      <c r="M48" s="449" t="str">
        <f>IF(L48="","",
IF(AX48="PT",VLOOKUP(L48,Foundation_Calc!$V$79:$X$113,VLOOKUP(AX48,Foundation_Calc!$I$10:$J$13,2,FALSE),0),
IF(AX48="K",VLOOKUP(L48,Foundation_Calc!$V$117:$X$151,VLOOKUP(AX48,Foundation_Calc!$I$10:$J$13,2,FALSE),0),"")))</f>
        <v>C3R</v>
      </c>
      <c r="N48" s="449" t="s">
        <v>124</v>
      </c>
      <c r="O48" s="449"/>
      <c r="P48" s="449"/>
      <c r="Q48" s="4"/>
      <c r="R48" s="6"/>
      <c r="S48" s="6"/>
      <c r="T48" s="4">
        <v>-35</v>
      </c>
      <c r="U48" s="4"/>
      <c r="V48" s="4"/>
      <c r="W48" s="9">
        <v>1.4</v>
      </c>
      <c r="X48" s="9"/>
      <c r="Y48" s="9"/>
      <c r="Z48" s="9"/>
      <c r="AA48" s="9"/>
      <c r="AB48" s="9"/>
      <c r="AC48" s="449" t="str">
        <f t="shared" si="0"/>
        <v>PH</v>
      </c>
      <c r="AD48" s="449"/>
      <c r="AE48" s="449"/>
      <c r="AF48" s="4"/>
      <c r="AG48" s="83"/>
      <c r="AH48" s="4"/>
      <c r="AI48" s="4"/>
      <c r="AJ48" s="449"/>
      <c r="AK48" s="449"/>
      <c r="AL48" s="449"/>
      <c r="AM48" s="449" t="s">
        <v>126</v>
      </c>
      <c r="AN48" s="10">
        <v>5.5</v>
      </c>
      <c r="AO48" s="9"/>
      <c r="AP48" s="9"/>
      <c r="AQ48" s="9"/>
      <c r="AR48" s="9"/>
      <c r="AS48" s="9"/>
      <c r="AT48" s="9">
        <f>+ab($T$48,$T$46,$T$50,$G$47,$G$49, 1*$F$48,1200)</f>
        <v>-8.4384187075508006</v>
      </c>
      <c r="AU48" s="428"/>
      <c r="AV48" s="428"/>
      <c r="AW48" s="449" t="str">
        <f>IF(C48&gt;0,VLOOKUP(C48,Foundation_Calc!$A$2:$C$13,3,1),
IF(J48&gt;0,VLOOKUP(J48,Foundation_Calc!$A$2:$C$13,3,1),""))</f>
        <v>Multi Soil</v>
      </c>
      <c r="AX48" s="449" t="str">
        <f>IF(C48&gt;0,VLOOKUP(C48,Foundation_Calc!$E$35:$G$65,3,1),
IF(J48&gt;0,VLOOKUP(J48,Foundation_Calc!$E$35:$G$65,3,1),""))</f>
        <v>PT</v>
      </c>
      <c r="AY48" s="10">
        <f>IF(L48="","",
IF(AX48="PT",VLOOKUP(L48,Foundation_Calc!$K$79:$R$113,VLOOKUP(AW48,Foundation_Calc!$I$2:$J$8,2,FALSE),0),
IF(AX48="K",VLOOKUP(L48,Foundation_Calc!$K$117:$R$151,VLOOKUP(AW48,Foundation_Calc!$I$2:$J$8,2,FALSE),0),"")))</f>
        <v>3.5</v>
      </c>
      <c r="AZ48" s="10" t="str">
        <f>IF(K48="","",
IF(AX48="PT",VLOOKUP(K48,Foundation_Calc!$K$79:$R$113,VLOOKUP(AW48,Foundation_Calc!$I$2:$J$8,2,FALSE),0),
IF(AX48="K",VLOOKUP(K48,Foundation_Calc!$K$117:$R$151,VLOOKUP(AW48,Foundation_Calc!$I$2:$J$8,2,FALSE),0),"")))</f>
        <v/>
      </c>
      <c r="BA48" s="495" t="str">
        <f t="shared" si="12"/>
        <v>ü</v>
      </c>
      <c r="BB48" s="495" t="str">
        <f t="shared" si="13"/>
        <v/>
      </c>
      <c r="BC48" s="495" t="str">
        <f t="shared" si="14"/>
        <v/>
      </c>
      <c r="BD48" s="513" t="str">
        <f>IF(AND(L48="",H48=""),"",
IF(H48="",Pole_Calc!A$9,
IF(H48="MP",Pole_Calc!A$10,
IF(H48="AnMP",Pole_Calc!A$11,
IF(H48="A",Pole_Calc!A$12,
IF(H48="S/A",Pole_Calc!A$13,
IF(H48="A/S",Pole_Calc!A$14,"Poner a mano")))))))</f>
        <v>App.7-V11I-P9.5.1.2</v>
      </c>
      <c r="BE48" s="429" t="s">
        <v>118</v>
      </c>
      <c r="BF48" s="289"/>
      <c r="BG48" s="289"/>
      <c r="BH48" s="290"/>
      <c r="BI48" s="289"/>
    </row>
    <row r="49" spans="1:61" ht="16.149999999999999" customHeight="1">
      <c r="A49" s="514"/>
      <c r="B49" s="450"/>
      <c r="C49" s="3"/>
      <c r="D49" s="83"/>
      <c r="E49" s="4"/>
      <c r="F49" s="4"/>
      <c r="G49" s="6">
        <v>55</v>
      </c>
      <c r="H49" s="449"/>
      <c r="I49" s="4">
        <f>SUM(G49:G67)</f>
        <v>500</v>
      </c>
      <c r="J49" s="3"/>
      <c r="K49" s="449"/>
      <c r="L49" s="449"/>
      <c r="M49" s="449" t="str">
        <f>IF(L49="","",
IF(AX49="PT",VLOOKUP(L49,Foundation_Calc!$V$79:$X$113,VLOOKUP(AX49,Foundation_Calc!$I$10:$J$13,2,FALSE),0),
IF(AX49="K",VLOOKUP(L49,Foundation_Calc!$V$117:$X$151,VLOOKUP(AX49,Foundation_Calc!$I$10:$J$13,2,FALSE),0),"")))</f>
        <v/>
      </c>
      <c r="N49" s="449"/>
      <c r="O49" s="449"/>
      <c r="P49" s="449"/>
      <c r="Q49" s="4"/>
      <c r="R49" s="6"/>
      <c r="S49" s="6"/>
      <c r="T49" s="4"/>
      <c r="U49" s="4"/>
      <c r="V49" s="4"/>
      <c r="W49" s="9"/>
      <c r="X49" s="9"/>
      <c r="Y49" s="9"/>
      <c r="Z49" s="9"/>
      <c r="AA49" s="9"/>
      <c r="AB49" s="9"/>
      <c r="AC49" s="449" t="str">
        <f t="shared" si="0"/>
        <v/>
      </c>
      <c r="AD49" s="449"/>
      <c r="AE49" s="449"/>
      <c r="AF49" s="4"/>
      <c r="AG49" s="83"/>
      <c r="AH49" s="4"/>
      <c r="AI49" s="4"/>
      <c r="AJ49" s="449"/>
      <c r="AK49" s="449"/>
      <c r="AL49" s="449"/>
      <c r="AM49" s="449"/>
      <c r="AN49" s="10"/>
      <c r="AO49" s="9"/>
      <c r="AP49" s="9"/>
      <c r="AQ49" s="9">
        <f>+FL_2($T$50,$T$48,$G$49,1200,9.28, 1*$F$50)</f>
        <v>-0.38268182573258269</v>
      </c>
      <c r="AR49" s="9"/>
      <c r="AS49" s="9"/>
      <c r="AT49" s="9"/>
      <c r="AU49" s="428"/>
      <c r="AV49" s="428"/>
      <c r="AW49" s="449" t="str">
        <f>IF(C49&gt;0,VLOOKUP(C49,Foundation_Calc!$A$2:$C$13,3,1),
IF(J49&gt;0,VLOOKUP(J49,Foundation_Calc!$A$2:$C$13,3,1),""))</f>
        <v/>
      </c>
      <c r="AX49" s="449" t="str">
        <f>IF(C49&gt;0,VLOOKUP(C49,Foundation_Calc!$E$35:$G$65,3,1),
IF(J49&gt;0,VLOOKUP(J49,Foundation_Calc!$E$35:$G$65,3,1),""))</f>
        <v/>
      </c>
      <c r="AY49" s="10" t="str">
        <f>IF(L49="","",
IF(AX49="PT",VLOOKUP(L49,Foundation_Calc!$K$79:$R$113,VLOOKUP(AW49,Foundation_Calc!$I$2:$J$8,2,FALSE),0),
IF(AX49="K",VLOOKUP(L49,Foundation_Calc!$K$117:$R$151,VLOOKUP(AW49,Foundation_Calc!$I$2:$J$8,2,FALSE),0),"")))</f>
        <v/>
      </c>
      <c r="AZ49" s="10" t="str">
        <f>IF(K49="","",
IF(AX49="PT",VLOOKUP(K49,Foundation_Calc!$K$79:$R$113,VLOOKUP(AW49,Foundation_Calc!$I$2:$J$8,2,FALSE),0),
IF(AX49="K",VLOOKUP(K49,Foundation_Calc!$K$117:$R$151,VLOOKUP(AW49,Foundation_Calc!$I$2:$J$8,2,FALSE),0),"")))</f>
        <v/>
      </c>
      <c r="BA49" s="495" t="str">
        <f t="shared" si="12"/>
        <v/>
      </c>
      <c r="BB49" s="495" t="str">
        <f t="shared" si="13"/>
        <v/>
      </c>
      <c r="BC49" s="495" t="str">
        <f t="shared" si="14"/>
        <v/>
      </c>
      <c r="BD49" s="513" t="str">
        <f>IF(AND(L49="",H49=""),"",
IF(H49="",Pole_Calc!A$9,
IF(H49="MP",Pole_Calc!A$10,
IF(H49="AnMP",Pole_Calc!A$11,
IF(H49="A",Pole_Calc!A$12,
IF(H49="S/A",Pole_Calc!A$13,
IF(H49="A/S",Pole_Calc!A$14,"Poner a mano")))))))</f>
        <v/>
      </c>
      <c r="BE49" s="429" t="s">
        <v>118</v>
      </c>
      <c r="BF49" s="290"/>
      <c r="BG49" s="290"/>
      <c r="BH49" s="290"/>
      <c r="BI49" s="290"/>
    </row>
    <row r="50" spans="1:61" ht="16.149999999999999" customHeight="1">
      <c r="A50" s="514"/>
      <c r="B50" s="450" t="s">
        <v>960</v>
      </c>
      <c r="C50" s="3">
        <f>+$C$48+$G$49</f>
        <v>31405.65</v>
      </c>
      <c r="D50" s="83"/>
      <c r="E50" s="4"/>
      <c r="F50" s="4">
        <v>-6979.3377120961659</v>
      </c>
      <c r="G50" s="6"/>
      <c r="H50" s="449" t="s">
        <v>168</v>
      </c>
      <c r="I50" s="4"/>
      <c r="J50" s="3"/>
      <c r="K50" s="449"/>
      <c r="L50" s="449" t="s">
        <v>158</v>
      </c>
      <c r="M50" s="449" t="str">
        <f>IF(L50="","",
IF(AX50="PT",VLOOKUP(L50,Foundation_Calc!$V$79:$X$113,VLOOKUP(AX50,Foundation_Calc!$I$10:$J$13,2,FALSE),0),
IF(AX50="K",VLOOKUP(L50,Foundation_Calc!$V$117:$X$151,VLOOKUP(AX50,Foundation_Calc!$I$10:$J$13,2,FALSE),0),"")))</f>
        <v>C4R</v>
      </c>
      <c r="N50" s="449" t="s">
        <v>134</v>
      </c>
      <c r="O50" s="449"/>
      <c r="P50" s="449"/>
      <c r="Q50" s="4"/>
      <c r="R50" s="6"/>
      <c r="S50" s="6"/>
      <c r="T50" s="4">
        <v>25</v>
      </c>
      <c r="U50" s="4"/>
      <c r="V50" s="4"/>
      <c r="W50" s="9">
        <v>1.4</v>
      </c>
      <c r="X50" s="9"/>
      <c r="Y50" s="9"/>
      <c r="Z50" s="9"/>
      <c r="AA50" s="9"/>
      <c r="AB50" s="9"/>
      <c r="AC50" s="449" t="str">
        <f t="shared" si="0"/>
        <v>PH</v>
      </c>
      <c r="AD50" s="449"/>
      <c r="AE50" s="449"/>
      <c r="AF50" s="4"/>
      <c r="AG50" s="83"/>
      <c r="AH50" s="4"/>
      <c r="AI50" s="4"/>
      <c r="AJ50" s="449"/>
      <c r="AK50" s="449"/>
      <c r="AL50" s="449"/>
      <c r="AM50" s="449" t="s">
        <v>126</v>
      </c>
      <c r="AN50" s="10">
        <v>5.5</v>
      </c>
      <c r="AO50" s="9"/>
      <c r="AP50" s="9"/>
      <c r="AQ50" s="9"/>
      <c r="AR50" s="9"/>
      <c r="AS50" s="9"/>
      <c r="AT50" s="9">
        <f>+ab($T$50,$T$48,$T$52,$G$49,$G$51, 1*$F$50,1200)</f>
        <v>14.046058676645403</v>
      </c>
      <c r="AU50" s="428"/>
      <c r="AV50" s="428"/>
      <c r="AW50" s="449" t="str">
        <f>IF(C50&gt;0,VLOOKUP(C50,Foundation_Calc!$A$2:$C$13,3,1),
IF(J50&gt;0,VLOOKUP(J50,Foundation_Calc!$A$2:$C$13,3,1),""))</f>
        <v>Multi Soil</v>
      </c>
      <c r="AX50" s="449" t="str">
        <f>IF(C50&gt;0,VLOOKUP(C50,Foundation_Calc!$E$35:$G$65,3,1),
IF(J50&gt;0,VLOOKUP(J50,Foundation_Calc!$E$35:$G$65,3,1),""))</f>
        <v>PT</v>
      </c>
      <c r="AY50" s="10">
        <f>IF(L50="","",
IF(AX50="PT",VLOOKUP(L50,Foundation_Calc!$K$79:$R$113,VLOOKUP(AW50,Foundation_Calc!$I$2:$J$8,2,FALSE),0),
IF(AX50="K",VLOOKUP(L50,Foundation_Calc!$K$117:$R$151,VLOOKUP(AW50,Foundation_Calc!$I$2:$J$8,2,FALSE),0),"")))</f>
        <v>3.5</v>
      </c>
      <c r="AZ50" s="10" t="str">
        <f>IF(K50="","",
IF(AX50="PT",VLOOKUP(K50,Foundation_Calc!$K$79:$R$113,VLOOKUP(AW50,Foundation_Calc!$I$2:$J$8,2,FALSE),0),
IF(AX50="K",VLOOKUP(K50,Foundation_Calc!$K$117:$R$151,VLOOKUP(AW50,Foundation_Calc!$I$2:$J$8,2,FALSE),0),"")))</f>
        <v/>
      </c>
      <c r="BA50" s="495" t="str">
        <f t="shared" si="12"/>
        <v>ü</v>
      </c>
      <c r="BB50" s="495" t="str">
        <f t="shared" si="13"/>
        <v/>
      </c>
      <c r="BC50" s="495" t="str">
        <f t="shared" si="14"/>
        <v/>
      </c>
      <c r="BD50" s="513" t="str">
        <f>IF(AND(L50="",H50=""),"",
IF(H50="",Pole_Calc!A$9,
IF(H50="MP",Pole_Calc!A$10,
IF(H50="AnMP",Pole_Calc!A$11,
IF(H50="A",Pole_Calc!A$12,
IF(H50="S/A",Pole_Calc!A$13,
IF(H50="A/S",Pole_Calc!A$14,"Poner a mano")))))))</f>
        <v>App.7-V11I-P9.5.1.3</v>
      </c>
      <c r="BE50" s="429" t="s">
        <v>118</v>
      </c>
      <c r="BF50" s="289"/>
      <c r="BG50" s="289"/>
      <c r="BH50" s="290"/>
      <c r="BI50" s="289"/>
    </row>
    <row r="51" spans="1:61" ht="16.149999999999999" customHeight="1">
      <c r="A51" s="514"/>
      <c r="B51" s="450"/>
      <c r="C51" s="3"/>
      <c r="D51" s="83"/>
      <c r="E51" s="4"/>
      <c r="F51" s="4"/>
      <c r="G51" s="6">
        <v>50</v>
      </c>
      <c r="H51" s="449"/>
      <c r="I51" s="4"/>
      <c r="J51" s="3">
        <f>C50+7.5</f>
        <v>31413.15</v>
      </c>
      <c r="K51" s="449" t="s">
        <v>166</v>
      </c>
      <c r="L51" s="449"/>
      <c r="M51" s="449" t="str">
        <f>IF(L51="","",
IF(AX51="PT",VLOOKUP(L51,Foundation_Calc!$V$79:$X$113,VLOOKUP(AX51,Foundation_Calc!$I$10:$J$13,2,FALSE),0),
IF(AX51="K",VLOOKUP(L51,Foundation_Calc!$V$117:$X$151,VLOOKUP(AX51,Foundation_Calc!$I$10:$J$13,2,FALSE),0),"")))</f>
        <v/>
      </c>
      <c r="N51" s="449"/>
      <c r="O51" s="449"/>
      <c r="P51" s="449"/>
      <c r="Q51" s="4"/>
      <c r="R51" s="6"/>
      <c r="S51" s="6"/>
      <c r="T51" s="4"/>
      <c r="U51" s="4"/>
      <c r="V51" s="4"/>
      <c r="W51" s="9"/>
      <c r="X51" s="9"/>
      <c r="Y51" s="9"/>
      <c r="Z51" s="9"/>
      <c r="AA51" s="9"/>
      <c r="AB51" s="9"/>
      <c r="AC51" s="449" t="str">
        <f t="shared" si="0"/>
        <v/>
      </c>
      <c r="AD51" s="449"/>
      <c r="AE51" s="449"/>
      <c r="AF51" s="4"/>
      <c r="AG51" s="83"/>
      <c r="AH51" s="4"/>
      <c r="AI51" s="4"/>
      <c r="AJ51" s="449"/>
      <c r="AK51" s="449"/>
      <c r="AL51" s="449"/>
      <c r="AM51" s="449"/>
      <c r="AN51" s="10"/>
      <c r="AO51" s="9"/>
      <c r="AP51" s="9"/>
      <c r="AQ51" s="9">
        <f>+FL_1($T$52,$T$50,$G$51,1200,9.28, 1*$F$52)</f>
        <v>0.39264848232945432</v>
      </c>
      <c r="AR51" s="9"/>
      <c r="AS51" s="9"/>
      <c r="AT51" s="9"/>
      <c r="AU51" s="428"/>
      <c r="AV51" s="428"/>
      <c r="AW51" s="449" t="str">
        <f>IF(C51&gt;0,VLOOKUP(C51,Foundation_Calc!$A$2:$C$13,3,1),
IF(J51&gt;0,VLOOKUP(J51,Foundation_Calc!$A$2:$C$13,3,1),""))</f>
        <v>Multi Soil</v>
      </c>
      <c r="AX51" s="449" t="str">
        <f>IF(C51&gt;0,VLOOKUP(C51,Foundation_Calc!$E$35:$G$65,3,1),
IF(J51&gt;0,VLOOKUP(J51,Foundation_Calc!$E$35:$G$65,3,1),""))</f>
        <v>PT</v>
      </c>
      <c r="AY51" s="10" t="str">
        <f>IF(L51="","",
IF(AX51="PT",VLOOKUP(L51,Foundation_Calc!$K$79:$R$113,VLOOKUP(AW51,Foundation_Calc!$I$2:$J$8,2,FALSE),0),
IF(AX51="K",VLOOKUP(L51,Foundation_Calc!$K$117:$R$151,VLOOKUP(AW51,Foundation_Calc!$I$2:$J$8,2,FALSE),0),"")))</f>
        <v/>
      </c>
      <c r="AZ51" s="10">
        <f>IF(K51="","",
IF(AX51="PT",VLOOKUP(K51,Foundation_Calc!$K$79:$R$113,VLOOKUP(AW51,Foundation_Calc!$I$2:$J$8,2,FALSE),0),
IF(AX51="K",VLOOKUP(K51,Foundation_Calc!$K$117:$R$151,VLOOKUP(AW51,Foundation_Calc!$I$2:$J$8,2,FALSE),0),"")))</f>
        <v>2.8</v>
      </c>
      <c r="BA51" s="495" t="str">
        <f t="shared" si="12"/>
        <v/>
      </c>
      <c r="BB51" s="495" t="str">
        <f t="shared" si="13"/>
        <v>ü</v>
      </c>
      <c r="BC51" s="495" t="str">
        <f t="shared" si="14"/>
        <v/>
      </c>
      <c r="BD51" s="513" t="str">
        <f>IF(AND(L51="",H51=""),"",
IF(H51="",Pole_Calc!A$9,
IF(H51="MP",Pole_Calc!A$10,
IF(H51="AnMP",Pole_Calc!A$11,
IF(H51="A",Pole_Calc!A$12,
IF(H51="S/A",Pole_Calc!A$13,
IF(H51="A/S",Pole_Calc!A$14,"Poner a mano")))))))</f>
        <v/>
      </c>
      <c r="BE51" s="429" t="s">
        <v>118</v>
      </c>
      <c r="BF51" s="290"/>
      <c r="BG51" s="290"/>
      <c r="BH51" s="290"/>
      <c r="BI51" s="290"/>
    </row>
    <row r="52" spans="1:61" ht="16.149999999999999" customHeight="1">
      <c r="A52" s="514"/>
      <c r="B52" s="450" t="s">
        <v>961</v>
      </c>
      <c r="C52" s="3">
        <f>+$C$50+$G$51</f>
        <v>31455.65</v>
      </c>
      <c r="D52" s="83"/>
      <c r="E52" s="4"/>
      <c r="F52" s="4">
        <v>-2946.9031661659051</v>
      </c>
      <c r="G52" s="6"/>
      <c r="H52" s="449"/>
      <c r="I52" s="4"/>
      <c r="J52" s="3"/>
      <c r="K52" s="449"/>
      <c r="L52" s="449" t="s">
        <v>153</v>
      </c>
      <c r="M52" s="449" t="str">
        <f>IF(L52="","",
IF(AX52="PT",VLOOKUP(L52,Foundation_Calc!$V$79:$X$113,VLOOKUP(AX52,Foundation_Calc!$I$10:$J$13,2,FALSE),0),
IF(AX52="K",VLOOKUP(L52,Foundation_Calc!$V$117:$X$151,VLOOKUP(AX52,Foundation_Calc!$I$10:$J$13,2,FALSE),0),"")))</f>
        <v>C3R</v>
      </c>
      <c r="N52" s="449" t="s">
        <v>124</v>
      </c>
      <c r="O52" s="449"/>
      <c r="P52" s="449"/>
      <c r="Q52" s="4"/>
      <c r="R52" s="6"/>
      <c r="S52" s="6"/>
      <c r="T52" s="4">
        <v>-25</v>
      </c>
      <c r="U52" s="4"/>
      <c r="V52" s="4"/>
      <c r="W52" s="9">
        <v>1.4</v>
      </c>
      <c r="X52" s="9"/>
      <c r="Y52" s="9"/>
      <c r="Z52" s="9"/>
      <c r="AA52" s="9"/>
      <c r="AB52" s="9"/>
      <c r="AC52" s="449" t="str">
        <f t="shared" si="0"/>
        <v>PHQ</v>
      </c>
      <c r="AD52" s="449"/>
      <c r="AE52" s="449"/>
      <c r="AF52" s="4"/>
      <c r="AG52" s="83"/>
      <c r="AH52" s="4"/>
      <c r="AI52" s="4"/>
      <c r="AJ52" s="449"/>
      <c r="AK52" s="449"/>
      <c r="AL52" s="449"/>
      <c r="AM52" s="449" t="s">
        <v>126</v>
      </c>
      <c r="AN52" s="10">
        <v>5.5</v>
      </c>
      <c r="AO52" s="9"/>
      <c r="AP52" s="9"/>
      <c r="AQ52" s="9"/>
      <c r="AR52" s="9"/>
      <c r="AS52" s="9"/>
      <c r="AT52" s="9">
        <f>+ab($T$52,$T$50,$T$54,$G$51,$G$53, 1*$F$52,1200)</f>
        <v>-7.3493033963252126</v>
      </c>
      <c r="AU52" s="428"/>
      <c r="AV52" s="428"/>
      <c r="AW52" s="449" t="str">
        <f>IF(C52&gt;0,VLOOKUP(C52,Foundation_Calc!$A$2:$C$13,3,1),
IF(J52&gt;0,VLOOKUP(J52,Foundation_Calc!$A$2:$C$13,3,1),""))</f>
        <v>Multi Soil</v>
      </c>
      <c r="AX52" s="449" t="str">
        <f>IF(C52&gt;0,VLOOKUP(C52,Foundation_Calc!$E$35:$G$65,3,1),
IF(J52&gt;0,VLOOKUP(J52,Foundation_Calc!$E$35:$G$65,3,1),""))</f>
        <v>PT</v>
      </c>
      <c r="AY52" s="10">
        <f>IF(L52="","",
IF(AX52="PT",VLOOKUP(L52,Foundation_Calc!$K$79:$R$113,VLOOKUP(AW52,Foundation_Calc!$I$2:$J$8,2,FALSE),0),
IF(AX52="K",VLOOKUP(L52,Foundation_Calc!$K$117:$R$151,VLOOKUP(AW52,Foundation_Calc!$I$2:$J$8,2,FALSE),0),"")))</f>
        <v>3.5</v>
      </c>
      <c r="AZ52" s="10" t="str">
        <f>IF(K52="","",
IF(AX52="PT",VLOOKUP(K52,Foundation_Calc!$K$79:$R$113,VLOOKUP(AW52,Foundation_Calc!$I$2:$J$8,2,FALSE),0),
IF(AX52="K",VLOOKUP(K52,Foundation_Calc!$K$117:$R$151,VLOOKUP(AW52,Foundation_Calc!$I$2:$J$8,2,FALSE),0),"")))</f>
        <v/>
      </c>
      <c r="BA52" s="495" t="str">
        <f t="shared" si="12"/>
        <v>ü</v>
      </c>
      <c r="BB52" s="495" t="str">
        <f t="shared" si="13"/>
        <v/>
      </c>
      <c r="BC52" s="495" t="str">
        <f t="shared" si="14"/>
        <v/>
      </c>
      <c r="BD52" s="513" t="str">
        <f>IF(AND(L52="",H52=""),"",
IF(H52="",Pole_Calc!A$9,
IF(H52="MP",Pole_Calc!A$10,
IF(H52="AnMP",Pole_Calc!A$11,
IF(H52="A",Pole_Calc!A$12,
IF(H52="S/A",Pole_Calc!A$13,
IF(H52="A/S",Pole_Calc!A$14,"Poner a mano")))))))</f>
        <v>App.7-V11I-P9.5.1.1</v>
      </c>
      <c r="BE52" s="429" t="s">
        <v>118</v>
      </c>
      <c r="BF52" s="289"/>
      <c r="BG52" s="289"/>
      <c r="BH52" s="290"/>
      <c r="BI52" s="289"/>
    </row>
    <row r="53" spans="1:61" ht="16.149999999999999" customHeight="1">
      <c r="A53" s="514"/>
      <c r="B53" s="450"/>
      <c r="C53" s="3"/>
      <c r="D53" s="83"/>
      <c r="E53" s="4"/>
      <c r="F53" s="4"/>
      <c r="G53" s="6">
        <v>50</v>
      </c>
      <c r="H53" s="449"/>
      <c r="I53" s="4"/>
      <c r="J53" s="3"/>
      <c r="K53" s="449"/>
      <c r="L53" s="449"/>
      <c r="M53" s="449" t="str">
        <f>IF(L53="","",
IF(AX53="PT",VLOOKUP(L53,Foundation_Calc!$V$79:$X$113,VLOOKUP(AX53,Foundation_Calc!$I$10:$J$13,2,FALSE),0),
IF(AX53="K",VLOOKUP(L53,Foundation_Calc!$V$117:$X$151,VLOOKUP(AX53,Foundation_Calc!$I$10:$J$13,2,FALSE),0),"")))</f>
        <v/>
      </c>
      <c r="N53" s="449"/>
      <c r="O53" s="449"/>
      <c r="P53" s="449"/>
      <c r="Q53" s="4"/>
      <c r="R53" s="6"/>
      <c r="S53" s="6"/>
      <c r="T53" s="4"/>
      <c r="U53" s="4"/>
      <c r="V53" s="4"/>
      <c r="W53" s="9"/>
      <c r="X53" s="9"/>
      <c r="Y53" s="9"/>
      <c r="Z53" s="9"/>
      <c r="AA53" s="9"/>
      <c r="AB53" s="9"/>
      <c r="AC53" s="449" t="str">
        <f t="shared" si="0"/>
        <v/>
      </c>
      <c r="AD53" s="449"/>
      <c r="AE53" s="449"/>
      <c r="AF53" s="4"/>
      <c r="AG53" s="83"/>
      <c r="AH53" s="4"/>
      <c r="AI53" s="4"/>
      <c r="AJ53" s="449"/>
      <c r="AK53" s="449"/>
      <c r="AL53" s="449"/>
      <c r="AM53" s="449"/>
      <c r="AN53" s="10"/>
      <c r="AO53" s="9"/>
      <c r="AP53" s="9"/>
      <c r="AQ53" s="9">
        <f>+FL_2($T$54,$T$52,$G$53,1200,9.28, 1*$F$54)</f>
        <v>-0.35144897575350331</v>
      </c>
      <c r="AR53" s="9"/>
      <c r="AS53" s="9"/>
      <c r="AT53" s="9"/>
      <c r="AU53" s="428"/>
      <c r="AV53" s="428"/>
      <c r="AW53" s="449" t="str">
        <f>IF(C53&gt;0,VLOOKUP(C53,Foundation_Calc!$A$2:$C$13,3,1),
IF(J53&gt;0,VLOOKUP(J53,Foundation_Calc!$A$2:$C$13,3,1),""))</f>
        <v/>
      </c>
      <c r="AX53" s="449" t="str">
        <f>IF(C53&gt;0,VLOOKUP(C53,Foundation_Calc!$E$35:$G$65,3,1),
IF(J53&gt;0,VLOOKUP(J53,Foundation_Calc!$E$35:$G$65,3,1),""))</f>
        <v/>
      </c>
      <c r="AY53" s="10" t="str">
        <f>IF(L53="","",
IF(AX53="PT",VLOOKUP(L53,Foundation_Calc!$K$79:$R$113,VLOOKUP(AW53,Foundation_Calc!$I$2:$J$8,2,FALSE),0),
IF(AX53="K",VLOOKUP(L53,Foundation_Calc!$K$117:$R$151,VLOOKUP(AW53,Foundation_Calc!$I$2:$J$8,2,FALSE),0),"")))</f>
        <v/>
      </c>
      <c r="AZ53" s="10" t="str">
        <f>IF(K53="","",
IF(AX53="PT",VLOOKUP(K53,Foundation_Calc!$K$79:$R$113,VLOOKUP(AW53,Foundation_Calc!$I$2:$J$8,2,FALSE),0),
IF(AX53="K",VLOOKUP(K53,Foundation_Calc!$K$117:$R$151,VLOOKUP(AW53,Foundation_Calc!$I$2:$J$8,2,FALSE),0),"")))</f>
        <v/>
      </c>
      <c r="BA53" s="495" t="str">
        <f t="shared" si="12"/>
        <v/>
      </c>
      <c r="BB53" s="495" t="str">
        <f t="shared" si="13"/>
        <v/>
      </c>
      <c r="BC53" s="495" t="str">
        <f t="shared" si="14"/>
        <v/>
      </c>
      <c r="BD53" s="513" t="str">
        <f>IF(AND(L53="",H53=""),"",
IF(H53="",Pole_Calc!A$9,
IF(H53="MP",Pole_Calc!A$10,
IF(H53="AnMP",Pole_Calc!A$11,
IF(H53="A",Pole_Calc!A$12,
IF(H53="S/A",Pole_Calc!A$13,
IF(H53="A/S",Pole_Calc!A$14,"Poner a mano")))))))</f>
        <v/>
      </c>
      <c r="BE53" s="429" t="s">
        <v>118</v>
      </c>
      <c r="BF53" s="290"/>
      <c r="BG53" s="290"/>
      <c r="BH53" s="290"/>
      <c r="BI53" s="290"/>
    </row>
    <row r="54" spans="1:61" ht="16.149999999999999" customHeight="1">
      <c r="A54" s="514"/>
      <c r="B54" s="450" t="s">
        <v>962</v>
      </c>
      <c r="C54" s="3">
        <f>+$C$52+$G$53</f>
        <v>31505.65</v>
      </c>
      <c r="D54" s="83"/>
      <c r="E54" s="4"/>
      <c r="F54" s="4">
        <v>-1867.7676871246401</v>
      </c>
      <c r="G54" s="6"/>
      <c r="H54" s="449"/>
      <c r="I54" s="4"/>
      <c r="J54" s="3"/>
      <c r="K54" s="449"/>
      <c r="L54" s="449" t="s">
        <v>158</v>
      </c>
      <c r="M54" s="449" t="str">
        <f>IF(L54="","",
IF(AX54="PT",VLOOKUP(L54,Foundation_Calc!$V$79:$X$113,VLOOKUP(AX54,Foundation_Calc!$I$10:$J$13,2,FALSE),0),
IF(AX54="K",VLOOKUP(L54,Foundation_Calc!$V$117:$X$151,VLOOKUP(AX54,Foundation_Calc!$I$10:$J$13,2,FALSE),0),"")))</f>
        <v>C4R</v>
      </c>
      <c r="N54" s="449" t="s">
        <v>124</v>
      </c>
      <c r="O54" s="449"/>
      <c r="P54" s="449"/>
      <c r="Q54" s="4"/>
      <c r="R54" s="6"/>
      <c r="S54" s="6"/>
      <c r="T54" s="4">
        <v>-30</v>
      </c>
      <c r="U54" s="4"/>
      <c r="V54" s="4"/>
      <c r="W54" s="9">
        <v>1.4</v>
      </c>
      <c r="X54" s="9"/>
      <c r="Y54" s="9"/>
      <c r="Z54" s="9"/>
      <c r="AA54" s="9"/>
      <c r="AB54" s="9"/>
      <c r="AC54" s="449" t="str">
        <f t="shared" si="0"/>
        <v>PHQ</v>
      </c>
      <c r="AD54" s="449"/>
      <c r="AE54" s="449"/>
      <c r="AF54" s="4"/>
      <c r="AG54" s="83"/>
      <c r="AH54" s="4"/>
      <c r="AI54" s="4"/>
      <c r="AJ54" s="449"/>
      <c r="AK54" s="449"/>
      <c r="AL54" s="449"/>
      <c r="AM54" s="449" t="s">
        <v>126</v>
      </c>
      <c r="AN54" s="10">
        <v>5.5</v>
      </c>
      <c r="AO54" s="9"/>
      <c r="AP54" s="9"/>
      <c r="AQ54" s="9"/>
      <c r="AR54" s="9"/>
      <c r="AS54" s="9"/>
      <c r="AT54" s="9">
        <f>+ab($T$54,$T$52,$T$56,$G$53,$G$55, 1*$F$54,1200)</f>
        <v>-6.8768757502020996</v>
      </c>
      <c r="AU54" s="428"/>
      <c r="AV54" s="428"/>
      <c r="AW54" s="449" t="str">
        <f>IF(C54&gt;0,VLOOKUP(C54,Foundation_Calc!$A$2:$C$13,3,1),
IF(J54&gt;0,VLOOKUP(J54,Foundation_Calc!$A$2:$C$13,3,1),""))</f>
        <v>Multi Soil</v>
      </c>
      <c r="AX54" s="449" t="str">
        <f>IF(C54&gt;0,VLOOKUP(C54,Foundation_Calc!$E$35:$G$65,3,1),
IF(J54&gt;0,VLOOKUP(J54,Foundation_Calc!$E$35:$G$65,3,1),""))</f>
        <v>PT</v>
      </c>
      <c r="AY54" s="10">
        <f>IF(L54="","",
IF(AX54="PT",VLOOKUP(L54,Foundation_Calc!$K$79:$R$113,VLOOKUP(AW54,Foundation_Calc!$I$2:$J$8,2,FALSE),0),
IF(AX54="K",VLOOKUP(L54,Foundation_Calc!$K$117:$R$151,VLOOKUP(AW54,Foundation_Calc!$I$2:$J$8,2,FALSE),0),"")))</f>
        <v>3.5</v>
      </c>
      <c r="AZ54" s="10" t="str">
        <f>IF(K54="","",
IF(AX54="PT",VLOOKUP(K54,Foundation_Calc!$K$79:$R$113,VLOOKUP(AW54,Foundation_Calc!$I$2:$J$8,2,FALSE),0),
IF(AX54="K",VLOOKUP(K54,Foundation_Calc!$K$117:$R$151,VLOOKUP(AW54,Foundation_Calc!$I$2:$J$8,2,FALSE),0),"")))</f>
        <v/>
      </c>
      <c r="BA54" s="495" t="str">
        <f t="shared" si="12"/>
        <v>ü</v>
      </c>
      <c r="BB54" s="495" t="str">
        <f t="shared" si="13"/>
        <v/>
      </c>
      <c r="BC54" s="495" t="str">
        <f t="shared" si="14"/>
        <v/>
      </c>
      <c r="BD54" s="513" t="str">
        <f>IF(AND(L54="",H54=""),"",
IF(H54="",Pole_Calc!A$9,
IF(H54="MP",Pole_Calc!A$10,
IF(H54="AnMP",Pole_Calc!A$11,
IF(H54="A",Pole_Calc!A$12,
IF(H54="S/A",Pole_Calc!A$13,
IF(H54="A/S",Pole_Calc!A$14,"Poner a mano")))))))</f>
        <v>App.7-V11I-P9.5.1.1</v>
      </c>
      <c r="BE54" s="429" t="s">
        <v>118</v>
      </c>
      <c r="BF54" s="289"/>
      <c r="BG54" s="289"/>
      <c r="BH54" s="290"/>
      <c r="BI54" s="289"/>
    </row>
    <row r="55" spans="1:61" ht="16.149999999999999" customHeight="1">
      <c r="A55" s="515"/>
      <c r="B55" s="450"/>
      <c r="C55" s="3"/>
      <c r="D55" s="83"/>
      <c r="E55" s="4"/>
      <c r="F55" s="4"/>
      <c r="G55" s="6">
        <v>50</v>
      </c>
      <c r="H55" s="449"/>
      <c r="I55" s="4"/>
      <c r="J55" s="3"/>
      <c r="K55" s="449"/>
      <c r="L55" s="449"/>
      <c r="M55" s="449" t="str">
        <f>IF(L55="","",
IF(AX55="PT",VLOOKUP(L55,Foundation_Calc!$V$79:$X$113,VLOOKUP(AX55,Foundation_Calc!$I$10:$J$13,2,FALSE),0),
IF(AX55="K",VLOOKUP(L55,Foundation_Calc!$V$117:$X$151,VLOOKUP(AX55,Foundation_Calc!$I$10:$J$13,2,FALSE),0),"")))</f>
        <v/>
      </c>
      <c r="N55" s="449"/>
      <c r="O55" s="449"/>
      <c r="P55" s="449"/>
      <c r="Q55" s="4"/>
      <c r="R55" s="6"/>
      <c r="S55" s="6"/>
      <c r="T55" s="4"/>
      <c r="U55" s="4"/>
      <c r="V55" s="4"/>
      <c r="W55" s="9"/>
      <c r="X55" s="9"/>
      <c r="Y55" s="9"/>
      <c r="Z55" s="9"/>
      <c r="AA55" s="9"/>
      <c r="AB55" s="9"/>
      <c r="AC55" s="449" t="str">
        <f t="shared" si="0"/>
        <v/>
      </c>
      <c r="AD55" s="449"/>
      <c r="AE55" s="449"/>
      <c r="AF55" s="4"/>
      <c r="AG55" s="83"/>
      <c r="AH55" s="4"/>
      <c r="AI55" s="4"/>
      <c r="AJ55" s="449"/>
      <c r="AK55" s="449"/>
      <c r="AL55" s="449"/>
      <c r="AM55" s="449"/>
      <c r="AN55" s="10"/>
      <c r="AO55" s="9"/>
      <c r="AP55" s="9"/>
      <c r="AQ55" s="9">
        <f>+FL_2($T$56,$T$54,$G$55,1200,9.28, 1*$F$56)</f>
        <v>-0.33331886373108921</v>
      </c>
      <c r="AR55" s="9"/>
      <c r="AS55" s="9"/>
      <c r="AT55" s="9"/>
      <c r="AU55" s="428"/>
      <c r="AV55" s="428"/>
      <c r="AW55" s="449" t="str">
        <f>IF(C55&gt;0,VLOOKUP(C55,Foundation_Calc!$A$2:$C$13,3,1),
IF(J55&gt;0,VLOOKUP(J55,Foundation_Calc!$A$2:$C$13,3,1),""))</f>
        <v/>
      </c>
      <c r="AX55" s="449" t="str">
        <f>IF(C55&gt;0,VLOOKUP(C55,Foundation_Calc!$E$35:$G$65,3,1),
IF(J55&gt;0,VLOOKUP(J55,Foundation_Calc!$E$35:$G$65,3,1),""))</f>
        <v/>
      </c>
      <c r="AY55" s="10" t="str">
        <f>IF(L55="","",
IF(AX55="PT",VLOOKUP(L55,Foundation_Calc!$K$79:$R$113,VLOOKUP(AW55,Foundation_Calc!$I$2:$J$8,2,FALSE),0),
IF(AX55="K",VLOOKUP(L55,Foundation_Calc!$K$117:$R$151,VLOOKUP(AW55,Foundation_Calc!$I$2:$J$8,2,FALSE),0),"")))</f>
        <v/>
      </c>
      <c r="AZ55" s="10" t="str">
        <f>IF(K55="","",
IF(AX55="PT",VLOOKUP(K55,Foundation_Calc!$K$79:$R$113,VLOOKUP(AW55,Foundation_Calc!$I$2:$J$8,2,FALSE),0),
IF(AX55="K",VLOOKUP(K55,Foundation_Calc!$K$117:$R$151,VLOOKUP(AW55,Foundation_Calc!$I$2:$J$8,2,FALSE),0),"")))</f>
        <v/>
      </c>
      <c r="BA55" s="495" t="str">
        <f t="shared" si="12"/>
        <v/>
      </c>
      <c r="BB55" s="495" t="str">
        <f t="shared" si="13"/>
        <v/>
      </c>
      <c r="BC55" s="495" t="str">
        <f t="shared" si="14"/>
        <v/>
      </c>
      <c r="BD55" s="513" t="str">
        <f>IF(AND(L55="",H55=""),"",
IF(H55="",Pole_Calc!A$9,
IF(H55="MP",Pole_Calc!A$10,
IF(H55="AnMP",Pole_Calc!A$11,
IF(H55="A",Pole_Calc!A$12,
IF(H55="S/A",Pole_Calc!A$13,
IF(H55="A/S",Pole_Calc!A$14,"Poner a mano")))))))</f>
        <v/>
      </c>
      <c r="BE55" s="429" t="s">
        <v>118</v>
      </c>
      <c r="BF55" s="290"/>
      <c r="BG55" s="290"/>
      <c r="BH55" s="290"/>
      <c r="BI55" s="290"/>
    </row>
    <row r="56" spans="1:61" ht="16.149999999999999" customHeight="1">
      <c r="A56" s="515"/>
      <c r="B56" s="450" t="s">
        <v>963</v>
      </c>
      <c r="C56" s="3">
        <f>+$C$54+$G$55</f>
        <v>31555.65</v>
      </c>
      <c r="D56" s="83"/>
      <c r="E56" s="4"/>
      <c r="F56" s="4">
        <v>-1500</v>
      </c>
      <c r="G56" s="6"/>
      <c r="H56" s="449"/>
      <c r="I56" s="4"/>
      <c r="J56" s="3"/>
      <c r="K56" s="449"/>
      <c r="L56" s="449" t="s">
        <v>158</v>
      </c>
      <c r="M56" s="449" t="str">
        <f>IF(L56="","",
IF(AX56="PT",VLOOKUP(L56,Foundation_Calc!$V$79:$X$113,VLOOKUP(AX56,Foundation_Calc!$I$10:$J$13,2,FALSE),0),
IF(AX56="K",VLOOKUP(L56,Foundation_Calc!$V$117:$X$151,VLOOKUP(AX56,Foundation_Calc!$I$10:$J$13,2,FALSE),0),"")))</f>
        <v>C4R</v>
      </c>
      <c r="N56" s="449" t="s">
        <v>124</v>
      </c>
      <c r="O56" s="449"/>
      <c r="P56" s="449"/>
      <c r="Q56" s="4"/>
      <c r="R56" s="6"/>
      <c r="S56" s="6"/>
      <c r="T56" s="4">
        <v>-30</v>
      </c>
      <c r="U56" s="4"/>
      <c r="V56" s="4"/>
      <c r="W56" s="9">
        <v>1.4</v>
      </c>
      <c r="X56" s="9"/>
      <c r="Y56" s="9"/>
      <c r="Z56" s="9"/>
      <c r="AA56" s="9"/>
      <c r="AB56" s="9"/>
      <c r="AC56" s="449" t="str">
        <f t="shared" si="0"/>
        <v>PHQ</v>
      </c>
      <c r="AD56" s="449"/>
      <c r="AE56" s="449"/>
      <c r="AF56" s="4"/>
      <c r="AG56" s="83"/>
      <c r="AH56" s="4"/>
      <c r="AI56" s="4"/>
      <c r="AJ56" s="449"/>
      <c r="AK56" s="449"/>
      <c r="AL56" s="449"/>
      <c r="AM56" s="449" t="s">
        <v>126</v>
      </c>
      <c r="AN56" s="10">
        <v>5.5</v>
      </c>
      <c r="AO56" s="9"/>
      <c r="AP56" s="9"/>
      <c r="AQ56" s="9"/>
      <c r="AR56" s="9"/>
      <c r="AS56" s="9"/>
      <c r="AT56" s="9">
        <f>+ab($T$56,$T$54,$T$58,$G$55,$G$57, 1*$F$56,1200)</f>
        <v>-5.7375244864003294</v>
      </c>
      <c r="AU56" s="428"/>
      <c r="AV56" s="428"/>
      <c r="AW56" s="449" t="str">
        <f>IF(C56&gt;0,VLOOKUP(C56,Foundation_Calc!$A$2:$C$13,3,1),
IF(J56&gt;0,VLOOKUP(J56,Foundation_Calc!$A$2:$C$13,3,1),""))</f>
        <v>Multi Soil</v>
      </c>
      <c r="AX56" s="449" t="str">
        <f>IF(C56&gt;0,VLOOKUP(C56,Foundation_Calc!$E$35:$G$65,3,1),
IF(J56&gt;0,VLOOKUP(J56,Foundation_Calc!$E$35:$G$65,3,1),""))</f>
        <v>PT</v>
      </c>
      <c r="AY56" s="10">
        <f>IF(L56="","",
IF(AX56="PT",VLOOKUP(L56,Foundation_Calc!$K$79:$R$113,VLOOKUP(AW56,Foundation_Calc!$I$2:$J$8,2,FALSE),0),
IF(AX56="K",VLOOKUP(L56,Foundation_Calc!$K$117:$R$151,VLOOKUP(AW56,Foundation_Calc!$I$2:$J$8,2,FALSE),0),"")))</f>
        <v>3.5</v>
      </c>
      <c r="AZ56" s="10" t="str">
        <f>IF(K56="","",
IF(AX56="PT",VLOOKUP(K56,Foundation_Calc!$K$79:$R$113,VLOOKUP(AW56,Foundation_Calc!$I$2:$J$8,2,FALSE),0),
IF(AX56="K",VLOOKUP(K56,Foundation_Calc!$K$117:$R$151,VLOOKUP(AW56,Foundation_Calc!$I$2:$J$8,2,FALSE),0),"")))</f>
        <v/>
      </c>
      <c r="BA56" s="495" t="str">
        <f t="shared" si="12"/>
        <v>ü</v>
      </c>
      <c r="BB56" s="495" t="str">
        <f t="shared" si="13"/>
        <v/>
      </c>
      <c r="BC56" s="495" t="str">
        <f t="shared" si="14"/>
        <v/>
      </c>
      <c r="BD56" s="513" t="str">
        <f>IF(AND(L56="",H56=""),"",
IF(H56="",Pole_Calc!A$9,
IF(H56="MP",Pole_Calc!A$10,
IF(H56="AnMP",Pole_Calc!A$11,
IF(H56="A",Pole_Calc!A$12,
IF(H56="S/A",Pole_Calc!A$13,
IF(H56="A/S",Pole_Calc!A$14,"Poner a mano")))))))</f>
        <v>App.7-V11I-P9.5.1.1</v>
      </c>
      <c r="BE56" s="429" t="s">
        <v>118</v>
      </c>
      <c r="BF56" s="289"/>
      <c r="BG56" s="289"/>
      <c r="BH56" s="290"/>
      <c r="BI56" s="289"/>
    </row>
    <row r="57" spans="1:61" ht="16.149999999999999" customHeight="1">
      <c r="A57" s="515"/>
      <c r="B57" s="450"/>
      <c r="C57" s="3"/>
      <c r="D57" s="83"/>
      <c r="E57" s="4"/>
      <c r="F57" s="4"/>
      <c r="G57" s="6">
        <v>50</v>
      </c>
      <c r="H57" s="449"/>
      <c r="I57" s="4"/>
      <c r="J57" s="3"/>
      <c r="K57" s="449"/>
      <c r="L57" s="449"/>
      <c r="M57" s="449" t="str">
        <f>IF(L57="","",
IF(AX57="PT",VLOOKUP(L57,Foundation_Calc!$V$79:$X$113,VLOOKUP(AX57,Foundation_Calc!$I$10:$J$13,2,FALSE),0),
IF(AX57="K",VLOOKUP(L57,Foundation_Calc!$V$117:$X$151,VLOOKUP(AX57,Foundation_Calc!$I$10:$J$13,2,FALSE),0),"")))</f>
        <v/>
      </c>
      <c r="N57" s="449"/>
      <c r="O57" s="449"/>
      <c r="P57" s="449"/>
      <c r="Q57" s="4"/>
      <c r="R57" s="6"/>
      <c r="S57" s="6"/>
      <c r="T57" s="4"/>
      <c r="U57" s="4"/>
      <c r="V57" s="4"/>
      <c r="W57" s="9"/>
      <c r="X57" s="9"/>
      <c r="Y57" s="9"/>
      <c r="Z57" s="9"/>
      <c r="AA57" s="9"/>
      <c r="AB57" s="9"/>
      <c r="AC57" s="449" t="str">
        <f t="shared" si="0"/>
        <v/>
      </c>
      <c r="AD57" s="449"/>
      <c r="AE57" s="449"/>
      <c r="AF57" s="4"/>
      <c r="AG57" s="83"/>
      <c r="AH57" s="4"/>
      <c r="AI57" s="4"/>
      <c r="AJ57" s="449"/>
      <c r="AK57" s="449"/>
      <c r="AL57" s="449"/>
      <c r="AM57" s="449"/>
      <c r="AN57" s="10"/>
      <c r="AO57" s="9"/>
      <c r="AP57" s="9"/>
      <c r="AQ57" s="9">
        <f>+FL_2($T$58,$T$56,$G$57,1200,9.28, 1*$F$58)</f>
        <v>-0.33331886373108921</v>
      </c>
      <c r="AR57" s="9"/>
      <c r="AS57" s="9"/>
      <c r="AT57" s="9"/>
      <c r="AU57" s="428"/>
      <c r="AV57" s="428"/>
      <c r="AW57" s="449" t="str">
        <f>IF(C57&gt;0,VLOOKUP(C57,Foundation_Calc!$A$2:$C$13,3,1),
IF(J57&gt;0,VLOOKUP(J57,Foundation_Calc!$A$2:$C$13,3,1),""))</f>
        <v/>
      </c>
      <c r="AX57" s="449" t="str">
        <f>IF(C57&gt;0,VLOOKUP(C57,Foundation_Calc!$E$35:$G$65,3,1),
IF(J57&gt;0,VLOOKUP(J57,Foundation_Calc!$E$35:$G$65,3,1),""))</f>
        <v/>
      </c>
      <c r="AY57" s="10" t="str">
        <f>IF(L57="","",
IF(AX57="PT",VLOOKUP(L57,Foundation_Calc!$K$79:$R$113,VLOOKUP(AW57,Foundation_Calc!$I$2:$J$8,2,FALSE),0),
IF(AX57="K",VLOOKUP(L57,Foundation_Calc!$K$117:$R$151,VLOOKUP(AW57,Foundation_Calc!$I$2:$J$8,2,FALSE),0),"")))</f>
        <v/>
      </c>
      <c r="AZ57" s="10" t="str">
        <f>IF(K57="","",
IF(AX57="PT",VLOOKUP(K57,Foundation_Calc!$K$79:$R$113,VLOOKUP(AW57,Foundation_Calc!$I$2:$J$8,2,FALSE),0),
IF(AX57="K",VLOOKUP(K57,Foundation_Calc!$K$117:$R$151,VLOOKUP(AW57,Foundation_Calc!$I$2:$J$8,2,FALSE),0),"")))</f>
        <v/>
      </c>
      <c r="BA57" s="495" t="str">
        <f t="shared" si="12"/>
        <v/>
      </c>
      <c r="BB57" s="495" t="str">
        <f t="shared" si="13"/>
        <v/>
      </c>
      <c r="BC57" s="495" t="str">
        <f t="shared" si="14"/>
        <v/>
      </c>
      <c r="BD57" s="513" t="str">
        <f>IF(AND(L57="",H57=""),"",
IF(H57="",Pole_Calc!A$9,
IF(H57="MP",Pole_Calc!A$10,
IF(H57="AnMP",Pole_Calc!A$11,
IF(H57="A",Pole_Calc!A$12,
IF(H57="S/A",Pole_Calc!A$13,
IF(H57="A/S",Pole_Calc!A$14,"Poner a mano")))))))</f>
        <v/>
      </c>
      <c r="BE57" s="429" t="s">
        <v>118</v>
      </c>
      <c r="BF57" s="290"/>
      <c r="BG57" s="290"/>
      <c r="BH57" s="290"/>
      <c r="BI57" s="290"/>
    </row>
    <row r="58" spans="1:61" ht="16.149999999999999" customHeight="1">
      <c r="A58" s="515"/>
      <c r="B58" s="450" t="s">
        <v>964</v>
      </c>
      <c r="C58" s="3">
        <f>+$C$56+$G$57</f>
        <v>31605.65</v>
      </c>
      <c r="D58" s="83"/>
      <c r="E58" s="4"/>
      <c r="F58" s="4">
        <v>-1500</v>
      </c>
      <c r="G58" s="6"/>
      <c r="H58" s="449"/>
      <c r="I58" s="4"/>
      <c r="J58" s="3"/>
      <c r="K58" s="449"/>
      <c r="L58" s="449" t="s">
        <v>158</v>
      </c>
      <c r="M58" s="449" t="str">
        <f>IF(L58="","",
IF(AX58="PT",VLOOKUP(L58,Foundation_Calc!$V$79:$X$113,VLOOKUP(AX58,Foundation_Calc!$I$10:$J$13,2,FALSE),0),
IF(AX58="K",VLOOKUP(L58,Foundation_Calc!$V$117:$X$151,VLOOKUP(AX58,Foundation_Calc!$I$10:$J$13,2,FALSE),0),"")))</f>
        <v>C4R</v>
      </c>
      <c r="N58" s="449" t="s">
        <v>124</v>
      </c>
      <c r="O58" s="449"/>
      <c r="P58" s="449"/>
      <c r="Q58" s="4"/>
      <c r="R58" s="6"/>
      <c r="S58" s="6"/>
      <c r="T58" s="4">
        <v>-30</v>
      </c>
      <c r="U58" s="4"/>
      <c r="V58" s="4"/>
      <c r="W58" s="9">
        <v>1.4</v>
      </c>
      <c r="X58" s="9"/>
      <c r="Y58" s="9"/>
      <c r="Z58" s="9"/>
      <c r="AA58" s="9"/>
      <c r="AB58" s="9"/>
      <c r="AC58" s="449" t="str">
        <f t="shared" si="0"/>
        <v>PHQ</v>
      </c>
      <c r="AD58" s="449"/>
      <c r="AE58" s="449"/>
      <c r="AF58" s="4"/>
      <c r="AG58" s="83"/>
      <c r="AH58" s="4"/>
      <c r="AI58" s="4"/>
      <c r="AJ58" s="449"/>
      <c r="AK58" s="449"/>
      <c r="AL58" s="449"/>
      <c r="AM58" s="449" t="s">
        <v>126</v>
      </c>
      <c r="AN58" s="10">
        <v>5.5</v>
      </c>
      <c r="AO58" s="9"/>
      <c r="AP58" s="9"/>
      <c r="AQ58" s="9"/>
      <c r="AR58" s="9"/>
      <c r="AS58" s="9"/>
      <c r="AT58" s="9">
        <f>+ab($T$58,$T$56,$T$60,$G$57,$G$59, 1*$F$58,1200)</f>
        <v>-5.9258663688232538</v>
      </c>
      <c r="AU58" s="428"/>
      <c r="AV58" s="428"/>
      <c r="AW58" s="449" t="str">
        <f>IF(C58&gt;0,VLOOKUP(C58,Foundation_Calc!$A$2:$C$13,3,1),
IF(J58&gt;0,VLOOKUP(J58,Foundation_Calc!$A$2:$C$13,3,1),""))</f>
        <v>Multi Soil</v>
      </c>
      <c r="AX58" s="449" t="str">
        <f>IF(C58&gt;0,VLOOKUP(C58,Foundation_Calc!$E$35:$G$65,3,1),
IF(J58&gt;0,VLOOKUP(J58,Foundation_Calc!$E$35:$G$65,3,1),""))</f>
        <v>PT</v>
      </c>
      <c r="AY58" s="10">
        <f>IF(L58="","",
IF(AX58="PT",VLOOKUP(L58,Foundation_Calc!$K$79:$R$113,VLOOKUP(AW58,Foundation_Calc!$I$2:$J$8,2,FALSE),0),
IF(AX58="K",VLOOKUP(L58,Foundation_Calc!$K$117:$R$151,VLOOKUP(AW58,Foundation_Calc!$I$2:$J$8,2,FALSE),0),"")))</f>
        <v>3.5</v>
      </c>
      <c r="AZ58" s="10" t="str">
        <f>IF(K58="","",
IF(AX58="PT",VLOOKUP(K58,Foundation_Calc!$K$79:$R$113,VLOOKUP(AW58,Foundation_Calc!$I$2:$J$8,2,FALSE),0),
IF(AX58="K",VLOOKUP(K58,Foundation_Calc!$K$117:$R$151,VLOOKUP(AW58,Foundation_Calc!$I$2:$J$8,2,FALSE),0),"")))</f>
        <v/>
      </c>
      <c r="BA58" s="495" t="str">
        <f t="shared" si="12"/>
        <v>ü</v>
      </c>
      <c r="BB58" s="495" t="str">
        <f t="shared" si="13"/>
        <v/>
      </c>
      <c r="BC58" s="495" t="str">
        <f t="shared" si="14"/>
        <v/>
      </c>
      <c r="BD58" s="513" t="str">
        <f>IF(AND(L58="",H58=""),"",
IF(H58="",Pole_Calc!A$9,
IF(H58="MP",Pole_Calc!A$10,
IF(H58="AnMP",Pole_Calc!A$11,
IF(H58="A",Pole_Calc!A$12,
IF(H58="S/A",Pole_Calc!A$13,
IF(H58="A/S",Pole_Calc!A$14,"Poner a mano")))))))</f>
        <v>App.7-V11I-P9.5.1.1</v>
      </c>
      <c r="BE58" s="429" t="s">
        <v>118</v>
      </c>
      <c r="BF58" s="289"/>
      <c r="BG58" s="289"/>
      <c r="BH58" s="290"/>
      <c r="BI58" s="289"/>
    </row>
    <row r="59" spans="1:61" ht="16.149999999999999" customHeight="1">
      <c r="A59" s="659" t="s">
        <v>178</v>
      </c>
      <c r="B59" s="660"/>
      <c r="C59" s="661"/>
      <c r="D59" s="662"/>
      <c r="E59" s="663"/>
      <c r="F59" s="663"/>
      <c r="G59" s="664">
        <v>46.8</v>
      </c>
      <c r="H59" s="665"/>
      <c r="I59" s="663"/>
      <c r="J59" s="661"/>
      <c r="K59" s="665"/>
      <c r="L59" s="665"/>
      <c r="M59" s="665" t="str">
        <f>IF(L59="","",
IF(AX59="PT",VLOOKUP(L59,Foundation_Calc!$V$79:$X$113,VLOOKUP(AX59,Foundation_Calc!$I$10:$J$13,2,FALSE),0),
IF(AX59="K",VLOOKUP(L59,Foundation_Calc!$V$117:$X$151,VLOOKUP(AX59,Foundation_Calc!$I$10:$J$13,2,FALSE),0),"")))</f>
        <v/>
      </c>
      <c r="N59" s="665"/>
      <c r="O59" s="665"/>
      <c r="P59" s="665"/>
      <c r="Q59" s="663"/>
      <c r="R59" s="664"/>
      <c r="S59" s="664"/>
      <c r="T59" s="663"/>
      <c r="U59" s="663"/>
      <c r="V59" s="663"/>
      <c r="W59" s="666"/>
      <c r="X59" s="666"/>
      <c r="Y59" s="666"/>
      <c r="Z59" s="666"/>
      <c r="AA59" s="666"/>
      <c r="AB59" s="666"/>
      <c r="AC59" s="665" t="str">
        <f t="shared" si="0"/>
        <v/>
      </c>
      <c r="AD59" s="665"/>
      <c r="AE59" s="665"/>
      <c r="AF59" s="663"/>
      <c r="AG59" s="662"/>
      <c r="AH59" s="663"/>
      <c r="AI59" s="663"/>
      <c r="AJ59" s="665"/>
      <c r="AK59" s="665"/>
      <c r="AL59" s="665"/>
      <c r="AM59" s="665"/>
      <c r="AN59" s="667"/>
      <c r="AO59" s="666"/>
      <c r="AP59" s="666"/>
      <c r="AQ59" s="666">
        <f>+FL_2($T$60,$T$58,$G$59,1200,9.28, 1*$F$60)</f>
        <v>-0.32919209413170714</v>
      </c>
      <c r="AR59" s="666"/>
      <c r="AS59" s="666"/>
      <c r="AT59" s="666"/>
      <c r="AU59" s="668"/>
      <c r="AV59" s="668"/>
      <c r="AW59" s="665" t="str">
        <f>IF(C59&gt;0,VLOOKUP(C59,Foundation_Calc!$A$2:$C$13,3,1),
IF(J59&gt;0,VLOOKUP(J59,Foundation_Calc!$A$2:$C$13,3,1),""))</f>
        <v/>
      </c>
      <c r="AX59" s="665" t="str">
        <f>IF(C59&gt;0,VLOOKUP(C59,Foundation_Calc!$E$35:$G$65,3,1),
IF(J59&gt;0,VLOOKUP(J59,Foundation_Calc!$E$35:$G$65,3,1),""))</f>
        <v/>
      </c>
      <c r="AY59" s="667" t="str">
        <f>IF(L59="","",
IF(AX59="PT",VLOOKUP(L59,Foundation_Calc!$K$79:$R$113,VLOOKUP(AW59,Foundation_Calc!$I$2:$J$8,2,FALSE),0),
IF(AX59="K",VLOOKUP(L59,Foundation_Calc!$K$117:$R$151,VLOOKUP(AW59,Foundation_Calc!$I$2:$J$8,2,FALSE),0),"")))</f>
        <v/>
      </c>
      <c r="AZ59" s="667" t="str">
        <f>IF(K59="","",
IF(AX59="PT",VLOOKUP(K59,Foundation_Calc!$K$79:$R$113,VLOOKUP(AW59,Foundation_Calc!$I$2:$J$8,2,FALSE),0),
IF(AX59="K",VLOOKUP(K59,Foundation_Calc!$K$117:$R$151,VLOOKUP(AW59,Foundation_Calc!$I$2:$J$8,2,FALSE),0),"")))</f>
        <v/>
      </c>
      <c r="BA59" s="495" t="str">
        <f t="shared" si="12"/>
        <v/>
      </c>
      <c r="BB59" s="495" t="str">
        <f t="shared" si="13"/>
        <v/>
      </c>
      <c r="BC59" s="495" t="str">
        <f t="shared" si="14"/>
        <v/>
      </c>
      <c r="BD59" s="513" t="str">
        <f>IF(AND(L59="",H59=""),"",
IF(H59="",Pole_Calc!A$9,
IF(H59="MP",Pole_Calc!A$10,
IF(H59="AnMP",Pole_Calc!A$11,
IF(H59="A",Pole_Calc!A$12,
IF(H59="S/A",Pole_Calc!A$13,
IF(H59="A/S",Pole_Calc!A$14,"Poner a mano")))))))</f>
        <v/>
      </c>
      <c r="BE59" s="429" t="s">
        <v>118</v>
      </c>
      <c r="BF59" s="290"/>
      <c r="BG59" s="290"/>
      <c r="BH59" s="290"/>
      <c r="BI59" s="290"/>
    </row>
    <row r="60" spans="1:61" ht="16.149999999999999" customHeight="1">
      <c r="A60" s="514"/>
      <c r="B60" s="450" t="s">
        <v>965</v>
      </c>
      <c r="C60" s="3">
        <f>+$C$58+$G$59</f>
        <v>31652.45</v>
      </c>
      <c r="D60" s="83"/>
      <c r="E60" s="4"/>
      <c r="F60" s="4">
        <v>-1500</v>
      </c>
      <c r="G60" s="6"/>
      <c r="H60" s="449"/>
      <c r="I60" s="4"/>
      <c r="J60" s="3"/>
      <c r="K60" s="449"/>
      <c r="L60" s="449" t="s">
        <v>158</v>
      </c>
      <c r="M60" s="449" t="str">
        <f>IF(L60="","",
IF(AX60="PT",VLOOKUP(L60,Foundation_Calc!$V$79:$X$113,VLOOKUP(AX60,Foundation_Calc!$I$10:$J$13,2,FALSE),0),
IF(AX60="K",VLOOKUP(L60,Foundation_Calc!$V$117:$X$151,VLOOKUP(AX60,Foundation_Calc!$I$10:$J$13,2,FALSE),0),"")))</f>
        <v>C4R</v>
      </c>
      <c r="N60" s="449" t="s">
        <v>124</v>
      </c>
      <c r="O60" s="449"/>
      <c r="P60" s="449"/>
      <c r="Q60" s="4"/>
      <c r="R60" s="6"/>
      <c r="S60" s="6"/>
      <c r="T60" s="4">
        <v>-30</v>
      </c>
      <c r="U60" s="4"/>
      <c r="V60" s="4"/>
      <c r="W60" s="9">
        <v>1.4</v>
      </c>
      <c r="X60" s="9"/>
      <c r="Y60" s="9"/>
      <c r="Z60" s="9"/>
      <c r="AA60" s="9"/>
      <c r="AB60" s="9"/>
      <c r="AC60" s="449" t="str">
        <f t="shared" si="0"/>
        <v>PHQ</v>
      </c>
      <c r="AD60" s="449"/>
      <c r="AE60" s="449"/>
      <c r="AF60" s="4"/>
      <c r="AG60" s="83"/>
      <c r="AH60" s="4"/>
      <c r="AI60" s="4"/>
      <c r="AJ60" s="449"/>
      <c r="AK60" s="449"/>
      <c r="AL60" s="449"/>
      <c r="AM60" s="449" t="s">
        <v>126</v>
      </c>
      <c r="AN60" s="10">
        <v>5.5</v>
      </c>
      <c r="AO60" s="9"/>
      <c r="AP60" s="9"/>
      <c r="AQ60" s="9"/>
      <c r="AR60" s="9"/>
      <c r="AS60" s="9"/>
      <c r="AT60" s="9">
        <f>+ab($T$60,$T$58,$T$62,$G$59,$G$61, 1*$F$60,1200)</f>
        <v>-6.037324302733845</v>
      </c>
      <c r="AU60" s="428"/>
      <c r="AV60" s="428"/>
      <c r="AW60" s="449" t="str">
        <f>IF(C60&gt;0,VLOOKUP(C60,Foundation_Calc!$A$2:$C$13,3,1),
IF(J60&gt;0,VLOOKUP(J60,Foundation_Calc!$A$2:$C$13,3,1),""))</f>
        <v>Multi Soil</v>
      </c>
      <c r="AX60" s="449" t="str">
        <f>IF(C60&gt;0,VLOOKUP(C60,Foundation_Calc!$E$35:$G$65,3,1),
IF(J60&gt;0,VLOOKUP(J60,Foundation_Calc!$E$35:$G$65,3,1),""))</f>
        <v>PT</v>
      </c>
      <c r="AY60" s="10">
        <f>IF(L60="","",
IF(AX60="PT",VLOOKUP(L60,Foundation_Calc!$K$79:$R$113,VLOOKUP(AW60,Foundation_Calc!$I$2:$J$8,2,FALSE),0),
IF(AX60="K",VLOOKUP(L60,Foundation_Calc!$K$117:$R$151,VLOOKUP(AW60,Foundation_Calc!$I$2:$J$8,2,FALSE),0),"")))</f>
        <v>3.5</v>
      </c>
      <c r="AZ60" s="10" t="str">
        <f>IF(K60="","",
IF(AX60="PT",VLOOKUP(K60,Foundation_Calc!$K$79:$R$113,VLOOKUP(AW60,Foundation_Calc!$I$2:$J$8,2,FALSE),0),
IF(AX60="K",VLOOKUP(K60,Foundation_Calc!$K$117:$R$151,VLOOKUP(AW60,Foundation_Calc!$I$2:$J$8,2,FALSE),0),"")))</f>
        <v/>
      </c>
      <c r="BA60" s="495" t="str">
        <f t="shared" si="12"/>
        <v>ü</v>
      </c>
      <c r="BB60" s="495" t="str">
        <f t="shared" si="13"/>
        <v/>
      </c>
      <c r="BC60" s="495" t="str">
        <f t="shared" si="14"/>
        <v/>
      </c>
      <c r="BD60" s="513" t="str">
        <f>IF(AND(L60="",H60=""),"",
IF(H60="",Pole_Calc!A$9,
IF(H60="MP",Pole_Calc!A$10,
IF(H60="AnMP",Pole_Calc!A$11,
IF(H60="A",Pole_Calc!A$12,
IF(H60="S/A",Pole_Calc!A$13,
IF(H60="A/S",Pole_Calc!A$14,"Poner a mano")))))))</f>
        <v>App.7-V11I-P9.5.1.1</v>
      </c>
      <c r="BE60" s="429" t="s">
        <v>118</v>
      </c>
      <c r="BF60" s="289"/>
      <c r="BG60" s="289"/>
      <c r="BH60" s="290"/>
      <c r="BI60" s="289"/>
    </row>
    <row r="61" spans="1:61" ht="16.149999999999999" customHeight="1">
      <c r="A61" s="659" t="s">
        <v>178</v>
      </c>
      <c r="B61" s="660"/>
      <c r="C61" s="661"/>
      <c r="D61" s="662"/>
      <c r="E61" s="663"/>
      <c r="F61" s="663"/>
      <c r="G61" s="664">
        <v>48.2</v>
      </c>
      <c r="H61" s="665"/>
      <c r="I61" s="663"/>
      <c r="J61" s="661">
        <f>C62-7.5</f>
        <v>31693.15</v>
      </c>
      <c r="K61" s="665" t="s">
        <v>117</v>
      </c>
      <c r="L61" s="665"/>
      <c r="M61" s="665" t="str">
        <f>IF(L61="","",
IF(AX61="PT",VLOOKUP(L61,Foundation_Calc!$V$79:$X$113,VLOOKUP(AX61,Foundation_Calc!$I$10:$J$13,2,FALSE),0),
IF(AX61="K",VLOOKUP(L61,Foundation_Calc!$V$117:$X$151,VLOOKUP(AX61,Foundation_Calc!$I$10:$J$13,2,FALSE),0),"")))</f>
        <v/>
      </c>
      <c r="N61" s="665"/>
      <c r="O61" s="665"/>
      <c r="P61" s="665"/>
      <c r="Q61" s="663"/>
      <c r="R61" s="664"/>
      <c r="S61" s="664"/>
      <c r="T61" s="663"/>
      <c r="U61" s="663"/>
      <c r="V61" s="663"/>
      <c r="W61" s="666"/>
      <c r="X61" s="666"/>
      <c r="Y61" s="666"/>
      <c r="Z61" s="666"/>
      <c r="AA61" s="666"/>
      <c r="AB61" s="666"/>
      <c r="AC61" s="665" t="str">
        <f t="shared" si="0"/>
        <v/>
      </c>
      <c r="AD61" s="665"/>
      <c r="AE61" s="665"/>
      <c r="AF61" s="663"/>
      <c r="AG61" s="662"/>
      <c r="AH61" s="663"/>
      <c r="AI61" s="663"/>
      <c r="AJ61" s="665"/>
      <c r="AK61" s="665"/>
      <c r="AL61" s="665"/>
      <c r="AM61" s="665"/>
      <c r="AN61" s="667"/>
      <c r="AO61" s="666"/>
      <c r="AP61" s="666"/>
      <c r="AQ61" s="666">
        <f>+FL_2($T$62,$T$60,$G$61,1200,9.28, 1*$F$62)</f>
        <v>-0.33096403763687132</v>
      </c>
      <c r="AR61" s="666"/>
      <c r="AS61" s="666"/>
      <c r="AT61" s="666"/>
      <c r="AU61" s="668"/>
      <c r="AV61" s="668"/>
      <c r="AW61" s="665" t="str">
        <f>IF(C61&gt;0,VLOOKUP(C61,Foundation_Calc!$A$2:$C$13,3,1),
IF(J61&gt;0,VLOOKUP(J61,Foundation_Calc!$A$2:$C$13,3,1),""))</f>
        <v>Multi Soil</v>
      </c>
      <c r="AX61" s="665" t="str">
        <f>IF(C61&gt;0,VLOOKUP(C61,Foundation_Calc!$E$35:$G$65,3,1),
IF(J61&gt;0,VLOOKUP(J61,Foundation_Calc!$E$35:$G$65,3,1),""))</f>
        <v>PT</v>
      </c>
      <c r="AY61" s="667" t="str">
        <f>IF(L61="","",
IF(AX61="PT",VLOOKUP(L61,Foundation_Calc!$K$79:$R$113,VLOOKUP(AW61,Foundation_Calc!$I$2:$J$8,2,FALSE),0),
IF(AX61="K",VLOOKUP(L61,Foundation_Calc!$K$117:$R$151,VLOOKUP(AW61,Foundation_Calc!$I$2:$J$8,2,FALSE),0),"")))</f>
        <v/>
      </c>
      <c r="AZ61" s="667">
        <f>IF(K61="","",
IF(AX61="PT",VLOOKUP(K61,Foundation_Calc!$K$79:$R$113,VLOOKUP(AW61,Foundation_Calc!$I$2:$J$8,2,FALSE),0),
IF(AX61="K",VLOOKUP(K61,Foundation_Calc!$K$117:$R$151,VLOOKUP(AW61,Foundation_Calc!$I$2:$J$8,2,FALSE),0),"")))</f>
        <v>3.9</v>
      </c>
      <c r="BA61" s="495" t="str">
        <f t="shared" si="12"/>
        <v/>
      </c>
      <c r="BB61" s="495" t="str">
        <f t="shared" si="13"/>
        <v>ü</v>
      </c>
      <c r="BC61" s="495" t="str">
        <f t="shared" si="14"/>
        <v/>
      </c>
      <c r="BD61" s="513" t="str">
        <f>IF(AND(L61="",H61=""),"",
IF(H61="",Pole_Calc!A$9,
IF(H61="MP",Pole_Calc!A$10,
IF(H61="AnMP",Pole_Calc!A$11,
IF(H61="A",Pole_Calc!A$12,
IF(H61="S/A",Pole_Calc!A$13,
IF(H61="A/S",Pole_Calc!A$14,"Poner a mano")))))))</f>
        <v/>
      </c>
      <c r="BE61" s="429" t="s">
        <v>118</v>
      </c>
      <c r="BF61" s="290"/>
      <c r="BG61" s="290"/>
      <c r="BH61" s="290"/>
      <c r="BI61" s="290"/>
    </row>
    <row r="62" spans="1:61" ht="16.149999999999999" customHeight="1">
      <c r="A62" s="515"/>
      <c r="B62" s="450" t="s">
        <v>966</v>
      </c>
      <c r="C62" s="3">
        <f>+$C$60+$G$61</f>
        <v>31700.65</v>
      </c>
      <c r="D62" s="83"/>
      <c r="E62" s="4"/>
      <c r="F62" s="4">
        <v>-1500</v>
      </c>
      <c r="G62" s="6"/>
      <c r="H62" s="449" t="s">
        <v>121</v>
      </c>
      <c r="I62" s="4" t="s">
        <v>122</v>
      </c>
      <c r="J62" s="3"/>
      <c r="K62" s="449"/>
      <c r="L62" s="449" t="s">
        <v>181</v>
      </c>
      <c r="M62" s="449" t="str">
        <f>IF(L62="","",
IF(AX62="PT",VLOOKUP(L62,Foundation_Calc!$V$79:$X$113,VLOOKUP(AX62,Foundation_Calc!$I$10:$J$13,2,FALSE),0),
IF(AX62="K",VLOOKUP(L62,Foundation_Calc!$V$117:$X$151,VLOOKUP(AX62,Foundation_Calc!$I$10:$J$13,2,FALSE),0),"")))</f>
        <v>C5R</v>
      </c>
      <c r="N62" s="449" t="s">
        <v>124</v>
      </c>
      <c r="O62" s="449"/>
      <c r="P62" s="449"/>
      <c r="Q62" s="4"/>
      <c r="R62" s="6"/>
      <c r="S62" s="6"/>
      <c r="T62" s="4">
        <v>-30</v>
      </c>
      <c r="U62" s="4"/>
      <c r="V62" s="4"/>
      <c r="W62" s="9">
        <v>1.4</v>
      </c>
      <c r="X62" s="9"/>
      <c r="Y62" s="9"/>
      <c r="Z62" s="9"/>
      <c r="AA62" s="9"/>
      <c r="AB62" s="9"/>
      <c r="AC62" s="449" t="str">
        <f t="shared" si="0"/>
        <v>PHQ</v>
      </c>
      <c r="AD62" s="449"/>
      <c r="AE62" s="449"/>
      <c r="AF62" s="4"/>
      <c r="AG62" s="83"/>
      <c r="AH62" s="4"/>
      <c r="AI62" s="4"/>
      <c r="AJ62" s="449"/>
      <c r="AK62" s="449"/>
      <c r="AL62" s="449"/>
      <c r="AM62" s="449" t="s">
        <v>126</v>
      </c>
      <c r="AN62" s="10">
        <v>5.5</v>
      </c>
      <c r="AO62" s="9"/>
      <c r="AP62" s="9"/>
      <c r="AQ62" s="9"/>
      <c r="AR62" s="9"/>
      <c r="AS62" s="9"/>
      <c r="AT62" s="9">
        <f>+ab($T$62,$T$60,$T$64,$G$61,$G$63, 1*$F$62,1200)</f>
        <v>-5.2095346852894462</v>
      </c>
      <c r="AU62" s="428"/>
      <c r="AV62" s="428"/>
      <c r="AW62" s="449" t="str">
        <f>IF(C62&gt;0,VLOOKUP(C62,Foundation_Calc!$A$2:$C$13,3,1),
IF(J62&gt;0,VLOOKUP(J62,Foundation_Calc!$A$2:$C$13,3,1),""))</f>
        <v>Multi Soil</v>
      </c>
      <c r="AX62" s="449" t="str">
        <f>IF(C62&gt;0,VLOOKUP(C62,Foundation_Calc!$E$35:$G$65,3,1),
IF(J62&gt;0,VLOOKUP(J62,Foundation_Calc!$E$35:$G$65,3,1),""))</f>
        <v>PT</v>
      </c>
      <c r="AY62" s="10">
        <f>IF(L62="","",
IF(AX62="PT",VLOOKUP(L62,Foundation_Calc!$K$79:$R$113,VLOOKUP(AW62,Foundation_Calc!$I$2:$J$8,2,FALSE),0),
IF(AX62="K",VLOOKUP(L62,Foundation_Calc!$K$117:$R$151,VLOOKUP(AW62,Foundation_Calc!$I$2:$J$8,2,FALSE),0),"")))</f>
        <v>3.5</v>
      </c>
      <c r="AZ62" s="10" t="str">
        <f>IF(K62="","",
IF(AX62="PT",VLOOKUP(K62,Foundation_Calc!$K$79:$R$113,VLOOKUP(AW62,Foundation_Calc!$I$2:$J$8,2,FALSE),0),
IF(AX62="K",VLOOKUP(K62,Foundation_Calc!$K$117:$R$151,VLOOKUP(AW62,Foundation_Calc!$I$2:$J$8,2,FALSE),0),"")))</f>
        <v/>
      </c>
      <c r="BA62" s="495" t="str">
        <f t="shared" si="12"/>
        <v>ü</v>
      </c>
      <c r="BB62" s="495" t="str">
        <f t="shared" si="13"/>
        <v/>
      </c>
      <c r="BC62" s="495" t="str">
        <f t="shared" si="14"/>
        <v/>
      </c>
      <c r="BD62" s="513" t="str">
        <f>IF(AND(L62="",H62=""),"",
IF(H62="",Pole_Calc!A$9,
IF(H62="MP",Pole_Calc!A$10,
IF(H62="AnMP",Pole_Calc!A$11,
IF(H62="A",Pole_Calc!A$12,
IF(H62="S/A",Pole_Calc!A$13,
IF(H62="A/S",Pole_Calc!A$14,"Poner a mano")))))))</f>
        <v>App.7-V11I-P9.5.1.6</v>
      </c>
      <c r="BE62" s="429" t="s">
        <v>118</v>
      </c>
      <c r="BF62" s="289"/>
      <c r="BG62" s="289"/>
      <c r="BH62" s="290"/>
      <c r="BI62" s="289"/>
    </row>
    <row r="63" spans="1:61" ht="16.149999999999999" customHeight="1">
      <c r="A63" s="515"/>
      <c r="B63" s="450"/>
      <c r="C63" s="3"/>
      <c r="D63" s="83"/>
      <c r="E63" s="4"/>
      <c r="F63" s="4"/>
      <c r="G63" s="6">
        <v>50</v>
      </c>
      <c r="H63" s="449"/>
      <c r="I63" s="4"/>
      <c r="J63" s="3"/>
      <c r="K63" s="449"/>
      <c r="L63" s="449"/>
      <c r="M63" s="449" t="str">
        <f>IF(L63="","",
IF(AX63="PT",VLOOKUP(L63,Foundation_Calc!$V$79:$X$113,VLOOKUP(AX63,Foundation_Calc!$I$10:$J$13,2,FALSE),0),
IF(AX63="K",VLOOKUP(L63,Foundation_Calc!$V$117:$X$151,VLOOKUP(AX63,Foundation_Calc!$I$10:$J$13,2,FALSE),0),"")))</f>
        <v/>
      </c>
      <c r="N63" s="449"/>
      <c r="O63" s="449"/>
      <c r="P63" s="449"/>
      <c r="Q63" s="4"/>
      <c r="R63" s="6"/>
      <c r="S63" s="6"/>
      <c r="T63" s="4"/>
      <c r="U63" s="4"/>
      <c r="V63" s="4"/>
      <c r="W63" s="9"/>
      <c r="X63" s="9"/>
      <c r="Y63" s="9"/>
      <c r="Z63" s="9"/>
      <c r="AA63" s="9"/>
      <c r="AB63" s="9"/>
      <c r="AC63" s="449" t="str">
        <f t="shared" si="0"/>
        <v/>
      </c>
      <c r="AD63" s="449"/>
      <c r="AE63" s="449"/>
      <c r="AF63" s="4"/>
      <c r="AG63" s="83"/>
      <c r="AH63" s="4"/>
      <c r="AI63" s="4"/>
      <c r="AJ63" s="449"/>
      <c r="AK63" s="449"/>
      <c r="AL63" s="449"/>
      <c r="AM63" s="449"/>
      <c r="AN63" s="10"/>
      <c r="AO63" s="9"/>
      <c r="AP63" s="9"/>
      <c r="AQ63" s="9">
        <f>+FL_2($U$64,$T$62,$G$63,1200,9.28, 1*$F$64)</f>
        <v>-0.33331886373108921</v>
      </c>
      <c r="AR63" s="9"/>
      <c r="AS63" s="9"/>
      <c r="AT63" s="9"/>
      <c r="AU63" s="428"/>
      <c r="AV63" s="428"/>
      <c r="AW63" s="449" t="str">
        <f>IF(C63&gt;0,VLOOKUP(C63,Foundation_Calc!$A$2:$C$13,3,1),
IF(J63&gt;0,VLOOKUP(J63,Foundation_Calc!$A$2:$C$13,3,1),""))</f>
        <v/>
      </c>
      <c r="AX63" s="449" t="str">
        <f>IF(C63&gt;0,VLOOKUP(C63,Foundation_Calc!$E$35:$G$65,3,1),
IF(J63&gt;0,VLOOKUP(J63,Foundation_Calc!$E$35:$G$65,3,1),""))</f>
        <v/>
      </c>
      <c r="AY63" s="10" t="str">
        <f>IF(L63="","",
IF(AX63="PT",VLOOKUP(L63,Foundation_Calc!$K$79:$R$113,VLOOKUP(AW63,Foundation_Calc!$I$2:$J$8,2,FALSE),0),
IF(AX63="K",VLOOKUP(L63,Foundation_Calc!$K$117:$R$151,VLOOKUP(AW63,Foundation_Calc!$I$2:$J$8,2,FALSE),0),"")))</f>
        <v/>
      </c>
      <c r="AZ63" s="10" t="str">
        <f>IF(K63="","",
IF(AX63="PT",VLOOKUP(K63,Foundation_Calc!$K$79:$R$113,VLOOKUP(AW63,Foundation_Calc!$I$2:$J$8,2,FALSE),0),
IF(AX63="K",VLOOKUP(K63,Foundation_Calc!$K$117:$R$151,VLOOKUP(AW63,Foundation_Calc!$I$2:$J$8,2,FALSE),0),"")))</f>
        <v/>
      </c>
      <c r="BA63" s="495" t="str">
        <f t="shared" si="12"/>
        <v/>
      </c>
      <c r="BB63" s="495" t="str">
        <f t="shared" si="13"/>
        <v/>
      </c>
      <c r="BC63" s="495" t="str">
        <f t="shared" si="14"/>
        <v/>
      </c>
      <c r="BD63" s="513" t="str">
        <f>IF(AND(L63="",H63=""),"",
IF(H63="",Pole_Calc!A$9,
IF(H63="MP",Pole_Calc!A$10,
IF(H63="AnMP",Pole_Calc!A$11,
IF(H63="A",Pole_Calc!A$12,
IF(H63="S/A",Pole_Calc!A$13,
IF(H63="A/S",Pole_Calc!A$14,"Poner a mano")))))))</f>
        <v/>
      </c>
      <c r="BE63" s="429" t="s">
        <v>118</v>
      </c>
      <c r="BF63" s="290"/>
      <c r="BG63" s="290"/>
      <c r="BH63" s="290"/>
      <c r="BI63" s="290"/>
    </row>
    <row r="64" spans="1:61" ht="16.149999999999999" customHeight="1">
      <c r="A64" s="515"/>
      <c r="B64" s="450" t="s">
        <v>967</v>
      </c>
      <c r="C64" s="3">
        <f>+$C$62+$G$63</f>
        <v>31750.65</v>
      </c>
      <c r="D64" s="83"/>
      <c r="E64" s="4"/>
      <c r="F64" s="4">
        <v>-1500</v>
      </c>
      <c r="G64" s="6"/>
      <c r="H64" s="449" t="s">
        <v>131</v>
      </c>
      <c r="I64" s="4"/>
      <c r="J64" s="3"/>
      <c r="K64" s="449"/>
      <c r="L64" s="449" t="s">
        <v>183</v>
      </c>
      <c r="M64" s="449" t="str">
        <f>IF(L64="","",
IF(AX64="PT",VLOOKUP(L64,Foundation_Calc!$V$79:$X$113,VLOOKUP(AX64,Foundation_Calc!$I$10:$J$13,2,FALSE),0),
IF(AX64="K",VLOOKUP(L64,Foundation_Calc!$V$117:$X$151,VLOOKUP(AX64,Foundation_Calc!$I$10:$J$13,2,FALSE),0),"")))</f>
        <v>2C3R</v>
      </c>
      <c r="N64" s="449" t="s">
        <v>133</v>
      </c>
      <c r="O64" s="449" t="s">
        <v>124</v>
      </c>
      <c r="P64" s="449"/>
      <c r="Q64" s="4"/>
      <c r="R64" s="6"/>
      <c r="S64" s="6"/>
      <c r="T64" s="4">
        <v>-10</v>
      </c>
      <c r="U64" s="4">
        <v>-30</v>
      </c>
      <c r="V64" s="4"/>
      <c r="W64" s="9">
        <v>1.4</v>
      </c>
      <c r="X64" s="9">
        <v>2.2999999999999998</v>
      </c>
      <c r="Y64" s="9"/>
      <c r="Z64" s="9">
        <v>0.45</v>
      </c>
      <c r="AA64" s="9"/>
      <c r="AB64" s="9"/>
      <c r="AC64" s="449" t="str">
        <f t="shared" si="0"/>
        <v>PHQ</v>
      </c>
      <c r="AD64" s="449"/>
      <c r="AE64" s="449"/>
      <c r="AF64" s="4"/>
      <c r="AG64" s="83"/>
      <c r="AH64" s="4"/>
      <c r="AI64" s="4"/>
      <c r="AJ64" s="449"/>
      <c r="AK64" s="449"/>
      <c r="AL64" s="449"/>
      <c r="AM64" s="449" t="s">
        <v>126</v>
      </c>
      <c r="AN64" s="10">
        <v>5.5</v>
      </c>
      <c r="AO64" s="9"/>
      <c r="AP64" s="9"/>
      <c r="AQ64" s="9"/>
      <c r="AR64" s="9"/>
      <c r="AS64" s="9"/>
      <c r="AT64" s="9">
        <f>+ab($U$64,$T$62,$U$66,$G$63,$G$65, 1*$F$64,1200)</f>
        <v>-5.7375244864003294</v>
      </c>
      <c r="AU64" s="428"/>
      <c r="AV64" s="428"/>
      <c r="AW64" s="449" t="str">
        <f>IF(C64&gt;0,VLOOKUP(C64,Foundation_Calc!$A$2:$C$13,3,1),
IF(J64&gt;0,VLOOKUP(J64,Foundation_Calc!$A$2:$C$13,3,1),""))</f>
        <v>Multi Soil</v>
      </c>
      <c r="AX64" s="449" t="str">
        <f>IF(C64&gt;0,VLOOKUP(C64,Foundation_Calc!$E$35:$G$65,3,1),
IF(J64&gt;0,VLOOKUP(J64,Foundation_Calc!$E$35:$G$65,3,1),""))</f>
        <v>PT</v>
      </c>
      <c r="AY64" s="10">
        <f>IF(L64="","",
IF(AX64="PT",VLOOKUP(L64,Foundation_Calc!$K$79:$R$113,VLOOKUP(AW64,Foundation_Calc!$I$2:$J$8,2,FALSE),0),
IF(AX64="K",VLOOKUP(L64,Foundation_Calc!$K$117:$R$151,VLOOKUP(AW64,Foundation_Calc!$I$2:$J$8,2,FALSE),0),"")))</f>
        <v>3.7</v>
      </c>
      <c r="AZ64" s="10" t="str">
        <f>IF(K64="","",
IF(AX64="PT",VLOOKUP(K64,Foundation_Calc!$K$79:$R$113,VLOOKUP(AW64,Foundation_Calc!$I$2:$J$8,2,FALSE),0),
IF(AX64="K",VLOOKUP(K64,Foundation_Calc!$K$117:$R$151,VLOOKUP(AW64,Foundation_Calc!$I$2:$J$8,2,FALSE),0),"")))</f>
        <v/>
      </c>
      <c r="BA64" s="495" t="str">
        <f t="shared" si="12"/>
        <v>ü</v>
      </c>
      <c r="BB64" s="495" t="str">
        <f t="shared" si="13"/>
        <v/>
      </c>
      <c r="BC64" s="495" t="str">
        <f t="shared" si="14"/>
        <v/>
      </c>
      <c r="BD64" s="513" t="str">
        <f>IF(AND(L64="",H64=""),"",
IF(H64="",Pole_Calc!A$9,
IF(H64="MP",Pole_Calc!A$10,
IF(H64="AnMP",Pole_Calc!A$11,
IF(H64="A",Pole_Calc!A$12,
IF(H64="S/A",Pole_Calc!A$13,
IF(H64="A/S",Pole_Calc!A$14,"Poner a mano")))))))</f>
        <v>App.7-V11I-P9.5.1.5</v>
      </c>
      <c r="BE64" s="429" t="s">
        <v>118</v>
      </c>
      <c r="BF64" s="289"/>
      <c r="BG64" s="289"/>
      <c r="BH64" s="290"/>
      <c r="BI64" s="289"/>
    </row>
    <row r="65" spans="1:61" ht="16.149999999999999" customHeight="1">
      <c r="A65" s="515"/>
      <c r="B65" s="450"/>
      <c r="C65" s="3"/>
      <c r="D65" s="83"/>
      <c r="E65" s="4"/>
      <c r="F65" s="4"/>
      <c r="G65" s="6">
        <v>50</v>
      </c>
      <c r="H65" s="449"/>
      <c r="I65" s="4"/>
      <c r="J65" s="3"/>
      <c r="K65" s="449"/>
      <c r="L65" s="449"/>
      <c r="M65" s="449" t="str">
        <f>IF(L65="","",
IF(AX65="PT",VLOOKUP(L65,Foundation_Calc!$V$79:$X$113,VLOOKUP(AX65,Foundation_Calc!$I$10:$J$13,2,FALSE),0),
IF(AX65="K",VLOOKUP(L65,Foundation_Calc!$V$117:$X$151,VLOOKUP(AX65,Foundation_Calc!$I$10:$J$13,2,FALSE),0),"")))</f>
        <v/>
      </c>
      <c r="N65" s="449"/>
      <c r="O65" s="449"/>
      <c r="P65" s="449"/>
      <c r="Q65" s="4"/>
      <c r="R65" s="6"/>
      <c r="S65" s="6"/>
      <c r="T65" s="4"/>
      <c r="U65" s="4"/>
      <c r="V65" s="4"/>
      <c r="W65" s="9"/>
      <c r="X65" s="9"/>
      <c r="Y65" s="9"/>
      <c r="Z65" s="9"/>
      <c r="AA65" s="9"/>
      <c r="AB65" s="9"/>
      <c r="AC65" s="449" t="str">
        <f t="shared" si="0"/>
        <v/>
      </c>
      <c r="AD65" s="449"/>
      <c r="AE65" s="449"/>
      <c r="AF65" s="4"/>
      <c r="AG65" s="83"/>
      <c r="AH65" s="4"/>
      <c r="AI65" s="4"/>
      <c r="AJ65" s="449"/>
      <c r="AK65" s="449"/>
      <c r="AL65" s="449"/>
      <c r="AM65" s="449"/>
      <c r="AN65" s="10"/>
      <c r="AO65" s="9"/>
      <c r="AP65" s="9"/>
      <c r="AQ65" s="9">
        <f>+FL_2($T$66,$U$64,$G$65,1200,9.28, 1*$F$66)</f>
        <v>-0.3000133279906077</v>
      </c>
      <c r="AR65" s="9"/>
      <c r="AS65" s="9"/>
      <c r="AT65" s="9"/>
      <c r="AU65" s="428"/>
      <c r="AV65" s="428"/>
      <c r="AW65" s="449" t="str">
        <f>IF(C65&gt;0,VLOOKUP(C65,Foundation_Calc!$A$2:$C$13,3,1),
IF(J65&gt;0,VLOOKUP(J65,Foundation_Calc!$A$2:$C$13,3,1),""))</f>
        <v/>
      </c>
      <c r="AX65" s="449" t="str">
        <f>IF(C65&gt;0,VLOOKUP(C65,Foundation_Calc!$E$35:$G$65,3,1),
IF(J65&gt;0,VLOOKUP(J65,Foundation_Calc!$E$35:$G$65,3,1),""))</f>
        <v/>
      </c>
      <c r="AY65" s="10" t="str">
        <f>IF(L65="","",
IF(AX65="PT",VLOOKUP(L65,Foundation_Calc!$K$79:$R$113,VLOOKUP(AW65,Foundation_Calc!$I$2:$J$8,2,FALSE),0),
IF(AX65="K",VLOOKUP(L65,Foundation_Calc!$K$117:$R$151,VLOOKUP(AW65,Foundation_Calc!$I$2:$J$8,2,FALSE),0),"")))</f>
        <v/>
      </c>
      <c r="AZ65" s="10" t="str">
        <f>IF(K65="","",
IF(AX65="PT",VLOOKUP(K65,Foundation_Calc!$K$79:$R$113,VLOOKUP(AW65,Foundation_Calc!$I$2:$J$8,2,FALSE),0),
IF(AX65="K",VLOOKUP(K65,Foundation_Calc!$K$117:$R$151,VLOOKUP(AW65,Foundation_Calc!$I$2:$J$8,2,FALSE),0),"")))</f>
        <v/>
      </c>
      <c r="BA65" s="495" t="str">
        <f t="shared" si="12"/>
        <v/>
      </c>
      <c r="BB65" s="495" t="str">
        <f t="shared" si="13"/>
        <v/>
      </c>
      <c r="BC65" s="495" t="str">
        <f t="shared" si="14"/>
        <v/>
      </c>
      <c r="BD65" s="513" t="str">
        <f>IF(AND(L65="",H65=""),"",
IF(H65="",Pole_Calc!A$9,
IF(H65="MP",Pole_Calc!A$10,
IF(H65="AnMP",Pole_Calc!A$11,
IF(H65="A",Pole_Calc!A$12,
IF(H65="S/A",Pole_Calc!A$13,
IF(H65="A/S",Pole_Calc!A$14,"Poner a mano")))))))</f>
        <v/>
      </c>
      <c r="BE65" s="429" t="s">
        <v>118</v>
      </c>
      <c r="BF65" s="290"/>
      <c r="BG65" s="290"/>
      <c r="BH65" s="290"/>
      <c r="BI65" s="290"/>
    </row>
    <row r="66" spans="1:61" ht="16.149999999999999" customHeight="1">
      <c r="A66" s="514"/>
      <c r="B66" s="450" t="s">
        <v>968</v>
      </c>
      <c r="C66" s="3">
        <f>+$C$64+$G$65</f>
        <v>31800.65</v>
      </c>
      <c r="D66" s="83"/>
      <c r="E66" s="4"/>
      <c r="F66" s="4">
        <v>-1500</v>
      </c>
      <c r="G66" s="6"/>
      <c r="H66" s="449" t="s">
        <v>131</v>
      </c>
      <c r="I66" s="4"/>
      <c r="J66" s="3"/>
      <c r="K66" s="449"/>
      <c r="L66" s="449" t="s">
        <v>183</v>
      </c>
      <c r="M66" s="449" t="str">
        <f>IF(L66="","",
IF(AX66="PT",VLOOKUP(L66,Foundation_Calc!$V$79:$X$113,VLOOKUP(AX66,Foundation_Calc!$I$10:$J$13,2,FALSE),0),
IF(AX66="K",VLOOKUP(L66,Foundation_Calc!$V$117:$X$151,VLOOKUP(AX66,Foundation_Calc!$I$10:$J$13,2,FALSE),0),"")))</f>
        <v>2C3R</v>
      </c>
      <c r="N66" s="449" t="s">
        <v>124</v>
      </c>
      <c r="O66" s="449" t="s">
        <v>133</v>
      </c>
      <c r="P66" s="449"/>
      <c r="Q66" s="4"/>
      <c r="R66" s="6"/>
      <c r="S66" s="6"/>
      <c r="T66" s="4">
        <v>-10</v>
      </c>
      <c r="U66" s="4">
        <v>-30</v>
      </c>
      <c r="V66" s="4"/>
      <c r="W66" s="9">
        <v>1.4</v>
      </c>
      <c r="X66" s="9">
        <v>2.2999999999999998</v>
      </c>
      <c r="Y66" s="9"/>
      <c r="Z66" s="9"/>
      <c r="AA66" s="9">
        <v>0.45</v>
      </c>
      <c r="AB66" s="9"/>
      <c r="AC66" s="449" t="str">
        <f t="shared" si="0"/>
        <v>PHQ</v>
      </c>
      <c r="AD66" s="449"/>
      <c r="AE66" s="449"/>
      <c r="AF66" s="4"/>
      <c r="AG66" s="83"/>
      <c r="AH66" s="4"/>
      <c r="AI66" s="4"/>
      <c r="AJ66" s="449"/>
      <c r="AK66" s="449"/>
      <c r="AL66" s="449"/>
      <c r="AM66" s="449" t="s">
        <v>126</v>
      </c>
      <c r="AN66" s="10">
        <v>5.5</v>
      </c>
      <c r="AO66" s="9"/>
      <c r="AP66" s="9"/>
      <c r="AQ66" s="9"/>
      <c r="AR66" s="9"/>
      <c r="AS66" s="9"/>
      <c r="AT66" s="9">
        <f>+ab($T$66,$T$64,$T$68,$G$65,$G$67, 1*$F$66,1200)</f>
        <v>-6.5135890367228049</v>
      </c>
      <c r="AU66" s="428"/>
      <c r="AV66" s="428"/>
      <c r="AW66" s="449" t="str">
        <f>IF(C66&gt;0,VLOOKUP(C66,Foundation_Calc!$A$2:$C$13,3,1),
IF(J66&gt;0,VLOOKUP(J66,Foundation_Calc!$A$2:$C$13,3,1),""))</f>
        <v>Multi Soil</v>
      </c>
      <c r="AX66" s="449" t="str">
        <f>IF(C66&gt;0,VLOOKUP(C66,Foundation_Calc!$E$35:$G$65,3,1),
IF(J66&gt;0,VLOOKUP(J66,Foundation_Calc!$E$35:$G$65,3,1),""))</f>
        <v>PT</v>
      </c>
      <c r="AY66" s="10">
        <f>IF(L66="","",
IF(AX66="PT",VLOOKUP(L66,Foundation_Calc!$K$79:$R$113,VLOOKUP(AW66,Foundation_Calc!$I$2:$J$8,2,FALSE),0),
IF(AX66="K",VLOOKUP(L66,Foundation_Calc!$K$117:$R$151,VLOOKUP(AW66,Foundation_Calc!$I$2:$J$8,2,FALSE),0),"")))</f>
        <v>3.7</v>
      </c>
      <c r="AZ66" s="10" t="str">
        <f>IF(K66="","",
IF(AX66="PT",VLOOKUP(K66,Foundation_Calc!$K$79:$R$113,VLOOKUP(AW66,Foundation_Calc!$I$2:$J$8,2,FALSE),0),
IF(AX66="K",VLOOKUP(K66,Foundation_Calc!$K$117:$R$151,VLOOKUP(AW66,Foundation_Calc!$I$2:$J$8,2,FALSE),0),"")))</f>
        <v/>
      </c>
      <c r="BA66" s="495" t="str">
        <f t="shared" si="12"/>
        <v>ü</v>
      </c>
      <c r="BB66" s="495" t="str">
        <f t="shared" si="13"/>
        <v/>
      </c>
      <c r="BC66" s="495" t="str">
        <f t="shared" si="14"/>
        <v/>
      </c>
      <c r="BD66" s="513" t="str">
        <f>IF(AND(L66="",H66=""),"",
IF(H66="",Pole_Calc!A$9,
IF(H66="MP",Pole_Calc!A$10,
IF(H66="AnMP",Pole_Calc!A$11,
IF(H66="A",Pole_Calc!A$12,
IF(H66="S/A",Pole_Calc!A$13,
IF(H66="A/S",Pole_Calc!A$14,"Poner a mano")))))))</f>
        <v>App.7-V11I-P9.5.1.5</v>
      </c>
      <c r="BE66" s="429" t="s">
        <v>118</v>
      </c>
      <c r="BF66" s="289"/>
      <c r="BG66" s="289"/>
      <c r="BH66" s="290"/>
      <c r="BI66" s="289"/>
    </row>
    <row r="67" spans="1:61" ht="16.149999999999999" customHeight="1">
      <c r="A67" s="514"/>
      <c r="B67" s="450"/>
      <c r="C67" s="3"/>
      <c r="D67" s="83"/>
      <c r="E67" s="4"/>
      <c r="F67" s="4"/>
      <c r="G67" s="6">
        <v>50</v>
      </c>
      <c r="H67" s="449"/>
      <c r="I67" s="4"/>
      <c r="J67" s="3"/>
      <c r="K67" s="449"/>
      <c r="L67" s="449"/>
      <c r="M67" s="449" t="str">
        <f>IF(L67="","",
IF(AX67="PT",VLOOKUP(L67,Foundation_Calc!$V$79:$X$113,VLOOKUP(AX67,Foundation_Calc!$I$10:$J$13,2,FALSE),0),
IF(AX67="K",VLOOKUP(L67,Foundation_Calc!$V$117:$X$151,VLOOKUP(AX67,Foundation_Calc!$I$10:$J$13,2,FALSE),0),"")))</f>
        <v/>
      </c>
      <c r="N67" s="449"/>
      <c r="O67" s="449"/>
      <c r="P67" s="449"/>
      <c r="Q67" s="4"/>
      <c r="R67" s="6"/>
      <c r="S67" s="6"/>
      <c r="T67" s="4"/>
      <c r="U67" s="4"/>
      <c r="V67" s="4"/>
      <c r="W67" s="9"/>
      <c r="X67" s="9"/>
      <c r="Y67" s="9"/>
      <c r="Z67" s="9"/>
      <c r="AA67" s="9"/>
      <c r="AB67" s="9"/>
      <c r="AC67" s="449" t="str">
        <f t="shared" si="0"/>
        <v/>
      </c>
      <c r="AD67" s="449"/>
      <c r="AE67" s="449"/>
      <c r="AF67" s="4"/>
      <c r="AG67" s="83"/>
      <c r="AH67" s="4"/>
      <c r="AI67" s="4"/>
      <c r="AJ67" s="449"/>
      <c r="AK67" s="449"/>
      <c r="AL67" s="449"/>
      <c r="AM67" s="449"/>
      <c r="AN67" s="10"/>
      <c r="AO67" s="9"/>
      <c r="AP67" s="9"/>
      <c r="AQ67" s="9">
        <f>+FL_2($T$68,$T$66,$G$67,1200,9.28, 1*$F$68)</f>
        <v>-0.3</v>
      </c>
      <c r="AR67" s="9"/>
      <c r="AS67" s="9"/>
      <c r="AT67" s="9"/>
      <c r="AU67" s="428"/>
      <c r="AV67" s="428"/>
      <c r="AW67" s="449" t="str">
        <f>IF(C67&gt;0,VLOOKUP(C67,Foundation_Calc!$A$2:$C$13,3,1),
IF(J67&gt;0,VLOOKUP(J67,Foundation_Calc!$A$2:$C$13,3,1),""))</f>
        <v/>
      </c>
      <c r="AX67" s="449" t="str">
        <f>IF(C67&gt;0,VLOOKUP(C67,Foundation_Calc!$E$35:$G$65,3,1),
IF(J67&gt;0,VLOOKUP(J67,Foundation_Calc!$E$35:$G$65,3,1),""))</f>
        <v/>
      </c>
      <c r="AY67" s="10" t="str">
        <f>IF(L67="","",
IF(AX67="PT",VLOOKUP(L67,Foundation_Calc!$K$79:$R$113,VLOOKUP(AW67,Foundation_Calc!$I$2:$J$8,2,FALSE),0),
IF(AX67="K",VLOOKUP(L67,Foundation_Calc!$K$117:$R$151,VLOOKUP(AW67,Foundation_Calc!$I$2:$J$8,2,FALSE),0),"")))</f>
        <v/>
      </c>
      <c r="AZ67" s="10" t="str">
        <f>IF(K67="","",
IF(AX67="PT",VLOOKUP(K67,Foundation_Calc!$K$79:$R$113,VLOOKUP(AW67,Foundation_Calc!$I$2:$J$8,2,FALSE),0),
IF(AX67="K",VLOOKUP(K67,Foundation_Calc!$K$117:$R$151,VLOOKUP(AW67,Foundation_Calc!$I$2:$J$8,2,FALSE),0),"")))</f>
        <v/>
      </c>
      <c r="BA67" s="495" t="str">
        <f t="shared" si="12"/>
        <v/>
      </c>
      <c r="BB67" s="495" t="str">
        <f t="shared" si="13"/>
        <v/>
      </c>
      <c r="BC67" s="495" t="str">
        <f t="shared" si="14"/>
        <v/>
      </c>
      <c r="BD67" s="513" t="str">
        <f>IF(AND(L67="",H67=""),"",
IF(H67="",Pole_Calc!A$9,
IF(H67="MP",Pole_Calc!A$10,
IF(H67="AnMP",Pole_Calc!A$11,
IF(H67="A",Pole_Calc!A$12,
IF(H67="S/A",Pole_Calc!A$13,
IF(H67="A/S",Pole_Calc!A$14,"Poner a mano")))))))</f>
        <v/>
      </c>
      <c r="BE67" s="429" t="s">
        <v>118</v>
      </c>
      <c r="BF67" s="290"/>
      <c r="BG67" s="290"/>
      <c r="BH67" s="290"/>
      <c r="BI67" s="290"/>
    </row>
    <row r="68" spans="1:61" ht="16.149999999999999" customHeight="1">
      <c r="A68" s="514"/>
      <c r="B68" s="450" t="s">
        <v>969</v>
      </c>
      <c r="C68" s="3">
        <f>+$C$66+$G$67</f>
        <v>31850.65</v>
      </c>
      <c r="D68" s="83"/>
      <c r="E68" s="4"/>
      <c r="F68" s="4">
        <v>-1500</v>
      </c>
      <c r="G68" s="6"/>
      <c r="H68" s="449" t="s">
        <v>121</v>
      </c>
      <c r="I68" s="4" t="s">
        <v>122</v>
      </c>
      <c r="J68" s="3"/>
      <c r="K68" s="449"/>
      <c r="L68" s="449" t="s">
        <v>181</v>
      </c>
      <c r="M68" s="449" t="str">
        <f>IF(L68="","",
IF(AX68="PT",VLOOKUP(L68,Foundation_Calc!$V$79:$X$113,VLOOKUP(AX68,Foundation_Calc!$I$10:$J$13,2,FALSE),0),
IF(AX68="K",VLOOKUP(L68,Foundation_Calc!$V$117:$X$151,VLOOKUP(AX68,Foundation_Calc!$I$10:$J$13,2,FALSE),0),"")))</f>
        <v>C5R</v>
      </c>
      <c r="N68" s="449" t="s">
        <v>124</v>
      </c>
      <c r="O68" s="449"/>
      <c r="P68" s="449"/>
      <c r="Q68" s="4"/>
      <c r="R68" s="6"/>
      <c r="S68" s="6"/>
      <c r="T68" s="4">
        <v>-30</v>
      </c>
      <c r="U68" s="4"/>
      <c r="V68" s="4"/>
      <c r="W68" s="9">
        <v>1.4</v>
      </c>
      <c r="X68" s="9"/>
      <c r="Y68" s="9"/>
      <c r="Z68" s="9"/>
      <c r="AA68" s="9"/>
      <c r="AB68" s="9"/>
      <c r="AC68" s="449" t="str">
        <f t="shared" si="0"/>
        <v>PHQ</v>
      </c>
      <c r="AD68" s="449"/>
      <c r="AE68" s="449"/>
      <c r="AF68" s="4"/>
      <c r="AG68" s="83"/>
      <c r="AH68" s="4"/>
      <c r="AI68" s="4"/>
      <c r="AJ68" s="449"/>
      <c r="AK68" s="449"/>
      <c r="AL68" s="449"/>
      <c r="AM68" s="449" t="s">
        <v>126</v>
      </c>
      <c r="AN68" s="10">
        <v>5.5</v>
      </c>
      <c r="AO68" s="9"/>
      <c r="AP68" s="9"/>
      <c r="AQ68" s="9"/>
      <c r="AR68" s="9"/>
      <c r="AS68" s="9"/>
      <c r="AT68" s="9">
        <f>+ab($T$68,$T$66,$T$70,$G$67,$G$69, 1*$F$68,1200)</f>
        <v>-5.1262597247918862</v>
      </c>
      <c r="AU68" s="428"/>
      <c r="AV68" s="428"/>
      <c r="AW68" s="449" t="str">
        <f>IF(C68&gt;0,VLOOKUP(C68,Foundation_Calc!$A$2:$C$13,3,1),
IF(J68&gt;0,VLOOKUP(J68,Foundation_Calc!$A$2:$C$13,3,1),""))</f>
        <v>Multi Soil</v>
      </c>
      <c r="AX68" s="449" t="str">
        <f>IF(C68&gt;0,VLOOKUP(C68,Foundation_Calc!$E$35:$G$65,3,1),
IF(J68&gt;0,VLOOKUP(J68,Foundation_Calc!$E$35:$G$65,3,1),""))</f>
        <v>PT</v>
      </c>
      <c r="AY68" s="10">
        <f>IF(L68="","",
IF(AX68="PT",VLOOKUP(L68,Foundation_Calc!$K$79:$R$113,VLOOKUP(AW68,Foundation_Calc!$I$2:$J$8,2,FALSE),0),
IF(AX68="K",VLOOKUP(L68,Foundation_Calc!$K$117:$R$151,VLOOKUP(AW68,Foundation_Calc!$I$2:$J$8,2,FALSE),0),"")))</f>
        <v>3.5</v>
      </c>
      <c r="AZ68" s="10" t="str">
        <f>IF(K68="","",
IF(AX68="PT",VLOOKUP(K68,Foundation_Calc!$K$79:$R$113,VLOOKUP(AW68,Foundation_Calc!$I$2:$J$8,2,FALSE),0),
IF(AX68="K",VLOOKUP(K68,Foundation_Calc!$K$117:$R$151,VLOOKUP(AW68,Foundation_Calc!$I$2:$J$8,2,FALSE),0),"")))</f>
        <v/>
      </c>
      <c r="BA68" s="495" t="str">
        <f t="shared" si="12"/>
        <v>ü</v>
      </c>
      <c r="BB68" s="495" t="str">
        <f t="shared" si="13"/>
        <v/>
      </c>
      <c r="BC68" s="495" t="str">
        <f t="shared" si="14"/>
        <v/>
      </c>
      <c r="BD68" s="513" t="str">
        <f>IF(AND(L68="",H68=""),"",
IF(H68="",Pole_Calc!A$9,
IF(H68="MP",Pole_Calc!A$10,
IF(H68="AnMP",Pole_Calc!A$11,
IF(H68="A",Pole_Calc!A$12,
IF(H68="S/A",Pole_Calc!A$13,
IF(H68="A/S",Pole_Calc!A$14,"Poner a mano")))))))</f>
        <v>App.7-V11I-P9.5.1.6</v>
      </c>
      <c r="BE68" s="429" t="s">
        <v>118</v>
      </c>
      <c r="BF68" s="289"/>
      <c r="BG68" s="289"/>
      <c r="BH68" s="290"/>
      <c r="BI68" s="289"/>
    </row>
    <row r="69" spans="1:61" ht="16.149999999999999" customHeight="1">
      <c r="A69" s="514"/>
      <c r="B69" s="450"/>
      <c r="C69" s="3"/>
      <c r="D69" s="83"/>
      <c r="E69" s="4"/>
      <c r="F69" s="4"/>
      <c r="G69" s="6">
        <v>50</v>
      </c>
      <c r="H69" s="449"/>
      <c r="I69" s="4"/>
      <c r="J69" s="3">
        <f>C68+7.5</f>
        <v>31858.15</v>
      </c>
      <c r="K69" s="449" t="s">
        <v>117</v>
      </c>
      <c r="L69" s="449"/>
      <c r="M69" s="449" t="str">
        <f>IF(L69="","",
IF(AX69="PT",VLOOKUP(L69,Foundation_Calc!$V$79:$X$113,VLOOKUP(AX69,Foundation_Calc!$I$10:$J$13,2,FALSE),0),
IF(AX69="K",VLOOKUP(L69,Foundation_Calc!$V$117:$X$151,VLOOKUP(AX69,Foundation_Calc!$I$10:$J$13,2,FALSE),0),"")))</f>
        <v/>
      </c>
      <c r="N69" s="449"/>
      <c r="O69" s="449"/>
      <c r="P69" s="449"/>
      <c r="Q69" s="4"/>
      <c r="R69" s="6"/>
      <c r="S69" s="6"/>
      <c r="T69" s="4"/>
      <c r="U69" s="4"/>
      <c r="V69" s="4"/>
      <c r="W69" s="9"/>
      <c r="X69" s="9"/>
      <c r="Y69" s="9"/>
      <c r="Z69" s="9"/>
      <c r="AA69" s="9"/>
      <c r="AB69" s="9"/>
      <c r="AC69" s="449" t="str">
        <f t="shared" si="0"/>
        <v/>
      </c>
      <c r="AD69" s="449"/>
      <c r="AE69" s="449"/>
      <c r="AF69" s="4"/>
      <c r="AG69" s="83"/>
      <c r="AH69" s="4"/>
      <c r="AI69" s="4"/>
      <c r="AJ69" s="449"/>
      <c r="AK69" s="449"/>
      <c r="AL69" s="449"/>
      <c r="AM69" s="449"/>
      <c r="AN69" s="10"/>
      <c r="AO69" s="9"/>
      <c r="AP69" s="9"/>
      <c r="AQ69" s="9">
        <f>+FL_2($T$70,$T$68,$G$69,1200,9.28, 1*$F$70)</f>
        <v>-0.37917573229143875</v>
      </c>
      <c r="AR69" s="9"/>
      <c r="AS69" s="9"/>
      <c r="AT69" s="9"/>
      <c r="AU69" s="428"/>
      <c r="AV69" s="428"/>
      <c r="AW69" s="449" t="str">
        <f>IF(C69&gt;0,VLOOKUP(C69,Foundation_Calc!$A$2:$C$13,3,1),
IF(J69&gt;0,VLOOKUP(J69,Foundation_Calc!$A$2:$C$13,3,1),""))</f>
        <v>Multi Soil</v>
      </c>
      <c r="AX69" s="449" t="str">
        <f>IF(C69&gt;0,VLOOKUP(C69,Foundation_Calc!$E$35:$G$65,3,1),
IF(J69&gt;0,VLOOKUP(J69,Foundation_Calc!$E$35:$G$65,3,1),""))</f>
        <v>PT</v>
      </c>
      <c r="AY69" s="10" t="str">
        <f>IF(L69="","",
IF(AX69="PT",VLOOKUP(L69,Foundation_Calc!$K$79:$R$113,VLOOKUP(AW69,Foundation_Calc!$I$2:$J$8,2,FALSE),0),
IF(AX69="K",VLOOKUP(L69,Foundation_Calc!$K$117:$R$151,VLOOKUP(AW69,Foundation_Calc!$I$2:$J$8,2,FALSE),0),"")))</f>
        <v/>
      </c>
      <c r="AZ69" s="10">
        <f>IF(K69="","",
IF(AX69="PT",VLOOKUP(K69,Foundation_Calc!$K$79:$R$113,VLOOKUP(AW69,Foundation_Calc!$I$2:$J$8,2,FALSE),0),
IF(AX69="K",VLOOKUP(K69,Foundation_Calc!$K$117:$R$151,VLOOKUP(AW69,Foundation_Calc!$I$2:$J$8,2,FALSE),0),"")))</f>
        <v>3.9</v>
      </c>
      <c r="BA69" s="495" t="str">
        <f t="shared" si="12"/>
        <v/>
      </c>
      <c r="BB69" s="495" t="str">
        <f t="shared" si="13"/>
        <v>ü</v>
      </c>
      <c r="BC69" s="495" t="str">
        <f t="shared" si="14"/>
        <v/>
      </c>
      <c r="BD69" s="513" t="str">
        <f>IF(AND(L69="",H69=""),"",
IF(H69="",Pole_Calc!A$9,
IF(H69="MP",Pole_Calc!A$10,
IF(H69="AnMP",Pole_Calc!A$11,
IF(H69="A",Pole_Calc!A$12,
IF(H69="S/A",Pole_Calc!A$13,
IF(H69="A/S",Pole_Calc!A$14,"Poner a mano")))))))</f>
        <v/>
      </c>
      <c r="BE69" s="429" t="s">
        <v>118</v>
      </c>
      <c r="BF69" s="290"/>
      <c r="BG69" s="290"/>
      <c r="BH69" s="290"/>
      <c r="BI69" s="290"/>
    </row>
    <row r="70" spans="1:61" ht="16.149999999999999" customHeight="1">
      <c r="A70" s="514"/>
      <c r="B70" s="450" t="s">
        <v>970</v>
      </c>
      <c r="C70" s="3">
        <f>+$C$68+$G$69</f>
        <v>31900.65</v>
      </c>
      <c r="D70" s="83"/>
      <c r="E70" s="4"/>
      <c r="F70" s="4">
        <v>-1923.2654600301871</v>
      </c>
      <c r="G70" s="6"/>
      <c r="H70" s="449"/>
      <c r="I70" s="4"/>
      <c r="J70" s="3"/>
      <c r="K70" s="449"/>
      <c r="L70" s="449" t="s">
        <v>158</v>
      </c>
      <c r="M70" s="449" t="str">
        <f>IF(L70="","",
IF(AX70="PT",VLOOKUP(L70,Foundation_Calc!$V$79:$X$113,VLOOKUP(AX70,Foundation_Calc!$I$10:$J$13,2,FALSE),0),
IF(AX70="K",VLOOKUP(L70,Foundation_Calc!$V$117:$X$151,VLOOKUP(AX70,Foundation_Calc!$I$10:$J$13,2,FALSE),0),"")))</f>
        <v>C4R</v>
      </c>
      <c r="N70" s="449" t="s">
        <v>124</v>
      </c>
      <c r="O70" s="449"/>
      <c r="P70" s="449"/>
      <c r="Q70" s="4"/>
      <c r="R70" s="6"/>
      <c r="S70" s="6"/>
      <c r="T70" s="4">
        <v>-30</v>
      </c>
      <c r="U70" s="4"/>
      <c r="V70" s="4"/>
      <c r="W70" s="9">
        <v>1.4</v>
      </c>
      <c r="X70" s="9"/>
      <c r="Y70" s="9"/>
      <c r="Z70" s="9"/>
      <c r="AA70" s="9"/>
      <c r="AB70" s="9"/>
      <c r="AC70" s="449" t="str">
        <f t="shared" si="0"/>
        <v>PHQ</v>
      </c>
      <c r="AD70" s="449"/>
      <c r="AE70" s="449"/>
      <c r="AF70" s="4"/>
      <c r="AG70" s="83"/>
      <c r="AH70" s="4"/>
      <c r="AI70" s="4"/>
      <c r="AJ70" s="449"/>
      <c r="AK70" s="449"/>
      <c r="AL70" s="449"/>
      <c r="AM70" s="449" t="s">
        <v>126</v>
      </c>
      <c r="AN70" s="10">
        <v>5.5</v>
      </c>
      <c r="AO70" s="9"/>
      <c r="AP70" s="9"/>
      <c r="AQ70" s="9"/>
      <c r="AR70" s="9"/>
      <c r="AS70" s="9"/>
      <c r="AT70" s="9">
        <f>+ab($T$70,$T$68,$T$72,$G$69,$G$71, 1*$F$70,1200)</f>
        <v>-6.8215182363065372</v>
      </c>
      <c r="AU70" s="428"/>
      <c r="AV70" s="428"/>
      <c r="AW70" s="449" t="str">
        <f>IF(C70&gt;0,VLOOKUP(C70,Foundation_Calc!$A$2:$C$13,3,1),
IF(J70&gt;0,VLOOKUP(J70,Foundation_Calc!$A$2:$C$13,3,1),""))</f>
        <v>Multi Soil</v>
      </c>
      <c r="AX70" s="449" t="str">
        <f>IF(C70&gt;0,VLOOKUP(C70,Foundation_Calc!$E$35:$G$65,3,1),
IF(J70&gt;0,VLOOKUP(J70,Foundation_Calc!$E$35:$G$65,3,1),""))</f>
        <v>PT</v>
      </c>
      <c r="AY70" s="10">
        <f>IF(L70="","",
IF(AX70="PT",VLOOKUP(L70,Foundation_Calc!$K$79:$R$113,VLOOKUP(AW70,Foundation_Calc!$I$2:$J$8,2,FALSE),0),
IF(AX70="K",VLOOKUP(L70,Foundation_Calc!$K$117:$R$151,VLOOKUP(AW70,Foundation_Calc!$I$2:$J$8,2,FALSE),0),"")))</f>
        <v>3.5</v>
      </c>
      <c r="AZ70" s="10" t="str">
        <f>IF(K70="","",
IF(AX70="PT",VLOOKUP(K70,Foundation_Calc!$K$79:$R$113,VLOOKUP(AW70,Foundation_Calc!$I$2:$J$8,2,FALSE),0),
IF(AX70="K",VLOOKUP(K70,Foundation_Calc!$K$117:$R$151,VLOOKUP(AW70,Foundation_Calc!$I$2:$J$8,2,FALSE),0),"")))</f>
        <v/>
      </c>
      <c r="BA70" s="495" t="str">
        <f t="shared" si="12"/>
        <v>ü</v>
      </c>
      <c r="BB70" s="495" t="str">
        <f t="shared" si="13"/>
        <v/>
      </c>
      <c r="BC70" s="495" t="str">
        <f t="shared" si="14"/>
        <v/>
      </c>
      <c r="BD70" s="513" t="str">
        <f>IF(AND(L70="",H70=""),"",
IF(H70="",Pole_Calc!A$9,
IF(H70="MP",Pole_Calc!A$10,
IF(H70="AnMP",Pole_Calc!A$11,
IF(H70="A",Pole_Calc!A$12,
IF(H70="S/A",Pole_Calc!A$13,
IF(H70="A/S",Pole_Calc!A$14,"Poner a mano")))))))</f>
        <v>App.7-V11I-P9.5.1.1</v>
      </c>
      <c r="BE70" s="429" t="s">
        <v>118</v>
      </c>
      <c r="BF70" s="289"/>
      <c r="BG70" s="289"/>
      <c r="BH70" s="290"/>
      <c r="BI70" s="289"/>
    </row>
    <row r="71" spans="1:61" ht="16.149999999999999" customHeight="1">
      <c r="A71" s="514"/>
      <c r="B71" s="450"/>
      <c r="C71" s="3"/>
      <c r="D71" s="83"/>
      <c r="E71" s="4"/>
      <c r="F71" s="4"/>
      <c r="G71" s="6">
        <v>50</v>
      </c>
      <c r="H71" s="449"/>
      <c r="I71" s="4"/>
      <c r="J71" s="3"/>
      <c r="K71" s="449"/>
      <c r="L71" s="449"/>
      <c r="M71" s="449" t="str">
        <f>IF(L71="","",
IF(AX71="PT",VLOOKUP(L71,Foundation_Calc!$V$79:$X$113,VLOOKUP(AX71,Foundation_Calc!$I$10:$J$13,2,FALSE),0),
IF(AX71="K",VLOOKUP(L71,Foundation_Calc!$V$117:$X$151,VLOOKUP(AX71,Foundation_Calc!$I$10:$J$13,2,FALSE),0),"")))</f>
        <v/>
      </c>
      <c r="N71" s="449"/>
      <c r="O71" s="449"/>
      <c r="P71" s="449"/>
      <c r="Q71" s="4"/>
      <c r="R71" s="6"/>
      <c r="S71" s="6"/>
      <c r="T71" s="4"/>
      <c r="U71" s="4"/>
      <c r="V71" s="4"/>
      <c r="W71" s="9"/>
      <c r="X71" s="9"/>
      <c r="Y71" s="9"/>
      <c r="Z71" s="9"/>
      <c r="AA71" s="9"/>
      <c r="AB71" s="9"/>
      <c r="AC71" s="449" t="str">
        <f t="shared" si="0"/>
        <v/>
      </c>
      <c r="AD71" s="449"/>
      <c r="AE71" s="449"/>
      <c r="AF71" s="4"/>
      <c r="AG71" s="83"/>
      <c r="AH71" s="4"/>
      <c r="AI71" s="4"/>
      <c r="AJ71" s="449"/>
      <c r="AK71" s="449"/>
      <c r="AL71" s="449"/>
      <c r="AM71" s="449"/>
      <c r="AN71" s="10"/>
      <c r="AO71" s="9"/>
      <c r="AP71" s="9"/>
      <c r="AQ71" s="9">
        <f>+FL_2($T$72,$T$70,$G$71,1200,9.28, 1*$F$72)</f>
        <v>-0.39489949128353774</v>
      </c>
      <c r="AR71" s="9"/>
      <c r="AS71" s="9"/>
      <c r="AT71" s="9"/>
      <c r="AU71" s="428"/>
      <c r="AV71" s="428"/>
      <c r="AW71" s="449" t="str">
        <f>IF(C71&gt;0,VLOOKUP(C71,Foundation_Calc!$A$2:$C$13,3,1),
IF(J71&gt;0,VLOOKUP(J71,Foundation_Calc!$A$2:$C$13,3,1),""))</f>
        <v/>
      </c>
      <c r="AX71" s="449" t="str">
        <f>IF(C71&gt;0,VLOOKUP(C71,Foundation_Calc!$E$35:$G$65,3,1),
IF(J71&gt;0,VLOOKUP(J71,Foundation_Calc!$E$35:$G$65,3,1),""))</f>
        <v/>
      </c>
      <c r="AY71" s="10" t="str">
        <f>IF(L71="","",
IF(AX71="PT",VLOOKUP(L71,Foundation_Calc!$K$79:$R$113,VLOOKUP(AW71,Foundation_Calc!$I$2:$J$8,2,FALSE),0),
IF(AX71="K",VLOOKUP(L71,Foundation_Calc!$K$117:$R$151,VLOOKUP(AW71,Foundation_Calc!$I$2:$J$8,2,FALSE),0),"")))</f>
        <v/>
      </c>
      <c r="AZ71" s="10" t="str">
        <f>IF(K71="","",
IF(AX71="PT",VLOOKUP(K71,Foundation_Calc!$K$79:$R$113,VLOOKUP(AW71,Foundation_Calc!$I$2:$J$8,2,FALSE),0),
IF(AX71="K",VLOOKUP(K71,Foundation_Calc!$K$117:$R$151,VLOOKUP(AW71,Foundation_Calc!$I$2:$J$8,2,FALSE),0),"")))</f>
        <v/>
      </c>
      <c r="BA71" s="495" t="str">
        <f t="shared" si="12"/>
        <v/>
      </c>
      <c r="BB71" s="495" t="str">
        <f t="shared" si="13"/>
        <v/>
      </c>
      <c r="BC71" s="495" t="str">
        <f t="shared" si="14"/>
        <v/>
      </c>
      <c r="BD71" s="513" t="str">
        <f>IF(AND(L71="",H71=""),"",
IF(H71="",Pole_Calc!A$9,
IF(H71="MP",Pole_Calc!A$10,
IF(H71="AnMP",Pole_Calc!A$11,
IF(H71="A",Pole_Calc!A$12,
IF(H71="S/A",Pole_Calc!A$13,
IF(H71="A/S",Pole_Calc!A$14,"Poner a mano")))))))</f>
        <v/>
      </c>
      <c r="BE71" s="429" t="s">
        <v>118</v>
      </c>
      <c r="BF71" s="290"/>
      <c r="BG71" s="290"/>
      <c r="BH71" s="290"/>
      <c r="BI71" s="290"/>
    </row>
    <row r="72" spans="1:61" ht="16.149999999999999" customHeight="1">
      <c r="A72" s="514"/>
      <c r="B72" s="450" t="s">
        <v>971</v>
      </c>
      <c r="C72" s="3">
        <f>+$C$70+$G$71</f>
        <v>31950.65</v>
      </c>
      <c r="D72" s="83"/>
      <c r="E72" s="4"/>
      <c r="F72" s="4">
        <v>-3087.4697336562285</v>
      </c>
      <c r="G72" s="6"/>
      <c r="H72" s="449"/>
      <c r="I72" s="4"/>
      <c r="J72" s="3"/>
      <c r="K72" s="449"/>
      <c r="L72" s="449" t="s">
        <v>153</v>
      </c>
      <c r="M72" s="449" t="str">
        <f>IF(L72="","",
IF(AX72="PT",VLOOKUP(L72,Foundation_Calc!$V$79:$X$113,VLOOKUP(AX72,Foundation_Calc!$I$10:$J$13,2,FALSE),0),
IF(AX72="K",VLOOKUP(L72,Foundation_Calc!$V$117:$X$151,VLOOKUP(AX72,Foundation_Calc!$I$10:$J$13,2,FALSE),0),"")))</f>
        <v>C3R</v>
      </c>
      <c r="N72" s="449" t="s">
        <v>124</v>
      </c>
      <c r="O72" s="449"/>
      <c r="P72" s="449"/>
      <c r="Q72" s="4"/>
      <c r="R72" s="6"/>
      <c r="S72" s="6"/>
      <c r="T72" s="4">
        <v>-20</v>
      </c>
      <c r="U72" s="4"/>
      <c r="V72" s="4"/>
      <c r="W72" s="9">
        <v>1.4</v>
      </c>
      <c r="X72" s="9"/>
      <c r="Y72" s="9"/>
      <c r="Z72" s="9"/>
      <c r="AA72" s="9"/>
      <c r="AB72" s="9"/>
      <c r="AC72" s="449"/>
      <c r="AD72" s="449"/>
      <c r="AE72" s="449"/>
      <c r="AF72" s="4"/>
      <c r="AG72" s="83"/>
      <c r="AH72" s="4"/>
      <c r="AI72" s="4"/>
      <c r="AJ72" s="449"/>
      <c r="AK72" s="449"/>
      <c r="AL72" s="449"/>
      <c r="AM72" s="449" t="s">
        <v>126</v>
      </c>
      <c r="AN72" s="10">
        <v>5.5</v>
      </c>
      <c r="AO72" s="9"/>
      <c r="AP72" s="9"/>
      <c r="AQ72" s="9"/>
      <c r="AR72" s="9"/>
      <c r="AS72" s="9"/>
      <c r="AT72" s="9">
        <f>+ab($T$72,$T$70,$T$74,$G$71,$G$73, 1*$F$72,1200)</f>
        <v>-8.2164105456167302</v>
      </c>
      <c r="AU72" s="428"/>
      <c r="AV72" s="428"/>
      <c r="AW72" s="449" t="str">
        <f>IF(C72&gt;0,VLOOKUP(C72,Foundation_Calc!$A$2:$C$13,3,1),
IF(J72&gt;0,VLOOKUP(J72,Foundation_Calc!$A$2:$C$13,3,1),""))</f>
        <v>Multi Soil</v>
      </c>
      <c r="AX72" s="449" t="str">
        <f>IF(C72&gt;0,VLOOKUP(C72,Foundation_Calc!$E$35:$G$65,3,1),
IF(J72&gt;0,VLOOKUP(J72,Foundation_Calc!$E$35:$G$65,3,1),""))</f>
        <v>PT</v>
      </c>
      <c r="AY72" s="10">
        <f>IF(L72="","",
IF(AX72="PT",VLOOKUP(L72,Foundation_Calc!$K$79:$R$113,VLOOKUP(AW72,Foundation_Calc!$I$2:$J$8,2,FALSE),0),
IF(AX72="K",VLOOKUP(L72,Foundation_Calc!$K$117:$R$151,VLOOKUP(AW72,Foundation_Calc!$I$2:$J$8,2,FALSE),0),"")))</f>
        <v>3.5</v>
      </c>
      <c r="AZ72" s="10" t="str">
        <f>IF(K72="","",
IF(AX72="PT",VLOOKUP(K72,Foundation_Calc!$K$79:$R$113,VLOOKUP(AW72,Foundation_Calc!$I$2:$J$8,2,FALSE),0),
IF(AX72="K",VLOOKUP(K72,Foundation_Calc!$K$117:$R$151,VLOOKUP(AW72,Foundation_Calc!$I$2:$J$8,2,FALSE),0),"")))</f>
        <v/>
      </c>
      <c r="BA72" s="495"/>
      <c r="BB72" s="495"/>
      <c r="BC72" s="495"/>
      <c r="BD72" s="513" t="str">
        <f>IF(AND(L72="",H72=""),"",
IF(H72="",Pole_Calc!A$9,
IF(H72="MP",Pole_Calc!A$10,
IF(H72="AnMP",Pole_Calc!A$11,
IF(H72="A",Pole_Calc!A$12,
IF(H72="S/A",Pole_Calc!A$13,
IF(H72="A/S",Pole_Calc!A$14,"Poner a mano")))))))</f>
        <v>App.7-V11I-P9.5.1.1</v>
      </c>
      <c r="BE72" s="429" t="s">
        <v>118</v>
      </c>
      <c r="BF72" s="289"/>
      <c r="BG72" s="289"/>
      <c r="BH72" s="290"/>
      <c r="BI72" s="289"/>
    </row>
    <row r="73" spans="1:61" ht="16.149999999999999" customHeight="1">
      <c r="A73" s="514"/>
      <c r="B73" s="450"/>
      <c r="C73" s="3"/>
      <c r="D73" s="83"/>
      <c r="E73" s="4"/>
      <c r="F73" s="4"/>
      <c r="G73" s="6">
        <v>50</v>
      </c>
      <c r="H73" s="449"/>
      <c r="I73" s="4"/>
      <c r="J73" s="3"/>
      <c r="K73" s="449"/>
      <c r="L73" s="449"/>
      <c r="M73" s="449" t="str">
        <f>IF(L73="","",
IF(AX73="PT",VLOOKUP(L73,Foundation_Calc!$V$79:$X$113,VLOOKUP(AX73,Foundation_Calc!$I$10:$J$13,2,FALSE),0),
IF(AX73="K",VLOOKUP(L73,Foundation_Calc!$V$117:$X$151,VLOOKUP(AX73,Foundation_Calc!$I$10:$J$13,2,FALSE),0),"")))</f>
        <v/>
      </c>
      <c r="N73" s="449"/>
      <c r="O73" s="449"/>
      <c r="P73" s="449"/>
      <c r="Q73" s="4"/>
      <c r="R73" s="6"/>
      <c r="S73" s="6"/>
      <c r="T73" s="4"/>
      <c r="U73" s="4"/>
      <c r="V73" s="4"/>
      <c r="W73" s="9"/>
      <c r="X73" s="9"/>
      <c r="Y73" s="9"/>
      <c r="Z73" s="9"/>
      <c r="AA73" s="9"/>
      <c r="AB73" s="9"/>
      <c r="AC73" s="449" t="str">
        <f t="shared" si="0"/>
        <v/>
      </c>
      <c r="AD73" s="449"/>
      <c r="AE73" s="449"/>
      <c r="AF73" s="4"/>
      <c r="AG73" s="83"/>
      <c r="AH73" s="4"/>
      <c r="AI73" s="4"/>
      <c r="AJ73" s="449"/>
      <c r="AK73" s="449"/>
      <c r="AL73" s="449"/>
      <c r="AM73" s="449"/>
      <c r="AN73" s="10"/>
      <c r="AO73" s="9"/>
      <c r="AP73" s="9"/>
      <c r="AQ73" s="9">
        <f>+FL_1($T$74,$T$72,$G$73,1200,9.28, 1*$F$74)</f>
        <v>0.35155567712902991</v>
      </c>
      <c r="AR73" s="9"/>
      <c r="AS73" s="9"/>
      <c r="AT73" s="9"/>
      <c r="AU73" s="428"/>
      <c r="AV73" s="428"/>
      <c r="AW73" s="449" t="str">
        <f>IF(C73&gt;0,VLOOKUP(C73,Foundation_Calc!$A$2:$C$13,3,1),
IF(J73&gt;0,VLOOKUP(J73,Foundation_Calc!$A$2:$C$13,3,1),""))</f>
        <v/>
      </c>
      <c r="AX73" s="449" t="str">
        <f>IF(C73&gt;0,VLOOKUP(C73,Foundation_Calc!$E$35:$G$65,3,1),
IF(J73&gt;0,VLOOKUP(J73,Foundation_Calc!$E$35:$G$65,3,1),""))</f>
        <v/>
      </c>
      <c r="AY73" s="10" t="str">
        <f>IF(L73="","",
IF(AX73="PT",VLOOKUP(L73,Foundation_Calc!$K$79:$R$113,VLOOKUP(AW73,Foundation_Calc!$I$2:$J$8,2,FALSE),0),
IF(AX73="K",VLOOKUP(L73,Foundation_Calc!$K$117:$R$151,VLOOKUP(AW73,Foundation_Calc!$I$2:$J$8,2,FALSE),0),"")))</f>
        <v/>
      </c>
      <c r="AZ73" s="10" t="str">
        <f>IF(K73="","",
IF(AX73="PT",VLOOKUP(K73,Foundation_Calc!$K$79:$R$113,VLOOKUP(AW73,Foundation_Calc!$I$2:$J$8,2,FALSE),0),
IF(AX73="K",VLOOKUP(K73,Foundation_Calc!$K$117:$R$151,VLOOKUP(AW73,Foundation_Calc!$I$2:$J$8,2,FALSE),0),"")))</f>
        <v/>
      </c>
      <c r="BA73" s="495" t="str">
        <f t="shared" si="12"/>
        <v/>
      </c>
      <c r="BB73" s="495" t="str">
        <f t="shared" si="13"/>
        <v/>
      </c>
      <c r="BC73" s="495" t="str">
        <f t="shared" si="14"/>
        <v/>
      </c>
      <c r="BD73" s="513" t="str">
        <f>IF(AND(L73="",H73=""),"",
IF(H73="",Pole_Calc!A$9,
IF(H73="MP",Pole_Calc!A$10,
IF(H73="AnMP",Pole_Calc!A$11,
IF(H73="A",Pole_Calc!A$12,
IF(H73="S/A",Pole_Calc!A$13,
IF(H73="A/S",Pole_Calc!A$14,"Poner a mano")))))))</f>
        <v/>
      </c>
      <c r="BE73" s="429" t="s">
        <v>118</v>
      </c>
      <c r="BF73" s="290"/>
      <c r="BG73" s="290"/>
      <c r="BH73" s="290"/>
      <c r="BI73" s="290"/>
    </row>
    <row r="74" spans="1:61" ht="16.149999999999999" customHeight="1">
      <c r="A74" s="514"/>
      <c r="B74" s="450" t="s">
        <v>972</v>
      </c>
      <c r="C74" s="3">
        <f>+$C$72+$G$73</f>
        <v>32000.65</v>
      </c>
      <c r="D74" s="83"/>
      <c r="E74" s="4"/>
      <c r="F74" s="4">
        <v>-7822.8527607365459</v>
      </c>
      <c r="G74" s="6"/>
      <c r="H74" s="449"/>
      <c r="I74" s="4"/>
      <c r="J74" s="3"/>
      <c r="K74" s="449"/>
      <c r="L74" s="449" t="s">
        <v>153</v>
      </c>
      <c r="M74" s="449" t="str">
        <f>IF(L74="","",
IF(AX74="PT",VLOOKUP(L74,Foundation_Calc!$V$79:$X$113,VLOOKUP(AX74,Foundation_Calc!$I$10:$J$13,2,FALSE),0),
IF(AX74="K",VLOOKUP(L74,Foundation_Calc!$V$117:$X$151,VLOOKUP(AX74,Foundation_Calc!$I$10:$J$13,2,FALSE),0),"")))</f>
        <v>C3R</v>
      </c>
      <c r="N74" s="449" t="s">
        <v>134</v>
      </c>
      <c r="O74" s="449"/>
      <c r="P74" s="449"/>
      <c r="Q74" s="4"/>
      <c r="R74" s="6"/>
      <c r="S74" s="6"/>
      <c r="T74" s="4">
        <v>25</v>
      </c>
      <c r="U74" s="4"/>
      <c r="V74" s="4"/>
      <c r="W74" s="9">
        <v>1.4</v>
      </c>
      <c r="X74" s="9"/>
      <c r="Y74" s="9"/>
      <c r="Z74" s="9"/>
      <c r="AA74" s="9"/>
      <c r="AB74" s="9"/>
      <c r="AC74" s="449" t="str">
        <f t="shared" si="0"/>
        <v>PH</v>
      </c>
      <c r="AD74" s="449"/>
      <c r="AE74" s="449"/>
      <c r="AF74" s="4"/>
      <c r="AG74" s="83"/>
      <c r="AH74" s="4"/>
      <c r="AI74" s="4"/>
      <c r="AJ74" s="449"/>
      <c r="AK74" s="449"/>
      <c r="AL74" s="449"/>
      <c r="AM74" s="449" t="s">
        <v>126</v>
      </c>
      <c r="AN74" s="10">
        <v>5.5</v>
      </c>
      <c r="AO74" s="9"/>
      <c r="AP74" s="9"/>
      <c r="AQ74" s="9"/>
      <c r="AR74" s="9"/>
      <c r="AS74" s="9"/>
      <c r="AT74" s="9">
        <f>+ab($T$74,$T$72,$T$76,$G$73,$G$75, 1*$F$74,1200)</f>
        <v>14.238978217931882</v>
      </c>
      <c r="AU74" s="428"/>
      <c r="AV74" s="428"/>
      <c r="AW74" s="449" t="str">
        <f>IF(C74&gt;0,VLOOKUP(C74,Foundation_Calc!$A$2:$C$13,3,1),
IF(J74&gt;0,VLOOKUP(J74,Foundation_Calc!$A$2:$C$13,3,1),""))</f>
        <v>Multi Soil</v>
      </c>
      <c r="AX74" s="449" t="str">
        <f>IF(C74&gt;0,VLOOKUP(C74,Foundation_Calc!$E$35:$G$65,3,1),
IF(J74&gt;0,VLOOKUP(J74,Foundation_Calc!$E$35:$G$65,3,1),""))</f>
        <v>PT</v>
      </c>
      <c r="AY74" s="10">
        <f>IF(L74="","",
IF(AX74="PT",VLOOKUP(L74,Foundation_Calc!$K$79:$R$113,VLOOKUP(AW74,Foundation_Calc!$I$2:$J$8,2,FALSE),0),
IF(AX74="K",VLOOKUP(L74,Foundation_Calc!$K$117:$R$151,VLOOKUP(AW74,Foundation_Calc!$I$2:$J$8,2,FALSE),0),"")))</f>
        <v>3.5</v>
      </c>
      <c r="AZ74" s="10" t="str">
        <f>IF(K74="","",
IF(AX74="PT",VLOOKUP(K74,Foundation_Calc!$K$79:$R$113,VLOOKUP(AW74,Foundation_Calc!$I$2:$J$8,2,FALSE),0),
IF(AX74="K",VLOOKUP(K74,Foundation_Calc!$K$117:$R$151,VLOOKUP(AW74,Foundation_Calc!$I$2:$J$8,2,FALSE),0),"")))</f>
        <v/>
      </c>
      <c r="BA74" s="495" t="str">
        <f t="shared" si="12"/>
        <v>ü</v>
      </c>
      <c r="BB74" s="495" t="str">
        <f t="shared" si="13"/>
        <v/>
      </c>
      <c r="BC74" s="495" t="str">
        <f t="shared" si="14"/>
        <v/>
      </c>
      <c r="BD74" s="513" t="str">
        <f>IF(AND(L74="",H74=""),"",
IF(H74="",Pole_Calc!A$9,
IF(H74="MP",Pole_Calc!A$10,
IF(H74="AnMP",Pole_Calc!A$11,
IF(H74="A",Pole_Calc!A$12,
IF(H74="S/A",Pole_Calc!A$13,
IF(H74="A/S",Pole_Calc!A$14,"Poner a mano")))))))</f>
        <v>App.7-V11I-P9.5.1.1</v>
      </c>
      <c r="BE74" s="429" t="s">
        <v>118</v>
      </c>
      <c r="BF74" s="289"/>
      <c r="BG74" s="289"/>
      <c r="BH74" s="290"/>
      <c r="BI74" s="289"/>
    </row>
    <row r="75" spans="1:61" ht="16.149999999999999" customHeight="1">
      <c r="A75" s="514"/>
      <c r="B75" s="450"/>
      <c r="C75" s="3"/>
      <c r="D75" s="83"/>
      <c r="E75" s="4"/>
      <c r="F75" s="4"/>
      <c r="G75" s="6">
        <v>55</v>
      </c>
      <c r="H75" s="449"/>
      <c r="I75" s="4"/>
      <c r="J75" s="3"/>
      <c r="K75" s="449"/>
      <c r="L75" s="449"/>
      <c r="M75" s="449" t="str">
        <f>IF(L75="","",
IF(AX75="PT",VLOOKUP(L75,Foundation_Calc!$V$79:$X$113,VLOOKUP(AX75,Foundation_Calc!$I$10:$J$13,2,FALSE),0),
IF(AX75="K",VLOOKUP(L75,Foundation_Calc!$V$117:$X$151,VLOOKUP(AX75,Foundation_Calc!$I$10:$J$13,2,FALSE),0),"")))</f>
        <v/>
      </c>
      <c r="N75" s="449"/>
      <c r="O75" s="449"/>
      <c r="P75" s="449"/>
      <c r="Q75" s="4"/>
      <c r="R75" s="6"/>
      <c r="S75" s="6"/>
      <c r="T75" s="4"/>
      <c r="U75" s="4"/>
      <c r="V75" s="4"/>
      <c r="W75" s="9"/>
      <c r="X75" s="9"/>
      <c r="Y75" s="9"/>
      <c r="Z75" s="9"/>
      <c r="AA75" s="9"/>
      <c r="AB75" s="9"/>
      <c r="AC75" s="449" t="str">
        <f t="shared" ref="AC75:AC134" si="15">IF(OR(AT75&gt;8,AT75&lt;-8),"PH",
IF(OR(AT75&gt;5,AT75&lt;-5),"PHQ",
IF(OR(AT75&gt;1,AT75&lt;-1),
"PHC","")))</f>
        <v/>
      </c>
      <c r="AD75" s="449"/>
      <c r="AE75" s="449"/>
      <c r="AF75" s="4"/>
      <c r="AG75" s="83"/>
      <c r="AH75" s="4"/>
      <c r="AI75" s="4"/>
      <c r="AJ75" s="449"/>
      <c r="AK75" s="449"/>
      <c r="AL75" s="449"/>
      <c r="AM75" s="449"/>
      <c r="AN75" s="10"/>
      <c r="AO75" s="9"/>
      <c r="AP75" s="9"/>
      <c r="AQ75" s="9">
        <f>+FL_2($T$76,$T$74,$G$75,1200,9.28, 1*$F$76)</f>
        <v>-0.41936166072727271</v>
      </c>
      <c r="AR75" s="9"/>
      <c r="AS75" s="9"/>
      <c r="AT75" s="9"/>
      <c r="AU75" s="428"/>
      <c r="AV75" s="428"/>
      <c r="AW75" s="449" t="str">
        <f>IF(C75&gt;0,VLOOKUP(C75,Foundation_Calc!$A$2:$C$13,3,1),
IF(J75&gt;0,VLOOKUP(J75,Foundation_Calc!$A$2:$C$13,3,1),""))</f>
        <v/>
      </c>
      <c r="AX75" s="449" t="str">
        <f>IF(C75&gt;0,VLOOKUP(C75,Foundation_Calc!$E$35:$G$65,3,1),
IF(J75&gt;0,VLOOKUP(J75,Foundation_Calc!$E$35:$G$65,3,1),""))</f>
        <v/>
      </c>
      <c r="AY75" s="10" t="str">
        <f>IF(L75="","",
IF(AX75="PT",VLOOKUP(L75,Foundation_Calc!$K$79:$R$113,VLOOKUP(AW75,Foundation_Calc!$I$2:$J$8,2,FALSE),0),
IF(AX75="K",VLOOKUP(L75,Foundation_Calc!$K$117:$R$151,VLOOKUP(AW75,Foundation_Calc!$I$2:$J$8,2,FALSE),0),"")))</f>
        <v/>
      </c>
      <c r="AZ75" s="10" t="str">
        <f>IF(K75="","",
IF(AX75="PT",VLOOKUP(K75,Foundation_Calc!$K$79:$R$113,VLOOKUP(AW75,Foundation_Calc!$I$2:$J$8,2,FALSE),0),
IF(AX75="K",VLOOKUP(K75,Foundation_Calc!$K$117:$R$151,VLOOKUP(AW75,Foundation_Calc!$I$2:$J$8,2,FALSE),0),"")))</f>
        <v/>
      </c>
      <c r="BA75" s="495" t="str">
        <f t="shared" si="12"/>
        <v/>
      </c>
      <c r="BB75" s="495" t="str">
        <f t="shared" si="13"/>
        <v/>
      </c>
      <c r="BC75" s="495" t="str">
        <f t="shared" si="14"/>
        <v/>
      </c>
      <c r="BD75" s="513" t="str">
        <f>IF(AND(L75="",H75=""),"",
IF(H75="",Pole_Calc!A$9,
IF(H75="MP",Pole_Calc!A$10,
IF(H75="AnMP",Pole_Calc!A$11,
IF(H75="A",Pole_Calc!A$12,
IF(H75="S/A",Pole_Calc!A$13,
IF(H75="A/S",Pole_Calc!A$14,"Poner a mano")))))))</f>
        <v/>
      </c>
      <c r="BE75" s="429" t="s">
        <v>118</v>
      </c>
      <c r="BF75" s="290"/>
      <c r="BG75" s="290"/>
      <c r="BH75" s="290"/>
      <c r="BI75" s="290"/>
    </row>
    <row r="76" spans="1:61" ht="16.149999999999999" customHeight="1">
      <c r="A76" s="514"/>
      <c r="B76" s="450" t="s">
        <v>973</v>
      </c>
      <c r="C76" s="3">
        <f>+$C$74+$G$75</f>
        <v>32055.65</v>
      </c>
      <c r="D76" s="83"/>
      <c r="E76" s="4"/>
      <c r="F76" s="4">
        <v>0</v>
      </c>
      <c r="G76" s="6"/>
      <c r="H76" s="449"/>
      <c r="I76" s="4"/>
      <c r="J76" s="3"/>
      <c r="K76" s="449"/>
      <c r="L76" s="449" t="s">
        <v>153</v>
      </c>
      <c r="M76" s="449" t="str">
        <f>IF(L76="","",
IF(AX76="PT",VLOOKUP(L76,Foundation_Calc!$V$79:$X$113,VLOOKUP(AX76,Foundation_Calc!$I$10:$J$13,2,FALSE),0),
IF(AX76="K",VLOOKUP(L76,Foundation_Calc!$V$117:$X$151,VLOOKUP(AX76,Foundation_Calc!$I$10:$J$13,2,FALSE),0),"")))</f>
        <v>C3R</v>
      </c>
      <c r="N76" s="449" t="s">
        <v>124</v>
      </c>
      <c r="O76" s="449"/>
      <c r="P76" s="449"/>
      <c r="Q76" s="4"/>
      <c r="R76" s="6"/>
      <c r="S76" s="6"/>
      <c r="T76" s="4">
        <v>-35</v>
      </c>
      <c r="U76" s="4"/>
      <c r="V76" s="4"/>
      <c r="W76" s="9">
        <v>1.4</v>
      </c>
      <c r="X76" s="9"/>
      <c r="Y76" s="9"/>
      <c r="Z76" s="9"/>
      <c r="AA76" s="9"/>
      <c r="AB76" s="9"/>
      <c r="AC76" s="449" t="str">
        <f t="shared" si="15"/>
        <v>PH</v>
      </c>
      <c r="AD76" s="449"/>
      <c r="AE76" s="449"/>
      <c r="AF76" s="4"/>
      <c r="AG76" s="83"/>
      <c r="AH76" s="4"/>
      <c r="AI76" s="4"/>
      <c r="AJ76" s="449"/>
      <c r="AK76" s="449"/>
      <c r="AL76" s="449"/>
      <c r="AM76" s="449" t="s">
        <v>126</v>
      </c>
      <c r="AN76" s="10">
        <v>5.5</v>
      </c>
      <c r="AO76" s="9"/>
      <c r="AP76" s="9"/>
      <c r="AQ76" s="9"/>
      <c r="AR76" s="9"/>
      <c r="AS76" s="9"/>
      <c r="AT76" s="9">
        <f>+ab($T$76,$T$74,$T$78,$G$75,$G$77, 1*$F$76,1200)</f>
        <v>-8.4384187075508006</v>
      </c>
      <c r="AU76" s="428"/>
      <c r="AV76" s="428"/>
      <c r="AW76" s="449" t="str">
        <f>IF(C76&gt;0,VLOOKUP(C76,Foundation_Calc!$A$2:$C$13,3,1),
IF(J76&gt;0,VLOOKUP(J76,Foundation_Calc!$A$2:$C$13,3,1),""))</f>
        <v>Multi Soil</v>
      </c>
      <c r="AX76" s="449" t="str">
        <f>IF(C76&gt;0,VLOOKUP(C76,Foundation_Calc!$E$35:$G$65,3,1),
IF(J76&gt;0,VLOOKUP(J76,Foundation_Calc!$E$35:$G$65,3,1),""))</f>
        <v>PT</v>
      </c>
      <c r="AY76" s="10">
        <f>IF(L76="","",
IF(AX76="PT",VLOOKUP(L76,Foundation_Calc!$K$79:$R$113,VLOOKUP(AW76,Foundation_Calc!$I$2:$J$8,2,FALSE),0),
IF(AX76="K",VLOOKUP(L76,Foundation_Calc!$K$117:$R$151,VLOOKUP(AW76,Foundation_Calc!$I$2:$J$8,2,FALSE),0),"")))</f>
        <v>3.5</v>
      </c>
      <c r="AZ76" s="10" t="str">
        <f>IF(K76="","",
IF(AX76="PT",VLOOKUP(K76,Foundation_Calc!$K$79:$R$113,VLOOKUP(AW76,Foundation_Calc!$I$2:$J$8,2,FALSE),0),
IF(AX76="K",VLOOKUP(K76,Foundation_Calc!$K$117:$R$151,VLOOKUP(AW76,Foundation_Calc!$I$2:$J$8,2,FALSE),0),"")))</f>
        <v/>
      </c>
      <c r="BA76" s="495" t="str">
        <f t="shared" si="12"/>
        <v>ü</v>
      </c>
      <c r="BB76" s="495" t="str">
        <f t="shared" si="13"/>
        <v/>
      </c>
      <c r="BC76" s="495" t="str">
        <f t="shared" si="14"/>
        <v/>
      </c>
      <c r="BD76" s="513" t="str">
        <f>IF(AND(L76="",H76=""),"",
IF(H76="",Pole_Calc!A$9,
IF(H76="MP",Pole_Calc!A$10,
IF(H76="AnMP",Pole_Calc!A$11,
IF(H76="A",Pole_Calc!A$12,
IF(H76="S/A",Pole_Calc!A$13,
IF(H76="A/S",Pole_Calc!A$14,"Poner a mano")))))))</f>
        <v>App.7-V11I-P9.5.1.1</v>
      </c>
      <c r="BE76" s="429" t="s">
        <v>118</v>
      </c>
      <c r="BF76" s="289"/>
      <c r="BG76" s="289"/>
      <c r="BH76" s="290"/>
      <c r="BI76" s="289"/>
    </row>
    <row r="77" spans="1:61" ht="16.149999999999999" customHeight="1">
      <c r="A77" s="514"/>
      <c r="B77" s="450"/>
      <c r="C77" s="3"/>
      <c r="D77" s="83"/>
      <c r="E77" s="4"/>
      <c r="F77" s="4"/>
      <c r="G77" s="6">
        <v>60</v>
      </c>
      <c r="H77" s="449"/>
      <c r="I77" s="4"/>
      <c r="J77" s="3"/>
      <c r="K77" s="449"/>
      <c r="L77" s="449"/>
      <c r="M77" s="449" t="str">
        <f>IF(L77="","",
IF(AX77="PT",VLOOKUP(L77,Foundation_Calc!$V$79:$X$113,VLOOKUP(AX77,Foundation_Calc!$I$10:$J$13,2,FALSE),0),
IF(AX77="K",VLOOKUP(L77,Foundation_Calc!$V$117:$X$151,VLOOKUP(AX77,Foundation_Calc!$I$10:$J$13,2,FALSE),0),"")))</f>
        <v/>
      </c>
      <c r="N77" s="449"/>
      <c r="O77" s="449"/>
      <c r="P77" s="449"/>
      <c r="Q77" s="4"/>
      <c r="R77" s="6"/>
      <c r="S77" s="6"/>
      <c r="T77" s="4"/>
      <c r="U77" s="4"/>
      <c r="V77" s="4"/>
      <c r="W77" s="9"/>
      <c r="X77" s="9"/>
      <c r="Y77" s="9"/>
      <c r="Z77" s="9"/>
      <c r="AA77" s="9"/>
      <c r="AB77" s="9"/>
      <c r="AC77" s="449" t="str">
        <f t="shared" si="15"/>
        <v/>
      </c>
      <c r="AD77" s="449"/>
      <c r="AE77" s="449"/>
      <c r="AF77" s="4"/>
      <c r="AG77" s="83"/>
      <c r="AH77" s="4"/>
      <c r="AI77" s="4"/>
      <c r="AJ77" s="449"/>
      <c r="AK77" s="449"/>
      <c r="AL77" s="449"/>
      <c r="AM77" s="449"/>
      <c r="AN77" s="10"/>
      <c r="AO77" s="9"/>
      <c r="AP77" s="9"/>
      <c r="AQ77" s="9">
        <f>+FL_1($T$78,$T$76,$G$77,1200,9.28, 1*$F$78)</f>
        <v>0.43600286799999999</v>
      </c>
      <c r="AR77" s="9"/>
      <c r="AS77" s="9"/>
      <c r="AT77" s="9"/>
      <c r="AU77" s="428"/>
      <c r="AV77" s="428"/>
      <c r="AW77" s="449" t="str">
        <f>IF(C77&gt;0,VLOOKUP(C77,Foundation_Calc!$A$2:$C$13,3,1),
IF(J77&gt;0,VLOOKUP(J77,Foundation_Calc!$A$2:$C$13,3,1),""))</f>
        <v/>
      </c>
      <c r="AX77" s="449" t="str">
        <f>IF(C77&gt;0,VLOOKUP(C77,Foundation_Calc!$E$35:$G$65,3,1),
IF(J77&gt;0,VLOOKUP(J77,Foundation_Calc!$E$35:$G$65,3,1),""))</f>
        <v/>
      </c>
      <c r="AY77" s="10" t="str">
        <f>IF(L77="","",
IF(AX77="PT",VLOOKUP(L77,Foundation_Calc!$K$79:$R$113,VLOOKUP(AW77,Foundation_Calc!$I$2:$J$8,2,FALSE),0),
IF(AX77="K",VLOOKUP(L77,Foundation_Calc!$K$117:$R$151,VLOOKUP(AW77,Foundation_Calc!$I$2:$J$8,2,FALSE),0),"")))</f>
        <v/>
      </c>
      <c r="AZ77" s="10" t="str">
        <f>IF(K77="","",
IF(AX77="PT",VLOOKUP(K77,Foundation_Calc!$K$79:$R$113,VLOOKUP(AW77,Foundation_Calc!$I$2:$J$8,2,FALSE),0),
IF(AX77="K",VLOOKUP(K77,Foundation_Calc!$K$117:$R$151,VLOOKUP(AW77,Foundation_Calc!$I$2:$J$8,2,FALSE),0),"")))</f>
        <v/>
      </c>
      <c r="BA77" s="495" t="str">
        <f t="shared" si="12"/>
        <v/>
      </c>
      <c r="BB77" s="495" t="str">
        <f t="shared" si="13"/>
        <v/>
      </c>
      <c r="BC77" s="495" t="str">
        <f t="shared" si="14"/>
        <v/>
      </c>
      <c r="BD77" s="513" t="str">
        <f>IF(AND(L77="",H77=""),"",
IF(H77="",Pole_Calc!A$9,
IF(H77="MP",Pole_Calc!A$10,
IF(H77="AnMP",Pole_Calc!A$11,
IF(H77="A",Pole_Calc!A$12,
IF(H77="S/A",Pole_Calc!A$13,
IF(H77="A/S",Pole_Calc!A$14,"Poner a mano")))))))</f>
        <v/>
      </c>
      <c r="BE77" s="429" t="s">
        <v>118</v>
      </c>
      <c r="BF77" s="290"/>
      <c r="BG77" s="290"/>
      <c r="BH77" s="290"/>
      <c r="BI77" s="290"/>
    </row>
    <row r="78" spans="1:61" ht="16.149999999999999" customHeight="1">
      <c r="A78" s="514"/>
      <c r="B78" s="450" t="s">
        <v>974</v>
      </c>
      <c r="C78" s="3">
        <f>+$C$76+$G$77</f>
        <v>32115.65</v>
      </c>
      <c r="D78" s="83"/>
      <c r="E78" s="4"/>
      <c r="F78" s="4">
        <v>0</v>
      </c>
      <c r="G78" s="6"/>
      <c r="H78" s="449"/>
      <c r="I78" s="4"/>
      <c r="J78" s="3"/>
      <c r="K78" s="449"/>
      <c r="L78" s="449" t="s">
        <v>153</v>
      </c>
      <c r="M78" s="449" t="str">
        <f>IF(L78="","",
IF(AX78="PT",VLOOKUP(L78,Foundation_Calc!$V$79:$X$113,VLOOKUP(AX78,Foundation_Calc!$I$10:$J$13,2,FALSE),0),
IF(AX78="K",VLOOKUP(L78,Foundation_Calc!$V$117:$X$151,VLOOKUP(AX78,Foundation_Calc!$I$10:$J$13,2,FALSE),0),"")))</f>
        <v>C3R</v>
      </c>
      <c r="N78" s="449" t="s">
        <v>134</v>
      </c>
      <c r="O78" s="449"/>
      <c r="P78" s="449"/>
      <c r="Q78" s="4"/>
      <c r="R78" s="6"/>
      <c r="S78" s="6"/>
      <c r="T78" s="4">
        <v>35</v>
      </c>
      <c r="U78" s="4"/>
      <c r="V78" s="4"/>
      <c r="W78" s="9">
        <v>1.4</v>
      </c>
      <c r="X78" s="9"/>
      <c r="Y78" s="9"/>
      <c r="Z78" s="9"/>
      <c r="AA78" s="9"/>
      <c r="AB78" s="9"/>
      <c r="AC78" s="449" t="str">
        <f t="shared" si="15"/>
        <v>PHQ</v>
      </c>
      <c r="AD78" s="449"/>
      <c r="AE78" s="449"/>
      <c r="AF78" s="4"/>
      <c r="AG78" s="83"/>
      <c r="AH78" s="4"/>
      <c r="AI78" s="4"/>
      <c r="AJ78" s="449"/>
      <c r="AK78" s="449"/>
      <c r="AL78" s="449"/>
      <c r="AM78" s="449" t="s">
        <v>126</v>
      </c>
      <c r="AN78" s="10">
        <v>5.5</v>
      </c>
      <c r="AO78" s="9"/>
      <c r="AP78" s="9"/>
      <c r="AQ78" s="9"/>
      <c r="AR78" s="9"/>
      <c r="AS78" s="9"/>
      <c r="AT78" s="9">
        <f>+ab($T$78,$T$76,$T$80,$G$77,$G$79, 1*$F$78,1200)</f>
        <v>7.8175137683875535</v>
      </c>
      <c r="AU78" s="428"/>
      <c r="AV78" s="428"/>
      <c r="AW78" s="449" t="str">
        <f>IF(C78&gt;0,VLOOKUP(C78,Foundation_Calc!$A$2:$C$13,3,1),
IF(J78&gt;0,VLOOKUP(J78,Foundation_Calc!$A$2:$C$13,3,1),""))</f>
        <v>Multi Soil</v>
      </c>
      <c r="AX78" s="449" t="str">
        <f>IF(C78&gt;0,VLOOKUP(C78,Foundation_Calc!$E$35:$G$65,3,1),
IF(J78&gt;0,VLOOKUP(J78,Foundation_Calc!$E$35:$G$65,3,1),""))</f>
        <v>PT</v>
      </c>
      <c r="AY78" s="10">
        <f>IF(L78="","",
IF(AX78="PT",VLOOKUP(L78,Foundation_Calc!$K$79:$R$113,VLOOKUP(AW78,Foundation_Calc!$I$2:$J$8,2,FALSE),0),
IF(AX78="K",VLOOKUP(L78,Foundation_Calc!$K$117:$R$151,VLOOKUP(AW78,Foundation_Calc!$I$2:$J$8,2,FALSE),0),"")))</f>
        <v>3.5</v>
      </c>
      <c r="AZ78" s="10" t="str">
        <f>IF(K78="","",
IF(AX78="PT",VLOOKUP(K78,Foundation_Calc!$K$79:$R$113,VLOOKUP(AW78,Foundation_Calc!$I$2:$J$8,2,FALSE),0),
IF(AX78="K",VLOOKUP(K78,Foundation_Calc!$K$117:$R$151,VLOOKUP(AW78,Foundation_Calc!$I$2:$J$8,2,FALSE),0),"")))</f>
        <v/>
      </c>
      <c r="BA78" s="495" t="str">
        <f t="shared" si="12"/>
        <v>ü</v>
      </c>
      <c r="BB78" s="495" t="str">
        <f t="shared" si="13"/>
        <v/>
      </c>
      <c r="BC78" s="495" t="str">
        <f t="shared" si="14"/>
        <v/>
      </c>
      <c r="BD78" s="513" t="str">
        <f>IF(AND(L78="",H78=""),"",
IF(H78="",Pole_Calc!A$9,
IF(H78="MP",Pole_Calc!A$10,
IF(H78="AnMP",Pole_Calc!A$11,
IF(H78="A",Pole_Calc!A$12,
IF(H78="S/A",Pole_Calc!A$13,
IF(H78="A/S",Pole_Calc!A$14,"Poner a mano")))))))</f>
        <v>App.7-V11I-P9.5.1.1</v>
      </c>
      <c r="BE78" s="429" t="s">
        <v>118</v>
      </c>
      <c r="BF78" s="289"/>
      <c r="BG78" s="289"/>
      <c r="BH78" s="290"/>
      <c r="BI78" s="289"/>
    </row>
    <row r="79" spans="1:61" ht="16.149999999999999" customHeight="1">
      <c r="A79" s="515"/>
      <c r="B79" s="450"/>
      <c r="C79" s="3"/>
      <c r="D79" s="83"/>
      <c r="E79" s="4"/>
      <c r="F79" s="4"/>
      <c r="G79" s="6">
        <v>55</v>
      </c>
      <c r="H79" s="449"/>
      <c r="I79" s="4"/>
      <c r="J79" s="3">
        <f>C80-7.5</f>
        <v>32163.15</v>
      </c>
      <c r="K79" s="449" t="s">
        <v>166</v>
      </c>
      <c r="L79" s="449"/>
      <c r="M79" s="449" t="str">
        <f>IF(L79="","",
IF(AX79="PT",VLOOKUP(L79,Foundation_Calc!$V$79:$X$113,VLOOKUP(AX79,Foundation_Calc!$I$10:$J$13,2,FALSE),0),
IF(AX79="K",VLOOKUP(L79,Foundation_Calc!$V$117:$X$151,VLOOKUP(AX79,Foundation_Calc!$I$10:$J$13,2,FALSE),0),"")))</f>
        <v/>
      </c>
      <c r="N79" s="449"/>
      <c r="O79" s="449"/>
      <c r="P79" s="449"/>
      <c r="Q79" s="4"/>
      <c r="R79" s="6"/>
      <c r="S79" s="6"/>
      <c r="T79" s="4"/>
      <c r="U79" s="4"/>
      <c r="V79" s="4"/>
      <c r="W79" s="572"/>
      <c r="X79" s="9"/>
      <c r="Y79" s="9"/>
      <c r="Z79" s="9"/>
      <c r="AA79" s="9"/>
      <c r="AB79" s="9"/>
      <c r="AC79" s="449" t="str">
        <f t="shared" si="15"/>
        <v/>
      </c>
      <c r="AD79" s="449"/>
      <c r="AE79" s="449"/>
      <c r="AF79" s="4"/>
      <c r="AG79" s="83"/>
      <c r="AH79" s="4"/>
      <c r="AI79" s="4"/>
      <c r="AJ79" s="449"/>
      <c r="AK79" s="449"/>
      <c r="AL79" s="449"/>
      <c r="AM79" s="449"/>
      <c r="AN79" s="10"/>
      <c r="AO79" s="9"/>
      <c r="AP79" s="9"/>
      <c r="AQ79" s="9">
        <f>+FL_1($T$80,$T$78,$G$79,1200,9.28, 1*$F$80)</f>
        <v>0.39714735709090898</v>
      </c>
      <c r="AR79" s="9"/>
      <c r="AS79" s="9"/>
      <c r="AT79" s="9"/>
      <c r="AU79" s="428"/>
      <c r="AV79" s="428"/>
      <c r="AW79" s="449" t="str">
        <f>IF(C79&gt;0,VLOOKUP(C79,Foundation_Calc!$A$2:$C$13,3,1),
IF(J79&gt;0,VLOOKUP(J79,Foundation_Calc!$A$2:$C$13,3,1),""))</f>
        <v>Multi Soil</v>
      </c>
      <c r="AX79" s="449" t="str">
        <f>IF(C79&gt;0,VLOOKUP(C79,Foundation_Calc!$E$35:$G$65,3,1),
IF(J79&gt;0,VLOOKUP(J79,Foundation_Calc!$E$35:$G$65,3,1),""))</f>
        <v>PT</v>
      </c>
      <c r="AY79" s="10" t="str">
        <f>IF(L79="","",
IF(AX79="PT",VLOOKUP(L79,Foundation_Calc!$K$79:$R$113,VLOOKUP(AW79,Foundation_Calc!$I$2:$J$8,2,FALSE),0),
IF(AX79="K",VLOOKUP(L79,Foundation_Calc!$K$117:$R$151,VLOOKUP(AW79,Foundation_Calc!$I$2:$J$8,2,FALSE),0),"")))</f>
        <v/>
      </c>
      <c r="AZ79" s="10">
        <f>IF(K79="","",
IF(AX79="PT",VLOOKUP(K79,Foundation_Calc!$K$79:$R$113,VLOOKUP(AW79,Foundation_Calc!$I$2:$J$8,2,FALSE),0),
IF(AX79="K",VLOOKUP(K79,Foundation_Calc!$K$117:$R$151,VLOOKUP(AW79,Foundation_Calc!$I$2:$J$8,2,FALSE),0),"")))</f>
        <v>2.8</v>
      </c>
      <c r="BA79" s="495" t="str">
        <f t="shared" si="12"/>
        <v/>
      </c>
      <c r="BB79" s="495" t="str">
        <f t="shared" si="13"/>
        <v>ü</v>
      </c>
      <c r="BC79" s="495" t="str">
        <f t="shared" si="14"/>
        <v/>
      </c>
      <c r="BD79" s="513" t="str">
        <f>IF(AND(L79="",H79=""),"",
IF(H79="",Pole_Calc!A$9,
IF(H79="MP",Pole_Calc!A$10,
IF(H79="AnMP",Pole_Calc!A$11,
IF(H79="A",Pole_Calc!A$12,
IF(H79="S/A",Pole_Calc!A$13,
IF(H79="A/S",Pole_Calc!A$14,"Poner a mano")))))))</f>
        <v/>
      </c>
      <c r="BE79" s="429" t="s">
        <v>118</v>
      </c>
      <c r="BF79" s="290"/>
      <c r="BG79" s="290"/>
      <c r="BH79" s="290"/>
      <c r="BI79" s="290"/>
    </row>
    <row r="80" spans="1:61" ht="16.149999999999999" customHeight="1">
      <c r="A80" s="514"/>
      <c r="B80" s="450" t="s">
        <v>975</v>
      </c>
      <c r="C80" s="3">
        <f>+$C$78+$G$79</f>
        <v>32170.65</v>
      </c>
      <c r="D80" s="83"/>
      <c r="E80" s="4"/>
      <c r="F80" s="4">
        <v>0</v>
      </c>
      <c r="G80" s="6"/>
      <c r="H80" s="449" t="s">
        <v>168</v>
      </c>
      <c r="I80" s="4"/>
      <c r="J80" s="3"/>
      <c r="K80" s="449"/>
      <c r="L80" s="449" t="s">
        <v>158</v>
      </c>
      <c r="M80" s="449" t="str">
        <f>IF(L80="","",
IF(AX80="PT",VLOOKUP(L80,Foundation_Calc!$V$79:$X$113,VLOOKUP(AX80,Foundation_Calc!$I$10:$J$13,2,FALSE),0),
IF(AX80="K",VLOOKUP(L80,Foundation_Calc!$V$117:$X$151,VLOOKUP(AX80,Foundation_Calc!$I$10:$J$13,2,FALSE),0),"")))</f>
        <v>C4R</v>
      </c>
      <c r="N80" s="449" t="s">
        <v>124</v>
      </c>
      <c r="O80" s="449"/>
      <c r="P80" s="449"/>
      <c r="Q80" s="4"/>
      <c r="R80" s="6"/>
      <c r="S80" s="6"/>
      <c r="T80" s="4">
        <v>-35</v>
      </c>
      <c r="U80" s="4"/>
      <c r="V80" s="4"/>
      <c r="W80" s="572">
        <v>1.2</v>
      </c>
      <c r="X80" s="9"/>
      <c r="Y80" s="9"/>
      <c r="Z80" s="9"/>
      <c r="AA80" s="9"/>
      <c r="AB80" s="9"/>
      <c r="AC80" s="449" t="str">
        <f t="shared" si="15"/>
        <v>PHQ</v>
      </c>
      <c r="AD80" s="449"/>
      <c r="AE80" s="449"/>
      <c r="AF80" s="4"/>
      <c r="AG80" s="83"/>
      <c r="AH80" s="4"/>
      <c r="AI80" s="4"/>
      <c r="AJ80" s="449"/>
      <c r="AK80" s="449"/>
      <c r="AL80" s="449"/>
      <c r="AM80" s="449" t="s">
        <v>126</v>
      </c>
      <c r="AN80" s="10">
        <v>5.5</v>
      </c>
      <c r="AO80" s="9"/>
      <c r="AP80" s="9"/>
      <c r="AQ80" s="9"/>
      <c r="AR80" s="9"/>
      <c r="AS80" s="9"/>
      <c r="AT80" s="9">
        <f>+ab($T$80,$T$78,$T$82,$G$79,$G$81, 1*$F$80,1200)</f>
        <v>-7.1424424584170572</v>
      </c>
      <c r="AU80" s="428"/>
      <c r="AV80" s="428"/>
      <c r="AW80" s="449" t="str">
        <f>IF(C80&gt;0,VLOOKUP(C80,Foundation_Calc!$A$2:$C$13,3,1),
IF(J80&gt;0,VLOOKUP(J80,Foundation_Calc!$A$2:$C$13,3,1),""))</f>
        <v>Multi Soil</v>
      </c>
      <c r="AX80" s="449" t="str">
        <f>IF(C80&gt;0,VLOOKUP(C80,Foundation_Calc!$E$35:$G$65,3,1),
IF(J80&gt;0,VLOOKUP(J80,Foundation_Calc!$E$35:$G$65,3,1),""))</f>
        <v>PT</v>
      </c>
      <c r="AY80" s="10">
        <f>IF(L80="","",
IF(AX80="PT",VLOOKUP(L80,Foundation_Calc!$K$79:$R$113,VLOOKUP(AW80,Foundation_Calc!$I$2:$J$8,2,FALSE),0),
IF(AX80="K",VLOOKUP(L80,Foundation_Calc!$K$117:$R$151,VLOOKUP(AW80,Foundation_Calc!$I$2:$J$8,2,FALSE),0),"")))</f>
        <v>3.5</v>
      </c>
      <c r="AZ80" s="10" t="str">
        <f>IF(K80="","",
IF(AX80="PT",VLOOKUP(K80,Foundation_Calc!$K$79:$R$113,VLOOKUP(AW80,Foundation_Calc!$I$2:$J$8,2,FALSE),0),
IF(AX80="K",VLOOKUP(K80,Foundation_Calc!$K$117:$R$151,VLOOKUP(AW80,Foundation_Calc!$I$2:$J$8,2,FALSE),0),"")))</f>
        <v/>
      </c>
      <c r="BA80" s="495" t="str">
        <f t="shared" si="12"/>
        <v>ü</v>
      </c>
      <c r="BB80" s="495" t="str">
        <f t="shared" si="13"/>
        <v/>
      </c>
      <c r="BC80" s="495" t="str">
        <f t="shared" si="14"/>
        <v/>
      </c>
      <c r="BD80" s="513" t="str">
        <f>IF(AND(L80="",H80=""),"",
IF(H80="",Pole_Calc!A$9,
IF(H80="MP",Pole_Calc!A$10,
IF(H80="AnMP",Pole_Calc!A$11,
IF(H80="A",Pole_Calc!A$12,
IF(H80="S/A",Pole_Calc!A$13,
IF(H80="A/S",Pole_Calc!A$14,"Poner a mano")))))))</f>
        <v>App.7-V11I-P9.5.1.3</v>
      </c>
      <c r="BE80" s="429" t="s">
        <v>118</v>
      </c>
      <c r="BF80" s="289"/>
      <c r="BG80" s="289"/>
      <c r="BH80" s="290"/>
      <c r="BI80" s="289"/>
    </row>
    <row r="81" spans="1:61" ht="16.149999999999999" customHeight="1">
      <c r="A81" s="514" t="s">
        <v>169</v>
      </c>
      <c r="B81" s="450"/>
      <c r="C81" s="3"/>
      <c r="D81" s="83"/>
      <c r="E81" s="4"/>
      <c r="F81" s="4"/>
      <c r="G81" s="6">
        <v>50</v>
      </c>
      <c r="H81" s="449"/>
      <c r="I81" s="4">
        <f>SUM(G63:G81)</f>
        <v>520</v>
      </c>
      <c r="J81" s="3"/>
      <c r="K81" s="449"/>
      <c r="L81" s="449"/>
      <c r="M81" s="449" t="str">
        <f>IF(L81="","",
IF(AX81="PT",VLOOKUP(L81,Foundation_Calc!$V$79:$X$113,VLOOKUP(AX81,Foundation_Calc!$I$10:$J$13,2,FALSE),0),
IF(AX81="K",VLOOKUP(L81,Foundation_Calc!$V$117:$X$151,VLOOKUP(AX81,Foundation_Calc!$I$10:$J$13,2,FALSE),0),"")))</f>
        <v/>
      </c>
      <c r="N81" s="449"/>
      <c r="O81" s="449"/>
      <c r="P81" s="449"/>
      <c r="Q81" s="4"/>
      <c r="R81" s="6"/>
      <c r="S81" s="6"/>
      <c r="T81" s="4"/>
      <c r="U81" s="4"/>
      <c r="V81" s="4"/>
      <c r="W81" s="572"/>
      <c r="X81" s="9"/>
      <c r="Y81" s="9"/>
      <c r="Z81" s="9"/>
      <c r="AA81" s="9"/>
      <c r="AB81" s="9"/>
      <c r="AC81" s="449" t="str">
        <f t="shared" si="15"/>
        <v/>
      </c>
      <c r="AD81" s="449"/>
      <c r="AE81" s="449"/>
      <c r="AF81" s="4"/>
      <c r="AG81" s="83"/>
      <c r="AH81" s="4"/>
      <c r="AI81" s="4"/>
      <c r="AJ81" s="449"/>
      <c r="AK81" s="449"/>
      <c r="AL81" s="449"/>
      <c r="AM81" s="449"/>
      <c r="AN81" s="10"/>
      <c r="AO81" s="9"/>
      <c r="AP81" s="9"/>
      <c r="AQ81" s="9">
        <f>+FL_1($T$82,$T$80,$G$81,1200,9.28, 1*$F$82)</f>
        <v>0.36839079999999996</v>
      </c>
      <c r="AR81" s="9"/>
      <c r="AS81" s="9"/>
      <c r="AT81" s="9"/>
      <c r="AU81" s="428"/>
      <c r="AV81" s="428"/>
      <c r="AW81" s="449" t="str">
        <f>IF(C81&gt;0,VLOOKUP(C81,Foundation_Calc!$A$2:$C$13,3,1),
IF(J81&gt;0,VLOOKUP(J81,Foundation_Calc!$A$2:$C$13,3,1),""))</f>
        <v/>
      </c>
      <c r="AX81" s="449" t="str">
        <f>IF(C81&gt;0,VLOOKUP(C81,Foundation_Calc!$E$35:$G$65,3,1),
IF(J81&gt;0,VLOOKUP(J81,Foundation_Calc!$E$35:$G$65,3,1),""))</f>
        <v/>
      </c>
      <c r="AY81" s="10" t="str">
        <f>IF(L81="","",
IF(AX81="PT",VLOOKUP(L81,Foundation_Calc!$K$79:$R$113,VLOOKUP(AW81,Foundation_Calc!$I$2:$J$8,2,FALSE),0),
IF(AX81="K",VLOOKUP(L81,Foundation_Calc!$K$117:$R$151,VLOOKUP(AW81,Foundation_Calc!$I$2:$J$8,2,FALSE),0),"")))</f>
        <v/>
      </c>
      <c r="AZ81" s="10" t="str">
        <f>IF(K81="","",
IF(AX81="PT",VLOOKUP(K81,Foundation_Calc!$K$79:$R$113,VLOOKUP(AW81,Foundation_Calc!$I$2:$J$8,2,FALSE),0),
IF(AX81="K",VLOOKUP(K81,Foundation_Calc!$K$117:$R$151,VLOOKUP(AW81,Foundation_Calc!$I$2:$J$8,2,FALSE),0),"")))</f>
        <v/>
      </c>
      <c r="BA81" s="495" t="str">
        <f t="shared" si="12"/>
        <v/>
      </c>
      <c r="BB81" s="495" t="str">
        <f t="shared" si="13"/>
        <v/>
      </c>
      <c r="BC81" s="495" t="str">
        <f t="shared" si="14"/>
        <v/>
      </c>
      <c r="BD81" s="513" t="str">
        <f>IF(AND(L81="",H81=""),"",
IF(H81="",Pole_Calc!A$9,
IF(H81="MP",Pole_Calc!A$10,
IF(H81="AnMP",Pole_Calc!A$11,
IF(H81="A",Pole_Calc!A$12,
IF(H81="S/A",Pole_Calc!A$13,
IF(H81="A/S",Pole_Calc!A$14,"Poner a mano")))))))</f>
        <v/>
      </c>
      <c r="BE81" s="429" t="s">
        <v>118</v>
      </c>
      <c r="BF81" s="290"/>
      <c r="BG81" s="290"/>
      <c r="BH81" s="290"/>
      <c r="BI81" s="290"/>
    </row>
    <row r="82" spans="1:61" ht="16.149999999999999" customHeight="1">
      <c r="A82" s="514"/>
      <c r="B82" s="450" t="s">
        <v>976</v>
      </c>
      <c r="C82" s="3">
        <f>+$C$80+$G$81</f>
        <v>32220.65</v>
      </c>
      <c r="D82" s="83"/>
      <c r="E82" s="4"/>
      <c r="F82" s="4">
        <v>0</v>
      </c>
      <c r="G82" s="6"/>
      <c r="H82" s="449" t="s">
        <v>171</v>
      </c>
      <c r="I82" s="4"/>
      <c r="J82" s="3"/>
      <c r="K82" s="449"/>
      <c r="L82" s="449" t="s">
        <v>153</v>
      </c>
      <c r="M82" s="449" t="str">
        <f>IF(L82="","",
IF(AX82="PT",VLOOKUP(L82,Foundation_Calc!$V$79:$X$113,VLOOKUP(AX82,Foundation_Calc!$I$10:$J$13,2,FALSE),0),
IF(AX82="K",VLOOKUP(L82,Foundation_Calc!$V$117:$X$151,VLOOKUP(AX82,Foundation_Calc!$I$10:$J$13,2,FALSE),0),"")))</f>
        <v>C3R</v>
      </c>
      <c r="N82" s="449" t="s">
        <v>134</v>
      </c>
      <c r="O82" s="449"/>
      <c r="P82" s="449"/>
      <c r="Q82" s="4"/>
      <c r="R82" s="6"/>
      <c r="S82" s="6"/>
      <c r="T82" s="4">
        <v>35</v>
      </c>
      <c r="U82" s="4"/>
      <c r="V82" s="4"/>
      <c r="W82" s="572">
        <v>1</v>
      </c>
      <c r="X82" s="9"/>
      <c r="Y82" s="9"/>
      <c r="Z82" s="9"/>
      <c r="AA82" s="9"/>
      <c r="AB82" s="9"/>
      <c r="AC82" s="449" t="str">
        <f t="shared" si="15"/>
        <v>PHQ</v>
      </c>
      <c r="AD82" s="449"/>
      <c r="AE82" s="449"/>
      <c r="AF82" s="4"/>
      <c r="AG82" s="83"/>
      <c r="AH82" s="4"/>
      <c r="AI82" s="4"/>
      <c r="AJ82" s="449"/>
      <c r="AK82" s="449"/>
      <c r="AL82" s="449"/>
      <c r="AM82" s="449" t="s">
        <v>126</v>
      </c>
      <c r="AN82" s="10">
        <f>AN80-0.08</f>
        <v>5.42</v>
      </c>
      <c r="AO82" s="9"/>
      <c r="AP82" s="9"/>
      <c r="AQ82" s="9"/>
      <c r="AR82" s="9"/>
      <c r="AS82" s="9"/>
      <c r="AT82" s="9">
        <f>+ab($T$82,$T$80,$T$84,$G$81,$G$83, 1*$F$82,1200)</f>
        <v>6.4650205683818722</v>
      </c>
      <c r="AU82" s="428"/>
      <c r="AV82" s="428"/>
      <c r="AW82" s="449" t="str">
        <f>IF(C82&gt;0,VLOOKUP(C82,Foundation_Calc!$A$2:$C$13,3,1),
IF(J82&gt;0,VLOOKUP(J82,Foundation_Calc!$A$2:$C$13,3,1),""))</f>
        <v>Multi Soil</v>
      </c>
      <c r="AX82" s="449" t="str">
        <f>IF(C82&gt;0,VLOOKUP(C82,Foundation_Calc!$E$35:$G$65,3,1),
IF(J82&gt;0,VLOOKUP(J82,Foundation_Calc!$E$35:$G$65,3,1),""))</f>
        <v>PT</v>
      </c>
      <c r="AY82" s="10">
        <f>IF(L82="","",
IF(AX82="PT",VLOOKUP(L82,Foundation_Calc!$K$79:$R$113,VLOOKUP(AW82,Foundation_Calc!$I$2:$J$8,2,FALSE),0),
IF(AX82="K",VLOOKUP(L82,Foundation_Calc!$K$117:$R$151,VLOOKUP(AW82,Foundation_Calc!$I$2:$J$8,2,FALSE),0),"")))</f>
        <v>3.5</v>
      </c>
      <c r="AZ82" s="10" t="str">
        <f>IF(K82="","",
IF(AX82="PT",VLOOKUP(K82,Foundation_Calc!$K$79:$R$113,VLOOKUP(AW82,Foundation_Calc!$I$2:$J$8,2,FALSE),0),
IF(AX82="K",VLOOKUP(K82,Foundation_Calc!$K$117:$R$151,VLOOKUP(AW82,Foundation_Calc!$I$2:$J$8,2,FALSE),0),"")))</f>
        <v/>
      </c>
      <c r="BA82" s="495" t="str">
        <f t="shared" si="12"/>
        <v>ü</v>
      </c>
      <c r="BB82" s="495" t="str">
        <f t="shared" si="13"/>
        <v/>
      </c>
      <c r="BC82" s="495" t="str">
        <f t="shared" si="14"/>
        <v/>
      </c>
      <c r="BD82" s="513" t="str">
        <f>IF(AND(L82="",H82=""),"",
IF(H82="",Pole_Calc!A$9,
IF(H82="MP",Pole_Calc!A$10,
IF(H82="AnMP",Pole_Calc!A$11,
IF(H82="A",Pole_Calc!A$12,
IF(H82="S/A",Pole_Calc!A$13,
IF(H82="A/S",Pole_Calc!A$14,"Poner a mano")))))))</f>
        <v>App.7-V11I-P9.5.1.2</v>
      </c>
      <c r="BE82" s="429" t="s">
        <v>118</v>
      </c>
      <c r="BF82" s="289"/>
      <c r="BG82" s="289"/>
      <c r="BH82" s="290"/>
      <c r="BI82" s="289"/>
    </row>
    <row r="83" spans="1:61" ht="16.149999999999999" customHeight="1">
      <c r="A83" s="514" t="s">
        <v>193</v>
      </c>
      <c r="B83" s="450"/>
      <c r="C83" s="3"/>
      <c r="D83" s="83"/>
      <c r="E83" s="4"/>
      <c r="F83" s="4"/>
      <c r="G83" s="6">
        <v>45</v>
      </c>
      <c r="H83" s="449"/>
      <c r="I83" s="4">
        <f>SUM(G83:G101)</f>
        <v>442</v>
      </c>
      <c r="J83" s="3"/>
      <c r="K83" s="449"/>
      <c r="L83" s="449"/>
      <c r="M83" s="449" t="str">
        <f>IF(L83="","",
IF(AX83="PT",VLOOKUP(L83,Foundation_Calc!$V$79:$X$113,VLOOKUP(AX83,Foundation_Calc!$I$10:$J$13,2,FALSE),0),
IF(AX83="K",VLOOKUP(L83,Foundation_Calc!$V$117:$X$151,VLOOKUP(AX83,Foundation_Calc!$I$10:$J$13,2,FALSE),0),"")))</f>
        <v/>
      </c>
      <c r="N83" s="449"/>
      <c r="O83" s="449"/>
      <c r="P83" s="449"/>
      <c r="Q83" s="4"/>
      <c r="R83" s="6"/>
      <c r="S83" s="6"/>
      <c r="T83" s="4"/>
      <c r="U83" s="4"/>
      <c r="V83" s="4"/>
      <c r="W83" s="572"/>
      <c r="X83" s="9"/>
      <c r="Y83" s="9"/>
      <c r="Z83" s="9"/>
      <c r="AA83" s="9"/>
      <c r="AB83" s="9"/>
      <c r="AC83" s="449" t="str">
        <f t="shared" si="15"/>
        <v/>
      </c>
      <c r="AD83" s="449"/>
      <c r="AE83" s="449"/>
      <c r="AF83" s="4"/>
      <c r="AG83" s="83"/>
      <c r="AH83" s="4"/>
      <c r="AI83" s="4"/>
      <c r="AJ83" s="449"/>
      <c r="AK83" s="449"/>
      <c r="AL83" s="449"/>
      <c r="AM83" s="449"/>
      <c r="AN83" s="10"/>
      <c r="AO83" s="9"/>
      <c r="AP83" s="9"/>
      <c r="AQ83" s="9">
        <f>+FL_2($T$84,$T$82,$G$83,1200,9.28, 1*$F$84)</f>
        <v>-0.35219954355555555</v>
      </c>
      <c r="AR83" s="9"/>
      <c r="AS83" s="9"/>
      <c r="AT83" s="9"/>
      <c r="AU83" s="428"/>
      <c r="AV83" s="428"/>
      <c r="AW83" s="449" t="str">
        <f>IF(C83&gt;0,VLOOKUP(C83,Foundation_Calc!$A$2:$C$13,3,1),
IF(J83&gt;0,VLOOKUP(J83,Foundation_Calc!$A$2:$C$13,3,1),""))</f>
        <v/>
      </c>
      <c r="AX83" s="449" t="str">
        <f>IF(C83&gt;0,VLOOKUP(C83,Foundation_Calc!$E$35:$G$65,3,1),
IF(J83&gt;0,VLOOKUP(J83,Foundation_Calc!$E$35:$G$65,3,1),""))</f>
        <v/>
      </c>
      <c r="AY83" s="10" t="str">
        <f>IF(L83="","",
IF(AX83="PT",VLOOKUP(L83,Foundation_Calc!$K$79:$R$113,VLOOKUP(AW83,Foundation_Calc!$I$2:$J$8,2,FALSE),0),
IF(AX83="K",VLOOKUP(L83,Foundation_Calc!$K$117:$R$151,VLOOKUP(AW83,Foundation_Calc!$I$2:$J$8,2,FALSE),0),"")))</f>
        <v/>
      </c>
      <c r="AZ83" s="10" t="str">
        <f>IF(K83="","",
IF(AX83="PT",VLOOKUP(K83,Foundation_Calc!$K$79:$R$113,VLOOKUP(AW83,Foundation_Calc!$I$2:$J$8,2,FALSE),0),
IF(AX83="K",VLOOKUP(K83,Foundation_Calc!$K$117:$R$151,VLOOKUP(AW83,Foundation_Calc!$I$2:$J$8,2,FALSE),0),"")))</f>
        <v/>
      </c>
      <c r="BA83" s="495" t="str">
        <f t="shared" si="12"/>
        <v/>
      </c>
      <c r="BB83" s="495" t="str">
        <f t="shared" si="13"/>
        <v/>
      </c>
      <c r="BC83" s="495" t="str">
        <f t="shared" si="14"/>
        <v/>
      </c>
      <c r="BD83" s="513" t="str">
        <f>IF(AND(L83="",H83=""),"",
IF(H83="",Pole_Calc!A$9,
IF(H83="MP",Pole_Calc!A$10,
IF(H83="AnMP",Pole_Calc!A$11,
IF(H83="A",Pole_Calc!A$12,
IF(H83="S/A",Pole_Calc!A$13,
IF(H83="A/S",Pole_Calc!A$14,"Poner a mano")))))))</f>
        <v/>
      </c>
      <c r="BE83" s="429" t="s">
        <v>118</v>
      </c>
      <c r="BF83" s="290"/>
      <c r="BG83" s="290"/>
      <c r="BH83" s="290"/>
      <c r="BI83" s="290"/>
    </row>
    <row r="84" spans="1:61" ht="16.149999999999999" customHeight="1">
      <c r="A84" s="514"/>
      <c r="B84" s="450" t="s">
        <v>977</v>
      </c>
      <c r="C84" s="3">
        <f>+$C$82+$G$83</f>
        <v>32265.65</v>
      </c>
      <c r="D84" s="83"/>
      <c r="E84" s="4"/>
      <c r="F84" s="4">
        <v>0</v>
      </c>
      <c r="G84" s="6"/>
      <c r="H84" s="449" t="s">
        <v>168</v>
      </c>
      <c r="I84" s="4"/>
      <c r="J84" s="3">
        <f>C84+7.5</f>
        <v>32273.15</v>
      </c>
      <c r="K84" s="449" t="s">
        <v>166</v>
      </c>
      <c r="L84" s="449" t="s">
        <v>158</v>
      </c>
      <c r="M84" s="449" t="str">
        <f>IF(L84="","",
IF(AX84="PT",VLOOKUP(L84,Foundation_Calc!$V$79:$X$113,VLOOKUP(AX84,Foundation_Calc!$I$10:$J$13,2,FALSE),0),
IF(AX84="K",VLOOKUP(L84,Foundation_Calc!$V$117:$X$151,VLOOKUP(AX84,Foundation_Calc!$I$10:$J$13,2,FALSE),0),"")))</f>
        <v>C4R</v>
      </c>
      <c r="N84" s="449" t="s">
        <v>124</v>
      </c>
      <c r="O84" s="449"/>
      <c r="P84" s="449"/>
      <c r="Q84" s="4"/>
      <c r="R84" s="6"/>
      <c r="S84" s="6"/>
      <c r="T84" s="4">
        <v>-35</v>
      </c>
      <c r="U84" s="4"/>
      <c r="V84" s="4"/>
      <c r="W84" s="572">
        <v>1</v>
      </c>
      <c r="X84" s="9"/>
      <c r="Y84" s="9"/>
      <c r="Z84" s="9"/>
      <c r="AA84" s="9"/>
      <c r="AB84" s="9"/>
      <c r="AC84" s="449" t="str">
        <f t="shared" si="15"/>
        <v>PHQ</v>
      </c>
      <c r="AD84" s="449"/>
      <c r="AE84" s="449"/>
      <c r="AF84" s="4"/>
      <c r="AG84" s="83"/>
      <c r="AH84" s="4"/>
      <c r="AI84" s="4"/>
      <c r="AJ84" s="449"/>
      <c r="AK84" s="449"/>
      <c r="AL84" s="449"/>
      <c r="AM84" s="449" t="s">
        <v>126</v>
      </c>
      <c r="AN84" s="10">
        <f>AN82-0.07</f>
        <v>5.35</v>
      </c>
      <c r="AO84" s="9"/>
      <c r="AP84" s="9"/>
      <c r="AQ84" s="9"/>
      <c r="AR84" s="9"/>
      <c r="AS84" s="9"/>
      <c r="AT84" s="9">
        <f>+ab($T$84,$T$82,$T$86,$G$83,$G$85, 1*$F$84,1200)</f>
        <v>-5.9339896480175378</v>
      </c>
      <c r="AU84" s="428"/>
      <c r="AV84" s="428"/>
      <c r="AW84" s="449" t="str">
        <f>IF(C84&gt;0,VLOOKUP(C84,Foundation_Calc!$A$2:$C$13,3,1),
IF(J84&gt;0,VLOOKUP(J84,Foundation_Calc!$A$2:$C$13,3,1),""))</f>
        <v>Multi Soil</v>
      </c>
      <c r="AX84" s="449" t="str">
        <f>IF(C84&gt;0,VLOOKUP(C84,Foundation_Calc!$E$35:$G$65,3,1),
IF(J84&gt;0,VLOOKUP(J84,Foundation_Calc!$E$35:$G$65,3,1),""))</f>
        <v>PT</v>
      </c>
      <c r="AY84" s="10">
        <f>IF(L84="","",
IF(AX84="PT",VLOOKUP(L84,Foundation_Calc!$K$79:$R$113,VLOOKUP(AW84,Foundation_Calc!$I$2:$J$8,2,FALSE),0),
IF(AX84="K",VLOOKUP(L84,Foundation_Calc!$K$117:$R$151,VLOOKUP(AW84,Foundation_Calc!$I$2:$J$8,2,FALSE),0),"")))</f>
        <v>3.5</v>
      </c>
      <c r="AZ84" s="10">
        <f>IF(K84="","",
IF(AX84="PT",VLOOKUP(K84,Foundation_Calc!$K$79:$R$113,VLOOKUP(AW84,Foundation_Calc!$I$2:$J$8,2,FALSE),0),
IF(AX84="K",VLOOKUP(K84,Foundation_Calc!$K$117:$R$151,VLOOKUP(AW84,Foundation_Calc!$I$2:$J$8,2,FALSE),0),"")))</f>
        <v>2.8</v>
      </c>
      <c r="BA84" s="495" t="str">
        <f t="shared" si="12"/>
        <v>ü</v>
      </c>
      <c r="BB84" s="495" t="str">
        <f t="shared" si="13"/>
        <v>ü</v>
      </c>
      <c r="BC84" s="495" t="str">
        <f t="shared" si="14"/>
        <v/>
      </c>
      <c r="BD84" s="513" t="str">
        <f>IF(AND(L84="",H84=""),"",
IF(H84="",Pole_Calc!A$9,
IF(H84="MP",Pole_Calc!A$10,
IF(H84="AnMP",Pole_Calc!A$11,
IF(H84="A",Pole_Calc!A$12,
IF(H84="S/A",Pole_Calc!A$13,
IF(H84="A/S",Pole_Calc!A$14,"Poner a mano")))))))</f>
        <v>App.7-V11I-P9.5.1.3</v>
      </c>
      <c r="BE84" s="429" t="s">
        <v>118</v>
      </c>
      <c r="BF84" s="289"/>
      <c r="BG84" s="289"/>
      <c r="BH84" s="290"/>
      <c r="BI84" s="289"/>
    </row>
    <row r="85" spans="1:61" ht="16.149999999999999" customHeight="1">
      <c r="A85" s="514"/>
      <c r="B85" s="450"/>
      <c r="C85" s="3"/>
      <c r="D85" s="83"/>
      <c r="E85" s="4"/>
      <c r="F85" s="4"/>
      <c r="G85" s="6">
        <v>42</v>
      </c>
      <c r="H85" s="449"/>
      <c r="I85" s="4" t="s">
        <v>195</v>
      </c>
      <c r="J85" s="3">
        <f>C86-7.5</f>
        <v>32300.15</v>
      </c>
      <c r="K85" s="449" t="s">
        <v>166</v>
      </c>
      <c r="L85" s="449"/>
      <c r="M85" s="449" t="str">
        <f>IF(L85="","",
IF(AX85="PT",VLOOKUP(L85,Foundation_Calc!$V$79:$X$113,VLOOKUP(AX85,Foundation_Calc!$I$10:$J$13,2,FALSE),0),
IF(AX85="K",VLOOKUP(L85,Foundation_Calc!$V$117:$X$151,VLOOKUP(AX85,Foundation_Calc!$I$10:$J$13,2,FALSE),0),"")))</f>
        <v/>
      </c>
      <c r="N85" s="449"/>
      <c r="O85" s="449"/>
      <c r="P85" s="449"/>
      <c r="Q85" s="4"/>
      <c r="R85" s="6"/>
      <c r="S85" s="6"/>
      <c r="T85" s="4"/>
      <c r="U85" s="4"/>
      <c r="V85" s="4"/>
      <c r="W85" s="572"/>
      <c r="X85" s="9"/>
      <c r="Y85" s="9"/>
      <c r="Z85" s="9"/>
      <c r="AA85" s="9"/>
      <c r="AB85" s="9"/>
      <c r="AC85" s="449" t="str">
        <f t="shared" si="15"/>
        <v/>
      </c>
      <c r="AD85" s="449"/>
      <c r="AE85" s="449"/>
      <c r="AF85" s="4"/>
      <c r="AG85" s="83"/>
      <c r="AH85" s="4"/>
      <c r="AI85" s="4"/>
      <c r="AJ85" s="449"/>
      <c r="AK85" s="449"/>
      <c r="AL85" s="449"/>
      <c r="AM85" s="449"/>
      <c r="AN85" s="10"/>
      <c r="AO85" s="9"/>
      <c r="AP85" s="9"/>
      <c r="AQ85" s="9">
        <f>+FL_2($T$86,$T$84,$G$85,1200,9.28, 1*$F$86)</f>
        <v>-0.35</v>
      </c>
      <c r="AR85" s="9"/>
      <c r="AS85" s="9"/>
      <c r="AT85" s="9"/>
      <c r="AU85" s="428"/>
      <c r="AV85" s="428"/>
      <c r="AW85" s="449" t="str">
        <f>IF(C85&gt;0,VLOOKUP(C85,Foundation_Calc!$A$2:$C$13,3,1),
IF(J85&gt;0,VLOOKUP(J85,Foundation_Calc!$A$2:$C$13,3,1),""))</f>
        <v>Multi Soil</v>
      </c>
      <c r="AX85" s="449" t="str">
        <f>IF(C85&gt;0,VLOOKUP(C85,Foundation_Calc!$E$35:$G$65,3,1),
IF(J85&gt;0,VLOOKUP(J85,Foundation_Calc!$E$35:$G$65,3,1),""))</f>
        <v>PT</v>
      </c>
      <c r="AY85" s="10" t="str">
        <f>IF(L85="","",
IF(AX85="PT",VLOOKUP(L85,Foundation_Calc!$K$79:$R$113,VLOOKUP(AW85,Foundation_Calc!$I$2:$J$8,2,FALSE),0),
IF(AX85="K",VLOOKUP(L85,Foundation_Calc!$K$117:$R$151,VLOOKUP(AW85,Foundation_Calc!$I$2:$J$8,2,FALSE),0),"")))</f>
        <v/>
      </c>
      <c r="AZ85" s="10">
        <f>IF(K85="","",
IF(AX85="PT",VLOOKUP(K85,Foundation_Calc!$K$79:$R$113,VLOOKUP(AW85,Foundation_Calc!$I$2:$J$8,2,FALSE),0),
IF(AX85="K",VLOOKUP(K85,Foundation_Calc!$K$117:$R$151,VLOOKUP(AW85,Foundation_Calc!$I$2:$J$8,2,FALSE),0),"")))</f>
        <v>2.8</v>
      </c>
      <c r="BA85" s="495" t="str">
        <f t="shared" si="12"/>
        <v/>
      </c>
      <c r="BB85" s="495" t="str">
        <f t="shared" si="13"/>
        <v>ü</v>
      </c>
      <c r="BC85" s="495" t="str">
        <f t="shared" si="14"/>
        <v/>
      </c>
      <c r="BD85" s="513" t="str">
        <f>IF(AND(L85="",H85=""),"",
IF(H85="",Pole_Calc!A$9,
IF(H85="MP",Pole_Calc!A$10,
IF(H85="AnMP",Pole_Calc!A$11,
IF(H85="A",Pole_Calc!A$12,
IF(H85="S/A",Pole_Calc!A$13,
IF(H85="A/S",Pole_Calc!A$14,"Poner a mano")))))))</f>
        <v/>
      </c>
      <c r="BE85" s="429" t="s">
        <v>118</v>
      </c>
      <c r="BF85" s="290"/>
      <c r="BG85" s="290"/>
      <c r="BH85" s="290"/>
      <c r="BI85" s="290"/>
    </row>
    <row r="86" spans="1:61" ht="16.149999999999999" customHeight="1">
      <c r="A86" s="514"/>
      <c r="B86" s="450" t="s">
        <v>978</v>
      </c>
      <c r="C86" s="3">
        <f>+$C$84+$G$85</f>
        <v>32307.65</v>
      </c>
      <c r="D86" s="83"/>
      <c r="E86" s="4"/>
      <c r="F86" s="4">
        <v>0</v>
      </c>
      <c r="G86" s="6"/>
      <c r="H86" s="449"/>
      <c r="I86" s="4"/>
      <c r="J86" s="3"/>
      <c r="K86" s="449"/>
      <c r="L86" s="449" t="s">
        <v>158</v>
      </c>
      <c r="M86" s="449" t="str">
        <f>IF(L86="","",
IF(AX86="PT",VLOOKUP(L86,Foundation_Calc!$V$79:$X$113,VLOOKUP(AX86,Foundation_Calc!$I$10:$J$13,2,FALSE),0),
IF(AX86="K",VLOOKUP(L86,Foundation_Calc!$V$117:$X$151,VLOOKUP(AX86,Foundation_Calc!$I$10:$J$13,2,FALSE),0),"")))</f>
        <v>C4R</v>
      </c>
      <c r="N86" s="449" t="s">
        <v>134</v>
      </c>
      <c r="O86" s="449"/>
      <c r="P86" s="449"/>
      <c r="Q86" s="4"/>
      <c r="R86" s="6"/>
      <c r="S86" s="6"/>
      <c r="T86" s="4">
        <v>35</v>
      </c>
      <c r="U86" s="4"/>
      <c r="V86" s="4"/>
      <c r="W86" s="572">
        <v>1</v>
      </c>
      <c r="X86" s="9"/>
      <c r="Y86" s="9"/>
      <c r="Z86" s="9"/>
      <c r="AA86" s="9"/>
      <c r="AB86" s="9"/>
      <c r="AC86" s="449" t="str">
        <f t="shared" si="15"/>
        <v>PHQ</v>
      </c>
      <c r="AD86" s="449"/>
      <c r="AE86" s="449"/>
      <c r="AF86" s="4"/>
      <c r="AG86" s="83"/>
      <c r="AH86" s="4"/>
      <c r="AI86" s="4"/>
      <c r="AJ86" s="449"/>
      <c r="AK86" s="449"/>
      <c r="AL86" s="449"/>
      <c r="AM86" s="449" t="s">
        <v>126</v>
      </c>
      <c r="AN86" s="10">
        <f>AN88+0.07</f>
        <v>5.28</v>
      </c>
      <c r="AO86" s="9"/>
      <c r="AP86" s="9"/>
      <c r="AQ86" s="9"/>
      <c r="AR86" s="9"/>
      <c r="AS86" s="9"/>
      <c r="AT86" s="9">
        <f>+ab($T$86,$T$84,$T$88,$G$85,$G$87, 1*$F$86,1200)</f>
        <v>5.5984782196246625</v>
      </c>
      <c r="AU86" s="428"/>
      <c r="AV86" s="428"/>
      <c r="AW86" s="449" t="str">
        <f>IF(C86&gt;0,VLOOKUP(C86,Foundation_Calc!$A$2:$C$13,3,1),
IF(J86&gt;0,VLOOKUP(J86,Foundation_Calc!$A$2:$C$13,3,1),""))</f>
        <v>Multi Soil</v>
      </c>
      <c r="AX86" s="449" t="str">
        <f>IF(C86&gt;0,VLOOKUP(C86,Foundation_Calc!$E$35:$G$65,3,1),
IF(J86&gt;0,VLOOKUP(J86,Foundation_Calc!$E$35:$G$65,3,1),""))</f>
        <v>PT</v>
      </c>
      <c r="AY86" s="10">
        <f>IF(L86="","",
IF(AX86="PT",VLOOKUP(L86,Foundation_Calc!$K$79:$R$113,VLOOKUP(AW86,Foundation_Calc!$I$2:$J$8,2,FALSE),0),
IF(AX86="K",VLOOKUP(L86,Foundation_Calc!$K$117:$R$151,VLOOKUP(AW86,Foundation_Calc!$I$2:$J$8,2,FALSE),0),"")))</f>
        <v>3.5</v>
      </c>
      <c r="AZ86" s="10" t="str">
        <f>IF(K86="","",
IF(AX86="PT",VLOOKUP(K86,Foundation_Calc!$K$79:$R$113,VLOOKUP(AW86,Foundation_Calc!$I$2:$J$8,2,FALSE),0),
IF(AX86="K",VLOOKUP(K86,Foundation_Calc!$K$117:$R$151,VLOOKUP(AW86,Foundation_Calc!$I$2:$J$8,2,FALSE),0),"")))</f>
        <v/>
      </c>
      <c r="BA86" s="495" t="str">
        <f t="shared" si="12"/>
        <v>ü</v>
      </c>
      <c r="BB86" s="495" t="str">
        <f t="shared" si="13"/>
        <v/>
      </c>
      <c r="BC86" s="495" t="str">
        <f t="shared" si="14"/>
        <v/>
      </c>
      <c r="BD86" s="513" t="str">
        <f>IF(AND(L86="",H86=""),"",
IF(H86="",Pole_Calc!A$9,
IF(H86="MP",Pole_Calc!A$10,
IF(H86="AnMP",Pole_Calc!A$11,
IF(H86="A",Pole_Calc!A$12,
IF(H86="S/A",Pole_Calc!A$13,
IF(H86="A/S",Pole_Calc!A$14,"Poner a mano")))))))</f>
        <v>App.7-V11I-P9.5.1.1</v>
      </c>
      <c r="BE86" s="429" t="s">
        <v>118</v>
      </c>
      <c r="BF86" s="289"/>
      <c r="BG86" s="289"/>
      <c r="BH86" s="290"/>
      <c r="BI86" s="289"/>
    </row>
    <row r="87" spans="1:61" ht="16.149999999999999" customHeight="1">
      <c r="A87" s="514"/>
      <c r="B87" s="450"/>
      <c r="C87" s="3"/>
      <c r="D87" s="83"/>
      <c r="E87" s="4"/>
      <c r="F87" s="4"/>
      <c r="G87" s="6">
        <v>40</v>
      </c>
      <c r="H87" s="449"/>
      <c r="I87" s="4" t="s">
        <v>195</v>
      </c>
      <c r="J87" s="3">
        <f>C86+7.5</f>
        <v>32315.15</v>
      </c>
      <c r="K87" s="449" t="s">
        <v>166</v>
      </c>
      <c r="L87" s="449"/>
      <c r="M87" s="449" t="str">
        <f>IF(L87="","",
IF(AX87="PT",VLOOKUP(L87,Foundation_Calc!$V$79:$X$113,VLOOKUP(AX87,Foundation_Calc!$I$10:$J$13,2,FALSE),0),
IF(AX87="K",VLOOKUP(L87,Foundation_Calc!$V$117:$X$151,VLOOKUP(AX87,Foundation_Calc!$I$10:$J$13,2,FALSE),0),"")))</f>
        <v/>
      </c>
      <c r="N87" s="449"/>
      <c r="O87" s="449"/>
      <c r="P87" s="449"/>
      <c r="Q87" s="4"/>
      <c r="R87" s="6"/>
      <c r="S87" s="6"/>
      <c r="T87" s="4"/>
      <c r="U87" s="4"/>
      <c r="V87" s="4"/>
      <c r="W87" s="572"/>
      <c r="X87" s="9"/>
      <c r="Y87" s="9"/>
      <c r="Z87" s="9"/>
      <c r="AA87" s="9"/>
      <c r="AB87" s="9"/>
      <c r="AC87" s="449" t="str">
        <f t="shared" si="15"/>
        <v/>
      </c>
      <c r="AD87" s="449"/>
      <c r="AE87" s="449"/>
      <c r="AF87" s="4"/>
      <c r="AG87" s="83"/>
      <c r="AH87" s="4"/>
      <c r="AI87" s="4"/>
      <c r="AJ87" s="449"/>
      <c r="AK87" s="449"/>
      <c r="AL87" s="449"/>
      <c r="AM87" s="449"/>
      <c r="AN87" s="10"/>
      <c r="AO87" s="9"/>
      <c r="AP87" s="9"/>
      <c r="AQ87" s="9">
        <f>+FL_1($T$88,$T$86,$G$87,1200,9.28, 1*$F$88)</f>
        <v>0.35000000000000125</v>
      </c>
      <c r="AR87" s="9"/>
      <c r="AS87" s="9"/>
      <c r="AT87" s="9"/>
      <c r="AU87" s="428"/>
      <c r="AV87" s="428"/>
      <c r="AW87" s="449" t="str">
        <f>IF(C87&gt;0,VLOOKUP(C87,Foundation_Calc!$A$2:$C$13,3,1),
IF(J87&gt;0,VLOOKUP(J87,Foundation_Calc!$A$2:$C$13,3,1),""))</f>
        <v>Multi Soil</v>
      </c>
      <c r="AX87" s="449" t="str">
        <f>IF(C87&gt;0,VLOOKUP(C87,Foundation_Calc!$E$35:$G$65,3,1),
IF(J87&gt;0,VLOOKUP(J87,Foundation_Calc!$E$35:$G$65,3,1),""))</f>
        <v>PT</v>
      </c>
      <c r="AY87" s="10" t="str">
        <f>IF(L87="","",
IF(AX87="PT",VLOOKUP(L87,Foundation_Calc!$K$79:$R$113,VLOOKUP(AW87,Foundation_Calc!$I$2:$J$8,2,FALSE),0),
IF(AX87="K",VLOOKUP(L87,Foundation_Calc!$K$117:$R$151,VLOOKUP(AW87,Foundation_Calc!$I$2:$J$8,2,FALSE),0),"")))</f>
        <v/>
      </c>
      <c r="AZ87" s="10">
        <f>IF(K87="","",
IF(AX87="PT",VLOOKUP(K87,Foundation_Calc!$K$79:$R$113,VLOOKUP(AW87,Foundation_Calc!$I$2:$J$8,2,FALSE),0),
IF(AX87="K",VLOOKUP(K87,Foundation_Calc!$K$117:$R$151,VLOOKUP(AW87,Foundation_Calc!$I$2:$J$8,2,FALSE),0),"")))</f>
        <v>2.8</v>
      </c>
      <c r="BA87" s="495" t="str">
        <f t="shared" si="12"/>
        <v/>
      </c>
      <c r="BB87" s="495" t="str">
        <f t="shared" si="13"/>
        <v>ü</v>
      </c>
      <c r="BC87" s="495" t="str">
        <f t="shared" si="14"/>
        <v/>
      </c>
      <c r="BD87" s="513" t="str">
        <f>IF(AND(L87="",H87=""),"",
IF(H87="",Pole_Calc!A$9,
IF(H87="MP",Pole_Calc!A$10,
IF(H87="AnMP",Pole_Calc!A$11,
IF(H87="A",Pole_Calc!A$12,
IF(H87="S/A",Pole_Calc!A$13,
IF(H87="A/S",Pole_Calc!A$14,"Poner a mano")))))))</f>
        <v/>
      </c>
      <c r="BE87" s="429" t="s">
        <v>118</v>
      </c>
      <c r="BF87" s="290"/>
      <c r="BG87" s="290"/>
      <c r="BH87" s="290"/>
      <c r="BI87" s="290"/>
    </row>
    <row r="88" spans="1:61" ht="16.149999999999999" customHeight="1">
      <c r="A88" s="514"/>
      <c r="B88" s="450" t="s">
        <v>979</v>
      </c>
      <c r="C88" s="3">
        <f>+$C$86+$G$87</f>
        <v>32347.65</v>
      </c>
      <c r="D88" s="83"/>
      <c r="E88" s="4"/>
      <c r="F88" s="4">
        <v>0</v>
      </c>
      <c r="G88" s="6"/>
      <c r="H88" s="449"/>
      <c r="I88" s="4"/>
      <c r="J88" s="3"/>
      <c r="K88" s="449"/>
      <c r="L88" s="449" t="s">
        <v>153</v>
      </c>
      <c r="M88" s="449" t="str">
        <f>IF(L88="","",
IF(AX88="PT",VLOOKUP(L88,Foundation_Calc!$V$79:$X$113,VLOOKUP(AX88,Foundation_Calc!$I$10:$J$13,2,FALSE),0),
IF(AX88="K",VLOOKUP(L88,Foundation_Calc!$V$117:$X$151,VLOOKUP(AX88,Foundation_Calc!$I$10:$J$13,2,FALSE),0),"")))</f>
        <v>C3R</v>
      </c>
      <c r="N88" s="449" t="s">
        <v>124</v>
      </c>
      <c r="O88" s="449"/>
      <c r="P88" s="449"/>
      <c r="Q88" s="4"/>
      <c r="R88" s="6"/>
      <c r="S88" s="6"/>
      <c r="T88" s="4">
        <v>-35</v>
      </c>
      <c r="U88" s="4"/>
      <c r="V88" s="4"/>
      <c r="W88" s="572">
        <v>0.8</v>
      </c>
      <c r="X88" s="9"/>
      <c r="Y88" s="9"/>
      <c r="Z88" s="9"/>
      <c r="AA88" s="9"/>
      <c r="AB88" s="9"/>
      <c r="AC88" s="449" t="str">
        <f t="shared" si="15"/>
        <v>PHQ</v>
      </c>
      <c r="AD88" s="449"/>
      <c r="AE88" s="449"/>
      <c r="AF88" s="4"/>
      <c r="AG88" s="83"/>
      <c r="AH88" s="4"/>
      <c r="AI88" s="4"/>
      <c r="AJ88" s="449"/>
      <c r="AK88" s="449"/>
      <c r="AL88" s="449"/>
      <c r="AM88" s="449" t="s">
        <v>126</v>
      </c>
      <c r="AN88" s="10">
        <f>AN90+0.06</f>
        <v>5.21</v>
      </c>
      <c r="AO88" s="9"/>
      <c r="AP88" s="9"/>
      <c r="AQ88" s="9"/>
      <c r="AR88" s="9"/>
      <c r="AS88" s="9"/>
      <c r="AT88" s="9">
        <f>+ab($T$88,$T$86,$T$90,$G$87,$G$89, 1*$F$88,1200)</f>
        <v>-5.5984915706275187</v>
      </c>
      <c r="AU88" s="428"/>
      <c r="AV88" s="428"/>
      <c r="AW88" s="449" t="str">
        <f>IF(C88&gt;0,VLOOKUP(C88,Foundation_Calc!$A$2:$C$13,3,1),
IF(J88&gt;0,VLOOKUP(J88,Foundation_Calc!$A$2:$C$13,3,1),""))</f>
        <v>Multi Soil</v>
      </c>
      <c r="AX88" s="449" t="str">
        <f>IF(C88&gt;0,VLOOKUP(C88,Foundation_Calc!$E$35:$G$65,3,1),
IF(J88&gt;0,VLOOKUP(J88,Foundation_Calc!$E$35:$G$65,3,1),""))</f>
        <v>PT</v>
      </c>
      <c r="AY88" s="10">
        <f>IF(L88="","",
IF(AX88="PT",VLOOKUP(L88,Foundation_Calc!$K$79:$R$113,VLOOKUP(AW88,Foundation_Calc!$I$2:$J$8,2,FALSE),0),
IF(AX88="K",VLOOKUP(L88,Foundation_Calc!$K$117:$R$151,VLOOKUP(AW88,Foundation_Calc!$I$2:$J$8,2,FALSE),0),"")))</f>
        <v>3.5</v>
      </c>
      <c r="AZ88" s="10" t="str">
        <f>IF(K88="","",
IF(AX88="PT",VLOOKUP(K88,Foundation_Calc!$K$79:$R$113,VLOOKUP(AW88,Foundation_Calc!$I$2:$J$8,2,FALSE),0),
IF(AX88="K",VLOOKUP(K88,Foundation_Calc!$K$117:$R$151,VLOOKUP(AW88,Foundation_Calc!$I$2:$J$8,2,FALSE),0),"")))</f>
        <v/>
      </c>
      <c r="BA88" s="495" t="str">
        <f t="shared" si="12"/>
        <v>ü</v>
      </c>
      <c r="BB88" s="495" t="str">
        <f t="shared" si="13"/>
        <v/>
      </c>
      <c r="BC88" s="495" t="str">
        <f t="shared" si="14"/>
        <v/>
      </c>
      <c r="BD88" s="513" t="str">
        <f>IF(AND(L88="",H88=""),"",
IF(H88="",Pole_Calc!A$9,
IF(H88="MP",Pole_Calc!A$10,
IF(H88="AnMP",Pole_Calc!A$11,
IF(H88="A",Pole_Calc!A$12,
IF(H88="S/A",Pole_Calc!A$13,
IF(H88="A/S",Pole_Calc!A$14,"Poner a mano")))))))</f>
        <v>App.7-V11I-P9.5.1.1</v>
      </c>
      <c r="BE88" s="429" t="s">
        <v>118</v>
      </c>
      <c r="BF88" s="289"/>
      <c r="BG88" s="289"/>
      <c r="BH88" s="290"/>
      <c r="BI88" s="289"/>
    </row>
    <row r="89" spans="1:61" ht="16.149999999999999" customHeight="1">
      <c r="A89" s="514"/>
      <c r="B89" s="450"/>
      <c r="C89" s="3"/>
      <c r="D89" s="83"/>
      <c r="E89" s="4"/>
      <c r="F89" s="4"/>
      <c r="G89" s="6">
        <v>42</v>
      </c>
      <c r="H89" s="449"/>
      <c r="I89" s="4"/>
      <c r="J89" s="3"/>
      <c r="K89" s="449"/>
      <c r="L89" s="449"/>
      <c r="M89" s="449" t="str">
        <f>IF(L89="","",
IF(AX89="PT",VLOOKUP(L89,Foundation_Calc!$V$79:$X$113,VLOOKUP(AX89,Foundation_Calc!$I$10:$J$13,2,FALSE),0),
IF(AX89="K",VLOOKUP(L89,Foundation_Calc!$V$117:$X$151,VLOOKUP(AX89,Foundation_Calc!$I$10:$J$13,2,FALSE),0),"")))</f>
        <v/>
      </c>
      <c r="N89" s="449"/>
      <c r="O89" s="449"/>
      <c r="P89" s="449"/>
      <c r="Q89" s="4"/>
      <c r="R89" s="6"/>
      <c r="S89" s="6"/>
      <c r="T89" s="4"/>
      <c r="U89" s="4"/>
      <c r="V89" s="4"/>
      <c r="W89" s="572"/>
      <c r="X89" s="9"/>
      <c r="Y89" s="9"/>
      <c r="Z89" s="9"/>
      <c r="AA89" s="9"/>
      <c r="AB89" s="9"/>
      <c r="AC89" s="449" t="str">
        <f t="shared" si="15"/>
        <v/>
      </c>
      <c r="AD89" s="449"/>
      <c r="AE89" s="449"/>
      <c r="AF89" s="4"/>
      <c r="AG89" s="83"/>
      <c r="AH89" s="4"/>
      <c r="AI89" s="4"/>
      <c r="AJ89" s="449"/>
      <c r="AK89" s="449"/>
      <c r="AL89" s="449"/>
      <c r="AM89" s="449"/>
      <c r="AN89" s="10"/>
      <c r="AO89" s="9"/>
      <c r="AP89" s="9"/>
      <c r="AQ89" s="9">
        <f>+FL_2($T$90,$T$88,$G$89,1200,9.28, 1*$F$90)</f>
        <v>-0.35</v>
      </c>
      <c r="AR89" s="9"/>
      <c r="AS89" s="9"/>
      <c r="AT89" s="9"/>
      <c r="AU89" s="428"/>
      <c r="AV89" s="428"/>
      <c r="AW89" s="449" t="str">
        <f>IF(C89&gt;0,VLOOKUP(C89,Foundation_Calc!$A$2:$C$13,3,1),
IF(J89&gt;0,VLOOKUP(J89,Foundation_Calc!$A$2:$C$13,3,1),""))</f>
        <v/>
      </c>
      <c r="AX89" s="449" t="str">
        <f>IF(C89&gt;0,VLOOKUP(C89,Foundation_Calc!$E$35:$G$65,3,1),
IF(J89&gt;0,VLOOKUP(J89,Foundation_Calc!$E$35:$G$65,3,1),""))</f>
        <v/>
      </c>
      <c r="AY89" s="10" t="str">
        <f>IF(L89="","",
IF(AX89="PT",VLOOKUP(L89,Foundation_Calc!$K$79:$R$113,VLOOKUP(AW89,Foundation_Calc!$I$2:$J$8,2,FALSE),0),
IF(AX89="K",VLOOKUP(L89,Foundation_Calc!$K$117:$R$151,VLOOKUP(AW89,Foundation_Calc!$I$2:$J$8,2,FALSE),0),"")))</f>
        <v/>
      </c>
      <c r="AZ89" s="10" t="str">
        <f>IF(K89="","",
IF(AX89="PT",VLOOKUP(K89,Foundation_Calc!$K$79:$R$113,VLOOKUP(AW89,Foundation_Calc!$I$2:$J$8,2,FALSE),0),
IF(AX89="K",VLOOKUP(K89,Foundation_Calc!$K$117:$R$151,VLOOKUP(AW89,Foundation_Calc!$I$2:$J$8,2,FALSE),0),"")))</f>
        <v/>
      </c>
      <c r="BA89" s="495" t="str">
        <f t="shared" si="12"/>
        <v/>
      </c>
      <c r="BB89" s="495" t="str">
        <f t="shared" si="13"/>
        <v/>
      </c>
      <c r="BC89" s="495" t="str">
        <f t="shared" si="14"/>
        <v/>
      </c>
      <c r="BD89" s="513" t="str">
        <f>IF(AND(L89="",H89=""),"",
IF(H89="",Pole_Calc!A$9,
IF(H89="MP",Pole_Calc!A$10,
IF(H89="AnMP",Pole_Calc!A$11,
IF(H89="A",Pole_Calc!A$12,
IF(H89="S/A",Pole_Calc!A$13,
IF(H89="A/S",Pole_Calc!A$14,"Poner a mano")))))))</f>
        <v/>
      </c>
      <c r="BE89" s="429" t="s">
        <v>118</v>
      </c>
      <c r="BF89" s="290"/>
      <c r="BG89" s="290"/>
      <c r="BH89" s="290"/>
      <c r="BI89" s="290"/>
    </row>
    <row r="90" spans="1:61" ht="16.149999999999999" customHeight="1">
      <c r="A90" s="514"/>
      <c r="B90" s="450" t="s">
        <v>980</v>
      </c>
      <c r="C90" s="3">
        <f>+$C$88+$G$89</f>
        <v>32389.65</v>
      </c>
      <c r="D90" s="83"/>
      <c r="E90" s="4"/>
      <c r="F90" s="4">
        <v>0</v>
      </c>
      <c r="G90" s="6"/>
      <c r="H90" s="449"/>
      <c r="I90" s="4"/>
      <c r="J90" s="3"/>
      <c r="K90" s="449"/>
      <c r="L90" s="449" t="s">
        <v>153</v>
      </c>
      <c r="M90" s="449" t="str">
        <f>IF(L90="","",
IF(AX90="PT",VLOOKUP(L90,Foundation_Calc!$V$79:$X$113,VLOOKUP(AX90,Foundation_Calc!$I$10:$J$13,2,FALSE),0),
IF(AX90="K",VLOOKUP(L90,Foundation_Calc!$V$117:$X$151,VLOOKUP(AX90,Foundation_Calc!$I$10:$J$13,2,FALSE),0),"")))</f>
        <v>C3R</v>
      </c>
      <c r="N90" s="449" t="s">
        <v>134</v>
      </c>
      <c r="O90" s="449"/>
      <c r="P90" s="449"/>
      <c r="Q90" s="4"/>
      <c r="R90" s="6"/>
      <c r="S90" s="6"/>
      <c r="T90" s="4">
        <v>35</v>
      </c>
      <c r="U90" s="4"/>
      <c r="V90" s="4"/>
      <c r="W90" s="572">
        <v>0.55000000000000004</v>
      </c>
      <c r="X90" s="9"/>
      <c r="Y90" s="9"/>
      <c r="Z90" s="9"/>
      <c r="AA90" s="9"/>
      <c r="AB90" s="9"/>
      <c r="AC90" s="449" t="str">
        <f t="shared" si="15"/>
        <v>PHQ</v>
      </c>
      <c r="AD90" s="449"/>
      <c r="AE90" s="449"/>
      <c r="AF90" s="4"/>
      <c r="AG90" s="83"/>
      <c r="AH90" s="4"/>
      <c r="AI90" s="4"/>
      <c r="AJ90" s="449"/>
      <c r="AK90" s="449"/>
      <c r="AL90" s="449"/>
      <c r="AM90" s="449" t="s">
        <v>126</v>
      </c>
      <c r="AN90" s="10">
        <v>5.15</v>
      </c>
      <c r="AO90" s="9"/>
      <c r="AP90" s="9"/>
      <c r="AQ90" s="9"/>
      <c r="AR90" s="9"/>
      <c r="AS90" s="9"/>
      <c r="AT90" s="9">
        <f>+ab($T$90,$T$88,$T$92,$G$89,$G$91, 1*$F$90,1200)</f>
        <v>5.668843722485402</v>
      </c>
      <c r="AU90" s="428"/>
      <c r="AV90" s="428"/>
      <c r="AW90" s="449" t="str">
        <f>IF(C90&gt;0,VLOOKUP(C90,Foundation_Calc!$A$2:$C$13,3,1),
IF(J90&gt;0,VLOOKUP(J90,Foundation_Calc!$A$2:$C$13,3,1),""))</f>
        <v>Multi Soil</v>
      </c>
      <c r="AX90" s="449" t="str">
        <f>IF(C90&gt;0,VLOOKUP(C90,Foundation_Calc!$E$35:$G$65,3,1),
IF(J90&gt;0,VLOOKUP(J90,Foundation_Calc!$E$35:$G$65,3,1),""))</f>
        <v>PT</v>
      </c>
      <c r="AY90" s="10">
        <f>IF(L90="","",
IF(AX90="PT",VLOOKUP(L90,Foundation_Calc!$K$79:$R$113,VLOOKUP(AW90,Foundation_Calc!$I$2:$J$8,2,FALSE),0),
IF(AX90="K",VLOOKUP(L90,Foundation_Calc!$K$117:$R$151,VLOOKUP(AW90,Foundation_Calc!$I$2:$J$8,2,FALSE),0),"")))</f>
        <v>3.5</v>
      </c>
      <c r="AZ90" s="10" t="str">
        <f>IF(K90="","",
IF(AX90="PT",VLOOKUP(K90,Foundation_Calc!$K$79:$R$113,VLOOKUP(AW90,Foundation_Calc!$I$2:$J$8,2,FALSE),0),
IF(AX90="K",VLOOKUP(K90,Foundation_Calc!$K$117:$R$151,VLOOKUP(AW90,Foundation_Calc!$I$2:$J$8,2,FALSE),0),"")))</f>
        <v/>
      </c>
      <c r="BA90" s="495" t="str">
        <f t="shared" si="12"/>
        <v>ü</v>
      </c>
      <c r="BB90" s="495" t="str">
        <f t="shared" si="13"/>
        <v/>
      </c>
      <c r="BC90" s="495" t="str">
        <f t="shared" si="14"/>
        <v/>
      </c>
      <c r="BD90" s="513" t="str">
        <f>IF(AND(L90="",H90=""),"",
IF(H90="",Pole_Calc!A$9,
IF(H90="MP",Pole_Calc!A$10,
IF(H90="AnMP",Pole_Calc!A$11,
IF(H90="A",Pole_Calc!A$12,
IF(H90="S/A",Pole_Calc!A$13,
IF(H90="A/S",Pole_Calc!A$14,"Poner a mano")))))))</f>
        <v>App.7-V11I-P9.5.1.1</v>
      </c>
      <c r="BE90" s="429" t="s">
        <v>118</v>
      </c>
      <c r="BF90" s="289"/>
      <c r="BG90" s="289"/>
      <c r="BH90" s="290"/>
      <c r="BI90" s="289"/>
    </row>
    <row r="91" spans="1:61" ht="16.149999999999999" customHeight="1">
      <c r="A91" s="514" t="s">
        <v>199</v>
      </c>
      <c r="B91" s="450"/>
      <c r="C91" s="3"/>
      <c r="D91" s="83"/>
      <c r="E91" s="4"/>
      <c r="F91" s="4"/>
      <c r="G91" s="6">
        <v>41</v>
      </c>
      <c r="H91" s="449"/>
      <c r="I91" s="4"/>
      <c r="J91" s="3"/>
      <c r="K91" s="449"/>
      <c r="L91" s="449"/>
      <c r="M91" s="449" t="str">
        <f>IF(L91="","",
IF(AX91="PT",VLOOKUP(L91,Foundation_Calc!$V$79:$X$113,VLOOKUP(AX91,Foundation_Calc!$I$10:$J$13,2,FALSE),0),
IF(AX91="K",VLOOKUP(L91,Foundation_Calc!$V$117:$X$151,VLOOKUP(AX91,Foundation_Calc!$I$10:$J$13,2,FALSE),0),"")))</f>
        <v/>
      </c>
      <c r="N91" s="449"/>
      <c r="O91" s="449"/>
      <c r="P91" s="449"/>
      <c r="Q91" s="4"/>
      <c r="R91" s="6"/>
      <c r="S91" s="6"/>
      <c r="T91" s="4"/>
      <c r="U91" s="4"/>
      <c r="V91" s="4"/>
      <c r="W91" s="572"/>
      <c r="X91" s="9"/>
      <c r="Y91" s="9"/>
      <c r="Z91" s="9"/>
      <c r="AA91" s="9"/>
      <c r="AB91" s="9"/>
      <c r="AC91" s="449" t="str">
        <f t="shared" si="15"/>
        <v/>
      </c>
      <c r="AD91" s="449"/>
      <c r="AE91" s="449"/>
      <c r="AF91" s="4"/>
      <c r="AG91" s="83"/>
      <c r="AH91" s="4"/>
      <c r="AI91" s="4"/>
      <c r="AJ91" s="449"/>
      <c r="AK91" s="449"/>
      <c r="AL91" s="449"/>
      <c r="AM91" s="449"/>
      <c r="AN91" s="10"/>
      <c r="AO91" s="9"/>
      <c r="AP91" s="9"/>
      <c r="AQ91" s="9">
        <f>+FL_1($T$92,$T$90,$G$91,1200,9.28, 1*$F$92)</f>
        <v>0.35000000000000048</v>
      </c>
      <c r="AR91" s="9"/>
      <c r="AS91" s="9"/>
      <c r="AT91" s="9"/>
      <c r="AU91" s="428"/>
      <c r="AV91" s="428"/>
      <c r="AW91" s="449" t="str">
        <f>IF(C91&gt;0,VLOOKUP(C91,Foundation_Calc!$A$2:$C$13,3,1),
IF(J91&gt;0,VLOOKUP(J91,Foundation_Calc!$A$2:$C$13,3,1),""))</f>
        <v/>
      </c>
      <c r="AX91" s="449" t="str">
        <f>IF(C91&gt;0,VLOOKUP(C91,Foundation_Calc!$E$35:$G$65,3,1),
IF(J91&gt;0,VLOOKUP(J91,Foundation_Calc!$E$35:$G$65,3,1),""))</f>
        <v/>
      </c>
      <c r="AY91" s="10" t="str">
        <f>IF(L91="","",
IF(AX91="PT",VLOOKUP(L91,Foundation_Calc!$K$79:$R$113,VLOOKUP(AW91,Foundation_Calc!$I$2:$J$8,2,FALSE),0),
IF(AX91="K",VLOOKUP(L91,Foundation_Calc!$K$117:$R$151,VLOOKUP(AW91,Foundation_Calc!$I$2:$J$8,2,FALSE),0),"")))</f>
        <v/>
      </c>
      <c r="AZ91" s="10" t="str">
        <f>IF(K91="","",
IF(AX91="PT",VLOOKUP(K91,Foundation_Calc!$K$79:$R$113,VLOOKUP(AW91,Foundation_Calc!$I$2:$J$8,2,FALSE),0),
IF(AX91="K",VLOOKUP(K91,Foundation_Calc!$K$117:$R$151,VLOOKUP(AW91,Foundation_Calc!$I$2:$J$8,2,FALSE),0),"")))</f>
        <v/>
      </c>
      <c r="BA91" s="495" t="str">
        <f t="shared" si="12"/>
        <v/>
      </c>
      <c r="BB91" s="495" t="str">
        <f t="shared" si="13"/>
        <v/>
      </c>
      <c r="BC91" s="495" t="str">
        <f t="shared" si="14"/>
        <v/>
      </c>
      <c r="BD91" s="513" t="str">
        <f>IF(AND(L91="",H91=""),"",
IF(H91="",Pole_Calc!A$9,
IF(H91="MP",Pole_Calc!A$10,
IF(H91="AnMP",Pole_Calc!A$11,
IF(H91="A",Pole_Calc!A$12,
IF(H91="S/A",Pole_Calc!A$13,
IF(H91="A/S",Pole_Calc!A$14,"Poner a mano")))))))</f>
        <v/>
      </c>
      <c r="BE91" s="429" t="s">
        <v>118</v>
      </c>
      <c r="BF91" s="290"/>
      <c r="BG91" s="290"/>
      <c r="BH91" s="290"/>
      <c r="BI91" s="290"/>
    </row>
    <row r="92" spans="1:61" ht="16.149999999999999" customHeight="1">
      <c r="A92" s="733" t="s">
        <v>199</v>
      </c>
      <c r="B92" s="450" t="s">
        <v>981</v>
      </c>
      <c r="C92" s="3">
        <f>+$C$90+$G$91</f>
        <v>32430.65</v>
      </c>
      <c r="D92" s="83"/>
      <c r="E92" s="4"/>
      <c r="F92" s="4">
        <v>0</v>
      </c>
      <c r="G92" s="6"/>
      <c r="H92" s="449"/>
      <c r="I92" s="4"/>
      <c r="J92" s="3"/>
      <c r="K92" s="449"/>
      <c r="L92" s="449" t="s">
        <v>201</v>
      </c>
      <c r="M92" s="449" t="str">
        <f>IF(L92="","",
IF(AX92="PT",VLOOKUP(L92,Foundation_Calc!$V$79:$X$113,VLOOKUP(AX92,Foundation_Calc!$I$10:$J$13,2,FALSE),0),
IF(AX92="K",VLOOKUP(L92,Foundation_Calc!$V$117:$X$151,VLOOKUP(AX92,Foundation_Calc!$I$10:$J$13,2,FALSE),0),"")))</f>
        <v/>
      </c>
      <c r="N92" s="449" t="s">
        <v>124</v>
      </c>
      <c r="O92" s="449"/>
      <c r="P92" s="449"/>
      <c r="Q92" s="4"/>
      <c r="R92" s="6"/>
      <c r="S92" s="6"/>
      <c r="T92" s="4">
        <v>-35</v>
      </c>
      <c r="U92" s="4"/>
      <c r="V92" s="4"/>
      <c r="W92" s="572">
        <v>0.55000000000000004</v>
      </c>
      <c r="X92" s="9"/>
      <c r="Y92" s="9"/>
      <c r="Z92" s="9"/>
      <c r="AA92" s="9"/>
      <c r="AB92" s="9"/>
      <c r="AC92" s="449" t="str">
        <f t="shared" si="15"/>
        <v>PHQ</v>
      </c>
      <c r="AD92" s="449"/>
      <c r="AE92" s="449"/>
      <c r="AF92" s="4"/>
      <c r="AG92" s="83"/>
      <c r="AH92" s="4"/>
      <c r="AI92" s="4"/>
      <c r="AJ92" s="449"/>
      <c r="AK92" s="449" t="s">
        <v>202</v>
      </c>
      <c r="AL92" s="449"/>
      <c r="AM92" s="449" t="s">
        <v>203</v>
      </c>
      <c r="AN92" s="10">
        <v>5.15</v>
      </c>
      <c r="AO92" s="9"/>
      <c r="AP92" s="9"/>
      <c r="AQ92" s="9"/>
      <c r="AR92" s="9"/>
      <c r="AS92" s="9"/>
      <c r="AT92" s="9">
        <f>+ab($T$92,$T$90,$T$94,$G$91,$G$93, 1*$F$92,1200)</f>
        <v>-5.7392695144257759</v>
      </c>
      <c r="AU92" s="428"/>
      <c r="AV92" s="428"/>
      <c r="AW92" s="449" t="s">
        <v>201</v>
      </c>
      <c r="AX92" s="449" t="s">
        <v>201</v>
      </c>
      <c r="AY92" s="10" t="str">
        <f>IF(L92="","",
IF(AX92="PT",VLOOKUP(L92,Foundation_Calc!$K$79:$R$113,VLOOKUP(AW92,Foundation_Calc!$I$2:$J$8,2,FALSE),0),
IF(AX92="K",VLOOKUP(L92,Foundation_Calc!$K$117:$R$151,VLOOKUP(AW92,Foundation_Calc!$I$2:$J$8,2,FALSE),0),"")))</f>
        <v/>
      </c>
      <c r="AZ92" s="10" t="str">
        <f>IF(K92="","",
IF(AX92="PT",VLOOKUP(K92,Foundation_Calc!$K$79:$R$113,VLOOKUP(AW92,Foundation_Calc!$I$2:$J$8,2,FALSE),0),
IF(AX92="K",VLOOKUP(K92,Foundation_Calc!$K$117:$R$151,VLOOKUP(AW92,Foundation_Calc!$I$2:$J$8,2,FALSE),0),"")))</f>
        <v/>
      </c>
      <c r="BA92" s="495" t="str">
        <f t="shared" si="12"/>
        <v/>
      </c>
      <c r="BB92" s="495" t="str">
        <f t="shared" si="13"/>
        <v/>
      </c>
      <c r="BC92" s="495" t="str">
        <f t="shared" si="14"/>
        <v/>
      </c>
      <c r="BD92" s="513"/>
      <c r="BE92" s="429" t="s">
        <v>118</v>
      </c>
      <c r="BF92" s="289"/>
      <c r="BG92" s="289"/>
      <c r="BH92" s="290"/>
      <c r="BI92" s="289"/>
    </row>
    <row r="93" spans="1:61" ht="16.149999999999999" customHeight="1">
      <c r="A93" s="514" t="s">
        <v>199</v>
      </c>
      <c r="B93" s="450"/>
      <c r="C93" s="3"/>
      <c r="D93" s="83"/>
      <c r="E93" s="4"/>
      <c r="F93" s="4"/>
      <c r="G93" s="6">
        <v>40</v>
      </c>
      <c r="H93" s="449"/>
      <c r="I93" s="4"/>
      <c r="J93" s="3"/>
      <c r="K93" s="449"/>
      <c r="L93" s="449"/>
      <c r="M93" s="449" t="str">
        <f>IF(L93="","",
IF(AX93="PT",VLOOKUP(L93,Foundation_Calc!$V$79:$X$113,VLOOKUP(AX93,Foundation_Calc!$I$10:$J$13,2,FALSE),0),
IF(AX93="K",VLOOKUP(L93,Foundation_Calc!$V$117:$X$151,VLOOKUP(AX93,Foundation_Calc!$I$10:$J$13,2,FALSE),0),"")))</f>
        <v/>
      </c>
      <c r="N93" s="449"/>
      <c r="O93" s="449"/>
      <c r="P93" s="449"/>
      <c r="Q93" s="4"/>
      <c r="R93" s="6"/>
      <c r="S93" s="6"/>
      <c r="T93" s="4"/>
      <c r="U93" s="4"/>
      <c r="V93" s="4"/>
      <c r="W93" s="572"/>
      <c r="X93" s="9"/>
      <c r="Y93" s="9"/>
      <c r="Z93" s="9"/>
      <c r="AA93" s="9"/>
      <c r="AB93" s="9"/>
      <c r="AC93" s="449" t="str">
        <f t="shared" si="15"/>
        <v/>
      </c>
      <c r="AD93" s="449"/>
      <c r="AE93" s="449"/>
      <c r="AF93" s="4"/>
      <c r="AG93" s="83"/>
      <c r="AH93" s="4"/>
      <c r="AI93" s="4"/>
      <c r="AJ93" s="449"/>
      <c r="AK93" s="449"/>
      <c r="AL93" s="449"/>
      <c r="AM93" s="449"/>
      <c r="AN93" s="10"/>
      <c r="AO93" s="9"/>
      <c r="AP93" s="9"/>
      <c r="AQ93" s="9">
        <f>+FL_2($T$94,$T$92,$G$93,1200,9.28, 1*$F$94)</f>
        <v>-0.35000000000000053</v>
      </c>
      <c r="AR93" s="9"/>
      <c r="AS93" s="9"/>
      <c r="AT93" s="9"/>
      <c r="AU93" s="428"/>
      <c r="AV93" s="428"/>
      <c r="AW93" s="449" t="str">
        <f>IF(C93&gt;0,VLOOKUP(C93,Foundation_Calc!$A$2:$C$13,3,1),
IF(J93&gt;0,VLOOKUP(J93,Foundation_Calc!$A$2:$C$13,3,1),""))</f>
        <v/>
      </c>
      <c r="AX93" s="449" t="str">
        <f>IF(C93&gt;0,VLOOKUP(C93,Foundation_Calc!$E$35:$G$65,3,1),
IF(J93&gt;0,VLOOKUP(J93,Foundation_Calc!$E$35:$G$65,3,1),""))</f>
        <v/>
      </c>
      <c r="AY93" s="10" t="str">
        <f>IF(L93="","",
IF(AX93="PT",VLOOKUP(L93,Foundation_Calc!$K$79:$R$113,VLOOKUP(AW93,Foundation_Calc!$I$2:$J$8,2,FALSE),0),
IF(AX93="K",VLOOKUP(L93,Foundation_Calc!$K$117:$R$151,VLOOKUP(AW93,Foundation_Calc!$I$2:$J$8,2,FALSE),0),"")))</f>
        <v/>
      </c>
      <c r="AZ93" s="10" t="str">
        <f>IF(K93="","",
IF(AX93="PT",VLOOKUP(K93,Foundation_Calc!$K$79:$R$113,VLOOKUP(AW93,Foundation_Calc!$I$2:$J$8,2,FALSE),0),
IF(AX93="K",VLOOKUP(K93,Foundation_Calc!$K$117:$R$151,VLOOKUP(AW93,Foundation_Calc!$I$2:$J$8,2,FALSE),0),"")))</f>
        <v/>
      </c>
      <c r="BA93" s="495" t="str">
        <f t="shared" si="12"/>
        <v/>
      </c>
      <c r="BB93" s="495" t="str">
        <f t="shared" si="13"/>
        <v/>
      </c>
      <c r="BC93" s="495" t="str">
        <f t="shared" si="14"/>
        <v/>
      </c>
      <c r="BD93" s="513" t="str">
        <f>IF(AND(L93="",H93=""),"",
IF(H93="",Pole_Calc!A$9,
IF(H93="MP",Pole_Calc!A$10,
IF(H93="AnMP",Pole_Calc!A$11,
IF(H93="A",Pole_Calc!A$12,
IF(H93="S/A",Pole_Calc!A$13,
IF(H93="A/S",Pole_Calc!A$14,"Poner a mano")))))))</f>
        <v/>
      </c>
      <c r="BE93" s="429" t="s">
        <v>118</v>
      </c>
      <c r="BF93" s="290"/>
      <c r="BG93" s="290"/>
      <c r="BH93" s="290"/>
      <c r="BI93" s="290"/>
    </row>
    <row r="94" spans="1:61" ht="16.149999999999999" customHeight="1">
      <c r="A94" s="514"/>
      <c r="B94" s="450" t="s">
        <v>982</v>
      </c>
      <c r="C94" s="3">
        <f>+$C$92+$G$93</f>
        <v>32470.65</v>
      </c>
      <c r="D94" s="83"/>
      <c r="E94" s="4"/>
      <c r="F94" s="4">
        <v>0</v>
      </c>
      <c r="G94" s="6"/>
      <c r="H94" s="449"/>
      <c r="I94" s="4"/>
      <c r="J94" s="3"/>
      <c r="K94" s="449"/>
      <c r="L94" s="449" t="s">
        <v>153</v>
      </c>
      <c r="M94" s="449" t="str">
        <f>IF(L94="","",
IF(AX94="PT",VLOOKUP(L94,Foundation_Calc!$V$79:$X$113,VLOOKUP(AX94,Foundation_Calc!$I$10:$J$13,2,FALSE),0),
IF(AX94="K",VLOOKUP(L94,Foundation_Calc!$V$117:$X$151,VLOOKUP(AX94,Foundation_Calc!$I$10:$J$13,2,FALSE),0),"")))</f>
        <v>C3R</v>
      </c>
      <c r="N94" s="449" t="s">
        <v>134</v>
      </c>
      <c r="O94" s="449"/>
      <c r="P94" s="449"/>
      <c r="Q94" s="4"/>
      <c r="R94" s="6"/>
      <c r="S94" s="6"/>
      <c r="T94" s="4">
        <v>30</v>
      </c>
      <c r="U94" s="4"/>
      <c r="V94" s="4"/>
      <c r="W94" s="572">
        <v>0.55000000000000004</v>
      </c>
      <c r="X94" s="9"/>
      <c r="Y94" s="9"/>
      <c r="Z94" s="9"/>
      <c r="AA94" s="9"/>
      <c r="AB94" s="9"/>
      <c r="AC94" s="449" t="str">
        <f t="shared" si="15"/>
        <v>PHQ</v>
      </c>
      <c r="AD94" s="449"/>
      <c r="AE94" s="449"/>
      <c r="AF94" s="4"/>
      <c r="AG94" s="83"/>
      <c r="AH94" s="4"/>
      <c r="AI94" s="4"/>
      <c r="AJ94" s="449"/>
      <c r="AK94" s="449"/>
      <c r="AL94" s="449"/>
      <c r="AM94" s="449" t="s">
        <v>126</v>
      </c>
      <c r="AN94" s="10">
        <v>5.15</v>
      </c>
      <c r="AO94" s="9"/>
      <c r="AP94" s="9"/>
      <c r="AQ94" s="9"/>
      <c r="AR94" s="9"/>
      <c r="AS94" s="9"/>
      <c r="AT94" s="9">
        <f>+ab($T$94,$T$92,$T$96,$G$93,$G$95, 1*$F$94,1200)</f>
        <v>6.5109602831024063</v>
      </c>
      <c r="AU94" s="428"/>
      <c r="AV94" s="428"/>
      <c r="AW94" s="449" t="str">
        <f>IF(C94&gt;0,VLOOKUP(C94,Foundation_Calc!$A$2:$C$13,3,1),
IF(J94&gt;0,VLOOKUP(J94,Foundation_Calc!$A$2:$C$13,3,1),""))</f>
        <v>Multi Soil</v>
      </c>
      <c r="AX94" s="449" t="str">
        <f>IF(C94&gt;0,VLOOKUP(C94,Foundation_Calc!$E$35:$G$65,3,1),
IF(J94&gt;0,VLOOKUP(J94,Foundation_Calc!$E$35:$G$65,3,1),""))</f>
        <v>PT</v>
      </c>
      <c r="AY94" s="10">
        <f>IF(L94="","",
IF(AX94="PT",VLOOKUP(L94,Foundation_Calc!$K$79:$R$113,VLOOKUP(AW94,Foundation_Calc!$I$2:$J$8,2,FALSE),0),
IF(AX94="K",VLOOKUP(L94,Foundation_Calc!$K$117:$R$151,VLOOKUP(AW94,Foundation_Calc!$I$2:$J$8,2,FALSE),0),"")))</f>
        <v>3.5</v>
      </c>
      <c r="AZ94" s="10" t="str">
        <f>IF(K94="","",
IF(AX94="PT",VLOOKUP(K94,Foundation_Calc!$K$79:$R$113,VLOOKUP(AW94,Foundation_Calc!$I$2:$J$8,2,FALSE),0),
IF(AX94="K",VLOOKUP(K94,Foundation_Calc!$K$117:$R$151,VLOOKUP(AW94,Foundation_Calc!$I$2:$J$8,2,FALSE),0),"")))</f>
        <v/>
      </c>
      <c r="BA94" s="495" t="str">
        <f t="shared" si="12"/>
        <v>ü</v>
      </c>
      <c r="BB94" s="495" t="str">
        <f t="shared" si="13"/>
        <v/>
      </c>
      <c r="BC94" s="495" t="str">
        <f t="shared" si="14"/>
        <v/>
      </c>
      <c r="BD94" s="513" t="str">
        <f>IF(AND(L94="",H94=""),"",
IF(H94="",Pole_Calc!A$9,
IF(H94="MP",Pole_Calc!A$10,
IF(H94="AnMP",Pole_Calc!A$11,
IF(H94="A",Pole_Calc!A$12,
IF(H94="S/A",Pole_Calc!A$13,
IF(H94="A/S",Pole_Calc!A$14,"Poner a mano")))))))</f>
        <v>App.7-V11I-P9.5.1.1</v>
      </c>
      <c r="BE94" s="429" t="s">
        <v>118</v>
      </c>
      <c r="BF94" s="289"/>
      <c r="BG94" s="289"/>
      <c r="BH94" s="290"/>
      <c r="BI94" s="289"/>
    </row>
    <row r="95" spans="1:61" ht="16.149999999999999" customHeight="1">
      <c r="A95" s="514"/>
      <c r="B95" s="450"/>
      <c r="C95" s="3"/>
      <c r="D95" s="83"/>
      <c r="E95" s="4"/>
      <c r="F95" s="4"/>
      <c r="G95" s="6">
        <v>42</v>
      </c>
      <c r="H95" s="449"/>
      <c r="I95" s="4"/>
      <c r="J95" s="3">
        <f>C96-7.5</f>
        <v>32505.15</v>
      </c>
      <c r="K95" s="449" t="s">
        <v>117</v>
      </c>
      <c r="L95" s="449"/>
      <c r="M95" s="449" t="str">
        <f>IF(L95="","",
IF(AX95="PT",VLOOKUP(L95,Foundation_Calc!$V$79:$X$113,VLOOKUP(AX95,Foundation_Calc!$I$10:$J$13,2,FALSE),0),
IF(AX95="K",VLOOKUP(L95,Foundation_Calc!$V$117:$X$151,VLOOKUP(AX95,Foundation_Calc!$I$10:$J$13,2,FALSE),0),"")))</f>
        <v/>
      </c>
      <c r="N95" s="449"/>
      <c r="O95" s="449"/>
      <c r="P95" s="449"/>
      <c r="Q95" s="4"/>
      <c r="R95" s="6"/>
      <c r="S95" s="6"/>
      <c r="T95" s="4"/>
      <c r="U95" s="4"/>
      <c r="V95" s="4"/>
      <c r="W95" s="572"/>
      <c r="X95" s="9"/>
      <c r="Y95" s="9"/>
      <c r="Z95" s="9"/>
      <c r="AA95" s="9"/>
      <c r="AB95" s="9"/>
      <c r="AC95" s="449" t="str">
        <f t="shared" si="15"/>
        <v/>
      </c>
      <c r="AD95" s="449"/>
      <c r="AE95" s="449"/>
      <c r="AF95" s="4"/>
      <c r="AG95" s="83"/>
      <c r="AH95" s="4"/>
      <c r="AI95" s="4"/>
      <c r="AJ95" s="449"/>
      <c r="AK95" s="449"/>
      <c r="AL95" s="449"/>
      <c r="AM95" s="449"/>
      <c r="AN95" s="10"/>
      <c r="AO95" s="9"/>
      <c r="AP95" s="9"/>
      <c r="AQ95" s="9">
        <f>+FL_1($T$96,$T$94,$G$95,1200,9.28, 1*$F$96)</f>
        <v>0.3063940862857143</v>
      </c>
      <c r="AR95" s="9"/>
      <c r="AS95" s="9"/>
      <c r="AT95" s="9"/>
      <c r="AU95" s="428"/>
      <c r="AV95" s="428"/>
      <c r="AW95" s="449" t="str">
        <f>IF(C95&gt;0,VLOOKUP(C95,Foundation_Calc!$A$2:$C$13,3,1),
IF(J95&gt;0,VLOOKUP(J95,Foundation_Calc!$A$2:$C$13,3,1),""))</f>
        <v>Multi Soil</v>
      </c>
      <c r="AX95" s="449" t="str">
        <f>IF(C95&gt;0,VLOOKUP(C95,Foundation_Calc!$E$35:$G$65,3,1),
IF(J95&gt;0,VLOOKUP(J95,Foundation_Calc!$E$35:$G$65,3,1),""))</f>
        <v>PT</v>
      </c>
      <c r="AY95" s="10" t="str">
        <f>IF(L95="","",
IF(AX95="PT",VLOOKUP(L95,Foundation_Calc!$K$79:$R$113,VLOOKUP(AW95,Foundation_Calc!$I$2:$J$8,2,FALSE),0),
IF(AX95="K",VLOOKUP(L95,Foundation_Calc!$K$117:$R$151,VLOOKUP(AW95,Foundation_Calc!$I$2:$J$8,2,FALSE),0),"")))</f>
        <v/>
      </c>
      <c r="AZ95" s="10">
        <f>IF(K95="","",
IF(AX95="PT",VLOOKUP(K95,Foundation_Calc!$K$79:$R$113,VLOOKUP(AW95,Foundation_Calc!$I$2:$J$8,2,FALSE),0),
IF(AX95="K",VLOOKUP(K95,Foundation_Calc!$K$117:$R$151,VLOOKUP(AW95,Foundation_Calc!$I$2:$J$8,2,FALSE),0),"")))</f>
        <v>3.9</v>
      </c>
      <c r="BA95" s="495" t="str">
        <f t="shared" si="12"/>
        <v/>
      </c>
      <c r="BB95" s="495" t="str">
        <f t="shared" si="13"/>
        <v>ü</v>
      </c>
      <c r="BC95" s="495" t="str">
        <f t="shared" si="14"/>
        <v/>
      </c>
      <c r="BD95" s="513" t="str">
        <f>IF(AND(L95="",H95=""),"",
IF(H95="",Pole_Calc!A$9,
IF(H95="MP",Pole_Calc!A$10,
IF(H95="AnMP",Pole_Calc!A$11,
IF(H95="A",Pole_Calc!A$12,
IF(H95="S/A",Pole_Calc!A$13,
IF(H95="A/S",Pole_Calc!A$14,"Poner a mano")))))))</f>
        <v/>
      </c>
      <c r="BE95" s="429" t="s">
        <v>118</v>
      </c>
      <c r="BF95" s="290"/>
      <c r="BG95" s="290"/>
      <c r="BH95" s="290"/>
      <c r="BI95" s="290"/>
    </row>
    <row r="96" spans="1:61" ht="16.149999999999999" customHeight="1">
      <c r="A96" s="514"/>
      <c r="B96" s="450" t="s">
        <v>983</v>
      </c>
      <c r="C96" s="3">
        <f>+$C$94+$G$95</f>
        <v>32512.65</v>
      </c>
      <c r="D96" s="83"/>
      <c r="E96" s="4"/>
      <c r="F96" s="4">
        <v>0</v>
      </c>
      <c r="G96" s="6"/>
      <c r="H96" s="449" t="s">
        <v>121</v>
      </c>
      <c r="I96" s="4" t="s">
        <v>122</v>
      </c>
      <c r="J96" s="3"/>
      <c r="K96" s="449"/>
      <c r="L96" s="449" t="s">
        <v>151</v>
      </c>
      <c r="M96" s="449" t="str">
        <f>IF(L96="","",
IF(AX96="PT",VLOOKUP(L96,Foundation_Calc!$V$79:$X$113,VLOOKUP(AX96,Foundation_Calc!$I$10:$J$13,2,FALSE),0),
IF(AX96="K",VLOOKUP(L96,Foundation_Calc!$V$117:$X$151,VLOOKUP(AX96,Foundation_Calc!$I$10:$J$13,2,FALSE),0),"")))</f>
        <v>C4R</v>
      </c>
      <c r="N96" s="449" t="s">
        <v>124</v>
      </c>
      <c r="O96" s="449"/>
      <c r="P96" s="449"/>
      <c r="Q96" s="4"/>
      <c r="R96" s="6"/>
      <c r="S96" s="6"/>
      <c r="T96" s="4">
        <v>-25</v>
      </c>
      <c r="U96" s="4"/>
      <c r="V96" s="4"/>
      <c r="W96" s="572">
        <v>0.8</v>
      </c>
      <c r="X96" s="9"/>
      <c r="Y96" s="9"/>
      <c r="Z96" s="9"/>
      <c r="AA96" s="9"/>
      <c r="AB96" s="9"/>
      <c r="AC96" s="449" t="str">
        <f t="shared" si="15"/>
        <v>PH</v>
      </c>
      <c r="AD96" s="449"/>
      <c r="AE96" s="449"/>
      <c r="AF96" s="4"/>
      <c r="AG96" s="83"/>
      <c r="AH96" s="4"/>
      <c r="AI96" s="4"/>
      <c r="AJ96" s="449"/>
      <c r="AK96" s="449"/>
      <c r="AL96" s="449"/>
      <c r="AM96" s="449" t="s">
        <v>126</v>
      </c>
      <c r="AN96" s="10">
        <v>5.15</v>
      </c>
      <c r="AO96" s="9"/>
      <c r="AP96" s="9"/>
      <c r="AQ96" s="9"/>
      <c r="AR96" s="9"/>
      <c r="AS96" s="9"/>
      <c r="AT96" s="9">
        <f>+ab($T$96,$T$94,$U$98,$G$95,$G$97, 1*$F$96,1200)</f>
        <v>-8.6621057325560926</v>
      </c>
      <c r="AU96" s="428"/>
      <c r="AV96" s="428"/>
      <c r="AW96" s="449" t="str">
        <f>IF(C96&gt;0,VLOOKUP(C96,Foundation_Calc!$A$2:$C$13,3,1),
IF(J96&gt;0,VLOOKUP(J96,Foundation_Calc!$A$2:$C$13,3,1),""))</f>
        <v>Multi Soil</v>
      </c>
      <c r="AX96" s="449" t="str">
        <f>IF(C96&gt;0,VLOOKUP(C96,Foundation_Calc!$E$35:$G$65,3,1),
IF(J96&gt;0,VLOOKUP(J96,Foundation_Calc!$E$35:$G$65,3,1),""))</f>
        <v>PT</v>
      </c>
      <c r="AY96" s="10">
        <f>IF(L96="","",
IF(AX96="PT",VLOOKUP(L96,Foundation_Calc!$K$79:$R$113,VLOOKUP(AW96,Foundation_Calc!$I$2:$J$8,2,FALSE),0),
IF(AX96="K",VLOOKUP(L96,Foundation_Calc!$K$117:$R$151,VLOOKUP(AW96,Foundation_Calc!$I$2:$J$8,2,FALSE),0),"")))</f>
        <v>3.5</v>
      </c>
      <c r="AZ96" s="10" t="str">
        <f>IF(K96="","",
IF(AX96="PT",VLOOKUP(K96,Foundation_Calc!$K$79:$R$113,VLOOKUP(AW96,Foundation_Calc!$I$2:$J$8,2,FALSE),0),
IF(AX96="K",VLOOKUP(K96,Foundation_Calc!$K$117:$R$151,VLOOKUP(AW96,Foundation_Calc!$I$2:$J$8,2,FALSE),0),"")))</f>
        <v/>
      </c>
      <c r="BA96" s="495" t="str">
        <f t="shared" si="12"/>
        <v>ü</v>
      </c>
      <c r="BB96" s="495" t="str">
        <f t="shared" si="13"/>
        <v/>
      </c>
      <c r="BC96" s="495" t="str">
        <f t="shared" si="14"/>
        <v/>
      </c>
      <c r="BD96" s="513" t="str">
        <f>IF(AND(L96="",H96=""),"",
IF(H96="",Pole_Calc!A$9,
IF(H96="MP",Pole_Calc!A$10,
IF(H96="AnMP",Pole_Calc!A$11,
IF(H96="A",Pole_Calc!A$12,
IF(H96="S/A",Pole_Calc!A$13,
IF(H96="A/S",Pole_Calc!A$14,"Poner a mano")))))))</f>
        <v>App.7-V11I-P9.5.1.6</v>
      </c>
      <c r="BE96" s="429" t="s">
        <v>118</v>
      </c>
      <c r="BF96" s="289"/>
      <c r="BG96" s="289"/>
      <c r="BH96" s="290"/>
      <c r="BI96" s="289"/>
    </row>
    <row r="97" spans="1:61" ht="16.149999999999999" customHeight="1">
      <c r="A97" s="514"/>
      <c r="B97" s="450"/>
      <c r="C97" s="3"/>
      <c r="D97" s="83"/>
      <c r="E97" s="4"/>
      <c r="F97" s="4"/>
      <c r="G97" s="6">
        <v>45</v>
      </c>
      <c r="H97" s="449"/>
      <c r="I97" s="4"/>
      <c r="J97" s="3"/>
      <c r="K97" s="449"/>
      <c r="L97" s="449"/>
      <c r="M97" s="449" t="str">
        <f>IF(L97="","",
IF(AX97="PT",VLOOKUP(L97,Foundation_Calc!$V$79:$X$113,VLOOKUP(AX97,Foundation_Calc!$I$10:$J$13,2,FALSE),0),
IF(AX97="K",VLOOKUP(L97,Foundation_Calc!$V$117:$X$151,VLOOKUP(AX97,Foundation_Calc!$I$10:$J$13,2,FALSE),0),"")))</f>
        <v/>
      </c>
      <c r="N97" s="449"/>
      <c r="O97" s="449"/>
      <c r="P97" s="449"/>
      <c r="Q97" s="4"/>
      <c r="R97" s="6"/>
      <c r="S97" s="6"/>
      <c r="T97" s="4"/>
      <c r="U97" s="4"/>
      <c r="V97" s="4"/>
      <c r="W97" s="9"/>
      <c r="X97" s="9"/>
      <c r="Y97" s="9"/>
      <c r="Z97" s="9"/>
      <c r="AA97" s="9"/>
      <c r="AB97" s="9"/>
      <c r="AC97" s="449" t="str">
        <f t="shared" si="15"/>
        <v/>
      </c>
      <c r="AD97" s="449"/>
      <c r="AE97" s="449"/>
      <c r="AF97" s="4"/>
      <c r="AG97" s="83"/>
      <c r="AH97" s="4"/>
      <c r="AI97" s="4"/>
      <c r="AJ97" s="449"/>
      <c r="AK97" s="449"/>
      <c r="AL97" s="449"/>
      <c r="AM97" s="449"/>
      <c r="AN97" s="10"/>
      <c r="AO97" s="9"/>
      <c r="AP97" s="9"/>
      <c r="AQ97" s="9">
        <f>+FL_2($U$98,$T$96,$G$97,1200,9.28, 1*$F$98)</f>
        <v>-0.29683556133333333</v>
      </c>
      <c r="AR97" s="9"/>
      <c r="AS97" s="9"/>
      <c r="AT97" s="9"/>
      <c r="AU97" s="428"/>
      <c r="AV97" s="428"/>
      <c r="AW97" s="449" t="str">
        <f>IF(C97&gt;0,VLOOKUP(C97,Foundation_Calc!$A$2:$C$13,3,1),
IF(J97&gt;0,VLOOKUP(J97,Foundation_Calc!$A$2:$C$13,3,1),""))</f>
        <v/>
      </c>
      <c r="AX97" s="449" t="str">
        <f>IF(C97&gt;0,VLOOKUP(C97,Foundation_Calc!$E$35:$G$65,3,1),
IF(J97&gt;0,VLOOKUP(J97,Foundation_Calc!$E$35:$G$65,3,1),""))</f>
        <v/>
      </c>
      <c r="AY97" s="10" t="str">
        <f>IF(L97="","",
IF(AX97="PT",VLOOKUP(L97,Foundation_Calc!$K$79:$R$113,VLOOKUP(AW97,Foundation_Calc!$I$2:$J$8,2,FALSE),0),
IF(AX97="K",VLOOKUP(L97,Foundation_Calc!$K$117:$R$151,VLOOKUP(AW97,Foundation_Calc!$I$2:$J$8,2,FALSE),0),"")))</f>
        <v/>
      </c>
      <c r="AZ97" s="10" t="str">
        <f>IF(K97="","",
IF(AX97="PT",VLOOKUP(K97,Foundation_Calc!$K$79:$R$113,VLOOKUP(AW97,Foundation_Calc!$I$2:$J$8,2,FALSE),0),
IF(AX97="K",VLOOKUP(K97,Foundation_Calc!$K$117:$R$151,VLOOKUP(AW97,Foundation_Calc!$I$2:$J$8,2,FALSE),0),"")))</f>
        <v/>
      </c>
      <c r="BA97" s="495" t="str">
        <f t="shared" si="12"/>
        <v/>
      </c>
      <c r="BB97" s="495" t="str">
        <f t="shared" si="13"/>
        <v/>
      </c>
      <c r="BC97" s="495" t="str">
        <f t="shared" si="14"/>
        <v/>
      </c>
      <c r="BD97" s="513" t="str">
        <f>IF(AND(L97="",H97=""),"",
IF(H97="",Pole_Calc!A$9,
IF(H97="MP",Pole_Calc!A$10,
IF(H97="AnMP",Pole_Calc!A$11,
IF(H97="A",Pole_Calc!A$12,
IF(H97="S/A",Pole_Calc!A$13,
IF(H97="A/S",Pole_Calc!A$14,"Poner a mano")))))))</f>
        <v/>
      </c>
      <c r="BE97" s="429" t="s">
        <v>118</v>
      </c>
      <c r="BF97" s="290"/>
      <c r="BG97" s="290"/>
      <c r="BH97" s="290"/>
      <c r="BI97" s="290"/>
    </row>
    <row r="98" spans="1:61" ht="16.149999999999999" customHeight="1">
      <c r="A98" s="514"/>
      <c r="B98" s="450" t="s">
        <v>984</v>
      </c>
      <c r="C98" s="3">
        <f>+$C$96+$G$97</f>
        <v>32557.65</v>
      </c>
      <c r="D98" s="83"/>
      <c r="E98" s="4"/>
      <c r="F98" s="4">
        <v>0</v>
      </c>
      <c r="G98" s="6"/>
      <c r="H98" s="449" t="s">
        <v>131</v>
      </c>
      <c r="I98" s="4"/>
      <c r="J98" s="3"/>
      <c r="K98" s="449"/>
      <c r="L98" s="449" t="s">
        <v>183</v>
      </c>
      <c r="M98" s="449" t="str">
        <f>IF(L98="","",
IF(AX98="PT",VLOOKUP(L98,Foundation_Calc!$V$79:$X$113,VLOOKUP(AX98,Foundation_Calc!$I$10:$J$13,2,FALSE),0),
IF(AX98="K",VLOOKUP(L98,Foundation_Calc!$V$117:$X$151,VLOOKUP(AX98,Foundation_Calc!$I$10:$J$13,2,FALSE),0),"")))</f>
        <v>2C3R</v>
      </c>
      <c r="N98" s="449" t="s">
        <v>133</v>
      </c>
      <c r="O98" s="449" t="s">
        <v>134</v>
      </c>
      <c r="P98" s="449"/>
      <c r="Q98" s="4"/>
      <c r="R98" s="6"/>
      <c r="S98" s="6"/>
      <c r="T98" s="4">
        <v>35</v>
      </c>
      <c r="U98" s="4">
        <v>15</v>
      </c>
      <c r="V98" s="4"/>
      <c r="W98" s="572">
        <v>1</v>
      </c>
      <c r="X98" s="572">
        <v>1.4</v>
      </c>
      <c r="Y98" s="9"/>
      <c r="Z98" s="9">
        <v>0.45</v>
      </c>
      <c r="AA98" s="9"/>
      <c r="AB98" s="9"/>
      <c r="AC98" s="449"/>
      <c r="AD98" s="449"/>
      <c r="AE98" s="449"/>
      <c r="AF98" s="4"/>
      <c r="AG98" s="83"/>
      <c r="AH98" s="4"/>
      <c r="AI98" s="4"/>
      <c r="AJ98" s="449"/>
      <c r="AK98" s="449"/>
      <c r="AL98" s="449"/>
      <c r="AM98" s="449" t="s">
        <v>126</v>
      </c>
      <c r="AN98" s="10">
        <v>5.15</v>
      </c>
      <c r="AO98" s="9"/>
      <c r="AP98" s="9"/>
      <c r="AQ98" s="9"/>
      <c r="AR98" s="9"/>
      <c r="AS98" s="9"/>
      <c r="AT98" s="9">
        <f>+ab($U$98,$T$96,$U$100,$G$97,$G$99, 1*$F$98,1200)</f>
        <v>10.054501684639732</v>
      </c>
      <c r="AU98" s="428"/>
      <c r="AV98" s="428"/>
      <c r="AW98" s="449" t="str">
        <f>IF(C98&gt;0,VLOOKUP(C98,Foundation_Calc!$A$2:$C$13,3,1),
IF(J98&gt;0,VLOOKUP(J98,Foundation_Calc!$A$2:$C$13,3,1),""))</f>
        <v>Multi Soil</v>
      </c>
      <c r="AX98" s="449" t="str">
        <f>IF(C98&gt;0,VLOOKUP(C98,Foundation_Calc!$E$35:$G$65,3,1),
IF(J98&gt;0,VLOOKUP(J98,Foundation_Calc!$E$35:$G$65,3,1),""))</f>
        <v>PT</v>
      </c>
      <c r="AY98" s="10">
        <f>IF(L98="","",
IF(AX98="PT",VLOOKUP(L98,Foundation_Calc!$K$79:$R$113,VLOOKUP(AW98,Foundation_Calc!$I$2:$J$8,2,FALSE),0),
IF(AX98="K",VLOOKUP(L98,Foundation_Calc!$K$117:$R$151,VLOOKUP(AW98,Foundation_Calc!$I$2:$J$8,2,FALSE),0),"")))</f>
        <v>3.7</v>
      </c>
      <c r="AZ98" s="10" t="str">
        <f>IF(K98="","",
IF(AX98="PT",VLOOKUP(K98,Foundation_Calc!$K$79:$R$113,VLOOKUP(AW98,Foundation_Calc!$I$2:$J$8,2,FALSE),0),
IF(AX98="K",VLOOKUP(K98,Foundation_Calc!$K$117:$R$151,VLOOKUP(AW98,Foundation_Calc!$I$2:$J$8,2,FALSE),0),"")))</f>
        <v/>
      </c>
      <c r="BA98" s="495" t="str">
        <f t="shared" si="12"/>
        <v>ü</v>
      </c>
      <c r="BB98" s="495" t="str">
        <f t="shared" si="13"/>
        <v/>
      </c>
      <c r="BC98" s="495" t="str">
        <f t="shared" si="14"/>
        <v/>
      </c>
      <c r="BD98" s="513" t="str">
        <f>IF(AND(L98="",H98=""),"",
IF(H98="",Pole_Calc!A$9,
IF(H98="MP",Pole_Calc!A$10,
IF(H98="AnMP",Pole_Calc!A$11,
IF(H98="A",Pole_Calc!A$12,
IF(H98="S/A",Pole_Calc!A$13,
IF(H98="A/S",Pole_Calc!A$14,"Poner a mano")))))))</f>
        <v>App.7-V11I-P9.5.1.5</v>
      </c>
      <c r="BE98" s="429" t="s">
        <v>118</v>
      </c>
      <c r="BF98" s="289"/>
      <c r="BG98" s="289"/>
      <c r="BH98" s="290"/>
      <c r="BI98" s="289"/>
    </row>
    <row r="99" spans="1:61" ht="16.149999999999999" customHeight="1">
      <c r="A99" s="514"/>
      <c r="B99" s="450"/>
      <c r="C99" s="3"/>
      <c r="D99" s="83"/>
      <c r="E99" s="4"/>
      <c r="F99" s="4"/>
      <c r="G99" s="6">
        <v>50</v>
      </c>
      <c r="H99" s="449"/>
      <c r="I99" s="4"/>
      <c r="J99" s="3"/>
      <c r="K99" s="449"/>
      <c r="L99" s="449"/>
      <c r="M99" s="449" t="str">
        <f>IF(L99="","",
IF(AX99="PT",VLOOKUP(L99,Foundation_Calc!$V$79:$X$113,VLOOKUP(AX99,Foundation_Calc!$I$10:$J$13,2,FALSE),0),
IF(AX99="K",VLOOKUP(L99,Foundation_Calc!$V$117:$X$151,VLOOKUP(AX99,Foundation_Calc!$I$10:$J$13,2,FALSE),0),"")))</f>
        <v/>
      </c>
      <c r="N99" s="449"/>
      <c r="O99" s="449"/>
      <c r="P99" s="449"/>
      <c r="Q99" s="4"/>
      <c r="R99" s="6"/>
      <c r="S99" s="6"/>
      <c r="T99" s="4"/>
      <c r="U99" s="4"/>
      <c r="V99" s="4"/>
      <c r="W99" s="572"/>
      <c r="X99" s="572"/>
      <c r="Y99" s="9"/>
      <c r="Z99" s="9"/>
      <c r="AA99" s="9"/>
      <c r="AB99" s="9"/>
      <c r="AC99" s="449" t="str">
        <f t="shared" si="15"/>
        <v/>
      </c>
      <c r="AD99" s="449"/>
      <c r="AE99" s="449"/>
      <c r="AF99" s="4"/>
      <c r="AG99" s="83"/>
      <c r="AH99" s="4"/>
      <c r="AI99" s="4"/>
      <c r="AJ99" s="449"/>
      <c r="AK99" s="449"/>
      <c r="AL99" s="449"/>
      <c r="AM99" s="449"/>
      <c r="AN99" s="10"/>
      <c r="AO99" s="9"/>
      <c r="AP99" s="9"/>
      <c r="AQ99" s="9">
        <f>+FL_2($T$100,$U$98,$G$99,1200,9.28, 1*$F$100)</f>
        <v>-0.26494252799999995</v>
      </c>
      <c r="AR99" s="9"/>
      <c r="AS99" s="9"/>
      <c r="AT99" s="9"/>
      <c r="AU99" s="428"/>
      <c r="AV99" s="428"/>
      <c r="AW99" s="449" t="str">
        <f>IF(C99&gt;0,VLOOKUP(C99,Foundation_Calc!$A$2:$C$13,3,1),
IF(J99&gt;0,VLOOKUP(J99,Foundation_Calc!$A$2:$C$13,3,1),""))</f>
        <v/>
      </c>
      <c r="AX99" s="449" t="str">
        <f>IF(C99&gt;0,VLOOKUP(C99,Foundation_Calc!$E$35:$G$65,3,1),
IF(J99&gt;0,VLOOKUP(J99,Foundation_Calc!$E$35:$G$65,3,1),""))</f>
        <v/>
      </c>
      <c r="AY99" s="10" t="str">
        <f>IF(L99="","",
IF(AX99="PT",VLOOKUP(L99,Foundation_Calc!$K$79:$R$113,VLOOKUP(AW99,Foundation_Calc!$I$2:$J$8,2,FALSE),0),
IF(AX99="K",VLOOKUP(L99,Foundation_Calc!$K$117:$R$151,VLOOKUP(AW99,Foundation_Calc!$I$2:$J$8,2,FALSE),0),"")))</f>
        <v/>
      </c>
      <c r="AZ99" s="10" t="str">
        <f>IF(K99="","",
IF(AX99="PT",VLOOKUP(K99,Foundation_Calc!$K$79:$R$113,VLOOKUP(AW99,Foundation_Calc!$I$2:$J$8,2,FALSE),0),
IF(AX99="K",VLOOKUP(K99,Foundation_Calc!$K$117:$R$151,VLOOKUP(AW99,Foundation_Calc!$I$2:$J$8,2,FALSE),0),"")))</f>
        <v/>
      </c>
      <c r="BA99" s="495" t="str">
        <f t="shared" si="12"/>
        <v/>
      </c>
      <c r="BB99" s="495" t="str">
        <f t="shared" si="13"/>
        <v/>
      </c>
      <c r="BC99" s="495" t="str">
        <f t="shared" si="14"/>
        <v/>
      </c>
      <c r="BD99" s="513" t="str">
        <f>IF(AND(L99="",H99=""),"",
IF(H99="",Pole_Calc!A$9,
IF(H99="MP",Pole_Calc!A$10,
IF(H99="AnMP",Pole_Calc!A$11,
IF(H99="A",Pole_Calc!A$12,
IF(H99="S/A",Pole_Calc!A$13,
IF(H99="A/S",Pole_Calc!A$14,"Poner a mano")))))))</f>
        <v/>
      </c>
      <c r="BE99" s="429" t="s">
        <v>118</v>
      </c>
      <c r="BF99" s="290"/>
      <c r="BG99" s="290"/>
      <c r="BH99" s="290"/>
      <c r="BI99" s="290"/>
    </row>
    <row r="100" spans="1:61" ht="16.149999999999999" customHeight="1">
      <c r="A100" s="514"/>
      <c r="B100" s="450" t="s">
        <v>985</v>
      </c>
      <c r="C100" s="3">
        <f>+$C$98+$G$99</f>
        <v>32607.65</v>
      </c>
      <c r="D100" s="83"/>
      <c r="E100" s="4"/>
      <c r="F100" s="4">
        <v>0</v>
      </c>
      <c r="G100" s="6"/>
      <c r="H100" s="449" t="s">
        <v>131</v>
      </c>
      <c r="I100" s="4"/>
      <c r="J100" s="3"/>
      <c r="K100" s="449"/>
      <c r="L100" s="449" t="s">
        <v>158</v>
      </c>
      <c r="M100" s="449" t="str">
        <f>IF(L100="","",
IF(AX100="PT",VLOOKUP(L100,Foundation_Calc!$V$79:$X$113,VLOOKUP(AX100,Foundation_Calc!$I$10:$J$13,2,FALSE),0),
IF(AX100="K",VLOOKUP(L100,Foundation_Calc!$V$117:$X$151,VLOOKUP(AX100,Foundation_Calc!$I$10:$J$13,2,FALSE),0),"")))</f>
        <v>C4R</v>
      </c>
      <c r="N100" s="449" t="s">
        <v>124</v>
      </c>
      <c r="O100" s="449" t="s">
        <v>133</v>
      </c>
      <c r="P100" s="449"/>
      <c r="Q100" s="4"/>
      <c r="R100" s="6"/>
      <c r="S100" s="6"/>
      <c r="T100" s="4">
        <v>-15</v>
      </c>
      <c r="U100" s="4">
        <v>-35</v>
      </c>
      <c r="V100" s="4"/>
      <c r="W100" s="572">
        <v>1.4</v>
      </c>
      <c r="X100" s="572">
        <v>1.8</v>
      </c>
      <c r="Y100" s="9"/>
      <c r="Z100" s="9"/>
      <c r="AA100" s="9">
        <v>0.45</v>
      </c>
      <c r="AB100" s="9"/>
      <c r="AC100" s="449" t="str">
        <f t="shared" si="15"/>
        <v>PH</v>
      </c>
      <c r="AD100" s="449"/>
      <c r="AE100" s="449"/>
      <c r="AF100" s="4"/>
      <c r="AG100" s="83"/>
      <c r="AH100" s="4"/>
      <c r="AI100" s="4"/>
      <c r="AJ100" s="449"/>
      <c r="AK100" s="449"/>
      <c r="AL100" s="449"/>
      <c r="AM100" s="449" t="s">
        <v>126</v>
      </c>
      <c r="AN100" s="10">
        <v>5.15</v>
      </c>
      <c r="AO100" s="9"/>
      <c r="AP100" s="9"/>
      <c r="AQ100" s="9"/>
      <c r="AR100" s="9"/>
      <c r="AS100" s="9"/>
      <c r="AT100" s="9">
        <f>+ab($T$100,$T$98,$T$102,$G$99,$G$101, 1*$F$100,1200)</f>
        <v>-10.973438313243966</v>
      </c>
      <c r="AU100" s="428"/>
      <c r="AV100" s="428"/>
      <c r="AW100" s="449" t="str">
        <f>IF(C100&gt;0,VLOOKUP(C100,Foundation_Calc!$A$2:$C$13,3,1),
IF(J100&gt;0,VLOOKUP(J100,Foundation_Calc!$A$2:$C$13,3,1),""))</f>
        <v>Multi Soil</v>
      </c>
      <c r="AX100" s="449" t="str">
        <f>IF(C100&gt;0,VLOOKUP(C100,Foundation_Calc!$E$35:$G$65,3,1),
IF(J100&gt;0,VLOOKUP(J100,Foundation_Calc!$E$35:$G$65,3,1),""))</f>
        <v>PT</v>
      </c>
      <c r="AY100" s="10">
        <f>IF(L100="","",
IF(AX100="PT",VLOOKUP(L100,Foundation_Calc!$K$79:$R$113,VLOOKUP(AW100,Foundation_Calc!$I$2:$J$8,2,FALSE),0),
IF(AX100="K",VLOOKUP(L100,Foundation_Calc!$K$117:$R$151,VLOOKUP(AW100,Foundation_Calc!$I$2:$J$8,2,FALSE),0),"")))</f>
        <v>3.5</v>
      </c>
      <c r="AZ100" s="10" t="str">
        <f>IF(K100="","",
IF(AX100="PT",VLOOKUP(K100,Foundation_Calc!$K$79:$R$113,VLOOKUP(AW100,Foundation_Calc!$I$2:$J$8,2,FALSE),0),
IF(AX100="K",VLOOKUP(K100,Foundation_Calc!$K$117:$R$151,VLOOKUP(AW100,Foundation_Calc!$I$2:$J$8,2,FALSE),0),"")))</f>
        <v/>
      </c>
      <c r="BA100" s="495" t="str">
        <f t="shared" si="12"/>
        <v>ü</v>
      </c>
      <c r="BB100" s="495" t="str">
        <f t="shared" si="13"/>
        <v/>
      </c>
      <c r="BC100" s="495" t="str">
        <f t="shared" si="14"/>
        <v/>
      </c>
      <c r="BD100" s="513" t="str">
        <f>IF(AND(L100="",H100=""),"",
IF(H100="",Pole_Calc!A$9,
IF(H100="MP",Pole_Calc!A$10,
IF(H100="AnMP",Pole_Calc!A$11,
IF(H100="A",Pole_Calc!A$12,
IF(H100="S/A",Pole_Calc!A$13,
IF(H100="A/S",Pole_Calc!A$14,"Poner a mano")))))))</f>
        <v>App.7-V11I-P9.5.1.5</v>
      </c>
      <c r="BE100" s="429" t="s">
        <v>118</v>
      </c>
      <c r="BF100" s="289"/>
      <c r="BG100" s="289"/>
      <c r="BH100" s="290"/>
      <c r="BI100" s="289"/>
    </row>
    <row r="101" spans="1:61" ht="16.149999999999999" customHeight="1">
      <c r="A101" s="514"/>
      <c r="B101" s="450"/>
      <c r="C101" s="3"/>
      <c r="D101" s="83"/>
      <c r="E101" s="4"/>
      <c r="F101" s="4"/>
      <c r="G101" s="6">
        <v>55</v>
      </c>
      <c r="H101" s="449"/>
      <c r="I101" s="4"/>
      <c r="J101" s="3"/>
      <c r="K101" s="449"/>
      <c r="L101" s="449"/>
      <c r="M101" s="449" t="str">
        <f>IF(L101="","",
IF(AX101="PT",VLOOKUP(L101,Foundation_Calc!$V$79:$X$113,VLOOKUP(AX101,Foundation_Calc!$I$10:$J$13,2,FALSE),0),
IF(AX101="K",VLOOKUP(L101,Foundation_Calc!$V$117:$X$151,VLOOKUP(AX101,Foundation_Calc!$I$10:$J$13,2,FALSE),0),"")))</f>
        <v/>
      </c>
      <c r="N101" s="449"/>
      <c r="O101" s="449"/>
      <c r="P101" s="449"/>
      <c r="Q101" s="4"/>
      <c r="R101" s="6"/>
      <c r="S101" s="6"/>
      <c r="T101" s="4"/>
      <c r="U101" s="4"/>
      <c r="V101" s="4"/>
      <c r="W101" s="572"/>
      <c r="X101" s="572"/>
      <c r="Y101" s="9"/>
      <c r="Z101" s="9"/>
      <c r="AA101" s="9"/>
      <c r="AB101" s="9"/>
      <c r="AC101" s="449" t="str">
        <f t="shared" si="15"/>
        <v/>
      </c>
      <c r="AD101" s="449"/>
      <c r="AE101" s="449"/>
      <c r="AF101" s="4"/>
      <c r="AG101" s="83"/>
      <c r="AH101" s="4"/>
      <c r="AI101" s="4"/>
      <c r="AJ101" s="449"/>
      <c r="AK101" s="449"/>
      <c r="AL101" s="449"/>
      <c r="AM101" s="449"/>
      <c r="AN101" s="10"/>
      <c r="AO101" s="9"/>
      <c r="AP101" s="9"/>
      <c r="AQ101" s="9">
        <f>+FL_1($T$102,$T$100,$G$101,1200,9.28, 1*$F$102)</f>
        <v>0.37661443636363634</v>
      </c>
      <c r="AR101" s="9"/>
      <c r="AS101" s="9"/>
      <c r="AT101" s="9"/>
      <c r="AU101" s="428"/>
      <c r="AV101" s="428"/>
      <c r="AW101" s="449" t="str">
        <f>IF(C101&gt;0,VLOOKUP(C101,Foundation_Calc!$A$2:$C$13,3,1),
IF(J101&gt;0,VLOOKUP(J101,Foundation_Calc!$A$2:$C$13,3,1),""))</f>
        <v/>
      </c>
      <c r="AX101" s="449" t="str">
        <f>IF(C101&gt;0,VLOOKUP(C101,Foundation_Calc!$E$35:$G$65,3,1),
IF(J101&gt;0,VLOOKUP(J101,Foundation_Calc!$E$35:$G$65,3,1),""))</f>
        <v/>
      </c>
      <c r="AY101" s="10" t="str">
        <f>IF(L101="","",
IF(AX101="PT",VLOOKUP(L101,Foundation_Calc!$K$79:$R$113,VLOOKUP(AW101,Foundation_Calc!$I$2:$J$8,2,FALSE),0),
IF(AX101="K",VLOOKUP(L101,Foundation_Calc!$K$117:$R$151,VLOOKUP(AW101,Foundation_Calc!$I$2:$J$8,2,FALSE),0),"")))</f>
        <v/>
      </c>
      <c r="AZ101" s="10" t="str">
        <f>IF(K101="","",
IF(AX101="PT",VLOOKUP(K101,Foundation_Calc!$K$79:$R$113,VLOOKUP(AW101,Foundation_Calc!$I$2:$J$8,2,FALSE),0),
IF(AX101="K",VLOOKUP(K101,Foundation_Calc!$K$117:$R$151,VLOOKUP(AW101,Foundation_Calc!$I$2:$J$8,2,FALSE),0),"")))</f>
        <v/>
      </c>
      <c r="BA101" s="495" t="str">
        <f t="shared" si="12"/>
        <v/>
      </c>
      <c r="BB101" s="495" t="str">
        <f t="shared" si="13"/>
        <v/>
      </c>
      <c r="BC101" s="495" t="str">
        <f t="shared" si="14"/>
        <v/>
      </c>
      <c r="BD101" s="513" t="str">
        <f>IF(AND(L101="",H101=""),"",
IF(H101="",Pole_Calc!A$9,
IF(H101="MP",Pole_Calc!A$10,
IF(H101="AnMP",Pole_Calc!A$11,
IF(H101="A",Pole_Calc!A$12,
IF(H101="S/A",Pole_Calc!A$13,
IF(H101="A/S",Pole_Calc!A$14,"Poner a mano")))))))</f>
        <v/>
      </c>
      <c r="BE101" s="429" t="s">
        <v>118</v>
      </c>
      <c r="BF101" s="290"/>
      <c r="BG101" s="290"/>
      <c r="BH101" s="290"/>
      <c r="BI101" s="290"/>
    </row>
    <row r="102" spans="1:61" ht="16.149999999999999" customHeight="1">
      <c r="A102" s="514"/>
      <c r="B102" s="450" t="s">
        <v>986</v>
      </c>
      <c r="C102" s="3">
        <f>+$C$100+$G$101</f>
        <v>32662.65</v>
      </c>
      <c r="D102" s="83"/>
      <c r="E102" s="4"/>
      <c r="F102" s="4">
        <v>0</v>
      </c>
      <c r="G102" s="6"/>
      <c r="H102" s="449" t="s">
        <v>121</v>
      </c>
      <c r="I102" s="4" t="s">
        <v>122</v>
      </c>
      <c r="J102" s="3"/>
      <c r="K102" s="449"/>
      <c r="L102" s="449" t="s">
        <v>151</v>
      </c>
      <c r="M102" s="449" t="str">
        <f>IF(L102="","",
IF(AX102="PT",VLOOKUP(L102,Foundation_Calc!$V$79:$X$113,VLOOKUP(AX102,Foundation_Calc!$I$10:$J$13,2,FALSE),0),
IF(AX102="K",VLOOKUP(L102,Foundation_Calc!$V$117:$X$151,VLOOKUP(AX102,Foundation_Calc!$I$10:$J$13,2,FALSE),0),"")))</f>
        <v>C4R</v>
      </c>
      <c r="N102" s="449" t="s">
        <v>134</v>
      </c>
      <c r="O102" s="449"/>
      <c r="P102" s="449"/>
      <c r="Q102" s="4"/>
      <c r="R102" s="6"/>
      <c r="S102" s="6"/>
      <c r="T102" s="4">
        <v>25</v>
      </c>
      <c r="U102" s="4"/>
      <c r="V102" s="4"/>
      <c r="W102" s="572">
        <v>1.4</v>
      </c>
      <c r="X102" s="572"/>
      <c r="Y102" s="9"/>
      <c r="Z102" s="9"/>
      <c r="AA102" s="9"/>
      <c r="AB102" s="9"/>
      <c r="AC102" s="449" t="str">
        <f t="shared" si="15"/>
        <v>PH</v>
      </c>
      <c r="AD102" s="449"/>
      <c r="AE102" s="449"/>
      <c r="AF102" s="4"/>
      <c r="AG102" s="83"/>
      <c r="AH102" s="4"/>
      <c r="AI102" s="4"/>
      <c r="AJ102" s="449"/>
      <c r="AK102" s="449"/>
      <c r="AL102" s="449"/>
      <c r="AM102" s="449" t="s">
        <v>126</v>
      </c>
      <c r="AN102" s="10">
        <f>AN100+0.08</f>
        <v>5.23</v>
      </c>
      <c r="AO102" s="9"/>
      <c r="AP102" s="9"/>
      <c r="AQ102" s="9"/>
      <c r="AR102" s="9"/>
      <c r="AS102" s="9"/>
      <c r="AT102" s="9">
        <f>+ab($T$102,$T$100,$T$104,$G$101,$G$103, 1*$F$102,1200)</f>
        <v>10.973370126420892</v>
      </c>
      <c r="AU102" s="428"/>
      <c r="AV102" s="428"/>
      <c r="AW102" s="449" t="str">
        <f>IF(C102&gt;0,VLOOKUP(C102,Foundation_Calc!$A$2:$C$13,3,1),
IF(J102&gt;0,VLOOKUP(J102,Foundation_Calc!$A$2:$C$13,3,1),""))</f>
        <v>Multi Soil</v>
      </c>
      <c r="AX102" s="449" t="str">
        <f>IF(C102&gt;0,VLOOKUP(C102,Foundation_Calc!$E$35:$G$65,3,1),
IF(J102&gt;0,VLOOKUP(J102,Foundation_Calc!$E$35:$G$65,3,1),""))</f>
        <v>PT</v>
      </c>
      <c r="AY102" s="10">
        <f>IF(L102="","",
IF(AX102="PT",VLOOKUP(L102,Foundation_Calc!$K$79:$R$113,VLOOKUP(AW102,Foundation_Calc!$I$2:$J$8,2,FALSE),0),
IF(AX102="K",VLOOKUP(L102,Foundation_Calc!$K$117:$R$151,VLOOKUP(AW102,Foundation_Calc!$I$2:$J$8,2,FALSE),0),"")))</f>
        <v>3.5</v>
      </c>
      <c r="AZ102" s="10" t="str">
        <f>IF(K102="","",
IF(AX102="PT",VLOOKUP(K102,Foundation_Calc!$K$79:$R$113,VLOOKUP(AW102,Foundation_Calc!$I$2:$J$8,2,FALSE),0),
IF(AX102="K",VLOOKUP(K102,Foundation_Calc!$K$117:$R$151,VLOOKUP(AW102,Foundation_Calc!$I$2:$J$8,2,FALSE),0),"")))</f>
        <v/>
      </c>
      <c r="BA102" s="495" t="str">
        <f t="shared" si="12"/>
        <v>ü</v>
      </c>
      <c r="BB102" s="495" t="str">
        <f t="shared" si="13"/>
        <v/>
      </c>
      <c r="BC102" s="495" t="str">
        <f t="shared" si="14"/>
        <v/>
      </c>
      <c r="BD102" s="513" t="str">
        <f>IF(AND(L102="",H102=""),"",
IF(H102="",Pole_Calc!A$9,
IF(H102="MP",Pole_Calc!A$10,
IF(H102="AnMP",Pole_Calc!A$11,
IF(H102="A",Pole_Calc!A$12,
IF(H102="S/A",Pole_Calc!A$13,
IF(H102="A/S",Pole_Calc!A$14,"Poner a mano")))))))</f>
        <v>App.7-V11I-P9.5.1.6</v>
      </c>
      <c r="BE102" s="429" t="s">
        <v>118</v>
      </c>
      <c r="BF102" s="289"/>
      <c r="BG102" s="289"/>
      <c r="BH102" s="290"/>
      <c r="BI102" s="289"/>
    </row>
    <row r="103" spans="1:61" ht="16.149999999999999" customHeight="1">
      <c r="A103" s="514"/>
      <c r="B103" s="450"/>
      <c r="C103" s="3"/>
      <c r="D103" s="83"/>
      <c r="E103" s="4"/>
      <c r="F103" s="4"/>
      <c r="G103" s="6">
        <v>60</v>
      </c>
      <c r="H103" s="449"/>
      <c r="I103" s="4"/>
      <c r="J103" s="3">
        <v>32670.15</v>
      </c>
      <c r="K103" s="449" t="s">
        <v>117</v>
      </c>
      <c r="L103" s="449"/>
      <c r="M103" s="449" t="str">
        <f>IF(L103="","",
IF(AX103="PT",VLOOKUP(L103,Foundation_Calc!$V$79:$X$113,VLOOKUP(AX103,Foundation_Calc!$I$10:$J$13,2,FALSE),0),
IF(AX103="K",VLOOKUP(L103,Foundation_Calc!$V$117:$X$151,VLOOKUP(AX103,Foundation_Calc!$I$10:$J$13,2,FALSE),0),"")))</f>
        <v/>
      </c>
      <c r="N103" s="449"/>
      <c r="O103" s="449"/>
      <c r="P103" s="449"/>
      <c r="Q103" s="4"/>
      <c r="R103" s="6"/>
      <c r="S103" s="6"/>
      <c r="T103" s="4"/>
      <c r="U103" s="4"/>
      <c r="V103" s="4"/>
      <c r="W103" s="572"/>
      <c r="X103" s="572"/>
      <c r="Y103" s="9"/>
      <c r="Z103" s="9"/>
      <c r="AA103" s="9"/>
      <c r="AB103" s="9"/>
      <c r="AC103" s="449" t="str">
        <f t="shared" si="15"/>
        <v/>
      </c>
      <c r="AD103" s="449"/>
      <c r="AE103" s="449"/>
      <c r="AF103" s="4"/>
      <c r="AG103" s="83"/>
      <c r="AH103" s="4"/>
      <c r="AI103" s="4"/>
      <c r="AJ103" s="449"/>
      <c r="AK103" s="449"/>
      <c r="AL103" s="449"/>
      <c r="AM103" s="449"/>
      <c r="AN103" s="10"/>
      <c r="AO103" s="9"/>
      <c r="AP103" s="9"/>
      <c r="AQ103" s="9">
        <f>+FL_2($T$104,$T$102,$G$103,1200,9.28, 1*$F$104)</f>
        <v>-0.46265517199999995</v>
      </c>
      <c r="AR103" s="9"/>
      <c r="AS103" s="9"/>
      <c r="AT103" s="9"/>
      <c r="AU103" s="428"/>
      <c r="AV103" s="428"/>
      <c r="AW103" s="449" t="str">
        <f>IF(C103&gt;0,VLOOKUP(C103,Foundation_Calc!$A$2:$C$13,3,1),
IF(J103&gt;0,VLOOKUP(J103,Foundation_Calc!$A$2:$C$13,3,1),""))</f>
        <v>Multi Soil</v>
      </c>
      <c r="AX103" s="449" t="str">
        <f>IF(C103&gt;0,VLOOKUP(C103,Foundation_Calc!$E$35:$G$65,3,1),
IF(J103&gt;0,VLOOKUP(J103,Foundation_Calc!$E$35:$G$65,3,1),""))</f>
        <v>PT</v>
      </c>
      <c r="AY103" s="10" t="str">
        <f>IF(L103="","",
IF(AX103="PT",VLOOKUP(L103,Foundation_Calc!$K$79:$R$113,VLOOKUP(AW103,Foundation_Calc!$I$2:$J$8,2,FALSE),0),
IF(AX103="K",VLOOKUP(L103,Foundation_Calc!$K$117:$R$151,VLOOKUP(AW103,Foundation_Calc!$I$2:$J$8,2,FALSE),0),"")))</f>
        <v/>
      </c>
      <c r="AZ103" s="10">
        <f>IF(K103="","",
IF(AX103="PT",VLOOKUP(K103,Foundation_Calc!$K$79:$R$113,VLOOKUP(AW103,Foundation_Calc!$I$2:$J$8,2,FALSE),0),
IF(AX103="K",VLOOKUP(K103,Foundation_Calc!$K$117:$R$151,VLOOKUP(AW103,Foundation_Calc!$I$2:$J$8,2,FALSE),0),"")))</f>
        <v>3.9</v>
      </c>
      <c r="BA103" s="495" t="str">
        <f t="shared" si="12"/>
        <v/>
      </c>
      <c r="BB103" s="495" t="str">
        <f t="shared" si="13"/>
        <v>ü</v>
      </c>
      <c r="BC103" s="495" t="str">
        <f t="shared" si="14"/>
        <v/>
      </c>
      <c r="BD103" s="513" t="str">
        <f>IF(AND(L103="",H103=""),"",
IF(H103="",Pole_Calc!A$9,
IF(H103="MP",Pole_Calc!A$10,
IF(H103="AnMP",Pole_Calc!A$11,
IF(H103="A",Pole_Calc!A$12,
IF(H103="S/A",Pole_Calc!A$13,
IF(H103="A/S",Pole_Calc!A$14,"Poner a mano")))))))</f>
        <v/>
      </c>
      <c r="BE103" s="429" t="s">
        <v>118</v>
      </c>
      <c r="BF103" s="290"/>
      <c r="BG103" s="290"/>
      <c r="BH103" s="290"/>
      <c r="BI103" s="290"/>
    </row>
    <row r="104" spans="1:61" ht="16.149999999999999" customHeight="1">
      <c r="A104" s="514"/>
      <c r="B104" s="450" t="s">
        <v>987</v>
      </c>
      <c r="C104" s="3">
        <f>+$C$102+$G$103</f>
        <v>32722.65</v>
      </c>
      <c r="D104" s="83"/>
      <c r="E104" s="4"/>
      <c r="F104" s="4">
        <v>0</v>
      </c>
      <c r="G104" s="6"/>
      <c r="H104" s="449"/>
      <c r="I104" s="4"/>
      <c r="J104" s="3"/>
      <c r="K104" s="449"/>
      <c r="L104" s="449" t="s">
        <v>153</v>
      </c>
      <c r="M104" s="449" t="str">
        <f>IF(L104="","",
IF(AX104="PT",VLOOKUP(L104,Foundation_Calc!$V$79:$X$113,VLOOKUP(AX104,Foundation_Calc!$I$10:$J$13,2,FALSE),0),
IF(AX104="K",VLOOKUP(L104,Foundation_Calc!$V$117:$X$151,VLOOKUP(AX104,Foundation_Calc!$I$10:$J$13,2,FALSE),0),"")))</f>
        <v>C3R</v>
      </c>
      <c r="N104" s="449" t="s">
        <v>124</v>
      </c>
      <c r="O104" s="449"/>
      <c r="P104" s="449"/>
      <c r="Q104" s="4"/>
      <c r="R104" s="6"/>
      <c r="S104" s="6"/>
      <c r="T104" s="4">
        <v>-35</v>
      </c>
      <c r="U104" s="4"/>
      <c r="V104" s="4"/>
      <c r="W104" s="9">
        <v>1.4</v>
      </c>
      <c r="X104" s="9"/>
      <c r="Y104" s="9"/>
      <c r="Z104" s="9"/>
      <c r="AA104" s="9"/>
      <c r="AB104" s="9"/>
      <c r="AC104" s="449" t="str">
        <f t="shared" si="15"/>
        <v>PH</v>
      </c>
      <c r="AD104" s="449"/>
      <c r="AE104" s="449"/>
      <c r="AF104" s="4"/>
      <c r="AG104" s="83"/>
      <c r="AH104" s="4"/>
      <c r="AI104" s="4"/>
      <c r="AJ104" s="449"/>
      <c r="AK104" s="449"/>
      <c r="AL104" s="449"/>
      <c r="AM104" s="449" t="s">
        <v>126</v>
      </c>
      <c r="AN104" s="10">
        <f>AN102+0.09</f>
        <v>5.32</v>
      </c>
      <c r="AO104" s="9"/>
      <c r="AP104" s="9"/>
      <c r="AQ104" s="9"/>
      <c r="AR104" s="9"/>
      <c r="AS104" s="9"/>
      <c r="AT104" s="9">
        <f>+ab($T$104,$T$102,$T$106,$G$103,$G$105, 1*$F$104,1200)</f>
        <v>-8.9399032422688283</v>
      </c>
      <c r="AU104" s="428"/>
      <c r="AV104" s="428"/>
      <c r="AW104" s="449" t="str">
        <f>IF(C104&gt;0,VLOOKUP(C104,Foundation_Calc!$A$2:$C$13,3,1),
IF(J104&gt;0,VLOOKUP(J104,Foundation_Calc!$A$2:$C$13,3,1),""))</f>
        <v>Multi Soil</v>
      </c>
      <c r="AX104" s="449" t="str">
        <f>IF(C104&gt;0,VLOOKUP(C104,Foundation_Calc!$E$35:$G$65,3,1),
IF(J104&gt;0,VLOOKUP(J104,Foundation_Calc!$E$35:$G$65,3,1),""))</f>
        <v>PT</v>
      </c>
      <c r="AY104" s="10">
        <f>IF(L104="","",
IF(AX104="PT",VLOOKUP(L104,Foundation_Calc!$K$79:$R$113,VLOOKUP(AW104,Foundation_Calc!$I$2:$J$8,2,FALSE),0),
IF(AX104="K",VLOOKUP(L104,Foundation_Calc!$K$117:$R$151,VLOOKUP(AW104,Foundation_Calc!$I$2:$J$8,2,FALSE),0),"")))</f>
        <v>3.5</v>
      </c>
      <c r="AZ104" s="10" t="str">
        <f>IF(K104="","",
IF(AX104="PT",VLOOKUP(K104,Foundation_Calc!$K$79:$R$113,VLOOKUP(AW104,Foundation_Calc!$I$2:$J$8,2,FALSE),0),
IF(AX104="K",VLOOKUP(K104,Foundation_Calc!$K$117:$R$151,VLOOKUP(AW104,Foundation_Calc!$I$2:$J$8,2,FALSE),0),"")))</f>
        <v/>
      </c>
      <c r="BA104" s="495" t="str">
        <f t="shared" si="12"/>
        <v>ü</v>
      </c>
      <c r="BB104" s="495" t="str">
        <f t="shared" si="13"/>
        <v/>
      </c>
      <c r="BC104" s="495" t="str">
        <f t="shared" si="14"/>
        <v/>
      </c>
      <c r="BD104" s="513" t="str">
        <f>IF(AND(L104="",H104=""),"",
IF(H104="",Pole_Calc!A$9,
IF(H104="MP",Pole_Calc!A$10,
IF(H104="AnMP",Pole_Calc!A$11,
IF(H104="A",Pole_Calc!A$12,
IF(H104="S/A",Pole_Calc!A$13,
IF(H104="A/S",Pole_Calc!A$14,"Poner a mano")))))))</f>
        <v>App.7-V11I-P9.5.1.1</v>
      </c>
      <c r="BE104" s="429" t="s">
        <v>118</v>
      </c>
      <c r="BF104" s="289"/>
      <c r="BG104" s="289"/>
      <c r="BH104" s="290"/>
      <c r="BI104" s="289"/>
    </row>
    <row r="105" spans="1:61" ht="16.149999999999999" customHeight="1">
      <c r="A105" s="514"/>
      <c r="B105" s="450"/>
      <c r="C105" s="3"/>
      <c r="D105" s="83"/>
      <c r="E105" s="4"/>
      <c r="F105" s="4"/>
      <c r="G105" s="6">
        <v>62</v>
      </c>
      <c r="H105" s="449"/>
      <c r="I105" s="4"/>
      <c r="J105" s="3"/>
      <c r="K105" s="449"/>
      <c r="L105" s="449"/>
      <c r="M105" s="449" t="str">
        <f>IF(L105="","",
IF(AX105="PT",VLOOKUP(L105,Foundation_Calc!$V$79:$X$113,VLOOKUP(AX105,Foundation_Calc!$I$10:$J$13,2,FALSE),0),
IF(AX105="K",VLOOKUP(L105,Foundation_Calc!$V$117:$X$151,VLOOKUP(AX105,Foundation_Calc!$I$10:$J$13,2,FALSE),0),"")))</f>
        <v/>
      </c>
      <c r="N105" s="449"/>
      <c r="O105" s="449"/>
      <c r="P105" s="449"/>
      <c r="Q105" s="4"/>
      <c r="R105" s="6"/>
      <c r="S105" s="6"/>
      <c r="T105" s="4"/>
      <c r="U105" s="4"/>
      <c r="V105" s="4"/>
      <c r="W105" s="9"/>
      <c r="X105" s="9"/>
      <c r="Y105" s="9"/>
      <c r="Z105" s="9"/>
      <c r="AA105" s="9"/>
      <c r="AB105" s="9"/>
      <c r="AC105" s="449" t="str">
        <f t="shared" si="15"/>
        <v/>
      </c>
      <c r="AD105" s="449"/>
      <c r="AE105" s="449"/>
      <c r="AF105" s="4"/>
      <c r="AG105" s="83"/>
      <c r="AH105" s="4"/>
      <c r="AI105" s="4"/>
      <c r="AJ105" s="449"/>
      <c r="AK105" s="449"/>
      <c r="AL105" s="449"/>
      <c r="AM105" s="449"/>
      <c r="AN105" s="10"/>
      <c r="AO105" s="9"/>
      <c r="AP105" s="9"/>
      <c r="AQ105" s="9">
        <f>+FL_1($T$106,$T$104,$G$105,1200,9.28, 1*$F$106)</f>
        <v>0.45400350967741931</v>
      </c>
      <c r="AR105" s="9"/>
      <c r="AS105" s="9"/>
      <c r="AT105" s="9"/>
      <c r="AU105" s="428"/>
      <c r="AV105" s="428"/>
      <c r="AW105" s="449" t="str">
        <f>IF(C105&gt;0,VLOOKUP(C105,Foundation_Calc!$A$2:$C$13,3,1),
IF(J105&gt;0,VLOOKUP(J105,Foundation_Calc!$A$2:$C$13,3,1),""))</f>
        <v/>
      </c>
      <c r="AX105" s="449" t="str">
        <f>IF(C105&gt;0,VLOOKUP(C105,Foundation_Calc!$E$35:$G$65,3,1),
IF(J105&gt;0,VLOOKUP(J105,Foundation_Calc!$E$35:$G$65,3,1),""))</f>
        <v/>
      </c>
      <c r="AY105" s="10" t="str">
        <f>IF(L105="","",
IF(AX105="PT",VLOOKUP(L105,Foundation_Calc!$K$79:$R$113,VLOOKUP(AW105,Foundation_Calc!$I$2:$J$8,2,FALSE),0),
IF(AX105="K",VLOOKUP(L105,Foundation_Calc!$K$117:$R$151,VLOOKUP(AW105,Foundation_Calc!$I$2:$J$8,2,FALSE),0),"")))</f>
        <v/>
      </c>
      <c r="AZ105" s="10" t="str">
        <f>IF(K105="","",
IF(AX105="PT",VLOOKUP(K105,Foundation_Calc!$K$79:$R$113,VLOOKUP(AW105,Foundation_Calc!$I$2:$J$8,2,FALSE),0),
IF(AX105="K",VLOOKUP(K105,Foundation_Calc!$K$117:$R$151,VLOOKUP(AW105,Foundation_Calc!$I$2:$J$8,2,FALSE),0),"")))</f>
        <v/>
      </c>
      <c r="BA105" s="495" t="str">
        <f t="shared" ref="BA105:BA164" si="16">IF(AY105="","",IF(AY105&gt;0,"ü",""))</f>
        <v/>
      </c>
      <c r="BB105" s="495" t="str">
        <f t="shared" ref="BB105:BB164" si="17">IF(AZ105="","",IF(AZ105&gt;0,"ü",""))</f>
        <v/>
      </c>
      <c r="BC105" s="495" t="str">
        <f t="shared" ref="BC105:BC164" si="18">IF(M105="","",IF(M105="U.S.","ü",IF(M105="U.S. N.D.","ü","")))</f>
        <v/>
      </c>
      <c r="BD105" s="513" t="str">
        <f>IF(AND(L105="",H105=""),"",
IF(H105="",Pole_Calc!A$9,
IF(H105="MP",Pole_Calc!A$10,
IF(H105="AnMP",Pole_Calc!A$11,
IF(H105="A",Pole_Calc!A$12,
IF(H105="S/A",Pole_Calc!A$13,
IF(H105="A/S",Pole_Calc!A$14,"Poner a mano")))))))</f>
        <v/>
      </c>
      <c r="BE105" s="429" t="s">
        <v>118</v>
      </c>
      <c r="BF105" s="290"/>
      <c r="BG105" s="290"/>
      <c r="BH105" s="290"/>
      <c r="BI105" s="290"/>
    </row>
    <row r="106" spans="1:61" ht="16.149999999999999" customHeight="1">
      <c r="A106" s="514"/>
      <c r="B106" s="450" t="s">
        <v>988</v>
      </c>
      <c r="C106" s="3">
        <f>+$C$104+$G$105</f>
        <v>32784.65</v>
      </c>
      <c r="D106" s="83"/>
      <c r="E106" s="4"/>
      <c r="F106" s="4">
        <v>0</v>
      </c>
      <c r="G106" s="6"/>
      <c r="H106" s="449"/>
      <c r="I106" s="4"/>
      <c r="J106" s="3"/>
      <c r="K106" s="449"/>
      <c r="L106" s="449" t="s">
        <v>153</v>
      </c>
      <c r="M106" s="449" t="str">
        <f>IF(L106="","",
IF(AX106="PT",VLOOKUP(L106,Foundation_Calc!$V$79:$X$113,VLOOKUP(AX106,Foundation_Calc!$I$10:$J$13,2,FALSE),0),
IF(AX106="K",VLOOKUP(L106,Foundation_Calc!$V$117:$X$151,VLOOKUP(AX106,Foundation_Calc!$I$10:$J$13,2,FALSE),0),"")))</f>
        <v>C3R</v>
      </c>
      <c r="N106" s="449" t="s">
        <v>134</v>
      </c>
      <c r="O106" s="449"/>
      <c r="P106" s="449"/>
      <c r="Q106" s="4"/>
      <c r="R106" s="6"/>
      <c r="S106" s="6"/>
      <c r="T106" s="4">
        <v>35</v>
      </c>
      <c r="U106" s="4"/>
      <c r="V106" s="4"/>
      <c r="W106" s="9">
        <v>1.4</v>
      </c>
      <c r="X106" s="9"/>
      <c r="Y106" s="9"/>
      <c r="Z106" s="9"/>
      <c r="AA106" s="9"/>
      <c r="AB106" s="9"/>
      <c r="AC106" s="449" t="str">
        <f t="shared" si="15"/>
        <v>PH</v>
      </c>
      <c r="AD106" s="449"/>
      <c r="AE106" s="449"/>
      <c r="AF106" s="4"/>
      <c r="AG106" s="83"/>
      <c r="AH106" s="4"/>
      <c r="AI106" s="4"/>
      <c r="AJ106" s="449"/>
      <c r="AK106" s="449"/>
      <c r="AL106" s="449"/>
      <c r="AM106" s="449" t="s">
        <v>126</v>
      </c>
      <c r="AN106" s="10">
        <f>AN108-0.09</f>
        <v>5.41</v>
      </c>
      <c r="AO106" s="9"/>
      <c r="AP106" s="9"/>
      <c r="AQ106" s="9"/>
      <c r="AR106" s="9"/>
      <c r="AS106" s="9"/>
      <c r="AT106" s="9">
        <f>+ab($T$106,$T$104,$T$108,$G$105,$G$107, 1*$F$106,1200)</f>
        <v>8.4365744899000195</v>
      </c>
      <c r="AU106" s="428"/>
      <c r="AV106" s="428"/>
      <c r="AW106" s="449" t="str">
        <f>IF(C106&gt;0,VLOOKUP(C106,Foundation_Calc!$A$2:$C$13,3,1),
IF(J106&gt;0,VLOOKUP(J106,Foundation_Calc!$A$2:$C$13,3,1),""))</f>
        <v>Multi Soil</v>
      </c>
      <c r="AX106" s="449" t="str">
        <f>IF(C106&gt;0,VLOOKUP(C106,Foundation_Calc!$E$35:$G$65,3,1),
IF(J106&gt;0,VLOOKUP(J106,Foundation_Calc!$E$35:$G$65,3,1),""))</f>
        <v>PT</v>
      </c>
      <c r="AY106" s="10">
        <f>IF(L106="","",
IF(AX106="PT",VLOOKUP(L106,Foundation_Calc!$K$79:$R$113,VLOOKUP(AW106,Foundation_Calc!$I$2:$J$8,2,FALSE),0),
IF(AX106="K",VLOOKUP(L106,Foundation_Calc!$K$117:$R$151,VLOOKUP(AW106,Foundation_Calc!$I$2:$J$8,2,FALSE),0),"")))</f>
        <v>3.5</v>
      </c>
      <c r="AZ106" s="10" t="str">
        <f>IF(K106="","",
IF(AX106="PT",VLOOKUP(K106,Foundation_Calc!$K$79:$R$113,VLOOKUP(AW106,Foundation_Calc!$I$2:$J$8,2,FALSE),0),
IF(AX106="K",VLOOKUP(K106,Foundation_Calc!$K$117:$R$151,VLOOKUP(AW106,Foundation_Calc!$I$2:$J$8,2,FALSE),0),"")))</f>
        <v/>
      </c>
      <c r="BA106" s="495" t="str">
        <f t="shared" si="16"/>
        <v>ü</v>
      </c>
      <c r="BB106" s="495" t="str">
        <f t="shared" si="17"/>
        <v/>
      </c>
      <c r="BC106" s="495" t="str">
        <f t="shared" si="18"/>
        <v/>
      </c>
      <c r="BD106" s="513" t="str">
        <f>IF(AND(L106="",H106=""),"",
IF(H106="",Pole_Calc!A$9,
IF(H106="MP",Pole_Calc!A$10,
IF(H106="AnMP",Pole_Calc!A$11,
IF(H106="A",Pole_Calc!A$12,
IF(H106="S/A",Pole_Calc!A$13,
IF(H106="A/S",Pole_Calc!A$14,"Poner a mano")))))))</f>
        <v>App.7-V11I-P9.5.1.1</v>
      </c>
      <c r="BE106" s="429" t="s">
        <v>118</v>
      </c>
      <c r="BF106" s="289"/>
      <c r="BG106" s="289"/>
      <c r="BH106" s="290"/>
      <c r="BI106" s="289"/>
    </row>
    <row r="107" spans="1:61" ht="16.149999999999999" customHeight="1">
      <c r="A107" s="514"/>
      <c r="B107" s="450"/>
      <c r="C107" s="3"/>
      <c r="D107" s="83"/>
      <c r="E107" s="4"/>
      <c r="F107" s="4"/>
      <c r="G107" s="6">
        <v>62</v>
      </c>
      <c r="H107" s="449"/>
      <c r="I107" s="4"/>
      <c r="J107" s="3"/>
      <c r="K107" s="449"/>
      <c r="L107" s="449"/>
      <c r="M107" s="449" t="str">
        <f>IF(L107="","",
IF(AX107="PT",VLOOKUP(L107,Foundation_Calc!$V$79:$X$113,VLOOKUP(AX107,Foundation_Calc!$I$10:$J$13,2,FALSE),0),
IF(AX107="K",VLOOKUP(L107,Foundation_Calc!$V$117:$X$151,VLOOKUP(AX107,Foundation_Calc!$I$10:$J$13,2,FALSE),0),"")))</f>
        <v/>
      </c>
      <c r="N107" s="449"/>
      <c r="O107" s="449"/>
      <c r="P107" s="449"/>
      <c r="Q107" s="4"/>
      <c r="R107" s="6"/>
      <c r="S107" s="6"/>
      <c r="T107" s="4"/>
      <c r="U107" s="4"/>
      <c r="V107" s="4"/>
      <c r="W107" s="9"/>
      <c r="X107" s="9"/>
      <c r="Y107" s="9"/>
      <c r="Z107" s="9"/>
      <c r="AA107" s="9"/>
      <c r="AB107" s="9"/>
      <c r="AC107" s="449" t="str">
        <f t="shared" si="15"/>
        <v/>
      </c>
      <c r="AD107" s="449"/>
      <c r="AE107" s="449"/>
      <c r="AF107" s="4"/>
      <c r="AG107" s="83"/>
      <c r="AH107" s="4"/>
      <c r="AI107" s="4"/>
      <c r="AJ107" s="449"/>
      <c r="AK107" s="449"/>
      <c r="AL107" s="449"/>
      <c r="AM107" s="449"/>
      <c r="AN107" s="10"/>
      <c r="AO107" s="9"/>
      <c r="AP107" s="9"/>
      <c r="AQ107" s="9">
        <f>+FL_2($T$108,$T$106,$G$107,1200,9.28, 1*$F$108)</f>
        <v>-0.45400350967741931</v>
      </c>
      <c r="AR107" s="9"/>
      <c r="AS107" s="9"/>
      <c r="AT107" s="9"/>
      <c r="AU107" s="428"/>
      <c r="AV107" s="428"/>
      <c r="AW107" s="449" t="str">
        <f>IF(C107&gt;0,VLOOKUP(C107,Foundation_Calc!$A$2:$C$13,3,1),
IF(J107&gt;0,VLOOKUP(J107,Foundation_Calc!$A$2:$C$13,3,1),""))</f>
        <v/>
      </c>
      <c r="AX107" s="449" t="str">
        <f>IF(C107&gt;0,VLOOKUP(C107,Foundation_Calc!$E$35:$G$65,3,1),
IF(J107&gt;0,VLOOKUP(J107,Foundation_Calc!$E$35:$G$65,3,1),""))</f>
        <v/>
      </c>
      <c r="AY107" s="10" t="str">
        <f>IF(L107="","",
IF(AX107="PT",VLOOKUP(L107,Foundation_Calc!$K$79:$R$113,VLOOKUP(AW107,Foundation_Calc!$I$2:$J$8,2,FALSE),0),
IF(AX107="K",VLOOKUP(L107,Foundation_Calc!$K$117:$R$151,VLOOKUP(AW107,Foundation_Calc!$I$2:$J$8,2,FALSE),0),"")))</f>
        <v/>
      </c>
      <c r="AZ107" s="10" t="str">
        <f>IF(K107="","",
IF(AX107="PT",VLOOKUP(K107,Foundation_Calc!$K$79:$R$113,VLOOKUP(AW107,Foundation_Calc!$I$2:$J$8,2,FALSE),0),
IF(AX107="K",VLOOKUP(K107,Foundation_Calc!$K$117:$R$151,VLOOKUP(AW107,Foundation_Calc!$I$2:$J$8,2,FALSE),0),"")))</f>
        <v/>
      </c>
      <c r="BA107" s="495" t="str">
        <f t="shared" si="16"/>
        <v/>
      </c>
      <c r="BB107" s="495" t="str">
        <f t="shared" si="17"/>
        <v/>
      </c>
      <c r="BC107" s="495" t="str">
        <f t="shared" si="18"/>
        <v/>
      </c>
      <c r="BD107" s="513" t="str">
        <f>IF(AND(L107="",H107=""),"",
IF(H107="",Pole_Calc!A$9,
IF(H107="MP",Pole_Calc!A$10,
IF(H107="AnMP",Pole_Calc!A$11,
IF(H107="A",Pole_Calc!A$12,
IF(H107="S/A",Pole_Calc!A$13,
IF(H107="A/S",Pole_Calc!A$14,"Poner a mano")))))))</f>
        <v/>
      </c>
      <c r="BE107" s="429" t="s">
        <v>118</v>
      </c>
      <c r="BF107" s="290"/>
      <c r="BG107" s="290"/>
      <c r="BH107" s="290"/>
      <c r="BI107" s="290"/>
    </row>
    <row r="108" spans="1:61" ht="16.149999999999999" customHeight="1">
      <c r="A108" s="514"/>
      <c r="B108" s="450" t="s">
        <v>989</v>
      </c>
      <c r="C108" s="3">
        <f>+$C$106+$G$107</f>
        <v>32846.65</v>
      </c>
      <c r="D108" s="83"/>
      <c r="E108" s="4"/>
      <c r="F108" s="4">
        <v>0</v>
      </c>
      <c r="G108" s="6"/>
      <c r="H108" s="449"/>
      <c r="I108" s="4"/>
      <c r="J108" s="3"/>
      <c r="K108" s="449"/>
      <c r="L108" s="449" t="s">
        <v>153</v>
      </c>
      <c r="M108" s="449" t="str">
        <f>IF(L108="","",
IF(AX108="PT",VLOOKUP(L108,Foundation_Calc!$V$79:$X$113,VLOOKUP(AX108,Foundation_Calc!$I$10:$J$13,2,FALSE),0),
IF(AX108="K",VLOOKUP(L108,Foundation_Calc!$V$117:$X$151,VLOOKUP(AX108,Foundation_Calc!$I$10:$J$13,2,FALSE),0),"")))</f>
        <v>C3R</v>
      </c>
      <c r="N108" s="449" t="s">
        <v>124</v>
      </c>
      <c r="O108" s="449"/>
      <c r="P108" s="449"/>
      <c r="Q108" s="4"/>
      <c r="R108" s="6"/>
      <c r="S108" s="6"/>
      <c r="T108" s="4">
        <v>-35</v>
      </c>
      <c r="U108" s="4"/>
      <c r="V108" s="4"/>
      <c r="W108" s="9">
        <v>1.4</v>
      </c>
      <c r="X108" s="9"/>
      <c r="Y108" s="9"/>
      <c r="Z108" s="9"/>
      <c r="AA108" s="9"/>
      <c r="AB108" s="9"/>
      <c r="AC108" s="449" t="str">
        <f t="shared" si="15"/>
        <v>PH</v>
      </c>
      <c r="AD108" s="449"/>
      <c r="AE108" s="449"/>
      <c r="AF108" s="4"/>
      <c r="AG108" s="83"/>
      <c r="AH108" s="4"/>
      <c r="AI108" s="4"/>
      <c r="AJ108" s="449"/>
      <c r="AK108" s="449"/>
      <c r="AL108" s="449"/>
      <c r="AM108" s="449" t="s">
        <v>126</v>
      </c>
      <c r="AN108" s="10">
        <v>5.5</v>
      </c>
      <c r="AO108" s="9"/>
      <c r="AP108" s="9"/>
      <c r="AQ108" s="9"/>
      <c r="AR108" s="9"/>
      <c r="AS108" s="9"/>
      <c r="AT108" s="9">
        <f>+ab($T$108,$T$106,$T$110,$G$107,$G$109, 1*$F$108,1200)</f>
        <v>-8.4366201521118445</v>
      </c>
      <c r="AU108" s="428"/>
      <c r="AV108" s="428"/>
      <c r="AW108" s="449" t="str">
        <f>IF(C108&gt;0,VLOOKUP(C108,Foundation_Calc!$A$2:$C$13,3,1),
IF(J108&gt;0,VLOOKUP(J108,Foundation_Calc!$A$2:$C$13,3,1),""))</f>
        <v>Multi Soil</v>
      </c>
      <c r="AX108" s="449" t="str">
        <f>IF(C108&gt;0,VLOOKUP(C108,Foundation_Calc!$E$35:$G$65,3,1),
IF(J108&gt;0,VLOOKUP(J108,Foundation_Calc!$E$35:$G$65,3,1),""))</f>
        <v>PT</v>
      </c>
      <c r="AY108" s="10">
        <f>IF(L108="","",
IF(AX108="PT",VLOOKUP(L108,Foundation_Calc!$K$79:$R$113,VLOOKUP(AW108,Foundation_Calc!$I$2:$J$8,2,FALSE),0),
IF(AX108="K",VLOOKUP(L108,Foundation_Calc!$K$117:$R$151,VLOOKUP(AW108,Foundation_Calc!$I$2:$J$8,2,FALSE),0),"")))</f>
        <v>3.5</v>
      </c>
      <c r="AZ108" s="10" t="str">
        <f>IF(K108="","",
IF(AX108="PT",VLOOKUP(K108,Foundation_Calc!$K$79:$R$113,VLOOKUP(AW108,Foundation_Calc!$I$2:$J$8,2,FALSE),0),
IF(AX108="K",VLOOKUP(K108,Foundation_Calc!$K$117:$R$151,VLOOKUP(AW108,Foundation_Calc!$I$2:$J$8,2,FALSE),0),"")))</f>
        <v/>
      </c>
      <c r="BA108" s="495" t="str">
        <f t="shared" si="16"/>
        <v>ü</v>
      </c>
      <c r="BB108" s="495" t="str">
        <f t="shared" si="17"/>
        <v/>
      </c>
      <c r="BC108" s="495" t="str">
        <f t="shared" si="18"/>
        <v/>
      </c>
      <c r="BD108" s="513" t="str">
        <f>IF(AND(L108="",H108=""),"",
IF(H108="",Pole_Calc!A$9,
IF(H108="MP",Pole_Calc!A$10,
IF(H108="AnMP",Pole_Calc!A$11,
IF(H108="A",Pole_Calc!A$12,
IF(H108="S/A",Pole_Calc!A$13,
IF(H108="A/S",Pole_Calc!A$14,"Poner a mano")))))))</f>
        <v>App.7-V11I-P9.5.1.1</v>
      </c>
      <c r="BE108" s="429" t="s">
        <v>118</v>
      </c>
      <c r="BF108" s="289"/>
      <c r="BG108" s="289"/>
      <c r="BH108" s="290"/>
      <c r="BI108" s="289"/>
    </row>
    <row r="109" spans="1:61" ht="16.149999999999999" customHeight="1">
      <c r="A109" s="607"/>
      <c r="B109" s="536"/>
      <c r="C109" s="537"/>
      <c r="D109" s="538"/>
      <c r="E109" s="539"/>
      <c r="F109" s="539"/>
      <c r="G109" s="6">
        <v>62</v>
      </c>
      <c r="H109" s="541"/>
      <c r="I109" s="539"/>
      <c r="J109" s="537"/>
      <c r="K109" s="541"/>
      <c r="L109" s="541"/>
      <c r="M109" s="541" t="str">
        <f>IF(L109="","",
IF(AX109="PT",VLOOKUP(L109,Foundation_Calc!$V$79:$X$113,VLOOKUP(AX109,Foundation_Calc!$I$10:$J$13,2,FALSE),0),
IF(AX109="K",VLOOKUP(L109,Foundation_Calc!$V$117:$X$151,VLOOKUP(AX109,Foundation_Calc!$I$10:$J$13,2,FALSE),0),"")))</f>
        <v/>
      </c>
      <c r="N109" s="541"/>
      <c r="O109" s="541"/>
      <c r="P109" s="541"/>
      <c r="Q109" s="539"/>
      <c r="R109" s="540"/>
      <c r="S109" s="540"/>
      <c r="T109" s="539"/>
      <c r="U109" s="539"/>
      <c r="V109" s="539"/>
      <c r="W109" s="542"/>
      <c r="X109" s="542"/>
      <c r="Y109" s="542"/>
      <c r="Z109" s="542"/>
      <c r="AA109" s="542"/>
      <c r="AB109" s="542"/>
      <c r="AC109" s="541" t="str">
        <f t="shared" si="15"/>
        <v/>
      </c>
      <c r="AD109" s="541"/>
      <c r="AE109" s="541"/>
      <c r="AF109" s="539"/>
      <c r="AG109" s="538"/>
      <c r="AH109" s="539"/>
      <c r="AI109" s="539"/>
      <c r="AJ109" s="541"/>
      <c r="AK109" s="541"/>
      <c r="AL109" s="541"/>
      <c r="AM109" s="541"/>
      <c r="AN109" s="543"/>
      <c r="AO109" s="542"/>
      <c r="AP109" s="542"/>
      <c r="AQ109" s="542">
        <f>+FL_1($T$110,$T$108,$G$109,1200,9.28, 1*$F$110)</f>
        <v>0.45400350967741931</v>
      </c>
      <c r="AR109" s="542"/>
      <c r="AS109" s="542"/>
      <c r="AT109" s="542"/>
      <c r="AU109" s="544"/>
      <c r="AV109" s="544"/>
      <c r="AW109" s="541" t="str">
        <f>IF(C109&gt;0,VLOOKUP(C109,Foundation_Calc!$A$2:$C$13,3,1),
IF(J109&gt;0,VLOOKUP(J109,Foundation_Calc!$A$2:$C$13,3,1),""))</f>
        <v/>
      </c>
      <c r="AX109" s="541" t="str">
        <f>IF(C109&gt;0,VLOOKUP(C109,Foundation_Calc!$E$35:$G$65,3,1),
IF(J109&gt;0,VLOOKUP(J109,Foundation_Calc!$E$35:$G$65,3,1),""))</f>
        <v/>
      </c>
      <c r="AY109" s="543" t="str">
        <f>IF(L109="","",
IF(AX109="PT",VLOOKUP(L109,Foundation_Calc!$K$79:$R$113,VLOOKUP(AW109,Foundation_Calc!$I$2:$J$8,2,FALSE),0),
IF(AX109="K",VLOOKUP(L109,Foundation_Calc!$K$117:$R$151,VLOOKUP(AW109,Foundation_Calc!$I$2:$J$8,2,FALSE),0),"")))</f>
        <v/>
      </c>
      <c r="AZ109" s="543" t="str">
        <f>IF(K109="","",
IF(AX109="PT",VLOOKUP(K109,Foundation_Calc!$K$79:$R$113,VLOOKUP(AW109,Foundation_Calc!$I$2:$J$8,2,FALSE),0),
IF(AX109="K",VLOOKUP(K109,Foundation_Calc!$K$117:$R$151,VLOOKUP(AW109,Foundation_Calc!$I$2:$J$8,2,FALSE),0),"")))</f>
        <v/>
      </c>
      <c r="BA109" s="550" t="str">
        <f t="shared" si="16"/>
        <v/>
      </c>
      <c r="BB109" s="550" t="str">
        <f t="shared" si="17"/>
        <v/>
      </c>
      <c r="BC109" s="550" t="str">
        <f t="shared" si="18"/>
        <v/>
      </c>
      <c r="BD109" s="516" t="str">
        <f>IF(AND(L109="",H109=""),"",
IF(H109="",Pole_Calc!A$9,
IF(H109="MP",Pole_Calc!A$10,
IF(H109="AnMP",Pole_Calc!A$11,
IF(H109="A",Pole_Calc!A$12,
IF(H109="S/A",Pole_Calc!A$13,
IF(H109="A/S",Pole_Calc!A$14,"Poner a mano")))))))</f>
        <v/>
      </c>
      <c r="BE109" s="429" t="s">
        <v>118</v>
      </c>
      <c r="BF109" s="290"/>
      <c r="BG109" s="290"/>
      <c r="BH109" s="290"/>
      <c r="BI109" s="290"/>
    </row>
    <row r="110" spans="1:61" ht="16.149999999999999" customHeight="1">
      <c r="A110" s="514"/>
      <c r="B110" s="450" t="s">
        <v>990</v>
      </c>
      <c r="C110" s="3">
        <f>+$C$108+$G$109</f>
        <v>32908.65</v>
      </c>
      <c r="D110" s="83"/>
      <c r="E110" s="4"/>
      <c r="F110" s="4">
        <v>0</v>
      </c>
      <c r="G110" s="6"/>
      <c r="H110" s="449"/>
      <c r="I110" s="4"/>
      <c r="J110" s="3"/>
      <c r="K110" s="449"/>
      <c r="L110" s="449" t="s">
        <v>153</v>
      </c>
      <c r="M110" s="449" t="str">
        <f>IF(L110="","",
IF(AX110="PT",VLOOKUP(L110,Foundation_Calc!$V$79:$X$113,VLOOKUP(AX110,Foundation_Calc!$I$10:$J$13,2,FALSE),0),
IF(AX110="K",VLOOKUP(L110,Foundation_Calc!$V$117:$X$151,VLOOKUP(AX110,Foundation_Calc!$I$10:$J$13,2,FALSE),0),"")))</f>
        <v>C3R</v>
      </c>
      <c r="N110" s="449" t="s">
        <v>134</v>
      </c>
      <c r="O110" s="449"/>
      <c r="P110" s="449"/>
      <c r="Q110" s="4"/>
      <c r="R110" s="6"/>
      <c r="S110" s="6"/>
      <c r="T110" s="4">
        <v>35</v>
      </c>
      <c r="U110" s="4"/>
      <c r="V110" s="4"/>
      <c r="W110" s="9">
        <v>1.4</v>
      </c>
      <c r="X110" s="9"/>
      <c r="Y110" s="9"/>
      <c r="Z110" s="9"/>
      <c r="AA110" s="9"/>
      <c r="AB110" s="9"/>
      <c r="AC110" s="449" t="str">
        <f t="shared" si="15"/>
        <v>PH</v>
      </c>
      <c r="AD110" s="449"/>
      <c r="AE110" s="449"/>
      <c r="AF110" s="4"/>
      <c r="AG110" s="83"/>
      <c r="AH110" s="4"/>
      <c r="AI110" s="4"/>
      <c r="AJ110" s="449"/>
      <c r="AK110" s="449"/>
      <c r="AL110" s="449"/>
      <c r="AM110" s="449" t="s">
        <v>126</v>
      </c>
      <c r="AN110" s="10">
        <v>5.5</v>
      </c>
      <c r="AO110" s="9"/>
      <c r="AP110" s="9"/>
      <c r="AQ110" s="9"/>
      <c r="AR110" s="9"/>
      <c r="AS110" s="9"/>
      <c r="AT110" s="9">
        <f>+ab($T$110,$T$108,$T$112,$G$109,$G$111, 1*$F$110,1200)</f>
        <v>8.3002133012442592</v>
      </c>
      <c r="AU110" s="428"/>
      <c r="AV110" s="428"/>
      <c r="AW110" s="449" t="str">
        <f>IF(C110&gt;0,VLOOKUP(C110,Foundation_Calc!$A$2:$C$13,3,1),
IF(J110&gt;0,VLOOKUP(J110,Foundation_Calc!$A$2:$C$13,3,1),""))</f>
        <v>Multi Soil</v>
      </c>
      <c r="AX110" s="449" t="str">
        <f>IF(C110&gt;0,VLOOKUP(C110,Foundation_Calc!$E$35:$G$65,3,1),
IF(J110&gt;0,VLOOKUP(J110,Foundation_Calc!$E$35:$G$65,3,1),""))</f>
        <v>PT</v>
      </c>
      <c r="AY110" s="10">
        <f>IF(L110="","",
IF(AX110="PT",VLOOKUP(L110,Foundation_Calc!$K$79:$R$113,VLOOKUP(AW110,Foundation_Calc!$I$2:$J$8,2,FALSE),0),
IF(AX110="K",VLOOKUP(L110,Foundation_Calc!$K$117:$R$151,VLOOKUP(AW110,Foundation_Calc!$I$2:$J$8,2,FALSE),0),"")))</f>
        <v>3.5</v>
      </c>
      <c r="AZ110" s="10" t="str">
        <f>IF(K110="","",
IF(AX110="PT",VLOOKUP(K110,Foundation_Calc!$K$79:$R$113,VLOOKUP(AW110,Foundation_Calc!$I$2:$J$8,2,FALSE),0),
IF(AX110="K",VLOOKUP(K110,Foundation_Calc!$K$117:$R$151,VLOOKUP(AW110,Foundation_Calc!$I$2:$J$8,2,FALSE),0),"")))</f>
        <v/>
      </c>
      <c r="BA110" s="495" t="str">
        <f t="shared" si="16"/>
        <v>ü</v>
      </c>
      <c r="BB110" s="495" t="str">
        <f t="shared" si="17"/>
        <v/>
      </c>
      <c r="BC110" s="495" t="str">
        <f t="shared" si="18"/>
        <v/>
      </c>
      <c r="BD110" s="513" t="str">
        <f>IF(AND(L110="",H110=""),"",
IF(H110="",Pole_Calc!A$9,
IF(H110="MP",Pole_Calc!A$10,
IF(H110="AnMP",Pole_Calc!A$11,
IF(H110="A",Pole_Calc!A$12,
IF(H110="S/A",Pole_Calc!A$13,
IF(H110="A/S",Pole_Calc!A$14,"Poner a mano")))))))</f>
        <v>App.7-V11I-P9.5.1.1</v>
      </c>
      <c r="BE110" s="429" t="s">
        <v>118</v>
      </c>
      <c r="BF110" s="289"/>
      <c r="BG110" s="289"/>
      <c r="BH110" s="290"/>
      <c r="BI110" s="289"/>
    </row>
    <row r="111" spans="1:61" ht="16.149999999999999" customHeight="1">
      <c r="A111" s="514" t="s">
        <v>169</v>
      </c>
      <c r="B111" s="450"/>
      <c r="C111" s="3"/>
      <c r="D111" s="83"/>
      <c r="E111" s="4"/>
      <c r="F111" s="4"/>
      <c r="G111" s="6">
        <v>60</v>
      </c>
      <c r="H111" s="449"/>
      <c r="I111" s="4"/>
      <c r="J111" s="3"/>
      <c r="K111" s="449"/>
      <c r="L111" s="541"/>
      <c r="M111" s="449" t="str">
        <f>IF(L111="","",
IF(AX111="PT",VLOOKUP(L111,Foundation_Calc!$V$79:$X$113,VLOOKUP(AX111,Foundation_Calc!$I$10:$J$13,2,FALSE),0),
IF(AX111="K",VLOOKUP(L111,Foundation_Calc!$V$117:$X$151,VLOOKUP(AX111,Foundation_Calc!$I$10:$J$13,2,FALSE),0),"")))</f>
        <v/>
      </c>
      <c r="N111" s="449"/>
      <c r="O111" s="449"/>
      <c r="P111" s="449"/>
      <c r="Q111" s="4"/>
      <c r="R111" s="6"/>
      <c r="S111" s="6"/>
      <c r="T111" s="4"/>
      <c r="U111" s="4"/>
      <c r="V111" s="4"/>
      <c r="W111" s="9"/>
      <c r="X111" s="9"/>
      <c r="Y111" s="9"/>
      <c r="Z111" s="9"/>
      <c r="AA111" s="9"/>
      <c r="AB111" s="9"/>
      <c r="AC111" s="449" t="str">
        <f t="shared" si="15"/>
        <v/>
      </c>
      <c r="AD111" s="449"/>
      <c r="AE111" s="449"/>
      <c r="AF111" s="4"/>
      <c r="AG111" s="83"/>
      <c r="AH111" s="4"/>
      <c r="AI111" s="4"/>
      <c r="AJ111" s="449"/>
      <c r="AK111" s="449"/>
      <c r="AL111" s="449"/>
      <c r="AM111" s="449"/>
      <c r="AN111" s="10"/>
      <c r="AO111" s="9"/>
      <c r="AP111" s="9"/>
      <c r="AQ111" s="9">
        <f>+FL_2($T$112,$T$110,$G$111,1200,9.28, 1*$F$112)</f>
        <v>-0.43600286799999999</v>
      </c>
      <c r="AR111" s="9"/>
      <c r="AS111" s="9"/>
      <c r="AT111" s="9"/>
      <c r="AU111" s="428"/>
      <c r="AV111" s="428"/>
      <c r="AW111" s="449" t="str">
        <f>IF(C111&gt;0,VLOOKUP(C111,Foundation_Calc!$A$2:$C$13,3,1),
IF(J111&gt;0,VLOOKUP(J111,Foundation_Calc!$A$2:$C$13,3,1),""))</f>
        <v/>
      </c>
      <c r="AX111" s="449" t="str">
        <f>IF(C111&gt;0,VLOOKUP(C111,Foundation_Calc!$E$35:$G$65,3,1),
IF(J111&gt;0,VLOOKUP(J111,Foundation_Calc!$E$35:$G$65,3,1),""))</f>
        <v/>
      </c>
      <c r="AY111" s="10" t="str">
        <f>IF(L111="","",
IF(AX111="PT",VLOOKUP(L111,Foundation_Calc!$K$79:$R$113,VLOOKUP(AW111,Foundation_Calc!$I$2:$J$8,2,FALSE),0),
IF(AX111="K",VLOOKUP(L111,Foundation_Calc!$K$117:$R$151,VLOOKUP(AW111,Foundation_Calc!$I$2:$J$8,2,FALSE),0),"")))</f>
        <v/>
      </c>
      <c r="AZ111" s="10" t="str">
        <f>IF(K111="","",
IF(AX111="PT",VLOOKUP(K111,Foundation_Calc!$K$79:$R$113,VLOOKUP(AW111,Foundation_Calc!$I$2:$J$8,2,FALSE),0),
IF(AX111="K",VLOOKUP(K111,Foundation_Calc!$K$117:$R$151,VLOOKUP(AW111,Foundation_Calc!$I$2:$J$8,2,FALSE),0),"")))</f>
        <v/>
      </c>
      <c r="BA111" s="495" t="str">
        <f t="shared" si="16"/>
        <v/>
      </c>
      <c r="BB111" s="495" t="str">
        <f t="shared" si="17"/>
        <v/>
      </c>
      <c r="BC111" s="495" t="str">
        <f t="shared" si="18"/>
        <v/>
      </c>
      <c r="BD111" s="513" t="str">
        <f>IF(AND(L111="",H111=""),"",
IF(H111="",Pole_Calc!A$9,
IF(H111="MP",Pole_Calc!A$10,
IF(H111="AnMP",Pole_Calc!A$11,
IF(H111="A",Pole_Calc!A$12,
IF(H111="S/A",Pole_Calc!A$13,
IF(H111="A/S",Pole_Calc!A$14,"Poner a mano")))))))</f>
        <v/>
      </c>
      <c r="BE111" s="429" t="s">
        <v>118</v>
      </c>
      <c r="BF111" s="290"/>
      <c r="BG111" s="290"/>
      <c r="BH111" s="290"/>
      <c r="BI111" s="290"/>
    </row>
    <row r="112" spans="1:61" ht="16.149999999999999" customHeight="1">
      <c r="A112" s="514"/>
      <c r="B112" s="450" t="s">
        <v>991</v>
      </c>
      <c r="C112" s="3">
        <f>+$C$110+$G$111</f>
        <v>32968.65</v>
      </c>
      <c r="D112" s="83"/>
      <c r="E112" s="4"/>
      <c r="F112" s="4">
        <v>0</v>
      </c>
      <c r="G112" s="6"/>
      <c r="H112" s="449"/>
      <c r="I112" s="4"/>
      <c r="J112" s="3"/>
      <c r="K112" s="449"/>
      <c r="L112" s="449" t="s">
        <v>153</v>
      </c>
      <c r="M112" s="449" t="str">
        <f>IF(L112="","",
IF(AX112="PT",VLOOKUP(L112,Foundation_Calc!$V$79:$X$113,VLOOKUP(AX112,Foundation_Calc!$I$10:$J$13,2,FALSE),0),
IF(AX112="K",VLOOKUP(L112,Foundation_Calc!$V$117:$X$151,VLOOKUP(AX112,Foundation_Calc!$I$10:$J$13,2,FALSE),0),"")))</f>
        <v>C3R</v>
      </c>
      <c r="N112" s="449" t="s">
        <v>124</v>
      </c>
      <c r="O112" s="449"/>
      <c r="P112" s="449"/>
      <c r="Q112" s="4"/>
      <c r="R112" s="6"/>
      <c r="S112" s="6"/>
      <c r="T112" s="4">
        <v>-35</v>
      </c>
      <c r="U112" s="4"/>
      <c r="V112" s="4"/>
      <c r="W112" s="9">
        <v>1.4</v>
      </c>
      <c r="X112" s="9"/>
      <c r="Y112" s="9"/>
      <c r="Z112" s="9"/>
      <c r="AA112" s="9"/>
      <c r="AB112" s="9"/>
      <c r="AC112" s="449" t="str">
        <f t="shared" si="15"/>
        <v>PHQ</v>
      </c>
      <c r="AD112" s="449"/>
      <c r="AE112" s="449"/>
      <c r="AF112" s="4"/>
      <c r="AG112" s="83"/>
      <c r="AH112" s="4"/>
      <c r="AI112" s="4"/>
      <c r="AJ112" s="449"/>
      <c r="AK112" s="449"/>
      <c r="AL112" s="449"/>
      <c r="AM112" s="449" t="s">
        <v>126</v>
      </c>
      <c r="AN112" s="10">
        <v>5.5</v>
      </c>
      <c r="AO112" s="9"/>
      <c r="AP112" s="9"/>
      <c r="AQ112" s="9"/>
      <c r="AR112" s="9"/>
      <c r="AS112" s="9"/>
      <c r="AT112" s="9">
        <f>+ab($T$112,$T$110,$T$114,$G$111,$G$113, 1*$F$112,1200)</f>
        <v>-7.6684207235335178</v>
      </c>
      <c r="AU112" s="428"/>
      <c r="AV112" s="428"/>
      <c r="AW112" s="449" t="str">
        <f>IF(C112&gt;0,VLOOKUP(C112,Foundation_Calc!$A$2:$C$13,3,1),
IF(J112&gt;0,VLOOKUP(J112,Foundation_Calc!$A$2:$C$13,3,1),""))</f>
        <v>Multi Soil</v>
      </c>
      <c r="AX112" s="449" t="str">
        <f>IF(C112&gt;0,VLOOKUP(C112,Foundation_Calc!$E$35:$G$65,3,1),
IF(J112&gt;0,VLOOKUP(J112,Foundation_Calc!$E$35:$G$65,3,1),""))</f>
        <v>PT</v>
      </c>
      <c r="AY112" s="10">
        <f>IF(L112="","",
IF(AX112="PT",VLOOKUP(L112,Foundation_Calc!$K$79:$R$113,VLOOKUP(AW112,Foundation_Calc!$I$2:$J$8,2,FALSE),0),
IF(AX112="K",VLOOKUP(L112,Foundation_Calc!$K$117:$R$151,VLOOKUP(AW112,Foundation_Calc!$I$2:$J$8,2,FALSE),0),"")))</f>
        <v>3.5</v>
      </c>
      <c r="AZ112" s="10" t="str">
        <f>IF(K112="","",
IF(AX112="PT",VLOOKUP(K112,Foundation_Calc!$K$79:$R$113,VLOOKUP(AW112,Foundation_Calc!$I$2:$J$8,2,FALSE),0),
IF(AX112="K",VLOOKUP(K112,Foundation_Calc!$K$117:$R$151,VLOOKUP(AW112,Foundation_Calc!$I$2:$J$8,2,FALSE),0),"")))</f>
        <v/>
      </c>
      <c r="BA112" s="495" t="str">
        <f t="shared" si="16"/>
        <v>ü</v>
      </c>
      <c r="BB112" s="495" t="str">
        <f t="shared" si="17"/>
        <v/>
      </c>
      <c r="BC112" s="495" t="str">
        <f t="shared" si="18"/>
        <v/>
      </c>
      <c r="BD112" s="513" t="str">
        <f>IF(AND(L112="",H112=""),"",
IF(H112="",Pole_Calc!A$9,
IF(H112="MP",Pole_Calc!A$10,
IF(H112="AnMP",Pole_Calc!A$11,
IF(H112="A",Pole_Calc!A$12,
IF(H112="S/A",Pole_Calc!A$13,
IF(H112="A/S",Pole_Calc!A$14,"Poner a mano")))))))</f>
        <v>App.7-V11I-P9.5.1.1</v>
      </c>
      <c r="BE112" s="429" t="s">
        <v>118</v>
      </c>
      <c r="BF112" s="289"/>
      <c r="BG112" s="289"/>
      <c r="BH112" s="290"/>
      <c r="BI112" s="289"/>
    </row>
    <row r="113" spans="1:61" ht="16.149999999999999" customHeight="1">
      <c r="A113" s="514"/>
      <c r="B113" s="450"/>
      <c r="C113" s="3"/>
      <c r="D113" s="83"/>
      <c r="E113" s="4"/>
      <c r="F113" s="4"/>
      <c r="G113" s="540">
        <v>53</v>
      </c>
      <c r="H113" s="449"/>
      <c r="I113" s="4"/>
      <c r="J113" s="3"/>
      <c r="K113" s="449"/>
      <c r="L113" s="541"/>
      <c r="M113" s="449" t="str">
        <f>IF(L113="","",
IF(AX113="PT",VLOOKUP(L113,Foundation_Calc!$V$79:$X$113,VLOOKUP(AX113,Foundation_Calc!$I$10:$J$13,2,FALSE),0),
IF(AX113="K",VLOOKUP(L113,Foundation_Calc!$V$117:$X$151,VLOOKUP(AX113,Foundation_Calc!$I$10:$J$13,2,FALSE),0),"")))</f>
        <v/>
      </c>
      <c r="N113" s="449"/>
      <c r="O113" s="449"/>
      <c r="P113" s="449"/>
      <c r="Q113" s="4"/>
      <c r="R113" s="6"/>
      <c r="S113" s="6"/>
      <c r="T113" s="4"/>
      <c r="U113" s="4"/>
      <c r="V113" s="4"/>
      <c r="W113" s="9"/>
      <c r="X113" s="9"/>
      <c r="Y113" s="9"/>
      <c r="Z113" s="9"/>
      <c r="AA113" s="9"/>
      <c r="AB113" s="9"/>
      <c r="AC113" s="449" t="str">
        <f t="shared" si="15"/>
        <v/>
      </c>
      <c r="AD113" s="449"/>
      <c r="AE113" s="449"/>
      <c r="AF113" s="4"/>
      <c r="AG113" s="83"/>
      <c r="AH113" s="4"/>
      <c r="AI113" s="4"/>
      <c r="AJ113" s="449"/>
      <c r="AK113" s="449"/>
      <c r="AL113" s="449"/>
      <c r="AM113" s="449"/>
      <c r="AN113" s="10"/>
      <c r="AO113" s="9"/>
      <c r="AP113" s="9"/>
      <c r="AQ113" s="9">
        <f>+FL_2($T$114,$T$112,$G$113,1200,9.28, 1*$F$114)</f>
        <v>-0.38432069766037741</v>
      </c>
      <c r="AR113" s="9"/>
      <c r="AS113" s="9"/>
      <c r="AT113" s="9"/>
      <c r="AU113" s="428"/>
      <c r="AV113" s="428"/>
      <c r="AW113" s="449" t="str">
        <f>IF(C113&gt;0,VLOOKUP(C113,Foundation_Calc!$A$2:$C$13,3,1),
IF(J113&gt;0,VLOOKUP(J113,Foundation_Calc!$A$2:$C$13,3,1),""))</f>
        <v/>
      </c>
      <c r="AX113" s="449" t="str">
        <f>IF(C113&gt;0,VLOOKUP(C113,Foundation_Calc!$E$35:$G$65,3,1),
IF(J113&gt;0,VLOOKUP(J113,Foundation_Calc!$E$35:$G$65,3,1),""))</f>
        <v/>
      </c>
      <c r="AY113" s="10" t="str">
        <f>IF(L113="","",
IF(AX113="PT",VLOOKUP(L113,Foundation_Calc!$K$79:$R$113,VLOOKUP(AW113,Foundation_Calc!$I$2:$J$8,2,FALSE),0),
IF(AX113="K",VLOOKUP(L113,Foundation_Calc!$K$117:$R$151,VLOOKUP(AW113,Foundation_Calc!$I$2:$J$8,2,FALSE),0),"")))</f>
        <v/>
      </c>
      <c r="AZ113" s="10" t="str">
        <f>IF(K113="","",
IF(AX113="PT",VLOOKUP(K113,Foundation_Calc!$K$79:$R$113,VLOOKUP(AW113,Foundation_Calc!$I$2:$J$8,2,FALSE),0),
IF(AX113="K",VLOOKUP(K113,Foundation_Calc!$K$117:$R$151,VLOOKUP(AW113,Foundation_Calc!$I$2:$J$8,2,FALSE),0),"")))</f>
        <v/>
      </c>
      <c r="BA113" s="495" t="str">
        <f t="shared" si="16"/>
        <v/>
      </c>
      <c r="BB113" s="495" t="str">
        <f t="shared" si="17"/>
        <v/>
      </c>
      <c r="BC113" s="495" t="str">
        <f t="shared" si="18"/>
        <v/>
      </c>
      <c r="BD113" s="513" t="str">
        <f>IF(AND(L113="",H113=""),"",
IF(H113="",Pole_Calc!A$9,
IF(H113="MP",Pole_Calc!A$10,
IF(H113="AnMP",Pole_Calc!A$11,
IF(H113="A",Pole_Calc!A$12,
IF(H113="S/A",Pole_Calc!A$13,
IF(H113="A/S",Pole_Calc!A$14,"Poner a mano")))))))</f>
        <v/>
      </c>
      <c r="BE113" s="429" t="s">
        <v>118</v>
      </c>
      <c r="BF113" s="290"/>
      <c r="BG113" s="290"/>
      <c r="BH113" s="290"/>
      <c r="BI113" s="290"/>
    </row>
    <row r="114" spans="1:61" ht="16.149999999999999" customHeight="1">
      <c r="A114" s="514"/>
      <c r="B114" s="450" t="s">
        <v>992</v>
      </c>
      <c r="C114" s="3">
        <f>+$C$112+$G$113</f>
        <v>33021.65</v>
      </c>
      <c r="D114" s="83"/>
      <c r="E114" s="4"/>
      <c r="F114" s="4">
        <v>0</v>
      </c>
      <c r="G114" s="6"/>
      <c r="H114" s="449"/>
      <c r="I114" s="4"/>
      <c r="J114" s="3"/>
      <c r="K114" s="449"/>
      <c r="L114" s="449" t="s">
        <v>153</v>
      </c>
      <c r="M114" s="449" t="str">
        <f>IF(L114="","",
IF(AX114="PT",VLOOKUP(L114,Foundation_Calc!$V$79:$X$113,VLOOKUP(AX114,Foundation_Calc!$I$10:$J$13,2,FALSE),0),
IF(AX114="K",VLOOKUP(L114,Foundation_Calc!$V$117:$X$151,VLOOKUP(AX114,Foundation_Calc!$I$10:$J$13,2,FALSE),0),"")))</f>
        <v>C3R</v>
      </c>
      <c r="N114" s="449" t="s">
        <v>134</v>
      </c>
      <c r="O114" s="449"/>
      <c r="P114" s="449"/>
      <c r="Q114" s="4"/>
      <c r="R114" s="6"/>
      <c r="S114" s="6"/>
      <c r="T114" s="4">
        <v>35</v>
      </c>
      <c r="U114" s="4"/>
      <c r="V114" s="4"/>
      <c r="W114" s="9">
        <v>1.4</v>
      </c>
      <c r="X114" s="9"/>
      <c r="Y114" s="9"/>
      <c r="Z114" s="9"/>
      <c r="AA114" s="9"/>
      <c r="AB114" s="9"/>
      <c r="AC114" s="449" t="str">
        <f t="shared" si="15"/>
        <v>PHQ</v>
      </c>
      <c r="AD114" s="449"/>
      <c r="AE114" s="449"/>
      <c r="AF114" s="4"/>
      <c r="AG114" s="83"/>
      <c r="AH114" s="4"/>
      <c r="AI114" s="4"/>
      <c r="AJ114" s="449"/>
      <c r="AK114" s="449"/>
      <c r="AL114" s="449"/>
      <c r="AM114" s="449" t="s">
        <v>126</v>
      </c>
      <c r="AN114" s="10">
        <v>5.5</v>
      </c>
      <c r="AO114" s="9"/>
      <c r="AP114" s="9"/>
      <c r="AQ114" s="9"/>
      <c r="AR114" s="9"/>
      <c r="AS114" s="9"/>
      <c r="AT114" s="9">
        <f>+ab($T$114,$T$112,$T$116,$G$113,$G$115, 1*$F$114,1200)</f>
        <v>7.2326760376903927</v>
      </c>
      <c r="AU114" s="428"/>
      <c r="AV114" s="428"/>
      <c r="AW114" s="449" t="str">
        <f>IF(C114&gt;0,VLOOKUP(C114,Foundation_Calc!$A$2:$C$13,3,1),
IF(J114&gt;0,VLOOKUP(J114,Foundation_Calc!$A$2:$C$13,3,1),""))</f>
        <v>Multi Soil</v>
      </c>
      <c r="AX114" s="449" t="str">
        <f>IF(C114&gt;0,VLOOKUP(C114,Foundation_Calc!$E$35:$G$65,3,1),
IF(J114&gt;0,VLOOKUP(J114,Foundation_Calc!$E$35:$G$65,3,1),""))</f>
        <v>PT</v>
      </c>
      <c r="AY114" s="10">
        <f>IF(L114="","",
IF(AX114="PT",VLOOKUP(L114,Foundation_Calc!$K$79:$R$113,VLOOKUP(AW114,Foundation_Calc!$I$2:$J$8,2,FALSE),0),
IF(AX114="K",VLOOKUP(L114,Foundation_Calc!$K$117:$R$151,VLOOKUP(AW114,Foundation_Calc!$I$2:$J$8,2,FALSE),0),"")))</f>
        <v>3.5</v>
      </c>
      <c r="AZ114" s="10" t="str">
        <f>IF(K114="","",
IF(AX114="PT",VLOOKUP(K114,Foundation_Calc!$K$79:$R$113,VLOOKUP(AW114,Foundation_Calc!$I$2:$J$8,2,FALSE),0),
IF(AX114="K",VLOOKUP(K114,Foundation_Calc!$K$117:$R$151,VLOOKUP(AW114,Foundation_Calc!$I$2:$J$8,2,FALSE),0),"")))</f>
        <v/>
      </c>
      <c r="BA114" s="495" t="str">
        <f t="shared" si="16"/>
        <v>ü</v>
      </c>
      <c r="BB114" s="495" t="str">
        <f t="shared" si="17"/>
        <v/>
      </c>
      <c r="BC114" s="495" t="str">
        <f t="shared" si="18"/>
        <v/>
      </c>
      <c r="BD114" s="513" t="str">
        <f>IF(AND(L114="",H114=""),"",
IF(H114="",Pole_Calc!A$9,
IF(H114="MP",Pole_Calc!A$10,
IF(H114="AnMP",Pole_Calc!A$11,
IF(H114="A",Pole_Calc!A$12,
IF(H114="S/A",Pole_Calc!A$13,
IF(H114="A/S",Pole_Calc!A$14,"Poner a mano")))))))</f>
        <v>App.7-V11I-P9.5.1.1</v>
      </c>
      <c r="BE114" s="429" t="s">
        <v>118</v>
      </c>
      <c r="BF114" s="289"/>
      <c r="BG114" s="289"/>
      <c r="BH114" s="290"/>
      <c r="BI114" s="289"/>
    </row>
    <row r="115" spans="1:61" ht="16.149999999999999" customHeight="1">
      <c r="A115" s="514"/>
      <c r="B115" s="450"/>
      <c r="C115" s="3"/>
      <c r="D115" s="83"/>
      <c r="E115" s="4"/>
      <c r="F115" s="4"/>
      <c r="G115" s="6">
        <v>53.1</v>
      </c>
      <c r="H115" s="449"/>
      <c r="I115" s="4"/>
      <c r="J115" s="3"/>
      <c r="K115" s="449"/>
      <c r="L115" s="541"/>
      <c r="M115" s="449" t="str">
        <f>IF(L115="","",
IF(AX115="PT",VLOOKUP(L115,Foundation_Calc!$V$79:$X$113,VLOOKUP(AX115,Foundation_Calc!$I$10:$J$13,2,FALSE),0),
IF(AX115="K",VLOOKUP(L115,Foundation_Calc!$V$117:$X$151,VLOOKUP(AX115,Foundation_Calc!$I$10:$J$13,2,FALSE),0),"")))</f>
        <v/>
      </c>
      <c r="N115" s="449"/>
      <c r="O115" s="449"/>
      <c r="P115" s="449"/>
      <c r="Q115" s="4"/>
      <c r="R115" s="6"/>
      <c r="S115" s="6"/>
      <c r="T115" s="4"/>
      <c r="U115" s="4"/>
      <c r="V115" s="4"/>
      <c r="W115" s="9"/>
      <c r="X115" s="9"/>
      <c r="Y115" s="9"/>
      <c r="Z115" s="9"/>
      <c r="AA115" s="9"/>
      <c r="AB115" s="9"/>
      <c r="AC115" s="449" t="str">
        <f t="shared" si="15"/>
        <v/>
      </c>
      <c r="AD115" s="449"/>
      <c r="AE115" s="449"/>
      <c r="AF115" s="4"/>
      <c r="AG115" s="83"/>
      <c r="AH115" s="4"/>
      <c r="AI115" s="4"/>
      <c r="AJ115" s="449"/>
      <c r="AK115" s="449"/>
      <c r="AL115" s="449"/>
      <c r="AM115" s="449"/>
      <c r="AN115" s="10"/>
      <c r="AO115" s="9"/>
      <c r="AP115" s="9"/>
      <c r="AQ115" s="9">
        <f>+FL_2($T$116,$T$114,$G$115,1200,9.28, 1*$F$116)</f>
        <v>-0.38492192843691148</v>
      </c>
      <c r="AR115" s="9"/>
      <c r="AS115" s="9"/>
      <c r="AT115" s="9"/>
      <c r="AU115" s="428"/>
      <c r="AV115" s="428"/>
      <c r="AW115" s="449" t="str">
        <f>IF(C115&gt;0,VLOOKUP(C115,Foundation_Calc!$A$2:$C$13,3,1),
IF(J115&gt;0,VLOOKUP(J115,Foundation_Calc!$A$2:$C$13,3,1),""))</f>
        <v/>
      </c>
      <c r="AX115" s="449" t="str">
        <f>IF(C115&gt;0,VLOOKUP(C115,Foundation_Calc!$E$35:$G$65,3,1),
IF(J115&gt;0,VLOOKUP(J115,Foundation_Calc!$E$35:$G$65,3,1),""))</f>
        <v/>
      </c>
      <c r="AY115" s="10" t="str">
        <f>IF(L115="","",
IF(AX115="PT",VLOOKUP(L115,Foundation_Calc!$K$79:$R$113,VLOOKUP(AW115,Foundation_Calc!$I$2:$J$8,2,FALSE),0),
IF(AX115="K",VLOOKUP(L115,Foundation_Calc!$K$117:$R$151,VLOOKUP(AW115,Foundation_Calc!$I$2:$J$8,2,FALSE),0),"")))</f>
        <v/>
      </c>
      <c r="AZ115" s="10" t="str">
        <f>IF(K115="","",
IF(AX115="PT",VLOOKUP(K115,Foundation_Calc!$K$79:$R$113,VLOOKUP(AW115,Foundation_Calc!$I$2:$J$8,2,FALSE),0),
IF(AX115="K",VLOOKUP(K115,Foundation_Calc!$K$117:$R$151,VLOOKUP(AW115,Foundation_Calc!$I$2:$J$8,2,FALSE),0),"")))</f>
        <v/>
      </c>
      <c r="BA115" s="495" t="str">
        <f t="shared" si="16"/>
        <v/>
      </c>
      <c r="BB115" s="495" t="str">
        <f t="shared" si="17"/>
        <v/>
      </c>
      <c r="BC115" s="495" t="str">
        <f t="shared" si="18"/>
        <v/>
      </c>
      <c r="BD115" s="513" t="str">
        <f>IF(AND(L115="",H115=""),"",
IF(H115="",Pole_Calc!A$9,
IF(H115="MP",Pole_Calc!A$10,
IF(H115="AnMP",Pole_Calc!A$11,
IF(H115="A",Pole_Calc!A$12,
IF(H115="S/A",Pole_Calc!A$13,
IF(H115="A/S",Pole_Calc!A$14,"Poner a mano")))))))</f>
        <v/>
      </c>
      <c r="BE115" s="429" t="s">
        <v>118</v>
      </c>
      <c r="BF115" s="290"/>
      <c r="BG115" s="290"/>
      <c r="BH115" s="290"/>
      <c r="BI115" s="290"/>
    </row>
    <row r="116" spans="1:61" ht="16.149999999999999" customHeight="1">
      <c r="A116" s="514"/>
      <c r="B116" s="450" t="s">
        <v>993</v>
      </c>
      <c r="C116" s="3">
        <f>+$C$114+$G$115</f>
        <v>33074.75</v>
      </c>
      <c r="D116" s="83"/>
      <c r="E116" s="4"/>
      <c r="F116" s="4">
        <v>0</v>
      </c>
      <c r="G116" s="6"/>
      <c r="H116" s="449"/>
      <c r="I116" s="4"/>
      <c r="J116" s="3"/>
      <c r="K116" s="449"/>
      <c r="L116" s="449" t="s">
        <v>153</v>
      </c>
      <c r="M116" s="449" t="str">
        <f>IF(L116="","",
IF(AX116="PT",VLOOKUP(L116,Foundation_Calc!$V$79:$X$113,VLOOKUP(AX116,Foundation_Calc!$I$10:$J$13,2,FALSE),0),
IF(AX116="K",VLOOKUP(L116,Foundation_Calc!$V$117:$X$151,VLOOKUP(AX116,Foundation_Calc!$I$10:$J$13,2,FALSE),0),"")))</f>
        <v>C3R</v>
      </c>
      <c r="N116" s="449" t="s">
        <v>124</v>
      </c>
      <c r="O116" s="449"/>
      <c r="P116" s="449"/>
      <c r="Q116" s="4"/>
      <c r="R116" s="6"/>
      <c r="S116" s="6"/>
      <c r="T116" s="4">
        <v>-35</v>
      </c>
      <c r="U116" s="4"/>
      <c r="V116" s="4"/>
      <c r="W116" s="9">
        <v>1.4</v>
      </c>
      <c r="X116" s="9"/>
      <c r="Y116" s="9"/>
      <c r="Z116" s="9"/>
      <c r="AA116" s="9"/>
      <c r="AB116" s="9"/>
      <c r="AC116" s="449" t="str">
        <f t="shared" si="15"/>
        <v>PHQ</v>
      </c>
      <c r="AD116" s="449"/>
      <c r="AE116" s="449"/>
      <c r="AF116" s="4"/>
      <c r="AG116" s="83"/>
      <c r="AH116" s="4"/>
      <c r="AI116" s="4"/>
      <c r="AJ116" s="449"/>
      <c r="AK116" s="449"/>
      <c r="AL116" s="449"/>
      <c r="AM116" s="449" t="s">
        <v>126</v>
      </c>
      <c r="AN116" s="10">
        <v>5.5</v>
      </c>
      <c r="AO116" s="9"/>
      <c r="AP116" s="9"/>
      <c r="AQ116" s="9"/>
      <c r="AR116" s="9"/>
      <c r="AS116" s="9"/>
      <c r="AT116" s="9">
        <f>+ab($T$116,$T$114,$T$118,$G$115,$G$117, 1*$F$116,1200)</f>
        <v>-7.6760049978781462</v>
      </c>
      <c r="AU116" s="428"/>
      <c r="AV116" s="428"/>
      <c r="AW116" s="449" t="str">
        <f>IF(C116&gt;0,VLOOKUP(C116,Foundation_Calc!$A$2:$C$13,3,1),
IF(J116&gt;0,VLOOKUP(J116,Foundation_Calc!$A$2:$C$13,3,1),""))</f>
        <v>Multi Soil</v>
      </c>
      <c r="AX116" s="449" t="str">
        <f>IF(C116&gt;0,VLOOKUP(C116,Foundation_Calc!$E$35:$G$65,3,1),
IF(J116&gt;0,VLOOKUP(J116,Foundation_Calc!$E$35:$G$65,3,1),""))</f>
        <v>PT</v>
      </c>
      <c r="AY116" s="10">
        <f>IF(L116="","",
IF(AX116="PT",VLOOKUP(L116,Foundation_Calc!$K$79:$R$113,VLOOKUP(AW116,Foundation_Calc!$I$2:$J$8,2,FALSE),0),
IF(AX116="K",VLOOKUP(L116,Foundation_Calc!$K$117:$R$151,VLOOKUP(AW116,Foundation_Calc!$I$2:$J$8,2,FALSE),0),"")))</f>
        <v>3.5</v>
      </c>
      <c r="AZ116" s="10" t="str">
        <f>IF(K116="","",
IF(AX116="PT",VLOOKUP(K116,Foundation_Calc!$K$79:$R$113,VLOOKUP(AW116,Foundation_Calc!$I$2:$J$8,2,FALSE),0),
IF(AX116="K",VLOOKUP(K116,Foundation_Calc!$K$117:$R$151,VLOOKUP(AW116,Foundation_Calc!$I$2:$J$8,2,FALSE),0),"")))</f>
        <v/>
      </c>
      <c r="BA116" s="495" t="str">
        <f t="shared" si="16"/>
        <v>ü</v>
      </c>
      <c r="BB116" s="495" t="str">
        <f t="shared" si="17"/>
        <v/>
      </c>
      <c r="BC116" s="495" t="str">
        <f t="shared" si="18"/>
        <v/>
      </c>
      <c r="BD116" s="513" t="str">
        <f>IF(AND(L116="",H116=""),"",
IF(H116="",Pole_Calc!A$9,
IF(H116="MP",Pole_Calc!A$10,
IF(H116="AnMP",Pole_Calc!A$11,
IF(H116="A",Pole_Calc!A$12,
IF(H116="S/A",Pole_Calc!A$13,
IF(H116="A/S",Pole_Calc!A$14,"Poner a mano")))))))</f>
        <v>App.7-V11I-P9.5.1.1</v>
      </c>
      <c r="BE116" s="429" t="s">
        <v>118</v>
      </c>
      <c r="BF116" s="289"/>
      <c r="BG116" s="289"/>
      <c r="BH116" s="290"/>
      <c r="BI116" s="289"/>
    </row>
    <row r="117" spans="1:61" ht="16.149999999999999" customHeight="1">
      <c r="A117" s="514"/>
      <c r="B117" s="450"/>
      <c r="C117" s="3"/>
      <c r="D117" s="83"/>
      <c r="E117" s="4"/>
      <c r="F117" s="4"/>
      <c r="G117" s="6">
        <v>60</v>
      </c>
      <c r="H117" s="449"/>
      <c r="I117" s="4"/>
      <c r="J117" s="3">
        <v>33127.25</v>
      </c>
      <c r="K117" s="449" t="s">
        <v>166</v>
      </c>
      <c r="L117" s="449"/>
      <c r="M117" s="449" t="str">
        <f>IF(L117="","",
IF(AX117="PT",VLOOKUP(L117,Foundation_Calc!$V$79:$X$113,VLOOKUP(AX117,Foundation_Calc!$I$10:$J$13,2,FALSE),0),
IF(AX117="K",VLOOKUP(L117,Foundation_Calc!$V$117:$X$151,VLOOKUP(AX117,Foundation_Calc!$I$10:$J$13,2,FALSE),0),"")))</f>
        <v/>
      </c>
      <c r="N117" s="449"/>
      <c r="O117" s="449"/>
      <c r="P117" s="449"/>
      <c r="Q117" s="4"/>
      <c r="R117" s="6"/>
      <c r="S117" s="6"/>
      <c r="T117" s="4"/>
      <c r="U117" s="4"/>
      <c r="V117" s="4"/>
      <c r="W117" s="9"/>
      <c r="X117" s="9"/>
      <c r="Y117" s="9"/>
      <c r="Z117" s="9"/>
      <c r="AA117" s="9"/>
      <c r="AB117" s="9"/>
      <c r="AC117" s="449" t="str">
        <f t="shared" si="15"/>
        <v/>
      </c>
      <c r="AD117" s="449"/>
      <c r="AE117" s="449"/>
      <c r="AF117" s="4"/>
      <c r="AG117" s="83"/>
      <c r="AH117" s="4"/>
      <c r="AI117" s="4"/>
      <c r="AJ117" s="449"/>
      <c r="AK117" s="449"/>
      <c r="AL117" s="449"/>
      <c r="AM117" s="449"/>
      <c r="AN117" s="10"/>
      <c r="AO117" s="9"/>
      <c r="AP117" s="9"/>
      <c r="AQ117" s="9">
        <f>+FL_1($T$118,$T$116,$G$117,1200,9.28, 1*$F$118)</f>
        <v>0.43600286799999999</v>
      </c>
      <c r="AR117" s="9"/>
      <c r="AS117" s="9"/>
      <c r="AT117" s="9"/>
      <c r="AU117" s="428"/>
      <c r="AV117" s="428"/>
      <c r="AW117" s="449" t="str">
        <f>IF(C117&gt;0,VLOOKUP(C117,Foundation_Calc!$A$2:$C$13,3,1),
IF(J117&gt;0,VLOOKUP(J117,Foundation_Calc!$A$2:$C$13,3,1),""))</f>
        <v>Multi Soil</v>
      </c>
      <c r="AX117" s="449" t="str">
        <f>IF(C117&gt;0,VLOOKUP(C117,Foundation_Calc!$E$35:$G$65,3,1),
IF(J117&gt;0,VLOOKUP(J117,Foundation_Calc!$E$35:$G$65,3,1),""))</f>
        <v>PT</v>
      </c>
      <c r="AY117" s="10" t="str">
        <f>IF(L117="","",
IF(AX117="PT",VLOOKUP(L117,Foundation_Calc!$K$79:$R$113,VLOOKUP(AW117,Foundation_Calc!$I$2:$J$8,2,FALSE),0),
IF(AX117="K",VLOOKUP(L117,Foundation_Calc!$K$117:$R$151,VLOOKUP(AW117,Foundation_Calc!$I$2:$J$8,2,FALSE),0),"")))</f>
        <v/>
      </c>
      <c r="AZ117" s="10">
        <f>IF(K117="","",
IF(AX117="PT",VLOOKUP(K117,Foundation_Calc!$K$79:$R$113,VLOOKUP(AW117,Foundation_Calc!$I$2:$J$8,2,FALSE),0),
IF(AX117="K",VLOOKUP(K117,Foundation_Calc!$K$117:$R$151,VLOOKUP(AW117,Foundation_Calc!$I$2:$J$8,2,FALSE),0),"")))</f>
        <v>2.8</v>
      </c>
      <c r="BA117" s="495" t="str">
        <f t="shared" si="16"/>
        <v/>
      </c>
      <c r="BB117" s="495" t="str">
        <f t="shared" si="17"/>
        <v>ü</v>
      </c>
      <c r="BC117" s="495" t="str">
        <f t="shared" si="18"/>
        <v/>
      </c>
      <c r="BD117" s="513" t="str">
        <f>IF(AND(L117="",H117=""),"",
IF(H117="",Pole_Calc!A$9,
IF(H117="MP",Pole_Calc!A$10,
IF(H117="AnMP",Pole_Calc!A$11,
IF(H117="A",Pole_Calc!A$12,
IF(H117="S/A",Pole_Calc!A$13,
IF(H117="A/S",Pole_Calc!A$14,"Poner a mano")))))))</f>
        <v/>
      </c>
      <c r="BE117" s="429" t="s">
        <v>118</v>
      </c>
      <c r="BF117" s="290"/>
      <c r="BG117" s="290"/>
      <c r="BH117" s="290"/>
      <c r="BI117" s="290"/>
    </row>
    <row r="118" spans="1:61" ht="16.149999999999999" customHeight="1">
      <c r="A118" s="514"/>
      <c r="B118" s="450" t="s">
        <v>994</v>
      </c>
      <c r="C118" s="3">
        <f>+$C$116+$G$117</f>
        <v>33134.75</v>
      </c>
      <c r="D118" s="83"/>
      <c r="E118" s="4"/>
      <c r="F118" s="4">
        <v>0</v>
      </c>
      <c r="G118" s="6"/>
      <c r="H118" s="449" t="s">
        <v>168</v>
      </c>
      <c r="I118" s="4"/>
      <c r="J118" s="3"/>
      <c r="K118" s="449"/>
      <c r="L118" s="449" t="s">
        <v>158</v>
      </c>
      <c r="M118" s="449" t="str">
        <f>IF(L118="","",
IF(AX118="PT",VLOOKUP(L118,Foundation_Calc!$V$79:$X$113,VLOOKUP(AX118,Foundation_Calc!$I$10:$J$13,2,FALSE),0),
IF(AX118="K",VLOOKUP(L118,Foundation_Calc!$V$117:$X$151,VLOOKUP(AX118,Foundation_Calc!$I$10:$J$13,2,FALSE),0),"")))</f>
        <v>C4R</v>
      </c>
      <c r="N118" s="449" t="s">
        <v>134</v>
      </c>
      <c r="O118" s="449"/>
      <c r="P118" s="449"/>
      <c r="Q118" s="4"/>
      <c r="R118" s="6"/>
      <c r="S118" s="6"/>
      <c r="T118" s="4">
        <v>35</v>
      </c>
      <c r="U118" s="4"/>
      <c r="V118" s="4"/>
      <c r="W118" s="9">
        <v>1.4</v>
      </c>
      <c r="X118" s="9"/>
      <c r="Y118" s="9"/>
      <c r="Z118" s="9"/>
      <c r="AA118" s="9"/>
      <c r="AB118" s="9"/>
      <c r="AC118" s="449" t="str">
        <f t="shared" si="15"/>
        <v>PHQ</v>
      </c>
      <c r="AD118" s="449"/>
      <c r="AE118" s="449"/>
      <c r="AF118" s="4"/>
      <c r="AG118" s="83"/>
      <c r="AH118" s="4"/>
      <c r="AI118" s="4"/>
      <c r="AJ118" s="449"/>
      <c r="AK118" s="449"/>
      <c r="AL118" s="449"/>
      <c r="AM118" s="449" t="s">
        <v>126</v>
      </c>
      <c r="AN118" s="10">
        <v>5.5</v>
      </c>
      <c r="AO118" s="9"/>
      <c r="AP118" s="9"/>
      <c r="AQ118" s="9"/>
      <c r="AR118" s="9"/>
      <c r="AS118" s="9"/>
      <c r="AT118" s="9">
        <f>+ab($T$118,$T$116,$T$120,$G$117,$G$119, 1*$F$118,1200)</f>
        <v>7.8175137683875535</v>
      </c>
      <c r="AU118" s="428"/>
      <c r="AV118" s="428"/>
      <c r="AW118" s="449" t="str">
        <f>IF(C118&gt;0,VLOOKUP(C118,Foundation_Calc!$A$2:$C$13,3,1),
IF(J118&gt;0,VLOOKUP(J118,Foundation_Calc!$A$2:$C$13,3,1),""))</f>
        <v>Multi Soil</v>
      </c>
      <c r="AX118" s="449" t="str">
        <f>IF(C118&gt;0,VLOOKUP(C118,Foundation_Calc!$E$35:$G$65,3,1),
IF(J118&gt;0,VLOOKUP(J118,Foundation_Calc!$E$35:$G$65,3,1),""))</f>
        <v>PT</v>
      </c>
      <c r="AY118" s="10">
        <f>IF(L118="","",
IF(AX118="PT",VLOOKUP(L118,Foundation_Calc!$K$79:$R$113,VLOOKUP(AW118,Foundation_Calc!$I$2:$J$8,2,FALSE),0),
IF(AX118="K",VLOOKUP(L118,Foundation_Calc!$K$117:$R$151,VLOOKUP(AW118,Foundation_Calc!$I$2:$J$8,2,FALSE),0),"")))</f>
        <v>3.5</v>
      </c>
      <c r="AZ118" s="10" t="str">
        <f>IF(K118="","",
IF(AX118="PT",VLOOKUP(K118,Foundation_Calc!$K$79:$R$113,VLOOKUP(AW118,Foundation_Calc!$I$2:$J$8,2,FALSE),0),
IF(AX118="K",VLOOKUP(K118,Foundation_Calc!$K$117:$R$151,VLOOKUP(AW118,Foundation_Calc!$I$2:$J$8,2,FALSE),0),"")))</f>
        <v/>
      </c>
      <c r="BA118" s="495" t="str">
        <f t="shared" si="16"/>
        <v>ü</v>
      </c>
      <c r="BB118" s="495" t="str">
        <f t="shared" si="17"/>
        <v/>
      </c>
      <c r="BC118" s="495" t="str">
        <f t="shared" si="18"/>
        <v/>
      </c>
      <c r="BD118" s="513" t="str">
        <f>IF(AND(L118="",H118=""),"",
IF(H118="",Pole_Calc!A$9,
IF(H118="MP",Pole_Calc!A$10,
IF(H118="AnMP",Pole_Calc!A$11,
IF(H118="A",Pole_Calc!A$12,
IF(H118="S/A",Pole_Calc!A$13,
IF(H118="A/S",Pole_Calc!A$14,"Poner a mano")))))))</f>
        <v>App.7-V11I-P9.5.1.3</v>
      </c>
      <c r="BE118" s="429" t="s">
        <v>118</v>
      </c>
      <c r="BF118" s="289"/>
      <c r="BG118" s="289"/>
      <c r="BH118" s="290"/>
      <c r="BI118" s="289"/>
    </row>
    <row r="119" spans="1:61" ht="16.149999999999999" customHeight="1">
      <c r="A119" s="514" t="s">
        <v>169</v>
      </c>
      <c r="B119" s="450"/>
      <c r="C119" s="3"/>
      <c r="D119" s="83"/>
      <c r="E119" s="4"/>
      <c r="F119" s="4"/>
      <c r="G119" s="6">
        <v>55</v>
      </c>
      <c r="H119" s="449"/>
      <c r="I119" s="4">
        <f>SUM(G97:G119)</f>
        <v>677.1</v>
      </c>
      <c r="J119" s="3"/>
      <c r="K119" s="449"/>
      <c r="L119" s="541"/>
      <c r="M119" s="449" t="str">
        <f>IF(L119="","",
IF(AX119="PT",VLOOKUP(L119,Foundation_Calc!$V$79:$X$113,VLOOKUP(AX119,Foundation_Calc!$I$10:$J$13,2,FALSE),0),
IF(AX119="K",VLOOKUP(L119,Foundation_Calc!$V$117:$X$151,VLOOKUP(AX119,Foundation_Calc!$I$10:$J$13,2,FALSE),0),"")))</f>
        <v/>
      </c>
      <c r="N119" s="449"/>
      <c r="O119" s="449"/>
      <c r="P119" s="449"/>
      <c r="Q119" s="4"/>
      <c r="R119" s="6"/>
      <c r="S119" s="6"/>
      <c r="T119" s="4"/>
      <c r="U119" s="4"/>
      <c r="V119" s="4"/>
      <c r="W119" s="9"/>
      <c r="X119" s="9"/>
      <c r="Y119" s="9"/>
      <c r="Z119" s="9"/>
      <c r="AA119" s="9"/>
      <c r="AB119" s="9"/>
      <c r="AC119" s="449" t="str">
        <f t="shared" si="15"/>
        <v/>
      </c>
      <c r="AD119" s="449"/>
      <c r="AE119" s="449"/>
      <c r="AF119" s="4"/>
      <c r="AG119" s="83"/>
      <c r="AH119" s="4"/>
      <c r="AI119" s="4"/>
      <c r="AJ119" s="449"/>
      <c r="AK119" s="449"/>
      <c r="AL119" s="449"/>
      <c r="AM119" s="449"/>
      <c r="AN119" s="10"/>
      <c r="AO119" s="9"/>
      <c r="AP119" s="9"/>
      <c r="AQ119" s="9">
        <f>+FL_1($T$120,$T$118,$G$119,1200,9.28, 1*$F$120)</f>
        <v>0.39714735709090898</v>
      </c>
      <c r="AR119" s="9"/>
      <c r="AS119" s="9"/>
      <c r="AT119" s="9"/>
      <c r="AU119" s="428"/>
      <c r="AV119" s="428"/>
      <c r="AW119" s="449" t="str">
        <f>IF(C119&gt;0,VLOOKUP(C119,Foundation_Calc!$A$2:$C$13,3,1),
IF(J119&gt;0,VLOOKUP(J119,Foundation_Calc!$A$2:$C$13,3,1),""))</f>
        <v/>
      </c>
      <c r="AX119" s="449" t="str">
        <f>IF(C119&gt;0,VLOOKUP(C119,Foundation_Calc!$E$35:$G$65,3,1),
IF(J119&gt;0,VLOOKUP(J119,Foundation_Calc!$E$35:$G$65,3,1),""))</f>
        <v/>
      </c>
      <c r="AY119" s="10" t="str">
        <f>IF(L119="","",
IF(AX119="PT",VLOOKUP(L119,Foundation_Calc!$K$79:$R$113,VLOOKUP(AW119,Foundation_Calc!$I$2:$J$8,2,FALSE),0),
IF(AX119="K",VLOOKUP(L119,Foundation_Calc!$K$117:$R$151,VLOOKUP(AW119,Foundation_Calc!$I$2:$J$8,2,FALSE),0),"")))</f>
        <v/>
      </c>
      <c r="AZ119" s="10" t="str">
        <f>IF(K119="","",
IF(AX119="PT",VLOOKUP(K119,Foundation_Calc!$K$79:$R$113,VLOOKUP(AW119,Foundation_Calc!$I$2:$J$8,2,FALSE),0),
IF(AX119="K",VLOOKUP(K119,Foundation_Calc!$K$117:$R$151,VLOOKUP(AW119,Foundation_Calc!$I$2:$J$8,2,FALSE),0),"")))</f>
        <v/>
      </c>
      <c r="BA119" s="495" t="str">
        <f t="shared" si="16"/>
        <v/>
      </c>
      <c r="BB119" s="495" t="str">
        <f t="shared" si="17"/>
        <v/>
      </c>
      <c r="BC119" s="495" t="str">
        <f t="shared" si="18"/>
        <v/>
      </c>
      <c r="BD119" s="513" t="str">
        <f>IF(AND(L119="",H119=""),"",
IF(H119="",Pole_Calc!A$9,
IF(H119="MP",Pole_Calc!A$10,
IF(H119="AnMP",Pole_Calc!A$11,
IF(H119="A",Pole_Calc!A$12,
IF(H119="S/A",Pole_Calc!A$13,
IF(H119="A/S",Pole_Calc!A$14,"Poner a mano")))))))</f>
        <v/>
      </c>
      <c r="BE119" s="429" t="s">
        <v>118</v>
      </c>
      <c r="BF119" s="290"/>
      <c r="BG119" s="290"/>
      <c r="BH119" s="290"/>
      <c r="BI119" s="290"/>
    </row>
    <row r="120" spans="1:61" ht="16.149999999999999" customHeight="1">
      <c r="A120" s="515"/>
      <c r="B120" s="450" t="s">
        <v>995</v>
      </c>
      <c r="C120" s="3">
        <f>+$C$118+$G$119</f>
        <v>33189.75</v>
      </c>
      <c r="D120" s="83"/>
      <c r="E120" s="4"/>
      <c r="F120" s="4">
        <v>0</v>
      </c>
      <c r="G120" s="6"/>
      <c r="H120" s="449" t="s">
        <v>171</v>
      </c>
      <c r="I120" s="4"/>
      <c r="J120" s="3"/>
      <c r="K120" s="449"/>
      <c r="L120" s="449" t="s">
        <v>153</v>
      </c>
      <c r="M120" s="449" t="str">
        <f>IF(L120="","",
IF(AX120="PT",VLOOKUP(L120,Foundation_Calc!$V$79:$X$113,VLOOKUP(AX120,Foundation_Calc!$I$10:$J$13,2,FALSE),0),
IF(AX120="K",VLOOKUP(L120,Foundation_Calc!$V$117:$X$151,VLOOKUP(AX120,Foundation_Calc!$I$10:$J$13,2,FALSE),0),"")))</f>
        <v>C3R</v>
      </c>
      <c r="N120" s="449" t="s">
        <v>124</v>
      </c>
      <c r="O120" s="449"/>
      <c r="P120" s="449"/>
      <c r="Q120" s="4"/>
      <c r="R120" s="6"/>
      <c r="S120" s="6"/>
      <c r="T120" s="4">
        <v>-35</v>
      </c>
      <c r="U120" s="4"/>
      <c r="V120" s="4"/>
      <c r="W120" s="9">
        <v>1.4</v>
      </c>
      <c r="X120" s="9"/>
      <c r="Y120" s="9"/>
      <c r="Z120" s="9"/>
      <c r="AA120" s="9"/>
      <c r="AB120" s="9"/>
      <c r="AC120" s="449" t="str">
        <f t="shared" si="15"/>
        <v>PHQ</v>
      </c>
      <c r="AD120" s="449"/>
      <c r="AE120" s="449"/>
      <c r="AF120" s="4"/>
      <c r="AG120" s="83"/>
      <c r="AH120" s="4"/>
      <c r="AI120" s="4"/>
      <c r="AJ120" s="449"/>
      <c r="AK120" s="449"/>
      <c r="AL120" s="449"/>
      <c r="AM120" s="449" t="s">
        <v>126</v>
      </c>
      <c r="AN120" s="10">
        <v>5.5</v>
      </c>
      <c r="AO120" s="9"/>
      <c r="AP120" s="9"/>
      <c r="AQ120" s="9"/>
      <c r="AR120" s="9"/>
      <c r="AS120" s="9"/>
      <c r="AT120" s="9">
        <f>+ab($T$120,$T$118,$T$122,$G$119,$G$121, 1*$F$120,1200)</f>
        <v>-7.495600280563588</v>
      </c>
      <c r="AU120" s="428"/>
      <c r="AV120" s="428"/>
      <c r="AW120" s="449" t="str">
        <f>IF(C120&gt;0,VLOOKUP(C120,Foundation_Calc!$A$2:$C$13,3,1),
IF(J120&gt;0,VLOOKUP(J120,Foundation_Calc!$A$2:$C$13,3,1),""))</f>
        <v>Multi Soil</v>
      </c>
      <c r="AX120" s="449" t="str">
        <f>IF(C120&gt;0,VLOOKUP(C120,Foundation_Calc!$E$35:$G$65,3,1),
IF(J120&gt;0,VLOOKUP(J120,Foundation_Calc!$E$35:$G$65,3,1),""))</f>
        <v>PT</v>
      </c>
      <c r="AY120" s="10">
        <f>IF(L120="","",
IF(AX120="PT",VLOOKUP(L120,Foundation_Calc!$K$79:$R$113,VLOOKUP(AW120,Foundation_Calc!$I$2:$J$8,2,FALSE),0),
IF(AX120="K",VLOOKUP(L120,Foundation_Calc!$K$117:$R$151,VLOOKUP(AW120,Foundation_Calc!$I$2:$J$8,2,FALSE),0),"")))</f>
        <v>3.5</v>
      </c>
      <c r="AZ120" s="10" t="str">
        <f>IF(K120="","",
IF(AX120="PT",VLOOKUP(K120,Foundation_Calc!$K$79:$R$113,VLOOKUP(AW120,Foundation_Calc!$I$2:$J$8,2,FALSE),0),
IF(AX120="K",VLOOKUP(K120,Foundation_Calc!$K$117:$R$151,VLOOKUP(AW120,Foundation_Calc!$I$2:$J$8,2,FALSE),0),"")))</f>
        <v/>
      </c>
      <c r="BA120" s="495" t="str">
        <f t="shared" si="16"/>
        <v>ü</v>
      </c>
      <c r="BB120" s="495" t="str">
        <f t="shared" si="17"/>
        <v/>
      </c>
      <c r="BC120" s="495" t="str">
        <f t="shared" si="18"/>
        <v/>
      </c>
      <c r="BD120" s="513" t="str">
        <f>IF(AND(L120="",H120=""),"",
IF(H120="",Pole_Calc!A$9,
IF(H120="MP",Pole_Calc!A$10,
IF(H120="AnMP",Pole_Calc!A$11,
IF(H120="A",Pole_Calc!A$12,
IF(H120="S/A",Pole_Calc!A$13,
IF(H120="A/S",Pole_Calc!A$14,"Poner a mano")))))))</f>
        <v>App.7-V11I-P9.5.1.2</v>
      </c>
      <c r="BE120" s="429" t="s">
        <v>118</v>
      </c>
      <c r="BF120" s="289"/>
      <c r="BG120" s="289"/>
      <c r="BH120" s="290"/>
      <c r="BI120" s="289"/>
    </row>
    <row r="121" spans="1:61" ht="16.149999999999999" customHeight="1">
      <c r="A121" s="515"/>
      <c r="B121" s="450"/>
      <c r="C121" s="3"/>
      <c r="D121" s="83"/>
      <c r="E121" s="4"/>
      <c r="F121" s="4"/>
      <c r="G121" s="6">
        <v>55</v>
      </c>
      <c r="H121" s="449"/>
      <c r="I121" s="4">
        <f>SUM(G121:G141)</f>
        <v>650</v>
      </c>
      <c r="J121" s="3"/>
      <c r="K121" s="449"/>
      <c r="L121" s="449"/>
      <c r="M121" s="449" t="str">
        <f>IF(L121="","",
IF(AX121="PT",VLOOKUP(L121,Foundation_Calc!$V$79:$X$113,VLOOKUP(AX121,Foundation_Calc!$I$10:$J$13,2,FALSE),0),
IF(AX121="K",VLOOKUP(L121,Foundation_Calc!$V$117:$X$151,VLOOKUP(AX121,Foundation_Calc!$I$10:$J$13,2,FALSE),0),"")))</f>
        <v/>
      </c>
      <c r="N121" s="449"/>
      <c r="O121" s="449"/>
      <c r="P121" s="449"/>
      <c r="Q121" s="4"/>
      <c r="R121" s="6"/>
      <c r="S121" s="6"/>
      <c r="T121" s="4"/>
      <c r="U121" s="4"/>
      <c r="V121" s="4"/>
      <c r="W121" s="9"/>
      <c r="X121" s="9"/>
      <c r="Y121" s="9"/>
      <c r="Z121" s="9"/>
      <c r="AA121" s="9"/>
      <c r="AB121" s="9"/>
      <c r="AC121" s="449" t="str">
        <f t="shared" si="15"/>
        <v/>
      </c>
      <c r="AD121" s="449"/>
      <c r="AE121" s="449"/>
      <c r="AF121" s="4"/>
      <c r="AG121" s="83"/>
      <c r="AH121" s="4"/>
      <c r="AI121" s="4"/>
      <c r="AJ121" s="449"/>
      <c r="AK121" s="449"/>
      <c r="AL121" s="449"/>
      <c r="AM121" s="449"/>
      <c r="AN121" s="10"/>
      <c r="AO121" s="9"/>
      <c r="AP121" s="9"/>
      <c r="AQ121" s="9">
        <f>+FL_2($T$122,$T$120,$G$121,1200,9.28, 1*$F$122)</f>
        <v>-0.39714735709090898</v>
      </c>
      <c r="AR121" s="9"/>
      <c r="AS121" s="9"/>
      <c r="AT121" s="9"/>
      <c r="AU121" s="428"/>
      <c r="AV121" s="428"/>
      <c r="AW121" s="449" t="str">
        <f>IF(C121&gt;0,VLOOKUP(C121,Foundation_Calc!$A$2:$C$13,3,1),
IF(J121&gt;0,VLOOKUP(J121,Foundation_Calc!$A$2:$C$13,3,1),""))</f>
        <v/>
      </c>
      <c r="AX121" s="449" t="str">
        <f>IF(C121&gt;0,VLOOKUP(C121,Foundation_Calc!$E$35:$G$65,3,1),
IF(J121&gt;0,VLOOKUP(J121,Foundation_Calc!$E$35:$G$65,3,1),""))</f>
        <v/>
      </c>
      <c r="AY121" s="10" t="str">
        <f>IF(L121="","",
IF(AX121="PT",VLOOKUP(L121,Foundation_Calc!$K$79:$R$113,VLOOKUP(AW121,Foundation_Calc!$I$2:$J$8,2,FALSE),0),
IF(AX121="K",VLOOKUP(L121,Foundation_Calc!$K$117:$R$151,VLOOKUP(AW121,Foundation_Calc!$I$2:$J$8,2,FALSE),0),"")))</f>
        <v/>
      </c>
      <c r="AZ121" s="10" t="str">
        <f>IF(K121="","",
IF(AX121="PT",VLOOKUP(K121,Foundation_Calc!$K$79:$R$113,VLOOKUP(AW121,Foundation_Calc!$I$2:$J$8,2,FALSE),0),
IF(AX121="K",VLOOKUP(K121,Foundation_Calc!$K$117:$R$151,VLOOKUP(AW121,Foundation_Calc!$I$2:$J$8,2,FALSE),0),"")))</f>
        <v/>
      </c>
      <c r="BA121" s="495" t="str">
        <f t="shared" si="16"/>
        <v/>
      </c>
      <c r="BB121" s="495" t="str">
        <f t="shared" si="17"/>
        <v/>
      </c>
      <c r="BC121" s="495" t="str">
        <f t="shared" si="18"/>
        <v/>
      </c>
      <c r="BD121" s="513" t="str">
        <f>IF(AND(L121="",H121=""),"",
IF(H121="",Pole_Calc!A$9,
IF(H121="MP",Pole_Calc!A$10,
IF(H121="AnMP",Pole_Calc!A$11,
IF(H121="A",Pole_Calc!A$12,
IF(H121="S/A",Pole_Calc!A$13,
IF(H121="A/S",Pole_Calc!A$14,"Poner a mano")))))))</f>
        <v/>
      </c>
      <c r="BE121" s="429" t="s">
        <v>118</v>
      </c>
      <c r="BF121" s="290"/>
      <c r="BG121" s="290"/>
      <c r="BH121" s="290"/>
      <c r="BI121" s="290"/>
    </row>
    <row r="122" spans="1:61" ht="16.149999999999999" customHeight="1">
      <c r="A122" s="514"/>
      <c r="B122" s="450" t="s">
        <v>996</v>
      </c>
      <c r="C122" s="3">
        <f>+$C$120+$G$121</f>
        <v>33244.75</v>
      </c>
      <c r="D122" s="83"/>
      <c r="E122" s="4"/>
      <c r="F122" s="4">
        <v>0</v>
      </c>
      <c r="G122" s="6"/>
      <c r="H122" s="449" t="s">
        <v>168</v>
      </c>
      <c r="I122" s="4"/>
      <c r="J122" s="3"/>
      <c r="K122" s="449"/>
      <c r="L122" s="449" t="s">
        <v>158</v>
      </c>
      <c r="M122" s="449" t="str">
        <f>IF(L122="","",
IF(AX122="PT",VLOOKUP(L122,Foundation_Calc!$V$79:$X$113,VLOOKUP(AX122,Foundation_Calc!$I$10:$J$13,2,FALSE),0),
IF(AX122="K",VLOOKUP(L122,Foundation_Calc!$V$117:$X$151,VLOOKUP(AX122,Foundation_Calc!$I$10:$J$13,2,FALSE),0),"")))</f>
        <v>C4R</v>
      </c>
      <c r="N122" s="449" t="s">
        <v>134</v>
      </c>
      <c r="O122" s="449"/>
      <c r="P122" s="449"/>
      <c r="Q122" s="4"/>
      <c r="R122" s="6"/>
      <c r="S122" s="6"/>
      <c r="T122" s="4">
        <v>35</v>
      </c>
      <c r="U122" s="4"/>
      <c r="V122" s="4"/>
      <c r="W122" s="9">
        <v>1.4</v>
      </c>
      <c r="X122" s="9"/>
      <c r="Y122" s="9"/>
      <c r="Z122" s="9"/>
      <c r="AA122" s="9"/>
      <c r="AB122" s="9"/>
      <c r="AC122" s="449" t="str">
        <f t="shared" si="15"/>
        <v>PHQ</v>
      </c>
      <c r="AD122" s="449"/>
      <c r="AE122" s="449"/>
      <c r="AF122" s="4"/>
      <c r="AG122" s="83"/>
      <c r="AH122" s="4"/>
      <c r="AI122" s="4"/>
      <c r="AJ122" s="449"/>
      <c r="AK122" s="449"/>
      <c r="AL122" s="449"/>
      <c r="AM122" s="449" t="s">
        <v>126</v>
      </c>
      <c r="AN122" s="10">
        <v>5.5</v>
      </c>
      <c r="AO122" s="9"/>
      <c r="AP122" s="9"/>
      <c r="AQ122" s="9"/>
      <c r="AR122" s="9"/>
      <c r="AS122" s="9"/>
      <c r="AT122" s="9">
        <f>+ab($T$122,$T$120,$T$124,$G$121,$G$123, 1*$F$122,1200)</f>
        <v>7.4955682572493121</v>
      </c>
      <c r="AU122" s="428"/>
      <c r="AV122" s="428"/>
      <c r="AW122" s="449" t="str">
        <f>IF(C122&gt;0,VLOOKUP(C122,Foundation_Calc!$A$2:$C$13,3,1),
IF(J122&gt;0,VLOOKUP(J122,Foundation_Calc!$A$2:$C$13,3,1),""))</f>
        <v>Multi Soil</v>
      </c>
      <c r="AX122" s="449" t="str">
        <f>IF(C122&gt;0,VLOOKUP(C122,Foundation_Calc!$E$35:$G$65,3,1),
IF(J122&gt;0,VLOOKUP(J122,Foundation_Calc!$E$35:$G$65,3,1),""))</f>
        <v>PT</v>
      </c>
      <c r="AY122" s="10">
        <f>IF(L122="","",
IF(AX122="PT",VLOOKUP(L122,Foundation_Calc!$K$79:$R$113,VLOOKUP(AW122,Foundation_Calc!$I$2:$J$8,2,FALSE),0),
IF(AX122="K",VLOOKUP(L122,Foundation_Calc!$K$117:$R$151,VLOOKUP(AW122,Foundation_Calc!$I$2:$J$8,2,FALSE),0),"")))</f>
        <v>3.5</v>
      </c>
      <c r="AZ122" s="10" t="str">
        <f>IF(K122="","",
IF(AX122="PT",VLOOKUP(K122,Foundation_Calc!$K$79:$R$113,VLOOKUP(AW122,Foundation_Calc!$I$2:$J$8,2,FALSE),0),
IF(AX122="K",VLOOKUP(K122,Foundation_Calc!$K$117:$R$151,VLOOKUP(AW122,Foundation_Calc!$I$2:$J$8,2,FALSE),0),"")))</f>
        <v/>
      </c>
      <c r="BA122" s="495" t="str">
        <f t="shared" si="16"/>
        <v>ü</v>
      </c>
      <c r="BB122" s="495" t="str">
        <f t="shared" si="17"/>
        <v/>
      </c>
      <c r="BC122" s="495" t="str">
        <f t="shared" si="18"/>
        <v/>
      </c>
      <c r="BD122" s="513" t="str">
        <f>IF(AND(L122="",H122=""),"",
IF(H122="",Pole_Calc!A$9,
IF(H122="MP",Pole_Calc!A$10,
IF(H122="AnMP",Pole_Calc!A$11,
IF(H122="A",Pole_Calc!A$12,
IF(H122="S/A",Pole_Calc!A$13,
IF(H122="A/S",Pole_Calc!A$14,"Poner a mano")))))))</f>
        <v>App.7-V11I-P9.5.1.3</v>
      </c>
      <c r="BE122" s="429" t="s">
        <v>118</v>
      </c>
      <c r="BF122" s="289"/>
      <c r="BG122" s="289"/>
      <c r="BH122" s="290"/>
      <c r="BI122" s="289"/>
    </row>
    <row r="123" spans="1:61" ht="16.149999999999999" customHeight="1">
      <c r="A123" s="514"/>
      <c r="B123" s="450"/>
      <c r="C123" s="3"/>
      <c r="D123" s="83"/>
      <c r="E123" s="4"/>
      <c r="F123" s="4"/>
      <c r="G123" s="6">
        <v>55</v>
      </c>
      <c r="H123" s="449"/>
      <c r="I123" s="4"/>
      <c r="J123" s="3">
        <v>33252.25</v>
      </c>
      <c r="K123" s="449" t="s">
        <v>166</v>
      </c>
      <c r="L123" s="541"/>
      <c r="M123" s="449" t="str">
        <f>IF(L123="","",
IF(AX123="PT",VLOOKUP(L123,Foundation_Calc!$V$79:$X$113,VLOOKUP(AX123,Foundation_Calc!$I$10:$J$13,2,FALSE),0),
IF(AX123="K",VLOOKUP(L123,Foundation_Calc!$V$117:$X$151,VLOOKUP(AX123,Foundation_Calc!$I$10:$J$13,2,FALSE),0),"")))</f>
        <v/>
      </c>
      <c r="N123" s="449"/>
      <c r="O123" s="449"/>
      <c r="P123" s="449"/>
      <c r="Q123" s="4"/>
      <c r="R123" s="6"/>
      <c r="S123" s="6"/>
      <c r="T123" s="4"/>
      <c r="U123" s="4"/>
      <c r="V123" s="4"/>
      <c r="W123" s="9"/>
      <c r="X123" s="9"/>
      <c r="Y123" s="9"/>
      <c r="Z123" s="9"/>
      <c r="AA123" s="9"/>
      <c r="AB123" s="9"/>
      <c r="AC123" s="449" t="str">
        <f t="shared" si="15"/>
        <v/>
      </c>
      <c r="AD123" s="449"/>
      <c r="AE123" s="449"/>
      <c r="AF123" s="4"/>
      <c r="AG123" s="83"/>
      <c r="AH123" s="4"/>
      <c r="AI123" s="4"/>
      <c r="AJ123" s="449"/>
      <c r="AK123" s="449"/>
      <c r="AL123" s="449"/>
      <c r="AM123" s="449"/>
      <c r="AN123" s="10"/>
      <c r="AO123" s="9"/>
      <c r="AP123" s="9"/>
      <c r="AQ123" s="9">
        <f>+FL_1($T$124,$T$122,$G$123,1200,9.28, 1*$F$124)</f>
        <v>0.39714735709090898</v>
      </c>
      <c r="AR123" s="9"/>
      <c r="AS123" s="9"/>
      <c r="AT123" s="9"/>
      <c r="AU123" s="428"/>
      <c r="AV123" s="428"/>
      <c r="AW123" s="449" t="str">
        <f>IF(C123&gt;0,VLOOKUP(C123,Foundation_Calc!$A$2:$C$13,3,1),
IF(J123&gt;0,VLOOKUP(J123,Foundation_Calc!$A$2:$C$13,3,1),""))</f>
        <v>Multi Soil</v>
      </c>
      <c r="AX123" s="449" t="str">
        <f>IF(C123&gt;0,VLOOKUP(C123,Foundation_Calc!$E$35:$G$65,3,1),
IF(J123&gt;0,VLOOKUP(J123,Foundation_Calc!$E$35:$G$65,3,1),""))</f>
        <v>PT</v>
      </c>
      <c r="AY123" s="10" t="str">
        <f>IF(L123="","",
IF(AX123="PT",VLOOKUP(L123,Foundation_Calc!$K$79:$R$113,VLOOKUP(AW123,Foundation_Calc!$I$2:$J$8,2,FALSE),0),
IF(AX123="K",VLOOKUP(L123,Foundation_Calc!$K$117:$R$151,VLOOKUP(AW123,Foundation_Calc!$I$2:$J$8,2,FALSE),0),"")))</f>
        <v/>
      </c>
      <c r="AZ123" s="10">
        <f>IF(K123="","",
IF(AX123="PT",VLOOKUP(K123,Foundation_Calc!$K$79:$R$113,VLOOKUP(AW123,Foundation_Calc!$I$2:$J$8,2,FALSE),0),
IF(AX123="K",VLOOKUP(K123,Foundation_Calc!$K$117:$R$151,VLOOKUP(AW123,Foundation_Calc!$I$2:$J$8,2,FALSE),0),"")))</f>
        <v>2.8</v>
      </c>
      <c r="BA123" s="495" t="str">
        <f t="shared" si="16"/>
        <v/>
      </c>
      <c r="BB123" s="495" t="str">
        <f t="shared" si="17"/>
        <v>ü</v>
      </c>
      <c r="BC123" s="495" t="str">
        <f t="shared" si="18"/>
        <v/>
      </c>
      <c r="BD123" s="513" t="str">
        <f>IF(AND(L123="",H123=""),"",
IF(H123="",Pole_Calc!A$9,
IF(H123="MP",Pole_Calc!A$10,
IF(H123="AnMP",Pole_Calc!A$11,
IF(H123="A",Pole_Calc!A$12,
IF(H123="S/A",Pole_Calc!A$13,
IF(H123="A/S",Pole_Calc!A$14,"Poner a mano")))))))</f>
        <v/>
      </c>
      <c r="BE123" s="429" t="s">
        <v>118</v>
      </c>
      <c r="BF123" s="290"/>
      <c r="BG123" s="290"/>
      <c r="BH123" s="290"/>
      <c r="BI123" s="290"/>
    </row>
    <row r="124" spans="1:61" ht="16.149999999999999" customHeight="1">
      <c r="A124" s="514"/>
      <c r="B124" s="450" t="s">
        <v>997</v>
      </c>
      <c r="C124" s="3">
        <f>+$C$122+$G$123</f>
        <v>33299.75</v>
      </c>
      <c r="D124" s="83"/>
      <c r="E124" s="4"/>
      <c r="F124" s="4">
        <v>0</v>
      </c>
      <c r="G124" s="6"/>
      <c r="H124" s="449"/>
      <c r="I124" s="4"/>
      <c r="J124" s="3"/>
      <c r="K124" s="449"/>
      <c r="L124" s="449" t="s">
        <v>153</v>
      </c>
      <c r="M124" s="449" t="str">
        <f>IF(L124="","",
IF(AX124="PT",VLOOKUP(L124,Foundation_Calc!$V$79:$X$113,VLOOKUP(AX124,Foundation_Calc!$I$10:$J$13,2,FALSE),0),
IF(AX124="K",VLOOKUP(L124,Foundation_Calc!$V$117:$X$151,VLOOKUP(AX124,Foundation_Calc!$I$10:$J$13,2,FALSE),0),"")))</f>
        <v>C3R</v>
      </c>
      <c r="N124" s="449" t="s">
        <v>124</v>
      </c>
      <c r="O124" s="449"/>
      <c r="P124" s="449"/>
      <c r="Q124" s="4"/>
      <c r="R124" s="6"/>
      <c r="S124" s="6"/>
      <c r="T124" s="4">
        <v>-35</v>
      </c>
      <c r="U124" s="4"/>
      <c r="V124" s="4"/>
      <c r="W124" s="9">
        <v>1.4</v>
      </c>
      <c r="X124" s="9"/>
      <c r="Y124" s="9"/>
      <c r="Z124" s="9"/>
      <c r="AA124" s="9"/>
      <c r="AB124" s="9"/>
      <c r="AC124" s="449" t="str">
        <f t="shared" si="15"/>
        <v>PHQ</v>
      </c>
      <c r="AD124" s="449"/>
      <c r="AE124" s="449"/>
      <c r="AF124" s="4"/>
      <c r="AG124" s="83"/>
      <c r="AH124" s="4"/>
      <c r="AI124" s="4"/>
      <c r="AJ124" s="449"/>
      <c r="AK124" s="449"/>
      <c r="AL124" s="449"/>
      <c r="AM124" s="449" t="s">
        <v>126</v>
      </c>
      <c r="AN124" s="10">
        <v>5.5</v>
      </c>
      <c r="AO124" s="9"/>
      <c r="AP124" s="9"/>
      <c r="AQ124" s="9"/>
      <c r="AR124" s="9"/>
      <c r="AS124" s="9"/>
      <c r="AT124" s="9">
        <f>+ab($T$124,$T$122,$T$126,$G$123,$G$125, 1*$F$124,1200)</f>
        <v>-7.8175501667728815</v>
      </c>
      <c r="AU124" s="428"/>
      <c r="AV124" s="428"/>
      <c r="AW124" s="449" t="str">
        <f>IF(C124&gt;0,VLOOKUP(C124,Foundation_Calc!$A$2:$C$13,3,1),
IF(J124&gt;0,VLOOKUP(J124,Foundation_Calc!$A$2:$C$13,3,1),""))</f>
        <v>Multi Soil</v>
      </c>
      <c r="AX124" s="449" t="str">
        <f>IF(C124&gt;0,VLOOKUP(C124,Foundation_Calc!$E$35:$G$65,3,1),
IF(J124&gt;0,VLOOKUP(J124,Foundation_Calc!$E$35:$G$65,3,1),""))</f>
        <v>PT</v>
      </c>
      <c r="AY124" s="10">
        <f>IF(L124="","",
IF(AX124="PT",VLOOKUP(L124,Foundation_Calc!$K$79:$R$113,VLOOKUP(AW124,Foundation_Calc!$I$2:$J$8,2,FALSE),0),
IF(AX124="K",VLOOKUP(L124,Foundation_Calc!$K$117:$R$151,VLOOKUP(AW124,Foundation_Calc!$I$2:$J$8,2,FALSE),0),"")))</f>
        <v>3.5</v>
      </c>
      <c r="AZ124" s="10" t="str">
        <f>IF(K124="","",
IF(AX124="PT",VLOOKUP(K124,Foundation_Calc!$K$79:$R$113,VLOOKUP(AW124,Foundation_Calc!$I$2:$J$8,2,FALSE),0),
IF(AX124="K",VLOOKUP(K124,Foundation_Calc!$K$117:$R$151,VLOOKUP(AW124,Foundation_Calc!$I$2:$J$8,2,FALSE),0),"")))</f>
        <v/>
      </c>
      <c r="BA124" s="495" t="str">
        <f t="shared" si="16"/>
        <v>ü</v>
      </c>
      <c r="BB124" s="495" t="str">
        <f t="shared" si="17"/>
        <v/>
      </c>
      <c r="BC124" s="495" t="str">
        <f t="shared" si="18"/>
        <v/>
      </c>
      <c r="BD124" s="513" t="str">
        <f>IF(AND(L124="",H124=""),"",
IF(H124="",Pole_Calc!A$9,
IF(H124="MP",Pole_Calc!A$10,
IF(H124="AnMP",Pole_Calc!A$11,
IF(H124="A",Pole_Calc!A$12,
IF(H124="S/A",Pole_Calc!A$13,
IF(H124="A/S",Pole_Calc!A$14,"Poner a mano")))))))</f>
        <v>App.7-V11I-P9.5.1.1</v>
      </c>
      <c r="BE124" s="429" t="s">
        <v>118</v>
      </c>
      <c r="BF124" s="289"/>
      <c r="BG124" s="289"/>
      <c r="BH124" s="290"/>
      <c r="BI124" s="289"/>
    </row>
    <row r="125" spans="1:61" ht="16.149999999999999" customHeight="1">
      <c r="A125" s="514"/>
      <c r="B125" s="450"/>
      <c r="C125" s="3"/>
      <c r="D125" s="83"/>
      <c r="E125" s="4"/>
      <c r="F125" s="4"/>
      <c r="G125" s="6">
        <v>60</v>
      </c>
      <c r="H125" s="449"/>
      <c r="I125" s="4"/>
      <c r="J125" s="3"/>
      <c r="K125" s="449"/>
      <c r="L125" s="541"/>
      <c r="M125" s="449" t="str">
        <f>IF(L125="","",
IF(AX125="PT",VLOOKUP(L125,Foundation_Calc!$V$79:$X$113,VLOOKUP(AX125,Foundation_Calc!$I$10:$J$13,2,FALSE),0),
IF(AX125="K",VLOOKUP(L125,Foundation_Calc!$V$117:$X$151,VLOOKUP(AX125,Foundation_Calc!$I$10:$J$13,2,FALSE),0),"")))</f>
        <v/>
      </c>
      <c r="N125" s="449"/>
      <c r="O125" s="449"/>
      <c r="P125" s="449"/>
      <c r="Q125" s="4"/>
      <c r="R125" s="6"/>
      <c r="S125" s="6"/>
      <c r="T125" s="4"/>
      <c r="U125" s="4"/>
      <c r="V125" s="4"/>
      <c r="W125" s="9"/>
      <c r="X125" s="9"/>
      <c r="Y125" s="9"/>
      <c r="Z125" s="9"/>
      <c r="AA125" s="9"/>
      <c r="AB125" s="9"/>
      <c r="AC125" s="449" t="str">
        <f t="shared" si="15"/>
        <v/>
      </c>
      <c r="AD125" s="449"/>
      <c r="AE125" s="449"/>
      <c r="AF125" s="4"/>
      <c r="AG125" s="83"/>
      <c r="AH125" s="4"/>
      <c r="AI125" s="4"/>
      <c r="AJ125" s="449"/>
      <c r="AK125" s="449"/>
      <c r="AL125" s="449"/>
      <c r="AM125" s="449"/>
      <c r="AN125" s="10"/>
      <c r="AO125" s="9"/>
      <c r="AP125" s="9"/>
      <c r="AQ125" s="9">
        <f>+FL_1($T$126,$T$124,$G$125,1200,9.28, 1*$F$126)</f>
        <v>0.43600286799999999</v>
      </c>
      <c r="AR125" s="9"/>
      <c r="AS125" s="9"/>
      <c r="AT125" s="9"/>
      <c r="AU125" s="428"/>
      <c r="AV125" s="428"/>
      <c r="AW125" s="449" t="str">
        <f>IF(C125&gt;0,VLOOKUP(C125,Foundation_Calc!$A$2:$C$13,3,1),
IF(J125&gt;0,VLOOKUP(J125,Foundation_Calc!$A$2:$C$13,3,1),""))</f>
        <v/>
      </c>
      <c r="AX125" s="449" t="str">
        <f>IF(C125&gt;0,VLOOKUP(C125,Foundation_Calc!$E$35:$G$65,3,1),
IF(J125&gt;0,VLOOKUP(J125,Foundation_Calc!$E$35:$G$65,3,1),""))</f>
        <v/>
      </c>
      <c r="AY125" s="10" t="str">
        <f>IF(L125="","",
IF(AX125="PT",VLOOKUP(L125,Foundation_Calc!$K$79:$R$113,VLOOKUP(AW125,Foundation_Calc!$I$2:$J$8,2,FALSE),0),
IF(AX125="K",VLOOKUP(L125,Foundation_Calc!$K$117:$R$151,VLOOKUP(AW125,Foundation_Calc!$I$2:$J$8,2,FALSE),0),"")))</f>
        <v/>
      </c>
      <c r="AZ125" s="10" t="str">
        <f>IF(K125="","",
IF(AX125="PT",VLOOKUP(K125,Foundation_Calc!$K$79:$R$113,VLOOKUP(AW125,Foundation_Calc!$I$2:$J$8,2,FALSE),0),
IF(AX125="K",VLOOKUP(K125,Foundation_Calc!$K$117:$R$151,VLOOKUP(AW125,Foundation_Calc!$I$2:$J$8,2,FALSE),0),"")))</f>
        <v/>
      </c>
      <c r="BA125" s="495" t="str">
        <f t="shared" si="16"/>
        <v/>
      </c>
      <c r="BB125" s="495" t="str">
        <f t="shared" si="17"/>
        <v/>
      </c>
      <c r="BC125" s="495" t="str">
        <f t="shared" si="18"/>
        <v/>
      </c>
      <c r="BD125" s="513" t="str">
        <f>IF(AND(L125="",H125=""),"",
IF(H125="",Pole_Calc!A$9,
IF(H125="MP",Pole_Calc!A$10,
IF(H125="AnMP",Pole_Calc!A$11,
IF(H125="A",Pole_Calc!A$12,
IF(H125="S/A",Pole_Calc!A$13,
IF(H125="A/S",Pole_Calc!A$14,"Poner a mano")))))))</f>
        <v/>
      </c>
      <c r="BE125" s="429" t="s">
        <v>118</v>
      </c>
      <c r="BF125" s="290"/>
      <c r="BG125" s="290"/>
      <c r="BH125" s="290"/>
      <c r="BI125" s="290"/>
    </row>
    <row r="126" spans="1:61" ht="16.149999999999999" customHeight="1">
      <c r="A126" s="514"/>
      <c r="B126" s="450" t="s">
        <v>998</v>
      </c>
      <c r="C126" s="3">
        <f>+$C$124+$G$125</f>
        <v>33359.75</v>
      </c>
      <c r="D126" s="83"/>
      <c r="E126" s="4"/>
      <c r="F126" s="4">
        <v>0</v>
      </c>
      <c r="G126" s="6"/>
      <c r="H126" s="449"/>
      <c r="I126" s="4"/>
      <c r="J126" s="3"/>
      <c r="K126" s="449"/>
      <c r="L126" s="449" t="s">
        <v>153</v>
      </c>
      <c r="M126" s="449" t="str">
        <f>IF(L126="","",
IF(AX126="PT",VLOOKUP(L126,Foundation_Calc!$V$79:$X$113,VLOOKUP(AX126,Foundation_Calc!$I$10:$J$13,2,FALSE),0),
IF(AX126="K",VLOOKUP(L126,Foundation_Calc!$V$117:$X$151,VLOOKUP(AX126,Foundation_Calc!$I$10:$J$13,2,FALSE),0),"")))</f>
        <v>C3R</v>
      </c>
      <c r="N126" s="449" t="s">
        <v>134</v>
      </c>
      <c r="O126" s="449"/>
      <c r="P126" s="449"/>
      <c r="Q126" s="4"/>
      <c r="R126" s="6"/>
      <c r="S126" s="6"/>
      <c r="T126" s="4">
        <v>35</v>
      </c>
      <c r="U126" s="4"/>
      <c r="V126" s="4"/>
      <c r="W126" s="9">
        <v>1.4</v>
      </c>
      <c r="X126" s="9"/>
      <c r="Y126" s="9"/>
      <c r="Z126" s="9"/>
      <c r="AA126" s="9"/>
      <c r="AB126" s="9"/>
      <c r="AC126" s="449" t="str">
        <f t="shared" si="15"/>
        <v>PH</v>
      </c>
      <c r="AD126" s="449"/>
      <c r="AE126" s="449"/>
      <c r="AF126" s="4"/>
      <c r="AG126" s="83"/>
      <c r="AH126" s="4"/>
      <c r="AI126" s="4"/>
      <c r="AJ126" s="449"/>
      <c r="AK126" s="449"/>
      <c r="AL126" s="449"/>
      <c r="AM126" s="449" t="s">
        <v>126</v>
      </c>
      <c r="AN126" s="10">
        <v>5.5</v>
      </c>
      <c r="AO126" s="9"/>
      <c r="AP126" s="9"/>
      <c r="AQ126" s="9"/>
      <c r="AR126" s="9"/>
      <c r="AS126" s="9"/>
      <c r="AT126" s="9">
        <f>+ab($T$126,$T$124,$T$128,$G$125,$G$127, 1*$F$126,1200)</f>
        <v>8.1681606014296726</v>
      </c>
      <c r="AU126" s="428"/>
      <c r="AV126" s="428"/>
      <c r="AW126" s="449" t="str">
        <f>IF(C126&gt;0,VLOOKUP(C126,Foundation_Calc!$A$2:$C$13,3,1),
IF(J126&gt;0,VLOOKUP(J126,Foundation_Calc!$A$2:$C$13,3,1),""))</f>
        <v>Multi Soil</v>
      </c>
      <c r="AX126" s="449" t="str">
        <f>IF(C126&gt;0,VLOOKUP(C126,Foundation_Calc!$E$35:$G$65,3,1),
IF(J126&gt;0,VLOOKUP(J126,Foundation_Calc!$E$35:$G$65,3,1),""))</f>
        <v>PT</v>
      </c>
      <c r="AY126" s="10">
        <f>IF(L126="","",
IF(AX126="PT",VLOOKUP(L126,Foundation_Calc!$K$79:$R$113,VLOOKUP(AW126,Foundation_Calc!$I$2:$J$8,2,FALSE),0),
IF(AX126="K",VLOOKUP(L126,Foundation_Calc!$K$117:$R$151,VLOOKUP(AW126,Foundation_Calc!$I$2:$J$8,2,FALSE),0),"")))</f>
        <v>3.5</v>
      </c>
      <c r="AZ126" s="10" t="str">
        <f>IF(K126="","",
IF(AX126="PT",VLOOKUP(K126,Foundation_Calc!$K$79:$R$113,VLOOKUP(AW126,Foundation_Calc!$I$2:$J$8,2,FALSE),0),
IF(AX126="K",VLOOKUP(K126,Foundation_Calc!$K$117:$R$151,VLOOKUP(AW126,Foundation_Calc!$I$2:$J$8,2,FALSE),0),"")))</f>
        <v/>
      </c>
      <c r="BA126" s="495" t="str">
        <f t="shared" si="16"/>
        <v>ü</v>
      </c>
      <c r="BB126" s="495" t="str">
        <f t="shared" si="17"/>
        <v/>
      </c>
      <c r="BC126" s="495" t="str">
        <f t="shared" si="18"/>
        <v/>
      </c>
      <c r="BD126" s="513" t="str">
        <f>IF(AND(L126="",H126=""),"",
IF(H126="",Pole_Calc!A$9,
IF(H126="MP",Pole_Calc!A$10,
IF(H126="AnMP",Pole_Calc!A$11,
IF(H126="A",Pole_Calc!A$12,
IF(H126="S/A",Pole_Calc!A$13,
IF(H126="A/S",Pole_Calc!A$14,"Poner a mano")))))))</f>
        <v>App.7-V11I-P9.5.1.1</v>
      </c>
      <c r="BE126" s="429" t="s">
        <v>118</v>
      </c>
      <c r="BF126" s="289"/>
      <c r="BG126" s="289"/>
      <c r="BH126" s="290"/>
      <c r="BI126" s="289"/>
    </row>
    <row r="127" spans="1:61" ht="16.149999999999999" customHeight="1">
      <c r="A127" s="514"/>
      <c r="B127" s="450"/>
      <c r="C127" s="3"/>
      <c r="D127" s="83"/>
      <c r="E127" s="4"/>
      <c r="F127" s="4"/>
      <c r="G127" s="6">
        <v>60</v>
      </c>
      <c r="H127" s="449"/>
      <c r="I127" s="4"/>
      <c r="J127" s="3"/>
      <c r="K127" s="449"/>
      <c r="L127" s="541"/>
      <c r="M127" s="449" t="str">
        <f>IF(L127="","",
IF(AX127="PT",VLOOKUP(L127,Foundation_Calc!$V$79:$X$113,VLOOKUP(AX127,Foundation_Calc!$I$10:$J$13,2,FALSE),0),
IF(AX127="K",VLOOKUP(L127,Foundation_Calc!$V$117:$X$151,VLOOKUP(AX127,Foundation_Calc!$I$10:$J$13,2,FALSE),0),"")))</f>
        <v/>
      </c>
      <c r="N127" s="449"/>
      <c r="O127" s="449"/>
      <c r="P127" s="449"/>
      <c r="Q127" s="4"/>
      <c r="R127" s="6"/>
      <c r="S127" s="6"/>
      <c r="T127" s="4"/>
      <c r="U127" s="4"/>
      <c r="V127" s="4"/>
      <c r="W127" s="9"/>
      <c r="X127" s="9"/>
      <c r="Y127" s="9"/>
      <c r="Z127" s="9"/>
      <c r="AA127" s="9"/>
      <c r="AB127" s="9"/>
      <c r="AC127" s="449" t="str">
        <f t="shared" si="15"/>
        <v/>
      </c>
      <c r="AD127" s="449"/>
      <c r="AE127" s="449"/>
      <c r="AF127" s="4"/>
      <c r="AG127" s="83"/>
      <c r="AH127" s="4"/>
      <c r="AI127" s="4"/>
      <c r="AJ127" s="449"/>
      <c r="AK127" s="449"/>
      <c r="AL127" s="449"/>
      <c r="AM127" s="449"/>
      <c r="AN127" s="10"/>
      <c r="AO127" s="9"/>
      <c r="AP127" s="9"/>
      <c r="AQ127" s="9">
        <f>+FL_1($T$128,$T$126,$G$127,1200,9.28, 1*$F$128)</f>
        <v>0.43600286799999993</v>
      </c>
      <c r="AR127" s="9"/>
      <c r="AS127" s="9"/>
      <c r="AT127" s="9"/>
      <c r="AU127" s="428"/>
      <c r="AV127" s="428"/>
      <c r="AW127" s="449" t="str">
        <f>IF(C127&gt;0,VLOOKUP(C127,Foundation_Calc!$A$2:$C$13,3,1),
IF(J127&gt;0,VLOOKUP(J127,Foundation_Calc!$A$2:$C$13,3,1),""))</f>
        <v/>
      </c>
      <c r="AX127" s="449" t="str">
        <f>IF(C127&gt;0,VLOOKUP(C127,Foundation_Calc!$E$35:$G$65,3,1),
IF(J127&gt;0,VLOOKUP(J127,Foundation_Calc!$E$35:$G$65,3,1),""))</f>
        <v/>
      </c>
      <c r="AY127" s="10" t="str">
        <f>IF(L127="","",
IF(AX127="PT",VLOOKUP(L127,Foundation_Calc!$K$79:$R$113,VLOOKUP(AW127,Foundation_Calc!$I$2:$J$8,2,FALSE),0),
IF(AX127="K",VLOOKUP(L127,Foundation_Calc!$K$117:$R$151,VLOOKUP(AW127,Foundation_Calc!$I$2:$J$8,2,FALSE),0),"")))</f>
        <v/>
      </c>
      <c r="AZ127" s="10" t="str">
        <f>IF(K127="","",
IF(AX127="PT",VLOOKUP(K127,Foundation_Calc!$K$79:$R$113,VLOOKUP(AW127,Foundation_Calc!$I$2:$J$8,2,FALSE),0),
IF(AX127="K",VLOOKUP(K127,Foundation_Calc!$K$117:$R$151,VLOOKUP(AW127,Foundation_Calc!$I$2:$J$8,2,FALSE),0),"")))</f>
        <v/>
      </c>
      <c r="BA127" s="495" t="str">
        <f t="shared" si="16"/>
        <v/>
      </c>
      <c r="BB127" s="495" t="str">
        <f t="shared" si="17"/>
        <v/>
      </c>
      <c r="BC127" s="495" t="str">
        <f t="shared" si="18"/>
        <v/>
      </c>
      <c r="BD127" s="513" t="str">
        <f>IF(AND(L127="",H127=""),"",
IF(H127="",Pole_Calc!A$9,
IF(H127="MP",Pole_Calc!A$10,
IF(H127="AnMP",Pole_Calc!A$11,
IF(H127="A",Pole_Calc!A$12,
IF(H127="S/A",Pole_Calc!A$13,
IF(H127="A/S",Pole_Calc!A$14,"Poner a mano")))))))</f>
        <v/>
      </c>
      <c r="BE127" s="429" t="s">
        <v>118</v>
      </c>
      <c r="BF127" s="290"/>
      <c r="BG127" s="290"/>
      <c r="BH127" s="290"/>
      <c r="BI127" s="290"/>
    </row>
    <row r="128" spans="1:61" ht="16.149999999999999" customHeight="1">
      <c r="A128" s="514"/>
      <c r="B128" s="450" t="s">
        <v>999</v>
      </c>
      <c r="C128" s="3">
        <f>+$C$126+$G$127</f>
        <v>33419.75</v>
      </c>
      <c r="D128" s="83"/>
      <c r="E128" s="4"/>
      <c r="F128" s="4">
        <v>0</v>
      </c>
      <c r="G128" s="6"/>
      <c r="H128" s="449"/>
      <c r="I128" s="4"/>
      <c r="J128" s="3"/>
      <c r="K128" s="449"/>
      <c r="L128" s="449" t="s">
        <v>153</v>
      </c>
      <c r="M128" s="449" t="str">
        <f>IF(L128="","",
IF(AX128="PT",VLOOKUP(L128,Foundation_Calc!$V$79:$X$113,VLOOKUP(AX128,Foundation_Calc!$I$10:$J$13,2,FALSE),0),
IF(AX128="K",VLOOKUP(L128,Foundation_Calc!$V$117:$X$151,VLOOKUP(AX128,Foundation_Calc!$I$10:$J$13,2,FALSE),0),"")))</f>
        <v>C3R</v>
      </c>
      <c r="N128" s="449" t="s">
        <v>124</v>
      </c>
      <c r="O128" s="449"/>
      <c r="P128" s="449"/>
      <c r="Q128" s="4"/>
      <c r="R128" s="6"/>
      <c r="S128" s="6"/>
      <c r="T128" s="4">
        <v>-35</v>
      </c>
      <c r="U128" s="4"/>
      <c r="V128" s="4"/>
      <c r="W128" s="9">
        <v>1.4</v>
      </c>
      <c r="X128" s="9"/>
      <c r="Y128" s="9"/>
      <c r="Z128" s="9"/>
      <c r="AA128" s="9"/>
      <c r="AB128" s="9"/>
      <c r="AC128" s="449" t="str">
        <f t="shared" si="15"/>
        <v>PH</v>
      </c>
      <c r="AD128" s="449"/>
      <c r="AE128" s="449"/>
      <c r="AF128" s="4"/>
      <c r="AG128" s="83"/>
      <c r="AH128" s="4"/>
      <c r="AI128" s="4"/>
      <c r="AJ128" s="449"/>
      <c r="AK128" s="449"/>
      <c r="AL128" s="449"/>
      <c r="AM128" s="449" t="s">
        <v>126</v>
      </c>
      <c r="AN128" s="10">
        <v>5.5</v>
      </c>
      <c r="AO128" s="9"/>
      <c r="AP128" s="9"/>
      <c r="AQ128" s="9"/>
      <c r="AR128" s="9"/>
      <c r="AS128" s="9"/>
      <c r="AT128" s="9">
        <f>+ab($T$128,$T$126,$T$130,$G$127,$G$129, 1*$F$128,1200)</f>
        <v>-8.1682020423530854</v>
      </c>
      <c r="AU128" s="428"/>
      <c r="AV128" s="428"/>
      <c r="AW128" s="449" t="str">
        <f>IF(C128&gt;0,VLOOKUP(C128,Foundation_Calc!$A$2:$C$13,3,1),
IF(J128&gt;0,VLOOKUP(J128,Foundation_Calc!$A$2:$C$13,3,1),""))</f>
        <v>Multi Soil</v>
      </c>
      <c r="AX128" s="449" t="str">
        <f>IF(C128&gt;0,VLOOKUP(C128,Foundation_Calc!$E$35:$G$65,3,1),
IF(J128&gt;0,VLOOKUP(J128,Foundation_Calc!$E$35:$G$65,3,1),""))</f>
        <v>PT</v>
      </c>
      <c r="AY128" s="10">
        <f>IF(L128="","",
IF(AX128="PT",VLOOKUP(L128,Foundation_Calc!$K$79:$R$113,VLOOKUP(AW128,Foundation_Calc!$I$2:$J$8,2,FALSE),0),
IF(AX128="K",VLOOKUP(L128,Foundation_Calc!$K$117:$R$151,VLOOKUP(AW128,Foundation_Calc!$I$2:$J$8,2,FALSE),0),"")))</f>
        <v>3.5</v>
      </c>
      <c r="AZ128" s="10" t="str">
        <f>IF(K128="","",
IF(AX128="PT",VLOOKUP(K128,Foundation_Calc!$K$79:$R$113,VLOOKUP(AW128,Foundation_Calc!$I$2:$J$8,2,FALSE),0),
IF(AX128="K",VLOOKUP(K128,Foundation_Calc!$K$117:$R$151,VLOOKUP(AW128,Foundation_Calc!$I$2:$J$8,2,FALSE),0),"")))</f>
        <v/>
      </c>
      <c r="BA128" s="495" t="str">
        <f t="shared" si="16"/>
        <v>ü</v>
      </c>
      <c r="BB128" s="495" t="str">
        <f t="shared" si="17"/>
        <v/>
      </c>
      <c r="BC128" s="495" t="str">
        <f t="shared" si="18"/>
        <v/>
      </c>
      <c r="BD128" s="513" t="str">
        <f>IF(AND(L128="",H128=""),"",
IF(H128="",Pole_Calc!A$9,
IF(H128="MP",Pole_Calc!A$10,
IF(H128="AnMP",Pole_Calc!A$11,
IF(H128="A",Pole_Calc!A$12,
IF(H128="S/A",Pole_Calc!A$13,
IF(H128="A/S",Pole_Calc!A$14,"Poner a mano")))))))</f>
        <v>App.7-V11I-P9.5.1.1</v>
      </c>
      <c r="BE128" s="429" t="s">
        <v>118</v>
      </c>
      <c r="BF128" s="289"/>
      <c r="BG128" s="289"/>
      <c r="BH128" s="290"/>
      <c r="BI128" s="289"/>
    </row>
    <row r="129" spans="1:61" ht="16.149999999999999" customHeight="1">
      <c r="A129" s="514" t="s">
        <v>169</v>
      </c>
      <c r="B129" s="450"/>
      <c r="C129" s="3"/>
      <c r="D129" s="83"/>
      <c r="E129" s="4"/>
      <c r="F129" s="4"/>
      <c r="G129" s="6">
        <v>60</v>
      </c>
      <c r="H129" s="449"/>
      <c r="I129" s="4"/>
      <c r="J129" s="3"/>
      <c r="K129" s="449"/>
      <c r="L129" s="541"/>
      <c r="M129" s="449" t="str">
        <f>IF(L129="","",
IF(AX129="PT",VLOOKUP(L129,Foundation_Calc!$V$79:$X$113,VLOOKUP(AX129,Foundation_Calc!$I$10:$J$13,2,FALSE),0),
IF(AX129="K",VLOOKUP(L129,Foundation_Calc!$V$117:$X$151,VLOOKUP(AX129,Foundation_Calc!$I$10:$J$13,2,FALSE),0),"")))</f>
        <v/>
      </c>
      <c r="N129" s="449"/>
      <c r="O129" s="561"/>
      <c r="P129" s="449"/>
      <c r="Q129" s="4"/>
      <c r="R129" s="6"/>
      <c r="S129" s="6"/>
      <c r="T129" s="4"/>
      <c r="U129" s="4"/>
      <c r="V129" s="4"/>
      <c r="W129" s="9"/>
      <c r="X129" s="9"/>
      <c r="Y129" s="9"/>
      <c r="Z129" s="9"/>
      <c r="AA129" s="9"/>
      <c r="AB129" s="9"/>
      <c r="AC129" s="449" t="str">
        <f t="shared" si="15"/>
        <v/>
      </c>
      <c r="AD129" s="449"/>
      <c r="AE129" s="449"/>
      <c r="AF129" s="4"/>
      <c r="AG129" s="83"/>
      <c r="AH129" s="4"/>
      <c r="AI129" s="4"/>
      <c r="AJ129" s="449"/>
      <c r="AK129" s="449"/>
      <c r="AL129" s="449"/>
      <c r="AM129" s="449"/>
      <c r="AN129" s="10"/>
      <c r="AO129" s="9"/>
      <c r="AP129" s="9"/>
      <c r="AQ129" s="9">
        <f>+FL_1($T$130,$T$128,$G$129,1200,9.28, 1*$F$130)</f>
        <v>0.43600286799999999</v>
      </c>
      <c r="AR129" s="9"/>
      <c r="AS129" s="9"/>
      <c r="AT129" s="9"/>
      <c r="AU129" s="428"/>
      <c r="AV129" s="428"/>
      <c r="AW129" s="449" t="str">
        <f>IF(C129&gt;0,VLOOKUP(C129,Foundation_Calc!$A$2:$C$13,3,1),
IF(J129&gt;0,VLOOKUP(J129,Foundation_Calc!$A$2:$C$13,3,1),""))</f>
        <v/>
      </c>
      <c r="AX129" s="449" t="str">
        <f>IF(C129&gt;0,VLOOKUP(C129,Foundation_Calc!$E$35:$G$65,3,1),
IF(J129&gt;0,VLOOKUP(J129,Foundation_Calc!$E$35:$G$65,3,1),""))</f>
        <v/>
      </c>
      <c r="AY129" s="10" t="str">
        <f>IF(L129="","",
IF(AX129="PT",VLOOKUP(L129,Foundation_Calc!$K$79:$R$113,VLOOKUP(AW129,Foundation_Calc!$I$2:$J$8,2,FALSE),0),
IF(AX129="K",VLOOKUP(L129,Foundation_Calc!$K$117:$R$151,VLOOKUP(AW129,Foundation_Calc!$I$2:$J$8,2,FALSE),0),"")))</f>
        <v/>
      </c>
      <c r="AZ129" s="10" t="str">
        <f>IF(K129="","",
IF(AX129="PT",VLOOKUP(K129,Foundation_Calc!$K$79:$R$113,VLOOKUP(AW129,Foundation_Calc!$I$2:$J$8,2,FALSE),0),
IF(AX129="K",VLOOKUP(K129,Foundation_Calc!$K$117:$R$151,VLOOKUP(AW129,Foundation_Calc!$I$2:$J$8,2,FALSE),0),"")))</f>
        <v/>
      </c>
      <c r="BA129" s="495" t="str">
        <f t="shared" si="16"/>
        <v/>
      </c>
      <c r="BB129" s="495" t="str">
        <f t="shared" si="17"/>
        <v/>
      </c>
      <c r="BC129" s="495" t="str">
        <f t="shared" si="18"/>
        <v/>
      </c>
      <c r="BD129" s="513" t="str">
        <f>IF(AND(L129="",H129=""),"",
IF(H129="",Pole_Calc!A$9,
IF(H129="MP",Pole_Calc!A$10,
IF(H129="AnMP",Pole_Calc!A$11,
IF(H129="A",Pole_Calc!A$12,
IF(H129="S/A",Pole_Calc!A$13,
IF(H129="A/S",Pole_Calc!A$14,"Poner a mano")))))))</f>
        <v/>
      </c>
      <c r="BE129" s="429" t="s">
        <v>118</v>
      </c>
      <c r="BF129" s="290"/>
      <c r="BG129" s="290"/>
      <c r="BH129" s="290"/>
      <c r="BI129" s="290"/>
    </row>
    <row r="130" spans="1:61" ht="16.149999999999999" customHeight="1">
      <c r="A130" s="514"/>
      <c r="B130" s="450" t="s">
        <v>1000</v>
      </c>
      <c r="C130" s="3">
        <f>+$C$128+$G$129</f>
        <v>33479.75</v>
      </c>
      <c r="D130" s="83"/>
      <c r="E130" s="4"/>
      <c r="F130" s="4">
        <v>0</v>
      </c>
      <c r="G130" s="6"/>
      <c r="H130" s="449"/>
      <c r="I130" s="476"/>
      <c r="J130" s="3"/>
      <c r="K130" s="449"/>
      <c r="L130" s="449" t="s">
        <v>153</v>
      </c>
      <c r="M130" s="449" t="str">
        <f>IF(L130="","",
IF(AX130="PT",VLOOKUP(L130,Foundation_Calc!$V$79:$X$113,VLOOKUP(AX130,Foundation_Calc!$I$10:$J$13,2,FALSE),0),
IF(AX130="K",VLOOKUP(L130,Foundation_Calc!$V$117:$X$151,VLOOKUP(AX130,Foundation_Calc!$I$10:$J$13,2,FALSE),0),"")))</f>
        <v>C3R</v>
      </c>
      <c r="N130" s="449" t="s">
        <v>134</v>
      </c>
      <c r="O130" s="449"/>
      <c r="P130" s="449"/>
      <c r="Q130" s="4"/>
      <c r="R130" s="6"/>
      <c r="S130" s="6"/>
      <c r="T130" s="4">
        <v>35</v>
      </c>
      <c r="U130" s="4"/>
      <c r="V130" s="4"/>
      <c r="W130" s="9">
        <v>1.4</v>
      </c>
      <c r="X130" s="9"/>
      <c r="Y130" s="9"/>
      <c r="Z130" s="9"/>
      <c r="AA130" s="9"/>
      <c r="AB130" s="9"/>
      <c r="AC130" s="449" t="str">
        <f t="shared" si="15"/>
        <v>PH</v>
      </c>
      <c r="AD130" s="449"/>
      <c r="AE130" s="449"/>
      <c r="AF130" s="4"/>
      <c r="AG130" s="83"/>
      <c r="AH130" s="4"/>
      <c r="AI130" s="4"/>
      <c r="AJ130" s="449"/>
      <c r="AK130" s="449"/>
      <c r="AL130" s="449"/>
      <c r="AM130" s="449" t="s">
        <v>126</v>
      </c>
      <c r="AN130" s="10">
        <v>5.5</v>
      </c>
      <c r="AO130" s="9"/>
      <c r="AP130" s="9"/>
      <c r="AQ130" s="9"/>
      <c r="AR130" s="9"/>
      <c r="AS130" s="9"/>
      <c r="AT130" s="9">
        <f>+ab($T$130,$T$128,$T$132,$G$129,$G$131, 1*$F$130,1200)</f>
        <v>14.999048380501723</v>
      </c>
      <c r="AU130" s="428"/>
      <c r="AV130" s="428"/>
      <c r="AW130" s="449" t="str">
        <f>IF(C130&gt;0,VLOOKUP(C130,Foundation_Calc!$A$2:$C$13,3,1),
IF(J130&gt;0,VLOOKUP(J130,Foundation_Calc!$A$2:$C$13,3,1),""))</f>
        <v>Multi Soil</v>
      </c>
      <c r="AX130" s="449" t="str">
        <f>IF(C130&gt;0,VLOOKUP(C130,Foundation_Calc!$E$35:$G$65,3,1),
IF(J130&gt;0,VLOOKUP(J130,Foundation_Calc!$E$35:$G$65,3,1),""))</f>
        <v>PT</v>
      </c>
      <c r="AY130" s="10">
        <f>IF(L130="","",
IF(AX130="PT",VLOOKUP(L130,Foundation_Calc!$K$79:$R$113,VLOOKUP(AW130,Foundation_Calc!$I$2:$J$8,2,FALSE),0),
IF(AX130="K",VLOOKUP(L130,Foundation_Calc!$K$117:$R$151,VLOOKUP(AW130,Foundation_Calc!$I$2:$J$8,2,FALSE),0),"")))</f>
        <v>3.5</v>
      </c>
      <c r="AZ130" s="10" t="str">
        <f>IF(K130="","",
IF(AX130="PT",VLOOKUP(K130,Foundation_Calc!$K$79:$R$113,VLOOKUP(AW130,Foundation_Calc!$I$2:$J$8,2,FALSE),0),
IF(AX130="K",VLOOKUP(K130,Foundation_Calc!$K$117:$R$151,VLOOKUP(AW130,Foundation_Calc!$I$2:$J$8,2,FALSE),0),"")))</f>
        <v/>
      </c>
      <c r="BA130" s="495" t="str">
        <f t="shared" si="16"/>
        <v>ü</v>
      </c>
      <c r="BB130" s="495" t="str">
        <f t="shared" si="17"/>
        <v/>
      </c>
      <c r="BC130" s="495" t="str">
        <f t="shared" si="18"/>
        <v/>
      </c>
      <c r="BD130" s="513" t="str">
        <f>IF(AND(L130="",H130=""),"",
IF(H130="",Pole_Calc!A$9,
IF(H130="MP",Pole_Calc!A$10,
IF(H130="AnMP",Pole_Calc!A$11,
IF(H130="A",Pole_Calc!A$12,
IF(H130="S/A",Pole_Calc!A$13,
IF(H130="A/S",Pole_Calc!A$14,"Poner a mano")))))))</f>
        <v>App.7-V11I-P9.5.1.1</v>
      </c>
      <c r="BE130" s="429" t="s">
        <v>118</v>
      </c>
      <c r="BF130" s="289"/>
      <c r="BG130" s="289"/>
      <c r="BH130" s="290"/>
      <c r="BI130" s="289"/>
    </row>
    <row r="131" spans="1:61" ht="16.149999999999999" customHeight="1">
      <c r="A131" s="514"/>
      <c r="B131" s="450"/>
      <c r="C131" s="3"/>
      <c r="D131" s="83"/>
      <c r="E131" s="4"/>
      <c r="F131" s="4"/>
      <c r="G131" s="6">
        <v>60</v>
      </c>
      <c r="H131" s="449"/>
      <c r="I131" s="4"/>
      <c r="J131" s="3"/>
      <c r="K131" s="449"/>
      <c r="L131" s="541"/>
      <c r="M131" s="449" t="str">
        <f>IF(L131="","",
IF(AX131="PT",VLOOKUP(L131,Foundation_Calc!$V$79:$X$113,VLOOKUP(AX131,Foundation_Calc!$I$10:$J$13,2,FALSE),0),
IF(AX131="K",VLOOKUP(L131,Foundation_Calc!$V$117:$X$151,VLOOKUP(AX131,Foundation_Calc!$I$10:$J$13,2,FALSE),0),"")))</f>
        <v/>
      </c>
      <c r="N131" s="449"/>
      <c r="O131" s="561"/>
      <c r="P131" s="449"/>
      <c r="Q131" s="4"/>
      <c r="R131" s="6"/>
      <c r="S131" s="6"/>
      <c r="T131" s="4"/>
      <c r="U131" s="4"/>
      <c r="V131" s="4"/>
      <c r="W131" s="9"/>
      <c r="X131" s="9"/>
      <c r="Y131" s="9"/>
      <c r="Z131" s="9"/>
      <c r="AA131" s="9"/>
      <c r="AB131" s="9"/>
      <c r="AC131" s="449" t="str">
        <f t="shared" si="15"/>
        <v/>
      </c>
      <c r="AD131" s="449"/>
      <c r="AE131" s="449"/>
      <c r="AF131" s="4"/>
      <c r="AG131" s="83"/>
      <c r="AH131" s="4"/>
      <c r="AI131" s="4"/>
      <c r="AJ131" s="449"/>
      <c r="AK131" s="449"/>
      <c r="AL131" s="449"/>
      <c r="AM131" s="449"/>
      <c r="AN131" s="10"/>
      <c r="AO131" s="9"/>
      <c r="AP131" s="9"/>
      <c r="AQ131" s="9">
        <f>+FL_2($T$132,$T$130,$G$131,1200,9.28, 1*$F$132)</f>
        <v>-2.3448991999999995E-2</v>
      </c>
      <c r="AR131" s="9"/>
      <c r="AS131" s="9"/>
      <c r="AT131" s="9"/>
      <c r="AU131" s="428"/>
      <c r="AV131" s="428"/>
      <c r="AW131" s="449" t="str">
        <f>IF(C131&gt;0,VLOOKUP(C131,Foundation_Calc!$A$2:$C$13,3,1),
IF(J131&gt;0,VLOOKUP(J131,Foundation_Calc!$A$2:$C$13,3,1),""))</f>
        <v/>
      </c>
      <c r="AX131" s="449" t="str">
        <f>IF(C131&gt;0,VLOOKUP(C131,Foundation_Calc!$E$35:$G$65,3,1),
IF(J131&gt;0,VLOOKUP(J131,Foundation_Calc!$E$35:$G$65,3,1),""))</f>
        <v/>
      </c>
      <c r="AY131" s="10" t="str">
        <f>IF(L131="","",
IF(AX131="PT",VLOOKUP(L131,Foundation_Calc!$K$79:$R$113,VLOOKUP(AW131,Foundation_Calc!$I$2:$J$8,2,FALSE),0),
IF(AX131="K",VLOOKUP(L131,Foundation_Calc!$K$117:$R$151,VLOOKUP(AW131,Foundation_Calc!$I$2:$J$8,2,FALSE),0),"")))</f>
        <v/>
      </c>
      <c r="AZ131" s="10" t="str">
        <f>IF(K131="","",
IF(AX131="PT",VLOOKUP(K131,Foundation_Calc!$K$79:$R$113,VLOOKUP(AW131,Foundation_Calc!$I$2:$J$8,2,FALSE),0),
IF(AX131="K",VLOOKUP(K131,Foundation_Calc!$K$117:$R$151,VLOOKUP(AW131,Foundation_Calc!$I$2:$J$8,2,FALSE),0),"")))</f>
        <v/>
      </c>
      <c r="BA131" s="495" t="str">
        <f t="shared" si="16"/>
        <v/>
      </c>
      <c r="BB131" s="495" t="str">
        <f t="shared" si="17"/>
        <v/>
      </c>
      <c r="BC131" s="495" t="str">
        <f t="shared" si="18"/>
        <v/>
      </c>
      <c r="BD131" s="513" t="str">
        <f>IF(AND(L131="",H131=""),"",
IF(H131="",Pole_Calc!A$9,
IF(H131="MP",Pole_Calc!A$10,
IF(H131="AnMP",Pole_Calc!A$11,
IF(H131="A",Pole_Calc!A$12,
IF(H131="S/A",Pole_Calc!A$13,
IF(H131="A/S",Pole_Calc!A$14,"Poner a mano")))))))</f>
        <v/>
      </c>
      <c r="BE131" s="429" t="s">
        <v>118</v>
      </c>
      <c r="BF131" s="290"/>
      <c r="BG131" s="290"/>
      <c r="BH131" s="290"/>
      <c r="BI131" s="290"/>
    </row>
    <row r="132" spans="1:61" ht="16.149999999999999" customHeight="1">
      <c r="A132" s="514"/>
      <c r="B132" s="450" t="s">
        <v>1001</v>
      </c>
      <c r="C132" s="3">
        <f>+$C$130+$G$131</f>
        <v>33539.75</v>
      </c>
      <c r="D132" s="83"/>
      <c r="E132" s="4"/>
      <c r="F132" s="4">
        <v>0</v>
      </c>
      <c r="G132" s="6"/>
      <c r="H132" s="449"/>
      <c r="I132" s="4"/>
      <c r="J132" s="3"/>
      <c r="K132" s="449"/>
      <c r="L132" s="449" t="s">
        <v>153</v>
      </c>
      <c r="M132" s="449" t="str">
        <f>IF(L132="","",
IF(AX132="PT",VLOOKUP(L132,Foundation_Calc!$V$79:$X$113,VLOOKUP(AX132,Foundation_Calc!$I$10:$J$13,2,FALSE),0),
IF(AX132="K",VLOOKUP(L132,Foundation_Calc!$V$117:$X$151,VLOOKUP(AX132,Foundation_Calc!$I$10:$J$13,2,FALSE),0),"")))</f>
        <v>C3R</v>
      </c>
      <c r="N132" s="449" t="s">
        <v>134</v>
      </c>
      <c r="O132" s="449"/>
      <c r="P132" s="449"/>
      <c r="Q132" s="4"/>
      <c r="R132" s="6"/>
      <c r="S132" s="6"/>
      <c r="T132" s="4">
        <v>30</v>
      </c>
      <c r="U132" s="4"/>
      <c r="V132" s="4"/>
      <c r="W132" s="9">
        <v>1.4</v>
      </c>
      <c r="X132" s="9"/>
      <c r="Y132" s="9"/>
      <c r="Z132" s="9"/>
      <c r="AA132" s="9"/>
      <c r="AB132" s="9"/>
      <c r="AC132" s="449" t="str">
        <f t="shared" si="15"/>
        <v>PH</v>
      </c>
      <c r="AD132" s="449"/>
      <c r="AE132" s="449"/>
      <c r="AF132" s="4"/>
      <c r="AG132" s="83"/>
      <c r="AH132" s="4"/>
      <c r="AI132" s="4"/>
      <c r="AJ132" s="449"/>
      <c r="AK132" s="449"/>
      <c r="AL132" s="449"/>
      <c r="AM132" s="449" t="s">
        <v>126</v>
      </c>
      <c r="AN132" s="10">
        <v>5.5</v>
      </c>
      <c r="AO132" s="9"/>
      <c r="AP132" s="9"/>
      <c r="AQ132" s="9"/>
      <c r="AR132" s="9"/>
      <c r="AS132" s="9"/>
      <c r="AT132" s="9">
        <f>+ab($T$132,$T$130,$T$134,$G$131,$G$133, 1*$F$132,1200)</f>
        <v>18.235930549503177</v>
      </c>
      <c r="AU132" s="428"/>
      <c r="AV132" s="428"/>
      <c r="AW132" s="449" t="str">
        <f>IF(C132&gt;0,VLOOKUP(C132,Foundation_Calc!$A$2:$C$13,3,1),
IF(J132&gt;0,VLOOKUP(J132,Foundation_Calc!$A$2:$C$13,3,1),""))</f>
        <v>Multi Soil</v>
      </c>
      <c r="AX132" s="449" t="str">
        <f>IF(C132&gt;0,VLOOKUP(C132,Foundation_Calc!$E$35:$G$65,3,1),
IF(J132&gt;0,VLOOKUP(J132,Foundation_Calc!$E$35:$G$65,3,1),""))</f>
        <v>PT</v>
      </c>
      <c r="AY132" s="10">
        <f>IF(L132="","",
IF(AX132="PT",VLOOKUP(L132,Foundation_Calc!$K$79:$R$113,VLOOKUP(AW132,Foundation_Calc!$I$2:$J$8,2,FALSE),0),
IF(AX132="K",VLOOKUP(L132,Foundation_Calc!$K$117:$R$151,VLOOKUP(AW132,Foundation_Calc!$I$2:$J$8,2,FALSE),0),"")))</f>
        <v>3.5</v>
      </c>
      <c r="AZ132" s="10" t="str">
        <f>IF(K132="","",
IF(AX132="PT",VLOOKUP(K132,Foundation_Calc!$K$79:$R$113,VLOOKUP(AW132,Foundation_Calc!$I$2:$J$8,2,FALSE),0),
IF(AX132="K",VLOOKUP(K132,Foundation_Calc!$K$117:$R$151,VLOOKUP(AW132,Foundation_Calc!$I$2:$J$8,2,FALSE),0),"")))</f>
        <v/>
      </c>
      <c r="BA132" s="495" t="str">
        <f t="shared" si="16"/>
        <v>ü</v>
      </c>
      <c r="BB132" s="495" t="str">
        <f t="shared" si="17"/>
        <v/>
      </c>
      <c r="BC132" s="495" t="str">
        <f t="shared" si="18"/>
        <v/>
      </c>
      <c r="BD132" s="513" t="str">
        <f>IF(AND(L132="",H132=""),"",
IF(H132="",Pole_Calc!A$9,
IF(H132="MP",Pole_Calc!A$10,
IF(H132="AnMP",Pole_Calc!A$11,
IF(H132="A",Pole_Calc!A$12,
IF(H132="S/A",Pole_Calc!A$13,
IF(H132="A/S",Pole_Calc!A$14,"Poner a mano")))))))</f>
        <v>App.7-V11I-P9.5.1.1</v>
      </c>
      <c r="BE132" s="429" t="s">
        <v>118</v>
      </c>
      <c r="BF132" s="289"/>
      <c r="BG132" s="289"/>
      <c r="BH132" s="290"/>
      <c r="BI132" s="289"/>
    </row>
    <row r="133" spans="1:61" ht="16.149999999999999" customHeight="1">
      <c r="A133" s="514"/>
      <c r="B133" s="450"/>
      <c r="C133" s="3"/>
      <c r="D133" s="83"/>
      <c r="E133" s="4"/>
      <c r="F133" s="4"/>
      <c r="G133" s="6">
        <v>59.1</v>
      </c>
      <c r="H133" s="449"/>
      <c r="I133" s="4"/>
      <c r="J133" s="3"/>
      <c r="K133" s="449"/>
      <c r="L133" s="449"/>
      <c r="M133" s="449" t="str">
        <f>IF(L133="","",
IF(AX133="PT",VLOOKUP(L133,Foundation_Calc!$V$79:$X$113,VLOOKUP(AX133,Foundation_Calc!$I$10:$J$13,2,FALSE),0),
IF(AX133="K",VLOOKUP(L133,Foundation_Calc!$V$117:$X$151,VLOOKUP(AX133,Foundation_Calc!$I$10:$J$13,2,FALSE),0),"")))</f>
        <v/>
      </c>
      <c r="N133" s="449"/>
      <c r="O133" s="449"/>
      <c r="P133" s="449"/>
      <c r="Q133" s="4"/>
      <c r="R133" s="6"/>
      <c r="S133" s="6"/>
      <c r="T133" s="4"/>
      <c r="U133" s="4"/>
      <c r="V133" s="4"/>
      <c r="W133" s="9"/>
      <c r="X133" s="9"/>
      <c r="Y133" s="9"/>
      <c r="Z133" s="9"/>
      <c r="AA133" s="9"/>
      <c r="AB133" s="9"/>
      <c r="AC133" s="449" t="str">
        <f t="shared" si="15"/>
        <v/>
      </c>
      <c r="AD133" s="449"/>
      <c r="AE133" s="449"/>
      <c r="AF133" s="4"/>
      <c r="AG133" s="83"/>
      <c r="AH133" s="4"/>
      <c r="AI133" s="4"/>
      <c r="AJ133" s="449"/>
      <c r="AK133" s="449"/>
      <c r="AL133" s="449"/>
      <c r="AM133" s="449"/>
      <c r="AN133" s="10"/>
      <c r="AO133" s="9"/>
      <c r="AP133" s="9"/>
      <c r="AQ133" s="9">
        <f>+FL_2($T$134,$T$132,$G$131,1200,9.28, 1*$F$132)</f>
        <v>-0.44888002799999999</v>
      </c>
      <c r="AR133" s="9"/>
      <c r="AS133" s="9"/>
      <c r="AT133" s="9"/>
      <c r="AU133" s="428"/>
      <c r="AV133" s="428"/>
      <c r="AW133" s="449" t="str">
        <f>IF(C133&gt;0,VLOOKUP(C133,Foundation_Calc!$A$2:$C$13,3,1),
IF(J133&gt;0,VLOOKUP(J133,Foundation_Calc!$A$2:$C$13,3,1),""))</f>
        <v/>
      </c>
      <c r="AX133" s="449" t="str">
        <f>IF(C133&gt;0,VLOOKUP(C133,Foundation_Calc!$E$35:$G$65,3,1),
IF(J133&gt;0,VLOOKUP(J133,Foundation_Calc!$E$35:$G$65,3,1),""))</f>
        <v/>
      </c>
      <c r="AY133" s="10" t="str">
        <f>IF(L133="","",
IF(AX133="PT",VLOOKUP(L133,Foundation_Calc!$K$79:$R$113,VLOOKUP(AW133,Foundation_Calc!$I$2:$J$8,2,FALSE),0),
IF(AX133="K",VLOOKUP(L133,Foundation_Calc!$K$117:$R$151,VLOOKUP(AW133,Foundation_Calc!$I$2:$J$8,2,FALSE),0),"")))</f>
        <v/>
      </c>
      <c r="AZ133" s="10" t="str">
        <f>IF(K133="","",
IF(AX133="PT",VLOOKUP(K133,Foundation_Calc!$K$79:$R$113,VLOOKUP(AW133,Foundation_Calc!$I$2:$J$8,2,FALSE),0),
IF(AX133="K",VLOOKUP(K133,Foundation_Calc!$K$117:$R$151,VLOOKUP(AW133,Foundation_Calc!$I$2:$J$8,2,FALSE),0),"")))</f>
        <v/>
      </c>
      <c r="BA133" s="495" t="str">
        <f t="shared" si="16"/>
        <v/>
      </c>
      <c r="BB133" s="495" t="str">
        <f t="shared" si="17"/>
        <v/>
      </c>
      <c r="BC133" s="495" t="str">
        <f t="shared" si="18"/>
        <v/>
      </c>
      <c r="BD133" s="513" t="str">
        <f>IF(AND(L133="",H133=""),"",
IF(H133="",Pole_Calc!A$9,
IF(H133="MP",Pole_Calc!A$10,
IF(H133="AnMP",Pole_Calc!A$11,
IF(H133="A",Pole_Calc!A$12,
IF(H133="S/A",Pole_Calc!A$13,
IF(H133="A/S",Pole_Calc!A$14,"Poner a mano")))))))</f>
        <v/>
      </c>
      <c r="BE133" s="429" t="s">
        <v>118</v>
      </c>
      <c r="BF133" s="290"/>
      <c r="BG133" s="290"/>
      <c r="BH133" s="290"/>
      <c r="BI133" s="290"/>
    </row>
    <row r="134" spans="1:61" ht="16.149999999999999" customHeight="1">
      <c r="A134" s="514"/>
      <c r="B134" s="720" t="s">
        <v>1002</v>
      </c>
      <c r="C134" s="3">
        <f>+$C$132+$G$133</f>
        <v>33598.85</v>
      </c>
      <c r="D134" s="83"/>
      <c r="E134" s="4"/>
      <c r="F134" s="4">
        <v>0</v>
      </c>
      <c r="G134" s="6"/>
      <c r="H134" s="449"/>
      <c r="I134" s="4"/>
      <c r="J134" s="3"/>
      <c r="K134" s="449"/>
      <c r="L134" s="449" t="s">
        <v>153</v>
      </c>
      <c r="M134" s="449" t="str">
        <f>IF(L134="","",
IF(AX134="PT",VLOOKUP(L134,Foundation_Calc!$V$79:$X$113,VLOOKUP(AX134,Foundation_Calc!$I$10:$J$13,2,FALSE),0),
IF(AX134="K",VLOOKUP(L134,Foundation_Calc!$V$117:$X$151,VLOOKUP(AX134,Foundation_Calc!$I$10:$J$13,2,FALSE),0),"")))</f>
        <v>C3R</v>
      </c>
      <c r="N134" s="449" t="s">
        <v>124</v>
      </c>
      <c r="O134" s="449"/>
      <c r="P134" s="449"/>
      <c r="Q134" s="4"/>
      <c r="R134" s="6"/>
      <c r="S134" s="6"/>
      <c r="T134" s="4">
        <v>-35</v>
      </c>
      <c r="U134" s="4"/>
      <c r="V134" s="4"/>
      <c r="W134" s="572">
        <v>1.2</v>
      </c>
      <c r="X134" s="9"/>
      <c r="Y134" s="9"/>
      <c r="Z134" s="9"/>
      <c r="AA134" s="9"/>
      <c r="AB134" s="9"/>
      <c r="AC134" s="449" t="str">
        <f t="shared" si="15"/>
        <v>PH</v>
      </c>
      <c r="AD134" s="449"/>
      <c r="AE134" s="449"/>
      <c r="AF134" s="4"/>
      <c r="AG134" s="83"/>
      <c r="AH134" s="4"/>
      <c r="AI134" s="4"/>
      <c r="AJ134" s="449"/>
      <c r="AK134" s="449"/>
      <c r="AL134" s="449"/>
      <c r="AM134" s="449" t="s">
        <v>126</v>
      </c>
      <c r="AN134" s="10">
        <v>5.5</v>
      </c>
      <c r="AO134" s="9"/>
      <c r="AP134" s="9"/>
      <c r="AQ134" s="9"/>
      <c r="AR134" s="9"/>
      <c r="AS134" s="9"/>
      <c r="AT134" s="9">
        <f>+ab($T$134,$T$132,$T$136,$G$133,$G$135, 1*$F$134,1200)</f>
        <v>-8.6407488697041135</v>
      </c>
      <c r="AU134" s="428"/>
      <c r="AV134" s="428"/>
      <c r="AW134" s="449" t="str">
        <f>IF(C134&gt;0,VLOOKUP(C134,Foundation_Calc!$A$2:$C$13,3,1),
IF(J134&gt;0,VLOOKUP(J134,Foundation_Calc!$A$2:$C$13,3,1),""))</f>
        <v>Multi Soil</v>
      </c>
      <c r="AX134" s="449" t="str">
        <f>IF(C134&gt;0,VLOOKUP(C134,Foundation_Calc!$E$35:$G$65,3,1),
IF(J134&gt;0,VLOOKUP(J134,Foundation_Calc!$E$35:$G$65,3,1),""))</f>
        <v>PT</v>
      </c>
      <c r="AY134" s="10">
        <f>IF(L134="","",
IF(AX134="PT",VLOOKUP(L134,Foundation_Calc!$K$79:$R$113,VLOOKUP(AW134,Foundation_Calc!$I$2:$J$8,2,FALSE),0),
IF(AX134="K",VLOOKUP(L134,Foundation_Calc!$K$117:$R$151,VLOOKUP(AW134,Foundation_Calc!$I$2:$J$8,2,FALSE),0),"")))</f>
        <v>3.5</v>
      </c>
      <c r="AZ134" s="10" t="str">
        <f>IF(K134="","",
IF(AX134="PT",VLOOKUP(K134,Foundation_Calc!$K$79:$R$113,VLOOKUP(AW134,Foundation_Calc!$I$2:$J$8,2,FALSE),0),
IF(AX134="K",VLOOKUP(K134,Foundation_Calc!$K$117:$R$151,VLOOKUP(AW134,Foundation_Calc!$I$2:$J$8,2,FALSE),0),"")))</f>
        <v/>
      </c>
      <c r="BA134" s="495" t="str">
        <f t="shared" si="16"/>
        <v>ü</v>
      </c>
      <c r="BB134" s="495" t="str">
        <f t="shared" si="17"/>
        <v/>
      </c>
      <c r="BC134" s="495" t="str">
        <f t="shared" si="18"/>
        <v/>
      </c>
      <c r="BD134" s="513" t="str">
        <f>IF(AND(L134="",H134=""),"",
IF(H134="",Pole_Calc!A$9,
IF(H134="MP",Pole_Calc!A$10,
IF(H134="AnMP",Pole_Calc!A$11,
IF(H134="A",Pole_Calc!A$12,
IF(H134="S/A",Pole_Calc!A$13,
IF(H134="A/S",Pole_Calc!A$14,"Poner a mano")))))))</f>
        <v>App.7-V11I-P9.5.1.1</v>
      </c>
      <c r="BE134" s="429" t="s">
        <v>118</v>
      </c>
      <c r="BF134" s="289"/>
      <c r="BG134" s="289"/>
      <c r="BH134" s="290"/>
      <c r="BI134" s="289"/>
    </row>
    <row r="135" spans="1:61" ht="16.149999999999999" customHeight="1">
      <c r="A135" s="514" t="s">
        <v>199</v>
      </c>
      <c r="B135" s="450"/>
      <c r="C135" s="3"/>
      <c r="D135" s="83"/>
      <c r="E135" s="4"/>
      <c r="F135" s="4"/>
      <c r="G135" s="6">
        <v>63.4</v>
      </c>
      <c r="H135" s="449"/>
      <c r="I135" s="4"/>
      <c r="J135" s="3"/>
      <c r="K135" s="449"/>
      <c r="L135" s="449"/>
      <c r="M135" s="449" t="str">
        <f>IF(L135="","",
IF(AX135="PT",VLOOKUP(L135,Foundation_Calc!$V$79:$X$113,VLOOKUP(AX135,Foundation_Calc!$I$10:$J$13,2,FALSE),0),
IF(AX135="K",VLOOKUP(L135,Foundation_Calc!$V$117:$X$151,VLOOKUP(AX135,Foundation_Calc!$I$10:$J$13,2,FALSE),0),"")))</f>
        <v/>
      </c>
      <c r="N135" s="449"/>
      <c r="O135" s="449"/>
      <c r="P135" s="449"/>
      <c r="Q135" s="4"/>
      <c r="R135" s="6"/>
      <c r="S135" s="6"/>
      <c r="T135" s="4"/>
      <c r="U135" s="4"/>
      <c r="V135" s="4"/>
      <c r="W135" s="572"/>
      <c r="X135" s="9"/>
      <c r="Y135" s="9"/>
      <c r="Z135" s="9"/>
      <c r="AA135" s="9"/>
      <c r="AB135" s="9"/>
      <c r="AC135" s="449" t="str">
        <f t="shared" ref="AC135:AC197" si="19">IF(OR(AT135&gt;8,AT135&lt;-8),"PH",
IF(OR(AT135&gt;5,AT135&lt;-5),"PHQ",
IF(OR(AT135&gt;1,AT135&lt;-1),
"PHC","")))</f>
        <v/>
      </c>
      <c r="AD135" s="449"/>
      <c r="AE135" s="449"/>
      <c r="AF135" s="4"/>
      <c r="AG135" s="83"/>
      <c r="AH135" s="4"/>
      <c r="AI135" s="4"/>
      <c r="AJ135" s="449"/>
      <c r="AK135" s="449"/>
      <c r="AL135" s="449"/>
      <c r="AM135" s="449"/>
      <c r="AN135" s="10"/>
      <c r="AO135" s="9"/>
      <c r="AP135" s="9"/>
      <c r="AQ135" s="9">
        <f>+FL_1($T$136,$T$134,$G$135,1200,9.28, 1*$F$136)</f>
        <v>0.46737463380862243</v>
      </c>
      <c r="AR135" s="9"/>
      <c r="AS135" s="9"/>
      <c r="AT135" s="9"/>
      <c r="AU135" s="428"/>
      <c r="AV135" s="428"/>
      <c r="AW135" s="449" t="str">
        <f>IF(C135&gt;0,VLOOKUP(C135,Foundation_Calc!$A$2:$C$13,3,1),
IF(J135&gt;0,VLOOKUP(J135,Foundation_Calc!$A$2:$C$13,3,1),""))</f>
        <v/>
      </c>
      <c r="AX135" s="449" t="str">
        <f>IF(C135&gt;0,VLOOKUP(C135,Foundation_Calc!$E$35:$G$65,3,1),
IF(J135&gt;0,VLOOKUP(J135,Foundation_Calc!$E$35:$G$65,3,1),""))</f>
        <v/>
      </c>
      <c r="AY135" s="10" t="str">
        <f>IF(L135="","",
IF(AX135="PT",VLOOKUP(L135,Foundation_Calc!$K$79:$R$113,VLOOKUP(AW135,Foundation_Calc!$I$2:$J$8,2,FALSE),0),
IF(AX135="K",VLOOKUP(L135,Foundation_Calc!$K$117:$R$151,VLOOKUP(AW135,Foundation_Calc!$I$2:$J$8,2,FALSE),0),"")))</f>
        <v/>
      </c>
      <c r="AZ135" s="10" t="str">
        <f>IF(K135="","",
IF(AX135="PT",VLOOKUP(K135,Foundation_Calc!$K$79:$R$113,VLOOKUP(AW135,Foundation_Calc!$I$2:$J$8,2,FALSE),0),
IF(AX135="K",VLOOKUP(K135,Foundation_Calc!$K$117:$R$151,VLOOKUP(AW135,Foundation_Calc!$I$2:$J$8,2,FALSE),0),"")))</f>
        <v/>
      </c>
      <c r="BA135" s="496" t="str">
        <f t="shared" si="16"/>
        <v/>
      </c>
      <c r="BB135" s="496" t="str">
        <f t="shared" si="17"/>
        <v/>
      </c>
      <c r="BC135" s="496" t="str">
        <f t="shared" si="18"/>
        <v/>
      </c>
      <c r="BD135" s="513" t="str">
        <f>IF(AND(L135="",H135=""),"",
IF(H135="",Pole_Calc!A$9,
IF(H135="MP",Pole_Calc!A$10,
IF(H135="AnMP",Pole_Calc!A$11,
IF(H135="A",Pole_Calc!A$12,
IF(H135="S/A",Pole_Calc!A$13,
IF(H135="A/S",Pole_Calc!A$14,"Poner a mano")))))))</f>
        <v/>
      </c>
      <c r="BE135" s="429" t="s">
        <v>118</v>
      </c>
      <c r="BF135" s="290"/>
      <c r="BG135" s="290"/>
      <c r="BH135" s="290"/>
      <c r="BI135" s="290"/>
    </row>
    <row r="136" spans="1:61" ht="16.149999999999999" customHeight="1">
      <c r="A136" s="514" t="s">
        <v>169</v>
      </c>
      <c r="B136" s="450" t="s">
        <v>1003</v>
      </c>
      <c r="C136" s="3">
        <f>+$C$134+$G$135</f>
        <v>33662.25</v>
      </c>
      <c r="D136" s="83"/>
      <c r="E136" s="4"/>
      <c r="F136" s="4">
        <v>0</v>
      </c>
      <c r="G136" s="6"/>
      <c r="H136" s="449" t="s">
        <v>121</v>
      </c>
      <c r="I136" s="4" t="s">
        <v>122</v>
      </c>
      <c r="J136" s="3"/>
      <c r="K136" s="449"/>
      <c r="L136" s="449" t="s">
        <v>206</v>
      </c>
      <c r="M136" s="449" t="str">
        <f>IF(L136="","",
IF(AX136="PT",VLOOKUP(L136,Foundation_Calc!$V$79:$X$113,VLOOKUP(AX136,Foundation_Calc!$I$10:$J$13,2,FALSE),0),
IF(AX136="K",VLOOKUP(L136,Foundation_Calc!$V$117:$X$151,VLOOKUP(AX136,Foundation_Calc!$I$10:$J$13,2,FALSE),0),"")))</f>
        <v>2C4R</v>
      </c>
      <c r="N136" s="449" t="s">
        <v>134</v>
      </c>
      <c r="O136" s="449"/>
      <c r="P136" s="449"/>
      <c r="Q136" s="4"/>
      <c r="R136" s="6"/>
      <c r="S136" s="6"/>
      <c r="T136" s="4">
        <v>35</v>
      </c>
      <c r="U136" s="4"/>
      <c r="V136" s="4"/>
      <c r="W136" s="572">
        <v>1.2</v>
      </c>
      <c r="X136" s="9"/>
      <c r="Y136" s="9"/>
      <c r="Z136" s="9"/>
      <c r="AA136" s="9"/>
      <c r="AB136" s="9"/>
      <c r="AC136" s="449" t="str">
        <f t="shared" si="19"/>
        <v>PH</v>
      </c>
      <c r="AD136" s="449"/>
      <c r="AE136" s="449"/>
      <c r="AF136" s="4"/>
      <c r="AG136" s="83"/>
      <c r="AH136" s="4"/>
      <c r="AI136" s="4"/>
      <c r="AJ136" s="449"/>
      <c r="AK136" s="449"/>
      <c r="AL136" s="449"/>
      <c r="AM136" s="449" t="s">
        <v>126</v>
      </c>
      <c r="AN136" s="10">
        <v>5.5</v>
      </c>
      <c r="AO136" s="9"/>
      <c r="AP136" s="9"/>
      <c r="AQ136" s="9"/>
      <c r="AR136" s="9"/>
      <c r="AS136" s="9"/>
      <c r="AT136" s="9">
        <f>+ab($T$136,$T$134,$U$138,$G$135,$G$137, 1*$F$136,1200)</f>
        <v>8.6693459070651127</v>
      </c>
      <c r="AU136" s="428"/>
      <c r="AV136" s="428"/>
      <c r="AW136" s="449" t="str">
        <f>IF(C136&gt;0,VLOOKUP(C136,Foundation_Calc!$A$2:$C$13,3,1),
IF(J136&gt;0,VLOOKUP(J136,Foundation_Calc!$A$2:$C$13,3,1),""))</f>
        <v>Multi Soil</v>
      </c>
      <c r="AX136" s="449" t="str">
        <f>IF(C136&gt;0,VLOOKUP(C136,Foundation_Calc!$E$35:$G$65,3,1),
IF(J136&gt;0,VLOOKUP(J136,Foundation_Calc!$E$35:$G$65,3,1),""))</f>
        <v>PT</v>
      </c>
      <c r="AY136" s="10">
        <f>IF(L136="","",
IF(AX136="PT",VLOOKUP(L136,Foundation_Calc!$K$79:$R$113,VLOOKUP(AW136,Foundation_Calc!$I$2:$J$8,2,FALSE),0),
IF(AX136="K",VLOOKUP(L136,Foundation_Calc!$K$117:$R$151,VLOOKUP(AW136,Foundation_Calc!$I$2:$J$8,2,FALSE),0),"")))</f>
        <v>4</v>
      </c>
      <c r="AZ136" s="10" t="str">
        <f>IF(K136="","",
IF(AX136="PT",VLOOKUP(K136,Foundation_Calc!$K$79:$R$113,VLOOKUP(AW136,Foundation_Calc!$I$2:$J$8,2,FALSE),0),
IF(AX136="K",VLOOKUP(K136,Foundation_Calc!$K$117:$R$151,VLOOKUP(AW136,Foundation_Calc!$I$2:$J$8,2,FALSE),0),"")))</f>
        <v/>
      </c>
      <c r="BA136" s="495" t="str">
        <f t="shared" si="16"/>
        <v>ü</v>
      </c>
      <c r="BB136" s="495" t="str">
        <f t="shared" si="17"/>
        <v/>
      </c>
      <c r="BC136" s="495" t="str">
        <f t="shared" si="18"/>
        <v/>
      </c>
      <c r="BD136" s="513" t="str">
        <f>IF(AND(L136="",H136=""),"",
IF(H136="",Pole_Calc!A$9,
IF(H136="MP",Pole_Calc!A$10,
IF(H136="AnMP",Pole_Calc!A$11,
IF(H136="A",Pole_Calc!A$12,
IF(H136="S/A",Pole_Calc!A$13,
IF(H136="A/S",Pole_Calc!A$14,"Poner a mano")))))))</f>
        <v>App.7-V11I-P9.5.1.6</v>
      </c>
      <c r="BE136" s="429" t="s">
        <v>118</v>
      </c>
      <c r="BF136" s="289"/>
      <c r="BG136" s="289"/>
      <c r="BH136" s="290"/>
      <c r="BI136" s="289"/>
    </row>
    <row r="137" spans="1:61" ht="16.149999999999999" customHeight="1">
      <c r="A137" s="514"/>
      <c r="B137" s="450"/>
      <c r="C137" s="3"/>
      <c r="D137" s="83"/>
      <c r="E137" s="4"/>
      <c r="F137" s="4"/>
      <c r="G137" s="6">
        <v>59.5</v>
      </c>
      <c r="H137" s="449"/>
      <c r="I137" s="4"/>
      <c r="J137" s="3"/>
      <c r="K137" s="449"/>
      <c r="L137" s="449"/>
      <c r="M137" s="449" t="str">
        <f>IF(L137="","",
IF(AX137="PT",VLOOKUP(L137,Foundation_Calc!$V$79:$X$113,VLOOKUP(AX137,Foundation_Calc!$I$10:$J$13,2,FALSE),0),
IF(AX137="K",VLOOKUP(L137,Foundation_Calc!$V$117:$X$151,VLOOKUP(AX137,Foundation_Calc!$I$10:$J$13,2,FALSE),0),"")))</f>
        <v/>
      </c>
      <c r="N137" s="449"/>
      <c r="O137" s="449"/>
      <c r="P137" s="449"/>
      <c r="Q137" s="4"/>
      <c r="R137" s="6"/>
      <c r="S137" s="6"/>
      <c r="T137" s="4"/>
      <c r="U137" s="4"/>
      <c r="V137" s="4"/>
      <c r="W137" s="9"/>
      <c r="X137" s="9"/>
      <c r="Y137" s="9"/>
      <c r="Z137" s="9"/>
      <c r="AA137" s="9"/>
      <c r="AB137" s="9"/>
      <c r="AC137" s="449" t="str">
        <f t="shared" si="19"/>
        <v/>
      </c>
      <c r="AD137" s="449"/>
      <c r="AE137" s="449"/>
      <c r="AF137" s="4"/>
      <c r="AG137" s="83"/>
      <c r="AH137" s="4"/>
      <c r="AI137" s="4"/>
      <c r="AJ137" s="449"/>
      <c r="AK137" s="449"/>
      <c r="AL137" s="449"/>
      <c r="AM137" s="449"/>
      <c r="AN137" s="10"/>
      <c r="AO137" s="9"/>
      <c r="AP137" s="9"/>
      <c r="AQ137" s="9">
        <f>+FL_1($U$138,$T$136,$G$137,1200,9.28, 1*$F$138)</f>
        <v>0.44438484320448179</v>
      </c>
      <c r="AR137" s="9"/>
      <c r="AS137" s="9"/>
      <c r="AT137" s="9"/>
      <c r="AU137" s="428"/>
      <c r="AV137" s="428"/>
      <c r="AW137" s="449" t="str">
        <f>IF(C137&gt;0,VLOOKUP(C137,Foundation_Calc!$A$2:$C$13,3,1),
IF(J137&gt;0,VLOOKUP(J137,Foundation_Calc!$A$2:$C$13,3,1),""))</f>
        <v/>
      </c>
      <c r="AX137" s="449" t="str">
        <f>IF(C137&gt;0,VLOOKUP(C137,Foundation_Calc!$E$35:$G$65,3,1),
IF(J137&gt;0,VLOOKUP(J137,Foundation_Calc!$E$35:$G$65,3,1),""))</f>
        <v/>
      </c>
      <c r="AY137" s="10" t="str">
        <f>IF(L137="","",
IF(AX137="PT",VLOOKUP(L137,Foundation_Calc!$K$79:$R$113,VLOOKUP(AW137,Foundation_Calc!$I$2:$J$8,2,FALSE),0),
IF(AX137="K",VLOOKUP(L137,Foundation_Calc!$K$117:$R$151,VLOOKUP(AW137,Foundation_Calc!$I$2:$J$8,2,FALSE),0),"")))</f>
        <v/>
      </c>
      <c r="AZ137" s="10" t="str">
        <f>IF(K137="","",
IF(AX137="PT",VLOOKUP(K137,Foundation_Calc!$K$79:$R$113,VLOOKUP(AW137,Foundation_Calc!$I$2:$J$8,2,FALSE),0),
IF(AX137="K",VLOOKUP(K137,Foundation_Calc!$K$117:$R$151,VLOOKUP(AW137,Foundation_Calc!$I$2:$J$8,2,FALSE),0),"")))</f>
        <v/>
      </c>
      <c r="BA137" s="495" t="str">
        <f t="shared" si="16"/>
        <v/>
      </c>
      <c r="BB137" s="495" t="str">
        <f t="shared" si="17"/>
        <v/>
      </c>
      <c r="BC137" s="495" t="str">
        <f t="shared" si="18"/>
        <v/>
      </c>
      <c r="BD137" s="513" t="str">
        <f>IF(AND(L137="",H137=""),"",
IF(H137="",Pole_Calc!A$9,
IF(H137="MP",Pole_Calc!A$10,
IF(H137="AnMP",Pole_Calc!A$11,
IF(H137="A",Pole_Calc!A$12,
IF(H137="S/A",Pole_Calc!A$13,
IF(H137="A/S",Pole_Calc!A$14,"Poner a mano")))))))</f>
        <v/>
      </c>
      <c r="BE137" s="429" t="s">
        <v>118</v>
      </c>
      <c r="BF137" s="290"/>
      <c r="BG137" s="290"/>
      <c r="BH137" s="290"/>
      <c r="BI137" s="290"/>
    </row>
    <row r="138" spans="1:61" ht="16.149999999999999" customHeight="1">
      <c r="A138" s="514"/>
      <c r="B138" s="450" t="s">
        <v>1004</v>
      </c>
      <c r="C138" s="3">
        <f>+$C$136+$G$137</f>
        <v>33721.75</v>
      </c>
      <c r="D138" s="83"/>
      <c r="E138" s="4"/>
      <c r="F138" s="4">
        <v>0</v>
      </c>
      <c r="G138" s="6"/>
      <c r="H138" s="449" t="s">
        <v>131</v>
      </c>
      <c r="I138" s="4"/>
      <c r="J138" s="3"/>
      <c r="K138" s="449"/>
      <c r="L138" s="449" t="s">
        <v>158</v>
      </c>
      <c r="M138" s="449" t="str">
        <f>IF(L138="","",
IF(AX138="PT",VLOOKUP(L138,Foundation_Calc!$V$79:$X$113,VLOOKUP(AX138,Foundation_Calc!$I$10:$J$13,2,FALSE),0),
IF(AX138="K",VLOOKUP(L138,Foundation_Calc!$V$117:$X$151,VLOOKUP(AX138,Foundation_Calc!$I$10:$J$13,2,FALSE),0),"")))</f>
        <v>C4R</v>
      </c>
      <c r="N138" s="449" t="s">
        <v>133</v>
      </c>
      <c r="O138" s="449" t="s">
        <v>124</v>
      </c>
      <c r="P138" s="449"/>
      <c r="Q138" s="4"/>
      <c r="R138" s="6"/>
      <c r="S138" s="6"/>
      <c r="T138" s="4">
        <v>15</v>
      </c>
      <c r="U138" s="4">
        <v>-30</v>
      </c>
      <c r="V138" s="4"/>
      <c r="W138" s="9">
        <v>1.4</v>
      </c>
      <c r="X138" s="9">
        <v>2</v>
      </c>
      <c r="Y138" s="9"/>
      <c r="Z138" s="9">
        <v>0.55000000000000004</v>
      </c>
      <c r="AA138" s="9"/>
      <c r="AB138" s="9"/>
      <c r="AC138" s="449"/>
      <c r="AD138" s="449"/>
      <c r="AE138" s="449"/>
      <c r="AF138" s="4"/>
      <c r="AG138" s="83"/>
      <c r="AH138" s="4"/>
      <c r="AI138" s="4"/>
      <c r="AJ138" s="449"/>
      <c r="AK138" s="449"/>
      <c r="AL138" s="449"/>
      <c r="AM138" s="449" t="s">
        <v>126</v>
      </c>
      <c r="AN138" s="10">
        <v>5.5</v>
      </c>
      <c r="AO138" s="9"/>
      <c r="AP138" s="9"/>
      <c r="AQ138" s="9"/>
      <c r="AR138" s="9"/>
      <c r="AS138" s="9"/>
      <c r="AT138" s="9">
        <f>+ab($U$138,$T$136,$U$140,$G$137,$G$139, 1*$F$138,1200)</f>
        <v>-13.966096380937692</v>
      </c>
      <c r="AU138" s="428"/>
      <c r="AV138" s="428"/>
      <c r="AW138" s="449" t="str">
        <f>IF(C138&gt;0,VLOOKUP(C138,Foundation_Calc!$A$2:$C$13,3,1),
IF(J138&gt;0,VLOOKUP(J138,Foundation_Calc!$A$2:$C$13,3,1),""))</f>
        <v>Multi Soil</v>
      </c>
      <c r="AX138" s="449" t="str">
        <f>IF(C138&gt;0,VLOOKUP(C138,Foundation_Calc!$E$35:$G$65,3,1),
IF(J138&gt;0,VLOOKUP(J138,Foundation_Calc!$E$35:$G$65,3,1),""))</f>
        <v>PT</v>
      </c>
      <c r="AY138" s="10">
        <f>IF(L138="","",
IF(AX138="PT",VLOOKUP(L138,Foundation_Calc!$K$79:$R$113,VLOOKUP(AW138,Foundation_Calc!$I$2:$J$8,2,FALSE),0),
IF(AX138="K",VLOOKUP(L138,Foundation_Calc!$K$117:$R$151,VLOOKUP(AW138,Foundation_Calc!$I$2:$J$8,2,FALSE),0),"")))</f>
        <v>3.5</v>
      </c>
      <c r="AZ138" s="10" t="str">
        <f>IF(K138="","",
IF(AX138="PT",VLOOKUP(K138,Foundation_Calc!$K$79:$R$113,VLOOKUP(AW138,Foundation_Calc!$I$2:$J$8,2,FALSE),0),
IF(AX138="K",VLOOKUP(K138,Foundation_Calc!$K$117:$R$151,VLOOKUP(AW138,Foundation_Calc!$I$2:$J$8,2,FALSE),0),"")))</f>
        <v/>
      </c>
      <c r="BA138" s="495" t="str">
        <f t="shared" si="16"/>
        <v>ü</v>
      </c>
      <c r="BB138" s="495" t="str">
        <f t="shared" si="17"/>
        <v/>
      </c>
      <c r="BC138" s="495" t="str">
        <f t="shared" si="18"/>
        <v/>
      </c>
      <c r="BD138" s="513" t="str">
        <f>IF(AND(L138="",H138=""),"",
IF(H138="",Pole_Calc!A$9,
IF(H138="MP",Pole_Calc!A$10,
IF(H138="AnMP",Pole_Calc!A$11,
IF(H138="A",Pole_Calc!A$12,
IF(H138="S/A",Pole_Calc!A$13,
IF(H138="A/S",Pole_Calc!A$14,"Poner a mano")))))))</f>
        <v>App.7-V11I-P9.5.1.5</v>
      </c>
      <c r="BE138" s="429" t="s">
        <v>118</v>
      </c>
      <c r="BF138" s="289"/>
      <c r="BG138" s="289"/>
      <c r="BH138" s="290"/>
      <c r="BI138" s="289"/>
    </row>
    <row r="139" spans="1:61" ht="16.149999999999999" customHeight="1">
      <c r="A139" s="517"/>
      <c r="B139" s="450"/>
      <c r="C139" s="3"/>
      <c r="D139" s="83"/>
      <c r="E139" s="4"/>
      <c r="F139" s="4"/>
      <c r="G139" s="6">
        <v>59</v>
      </c>
      <c r="H139" s="449"/>
      <c r="I139" s="4"/>
      <c r="J139" s="3"/>
      <c r="K139" s="449"/>
      <c r="L139" s="449"/>
      <c r="M139" s="449" t="str">
        <f>IF(L139="","",
IF(AX139="PT",VLOOKUP(L139,Foundation_Calc!$V$79:$X$113,VLOOKUP(AX139,Foundation_Calc!$I$10:$J$13,2,FALSE),0),
IF(AX139="K",VLOOKUP(L139,Foundation_Calc!$V$117:$X$151,VLOOKUP(AX139,Foundation_Calc!$I$10:$J$13,2,FALSE),0),"")))</f>
        <v/>
      </c>
      <c r="N139" s="449"/>
      <c r="O139" s="449"/>
      <c r="P139" s="449"/>
      <c r="Q139" s="4"/>
      <c r="R139" s="6"/>
      <c r="S139" s="6"/>
      <c r="T139" s="4"/>
      <c r="U139" s="4"/>
      <c r="V139" s="4"/>
      <c r="W139" s="9"/>
      <c r="X139" s="9"/>
      <c r="Y139" s="9"/>
      <c r="Z139" s="9"/>
      <c r="AA139" s="9"/>
      <c r="AB139" s="9"/>
      <c r="AC139" s="449" t="str">
        <f t="shared" si="19"/>
        <v/>
      </c>
      <c r="AD139" s="449"/>
      <c r="AE139" s="449"/>
      <c r="AF139" s="4"/>
      <c r="AG139" s="83"/>
      <c r="AH139" s="4"/>
      <c r="AI139" s="4"/>
      <c r="AJ139" s="449"/>
      <c r="AK139" s="449"/>
      <c r="AL139" s="449"/>
      <c r="AM139" s="449"/>
      <c r="AN139" s="10"/>
      <c r="AO139" s="9"/>
      <c r="AP139" s="9"/>
      <c r="AQ139" s="9">
        <f>+FL_1($T$140,$U$138,$G$139,1200,9.28, 1*$F$140)</f>
        <v>0.403362113559322</v>
      </c>
      <c r="AR139" s="9"/>
      <c r="AS139" s="9"/>
      <c r="AT139" s="9"/>
      <c r="AU139" s="428"/>
      <c r="AV139" s="428"/>
      <c r="AW139" s="449" t="str">
        <f>IF(C139&gt;0,VLOOKUP(C139,Foundation_Calc!$A$2:$C$13,3,1),
IF(J139&gt;0,VLOOKUP(J139,Foundation_Calc!$A$2:$C$13,3,1),""))</f>
        <v/>
      </c>
      <c r="AX139" s="449" t="str">
        <f>IF(C139&gt;0,VLOOKUP(C139,Foundation_Calc!$E$35:$G$65,3,1),
IF(J139&gt;0,VLOOKUP(J139,Foundation_Calc!$E$35:$G$65,3,1),""))</f>
        <v/>
      </c>
      <c r="AY139" s="10" t="str">
        <f>IF(L139="","",
IF(AX139="PT",VLOOKUP(L139,Foundation_Calc!$K$79:$R$113,VLOOKUP(AW139,Foundation_Calc!$I$2:$J$8,2,FALSE),0),
IF(AX139="K",VLOOKUP(L139,Foundation_Calc!$K$117:$R$151,VLOOKUP(AW139,Foundation_Calc!$I$2:$J$8,2,FALSE),0),"")))</f>
        <v/>
      </c>
      <c r="AZ139" s="10" t="str">
        <f>IF(K139="","",
IF(AX139="PT",VLOOKUP(K139,Foundation_Calc!$K$79:$R$113,VLOOKUP(AW139,Foundation_Calc!$I$2:$J$8,2,FALSE),0),
IF(AX139="K",VLOOKUP(K139,Foundation_Calc!$K$117:$R$151,VLOOKUP(AW139,Foundation_Calc!$I$2:$J$8,2,FALSE),0),"")))</f>
        <v/>
      </c>
      <c r="BA139" s="495" t="str">
        <f t="shared" si="16"/>
        <v/>
      </c>
      <c r="BB139" s="495" t="str">
        <f t="shared" si="17"/>
        <v/>
      </c>
      <c r="BC139" s="495" t="str">
        <f t="shared" si="18"/>
        <v/>
      </c>
      <c r="BD139" s="513" t="str">
        <f>IF(AND(L139="",H139=""),"",
IF(H139="",Pole_Calc!A$9,
IF(H139="MP",Pole_Calc!A$10,
IF(H139="AnMP",Pole_Calc!A$11,
IF(H139="A",Pole_Calc!A$12,
IF(H139="S/A",Pole_Calc!A$13,
IF(H139="A/S",Pole_Calc!A$14,"Poner a mano")))))))</f>
        <v/>
      </c>
      <c r="BE139" s="429" t="s">
        <v>118</v>
      </c>
      <c r="BF139" s="290"/>
      <c r="BG139" s="290"/>
      <c r="BH139" s="290"/>
      <c r="BI139" s="290"/>
    </row>
    <row r="140" spans="1:61" ht="16.149999999999999" customHeight="1">
      <c r="A140" s="514" t="s">
        <v>1005</v>
      </c>
      <c r="B140" s="450" t="s">
        <v>1006</v>
      </c>
      <c r="C140" s="3">
        <f>+$C$138+$G$139</f>
        <v>33780.75</v>
      </c>
      <c r="D140" s="83"/>
      <c r="E140" s="4"/>
      <c r="F140" s="4">
        <v>0</v>
      </c>
      <c r="G140" s="6"/>
      <c r="H140" s="449" t="s">
        <v>131</v>
      </c>
      <c r="I140" s="4" t="s">
        <v>132</v>
      </c>
      <c r="J140" s="3"/>
      <c r="K140" s="449"/>
      <c r="L140" s="449" t="s">
        <v>148</v>
      </c>
      <c r="M140" s="449" t="str">
        <f>IF(L140="","",
IF(AX140="PT",VLOOKUP(L140,Foundation_Calc!$V$79:$X$113,VLOOKUP(AX140,Foundation_Calc!$I$10:$J$13,2,FALSE),0),
IF(AX140="K",VLOOKUP(L140,Foundation_Calc!$V$117:$X$151,VLOOKUP(AX140,Foundation_Calc!$I$10:$J$13,2,FALSE),0),"")))</f>
        <v>C4R</v>
      </c>
      <c r="N140" s="449" t="s">
        <v>134</v>
      </c>
      <c r="O140" s="449" t="s">
        <v>133</v>
      </c>
      <c r="P140" s="449"/>
      <c r="Q140" s="4"/>
      <c r="R140" s="6"/>
      <c r="S140" s="6"/>
      <c r="T140" s="4">
        <v>30</v>
      </c>
      <c r="U140" s="4">
        <v>-15</v>
      </c>
      <c r="V140" s="4"/>
      <c r="W140" s="9">
        <v>1.4</v>
      </c>
      <c r="X140" s="9">
        <v>2</v>
      </c>
      <c r="Y140" s="9"/>
      <c r="Z140" s="9"/>
      <c r="AA140" s="9">
        <v>0.55000000000000004</v>
      </c>
      <c r="AB140" s="9"/>
      <c r="AC140" s="449" t="str">
        <f t="shared" si="19"/>
        <v>PH</v>
      </c>
      <c r="AD140" s="449"/>
      <c r="AE140" s="449"/>
      <c r="AF140" s="4"/>
      <c r="AG140" s="83"/>
      <c r="AH140" s="4"/>
      <c r="AI140" s="4"/>
      <c r="AJ140" s="449" t="s">
        <v>233</v>
      </c>
      <c r="AK140" s="449"/>
      <c r="AL140" s="449"/>
      <c r="AM140" s="449" t="s">
        <v>126</v>
      </c>
      <c r="AN140" s="10">
        <v>5.5</v>
      </c>
      <c r="AO140" s="9"/>
      <c r="AP140" s="9"/>
      <c r="AQ140" s="9"/>
      <c r="AR140" s="9"/>
      <c r="AS140" s="9"/>
      <c r="AT140" s="9">
        <f>+ab($T$140,$T$138,$T$142,$G$139,$G$141, 1*$F$140,1200)</f>
        <v>13.874319073209687</v>
      </c>
      <c r="AU140" s="428"/>
      <c r="AV140" s="428"/>
      <c r="AW140" s="449" t="str">
        <f>IF(C140&gt;0,VLOOKUP(C140,Foundation_Calc!$A$2:$C$13,3,1),
IF(J140&gt;0,VLOOKUP(J140,Foundation_Calc!$A$2:$C$13,3,1),""))</f>
        <v>Multi Soil</v>
      </c>
      <c r="AX140" s="449" t="str">
        <f>IF(C140&gt;0,VLOOKUP(C140,Foundation_Calc!$E$35:$G$65,3,1),
IF(J140&gt;0,VLOOKUP(J140,Foundation_Calc!$E$35:$G$65,3,1),""))</f>
        <v>PT</v>
      </c>
      <c r="AY140" s="10">
        <f>IF(L140="","",
IF(AX140="PT",VLOOKUP(L140,Foundation_Calc!$K$79:$R$113,VLOOKUP(AW140,Foundation_Calc!$I$2:$J$8,2,FALSE),0),
IF(AX140="K",VLOOKUP(L140,Foundation_Calc!$K$117:$R$151,VLOOKUP(AW140,Foundation_Calc!$I$2:$J$8,2,FALSE),0),"")))</f>
        <v>3.7</v>
      </c>
      <c r="AZ140" s="10" t="str">
        <f>IF(K140="","",
IF(AX140="PT",VLOOKUP(K140,Foundation_Calc!$K$79:$R$113,VLOOKUP(AW140,Foundation_Calc!$I$2:$J$8,2,FALSE),0),
IF(AX140="K",VLOOKUP(K140,Foundation_Calc!$K$117:$R$151,VLOOKUP(AW140,Foundation_Calc!$I$2:$J$8,2,FALSE),0),"")))</f>
        <v/>
      </c>
      <c r="BA140" s="495" t="str">
        <f t="shared" si="16"/>
        <v>ü</v>
      </c>
      <c r="BB140" s="495" t="str">
        <f t="shared" si="17"/>
        <v/>
      </c>
      <c r="BC140" s="495" t="str">
        <f t="shared" si="18"/>
        <v/>
      </c>
      <c r="BD140" s="513" t="str">
        <f>IF(AND(L140="",H140=""),"",
IF(H140="",Pole_Calc!A$9,
IF(H140="MP",Pole_Calc!A$10,
IF(H140="AnMP",Pole_Calc!A$11,
IF(H140="A",Pole_Calc!A$12,
IF(H140="S/A",Pole_Calc!A$13,
IF(H140="A/S",Pole_Calc!A$14,"Poner a mano")))))))</f>
        <v>App.7-V11I-P9.5.1.5</v>
      </c>
      <c r="BE140" s="429" t="s">
        <v>118</v>
      </c>
      <c r="BF140" s="289"/>
      <c r="BG140" s="289"/>
      <c r="BH140" s="290"/>
      <c r="BI140" s="289"/>
    </row>
    <row r="141" spans="1:61" ht="16.149999999999999" customHeight="1">
      <c r="A141" s="514" t="s">
        <v>234</v>
      </c>
      <c r="B141" s="450"/>
      <c r="C141" s="3"/>
      <c r="D141" s="83"/>
      <c r="E141" s="4"/>
      <c r="F141" s="4"/>
      <c r="G141" s="6">
        <v>59</v>
      </c>
      <c r="H141" s="449"/>
      <c r="I141" s="4" t="s">
        <v>122</v>
      </c>
      <c r="J141" s="3"/>
      <c r="K141" s="449"/>
      <c r="L141" s="449"/>
      <c r="M141" s="449" t="str">
        <f>IF(L141="","",
IF(AX141="PT",VLOOKUP(L141,Foundation_Calc!$V$79:$X$113,VLOOKUP(AX141,Foundation_Calc!$I$10:$J$13,2,FALSE),0),
IF(AX141="K",VLOOKUP(L141,Foundation_Calc!$V$117:$X$151,VLOOKUP(AX141,Foundation_Calc!$I$10:$J$13,2,FALSE),0),"")))</f>
        <v/>
      </c>
      <c r="N141" s="449"/>
      <c r="O141" s="449"/>
      <c r="P141" s="449"/>
      <c r="Q141" s="4"/>
      <c r="R141" s="6"/>
      <c r="S141" s="6"/>
      <c r="T141" s="4"/>
      <c r="U141" s="4"/>
      <c r="V141" s="4"/>
      <c r="W141" s="9"/>
      <c r="X141" s="9"/>
      <c r="Y141" s="9"/>
      <c r="Z141" s="9"/>
      <c r="AA141" s="9"/>
      <c r="AB141" s="9"/>
      <c r="AC141" s="449" t="str">
        <f t="shared" si="19"/>
        <v/>
      </c>
      <c r="AD141" s="449"/>
      <c r="AE141" s="449"/>
      <c r="AF141" s="4"/>
      <c r="AG141" s="83"/>
      <c r="AH141" s="4"/>
      <c r="AI141" s="4"/>
      <c r="AJ141" s="449"/>
      <c r="AK141" s="449"/>
      <c r="AL141" s="449"/>
      <c r="AM141" s="449"/>
      <c r="AN141" s="10"/>
      <c r="AO141" s="9"/>
      <c r="AP141" s="9"/>
      <c r="AQ141" s="9">
        <f>+FL_2($T$142,$T$140,$G$141,1200,9.28, 1*$F$142)</f>
        <v>-0.43997069209039541</v>
      </c>
      <c r="AR141" s="9"/>
      <c r="AS141" s="9"/>
      <c r="AT141" s="9"/>
      <c r="AU141" s="428"/>
      <c r="AV141" s="428"/>
      <c r="AW141" s="449" t="str">
        <f>IF(C141&gt;0,VLOOKUP(C141,Foundation_Calc!$A$2:$C$13,3,1),
IF(J141&gt;0,VLOOKUP(J141,Foundation_Calc!$A$2:$C$13,3,1),""))</f>
        <v/>
      </c>
      <c r="AX141" s="449" t="str">
        <f>IF(C141&gt;0,VLOOKUP(C141,Foundation_Calc!$E$35:$G$65,3,1),
IF(J141&gt;0,VLOOKUP(J141,Foundation_Calc!$E$35:$G$65,3,1),""))</f>
        <v/>
      </c>
      <c r="AY141" s="10" t="str">
        <f>IF(L141="","",
IF(AX141="PT",VLOOKUP(L141,Foundation_Calc!$K$79:$R$113,VLOOKUP(AW141,Foundation_Calc!$I$2:$J$8,2,FALSE),0),
IF(AX141="K",VLOOKUP(L141,Foundation_Calc!$K$117:$R$151,VLOOKUP(AW141,Foundation_Calc!$I$2:$J$8,2,FALSE),0),"")))</f>
        <v/>
      </c>
      <c r="AZ141" s="10" t="str">
        <f>IF(K141="","",
IF(AX141="PT",VLOOKUP(K141,Foundation_Calc!$K$79:$R$113,VLOOKUP(AW141,Foundation_Calc!$I$2:$J$8,2,FALSE),0),
IF(AX141="K",VLOOKUP(K141,Foundation_Calc!$K$117:$R$151,VLOOKUP(AW141,Foundation_Calc!$I$2:$J$8,2,FALSE),0),"")))</f>
        <v/>
      </c>
      <c r="BA141" s="495" t="str">
        <f t="shared" si="16"/>
        <v/>
      </c>
      <c r="BB141" s="495" t="str">
        <f t="shared" si="17"/>
        <v/>
      </c>
      <c r="BC141" s="495" t="str">
        <f t="shared" si="18"/>
        <v/>
      </c>
      <c r="BD141" s="513" t="str">
        <f>IF(AND(L141="",H141=""),"",
IF(H141="",Pole_Calc!A$9,
IF(H141="MP",Pole_Calc!A$10,
IF(H141="AnMP",Pole_Calc!A$11,
IF(H141="A",Pole_Calc!A$12,
IF(H141="S/A",Pole_Calc!A$13,
IF(H141="A/S",Pole_Calc!A$14,"Poner a mano")))))))</f>
        <v/>
      </c>
      <c r="BE141" s="429" t="s">
        <v>118</v>
      </c>
      <c r="BF141" s="290"/>
      <c r="BG141" s="290"/>
      <c r="BH141" s="290"/>
      <c r="BI141" s="290"/>
    </row>
    <row r="142" spans="1:61" ht="16.149999999999999" customHeight="1">
      <c r="A142" s="514"/>
      <c r="B142" s="450" t="s">
        <v>1007</v>
      </c>
      <c r="C142" s="3">
        <f>+$C$140+$G$141+0.6</f>
        <v>33840.35</v>
      </c>
      <c r="D142" s="83"/>
      <c r="E142" s="4"/>
      <c r="F142" s="4">
        <v>0</v>
      </c>
      <c r="G142" s="6"/>
      <c r="H142" s="449" t="s">
        <v>551</v>
      </c>
      <c r="I142" s="4" t="s">
        <v>122</v>
      </c>
      <c r="J142" s="3"/>
      <c r="K142" s="449"/>
      <c r="L142" s="449" t="s">
        <v>206</v>
      </c>
      <c r="M142" s="449" t="str">
        <f>IF(L142="","",
IF(AX142="PT",VLOOKUP(L142,Foundation_Calc!$V$79:$X$113,VLOOKUP(AX142,Foundation_Calc!$I$10:$J$13,2,FALSE),0),
IF(AX142="K",VLOOKUP(L142,Foundation_Calc!$V$117:$X$151,VLOOKUP(AX142,Foundation_Calc!$I$10:$J$13,2,FALSE),0),"")))</f>
        <v>2C4R</v>
      </c>
      <c r="N142" s="449" t="s">
        <v>124</v>
      </c>
      <c r="O142" s="449"/>
      <c r="P142" s="449"/>
      <c r="Q142" s="4"/>
      <c r="R142" s="6"/>
      <c r="S142" s="6"/>
      <c r="T142" s="4">
        <v>-35</v>
      </c>
      <c r="U142" s="4"/>
      <c r="V142" s="4"/>
      <c r="W142" s="9">
        <v>1.4</v>
      </c>
      <c r="X142" s="9"/>
      <c r="Y142" s="9"/>
      <c r="Z142" s="9"/>
      <c r="AA142" s="9"/>
      <c r="AB142" s="9"/>
      <c r="AC142" s="449" t="str">
        <f t="shared" si="19"/>
        <v>PH</v>
      </c>
      <c r="AD142" s="449"/>
      <c r="AE142" s="449"/>
      <c r="AF142" s="4"/>
      <c r="AG142" s="83"/>
      <c r="AH142" s="4"/>
      <c r="AI142" s="4"/>
      <c r="AJ142" s="449"/>
      <c r="AK142" s="449"/>
      <c r="AL142" s="449"/>
      <c r="AM142" s="449" t="s">
        <v>126</v>
      </c>
      <c r="AN142" s="10">
        <v>5.5</v>
      </c>
      <c r="AO142" s="9"/>
      <c r="AP142" s="9"/>
      <c r="AQ142" s="9"/>
      <c r="AR142" s="9"/>
      <c r="AS142" s="9"/>
      <c r="AT142" s="9">
        <f>+ab($T$142,$T$140,$U$144,$G$141,$G$143, 1*$F$142,1200)</f>
        <v>-13.853091455624655</v>
      </c>
      <c r="AU142" s="428"/>
      <c r="AV142" s="428"/>
      <c r="AW142" s="449" t="str">
        <f>IF(C142&gt;0,VLOOKUP(C142,Foundation_Calc!$A$2:$C$13,3,1),
IF(J142&gt;0,VLOOKUP(J142,Foundation_Calc!$A$2:$C$13,3,1),""))</f>
        <v>Multi Soil</v>
      </c>
      <c r="AX142" s="449" t="str">
        <f>IF(C142&gt;0,VLOOKUP(C142,Foundation_Calc!$E$35:$G$65,3,1),
IF(J142&gt;0,VLOOKUP(J142,Foundation_Calc!$E$35:$G$65,3,1),""))</f>
        <v>PT</v>
      </c>
      <c r="AY142" s="10">
        <f>IF(L142="","",
IF(AX142="PT",VLOOKUP(L142,Foundation_Calc!$K$79:$R$113,VLOOKUP(AW142,Foundation_Calc!$I$2:$J$8,2,FALSE),0),
IF(AX142="K",VLOOKUP(L142,Foundation_Calc!$K$117:$R$151,VLOOKUP(AW142,Foundation_Calc!$I$2:$J$8,2,FALSE),0),"")))</f>
        <v>4</v>
      </c>
      <c r="AZ142" s="10" t="str">
        <f>IF(K142="","",
IF(AX142="PT",VLOOKUP(K142,Foundation_Calc!$K$79:$R$113,VLOOKUP(AW142,Foundation_Calc!$I$2:$J$8,2,FALSE),0),
IF(AX142="K",VLOOKUP(K142,Foundation_Calc!$K$117:$R$151,VLOOKUP(AW142,Foundation_Calc!$I$2:$J$8,2,FALSE),0),"")))</f>
        <v/>
      </c>
      <c r="BA142" s="495" t="str">
        <f t="shared" si="16"/>
        <v>ü</v>
      </c>
      <c r="BB142" s="495" t="str">
        <f t="shared" si="17"/>
        <v/>
      </c>
      <c r="BC142" s="495" t="str">
        <f t="shared" si="18"/>
        <v/>
      </c>
      <c r="BD142" s="513" t="str">
        <f>Pole_Calc!A$167</f>
        <v>App.7-V11I-P9.5.15.2</v>
      </c>
      <c r="BE142" s="429" t="s">
        <v>118</v>
      </c>
      <c r="BF142" s="289"/>
      <c r="BG142" s="289"/>
      <c r="BH142" s="290"/>
      <c r="BI142" s="289"/>
    </row>
    <row r="143" spans="1:61" ht="16.149999999999999" customHeight="1">
      <c r="A143" s="514"/>
      <c r="B143" s="450"/>
      <c r="C143" s="3"/>
      <c r="D143" s="83"/>
      <c r="E143" s="4"/>
      <c r="F143" s="4"/>
      <c r="G143" s="6">
        <v>58.5</v>
      </c>
      <c r="H143" s="449"/>
      <c r="I143" s="4" t="s">
        <v>549</v>
      </c>
      <c r="J143" s="3"/>
      <c r="K143" s="449"/>
      <c r="L143" s="449"/>
      <c r="M143" s="449" t="str">
        <f>IF(L143="","",
IF(AX143="PT",VLOOKUP(L143,Foundation_Calc!$V$79:$X$113,VLOOKUP(AX143,Foundation_Calc!$I$10:$J$13,2,FALSE),0),
IF(AX143="K",VLOOKUP(L143,Foundation_Calc!$V$117:$X$151,VLOOKUP(AX143,Foundation_Calc!$I$10:$J$13,2,FALSE),0),"")))</f>
        <v/>
      </c>
      <c r="N143" s="449"/>
      <c r="O143" s="449"/>
      <c r="P143" s="449"/>
      <c r="Q143" s="4"/>
      <c r="R143" s="6"/>
      <c r="S143" s="6"/>
      <c r="T143" s="4"/>
      <c r="U143" s="4"/>
      <c r="V143" s="4"/>
      <c r="W143" s="572"/>
      <c r="X143" s="9"/>
      <c r="Y143" s="9"/>
      <c r="Z143" s="9"/>
      <c r="AA143" s="9"/>
      <c r="AB143" s="9"/>
      <c r="AC143" s="449" t="str">
        <f t="shared" si="19"/>
        <v/>
      </c>
      <c r="AD143" s="449"/>
      <c r="AE143" s="449"/>
      <c r="AF143" s="4"/>
      <c r="AG143" s="83"/>
      <c r="AH143" s="4"/>
      <c r="AI143" s="4"/>
      <c r="AJ143" s="449"/>
      <c r="AK143" s="449"/>
      <c r="AL143" s="449"/>
      <c r="AM143" s="449"/>
      <c r="AN143" s="10"/>
      <c r="AO143" s="9"/>
      <c r="AP143" s="9"/>
      <c r="AQ143" s="9">
        <f>+FL_1($U$144,$T$142,$G$143,1200,9.28, 1*$F$144)</f>
        <v>6.0068325846153806E-2</v>
      </c>
      <c r="AR143" s="9"/>
      <c r="AS143" s="9"/>
      <c r="AT143" s="9"/>
      <c r="AU143" s="428"/>
      <c r="AV143" s="428"/>
      <c r="AW143" s="449" t="str">
        <f>IF(C143&gt;0,VLOOKUP(C143,Foundation_Calc!$A$2:$C$13,3,1),
IF(J143&gt;0,VLOOKUP(J143,Foundation_Calc!$A$2:$C$13,3,1),""))</f>
        <v/>
      </c>
      <c r="AX143" s="449" t="str">
        <f>IF(C143&gt;0,VLOOKUP(C143,Foundation_Calc!$E$35:$G$65,3,1),
IF(J143&gt;0,VLOOKUP(J143,Foundation_Calc!$E$35:$G$65,3,1),""))</f>
        <v/>
      </c>
      <c r="AY143" s="10" t="str">
        <f>IF(L143="","",
IF(AX143="PT",VLOOKUP(L143,Foundation_Calc!$K$79:$R$113,VLOOKUP(AW143,Foundation_Calc!$I$2:$J$8,2,FALSE),0),
IF(AX143="K",VLOOKUP(L143,Foundation_Calc!$K$117:$R$151,VLOOKUP(AW143,Foundation_Calc!$I$2:$J$8,2,FALSE),0),"")))</f>
        <v/>
      </c>
      <c r="AZ143" s="10" t="str">
        <f>IF(K143="","",
IF(AX143="PT",VLOOKUP(K143,Foundation_Calc!$K$79:$R$113,VLOOKUP(AW143,Foundation_Calc!$I$2:$J$8,2,FALSE),0),
IF(AX143="K",VLOOKUP(K143,Foundation_Calc!$K$117:$R$151,VLOOKUP(AW143,Foundation_Calc!$I$2:$J$8,2,FALSE),0),"")))</f>
        <v/>
      </c>
      <c r="BA143" s="495" t="str">
        <f t="shared" si="16"/>
        <v/>
      </c>
      <c r="BB143" s="495" t="str">
        <f t="shared" si="17"/>
        <v/>
      </c>
      <c r="BC143" s="495" t="str">
        <f t="shared" si="18"/>
        <v/>
      </c>
      <c r="BD143" s="513" t="str">
        <f>IF(AND(L143="",H143=""),"",
IF(H143="",Pole_Calc!A$9,
IF(H143="MP",Pole_Calc!A$10,
IF(H143="AnMP",Pole_Calc!A$11,
IF(H143="A",Pole_Calc!A$12,
IF(H143="S/A",Pole_Calc!A$13,
IF(H143="A/S",Pole_Calc!A$14,"Poner a mano")))))))</f>
        <v/>
      </c>
      <c r="BE143" s="429" t="s">
        <v>118</v>
      </c>
      <c r="BF143" s="290"/>
      <c r="BG143" s="290"/>
      <c r="BH143" s="290"/>
      <c r="BI143" s="290"/>
    </row>
    <row r="144" spans="1:61" ht="16.149999999999999" customHeight="1">
      <c r="A144" s="514"/>
      <c r="B144" s="450" t="s">
        <v>1008</v>
      </c>
      <c r="C144" s="3">
        <f>+$C$142+$G$143</f>
        <v>33898.85</v>
      </c>
      <c r="D144" s="83"/>
      <c r="E144" s="4"/>
      <c r="F144" s="4">
        <v>0</v>
      </c>
      <c r="G144" s="6"/>
      <c r="H144" s="449" t="s">
        <v>131</v>
      </c>
      <c r="I144" s="4" t="s">
        <v>549</v>
      </c>
      <c r="J144" s="3"/>
      <c r="K144" s="449"/>
      <c r="L144" s="449" t="s">
        <v>158</v>
      </c>
      <c r="M144" s="449" t="str">
        <f>IF(L144="","",
IF(AX144="PT",VLOOKUP(L144,Foundation_Calc!$V$79:$X$113,VLOOKUP(AX144,Foundation_Calc!$I$10:$J$13,2,FALSE),0),
IF(AX144="K",VLOOKUP(L144,Foundation_Calc!$V$117:$X$151,VLOOKUP(AX144,Foundation_Calc!$I$10:$J$13,2,FALSE),0),"")))</f>
        <v>C4R</v>
      </c>
      <c r="N144" s="554" t="s">
        <v>133</v>
      </c>
      <c r="O144" s="449" t="s">
        <v>124</v>
      </c>
      <c r="P144" s="449"/>
      <c r="Q144" s="4"/>
      <c r="R144" s="6"/>
      <c r="S144" s="6"/>
      <c r="T144" s="4">
        <v>35</v>
      </c>
      <c r="U144" s="4">
        <v>-20</v>
      </c>
      <c r="V144" s="4"/>
      <c r="W144" s="9">
        <v>1.4</v>
      </c>
      <c r="X144" s="9">
        <v>2</v>
      </c>
      <c r="Y144" s="9"/>
      <c r="Z144" s="9">
        <v>0.6</v>
      </c>
      <c r="AA144" s="9"/>
      <c r="AB144" s="9"/>
      <c r="AC144" s="449"/>
      <c r="AD144" s="449"/>
      <c r="AE144" s="449"/>
      <c r="AF144" s="4"/>
      <c r="AG144" s="83"/>
      <c r="AH144" s="4"/>
      <c r="AI144" s="4"/>
      <c r="AJ144" s="449"/>
      <c r="AK144" s="449"/>
      <c r="AL144" s="449"/>
      <c r="AM144" s="449" t="s">
        <v>126</v>
      </c>
      <c r="AN144" s="10">
        <v>5.5</v>
      </c>
      <c r="AO144" s="9"/>
      <c r="AP144" s="9"/>
      <c r="AQ144" s="9"/>
      <c r="AR144" s="9"/>
      <c r="AS144" s="9"/>
      <c r="AT144" s="9">
        <f>+ab($U$144,$T$142,$U$146,$G$143,$G$145, 1*$F$144,1200)</f>
        <v>-22.839208899640788</v>
      </c>
      <c r="AU144" s="428"/>
      <c r="AV144" s="428"/>
      <c r="AW144" s="449" t="str">
        <f>IF(C144&gt;0,VLOOKUP(C144,Foundation_Calc!$A$2:$C$13,3,1),
IF(J144&gt;0,VLOOKUP(J144,Foundation_Calc!$A$2:$C$13,3,1),""))</f>
        <v>Multi Soil</v>
      </c>
      <c r="AX144" s="449" t="str">
        <f>IF(C144&gt;0,VLOOKUP(C144,Foundation_Calc!$E$35:$G$65,3,1),
IF(J144&gt;0,VLOOKUP(J144,Foundation_Calc!$E$35:$G$65,3,1),""))</f>
        <v>PT</v>
      </c>
      <c r="AY144" s="10">
        <f>IF(L144="","",
IF(AX144="PT",VLOOKUP(L144,Foundation_Calc!$K$79:$R$113,VLOOKUP(AW144,Foundation_Calc!$I$2:$J$8,2,FALSE),0),
IF(AX144="K",VLOOKUP(L144,Foundation_Calc!$K$117:$R$151,VLOOKUP(AW144,Foundation_Calc!$I$2:$J$8,2,FALSE),0),"")))</f>
        <v>3.5</v>
      </c>
      <c r="AZ144" s="10" t="str">
        <f>IF(K144="","",
IF(AX144="PT",VLOOKUP(K144,Foundation_Calc!$K$79:$R$113,VLOOKUP(AW144,Foundation_Calc!$I$2:$J$8,2,FALSE),0),
IF(AX144="K",VLOOKUP(K144,Foundation_Calc!$K$117:$R$151,VLOOKUP(AW144,Foundation_Calc!$I$2:$J$8,2,FALSE),0),"")))</f>
        <v/>
      </c>
      <c r="BA144" s="495" t="str">
        <f t="shared" si="16"/>
        <v>ü</v>
      </c>
      <c r="BB144" s="495" t="str">
        <f t="shared" si="17"/>
        <v/>
      </c>
      <c r="BC144" s="495" t="str">
        <f t="shared" si="18"/>
        <v/>
      </c>
      <c r="BD144" s="513" t="str">
        <f>IF(AND(L144="",H144=""),"",
IF(H144="",Pole_Calc!A$9,
IF(H144="MP",Pole_Calc!A$10,
IF(H144="AnMP",Pole_Calc!A$11,
IF(H144="A",Pole_Calc!A$12,
IF(H144="S/A",Pole_Calc!A$13,
IF(H144="A/S",Pole_Calc!A$14,"Poner a mano")))))))</f>
        <v>App.7-V11I-P9.5.1.5</v>
      </c>
      <c r="BE144" s="429" t="s">
        <v>118</v>
      </c>
      <c r="BF144" s="289"/>
      <c r="BG144" s="289"/>
      <c r="BH144" s="290"/>
      <c r="BI144" s="289"/>
    </row>
    <row r="145" spans="1:61" ht="16.149999999999999" customHeight="1">
      <c r="A145" s="514" t="s">
        <v>169</v>
      </c>
      <c r="B145" s="450"/>
      <c r="C145" s="3"/>
      <c r="D145" s="83"/>
      <c r="E145" s="4"/>
      <c r="F145" s="4"/>
      <c r="G145" s="6">
        <v>52.3</v>
      </c>
      <c r="H145" s="449"/>
      <c r="I145" s="4"/>
      <c r="J145" s="3"/>
      <c r="K145" s="449"/>
      <c r="L145" s="449"/>
      <c r="M145" s="449" t="str">
        <f>IF(L145="","",
IF(AX145="PT",VLOOKUP(L145,Foundation_Calc!$V$79:$X$113,VLOOKUP(AX145,Foundation_Calc!$I$10:$J$13,2,FALSE),0),
IF(AX145="K",VLOOKUP(L145,Foundation_Calc!$V$117:$X$151,VLOOKUP(AX145,Foundation_Calc!$I$10:$J$13,2,FALSE),0),"")))</f>
        <v/>
      </c>
      <c r="N145" s="449"/>
      <c r="O145" s="554"/>
      <c r="P145" s="449"/>
      <c r="Q145" s="4"/>
      <c r="R145" s="6"/>
      <c r="S145" s="6"/>
      <c r="T145" s="4"/>
      <c r="U145" s="4"/>
      <c r="V145" s="4"/>
      <c r="W145" s="572"/>
      <c r="X145" s="9"/>
      <c r="Y145" s="9"/>
      <c r="Z145" s="9"/>
      <c r="AA145" s="9"/>
      <c r="AB145" s="9"/>
      <c r="AC145" s="449" t="str">
        <f t="shared" si="19"/>
        <v/>
      </c>
      <c r="AD145" s="449"/>
      <c r="AE145" s="449"/>
      <c r="AF145" s="4"/>
      <c r="AG145" s="83"/>
      <c r="AH145" s="4"/>
      <c r="AI145" s="4"/>
      <c r="AJ145" s="449"/>
      <c r="AK145" s="449"/>
      <c r="AL145" s="449"/>
      <c r="AM145" s="449"/>
      <c r="AN145" s="10"/>
      <c r="AO145" s="9"/>
      <c r="AP145" s="9"/>
      <c r="AQ145" s="9">
        <f>+FL_1($U$146,$U$144,$G$145,1200,9.28, 1*$F$146)</f>
        <v>0.41091453250478005</v>
      </c>
      <c r="AR145" s="9"/>
      <c r="AS145" s="9"/>
      <c r="AT145" s="9"/>
      <c r="AU145" s="428"/>
      <c r="AV145" s="428"/>
      <c r="AW145" s="449" t="str">
        <f>IF(C145&gt;0,VLOOKUP(C145,Foundation_Calc!$A$2:$C$13,3,1),
IF(J145&gt;0,VLOOKUP(J145,Foundation_Calc!$A$2:$C$13,3,1),""))</f>
        <v/>
      </c>
      <c r="AX145" s="449" t="str">
        <f>IF(C145&gt;0,VLOOKUP(C145,Foundation_Calc!$E$35:$G$65,3,1),
IF(J145&gt;0,VLOOKUP(J145,Foundation_Calc!$E$35:$G$65,3,1),""))</f>
        <v/>
      </c>
      <c r="AY145" s="10" t="str">
        <f>IF(L145="","",
IF(AX145="PT",VLOOKUP(L145,Foundation_Calc!$K$79:$R$113,VLOOKUP(AW145,Foundation_Calc!$I$2:$J$8,2,FALSE),0),
IF(AX145="K",VLOOKUP(L145,Foundation_Calc!$K$117:$R$151,VLOOKUP(AW145,Foundation_Calc!$I$2:$J$8,2,FALSE),0),"")))</f>
        <v/>
      </c>
      <c r="AZ145" s="10" t="str">
        <f>IF(K145="","",
IF(AX145="PT",VLOOKUP(K145,Foundation_Calc!$K$79:$R$113,VLOOKUP(AW145,Foundation_Calc!$I$2:$J$8,2,FALSE),0),
IF(AX145="K",VLOOKUP(K145,Foundation_Calc!$K$117:$R$151,VLOOKUP(AW145,Foundation_Calc!$I$2:$J$8,2,FALSE),0),"")))</f>
        <v/>
      </c>
      <c r="BA145" s="495" t="str">
        <f t="shared" si="16"/>
        <v/>
      </c>
      <c r="BB145" s="495" t="str">
        <f t="shared" si="17"/>
        <v/>
      </c>
      <c r="BC145" s="495" t="str">
        <f t="shared" si="18"/>
        <v/>
      </c>
      <c r="BD145" s="513" t="str">
        <f>IF(AND(L145="",H145=""),"",
IF(H145="",Pole_Calc!A$9,
IF(H145="MP",Pole_Calc!A$10,
IF(H145="AnMP",Pole_Calc!A$11,
IF(H145="A",Pole_Calc!A$12,
IF(H145="S/A",Pole_Calc!A$13,
IF(H145="A/S",Pole_Calc!A$14,"Poner a mano")))))))</f>
        <v/>
      </c>
      <c r="BE145" s="429" t="s">
        <v>118</v>
      </c>
      <c r="BF145" s="290"/>
      <c r="BG145" s="290"/>
      <c r="BH145" s="290"/>
      <c r="BI145" s="290"/>
    </row>
    <row r="146" spans="1:61" ht="16.149999999999999" customHeight="1">
      <c r="A146" s="514"/>
      <c r="B146" s="450" t="s">
        <v>1009</v>
      </c>
      <c r="C146" s="3">
        <f>+$C$144+$G$145</f>
        <v>33951.15</v>
      </c>
      <c r="D146" s="83"/>
      <c r="E146" s="4"/>
      <c r="F146" s="4">
        <v>0</v>
      </c>
      <c r="G146" s="6"/>
      <c r="H146" s="449" t="s">
        <v>846</v>
      </c>
      <c r="I146" s="4"/>
      <c r="J146" s="3"/>
      <c r="K146" s="449"/>
      <c r="L146" s="449" t="s">
        <v>201</v>
      </c>
      <c r="M146" s="449" t="str">
        <f>IF(L146="","",
IF(AX146="PT",VLOOKUP(L146,Foundation_Calc!$V$79:$X$113,VLOOKUP(AX146,Foundation_Calc!$I$10:$J$13,2,FALSE),0),
IF(AX146="K",VLOOKUP(L146,Foundation_Calc!$V$117:$X$151,VLOOKUP(AX146,Foundation_Calc!$I$10:$J$13,2,FALSE),0),"")))</f>
        <v/>
      </c>
      <c r="N146" s="554" t="s">
        <v>840</v>
      </c>
      <c r="O146" s="449" t="s">
        <v>453</v>
      </c>
      <c r="P146" s="554" t="s">
        <v>343</v>
      </c>
      <c r="Q146" s="4"/>
      <c r="R146" s="6"/>
      <c r="S146" s="6"/>
      <c r="T146" s="4">
        <v>55</v>
      </c>
      <c r="U146" s="4">
        <v>35</v>
      </c>
      <c r="V146" s="4">
        <v>20</v>
      </c>
      <c r="W146" s="9">
        <v>1.4</v>
      </c>
      <c r="X146" s="9">
        <v>1.8</v>
      </c>
      <c r="Y146" s="9">
        <v>2</v>
      </c>
      <c r="Z146" s="9">
        <v>0.45</v>
      </c>
      <c r="AA146" s="9"/>
      <c r="AB146" s="9"/>
      <c r="AC146" s="449"/>
      <c r="AD146" s="449"/>
      <c r="AE146" s="449"/>
      <c r="AF146" s="4"/>
      <c r="AG146" s="83"/>
      <c r="AH146" s="4"/>
      <c r="AI146" s="4"/>
      <c r="AJ146" s="449"/>
      <c r="AK146" s="449" t="s">
        <v>844</v>
      </c>
      <c r="AL146" s="449"/>
      <c r="AM146" s="449"/>
      <c r="AN146" s="10">
        <v>5.5</v>
      </c>
      <c r="AO146" s="9"/>
      <c r="AP146" s="9"/>
      <c r="AQ146" s="9"/>
      <c r="AR146" s="9"/>
      <c r="AS146" s="9"/>
      <c r="AT146" s="9">
        <f>+ab($U$146,$U$144,$U$148,$G$145,$G$147, 1*$F$146,1200)</f>
        <v>8.1992945177497578</v>
      </c>
      <c r="AU146" s="428"/>
      <c r="AV146" s="428"/>
      <c r="AW146" s="449" t="s">
        <v>201</v>
      </c>
      <c r="AX146" s="449" t="s">
        <v>201</v>
      </c>
      <c r="AY146" s="10" t="str">
        <f>IF(L146="","",
IF(AX146="PT",VLOOKUP(L146,Foundation_Calc!$K$79:$R$113,VLOOKUP(AW146,Foundation_Calc!$I$2:$J$8,2,FALSE),0),
IF(AX146="K",VLOOKUP(L146,Foundation_Calc!$K$117:$R$151,VLOOKUP(AW146,Foundation_Calc!$I$2:$J$8,2,FALSE),0),"")))</f>
        <v/>
      </c>
      <c r="AZ146" s="10" t="str">
        <f>IF(K146="","",
IF(AX146="PT",VLOOKUP(K146,Foundation_Calc!$K$79:$R$113,VLOOKUP(AW146,Foundation_Calc!$I$2:$J$8,2,FALSE),0),
IF(AX146="K",VLOOKUP(K146,Foundation_Calc!$K$117:$R$151,VLOOKUP(AW146,Foundation_Calc!$I$2:$J$8,2,FALSE),0),"")))</f>
        <v/>
      </c>
      <c r="BA146" s="495" t="str">
        <f t="shared" si="16"/>
        <v/>
      </c>
      <c r="BB146" s="495" t="str">
        <f t="shared" si="17"/>
        <v/>
      </c>
      <c r="BC146" s="495" t="str">
        <f t="shared" si="18"/>
        <v/>
      </c>
      <c r="BD146" s="513"/>
      <c r="BE146" s="429" t="s">
        <v>118</v>
      </c>
      <c r="BF146" s="289"/>
      <c r="BG146" s="289"/>
      <c r="BH146" s="290"/>
      <c r="BI146" s="289"/>
    </row>
    <row r="147" spans="1:61" ht="16.149999999999999" customHeight="1">
      <c r="A147" s="514"/>
      <c r="B147" s="450"/>
      <c r="C147" s="3"/>
      <c r="D147" s="83"/>
      <c r="E147" s="4"/>
      <c r="F147" s="4"/>
      <c r="G147" s="6">
        <v>55</v>
      </c>
      <c r="H147" s="449"/>
      <c r="I147" s="4"/>
      <c r="J147" s="3"/>
      <c r="K147" s="449"/>
      <c r="L147" s="449"/>
      <c r="M147" s="449" t="str">
        <f>IF(L147="","",
IF(AX147="PT",VLOOKUP(L147,Foundation_Calc!$V$79:$X$113,VLOOKUP(AX147,Foundation_Calc!$I$10:$J$13,2,FALSE),0),
IF(AX147="K",VLOOKUP(L147,Foundation_Calc!$V$117:$X$151,VLOOKUP(AX147,Foundation_Calc!$I$10:$J$13,2,FALSE),0),"")))</f>
        <v/>
      </c>
      <c r="N147" s="449"/>
      <c r="O147" s="449"/>
      <c r="P147" s="561"/>
      <c r="Q147" s="4"/>
      <c r="R147" s="6"/>
      <c r="S147" s="6"/>
      <c r="T147" s="4"/>
      <c r="U147" s="4"/>
      <c r="V147" s="4"/>
      <c r="W147" s="9"/>
      <c r="X147" s="9"/>
      <c r="Y147" s="9"/>
      <c r="Z147" s="9"/>
      <c r="AA147" s="9"/>
      <c r="AB147" s="9"/>
      <c r="AC147" s="449" t="str">
        <f t="shared" si="19"/>
        <v/>
      </c>
      <c r="AD147" s="449"/>
      <c r="AE147" s="449"/>
      <c r="AF147" s="4"/>
      <c r="AG147" s="83"/>
      <c r="AH147" s="4"/>
      <c r="AI147" s="4"/>
      <c r="AJ147" s="449"/>
      <c r="AK147" s="449"/>
      <c r="AL147" s="449"/>
      <c r="AM147" s="449"/>
      <c r="AN147" s="10"/>
      <c r="AO147" s="9"/>
      <c r="AP147" s="9"/>
      <c r="AQ147" s="9">
        <f>+FL_1($U$148,$U$146,$G$147,1200,9.28, 1*$F$148)</f>
        <v>0.39714735709090898</v>
      </c>
      <c r="AR147" s="9"/>
      <c r="AS147" s="9"/>
      <c r="AT147" s="9"/>
      <c r="AU147" s="428"/>
      <c r="AV147" s="428"/>
      <c r="AW147" s="449"/>
      <c r="AX147" s="449"/>
      <c r="AY147" s="10" t="str">
        <f>IF(L147="","",
IF(AX147="PT",VLOOKUP(L147,Foundation_Calc!$K$79:$R$113,VLOOKUP(AW147,Foundation_Calc!$I$2:$J$8,2,FALSE),0),
IF(AX147="K",VLOOKUP(L147,Foundation_Calc!$K$117:$R$151,VLOOKUP(AW147,Foundation_Calc!$I$2:$J$8,2,FALSE),0),"")))</f>
        <v/>
      </c>
      <c r="AZ147" s="10" t="str">
        <f>IF(K147="","",
IF(AX147="PT",VLOOKUP(K147,Foundation_Calc!$K$79:$R$113,VLOOKUP(AW147,Foundation_Calc!$I$2:$J$8,2,FALSE),0),
IF(AX147="K",VLOOKUP(K147,Foundation_Calc!$K$117:$R$151,VLOOKUP(AW147,Foundation_Calc!$I$2:$J$8,2,FALSE),0),"")))</f>
        <v/>
      </c>
      <c r="BA147" s="495" t="str">
        <f t="shared" si="16"/>
        <v/>
      </c>
      <c r="BB147" s="495" t="str">
        <f t="shared" si="17"/>
        <v/>
      </c>
      <c r="BC147" s="495" t="str">
        <f t="shared" si="18"/>
        <v/>
      </c>
      <c r="BD147" s="513" t="str">
        <f>IF(AND(L147="",H147=""),"",
IF(H147="",Pole_Calc!A$9,
IF(H147="MP",Pole_Calc!A$10,
IF(H147="AnMP",Pole_Calc!A$11,
IF(H147="A",Pole_Calc!A$12,
IF(H147="S/A",Pole_Calc!A$13,
IF(H147="A/S",Pole_Calc!A$14,"Poner a mano")))))))</f>
        <v/>
      </c>
      <c r="BE147" s="429" t="s">
        <v>118</v>
      </c>
      <c r="BF147" s="290"/>
      <c r="BG147" s="290"/>
      <c r="BH147" s="290"/>
      <c r="BI147" s="290"/>
    </row>
    <row r="148" spans="1:61" ht="16.149999999999999" customHeight="1">
      <c r="A148" s="514"/>
      <c r="B148" s="450" t="s">
        <v>1010</v>
      </c>
      <c r="C148" s="3">
        <f>+$C$146+$G$147</f>
        <v>34006.15</v>
      </c>
      <c r="D148" s="83"/>
      <c r="E148" s="4"/>
      <c r="F148" s="4">
        <v>0</v>
      </c>
      <c r="G148" s="6"/>
      <c r="H148" s="449" t="s">
        <v>1011</v>
      </c>
      <c r="I148" s="4"/>
      <c r="J148" s="3"/>
      <c r="K148" s="449"/>
      <c r="L148" s="449" t="s">
        <v>201</v>
      </c>
      <c r="M148" s="449" t="str">
        <f>IF(L148="","",
IF(AX148="PT",VLOOKUP(L148,Foundation_Calc!$V$79:$X$113,VLOOKUP(AX148,Foundation_Calc!$I$10:$J$13,2,FALSE),0),
IF(AX148="K",VLOOKUP(L148,Foundation_Calc!$V$117:$X$151,VLOOKUP(AX148,Foundation_Calc!$I$10:$J$13,2,FALSE),0),"")))</f>
        <v/>
      </c>
      <c r="N148" s="554" t="s">
        <v>453</v>
      </c>
      <c r="O148" s="449" t="s">
        <v>343</v>
      </c>
      <c r="P148" s="554" t="s">
        <v>840</v>
      </c>
      <c r="Q148" s="4"/>
      <c r="R148" s="6"/>
      <c r="S148" s="6"/>
      <c r="T148" s="4">
        <v>-20</v>
      </c>
      <c r="U148" s="4">
        <v>-35</v>
      </c>
      <c r="V148" s="4">
        <v>-55</v>
      </c>
      <c r="W148" s="9">
        <v>1.4</v>
      </c>
      <c r="X148" s="9">
        <v>1.8</v>
      </c>
      <c r="Y148" s="9">
        <v>2</v>
      </c>
      <c r="Z148" s="9"/>
      <c r="AA148" s="9"/>
      <c r="AB148" s="9">
        <v>0.45</v>
      </c>
      <c r="AC148" s="449" t="str">
        <f t="shared" si="19"/>
        <v>PHQ</v>
      </c>
      <c r="AD148" s="449"/>
      <c r="AE148" s="449"/>
      <c r="AF148" s="4"/>
      <c r="AG148" s="83"/>
      <c r="AH148" s="4"/>
      <c r="AI148" s="4"/>
      <c r="AJ148" s="449" t="s">
        <v>239</v>
      </c>
      <c r="AK148" s="449" t="s">
        <v>844</v>
      </c>
      <c r="AL148" s="449"/>
      <c r="AM148" s="449"/>
      <c r="AN148" s="10">
        <v>5.5</v>
      </c>
      <c r="AO148" s="9"/>
      <c r="AP148" s="9"/>
      <c r="AQ148" s="9"/>
      <c r="AR148" s="9"/>
      <c r="AS148" s="9"/>
      <c r="AT148" s="9">
        <f>+ab($U$148,$U$146,$T$150,$G$147,$G$149, 1*$F$148,1200)</f>
        <v>-7.0752086319693017</v>
      </c>
      <c r="AU148" s="428"/>
      <c r="AV148" s="428"/>
      <c r="AW148" s="449" t="s">
        <v>201</v>
      </c>
      <c r="AX148" s="449" t="s">
        <v>201</v>
      </c>
      <c r="AY148" s="10" t="str">
        <f>IF(L148="","",
IF(AX148="PT",VLOOKUP(L148,Foundation_Calc!$K$79:$R$113,VLOOKUP(AW148,Foundation_Calc!$I$2:$J$8,2,FALSE),0),
IF(AX148="K",VLOOKUP(L148,Foundation_Calc!$K$117:$R$151,VLOOKUP(AW148,Foundation_Calc!$I$2:$J$8,2,FALSE),0),"")))</f>
        <v/>
      </c>
      <c r="AZ148" s="10" t="str">
        <f>IF(K148="","",
IF(AX148="PT",VLOOKUP(K148,Foundation_Calc!$K$79:$R$113,VLOOKUP(AW148,Foundation_Calc!$I$2:$J$8,2,FALSE),0),
IF(AX148="K",VLOOKUP(K148,Foundation_Calc!$K$117:$R$151,VLOOKUP(AW148,Foundation_Calc!$I$2:$J$8,2,FALSE),0),"")))</f>
        <v/>
      </c>
      <c r="BA148" s="495" t="str">
        <f t="shared" si="16"/>
        <v/>
      </c>
      <c r="BB148" s="495" t="str">
        <f t="shared" si="17"/>
        <v/>
      </c>
      <c r="BC148" s="495" t="str">
        <f t="shared" si="18"/>
        <v/>
      </c>
      <c r="BD148" s="513"/>
      <c r="BE148" s="429" t="s">
        <v>118</v>
      </c>
      <c r="BF148" s="289"/>
      <c r="BG148" s="289"/>
      <c r="BH148" s="290"/>
      <c r="BI148" s="289"/>
    </row>
    <row r="149" spans="1:61" ht="16.149999999999999" customHeight="1">
      <c r="A149" s="514"/>
      <c r="B149" s="450"/>
      <c r="C149" s="3"/>
      <c r="D149" s="83"/>
      <c r="E149" s="4"/>
      <c r="F149" s="4"/>
      <c r="G149" s="6">
        <v>49.1</v>
      </c>
      <c r="H149" s="449"/>
      <c r="I149" s="4"/>
      <c r="J149" s="3"/>
      <c r="K149" s="449"/>
      <c r="L149" s="449"/>
      <c r="M149" s="449" t="str">
        <f>IF(L149="","",
IF(AX149="PT",VLOOKUP(L149,Foundation_Calc!$V$79:$X$113,VLOOKUP(AX149,Foundation_Calc!$I$10:$J$13,2,FALSE),0),
IF(AX149="K",VLOOKUP(L149,Foundation_Calc!$V$117:$X$151,VLOOKUP(AX149,Foundation_Calc!$I$10:$J$13,2,FALSE),0),"")))</f>
        <v/>
      </c>
      <c r="N149" s="449"/>
      <c r="O149" s="449"/>
      <c r="P149" s="561"/>
      <c r="Q149" s="4"/>
      <c r="R149" s="6"/>
      <c r="S149" s="6"/>
      <c r="T149" s="4"/>
      <c r="U149" s="4"/>
      <c r="V149" s="4"/>
      <c r="W149" s="9"/>
      <c r="X149" s="9"/>
      <c r="Y149" s="9"/>
      <c r="Z149" s="9"/>
      <c r="AA149" s="9"/>
      <c r="AB149" s="9"/>
      <c r="AC149" s="449" t="str">
        <f t="shared" si="19"/>
        <v/>
      </c>
      <c r="AD149" s="449"/>
      <c r="AE149" s="449"/>
      <c r="AF149" s="4"/>
      <c r="AG149" s="83"/>
      <c r="AH149" s="4"/>
      <c r="AI149" s="4"/>
      <c r="AJ149" s="449"/>
      <c r="AK149" s="449"/>
      <c r="AL149" s="449"/>
      <c r="AM149" s="449"/>
      <c r="AN149" s="10"/>
      <c r="AO149" s="9"/>
      <c r="AP149" s="9"/>
      <c r="AQ149" s="9">
        <f>+FL_1($T$150,$T$148,$G$149,1200,9.28,-1*$F$150)</f>
        <v>0.38917200466802443</v>
      </c>
      <c r="AR149" s="9"/>
      <c r="AS149" s="9"/>
      <c r="AT149" s="9"/>
      <c r="AU149" s="428"/>
      <c r="AV149" s="428"/>
      <c r="AW149" s="449"/>
      <c r="AX149" s="449"/>
      <c r="AY149" s="10" t="str">
        <f>IF(L149="","",
IF(AX149="PT",VLOOKUP(L149,Foundation_Calc!$K$79:$R$113,VLOOKUP(AW149,Foundation_Calc!$I$2:$J$8,2,FALSE),0),
IF(AX149="K",VLOOKUP(L149,Foundation_Calc!$K$117:$R$151,VLOOKUP(AW149,Foundation_Calc!$I$2:$J$8,2,FALSE),0),"")))</f>
        <v/>
      </c>
      <c r="AZ149" s="10" t="str">
        <f>IF(K149="","",
IF(AX149="PT",VLOOKUP(K149,Foundation_Calc!$K$79:$R$113,VLOOKUP(AW149,Foundation_Calc!$I$2:$J$8,2,FALSE),0),
IF(AX149="K",VLOOKUP(K149,Foundation_Calc!$K$117:$R$151,VLOOKUP(AW149,Foundation_Calc!$I$2:$J$8,2,FALSE),0),"")))</f>
        <v/>
      </c>
      <c r="BA149" s="495" t="str">
        <f t="shared" si="16"/>
        <v/>
      </c>
      <c r="BB149" s="495" t="str">
        <f t="shared" si="17"/>
        <v/>
      </c>
      <c r="BC149" s="495" t="str">
        <f t="shared" si="18"/>
        <v/>
      </c>
      <c r="BD149" s="513" t="str">
        <f>IF(AND(L149="",H149=""),"",
IF(H149="",Pole_Calc!A$9,
IF(H149="MP",Pole_Calc!A$10,
IF(H149="AnMP",Pole_Calc!A$11,
IF(H149="A",Pole_Calc!A$12,
IF(H149="S/A",Pole_Calc!A$13,
IF(H149="A/S",Pole_Calc!A$14,"Poner a mano")))))))</f>
        <v/>
      </c>
      <c r="BE149" s="429" t="s">
        <v>118</v>
      </c>
      <c r="BF149" s="290"/>
      <c r="BG149" s="290"/>
      <c r="BH149" s="290"/>
      <c r="BI149" s="290"/>
    </row>
    <row r="150" spans="1:61" ht="16.149999999999999" customHeight="1">
      <c r="A150" s="514"/>
      <c r="B150" s="450" t="s">
        <v>1012</v>
      </c>
      <c r="C150" s="3">
        <f>+$C$148+$G$149</f>
        <v>34055.25</v>
      </c>
      <c r="D150" s="83"/>
      <c r="E150" s="4"/>
      <c r="F150" s="4">
        <v>0</v>
      </c>
      <c r="G150" s="6"/>
      <c r="H150" s="449"/>
      <c r="I150" s="4"/>
      <c r="J150" s="3"/>
      <c r="K150" s="449"/>
      <c r="L150" s="449" t="s">
        <v>201</v>
      </c>
      <c r="M150" s="449" t="str">
        <f>IF(L150="","",
IF(AX150="PT",VLOOKUP(L150,Foundation_Calc!$V$79:$X$113,VLOOKUP(AX150,Foundation_Calc!$I$10:$J$13,2,FALSE),0),
IF(AX150="K",VLOOKUP(L150,Foundation_Calc!$V$117:$X$151,VLOOKUP(AX150,Foundation_Calc!$I$10:$J$13,2,FALSE),0),"")))</f>
        <v/>
      </c>
      <c r="N150" s="449" t="s">
        <v>453</v>
      </c>
      <c r="O150" s="449"/>
      <c r="P150" s="449"/>
      <c r="Q150" s="4"/>
      <c r="R150" s="6"/>
      <c r="S150" s="6"/>
      <c r="T150" s="4">
        <v>35</v>
      </c>
      <c r="U150" s="4"/>
      <c r="V150" s="4"/>
      <c r="W150" s="9">
        <v>1.4</v>
      </c>
      <c r="X150" s="9"/>
      <c r="Y150" s="9"/>
      <c r="Z150" s="9"/>
      <c r="AA150" s="9"/>
      <c r="AB150" s="9"/>
      <c r="AC150" s="449" t="str">
        <f t="shared" si="19"/>
        <v>PHQ</v>
      </c>
      <c r="AD150" s="449"/>
      <c r="AE150" s="449"/>
      <c r="AF150" s="4"/>
      <c r="AG150" s="83"/>
      <c r="AH150" s="4"/>
      <c r="AI150" s="4"/>
      <c r="AJ150" s="449"/>
      <c r="AK150" s="449" t="s">
        <v>451</v>
      </c>
      <c r="AL150" s="449"/>
      <c r="AM150" s="449"/>
      <c r="AN150" s="10">
        <v>5.5</v>
      </c>
      <c r="AO150" s="9"/>
      <c r="AP150" s="9"/>
      <c r="AQ150" s="9"/>
      <c r="AR150" s="9"/>
      <c r="AS150" s="9"/>
      <c r="AT150" s="9">
        <f>+ab($T$150,$T$148,$T$152,$G$149,$G$151,-1*$F$150,1200)</f>
        <v>6.1709727971167405</v>
      </c>
      <c r="AU150" s="428"/>
      <c r="AV150" s="428"/>
      <c r="AW150" s="449" t="s">
        <v>201</v>
      </c>
      <c r="AX150" s="449" t="s">
        <v>201</v>
      </c>
      <c r="AY150" s="10" t="str">
        <f>IF(L150="","",
IF(AX150="PT",VLOOKUP(L150,Foundation_Calc!$K$79:$R$113,VLOOKUP(AW150,Foundation_Calc!$I$2:$J$8,2,FALSE),0),
IF(AX150="K",VLOOKUP(L150,Foundation_Calc!$K$117:$R$151,VLOOKUP(AW150,Foundation_Calc!$I$2:$J$8,2,FALSE),0),"")))</f>
        <v/>
      </c>
      <c r="AZ150" s="10" t="str">
        <f>IF(K150="","",
IF(AX150="PT",VLOOKUP(K150,Foundation_Calc!$K$79:$R$113,VLOOKUP(AW150,Foundation_Calc!$I$2:$J$8,2,FALSE),0),
IF(AX150="K",VLOOKUP(K150,Foundation_Calc!$K$117:$R$151,VLOOKUP(AW150,Foundation_Calc!$I$2:$J$8,2,FALSE),0),"")))</f>
        <v/>
      </c>
      <c r="BA150" s="495" t="str">
        <f t="shared" si="16"/>
        <v/>
      </c>
      <c r="BB150" s="495" t="str">
        <f t="shared" si="17"/>
        <v/>
      </c>
      <c r="BC150" s="495" t="str">
        <f t="shared" si="18"/>
        <v/>
      </c>
      <c r="BD150" s="513"/>
      <c r="BE150" s="429" t="s">
        <v>118</v>
      </c>
      <c r="BF150" s="289"/>
      <c r="BG150" s="289"/>
      <c r="BH150" s="290"/>
      <c r="BI150" s="289"/>
    </row>
    <row r="151" spans="1:61" ht="17.45" customHeight="1">
      <c r="A151" s="514"/>
      <c r="B151" s="450"/>
      <c r="C151" s="3"/>
      <c r="D151" s="83"/>
      <c r="E151" s="4"/>
      <c r="F151" s="4"/>
      <c r="G151" s="6">
        <v>35.4</v>
      </c>
      <c r="H151" s="449"/>
      <c r="I151" s="4"/>
      <c r="J151" s="3"/>
      <c r="K151" s="449"/>
      <c r="L151" s="449"/>
      <c r="M151" s="449" t="str">
        <f>IF(L151="","",
IF(AX151="PT",VLOOKUP(L151,Foundation_Calc!$V$79:$X$113,VLOOKUP(AX151,Foundation_Calc!$I$10:$J$13,2,FALSE),0),
IF(AX151="K",VLOOKUP(L151,Foundation_Calc!$V$117:$X$151,VLOOKUP(AX151,Foundation_Calc!$I$10:$J$13,2,FALSE),0),"")))</f>
        <v/>
      </c>
      <c r="N151" s="449"/>
      <c r="O151" s="561"/>
      <c r="P151" s="561"/>
      <c r="Q151" s="4"/>
      <c r="R151" s="6"/>
      <c r="S151" s="6"/>
      <c r="T151" s="4"/>
      <c r="U151" s="4"/>
      <c r="V151" s="4"/>
      <c r="W151" s="9"/>
      <c r="X151" s="9"/>
      <c r="Y151" s="9"/>
      <c r="Z151" s="9"/>
      <c r="AA151" s="9"/>
      <c r="AB151" s="9"/>
      <c r="AC151" s="449" t="str">
        <f t="shared" si="19"/>
        <v/>
      </c>
      <c r="AD151" s="449"/>
      <c r="AE151" s="449"/>
      <c r="AF151" s="4"/>
      <c r="AG151" s="83"/>
      <c r="AH151" s="4"/>
      <c r="AI151" s="4"/>
      <c r="AJ151" s="449"/>
      <c r="AK151" s="449"/>
      <c r="AL151" s="449"/>
      <c r="AM151" s="449"/>
      <c r="AN151" s="10"/>
      <c r="AO151" s="9"/>
      <c r="AP151" s="9"/>
      <c r="AQ151" s="9">
        <f>+FL_1($T$152,$T$150,$G$151,1200,9.28,-1*$F$152)</f>
        <v>0.35000000000000925</v>
      </c>
      <c r="AR151" s="9"/>
      <c r="AS151" s="9"/>
      <c r="AT151" s="9"/>
      <c r="AU151" s="428"/>
      <c r="AV151" s="428"/>
      <c r="AW151" s="449"/>
      <c r="AX151" s="449"/>
      <c r="AY151" s="10" t="str">
        <f>IF(L151="","",
IF(AX151="PT",VLOOKUP(L151,Foundation_Calc!$K$79:$R$113,VLOOKUP(AW151,Foundation_Calc!$I$2:$J$8,2,FALSE),0),
IF(AX151="K",VLOOKUP(L151,Foundation_Calc!$K$117:$R$151,VLOOKUP(AW151,Foundation_Calc!$I$2:$J$8,2,FALSE),0),"")))</f>
        <v/>
      </c>
      <c r="AZ151" s="10" t="str">
        <f>IF(K151="","",
IF(AX151="PT",VLOOKUP(K151,Foundation_Calc!$K$79:$R$113,VLOOKUP(AW151,Foundation_Calc!$I$2:$J$8,2,FALSE),0),
IF(AX151="K",VLOOKUP(K151,Foundation_Calc!$K$117:$R$151,VLOOKUP(AW151,Foundation_Calc!$I$2:$J$8,2,FALSE),0),"")))</f>
        <v/>
      </c>
      <c r="BA151" s="495" t="str">
        <f t="shared" si="16"/>
        <v/>
      </c>
      <c r="BB151" s="495" t="str">
        <f t="shared" si="17"/>
        <v/>
      </c>
      <c r="BC151" s="495" t="str">
        <f t="shared" si="18"/>
        <v/>
      </c>
      <c r="BD151" s="513" t="str">
        <f>IF(AND(L151="",H151=""),"",
IF(H151="",Pole_Calc!A$9,
IF(H151="MP",Pole_Calc!A$10,
IF(H151="AnMP",Pole_Calc!A$11,
IF(H151="A",Pole_Calc!A$12,
IF(H151="S/A",Pole_Calc!A$13,
IF(H151="A/S",Pole_Calc!A$14,"Poner a mano")))))))</f>
        <v/>
      </c>
      <c r="BE151" s="429" t="s">
        <v>118</v>
      </c>
      <c r="BF151" s="290"/>
      <c r="BG151" s="290"/>
      <c r="BH151" s="290"/>
      <c r="BI151" s="290"/>
    </row>
    <row r="152" spans="1:61" ht="17.45" customHeight="1">
      <c r="A152" s="514"/>
      <c r="B152" s="450" t="s">
        <v>1013</v>
      </c>
      <c r="C152" s="3">
        <f>+$C$150+$G$151</f>
        <v>34090.65</v>
      </c>
      <c r="D152" s="83"/>
      <c r="E152" s="4"/>
      <c r="F152" s="4">
        <v>0</v>
      </c>
      <c r="G152" s="6"/>
      <c r="H152" s="449"/>
      <c r="I152" s="4"/>
      <c r="J152" s="3"/>
      <c r="K152" s="449"/>
      <c r="L152" s="449" t="s">
        <v>201</v>
      </c>
      <c r="M152" s="449" t="str">
        <f>IF(L152="","",
IF(AX152="PT",VLOOKUP(L152,Foundation_Calc!$V$79:$X$113,VLOOKUP(AX152,Foundation_Calc!$I$10:$J$13,2,FALSE),0),
IF(AX152="K",VLOOKUP(L152,Foundation_Calc!$V$117:$X$151,VLOOKUP(AX152,Foundation_Calc!$I$10:$J$13,2,FALSE),0),"")))</f>
        <v/>
      </c>
      <c r="N152" s="449" t="s">
        <v>343</v>
      </c>
      <c r="O152" s="449"/>
      <c r="P152" s="449"/>
      <c r="Q152" s="4"/>
      <c r="R152" s="6"/>
      <c r="S152" s="6"/>
      <c r="T152" s="4">
        <v>-35</v>
      </c>
      <c r="U152" s="4"/>
      <c r="V152" s="4"/>
      <c r="W152" s="9">
        <v>1.4</v>
      </c>
      <c r="X152" s="9"/>
      <c r="Y152" s="9"/>
      <c r="Z152" s="9"/>
      <c r="AA152" s="9"/>
      <c r="AB152" s="9"/>
      <c r="AC152" s="449" t="str">
        <f t="shared" si="19"/>
        <v>PH</v>
      </c>
      <c r="AD152" s="449"/>
      <c r="AE152" s="449"/>
      <c r="AF152" s="4"/>
      <c r="AG152" s="83"/>
      <c r="AH152" s="4"/>
      <c r="AI152" s="4"/>
      <c r="AJ152" s="449"/>
      <c r="AK152" s="449" t="s">
        <v>451</v>
      </c>
      <c r="AL152" s="449"/>
      <c r="AM152" s="449"/>
      <c r="AN152" s="10">
        <v>5.5</v>
      </c>
      <c r="AO152" s="9"/>
      <c r="AP152" s="9"/>
      <c r="AQ152" s="9"/>
      <c r="AR152" s="9"/>
      <c r="AS152" s="9"/>
      <c r="AT152" s="9">
        <f>+ab($T$152,$T$150,$T$154,$G$151,$G$153,-1*$F$152,1200)</f>
        <v>-9.6130704912461908</v>
      </c>
      <c r="AU152" s="428"/>
      <c r="AV152" s="428"/>
      <c r="AW152" s="449" t="s">
        <v>201</v>
      </c>
      <c r="AX152" s="449" t="s">
        <v>201</v>
      </c>
      <c r="AY152" s="10" t="str">
        <f>IF(L152="","",
IF(AX152="PT",VLOOKUP(L152,Foundation_Calc!$K$79:$R$113,VLOOKUP(AW152,Foundation_Calc!$I$2:$J$8,2,FALSE),0),
IF(AX152="K",VLOOKUP(L152,Foundation_Calc!$K$117:$R$151,VLOOKUP(AW152,Foundation_Calc!$I$2:$J$8,2,FALSE),0),"")))</f>
        <v/>
      </c>
      <c r="AZ152" s="10" t="str">
        <f>IF(K152="","",
IF(AX152="PT",VLOOKUP(K152,Foundation_Calc!$K$79:$R$113,VLOOKUP(AW152,Foundation_Calc!$I$2:$J$8,2,FALSE),0),
IF(AX152="K",VLOOKUP(K152,Foundation_Calc!$K$117:$R$151,VLOOKUP(AW152,Foundation_Calc!$I$2:$J$8,2,FALSE),0),"")))</f>
        <v/>
      </c>
      <c r="BA152" s="495" t="str">
        <f t="shared" si="16"/>
        <v/>
      </c>
      <c r="BB152" s="495" t="str">
        <f t="shared" si="17"/>
        <v/>
      </c>
      <c r="BC152" s="495" t="str">
        <f t="shared" si="18"/>
        <v/>
      </c>
      <c r="BD152" s="513"/>
      <c r="BE152" s="429" t="s">
        <v>118</v>
      </c>
      <c r="BF152" s="289"/>
      <c r="BG152" s="289"/>
      <c r="BH152" s="290"/>
      <c r="BI152" s="289"/>
    </row>
    <row r="153" spans="1:61" ht="17.45" customHeight="1">
      <c r="A153" s="514"/>
      <c r="B153" s="450"/>
      <c r="C153" s="3"/>
      <c r="D153" s="83"/>
      <c r="E153" s="4"/>
      <c r="F153" s="4"/>
      <c r="G153" s="6">
        <v>25</v>
      </c>
      <c r="H153" s="449"/>
      <c r="I153" s="4"/>
      <c r="J153" s="3"/>
      <c r="K153" s="449"/>
      <c r="L153" s="449"/>
      <c r="M153" s="449" t="str">
        <f>IF(L153="","",
IF(AX153="PT",VLOOKUP(L153,Foundation_Calc!$V$79:$X$113,VLOOKUP(AX153,Foundation_Calc!$I$10:$J$13,2,FALSE),0),
IF(AX153="K",VLOOKUP(L153,Foundation_Calc!$V$117:$X$151,VLOOKUP(AX153,Foundation_Calc!$I$10:$J$13,2,FALSE),0),"")))</f>
        <v/>
      </c>
      <c r="N153" s="449"/>
      <c r="O153" s="553"/>
      <c r="P153" s="449"/>
      <c r="Q153" s="4"/>
      <c r="R153" s="6"/>
      <c r="S153" s="6"/>
      <c r="T153" s="4"/>
      <c r="U153" s="4"/>
      <c r="V153" s="4"/>
      <c r="W153" s="9"/>
      <c r="X153" s="9"/>
      <c r="Y153" s="9"/>
      <c r="Z153" s="9"/>
      <c r="AA153" s="9"/>
      <c r="AB153" s="9"/>
      <c r="AC153" s="449" t="str">
        <f t="shared" si="19"/>
        <v/>
      </c>
      <c r="AD153" s="449"/>
      <c r="AE153" s="449"/>
      <c r="AF153" s="4"/>
      <c r="AG153" s="83"/>
      <c r="AH153" s="4"/>
      <c r="AI153" s="4"/>
      <c r="AJ153" s="449"/>
      <c r="AK153" s="449"/>
      <c r="AL153" s="449"/>
      <c r="AM153" s="449"/>
      <c r="AN153" s="10"/>
      <c r="AO153" s="9"/>
      <c r="AP153" s="9"/>
      <c r="AQ153" s="9">
        <f>+FL_2($T$154,$T$152,$G$153,1200,9.28,-1*$F$154)</f>
        <v>-0.41041666666666665</v>
      </c>
      <c r="AR153" s="9"/>
      <c r="AS153" s="9"/>
      <c r="AT153" s="9"/>
      <c r="AU153" s="428"/>
      <c r="AV153" s="428"/>
      <c r="AW153" s="449"/>
      <c r="AX153" s="449"/>
      <c r="AY153" s="10" t="str">
        <f>IF(L153="","",
IF(AX153="PT",VLOOKUP(L153,Foundation_Calc!$K$79:$R$113,VLOOKUP(AW153,Foundation_Calc!$I$2:$J$8,2,FALSE),0),
IF(AX153="K",VLOOKUP(L153,Foundation_Calc!$K$117:$R$151,VLOOKUP(AW153,Foundation_Calc!$I$2:$J$8,2,FALSE),0),"")))</f>
        <v/>
      </c>
      <c r="AZ153" s="10" t="str">
        <f>IF(K153="","",
IF(AX153="PT",VLOOKUP(K153,Foundation_Calc!$K$79:$R$113,VLOOKUP(AW153,Foundation_Calc!$I$2:$J$8,2,FALSE),0),
IF(AX153="K",VLOOKUP(K153,Foundation_Calc!$K$117:$R$151,VLOOKUP(AW153,Foundation_Calc!$I$2:$J$8,2,FALSE),0),"")))</f>
        <v/>
      </c>
      <c r="BA153" s="495" t="str">
        <f t="shared" si="16"/>
        <v/>
      </c>
      <c r="BB153" s="495" t="str">
        <f t="shared" si="17"/>
        <v/>
      </c>
      <c r="BC153" s="495" t="str">
        <f t="shared" si="18"/>
        <v/>
      </c>
      <c r="BD153" s="513" t="str">
        <f>IF(AND(L153="",H153=""),"",
IF(H153="",Pole_Calc!A$9,
IF(H153="MP",Pole_Calc!A$10,
IF(H153="AnMP",Pole_Calc!A$11,
IF(H153="A",Pole_Calc!A$12,
IF(H153="S/A",Pole_Calc!A$13,
IF(H153="A/S",Pole_Calc!A$14,"Poner a mano")))))))</f>
        <v/>
      </c>
      <c r="BE153" s="429" t="s">
        <v>118</v>
      </c>
      <c r="BF153" s="290"/>
      <c r="BG153" s="290"/>
      <c r="BH153" s="290"/>
      <c r="BI153" s="290"/>
    </row>
    <row r="154" spans="1:61" ht="17.45" customHeight="1">
      <c r="A154" s="514"/>
      <c r="B154" s="450" t="s">
        <v>1014</v>
      </c>
      <c r="C154" s="3">
        <f>+$C$152+$G$153</f>
        <v>34115.65</v>
      </c>
      <c r="D154" s="83"/>
      <c r="E154" s="4"/>
      <c r="F154" s="4">
        <v>0</v>
      </c>
      <c r="G154" s="6"/>
      <c r="H154" s="449"/>
      <c r="I154" s="4"/>
      <c r="J154" s="3"/>
      <c r="K154" s="449"/>
      <c r="L154" s="449" t="s">
        <v>201</v>
      </c>
      <c r="M154" s="449" t="str">
        <f>IF(L154="","",
IF(AX154="PT",VLOOKUP(L154,Foundation_Calc!$V$79:$X$113,VLOOKUP(AX154,Foundation_Calc!$I$10:$J$13,2,FALSE),0),
IF(AX154="K",VLOOKUP(L154,Foundation_Calc!$V$117:$X$151,VLOOKUP(AX154,Foundation_Calc!$I$10:$J$13,2,FALSE),0),"")))</f>
        <v/>
      </c>
      <c r="N154" s="553" t="s">
        <v>343</v>
      </c>
      <c r="O154" s="449"/>
      <c r="P154" s="449"/>
      <c r="Q154" s="4"/>
      <c r="R154" s="6"/>
      <c r="S154" s="6"/>
      <c r="T154" s="4">
        <v>-35</v>
      </c>
      <c r="U154" s="4"/>
      <c r="V154" s="4"/>
      <c r="W154" s="9">
        <v>1.4</v>
      </c>
      <c r="X154" s="9"/>
      <c r="Y154" s="9"/>
      <c r="Z154" s="9"/>
      <c r="AA154" s="9"/>
      <c r="AB154" s="9"/>
      <c r="AC154" s="449" t="str">
        <f t="shared" si="19"/>
        <v>PHQ</v>
      </c>
      <c r="AD154" s="449"/>
      <c r="AE154" s="449"/>
      <c r="AF154" s="4"/>
      <c r="AG154" s="83"/>
      <c r="AH154" s="4"/>
      <c r="AI154" s="4"/>
      <c r="AJ154" s="449"/>
      <c r="AK154" s="449" t="s">
        <v>451</v>
      </c>
      <c r="AL154" s="449"/>
      <c r="AM154" s="449"/>
      <c r="AN154" s="10">
        <v>5.5</v>
      </c>
      <c r="AO154" s="9"/>
      <c r="AP154" s="9"/>
      <c r="AQ154" s="9"/>
      <c r="AR154" s="9"/>
      <c r="AS154" s="9"/>
      <c r="AT154" s="9">
        <f>+ab($T$154,$T$152,$T$156,$G$153,$G$155,-1*$F$154,1200)</f>
        <v>-6.1985137594113908</v>
      </c>
      <c r="AU154" s="428"/>
      <c r="AV154" s="428"/>
      <c r="AW154" s="449" t="s">
        <v>201</v>
      </c>
      <c r="AX154" s="449" t="s">
        <v>201</v>
      </c>
      <c r="AY154" s="10" t="str">
        <f>IF(L154="","",
IF(AX154="PT",VLOOKUP(L154,Foundation_Calc!$K$79:$R$113,VLOOKUP(AW154,Foundation_Calc!$I$2:$J$8,2,FALSE),0),
IF(AX154="K",VLOOKUP(L154,Foundation_Calc!$K$117:$R$151,VLOOKUP(AW154,Foundation_Calc!$I$2:$J$8,2,FALSE),0),"")))</f>
        <v/>
      </c>
      <c r="AZ154" s="10" t="str">
        <f>IF(K154="","",
IF(AX154="PT",VLOOKUP(K154,Foundation_Calc!$K$79:$R$113,VLOOKUP(AW154,Foundation_Calc!$I$2:$J$8,2,FALSE),0),
IF(AX154="K",VLOOKUP(K154,Foundation_Calc!$K$117:$R$151,VLOOKUP(AW154,Foundation_Calc!$I$2:$J$8,2,FALSE),0),"")))</f>
        <v/>
      </c>
      <c r="BA154" s="495" t="str">
        <f t="shared" si="16"/>
        <v/>
      </c>
      <c r="BB154" s="495" t="str">
        <f t="shared" si="17"/>
        <v/>
      </c>
      <c r="BC154" s="495" t="str">
        <f t="shared" si="18"/>
        <v/>
      </c>
      <c r="BD154" s="513"/>
      <c r="BE154" s="429" t="s">
        <v>118</v>
      </c>
      <c r="BF154" s="289"/>
      <c r="BG154" s="289"/>
      <c r="BH154" s="290"/>
      <c r="BI154" s="289"/>
    </row>
    <row r="155" spans="1:61" ht="17.45" customHeight="1">
      <c r="A155" s="514"/>
      <c r="B155" s="450"/>
      <c r="C155" s="3"/>
      <c r="D155" s="83"/>
      <c r="E155" s="4"/>
      <c r="F155" s="4"/>
      <c r="G155" s="6">
        <v>22.7</v>
      </c>
      <c r="H155" s="449"/>
      <c r="I155" s="566">
        <f>SUM(G137:G155)</f>
        <v>475.5</v>
      </c>
      <c r="J155" s="3"/>
      <c r="K155" s="449"/>
      <c r="L155" s="449"/>
      <c r="M155" s="449" t="str">
        <f>IF(L155="","",
IF(AX155="PT",VLOOKUP(L155,Foundation_Calc!$V$79:$X$113,VLOOKUP(AX155,Foundation_Calc!$I$10:$J$13,2,FALSE),0),
IF(AX155="K",VLOOKUP(L155,Foundation_Calc!$V$117:$X$151,VLOOKUP(AX155,Foundation_Calc!$I$10:$J$13,2,FALSE),0),"")))</f>
        <v/>
      </c>
      <c r="N155" s="449"/>
      <c r="O155" s="449"/>
      <c r="P155" s="449"/>
      <c r="Q155" s="4"/>
      <c r="R155" s="6"/>
      <c r="S155" s="6"/>
      <c r="T155" s="4"/>
      <c r="U155" s="4"/>
      <c r="V155" s="4"/>
      <c r="W155" s="9"/>
      <c r="X155" s="9"/>
      <c r="Y155" s="9"/>
      <c r="Z155" s="9"/>
      <c r="AA155" s="9"/>
      <c r="AB155" s="9"/>
      <c r="AC155" s="449" t="str">
        <f t="shared" si="19"/>
        <v/>
      </c>
      <c r="AD155" s="449"/>
      <c r="AE155" s="449"/>
      <c r="AF155" s="4"/>
      <c r="AG155" s="83"/>
      <c r="AH155" s="4"/>
      <c r="AI155" s="4"/>
      <c r="AJ155" s="449"/>
      <c r="AK155" s="449" t="s">
        <v>1015</v>
      </c>
      <c r="AL155" s="449"/>
      <c r="AM155" s="449"/>
      <c r="AN155" s="10"/>
      <c r="AO155" s="9"/>
      <c r="AP155" s="9"/>
      <c r="AQ155" s="9">
        <f>+FL_2($T$156,$T$154,$G$155,1200,9.28,-1*$F$156)</f>
        <v>-0.35000000000001641</v>
      </c>
      <c r="AR155" s="9"/>
      <c r="AS155" s="9"/>
      <c r="AT155" s="9"/>
      <c r="AU155" s="428"/>
      <c r="AV155" s="428"/>
      <c r="AW155" s="449"/>
      <c r="AX155" s="449"/>
      <c r="AY155" s="10" t="str">
        <f>IF(L155="","",
IF(AX155="PT",VLOOKUP(L155,Foundation_Calc!$K$79:$R$113,VLOOKUP(AW155,Foundation_Calc!$I$2:$J$8,2,FALSE),0),
IF(AX155="K",VLOOKUP(L155,Foundation_Calc!$K$117:$R$151,VLOOKUP(AW155,Foundation_Calc!$I$2:$J$8,2,FALSE),0),"")))</f>
        <v/>
      </c>
      <c r="AZ155" s="10" t="str">
        <f>IF(K155="","",
IF(AX155="PT",VLOOKUP(K155,Foundation_Calc!$K$79:$R$113,VLOOKUP(AW155,Foundation_Calc!$I$2:$J$8,2,FALSE),0),
IF(AX155="K",VLOOKUP(K155,Foundation_Calc!$K$117:$R$151,VLOOKUP(AW155,Foundation_Calc!$I$2:$J$8,2,FALSE),0),"")))</f>
        <v/>
      </c>
      <c r="BA155" s="495" t="str">
        <f t="shared" si="16"/>
        <v/>
      </c>
      <c r="BB155" s="495" t="str">
        <f t="shared" si="17"/>
        <v/>
      </c>
      <c r="BC155" s="495" t="str">
        <f t="shared" si="18"/>
        <v/>
      </c>
      <c r="BD155" s="513" t="str">
        <f>IF(AND(L155="",H155=""),"",
IF(H155="",Pole_Calc!A$9,
IF(H155="MP",Pole_Calc!A$10,
IF(H155="AnMP",Pole_Calc!A$11,
IF(H155="A",Pole_Calc!A$12,
IF(H155="S/A",Pole_Calc!A$13,
IF(H155="A/S",Pole_Calc!A$14,"Poner a mano")))))))</f>
        <v/>
      </c>
      <c r="BE155" s="429" t="s">
        <v>118</v>
      </c>
      <c r="BF155" s="290"/>
      <c r="BG155" s="290"/>
      <c r="BH155" s="290"/>
      <c r="BI155" s="290"/>
    </row>
    <row r="156" spans="1:61" ht="17.45" customHeight="1">
      <c r="A156" s="514"/>
      <c r="B156" s="450" t="s">
        <v>1016</v>
      </c>
      <c r="C156" s="3">
        <f>+$C$154+$G$155</f>
        <v>34138.35</v>
      </c>
      <c r="D156" s="83"/>
      <c r="E156" s="4"/>
      <c r="F156" s="4">
        <v>0</v>
      </c>
      <c r="G156" s="6"/>
      <c r="H156" s="449" t="s">
        <v>171</v>
      </c>
      <c r="I156" s="4"/>
      <c r="J156" s="3"/>
      <c r="K156" s="449"/>
      <c r="L156" s="449" t="s">
        <v>201</v>
      </c>
      <c r="M156" s="449" t="str">
        <f>IF(L156="","",
IF(AX156="PT",VLOOKUP(L156,Foundation_Calc!$V$79:$X$113,VLOOKUP(AX156,Foundation_Calc!$I$10:$J$13,2,FALSE),0),
IF(AX156="K",VLOOKUP(L156,Foundation_Calc!$V$117:$X$151,VLOOKUP(AX156,Foundation_Calc!$I$10:$J$13,2,FALSE),0),"")))</f>
        <v/>
      </c>
      <c r="N156" s="553" t="s">
        <v>453</v>
      </c>
      <c r="O156" s="449"/>
      <c r="P156" s="449"/>
      <c r="Q156" s="4"/>
      <c r="R156" s="6"/>
      <c r="S156" s="6"/>
      <c r="T156" s="4">
        <v>35</v>
      </c>
      <c r="U156" s="4"/>
      <c r="V156" s="4"/>
      <c r="W156" s="9">
        <v>1.4</v>
      </c>
      <c r="X156" s="9"/>
      <c r="Y156" s="9"/>
      <c r="Z156" s="9"/>
      <c r="AA156" s="9"/>
      <c r="AB156" s="9"/>
      <c r="AC156" s="449" t="str">
        <f t="shared" si="19"/>
        <v>PHC</v>
      </c>
      <c r="AD156" s="449"/>
      <c r="AE156" s="449"/>
      <c r="AF156" s="4"/>
      <c r="AG156" s="83"/>
      <c r="AH156" s="4"/>
      <c r="AI156" s="4"/>
      <c r="AJ156" s="449"/>
      <c r="AK156" s="449" t="s">
        <v>451</v>
      </c>
      <c r="AL156" s="449"/>
      <c r="AM156" s="449"/>
      <c r="AN156" s="10">
        <v>5.5</v>
      </c>
      <c r="AO156" s="9"/>
      <c r="AP156" s="9"/>
      <c r="AQ156" s="9"/>
      <c r="AR156" s="9"/>
      <c r="AS156" s="9"/>
      <c r="AT156" s="9">
        <f>+ab($T$156,$T$154,$T$158,$G$155,$G$157,-1*$F$156,1200)</f>
        <v>3.3766820246213158</v>
      </c>
      <c r="AU156" s="428"/>
      <c r="AV156" s="428"/>
      <c r="AW156" s="449" t="s">
        <v>201</v>
      </c>
      <c r="AX156" s="449" t="s">
        <v>201</v>
      </c>
      <c r="AY156" s="10" t="str">
        <f>IF(L156="","",
IF(AX156="PT",VLOOKUP(L156,Foundation_Calc!$K$79:$R$113,VLOOKUP(AW156,Foundation_Calc!$I$2:$J$8,2,FALSE),0),
IF(AX156="K",VLOOKUP(L156,Foundation_Calc!$K$117:$R$151,VLOOKUP(AW156,Foundation_Calc!$I$2:$J$8,2,FALSE),0),"")))</f>
        <v/>
      </c>
      <c r="AZ156" s="10" t="str">
        <f>IF(K156="","",
IF(AX156="PT",VLOOKUP(K156,Foundation_Calc!$K$79:$R$113,VLOOKUP(AW156,Foundation_Calc!$I$2:$J$8,2,FALSE),0),
IF(AX156="K",VLOOKUP(K156,Foundation_Calc!$K$117:$R$151,VLOOKUP(AW156,Foundation_Calc!$I$2:$J$8,2,FALSE),0),"")))</f>
        <v/>
      </c>
      <c r="BA156" s="495" t="str">
        <f t="shared" si="16"/>
        <v/>
      </c>
      <c r="BB156" s="495" t="str">
        <f t="shared" si="17"/>
        <v/>
      </c>
      <c r="BC156" s="495" t="str">
        <f t="shared" si="18"/>
        <v/>
      </c>
      <c r="BD156" s="513"/>
      <c r="BE156" s="429" t="s">
        <v>118</v>
      </c>
      <c r="BF156" s="289"/>
      <c r="BG156" s="289"/>
      <c r="BH156" s="290"/>
      <c r="BI156" s="289"/>
    </row>
    <row r="157" spans="1:61" ht="17.45" customHeight="1">
      <c r="A157" s="514"/>
      <c r="B157" s="450"/>
      <c r="C157" s="3"/>
      <c r="D157" s="83"/>
      <c r="E157" s="4"/>
      <c r="F157" s="4"/>
      <c r="G157" s="6">
        <v>27</v>
      </c>
      <c r="H157" s="449"/>
      <c r="I157" s="4">
        <f>SUM(G157:G177)</f>
        <v>433.3</v>
      </c>
      <c r="J157" s="3"/>
      <c r="K157" s="449"/>
      <c r="L157" s="449"/>
      <c r="M157" s="449" t="str">
        <f>IF(L157="","",
IF(AX157="PT",VLOOKUP(L157,Foundation_Calc!$V$79:$X$113,VLOOKUP(AX157,Foundation_Calc!$I$10:$J$13,2,FALSE),0),
IF(AX157="K",VLOOKUP(L157,Foundation_Calc!$V$117:$X$151,VLOOKUP(AX157,Foundation_Calc!$I$10:$J$13,2,FALSE),0),"")))</f>
        <v/>
      </c>
      <c r="N157" s="449"/>
      <c r="O157" s="449"/>
      <c r="P157" s="449"/>
      <c r="Q157" s="4"/>
      <c r="R157" s="6"/>
      <c r="S157" s="6"/>
      <c r="T157" s="4"/>
      <c r="U157" s="4"/>
      <c r="V157" s="4"/>
      <c r="W157" s="9"/>
      <c r="X157" s="9"/>
      <c r="Y157" s="9"/>
      <c r="Z157" s="9"/>
      <c r="AA157" s="9"/>
      <c r="AB157" s="9"/>
      <c r="AC157" s="449" t="str">
        <f t="shared" si="19"/>
        <v/>
      </c>
      <c r="AD157" s="449"/>
      <c r="AE157" s="449"/>
      <c r="AF157" s="4"/>
      <c r="AG157" s="83"/>
      <c r="AH157" s="4"/>
      <c r="AI157" s="4"/>
      <c r="AJ157" s="449"/>
      <c r="AK157" s="449" t="s">
        <v>1015</v>
      </c>
      <c r="AL157" s="449"/>
      <c r="AM157" s="449"/>
      <c r="AN157" s="10"/>
      <c r="AO157" s="9"/>
      <c r="AP157" s="9"/>
      <c r="AQ157" s="9">
        <f>+FL_1($T$158,$T$156,$G$157,1200,9.28,-1*$F$158)</f>
        <v>0.3500000000000219</v>
      </c>
      <c r="AR157" s="9"/>
      <c r="AS157" s="9"/>
      <c r="AT157" s="9"/>
      <c r="AU157" s="428"/>
      <c r="AV157" s="428"/>
      <c r="AW157" s="449"/>
      <c r="AX157" s="449"/>
      <c r="AY157" s="10" t="str">
        <f>IF(L157="","",
IF(AX157="PT",VLOOKUP(L157,Foundation_Calc!$K$79:$R$113,VLOOKUP(AW157,Foundation_Calc!$I$2:$J$8,2,FALSE),0),
IF(AX157="K",VLOOKUP(L157,Foundation_Calc!$K$117:$R$151,VLOOKUP(AW157,Foundation_Calc!$I$2:$J$8,2,FALSE),0),"")))</f>
        <v/>
      </c>
      <c r="AZ157" s="10" t="str">
        <f>IF(K157="","",
IF(AX157="PT",VLOOKUP(K157,Foundation_Calc!$K$79:$R$113,VLOOKUP(AW157,Foundation_Calc!$I$2:$J$8,2,FALSE),0),
IF(AX157="K",VLOOKUP(K157,Foundation_Calc!$K$117:$R$151,VLOOKUP(AW157,Foundation_Calc!$I$2:$J$8,2,FALSE),0),"")))</f>
        <v/>
      </c>
      <c r="BA157" s="495" t="str">
        <f t="shared" si="16"/>
        <v/>
      </c>
      <c r="BB157" s="495" t="str">
        <f t="shared" si="17"/>
        <v/>
      </c>
      <c r="BC157" s="495" t="str">
        <f t="shared" si="18"/>
        <v/>
      </c>
      <c r="BD157" s="513" t="str">
        <f>IF(AND(L157="",H157=""),"",
IF(H157="",Pole_Calc!A$9,
IF(H157="MP",Pole_Calc!A$10,
IF(H157="AnMP",Pole_Calc!A$11,
IF(H157="A",Pole_Calc!A$12,
IF(H157="S/A",Pole_Calc!A$13,
IF(H157="A/S",Pole_Calc!A$14,"Poner a mano")))))))</f>
        <v/>
      </c>
      <c r="BE157" s="429" t="s">
        <v>118</v>
      </c>
      <c r="BF157" s="290"/>
      <c r="BG157" s="290"/>
      <c r="BH157" s="290"/>
      <c r="BI157" s="290"/>
    </row>
    <row r="158" spans="1:61" ht="17.45" customHeight="1">
      <c r="A158" s="514"/>
      <c r="B158" s="450" t="s">
        <v>1017</v>
      </c>
      <c r="C158" s="3">
        <f>+$C$156+$G$157</f>
        <v>34165.35</v>
      </c>
      <c r="D158" s="83"/>
      <c r="E158" s="4"/>
      <c r="F158" s="4">
        <v>0</v>
      </c>
      <c r="G158" s="6"/>
      <c r="H158" s="449"/>
      <c r="I158" s="4"/>
      <c r="J158" s="3"/>
      <c r="K158" s="449"/>
      <c r="L158" s="449" t="s">
        <v>201</v>
      </c>
      <c r="M158" s="449" t="str">
        <f>IF(L158="","",
IF(AX158="PT",VLOOKUP(L158,Foundation_Calc!$V$79:$X$113,VLOOKUP(AX158,Foundation_Calc!$I$10:$J$13,2,FALSE),0),
IF(AX158="K",VLOOKUP(L158,Foundation_Calc!$V$117:$X$151,VLOOKUP(AX158,Foundation_Calc!$I$10:$J$13,2,FALSE),0),"")))</f>
        <v/>
      </c>
      <c r="N158" s="553" t="s">
        <v>343</v>
      </c>
      <c r="O158" s="449"/>
      <c r="P158" s="449"/>
      <c r="Q158" s="4"/>
      <c r="R158" s="6"/>
      <c r="S158" s="6"/>
      <c r="T158" s="4">
        <v>-35</v>
      </c>
      <c r="U158" s="4"/>
      <c r="V158" s="4"/>
      <c r="W158" s="9">
        <v>1.4</v>
      </c>
      <c r="X158" s="9"/>
      <c r="Y158" s="9"/>
      <c r="Z158" s="9"/>
      <c r="AA158" s="9"/>
      <c r="AB158" s="9"/>
      <c r="AC158" s="449" t="str">
        <f t="shared" si="19"/>
        <v>PHC</v>
      </c>
      <c r="AD158" s="449"/>
      <c r="AE158" s="449"/>
      <c r="AF158" s="4"/>
      <c r="AG158" s="83"/>
      <c r="AH158" s="4"/>
      <c r="AI158" s="4"/>
      <c r="AJ158" s="449"/>
      <c r="AK158" s="449" t="s">
        <v>451</v>
      </c>
      <c r="AL158" s="449"/>
      <c r="AM158" s="449"/>
      <c r="AN158" s="10">
        <v>5.5</v>
      </c>
      <c r="AO158" s="9"/>
      <c r="AP158" s="9"/>
      <c r="AQ158" s="9"/>
      <c r="AR158" s="9"/>
      <c r="AS158" s="9"/>
      <c r="AT158" s="9">
        <f>+ab($T$158,$T$156,$T$160,$G$157,$G$159,-1*$F$158,1200)</f>
        <v>-3.8895815360535271</v>
      </c>
      <c r="AU158" s="428"/>
      <c r="AV158" s="428"/>
      <c r="AW158" s="449" t="s">
        <v>201</v>
      </c>
      <c r="AX158" s="449" t="s">
        <v>201</v>
      </c>
      <c r="AY158" s="10" t="str">
        <f>IF(L158="","",
IF(AX158="PT",VLOOKUP(L158,Foundation_Calc!$K$79:$R$113,VLOOKUP(AW158,Foundation_Calc!$I$2:$J$8,2,FALSE),0),
IF(AX158="K",VLOOKUP(L158,Foundation_Calc!$K$117:$R$151,VLOOKUP(AW158,Foundation_Calc!$I$2:$J$8,2,FALSE),0),"")))</f>
        <v/>
      </c>
      <c r="AZ158" s="10" t="str">
        <f>IF(K158="","",
IF(AX158="PT",VLOOKUP(K158,Foundation_Calc!$K$79:$R$113,VLOOKUP(AW158,Foundation_Calc!$I$2:$J$8,2,FALSE),0),
IF(AX158="K",VLOOKUP(K158,Foundation_Calc!$K$117:$R$151,VLOOKUP(AW158,Foundation_Calc!$I$2:$J$8,2,FALSE),0),"")))</f>
        <v/>
      </c>
      <c r="BA158" s="495" t="str">
        <f t="shared" si="16"/>
        <v/>
      </c>
      <c r="BB158" s="495" t="str">
        <f t="shared" si="17"/>
        <v/>
      </c>
      <c r="BC158" s="495" t="str">
        <f t="shared" si="18"/>
        <v/>
      </c>
      <c r="BD158" s="513"/>
      <c r="BE158" s="429" t="s">
        <v>118</v>
      </c>
      <c r="BF158" s="289"/>
      <c r="BG158" s="289"/>
      <c r="BH158" s="290"/>
      <c r="BI158" s="289"/>
    </row>
    <row r="159" spans="1:61" ht="17.45" customHeight="1">
      <c r="A159" s="514"/>
      <c r="B159" s="450"/>
      <c r="C159" s="3"/>
      <c r="D159" s="83"/>
      <c r="E159" s="4"/>
      <c r="F159" s="4"/>
      <c r="G159" s="6">
        <v>30</v>
      </c>
      <c r="H159" s="449"/>
      <c r="I159" s="4"/>
      <c r="J159" s="3"/>
      <c r="K159" s="449"/>
      <c r="L159" s="449"/>
      <c r="M159" s="449" t="str">
        <f>IF(L159="","",
IF(AX159="PT",VLOOKUP(L159,Foundation_Calc!$V$79:$X$113,VLOOKUP(AX159,Foundation_Calc!$I$10:$J$13,2,FALSE),0),
IF(AX159="K",VLOOKUP(L159,Foundation_Calc!$V$117:$X$151,VLOOKUP(AX159,Foundation_Calc!$I$10:$J$13,2,FALSE),0),"")))</f>
        <v/>
      </c>
      <c r="N159" s="449"/>
      <c r="O159" s="449"/>
      <c r="P159" s="449"/>
      <c r="Q159" s="4"/>
      <c r="R159" s="6"/>
      <c r="S159" s="6"/>
      <c r="T159" s="4"/>
      <c r="U159" s="4"/>
      <c r="V159" s="4"/>
      <c r="W159" s="9"/>
      <c r="X159" s="9"/>
      <c r="Y159" s="9"/>
      <c r="Z159" s="9"/>
      <c r="AA159" s="9"/>
      <c r="AB159" s="9"/>
      <c r="AC159" s="449" t="str">
        <f t="shared" si="19"/>
        <v/>
      </c>
      <c r="AD159" s="449"/>
      <c r="AE159" s="449"/>
      <c r="AF159" s="4"/>
      <c r="AG159" s="83"/>
      <c r="AH159" s="4"/>
      <c r="AI159" s="4"/>
      <c r="AJ159" s="449"/>
      <c r="AK159" s="449"/>
      <c r="AL159" s="449"/>
      <c r="AM159" s="449"/>
      <c r="AN159" s="10"/>
      <c r="AO159" s="9"/>
      <c r="AP159" s="9"/>
      <c r="AQ159" s="9">
        <f>+FL_2($T$160,$T$158,$G$159,1200,9.28,-1*$F$160)</f>
        <v>-0.35000000000002224</v>
      </c>
      <c r="AR159" s="9"/>
      <c r="AS159" s="9"/>
      <c r="AT159" s="9"/>
      <c r="AU159" s="428"/>
      <c r="AV159" s="428"/>
      <c r="AW159" s="449"/>
      <c r="AX159" s="449"/>
      <c r="AY159" s="10" t="str">
        <f>IF(L159="","",
IF(AX159="PT",VLOOKUP(L159,Foundation_Calc!$K$79:$R$113,VLOOKUP(AW159,Foundation_Calc!$I$2:$J$8,2,FALSE),0),
IF(AX159="K",VLOOKUP(L159,Foundation_Calc!$K$117:$R$151,VLOOKUP(AW159,Foundation_Calc!$I$2:$J$8,2,FALSE),0),"")))</f>
        <v/>
      </c>
      <c r="AZ159" s="10" t="str">
        <f>IF(K159="","",
IF(AX159="PT",VLOOKUP(K159,Foundation_Calc!$K$79:$R$113,VLOOKUP(AW159,Foundation_Calc!$I$2:$J$8,2,FALSE),0),
IF(AX159="K",VLOOKUP(K159,Foundation_Calc!$K$117:$R$151,VLOOKUP(AW159,Foundation_Calc!$I$2:$J$8,2,FALSE),0),"")))</f>
        <v/>
      </c>
      <c r="BA159" s="495" t="str">
        <f t="shared" si="16"/>
        <v/>
      </c>
      <c r="BB159" s="495" t="str">
        <f t="shared" si="17"/>
        <v/>
      </c>
      <c r="BC159" s="495" t="str">
        <f t="shared" si="18"/>
        <v/>
      </c>
      <c r="BD159" s="513" t="str">
        <f>IF(AND(L159="",H159=""),"",
IF(H159="",Pole_Calc!A$9,
IF(H159="MP",Pole_Calc!A$10,
IF(H159="AnMP",Pole_Calc!A$11,
IF(H159="A",Pole_Calc!A$12,
IF(H159="S/A",Pole_Calc!A$13,
IF(H159="A/S",Pole_Calc!A$14,"Poner a mano")))))))</f>
        <v/>
      </c>
      <c r="BE159" s="429" t="s">
        <v>118</v>
      </c>
      <c r="BF159" s="290"/>
      <c r="BG159" s="290"/>
      <c r="BH159" s="290"/>
      <c r="BI159" s="290"/>
    </row>
    <row r="160" spans="1:61" ht="17.45" customHeight="1">
      <c r="A160" s="514"/>
      <c r="B160" s="450" t="s">
        <v>1018</v>
      </c>
      <c r="C160" s="3">
        <f>+$C$158+$G$159</f>
        <v>34195.35</v>
      </c>
      <c r="D160" s="83"/>
      <c r="E160" s="4"/>
      <c r="F160" s="4">
        <v>0</v>
      </c>
      <c r="G160" s="6"/>
      <c r="H160" s="449"/>
      <c r="I160" s="4"/>
      <c r="J160" s="3"/>
      <c r="K160" s="449"/>
      <c r="L160" s="449" t="s">
        <v>201</v>
      </c>
      <c r="M160" s="449" t="str">
        <f>IF(L160="","",
IF(AX160="PT",VLOOKUP(L160,Foundation_Calc!$V$79:$X$113,VLOOKUP(AX160,Foundation_Calc!$I$10:$J$13,2,FALSE),0),
IF(AX160="K",VLOOKUP(L160,Foundation_Calc!$V$117:$X$151,VLOOKUP(AX160,Foundation_Calc!$I$10:$J$13,2,FALSE),0),"")))</f>
        <v/>
      </c>
      <c r="N160" s="553" t="s">
        <v>453</v>
      </c>
      <c r="O160" s="449"/>
      <c r="P160" s="449"/>
      <c r="Q160" s="4"/>
      <c r="R160" s="6"/>
      <c r="S160" s="6"/>
      <c r="T160" s="4">
        <v>35</v>
      </c>
      <c r="U160" s="4"/>
      <c r="V160" s="4"/>
      <c r="W160" s="9">
        <v>1.4</v>
      </c>
      <c r="X160" s="9"/>
      <c r="Y160" s="9"/>
      <c r="Z160" s="9"/>
      <c r="AA160" s="9"/>
      <c r="AB160" s="9"/>
      <c r="AC160" s="449" t="str">
        <f t="shared" si="19"/>
        <v>PHC</v>
      </c>
      <c r="AD160" s="449"/>
      <c r="AE160" s="449"/>
      <c r="AF160" s="4"/>
      <c r="AG160" s="83"/>
      <c r="AH160" s="4"/>
      <c r="AI160" s="4"/>
      <c r="AJ160" s="449"/>
      <c r="AK160" s="449" t="s">
        <v>451</v>
      </c>
      <c r="AL160" s="449"/>
      <c r="AM160" s="449"/>
      <c r="AN160" s="10">
        <v>5.5</v>
      </c>
      <c r="AO160" s="9"/>
      <c r="AP160" s="9"/>
      <c r="AQ160" s="9"/>
      <c r="AR160" s="9"/>
      <c r="AS160" s="9"/>
      <c r="AT160" s="9">
        <f>+ab($T$160,$T$158,$T$162,$G$159,$G$161,-1*$F$160,1200)</f>
        <v>4.4195029856887169</v>
      </c>
      <c r="AU160" s="428"/>
      <c r="AV160" s="428"/>
      <c r="AW160" s="449" t="s">
        <v>201</v>
      </c>
      <c r="AX160" s="449" t="s">
        <v>201</v>
      </c>
      <c r="AY160" s="10" t="str">
        <f>IF(L160="","",
IF(AX160="PT",VLOOKUP(L160,Foundation_Calc!$K$79:$R$113,VLOOKUP(AW160,Foundation_Calc!$I$2:$J$8,2,FALSE),0),
IF(AX160="K",VLOOKUP(L160,Foundation_Calc!$K$117:$R$151,VLOOKUP(AW160,Foundation_Calc!$I$2:$J$8,2,FALSE),0),"")))</f>
        <v/>
      </c>
      <c r="AZ160" s="10" t="str">
        <f>IF(K160="","",
IF(AX160="PT",VLOOKUP(K160,Foundation_Calc!$K$79:$R$113,VLOOKUP(AW160,Foundation_Calc!$I$2:$J$8,2,FALSE),0),
IF(AX160="K",VLOOKUP(K160,Foundation_Calc!$K$117:$R$151,VLOOKUP(AW160,Foundation_Calc!$I$2:$J$8,2,FALSE),0),"")))</f>
        <v/>
      </c>
      <c r="BA160" s="495" t="str">
        <f t="shared" si="16"/>
        <v/>
      </c>
      <c r="BB160" s="495" t="str">
        <f t="shared" si="17"/>
        <v/>
      </c>
      <c r="BC160" s="495" t="str">
        <f t="shared" si="18"/>
        <v/>
      </c>
      <c r="BD160" s="513"/>
      <c r="BE160" s="429" t="s">
        <v>118</v>
      </c>
      <c r="BF160" s="289"/>
      <c r="BG160" s="289"/>
      <c r="BH160" s="290"/>
      <c r="BI160" s="289"/>
    </row>
    <row r="161" spans="1:61" ht="17.45" customHeight="1">
      <c r="A161" s="514"/>
      <c r="B161" s="450"/>
      <c r="C161" s="3"/>
      <c r="D161" s="83"/>
      <c r="E161" s="4"/>
      <c r="F161" s="4"/>
      <c r="G161" s="6">
        <v>35</v>
      </c>
      <c r="H161" s="449"/>
      <c r="I161" s="4"/>
      <c r="J161" s="3"/>
      <c r="K161" s="449"/>
      <c r="L161" s="449"/>
      <c r="M161" s="449" t="str">
        <f>IF(L161="","",
IF(AX161="PT",VLOOKUP(L161,Foundation_Calc!$V$79:$X$113,VLOOKUP(AX161,Foundation_Calc!$I$10:$J$13,2,FALSE),0),
IF(AX161="K",VLOOKUP(L161,Foundation_Calc!$V$117:$X$151,VLOOKUP(AX161,Foundation_Calc!$I$10:$J$13,2,FALSE),0),"")))</f>
        <v/>
      </c>
      <c r="N161" s="449"/>
      <c r="O161" s="449"/>
      <c r="P161" s="449"/>
      <c r="Q161" s="4"/>
      <c r="R161" s="6"/>
      <c r="S161" s="6"/>
      <c r="T161" s="4"/>
      <c r="U161" s="4"/>
      <c r="V161" s="4"/>
      <c r="W161" s="9"/>
      <c r="X161" s="9"/>
      <c r="Y161" s="9"/>
      <c r="Z161" s="9"/>
      <c r="AA161" s="9"/>
      <c r="AB161" s="9"/>
      <c r="AC161" s="449" t="str">
        <f t="shared" si="19"/>
        <v/>
      </c>
      <c r="AD161" s="449"/>
      <c r="AE161" s="449"/>
      <c r="AF161" s="4"/>
      <c r="AG161" s="83"/>
      <c r="AH161" s="4"/>
      <c r="AI161" s="4"/>
      <c r="AJ161" s="449"/>
      <c r="AK161" s="449"/>
      <c r="AL161" s="449"/>
      <c r="AM161" s="449"/>
      <c r="AN161" s="10"/>
      <c r="AO161" s="9"/>
      <c r="AP161" s="9"/>
      <c r="AQ161" s="9">
        <f>+FL_1($T$162,$T$160,$G$161,1200,9.28,-1*$F$162)</f>
        <v>0.35000000000001025</v>
      </c>
      <c r="AR161" s="9"/>
      <c r="AS161" s="9"/>
      <c r="AT161" s="9"/>
      <c r="AU161" s="428"/>
      <c r="AV161" s="428"/>
      <c r="AW161" s="449"/>
      <c r="AX161" s="449"/>
      <c r="AY161" s="10" t="str">
        <f>IF(L161="","",
IF(AX161="PT",VLOOKUP(L161,Foundation_Calc!$K$79:$R$113,VLOOKUP(AW161,Foundation_Calc!$I$2:$J$8,2,FALSE),0),
IF(AX161="K",VLOOKUP(L161,Foundation_Calc!$K$117:$R$151,VLOOKUP(AW161,Foundation_Calc!$I$2:$J$8,2,FALSE),0),"")))</f>
        <v/>
      </c>
      <c r="AZ161" s="10" t="str">
        <f>IF(K161="","",
IF(AX161="PT",VLOOKUP(K161,Foundation_Calc!$K$79:$R$113,VLOOKUP(AW161,Foundation_Calc!$I$2:$J$8,2,FALSE),0),
IF(AX161="K",VLOOKUP(K161,Foundation_Calc!$K$117:$R$151,VLOOKUP(AW161,Foundation_Calc!$I$2:$J$8,2,FALSE),0),"")))</f>
        <v/>
      </c>
      <c r="BA161" s="495" t="str">
        <f t="shared" si="16"/>
        <v/>
      </c>
      <c r="BB161" s="495" t="str">
        <f t="shared" si="17"/>
        <v/>
      </c>
      <c r="BC161" s="495" t="str">
        <f t="shared" si="18"/>
        <v/>
      </c>
      <c r="BD161" s="513"/>
      <c r="BE161" s="429" t="s">
        <v>118</v>
      </c>
      <c r="BF161" s="290"/>
      <c r="BG161" s="290"/>
      <c r="BH161" s="290"/>
      <c r="BI161" s="290"/>
    </row>
    <row r="162" spans="1:61" ht="17.45" customHeight="1">
      <c r="A162" s="514"/>
      <c r="B162" s="450" t="s">
        <v>1019</v>
      </c>
      <c r="C162" s="3">
        <f>+$C$160+$G$161</f>
        <v>34230.35</v>
      </c>
      <c r="D162" s="83"/>
      <c r="E162" s="4"/>
      <c r="F162" s="4">
        <v>0</v>
      </c>
      <c r="G162" s="6"/>
      <c r="H162" s="449"/>
      <c r="I162" s="4"/>
      <c r="J162" s="3"/>
      <c r="K162" s="449"/>
      <c r="L162" s="449" t="s">
        <v>201</v>
      </c>
      <c r="M162" s="449" t="str">
        <f>IF(L162="","",
IF(AX162="PT",VLOOKUP(L162,Foundation_Calc!$V$79:$X$113,VLOOKUP(AX162,Foundation_Calc!$I$10:$J$13,2,FALSE),0),
IF(AX162="K",VLOOKUP(L162,Foundation_Calc!$V$117:$X$151,VLOOKUP(AX162,Foundation_Calc!$I$10:$J$13,2,FALSE),0),"")))</f>
        <v/>
      </c>
      <c r="N162" s="553" t="s">
        <v>343</v>
      </c>
      <c r="O162" s="449"/>
      <c r="P162" s="449"/>
      <c r="Q162" s="4"/>
      <c r="R162" s="6"/>
      <c r="S162" s="6"/>
      <c r="T162" s="4">
        <v>-35</v>
      </c>
      <c r="U162" s="4"/>
      <c r="V162" s="4"/>
      <c r="W162" s="9">
        <v>1.4</v>
      </c>
      <c r="X162" s="9"/>
      <c r="Y162" s="9"/>
      <c r="Z162" s="9"/>
      <c r="AA162" s="9"/>
      <c r="AB162" s="9"/>
      <c r="AC162" s="449" t="str">
        <f t="shared" si="19"/>
        <v>PHC</v>
      </c>
      <c r="AD162" s="449"/>
      <c r="AE162" s="449"/>
      <c r="AF162" s="4"/>
      <c r="AG162" s="83"/>
      <c r="AH162" s="4"/>
      <c r="AI162" s="4"/>
      <c r="AJ162" s="449"/>
      <c r="AK162" s="449" t="s">
        <v>451</v>
      </c>
      <c r="AL162" s="449"/>
      <c r="AM162" s="449"/>
      <c r="AN162" s="10">
        <v>5.5</v>
      </c>
      <c r="AO162" s="9"/>
      <c r="AP162" s="9"/>
      <c r="AQ162" s="9"/>
      <c r="AR162" s="9"/>
      <c r="AS162" s="9"/>
      <c r="AT162" s="9">
        <f>+ab($T$162,$T$160,$T$164,$G$161,$G$163,-1*$F$162,1200)</f>
        <v>-4.7861570965857121</v>
      </c>
      <c r="AU162" s="428"/>
      <c r="AV162" s="428"/>
      <c r="AW162" s="449" t="s">
        <v>201</v>
      </c>
      <c r="AX162" s="449" t="s">
        <v>201</v>
      </c>
      <c r="AY162" s="10" t="str">
        <f>IF(L162="","",
IF(AX162="PT",VLOOKUP(L162,Foundation_Calc!$K$79:$R$113,VLOOKUP(AW162,Foundation_Calc!$I$2:$J$8,2,FALSE),0),
IF(AX162="K",VLOOKUP(L162,Foundation_Calc!$K$117:$R$151,VLOOKUP(AW162,Foundation_Calc!$I$2:$J$8,2,FALSE),0),"")))</f>
        <v/>
      </c>
      <c r="AZ162" s="10" t="str">
        <f>IF(K162="","",
IF(AX162="PT",VLOOKUP(K162,Foundation_Calc!$K$79:$R$113,VLOOKUP(AW162,Foundation_Calc!$I$2:$J$8,2,FALSE),0),
IF(AX162="K",VLOOKUP(K162,Foundation_Calc!$K$117:$R$151,VLOOKUP(AW162,Foundation_Calc!$I$2:$J$8,2,FALSE),0),"")))</f>
        <v/>
      </c>
      <c r="BA162" s="495" t="str">
        <f t="shared" si="16"/>
        <v/>
      </c>
      <c r="BB162" s="495" t="str">
        <f t="shared" si="17"/>
        <v/>
      </c>
      <c r="BC162" s="495" t="str">
        <f t="shared" si="18"/>
        <v/>
      </c>
      <c r="BD162" s="513"/>
      <c r="BE162" s="429" t="s">
        <v>118</v>
      </c>
      <c r="BF162" s="289"/>
      <c r="BG162" s="289"/>
      <c r="BH162" s="290"/>
      <c r="BI162" s="289"/>
    </row>
    <row r="163" spans="1:61" ht="17.45" customHeight="1">
      <c r="A163" s="514"/>
      <c r="B163" s="450"/>
      <c r="C163" s="3"/>
      <c r="D163" s="83"/>
      <c r="E163" s="4"/>
      <c r="F163" s="4"/>
      <c r="G163" s="6">
        <v>35</v>
      </c>
      <c r="H163" s="449"/>
      <c r="I163" s="4"/>
      <c r="J163" s="3"/>
      <c r="K163" s="449"/>
      <c r="L163" s="449"/>
      <c r="M163" s="449" t="str">
        <f>IF(L163="","",
IF(AX163="PT",VLOOKUP(L163,Foundation_Calc!$V$79:$X$113,VLOOKUP(AX163,Foundation_Calc!$I$10:$J$13,2,FALSE),0),
IF(AX163="K",VLOOKUP(L163,Foundation_Calc!$V$117:$X$151,VLOOKUP(AX163,Foundation_Calc!$I$10:$J$13,2,FALSE),0),"")))</f>
        <v/>
      </c>
      <c r="N163" s="449"/>
      <c r="O163" s="449"/>
      <c r="P163" s="449"/>
      <c r="Q163" s="4"/>
      <c r="R163" s="6"/>
      <c r="S163" s="6"/>
      <c r="T163" s="4"/>
      <c r="U163" s="4"/>
      <c r="V163" s="4"/>
      <c r="W163" s="572"/>
      <c r="X163" s="9"/>
      <c r="Y163" s="9"/>
      <c r="Z163" s="9"/>
      <c r="AA163" s="9"/>
      <c r="AB163" s="9"/>
      <c r="AC163" s="449" t="str">
        <f t="shared" si="19"/>
        <v/>
      </c>
      <c r="AD163" s="449"/>
      <c r="AE163" s="449"/>
      <c r="AF163" s="4"/>
      <c r="AG163" s="83"/>
      <c r="AH163" s="4"/>
      <c r="AI163" s="4"/>
      <c r="AJ163" s="449"/>
      <c r="AK163" s="449"/>
      <c r="AL163" s="449"/>
      <c r="AM163" s="449"/>
      <c r="AN163" s="10"/>
      <c r="AO163" s="9"/>
      <c r="AP163" s="9"/>
      <c r="AQ163" s="9">
        <f>+FL_2($T$164,$T$162,$G$163,1200,9.28,-1*$F$164)</f>
        <v>-0.35000000000001025</v>
      </c>
      <c r="AR163" s="9"/>
      <c r="AS163" s="9"/>
      <c r="AT163" s="9"/>
      <c r="AU163" s="428"/>
      <c r="AV163" s="428"/>
      <c r="AW163" s="449"/>
      <c r="AX163" s="449"/>
      <c r="AY163" s="10" t="str">
        <f>IF(L163="","",
IF(AX163="PT",VLOOKUP(L163,Foundation_Calc!$K$79:$R$113,VLOOKUP(AW163,Foundation_Calc!$I$2:$J$8,2,FALSE),0),
IF(AX163="K",VLOOKUP(L163,Foundation_Calc!$K$117:$R$151,VLOOKUP(AW163,Foundation_Calc!$I$2:$J$8,2,FALSE),0),"")))</f>
        <v/>
      </c>
      <c r="AZ163" s="10" t="str">
        <f>IF(K163="","",
IF(AX163="PT",VLOOKUP(K163,Foundation_Calc!$K$79:$R$113,VLOOKUP(AW163,Foundation_Calc!$I$2:$J$8,2,FALSE),0),
IF(AX163="K",VLOOKUP(K163,Foundation_Calc!$K$117:$R$151,VLOOKUP(AW163,Foundation_Calc!$I$2:$J$8,2,FALSE),0),"")))</f>
        <v/>
      </c>
      <c r="BA163" s="495" t="str">
        <f t="shared" si="16"/>
        <v/>
      </c>
      <c r="BB163" s="495" t="str">
        <f t="shared" si="17"/>
        <v/>
      </c>
      <c r="BC163" s="495" t="str">
        <f t="shared" si="18"/>
        <v/>
      </c>
      <c r="BD163" s="513"/>
      <c r="BE163" s="429" t="s">
        <v>118</v>
      </c>
      <c r="BF163" s="290"/>
      <c r="BG163" s="290"/>
      <c r="BH163" s="290"/>
      <c r="BI163" s="290"/>
    </row>
    <row r="164" spans="1:61" ht="16.149999999999999" customHeight="1">
      <c r="A164" s="514"/>
      <c r="B164" s="450" t="s">
        <v>1020</v>
      </c>
      <c r="C164" s="3">
        <f>+$C$162+$G$163</f>
        <v>34265.35</v>
      </c>
      <c r="D164" s="83"/>
      <c r="E164" s="4"/>
      <c r="F164" s="4">
        <v>0</v>
      </c>
      <c r="G164" s="6"/>
      <c r="H164" s="449"/>
      <c r="I164" s="4"/>
      <c r="J164" s="3"/>
      <c r="K164" s="449"/>
      <c r="L164" s="449" t="s">
        <v>201</v>
      </c>
      <c r="M164" s="449" t="str">
        <f>IF(L164="","",
IF(AX164="PT",VLOOKUP(L164,Foundation_Calc!$V$79:$X$113,VLOOKUP(AX164,Foundation_Calc!$I$10:$J$13,2,FALSE),0),
IF(AX164="K",VLOOKUP(L164,Foundation_Calc!$V$117:$X$151,VLOOKUP(AX164,Foundation_Calc!$I$10:$J$13,2,FALSE),0),"")))</f>
        <v/>
      </c>
      <c r="N164" s="553" t="s">
        <v>453</v>
      </c>
      <c r="O164" s="449"/>
      <c r="P164" s="449"/>
      <c r="Q164" s="4"/>
      <c r="R164" s="6"/>
      <c r="S164" s="6"/>
      <c r="T164" s="4">
        <v>35</v>
      </c>
      <c r="U164" s="4"/>
      <c r="V164" s="4"/>
      <c r="W164" s="9">
        <v>1.4</v>
      </c>
      <c r="X164" s="9"/>
      <c r="Y164" s="9"/>
      <c r="Z164" s="9"/>
      <c r="AA164" s="9"/>
      <c r="AB164" s="9"/>
      <c r="AC164" s="449" t="str">
        <f t="shared" si="19"/>
        <v>PHQ</v>
      </c>
      <c r="AD164" s="449"/>
      <c r="AE164" s="449"/>
      <c r="AF164" s="4"/>
      <c r="AG164" s="83"/>
      <c r="AH164" s="4"/>
      <c r="AI164" s="4"/>
      <c r="AJ164" s="449"/>
      <c r="AK164" s="449" t="s">
        <v>451</v>
      </c>
      <c r="AL164" s="449"/>
      <c r="AM164" s="449"/>
      <c r="AN164" s="10">
        <v>5.5</v>
      </c>
      <c r="AO164" s="9"/>
      <c r="AP164" s="9"/>
      <c r="AQ164" s="9"/>
      <c r="AR164" s="9"/>
      <c r="AS164" s="9"/>
      <c r="AT164" s="9">
        <f>+ab($T$164,$T$162,$T$166,$G$163,$G$165,-1*$F$164,1200)</f>
        <v>5.3810976248022273</v>
      </c>
      <c r="AU164" s="428"/>
      <c r="AV164" s="428"/>
      <c r="AW164" s="449" t="s">
        <v>201</v>
      </c>
      <c r="AX164" s="449" t="s">
        <v>201</v>
      </c>
      <c r="AY164" s="10" t="str">
        <f>IF(L164="","",
IF(AX164="PT",VLOOKUP(L164,Foundation_Calc!$K$79:$R$113,VLOOKUP(AW164,Foundation_Calc!$I$2:$J$8,2,FALSE),0),
IF(AX164="K",VLOOKUP(L164,Foundation_Calc!$K$117:$R$151,VLOOKUP(AW164,Foundation_Calc!$I$2:$J$8,2,FALSE),0),"")))</f>
        <v/>
      </c>
      <c r="AZ164" s="10" t="str">
        <f>IF(K164="","",
IF(AX164="PT",VLOOKUP(K164,Foundation_Calc!$K$79:$R$113,VLOOKUP(AW164,Foundation_Calc!$I$2:$J$8,2,FALSE),0),
IF(AX164="K",VLOOKUP(K164,Foundation_Calc!$K$117:$R$151,VLOOKUP(AW164,Foundation_Calc!$I$2:$J$8,2,FALSE),0),"")))</f>
        <v/>
      </c>
      <c r="BA164" s="495" t="str">
        <f t="shared" si="16"/>
        <v/>
      </c>
      <c r="BB164" s="495" t="str">
        <f t="shared" si="17"/>
        <v/>
      </c>
      <c r="BC164" s="495" t="str">
        <f t="shared" si="18"/>
        <v/>
      </c>
      <c r="BD164" s="513"/>
      <c r="BE164" s="429" t="s">
        <v>118</v>
      </c>
      <c r="BF164" s="289"/>
      <c r="BG164" s="289"/>
      <c r="BH164" s="290"/>
      <c r="BI164" s="289"/>
    </row>
    <row r="165" spans="1:61" ht="16.149999999999999" customHeight="1">
      <c r="A165" s="514"/>
      <c r="B165" s="450"/>
      <c r="C165" s="3"/>
      <c r="D165" s="83"/>
      <c r="E165" s="4"/>
      <c r="F165" s="4"/>
      <c r="G165" s="6">
        <v>45</v>
      </c>
      <c r="H165" s="449"/>
      <c r="I165" s="4"/>
      <c r="J165" s="3"/>
      <c r="K165" s="449"/>
      <c r="L165" s="449"/>
      <c r="M165" s="449" t="str">
        <f>IF(L165="","",
IF(AX165="PT",VLOOKUP(L165,Foundation_Calc!$V$79:$X$113,VLOOKUP(AX165,Foundation_Calc!$I$10:$J$13,2,FALSE),0),
IF(AX165="K",VLOOKUP(L165,Foundation_Calc!$V$117:$X$151,VLOOKUP(AX165,Foundation_Calc!$I$10:$J$13,2,FALSE),0),"")))</f>
        <v/>
      </c>
      <c r="N165" s="449"/>
      <c r="O165" s="449"/>
      <c r="P165" s="449"/>
      <c r="Q165" s="4"/>
      <c r="R165" s="6"/>
      <c r="S165" s="6"/>
      <c r="T165" s="4"/>
      <c r="U165" s="4"/>
      <c r="V165" s="4"/>
      <c r="W165" s="572"/>
      <c r="X165" s="9"/>
      <c r="Y165" s="9"/>
      <c r="Z165" s="9"/>
      <c r="AA165" s="9"/>
      <c r="AB165" s="9"/>
      <c r="AC165" s="449" t="str">
        <f t="shared" si="19"/>
        <v/>
      </c>
      <c r="AD165" s="449"/>
      <c r="AE165" s="449"/>
      <c r="AF165" s="4"/>
      <c r="AG165" s="83"/>
      <c r="AH165" s="4"/>
      <c r="AI165" s="4"/>
      <c r="AJ165" s="449"/>
      <c r="AK165" s="449"/>
      <c r="AL165" s="449"/>
      <c r="AM165" s="449"/>
      <c r="AN165" s="10"/>
      <c r="AO165" s="9"/>
      <c r="AP165" s="9"/>
      <c r="AQ165" s="9">
        <f>+FL_2($T$166,$T$164,$G$165,1200,9.28,-1*$F$166)</f>
        <v>-0.35219954355555555</v>
      </c>
      <c r="AR165" s="9"/>
      <c r="AS165" s="9"/>
      <c r="AT165" s="9"/>
      <c r="AU165" s="428"/>
      <c r="AV165" s="428"/>
      <c r="AW165" s="449"/>
      <c r="AX165" s="449"/>
      <c r="AY165" s="10" t="str">
        <f>IF(L165="","",
IF(AX165="PT",VLOOKUP(L165,Foundation_Calc!$K$79:$R$113,VLOOKUP(AW165,Foundation_Calc!$I$2:$J$8,2,FALSE),0),
IF(AX165="K",VLOOKUP(L165,Foundation_Calc!$K$117:$R$151,VLOOKUP(AW165,Foundation_Calc!$I$2:$J$8,2,FALSE),0),"")))</f>
        <v/>
      </c>
      <c r="AZ165" s="10" t="str">
        <f>IF(K165="","",
IF(AX165="PT",VLOOKUP(K165,Foundation_Calc!$K$79:$R$113,VLOOKUP(AW165,Foundation_Calc!$I$2:$J$8,2,FALSE),0),
IF(AX165="K",VLOOKUP(K165,Foundation_Calc!$K$117:$R$151,VLOOKUP(AW165,Foundation_Calc!$I$2:$J$8,2,FALSE),0),"")))</f>
        <v/>
      </c>
      <c r="BA165" s="495" t="str">
        <f t="shared" ref="BA165:BA228" si="20">IF(AY165="","",IF(AY165&gt;0,"ü",""))</f>
        <v/>
      </c>
      <c r="BB165" s="495" t="str">
        <f t="shared" ref="BB165:BB228" si="21">IF(AZ165="","",IF(AZ165&gt;0,"ü",""))</f>
        <v/>
      </c>
      <c r="BC165" s="495" t="str">
        <f t="shared" ref="BC165:BC228" si="22">IF(M165="","",IF(M165="U.S.","ü",IF(M165="U.S. N.D.","ü","")))</f>
        <v/>
      </c>
      <c r="BD165" s="513"/>
      <c r="BE165" s="429" t="s">
        <v>118</v>
      </c>
      <c r="BF165" s="290"/>
      <c r="BG165" s="290"/>
      <c r="BH165" s="290"/>
      <c r="BI165" s="290"/>
    </row>
    <row r="166" spans="1:61" ht="16.149999999999999" customHeight="1">
      <c r="A166" s="514"/>
      <c r="B166" s="450" t="s">
        <v>1021</v>
      </c>
      <c r="C166" s="3">
        <f>+$C$164+$G$165</f>
        <v>34310.35</v>
      </c>
      <c r="D166" s="83"/>
      <c r="E166" s="4"/>
      <c r="F166" s="4">
        <v>0</v>
      </c>
      <c r="G166" s="6"/>
      <c r="H166" s="449"/>
      <c r="I166" s="4"/>
      <c r="J166" s="3"/>
      <c r="K166" s="449"/>
      <c r="L166" s="449" t="s">
        <v>201</v>
      </c>
      <c r="M166" s="449" t="str">
        <f>IF(L166="","",
IF(AX166="PT",VLOOKUP(L166,Foundation_Calc!$V$79:$X$113,VLOOKUP(AX166,Foundation_Calc!$I$10:$J$13,2,FALSE),0),
IF(AX166="K",VLOOKUP(L166,Foundation_Calc!$V$117:$X$151,VLOOKUP(AX166,Foundation_Calc!$I$10:$J$13,2,FALSE),0),"")))</f>
        <v/>
      </c>
      <c r="N166" s="553" t="s">
        <v>343</v>
      </c>
      <c r="O166" s="449"/>
      <c r="P166" s="449"/>
      <c r="Q166" s="4"/>
      <c r="R166" s="6"/>
      <c r="S166" s="6"/>
      <c r="T166" s="4">
        <v>-35</v>
      </c>
      <c r="U166" s="4"/>
      <c r="V166" s="4"/>
      <c r="W166" s="9">
        <v>1.4</v>
      </c>
      <c r="X166" s="9"/>
      <c r="Y166" s="9"/>
      <c r="Z166" s="9"/>
      <c r="AA166" s="9"/>
      <c r="AB166" s="9"/>
      <c r="AC166" s="449" t="str">
        <f t="shared" si="19"/>
        <v>PHQ</v>
      </c>
      <c r="AD166" s="449"/>
      <c r="AE166" s="449"/>
      <c r="AF166" s="4"/>
      <c r="AG166" s="83"/>
      <c r="AH166" s="4"/>
      <c r="AI166" s="4"/>
      <c r="AJ166" s="449"/>
      <c r="AK166" s="449" t="s">
        <v>451</v>
      </c>
      <c r="AL166" s="449"/>
      <c r="AM166" s="449"/>
      <c r="AN166" s="10">
        <v>5.5</v>
      </c>
      <c r="AO166" s="9"/>
      <c r="AP166" s="9"/>
      <c r="AQ166" s="9"/>
      <c r="AR166" s="9"/>
      <c r="AS166" s="9"/>
      <c r="AT166" s="9">
        <f>+ab($T$166,$T$164,$T$168,$G$165,$G$167,-1*$F$166,1200)</f>
        <v>-6.1443249806553206</v>
      </c>
      <c r="AU166" s="428"/>
      <c r="AV166" s="428"/>
      <c r="AW166" s="449" t="s">
        <v>201</v>
      </c>
      <c r="AX166" s="449" t="s">
        <v>201</v>
      </c>
      <c r="AY166" s="10" t="str">
        <f>IF(L166="","",
IF(AX166="PT",VLOOKUP(L166,Foundation_Calc!$K$79:$R$113,VLOOKUP(AW166,Foundation_Calc!$I$2:$J$8,2,FALSE),0),
IF(AX166="K",VLOOKUP(L166,Foundation_Calc!$K$117:$R$151,VLOOKUP(AW166,Foundation_Calc!$I$2:$J$8,2,FALSE),0),"")))</f>
        <v/>
      </c>
      <c r="AZ166" s="10" t="str">
        <f>IF(K166="","",
IF(AX166="PT",VLOOKUP(K166,Foundation_Calc!$K$79:$R$113,VLOOKUP(AW166,Foundation_Calc!$I$2:$J$8,2,FALSE),0),
IF(AX166="K",VLOOKUP(K166,Foundation_Calc!$K$117:$R$151,VLOOKUP(AW166,Foundation_Calc!$I$2:$J$8,2,FALSE),0),"")))</f>
        <v/>
      </c>
      <c r="BA166" s="495" t="str">
        <f t="shared" si="20"/>
        <v/>
      </c>
      <c r="BB166" s="495" t="str">
        <f t="shared" si="21"/>
        <v/>
      </c>
      <c r="BC166" s="495" t="str">
        <f t="shared" si="22"/>
        <v/>
      </c>
      <c r="BD166" s="513"/>
      <c r="BE166" s="429" t="s">
        <v>118</v>
      </c>
      <c r="BF166" s="289"/>
      <c r="BG166" s="289"/>
      <c r="BH166" s="290"/>
      <c r="BI166" s="289"/>
    </row>
    <row r="167" spans="1:61" ht="16.149999999999999" customHeight="1">
      <c r="A167" s="607"/>
      <c r="B167" s="536"/>
      <c r="C167" s="537"/>
      <c r="D167" s="538"/>
      <c r="E167" s="539"/>
      <c r="F167" s="539"/>
      <c r="G167" s="540">
        <v>45</v>
      </c>
      <c r="H167" s="541"/>
      <c r="I167" s="539"/>
      <c r="J167" s="537"/>
      <c r="K167" s="541"/>
      <c r="L167" s="541"/>
      <c r="M167" s="541" t="str">
        <f>IF(L167="","",
IF(AX167="PT",VLOOKUP(L167,Foundation_Calc!$V$79:$X$113,VLOOKUP(AX167,Foundation_Calc!$I$10:$J$13,2,FALSE),0),
IF(AX167="K",VLOOKUP(L167,Foundation_Calc!$V$117:$X$151,VLOOKUP(AX167,Foundation_Calc!$I$10:$J$13,2,FALSE),0),"")))</f>
        <v/>
      </c>
      <c r="N167" s="541"/>
      <c r="O167" s="541"/>
      <c r="P167" s="541"/>
      <c r="Q167" s="539"/>
      <c r="R167" s="540"/>
      <c r="S167" s="540"/>
      <c r="T167" s="539"/>
      <c r="U167" s="539"/>
      <c r="V167" s="539"/>
      <c r="W167" s="542"/>
      <c r="X167" s="542"/>
      <c r="Y167" s="542"/>
      <c r="Z167" s="542"/>
      <c r="AA167" s="542"/>
      <c r="AB167" s="542"/>
      <c r="AC167" s="541" t="str">
        <f t="shared" si="19"/>
        <v/>
      </c>
      <c r="AD167" s="541"/>
      <c r="AE167" s="541"/>
      <c r="AF167" s="539"/>
      <c r="AG167" s="538"/>
      <c r="AH167" s="539"/>
      <c r="AI167" s="539"/>
      <c r="AJ167" s="541"/>
      <c r="AK167" s="541"/>
      <c r="AL167" s="541"/>
      <c r="AM167" s="541"/>
      <c r="AN167" s="543"/>
      <c r="AO167" s="542"/>
      <c r="AP167" s="542"/>
      <c r="AQ167" s="542">
        <f>+FL_1($T$168,$T$166,$G$167,1200,9.28,-1*$F$168)</f>
        <v>0.35219954355555555</v>
      </c>
      <c r="AR167" s="542"/>
      <c r="AS167" s="542"/>
      <c r="AT167" s="542"/>
      <c r="AU167" s="544"/>
      <c r="AV167" s="544"/>
      <c r="AW167" s="541"/>
      <c r="AX167" s="541"/>
      <c r="AY167" s="543" t="str">
        <f>IF(L167="","",
IF(AX167="PT",VLOOKUP(L167,Foundation_Calc!$K$79:$R$113,VLOOKUP(AW167,Foundation_Calc!$I$2:$J$8,2,FALSE),0),
IF(AX167="K",VLOOKUP(L167,Foundation_Calc!$K$117:$R$151,VLOOKUP(AW167,Foundation_Calc!$I$2:$J$8,2,FALSE),0),"")))</f>
        <v/>
      </c>
      <c r="AZ167" s="543" t="str">
        <f>IF(K167="","",
IF(AX167="PT",VLOOKUP(K167,Foundation_Calc!$K$79:$R$113,VLOOKUP(AW167,Foundation_Calc!$I$2:$J$8,2,FALSE),0),
IF(AX167="K",VLOOKUP(K167,Foundation_Calc!$K$117:$R$151,VLOOKUP(AW167,Foundation_Calc!$I$2:$J$8,2,FALSE),0),"")))</f>
        <v/>
      </c>
      <c r="BA167" s="550" t="str">
        <f t="shared" si="20"/>
        <v/>
      </c>
      <c r="BB167" s="550" t="str">
        <f t="shared" si="21"/>
        <v/>
      </c>
      <c r="BC167" s="550" t="str">
        <f t="shared" si="22"/>
        <v/>
      </c>
      <c r="BD167" s="516"/>
      <c r="BE167" s="429" t="s">
        <v>118</v>
      </c>
      <c r="BF167" s="290"/>
      <c r="BG167" s="290"/>
      <c r="BH167" s="290"/>
      <c r="BI167" s="290"/>
    </row>
    <row r="168" spans="1:61" ht="17.45" customHeight="1">
      <c r="A168" s="573"/>
      <c r="B168" s="450" t="s">
        <v>1022</v>
      </c>
      <c r="C168" s="3">
        <f>+$C$166+$G$167</f>
        <v>34355.35</v>
      </c>
      <c r="D168" s="83"/>
      <c r="E168" s="4"/>
      <c r="F168" s="4">
        <v>0</v>
      </c>
      <c r="G168" s="6"/>
      <c r="H168" s="449"/>
      <c r="I168" s="4"/>
      <c r="J168" s="3"/>
      <c r="K168" s="449"/>
      <c r="L168" s="449" t="s">
        <v>201</v>
      </c>
      <c r="M168" s="449" t="str">
        <f>IF(L168="","",
IF(AX168="PT",VLOOKUP(L168,Foundation_Calc!$V$79:$X$113,VLOOKUP(AX168,Foundation_Calc!$I$10:$J$13,2,FALSE),0),
IF(AX168="K",VLOOKUP(L168,Foundation_Calc!$V$117:$X$151,VLOOKUP(AX168,Foundation_Calc!$I$10:$J$13,2,FALSE),0),"")))</f>
        <v/>
      </c>
      <c r="N168" s="553" t="s">
        <v>453</v>
      </c>
      <c r="O168" s="449"/>
      <c r="P168" s="449"/>
      <c r="Q168" s="4"/>
      <c r="R168" s="6"/>
      <c r="S168" s="6"/>
      <c r="T168" s="4">
        <v>35</v>
      </c>
      <c r="U168" s="4"/>
      <c r="V168" s="4"/>
      <c r="W168" s="9">
        <v>1.4</v>
      </c>
      <c r="X168" s="9"/>
      <c r="Y168" s="9"/>
      <c r="Z168" s="9"/>
      <c r="AA168" s="9"/>
      <c r="AB168" s="9"/>
      <c r="AC168" s="449" t="str">
        <f t="shared" si="19"/>
        <v>PHQ</v>
      </c>
      <c r="AD168" s="449"/>
      <c r="AE168" s="449"/>
      <c r="AF168" s="4"/>
      <c r="AG168" s="83"/>
      <c r="AH168" s="4"/>
      <c r="AI168" s="4"/>
      <c r="AJ168" s="449"/>
      <c r="AK168" s="449" t="s">
        <v>451</v>
      </c>
      <c r="AL168" s="449"/>
      <c r="AM168" s="449"/>
      <c r="AN168" s="10">
        <v>5.5</v>
      </c>
      <c r="AO168" s="9"/>
      <c r="AP168" s="9"/>
      <c r="AQ168" s="9"/>
      <c r="AR168" s="9"/>
      <c r="AS168" s="9"/>
      <c r="AT168" s="9">
        <f>+ab($T$168,$T$166,$T$170,$G$167,$G$169,-1*$F$168,1200)</f>
        <v>6.6989441647131418</v>
      </c>
      <c r="AU168" s="428"/>
      <c r="AV168" s="428"/>
      <c r="AW168" s="449" t="s">
        <v>201</v>
      </c>
      <c r="AX168" s="449" t="s">
        <v>201</v>
      </c>
      <c r="AY168" s="10" t="str">
        <f>IF(L168="","",
IF(AX168="PT",VLOOKUP(L168,Foundation_Calc!$K$79:$R$113,VLOOKUP(AW168,Foundation_Calc!$I$2:$J$8,2,FALSE),0),
IF(AX168="K",VLOOKUP(L168,Foundation_Calc!$K$117:$R$151,VLOOKUP(AW168,Foundation_Calc!$I$2:$J$8,2,FALSE),0),"")))</f>
        <v/>
      </c>
      <c r="AZ168" s="10" t="str">
        <f>IF(K168="","",
IF(AX168="PT",VLOOKUP(K168,Foundation_Calc!$K$79:$R$113,VLOOKUP(AW168,Foundation_Calc!$I$2:$J$8,2,FALSE),0),
IF(AX168="K",VLOOKUP(K168,Foundation_Calc!$K$117:$R$151,VLOOKUP(AW168,Foundation_Calc!$I$2:$J$8,2,FALSE),0),"")))</f>
        <v/>
      </c>
      <c r="BA168" s="495" t="str">
        <f t="shared" si="20"/>
        <v/>
      </c>
      <c r="BB168" s="495" t="str">
        <f t="shared" si="21"/>
        <v/>
      </c>
      <c r="BC168" s="495" t="str">
        <f t="shared" si="22"/>
        <v/>
      </c>
      <c r="BD168" s="513"/>
      <c r="BE168" s="429" t="s">
        <v>118</v>
      </c>
      <c r="BF168" s="289"/>
      <c r="BG168" s="289"/>
      <c r="BH168" s="290"/>
      <c r="BI168" s="289"/>
    </row>
    <row r="169" spans="1:61" ht="16.149999999999999" customHeight="1">
      <c r="A169" s="514"/>
      <c r="B169" s="450"/>
      <c r="C169" s="3"/>
      <c r="D169" s="83"/>
      <c r="E169" s="4"/>
      <c r="F169" s="4"/>
      <c r="G169" s="6">
        <v>46.3</v>
      </c>
      <c r="H169" s="449"/>
      <c r="I169" s="4"/>
      <c r="J169" s="3"/>
      <c r="K169" s="449"/>
      <c r="L169" s="449"/>
      <c r="M169" s="449" t="str">
        <f>IF(L169="","",
IF(AX169="PT",VLOOKUP(L169,Foundation_Calc!$V$79:$X$113,VLOOKUP(AX169,Foundation_Calc!$I$10:$J$13,2,FALSE),0),
IF(AX169="K",VLOOKUP(L169,Foundation_Calc!$V$117:$X$151,VLOOKUP(AX169,Foundation_Calc!$I$10:$J$13,2,FALSE),0),"")))</f>
        <v/>
      </c>
      <c r="N169" s="449"/>
      <c r="O169" s="449"/>
      <c r="P169" s="449"/>
      <c r="Q169" s="4"/>
      <c r="R169" s="6"/>
      <c r="S169" s="6"/>
      <c r="T169" s="4"/>
      <c r="U169" s="4"/>
      <c r="V169" s="4"/>
      <c r="W169" s="9"/>
      <c r="X169" s="9"/>
      <c r="Y169" s="9"/>
      <c r="Z169" s="9"/>
      <c r="AA169" s="9"/>
      <c r="AB169" s="9"/>
      <c r="AC169" s="449" t="str">
        <f t="shared" si="19"/>
        <v/>
      </c>
      <c r="AD169" s="449"/>
      <c r="AE169" s="449"/>
      <c r="AF169" s="4"/>
      <c r="AG169" s="83"/>
      <c r="AH169" s="4"/>
      <c r="AI169" s="4"/>
      <c r="AJ169" s="449"/>
      <c r="AK169" s="449"/>
      <c r="AL169" s="449"/>
      <c r="AM169" s="449"/>
      <c r="AN169" s="10"/>
      <c r="AO169" s="9"/>
      <c r="AP169" s="9"/>
      <c r="AQ169" s="9">
        <f>+FL_1($T$170,$T$168,$G$169,1200,9.28,-1*$F$170)</f>
        <v>0.36580185262203019</v>
      </c>
      <c r="AR169" s="9"/>
      <c r="AS169" s="9"/>
      <c r="AT169" s="9"/>
      <c r="AU169" s="428"/>
      <c r="AV169" s="428"/>
      <c r="AW169" s="449"/>
      <c r="AX169" s="449"/>
      <c r="AY169" s="10" t="str">
        <f>IF(L169="","",
IF(AX169="PT",VLOOKUP(L169,Foundation_Calc!$K$79:$R$113,VLOOKUP(AW169,Foundation_Calc!$I$2:$J$8,2,FALSE),0),
IF(AX169="K",VLOOKUP(L169,Foundation_Calc!$K$117:$R$151,VLOOKUP(AW169,Foundation_Calc!$I$2:$J$8,2,FALSE),0),"")))</f>
        <v/>
      </c>
      <c r="AZ169" s="10" t="str">
        <f>IF(K169="","",
IF(AX169="PT",VLOOKUP(K169,Foundation_Calc!$K$79:$R$113,VLOOKUP(AW169,Foundation_Calc!$I$2:$J$8,2,FALSE),0),
IF(AX169="K",VLOOKUP(K169,Foundation_Calc!$K$117:$R$151,VLOOKUP(AW169,Foundation_Calc!$I$2:$J$8,2,FALSE),0),"")))</f>
        <v/>
      </c>
      <c r="BA169" s="495" t="str">
        <f t="shared" si="20"/>
        <v/>
      </c>
      <c r="BB169" s="495" t="str">
        <f t="shared" si="21"/>
        <v/>
      </c>
      <c r="BC169" s="495" t="str">
        <f t="shared" si="22"/>
        <v/>
      </c>
      <c r="BD169" s="513"/>
      <c r="BE169" s="429" t="s">
        <v>118</v>
      </c>
      <c r="BF169" s="290"/>
      <c r="BG169" s="290"/>
      <c r="BH169" s="290"/>
      <c r="BI169" s="290"/>
    </row>
    <row r="170" spans="1:61" ht="16.149999999999999" customHeight="1">
      <c r="A170" s="607"/>
      <c r="B170" s="450" t="s">
        <v>1023</v>
      </c>
      <c r="C170" s="3">
        <f>+$C$168+$G$169</f>
        <v>34401.65</v>
      </c>
      <c r="D170" s="83"/>
      <c r="E170" s="4"/>
      <c r="F170" s="4">
        <v>0</v>
      </c>
      <c r="G170" s="6"/>
      <c r="H170" s="449"/>
      <c r="I170" s="4"/>
      <c r="J170" s="3"/>
      <c r="K170" s="449"/>
      <c r="L170" s="449" t="s">
        <v>201</v>
      </c>
      <c r="M170" s="449" t="str">
        <f>IF(L170="","",
IF(AX170="PT",VLOOKUP(L170,Foundation_Calc!$V$79:$X$113,VLOOKUP(AX170,Foundation_Calc!$I$10:$J$13,2,FALSE),0),
IF(AX170="K",VLOOKUP(L170,Foundation_Calc!$V$117:$X$151,VLOOKUP(AX170,Foundation_Calc!$I$10:$J$13,2,FALSE),0),"")))</f>
        <v/>
      </c>
      <c r="N170" s="553" t="s">
        <v>343</v>
      </c>
      <c r="O170" s="449"/>
      <c r="P170" s="449"/>
      <c r="Q170" s="4"/>
      <c r="R170" s="6"/>
      <c r="S170" s="6"/>
      <c r="T170" s="4">
        <v>-25</v>
      </c>
      <c r="U170" s="4"/>
      <c r="V170" s="4"/>
      <c r="W170" s="9">
        <v>1.4</v>
      </c>
      <c r="X170" s="9"/>
      <c r="Y170" s="9"/>
      <c r="Z170" s="9"/>
      <c r="AA170" s="9"/>
      <c r="AB170" s="9"/>
      <c r="AC170" s="449" t="str">
        <f t="shared" si="19"/>
        <v>PHQ</v>
      </c>
      <c r="AD170" s="449"/>
      <c r="AE170" s="449"/>
      <c r="AF170" s="4"/>
      <c r="AG170" s="83"/>
      <c r="AH170" s="4"/>
      <c r="AI170" s="4"/>
      <c r="AJ170" s="449"/>
      <c r="AK170" s="449" t="s">
        <v>451</v>
      </c>
      <c r="AL170" s="449"/>
      <c r="AM170" s="449"/>
      <c r="AN170" s="10">
        <v>5.5</v>
      </c>
      <c r="AO170" s="9"/>
      <c r="AP170" s="9"/>
      <c r="AQ170" s="9"/>
      <c r="AR170" s="9"/>
      <c r="AS170" s="9"/>
      <c r="AT170" s="9">
        <f>+ab($T$170,$T$168,$T$172,$G$169,$G$171,-1*$F$170,1200)</f>
        <v>-7.6426879068732969</v>
      </c>
      <c r="AU170" s="428"/>
      <c r="AV170" s="428"/>
      <c r="AW170" s="449" t="s">
        <v>201</v>
      </c>
      <c r="AX170" s="449" t="s">
        <v>201</v>
      </c>
      <c r="AY170" s="10" t="str">
        <f>IF(L170="","",
IF(AX170="PT",VLOOKUP(L170,Foundation_Calc!$K$79:$R$113,VLOOKUP(AW170,Foundation_Calc!$I$2:$J$8,2,FALSE),0),
IF(AX170="K",VLOOKUP(L170,Foundation_Calc!$K$117:$R$151,VLOOKUP(AW170,Foundation_Calc!$I$2:$J$8,2,FALSE),0),"")))</f>
        <v/>
      </c>
      <c r="AZ170" s="10" t="str">
        <f>IF(K170="","",
IF(AX170="PT",VLOOKUP(K170,Foundation_Calc!$K$79:$R$113,VLOOKUP(AW170,Foundation_Calc!$I$2:$J$8,2,FALSE),0),
IF(AX170="K",VLOOKUP(K170,Foundation_Calc!$K$117:$R$151,VLOOKUP(AW170,Foundation_Calc!$I$2:$J$8,2,FALSE),0),"")))</f>
        <v/>
      </c>
      <c r="BA170" s="495" t="str">
        <f t="shared" si="20"/>
        <v/>
      </c>
      <c r="BB170" s="495" t="str">
        <f t="shared" si="21"/>
        <v/>
      </c>
      <c r="BC170" s="495" t="str">
        <f t="shared" si="22"/>
        <v/>
      </c>
      <c r="BD170" s="513"/>
      <c r="BE170" s="429" t="s">
        <v>118</v>
      </c>
      <c r="BF170" s="289"/>
      <c r="BG170" s="289"/>
      <c r="BH170" s="290"/>
      <c r="BI170" s="289"/>
    </row>
    <row r="171" spans="1:61" ht="16.149999999999999" customHeight="1">
      <c r="A171" s="514"/>
      <c r="B171" s="450"/>
      <c r="C171" s="3"/>
      <c r="D171" s="83"/>
      <c r="E171" s="4"/>
      <c r="F171" s="4"/>
      <c r="G171" s="6">
        <v>50</v>
      </c>
      <c r="H171" s="449"/>
      <c r="I171" s="4"/>
      <c r="J171" s="3"/>
      <c r="K171" s="449"/>
      <c r="L171" s="449"/>
      <c r="M171" s="449" t="str">
        <f>IF(L171="","",
IF(AX171="PT",VLOOKUP(L171,Foundation_Calc!$V$79:$X$113,VLOOKUP(AX171,Foundation_Calc!$I$10:$J$13,2,FALSE),0),
IF(AX171="K",VLOOKUP(L171,Foundation_Calc!$V$117:$X$151,VLOOKUP(AX171,Foundation_Calc!$I$10:$J$13,2,FALSE),0),"")))</f>
        <v/>
      </c>
      <c r="N171" s="449"/>
      <c r="O171" s="449"/>
      <c r="P171" s="449"/>
      <c r="Q171" s="4"/>
      <c r="R171" s="6"/>
      <c r="S171" s="6"/>
      <c r="T171" s="4"/>
      <c r="U171" s="4"/>
      <c r="V171" s="4"/>
      <c r="W171" s="9"/>
      <c r="X171" s="9"/>
      <c r="Y171" s="9"/>
      <c r="Z171" s="9"/>
      <c r="AA171" s="9"/>
      <c r="AB171" s="9"/>
      <c r="AC171" s="449" t="str">
        <f t="shared" si="19"/>
        <v/>
      </c>
      <c r="AD171" s="449"/>
      <c r="AE171" s="449"/>
      <c r="AF171" s="4"/>
      <c r="AG171" s="83"/>
      <c r="AH171" s="4"/>
      <c r="AI171" s="4"/>
      <c r="AJ171" s="449"/>
      <c r="AK171" s="449"/>
      <c r="AL171" s="449"/>
      <c r="AM171" s="449"/>
      <c r="AN171" s="10"/>
      <c r="AO171" s="9"/>
      <c r="AP171" s="9"/>
      <c r="AQ171" s="9">
        <f>+FL_1($T$172,$T$170,$G$171,1200,9.28,-1*$F$172)</f>
        <v>0.384770112</v>
      </c>
      <c r="AR171" s="9"/>
      <c r="AS171" s="9"/>
      <c r="AT171" s="9"/>
      <c r="AU171" s="428"/>
      <c r="AV171" s="428"/>
      <c r="AW171" s="449"/>
      <c r="AX171" s="449"/>
      <c r="AY171" s="10" t="str">
        <f>IF(L171="","",
IF(AX171="PT",VLOOKUP(L171,Foundation_Calc!$K$79:$R$113,VLOOKUP(AW171,Foundation_Calc!$I$2:$J$8,2,FALSE),0),
IF(AX171="K",VLOOKUP(L171,Foundation_Calc!$K$117:$R$151,VLOOKUP(AW171,Foundation_Calc!$I$2:$J$8,2,FALSE),0),"")))</f>
        <v/>
      </c>
      <c r="AZ171" s="10" t="str">
        <f>IF(K171="","",
IF(AX171="PT",VLOOKUP(K171,Foundation_Calc!$K$79:$R$113,VLOOKUP(AW171,Foundation_Calc!$I$2:$J$8,2,FALSE),0),
IF(AX171="K",VLOOKUP(K171,Foundation_Calc!$K$117:$R$151,VLOOKUP(AW171,Foundation_Calc!$I$2:$J$8,2,FALSE),0),"")))</f>
        <v/>
      </c>
      <c r="BA171" s="495" t="str">
        <f t="shared" si="20"/>
        <v/>
      </c>
      <c r="BB171" s="495" t="str">
        <f t="shared" si="21"/>
        <v/>
      </c>
      <c r="BC171" s="495" t="str">
        <f t="shared" si="22"/>
        <v/>
      </c>
      <c r="BD171" s="513" t="str">
        <f>IF(AND(L171="",H171=""),"",
IF(H171="",Pole_Calc!A$9,
IF(H171="MP",Pole_Calc!A$10,
IF(H171="AnMP",Pole_Calc!A$11,
IF(H171="A",Pole_Calc!A$12,
IF(H171="S/A",Pole_Calc!A$13,
IF(H171="A/S",Pole_Calc!A$14,"Poner a mano")))))))</f>
        <v/>
      </c>
      <c r="BE171" s="429" t="s">
        <v>118</v>
      </c>
      <c r="BF171" s="290"/>
      <c r="BG171" s="290"/>
      <c r="BH171" s="290"/>
      <c r="BI171" s="290"/>
    </row>
    <row r="172" spans="1:61" ht="16.149999999999999" customHeight="1">
      <c r="A172" s="514"/>
      <c r="B172" s="450" t="s">
        <v>1024</v>
      </c>
      <c r="C172" s="3">
        <f>+$C$170+$G$171</f>
        <v>34451.65</v>
      </c>
      <c r="D172" s="83"/>
      <c r="E172" s="4"/>
      <c r="F172" s="4">
        <v>0</v>
      </c>
      <c r="G172" s="6"/>
      <c r="H172" s="449" t="s">
        <v>131</v>
      </c>
      <c r="I172" s="4"/>
      <c r="J172" s="3"/>
      <c r="K172" s="449"/>
      <c r="L172" s="449" t="s">
        <v>201</v>
      </c>
      <c r="M172" s="449" t="str">
        <f>IF(L172="","",
IF(AX172="PT",VLOOKUP(L172,Foundation_Calc!$V$79:$X$113,VLOOKUP(AX172,Foundation_Calc!$I$10:$J$13,2,FALSE),0),
IF(AX172="K",VLOOKUP(L172,Foundation_Calc!$V$117:$X$151,VLOOKUP(AX172,Foundation_Calc!$I$10:$J$13,2,FALSE),0),"")))</f>
        <v/>
      </c>
      <c r="N172" s="553" t="s">
        <v>840</v>
      </c>
      <c r="O172" s="553" t="s">
        <v>453</v>
      </c>
      <c r="P172" s="449"/>
      <c r="Q172" s="4"/>
      <c r="R172" s="6"/>
      <c r="S172" s="6"/>
      <c r="T172" s="4">
        <v>35</v>
      </c>
      <c r="U172" s="4">
        <v>15</v>
      </c>
      <c r="V172" s="4"/>
      <c r="W172" s="9">
        <v>1.4</v>
      </c>
      <c r="X172" s="9">
        <v>2</v>
      </c>
      <c r="Y172" s="9"/>
      <c r="Z172" s="9">
        <v>0.4</v>
      </c>
      <c r="AA172" s="9"/>
      <c r="AB172" s="9"/>
      <c r="AC172" s="449"/>
      <c r="AD172" s="449"/>
      <c r="AE172" s="449"/>
      <c r="AF172" s="4"/>
      <c r="AG172" s="83"/>
      <c r="AH172" s="4"/>
      <c r="AI172" s="4"/>
      <c r="AJ172" s="449"/>
      <c r="AK172" s="449" t="s">
        <v>841</v>
      </c>
      <c r="AL172" s="449"/>
      <c r="AM172" s="449"/>
      <c r="AN172" s="10">
        <v>5.5</v>
      </c>
      <c r="AO172" s="9"/>
      <c r="AP172" s="9"/>
      <c r="AQ172" s="9"/>
      <c r="AR172" s="9"/>
      <c r="AS172" s="9"/>
      <c r="AT172" s="9">
        <f>+ab($T$172,$T$170,$T$174,$G$171,$G$173,-1*$F$172,1200)</f>
        <v>8.245629883294292</v>
      </c>
      <c r="AU172" s="428"/>
      <c r="AV172" s="428"/>
      <c r="AW172" s="449" t="s">
        <v>201</v>
      </c>
      <c r="AX172" s="449" t="s">
        <v>201</v>
      </c>
      <c r="AY172" s="10" t="str">
        <f>IF(L172="","",
IF(AX172="PT",VLOOKUP(L172,Foundation_Calc!$K$79:$R$113,VLOOKUP(AW172,Foundation_Calc!$I$2:$J$8,2,FALSE),0),
IF(AX172="K",VLOOKUP(L172,Foundation_Calc!$K$117:$R$151,VLOOKUP(AW172,Foundation_Calc!$I$2:$J$8,2,FALSE),0),"")))</f>
        <v/>
      </c>
      <c r="AZ172" s="10" t="str">
        <f>IF(K172="","",
IF(AX172="PT",VLOOKUP(K172,Foundation_Calc!$K$79:$R$113,VLOOKUP(AW172,Foundation_Calc!$I$2:$J$8,2,FALSE),0),
IF(AX172="K",VLOOKUP(K172,Foundation_Calc!$K$117:$R$151,VLOOKUP(AW172,Foundation_Calc!$I$2:$J$8,2,FALSE),0),"")))</f>
        <v/>
      </c>
      <c r="BA172" s="495" t="str">
        <f t="shared" si="20"/>
        <v/>
      </c>
      <c r="BB172" s="495" t="str">
        <f t="shared" si="21"/>
        <v/>
      </c>
      <c r="BC172" s="495" t="str">
        <f t="shared" si="22"/>
        <v/>
      </c>
      <c r="BD172" s="513"/>
      <c r="BE172" s="429" t="s">
        <v>118</v>
      </c>
      <c r="BF172" s="289"/>
      <c r="BG172" s="289"/>
      <c r="BH172" s="290"/>
      <c r="BI172" s="289"/>
    </row>
    <row r="173" spans="1:61" ht="16.149999999999999" customHeight="1">
      <c r="A173" s="514"/>
      <c r="B173" s="450"/>
      <c r="C173" s="3"/>
      <c r="D173" s="83"/>
      <c r="E173" s="4"/>
      <c r="F173" s="4"/>
      <c r="G173" s="6">
        <v>45</v>
      </c>
      <c r="H173" s="449"/>
      <c r="I173" s="4"/>
      <c r="J173" s="3"/>
      <c r="K173" s="449"/>
      <c r="L173" s="449"/>
      <c r="M173" s="449" t="str">
        <f>IF(L173="","",
IF(AX173="PT",VLOOKUP(L173,Foundation_Calc!$V$79:$X$113,VLOOKUP(AX173,Foundation_Calc!$I$10:$J$13,2,FALSE),0),
IF(AX173="K",VLOOKUP(L173,Foundation_Calc!$V$117:$X$151,VLOOKUP(AX173,Foundation_Calc!$I$10:$J$13,2,FALSE),0),"")))</f>
        <v/>
      </c>
      <c r="N173" s="575"/>
      <c r="O173" s="449"/>
      <c r="P173" s="449"/>
      <c r="Q173" s="4"/>
      <c r="R173" s="6"/>
      <c r="S173" s="6"/>
      <c r="T173" s="4"/>
      <c r="U173" s="4"/>
      <c r="V173" s="4"/>
      <c r="W173" s="572"/>
      <c r="X173" s="572"/>
      <c r="Y173" s="9"/>
      <c r="Z173" s="9"/>
      <c r="AA173" s="9"/>
      <c r="AB173" s="9"/>
      <c r="AC173" s="449" t="str">
        <f t="shared" si="19"/>
        <v/>
      </c>
      <c r="AD173" s="449"/>
      <c r="AE173" s="449"/>
      <c r="AF173" s="4"/>
      <c r="AG173" s="83"/>
      <c r="AH173" s="4"/>
      <c r="AI173" s="4"/>
      <c r="AJ173" s="449"/>
      <c r="AK173" s="449"/>
      <c r="AL173" s="449"/>
      <c r="AM173" s="449"/>
      <c r="AN173" s="10"/>
      <c r="AO173" s="9"/>
      <c r="AP173" s="9"/>
      <c r="AQ173" s="9">
        <f>+FL_1($T$174,$U$172,$G$173,1200,9.28,-1*$F$174)</f>
        <v>0.27127116130886675</v>
      </c>
      <c r="AR173" s="9"/>
      <c r="AS173" s="9"/>
      <c r="AT173" s="9"/>
      <c r="AU173" s="428"/>
      <c r="AV173" s="428"/>
      <c r="AW173" s="449"/>
      <c r="AX173" s="449"/>
      <c r="AY173" s="10" t="str">
        <f>IF(L173="","",
IF(AX173="PT",VLOOKUP(L173,Foundation_Calc!$K$79:$R$113,VLOOKUP(AW173,Foundation_Calc!$I$2:$J$8,2,FALSE),0),
IF(AX173="K",VLOOKUP(L173,Foundation_Calc!$K$117:$R$151,VLOOKUP(AW173,Foundation_Calc!$I$2:$J$8,2,FALSE),0),"")))</f>
        <v/>
      </c>
      <c r="AZ173" s="10" t="str">
        <f>IF(K173="","",
IF(AX173="PT",VLOOKUP(K173,Foundation_Calc!$K$79:$R$113,VLOOKUP(AW173,Foundation_Calc!$I$2:$J$8,2,FALSE),0),
IF(AX173="K",VLOOKUP(K173,Foundation_Calc!$K$117:$R$151,VLOOKUP(AW173,Foundation_Calc!$I$2:$J$8,2,FALSE),0),"")))</f>
        <v/>
      </c>
      <c r="BA173" s="495" t="str">
        <f t="shared" si="20"/>
        <v/>
      </c>
      <c r="BB173" s="495" t="str">
        <f t="shared" si="21"/>
        <v/>
      </c>
      <c r="BC173" s="495" t="str">
        <f t="shared" si="22"/>
        <v/>
      </c>
      <c r="BD173" s="513"/>
      <c r="BE173" s="429" t="s">
        <v>118</v>
      </c>
      <c r="BF173" s="290"/>
      <c r="BG173" s="290"/>
      <c r="BH173" s="290"/>
      <c r="BI173" s="290"/>
    </row>
    <row r="174" spans="1:61" ht="16.149999999999999" customHeight="1">
      <c r="A174" s="514"/>
      <c r="B174" s="450" t="s">
        <v>1025</v>
      </c>
      <c r="C174" s="3">
        <f>+$C$172+$G$173</f>
        <v>34496.65</v>
      </c>
      <c r="D174" s="83"/>
      <c r="E174" s="4"/>
      <c r="F174" s="4">
        <v>4785.0944902848387</v>
      </c>
      <c r="G174" s="6"/>
      <c r="H174" s="449" t="s">
        <v>131</v>
      </c>
      <c r="I174" s="4"/>
      <c r="J174" s="3"/>
      <c r="K174" s="449"/>
      <c r="L174" s="449" t="s">
        <v>201</v>
      </c>
      <c r="M174" s="449" t="str">
        <f>IF(L174="","",
IF(AX174="PT",VLOOKUP(L174,Foundation_Calc!$V$79:$X$113,VLOOKUP(AX174,Foundation_Calc!$I$10:$J$13,2,FALSE),0),
IF(AX174="K",VLOOKUP(L174,Foundation_Calc!$V$117:$X$151,VLOOKUP(AX174,Foundation_Calc!$I$10:$J$13,2,FALSE),0),"")))</f>
        <v/>
      </c>
      <c r="N174" s="553" t="s">
        <v>343</v>
      </c>
      <c r="O174" s="553" t="s">
        <v>840</v>
      </c>
      <c r="P174" s="449"/>
      <c r="Q174" s="4"/>
      <c r="R174" s="6"/>
      <c r="S174" s="6"/>
      <c r="T174" s="4">
        <v>-15</v>
      </c>
      <c r="U174" s="4">
        <v>-35</v>
      </c>
      <c r="V174" s="4"/>
      <c r="W174" s="9">
        <v>1.4</v>
      </c>
      <c r="X174" s="9">
        <v>2</v>
      </c>
      <c r="Y174" s="9"/>
      <c r="Z174" s="9"/>
      <c r="AA174" s="9">
        <v>0.4</v>
      </c>
      <c r="AB174" s="9"/>
      <c r="AC174" s="449" t="str">
        <f t="shared" si="19"/>
        <v>PH</v>
      </c>
      <c r="AD174" s="449"/>
      <c r="AE174" s="449"/>
      <c r="AF174" s="4"/>
      <c r="AG174" s="83"/>
      <c r="AH174" s="4"/>
      <c r="AI174" s="4"/>
      <c r="AJ174" s="449"/>
      <c r="AK174" s="449" t="s">
        <v>841</v>
      </c>
      <c r="AL174" s="449"/>
      <c r="AM174" s="449"/>
      <c r="AN174" s="10">
        <v>5.5</v>
      </c>
      <c r="AO174" s="9"/>
      <c r="AP174" s="9"/>
      <c r="AQ174" s="9"/>
      <c r="AR174" s="9"/>
      <c r="AS174" s="9"/>
      <c r="AT174" s="9">
        <f>+ab($T$174,$T$172,$T$176,$G$173,$G$175,-1*$F$174,1200)</f>
        <v>-10.131247231729157</v>
      </c>
      <c r="AU174" s="428"/>
      <c r="AV174" s="428"/>
      <c r="AW174" s="449" t="s">
        <v>201</v>
      </c>
      <c r="AX174" s="449" t="s">
        <v>201</v>
      </c>
      <c r="AY174" s="10" t="str">
        <f>IF(L174="","",
IF(AX174="PT",VLOOKUP(L174,Foundation_Calc!$K$79:$R$113,VLOOKUP(AW174,Foundation_Calc!$I$2:$J$8,2,FALSE),0),
IF(AX174="K",VLOOKUP(L174,Foundation_Calc!$K$117:$R$151,VLOOKUP(AW174,Foundation_Calc!$I$2:$J$8,2,FALSE),0),"")))</f>
        <v/>
      </c>
      <c r="AZ174" s="10" t="str">
        <f>IF(K174="","",
IF(AX174="PT",VLOOKUP(K174,Foundation_Calc!$K$79:$R$113,VLOOKUP(AW174,Foundation_Calc!$I$2:$J$8,2,FALSE),0),
IF(AX174="K",VLOOKUP(K174,Foundation_Calc!$K$117:$R$151,VLOOKUP(AW174,Foundation_Calc!$I$2:$J$8,2,FALSE),0),"")))</f>
        <v/>
      </c>
      <c r="BA174" s="495" t="str">
        <f t="shared" si="20"/>
        <v/>
      </c>
      <c r="BB174" s="495" t="str">
        <f t="shared" si="21"/>
        <v/>
      </c>
      <c r="BC174" s="495" t="str">
        <f t="shared" si="22"/>
        <v/>
      </c>
      <c r="BD174" s="513"/>
      <c r="BE174" s="429" t="s">
        <v>118</v>
      </c>
      <c r="BF174" s="289"/>
      <c r="BG174" s="289"/>
      <c r="BH174" s="290"/>
      <c r="BI174" s="289"/>
    </row>
    <row r="175" spans="1:61" ht="16.149999999999999" customHeight="1">
      <c r="A175" s="514"/>
      <c r="B175" s="450"/>
      <c r="C175" s="3"/>
      <c r="D175" s="83"/>
      <c r="E175" s="4"/>
      <c r="F175" s="4"/>
      <c r="G175" s="6">
        <v>40</v>
      </c>
      <c r="H175" s="449"/>
      <c r="I175" s="4"/>
      <c r="J175" s="3"/>
      <c r="K175" s="541"/>
      <c r="L175" s="449"/>
      <c r="M175" s="449" t="str">
        <f>IF(L175="","",
IF(AX175="PT",VLOOKUP(L175,Foundation_Calc!$V$79:$X$113,VLOOKUP(AX175,Foundation_Calc!$I$10:$J$13,2,FALSE),0),
IF(AX175="K",VLOOKUP(L175,Foundation_Calc!$V$117:$X$151,VLOOKUP(AX175,Foundation_Calc!$I$10:$J$13,2,FALSE),0),"")))</f>
        <v/>
      </c>
      <c r="N175" s="575"/>
      <c r="O175" s="449"/>
      <c r="P175" s="449"/>
      <c r="Q175" s="4"/>
      <c r="R175" s="6"/>
      <c r="S175" s="6"/>
      <c r="T175" s="4"/>
      <c r="U175" s="4"/>
      <c r="V175" s="4"/>
      <c r="W175" s="572"/>
      <c r="X175" s="572"/>
      <c r="Y175" s="9"/>
      <c r="Z175" s="9"/>
      <c r="AA175" s="9"/>
      <c r="AB175" s="9"/>
      <c r="AC175" s="449" t="str">
        <f t="shared" si="19"/>
        <v/>
      </c>
      <c r="AD175" s="449"/>
      <c r="AE175" s="449"/>
      <c r="AF175" s="4"/>
      <c r="AG175" s="83"/>
      <c r="AH175" s="4"/>
      <c r="AI175" s="4"/>
      <c r="AJ175" s="449"/>
      <c r="AK175" s="449"/>
      <c r="AL175" s="449"/>
      <c r="AM175" s="449"/>
      <c r="AN175" s="10"/>
      <c r="AO175" s="9"/>
      <c r="AP175" s="9"/>
      <c r="AQ175" s="9">
        <f>+FL_2($T$176,$T$174,$G$175,1200,9.28,-1*$F$176)</f>
        <v>-0.24565423008801079</v>
      </c>
      <c r="AR175" s="9"/>
      <c r="AS175" s="9"/>
      <c r="AT175" s="9"/>
      <c r="AU175" s="428"/>
      <c r="AV175" s="428"/>
      <c r="AW175" s="449"/>
      <c r="AX175" s="449"/>
      <c r="AY175" s="10" t="str">
        <f>IF(L175="","",
IF(AX175="PT",VLOOKUP(L175,Foundation_Calc!$K$79:$R$113,VLOOKUP(AW175,Foundation_Calc!$I$2:$J$8,2,FALSE),0),
IF(AX175="K",VLOOKUP(L175,Foundation_Calc!$K$117:$R$151,VLOOKUP(AW175,Foundation_Calc!$I$2:$J$8,2,FALSE),0),"")))</f>
        <v/>
      </c>
      <c r="AZ175" s="10" t="str">
        <f>IF(K175="","",
IF(AX175="PT",VLOOKUP(K175,Foundation_Calc!$K$79:$R$113,VLOOKUP(AW175,Foundation_Calc!$I$2:$J$8,2,FALSE),0),
IF(AX175="K",VLOOKUP(K175,Foundation_Calc!$K$117:$R$151,VLOOKUP(AW175,Foundation_Calc!$I$2:$J$8,2,FALSE),0),"")))</f>
        <v/>
      </c>
      <c r="BA175" s="495" t="str">
        <f t="shared" si="20"/>
        <v/>
      </c>
      <c r="BB175" s="495" t="str">
        <f t="shared" si="21"/>
        <v/>
      </c>
      <c r="BC175" s="495" t="str">
        <f t="shared" si="22"/>
        <v/>
      </c>
      <c r="BD175" s="513" t="str">
        <f>IF(AND(L175="",H175=""),"",
IF(H175="",Pole_Calc!A$9,
IF(H175="MP",Pole_Calc!A$10,
IF(H175="AnMP",Pole_Calc!A$11,
IF(H175="A",Pole_Calc!A$12,
IF(H175="S/A",Pole_Calc!A$13,
IF(H175="A/S",Pole_Calc!A$14,"Poner a mano")))))))</f>
        <v/>
      </c>
      <c r="BE175" s="429" t="s">
        <v>118</v>
      </c>
      <c r="BF175" s="290"/>
      <c r="BG175" s="290"/>
      <c r="BH175" s="290"/>
      <c r="BI175" s="290"/>
    </row>
    <row r="176" spans="1:61" ht="16.149999999999999" customHeight="1">
      <c r="A176" s="514"/>
      <c r="B176" s="450" t="s">
        <v>1026</v>
      </c>
      <c r="C176" s="3">
        <f>+$C$174+$G$175</f>
        <v>34536.65</v>
      </c>
      <c r="D176" s="83"/>
      <c r="E176" s="4"/>
      <c r="F176" s="4">
        <v>2317.5970091530316</v>
      </c>
      <c r="G176" s="6"/>
      <c r="H176" s="449"/>
      <c r="I176" s="4"/>
      <c r="J176" s="3"/>
      <c r="K176" s="449"/>
      <c r="L176" s="449" t="s">
        <v>201</v>
      </c>
      <c r="M176" s="449" t="str">
        <f>IF(L176="","",
IF(AX176="PT",VLOOKUP(L176,Foundation_Calc!$V$79:$X$113,VLOOKUP(AX176,Foundation_Calc!$I$10:$J$13,2,FALSE),0),
IF(AX176="K",VLOOKUP(L176,Foundation_Calc!$V$117:$X$151,VLOOKUP(AX176,Foundation_Calc!$I$10:$J$13,2,FALSE),0),"")))</f>
        <v/>
      </c>
      <c r="N176" s="553" t="s">
        <v>343</v>
      </c>
      <c r="O176" s="449"/>
      <c r="P176" s="449"/>
      <c r="Q176" s="4"/>
      <c r="R176" s="6"/>
      <c r="S176" s="6"/>
      <c r="T176" s="4">
        <v>-20</v>
      </c>
      <c r="U176" s="4"/>
      <c r="V176" s="4"/>
      <c r="W176" s="9">
        <v>1.4</v>
      </c>
      <c r="X176" s="572"/>
      <c r="Y176" s="9"/>
      <c r="Z176" s="9"/>
      <c r="AA176" s="9"/>
      <c r="AB176" s="9"/>
      <c r="AC176" s="449" t="str">
        <f t="shared" si="19"/>
        <v>PH</v>
      </c>
      <c r="AD176" s="449"/>
      <c r="AE176" s="449"/>
      <c r="AF176" s="4"/>
      <c r="AG176" s="83"/>
      <c r="AH176" s="4"/>
      <c r="AI176" s="4"/>
      <c r="AJ176" s="449"/>
      <c r="AK176" s="449" t="s">
        <v>451</v>
      </c>
      <c r="AL176" s="449"/>
      <c r="AM176" s="449"/>
      <c r="AN176" s="10">
        <v>5.5</v>
      </c>
      <c r="AO176" s="9"/>
      <c r="AP176" s="9"/>
      <c r="AQ176" s="9"/>
      <c r="AR176" s="9"/>
      <c r="AS176" s="9"/>
      <c r="AT176" s="9">
        <f>+ab($T$176,$T$174,$T$178,$G$175,$G$177,-1*$F$176,1200)</f>
        <v>-12.942586527889629</v>
      </c>
      <c r="AU176" s="428"/>
      <c r="AV176" s="428"/>
      <c r="AW176" s="449" t="s">
        <v>201</v>
      </c>
      <c r="AX176" s="449" t="s">
        <v>201</v>
      </c>
      <c r="AY176" s="10" t="str">
        <f>IF(L176="","",
IF(AX176="PT",VLOOKUP(L176,Foundation_Calc!$K$79:$R$113,VLOOKUP(AW176,Foundation_Calc!$I$2:$J$8,2,FALSE),0),
IF(AX176="K",VLOOKUP(L176,Foundation_Calc!$K$117:$R$151,VLOOKUP(AW176,Foundation_Calc!$I$2:$J$8,2,FALSE),0),"")))</f>
        <v/>
      </c>
      <c r="AZ176" s="10" t="str">
        <f>IF(K176="","",
IF(AX176="PT",VLOOKUP(K176,Foundation_Calc!$K$79:$R$113,VLOOKUP(AW176,Foundation_Calc!$I$2:$J$8,2,FALSE),0),
IF(AX176="K",VLOOKUP(K176,Foundation_Calc!$K$117:$R$151,VLOOKUP(AW176,Foundation_Calc!$I$2:$J$8,2,FALSE),0),"")))</f>
        <v/>
      </c>
      <c r="BA176" s="495" t="str">
        <f t="shared" si="20"/>
        <v/>
      </c>
      <c r="BB176" s="495" t="str">
        <f t="shared" si="21"/>
        <v/>
      </c>
      <c r="BC176" s="495" t="str">
        <f t="shared" si="22"/>
        <v/>
      </c>
      <c r="BD176" s="513"/>
      <c r="BE176" s="429" t="s">
        <v>118</v>
      </c>
      <c r="BF176" s="289"/>
      <c r="BG176" s="289"/>
      <c r="BH176" s="290"/>
      <c r="BI176" s="289"/>
    </row>
    <row r="177" spans="1:61" ht="16.149999999999999" customHeight="1">
      <c r="A177" s="514"/>
      <c r="B177" s="450"/>
      <c r="C177" s="3"/>
      <c r="D177" s="83"/>
      <c r="E177" s="4"/>
      <c r="F177" s="4"/>
      <c r="G177" s="6">
        <v>35</v>
      </c>
      <c r="H177" s="449"/>
      <c r="I177" s="4"/>
      <c r="J177" s="3"/>
      <c r="K177" s="449"/>
      <c r="L177" s="449"/>
      <c r="M177" s="449" t="str">
        <f>IF(L177="","",
IF(AX177="PT",VLOOKUP(L177,Foundation_Calc!$V$79:$X$113,VLOOKUP(AX177,Foundation_Calc!$I$10:$J$13,2,FALSE),0),
IF(AX177="K",VLOOKUP(L177,Foundation_Calc!$V$117:$X$151,VLOOKUP(AX177,Foundation_Calc!$I$10:$J$13,2,FALSE),0),"")))</f>
        <v/>
      </c>
      <c r="N177" s="449"/>
      <c r="O177" s="449"/>
      <c r="P177" s="449"/>
      <c r="Q177" s="4"/>
      <c r="R177" s="6"/>
      <c r="S177" s="6"/>
      <c r="T177" s="4"/>
      <c r="U177" s="4"/>
      <c r="V177" s="4"/>
      <c r="W177" s="572"/>
      <c r="X177" s="572"/>
      <c r="Y177" s="9"/>
      <c r="Z177" s="9"/>
      <c r="AA177" s="9"/>
      <c r="AB177" s="9"/>
      <c r="AC177" s="449" t="str">
        <f t="shared" si="19"/>
        <v/>
      </c>
      <c r="AD177" s="449"/>
      <c r="AE177" s="449"/>
      <c r="AF177" s="4"/>
      <c r="AG177" s="83"/>
      <c r="AH177" s="4"/>
      <c r="AI177" s="4"/>
      <c r="AJ177" s="449"/>
      <c r="AK177" s="449"/>
      <c r="AL177" s="449"/>
      <c r="AM177" s="449"/>
      <c r="AN177" s="10"/>
      <c r="AO177" s="9"/>
      <c r="AP177" s="9"/>
      <c r="AQ177" s="9">
        <f>+FL_2($T$178,$T$176,$G$177,1200,9.28,-1*$F$178)</f>
        <v>-0.3</v>
      </c>
      <c r="AR177" s="9"/>
      <c r="AS177" s="9"/>
      <c r="AT177" s="9"/>
      <c r="AU177" s="428"/>
      <c r="AV177" s="428"/>
      <c r="AW177" s="449"/>
      <c r="AX177" s="449"/>
      <c r="AY177" s="10" t="str">
        <f>IF(L177="","",
IF(AX177="PT",VLOOKUP(L177,Foundation_Calc!$K$79:$R$113,VLOOKUP(AW177,Foundation_Calc!$I$2:$J$8,2,FALSE),0),
IF(AX177="K",VLOOKUP(L177,Foundation_Calc!$K$117:$R$151,VLOOKUP(AW177,Foundation_Calc!$I$2:$J$8,2,FALSE),0),"")))</f>
        <v/>
      </c>
      <c r="AZ177" s="10" t="str">
        <f>IF(K177="","",
IF(AX177="PT",VLOOKUP(K177,Foundation_Calc!$K$79:$R$113,VLOOKUP(AW177,Foundation_Calc!$I$2:$J$8,2,FALSE),0),
IF(AX177="K",VLOOKUP(K177,Foundation_Calc!$K$117:$R$151,VLOOKUP(AW177,Foundation_Calc!$I$2:$J$8,2,FALSE),0),"")))</f>
        <v/>
      </c>
      <c r="BA177" s="495" t="str">
        <f t="shared" si="20"/>
        <v/>
      </c>
      <c r="BB177" s="495" t="str">
        <f t="shared" si="21"/>
        <v/>
      </c>
      <c r="BC177" s="495" t="str">
        <f t="shared" si="22"/>
        <v/>
      </c>
      <c r="BD177" s="513"/>
      <c r="BE177" s="429" t="s">
        <v>118</v>
      </c>
      <c r="BF177" s="290"/>
      <c r="BG177" s="290"/>
      <c r="BH177" s="290"/>
      <c r="BI177" s="290"/>
    </row>
    <row r="178" spans="1:61" ht="16.149999999999999" customHeight="1">
      <c r="A178" s="514"/>
      <c r="B178" s="450" t="s">
        <v>1027</v>
      </c>
      <c r="C178" s="3">
        <f>+$C$176+$G$177</f>
        <v>34571.65</v>
      </c>
      <c r="D178" s="83"/>
      <c r="E178" s="4"/>
      <c r="F178" s="4">
        <v>1597.0151905481075</v>
      </c>
      <c r="G178" s="6"/>
      <c r="H178" s="449"/>
      <c r="I178" s="4"/>
      <c r="J178" s="3"/>
      <c r="K178" s="449"/>
      <c r="L178" s="449" t="s">
        <v>201</v>
      </c>
      <c r="M178" s="449" t="str">
        <f>IF(L178="","",
IF(AX178="PT",VLOOKUP(L178,Foundation_Calc!$V$79:$X$113,VLOOKUP(AX178,Foundation_Calc!$I$10:$J$13,2,FALSE),0),
IF(AX178="K",VLOOKUP(L178,Foundation_Calc!$V$117:$X$151,VLOOKUP(AX178,Foundation_Calc!$I$10:$J$13,2,FALSE),0),"")))</f>
        <v/>
      </c>
      <c r="N178" s="553" t="s">
        <v>343</v>
      </c>
      <c r="O178" s="449"/>
      <c r="P178" s="449"/>
      <c r="Q178" s="4"/>
      <c r="R178" s="6"/>
      <c r="S178" s="6"/>
      <c r="T178" s="4">
        <v>-30</v>
      </c>
      <c r="U178" s="4"/>
      <c r="V178" s="4"/>
      <c r="W178" s="9">
        <v>1.4</v>
      </c>
      <c r="X178" s="572"/>
      <c r="Y178" s="9"/>
      <c r="Z178" s="9"/>
      <c r="AA178" s="9"/>
      <c r="AB178" s="9"/>
      <c r="AC178" s="449" t="str">
        <f t="shared" ref="AC178" si="23">IF(OR(AT178&gt;8,AT178&lt;-8),"PH",
IF(OR(AT178&gt;5,AT178&lt;-5),"PHQ",
IF(OR(AT178&gt;1,AT178&lt;-1),
"PHC","")))</f>
        <v>PH</v>
      </c>
      <c r="AD178" s="449"/>
      <c r="AE178" s="449"/>
      <c r="AF178" s="4"/>
      <c r="AG178" s="83"/>
      <c r="AH178" s="4"/>
      <c r="AI178" s="4"/>
      <c r="AJ178" s="449"/>
      <c r="AK178" s="449" t="s">
        <v>451</v>
      </c>
      <c r="AL178" s="449"/>
      <c r="AM178" s="449"/>
      <c r="AN178" s="10">
        <v>5.5</v>
      </c>
      <c r="AO178" s="9"/>
      <c r="AP178" s="9"/>
      <c r="AQ178" s="9"/>
      <c r="AR178" s="9"/>
      <c r="AS178" s="9"/>
      <c r="AT178" s="9">
        <f>+ab($T$178,$T$176,$T$180,$G$177,$G$179,-1*$F$178,1200)</f>
        <v>-8.2118303001179296</v>
      </c>
      <c r="AU178" s="428"/>
      <c r="AV178" s="428"/>
      <c r="AW178" s="449" t="s">
        <v>201</v>
      </c>
      <c r="AX178" s="449" t="s">
        <v>201</v>
      </c>
      <c r="AY178" s="10" t="str">
        <f>IF(L178="","",
IF(AX178="PT",VLOOKUP(L178,Foundation_Calc!$K$79:$R$113,VLOOKUP(AW178,Foundation_Calc!$I$2:$J$8,2,FALSE),0),
IF(AX178="K",VLOOKUP(L178,Foundation_Calc!$K$117:$R$151,VLOOKUP(AW178,Foundation_Calc!$I$2:$J$8,2,FALSE),0),"")))</f>
        <v/>
      </c>
      <c r="AZ178" s="10" t="str">
        <f>IF(K178="","",
IF(AX178="PT",VLOOKUP(K178,Foundation_Calc!$K$79:$R$113,VLOOKUP(AW178,Foundation_Calc!$I$2:$J$8,2,FALSE),0),
IF(AX178="K",VLOOKUP(K178,Foundation_Calc!$K$117:$R$151,VLOOKUP(AW178,Foundation_Calc!$I$2:$J$8,2,FALSE),0),"")))</f>
        <v/>
      </c>
      <c r="BA178" s="495" t="str">
        <f t="shared" si="20"/>
        <v/>
      </c>
      <c r="BB178" s="495" t="str">
        <f t="shared" si="21"/>
        <v/>
      </c>
      <c r="BC178" s="495" t="str">
        <f t="shared" si="22"/>
        <v/>
      </c>
      <c r="BD178" s="513"/>
      <c r="BE178" s="429" t="s">
        <v>118</v>
      </c>
      <c r="BF178" s="289"/>
      <c r="BG178" s="289"/>
      <c r="BH178" s="290"/>
      <c r="BI178" s="289"/>
    </row>
    <row r="179" spans="1:61" ht="16.149999999999999" customHeight="1">
      <c r="A179" s="576"/>
      <c r="B179" s="450"/>
      <c r="C179" s="3"/>
      <c r="D179" s="83"/>
      <c r="E179" s="4"/>
      <c r="F179" s="4"/>
      <c r="G179" s="6">
        <v>30</v>
      </c>
      <c r="H179" s="449"/>
      <c r="I179" s="4"/>
      <c r="J179" s="3"/>
      <c r="K179" s="449"/>
      <c r="L179" s="449"/>
      <c r="M179" s="449" t="str">
        <f>IF(L179="","",
IF(AX179="PT",VLOOKUP(L179,Foundation_Calc!$V$79:$X$113,VLOOKUP(AX179,Foundation_Calc!$I$10:$J$13,2,FALSE),0),
IF(AX179="K",VLOOKUP(L179,Foundation_Calc!$V$117:$X$151,VLOOKUP(AX179,Foundation_Calc!$I$10:$J$13,2,FALSE),0),"")))</f>
        <v/>
      </c>
      <c r="N179" s="449"/>
      <c r="O179" s="449"/>
      <c r="P179" s="449"/>
      <c r="Q179" s="4"/>
      <c r="R179" s="6"/>
      <c r="S179" s="6"/>
      <c r="T179" s="4"/>
      <c r="U179" s="4"/>
      <c r="V179" s="4"/>
      <c r="W179" s="572"/>
      <c r="X179" s="572"/>
      <c r="Y179" s="9"/>
      <c r="Z179" s="9"/>
      <c r="AA179" s="9"/>
      <c r="AB179" s="9"/>
      <c r="AC179" s="449" t="str">
        <f t="shared" si="19"/>
        <v/>
      </c>
      <c r="AD179" s="449"/>
      <c r="AE179" s="449"/>
      <c r="AF179" s="4"/>
      <c r="AG179" s="83"/>
      <c r="AH179" s="4"/>
      <c r="AI179" s="4"/>
      <c r="AJ179" s="449"/>
      <c r="AK179" s="449"/>
      <c r="AL179" s="449"/>
      <c r="AM179" s="449"/>
      <c r="AN179" s="10"/>
      <c r="AO179" s="9"/>
      <c r="AP179" s="9"/>
      <c r="AQ179" s="9">
        <f>+FL_2($T$180,$T$178,$G$179,1200,9.28,-1*$F$180)</f>
        <v>-0.30000000000000004</v>
      </c>
      <c r="AR179" s="9"/>
      <c r="AS179" s="9"/>
      <c r="AT179" s="9"/>
      <c r="AU179" s="428"/>
      <c r="AV179" s="428"/>
      <c r="AW179" s="449"/>
      <c r="AX179" s="449"/>
      <c r="AY179" s="10" t="str">
        <f>IF(L179="","",
IF(AX179="PT",VLOOKUP(L179,Foundation_Calc!$K$79:$R$113,VLOOKUP(AW179,Foundation_Calc!$I$2:$J$8,2,FALSE),0),
IF(AX179="K",VLOOKUP(L179,Foundation_Calc!$K$117:$R$151,VLOOKUP(AW179,Foundation_Calc!$I$2:$J$8,2,FALSE),0),"")))</f>
        <v/>
      </c>
      <c r="AZ179" s="10" t="str">
        <f>IF(K179="","",
IF(AX179="PT",VLOOKUP(K179,Foundation_Calc!$K$79:$R$113,VLOOKUP(AW179,Foundation_Calc!$I$2:$J$8,2,FALSE),0),
IF(AX179="K",VLOOKUP(K179,Foundation_Calc!$K$117:$R$151,VLOOKUP(AW179,Foundation_Calc!$I$2:$J$8,2,FALSE),0),"")))</f>
        <v/>
      </c>
      <c r="BA179" s="495" t="str">
        <f t="shared" si="20"/>
        <v/>
      </c>
      <c r="BB179" s="495" t="str">
        <f t="shared" si="21"/>
        <v/>
      </c>
      <c r="BC179" s="495" t="str">
        <f t="shared" si="22"/>
        <v/>
      </c>
      <c r="BD179" s="513"/>
      <c r="BE179" s="429" t="s">
        <v>118</v>
      </c>
      <c r="BF179" s="290"/>
      <c r="BG179" s="290"/>
      <c r="BH179" s="290"/>
      <c r="BI179" s="290"/>
    </row>
    <row r="180" spans="1:61" ht="16.149999999999999" customHeight="1">
      <c r="A180" s="514"/>
      <c r="B180" s="450" t="s">
        <v>1028</v>
      </c>
      <c r="C180" s="3">
        <f>+$C$178+$G$179</f>
        <v>34601.65</v>
      </c>
      <c r="D180" s="83"/>
      <c r="E180" s="4"/>
      <c r="F180" s="4">
        <v>1260.9665427509319</v>
      </c>
      <c r="G180" s="6"/>
      <c r="H180" s="449"/>
      <c r="I180" s="4"/>
      <c r="J180" s="3"/>
      <c r="K180" s="449"/>
      <c r="L180" s="449" t="s">
        <v>201</v>
      </c>
      <c r="M180" s="449" t="str">
        <f>IF(L180="","",
IF(AX180="PT",VLOOKUP(L180,Foundation_Calc!$V$79:$X$113,VLOOKUP(AX180,Foundation_Calc!$I$10:$J$13,2,FALSE),0),
IF(AX180="K",VLOOKUP(L180,Foundation_Calc!$V$117:$X$151,VLOOKUP(AX180,Foundation_Calc!$I$10:$J$13,2,FALSE),0),"")))</f>
        <v/>
      </c>
      <c r="N180" s="553" t="s">
        <v>343</v>
      </c>
      <c r="O180" s="449"/>
      <c r="P180" s="449"/>
      <c r="Q180" s="4"/>
      <c r="R180" s="6"/>
      <c r="S180" s="6"/>
      <c r="T180" s="4">
        <v>-30</v>
      </c>
      <c r="U180" s="4"/>
      <c r="V180" s="4"/>
      <c r="W180" s="9">
        <v>1.4</v>
      </c>
      <c r="X180" s="572"/>
      <c r="Y180" s="9"/>
      <c r="Z180" s="9"/>
      <c r="AA180" s="9"/>
      <c r="AB180" s="9"/>
      <c r="AC180" s="449" t="str">
        <f t="shared" si="19"/>
        <v>PH</v>
      </c>
      <c r="AD180" s="449"/>
      <c r="AE180" s="449"/>
      <c r="AF180" s="4"/>
      <c r="AG180" s="83"/>
      <c r="AH180" s="4"/>
      <c r="AI180" s="4"/>
      <c r="AJ180" s="449"/>
      <c r="AK180" s="449" t="s">
        <v>451</v>
      </c>
      <c r="AL180" s="449"/>
      <c r="AM180" s="449"/>
      <c r="AN180" s="10">
        <v>5.5</v>
      </c>
      <c r="AO180" s="9"/>
      <c r="AP180" s="9"/>
      <c r="AQ180" s="9"/>
      <c r="AR180" s="9"/>
      <c r="AS180" s="9"/>
      <c r="AT180" s="9">
        <f>+ab($T$180,$T$178,$T$182,$G$179,$G$181,-1*$F$180,1200)</f>
        <v>-8.8736591027376726</v>
      </c>
      <c r="AU180" s="428"/>
      <c r="AV180" s="428"/>
      <c r="AW180" s="449" t="s">
        <v>201</v>
      </c>
      <c r="AX180" s="449" t="s">
        <v>201</v>
      </c>
      <c r="AY180" s="10" t="str">
        <f>IF(L180="","",
IF(AX180="PT",VLOOKUP(L180,Foundation_Calc!$K$79:$R$113,VLOOKUP(AW180,Foundation_Calc!$I$2:$J$8,2,FALSE),0),
IF(AX180="K",VLOOKUP(L180,Foundation_Calc!$K$117:$R$151,VLOOKUP(AW180,Foundation_Calc!$I$2:$J$8,2,FALSE),0),"")))</f>
        <v/>
      </c>
      <c r="AZ180" s="10" t="str">
        <f>IF(K180="","",
IF(AX180="PT",VLOOKUP(K180,Foundation_Calc!$K$79:$R$113,VLOOKUP(AW180,Foundation_Calc!$I$2:$J$8,2,FALSE),0),
IF(AX180="K",VLOOKUP(K180,Foundation_Calc!$K$117:$R$151,VLOOKUP(AW180,Foundation_Calc!$I$2:$J$8,2,FALSE),0),"")))</f>
        <v/>
      </c>
      <c r="BA180" s="495" t="str">
        <f t="shared" si="20"/>
        <v/>
      </c>
      <c r="BB180" s="495" t="str">
        <f t="shared" si="21"/>
        <v/>
      </c>
      <c r="BC180" s="495" t="str">
        <f t="shared" si="22"/>
        <v/>
      </c>
      <c r="BD180" s="513"/>
      <c r="BE180" s="429" t="s">
        <v>118</v>
      </c>
      <c r="BF180" s="289"/>
      <c r="BG180" s="289"/>
      <c r="BH180" s="290"/>
      <c r="BI180" s="289"/>
    </row>
    <row r="181" spans="1:61" ht="16.149999999999999" customHeight="1">
      <c r="A181" s="514"/>
      <c r="B181" s="450"/>
      <c r="C181" s="3"/>
      <c r="D181" s="83"/>
      <c r="E181" s="4"/>
      <c r="F181" s="4"/>
      <c r="G181" s="6">
        <v>24.1</v>
      </c>
      <c r="H181" s="449"/>
      <c r="I181" s="4"/>
      <c r="J181" s="3"/>
      <c r="K181" s="449"/>
      <c r="L181" s="449"/>
      <c r="M181" s="449" t="str">
        <f>IF(L181="","",
IF(AX181="PT",VLOOKUP(L181,Foundation_Calc!$V$79:$X$113,VLOOKUP(AX181,Foundation_Calc!$I$10:$J$13,2,FALSE),0),
IF(AX181="K",VLOOKUP(L181,Foundation_Calc!$V$117:$X$151,VLOOKUP(AX181,Foundation_Calc!$I$10:$J$13,2,FALSE),0),"")))</f>
        <v/>
      </c>
      <c r="N181" s="449"/>
      <c r="O181" s="449"/>
      <c r="P181" s="449"/>
      <c r="Q181" s="4"/>
      <c r="R181" s="6"/>
      <c r="S181" s="6"/>
      <c r="T181" s="4"/>
      <c r="U181" s="4"/>
      <c r="V181" s="4"/>
      <c r="W181" s="572"/>
      <c r="X181" s="572"/>
      <c r="Y181" s="9"/>
      <c r="Z181" s="9"/>
      <c r="AA181" s="9"/>
      <c r="AB181" s="9"/>
      <c r="AC181" s="449" t="str">
        <f t="shared" si="19"/>
        <v/>
      </c>
      <c r="AD181" s="449"/>
      <c r="AE181" s="449"/>
      <c r="AF181" s="4"/>
      <c r="AG181" s="83"/>
      <c r="AH181" s="4"/>
      <c r="AI181" s="4"/>
      <c r="AJ181" s="449"/>
      <c r="AK181" s="449"/>
      <c r="AL181" s="449"/>
      <c r="AM181" s="449"/>
      <c r="AN181" s="10"/>
      <c r="AO181" s="9"/>
      <c r="AP181" s="9"/>
      <c r="AQ181" s="9">
        <f>+FL_2($T$182,$T$180,$G$181,1200,9.28,-1*$F$182)</f>
        <v>-0.3</v>
      </c>
      <c r="AR181" s="9"/>
      <c r="AS181" s="9"/>
      <c r="AT181" s="9"/>
      <c r="AU181" s="428"/>
      <c r="AV181" s="428"/>
      <c r="AW181" s="449"/>
      <c r="AX181" s="449"/>
      <c r="AY181" s="10" t="str">
        <f>IF(L181="","",
IF(AX181="PT",VLOOKUP(L181,Foundation_Calc!$K$79:$R$113,VLOOKUP(AW181,Foundation_Calc!$I$2:$J$8,2,FALSE),0),
IF(AX181="K",VLOOKUP(L181,Foundation_Calc!$K$117:$R$151,VLOOKUP(AW181,Foundation_Calc!$I$2:$J$8,2,FALSE),0),"")))</f>
        <v/>
      </c>
      <c r="AZ181" s="10" t="str">
        <f>IF(K181="","",
IF(AX181="PT",VLOOKUP(K181,Foundation_Calc!$K$79:$R$113,VLOOKUP(AW181,Foundation_Calc!$I$2:$J$8,2,FALSE),0),
IF(AX181="K",VLOOKUP(K181,Foundation_Calc!$K$117:$R$151,VLOOKUP(AW181,Foundation_Calc!$I$2:$J$8,2,FALSE),0),"")))</f>
        <v/>
      </c>
      <c r="BA181" s="495" t="str">
        <f t="shared" si="20"/>
        <v/>
      </c>
      <c r="BB181" s="495" t="str">
        <f t="shared" si="21"/>
        <v/>
      </c>
      <c r="BC181" s="495" t="str">
        <f t="shared" si="22"/>
        <v/>
      </c>
      <c r="BD181" s="513"/>
      <c r="BE181" s="429" t="s">
        <v>118</v>
      </c>
      <c r="BF181" s="290"/>
      <c r="BG181" s="290"/>
      <c r="BH181" s="290"/>
      <c r="BI181" s="290"/>
    </row>
    <row r="182" spans="1:61" ht="16.149999999999999" customHeight="1">
      <c r="A182" s="514"/>
      <c r="B182" s="450" t="s">
        <v>1029</v>
      </c>
      <c r="C182" s="3">
        <f>+$C$180+$G$181</f>
        <v>34625.75</v>
      </c>
      <c r="D182" s="83"/>
      <c r="E182" s="4"/>
      <c r="F182" s="4">
        <v>1200</v>
      </c>
      <c r="G182" s="6"/>
      <c r="H182" s="449"/>
      <c r="I182" s="4"/>
      <c r="J182" s="3"/>
      <c r="K182" s="449"/>
      <c r="L182" s="449" t="s">
        <v>201</v>
      </c>
      <c r="M182" s="449" t="str">
        <f>IF(L182="","",
IF(AX182="PT",VLOOKUP(L182,Foundation_Calc!$V$79:$X$113,VLOOKUP(AX182,Foundation_Calc!$I$10:$J$13,2,FALSE),0),
IF(AX182="K",VLOOKUP(L182,Foundation_Calc!$V$117:$X$151,VLOOKUP(AX182,Foundation_Calc!$I$10:$J$13,2,FALSE),0),"")))</f>
        <v/>
      </c>
      <c r="N182" s="553" t="s">
        <v>343</v>
      </c>
      <c r="O182" s="449"/>
      <c r="P182" s="449"/>
      <c r="Q182" s="4"/>
      <c r="R182" s="6"/>
      <c r="S182" s="6"/>
      <c r="T182" s="4">
        <v>-30</v>
      </c>
      <c r="U182" s="4"/>
      <c r="V182" s="4"/>
      <c r="W182" s="9">
        <v>1.4</v>
      </c>
      <c r="X182" s="572"/>
      <c r="Y182" s="9"/>
      <c r="Z182" s="9"/>
      <c r="AA182" s="9"/>
      <c r="AB182" s="9"/>
      <c r="AC182" s="449" t="str">
        <f t="shared" ref="AC182" si="24">IF(OR(AT182&gt;8,AT182&lt;-8),"PH",
IF(OR(AT182&gt;5,AT182&lt;-5),"PHQ",
IF(OR(AT182&gt;1,AT182&lt;-1),
"PHC","")))</f>
        <v>PH</v>
      </c>
      <c r="AD182" s="449"/>
      <c r="AE182" s="449"/>
      <c r="AF182" s="4"/>
      <c r="AG182" s="83"/>
      <c r="AH182" s="4"/>
      <c r="AI182" s="4"/>
      <c r="AJ182" s="449"/>
      <c r="AK182" s="449" t="s">
        <v>451</v>
      </c>
      <c r="AL182" s="449"/>
      <c r="AM182" s="449"/>
      <c r="AN182" s="10">
        <v>5.5</v>
      </c>
      <c r="AO182" s="9"/>
      <c r="AP182" s="9"/>
      <c r="AQ182" s="9"/>
      <c r="AR182" s="9"/>
      <c r="AS182" s="9"/>
      <c r="AT182" s="9">
        <f>+ab($T$182,$T$180,$T$184,$G$181,$G$183,-1*$F$182,1200)</f>
        <v>-8.4509751882325528</v>
      </c>
      <c r="AU182" s="428"/>
      <c r="AV182" s="428"/>
      <c r="AW182" s="449" t="s">
        <v>201</v>
      </c>
      <c r="AX182" s="449" t="s">
        <v>201</v>
      </c>
      <c r="AY182" s="10" t="str">
        <f>IF(L182="","",
IF(AX182="PT",VLOOKUP(L182,Foundation_Calc!$K$79:$R$113,VLOOKUP(AW182,Foundation_Calc!$I$2:$J$8,2,FALSE),0),
IF(AX182="K",VLOOKUP(L182,Foundation_Calc!$K$117:$R$151,VLOOKUP(AW182,Foundation_Calc!$I$2:$J$8,2,FALSE),0),"")))</f>
        <v/>
      </c>
      <c r="AZ182" s="10" t="str">
        <f>IF(K182="","",
IF(AX182="PT",VLOOKUP(K182,Foundation_Calc!$K$79:$R$113,VLOOKUP(AW182,Foundation_Calc!$I$2:$J$8,2,FALSE),0),
IF(AX182="K",VLOOKUP(K182,Foundation_Calc!$K$117:$R$151,VLOOKUP(AW182,Foundation_Calc!$I$2:$J$8,2,FALSE),0),"")))</f>
        <v/>
      </c>
      <c r="BA182" s="495" t="str">
        <f t="shared" si="20"/>
        <v/>
      </c>
      <c r="BB182" s="495" t="str">
        <f t="shared" si="21"/>
        <v/>
      </c>
      <c r="BC182" s="495" t="str">
        <f t="shared" si="22"/>
        <v/>
      </c>
      <c r="BD182" s="513"/>
      <c r="BE182" s="429" t="s">
        <v>118</v>
      </c>
      <c r="BF182" s="289"/>
      <c r="BG182" s="289"/>
      <c r="BH182" s="290"/>
      <c r="BI182" s="289"/>
    </row>
    <row r="183" spans="1:61" ht="16.149999999999999" customHeight="1">
      <c r="A183" s="514"/>
      <c r="B183" s="450"/>
      <c r="C183" s="3"/>
      <c r="D183" s="83"/>
      <c r="E183" s="4"/>
      <c r="F183" s="4"/>
      <c r="G183" s="6">
        <v>30</v>
      </c>
      <c r="H183" s="449"/>
      <c r="I183" s="4"/>
      <c r="J183" s="3"/>
      <c r="K183" s="449"/>
      <c r="L183" s="449"/>
      <c r="M183" s="449" t="str">
        <f>IF(L183="","",
IF(AX183="PT",VLOOKUP(L183,Foundation_Calc!$V$79:$X$113,VLOOKUP(AX183,Foundation_Calc!$I$10:$J$13,2,FALSE),0),
IF(AX183="K",VLOOKUP(L183,Foundation_Calc!$V$117:$X$151,VLOOKUP(AX183,Foundation_Calc!$I$10:$J$13,2,FALSE),0),"")))</f>
        <v/>
      </c>
      <c r="N183" s="449"/>
      <c r="O183" s="449"/>
      <c r="P183" s="449"/>
      <c r="Q183" s="4"/>
      <c r="R183" s="6"/>
      <c r="S183" s="6"/>
      <c r="T183" s="4"/>
      <c r="U183" s="4"/>
      <c r="V183" s="4"/>
      <c r="W183" s="572"/>
      <c r="X183" s="572"/>
      <c r="Y183" s="9"/>
      <c r="Z183" s="9"/>
      <c r="AA183" s="9"/>
      <c r="AB183" s="9"/>
      <c r="AC183" s="449" t="str">
        <f t="shared" si="19"/>
        <v/>
      </c>
      <c r="AD183" s="449"/>
      <c r="AE183" s="449"/>
      <c r="AF183" s="4"/>
      <c r="AG183" s="83"/>
      <c r="AH183" s="4"/>
      <c r="AI183" s="4"/>
      <c r="AJ183" s="449"/>
      <c r="AK183" s="449"/>
      <c r="AL183" s="449"/>
      <c r="AM183" s="449"/>
      <c r="AN183" s="10"/>
      <c r="AO183" s="9"/>
      <c r="AP183" s="9"/>
      <c r="AQ183" s="9">
        <f>+FL_2($T$184,$T$182,$G$183,1200,9.28,-1*$F$184)</f>
        <v>-0.30000000000000004</v>
      </c>
      <c r="AR183" s="9"/>
      <c r="AS183" s="9"/>
      <c r="AT183" s="9"/>
      <c r="AU183" s="428"/>
      <c r="AV183" s="428"/>
      <c r="AW183" s="449"/>
      <c r="AX183" s="449"/>
      <c r="AY183" s="10" t="str">
        <f>IF(L183="","",
IF(AX183="PT",VLOOKUP(L183,Foundation_Calc!$K$79:$R$113,VLOOKUP(AW183,Foundation_Calc!$I$2:$J$8,2,FALSE),0),
IF(AX183="K",VLOOKUP(L183,Foundation_Calc!$K$117:$R$151,VLOOKUP(AW183,Foundation_Calc!$I$2:$J$8,2,FALSE),0),"")))</f>
        <v/>
      </c>
      <c r="AZ183" s="10" t="str">
        <f>IF(K183="","",
IF(AX183="PT",VLOOKUP(K183,Foundation_Calc!$K$79:$R$113,VLOOKUP(AW183,Foundation_Calc!$I$2:$J$8,2,FALSE),0),
IF(AX183="K",VLOOKUP(K183,Foundation_Calc!$K$117:$R$151,VLOOKUP(AW183,Foundation_Calc!$I$2:$J$8,2,FALSE),0),"")))</f>
        <v/>
      </c>
      <c r="BA183" s="495" t="str">
        <f t="shared" si="20"/>
        <v/>
      </c>
      <c r="BB183" s="495" t="str">
        <f t="shared" si="21"/>
        <v/>
      </c>
      <c r="BC183" s="495" t="str">
        <f t="shared" si="22"/>
        <v/>
      </c>
      <c r="BD183" s="513"/>
      <c r="BE183" s="429" t="s">
        <v>118</v>
      </c>
      <c r="BF183" s="290"/>
      <c r="BG183" s="290"/>
      <c r="BH183" s="290"/>
      <c r="BI183" s="290"/>
    </row>
    <row r="184" spans="1:61" ht="16.149999999999999" customHeight="1">
      <c r="A184" s="514"/>
      <c r="B184" s="450" t="s">
        <v>1030</v>
      </c>
      <c r="C184" s="3">
        <f>+$C$182+$G$183</f>
        <v>34655.75</v>
      </c>
      <c r="D184" s="83"/>
      <c r="E184" s="4"/>
      <c r="F184" s="4">
        <v>1200</v>
      </c>
      <c r="G184" s="6"/>
      <c r="H184" s="449"/>
      <c r="I184" s="4"/>
      <c r="J184" s="3"/>
      <c r="K184" s="449"/>
      <c r="L184" s="449" t="s">
        <v>201</v>
      </c>
      <c r="M184" s="449" t="str">
        <f>IF(L184="","",
IF(AX184="PT",VLOOKUP(L184,Foundation_Calc!$V$79:$X$113,VLOOKUP(AX184,Foundation_Calc!$I$10:$J$13,2,FALSE),0),
IF(AX184="K",VLOOKUP(L184,Foundation_Calc!$V$117:$X$151,VLOOKUP(AX184,Foundation_Calc!$I$10:$J$13,2,FALSE),0),"")))</f>
        <v/>
      </c>
      <c r="N184" s="553" t="s">
        <v>343</v>
      </c>
      <c r="O184" s="449"/>
      <c r="P184" s="449"/>
      <c r="Q184" s="4"/>
      <c r="R184" s="6"/>
      <c r="S184" s="6"/>
      <c r="T184" s="4">
        <v>-30</v>
      </c>
      <c r="U184" s="4"/>
      <c r="V184" s="4"/>
      <c r="W184" s="9">
        <v>1.4</v>
      </c>
      <c r="X184" s="572"/>
      <c r="Y184" s="9"/>
      <c r="Z184" s="9"/>
      <c r="AA184" s="9"/>
      <c r="AB184" s="9"/>
      <c r="AC184" s="449" t="str">
        <f t="shared" si="19"/>
        <v>PHQ</v>
      </c>
      <c r="AD184" s="449"/>
      <c r="AE184" s="449"/>
      <c r="AF184" s="4"/>
      <c r="AG184" s="83"/>
      <c r="AH184" s="4"/>
      <c r="AI184" s="4"/>
      <c r="AJ184" s="449"/>
      <c r="AK184" s="449" t="s">
        <v>451</v>
      </c>
      <c r="AL184" s="449"/>
      <c r="AM184" s="449"/>
      <c r="AN184" s="10">
        <v>5.5</v>
      </c>
      <c r="AO184" s="9"/>
      <c r="AP184" s="9"/>
      <c r="AQ184" s="9"/>
      <c r="AR184" s="9"/>
      <c r="AS184" s="9"/>
      <c r="AT184" s="9">
        <f>+ab($T$184,$T$182,$T$186,$G$183,$G$185,-1*$F$184,1200)</f>
        <v>-6.5504869627694697</v>
      </c>
      <c r="AU184" s="428"/>
      <c r="AV184" s="428"/>
      <c r="AW184" s="449" t="s">
        <v>201</v>
      </c>
      <c r="AX184" s="449" t="s">
        <v>201</v>
      </c>
      <c r="AY184" s="10" t="str">
        <f>IF(L184="","",
IF(AX184="PT",VLOOKUP(L184,Foundation_Calc!$K$79:$R$113,VLOOKUP(AW184,Foundation_Calc!$I$2:$J$8,2,FALSE),0),
IF(AX184="K",VLOOKUP(L184,Foundation_Calc!$K$117:$R$151,VLOOKUP(AW184,Foundation_Calc!$I$2:$J$8,2,FALSE),0),"")))</f>
        <v/>
      </c>
      <c r="AZ184" s="10" t="str">
        <f>IF(K184="","",
IF(AX184="PT",VLOOKUP(K184,Foundation_Calc!$K$79:$R$113,VLOOKUP(AW184,Foundation_Calc!$I$2:$J$8,2,FALSE),0),
IF(AX184="K",VLOOKUP(K184,Foundation_Calc!$K$117:$R$151,VLOOKUP(AW184,Foundation_Calc!$I$2:$J$8,2,FALSE),0),"")))</f>
        <v/>
      </c>
      <c r="BA184" s="495" t="str">
        <f t="shared" si="20"/>
        <v/>
      </c>
      <c r="BB184" s="495" t="str">
        <f t="shared" si="21"/>
        <v/>
      </c>
      <c r="BC184" s="495" t="str">
        <f t="shared" si="22"/>
        <v/>
      </c>
      <c r="BD184" s="513"/>
      <c r="BE184" s="429" t="s">
        <v>118</v>
      </c>
      <c r="BF184" s="289"/>
      <c r="BG184" s="289"/>
      <c r="BH184" s="290"/>
      <c r="BI184" s="289"/>
    </row>
    <row r="185" spans="1:61" ht="16.149999999999999" customHeight="1">
      <c r="A185" s="514"/>
      <c r="B185" s="450"/>
      <c r="C185" s="3"/>
      <c r="D185" s="83"/>
      <c r="E185" s="4"/>
      <c r="F185" s="4"/>
      <c r="G185" s="6">
        <v>40</v>
      </c>
      <c r="H185" s="449"/>
      <c r="I185" s="4"/>
      <c r="J185" s="3"/>
      <c r="K185" s="449"/>
      <c r="L185" s="449"/>
      <c r="M185" s="449" t="str">
        <f>IF(L185="","",
IF(AX185="PT",VLOOKUP(L185,Foundation_Calc!$V$79:$X$113,VLOOKUP(AX185,Foundation_Calc!$I$10:$J$13,2,FALSE),0),
IF(AX185="K",VLOOKUP(L185,Foundation_Calc!$V$117:$X$151,VLOOKUP(AX185,Foundation_Calc!$I$10:$J$13,2,FALSE),0),"")))</f>
        <v/>
      </c>
      <c r="N185" s="449"/>
      <c r="O185" s="449"/>
      <c r="P185" s="449"/>
      <c r="Q185" s="4"/>
      <c r="R185" s="6"/>
      <c r="S185" s="6"/>
      <c r="T185" s="4"/>
      <c r="U185" s="4"/>
      <c r="V185" s="4"/>
      <c r="W185" s="572"/>
      <c r="X185" s="572"/>
      <c r="Y185" s="9"/>
      <c r="Z185" s="9"/>
      <c r="AA185" s="9"/>
      <c r="AB185" s="9"/>
      <c r="AC185" s="449" t="str">
        <f t="shared" si="19"/>
        <v/>
      </c>
      <c r="AD185" s="449"/>
      <c r="AE185" s="449"/>
      <c r="AF185" s="4"/>
      <c r="AG185" s="83"/>
      <c r="AH185" s="4"/>
      <c r="AI185" s="4"/>
      <c r="AJ185" s="449"/>
      <c r="AK185" s="449"/>
      <c r="AL185" s="449"/>
      <c r="AM185" s="449"/>
      <c r="AN185" s="10"/>
      <c r="AO185" s="9"/>
      <c r="AP185" s="9"/>
      <c r="AQ185" s="9">
        <f>+FL_2($T$186,$T$184,$G$185,1200,9.28,-1*$F$186)</f>
        <v>-0.3</v>
      </c>
      <c r="AR185" s="9"/>
      <c r="AS185" s="9"/>
      <c r="AT185" s="9"/>
      <c r="AU185" s="428"/>
      <c r="AV185" s="428"/>
      <c r="AW185" s="449"/>
      <c r="AX185" s="449"/>
      <c r="AY185" s="10" t="str">
        <f>IF(L185="","",
IF(AX185="PT",VLOOKUP(L185,Foundation_Calc!$K$79:$R$113,VLOOKUP(AW185,Foundation_Calc!$I$2:$J$8,2,FALSE),0),
IF(AX185="K",VLOOKUP(L185,Foundation_Calc!$K$117:$R$151,VLOOKUP(AW185,Foundation_Calc!$I$2:$J$8,2,FALSE),0),"")))</f>
        <v/>
      </c>
      <c r="AZ185" s="10" t="str">
        <f>IF(K185="","",
IF(AX185="PT",VLOOKUP(K185,Foundation_Calc!$K$79:$R$113,VLOOKUP(AW185,Foundation_Calc!$I$2:$J$8,2,FALSE),0),
IF(AX185="K",VLOOKUP(K185,Foundation_Calc!$K$117:$R$151,VLOOKUP(AW185,Foundation_Calc!$I$2:$J$8,2,FALSE),0),"")))</f>
        <v/>
      </c>
      <c r="BA185" s="495" t="str">
        <f t="shared" si="20"/>
        <v/>
      </c>
      <c r="BB185" s="495" t="str">
        <f t="shared" si="21"/>
        <v/>
      </c>
      <c r="BC185" s="495" t="str">
        <f t="shared" si="22"/>
        <v/>
      </c>
      <c r="BD185" s="513" t="str">
        <f>IF(AND(L185="",H185=""),"",
IF(H185="",Pole_Calc!A$9,
IF(H185="MP",Pole_Calc!A$10,
IF(H185="AnMP",Pole_Calc!A$11,
IF(H185="A",Pole_Calc!A$12,
IF(H185="S/A",Pole_Calc!A$13,
IF(H185="A/S",Pole_Calc!A$14,"Poner a mano")))))))</f>
        <v/>
      </c>
      <c r="BE185" s="429" t="s">
        <v>118</v>
      </c>
      <c r="BF185" s="290"/>
      <c r="BG185" s="290"/>
      <c r="BH185" s="290"/>
      <c r="BI185" s="290"/>
    </row>
    <row r="186" spans="1:61" ht="16.149999999999999" customHeight="1">
      <c r="A186" s="514"/>
      <c r="B186" s="450" t="s">
        <v>1031</v>
      </c>
      <c r="C186" s="3">
        <f>+$C$184+$G$185</f>
        <v>34695.75</v>
      </c>
      <c r="D186" s="83"/>
      <c r="E186" s="4"/>
      <c r="F186" s="4">
        <v>1200</v>
      </c>
      <c r="G186" s="6"/>
      <c r="H186" s="449"/>
      <c r="I186" s="4"/>
      <c r="J186" s="3"/>
      <c r="K186" s="449"/>
      <c r="L186" s="449" t="s">
        <v>201</v>
      </c>
      <c r="M186" s="449" t="str">
        <f>IF(L186="","",
IF(AX186="PT",VLOOKUP(L186,Foundation_Calc!$V$79:$X$113,VLOOKUP(AX186,Foundation_Calc!$I$10:$J$13,2,FALSE),0),
IF(AX186="K",VLOOKUP(L186,Foundation_Calc!$V$117:$X$151,VLOOKUP(AX186,Foundation_Calc!$I$10:$J$13,2,FALSE),0),"")))</f>
        <v/>
      </c>
      <c r="N186" s="553" t="s">
        <v>343</v>
      </c>
      <c r="O186" s="449"/>
      <c r="P186" s="449"/>
      <c r="Q186" s="4"/>
      <c r="R186" s="6"/>
      <c r="S186" s="6"/>
      <c r="T186" s="4">
        <v>-30</v>
      </c>
      <c r="U186" s="4"/>
      <c r="V186" s="4"/>
      <c r="W186" s="9">
        <v>1.4</v>
      </c>
      <c r="X186" s="572"/>
      <c r="Y186" s="9"/>
      <c r="Z186" s="9"/>
      <c r="AA186" s="9"/>
      <c r="AB186" s="9"/>
      <c r="AC186" s="449" t="str">
        <f t="shared" ref="AC186" si="25">IF(OR(AT186&gt;8,AT186&lt;-8),"PH",
IF(OR(AT186&gt;5,AT186&lt;-5),"PHQ",
IF(OR(AT186&gt;1,AT186&lt;-1),
"PHC","")))</f>
        <v>PHC</v>
      </c>
      <c r="AD186" s="449"/>
      <c r="AE186" s="449"/>
      <c r="AF186" s="4"/>
      <c r="AG186" s="83"/>
      <c r="AH186" s="4"/>
      <c r="AI186" s="4"/>
      <c r="AJ186" s="449"/>
      <c r="AK186" s="449" t="s">
        <v>451</v>
      </c>
      <c r="AL186" s="449"/>
      <c r="AM186" s="449"/>
      <c r="AN186" s="10">
        <v>5.5</v>
      </c>
      <c r="AO186" s="9"/>
      <c r="AP186" s="9"/>
      <c r="AQ186" s="9"/>
      <c r="AR186" s="9"/>
      <c r="AS186" s="9"/>
      <c r="AT186" s="9">
        <f>+ab($T$186,$T$184,$T$188,$G$185,$G$187,-1*$F$186,1200)</f>
        <v>-4.7798927935748647</v>
      </c>
      <c r="AU186" s="428"/>
      <c r="AV186" s="428"/>
      <c r="AW186" s="449" t="s">
        <v>201</v>
      </c>
      <c r="AX186" s="449" t="s">
        <v>201</v>
      </c>
      <c r="AY186" s="10" t="str">
        <f>IF(L186="","",
IF(AX186="PT",VLOOKUP(L186,Foundation_Calc!$K$79:$R$113,VLOOKUP(AW186,Foundation_Calc!$I$2:$J$8,2,FALSE),0),
IF(AX186="K",VLOOKUP(L186,Foundation_Calc!$K$117:$R$151,VLOOKUP(AW186,Foundation_Calc!$I$2:$J$8,2,FALSE),0),"")))</f>
        <v/>
      </c>
      <c r="AZ186" s="10" t="str">
        <f>IF(K186="","",
IF(AX186="PT",VLOOKUP(K186,Foundation_Calc!$K$79:$R$113,VLOOKUP(AW186,Foundation_Calc!$I$2:$J$8,2,FALSE),0),
IF(AX186="K",VLOOKUP(K186,Foundation_Calc!$K$117:$R$151,VLOOKUP(AW186,Foundation_Calc!$I$2:$J$8,2,FALSE),0),"")))</f>
        <v/>
      </c>
      <c r="BA186" s="495" t="str">
        <f t="shared" si="20"/>
        <v/>
      </c>
      <c r="BB186" s="495" t="str">
        <f t="shared" si="21"/>
        <v/>
      </c>
      <c r="BC186" s="495" t="str">
        <f t="shared" si="22"/>
        <v/>
      </c>
      <c r="BD186" s="513"/>
      <c r="BE186" s="429" t="s">
        <v>118</v>
      </c>
      <c r="BF186" s="289"/>
      <c r="BG186" s="289"/>
      <c r="BH186" s="290"/>
      <c r="BI186" s="289"/>
    </row>
    <row r="187" spans="1:61" ht="16.149999999999999" customHeight="1">
      <c r="A187" s="514"/>
      <c r="B187" s="450"/>
      <c r="C187" s="3"/>
      <c r="D187" s="83"/>
      <c r="E187" s="4"/>
      <c r="F187" s="4"/>
      <c r="G187" s="6">
        <v>45.6</v>
      </c>
      <c r="H187" s="449"/>
      <c r="I187" s="4"/>
      <c r="J187" s="3"/>
      <c r="K187" s="449"/>
      <c r="L187" s="449"/>
      <c r="M187" s="449" t="str">
        <f>IF(L187="","",
IF(AX187="PT",VLOOKUP(L187,Foundation_Calc!$V$79:$X$113,VLOOKUP(AX187,Foundation_Calc!$I$10:$J$13,2,FALSE),0),
IF(AX187="K",VLOOKUP(L187,Foundation_Calc!$V$117:$X$151,VLOOKUP(AX187,Foundation_Calc!$I$10:$J$13,2,FALSE),0),"")))</f>
        <v/>
      </c>
      <c r="N187" s="449"/>
      <c r="O187" s="449"/>
      <c r="P187" s="449"/>
      <c r="Q187" s="4"/>
      <c r="R187" s="6"/>
      <c r="S187" s="6"/>
      <c r="T187" s="4"/>
      <c r="U187" s="4"/>
      <c r="V187" s="4"/>
      <c r="W187" s="9"/>
      <c r="X187" s="9"/>
      <c r="Y187" s="9"/>
      <c r="Z187" s="9"/>
      <c r="AA187" s="9"/>
      <c r="AB187" s="9"/>
      <c r="AC187" s="449" t="str">
        <f t="shared" si="19"/>
        <v/>
      </c>
      <c r="AD187" s="449"/>
      <c r="AE187" s="449"/>
      <c r="AF187" s="4"/>
      <c r="AG187" s="83"/>
      <c r="AH187" s="4"/>
      <c r="AI187" s="4"/>
      <c r="AJ187" s="449"/>
      <c r="AK187" s="449"/>
      <c r="AL187" s="449"/>
      <c r="AM187" s="449"/>
      <c r="AN187" s="10"/>
      <c r="AO187" s="9"/>
      <c r="AP187" s="9"/>
      <c r="AQ187" s="9">
        <f>+FL_2($U$188,$T$186,$G$187,1200,9.28,-1*$F$188)</f>
        <v>-0.30001368298499143</v>
      </c>
      <c r="AR187" s="9"/>
      <c r="AS187" s="9"/>
      <c r="AT187" s="9"/>
      <c r="AU187" s="428"/>
      <c r="AV187" s="428"/>
      <c r="AW187" s="449"/>
      <c r="AX187" s="449"/>
      <c r="AY187" s="10" t="str">
        <f>IF(L187="","",
IF(AX187="PT",VLOOKUP(L187,Foundation_Calc!$K$79:$R$113,VLOOKUP(AW187,Foundation_Calc!$I$2:$J$8,2,FALSE),0),
IF(AX187="K",VLOOKUP(L187,Foundation_Calc!$K$117:$R$151,VLOOKUP(AW187,Foundation_Calc!$I$2:$J$8,2,FALSE),0),"")))</f>
        <v/>
      </c>
      <c r="AZ187" s="10" t="str">
        <f>IF(K187="","",
IF(AX187="PT",VLOOKUP(K187,Foundation_Calc!$K$79:$R$113,VLOOKUP(AW187,Foundation_Calc!$I$2:$J$8,2,FALSE),0),
IF(AX187="K",VLOOKUP(K187,Foundation_Calc!$K$117:$R$151,VLOOKUP(AW187,Foundation_Calc!$I$2:$J$8,2,FALSE),0),"")))</f>
        <v/>
      </c>
      <c r="BA187" s="495" t="str">
        <f t="shared" si="20"/>
        <v/>
      </c>
      <c r="BB187" s="495" t="str">
        <f t="shared" si="21"/>
        <v/>
      </c>
      <c r="BC187" s="495" t="str">
        <f t="shared" si="22"/>
        <v/>
      </c>
      <c r="BD187" s="513" t="str">
        <f>IF(AND(L187="",H187=""),"",
IF(H187="",Pole_Calc!A$9,
IF(H187="MP",Pole_Calc!A$10,
IF(H187="AnMP",Pole_Calc!A$11,
IF(H187="A",Pole_Calc!A$12,
IF(H187="S/A",Pole_Calc!A$13,
IF(H187="A/S",Pole_Calc!A$14,"Poner a mano")))))))</f>
        <v/>
      </c>
      <c r="BE187" s="429" t="s">
        <v>118</v>
      </c>
      <c r="BF187" s="290"/>
      <c r="BG187" s="290"/>
      <c r="BH187" s="290"/>
      <c r="BI187" s="290"/>
    </row>
    <row r="188" spans="1:61" ht="16.149999999999999" customHeight="1">
      <c r="A188" s="514"/>
      <c r="B188" s="450" t="s">
        <v>1032</v>
      </c>
      <c r="C188" s="3">
        <f>+$C$186+$G$187</f>
        <v>34741.35</v>
      </c>
      <c r="D188" s="83"/>
      <c r="E188" s="4"/>
      <c r="F188" s="4">
        <v>1200</v>
      </c>
      <c r="G188" s="6"/>
      <c r="H188" s="449" t="s">
        <v>131</v>
      </c>
      <c r="I188" s="4"/>
      <c r="J188" s="3"/>
      <c r="K188" s="449"/>
      <c r="L188" s="449" t="s">
        <v>201</v>
      </c>
      <c r="M188" s="449" t="str">
        <f>IF(L188="","",
IF(AX188="PT",VLOOKUP(L188,Foundation_Calc!$V$79:$X$113,VLOOKUP(AX188,Foundation_Calc!$I$10:$J$13,2,FALSE),0),
IF(AX188="K",VLOOKUP(L188,Foundation_Calc!$V$117:$X$151,VLOOKUP(AX188,Foundation_Calc!$I$10:$J$13,2,FALSE),0),"")))</f>
        <v/>
      </c>
      <c r="N188" s="553" t="s">
        <v>840</v>
      </c>
      <c r="O188" s="553" t="s">
        <v>343</v>
      </c>
      <c r="P188" s="449"/>
      <c r="Q188" s="4"/>
      <c r="R188" s="6"/>
      <c r="S188" s="6"/>
      <c r="T188" s="4">
        <v>-10</v>
      </c>
      <c r="U188" s="4">
        <v>-30</v>
      </c>
      <c r="V188" s="4"/>
      <c r="W188" s="9">
        <v>1.4</v>
      </c>
      <c r="X188" s="9">
        <v>2</v>
      </c>
      <c r="Y188" s="9"/>
      <c r="Z188" s="9">
        <v>0.45</v>
      </c>
      <c r="AA188" s="9"/>
      <c r="AB188" s="9"/>
      <c r="AC188" s="449"/>
      <c r="AD188" s="449"/>
      <c r="AE188" s="449"/>
      <c r="AF188" s="4"/>
      <c r="AG188" s="83"/>
      <c r="AH188" s="4"/>
      <c r="AI188" s="4"/>
      <c r="AJ188" s="449"/>
      <c r="AK188" s="449" t="s">
        <v>841</v>
      </c>
      <c r="AL188" s="449"/>
      <c r="AM188" s="449"/>
      <c r="AN188" s="10">
        <v>5.5</v>
      </c>
      <c r="AO188" s="9"/>
      <c r="AP188" s="9"/>
      <c r="AQ188" s="9"/>
      <c r="AR188" s="9"/>
      <c r="AS188" s="9"/>
      <c r="AT188" s="9">
        <f>+ab($U$188,$T$186,$U$190,$G$187,$G$189,-1*$F$188,1200)</f>
        <v>-4.9082827075675457</v>
      </c>
      <c r="AU188" s="428"/>
      <c r="AV188" s="428"/>
      <c r="AW188" s="449" t="s">
        <v>201</v>
      </c>
      <c r="AX188" s="449" t="s">
        <v>201</v>
      </c>
      <c r="AY188" s="10" t="str">
        <f>IF(L188="","",
IF(AX188="PT",VLOOKUP(L188,Foundation_Calc!$K$79:$R$113,VLOOKUP(AW188,Foundation_Calc!$I$2:$J$8,2,FALSE),0),
IF(AX188="K",VLOOKUP(L188,Foundation_Calc!$K$117:$R$151,VLOOKUP(AW188,Foundation_Calc!$I$2:$J$8,2,FALSE),0),"")))</f>
        <v/>
      </c>
      <c r="AZ188" s="10" t="str">
        <f>IF(K188="","",
IF(AX188="PT",VLOOKUP(K188,Foundation_Calc!$K$79:$R$113,VLOOKUP(AW188,Foundation_Calc!$I$2:$J$8,2,FALSE),0),
IF(AX188="K",VLOOKUP(K188,Foundation_Calc!$K$117:$R$151,VLOOKUP(AW188,Foundation_Calc!$I$2:$J$8,2,FALSE),0),"")))</f>
        <v/>
      </c>
      <c r="BA188" s="495" t="str">
        <f t="shared" si="20"/>
        <v/>
      </c>
      <c r="BB188" s="495" t="str">
        <f t="shared" si="21"/>
        <v/>
      </c>
      <c r="BC188" s="495" t="str">
        <f t="shared" si="22"/>
        <v/>
      </c>
      <c r="BD188" s="513"/>
      <c r="BE188" s="429" t="s">
        <v>118</v>
      </c>
      <c r="BF188" s="289"/>
      <c r="BG188" s="289"/>
      <c r="BH188" s="290"/>
      <c r="BI188" s="289"/>
    </row>
    <row r="189" spans="1:61" ht="16.149999999999999" customHeight="1">
      <c r="A189" s="514"/>
      <c r="B189" s="450"/>
      <c r="C189" s="3"/>
      <c r="D189" s="83"/>
      <c r="E189" s="4"/>
      <c r="F189" s="4"/>
      <c r="G189" s="6">
        <v>48</v>
      </c>
      <c r="H189" s="449"/>
      <c r="I189" s="4"/>
      <c r="J189" s="3"/>
      <c r="K189" s="449"/>
      <c r="L189" s="449"/>
      <c r="M189" s="449" t="str">
        <f>IF(L189="","",
IF(AX189="PT",VLOOKUP(L189,Foundation_Calc!$V$79:$X$113,VLOOKUP(AX189,Foundation_Calc!$I$10:$J$13,2,FALSE),0),
IF(AX189="K",VLOOKUP(L189,Foundation_Calc!$V$117:$X$151,VLOOKUP(AX189,Foundation_Calc!$I$10:$J$13,2,FALSE),0),"")))</f>
        <v/>
      </c>
      <c r="N189" s="449"/>
      <c r="O189" s="449"/>
      <c r="P189" s="449"/>
      <c r="Q189" s="4"/>
      <c r="R189" s="6"/>
      <c r="S189" s="6"/>
      <c r="T189" s="4"/>
      <c r="U189" s="4"/>
      <c r="V189" s="4"/>
      <c r="W189" s="9"/>
      <c r="X189" s="9"/>
      <c r="Y189" s="9"/>
      <c r="Z189" s="9"/>
      <c r="AA189" s="9"/>
      <c r="AB189" s="9"/>
      <c r="AC189" s="449" t="str">
        <f t="shared" si="19"/>
        <v/>
      </c>
      <c r="AD189" s="449"/>
      <c r="AE189" s="449"/>
      <c r="AF189" s="4"/>
      <c r="AG189" s="83"/>
      <c r="AH189" s="4"/>
      <c r="AI189" s="4"/>
      <c r="AJ189" s="449"/>
      <c r="AK189" s="449"/>
      <c r="AL189" s="449"/>
      <c r="AM189" s="449"/>
      <c r="AN189" s="10"/>
      <c r="AO189" s="9"/>
      <c r="AP189" s="9"/>
      <c r="AQ189" s="9">
        <f>+FL_2($T$190,$U$188,$G$189,1200,9.28,-1*$F$190)</f>
        <v>-0.30005606965004639</v>
      </c>
      <c r="AR189" s="9"/>
      <c r="AS189" s="9"/>
      <c r="AT189" s="9"/>
      <c r="AU189" s="428"/>
      <c r="AV189" s="428"/>
      <c r="AW189" s="449"/>
      <c r="AX189" s="449"/>
      <c r="AY189" s="10" t="str">
        <f>IF(L189="","",
IF(AX189="PT",VLOOKUP(L189,Foundation_Calc!$K$79:$R$113,VLOOKUP(AW189,Foundation_Calc!$I$2:$J$8,2,FALSE),0),
IF(AX189="K",VLOOKUP(L189,Foundation_Calc!$K$117:$R$151,VLOOKUP(AW189,Foundation_Calc!$I$2:$J$8,2,FALSE),0),"")))</f>
        <v/>
      </c>
      <c r="AZ189" s="10" t="str">
        <f>IF(K189="","",
IF(AX189="PT",VLOOKUP(K189,Foundation_Calc!$K$79:$R$113,VLOOKUP(AW189,Foundation_Calc!$I$2:$J$8,2,FALSE),0),
IF(AX189="K",VLOOKUP(K189,Foundation_Calc!$K$117:$R$151,VLOOKUP(AW189,Foundation_Calc!$I$2:$J$8,2,FALSE),0),"")))</f>
        <v/>
      </c>
      <c r="BA189" s="495" t="str">
        <f t="shared" si="20"/>
        <v/>
      </c>
      <c r="BB189" s="495" t="str">
        <f t="shared" si="21"/>
        <v/>
      </c>
      <c r="BC189" s="495" t="str">
        <f t="shared" si="22"/>
        <v/>
      </c>
      <c r="BD189" s="513" t="str">
        <f>IF(AND(L189="",H189=""),"",
IF(H189="",Pole_Calc!A$9,
IF(H189="MP",Pole_Calc!A$10,
IF(H189="AnMP",Pole_Calc!A$11,
IF(H189="A",Pole_Calc!A$12,
IF(H189="S/A",Pole_Calc!A$13,
IF(H189="A/S",Pole_Calc!A$14,"Poner a mano")))))))</f>
        <v/>
      </c>
      <c r="BE189" s="429" t="s">
        <v>118</v>
      </c>
      <c r="BF189" s="290"/>
      <c r="BG189" s="290"/>
      <c r="BH189" s="290"/>
      <c r="BI189" s="290"/>
    </row>
    <row r="190" spans="1:61" ht="16.149999999999999" customHeight="1">
      <c r="A190" s="514"/>
      <c r="B190" s="450" t="s">
        <v>1033</v>
      </c>
      <c r="C190" s="3">
        <f>+$C$188+$G$189</f>
        <v>34789.35</v>
      </c>
      <c r="D190" s="83"/>
      <c r="E190" s="4"/>
      <c r="F190" s="4">
        <v>1200</v>
      </c>
      <c r="G190" s="6"/>
      <c r="H190" s="449" t="s">
        <v>131</v>
      </c>
      <c r="I190" s="4"/>
      <c r="J190" s="3"/>
      <c r="K190" s="449"/>
      <c r="L190" s="449" t="s">
        <v>201</v>
      </c>
      <c r="M190" s="449" t="str">
        <f>IF(L190="","",
IF(AX190="PT",VLOOKUP(L190,Foundation_Calc!$V$79:$X$113,VLOOKUP(AX190,Foundation_Calc!$I$10:$J$13,2,FALSE),0),
IF(AX190="K",VLOOKUP(L190,Foundation_Calc!$V$117:$X$151,VLOOKUP(AX190,Foundation_Calc!$I$10:$J$13,2,FALSE),0),"")))</f>
        <v/>
      </c>
      <c r="N190" s="553" t="s">
        <v>343</v>
      </c>
      <c r="O190" s="553" t="s">
        <v>840</v>
      </c>
      <c r="P190" s="449"/>
      <c r="Q190" s="4"/>
      <c r="R190" s="6"/>
      <c r="S190" s="6"/>
      <c r="T190" s="4">
        <v>-10</v>
      </c>
      <c r="U190" s="4">
        <v>-30</v>
      </c>
      <c r="V190" s="4"/>
      <c r="W190" s="9">
        <v>1.4</v>
      </c>
      <c r="X190" s="9">
        <v>2</v>
      </c>
      <c r="Y190" s="9"/>
      <c r="Z190" s="9"/>
      <c r="AA190" s="9">
        <v>0.45</v>
      </c>
      <c r="AB190" s="9"/>
      <c r="AC190" s="449" t="str">
        <f t="shared" ref="AC190" si="26">IF(OR(AT190&gt;8,AT190&lt;-8),"PH",
IF(OR(AT190&gt;5,AT190&lt;-5),"PHQ",
IF(OR(AT190&gt;1,AT190&lt;-1),
"PHC","")))</f>
        <v>PHQ</v>
      </c>
      <c r="AD190" s="449"/>
      <c r="AE190" s="449"/>
      <c r="AF190" s="4"/>
      <c r="AG190" s="83"/>
      <c r="AH190" s="4"/>
      <c r="AI190" s="4"/>
      <c r="AJ190" s="449"/>
      <c r="AK190" s="449" t="s">
        <v>841</v>
      </c>
      <c r="AL190" s="449"/>
      <c r="AM190" s="449"/>
      <c r="AN190" s="10">
        <v>5.5</v>
      </c>
      <c r="AO190" s="9"/>
      <c r="AP190" s="9"/>
      <c r="AQ190" s="9"/>
      <c r="AR190" s="9"/>
      <c r="AS190" s="9"/>
      <c r="AT190" s="9">
        <f>+ab($T$190,$T$188,$T$192,$G$189,$G$191,-1*$F$190,1200)</f>
        <v>-5.3396317044105279</v>
      </c>
      <c r="AU190" s="428"/>
      <c r="AV190" s="428"/>
      <c r="AW190" s="449" t="s">
        <v>201</v>
      </c>
      <c r="AX190" s="449" t="s">
        <v>201</v>
      </c>
      <c r="AY190" s="10" t="str">
        <f>IF(L190="","",
IF(AX190="PT",VLOOKUP(L190,Foundation_Calc!$K$79:$R$113,VLOOKUP(AW190,Foundation_Calc!$I$2:$J$8,2,FALSE),0),
IF(AX190="K",VLOOKUP(L190,Foundation_Calc!$K$117:$R$151,VLOOKUP(AW190,Foundation_Calc!$I$2:$J$8,2,FALSE),0),"")))</f>
        <v/>
      </c>
      <c r="AZ190" s="10" t="str">
        <f>IF(K190="","",
IF(AX190="PT",VLOOKUP(K190,Foundation_Calc!$K$79:$R$113,VLOOKUP(AW190,Foundation_Calc!$I$2:$J$8,2,FALSE),0),
IF(AX190="K",VLOOKUP(K190,Foundation_Calc!$K$117:$R$151,VLOOKUP(AW190,Foundation_Calc!$I$2:$J$8,2,FALSE),0),"")))</f>
        <v/>
      </c>
      <c r="BA190" s="495" t="str">
        <f t="shared" si="20"/>
        <v/>
      </c>
      <c r="BB190" s="495" t="str">
        <f t="shared" si="21"/>
        <v/>
      </c>
      <c r="BC190" s="495" t="str">
        <f t="shared" si="22"/>
        <v/>
      </c>
      <c r="BD190" s="513"/>
      <c r="BE190" s="429" t="s">
        <v>118</v>
      </c>
      <c r="BF190" s="289"/>
      <c r="BG190" s="289"/>
      <c r="BH190" s="290"/>
      <c r="BI190" s="289"/>
    </row>
    <row r="191" spans="1:61" ht="16.149999999999999" customHeight="1">
      <c r="A191" s="514"/>
      <c r="B191" s="450"/>
      <c r="C191" s="3"/>
      <c r="D191" s="83"/>
      <c r="E191" s="4"/>
      <c r="F191" s="4"/>
      <c r="G191" s="6">
        <v>48</v>
      </c>
      <c r="H191" s="449"/>
      <c r="I191" s="4"/>
      <c r="J191" s="3"/>
      <c r="K191" s="449"/>
      <c r="L191" s="449"/>
      <c r="M191" s="449" t="str">
        <f>IF(L191="","",
IF(AX191="PT",VLOOKUP(L191,Foundation_Calc!$V$79:$X$113,VLOOKUP(AX191,Foundation_Calc!$I$10:$J$13,2,FALSE),0),
IF(AX191="K",VLOOKUP(L191,Foundation_Calc!$V$117:$X$151,VLOOKUP(AX191,Foundation_Calc!$I$10:$J$13,2,FALSE),0),"")))</f>
        <v/>
      </c>
      <c r="N191" s="449"/>
      <c r="O191" s="449"/>
      <c r="P191" s="449"/>
      <c r="Q191" s="4"/>
      <c r="R191" s="6"/>
      <c r="S191" s="6"/>
      <c r="T191" s="4"/>
      <c r="U191" s="4"/>
      <c r="V191" s="4"/>
      <c r="W191" s="9"/>
      <c r="X191" s="9"/>
      <c r="Y191" s="9"/>
      <c r="Z191" s="9"/>
      <c r="AA191" s="9"/>
      <c r="AB191" s="9"/>
      <c r="AC191" s="449" t="str">
        <f t="shared" si="19"/>
        <v/>
      </c>
      <c r="AD191" s="449"/>
      <c r="AE191" s="449"/>
      <c r="AF191" s="4"/>
      <c r="AG191" s="83"/>
      <c r="AH191" s="4"/>
      <c r="AI191" s="4"/>
      <c r="AJ191" s="449"/>
      <c r="AK191" s="449"/>
      <c r="AL191" s="449"/>
      <c r="AM191" s="449"/>
      <c r="AN191" s="10"/>
      <c r="AO191" s="9"/>
      <c r="AP191" s="9"/>
      <c r="AQ191" s="9">
        <f>+FL_2($T$192,$T$190,$G$191,1200,9.28,-1*$F$192)</f>
        <v>-0.29999999999999993</v>
      </c>
      <c r="AR191" s="9"/>
      <c r="AS191" s="9"/>
      <c r="AT191" s="9"/>
      <c r="AU191" s="428"/>
      <c r="AV191" s="428"/>
      <c r="AW191" s="449"/>
      <c r="AX191" s="449"/>
      <c r="AY191" s="10" t="str">
        <f>IF(L191="","",
IF(AX191="PT",VLOOKUP(L191,Foundation_Calc!$K$79:$R$113,VLOOKUP(AW191,Foundation_Calc!$I$2:$J$8,2,FALSE),0),
IF(AX191="K",VLOOKUP(L191,Foundation_Calc!$K$117:$R$151,VLOOKUP(AW191,Foundation_Calc!$I$2:$J$8,2,FALSE),0),"")))</f>
        <v/>
      </c>
      <c r="AZ191" s="10" t="str">
        <f>IF(K191="","",
IF(AX191="PT",VLOOKUP(K191,Foundation_Calc!$K$79:$R$113,VLOOKUP(AW191,Foundation_Calc!$I$2:$J$8,2,FALSE),0),
IF(AX191="K",VLOOKUP(K191,Foundation_Calc!$K$117:$R$151,VLOOKUP(AW191,Foundation_Calc!$I$2:$J$8,2,FALSE),0),"")))</f>
        <v/>
      </c>
      <c r="BA191" s="495" t="str">
        <f t="shared" si="20"/>
        <v/>
      </c>
      <c r="BB191" s="495" t="str">
        <f t="shared" si="21"/>
        <v/>
      </c>
      <c r="BC191" s="495" t="str">
        <f t="shared" si="22"/>
        <v/>
      </c>
      <c r="BD191" s="513" t="str">
        <f>IF(AND(L191="",H191=""),"",
IF(H191="",Pole_Calc!A$9,
IF(H191="MP",Pole_Calc!A$10,
IF(H191="AnMP",Pole_Calc!A$11,
IF(H191="A",Pole_Calc!A$12,
IF(H191="S/A",Pole_Calc!A$13,
IF(H191="A/S",Pole_Calc!A$14,"Poner a mano")))))))</f>
        <v/>
      </c>
      <c r="BE191" s="429" t="s">
        <v>118</v>
      </c>
      <c r="BF191" s="290"/>
      <c r="BG191" s="290"/>
      <c r="BH191" s="290"/>
      <c r="BI191" s="290"/>
    </row>
    <row r="192" spans="1:61" ht="16.149999999999999" customHeight="1">
      <c r="A192" s="514"/>
      <c r="B192" s="450" t="s">
        <v>1034</v>
      </c>
      <c r="C192" s="3">
        <f>+$C$190+$G$191</f>
        <v>34837.35</v>
      </c>
      <c r="D192" s="83"/>
      <c r="E192" s="4"/>
      <c r="F192" s="4">
        <v>1200</v>
      </c>
      <c r="G192" s="6"/>
      <c r="H192" s="449"/>
      <c r="I192" s="4"/>
      <c r="J192" s="3"/>
      <c r="K192" s="449"/>
      <c r="L192" s="449" t="s">
        <v>201</v>
      </c>
      <c r="M192" s="449" t="str">
        <f>IF(L192="","",
IF(AX192="PT",VLOOKUP(L192,Foundation_Calc!$V$79:$X$113,VLOOKUP(AX192,Foundation_Calc!$I$10:$J$13,2,FALSE),0),
IF(AX192="K",VLOOKUP(L192,Foundation_Calc!$V$117:$X$151,VLOOKUP(AX192,Foundation_Calc!$I$10:$J$13,2,FALSE),0),"")))</f>
        <v/>
      </c>
      <c r="N192" s="553" t="s">
        <v>343</v>
      </c>
      <c r="O192" s="449"/>
      <c r="P192" s="449"/>
      <c r="Q192" s="4"/>
      <c r="R192" s="6"/>
      <c r="S192" s="6"/>
      <c r="T192" s="4">
        <v>-30</v>
      </c>
      <c r="U192" s="4"/>
      <c r="V192" s="4"/>
      <c r="W192" s="9">
        <v>1.4</v>
      </c>
      <c r="X192" s="572"/>
      <c r="Y192" s="9"/>
      <c r="Z192" s="9"/>
      <c r="AA192" s="9"/>
      <c r="AB192" s="9"/>
      <c r="AC192" s="449" t="str">
        <f t="shared" si="19"/>
        <v>PHC</v>
      </c>
      <c r="AD192" s="449"/>
      <c r="AE192" s="449"/>
      <c r="AF192" s="4"/>
      <c r="AG192" s="83"/>
      <c r="AH192" s="4"/>
      <c r="AI192" s="4"/>
      <c r="AJ192" s="449"/>
      <c r="AK192" s="449" t="s">
        <v>451</v>
      </c>
      <c r="AL192" s="449"/>
      <c r="AM192" s="449"/>
      <c r="AN192" s="10">
        <v>5.5</v>
      </c>
      <c r="AO192" s="9"/>
      <c r="AP192" s="9"/>
      <c r="AQ192" s="9"/>
      <c r="AR192" s="9"/>
      <c r="AS192" s="9"/>
      <c r="AT192" s="9">
        <f>+ab($T$192,$T$190,$T$194,$G$191,$G$193,-1*$F$192,1200)</f>
        <v>-4.3364404927865321</v>
      </c>
      <c r="AU192" s="428"/>
      <c r="AV192" s="428"/>
      <c r="AW192" s="449" t="s">
        <v>201</v>
      </c>
      <c r="AX192" s="449" t="s">
        <v>201</v>
      </c>
      <c r="AY192" s="10" t="str">
        <f>IF(L192="","",
IF(AX192="PT",VLOOKUP(L192,Foundation_Calc!$K$79:$R$113,VLOOKUP(AW192,Foundation_Calc!$I$2:$J$8,2,FALSE),0),
IF(AX192="K",VLOOKUP(L192,Foundation_Calc!$K$117:$R$151,VLOOKUP(AW192,Foundation_Calc!$I$2:$J$8,2,FALSE),0),"")))</f>
        <v/>
      </c>
      <c r="AZ192" s="10" t="str">
        <f>IF(K192="","",
IF(AX192="PT",VLOOKUP(K192,Foundation_Calc!$K$79:$R$113,VLOOKUP(AW192,Foundation_Calc!$I$2:$J$8,2,FALSE),0),
IF(AX192="K",VLOOKUP(K192,Foundation_Calc!$K$117:$R$151,VLOOKUP(AW192,Foundation_Calc!$I$2:$J$8,2,FALSE),0),"")))</f>
        <v/>
      </c>
      <c r="BA192" s="495" t="str">
        <f t="shared" si="20"/>
        <v/>
      </c>
      <c r="BB192" s="495" t="str">
        <f t="shared" si="21"/>
        <v/>
      </c>
      <c r="BC192" s="495" t="str">
        <f t="shared" si="22"/>
        <v/>
      </c>
      <c r="BD192" s="513"/>
      <c r="BE192" s="429" t="s">
        <v>118</v>
      </c>
      <c r="BF192" s="289"/>
      <c r="BG192" s="289"/>
      <c r="BH192" s="290"/>
      <c r="BI192" s="289"/>
    </row>
    <row r="193" spans="1:61" ht="16.149999999999999" customHeight="1">
      <c r="A193" s="685" t="s">
        <v>160</v>
      </c>
      <c r="B193" s="686"/>
      <c r="C193" s="687"/>
      <c r="D193" s="688"/>
      <c r="E193" s="689"/>
      <c r="F193" s="689"/>
      <c r="G193" s="690">
        <v>48</v>
      </c>
      <c r="H193" s="691"/>
      <c r="I193" s="689">
        <f>SUM(G169:G193)</f>
        <v>530</v>
      </c>
      <c r="J193" s="687"/>
      <c r="K193" s="691"/>
      <c r="L193" s="691"/>
      <c r="M193" s="691" t="str">
        <f>IF(L193="","",
IF(AX193="PT",VLOOKUP(L193,Foundation_Calc!$V$79:$X$113,VLOOKUP(AX193,Foundation_Calc!$I$10:$J$13,2,FALSE),0),
IF(AX193="K",VLOOKUP(L193,Foundation_Calc!$V$117:$X$151,VLOOKUP(AX193,Foundation_Calc!$I$10:$J$13,2,FALSE),0),"")))</f>
        <v/>
      </c>
      <c r="N193" s="691"/>
      <c r="O193" s="691"/>
      <c r="P193" s="691"/>
      <c r="Q193" s="689"/>
      <c r="R193" s="690"/>
      <c r="S193" s="690"/>
      <c r="T193" s="689"/>
      <c r="U193" s="689"/>
      <c r="V193" s="689"/>
      <c r="W193" s="692"/>
      <c r="X193" s="692"/>
      <c r="Y193" s="692"/>
      <c r="Z193" s="692"/>
      <c r="AA193" s="692"/>
      <c r="AB193" s="692"/>
      <c r="AC193" s="691" t="str">
        <f t="shared" si="19"/>
        <v/>
      </c>
      <c r="AD193" s="691"/>
      <c r="AE193" s="691"/>
      <c r="AF193" s="689"/>
      <c r="AG193" s="688"/>
      <c r="AH193" s="689"/>
      <c r="AI193" s="689"/>
      <c r="AJ193" s="691"/>
      <c r="AK193" s="691"/>
      <c r="AL193" s="691"/>
      <c r="AM193" s="691"/>
      <c r="AN193" s="693"/>
      <c r="AO193" s="692"/>
      <c r="AP193" s="692"/>
      <c r="AQ193" s="692">
        <f>+FL_2($T$194,$T$192,$G$193,1200,9.28,-1*$F$194)</f>
        <v>-0.30001440298338383</v>
      </c>
      <c r="AR193" s="692"/>
      <c r="AS193" s="692"/>
      <c r="AT193" s="692"/>
      <c r="AU193" s="694"/>
      <c r="AV193" s="694"/>
      <c r="AW193" s="691"/>
      <c r="AX193" s="691"/>
      <c r="AY193" s="693" t="str">
        <f>IF(L193="","",
IF(AX193="PT",VLOOKUP(L193,Foundation_Calc!$K$79:$R$113,VLOOKUP(AW193,Foundation_Calc!$I$2:$J$8,2,FALSE),0),
IF(AX193="K",VLOOKUP(L193,Foundation_Calc!$K$117:$R$151,VLOOKUP(AW193,Foundation_Calc!$I$2:$J$8,2,FALSE),0),"")))</f>
        <v/>
      </c>
      <c r="AZ193" s="693" t="str">
        <f>IF(K193="","",
IF(AX193="PT",VLOOKUP(K193,Foundation_Calc!$K$79:$R$113,VLOOKUP(AW193,Foundation_Calc!$I$2:$J$8,2,FALSE),0),
IF(AX193="K",VLOOKUP(K193,Foundation_Calc!$K$117:$R$151,VLOOKUP(AW193,Foundation_Calc!$I$2:$J$8,2,FALSE),0),"")))</f>
        <v/>
      </c>
      <c r="BA193" s="495" t="str">
        <f t="shared" si="20"/>
        <v/>
      </c>
      <c r="BB193" s="495" t="str">
        <f t="shared" si="21"/>
        <v/>
      </c>
      <c r="BC193" s="495" t="str">
        <f t="shared" si="22"/>
        <v/>
      </c>
      <c r="BD193" s="513" t="str">
        <f>IF(AND(L193="",H193=""),"",
IF(H193="",Pole_Calc!A$9,
IF(H193="MP",Pole_Calc!A$10,
IF(H193="AnMP",Pole_Calc!A$11,
IF(H193="A",Pole_Calc!A$12,
IF(H193="S/A",Pole_Calc!A$13,
IF(H193="A/S",Pole_Calc!A$14,"Poner a mano")))))))</f>
        <v/>
      </c>
      <c r="BE193" s="429" t="s">
        <v>118</v>
      </c>
      <c r="BF193" s="290"/>
      <c r="BG193" s="290"/>
      <c r="BH193" s="290"/>
      <c r="BI193" s="290"/>
    </row>
    <row r="194" spans="1:61" ht="16.149999999999999" customHeight="1">
      <c r="A194" s="514"/>
      <c r="B194" s="450" t="s">
        <v>1035</v>
      </c>
      <c r="C194" s="3">
        <f>+$C$192+$G$193</f>
        <v>34885.35</v>
      </c>
      <c r="D194" s="83"/>
      <c r="E194" s="4"/>
      <c r="F194" s="4">
        <v>1200</v>
      </c>
      <c r="G194" s="6"/>
      <c r="H194" s="449"/>
      <c r="I194" s="4"/>
      <c r="J194" s="3"/>
      <c r="K194" s="449"/>
      <c r="L194" s="449" t="s">
        <v>201</v>
      </c>
      <c r="M194" s="449" t="str">
        <f>IF(L194="","",
IF(AX194="PT",VLOOKUP(L194,Foundation_Calc!$V$79:$X$113,VLOOKUP(AX194,Foundation_Calc!$I$10:$J$13,2,FALSE),0),
IF(AX194="K",VLOOKUP(L194,Foundation_Calc!$V$117:$X$151,VLOOKUP(AX194,Foundation_Calc!$I$10:$J$13,2,FALSE),0),"")))</f>
        <v/>
      </c>
      <c r="N194" s="553" t="s">
        <v>343</v>
      </c>
      <c r="O194" s="449"/>
      <c r="P194" s="449"/>
      <c r="Q194" s="4"/>
      <c r="R194" s="6"/>
      <c r="S194" s="6"/>
      <c r="T194" s="4">
        <v>-30</v>
      </c>
      <c r="U194" s="4"/>
      <c r="V194" s="4"/>
      <c r="W194" s="9">
        <v>1.4</v>
      </c>
      <c r="X194" s="572"/>
      <c r="Y194" s="9"/>
      <c r="Z194" s="9"/>
      <c r="AA194" s="9"/>
      <c r="AB194" s="9"/>
      <c r="AC194" s="449" t="str">
        <f t="shared" ref="AC194" si="27">IF(OR(AT194&gt;8,AT194&lt;-8),"PH",
IF(OR(AT194&gt;5,AT194&lt;-5),"PHQ",
IF(OR(AT194&gt;1,AT194&lt;-1),
"PHC","")))</f>
        <v>PHC</v>
      </c>
      <c r="AD194" s="449"/>
      <c r="AE194" s="449"/>
      <c r="AF194" s="4"/>
      <c r="AG194" s="83"/>
      <c r="AH194" s="4"/>
      <c r="AI194" s="4"/>
      <c r="AJ194" s="449"/>
      <c r="AK194" s="449" t="s">
        <v>451</v>
      </c>
      <c r="AL194" s="449"/>
      <c r="AM194" s="449"/>
      <c r="AN194" s="10">
        <v>5.5</v>
      </c>
      <c r="AO194" s="9"/>
      <c r="AP194" s="9"/>
      <c r="AQ194" s="9"/>
      <c r="AR194" s="9"/>
      <c r="AS194" s="9"/>
      <c r="AT194" s="9">
        <f>+ab($T$194,$T$192,$T$196,$G$193,$G$195,-1*$F$194,1200)</f>
        <v>-4.7861529281530943</v>
      </c>
      <c r="AU194" s="428"/>
      <c r="AV194" s="428"/>
      <c r="AW194" s="449" t="s">
        <v>201</v>
      </c>
      <c r="AX194" s="449" t="s">
        <v>201</v>
      </c>
      <c r="AY194" s="10" t="str">
        <f>IF(L194="","",
IF(AX194="PT",VLOOKUP(L194,Foundation_Calc!$K$79:$R$113,VLOOKUP(AW194,Foundation_Calc!$I$2:$J$8,2,FALSE),0),
IF(AX194="K",VLOOKUP(L194,Foundation_Calc!$K$117:$R$151,VLOOKUP(AW194,Foundation_Calc!$I$2:$J$8,2,FALSE),0),"")))</f>
        <v/>
      </c>
      <c r="AZ194" s="10" t="str">
        <f>IF(K194="","",
IF(AX194="PT",VLOOKUP(K194,Foundation_Calc!$K$79:$R$113,VLOOKUP(AW194,Foundation_Calc!$I$2:$J$8,2,FALSE),0),
IF(AX194="K",VLOOKUP(K194,Foundation_Calc!$K$117:$R$151,VLOOKUP(AW194,Foundation_Calc!$I$2:$J$8,2,FALSE),0),"")))</f>
        <v/>
      </c>
      <c r="BA194" s="495" t="str">
        <f t="shared" si="20"/>
        <v/>
      </c>
      <c r="BB194" s="495" t="str">
        <f t="shared" si="21"/>
        <v/>
      </c>
      <c r="BC194" s="495" t="str">
        <f t="shared" si="22"/>
        <v/>
      </c>
      <c r="BD194" s="513"/>
      <c r="BE194" s="429" t="s">
        <v>118</v>
      </c>
      <c r="BF194" s="289"/>
      <c r="BG194" s="289"/>
      <c r="BH194" s="290"/>
      <c r="BI194" s="289"/>
    </row>
    <row r="195" spans="1:61" ht="16.149999999999999" customHeight="1">
      <c r="A195" s="514"/>
      <c r="B195" s="450"/>
      <c r="C195" s="3"/>
      <c r="D195" s="83"/>
      <c r="E195" s="4"/>
      <c r="F195" s="4"/>
      <c r="G195" s="6">
        <v>48</v>
      </c>
      <c r="H195" s="449"/>
      <c r="I195" s="4"/>
      <c r="J195" s="3"/>
      <c r="K195" s="449"/>
      <c r="L195" s="449"/>
      <c r="M195" s="449" t="str">
        <f>IF(L195="","",
IF(AX195="PT",VLOOKUP(L195,Foundation_Calc!$V$79:$X$113,VLOOKUP(AX195,Foundation_Calc!$I$10:$J$13,2,FALSE),0),
IF(AX195="K",VLOOKUP(L195,Foundation_Calc!$V$117:$X$151,VLOOKUP(AX195,Foundation_Calc!$I$10:$J$13,2,FALSE),0),"")))</f>
        <v/>
      </c>
      <c r="N195" s="449"/>
      <c r="O195" s="449"/>
      <c r="P195" s="449"/>
      <c r="Q195" s="4"/>
      <c r="R195" s="6"/>
      <c r="S195" s="6"/>
      <c r="T195" s="4"/>
      <c r="U195" s="4"/>
      <c r="V195" s="4"/>
      <c r="W195" s="9"/>
      <c r="X195" s="9"/>
      <c r="Y195" s="9"/>
      <c r="Z195" s="9"/>
      <c r="AA195" s="9"/>
      <c r="AB195" s="9"/>
      <c r="AC195" s="449" t="str">
        <f t="shared" si="19"/>
        <v/>
      </c>
      <c r="AD195" s="449"/>
      <c r="AE195" s="449"/>
      <c r="AF195" s="4"/>
      <c r="AG195" s="83"/>
      <c r="AH195" s="4"/>
      <c r="AI195" s="4"/>
      <c r="AJ195" s="449"/>
      <c r="AK195" s="449"/>
      <c r="AL195" s="449"/>
      <c r="AM195" s="449"/>
      <c r="AN195" s="10"/>
      <c r="AO195" s="9"/>
      <c r="AP195" s="9"/>
      <c r="AQ195" s="9">
        <f>+FL_2($T$196,$T$194,$G$195,1200,9.28,-1*$F$196)</f>
        <v>-0.30001440298338383</v>
      </c>
      <c r="AR195" s="9"/>
      <c r="AS195" s="9"/>
      <c r="AT195" s="9"/>
      <c r="AU195" s="428"/>
      <c r="AV195" s="428"/>
      <c r="AW195" s="449"/>
      <c r="AX195" s="449"/>
      <c r="AY195" s="10" t="str">
        <f>IF(L195="","",
IF(AX195="PT",VLOOKUP(L195,Foundation_Calc!$K$79:$R$113,VLOOKUP(AW195,Foundation_Calc!$I$2:$J$8,2,FALSE),0),
IF(AX195="K",VLOOKUP(L195,Foundation_Calc!$K$117:$R$151,VLOOKUP(AW195,Foundation_Calc!$I$2:$J$8,2,FALSE),0),"")))</f>
        <v/>
      </c>
      <c r="AZ195" s="10" t="str">
        <f>IF(K195="","",
IF(AX195="PT",VLOOKUP(K195,Foundation_Calc!$K$79:$R$113,VLOOKUP(AW195,Foundation_Calc!$I$2:$J$8,2,FALSE),0),
IF(AX195="K",VLOOKUP(K195,Foundation_Calc!$K$117:$R$151,VLOOKUP(AW195,Foundation_Calc!$I$2:$J$8,2,FALSE),0),"")))</f>
        <v/>
      </c>
      <c r="BA195" s="495" t="str">
        <f t="shared" si="20"/>
        <v/>
      </c>
      <c r="BB195" s="495" t="str">
        <f t="shared" si="21"/>
        <v/>
      </c>
      <c r="BC195" s="495" t="str">
        <f t="shared" si="22"/>
        <v/>
      </c>
      <c r="BD195" s="513"/>
      <c r="BE195" s="429" t="s">
        <v>118</v>
      </c>
      <c r="BF195" s="290"/>
      <c r="BG195" s="290"/>
      <c r="BH195" s="290"/>
      <c r="BI195" s="290"/>
    </row>
    <row r="196" spans="1:61" ht="16.149999999999999" customHeight="1">
      <c r="A196" s="514"/>
      <c r="B196" s="450" t="s">
        <v>1036</v>
      </c>
      <c r="C196" s="3">
        <f>+$C$194+$G$195</f>
        <v>34933.35</v>
      </c>
      <c r="D196" s="83"/>
      <c r="E196" s="4"/>
      <c r="F196" s="4">
        <v>1200</v>
      </c>
      <c r="G196" s="6"/>
      <c r="H196" s="449"/>
      <c r="I196" s="4"/>
      <c r="J196" s="3"/>
      <c r="K196" s="449"/>
      <c r="L196" s="449" t="s">
        <v>201</v>
      </c>
      <c r="M196" s="449" t="str">
        <f>IF(L196="","",
IF(AX196="PT",VLOOKUP(L196,Foundation_Calc!$V$79:$X$113,VLOOKUP(AX196,Foundation_Calc!$I$10:$J$13,2,FALSE),0),
IF(AX196="K",VLOOKUP(L196,Foundation_Calc!$V$117:$X$151,VLOOKUP(AX196,Foundation_Calc!$I$10:$J$13,2,FALSE),0),"")))</f>
        <v/>
      </c>
      <c r="N196" s="553" t="s">
        <v>343</v>
      </c>
      <c r="O196" s="449"/>
      <c r="P196" s="449"/>
      <c r="Q196" s="4"/>
      <c r="R196" s="6"/>
      <c r="S196" s="6"/>
      <c r="T196" s="4">
        <v>-30</v>
      </c>
      <c r="U196" s="4"/>
      <c r="V196" s="4"/>
      <c r="W196" s="9">
        <v>1.4</v>
      </c>
      <c r="X196" s="572"/>
      <c r="Y196" s="9"/>
      <c r="Z196" s="9"/>
      <c r="AA196" s="9"/>
      <c r="AB196" s="9"/>
      <c r="AC196" s="449" t="str">
        <f t="shared" si="19"/>
        <v>PHC</v>
      </c>
      <c r="AD196" s="449"/>
      <c r="AE196" s="449"/>
      <c r="AF196" s="4"/>
      <c r="AG196" s="83"/>
      <c r="AH196" s="4"/>
      <c r="AI196" s="4"/>
      <c r="AJ196" s="449"/>
      <c r="AK196" s="449" t="s">
        <v>451</v>
      </c>
      <c r="AL196" s="449"/>
      <c r="AM196" s="449"/>
      <c r="AN196" s="10">
        <v>5.5</v>
      </c>
      <c r="AO196" s="9"/>
      <c r="AP196" s="9"/>
      <c r="AQ196" s="9"/>
      <c r="AR196" s="9"/>
      <c r="AS196" s="9"/>
      <c r="AT196" s="9">
        <f>+ab($T$196,$T$194,$T$198,$G$195,$G$197,-1*$F$196,1200)</f>
        <v>-4.7861529281530943</v>
      </c>
      <c r="AU196" s="428"/>
      <c r="AV196" s="428"/>
      <c r="AW196" s="449" t="s">
        <v>201</v>
      </c>
      <c r="AX196" s="449" t="s">
        <v>201</v>
      </c>
      <c r="AY196" s="10" t="str">
        <f>IF(L196="","",
IF(AX196="PT",VLOOKUP(L196,Foundation_Calc!$K$79:$R$113,VLOOKUP(AW196,Foundation_Calc!$I$2:$J$8,2,FALSE),0),
IF(AX196="K",VLOOKUP(L196,Foundation_Calc!$K$117:$R$151,VLOOKUP(AW196,Foundation_Calc!$I$2:$J$8,2,FALSE),0),"")))</f>
        <v/>
      </c>
      <c r="AZ196" s="10" t="str">
        <f>IF(K196="","",
IF(AX196="PT",VLOOKUP(K196,Foundation_Calc!$K$79:$R$113,VLOOKUP(AW196,Foundation_Calc!$I$2:$J$8,2,FALSE),0),
IF(AX196="K",VLOOKUP(K196,Foundation_Calc!$K$117:$R$151,VLOOKUP(AW196,Foundation_Calc!$I$2:$J$8,2,FALSE),0),"")))</f>
        <v/>
      </c>
      <c r="BA196" s="495" t="str">
        <f t="shared" si="20"/>
        <v/>
      </c>
      <c r="BB196" s="495" t="str">
        <f t="shared" si="21"/>
        <v/>
      </c>
      <c r="BC196" s="495" t="str">
        <f t="shared" si="22"/>
        <v/>
      </c>
      <c r="BD196" s="513"/>
      <c r="BE196" s="429" t="s">
        <v>118</v>
      </c>
      <c r="BF196" s="289"/>
      <c r="BG196" s="289"/>
      <c r="BH196" s="290"/>
      <c r="BI196" s="289"/>
    </row>
    <row r="197" spans="1:61" ht="16.149999999999999" customHeight="1">
      <c r="A197" s="514"/>
      <c r="B197" s="450"/>
      <c r="C197" s="3"/>
      <c r="D197" s="83"/>
      <c r="E197" s="4"/>
      <c r="F197" s="4"/>
      <c r="G197" s="6">
        <v>48</v>
      </c>
      <c r="H197" s="449"/>
      <c r="I197" s="4"/>
      <c r="J197" s="3"/>
      <c r="K197" s="449"/>
      <c r="L197" s="449"/>
      <c r="M197" s="449" t="str">
        <f>IF(L197="","",
IF(AX197="PT",VLOOKUP(L197,Foundation_Calc!$V$79:$X$113,VLOOKUP(AX197,Foundation_Calc!$I$10:$J$13,2,FALSE),0),
IF(AX197="K",VLOOKUP(L197,Foundation_Calc!$V$117:$X$151,VLOOKUP(AX197,Foundation_Calc!$I$10:$J$13,2,FALSE),0),"")))</f>
        <v/>
      </c>
      <c r="N197" s="449"/>
      <c r="O197" s="449"/>
      <c r="P197" s="449"/>
      <c r="Q197" s="4"/>
      <c r="R197" s="6"/>
      <c r="S197" s="6"/>
      <c r="T197" s="4"/>
      <c r="U197" s="4"/>
      <c r="V197" s="4"/>
      <c r="W197" s="9"/>
      <c r="X197" s="9"/>
      <c r="Y197" s="9"/>
      <c r="Z197" s="9"/>
      <c r="AA197" s="9"/>
      <c r="AB197" s="9"/>
      <c r="AC197" s="449" t="str">
        <f t="shared" si="19"/>
        <v/>
      </c>
      <c r="AD197" s="449"/>
      <c r="AE197" s="449"/>
      <c r="AF197" s="4"/>
      <c r="AG197" s="83"/>
      <c r="AH197" s="4"/>
      <c r="AI197" s="4"/>
      <c r="AJ197" s="449"/>
      <c r="AK197" s="449"/>
      <c r="AL197" s="449"/>
      <c r="AM197" s="449"/>
      <c r="AN197" s="10"/>
      <c r="AO197" s="9"/>
      <c r="AP197" s="9"/>
      <c r="AQ197" s="9">
        <f>+FL_2($T$198,$T$196,$G$197,1200,9.28,-1*$F$198)</f>
        <v>-0.30001440298338383</v>
      </c>
      <c r="AR197" s="9"/>
      <c r="AS197" s="9"/>
      <c r="AT197" s="9"/>
      <c r="AU197" s="428"/>
      <c r="AV197" s="428"/>
      <c r="AW197" s="449"/>
      <c r="AX197" s="449"/>
      <c r="AY197" s="10" t="str">
        <f>IF(L197="","",
IF(AX197="PT",VLOOKUP(L197,Foundation_Calc!$K$79:$R$113,VLOOKUP(AW197,Foundation_Calc!$I$2:$J$8,2,FALSE),0),
IF(AX197="K",VLOOKUP(L197,Foundation_Calc!$K$117:$R$151,VLOOKUP(AW197,Foundation_Calc!$I$2:$J$8,2,FALSE),0),"")))</f>
        <v/>
      </c>
      <c r="AZ197" s="10" t="str">
        <f>IF(K197="","",
IF(AX197="PT",VLOOKUP(K197,Foundation_Calc!$K$79:$R$113,VLOOKUP(AW197,Foundation_Calc!$I$2:$J$8,2,FALSE),0),
IF(AX197="K",VLOOKUP(K197,Foundation_Calc!$K$117:$R$151,VLOOKUP(AW197,Foundation_Calc!$I$2:$J$8,2,FALSE),0),"")))</f>
        <v/>
      </c>
      <c r="BA197" s="495" t="str">
        <f t="shared" si="20"/>
        <v/>
      </c>
      <c r="BB197" s="495" t="str">
        <f t="shared" si="21"/>
        <v/>
      </c>
      <c r="BC197" s="495" t="str">
        <f t="shared" si="22"/>
        <v/>
      </c>
      <c r="BD197" s="513" t="str">
        <f>IF(AND(L197="",H197=""),"",
IF(H197="",Pole_Calc!A$9,
IF(H197="MP",Pole_Calc!A$10,
IF(H197="AnMP",Pole_Calc!A$11,
IF(H197="A",Pole_Calc!A$12,
IF(H197="S/A",Pole_Calc!A$13,
IF(H197="A/S",Pole_Calc!A$14,"Poner a mano")))))))</f>
        <v/>
      </c>
      <c r="BE197" s="429" t="s">
        <v>118</v>
      </c>
      <c r="BF197" s="290"/>
      <c r="BG197" s="290"/>
      <c r="BH197" s="290"/>
      <c r="BI197" s="290"/>
    </row>
    <row r="198" spans="1:61" ht="16.149999999999999" customHeight="1">
      <c r="A198" s="514"/>
      <c r="B198" s="450" t="s">
        <v>1037</v>
      </c>
      <c r="C198" s="3">
        <f>+$C$196+$G$197</f>
        <v>34981.35</v>
      </c>
      <c r="D198" s="83"/>
      <c r="E198" s="4"/>
      <c r="F198" s="4">
        <v>1200</v>
      </c>
      <c r="G198" s="6"/>
      <c r="H198" s="449"/>
      <c r="I198" s="4"/>
      <c r="J198" s="3"/>
      <c r="K198" s="449"/>
      <c r="L198" s="449" t="s">
        <v>201</v>
      </c>
      <c r="M198" s="449" t="str">
        <f>IF(L198="","",
IF(AX198="PT",VLOOKUP(L198,Foundation_Calc!$V$79:$X$113,VLOOKUP(AX198,Foundation_Calc!$I$10:$J$13,2,FALSE),0),
IF(AX198="K",VLOOKUP(L198,Foundation_Calc!$V$117:$X$151,VLOOKUP(AX198,Foundation_Calc!$I$10:$J$13,2,FALSE),0),"")))</f>
        <v/>
      </c>
      <c r="N198" s="553" t="s">
        <v>343</v>
      </c>
      <c r="O198" s="449"/>
      <c r="P198" s="449"/>
      <c r="Q198" s="4"/>
      <c r="R198" s="6"/>
      <c r="S198" s="6"/>
      <c r="T198" s="4">
        <v>-30</v>
      </c>
      <c r="U198" s="4"/>
      <c r="V198" s="4"/>
      <c r="W198" s="9">
        <v>1.4</v>
      </c>
      <c r="X198" s="572"/>
      <c r="Y198" s="9"/>
      <c r="Z198" s="9"/>
      <c r="AA198" s="9"/>
      <c r="AB198" s="9"/>
      <c r="AC198" s="449" t="str">
        <f t="shared" ref="AC198" si="28">IF(OR(AT198&gt;8,AT198&lt;-8),"PH",
IF(OR(AT198&gt;5,AT198&lt;-5),"PHQ",
IF(OR(AT198&gt;1,AT198&lt;-1),
"PHC","")))</f>
        <v>PHC</v>
      </c>
      <c r="AD198" s="449"/>
      <c r="AE198" s="449"/>
      <c r="AF198" s="4"/>
      <c r="AG198" s="83"/>
      <c r="AH198" s="4"/>
      <c r="AI198" s="4"/>
      <c r="AJ198" s="449"/>
      <c r="AK198" s="449" t="s">
        <v>451</v>
      </c>
      <c r="AL198" s="449"/>
      <c r="AM198" s="449"/>
      <c r="AN198" s="10">
        <v>5.5</v>
      </c>
      <c r="AO198" s="9"/>
      <c r="AP198" s="9"/>
      <c r="AQ198" s="9"/>
      <c r="AR198" s="9"/>
      <c r="AS198" s="9"/>
      <c r="AT198" s="9">
        <f>+ab($T$198,$T$196,$T$200,$G$197,$G$199,-1*$F$198,1200)</f>
        <v>-4.7861529281530943</v>
      </c>
      <c r="AU198" s="428"/>
      <c r="AV198" s="428"/>
      <c r="AW198" s="449" t="s">
        <v>201</v>
      </c>
      <c r="AX198" s="449" t="s">
        <v>201</v>
      </c>
      <c r="AY198" s="10" t="str">
        <f>IF(L198="","",
IF(AX198="PT",VLOOKUP(L198,Foundation_Calc!$K$79:$R$113,VLOOKUP(AW198,Foundation_Calc!$I$2:$J$8,2,FALSE),0),
IF(AX198="K",VLOOKUP(L198,Foundation_Calc!$K$117:$R$151,VLOOKUP(AW198,Foundation_Calc!$I$2:$J$8,2,FALSE),0),"")))</f>
        <v/>
      </c>
      <c r="AZ198" s="10" t="str">
        <f>IF(K198="","",
IF(AX198="PT",VLOOKUP(K198,Foundation_Calc!$K$79:$R$113,VLOOKUP(AW198,Foundation_Calc!$I$2:$J$8,2,FALSE),0),
IF(AX198="K",VLOOKUP(K198,Foundation_Calc!$K$117:$R$151,VLOOKUP(AW198,Foundation_Calc!$I$2:$J$8,2,FALSE),0),"")))</f>
        <v/>
      </c>
      <c r="BA198" s="495" t="str">
        <f t="shared" si="20"/>
        <v/>
      </c>
      <c r="BB198" s="495" t="str">
        <f t="shared" si="21"/>
        <v/>
      </c>
      <c r="BC198" s="495" t="str">
        <f t="shared" si="22"/>
        <v/>
      </c>
      <c r="BD198" s="513"/>
      <c r="BE198" s="429" t="s">
        <v>118</v>
      </c>
      <c r="BF198" s="289"/>
      <c r="BG198" s="289"/>
      <c r="BH198" s="290"/>
      <c r="BI198" s="289"/>
    </row>
    <row r="199" spans="1:61" ht="16.149999999999999" customHeight="1">
      <c r="A199" s="517"/>
      <c r="B199" s="450"/>
      <c r="C199" s="3"/>
      <c r="D199" s="83"/>
      <c r="E199" s="4"/>
      <c r="F199" s="4"/>
      <c r="G199" s="6">
        <v>48</v>
      </c>
      <c r="H199" s="449"/>
      <c r="I199" s="4"/>
      <c r="J199" s="3"/>
      <c r="K199" s="449"/>
      <c r="L199" s="449"/>
      <c r="M199" s="449" t="str">
        <f>IF(L199="","",
IF(AX199="PT",VLOOKUP(L199,Foundation_Calc!$V$79:$X$113,VLOOKUP(AX199,Foundation_Calc!$I$10:$J$13,2,FALSE),0),
IF(AX199="K",VLOOKUP(L199,Foundation_Calc!$V$117:$X$151,VLOOKUP(AX199,Foundation_Calc!$I$10:$J$13,2,FALSE),0),"")))</f>
        <v/>
      </c>
      <c r="N199" s="449"/>
      <c r="O199" s="449"/>
      <c r="P199" s="449"/>
      <c r="Q199" s="4"/>
      <c r="R199" s="6"/>
      <c r="S199" s="6"/>
      <c r="T199" s="4"/>
      <c r="U199" s="4"/>
      <c r="V199" s="4"/>
      <c r="W199" s="572"/>
      <c r="X199" s="9"/>
      <c r="Y199" s="9"/>
      <c r="Z199" s="9"/>
      <c r="AA199" s="9"/>
      <c r="AB199" s="9"/>
      <c r="AC199" s="449" t="str">
        <f t="shared" ref="AC199:AC262" si="29">IF(OR(AT199&gt;8,AT199&lt;-8),"PH",
IF(OR(AT199&gt;5,AT199&lt;-5),"PHQ",
IF(OR(AT199&gt;1,AT199&lt;-1),
"PHC","")))</f>
        <v/>
      </c>
      <c r="AD199" s="449"/>
      <c r="AE199" s="449"/>
      <c r="AF199" s="4"/>
      <c r="AG199" s="83"/>
      <c r="AH199" s="4"/>
      <c r="AI199" s="4"/>
      <c r="AJ199" s="449"/>
      <c r="AK199" s="449"/>
      <c r="AL199" s="449"/>
      <c r="AM199" s="449"/>
      <c r="AN199" s="10"/>
      <c r="AO199" s="9"/>
      <c r="AP199" s="9"/>
      <c r="AQ199" s="9">
        <f>+FL_2($T$200,$T$198,$G$199,1200,9.28,-1*$F$200)</f>
        <v>-0.30001440298338383</v>
      </c>
      <c r="AR199" s="9"/>
      <c r="AS199" s="9"/>
      <c r="AT199" s="9"/>
      <c r="AU199" s="428"/>
      <c r="AV199" s="428"/>
      <c r="AW199" s="449"/>
      <c r="AX199" s="449"/>
      <c r="AY199" s="10" t="str">
        <f>IF(L199="","",
IF(AX199="PT",VLOOKUP(L199,Foundation_Calc!$K$79:$R$113,VLOOKUP(AW199,Foundation_Calc!$I$2:$J$8,2,FALSE),0),
IF(AX199="K",VLOOKUP(L199,Foundation_Calc!$K$117:$R$151,VLOOKUP(AW199,Foundation_Calc!$I$2:$J$8,2,FALSE),0),"")))</f>
        <v/>
      </c>
      <c r="AZ199" s="10" t="str">
        <f>IF(K199="","",
IF(AX199="PT",VLOOKUP(K199,Foundation_Calc!$K$79:$R$113,VLOOKUP(AW199,Foundation_Calc!$I$2:$J$8,2,FALSE),0),
IF(AX199="K",VLOOKUP(K199,Foundation_Calc!$K$117:$R$151,VLOOKUP(AW199,Foundation_Calc!$I$2:$J$8,2,FALSE),0),"")))</f>
        <v/>
      </c>
      <c r="BA199" s="495" t="str">
        <f t="shared" si="20"/>
        <v/>
      </c>
      <c r="BB199" s="495" t="str">
        <f t="shared" si="21"/>
        <v/>
      </c>
      <c r="BC199" s="495" t="str">
        <f t="shared" si="22"/>
        <v/>
      </c>
      <c r="BD199" s="513" t="str">
        <f>IF(AND(L199="",H199=""),"",
IF(H199="",Pole_Calc!A$9,
IF(H199="MP",Pole_Calc!A$10,
IF(H199="AnMP",Pole_Calc!A$11,
IF(H199="A",Pole_Calc!A$12,
IF(H199="S/A",Pole_Calc!A$13,
IF(H199="A/S",Pole_Calc!A$14,"Poner a mano")))))))</f>
        <v/>
      </c>
      <c r="BE199" s="429" t="s">
        <v>118</v>
      </c>
      <c r="BF199" s="290"/>
      <c r="BG199" s="290"/>
      <c r="BH199" s="290"/>
      <c r="BI199" s="290"/>
    </row>
    <row r="200" spans="1:61" ht="16.149999999999999" customHeight="1">
      <c r="A200" s="517"/>
      <c r="B200" s="450" t="s">
        <v>1038</v>
      </c>
      <c r="C200" s="3">
        <f>+$C$198+$G$199</f>
        <v>35029.35</v>
      </c>
      <c r="D200" s="83"/>
      <c r="E200" s="4"/>
      <c r="F200" s="4">
        <v>1200</v>
      </c>
      <c r="G200" s="6"/>
      <c r="H200" s="449"/>
      <c r="I200" s="4"/>
      <c r="J200" s="3"/>
      <c r="K200" s="449"/>
      <c r="L200" s="449" t="s">
        <v>201</v>
      </c>
      <c r="M200" s="449" t="str">
        <f>IF(L200="","",
IF(AX200="PT",VLOOKUP(L200,Foundation_Calc!$V$79:$X$113,VLOOKUP(AX200,Foundation_Calc!$I$10:$J$13,2,FALSE),0),
IF(AX200="K",VLOOKUP(L200,Foundation_Calc!$V$117:$X$151,VLOOKUP(AX200,Foundation_Calc!$I$10:$J$13,2,FALSE),0),"")))</f>
        <v/>
      </c>
      <c r="N200" s="553" t="s">
        <v>343</v>
      </c>
      <c r="O200" s="449"/>
      <c r="P200" s="449"/>
      <c r="Q200" s="4"/>
      <c r="R200" s="6"/>
      <c r="S200" s="6"/>
      <c r="T200" s="4">
        <v>-30</v>
      </c>
      <c r="U200" s="4"/>
      <c r="V200" s="4"/>
      <c r="W200" s="9">
        <v>1.4</v>
      </c>
      <c r="X200" s="572"/>
      <c r="Y200" s="9"/>
      <c r="Z200" s="9"/>
      <c r="AA200" s="9"/>
      <c r="AB200" s="9"/>
      <c r="AC200" s="449" t="str">
        <f t="shared" si="29"/>
        <v>PHC</v>
      </c>
      <c r="AD200" s="449"/>
      <c r="AE200" s="449"/>
      <c r="AF200" s="4"/>
      <c r="AG200" s="83"/>
      <c r="AH200" s="4"/>
      <c r="AI200" s="4"/>
      <c r="AJ200" s="449"/>
      <c r="AK200" s="449" t="s">
        <v>451</v>
      </c>
      <c r="AL200" s="449"/>
      <c r="AM200" s="449"/>
      <c r="AN200" s="10">
        <v>5.5</v>
      </c>
      <c r="AO200" s="9"/>
      <c r="AP200" s="9"/>
      <c r="AQ200" s="9"/>
      <c r="AR200" s="9"/>
      <c r="AS200" s="9"/>
      <c r="AT200" s="9">
        <f>+ab($T$200,$T$198,$T$202,$G$199,$G$201,-1*$F$200,1200)</f>
        <v>-4.7861529281530943</v>
      </c>
      <c r="AU200" s="428"/>
      <c r="AV200" s="428"/>
      <c r="AW200" s="449" t="s">
        <v>201</v>
      </c>
      <c r="AX200" s="449" t="s">
        <v>201</v>
      </c>
      <c r="AY200" s="10" t="str">
        <f>IF(L200="","",
IF(AX200="PT",VLOOKUP(L200,Foundation_Calc!$K$79:$R$113,VLOOKUP(AW200,Foundation_Calc!$I$2:$J$8,2,FALSE),0),
IF(AX200="K",VLOOKUP(L200,Foundation_Calc!$K$117:$R$151,VLOOKUP(AW200,Foundation_Calc!$I$2:$J$8,2,FALSE),0),"")))</f>
        <v/>
      </c>
      <c r="AZ200" s="10" t="str">
        <f>IF(K200="","",
IF(AX200="PT",VLOOKUP(K200,Foundation_Calc!$K$79:$R$113,VLOOKUP(AW200,Foundation_Calc!$I$2:$J$8,2,FALSE),0),
IF(AX200="K",VLOOKUP(K200,Foundation_Calc!$K$117:$R$151,VLOOKUP(AW200,Foundation_Calc!$I$2:$J$8,2,FALSE),0),"")))</f>
        <v/>
      </c>
      <c r="BA200" s="495" t="str">
        <f t="shared" si="20"/>
        <v/>
      </c>
      <c r="BB200" s="495" t="str">
        <f t="shared" si="21"/>
        <v/>
      </c>
      <c r="BC200" s="495" t="str">
        <f t="shared" si="22"/>
        <v/>
      </c>
      <c r="BD200" s="513"/>
      <c r="BE200" s="429" t="s">
        <v>118</v>
      </c>
      <c r="BF200" s="289"/>
      <c r="BG200" s="289"/>
      <c r="BH200" s="290"/>
      <c r="BI200" s="289"/>
    </row>
    <row r="201" spans="1:61" ht="16.149999999999999" customHeight="1">
      <c r="A201" s="517"/>
      <c r="B201" s="450"/>
      <c r="C201" s="3"/>
      <c r="D201" s="83"/>
      <c r="E201" s="4"/>
      <c r="F201" s="4"/>
      <c r="G201" s="6">
        <v>48</v>
      </c>
      <c r="H201" s="449"/>
      <c r="I201" s="4"/>
      <c r="J201" s="3"/>
      <c r="K201" s="449"/>
      <c r="L201" s="449"/>
      <c r="M201" s="449" t="str">
        <f>IF(L201="","",
IF(AX201="PT",VLOOKUP(L201,Foundation_Calc!$V$79:$X$113,VLOOKUP(AX201,Foundation_Calc!$I$10:$J$13,2,FALSE),0),
IF(AX201="K",VLOOKUP(L201,Foundation_Calc!$V$117:$X$151,VLOOKUP(AX201,Foundation_Calc!$I$10:$J$13,2,FALSE),0),"")))</f>
        <v/>
      </c>
      <c r="N201" s="449"/>
      <c r="O201" s="449"/>
      <c r="P201" s="449"/>
      <c r="Q201" s="4"/>
      <c r="R201" s="6"/>
      <c r="S201" s="6"/>
      <c r="T201" s="4"/>
      <c r="U201" s="4"/>
      <c r="V201" s="4"/>
      <c r="W201" s="572"/>
      <c r="X201" s="9"/>
      <c r="Y201" s="9"/>
      <c r="Z201" s="9"/>
      <c r="AA201" s="9"/>
      <c r="AB201" s="9"/>
      <c r="AC201" s="449" t="str">
        <f t="shared" si="29"/>
        <v/>
      </c>
      <c r="AD201" s="449"/>
      <c r="AE201" s="449"/>
      <c r="AF201" s="4"/>
      <c r="AG201" s="83"/>
      <c r="AH201" s="4"/>
      <c r="AI201" s="4"/>
      <c r="AJ201" s="449"/>
      <c r="AK201" s="449"/>
      <c r="AL201" s="449"/>
      <c r="AM201" s="449"/>
      <c r="AN201" s="10"/>
      <c r="AO201" s="9"/>
      <c r="AP201" s="9"/>
      <c r="AQ201" s="9">
        <f>+FL_2($T$202,$T$200,$G$201,1200,9.28,-1*$F$202)</f>
        <v>-0.30001440298338383</v>
      </c>
      <c r="AR201" s="9"/>
      <c r="AS201" s="9"/>
      <c r="AT201" s="9"/>
      <c r="AU201" s="428"/>
      <c r="AV201" s="428"/>
      <c r="AW201" s="449"/>
      <c r="AX201" s="449"/>
      <c r="AY201" s="10" t="str">
        <f>IF(L201="","",
IF(AX201="PT",VLOOKUP(L201,Foundation_Calc!$K$79:$R$113,VLOOKUP(AW201,Foundation_Calc!$I$2:$J$8,2,FALSE),0),
IF(AX201="K",VLOOKUP(L201,Foundation_Calc!$K$117:$R$151,VLOOKUP(AW201,Foundation_Calc!$I$2:$J$8,2,FALSE),0),"")))</f>
        <v/>
      </c>
      <c r="AZ201" s="10" t="str">
        <f>IF(K201="","",
IF(AX201="PT",VLOOKUP(K201,Foundation_Calc!$K$79:$R$113,VLOOKUP(AW201,Foundation_Calc!$I$2:$J$8,2,FALSE),0),
IF(AX201="K",VLOOKUP(K201,Foundation_Calc!$K$117:$R$151,VLOOKUP(AW201,Foundation_Calc!$I$2:$J$8,2,FALSE),0),"")))</f>
        <v/>
      </c>
      <c r="BA201" s="495" t="str">
        <f t="shared" si="20"/>
        <v/>
      </c>
      <c r="BB201" s="495" t="str">
        <f t="shared" si="21"/>
        <v/>
      </c>
      <c r="BC201" s="495" t="str">
        <f t="shared" si="22"/>
        <v/>
      </c>
      <c r="BD201" s="513" t="str">
        <f>IF(AND(L201="",H201=""),"",
IF(H201="",Pole_Calc!A$9,
IF(H201="MP",Pole_Calc!A$10,
IF(H201="AnMP",Pole_Calc!A$11,
IF(H201="A",Pole_Calc!A$12,
IF(H201="S/A",Pole_Calc!A$13,
IF(H201="A/S",Pole_Calc!A$14,"Poner a mano")))))))</f>
        <v/>
      </c>
      <c r="BE201" s="429" t="s">
        <v>118</v>
      </c>
      <c r="BF201" s="290"/>
      <c r="BG201" s="290"/>
      <c r="BH201" s="290"/>
      <c r="BI201" s="290"/>
    </row>
    <row r="202" spans="1:61" ht="16.149999999999999" customHeight="1">
      <c r="A202" s="514"/>
      <c r="B202" s="450" t="s">
        <v>1039</v>
      </c>
      <c r="C202" s="3">
        <f>+$C$200+$G$201</f>
        <v>35077.35</v>
      </c>
      <c r="D202" s="83"/>
      <c r="E202" s="4"/>
      <c r="F202" s="4">
        <v>1200</v>
      </c>
      <c r="G202" s="6"/>
      <c r="H202" s="449"/>
      <c r="I202" s="4"/>
      <c r="J202" s="3"/>
      <c r="K202" s="449"/>
      <c r="L202" s="449" t="s">
        <v>201</v>
      </c>
      <c r="M202" s="449" t="str">
        <f>IF(L202="","",
IF(AX202="PT",VLOOKUP(L202,Foundation_Calc!$V$79:$X$113,VLOOKUP(AX202,Foundation_Calc!$I$10:$J$13,2,FALSE),0),
IF(AX202="K",VLOOKUP(L202,Foundation_Calc!$V$117:$X$151,VLOOKUP(AX202,Foundation_Calc!$I$10:$J$13,2,FALSE),0),"")))</f>
        <v/>
      </c>
      <c r="N202" s="553" t="s">
        <v>343</v>
      </c>
      <c r="O202" s="449"/>
      <c r="P202" s="449"/>
      <c r="Q202" s="4"/>
      <c r="R202" s="6"/>
      <c r="S202" s="6"/>
      <c r="T202" s="4">
        <v>-30</v>
      </c>
      <c r="U202" s="4"/>
      <c r="V202" s="4"/>
      <c r="W202" s="9">
        <v>1.4</v>
      </c>
      <c r="X202" s="572"/>
      <c r="Y202" s="9"/>
      <c r="Z202" s="9"/>
      <c r="AA202" s="9"/>
      <c r="AB202" s="9"/>
      <c r="AC202" s="449" t="str">
        <f t="shared" ref="AC202" si="30">IF(OR(AT202&gt;8,AT202&lt;-8),"PH",
IF(OR(AT202&gt;5,AT202&lt;-5),"PHQ",
IF(OR(AT202&gt;1,AT202&lt;-1),
"PHC","")))</f>
        <v>PHC</v>
      </c>
      <c r="AD202" s="449"/>
      <c r="AE202" s="449"/>
      <c r="AF202" s="4"/>
      <c r="AG202" s="83"/>
      <c r="AH202" s="4"/>
      <c r="AI202" s="4"/>
      <c r="AJ202" s="449"/>
      <c r="AK202" s="449" t="s">
        <v>451</v>
      </c>
      <c r="AL202" s="449"/>
      <c r="AM202" s="449"/>
      <c r="AN202" s="10">
        <v>5.5</v>
      </c>
      <c r="AO202" s="9"/>
      <c r="AP202" s="9"/>
      <c r="AQ202" s="9"/>
      <c r="AR202" s="9"/>
      <c r="AS202" s="9"/>
      <c r="AT202" s="9">
        <f>+ab($T$202,$T$200,$T$204,$G$201,$G$203,-1*$F$202,1200)</f>
        <v>-4.7861529281530943</v>
      </c>
      <c r="AU202" s="428"/>
      <c r="AV202" s="428"/>
      <c r="AW202" s="449" t="s">
        <v>201</v>
      </c>
      <c r="AX202" s="449" t="s">
        <v>201</v>
      </c>
      <c r="AY202" s="10" t="str">
        <f>IF(L202="","",
IF(AX202="PT",VLOOKUP(L202,Foundation_Calc!$K$79:$R$113,VLOOKUP(AW202,Foundation_Calc!$I$2:$J$8,2,FALSE),0),
IF(AX202="K",VLOOKUP(L202,Foundation_Calc!$K$117:$R$151,VLOOKUP(AW202,Foundation_Calc!$I$2:$J$8,2,FALSE),0),"")))</f>
        <v/>
      </c>
      <c r="AZ202" s="10" t="str">
        <f>IF(K202="","",
IF(AX202="PT",VLOOKUP(K202,Foundation_Calc!$K$79:$R$113,VLOOKUP(AW202,Foundation_Calc!$I$2:$J$8,2,FALSE),0),
IF(AX202="K",VLOOKUP(K202,Foundation_Calc!$K$117:$R$151,VLOOKUP(AW202,Foundation_Calc!$I$2:$J$8,2,FALSE),0),"")))</f>
        <v/>
      </c>
      <c r="BA202" s="495" t="str">
        <f t="shared" si="20"/>
        <v/>
      </c>
      <c r="BB202" s="495" t="str">
        <f t="shared" si="21"/>
        <v/>
      </c>
      <c r="BC202" s="495" t="str">
        <f t="shared" si="22"/>
        <v/>
      </c>
      <c r="BD202" s="513"/>
      <c r="BE202" s="429" t="s">
        <v>118</v>
      </c>
      <c r="BF202" s="289"/>
      <c r="BG202" s="289"/>
      <c r="BH202" s="290"/>
      <c r="BI202" s="289"/>
    </row>
    <row r="203" spans="1:61" ht="16.149999999999999" customHeight="1">
      <c r="A203" s="518"/>
      <c r="B203" s="450"/>
      <c r="C203" s="3"/>
      <c r="D203" s="83"/>
      <c r="E203" s="4"/>
      <c r="F203" s="4"/>
      <c r="G203" s="6">
        <v>48</v>
      </c>
      <c r="H203" s="449"/>
      <c r="I203" s="4">
        <f>SUM(G185:G203)</f>
        <v>469.6</v>
      </c>
      <c r="J203" s="3"/>
      <c r="K203" s="449"/>
      <c r="L203" s="449"/>
      <c r="M203" s="449" t="str">
        <f>IF(L203="","",
IF(AX203="PT",VLOOKUP(L203,Foundation_Calc!$V$79:$X$113,VLOOKUP(AX203,Foundation_Calc!$I$10:$J$13,2,FALSE),0),
IF(AX203="K",VLOOKUP(L203,Foundation_Calc!$V$117:$X$151,VLOOKUP(AX203,Foundation_Calc!$I$10:$J$13,2,FALSE),0),"")))</f>
        <v/>
      </c>
      <c r="N203" s="449"/>
      <c r="O203" s="449"/>
      <c r="P203" s="449"/>
      <c r="Q203" s="4"/>
      <c r="R203" s="6"/>
      <c r="S203" s="6"/>
      <c r="T203" s="4"/>
      <c r="U203" s="4"/>
      <c r="V203" s="4"/>
      <c r="W203" s="572"/>
      <c r="X203" s="9"/>
      <c r="Y203" s="9"/>
      <c r="Z203" s="9"/>
      <c r="AA203" s="9"/>
      <c r="AB203" s="9"/>
      <c r="AC203" s="449" t="str">
        <f t="shared" si="29"/>
        <v/>
      </c>
      <c r="AD203" s="449"/>
      <c r="AE203" s="449"/>
      <c r="AF203" s="4"/>
      <c r="AG203" s="83"/>
      <c r="AH203" s="4"/>
      <c r="AI203" s="4"/>
      <c r="AJ203" s="449"/>
      <c r="AK203" s="449" t="s">
        <v>1015</v>
      </c>
      <c r="AL203" s="449"/>
      <c r="AM203" s="449"/>
      <c r="AN203" s="10"/>
      <c r="AO203" s="9"/>
      <c r="AP203" s="9"/>
      <c r="AQ203" s="9">
        <f>+FL_2($T$204,$T$202,$G$203,1200,9.28,-1*$F$204)</f>
        <v>-0.35785105955262286</v>
      </c>
      <c r="AR203" s="9"/>
      <c r="AS203" s="9"/>
      <c r="AT203" s="9"/>
      <c r="AU203" s="428"/>
      <c r="AV203" s="428"/>
      <c r="AW203" s="449"/>
      <c r="AX203" s="449"/>
      <c r="AY203" s="10" t="str">
        <f>IF(L203="","",
IF(AX203="PT",VLOOKUP(L203,Foundation_Calc!$K$79:$R$113,VLOOKUP(AW203,Foundation_Calc!$I$2:$J$8,2,FALSE),0),
IF(AX203="K",VLOOKUP(L203,Foundation_Calc!$K$117:$R$151,VLOOKUP(AW203,Foundation_Calc!$I$2:$J$8,2,FALSE),0),"")))</f>
        <v/>
      </c>
      <c r="AZ203" s="10" t="str">
        <f>IF(K203="","",
IF(AX203="PT",VLOOKUP(K203,Foundation_Calc!$K$79:$R$113,VLOOKUP(AW203,Foundation_Calc!$I$2:$J$8,2,FALSE),0),
IF(AX203="K",VLOOKUP(K203,Foundation_Calc!$K$117:$R$151,VLOOKUP(AW203,Foundation_Calc!$I$2:$J$8,2,FALSE),0),"")))</f>
        <v/>
      </c>
      <c r="BA203" s="495" t="str">
        <f t="shared" si="20"/>
        <v/>
      </c>
      <c r="BB203" s="495" t="str">
        <f t="shared" si="21"/>
        <v/>
      </c>
      <c r="BC203" s="495" t="str">
        <f t="shared" si="22"/>
        <v/>
      </c>
      <c r="BD203" s="513" t="str">
        <f>IF(AND(L203="",H203=""),"",
IF(H203="",Pole_Calc!A$9,
IF(H203="MP",Pole_Calc!A$10,
IF(H203="AnMP",Pole_Calc!A$11,
IF(H203="A",Pole_Calc!A$12,
IF(H203="S/A",Pole_Calc!A$13,
IF(H203="A/S",Pole_Calc!A$14,"Poner a mano")))))))</f>
        <v/>
      </c>
      <c r="BE203" s="429" t="s">
        <v>118</v>
      </c>
      <c r="BF203" s="290"/>
      <c r="BG203" s="290"/>
      <c r="BH203" s="290"/>
      <c r="BI203" s="290"/>
    </row>
    <row r="204" spans="1:61" ht="16.149999999999999" customHeight="1">
      <c r="A204" s="514"/>
      <c r="B204" s="450" t="s">
        <v>1040</v>
      </c>
      <c r="C204" s="3">
        <f>+$C$202+$G$203</f>
        <v>35125.35</v>
      </c>
      <c r="D204" s="83"/>
      <c r="E204" s="4"/>
      <c r="F204" s="4">
        <v>1746.9244971333583</v>
      </c>
      <c r="G204" s="6"/>
      <c r="H204" s="449" t="s">
        <v>171</v>
      </c>
      <c r="I204" s="4"/>
      <c r="J204" s="3"/>
      <c r="K204" s="449"/>
      <c r="L204" s="449" t="s">
        <v>201</v>
      </c>
      <c r="M204" s="449" t="str">
        <f>IF(L204="","",
IF(AX204="PT",VLOOKUP(L204,Foundation_Calc!$V$79:$X$113,VLOOKUP(AX204,Foundation_Calc!$I$10:$J$13,2,FALSE),0),
IF(AX204="K",VLOOKUP(L204,Foundation_Calc!$V$117:$X$151,VLOOKUP(AX204,Foundation_Calc!$I$10:$J$13,2,FALSE),0),"")))</f>
        <v/>
      </c>
      <c r="N204" s="553" t="s">
        <v>343</v>
      </c>
      <c r="O204" s="449"/>
      <c r="P204" s="449"/>
      <c r="Q204" s="4"/>
      <c r="R204" s="6"/>
      <c r="S204" s="6"/>
      <c r="T204" s="4">
        <v>-30</v>
      </c>
      <c r="U204" s="4"/>
      <c r="V204" s="4"/>
      <c r="W204" s="9">
        <v>1.4</v>
      </c>
      <c r="X204" s="572"/>
      <c r="Y204" s="9"/>
      <c r="Z204" s="9"/>
      <c r="AA204" s="9"/>
      <c r="AB204" s="9"/>
      <c r="AC204" s="449" t="str">
        <f t="shared" si="29"/>
        <v>PHC</v>
      </c>
      <c r="AD204" s="449"/>
      <c r="AE204" s="449"/>
      <c r="AF204" s="4"/>
      <c r="AG204" s="83"/>
      <c r="AH204" s="4"/>
      <c r="AI204" s="4"/>
      <c r="AJ204" s="449"/>
      <c r="AK204" s="449" t="s">
        <v>451</v>
      </c>
      <c r="AL204" s="449"/>
      <c r="AM204" s="449"/>
      <c r="AN204" s="10">
        <v>5.5</v>
      </c>
      <c r="AO204" s="9"/>
      <c r="AP204" s="9"/>
      <c r="AQ204" s="9"/>
      <c r="AR204" s="9"/>
      <c r="AS204" s="9"/>
      <c r="AT204" s="9">
        <f>+ab($T$204,$T$202,$T$206,$G$203,$G$205,-1*$F$204,1200)</f>
        <v>-4.7899247993313931</v>
      </c>
      <c r="AU204" s="428"/>
      <c r="AV204" s="428"/>
      <c r="AW204" s="449" t="s">
        <v>201</v>
      </c>
      <c r="AX204" s="449" t="s">
        <v>201</v>
      </c>
      <c r="AY204" s="10" t="str">
        <f>IF(L204="","",
IF(AX204="PT",VLOOKUP(L204,Foundation_Calc!$K$79:$R$113,VLOOKUP(AW204,Foundation_Calc!$I$2:$J$8,2,FALSE),0),
IF(AX204="K",VLOOKUP(L204,Foundation_Calc!$K$117:$R$151,VLOOKUP(AW204,Foundation_Calc!$I$2:$J$8,2,FALSE),0),"")))</f>
        <v/>
      </c>
      <c r="AZ204" s="10" t="str">
        <f>IF(K204="","",
IF(AX204="PT",VLOOKUP(K204,Foundation_Calc!$K$79:$R$113,VLOOKUP(AW204,Foundation_Calc!$I$2:$J$8,2,FALSE),0),
IF(AX204="K",VLOOKUP(K204,Foundation_Calc!$K$117:$R$151,VLOOKUP(AW204,Foundation_Calc!$I$2:$J$8,2,FALSE),0),"")))</f>
        <v/>
      </c>
      <c r="BA204" s="495" t="str">
        <f t="shared" si="20"/>
        <v/>
      </c>
      <c r="BB204" s="495" t="str">
        <f t="shared" si="21"/>
        <v/>
      </c>
      <c r="BC204" s="495" t="str">
        <f t="shared" si="22"/>
        <v/>
      </c>
      <c r="BD204" s="513"/>
      <c r="BE204" s="429" t="s">
        <v>118</v>
      </c>
      <c r="BF204" s="289"/>
      <c r="BG204" s="289"/>
      <c r="BH204" s="290"/>
      <c r="BI204" s="289"/>
    </row>
    <row r="205" spans="1:61" ht="16.149999999999999" customHeight="1">
      <c r="A205" s="517"/>
      <c r="B205" s="450"/>
      <c r="C205" s="3"/>
      <c r="D205" s="83"/>
      <c r="E205" s="4"/>
      <c r="F205" s="4"/>
      <c r="G205" s="6">
        <v>44</v>
      </c>
      <c r="H205" s="449"/>
      <c r="I205" s="4">
        <f>SUM(G205:G225)</f>
        <v>500.8</v>
      </c>
      <c r="J205" s="3"/>
      <c r="K205" s="449"/>
      <c r="L205" s="449"/>
      <c r="M205" s="449" t="str">
        <f>IF(L205="","",
IF(AX205="PT",VLOOKUP(L205,Foundation_Calc!$V$79:$X$113,VLOOKUP(AX205,Foundation_Calc!$I$10:$J$13,2,FALSE),0),
IF(AX205="K",VLOOKUP(L205,Foundation_Calc!$V$117:$X$151,VLOOKUP(AX205,Foundation_Calc!$I$10:$J$13,2,FALSE),0),"")))</f>
        <v/>
      </c>
      <c r="N205" s="449"/>
      <c r="O205" s="449"/>
      <c r="P205" s="449"/>
      <c r="Q205" s="4"/>
      <c r="R205" s="6"/>
      <c r="S205" s="6"/>
      <c r="T205" s="4"/>
      <c r="U205" s="4"/>
      <c r="V205" s="4"/>
      <c r="W205" s="572"/>
      <c r="X205" s="9"/>
      <c r="Y205" s="9"/>
      <c r="Z205" s="9"/>
      <c r="AA205" s="9"/>
      <c r="AB205" s="9"/>
      <c r="AC205" s="449" t="str">
        <f t="shared" si="29"/>
        <v/>
      </c>
      <c r="AD205" s="449"/>
      <c r="AE205" s="449"/>
      <c r="AF205" s="4"/>
      <c r="AG205" s="83"/>
      <c r="AH205" s="4"/>
      <c r="AI205" s="4"/>
      <c r="AJ205" s="449"/>
      <c r="AK205" s="449" t="s">
        <v>1015</v>
      </c>
      <c r="AL205" s="449"/>
      <c r="AM205" s="449"/>
      <c r="AN205" s="10"/>
      <c r="AO205" s="9"/>
      <c r="AP205" s="9"/>
      <c r="AQ205" s="9">
        <f>+FL_1($T$206,$T$204,$G$205,1200,9.28,-1*$F$206)</f>
        <v>0.35089173751451558</v>
      </c>
      <c r="AR205" s="9"/>
      <c r="AS205" s="9"/>
      <c r="AT205" s="9"/>
      <c r="AU205" s="428"/>
      <c r="AV205" s="428"/>
      <c r="AW205" s="449"/>
      <c r="AX205" s="449"/>
      <c r="AY205" s="10" t="str">
        <f>IF(L205="","",
IF(AX205="PT",VLOOKUP(L205,Foundation_Calc!$K$79:$R$113,VLOOKUP(AW205,Foundation_Calc!$I$2:$J$8,2,FALSE),0),
IF(AX205="K",VLOOKUP(L205,Foundation_Calc!$K$117:$R$151,VLOOKUP(AW205,Foundation_Calc!$I$2:$J$8,2,FALSE),0),"")))</f>
        <v/>
      </c>
      <c r="AZ205" s="10" t="str">
        <f>IF(K205="","",
IF(AX205="PT",VLOOKUP(K205,Foundation_Calc!$K$79:$R$113,VLOOKUP(AW205,Foundation_Calc!$I$2:$J$8,2,FALSE),0),
IF(AX205="K",VLOOKUP(K205,Foundation_Calc!$K$117:$R$151,VLOOKUP(AW205,Foundation_Calc!$I$2:$J$8,2,FALSE),0),"")))</f>
        <v/>
      </c>
      <c r="BA205" s="495" t="str">
        <f t="shared" si="20"/>
        <v/>
      </c>
      <c r="BB205" s="495" t="str">
        <f t="shared" si="21"/>
        <v/>
      </c>
      <c r="BC205" s="495" t="str">
        <f t="shared" si="22"/>
        <v/>
      </c>
      <c r="BD205" s="513" t="str">
        <f>IF(AND(L205="",H205=""),"",
IF(H205="",Pole_Calc!A$9,
IF(H205="MP",Pole_Calc!A$10,
IF(H205="AnMP",Pole_Calc!A$11,
IF(H205="A",Pole_Calc!A$12,
IF(H205="S/A",Pole_Calc!A$13,
IF(H205="A/S",Pole_Calc!A$14,"Poner a mano")))))))</f>
        <v/>
      </c>
      <c r="BE205" s="429" t="s">
        <v>118</v>
      </c>
      <c r="BF205" s="290"/>
      <c r="BG205" s="290"/>
      <c r="BH205" s="290"/>
      <c r="BI205" s="290"/>
    </row>
    <row r="206" spans="1:61" ht="16.149999999999999" customHeight="1">
      <c r="A206" s="514"/>
      <c r="B206" s="450" t="s">
        <v>1041</v>
      </c>
      <c r="C206" s="3">
        <f>+$C$204+$G$205</f>
        <v>35169.35</v>
      </c>
      <c r="D206" s="83"/>
      <c r="E206" s="4"/>
      <c r="F206" s="4">
        <v>3051.7059921912978</v>
      </c>
      <c r="G206" s="6"/>
      <c r="H206" s="449"/>
      <c r="I206" s="4"/>
      <c r="J206" s="3"/>
      <c r="K206" s="449"/>
      <c r="L206" s="449" t="s">
        <v>201</v>
      </c>
      <c r="M206" s="449" t="str">
        <f>IF(L206="","",
IF(AX206="PT",VLOOKUP(L206,Foundation_Calc!$V$79:$X$113,VLOOKUP(AX206,Foundation_Calc!$I$10:$J$13,2,FALSE),0),
IF(AX206="K",VLOOKUP(L206,Foundation_Calc!$V$117:$X$151,VLOOKUP(AX206,Foundation_Calc!$I$10:$J$13,2,FALSE),0),"")))</f>
        <v/>
      </c>
      <c r="N206" s="553" t="s">
        <v>453</v>
      </c>
      <c r="O206" s="449"/>
      <c r="P206" s="449"/>
      <c r="Q206" s="4"/>
      <c r="R206" s="6"/>
      <c r="S206" s="6"/>
      <c r="T206" s="4">
        <v>30</v>
      </c>
      <c r="U206" s="4"/>
      <c r="V206" s="4"/>
      <c r="W206" s="9">
        <v>1.4</v>
      </c>
      <c r="X206" s="572"/>
      <c r="Y206" s="9"/>
      <c r="Z206" s="9"/>
      <c r="AA206" s="9"/>
      <c r="AB206" s="9"/>
      <c r="AC206" s="449" t="str">
        <f t="shared" ref="AC206" si="31">IF(OR(AT206&gt;8,AT206&lt;-8),"PH",
IF(OR(AT206&gt;5,AT206&lt;-5),"PHQ",
IF(OR(AT206&gt;1,AT206&lt;-1),
"PHC","")))</f>
        <v>PH</v>
      </c>
      <c r="AD206" s="449"/>
      <c r="AE206" s="449"/>
      <c r="AF206" s="4"/>
      <c r="AG206" s="83"/>
      <c r="AH206" s="4"/>
      <c r="AI206" s="4"/>
      <c r="AJ206" s="449"/>
      <c r="AK206" s="449" t="s">
        <v>451</v>
      </c>
      <c r="AL206" s="449"/>
      <c r="AM206" s="449"/>
      <c r="AN206" s="10">
        <v>5.5</v>
      </c>
      <c r="AO206" s="9"/>
      <c r="AP206" s="9"/>
      <c r="AQ206" s="9"/>
      <c r="AR206" s="9"/>
      <c r="AS206" s="9"/>
      <c r="AT206" s="9">
        <f>+ab($T$206,$T$204,$T$208,$G$205,$G$207,-1*$F$206,1200)</f>
        <v>13.462181146711261</v>
      </c>
      <c r="AU206" s="428"/>
      <c r="AV206" s="428"/>
      <c r="AW206" s="449" t="s">
        <v>201</v>
      </c>
      <c r="AX206" s="449" t="s">
        <v>201</v>
      </c>
      <c r="AY206" s="10" t="str">
        <f>IF(L206="","",
IF(AX206="PT",VLOOKUP(L206,Foundation_Calc!$K$79:$R$113,VLOOKUP(AW206,Foundation_Calc!$I$2:$J$8,2,FALSE),0),
IF(AX206="K",VLOOKUP(L206,Foundation_Calc!$K$117:$R$151,VLOOKUP(AW206,Foundation_Calc!$I$2:$J$8,2,FALSE),0),"")))</f>
        <v/>
      </c>
      <c r="AZ206" s="10" t="str">
        <f>IF(K206="","",
IF(AX206="PT",VLOOKUP(K206,Foundation_Calc!$K$79:$R$113,VLOOKUP(AW206,Foundation_Calc!$I$2:$J$8,2,FALSE),0),
IF(AX206="K",VLOOKUP(K206,Foundation_Calc!$K$117:$R$151,VLOOKUP(AW206,Foundation_Calc!$I$2:$J$8,2,FALSE),0),"")))</f>
        <v/>
      </c>
      <c r="BA206" s="495" t="str">
        <f t="shared" si="20"/>
        <v/>
      </c>
      <c r="BB206" s="495" t="str">
        <f t="shared" si="21"/>
        <v/>
      </c>
      <c r="BC206" s="495" t="str">
        <f t="shared" si="22"/>
        <v/>
      </c>
      <c r="BD206" s="513"/>
      <c r="BE206" s="429" t="s">
        <v>118</v>
      </c>
      <c r="BF206" s="289"/>
      <c r="BG206" s="289"/>
      <c r="BH206" s="290"/>
      <c r="BI206" s="289"/>
    </row>
    <row r="207" spans="1:61" ht="16.149999999999999" customHeight="1">
      <c r="A207" s="514" t="s">
        <v>169</v>
      </c>
      <c r="B207" s="450"/>
      <c r="C207" s="3"/>
      <c r="D207" s="83"/>
      <c r="E207" s="4"/>
      <c r="F207" s="4"/>
      <c r="G207" s="6">
        <v>44</v>
      </c>
      <c r="H207" s="449"/>
      <c r="I207" s="4"/>
      <c r="J207" s="3"/>
      <c r="K207" s="449"/>
      <c r="L207" s="449"/>
      <c r="M207" s="449" t="str">
        <f>IF(L207="","",
IF(AX207="PT",VLOOKUP(L207,Foundation_Calc!$V$79:$X$113,VLOOKUP(AX207,Foundation_Calc!$I$10:$J$13,2,FALSE),0),
IF(AX207="K",VLOOKUP(L207,Foundation_Calc!$V$117:$X$151,VLOOKUP(AX207,Foundation_Calc!$I$10:$J$13,2,FALSE),0),"")))</f>
        <v/>
      </c>
      <c r="N207" s="449"/>
      <c r="O207" s="449"/>
      <c r="P207" s="449"/>
      <c r="Q207" s="4"/>
      <c r="R207" s="6"/>
      <c r="S207" s="6"/>
      <c r="T207" s="4"/>
      <c r="U207" s="4"/>
      <c r="V207" s="4"/>
      <c r="W207" s="9"/>
      <c r="X207" s="9"/>
      <c r="Y207" s="9"/>
      <c r="Z207" s="9"/>
      <c r="AA207" s="9"/>
      <c r="AB207" s="9"/>
      <c r="AC207" s="449" t="str">
        <f t="shared" si="29"/>
        <v/>
      </c>
      <c r="AD207" s="449"/>
      <c r="AE207" s="449"/>
      <c r="AF207" s="4"/>
      <c r="AG207" s="83"/>
      <c r="AH207" s="4"/>
      <c r="AI207" s="4"/>
      <c r="AJ207" s="449"/>
      <c r="AK207" s="449"/>
      <c r="AL207" s="449"/>
      <c r="AM207" s="449"/>
      <c r="AN207" s="10"/>
      <c r="AO207" s="9"/>
      <c r="AP207" s="9"/>
      <c r="AQ207" s="9">
        <f>+FL_2($T$208,$T$206,$G$207,1200,9.28,-1*$F$208)</f>
        <v>-0.35012532979558691</v>
      </c>
      <c r="AR207" s="9"/>
      <c r="AS207" s="9"/>
      <c r="AT207" s="9"/>
      <c r="AU207" s="428"/>
      <c r="AV207" s="428"/>
      <c r="AW207" s="449"/>
      <c r="AX207" s="449"/>
      <c r="AY207" s="10" t="str">
        <f>IF(L207="","",
IF(AX207="PT",VLOOKUP(L207,Foundation_Calc!$K$79:$R$113,VLOOKUP(AW207,Foundation_Calc!$I$2:$J$8,2,FALSE),0),
IF(AX207="K",VLOOKUP(L207,Foundation_Calc!$K$117:$R$151,VLOOKUP(AW207,Foundation_Calc!$I$2:$J$8,2,FALSE),0),"")))</f>
        <v/>
      </c>
      <c r="AZ207" s="10" t="str">
        <f>IF(K207="","",
IF(AX207="PT",VLOOKUP(K207,Foundation_Calc!$K$79:$R$113,VLOOKUP(AW207,Foundation_Calc!$I$2:$J$8,2,FALSE),0),
IF(AX207="K",VLOOKUP(K207,Foundation_Calc!$K$117:$R$151,VLOOKUP(AW207,Foundation_Calc!$I$2:$J$8,2,FALSE),0),"")))</f>
        <v/>
      </c>
      <c r="BA207" s="495" t="str">
        <f t="shared" si="20"/>
        <v/>
      </c>
      <c r="BB207" s="495" t="str">
        <f t="shared" si="21"/>
        <v/>
      </c>
      <c r="BC207" s="495" t="str">
        <f t="shared" si="22"/>
        <v/>
      </c>
      <c r="BD207" s="513" t="str">
        <f>IF(AND(L207="",H207=""),"",
IF(H207="",Pole_Calc!A$9,
IF(H207="MP",Pole_Calc!A$10,
IF(H207="AnMP",Pole_Calc!A$11,
IF(H207="A",Pole_Calc!A$12,
IF(H207="S/A",Pole_Calc!A$13,
IF(H207="A/S",Pole_Calc!A$14,"Poner a mano")))))))</f>
        <v/>
      </c>
      <c r="BE207" s="429" t="s">
        <v>118</v>
      </c>
      <c r="BF207" s="290"/>
      <c r="BG207" s="290"/>
      <c r="BH207" s="290"/>
      <c r="BI207" s="290"/>
    </row>
    <row r="208" spans="1:61" ht="16.149999999999999" customHeight="1">
      <c r="A208" s="514"/>
      <c r="B208" s="450" t="s">
        <v>1042</v>
      </c>
      <c r="C208" s="3">
        <f>+$C$206+$G$207</f>
        <v>35213.35</v>
      </c>
      <c r="D208" s="83"/>
      <c r="E208" s="4"/>
      <c r="F208" s="4">
        <v>12057.411133464648</v>
      </c>
      <c r="G208" s="6"/>
      <c r="H208" s="449"/>
      <c r="I208" s="4"/>
      <c r="J208" s="3"/>
      <c r="K208" s="449"/>
      <c r="L208" s="449" t="s">
        <v>201</v>
      </c>
      <c r="M208" s="449" t="str">
        <f>IF(L208="","",
IF(AX208="PT",VLOOKUP(L208,Foundation_Calc!$V$79:$X$113,VLOOKUP(AX208,Foundation_Calc!$I$10:$J$13,2,FALSE),0),
IF(AX208="K",VLOOKUP(L208,Foundation_Calc!$V$117:$X$151,VLOOKUP(AX208,Foundation_Calc!$I$10:$J$13,2,FALSE),0),"")))</f>
        <v/>
      </c>
      <c r="N208" s="553" t="s">
        <v>343</v>
      </c>
      <c r="O208" s="449"/>
      <c r="P208" s="449"/>
      <c r="Q208" s="4"/>
      <c r="R208" s="6"/>
      <c r="S208" s="6"/>
      <c r="T208" s="4">
        <v>-35</v>
      </c>
      <c r="U208" s="4"/>
      <c r="V208" s="4"/>
      <c r="W208" s="9">
        <v>1.4</v>
      </c>
      <c r="X208" s="572"/>
      <c r="Y208" s="9"/>
      <c r="Z208" s="9"/>
      <c r="AA208" s="9"/>
      <c r="AB208" s="9"/>
      <c r="AC208" s="449" t="str">
        <f t="shared" si="29"/>
        <v>PHQ</v>
      </c>
      <c r="AD208" s="449"/>
      <c r="AE208" s="449"/>
      <c r="AF208" s="4"/>
      <c r="AG208" s="83"/>
      <c r="AH208" s="4"/>
      <c r="AI208" s="4"/>
      <c r="AJ208" s="449"/>
      <c r="AK208" s="449" t="s">
        <v>451</v>
      </c>
      <c r="AL208" s="449"/>
      <c r="AM208" s="449"/>
      <c r="AN208" s="10">
        <v>5.5</v>
      </c>
      <c r="AO208" s="9"/>
      <c r="AP208" s="9"/>
      <c r="AQ208" s="9"/>
      <c r="AR208" s="9"/>
      <c r="AS208" s="9"/>
      <c r="AT208" s="9">
        <f>+ab($T$208,$T$206,$U$210,$G$207,$G$209,-1*$F$208,1200)</f>
        <v>-5.2355240952015096</v>
      </c>
      <c r="AU208" s="428"/>
      <c r="AV208" s="428"/>
      <c r="AW208" s="449" t="s">
        <v>201</v>
      </c>
      <c r="AX208" s="449" t="s">
        <v>201</v>
      </c>
      <c r="AY208" s="10" t="str">
        <f>IF(L208="","",
IF(AX208="PT",VLOOKUP(L208,Foundation_Calc!$K$79:$R$113,VLOOKUP(AW208,Foundation_Calc!$I$2:$J$8,2,FALSE),0),
IF(AX208="K",VLOOKUP(L208,Foundation_Calc!$K$117:$R$151,VLOOKUP(AW208,Foundation_Calc!$I$2:$J$8,2,FALSE),0),"")))</f>
        <v/>
      </c>
      <c r="AZ208" s="10" t="str">
        <f>IF(K208="","",
IF(AX208="PT",VLOOKUP(K208,Foundation_Calc!$K$79:$R$113,VLOOKUP(AW208,Foundation_Calc!$I$2:$J$8,2,FALSE),0),
IF(AX208="K",VLOOKUP(K208,Foundation_Calc!$K$117:$R$151,VLOOKUP(AW208,Foundation_Calc!$I$2:$J$8,2,FALSE),0),"")))</f>
        <v/>
      </c>
      <c r="BA208" s="495" t="str">
        <f t="shared" si="20"/>
        <v/>
      </c>
      <c r="BB208" s="495" t="str">
        <f t="shared" si="21"/>
        <v/>
      </c>
      <c r="BC208" s="495" t="str">
        <f t="shared" si="22"/>
        <v/>
      </c>
      <c r="BD208" s="513"/>
      <c r="BE208" s="429" t="s">
        <v>118</v>
      </c>
      <c r="BF208" s="289"/>
      <c r="BG208" s="289"/>
      <c r="BH208" s="290"/>
      <c r="BI208" s="289"/>
    </row>
    <row r="209" spans="1:61" ht="16.149999999999999" customHeight="1">
      <c r="A209" s="514"/>
      <c r="B209" s="450"/>
      <c r="C209" s="3"/>
      <c r="D209" s="83"/>
      <c r="E209" s="4"/>
      <c r="F209" s="4"/>
      <c r="G209" s="6">
        <v>38.1</v>
      </c>
      <c r="H209" s="449"/>
      <c r="I209" s="4"/>
      <c r="J209" s="3"/>
      <c r="K209" s="449"/>
      <c r="L209" s="449"/>
      <c r="M209" s="449" t="str">
        <f>IF(L209="","",
IF(AX209="PT",VLOOKUP(L209,Foundation_Calc!$V$79:$X$113,VLOOKUP(AX209,Foundation_Calc!$I$10:$J$13,2,FALSE),0),
IF(AX209="K",VLOOKUP(L209,Foundation_Calc!$V$117:$X$151,VLOOKUP(AX209,Foundation_Calc!$I$10:$J$13,2,FALSE),0),"")))</f>
        <v/>
      </c>
      <c r="N209" s="449"/>
      <c r="O209" s="449"/>
      <c r="P209" s="449"/>
      <c r="Q209" s="4"/>
      <c r="R209" s="6"/>
      <c r="S209" s="6"/>
      <c r="T209" s="4"/>
      <c r="U209" s="4"/>
      <c r="V209" s="4"/>
      <c r="W209" s="9"/>
      <c r="X209" s="9"/>
      <c r="Y209" s="9"/>
      <c r="Z209" s="9"/>
      <c r="AA209" s="9"/>
      <c r="AB209" s="9"/>
      <c r="AC209" s="449" t="str">
        <f t="shared" si="29"/>
        <v/>
      </c>
      <c r="AD209" s="449"/>
      <c r="AE209" s="449"/>
      <c r="AF209" s="4"/>
      <c r="AG209" s="83"/>
      <c r="AH209" s="4"/>
      <c r="AI209" s="4"/>
      <c r="AJ209" s="449"/>
      <c r="AK209" s="449"/>
      <c r="AL209" s="449"/>
      <c r="AM209" s="449"/>
      <c r="AN209" s="10"/>
      <c r="AO209" s="9"/>
      <c r="AP209" s="9"/>
      <c r="AQ209" s="9">
        <f>+FL_1($U$210,$T$208,$G$209,1200,9.28,-1*$F$210)</f>
        <v>0.35</v>
      </c>
      <c r="AR209" s="9"/>
      <c r="AS209" s="9"/>
      <c r="AT209" s="9"/>
      <c r="AU209" s="428"/>
      <c r="AV209" s="428"/>
      <c r="AW209" s="449"/>
      <c r="AX209" s="449"/>
      <c r="AY209" s="10" t="str">
        <f>IF(L209="","",
IF(AX209="PT",VLOOKUP(L209,Foundation_Calc!$K$79:$R$113,VLOOKUP(AW209,Foundation_Calc!$I$2:$J$8,2,FALSE),0),
IF(AX209="K",VLOOKUP(L209,Foundation_Calc!$K$117:$R$151,VLOOKUP(AW209,Foundation_Calc!$I$2:$J$8,2,FALSE),0),"")))</f>
        <v/>
      </c>
      <c r="AZ209" s="10" t="str">
        <f>IF(K209="","",
IF(AX209="PT",VLOOKUP(K209,Foundation_Calc!$K$79:$R$113,VLOOKUP(AW209,Foundation_Calc!$I$2:$J$8,2,FALSE),0),
IF(AX209="K",VLOOKUP(K209,Foundation_Calc!$K$117:$R$151,VLOOKUP(AW209,Foundation_Calc!$I$2:$J$8,2,FALSE),0),"")))</f>
        <v/>
      </c>
      <c r="BA209" s="495" t="str">
        <f t="shared" si="20"/>
        <v/>
      </c>
      <c r="BB209" s="495" t="str">
        <f t="shared" si="21"/>
        <v/>
      </c>
      <c r="BC209" s="495" t="str">
        <f t="shared" si="22"/>
        <v/>
      </c>
      <c r="BD209" s="513" t="str">
        <f>IF(AND(L209="",H209=""),"",
IF(H209="",Pole_Calc!A$9,
IF(H209="MP",Pole_Calc!A$10,
IF(H209="AnMP",Pole_Calc!A$11,
IF(H209="A",Pole_Calc!A$12,
IF(H209="S/A",Pole_Calc!A$13,
IF(H209="A/S",Pole_Calc!A$14,"Poner a mano")))))))</f>
        <v/>
      </c>
      <c r="BE209" s="429" t="s">
        <v>118</v>
      </c>
      <c r="BF209" s="290"/>
      <c r="BG209" s="290"/>
      <c r="BH209" s="290"/>
      <c r="BI209" s="290"/>
    </row>
    <row r="210" spans="1:61" ht="16.149999999999999" customHeight="1">
      <c r="A210" s="514"/>
      <c r="B210" s="450" t="s">
        <v>1043</v>
      </c>
      <c r="C210" s="3">
        <f>+$C$208+$G$209</f>
        <v>35251.449999999997</v>
      </c>
      <c r="D210" s="83"/>
      <c r="E210" s="4"/>
      <c r="F210" s="4">
        <v>0</v>
      </c>
      <c r="G210" s="6"/>
      <c r="H210" s="4" t="s">
        <v>1011</v>
      </c>
      <c r="I210" s="4"/>
      <c r="J210" s="3"/>
      <c r="K210" s="449"/>
      <c r="L210" s="449" t="s">
        <v>201</v>
      </c>
      <c r="M210" s="449" t="str">
        <f>IF(L210="","",
IF(AX210="PT",VLOOKUP(L210,Foundation_Calc!$V$79:$X$113,VLOOKUP(AX210,Foundation_Calc!$I$10:$J$13,2,FALSE),0),
IF(AX210="K",VLOOKUP(L210,Foundation_Calc!$V$117:$X$151,VLOOKUP(AX210,Foundation_Calc!$I$10:$J$13,2,FALSE),0),"")))</f>
        <v/>
      </c>
      <c r="N210" s="575" t="s">
        <v>840</v>
      </c>
      <c r="O210" s="553" t="s">
        <v>453</v>
      </c>
      <c r="P210" s="575" t="s">
        <v>343</v>
      </c>
      <c r="Q210" s="4"/>
      <c r="R210" s="6"/>
      <c r="S210" s="6"/>
      <c r="T210" s="4">
        <v>55</v>
      </c>
      <c r="U210" s="4">
        <v>35</v>
      </c>
      <c r="V210" s="4">
        <v>20</v>
      </c>
      <c r="W210" s="9">
        <v>1.4</v>
      </c>
      <c r="X210" s="9">
        <v>1.8</v>
      </c>
      <c r="Y210" s="9">
        <v>2</v>
      </c>
      <c r="Z210" s="9">
        <v>0.35</v>
      </c>
      <c r="AA210" s="9"/>
      <c r="AB210" s="9"/>
      <c r="AC210" s="449"/>
      <c r="AD210" s="449"/>
      <c r="AE210" s="449"/>
      <c r="AF210" s="4"/>
      <c r="AG210" s="83"/>
      <c r="AH210" s="4"/>
      <c r="AI210" s="4"/>
      <c r="AJ210" s="449" t="s">
        <v>239</v>
      </c>
      <c r="AK210" s="449" t="s">
        <v>841</v>
      </c>
      <c r="AL210" s="449"/>
      <c r="AM210" s="449"/>
      <c r="AN210" s="10">
        <v>5.5</v>
      </c>
      <c r="AO210" s="9"/>
      <c r="AP210" s="9"/>
      <c r="AQ210" s="9"/>
      <c r="AR210" s="9"/>
      <c r="AS210" s="9"/>
      <c r="AT210" s="9">
        <f>+ab($U$210,$T$208,$U$212,$G$209,$G$211,-1*$F$210,1200)</f>
        <v>10.330985813555721</v>
      </c>
      <c r="AU210" s="428"/>
      <c r="AV210" s="428"/>
      <c r="AW210" s="449" t="s">
        <v>201</v>
      </c>
      <c r="AX210" s="449" t="s">
        <v>201</v>
      </c>
      <c r="AY210" s="10" t="str">
        <f>IF(L210="","",
IF(AX210="PT",VLOOKUP(L210,Foundation_Calc!$K$79:$R$113,VLOOKUP(AW210,Foundation_Calc!$I$2:$J$8,2,FALSE),0),
IF(AX210="K",VLOOKUP(L210,Foundation_Calc!$K$117:$R$151,VLOOKUP(AW210,Foundation_Calc!$I$2:$J$8,2,FALSE),0),"")))</f>
        <v/>
      </c>
      <c r="AZ210" s="10" t="str">
        <f>IF(K210="","",
IF(AX210="PT",VLOOKUP(K210,Foundation_Calc!$K$79:$R$113,VLOOKUP(AW210,Foundation_Calc!$I$2:$J$8,2,FALSE),0),
IF(AX210="K",VLOOKUP(K210,Foundation_Calc!$K$117:$R$151,VLOOKUP(AW210,Foundation_Calc!$I$2:$J$8,2,FALSE),0),"")))</f>
        <v/>
      </c>
      <c r="BA210" s="495" t="str">
        <f t="shared" si="20"/>
        <v/>
      </c>
      <c r="BB210" s="495" t="str">
        <f t="shared" si="21"/>
        <v/>
      </c>
      <c r="BC210" s="495" t="str">
        <f t="shared" si="22"/>
        <v/>
      </c>
      <c r="BD210" s="513"/>
      <c r="BE210" s="429" t="s">
        <v>118</v>
      </c>
      <c r="BF210" s="289"/>
      <c r="BG210" s="289"/>
      <c r="BH210" s="290"/>
      <c r="BI210" s="289"/>
    </row>
    <row r="211" spans="1:61" ht="16.149999999999999" customHeight="1">
      <c r="A211" s="514"/>
      <c r="B211" s="450"/>
      <c r="C211" s="3"/>
      <c r="D211" s="83"/>
      <c r="E211" s="4"/>
      <c r="F211" s="4"/>
      <c r="G211" s="6">
        <v>42.8</v>
      </c>
      <c r="H211" s="449"/>
      <c r="I211" s="4"/>
      <c r="J211" s="3"/>
      <c r="K211" s="449"/>
      <c r="L211" s="449"/>
      <c r="M211" s="449" t="str">
        <f>IF(L211="","",
IF(AX211="PT",VLOOKUP(L211,Foundation_Calc!$V$79:$X$113,VLOOKUP(AX211,Foundation_Calc!$I$10:$J$13,2,FALSE),0),
IF(AX211="K",VLOOKUP(L211,Foundation_Calc!$V$117:$X$151,VLOOKUP(AX211,Foundation_Calc!$I$10:$J$13,2,FALSE),0),"")))</f>
        <v/>
      </c>
      <c r="N211" s="449"/>
      <c r="O211" s="449"/>
      <c r="P211" s="449"/>
      <c r="Q211" s="4"/>
      <c r="R211" s="6"/>
      <c r="S211" s="6"/>
      <c r="T211" s="4"/>
      <c r="U211" s="4"/>
      <c r="V211" s="4"/>
      <c r="W211" s="9"/>
      <c r="X211" s="9"/>
      <c r="Y211" s="9"/>
      <c r="Z211" s="9"/>
      <c r="AA211" s="9"/>
      <c r="AB211" s="9"/>
      <c r="AC211" s="449" t="str">
        <f t="shared" si="29"/>
        <v/>
      </c>
      <c r="AD211" s="449"/>
      <c r="AE211" s="449"/>
      <c r="AF211" s="4"/>
      <c r="AG211" s="83"/>
      <c r="AH211" s="4"/>
      <c r="AI211" s="4"/>
      <c r="AJ211" s="449"/>
      <c r="AK211" s="449"/>
      <c r="AL211" s="449"/>
      <c r="AM211" s="449"/>
      <c r="AN211" s="10"/>
      <c r="AO211" s="9"/>
      <c r="AP211" s="9"/>
      <c r="AQ211" s="9">
        <f>+FL_1($U$212,$U$210,$G$211,1200,9.28,-1*$F$212)</f>
        <v>0.52707786666666656</v>
      </c>
      <c r="AR211" s="9"/>
      <c r="AS211" s="9"/>
      <c r="AT211" s="9"/>
      <c r="AU211" s="428"/>
      <c r="AV211" s="428"/>
      <c r="AW211" s="449" t="str">
        <f>IF(C211&gt;0,VLOOKUP(C211,Foundation_Calc!$A$2:$C$13,3,1),
IF(J211&gt;0,VLOOKUP(J211,Foundation_Calc!$A$2:$C$13,3,1),""))</f>
        <v/>
      </c>
      <c r="AX211" s="449" t="str">
        <f>IF(C211&gt;0,VLOOKUP(C211,Foundation_Calc!$E$35:$G$65,3,1),
IF(J211&gt;0,VLOOKUP(J211,Foundation_Calc!$E$35:$G$65,3,1),""))</f>
        <v/>
      </c>
      <c r="AY211" s="10" t="str">
        <f>IF(L211="","",
IF(AX211="PT",VLOOKUP(L211,Foundation_Calc!$K$79:$R$113,VLOOKUP(AW211,Foundation_Calc!$I$2:$J$8,2,FALSE),0),
IF(AX211="K",VLOOKUP(L211,Foundation_Calc!$K$117:$R$151,VLOOKUP(AW211,Foundation_Calc!$I$2:$J$8,2,FALSE),0),"")))</f>
        <v/>
      </c>
      <c r="AZ211" s="10" t="str">
        <f>IF(K211="","",
IF(AX211="PT",VLOOKUP(K211,Foundation_Calc!$K$79:$R$113,VLOOKUP(AW211,Foundation_Calc!$I$2:$J$8,2,FALSE),0),
IF(AX211="K",VLOOKUP(K211,Foundation_Calc!$K$117:$R$151,VLOOKUP(AW211,Foundation_Calc!$I$2:$J$8,2,FALSE),0),"")))</f>
        <v/>
      </c>
      <c r="BA211" s="495" t="str">
        <f t="shared" si="20"/>
        <v/>
      </c>
      <c r="BB211" s="495" t="str">
        <f t="shared" si="21"/>
        <v/>
      </c>
      <c r="BC211" s="495" t="str">
        <f t="shared" si="22"/>
        <v/>
      </c>
      <c r="BD211" s="513" t="str">
        <f>IF(AND(L211="",H211=""),"",
IF(H211="",Pole_Calc!A$9,
IF(H211="MP",Pole_Calc!A$10,
IF(H211="AnMP",Pole_Calc!A$11,
IF(H211="A",Pole_Calc!A$12,
IF(H211="S/A",Pole_Calc!A$13,
IF(H211="A/S",Pole_Calc!A$14,"Poner a mano")))))))</f>
        <v/>
      </c>
      <c r="BE211" s="429" t="s">
        <v>118</v>
      </c>
      <c r="BF211" s="290"/>
      <c r="BG211" s="290"/>
      <c r="BH211" s="290"/>
      <c r="BI211" s="290"/>
    </row>
    <row r="212" spans="1:61" ht="16.149999999999999" customHeight="1">
      <c r="A212" s="514"/>
      <c r="B212" s="450" t="s">
        <v>1044</v>
      </c>
      <c r="C212" s="3">
        <f>+$C$210+$G$211</f>
        <v>35294.25</v>
      </c>
      <c r="D212" s="83"/>
      <c r="E212" s="4"/>
      <c r="F212" s="4">
        <v>0</v>
      </c>
      <c r="G212" s="6"/>
      <c r="H212" s="449" t="s">
        <v>846</v>
      </c>
      <c r="I212" s="4"/>
      <c r="J212" s="3"/>
      <c r="K212" s="449"/>
      <c r="L212" s="449" t="s">
        <v>206</v>
      </c>
      <c r="M212" s="449" t="str">
        <f>IF(L212="","",
IF(AX212="PT",VLOOKUP(L212,Foundation_Calc!$V$79:$X$113,VLOOKUP(AX212,Foundation_Calc!$I$10:$J$13,2,FALSE),0),
IF(AX212="K",VLOOKUP(L212,Foundation_Calc!$V$117:$X$151,VLOOKUP(AX212,Foundation_Calc!$I$10:$J$13,2,FALSE),0),"")))</f>
        <v>2C4R</v>
      </c>
      <c r="N212" s="554" t="s">
        <v>124</v>
      </c>
      <c r="O212" s="449" t="s">
        <v>134</v>
      </c>
      <c r="P212" s="554" t="s">
        <v>133</v>
      </c>
      <c r="Q212" s="4"/>
      <c r="R212" s="6"/>
      <c r="S212" s="6"/>
      <c r="T212" s="4">
        <v>20</v>
      </c>
      <c r="U212" s="4">
        <v>35</v>
      </c>
      <c r="V212" s="4">
        <v>55</v>
      </c>
      <c r="W212" s="9">
        <v>2</v>
      </c>
      <c r="X212" s="9">
        <v>1.8</v>
      </c>
      <c r="Y212" s="9">
        <v>1.4</v>
      </c>
      <c r="Z212" s="9"/>
      <c r="AA212" s="9"/>
      <c r="AB212" s="9">
        <v>0.35</v>
      </c>
      <c r="AC212" s="449" t="str">
        <f t="shared" si="29"/>
        <v>PH</v>
      </c>
      <c r="AD212" s="449"/>
      <c r="AE212" s="449"/>
      <c r="AF212" s="4"/>
      <c r="AG212" s="83"/>
      <c r="AH212" s="4"/>
      <c r="AI212" s="4"/>
      <c r="AJ212" s="449"/>
      <c r="AK212" s="449"/>
      <c r="AL212" s="449"/>
      <c r="AM212" s="449" t="s">
        <v>126</v>
      </c>
      <c r="AN212" s="10">
        <v>5.5</v>
      </c>
      <c r="AO212" s="9"/>
      <c r="AP212" s="9"/>
      <c r="AQ212" s="9"/>
      <c r="AR212" s="9"/>
      <c r="AS212" s="9"/>
      <c r="AT212" s="9">
        <f>+ab($U$212,$U$210,$T$214,$G$211,$G$213, 1*$F$212,1200)</f>
        <v>14.048596957357022</v>
      </c>
      <c r="AU212" s="428"/>
      <c r="AV212" s="428"/>
      <c r="AW212" s="449" t="str">
        <f>IF(C212&gt;0,VLOOKUP(C212,Foundation_Calc!$A$2:$C$13,3,1),
IF(J212&gt;0,VLOOKUP(J212,Foundation_Calc!$A$2:$C$13,3,1),""))</f>
        <v>Multi Soil</v>
      </c>
      <c r="AX212" s="449" t="str">
        <f>IF(C212&gt;0,VLOOKUP(C212,Foundation_Calc!$E$35:$G$65,3,1),
IF(J212&gt;0,VLOOKUP(J212,Foundation_Calc!$E$35:$G$65,3,1),""))</f>
        <v>PT</v>
      </c>
      <c r="AY212" s="10">
        <f>IF(L212="","",
IF(AX212="PT",VLOOKUP(L212,Foundation_Calc!$K$79:$R$113,VLOOKUP(AW212,Foundation_Calc!$I$2:$J$8,2,FALSE),0),
IF(AX212="K",VLOOKUP(L212,Foundation_Calc!$K$117:$R$151,VLOOKUP(AW212,Foundation_Calc!$I$2:$J$8,2,FALSE),0),"")))</f>
        <v>4</v>
      </c>
      <c r="AZ212" s="10" t="str">
        <f>IF(K212="","",
IF(AX212="PT",VLOOKUP(K212,Foundation_Calc!$K$79:$R$113,VLOOKUP(AW212,Foundation_Calc!$I$2:$J$8,2,FALSE),0),
IF(AX212="K",VLOOKUP(K212,Foundation_Calc!$K$117:$R$151,VLOOKUP(AW212,Foundation_Calc!$I$2:$J$8,2,FALSE),0),"")))</f>
        <v/>
      </c>
      <c r="BA212" s="495" t="str">
        <f t="shared" si="20"/>
        <v>ü</v>
      </c>
      <c r="BB212" s="495" t="str">
        <f t="shared" si="21"/>
        <v/>
      </c>
      <c r="BC212" s="495" t="str">
        <f t="shared" si="22"/>
        <v/>
      </c>
      <c r="BD212" s="513" t="str">
        <f>Pole_Calc!A$13</f>
        <v>App.7-V11I-P9.5.1.5</v>
      </c>
      <c r="BE212" s="429" t="s">
        <v>118</v>
      </c>
      <c r="BF212" s="289"/>
      <c r="BG212" s="289"/>
      <c r="BH212" s="290"/>
      <c r="BI212" s="289"/>
    </row>
    <row r="213" spans="1:61" ht="16.149999999999999" customHeight="1">
      <c r="A213" s="514"/>
      <c r="B213" s="450"/>
      <c r="C213" s="3"/>
      <c r="D213" s="83"/>
      <c r="E213" s="4"/>
      <c r="F213" s="4"/>
      <c r="G213" s="6">
        <v>52.3</v>
      </c>
      <c r="H213" s="449"/>
      <c r="I213" s="4">
        <v>221</v>
      </c>
      <c r="J213" s="3"/>
      <c r="K213" s="449"/>
      <c r="L213" s="449"/>
      <c r="M213" s="449" t="str">
        <f>IF(L213="","",
IF(AX213="PT",VLOOKUP(L213,Foundation_Calc!$V$79:$X$113,VLOOKUP(AX213,Foundation_Calc!$I$10:$J$13,2,FALSE),0),
IF(AX213="K",VLOOKUP(L213,Foundation_Calc!$V$117:$X$151,VLOOKUP(AX213,Foundation_Calc!$I$10:$J$13,2,FALSE),0),"")))</f>
        <v/>
      </c>
      <c r="N213" s="449"/>
      <c r="O213" s="449"/>
      <c r="P213" s="449"/>
      <c r="Q213" s="4"/>
      <c r="R213" s="6"/>
      <c r="S213" s="6"/>
      <c r="T213" s="4"/>
      <c r="U213" s="4"/>
      <c r="V213" s="4"/>
      <c r="W213" s="9"/>
      <c r="X213" s="9"/>
      <c r="Y213" s="9"/>
      <c r="Z213" s="9"/>
      <c r="AA213" s="9"/>
      <c r="AB213" s="9"/>
      <c r="AC213" s="449" t="str">
        <f t="shared" si="29"/>
        <v/>
      </c>
      <c r="AD213" s="449"/>
      <c r="AE213" s="449"/>
      <c r="AF213" s="4"/>
      <c r="AG213" s="83"/>
      <c r="AH213" s="4"/>
      <c r="AI213" s="4"/>
      <c r="AJ213" s="449"/>
      <c r="AK213" s="449"/>
      <c r="AL213" s="449"/>
      <c r="AM213" s="449"/>
      <c r="AN213" s="10"/>
      <c r="AO213" s="9"/>
      <c r="AP213" s="9"/>
      <c r="AQ213" s="9">
        <f>+FL_2($T$214,$U$212,$G$213,1200,9.28, 1*$F$214)</f>
        <v>-0.38023467504907577</v>
      </c>
      <c r="AR213" s="9"/>
      <c r="AS213" s="9"/>
      <c r="AT213" s="9"/>
      <c r="AU213" s="428"/>
      <c r="AV213" s="428"/>
      <c r="AW213" s="449" t="str">
        <f>IF(C213&gt;0,VLOOKUP(C213,Foundation_Calc!$A$2:$C$13,3,1),
IF(J213&gt;0,VLOOKUP(J213,Foundation_Calc!$A$2:$C$13,3,1),""))</f>
        <v/>
      </c>
      <c r="AX213" s="449" t="str">
        <f>IF(C213&gt;0,VLOOKUP(C213,Foundation_Calc!$E$35:$G$65,3,1),
IF(J213&gt;0,VLOOKUP(J213,Foundation_Calc!$E$35:$G$65,3,1),""))</f>
        <v/>
      </c>
      <c r="AY213" s="10" t="str">
        <f>IF(L213="","",
IF(AX213="PT",VLOOKUP(L213,Foundation_Calc!$K$79:$R$113,VLOOKUP(AW213,Foundation_Calc!$I$2:$J$8,2,FALSE),0),
IF(AX213="K",VLOOKUP(L213,Foundation_Calc!$K$117:$R$151,VLOOKUP(AW213,Foundation_Calc!$I$2:$J$8,2,FALSE),0),"")))</f>
        <v/>
      </c>
      <c r="AZ213" s="10" t="str">
        <f>IF(K213="","",
IF(AX213="PT",VLOOKUP(K213,Foundation_Calc!$K$79:$R$113,VLOOKUP(AW213,Foundation_Calc!$I$2:$J$8,2,FALSE),0),
IF(AX213="K",VLOOKUP(K213,Foundation_Calc!$K$117:$R$151,VLOOKUP(AW213,Foundation_Calc!$I$2:$J$8,2,FALSE),0),"")))</f>
        <v/>
      </c>
      <c r="BA213" s="495" t="str">
        <f t="shared" si="20"/>
        <v/>
      </c>
      <c r="BB213" s="495" t="str">
        <f t="shared" si="21"/>
        <v/>
      </c>
      <c r="BC213" s="495" t="str">
        <f t="shared" si="22"/>
        <v/>
      </c>
      <c r="BD213" s="513" t="str">
        <f>IF(AND(L213="",H213=""),"",
IF(H213="",Pole_Calc!A$9,
IF(H213="MP",Pole_Calc!A$10,
IF(H213="AnMP",Pole_Calc!A$11,
IF(H213="A",Pole_Calc!A$12,
IF(H213="S/A",Pole_Calc!A$13,
IF(H213="A/S",Pole_Calc!A$14,"Poner a mano")))))))</f>
        <v/>
      </c>
      <c r="BE213" s="429" t="s">
        <v>118</v>
      </c>
      <c r="BF213" s="290"/>
      <c r="BG213" s="290"/>
      <c r="BH213" s="290"/>
      <c r="BI213" s="290"/>
    </row>
    <row r="214" spans="1:61" ht="16.149999999999999" customHeight="1">
      <c r="A214" s="514"/>
      <c r="B214" s="450" t="s">
        <v>1045</v>
      </c>
      <c r="C214" s="3">
        <f>+$C$212+$G$213</f>
        <v>35346.550000000003</v>
      </c>
      <c r="D214" s="83"/>
      <c r="E214" s="4"/>
      <c r="F214" s="4">
        <v>0</v>
      </c>
      <c r="G214" s="6"/>
      <c r="H214" s="449" t="s">
        <v>284</v>
      </c>
      <c r="I214" s="4" t="s">
        <v>122</v>
      </c>
      <c r="J214" s="3"/>
      <c r="K214" s="449"/>
      <c r="L214" s="449" t="s">
        <v>151</v>
      </c>
      <c r="M214" s="449" t="str">
        <f>IF(L214="","",
IF(AX214="PT",VLOOKUP(L214,Foundation_Calc!$V$79:$X$113,VLOOKUP(AX214,Foundation_Calc!$I$10:$J$13,2,FALSE),0),
IF(AX214="K",VLOOKUP(L214,Foundation_Calc!$V$117:$X$151,VLOOKUP(AX214,Foundation_Calc!$I$10:$J$13,2,FALSE),0),"")))</f>
        <v>C4R</v>
      </c>
      <c r="N214" s="449" t="s">
        <v>124</v>
      </c>
      <c r="O214" s="449"/>
      <c r="P214" s="449"/>
      <c r="Q214" s="4"/>
      <c r="R214" s="6"/>
      <c r="S214" s="6"/>
      <c r="T214" s="4">
        <v>-35</v>
      </c>
      <c r="U214" s="4"/>
      <c r="V214" s="4"/>
      <c r="W214" s="9">
        <v>1.4</v>
      </c>
      <c r="X214" s="9"/>
      <c r="Y214" s="9"/>
      <c r="Z214" s="9"/>
      <c r="AA214" s="9"/>
      <c r="AB214" s="9"/>
      <c r="AC214" s="449" t="str">
        <f t="shared" si="29"/>
        <v>PHQ</v>
      </c>
      <c r="AD214" s="449"/>
      <c r="AE214" s="449"/>
      <c r="AF214" s="4"/>
      <c r="AG214" s="83"/>
      <c r="AH214" s="4"/>
      <c r="AI214" s="4"/>
      <c r="AJ214" s="449"/>
      <c r="AK214" s="449"/>
      <c r="AL214" s="449"/>
      <c r="AM214" s="449" t="s">
        <v>126</v>
      </c>
      <c r="AN214" s="10">
        <v>5.5</v>
      </c>
      <c r="AO214" s="9"/>
      <c r="AP214" s="9"/>
      <c r="AQ214" s="9"/>
      <c r="AR214" s="9"/>
      <c r="AS214" s="9"/>
      <c r="AT214" s="9">
        <f>+ab($T$214,$U$212,$T$216,$G$213,$G$215, 1*$F$214,1200)</f>
        <v>-6.9727763449673184</v>
      </c>
      <c r="AU214" s="428"/>
      <c r="AV214" s="428"/>
      <c r="AW214" s="449" t="str">
        <f>IF(C214&gt;0,VLOOKUP(C214,Foundation_Calc!$A$2:$C$13,3,1),
IF(J214&gt;0,VLOOKUP(J214,Foundation_Calc!$A$2:$C$13,3,1),""))</f>
        <v>Multi Soil</v>
      </c>
      <c r="AX214" s="449" t="str">
        <f>IF(C214&gt;0,VLOOKUP(C214,Foundation_Calc!$E$35:$G$65,3,1),
IF(J214&gt;0,VLOOKUP(J214,Foundation_Calc!$E$35:$G$65,3,1),""))</f>
        <v>PT</v>
      </c>
      <c r="AY214" s="10">
        <f>IF(L214="","",
IF(AX214="PT",VLOOKUP(L214,Foundation_Calc!$K$79:$R$113,VLOOKUP(AW214,Foundation_Calc!$I$2:$J$8,2,FALSE),0),
IF(AX214="K",VLOOKUP(L214,Foundation_Calc!$K$117:$R$151,VLOOKUP(AW214,Foundation_Calc!$I$2:$J$8,2,FALSE),0),"")))</f>
        <v>3.5</v>
      </c>
      <c r="AZ214" s="10" t="str">
        <f>IF(K214="","",
IF(AX214="PT",VLOOKUP(K214,Foundation_Calc!$K$79:$R$113,VLOOKUP(AW214,Foundation_Calc!$I$2:$J$8,2,FALSE),0),
IF(AX214="K",VLOOKUP(K214,Foundation_Calc!$K$117:$R$151,VLOOKUP(AW214,Foundation_Calc!$I$2:$J$8,2,FALSE),0),"")))</f>
        <v/>
      </c>
      <c r="BA214" s="495" t="str">
        <f t="shared" si="20"/>
        <v>ü</v>
      </c>
      <c r="BB214" s="495" t="str">
        <f t="shared" si="21"/>
        <v/>
      </c>
      <c r="BC214" s="495" t="str">
        <f t="shared" si="22"/>
        <v/>
      </c>
      <c r="BD214" s="513" t="str">
        <f>Pole_Calc!A$14</f>
        <v>App.7-V11I-P9.5.1.6</v>
      </c>
      <c r="BE214" s="429" t="s">
        <v>118</v>
      </c>
      <c r="BF214" s="289"/>
      <c r="BG214" s="289"/>
      <c r="BH214" s="290"/>
      <c r="BI214" s="289"/>
    </row>
    <row r="215" spans="1:61" ht="16.149999999999999" customHeight="1">
      <c r="A215" s="514"/>
      <c r="B215" s="450"/>
      <c r="C215" s="3"/>
      <c r="D215" s="83"/>
      <c r="E215" s="4"/>
      <c r="F215" s="4"/>
      <c r="G215" s="6">
        <v>50</v>
      </c>
      <c r="H215" s="449"/>
      <c r="I215" s="4"/>
      <c r="J215" s="3">
        <f>C214+7.5</f>
        <v>35354.050000000003</v>
      </c>
      <c r="K215" s="449" t="s">
        <v>117</v>
      </c>
      <c r="L215" s="449"/>
      <c r="M215" s="449" t="str">
        <f>IF(L215="","",
IF(AX215="PT",VLOOKUP(L215,Foundation_Calc!$V$79:$X$113,VLOOKUP(AX215,Foundation_Calc!$I$10:$J$13,2,FALSE),0),
IF(AX215="K",VLOOKUP(L215,Foundation_Calc!$V$117:$X$151,VLOOKUP(AX215,Foundation_Calc!$I$10:$J$13,2,FALSE),0),"")))</f>
        <v/>
      </c>
      <c r="N215" s="449"/>
      <c r="O215" s="449"/>
      <c r="P215" s="449"/>
      <c r="Q215" s="4"/>
      <c r="R215" s="6"/>
      <c r="S215" s="6"/>
      <c r="T215" s="4"/>
      <c r="U215" s="4"/>
      <c r="V215" s="4"/>
      <c r="W215" s="9"/>
      <c r="X215" s="9"/>
      <c r="Y215" s="9"/>
      <c r="Z215" s="9"/>
      <c r="AA215" s="9"/>
      <c r="AB215" s="9"/>
      <c r="AC215" s="449" t="str">
        <f t="shared" si="29"/>
        <v/>
      </c>
      <c r="AD215" s="449"/>
      <c r="AE215" s="449"/>
      <c r="AF215" s="4"/>
      <c r="AG215" s="83"/>
      <c r="AH215" s="4"/>
      <c r="AI215" s="4"/>
      <c r="AJ215" s="449"/>
      <c r="AK215" s="449"/>
      <c r="AL215" s="449"/>
      <c r="AM215" s="449"/>
      <c r="AN215" s="10"/>
      <c r="AO215" s="9"/>
      <c r="AP215" s="9"/>
      <c r="AQ215" s="9">
        <f>+FL_1($T$216,$T$214,$G$215,1200,9.28, 1*$F$216)</f>
        <v>0.36839079999999996</v>
      </c>
      <c r="AR215" s="9"/>
      <c r="AS215" s="9"/>
      <c r="AT215" s="9"/>
      <c r="AU215" s="428"/>
      <c r="AV215" s="428"/>
      <c r="AW215" s="449" t="str">
        <f>IF(C215&gt;0,VLOOKUP(C215,Foundation_Calc!$A$2:$C$13,3,1),
IF(J215&gt;0,VLOOKUP(J215,Foundation_Calc!$A$2:$C$13,3,1),""))</f>
        <v>Multi Soil</v>
      </c>
      <c r="AX215" s="449" t="str">
        <f>IF(C215&gt;0,VLOOKUP(C215,Foundation_Calc!$E$35:$G$65,3,1),
IF(J215&gt;0,VLOOKUP(J215,Foundation_Calc!$E$35:$G$65,3,1),""))</f>
        <v>PT</v>
      </c>
      <c r="AY215" s="10" t="str">
        <f>IF(L215="","",
IF(AX215="PT",VLOOKUP(L215,Foundation_Calc!$K$79:$R$113,VLOOKUP(AW215,Foundation_Calc!$I$2:$J$8,2,FALSE),0),
IF(AX215="K",VLOOKUP(L215,Foundation_Calc!$K$117:$R$151,VLOOKUP(AW215,Foundation_Calc!$I$2:$J$8,2,FALSE),0),"")))</f>
        <v/>
      </c>
      <c r="AZ215" s="10">
        <f>IF(K215="","",
IF(AX215="PT",VLOOKUP(K215,Foundation_Calc!$K$79:$R$113,VLOOKUP(AW215,Foundation_Calc!$I$2:$J$8,2,FALSE),0),
IF(AX215="K",VLOOKUP(K215,Foundation_Calc!$K$117:$R$151,VLOOKUP(AW215,Foundation_Calc!$I$2:$J$8,2,FALSE),0),"")))</f>
        <v>3.9</v>
      </c>
      <c r="BA215" s="495" t="str">
        <f t="shared" si="20"/>
        <v/>
      </c>
      <c r="BB215" s="495" t="str">
        <f t="shared" si="21"/>
        <v>ü</v>
      </c>
      <c r="BC215" s="495" t="str">
        <f t="shared" si="22"/>
        <v/>
      </c>
      <c r="BD215" s="513" t="str">
        <f>IF(AND(L215="",H215=""),"",
IF(H215="",Pole_Calc!A$9,
IF(H215="MP",Pole_Calc!A$10,
IF(H215="AnMP",Pole_Calc!A$11,
IF(H215="A",Pole_Calc!A$12,
IF(H215="S/A",Pole_Calc!A$13,
IF(H215="A/S",Pole_Calc!A$14,"Poner a mano")))))))</f>
        <v/>
      </c>
      <c r="BE215" s="429" t="s">
        <v>118</v>
      </c>
      <c r="BF215" s="290"/>
      <c r="BG215" s="290"/>
      <c r="BH215" s="290"/>
      <c r="BI215" s="290"/>
    </row>
    <row r="216" spans="1:61" ht="16.149999999999999" customHeight="1">
      <c r="A216" s="514"/>
      <c r="B216" s="450" t="s">
        <v>1046</v>
      </c>
      <c r="C216" s="3">
        <f>+$C$214+$G$215</f>
        <v>35396.550000000003</v>
      </c>
      <c r="D216" s="83"/>
      <c r="E216" s="4"/>
      <c r="F216" s="4">
        <v>0</v>
      </c>
      <c r="G216" s="6"/>
      <c r="H216" s="449"/>
      <c r="I216" s="4"/>
      <c r="J216" s="3"/>
      <c r="K216" s="449"/>
      <c r="L216" s="449" t="s">
        <v>153</v>
      </c>
      <c r="M216" s="449" t="str">
        <f>IF(L216="","",
IF(AX216="PT",VLOOKUP(L216,Foundation_Calc!$V$79:$X$113,VLOOKUP(AX216,Foundation_Calc!$I$10:$J$13,2,FALSE),0),
IF(AX216="K",VLOOKUP(L216,Foundation_Calc!$V$117:$X$151,VLOOKUP(AX216,Foundation_Calc!$I$10:$J$13,2,FALSE),0),"")))</f>
        <v>C3R</v>
      </c>
      <c r="N216" s="449" t="s">
        <v>134</v>
      </c>
      <c r="O216" s="449"/>
      <c r="P216" s="449"/>
      <c r="Q216" s="4"/>
      <c r="R216" s="6"/>
      <c r="S216" s="6"/>
      <c r="T216" s="4">
        <v>35</v>
      </c>
      <c r="U216" s="4"/>
      <c r="V216" s="4"/>
      <c r="W216" s="9">
        <v>1.4</v>
      </c>
      <c r="X216" s="9"/>
      <c r="Y216" s="9"/>
      <c r="Z216" s="9"/>
      <c r="AA216" s="9"/>
      <c r="AB216" s="9"/>
      <c r="AC216" s="449" t="str">
        <f t="shared" si="29"/>
        <v>PHQ</v>
      </c>
      <c r="AD216" s="449"/>
      <c r="AE216" s="449"/>
      <c r="AF216" s="4"/>
      <c r="AG216" s="83"/>
      <c r="AH216" s="4"/>
      <c r="AI216" s="4"/>
      <c r="AJ216" s="449"/>
      <c r="AK216" s="449"/>
      <c r="AL216" s="449"/>
      <c r="AM216" s="449" t="s">
        <v>126</v>
      </c>
      <c r="AN216" s="10">
        <f>AN214-0.07</f>
        <v>5.43</v>
      </c>
      <c r="AO216" s="9"/>
      <c r="AP216" s="9"/>
      <c r="AQ216" s="9"/>
      <c r="AR216" s="9"/>
      <c r="AS216" s="9"/>
      <c r="AT216" s="9">
        <f>+ab($T$216,$T$214,$T$218,$G$215,$G$217, 1*$F$216,1200)</f>
        <v>6.820891075690624</v>
      </c>
      <c r="AU216" s="428"/>
      <c r="AV216" s="428"/>
      <c r="AW216" s="449" t="str">
        <f>IF(C216&gt;0,VLOOKUP(C216,Foundation_Calc!$A$2:$C$13,3,1),
IF(J216&gt;0,VLOOKUP(J216,Foundation_Calc!$A$2:$C$13,3,1),""))</f>
        <v>Multi Soil</v>
      </c>
      <c r="AX216" s="449" t="str">
        <f>IF(C216&gt;0,VLOOKUP(C216,Foundation_Calc!$E$35:$G$65,3,1),
IF(J216&gt;0,VLOOKUP(J216,Foundation_Calc!$E$35:$G$65,3,1),""))</f>
        <v>PT</v>
      </c>
      <c r="AY216" s="10">
        <f>IF(L216="","",
IF(AX216="PT",VLOOKUP(L216,Foundation_Calc!$K$79:$R$113,VLOOKUP(AW216,Foundation_Calc!$I$2:$J$8,2,FALSE),0),
IF(AX216="K",VLOOKUP(L216,Foundation_Calc!$K$117:$R$151,VLOOKUP(AW216,Foundation_Calc!$I$2:$J$8,2,FALSE),0),"")))</f>
        <v>3.5</v>
      </c>
      <c r="AZ216" s="10" t="str">
        <f>IF(K216="","",
IF(AX216="PT",VLOOKUP(K216,Foundation_Calc!$K$79:$R$113,VLOOKUP(AW216,Foundation_Calc!$I$2:$J$8,2,FALSE),0),
IF(AX216="K",VLOOKUP(K216,Foundation_Calc!$K$117:$R$151,VLOOKUP(AW216,Foundation_Calc!$I$2:$J$8,2,FALSE),0),"")))</f>
        <v/>
      </c>
      <c r="BA216" s="495" t="str">
        <f t="shared" si="20"/>
        <v>ü</v>
      </c>
      <c r="BB216" s="495" t="str">
        <f t="shared" si="21"/>
        <v/>
      </c>
      <c r="BC216" s="495" t="str">
        <f t="shared" si="22"/>
        <v/>
      </c>
      <c r="BD216" s="513" t="str">
        <f>IF(AND(L216="",H216=""),"",
IF(H216="",Pole_Calc!A$9,
IF(H216="MP",Pole_Calc!A$10,
IF(H216="AnMP",Pole_Calc!A$11,
IF(H216="A",Pole_Calc!A$12,
IF(H216="S/A",Pole_Calc!A$13,
IF(H216="A/S",Pole_Calc!A$14,"Poner a mano")))))))</f>
        <v>App.7-V11I-P9.5.1.1</v>
      </c>
      <c r="BE216" s="429" t="s">
        <v>118</v>
      </c>
      <c r="BF216" s="289"/>
      <c r="BG216" s="289"/>
      <c r="BH216" s="290"/>
      <c r="BI216" s="289"/>
    </row>
    <row r="217" spans="1:61" ht="16.149999999999999" customHeight="1">
      <c r="A217" s="514"/>
      <c r="B217" s="450"/>
      <c r="C217" s="3"/>
      <c r="D217" s="83"/>
      <c r="E217" s="4"/>
      <c r="F217" s="4"/>
      <c r="G217" s="6">
        <v>50</v>
      </c>
      <c r="H217" s="449"/>
      <c r="I217" s="4"/>
      <c r="J217" s="3"/>
      <c r="K217" s="449"/>
      <c r="L217" s="449"/>
      <c r="M217" s="449" t="str">
        <f>IF(L217="","",
IF(AX217="PT",VLOOKUP(L217,Foundation_Calc!$V$79:$X$113,VLOOKUP(AX217,Foundation_Calc!$I$10:$J$13,2,FALSE),0),
IF(AX217="K",VLOOKUP(L217,Foundation_Calc!$V$117:$X$151,VLOOKUP(AX217,Foundation_Calc!$I$10:$J$13,2,FALSE),0),"")))</f>
        <v/>
      </c>
      <c r="N217" s="575"/>
      <c r="O217" s="449"/>
      <c r="P217" s="449"/>
      <c r="Q217" s="4"/>
      <c r="R217" s="6"/>
      <c r="S217" s="6"/>
      <c r="T217" s="4"/>
      <c r="U217" s="4"/>
      <c r="V217" s="4"/>
      <c r="W217" s="9"/>
      <c r="X217" s="9"/>
      <c r="Y217" s="9"/>
      <c r="Z217" s="9"/>
      <c r="AA217" s="9"/>
      <c r="AB217" s="9"/>
      <c r="AC217" s="449" t="str">
        <f t="shared" si="29"/>
        <v/>
      </c>
      <c r="AD217" s="449"/>
      <c r="AE217" s="449"/>
      <c r="AF217" s="4"/>
      <c r="AG217" s="83"/>
      <c r="AH217" s="4"/>
      <c r="AI217" s="4"/>
      <c r="AJ217" s="449"/>
      <c r="AK217" s="449"/>
      <c r="AL217" s="449"/>
      <c r="AM217" s="449"/>
      <c r="AN217" s="10"/>
      <c r="AO217" s="9"/>
      <c r="AP217" s="9"/>
      <c r="AQ217" s="9">
        <f>+FL_2($T$218,$T$216,$G$217,1200,9.28, 1*$F$218)</f>
        <v>-0.36839079999999996</v>
      </c>
      <c r="AR217" s="9"/>
      <c r="AS217" s="9"/>
      <c r="AT217" s="9"/>
      <c r="AU217" s="428"/>
      <c r="AV217" s="428"/>
      <c r="AW217" s="449" t="str">
        <f>IF(C217&gt;0,VLOOKUP(C217,Foundation_Calc!$A$2:$C$13,3,1),
IF(J217&gt;0,VLOOKUP(J217,Foundation_Calc!$A$2:$C$13,3,1),""))</f>
        <v/>
      </c>
      <c r="AX217" s="449" t="str">
        <f>IF(C217&gt;0,VLOOKUP(C217,Foundation_Calc!$E$35:$G$65,3,1),
IF(J217&gt;0,VLOOKUP(J217,Foundation_Calc!$E$35:$G$65,3,1),""))</f>
        <v/>
      </c>
      <c r="AY217" s="10" t="str">
        <f>IF(L217="","",
IF(AX217="PT",VLOOKUP(L217,Foundation_Calc!$K$79:$R$113,VLOOKUP(AW217,Foundation_Calc!$I$2:$J$8,2,FALSE),0),
IF(AX217="K",VLOOKUP(L217,Foundation_Calc!$K$117:$R$151,VLOOKUP(AW217,Foundation_Calc!$I$2:$J$8,2,FALSE),0),"")))</f>
        <v/>
      </c>
      <c r="AZ217" s="10" t="str">
        <f>IF(K217="","",
IF(AX217="PT",VLOOKUP(K217,Foundation_Calc!$K$79:$R$113,VLOOKUP(AW217,Foundation_Calc!$I$2:$J$8,2,FALSE),0),
IF(AX217="K",VLOOKUP(K217,Foundation_Calc!$K$117:$R$151,VLOOKUP(AW217,Foundation_Calc!$I$2:$J$8,2,FALSE),0),"")))</f>
        <v/>
      </c>
      <c r="BA217" s="495" t="str">
        <f t="shared" si="20"/>
        <v/>
      </c>
      <c r="BB217" s="495" t="str">
        <f t="shared" si="21"/>
        <v/>
      </c>
      <c r="BC217" s="495" t="str">
        <f t="shared" si="22"/>
        <v/>
      </c>
      <c r="BD217" s="513" t="str">
        <f>IF(AND(L217="",H217=""),"",
IF(H217="",Pole_Calc!A$9,
IF(H217="MP",Pole_Calc!A$10,
IF(H217="AnMP",Pole_Calc!A$11,
IF(H217="A",Pole_Calc!A$12,
IF(H217="S/A",Pole_Calc!A$13,
IF(H217="A/S",Pole_Calc!A$14,"Poner a mano")))))))</f>
        <v/>
      </c>
      <c r="BE217" s="429" t="s">
        <v>118</v>
      </c>
      <c r="BF217" s="290"/>
      <c r="BG217" s="290"/>
      <c r="BH217" s="290"/>
      <c r="BI217" s="290"/>
    </row>
    <row r="218" spans="1:61" ht="16.149999999999999" customHeight="1">
      <c r="A218" s="514"/>
      <c r="B218" s="450" t="s">
        <v>1047</v>
      </c>
      <c r="C218" s="3">
        <f>+$C$216+$G$217</f>
        <v>35446.550000000003</v>
      </c>
      <c r="D218" s="83"/>
      <c r="E218" s="4"/>
      <c r="F218" s="4">
        <v>0</v>
      </c>
      <c r="G218" s="6"/>
      <c r="H218" s="449"/>
      <c r="I218" s="4"/>
      <c r="J218" s="3"/>
      <c r="K218" s="449"/>
      <c r="L218" s="449" t="s">
        <v>153</v>
      </c>
      <c r="M218" s="449" t="str">
        <f>IF(L218="","",
IF(AX218="PT",VLOOKUP(L218,Foundation_Calc!$V$79:$X$113,VLOOKUP(AX218,Foundation_Calc!$I$10:$J$13,2,FALSE),0),
IF(AX218="K",VLOOKUP(L218,Foundation_Calc!$V$117:$X$151,VLOOKUP(AX218,Foundation_Calc!$I$10:$J$13,2,FALSE),0),"")))</f>
        <v>C3R</v>
      </c>
      <c r="N218" s="449" t="s">
        <v>124</v>
      </c>
      <c r="O218" s="449"/>
      <c r="P218" s="449"/>
      <c r="Q218" s="4"/>
      <c r="R218" s="6"/>
      <c r="S218" s="6"/>
      <c r="T218" s="4">
        <v>-35</v>
      </c>
      <c r="U218" s="4"/>
      <c r="V218" s="4"/>
      <c r="W218" s="9">
        <v>1.4</v>
      </c>
      <c r="X218" s="9"/>
      <c r="Y218" s="9"/>
      <c r="Z218" s="9"/>
      <c r="AA218" s="9"/>
      <c r="AB218" s="9"/>
      <c r="AC218" s="449" t="str">
        <f t="shared" si="29"/>
        <v>PHQ</v>
      </c>
      <c r="AD218" s="449"/>
      <c r="AE218" s="449"/>
      <c r="AF218" s="4"/>
      <c r="AG218" s="83"/>
      <c r="AH218" s="4"/>
      <c r="AI218" s="4"/>
      <c r="AJ218" s="449"/>
      <c r="AK218" s="449"/>
      <c r="AL218" s="449"/>
      <c r="AM218" s="449" t="s">
        <v>126</v>
      </c>
      <c r="AN218" s="10">
        <f>AN216-0.11</f>
        <v>5.3199999999999994</v>
      </c>
      <c r="AO218" s="9"/>
      <c r="AP218" s="9"/>
      <c r="AQ218" s="9"/>
      <c r="AR218" s="9"/>
      <c r="AS218" s="9"/>
      <c r="AT218" s="9">
        <f>+ab($T$218,$T$216,$T$220,$G$217,$G$219, 1*$F$218,1200)</f>
        <v>-6.4650411729017883</v>
      </c>
      <c r="AU218" s="428"/>
      <c r="AV218" s="428"/>
      <c r="AW218" s="449" t="str">
        <f>IF(C218&gt;0,VLOOKUP(C218,Foundation_Calc!$A$2:$C$13,3,1),
IF(J218&gt;0,VLOOKUP(J218,Foundation_Calc!$A$2:$C$13,3,1),""))</f>
        <v>Multi Soil</v>
      </c>
      <c r="AX218" s="449" t="str">
        <f>IF(C218&gt;0,VLOOKUP(C218,Foundation_Calc!$E$35:$G$65,3,1),
IF(J218&gt;0,VLOOKUP(J218,Foundation_Calc!$E$35:$G$65,3,1),""))</f>
        <v>PT</v>
      </c>
      <c r="AY218" s="10">
        <f>IF(L218="","",
IF(AX218="PT",VLOOKUP(L218,Foundation_Calc!$K$79:$R$113,VLOOKUP(AW218,Foundation_Calc!$I$2:$J$8,2,FALSE),0),
IF(AX218="K",VLOOKUP(L218,Foundation_Calc!$K$117:$R$151,VLOOKUP(AW218,Foundation_Calc!$I$2:$J$8,2,FALSE),0),"")))</f>
        <v>3.5</v>
      </c>
      <c r="AZ218" s="10" t="str">
        <f>IF(K218="","",
IF(AX218="PT",VLOOKUP(K218,Foundation_Calc!$K$79:$R$113,VLOOKUP(AW218,Foundation_Calc!$I$2:$J$8,2,FALSE),0),
IF(AX218="K",VLOOKUP(K218,Foundation_Calc!$K$117:$R$151,VLOOKUP(AW218,Foundation_Calc!$I$2:$J$8,2,FALSE),0),"")))</f>
        <v/>
      </c>
      <c r="BA218" s="495" t="str">
        <f t="shared" si="20"/>
        <v>ü</v>
      </c>
      <c r="BB218" s="495" t="str">
        <f t="shared" si="21"/>
        <v/>
      </c>
      <c r="BC218" s="495" t="str">
        <f t="shared" si="22"/>
        <v/>
      </c>
      <c r="BD218" s="513" t="str">
        <f>IF(AND(L218="",H218=""),"",
IF(H218="",Pole_Calc!A$9,
IF(H218="MP",Pole_Calc!A$10,
IF(H218="AnMP",Pole_Calc!A$11,
IF(H218="A",Pole_Calc!A$12,
IF(H218="S/A",Pole_Calc!A$13,
IF(H218="A/S",Pole_Calc!A$14,"Poner a mano")))))))</f>
        <v>App.7-V11I-P9.5.1.1</v>
      </c>
      <c r="BE218" s="429" t="s">
        <v>118</v>
      </c>
      <c r="BF218" s="289"/>
      <c r="BG218" s="289"/>
      <c r="BH218" s="290"/>
      <c r="BI218" s="289"/>
    </row>
    <row r="219" spans="1:61" ht="16.149999999999999" customHeight="1">
      <c r="A219" s="514"/>
      <c r="B219" s="450"/>
      <c r="C219" s="3"/>
      <c r="D219" s="83"/>
      <c r="E219" s="4"/>
      <c r="F219" s="4"/>
      <c r="G219" s="6">
        <v>45</v>
      </c>
      <c r="H219" s="449"/>
      <c r="I219" s="4"/>
      <c r="J219" s="3">
        <f>C220-7.5</f>
        <v>35484.050000000003</v>
      </c>
      <c r="K219" s="449" t="s">
        <v>117</v>
      </c>
      <c r="L219" s="449"/>
      <c r="M219" s="449" t="str">
        <f>IF(L219="","",
IF(AX219="PT",VLOOKUP(L219,Foundation_Calc!$V$79:$X$113,VLOOKUP(AX219,Foundation_Calc!$I$10:$J$13,2,FALSE),0),
IF(AX219="K",VLOOKUP(L219,Foundation_Calc!$V$117:$X$151,VLOOKUP(AX219,Foundation_Calc!$I$10:$J$13,2,FALSE),0),"")))</f>
        <v/>
      </c>
      <c r="N219" s="575"/>
      <c r="O219" s="449"/>
      <c r="P219" s="449"/>
      <c r="Q219" s="4"/>
      <c r="R219" s="6"/>
      <c r="S219" s="6"/>
      <c r="T219" s="4"/>
      <c r="U219" s="4"/>
      <c r="V219" s="4"/>
      <c r="W219" s="9"/>
      <c r="X219" s="9"/>
      <c r="Y219" s="9"/>
      <c r="Z219" s="9"/>
      <c r="AA219" s="9"/>
      <c r="AB219" s="9"/>
      <c r="AC219" s="449" t="str">
        <f t="shared" si="29"/>
        <v/>
      </c>
      <c r="AD219" s="449"/>
      <c r="AE219" s="449"/>
      <c r="AF219" s="4"/>
      <c r="AG219" s="83"/>
      <c r="AH219" s="4"/>
      <c r="AI219" s="4"/>
      <c r="AJ219" s="449"/>
      <c r="AK219" s="449"/>
      <c r="AL219" s="449"/>
      <c r="AM219" s="449"/>
      <c r="AN219" s="10"/>
      <c r="AO219" s="9"/>
      <c r="AP219" s="9"/>
      <c r="AQ219" s="9">
        <f>+FL_1($T$220,$T$218,$G$219,1200,9.28, 1*$F$220)</f>
        <v>0.35219954355555555</v>
      </c>
      <c r="AR219" s="9"/>
      <c r="AS219" s="9"/>
      <c r="AT219" s="9"/>
      <c r="AU219" s="428"/>
      <c r="AV219" s="428"/>
      <c r="AW219" s="449" t="str">
        <f>IF(C219&gt;0,VLOOKUP(C219,Foundation_Calc!$A$2:$C$13,3,1),
IF(J219&gt;0,VLOOKUP(J219,Foundation_Calc!$A$2:$C$13,3,1),""))</f>
        <v>Multi Soil</v>
      </c>
      <c r="AX219" s="449" t="str">
        <f>IF(C219&gt;0,VLOOKUP(C219,Foundation_Calc!$E$35:$G$65,3,1),
IF(J219&gt;0,VLOOKUP(J219,Foundation_Calc!$E$35:$G$65,3,1),""))</f>
        <v>PT</v>
      </c>
      <c r="AY219" s="10" t="str">
        <f>IF(L219="","",
IF(AX219="PT",VLOOKUP(L219,Foundation_Calc!$K$79:$R$113,VLOOKUP(AW219,Foundation_Calc!$I$2:$J$8,2,FALSE),0),
IF(AX219="K",VLOOKUP(L219,Foundation_Calc!$K$117:$R$151,VLOOKUP(AW219,Foundation_Calc!$I$2:$J$8,2,FALSE),0),"")))</f>
        <v/>
      </c>
      <c r="AZ219" s="10">
        <f>IF(K219="","",
IF(AX219="PT",VLOOKUP(K219,Foundation_Calc!$K$79:$R$113,VLOOKUP(AW219,Foundation_Calc!$I$2:$J$8,2,FALSE),0),
IF(AX219="K",VLOOKUP(K219,Foundation_Calc!$K$117:$R$151,VLOOKUP(AW219,Foundation_Calc!$I$2:$J$8,2,FALSE),0),"")))</f>
        <v>3.9</v>
      </c>
      <c r="BA219" s="495" t="str">
        <f t="shared" si="20"/>
        <v/>
      </c>
      <c r="BB219" s="495" t="str">
        <f t="shared" si="21"/>
        <v>ü</v>
      </c>
      <c r="BC219" s="495" t="str">
        <f t="shared" si="22"/>
        <v/>
      </c>
      <c r="BD219" s="513" t="str">
        <f>IF(AND(L219="",H219=""),"",
IF(H219="",Pole_Calc!A$9,
IF(H219="MP",Pole_Calc!A$10,
IF(H219="AnMP",Pole_Calc!A$11,
IF(H219="A",Pole_Calc!A$12,
IF(H219="S/A",Pole_Calc!A$13,
IF(H219="A/S",Pole_Calc!A$14,"Poner a mano")))))))</f>
        <v/>
      </c>
      <c r="BE219" s="429" t="s">
        <v>118</v>
      </c>
      <c r="BF219" s="290"/>
      <c r="BG219" s="290"/>
      <c r="BH219" s="290"/>
      <c r="BI219" s="290"/>
    </row>
    <row r="220" spans="1:61" ht="16.149999999999999" customHeight="1">
      <c r="A220" s="514"/>
      <c r="B220" s="450" t="s">
        <v>1048</v>
      </c>
      <c r="C220" s="3">
        <f>+$C$218+$G$219</f>
        <v>35491.550000000003</v>
      </c>
      <c r="D220" s="83"/>
      <c r="E220" s="4"/>
      <c r="F220" s="4">
        <v>0</v>
      </c>
      <c r="G220" s="6"/>
      <c r="H220" s="449" t="s">
        <v>121</v>
      </c>
      <c r="I220" s="4" t="s">
        <v>122</v>
      </c>
      <c r="J220" s="3"/>
      <c r="K220" s="449"/>
      <c r="L220" s="449" t="s">
        <v>151</v>
      </c>
      <c r="M220" s="449" t="str">
        <f>IF(L220="","",
IF(AX220="PT",VLOOKUP(L220,Foundation_Calc!$V$79:$X$113,VLOOKUP(AX220,Foundation_Calc!$I$10:$J$13,2,FALSE),0),
IF(AX220="K",VLOOKUP(L220,Foundation_Calc!$V$117:$X$151,VLOOKUP(AX220,Foundation_Calc!$I$10:$J$13,2,FALSE),0),"")))</f>
        <v>C4R</v>
      </c>
      <c r="N220" s="449" t="s">
        <v>134</v>
      </c>
      <c r="O220" s="449"/>
      <c r="P220" s="449"/>
      <c r="Q220" s="4"/>
      <c r="R220" s="6"/>
      <c r="S220" s="6"/>
      <c r="T220" s="4">
        <v>35</v>
      </c>
      <c r="U220" s="4"/>
      <c r="V220" s="4"/>
      <c r="W220" s="9">
        <v>1.4</v>
      </c>
      <c r="X220" s="9"/>
      <c r="Y220" s="9"/>
      <c r="Z220" s="9"/>
      <c r="AA220" s="9"/>
      <c r="AB220" s="9"/>
      <c r="AC220" s="449" t="str">
        <f t="shared" si="29"/>
        <v>PHQ</v>
      </c>
      <c r="AD220" s="449"/>
      <c r="AE220" s="449"/>
      <c r="AF220" s="4"/>
      <c r="AG220" s="83"/>
      <c r="AH220" s="4"/>
      <c r="AI220" s="4"/>
      <c r="AJ220" s="449"/>
      <c r="AK220" s="449"/>
      <c r="AL220" s="449"/>
      <c r="AM220" s="449" t="s">
        <v>126</v>
      </c>
      <c r="AN220" s="10">
        <f>AN222+0.06</f>
        <v>5.21</v>
      </c>
      <c r="AO220" s="9"/>
      <c r="AP220" s="9"/>
      <c r="AQ220" s="9"/>
      <c r="AR220" s="9"/>
      <c r="AS220" s="9"/>
      <c r="AT220" s="9">
        <f>+ab($T$220,$T$218,$U$222,$G$219,$G$221, 1*$F$220,1200)</f>
        <v>6.2738318773602488</v>
      </c>
      <c r="AU220" s="428"/>
      <c r="AV220" s="428"/>
      <c r="AW220" s="449" t="str">
        <f>IF(C220&gt;0,VLOOKUP(C220,Foundation_Calc!$A$2:$C$13,3,1),
IF(J220&gt;0,VLOOKUP(J220,Foundation_Calc!$A$2:$C$13,3,1),""))</f>
        <v>Multi Soil</v>
      </c>
      <c r="AX220" s="449" t="str">
        <f>IF(C220&gt;0,VLOOKUP(C220,Foundation_Calc!$E$35:$G$65,3,1),
IF(J220&gt;0,VLOOKUP(J220,Foundation_Calc!$E$35:$G$65,3,1),""))</f>
        <v>PT</v>
      </c>
      <c r="AY220" s="10">
        <f>IF(L220="","",
IF(AX220="PT",VLOOKUP(L220,Foundation_Calc!$K$79:$R$113,VLOOKUP(AW220,Foundation_Calc!$I$2:$J$8,2,FALSE),0),
IF(AX220="K",VLOOKUP(L220,Foundation_Calc!$K$117:$R$151,VLOOKUP(AW220,Foundation_Calc!$I$2:$J$8,2,FALSE),0),"")))</f>
        <v>3.5</v>
      </c>
      <c r="AZ220" s="10" t="str">
        <f>IF(K220="","",
IF(AX220="PT",VLOOKUP(K220,Foundation_Calc!$K$79:$R$113,VLOOKUP(AW220,Foundation_Calc!$I$2:$J$8,2,FALSE),0),
IF(AX220="K",VLOOKUP(K220,Foundation_Calc!$K$117:$R$151,VLOOKUP(AW220,Foundation_Calc!$I$2:$J$8,2,FALSE),0),"")))</f>
        <v/>
      </c>
      <c r="BA220" s="495" t="str">
        <f t="shared" si="20"/>
        <v>ü</v>
      </c>
      <c r="BB220" s="495" t="str">
        <f t="shared" si="21"/>
        <v/>
      </c>
      <c r="BC220" s="495" t="str">
        <f t="shared" si="22"/>
        <v/>
      </c>
      <c r="BD220" s="513" t="str">
        <f>IF(AND(L220="",H220=""),"",
IF(H220="",Pole_Calc!A$9,
IF(H220="MP",Pole_Calc!A$10,
IF(H220="AnMP",Pole_Calc!A$11,
IF(H220="A",Pole_Calc!A$12,
IF(H220="S/A",Pole_Calc!A$13,
IF(H220="A/S",Pole_Calc!A$14,"Poner a mano")))))))</f>
        <v>App.7-V11I-P9.5.1.6</v>
      </c>
      <c r="BE220" s="429" t="s">
        <v>118</v>
      </c>
      <c r="BF220" s="289"/>
      <c r="BG220" s="289"/>
      <c r="BH220" s="290"/>
      <c r="BI220" s="289"/>
    </row>
    <row r="221" spans="1:61" ht="16.149999999999999" customHeight="1">
      <c r="A221" s="514" t="s">
        <v>234</v>
      </c>
      <c r="B221" s="450"/>
      <c r="C221" s="3"/>
      <c r="D221" s="83"/>
      <c r="E221" s="4"/>
      <c r="F221" s="4"/>
      <c r="G221" s="6">
        <v>43.6</v>
      </c>
      <c r="H221" s="449"/>
      <c r="I221" s="4"/>
      <c r="J221" s="3"/>
      <c r="K221" s="449"/>
      <c r="L221" s="449"/>
      <c r="M221" s="449" t="str">
        <f>IF(L221="","",
IF(AX221="PT",VLOOKUP(L221,Foundation_Calc!$V$79:$X$113,VLOOKUP(AX221,Foundation_Calc!$I$10:$J$13,2,FALSE),0),
IF(AX221="K",VLOOKUP(L221,Foundation_Calc!$V$117:$X$151,VLOOKUP(AX221,Foundation_Calc!$I$10:$J$13,2,FALSE),0),"")))</f>
        <v/>
      </c>
      <c r="N221" s="449"/>
      <c r="O221" s="575"/>
      <c r="P221" s="449"/>
      <c r="Q221" s="4"/>
      <c r="R221" s="6"/>
      <c r="S221" s="6"/>
      <c r="T221" s="4"/>
      <c r="U221" s="4"/>
      <c r="V221" s="4"/>
      <c r="W221" s="9"/>
      <c r="X221" s="9"/>
      <c r="Y221" s="9"/>
      <c r="Z221" s="9"/>
      <c r="AA221" s="9"/>
      <c r="AB221" s="9"/>
      <c r="AC221" s="449" t="str">
        <f t="shared" si="29"/>
        <v/>
      </c>
      <c r="AD221" s="449"/>
      <c r="AE221" s="449"/>
      <c r="AF221" s="4"/>
      <c r="AG221" s="83"/>
      <c r="AH221" s="4"/>
      <c r="AI221" s="4"/>
      <c r="AJ221" s="449"/>
      <c r="AK221" s="449"/>
      <c r="AL221" s="449"/>
      <c r="AM221" s="449"/>
      <c r="AN221" s="10"/>
      <c r="AO221" s="9"/>
      <c r="AP221" s="9"/>
      <c r="AQ221" s="9">
        <f>+FL_1($U$222,$T$220,$G$221,1200,9.28, 1*$F$222)</f>
        <v>0.35245954466055046</v>
      </c>
      <c r="AR221" s="9"/>
      <c r="AS221" s="9"/>
      <c r="AT221" s="9"/>
      <c r="AU221" s="428"/>
      <c r="AV221" s="428"/>
      <c r="AW221" s="449" t="str">
        <f>IF(C221&gt;0,VLOOKUP(C221,Foundation_Calc!$A$2:$C$13,3,1),
IF(J221&gt;0,VLOOKUP(J221,Foundation_Calc!$A$2:$C$13,3,1),""))</f>
        <v/>
      </c>
      <c r="AX221" s="449" t="str">
        <f>IF(C221&gt;0,VLOOKUP(C221,Foundation_Calc!$E$35:$G$65,3,1),
IF(J221&gt;0,VLOOKUP(J221,Foundation_Calc!$E$35:$G$65,3,1),""))</f>
        <v/>
      </c>
      <c r="AY221" s="10" t="str">
        <f>IF(L221="","",
IF(AX221="PT",VLOOKUP(L221,Foundation_Calc!$K$79:$R$113,VLOOKUP(AW221,Foundation_Calc!$I$2:$J$8,2,FALSE),0),
IF(AX221="K",VLOOKUP(L221,Foundation_Calc!$K$117:$R$151,VLOOKUP(AW221,Foundation_Calc!$I$2:$J$8,2,FALSE),0),"")))</f>
        <v/>
      </c>
      <c r="AZ221" s="10" t="str">
        <f>IF(K221="","",
IF(AX221="PT",VLOOKUP(K221,Foundation_Calc!$K$79:$R$113,VLOOKUP(AW221,Foundation_Calc!$I$2:$J$8,2,FALSE),0),
IF(AX221="K",VLOOKUP(K221,Foundation_Calc!$K$117:$R$151,VLOOKUP(AW221,Foundation_Calc!$I$2:$J$8,2,FALSE),0),"")))</f>
        <v/>
      </c>
      <c r="BA221" s="495" t="str">
        <f t="shared" si="20"/>
        <v/>
      </c>
      <c r="BB221" s="495" t="str">
        <f t="shared" si="21"/>
        <v/>
      </c>
      <c r="BC221" s="495" t="str">
        <f t="shared" si="22"/>
        <v/>
      </c>
      <c r="BD221" s="513" t="str">
        <f>IF(AND(L221="",H221=""),"",
IF(H221="",Pole_Calc!A$9,
IF(H221="MP",Pole_Calc!A$10,
IF(H221="AnMP",Pole_Calc!A$11,
IF(H221="A",Pole_Calc!A$12,
IF(H221="S/A",Pole_Calc!A$13,
IF(H221="A/S",Pole_Calc!A$14,"Poner a mano")))))))</f>
        <v/>
      </c>
      <c r="BE221" s="429" t="s">
        <v>118</v>
      </c>
      <c r="BF221" s="290"/>
      <c r="BG221" s="290"/>
      <c r="BH221" s="290"/>
      <c r="BI221" s="290"/>
    </row>
    <row r="222" spans="1:61" ht="16.149999999999999" customHeight="1">
      <c r="A222" s="514" t="s">
        <v>1049</v>
      </c>
      <c r="B222" s="450" t="s">
        <v>1050</v>
      </c>
      <c r="C222" s="3">
        <f>+$C$220+$G$221</f>
        <v>35535.15</v>
      </c>
      <c r="D222" s="83"/>
      <c r="E222" s="4"/>
      <c r="F222" s="4">
        <v>0</v>
      </c>
      <c r="G222" s="6"/>
      <c r="H222" s="449" t="s">
        <v>131</v>
      </c>
      <c r="I222" s="4" t="s">
        <v>132</v>
      </c>
      <c r="J222" s="3"/>
      <c r="K222" s="449"/>
      <c r="L222" s="449" t="s">
        <v>298</v>
      </c>
      <c r="M222" s="449" t="str">
        <f>IF(L222="","",
IF(AX222="PT",VLOOKUP(L222,Foundation_Calc!$V$79:$X$113,VLOOKUP(AX222,Foundation_Calc!$I$10:$J$13,2,FALSE),0),
IF(AX222="K",VLOOKUP(L222,Foundation_Calc!$V$117:$X$151,VLOOKUP(AX222,Foundation_Calc!$I$10:$J$13,2,FALSE),0),"")))</f>
        <v>2C3R</v>
      </c>
      <c r="N222" s="449" t="s">
        <v>133</v>
      </c>
      <c r="O222" s="449" t="s">
        <v>124</v>
      </c>
      <c r="P222" s="449"/>
      <c r="Q222" s="4"/>
      <c r="R222" s="6"/>
      <c r="S222" s="6"/>
      <c r="T222" s="4">
        <v>15</v>
      </c>
      <c r="U222" s="4">
        <v>-30</v>
      </c>
      <c r="V222" s="4"/>
      <c r="W222" s="9">
        <v>1.4</v>
      </c>
      <c r="X222" s="9">
        <v>2</v>
      </c>
      <c r="Y222" s="9"/>
      <c r="Z222" s="9">
        <v>0.4</v>
      </c>
      <c r="AA222" s="9"/>
      <c r="AB222" s="9"/>
      <c r="AC222" s="449"/>
      <c r="AD222" s="449"/>
      <c r="AE222" s="449"/>
      <c r="AF222" s="4"/>
      <c r="AG222" s="83"/>
      <c r="AH222" s="4"/>
      <c r="AI222" s="4"/>
      <c r="AJ222" s="449" t="s">
        <v>233</v>
      </c>
      <c r="AK222" s="449"/>
      <c r="AL222" s="449"/>
      <c r="AM222" s="449" t="s">
        <v>126</v>
      </c>
      <c r="AN222" s="10">
        <v>5.15</v>
      </c>
      <c r="AO222" s="9"/>
      <c r="AP222" s="9"/>
      <c r="AQ222" s="9"/>
      <c r="AR222" s="9"/>
      <c r="AS222" s="9"/>
      <c r="AT222" s="9">
        <f>+ab($U$222,$T$220,$U$224,$G$221,$G$223, 1*$F$222,1200)</f>
        <v>-10.403672057835164</v>
      </c>
      <c r="AU222" s="428"/>
      <c r="AV222" s="428"/>
      <c r="AW222" s="449" t="str">
        <f>IF(C222&gt;0,VLOOKUP(C222,Foundation_Calc!$A$2:$C$13,3,1),
IF(J222&gt;0,VLOOKUP(J222,Foundation_Calc!$A$2:$C$13,3,1),""))</f>
        <v>Multi Soil</v>
      </c>
      <c r="AX222" s="449" t="str">
        <f>IF(C222&gt;0,VLOOKUP(C222,Foundation_Calc!$E$35:$G$65,3,1),
IF(J222&gt;0,VLOOKUP(J222,Foundation_Calc!$E$35:$G$65,3,1),""))</f>
        <v>PT</v>
      </c>
      <c r="AY222" s="10">
        <f>IF(L222="","",
IF(AX222="PT",VLOOKUP(L222,Foundation_Calc!$K$79:$R$113,VLOOKUP(AW222,Foundation_Calc!$I$2:$J$8,2,FALSE),0),
IF(AX222="K",VLOOKUP(L222,Foundation_Calc!$K$117:$R$151,VLOOKUP(AW222,Foundation_Calc!$I$2:$J$8,2,FALSE),0),"")))</f>
        <v>4</v>
      </c>
      <c r="AZ222" s="10" t="str">
        <f>IF(K222="","",
IF(AX222="PT",VLOOKUP(K222,Foundation_Calc!$K$79:$R$113,VLOOKUP(AW222,Foundation_Calc!$I$2:$J$8,2,FALSE),0),
IF(AX222="K",VLOOKUP(K222,Foundation_Calc!$K$117:$R$151,VLOOKUP(AW222,Foundation_Calc!$I$2:$J$8,2,FALSE),0),"")))</f>
        <v/>
      </c>
      <c r="BA222" s="495" t="str">
        <f t="shared" si="20"/>
        <v>ü</v>
      </c>
      <c r="BB222" s="495" t="str">
        <f t="shared" si="21"/>
        <v/>
      </c>
      <c r="BC222" s="495" t="str">
        <f t="shared" si="22"/>
        <v/>
      </c>
      <c r="BD222" s="513" t="str">
        <f>Pole_Calc!A$209</f>
        <v>App.7-V11I-P12.3.1.5</v>
      </c>
      <c r="BE222" s="429" t="s">
        <v>118</v>
      </c>
      <c r="BF222" s="289"/>
      <c r="BG222" s="289"/>
      <c r="BH222" s="290"/>
      <c r="BI222" s="289"/>
    </row>
    <row r="223" spans="1:61" ht="16.149999999999999" customHeight="1">
      <c r="A223" s="515"/>
      <c r="B223" s="450"/>
      <c r="C223" s="3"/>
      <c r="D223" s="83"/>
      <c r="E223" s="4"/>
      <c r="F223" s="4"/>
      <c r="G223" s="6">
        <v>45</v>
      </c>
      <c r="H223" s="449"/>
      <c r="I223" s="4"/>
      <c r="J223" s="3"/>
      <c r="K223" s="449"/>
      <c r="L223" s="449"/>
      <c r="M223" s="449" t="str">
        <f>IF(L223="","",
IF(AX223="PT",VLOOKUP(L223,Foundation_Calc!$V$79:$X$113,VLOOKUP(AX223,Foundation_Calc!$I$10:$J$13,2,FALSE),0),
IF(AX223="K",VLOOKUP(L223,Foundation_Calc!$V$117:$X$151,VLOOKUP(AX223,Foundation_Calc!$I$10:$J$13,2,FALSE),0),"")))</f>
        <v/>
      </c>
      <c r="N223" s="449"/>
      <c r="O223" s="575"/>
      <c r="P223" s="449"/>
      <c r="Q223" s="4"/>
      <c r="R223" s="6"/>
      <c r="S223" s="6"/>
      <c r="T223" s="4"/>
      <c r="U223" s="4"/>
      <c r="V223" s="4"/>
      <c r="W223" s="9"/>
      <c r="X223" s="9"/>
      <c r="Y223" s="9"/>
      <c r="Z223" s="9"/>
      <c r="AA223" s="9"/>
      <c r="AB223" s="9"/>
      <c r="AC223" s="449" t="str">
        <f t="shared" si="29"/>
        <v/>
      </c>
      <c r="AD223" s="449"/>
      <c r="AE223" s="449"/>
      <c r="AF223" s="4"/>
      <c r="AG223" s="83"/>
      <c r="AH223" s="4"/>
      <c r="AI223" s="4"/>
      <c r="AJ223" s="449"/>
      <c r="AK223" s="449"/>
      <c r="AL223" s="449"/>
      <c r="AM223" s="449"/>
      <c r="AN223" s="10"/>
      <c r="AO223" s="9"/>
      <c r="AP223" s="9"/>
      <c r="AQ223" s="9">
        <f>+FL_1($T$224,$U$222,$G$223,1200,9.28, 1*$F$224)</f>
        <v>0.31069252800000002</v>
      </c>
      <c r="AR223" s="9"/>
      <c r="AS223" s="9"/>
      <c r="AT223" s="9"/>
      <c r="AU223" s="428"/>
      <c r="AV223" s="428"/>
      <c r="AW223" s="449" t="str">
        <f>IF(C223&gt;0,VLOOKUP(C223,Foundation_Calc!$A$2:$C$13,3,1),
IF(J223&gt;0,VLOOKUP(J223,Foundation_Calc!$A$2:$C$13,3,1),""))</f>
        <v/>
      </c>
      <c r="AX223" s="449" t="str">
        <f>IF(C223&gt;0,VLOOKUP(C223,Foundation_Calc!$E$35:$G$65,3,1),
IF(J223&gt;0,VLOOKUP(J223,Foundation_Calc!$E$35:$G$65,3,1),""))</f>
        <v/>
      </c>
      <c r="AY223" s="10" t="str">
        <f>IF(L223="","",
IF(AX223="PT",VLOOKUP(L223,Foundation_Calc!$K$79:$R$113,VLOOKUP(AW223,Foundation_Calc!$I$2:$J$8,2,FALSE),0),
IF(AX223="K",VLOOKUP(L223,Foundation_Calc!$K$117:$R$151,VLOOKUP(AW223,Foundation_Calc!$I$2:$J$8,2,FALSE),0),"")))</f>
        <v/>
      </c>
      <c r="AZ223" s="10" t="str">
        <f>IF(K223="","",
IF(AX223="PT",VLOOKUP(K223,Foundation_Calc!$K$79:$R$113,VLOOKUP(AW223,Foundation_Calc!$I$2:$J$8,2,FALSE),0),
IF(AX223="K",VLOOKUP(K223,Foundation_Calc!$K$117:$R$151,VLOOKUP(AW223,Foundation_Calc!$I$2:$J$8,2,FALSE),0),"")))</f>
        <v/>
      </c>
      <c r="BA223" s="495" t="str">
        <f t="shared" si="20"/>
        <v/>
      </c>
      <c r="BB223" s="495" t="str">
        <f t="shared" si="21"/>
        <v/>
      </c>
      <c r="BC223" s="495" t="str">
        <f t="shared" si="22"/>
        <v/>
      </c>
      <c r="BD223" s="513" t="str">
        <f>IF(AND(L223="",H223=""),"",
IF(H223="",Pole_Calc!A$9,
IF(H223="MP",Pole_Calc!A$10,
IF(H223="AnMP",Pole_Calc!A$11,
IF(H223="A",Pole_Calc!A$12,
IF(H223="S/A",Pole_Calc!A$13,
IF(H223="A/S",Pole_Calc!A$14,"Poner a mano")))))))</f>
        <v/>
      </c>
      <c r="BE223" s="429" t="s">
        <v>118</v>
      </c>
      <c r="BF223" s="290"/>
      <c r="BG223" s="290"/>
      <c r="BH223" s="290"/>
      <c r="BI223" s="290"/>
    </row>
    <row r="224" spans="1:61" ht="16.149999999999999" customHeight="1">
      <c r="A224" s="515"/>
      <c r="B224" s="450" t="s">
        <v>1051</v>
      </c>
      <c r="C224" s="3">
        <f>+$C$222+$G$223</f>
        <v>35580.15</v>
      </c>
      <c r="D224" s="83"/>
      <c r="E224" s="4"/>
      <c r="F224" s="4">
        <v>0</v>
      </c>
      <c r="G224" s="6"/>
      <c r="H224" s="449" t="s">
        <v>131</v>
      </c>
      <c r="I224" s="4"/>
      <c r="J224" s="3"/>
      <c r="K224" s="449"/>
      <c r="L224" s="449" t="s">
        <v>183</v>
      </c>
      <c r="M224" s="449" t="str">
        <f>IF(L224="","",
IF(AX224="PT",VLOOKUP(L224,Foundation_Calc!$V$79:$X$113,VLOOKUP(AX224,Foundation_Calc!$I$10:$J$13,2,FALSE),0),
IF(AX224="K",VLOOKUP(L224,Foundation_Calc!$V$117:$X$151,VLOOKUP(AX224,Foundation_Calc!$I$10:$J$13,2,FALSE),0),"")))</f>
        <v>2C3R</v>
      </c>
      <c r="N224" s="449" t="s">
        <v>134</v>
      </c>
      <c r="O224" s="449" t="s">
        <v>133</v>
      </c>
      <c r="P224" s="449"/>
      <c r="Q224" s="4"/>
      <c r="R224" s="6"/>
      <c r="S224" s="6"/>
      <c r="T224" s="4">
        <v>30</v>
      </c>
      <c r="U224" s="4">
        <v>-15</v>
      </c>
      <c r="V224" s="4"/>
      <c r="W224" s="572">
        <v>1</v>
      </c>
      <c r="X224" s="9">
        <v>2</v>
      </c>
      <c r="Y224" s="9"/>
      <c r="Z224" s="9"/>
      <c r="AA224" s="9">
        <v>0.4</v>
      </c>
      <c r="AB224" s="9"/>
      <c r="AC224" s="449" t="str">
        <f t="shared" si="29"/>
        <v>PH</v>
      </c>
      <c r="AD224" s="449"/>
      <c r="AE224" s="449"/>
      <c r="AF224" s="4"/>
      <c r="AG224" s="83"/>
      <c r="AH224" s="4"/>
      <c r="AI224" s="4"/>
      <c r="AJ224" s="449"/>
      <c r="AK224" s="449"/>
      <c r="AL224" s="449"/>
      <c r="AM224" s="449" t="s">
        <v>126</v>
      </c>
      <c r="AN224" s="10">
        <v>5.15</v>
      </c>
      <c r="AO224" s="9"/>
      <c r="AP224" s="9"/>
      <c r="AQ224" s="9"/>
      <c r="AR224" s="9"/>
      <c r="AS224" s="9"/>
      <c r="AT224" s="9">
        <f>+ab($T$224,$T$222,$T$226,$G$223,$G$225, 1*$F$224,1200)</f>
        <v>10.856204859220949</v>
      </c>
      <c r="AU224" s="428"/>
      <c r="AV224" s="428"/>
      <c r="AW224" s="449" t="str">
        <f>IF(C224&gt;0,VLOOKUP(C224,Foundation_Calc!$A$2:$C$13,3,1),
IF(J224&gt;0,VLOOKUP(J224,Foundation_Calc!$A$2:$C$13,3,1),""))</f>
        <v>Multi Soil</v>
      </c>
      <c r="AX224" s="449" t="str">
        <f>IF(C224&gt;0,VLOOKUP(C224,Foundation_Calc!$E$35:$G$65,3,1),
IF(J224&gt;0,VLOOKUP(J224,Foundation_Calc!$E$35:$G$65,3,1),""))</f>
        <v>PT</v>
      </c>
      <c r="AY224" s="10">
        <f>IF(L224="","",
IF(AX224="PT",VLOOKUP(L224,Foundation_Calc!$K$79:$R$113,VLOOKUP(AW224,Foundation_Calc!$I$2:$J$8,2,FALSE),0),
IF(AX224="K",VLOOKUP(L224,Foundation_Calc!$K$117:$R$151,VLOOKUP(AW224,Foundation_Calc!$I$2:$J$8,2,FALSE),0),"")))</f>
        <v>3.7</v>
      </c>
      <c r="AZ224" s="10" t="str">
        <f>IF(K224="","",
IF(AX224="PT",VLOOKUP(K224,Foundation_Calc!$K$79:$R$113,VLOOKUP(AW224,Foundation_Calc!$I$2:$J$8,2,FALSE),0),
IF(AX224="K",VLOOKUP(K224,Foundation_Calc!$K$117:$R$151,VLOOKUP(AW224,Foundation_Calc!$I$2:$J$8,2,FALSE),0),"")))</f>
        <v/>
      </c>
      <c r="BA224" s="495" t="str">
        <f t="shared" si="20"/>
        <v>ü</v>
      </c>
      <c r="BB224" s="495" t="str">
        <f t="shared" si="21"/>
        <v/>
      </c>
      <c r="BC224" s="495" t="str">
        <f t="shared" si="22"/>
        <v/>
      </c>
      <c r="BD224" s="513" t="str">
        <f>IF(AND(L224="",H224=""),"",
IF(H224="",Pole_Calc!A$9,
IF(H224="MP",Pole_Calc!A$10,
IF(H224="AnMP",Pole_Calc!A$11,
IF(H224="A",Pole_Calc!A$12,
IF(H224="S/A",Pole_Calc!A$13,
IF(H224="A/S",Pole_Calc!A$14,"Poner a mano")))))))</f>
        <v>App.7-V11I-P9.5.1.5</v>
      </c>
      <c r="BE224" s="429" t="s">
        <v>118</v>
      </c>
      <c r="BF224" s="289"/>
      <c r="BG224" s="289"/>
      <c r="BH224" s="290"/>
      <c r="BI224" s="289"/>
    </row>
    <row r="225" spans="1:61" ht="16.149999999999999" customHeight="1">
      <c r="A225" s="514" t="s">
        <v>169</v>
      </c>
      <c r="B225" s="450"/>
      <c r="C225" s="3"/>
      <c r="D225" s="83"/>
      <c r="E225" s="4"/>
      <c r="F225" s="4"/>
      <c r="G225" s="6">
        <v>46</v>
      </c>
      <c r="H225" s="449"/>
      <c r="I225" s="4"/>
      <c r="J225" s="3"/>
      <c r="K225" s="449"/>
      <c r="L225" s="449"/>
      <c r="M225" s="449" t="str">
        <f>IF(L225="","",
IF(AX225="PT",VLOOKUP(L225,Foundation_Calc!$V$79:$X$113,VLOOKUP(AX225,Foundation_Calc!$I$10:$J$13,2,FALSE),0),
IF(AX225="K",VLOOKUP(L225,Foundation_Calc!$V$117:$X$151,VLOOKUP(AX225,Foundation_Calc!$I$10:$J$13,2,FALSE),0),"")))</f>
        <v/>
      </c>
      <c r="N225" s="449"/>
      <c r="O225" s="449"/>
      <c r="P225" s="449"/>
      <c r="Q225" s="4"/>
      <c r="R225" s="6"/>
      <c r="S225" s="6"/>
      <c r="T225" s="4"/>
      <c r="U225" s="4"/>
      <c r="V225" s="4"/>
      <c r="W225" s="9"/>
      <c r="X225" s="9"/>
      <c r="Y225" s="9"/>
      <c r="Z225" s="9"/>
      <c r="AA225" s="9"/>
      <c r="AB225" s="9"/>
      <c r="AC225" s="449" t="str">
        <f t="shared" si="29"/>
        <v/>
      </c>
      <c r="AD225" s="449"/>
      <c r="AE225" s="449"/>
      <c r="AF225" s="4"/>
      <c r="AG225" s="83"/>
      <c r="AH225" s="4"/>
      <c r="AI225" s="4"/>
      <c r="AJ225" s="449"/>
      <c r="AK225" s="449"/>
      <c r="AL225" s="449"/>
      <c r="AM225" s="449"/>
      <c r="AN225" s="10"/>
      <c r="AO225" s="9"/>
      <c r="AP225" s="9"/>
      <c r="AQ225" s="9">
        <f>+FL_2($T$226,$T$224,$G$225,1200,9.28, 1*$F$226)</f>
        <v>-0.3586431221449275</v>
      </c>
      <c r="AR225" s="9"/>
      <c r="AS225" s="9"/>
      <c r="AT225" s="9"/>
      <c r="AU225" s="428"/>
      <c r="AV225" s="428"/>
      <c r="AW225" s="449" t="str">
        <f>IF(C225&gt;0,VLOOKUP(C225,Foundation_Calc!$A$2:$C$13,3,1),
IF(J225&gt;0,VLOOKUP(J225,Foundation_Calc!$A$2:$C$13,3,1),""))</f>
        <v/>
      </c>
      <c r="AX225" s="449" t="str">
        <f>IF(C225&gt;0,VLOOKUP(C225,Foundation_Calc!$E$35:$G$65,3,1),
IF(J225&gt;0,VLOOKUP(J225,Foundation_Calc!$E$35:$G$65,3,1),""))</f>
        <v/>
      </c>
      <c r="AY225" s="10" t="str">
        <f>IF(L225="","",
IF(AX225="PT",VLOOKUP(L225,Foundation_Calc!$K$79:$R$113,VLOOKUP(AW225,Foundation_Calc!$I$2:$J$8,2,FALSE),0),
IF(AX225="K",VLOOKUP(L225,Foundation_Calc!$K$117:$R$151,VLOOKUP(AW225,Foundation_Calc!$I$2:$J$8,2,FALSE),0),"")))</f>
        <v/>
      </c>
      <c r="AZ225" s="10" t="str">
        <f>IF(K225="","",
IF(AX225="PT",VLOOKUP(K225,Foundation_Calc!$K$79:$R$113,VLOOKUP(AW225,Foundation_Calc!$I$2:$J$8,2,FALSE),0),
IF(AX225="K",VLOOKUP(K225,Foundation_Calc!$K$117:$R$151,VLOOKUP(AW225,Foundation_Calc!$I$2:$J$8,2,FALSE),0),"")))</f>
        <v/>
      </c>
      <c r="BA225" s="495" t="str">
        <f t="shared" si="20"/>
        <v/>
      </c>
      <c r="BB225" s="495" t="str">
        <f t="shared" si="21"/>
        <v/>
      </c>
      <c r="BC225" s="495" t="str">
        <f t="shared" si="22"/>
        <v/>
      </c>
      <c r="BD225" s="513" t="str">
        <f>IF(AND(L225="",H225=""),"",
IF(H225="",Pole_Calc!A$9,
IF(H225="MP",Pole_Calc!A$10,
IF(H225="AnMP",Pole_Calc!A$11,
IF(H225="A",Pole_Calc!A$12,
IF(H225="S/A",Pole_Calc!A$13,
IF(H225="A/S",Pole_Calc!A$14,"Poner a mano")))))))</f>
        <v/>
      </c>
      <c r="BE225" s="429" t="s">
        <v>118</v>
      </c>
      <c r="BF225" s="290"/>
      <c r="BG225" s="290"/>
      <c r="BH225" s="290"/>
      <c r="BI225" s="290"/>
    </row>
    <row r="226" spans="1:61" ht="17.45" customHeight="1">
      <c r="A226" s="573"/>
      <c r="B226" s="450" t="s">
        <v>1052</v>
      </c>
      <c r="C226" s="3">
        <f>+$C$224+$G$225-1.6</f>
        <v>35624.550000000003</v>
      </c>
      <c r="D226" s="83"/>
      <c r="E226" s="4"/>
      <c r="F226" s="4">
        <v>0</v>
      </c>
      <c r="G226" s="6"/>
      <c r="H226" s="449" t="s">
        <v>121</v>
      </c>
      <c r="I226" s="4" t="s">
        <v>122</v>
      </c>
      <c r="J226" s="3"/>
      <c r="K226" s="449"/>
      <c r="L226" s="449" t="s">
        <v>151</v>
      </c>
      <c r="M226" s="449" t="str">
        <f>IF(L226="","",
IF(AX226="PT",VLOOKUP(L226,Foundation_Calc!$V$79:$X$113,VLOOKUP(AX226,Foundation_Calc!$I$10:$J$13,2,FALSE),0),
IF(AX226="K",VLOOKUP(L226,Foundation_Calc!$V$117:$X$151,VLOOKUP(AX226,Foundation_Calc!$I$10:$J$13,2,FALSE),0),"")))</f>
        <v>C4R</v>
      </c>
      <c r="N226" s="449" t="s">
        <v>124</v>
      </c>
      <c r="O226" s="449"/>
      <c r="P226" s="449"/>
      <c r="Q226" s="4"/>
      <c r="R226" s="6"/>
      <c r="S226" s="6"/>
      <c r="T226" s="4">
        <v>-35</v>
      </c>
      <c r="U226" s="4"/>
      <c r="V226" s="4"/>
      <c r="W226" s="572">
        <v>0.6</v>
      </c>
      <c r="X226" s="9"/>
      <c r="Y226" s="9"/>
      <c r="Z226" s="9"/>
      <c r="AA226" s="9"/>
      <c r="AB226" s="9"/>
      <c r="AC226" s="449" t="str">
        <f t="shared" si="29"/>
        <v>PHQ</v>
      </c>
      <c r="AD226" s="449"/>
      <c r="AE226" s="449"/>
      <c r="AF226" s="4"/>
      <c r="AG226" s="83"/>
      <c r="AH226" s="4"/>
      <c r="AI226" s="4"/>
      <c r="AJ226" s="449"/>
      <c r="AK226" s="449"/>
      <c r="AL226" s="449"/>
      <c r="AM226" s="449" t="s">
        <v>126</v>
      </c>
      <c r="AN226" s="10">
        <v>5.15</v>
      </c>
      <c r="AO226" s="9"/>
      <c r="AP226" s="9"/>
      <c r="AQ226" s="9"/>
      <c r="AR226" s="9"/>
      <c r="AS226" s="9"/>
      <c r="AT226" s="9">
        <f>+ab($T$226,$T$224,$T$228,$G$225,$G$227, 1*$F$226,1200)</f>
        <v>-6.3617423586246691</v>
      </c>
      <c r="AU226" s="428"/>
      <c r="AV226" s="428"/>
      <c r="AW226" s="449" t="str">
        <f>IF(C226&gt;0,VLOOKUP(C226,Foundation_Calc!$A$2:$C$13,3,1),
IF(J226&gt;0,VLOOKUP(J226,Foundation_Calc!$A$2:$C$13,3,1),""))</f>
        <v>Multi Soil</v>
      </c>
      <c r="AX226" s="449" t="str">
        <f>IF(C226&gt;0,VLOOKUP(C226,Foundation_Calc!$E$35:$G$65,3,1),
IF(J226&gt;0,VLOOKUP(J226,Foundation_Calc!$E$35:$G$65,3,1),""))</f>
        <v>PT</v>
      </c>
      <c r="AY226" s="10">
        <f>IF(L226="","",
IF(AX226="PT",VLOOKUP(L226,Foundation_Calc!$K$79:$R$113,VLOOKUP(AW226,Foundation_Calc!$I$2:$J$8,2,FALSE),0),
IF(AX226="K",VLOOKUP(L226,Foundation_Calc!$K$117:$R$151,VLOOKUP(AW226,Foundation_Calc!$I$2:$J$8,2,FALSE),0),"")))</f>
        <v>3.5</v>
      </c>
      <c r="AZ226" s="10" t="str">
        <f>IF(K226="","",
IF(AX226="PT",VLOOKUP(K226,Foundation_Calc!$K$79:$R$113,VLOOKUP(AW226,Foundation_Calc!$I$2:$J$8,2,FALSE),0),
IF(AX226="K",VLOOKUP(K226,Foundation_Calc!$K$117:$R$151,VLOOKUP(AW226,Foundation_Calc!$I$2:$J$8,2,FALSE),0),"")))</f>
        <v/>
      </c>
      <c r="BA226" s="495" t="str">
        <f t="shared" si="20"/>
        <v>ü</v>
      </c>
      <c r="BB226" s="495" t="str">
        <f t="shared" si="21"/>
        <v/>
      </c>
      <c r="BC226" s="495" t="str">
        <f t="shared" si="22"/>
        <v/>
      </c>
      <c r="BD226" s="513" t="str">
        <f>IF(AND(L226="",H226=""),"",
IF(H226="",Pole_Calc!A$9,
IF(H226="MP",Pole_Calc!A$10,
IF(H226="AnMP",Pole_Calc!A$11,
IF(H226="A",Pole_Calc!A$12,
IF(H226="S/A",Pole_Calc!A$13,
IF(H226="A/S",Pole_Calc!A$14,"Poner a mano")))))))</f>
        <v>App.7-V11I-P9.5.1.6</v>
      </c>
      <c r="BE226" s="429" t="s">
        <v>118</v>
      </c>
      <c r="BF226" s="289"/>
      <c r="BG226" s="289"/>
      <c r="BH226" s="290"/>
      <c r="BI226" s="289"/>
    </row>
    <row r="227" spans="1:61" ht="16.149999999999999" customHeight="1">
      <c r="A227" s="514" t="s">
        <v>199</v>
      </c>
      <c r="B227" s="450"/>
      <c r="C227" s="3"/>
      <c r="D227" s="83"/>
      <c r="E227" s="4"/>
      <c r="F227" s="4"/>
      <c r="G227" s="6">
        <v>44</v>
      </c>
      <c r="H227" s="449"/>
      <c r="I227" s="4"/>
      <c r="J227" s="3">
        <f>C226+7.5</f>
        <v>35632.050000000003</v>
      </c>
      <c r="K227" s="449" t="s">
        <v>117</v>
      </c>
      <c r="L227" s="449"/>
      <c r="M227" s="449" t="str">
        <f>IF(L227="","",
IF(AX227="PT",VLOOKUP(L227,Foundation_Calc!$V$79:$X$113,VLOOKUP(AX227,Foundation_Calc!$I$10:$J$13,2,FALSE),0),
IF(AX227="K",VLOOKUP(L227,Foundation_Calc!$V$117:$X$151,VLOOKUP(AX227,Foundation_Calc!$I$10:$J$13,2,FALSE),0),"")))</f>
        <v/>
      </c>
      <c r="N227" s="449"/>
      <c r="O227" s="449"/>
      <c r="P227" s="449"/>
      <c r="Q227" s="4"/>
      <c r="R227" s="6"/>
      <c r="S227" s="6"/>
      <c r="T227" s="4"/>
      <c r="U227" s="4"/>
      <c r="V227" s="4"/>
      <c r="W227" s="572"/>
      <c r="X227" s="9"/>
      <c r="Y227" s="9"/>
      <c r="Z227" s="9"/>
      <c r="AA227" s="9"/>
      <c r="AB227" s="9"/>
      <c r="AC227" s="449" t="str">
        <f t="shared" si="29"/>
        <v/>
      </c>
      <c r="AD227" s="449"/>
      <c r="AE227" s="449"/>
      <c r="AF227" s="4"/>
      <c r="AG227" s="83"/>
      <c r="AH227" s="4"/>
      <c r="AI227" s="4"/>
      <c r="AJ227" s="449"/>
      <c r="AK227" s="449"/>
      <c r="AL227" s="449"/>
      <c r="AM227" s="449"/>
      <c r="AN227" s="10"/>
      <c r="AO227" s="9"/>
      <c r="AP227" s="9"/>
      <c r="AQ227" s="9">
        <f>+FL_1($T$228,$T$226,$G$227,1200,9.28, 1*$F$228)</f>
        <v>0.35078837199999996</v>
      </c>
      <c r="AR227" s="9"/>
      <c r="AS227" s="9"/>
      <c r="AT227" s="9"/>
      <c r="AU227" s="428"/>
      <c r="AV227" s="428"/>
      <c r="AW227" s="449" t="str">
        <f>IF(C227&gt;0,VLOOKUP(C227,Foundation_Calc!$A$2:$C$13,3,1),
IF(J227&gt;0,VLOOKUP(J227,Foundation_Calc!$A$2:$C$13,3,1),""))</f>
        <v>Multi Soil</v>
      </c>
      <c r="AX227" s="449" t="str">
        <f>IF(C227&gt;0,VLOOKUP(C227,Foundation_Calc!$E$35:$G$65,3,1),
IF(J227&gt;0,VLOOKUP(J227,Foundation_Calc!$E$35:$G$65,3,1),""))</f>
        <v>PT</v>
      </c>
      <c r="AY227" s="10" t="str">
        <f>IF(L227="","",
IF(AX227="PT",VLOOKUP(L227,Foundation_Calc!$K$79:$R$113,VLOOKUP(AW227,Foundation_Calc!$I$2:$J$8,2,FALSE),0),
IF(AX227="K",VLOOKUP(L227,Foundation_Calc!$K$117:$R$151,VLOOKUP(AW227,Foundation_Calc!$I$2:$J$8,2,FALSE),0),"")))</f>
        <v/>
      </c>
      <c r="AZ227" s="10">
        <f>IF(K227="","",
IF(AX227="PT",VLOOKUP(K227,Foundation_Calc!$K$79:$R$113,VLOOKUP(AW227,Foundation_Calc!$I$2:$J$8,2,FALSE),0),
IF(AX227="K",VLOOKUP(K227,Foundation_Calc!$K$117:$R$151,VLOOKUP(AW227,Foundation_Calc!$I$2:$J$8,2,FALSE),0),"")))</f>
        <v>3.9</v>
      </c>
      <c r="BA227" s="495" t="str">
        <f t="shared" si="20"/>
        <v/>
      </c>
      <c r="BB227" s="495" t="str">
        <f t="shared" si="21"/>
        <v>ü</v>
      </c>
      <c r="BC227" s="495" t="str">
        <f t="shared" si="22"/>
        <v/>
      </c>
      <c r="BD227" s="513" t="str">
        <f>IF(AND(L227="",H227=""),"",
IF(H227="",Pole_Calc!A$9,
IF(H227="MP",Pole_Calc!A$10,
IF(H227="AnMP",Pole_Calc!A$11,
IF(H227="A",Pole_Calc!A$12,
IF(H227="S/A",Pole_Calc!A$13,
IF(H227="A/S",Pole_Calc!A$14,"Poner a mano")))))))</f>
        <v/>
      </c>
      <c r="BE227" s="429" t="s">
        <v>118</v>
      </c>
      <c r="BF227" s="290"/>
      <c r="BG227" s="290"/>
      <c r="BH227" s="290"/>
      <c r="BI227" s="290"/>
    </row>
    <row r="228" spans="1:61" ht="16.149999999999999" customHeight="1">
      <c r="A228" s="514"/>
      <c r="B228" s="450" t="s">
        <v>1053</v>
      </c>
      <c r="C228" s="3">
        <f>+$C$226+$G$227</f>
        <v>35668.550000000003</v>
      </c>
      <c r="D228" s="83"/>
      <c r="E228" s="4"/>
      <c r="F228" s="4">
        <v>0</v>
      </c>
      <c r="G228" s="6"/>
      <c r="H228" s="449"/>
      <c r="I228" s="4"/>
      <c r="J228" s="3"/>
      <c r="K228" s="449"/>
      <c r="L228" s="449" t="s">
        <v>153</v>
      </c>
      <c r="M228" s="449" t="str">
        <f>IF(L228="","",
IF(AX228="PT",VLOOKUP(L228,Foundation_Calc!$V$79:$X$113,VLOOKUP(AX228,Foundation_Calc!$I$10:$J$13,2,FALSE),0),
IF(AX228="K",VLOOKUP(L228,Foundation_Calc!$V$117:$X$151,VLOOKUP(AX228,Foundation_Calc!$I$10:$J$13,2,FALSE),0),"")))</f>
        <v>C3R</v>
      </c>
      <c r="N228" s="449" t="s">
        <v>134</v>
      </c>
      <c r="O228" s="449"/>
      <c r="P228" s="449"/>
      <c r="Q228" s="4"/>
      <c r="R228" s="6"/>
      <c r="S228" s="6"/>
      <c r="T228" s="4">
        <v>35</v>
      </c>
      <c r="U228" s="4"/>
      <c r="V228" s="4"/>
      <c r="W228" s="572">
        <v>0.6</v>
      </c>
      <c r="X228" s="9"/>
      <c r="Y228" s="9"/>
      <c r="Z228" s="9"/>
      <c r="AA228" s="9"/>
      <c r="AB228" s="9"/>
      <c r="AC228" s="449" t="str">
        <f t="shared" si="29"/>
        <v>PHQ</v>
      </c>
      <c r="AD228" s="449"/>
      <c r="AE228" s="449"/>
      <c r="AF228" s="4"/>
      <c r="AG228" s="83"/>
      <c r="AH228" s="4"/>
      <c r="AI228" s="4"/>
      <c r="AJ228" s="449"/>
      <c r="AK228" s="449"/>
      <c r="AL228" s="449"/>
      <c r="AM228" s="449" t="s">
        <v>126</v>
      </c>
      <c r="AN228" s="10">
        <v>5.15</v>
      </c>
      <c r="AO228" s="9"/>
      <c r="AP228" s="9"/>
      <c r="AQ228" s="9"/>
      <c r="AR228" s="9"/>
      <c r="AS228" s="9"/>
      <c r="AT228" s="9">
        <f>+ab($T$228,$T$226,$T$230,$G$227,$G$229, 1*$F$228,1200)</f>
        <v>6.0087777218652709</v>
      </c>
      <c r="AU228" s="428"/>
      <c r="AV228" s="428"/>
      <c r="AW228" s="449" t="str">
        <f>IF(C228&gt;0,VLOOKUP(C228,Foundation_Calc!$A$2:$C$13,3,1),
IF(J228&gt;0,VLOOKUP(J228,Foundation_Calc!$A$2:$C$13,3,1),""))</f>
        <v>Multi Soil</v>
      </c>
      <c r="AX228" s="449" t="str">
        <f>IF(C228&gt;0,VLOOKUP(C228,Foundation_Calc!$E$35:$G$65,3,1),
IF(J228&gt;0,VLOOKUP(J228,Foundation_Calc!$E$35:$G$65,3,1),""))</f>
        <v>PT</v>
      </c>
      <c r="AY228" s="10">
        <f>IF(L228="","",
IF(AX228="PT",VLOOKUP(L228,Foundation_Calc!$K$79:$R$113,VLOOKUP(AW228,Foundation_Calc!$I$2:$J$8,2,FALSE),0),
IF(AX228="K",VLOOKUP(L228,Foundation_Calc!$K$117:$R$151,VLOOKUP(AW228,Foundation_Calc!$I$2:$J$8,2,FALSE),0),"")))</f>
        <v>3.5</v>
      </c>
      <c r="AZ228" s="10" t="str">
        <f>IF(K228="","",
IF(AX228="PT",VLOOKUP(K228,Foundation_Calc!$K$79:$R$113,VLOOKUP(AW228,Foundation_Calc!$I$2:$J$8,2,FALSE),0),
IF(AX228="K",VLOOKUP(K228,Foundation_Calc!$K$117:$R$151,VLOOKUP(AW228,Foundation_Calc!$I$2:$J$8,2,FALSE),0),"")))</f>
        <v/>
      </c>
      <c r="BA228" s="495" t="str">
        <f t="shared" si="20"/>
        <v>ü</v>
      </c>
      <c r="BB228" s="495" t="str">
        <f t="shared" si="21"/>
        <v/>
      </c>
      <c r="BC228" s="495" t="str">
        <f t="shared" si="22"/>
        <v/>
      </c>
      <c r="BD228" s="513" t="str">
        <f>IF(AND(L228="",H228=""),"",
IF(H228="",Pole_Calc!A$9,
IF(H228="MP",Pole_Calc!A$10,
IF(H228="AnMP",Pole_Calc!A$11,
IF(H228="A",Pole_Calc!A$12,
IF(H228="S/A",Pole_Calc!A$13,
IF(H228="A/S",Pole_Calc!A$14,"Poner a mano")))))))</f>
        <v>App.7-V11I-P9.5.1.1</v>
      </c>
      <c r="BE228" s="429" t="s">
        <v>118</v>
      </c>
      <c r="BF228" s="289"/>
      <c r="BG228" s="289"/>
      <c r="BH228" s="290"/>
      <c r="BI228" s="289"/>
    </row>
    <row r="229" spans="1:61" ht="16.149999999999999" customHeight="1">
      <c r="A229" s="514"/>
      <c r="B229" s="450"/>
      <c r="C229" s="3"/>
      <c r="D229" s="83"/>
      <c r="E229" s="4"/>
      <c r="F229" s="4"/>
      <c r="G229" s="6">
        <v>44</v>
      </c>
      <c r="H229" s="449"/>
      <c r="I229" s="4"/>
      <c r="J229" s="3"/>
      <c r="K229" s="449"/>
      <c r="L229" s="449"/>
      <c r="M229" s="449" t="str">
        <f>IF(L229="","",
IF(AX229="PT",VLOOKUP(L229,Foundation_Calc!$V$79:$X$113,VLOOKUP(AX229,Foundation_Calc!$I$10:$J$13,2,FALSE),0),
IF(AX229="K",VLOOKUP(L229,Foundation_Calc!$V$117:$X$151,VLOOKUP(AX229,Foundation_Calc!$I$10:$J$13,2,FALSE),0),"")))</f>
        <v/>
      </c>
      <c r="N229" s="449"/>
      <c r="O229" s="449"/>
      <c r="P229" s="449"/>
      <c r="Q229" s="4"/>
      <c r="R229" s="6"/>
      <c r="S229" s="6"/>
      <c r="T229" s="4"/>
      <c r="U229" s="4"/>
      <c r="V229" s="4"/>
      <c r="W229" s="572"/>
      <c r="X229" s="9"/>
      <c r="Y229" s="9"/>
      <c r="Z229" s="9"/>
      <c r="AA229" s="9"/>
      <c r="AB229" s="9"/>
      <c r="AC229" s="449" t="str">
        <f t="shared" si="29"/>
        <v/>
      </c>
      <c r="AD229" s="449"/>
      <c r="AE229" s="449"/>
      <c r="AF229" s="4"/>
      <c r="AG229" s="83"/>
      <c r="AH229" s="4"/>
      <c r="AI229" s="4"/>
      <c r="AJ229" s="449"/>
      <c r="AK229" s="449"/>
      <c r="AL229" s="449"/>
      <c r="AM229" s="449"/>
      <c r="AN229" s="10"/>
      <c r="AO229" s="9"/>
      <c r="AP229" s="9"/>
      <c r="AQ229" s="9">
        <f>+FL_1($T$230,$T$228,$G$229,1200,9.28, 1*$F$230)</f>
        <v>0.36212499951457344</v>
      </c>
      <c r="AR229" s="9"/>
      <c r="AS229" s="9"/>
      <c r="AT229" s="9"/>
      <c r="AU229" s="428"/>
      <c r="AV229" s="428"/>
      <c r="AW229" s="449" t="str">
        <f>IF(C229&gt;0,VLOOKUP(C229,Foundation_Calc!$A$2:$C$13,3,1),
IF(J229&gt;0,VLOOKUP(J229,Foundation_Calc!$A$2:$C$13,3,1),""))</f>
        <v/>
      </c>
      <c r="AX229" s="449" t="str">
        <f>IF(C229&gt;0,VLOOKUP(C229,Foundation_Calc!$E$35:$G$65,3,1),
IF(J229&gt;0,VLOOKUP(J229,Foundation_Calc!$E$35:$G$65,3,1),""))</f>
        <v/>
      </c>
      <c r="AY229" s="10" t="str">
        <f>IF(L229="","",
IF(AX229="PT",VLOOKUP(L229,Foundation_Calc!$K$79:$R$113,VLOOKUP(AW229,Foundation_Calc!$I$2:$J$8,2,FALSE),0),
IF(AX229="K",VLOOKUP(L229,Foundation_Calc!$K$117:$R$151,VLOOKUP(AW229,Foundation_Calc!$I$2:$J$8,2,FALSE),0),"")))</f>
        <v/>
      </c>
      <c r="AZ229" s="10" t="str">
        <f>IF(K229="","",
IF(AX229="PT",VLOOKUP(K229,Foundation_Calc!$K$79:$R$113,VLOOKUP(AW229,Foundation_Calc!$I$2:$J$8,2,FALSE),0),
IF(AX229="K",VLOOKUP(K229,Foundation_Calc!$K$117:$R$151,VLOOKUP(AW229,Foundation_Calc!$I$2:$J$8,2,FALSE),0),"")))</f>
        <v/>
      </c>
      <c r="BA229" s="495" t="str">
        <f t="shared" ref="BA229:BA292" si="32">IF(AY229="","",IF(AY229&gt;0,"ü",""))</f>
        <v/>
      </c>
      <c r="BB229" s="495" t="str">
        <f t="shared" ref="BB229:BB292" si="33">IF(AZ229="","",IF(AZ229&gt;0,"ü",""))</f>
        <v/>
      </c>
      <c r="BC229" s="495" t="str">
        <f t="shared" ref="BC229:BC292" si="34">IF(M229="","",IF(M229="U.S.","ü",IF(M229="U.S. N.D.","ü","")))</f>
        <v/>
      </c>
      <c r="BD229" s="513" t="str">
        <f>IF(AND(L229="",H229=""),"",
IF(H229="",Pole_Calc!A$9,
IF(H229="MP",Pole_Calc!A$10,
IF(H229="AnMP",Pole_Calc!A$11,
IF(H229="A",Pole_Calc!A$12,
IF(H229="S/A",Pole_Calc!A$13,
IF(H229="A/S",Pole_Calc!A$14,"Poner a mano")))))))</f>
        <v/>
      </c>
      <c r="BE229" s="429" t="s">
        <v>118</v>
      </c>
      <c r="BF229" s="290"/>
      <c r="BG229" s="290"/>
      <c r="BH229" s="290"/>
      <c r="BI229" s="290"/>
    </row>
    <row r="230" spans="1:61" ht="16.149999999999999" customHeight="1">
      <c r="A230" s="514"/>
      <c r="B230" s="450" t="s">
        <v>1054</v>
      </c>
      <c r="C230" s="3">
        <f>+$C$228+$G$229</f>
        <v>35712.550000000003</v>
      </c>
      <c r="D230" s="83"/>
      <c r="E230" s="4"/>
      <c r="F230" s="4">
        <v>-5993.5370152767609</v>
      </c>
      <c r="G230" s="6"/>
      <c r="H230" s="449"/>
      <c r="I230" s="4"/>
      <c r="J230" s="3"/>
      <c r="K230" s="449"/>
      <c r="L230" s="449" t="s">
        <v>153</v>
      </c>
      <c r="M230" s="449" t="str">
        <f>IF(L230="","",
IF(AX230="PT",VLOOKUP(L230,Foundation_Calc!$V$79:$X$113,VLOOKUP(AX230,Foundation_Calc!$I$10:$J$13,2,FALSE),0),
IF(AX230="K",VLOOKUP(L230,Foundation_Calc!$V$117:$X$151,VLOOKUP(AX230,Foundation_Calc!$I$10:$J$13,2,FALSE),0),"")))</f>
        <v>C3R</v>
      </c>
      <c r="N230" s="449" t="s">
        <v>124</v>
      </c>
      <c r="O230" s="449"/>
      <c r="P230" s="449"/>
      <c r="Q230" s="4"/>
      <c r="R230" s="6"/>
      <c r="S230" s="6"/>
      <c r="T230" s="4">
        <v>-35</v>
      </c>
      <c r="U230" s="4"/>
      <c r="V230" s="4"/>
      <c r="W230" s="572">
        <v>0.9</v>
      </c>
      <c r="X230" s="9"/>
      <c r="Y230" s="9"/>
      <c r="Z230" s="9"/>
      <c r="AA230" s="9"/>
      <c r="AB230" s="9"/>
      <c r="AC230" s="449" t="str">
        <f t="shared" si="29"/>
        <v>PHQ</v>
      </c>
      <c r="AD230" s="449"/>
      <c r="AE230" s="449"/>
      <c r="AF230" s="4"/>
      <c r="AG230" s="83"/>
      <c r="AH230" s="4"/>
      <c r="AI230" s="4"/>
      <c r="AJ230" s="449"/>
      <c r="AK230" s="449"/>
      <c r="AL230" s="449"/>
      <c r="AM230" s="449" t="s">
        <v>126</v>
      </c>
      <c r="AN230" s="10">
        <f>AN228+0.06</f>
        <v>5.21</v>
      </c>
      <c r="AO230" s="9"/>
      <c r="AP230" s="9"/>
      <c r="AQ230" s="9"/>
      <c r="AR230" s="9"/>
      <c r="AS230" s="9"/>
      <c r="AT230" s="9">
        <f>+ab($T$230,$T$228,$T$232,$G$229,$G$231, 1*$F$230,1200)</f>
        <v>-7.4341350654913665</v>
      </c>
      <c r="AU230" s="428"/>
      <c r="AV230" s="428"/>
      <c r="AW230" s="449" t="str">
        <f>IF(C230&gt;0,VLOOKUP(C230,Foundation_Calc!$A$2:$C$13,3,1),
IF(J230&gt;0,VLOOKUP(J230,Foundation_Calc!$A$2:$C$13,3,1),""))</f>
        <v>Multi Soil</v>
      </c>
      <c r="AX230" s="449" t="str">
        <f>IF(C230&gt;0,VLOOKUP(C230,Foundation_Calc!$E$35:$G$65,3,1),
IF(J230&gt;0,VLOOKUP(J230,Foundation_Calc!$E$35:$G$65,3,1),""))</f>
        <v>PT</v>
      </c>
      <c r="AY230" s="10">
        <f>IF(L230="","",
IF(AX230="PT",VLOOKUP(L230,Foundation_Calc!$K$79:$R$113,VLOOKUP(AW230,Foundation_Calc!$I$2:$J$8,2,FALSE),0),
IF(AX230="K",VLOOKUP(L230,Foundation_Calc!$K$117:$R$151,VLOOKUP(AW230,Foundation_Calc!$I$2:$J$8,2,FALSE),0),"")))</f>
        <v>3.5</v>
      </c>
      <c r="AZ230" s="10" t="str">
        <f>IF(K230="","",
IF(AX230="PT",VLOOKUP(K230,Foundation_Calc!$K$79:$R$113,VLOOKUP(AW230,Foundation_Calc!$I$2:$J$8,2,FALSE),0),
IF(AX230="K",VLOOKUP(K230,Foundation_Calc!$K$117:$R$151,VLOOKUP(AW230,Foundation_Calc!$I$2:$J$8,2,FALSE),0),"")))</f>
        <v/>
      </c>
      <c r="BA230" s="495" t="str">
        <f t="shared" si="32"/>
        <v>ü</v>
      </c>
      <c r="BB230" s="495" t="str">
        <f t="shared" si="33"/>
        <v/>
      </c>
      <c r="BC230" s="495" t="str">
        <f t="shared" si="34"/>
        <v/>
      </c>
      <c r="BD230" s="513" t="str">
        <f>IF(AND(L230="",H230=""),"",
IF(H230="",Pole_Calc!A$9,
IF(H230="MP",Pole_Calc!A$10,
IF(H230="AnMP",Pole_Calc!A$11,
IF(H230="A",Pole_Calc!A$12,
IF(H230="S/A",Pole_Calc!A$13,
IF(H230="A/S",Pole_Calc!A$14,"Poner a mano")))))))</f>
        <v>App.7-V11I-P9.5.1.1</v>
      </c>
      <c r="BE230" s="429" t="s">
        <v>118</v>
      </c>
      <c r="BF230" s="289"/>
      <c r="BG230" s="289"/>
      <c r="BH230" s="290"/>
      <c r="BI230" s="289"/>
    </row>
    <row r="231" spans="1:61" ht="16.149999999999999" customHeight="1">
      <c r="A231" s="514"/>
      <c r="B231" s="450"/>
      <c r="C231" s="3"/>
      <c r="D231" s="83"/>
      <c r="E231" s="4"/>
      <c r="F231" s="4"/>
      <c r="G231" s="6">
        <v>48</v>
      </c>
      <c r="H231" s="449"/>
      <c r="I231" s="4"/>
      <c r="J231" s="3"/>
      <c r="K231" s="449"/>
      <c r="L231" s="449"/>
      <c r="M231" s="449" t="str">
        <f>IF(L231="","",
IF(AX231="PT",VLOOKUP(L231,Foundation_Calc!$V$79:$X$113,VLOOKUP(AX231,Foundation_Calc!$I$10:$J$13,2,FALSE),0),
IF(AX231="K",VLOOKUP(L231,Foundation_Calc!$V$117:$X$151,VLOOKUP(AX231,Foundation_Calc!$I$10:$J$13,2,FALSE),0),"")))</f>
        <v/>
      </c>
      <c r="N231" s="449"/>
      <c r="O231" s="449"/>
      <c r="P231" s="449"/>
      <c r="Q231" s="4"/>
      <c r="R231" s="6"/>
      <c r="S231" s="6"/>
      <c r="T231" s="4"/>
      <c r="U231" s="4"/>
      <c r="V231" s="4"/>
      <c r="W231" s="9"/>
      <c r="X231" s="9"/>
      <c r="Y231" s="9"/>
      <c r="Z231" s="9"/>
      <c r="AA231" s="9"/>
      <c r="AB231" s="9"/>
      <c r="AC231" s="449" t="str">
        <f t="shared" si="29"/>
        <v/>
      </c>
      <c r="AD231" s="449"/>
      <c r="AE231" s="449"/>
      <c r="AF231" s="4"/>
      <c r="AG231" s="83"/>
      <c r="AH231" s="4"/>
      <c r="AI231" s="4"/>
      <c r="AJ231" s="449"/>
      <c r="AK231" s="449"/>
      <c r="AL231" s="449"/>
      <c r="AM231" s="449"/>
      <c r="AN231" s="10"/>
      <c r="AO231" s="9"/>
      <c r="AP231" s="9"/>
      <c r="AQ231" s="9">
        <f>+FL_2($T$232,$T$230,$G$231,1200,9.28, 1*$F$232)</f>
        <v>-0.42564845703084297</v>
      </c>
      <c r="AR231" s="9"/>
      <c r="AS231" s="9"/>
      <c r="AT231" s="9"/>
      <c r="AU231" s="428"/>
      <c r="AV231" s="428"/>
      <c r="AW231" s="449" t="str">
        <f>IF(C231&gt;0,VLOOKUP(C231,Foundation_Calc!$A$2:$C$13,3,1),
IF(J231&gt;0,VLOOKUP(J231,Foundation_Calc!$A$2:$C$13,3,1),""))</f>
        <v/>
      </c>
      <c r="AX231" s="449" t="str">
        <f>IF(C231&gt;0,VLOOKUP(C231,Foundation_Calc!$E$35:$G$65,3,1),
IF(J231&gt;0,VLOOKUP(J231,Foundation_Calc!$E$35:$G$65,3,1),""))</f>
        <v/>
      </c>
      <c r="AY231" s="10" t="str">
        <f>IF(L231="","",
IF(AX231="PT",VLOOKUP(L231,Foundation_Calc!$K$79:$R$113,VLOOKUP(AW231,Foundation_Calc!$I$2:$J$8,2,FALSE),0),
IF(AX231="K",VLOOKUP(L231,Foundation_Calc!$K$117:$R$151,VLOOKUP(AW231,Foundation_Calc!$I$2:$J$8,2,FALSE),0),"")))</f>
        <v/>
      </c>
      <c r="AZ231" s="10" t="str">
        <f>IF(K231="","",
IF(AX231="PT",VLOOKUP(K231,Foundation_Calc!$K$79:$R$113,VLOOKUP(AW231,Foundation_Calc!$I$2:$J$8,2,FALSE),0),
IF(AX231="K",VLOOKUP(K231,Foundation_Calc!$K$117:$R$151,VLOOKUP(AW231,Foundation_Calc!$I$2:$J$8,2,FALSE),0),"")))</f>
        <v/>
      </c>
      <c r="BA231" s="495" t="str">
        <f t="shared" si="32"/>
        <v/>
      </c>
      <c r="BB231" s="495" t="str">
        <f t="shared" si="33"/>
        <v/>
      </c>
      <c r="BC231" s="495" t="str">
        <f t="shared" si="34"/>
        <v/>
      </c>
      <c r="BD231" s="513" t="str">
        <f>IF(AND(L231="",H231=""),"",
IF(H231="",Pole_Calc!A$9,
IF(H231="MP",Pole_Calc!A$10,
IF(H231="AnMP",Pole_Calc!A$11,
IF(H231="A",Pole_Calc!A$12,
IF(H231="S/A",Pole_Calc!A$13,
IF(H231="A/S",Pole_Calc!A$14,"Poner a mano")))))))</f>
        <v/>
      </c>
      <c r="BE231" s="429" t="s">
        <v>118</v>
      </c>
      <c r="BF231" s="290"/>
      <c r="BG231" s="290"/>
      <c r="BH231" s="290"/>
      <c r="BI231" s="290"/>
    </row>
    <row r="232" spans="1:61" ht="16.149999999999999" customHeight="1">
      <c r="A232" s="514"/>
      <c r="B232" s="450" t="s">
        <v>1055</v>
      </c>
      <c r="C232" s="3">
        <f>+$C$230+$G$231</f>
        <v>35760.550000000003</v>
      </c>
      <c r="D232" s="83"/>
      <c r="E232" s="4"/>
      <c r="F232" s="4">
        <v>-2816.3997791276897</v>
      </c>
      <c r="G232" s="6"/>
      <c r="H232" s="449"/>
      <c r="I232" s="4"/>
      <c r="J232" s="3"/>
      <c r="K232" s="449"/>
      <c r="L232" s="449" t="s">
        <v>153</v>
      </c>
      <c r="M232" s="449" t="str">
        <f>IF(L232="","",
IF(AX232="PT",VLOOKUP(L232,Foundation_Calc!$V$79:$X$113,VLOOKUP(AX232,Foundation_Calc!$I$10:$J$13,2,FALSE),0),
IF(AX232="K",VLOOKUP(L232,Foundation_Calc!$V$117:$X$151,VLOOKUP(AX232,Foundation_Calc!$I$10:$J$13,2,FALSE),0),"")))</f>
        <v>C3R</v>
      </c>
      <c r="N232" s="449" t="s">
        <v>124</v>
      </c>
      <c r="O232" s="449"/>
      <c r="P232" s="449"/>
      <c r="Q232" s="4"/>
      <c r="R232" s="6"/>
      <c r="S232" s="6"/>
      <c r="T232" s="4">
        <v>-25</v>
      </c>
      <c r="U232" s="4"/>
      <c r="V232" s="4"/>
      <c r="W232" s="572">
        <v>1.2</v>
      </c>
      <c r="X232" s="9"/>
      <c r="Y232" s="9"/>
      <c r="Z232" s="9"/>
      <c r="AA232" s="9"/>
      <c r="AB232" s="9"/>
      <c r="AC232" s="449" t="str">
        <f t="shared" si="29"/>
        <v>PH</v>
      </c>
      <c r="AD232" s="449"/>
      <c r="AE232" s="449"/>
      <c r="AF232" s="4"/>
      <c r="AG232" s="83"/>
      <c r="AH232" s="4"/>
      <c r="AI232" s="4"/>
      <c r="AJ232" s="449"/>
      <c r="AK232" s="449"/>
      <c r="AL232" s="449"/>
      <c r="AM232" s="449" t="s">
        <v>126</v>
      </c>
      <c r="AN232" s="10">
        <f>AN230+0.11</f>
        <v>5.32</v>
      </c>
      <c r="AO232" s="9"/>
      <c r="AP232" s="9"/>
      <c r="AQ232" s="9"/>
      <c r="AR232" s="9"/>
      <c r="AS232" s="9"/>
      <c r="AT232" s="9">
        <f>+ab($T$232,$T$230,$T$234,$G$231,$G$233, 1*$F$232,1200)</f>
        <v>-13.168358031503455</v>
      </c>
      <c r="AU232" s="428"/>
      <c r="AV232" s="428"/>
      <c r="AW232" s="449" t="str">
        <f>IF(C232&gt;0,VLOOKUP(C232,Foundation_Calc!$A$2:$C$13,3,1),
IF(J232&gt;0,VLOOKUP(J232,Foundation_Calc!$A$2:$C$13,3,1),""))</f>
        <v>Multi Soil</v>
      </c>
      <c r="AX232" s="449" t="str">
        <f>IF(C232&gt;0,VLOOKUP(C232,Foundation_Calc!$E$35:$G$65,3,1),
IF(J232&gt;0,VLOOKUP(J232,Foundation_Calc!$E$35:$G$65,3,1),""))</f>
        <v>PT</v>
      </c>
      <c r="AY232" s="10">
        <f>IF(L232="","",
IF(AX232="PT",VLOOKUP(L232,Foundation_Calc!$K$79:$R$113,VLOOKUP(AW232,Foundation_Calc!$I$2:$J$8,2,FALSE),0),
IF(AX232="K",VLOOKUP(L232,Foundation_Calc!$K$117:$R$151,VLOOKUP(AW232,Foundation_Calc!$I$2:$J$8,2,FALSE),0),"")))</f>
        <v>3.5</v>
      </c>
      <c r="AZ232" s="10" t="str">
        <f>IF(K232="","",
IF(AX232="PT",VLOOKUP(K232,Foundation_Calc!$K$79:$R$113,VLOOKUP(AW232,Foundation_Calc!$I$2:$J$8,2,FALSE),0),
IF(AX232="K",VLOOKUP(K232,Foundation_Calc!$K$117:$R$151,VLOOKUP(AW232,Foundation_Calc!$I$2:$J$8,2,FALSE),0),"")))</f>
        <v/>
      </c>
      <c r="BA232" s="495" t="str">
        <f t="shared" si="32"/>
        <v>ü</v>
      </c>
      <c r="BB232" s="495" t="str">
        <f t="shared" si="33"/>
        <v/>
      </c>
      <c r="BC232" s="495" t="str">
        <f t="shared" si="34"/>
        <v/>
      </c>
      <c r="BD232" s="513" t="str">
        <f>IF(AND(L232="",H232=""),"",
IF(H232="",Pole_Calc!A$9,
IF(H232="MP",Pole_Calc!A$10,
IF(H232="AnMP",Pole_Calc!A$11,
IF(H232="A",Pole_Calc!A$12,
IF(H232="S/A",Pole_Calc!A$13,
IF(H232="A/S",Pole_Calc!A$14,"Poner a mano")))))))</f>
        <v>App.7-V11I-P9.5.1.1</v>
      </c>
      <c r="BE232" s="429" t="s">
        <v>118</v>
      </c>
      <c r="BF232" s="289"/>
      <c r="BG232" s="289"/>
      <c r="BH232" s="290"/>
      <c r="BI232" s="289"/>
    </row>
    <row r="233" spans="1:61" ht="16.149999999999999" customHeight="1">
      <c r="A233" s="514"/>
      <c r="B233" s="450"/>
      <c r="C233" s="3"/>
      <c r="D233" s="83"/>
      <c r="E233" s="4"/>
      <c r="F233" s="4"/>
      <c r="G233" s="6">
        <v>50</v>
      </c>
      <c r="H233" s="449"/>
      <c r="I233" s="4"/>
      <c r="J233" s="3"/>
      <c r="K233" s="449"/>
      <c r="L233" s="449"/>
      <c r="M233" s="449" t="str">
        <f>IF(L233="","",
IF(AX233="PT",VLOOKUP(L233,Foundation_Calc!$V$79:$X$113,VLOOKUP(AX233,Foundation_Calc!$I$10:$J$13,2,FALSE),0),
IF(AX233="K",VLOOKUP(L233,Foundation_Calc!$V$117:$X$151,VLOOKUP(AX233,Foundation_Calc!$I$10:$J$13,2,FALSE),0),"")))</f>
        <v/>
      </c>
      <c r="N233" s="449"/>
      <c r="O233" s="449"/>
      <c r="P233" s="449"/>
      <c r="Q233" s="4"/>
      <c r="R233" s="6"/>
      <c r="S233" s="6"/>
      <c r="T233" s="4"/>
      <c r="U233" s="4"/>
      <c r="V233" s="4"/>
      <c r="W233" s="9"/>
      <c r="X233" s="9"/>
      <c r="Y233" s="9"/>
      <c r="Z233" s="9"/>
      <c r="AA233" s="9"/>
      <c r="AB233" s="9"/>
      <c r="AC233" s="449" t="str">
        <f t="shared" si="29"/>
        <v/>
      </c>
      <c r="AD233" s="449"/>
      <c r="AE233" s="449"/>
      <c r="AF233" s="4"/>
      <c r="AG233" s="83"/>
      <c r="AH233" s="4"/>
      <c r="AI233" s="4"/>
      <c r="AJ233" s="449"/>
      <c r="AK233" s="449"/>
      <c r="AL233" s="449"/>
      <c r="AM233" s="449"/>
      <c r="AN233" s="10"/>
      <c r="AO233" s="9"/>
      <c r="AP233" s="9"/>
      <c r="AQ233" s="9">
        <f>+FL_2($T$234,$T$232,$G$233,1200,9.28, 1*$F$234)</f>
        <v>-0.34668336593042448</v>
      </c>
      <c r="AR233" s="9"/>
      <c r="AS233" s="9"/>
      <c r="AT233" s="9"/>
      <c r="AU233" s="428"/>
      <c r="AV233" s="428"/>
      <c r="AW233" s="449" t="str">
        <f>IF(C233&gt;0,VLOOKUP(C233,Foundation_Calc!$A$2:$C$13,3,1),
IF(J233&gt;0,VLOOKUP(J233,Foundation_Calc!$A$2:$C$13,3,1),""))</f>
        <v/>
      </c>
      <c r="AX233" s="449" t="str">
        <f>IF(C233&gt;0,VLOOKUP(C233,Foundation_Calc!$E$35:$G$65,3,1),
IF(J233&gt;0,VLOOKUP(J233,Foundation_Calc!$E$35:$G$65,3,1),""))</f>
        <v/>
      </c>
      <c r="AY233" s="10" t="str">
        <f>IF(L233="","",
IF(AX233="PT",VLOOKUP(L233,Foundation_Calc!$K$79:$R$113,VLOOKUP(AW233,Foundation_Calc!$I$2:$J$8,2,FALSE),0),
IF(AX233="K",VLOOKUP(L233,Foundation_Calc!$K$117:$R$151,VLOOKUP(AW233,Foundation_Calc!$I$2:$J$8,2,FALSE),0),"")))</f>
        <v/>
      </c>
      <c r="AZ233" s="10" t="str">
        <f>IF(K233="","",
IF(AX233="PT",VLOOKUP(K233,Foundation_Calc!$K$79:$R$113,VLOOKUP(AW233,Foundation_Calc!$I$2:$J$8,2,FALSE),0),
IF(AX233="K",VLOOKUP(K233,Foundation_Calc!$K$117:$R$151,VLOOKUP(AW233,Foundation_Calc!$I$2:$J$8,2,FALSE),0),"")))</f>
        <v/>
      </c>
      <c r="BA233" s="495" t="str">
        <f t="shared" si="32"/>
        <v/>
      </c>
      <c r="BB233" s="495" t="str">
        <f t="shared" si="33"/>
        <v/>
      </c>
      <c r="BC233" s="495" t="str">
        <f t="shared" si="34"/>
        <v/>
      </c>
      <c r="BD233" s="513" t="str">
        <f>IF(AND(L233="",H233=""),"",
IF(H233="",Pole_Calc!A$9,
IF(H233="MP",Pole_Calc!A$10,
IF(H233="AnMP",Pole_Calc!A$11,
IF(H233="A",Pole_Calc!A$12,
IF(H233="S/A",Pole_Calc!A$13,
IF(H233="A/S",Pole_Calc!A$14,"Poner a mano")))))))</f>
        <v/>
      </c>
      <c r="BE233" s="429" t="s">
        <v>118</v>
      </c>
      <c r="BF233" s="290"/>
      <c r="BG233" s="290"/>
      <c r="BH233" s="290"/>
      <c r="BI233" s="290"/>
    </row>
    <row r="234" spans="1:61" ht="16.149999999999999" customHeight="1">
      <c r="A234" s="514"/>
      <c r="B234" s="450" t="s">
        <v>1056</v>
      </c>
      <c r="C234" s="3">
        <f>+$C$232+$G$233</f>
        <v>35810.550000000003</v>
      </c>
      <c r="D234" s="83"/>
      <c r="E234" s="4"/>
      <c r="F234" s="4">
        <v>-1814.4788331555171</v>
      </c>
      <c r="G234" s="6"/>
      <c r="H234" s="449"/>
      <c r="I234" s="4"/>
      <c r="J234" s="3"/>
      <c r="K234" s="449"/>
      <c r="L234" s="449" t="s">
        <v>158</v>
      </c>
      <c r="M234" s="449" t="str">
        <f>IF(L234="","",
IF(AX234="PT",VLOOKUP(L234,Foundation_Calc!$V$79:$X$113,VLOOKUP(AX234,Foundation_Calc!$I$10:$J$13,2,FALSE),0),
IF(AX234="K",VLOOKUP(L234,Foundation_Calc!$V$117:$X$151,VLOOKUP(AX234,Foundation_Calc!$I$10:$J$13,2,FALSE),0),"")))</f>
        <v>C4R</v>
      </c>
      <c r="N234" s="449" t="s">
        <v>124</v>
      </c>
      <c r="O234" s="449"/>
      <c r="P234" s="449"/>
      <c r="Q234" s="4"/>
      <c r="R234" s="6"/>
      <c r="S234" s="6"/>
      <c r="T234" s="4">
        <v>-30</v>
      </c>
      <c r="U234" s="4"/>
      <c r="V234" s="4"/>
      <c r="W234" s="9">
        <v>1.4</v>
      </c>
      <c r="X234" s="9"/>
      <c r="Y234" s="9"/>
      <c r="Z234" s="9"/>
      <c r="AA234" s="9"/>
      <c r="AB234" s="9"/>
      <c r="AC234" s="449" t="str">
        <f t="shared" si="29"/>
        <v>PHQ</v>
      </c>
      <c r="AD234" s="449"/>
      <c r="AE234" s="449"/>
      <c r="AF234" s="4"/>
      <c r="AG234" s="83"/>
      <c r="AH234" s="4"/>
      <c r="AI234" s="4"/>
      <c r="AJ234" s="449"/>
      <c r="AK234" s="449"/>
      <c r="AL234" s="449"/>
      <c r="AM234" s="449" t="s">
        <v>126</v>
      </c>
      <c r="AN234" s="10">
        <f>AN236-0.07</f>
        <v>5.43</v>
      </c>
      <c r="AO234" s="9"/>
      <c r="AP234" s="9"/>
      <c r="AQ234" s="9"/>
      <c r="AR234" s="9"/>
      <c r="AS234" s="9"/>
      <c r="AT234" s="9">
        <f>+ab($T$234,$T$232,$T$236,$G$233,$G$235, 1*$F$234,1200)</f>
        <v>-6.6892836646587241</v>
      </c>
      <c r="AU234" s="428"/>
      <c r="AV234" s="428"/>
      <c r="AW234" s="449" t="str">
        <f>IF(C234&gt;0,VLOOKUP(C234,Foundation_Calc!$A$2:$C$13,3,1),
IF(J234&gt;0,VLOOKUP(J234,Foundation_Calc!$A$2:$C$13,3,1),""))</f>
        <v>Multi Soil</v>
      </c>
      <c r="AX234" s="449" t="str">
        <f>IF(C234&gt;0,VLOOKUP(C234,Foundation_Calc!$E$35:$G$65,3,1),
IF(J234&gt;0,VLOOKUP(J234,Foundation_Calc!$E$35:$G$65,3,1),""))</f>
        <v>PT</v>
      </c>
      <c r="AY234" s="10">
        <f>IF(L234="","",
IF(AX234="PT",VLOOKUP(L234,Foundation_Calc!$K$79:$R$113,VLOOKUP(AW234,Foundation_Calc!$I$2:$J$8,2,FALSE),0),
IF(AX234="K",VLOOKUP(L234,Foundation_Calc!$K$117:$R$151,VLOOKUP(AW234,Foundation_Calc!$I$2:$J$8,2,FALSE),0),"")))</f>
        <v>3.5</v>
      </c>
      <c r="AZ234" s="10" t="str">
        <f>IF(K234="","",
IF(AX234="PT",VLOOKUP(K234,Foundation_Calc!$K$79:$R$113,VLOOKUP(AW234,Foundation_Calc!$I$2:$J$8,2,FALSE),0),
IF(AX234="K",VLOOKUP(K234,Foundation_Calc!$K$117:$R$151,VLOOKUP(AW234,Foundation_Calc!$I$2:$J$8,2,FALSE),0),"")))</f>
        <v/>
      </c>
      <c r="BA234" s="495" t="str">
        <f t="shared" si="32"/>
        <v>ü</v>
      </c>
      <c r="BB234" s="495" t="str">
        <f t="shared" si="33"/>
        <v/>
      </c>
      <c r="BC234" s="495" t="str">
        <f t="shared" si="34"/>
        <v/>
      </c>
      <c r="BD234" s="513" t="str">
        <f>IF(AND(L234="",H234=""),"",
IF(H234="",Pole_Calc!A$9,
IF(H234="MP",Pole_Calc!A$10,
IF(H234="AnMP",Pole_Calc!A$11,
IF(H234="A",Pole_Calc!A$12,
IF(H234="S/A",Pole_Calc!A$13,
IF(H234="A/S",Pole_Calc!A$14,"Poner a mano")))))))</f>
        <v>App.7-V11I-P9.5.1.1</v>
      </c>
      <c r="BE234" s="429" t="s">
        <v>118</v>
      </c>
      <c r="BF234" s="289"/>
      <c r="BG234" s="289"/>
      <c r="BH234" s="290"/>
      <c r="BI234" s="289"/>
    </row>
    <row r="235" spans="1:61" ht="16.149999999999999" customHeight="1">
      <c r="A235" s="685" t="s">
        <v>305</v>
      </c>
      <c r="B235" s="686"/>
      <c r="C235" s="687"/>
      <c r="D235" s="688"/>
      <c r="E235" s="689"/>
      <c r="F235" s="689"/>
      <c r="G235" s="690">
        <v>50</v>
      </c>
      <c r="H235" s="691"/>
      <c r="I235" s="689"/>
      <c r="J235" s="687"/>
      <c r="K235" s="691"/>
      <c r="L235" s="691"/>
      <c r="M235" s="691" t="str">
        <f>IF(L235="","",
IF(AX235="PT",VLOOKUP(L235,Foundation_Calc!$V$79:$X$113,VLOOKUP(AX235,Foundation_Calc!$I$10:$J$13,2,FALSE),0),
IF(AX235="K",VLOOKUP(L235,Foundation_Calc!$V$117:$X$151,VLOOKUP(AX235,Foundation_Calc!$I$10:$J$13,2,FALSE),0),"")))</f>
        <v/>
      </c>
      <c r="N235" s="691"/>
      <c r="O235" s="691"/>
      <c r="P235" s="691"/>
      <c r="Q235" s="689"/>
      <c r="R235" s="690"/>
      <c r="S235" s="690"/>
      <c r="T235" s="689"/>
      <c r="U235" s="689"/>
      <c r="V235" s="689"/>
      <c r="W235" s="692"/>
      <c r="X235" s="692"/>
      <c r="Y235" s="692"/>
      <c r="Z235" s="692"/>
      <c r="AA235" s="692"/>
      <c r="AB235" s="692"/>
      <c r="AC235" s="691" t="str">
        <f t="shared" si="29"/>
        <v/>
      </c>
      <c r="AD235" s="691"/>
      <c r="AE235" s="691"/>
      <c r="AF235" s="689"/>
      <c r="AG235" s="688"/>
      <c r="AH235" s="689"/>
      <c r="AI235" s="689"/>
      <c r="AJ235" s="691"/>
      <c r="AK235" s="691"/>
      <c r="AL235" s="691"/>
      <c r="AM235" s="691"/>
      <c r="AN235" s="693"/>
      <c r="AO235" s="692"/>
      <c r="AP235" s="692"/>
      <c r="AQ235" s="692">
        <f>+FL_2($T$236,$T$234,$G$235,1200,9.28, 1*$F$236)</f>
        <v>-0.33331886373108921</v>
      </c>
      <c r="AR235" s="692"/>
      <c r="AS235" s="692"/>
      <c r="AT235" s="692"/>
      <c r="AU235" s="694"/>
      <c r="AV235" s="694"/>
      <c r="AW235" s="691" t="str">
        <f>IF(C235&gt;0,VLOOKUP(C235,Foundation_Calc!$A$2:$C$13,3,1),
IF(J235&gt;0,VLOOKUP(J235,Foundation_Calc!$A$2:$C$13,3,1),""))</f>
        <v/>
      </c>
      <c r="AX235" s="691" t="str">
        <f>IF(C235&gt;0,VLOOKUP(C235,Foundation_Calc!$E$35:$G$65,3,1),
IF(J235&gt;0,VLOOKUP(J235,Foundation_Calc!$E$35:$G$65,3,1),""))</f>
        <v/>
      </c>
      <c r="AY235" s="693" t="str">
        <f>IF(L235="","",
IF(AX235="PT",VLOOKUP(L235,Foundation_Calc!$K$79:$R$113,VLOOKUP(AW235,Foundation_Calc!$I$2:$J$8,2,FALSE),0),
IF(AX235="K",VLOOKUP(L235,Foundation_Calc!$K$117:$R$151,VLOOKUP(AW235,Foundation_Calc!$I$2:$J$8,2,FALSE),0),"")))</f>
        <v/>
      </c>
      <c r="AZ235" s="693" t="str">
        <f>IF(K235="","",
IF(AX235="PT",VLOOKUP(K235,Foundation_Calc!$K$79:$R$113,VLOOKUP(AW235,Foundation_Calc!$I$2:$J$8,2,FALSE),0),
IF(AX235="K",VLOOKUP(K235,Foundation_Calc!$K$117:$R$151,VLOOKUP(AW235,Foundation_Calc!$I$2:$J$8,2,FALSE),0),"")))</f>
        <v/>
      </c>
      <c r="BA235" s="495" t="str">
        <f t="shared" si="32"/>
        <v/>
      </c>
      <c r="BB235" s="495" t="str">
        <f t="shared" si="33"/>
        <v/>
      </c>
      <c r="BC235" s="495" t="str">
        <f t="shared" si="34"/>
        <v/>
      </c>
      <c r="BD235" s="513" t="str">
        <f>IF(AND(L235="",H235=""),"",
IF(H235="",Pole_Calc!A$9,
IF(H235="MP",Pole_Calc!A$10,
IF(H235="AnMP",Pole_Calc!A$11,
IF(H235="A",Pole_Calc!A$12,
IF(H235="S/A",Pole_Calc!A$13,
IF(H235="A/S",Pole_Calc!A$14,"Poner a mano")))))))</f>
        <v/>
      </c>
      <c r="BE235" s="429" t="s">
        <v>118</v>
      </c>
      <c r="BF235" s="290"/>
      <c r="BG235" s="290"/>
      <c r="BH235" s="290"/>
      <c r="BI235" s="290"/>
    </row>
    <row r="236" spans="1:61" ht="16.149999999999999" customHeight="1">
      <c r="A236" s="514"/>
      <c r="B236" s="450" t="s">
        <v>1057</v>
      </c>
      <c r="C236" s="3">
        <f>+$C$234+$G$235</f>
        <v>35860.550000000003</v>
      </c>
      <c r="D236" s="83"/>
      <c r="E236" s="4"/>
      <c r="F236" s="4">
        <v>-1500</v>
      </c>
      <c r="G236" s="6"/>
      <c r="H236" s="449"/>
      <c r="I236" s="4"/>
      <c r="J236" s="3"/>
      <c r="K236" s="449"/>
      <c r="L236" s="449" t="s">
        <v>158</v>
      </c>
      <c r="M236" s="449" t="str">
        <f>IF(L236="","",
IF(AX236="PT",VLOOKUP(L236,Foundation_Calc!$V$79:$X$113,VLOOKUP(AX236,Foundation_Calc!$I$10:$J$13,2,FALSE),0),
IF(AX236="K",VLOOKUP(L236,Foundation_Calc!$V$117:$X$151,VLOOKUP(AX236,Foundation_Calc!$I$10:$J$13,2,FALSE),0),"")))</f>
        <v>C4R</v>
      </c>
      <c r="N236" s="449" t="s">
        <v>124</v>
      </c>
      <c r="O236" s="449"/>
      <c r="P236" s="449"/>
      <c r="Q236" s="4"/>
      <c r="R236" s="6"/>
      <c r="S236" s="6"/>
      <c r="T236" s="4">
        <v>-30</v>
      </c>
      <c r="U236" s="4"/>
      <c r="V236" s="4"/>
      <c r="W236" s="9">
        <v>1.4</v>
      </c>
      <c r="X236" s="9"/>
      <c r="Y236" s="9"/>
      <c r="Z236" s="9"/>
      <c r="AA236" s="9"/>
      <c r="AB236" s="9"/>
      <c r="AC236" s="449" t="str">
        <f t="shared" si="29"/>
        <v>PHQ</v>
      </c>
      <c r="AD236" s="449"/>
      <c r="AE236" s="449"/>
      <c r="AF236" s="4"/>
      <c r="AG236" s="83"/>
      <c r="AH236" s="4"/>
      <c r="AI236" s="4"/>
      <c r="AJ236" s="449"/>
      <c r="AK236" s="449"/>
      <c r="AL236" s="449"/>
      <c r="AM236" s="449" t="s">
        <v>126</v>
      </c>
      <c r="AN236" s="10">
        <v>5.5</v>
      </c>
      <c r="AO236" s="9"/>
      <c r="AP236" s="9"/>
      <c r="AQ236" s="9"/>
      <c r="AR236" s="9"/>
      <c r="AS236" s="9"/>
      <c r="AT236" s="9">
        <f>+ab($T$236,$T$234,$T$238,$G$235,$G$237, 1*$F$236,1200)</f>
        <v>-5.7375244864003294</v>
      </c>
      <c r="AU236" s="428"/>
      <c r="AV236" s="428"/>
      <c r="AW236" s="449" t="str">
        <f>IF(C236&gt;0,VLOOKUP(C236,Foundation_Calc!$A$2:$C$13,3,1),
IF(J236&gt;0,VLOOKUP(J236,Foundation_Calc!$A$2:$C$13,3,1),""))</f>
        <v>Multi Soil</v>
      </c>
      <c r="AX236" s="449" t="str">
        <f>IF(C236&gt;0,VLOOKUP(C236,Foundation_Calc!$E$35:$G$65,3,1),
IF(J236&gt;0,VLOOKUP(J236,Foundation_Calc!$E$35:$G$65,3,1),""))</f>
        <v>PT</v>
      </c>
      <c r="AY236" s="10">
        <f>IF(L236="","",
IF(AX236="PT",VLOOKUP(L236,Foundation_Calc!$K$79:$R$113,VLOOKUP(AW236,Foundation_Calc!$I$2:$J$8,2,FALSE),0),
IF(AX236="K",VLOOKUP(L236,Foundation_Calc!$K$117:$R$151,VLOOKUP(AW236,Foundation_Calc!$I$2:$J$8,2,FALSE),0),"")))</f>
        <v>3.5</v>
      </c>
      <c r="AZ236" s="10" t="str">
        <f>IF(K236="","",
IF(AX236="PT",VLOOKUP(K236,Foundation_Calc!$K$79:$R$113,VLOOKUP(AW236,Foundation_Calc!$I$2:$J$8,2,FALSE),0),
IF(AX236="K",VLOOKUP(K236,Foundation_Calc!$K$117:$R$151,VLOOKUP(AW236,Foundation_Calc!$I$2:$J$8,2,FALSE),0),"")))</f>
        <v/>
      </c>
      <c r="BA236" s="495" t="str">
        <f t="shared" si="32"/>
        <v>ü</v>
      </c>
      <c r="BB236" s="495" t="str">
        <f t="shared" si="33"/>
        <v/>
      </c>
      <c r="BC236" s="495" t="str">
        <f t="shared" si="34"/>
        <v/>
      </c>
      <c r="BD236" s="513" t="str">
        <f>IF(AND(L236="",H236=""),"",
IF(H236="",Pole_Calc!A$9,
IF(H236="MP",Pole_Calc!A$10,
IF(H236="AnMP",Pole_Calc!A$11,
IF(H236="A",Pole_Calc!A$12,
IF(H236="S/A",Pole_Calc!A$13,
IF(H236="A/S",Pole_Calc!A$14,"Poner a mano")))))))</f>
        <v>App.7-V11I-P9.5.1.1</v>
      </c>
      <c r="BE236" s="429" t="s">
        <v>118</v>
      </c>
      <c r="BF236" s="289"/>
      <c r="BG236" s="289"/>
      <c r="BH236" s="290"/>
      <c r="BI236" s="289"/>
    </row>
    <row r="237" spans="1:61" ht="16.149999999999999" customHeight="1">
      <c r="A237" s="514"/>
      <c r="B237" s="450"/>
      <c r="C237" s="3"/>
      <c r="D237" s="83"/>
      <c r="E237" s="4"/>
      <c r="F237" s="4"/>
      <c r="G237" s="6">
        <v>50</v>
      </c>
      <c r="H237" s="449"/>
      <c r="I237" s="4"/>
      <c r="J237" s="3">
        <f>C238-7.5</f>
        <v>35903.050000000003</v>
      </c>
      <c r="K237" s="449" t="s">
        <v>166</v>
      </c>
      <c r="L237" s="449"/>
      <c r="M237" s="449" t="str">
        <f>IF(L237="","",
IF(AX237="PT",VLOOKUP(L237,Foundation_Calc!$V$79:$X$113,VLOOKUP(AX237,Foundation_Calc!$I$10:$J$13,2,FALSE),0),
IF(AX237="K",VLOOKUP(L237,Foundation_Calc!$V$117:$X$151,VLOOKUP(AX237,Foundation_Calc!$I$10:$J$13,2,FALSE),0),"")))</f>
        <v/>
      </c>
      <c r="N237" s="449"/>
      <c r="O237" s="449"/>
      <c r="P237" s="449"/>
      <c r="Q237" s="4"/>
      <c r="R237" s="6"/>
      <c r="S237" s="6"/>
      <c r="T237" s="4"/>
      <c r="U237" s="4"/>
      <c r="V237" s="4"/>
      <c r="W237" s="9"/>
      <c r="X237" s="9"/>
      <c r="Y237" s="9"/>
      <c r="Z237" s="9"/>
      <c r="AA237" s="9"/>
      <c r="AB237" s="9"/>
      <c r="AC237" s="449" t="str">
        <f t="shared" si="29"/>
        <v/>
      </c>
      <c r="AD237" s="449"/>
      <c r="AE237" s="449"/>
      <c r="AF237" s="4"/>
      <c r="AG237" s="83"/>
      <c r="AH237" s="4"/>
      <c r="AI237" s="4"/>
      <c r="AJ237" s="449"/>
      <c r="AK237" s="449"/>
      <c r="AL237" s="449"/>
      <c r="AM237" s="449"/>
      <c r="AN237" s="10"/>
      <c r="AO237" s="9"/>
      <c r="AP237" s="9"/>
      <c r="AQ237" s="9">
        <f>+FL_2($T$238,$T$236,$G$237,1200,9.28, 1*$F$238)</f>
        <v>-0.33331886373108921</v>
      </c>
      <c r="AR237" s="9"/>
      <c r="AS237" s="9"/>
      <c r="AT237" s="9"/>
      <c r="AU237" s="428"/>
      <c r="AV237" s="428"/>
      <c r="AW237" s="449" t="str">
        <f>IF(C237&gt;0,VLOOKUP(C237,Foundation_Calc!$A$2:$C$13,3,1),
IF(J237&gt;0,VLOOKUP(J237,Foundation_Calc!$A$2:$C$13,3,1),""))</f>
        <v>Multi Soil</v>
      </c>
      <c r="AX237" s="449" t="str">
        <f>IF(C237&gt;0,VLOOKUP(C237,Foundation_Calc!$E$35:$G$65,3,1),
IF(J237&gt;0,VLOOKUP(J237,Foundation_Calc!$E$35:$G$65,3,1),""))</f>
        <v>PT</v>
      </c>
      <c r="AY237" s="10" t="str">
        <f>IF(L237="","",
IF(AX237="PT",VLOOKUP(L237,Foundation_Calc!$K$79:$R$113,VLOOKUP(AW237,Foundation_Calc!$I$2:$J$8,2,FALSE),0),
IF(AX237="K",VLOOKUP(L237,Foundation_Calc!$K$117:$R$151,VLOOKUP(AW237,Foundation_Calc!$I$2:$J$8,2,FALSE),0),"")))</f>
        <v/>
      </c>
      <c r="AZ237" s="10">
        <f>IF(K237="","",
IF(AX237="PT",VLOOKUP(K237,Foundation_Calc!$K$79:$R$113,VLOOKUP(AW237,Foundation_Calc!$I$2:$J$8,2,FALSE),0),
IF(AX237="K",VLOOKUP(K237,Foundation_Calc!$K$117:$R$151,VLOOKUP(AW237,Foundation_Calc!$I$2:$J$8,2,FALSE),0),"")))</f>
        <v>2.8</v>
      </c>
      <c r="BA237" s="495" t="str">
        <f t="shared" si="32"/>
        <v/>
      </c>
      <c r="BB237" s="495" t="str">
        <f t="shared" si="33"/>
        <v>ü</v>
      </c>
      <c r="BC237" s="495" t="str">
        <f t="shared" si="34"/>
        <v/>
      </c>
      <c r="BD237" s="513" t="str">
        <f>IF(AND(L237="",H237=""),"",
IF(H237="",Pole_Calc!A$9,
IF(H237="MP",Pole_Calc!A$10,
IF(H237="AnMP",Pole_Calc!A$11,
IF(H237="A",Pole_Calc!A$12,
IF(H237="S/A",Pole_Calc!A$13,
IF(H237="A/S",Pole_Calc!A$14,"Poner a mano")))))))</f>
        <v/>
      </c>
      <c r="BE237" s="429" t="s">
        <v>118</v>
      </c>
      <c r="BF237" s="290"/>
      <c r="BG237" s="290"/>
      <c r="BH237" s="290"/>
      <c r="BI237" s="290"/>
    </row>
    <row r="238" spans="1:61" ht="16.149999999999999" customHeight="1">
      <c r="A238" s="514"/>
      <c r="B238" s="450" t="s">
        <v>1058</v>
      </c>
      <c r="C238" s="3">
        <f>+$C$236+$G$237</f>
        <v>35910.550000000003</v>
      </c>
      <c r="D238" s="83"/>
      <c r="E238" s="4"/>
      <c r="F238" s="4">
        <v>-1500</v>
      </c>
      <c r="G238" s="6"/>
      <c r="H238" s="449" t="s">
        <v>168</v>
      </c>
      <c r="I238" s="4"/>
      <c r="J238" s="3"/>
      <c r="K238" s="449"/>
      <c r="L238" s="449" t="s">
        <v>158</v>
      </c>
      <c r="M238" s="449" t="str">
        <f>IF(L238="","",
IF(AX238="PT",VLOOKUP(L238,Foundation_Calc!$V$79:$X$113,VLOOKUP(AX238,Foundation_Calc!$I$10:$J$13,2,FALSE),0),
IF(AX238="K",VLOOKUP(L238,Foundation_Calc!$V$117:$X$151,VLOOKUP(AX238,Foundation_Calc!$I$10:$J$13,2,FALSE),0),"")))</f>
        <v>C4R</v>
      </c>
      <c r="N238" s="449" t="s">
        <v>124</v>
      </c>
      <c r="O238" s="449"/>
      <c r="P238" s="449"/>
      <c r="Q238" s="4"/>
      <c r="R238" s="6"/>
      <c r="S238" s="6"/>
      <c r="T238" s="4">
        <v>-30</v>
      </c>
      <c r="U238" s="4"/>
      <c r="V238" s="4"/>
      <c r="W238" s="9">
        <v>1.4</v>
      </c>
      <c r="X238" s="9"/>
      <c r="Y238" s="9"/>
      <c r="Z238" s="9"/>
      <c r="AA238" s="9"/>
      <c r="AB238" s="9"/>
      <c r="AC238" s="449" t="str">
        <f t="shared" si="29"/>
        <v>PHQ</v>
      </c>
      <c r="AD238" s="449"/>
      <c r="AE238" s="449"/>
      <c r="AF238" s="4"/>
      <c r="AG238" s="83"/>
      <c r="AH238" s="4"/>
      <c r="AI238" s="4"/>
      <c r="AJ238" s="449"/>
      <c r="AK238" s="449"/>
      <c r="AL238" s="449"/>
      <c r="AM238" s="449" t="s">
        <v>126</v>
      </c>
      <c r="AN238" s="10">
        <v>5.5</v>
      </c>
      <c r="AO238" s="9"/>
      <c r="AP238" s="9"/>
      <c r="AQ238" s="9"/>
      <c r="AR238" s="9"/>
      <c r="AS238" s="9"/>
      <c r="AT238" s="9">
        <f>+ab($T$238,$T$236,$T$240,$G$237,$G$239, 1*$F$238,1200)</f>
        <v>-5.7375244864003294</v>
      </c>
      <c r="AU238" s="428"/>
      <c r="AV238" s="428"/>
      <c r="AW238" s="449" t="str">
        <f>IF(C238&gt;0,VLOOKUP(C238,Foundation_Calc!$A$2:$C$13,3,1),
IF(J238&gt;0,VLOOKUP(J238,Foundation_Calc!$A$2:$C$13,3,1),""))</f>
        <v>Multi Soil</v>
      </c>
      <c r="AX238" s="449" t="str">
        <f>IF(C238&gt;0,VLOOKUP(C238,Foundation_Calc!$E$35:$G$65,3,1),
IF(J238&gt;0,VLOOKUP(J238,Foundation_Calc!$E$35:$G$65,3,1),""))</f>
        <v>PT</v>
      </c>
      <c r="AY238" s="10">
        <f>IF(L238="","",
IF(AX238="PT",VLOOKUP(L238,Foundation_Calc!$K$79:$R$113,VLOOKUP(AW238,Foundation_Calc!$I$2:$J$8,2,FALSE),0),
IF(AX238="K",VLOOKUP(L238,Foundation_Calc!$K$117:$R$151,VLOOKUP(AW238,Foundation_Calc!$I$2:$J$8,2,FALSE),0),"")))</f>
        <v>3.5</v>
      </c>
      <c r="AZ238" s="10" t="str">
        <f>IF(K238="","",
IF(AX238="PT",VLOOKUP(K238,Foundation_Calc!$K$79:$R$113,VLOOKUP(AW238,Foundation_Calc!$I$2:$J$8,2,FALSE),0),
IF(AX238="K",VLOOKUP(K238,Foundation_Calc!$K$117:$R$151,VLOOKUP(AW238,Foundation_Calc!$I$2:$J$8,2,FALSE),0),"")))</f>
        <v/>
      </c>
      <c r="BA238" s="495" t="str">
        <f t="shared" si="32"/>
        <v>ü</v>
      </c>
      <c r="BB238" s="495" t="str">
        <f t="shared" si="33"/>
        <v/>
      </c>
      <c r="BC238" s="495" t="str">
        <f t="shared" si="34"/>
        <v/>
      </c>
      <c r="BD238" s="513" t="str">
        <f>IF(AND(L238="",H238=""),"",
IF(H238="",Pole_Calc!A$9,
IF(H238="MP",Pole_Calc!A$10,
IF(H238="AnMP",Pole_Calc!A$11,
IF(H238="A",Pole_Calc!A$12,
IF(H238="S/A",Pole_Calc!A$13,
IF(H238="A/S",Pole_Calc!A$14,"Poner a mano")))))))</f>
        <v>App.7-V11I-P9.5.1.3</v>
      </c>
      <c r="BE238" s="429" t="s">
        <v>118</v>
      </c>
      <c r="BF238" s="289"/>
      <c r="BG238" s="289"/>
      <c r="BH238" s="290"/>
      <c r="BI238" s="289"/>
    </row>
    <row r="239" spans="1:61" ht="16.149999999999999" customHeight="1">
      <c r="A239" s="514"/>
      <c r="B239" s="450"/>
      <c r="C239" s="3"/>
      <c r="D239" s="83"/>
      <c r="E239" s="4"/>
      <c r="F239" s="4"/>
      <c r="G239" s="6">
        <v>50</v>
      </c>
      <c r="H239" s="449"/>
      <c r="I239" s="4">
        <f>SUM(G221:G239)</f>
        <v>470.6</v>
      </c>
      <c r="J239" s="3"/>
      <c r="K239" s="449"/>
      <c r="L239" s="449"/>
      <c r="M239" s="449" t="str">
        <f>IF(L239="","",
IF(AX239="PT",VLOOKUP(L239,Foundation_Calc!$V$79:$X$113,VLOOKUP(AX239,Foundation_Calc!$I$10:$J$13,2,FALSE),0),
IF(AX239="K",VLOOKUP(L239,Foundation_Calc!$V$117:$X$151,VLOOKUP(AX239,Foundation_Calc!$I$10:$J$13,2,FALSE),0),"")))</f>
        <v/>
      </c>
      <c r="N239" s="449"/>
      <c r="O239" s="449"/>
      <c r="P239" s="449"/>
      <c r="Q239" s="4"/>
      <c r="R239" s="6"/>
      <c r="S239" s="6"/>
      <c r="T239" s="4"/>
      <c r="U239" s="4"/>
      <c r="V239" s="4"/>
      <c r="W239" s="9"/>
      <c r="X239" s="9"/>
      <c r="Y239" s="9"/>
      <c r="Z239" s="9"/>
      <c r="AA239" s="9"/>
      <c r="AB239" s="9"/>
      <c r="AC239" s="449" t="str">
        <f t="shared" si="29"/>
        <v/>
      </c>
      <c r="AD239" s="449"/>
      <c r="AE239" s="449"/>
      <c r="AF239" s="4"/>
      <c r="AG239" s="83"/>
      <c r="AH239" s="4"/>
      <c r="AI239" s="4"/>
      <c r="AJ239" s="449"/>
      <c r="AK239" s="449"/>
      <c r="AL239" s="449"/>
      <c r="AM239" s="449"/>
      <c r="AN239" s="10"/>
      <c r="AO239" s="9"/>
      <c r="AP239" s="9"/>
      <c r="AQ239" s="9">
        <f>+FL_2($T$240,$T$238,$G$239,1200,9.28, 1*$F$240)</f>
        <v>-0.33331886373108921</v>
      </c>
      <c r="AR239" s="9"/>
      <c r="AS239" s="9"/>
      <c r="AT239" s="9"/>
      <c r="AU239" s="428"/>
      <c r="AV239" s="428"/>
      <c r="AW239" s="449" t="str">
        <f>IF(C239&gt;0,VLOOKUP(C239,Foundation_Calc!$A$2:$C$13,3,1),
IF(J239&gt;0,VLOOKUP(J239,Foundation_Calc!$A$2:$C$13,3,1),""))</f>
        <v/>
      </c>
      <c r="AX239" s="449" t="str">
        <f>IF(C239&gt;0,VLOOKUP(C239,Foundation_Calc!$E$35:$G$65,3,1),
IF(J239&gt;0,VLOOKUP(J239,Foundation_Calc!$E$35:$G$65,3,1),""))</f>
        <v/>
      </c>
      <c r="AY239" s="10" t="str">
        <f>IF(L239="","",
IF(AX239="PT",VLOOKUP(L239,Foundation_Calc!$K$79:$R$113,VLOOKUP(AW239,Foundation_Calc!$I$2:$J$8,2,FALSE),0),
IF(AX239="K",VLOOKUP(L239,Foundation_Calc!$K$117:$R$151,VLOOKUP(AW239,Foundation_Calc!$I$2:$J$8,2,FALSE),0),"")))</f>
        <v/>
      </c>
      <c r="AZ239" s="10" t="str">
        <f>IF(K239="","",
IF(AX239="PT",VLOOKUP(K239,Foundation_Calc!$K$79:$R$113,VLOOKUP(AW239,Foundation_Calc!$I$2:$J$8,2,FALSE),0),
IF(AX239="K",VLOOKUP(K239,Foundation_Calc!$K$117:$R$151,VLOOKUP(AW239,Foundation_Calc!$I$2:$J$8,2,FALSE),0),"")))</f>
        <v/>
      </c>
      <c r="BA239" s="495" t="str">
        <f t="shared" si="32"/>
        <v/>
      </c>
      <c r="BB239" s="495" t="str">
        <f t="shared" si="33"/>
        <v/>
      </c>
      <c r="BC239" s="495" t="str">
        <f t="shared" si="34"/>
        <v/>
      </c>
      <c r="BD239" s="513" t="str">
        <f>IF(AND(L239="",H239=""),"",
IF(H239="",Pole_Calc!A$9,
IF(H239="MP",Pole_Calc!A$10,
IF(H239="AnMP",Pole_Calc!A$11,
IF(H239="A",Pole_Calc!A$12,
IF(H239="S/A",Pole_Calc!A$13,
IF(H239="A/S",Pole_Calc!A$14,"Poner a mano")))))))</f>
        <v/>
      </c>
      <c r="BE239" s="429" t="s">
        <v>118</v>
      </c>
      <c r="BF239" s="290"/>
      <c r="BG239" s="290"/>
      <c r="BH239" s="290"/>
      <c r="BI239" s="290"/>
    </row>
    <row r="240" spans="1:61" ht="16.149999999999999" customHeight="1">
      <c r="A240" s="514"/>
      <c r="B240" s="450" t="s">
        <v>1059</v>
      </c>
      <c r="C240" s="3">
        <f>+$C$238+$G$239</f>
        <v>35960.550000000003</v>
      </c>
      <c r="D240" s="83"/>
      <c r="E240" s="4"/>
      <c r="F240" s="4">
        <v>-1500</v>
      </c>
      <c r="G240" s="6"/>
      <c r="H240" s="449" t="s">
        <v>171</v>
      </c>
      <c r="I240" s="4"/>
      <c r="J240" s="3"/>
      <c r="K240" s="449"/>
      <c r="L240" s="449" t="s">
        <v>158</v>
      </c>
      <c r="M240" s="449" t="str">
        <f>IF(L240="","",
IF(AX240="PT",VLOOKUP(L240,Foundation_Calc!$V$79:$X$113,VLOOKUP(AX240,Foundation_Calc!$I$10:$J$13,2,FALSE),0),
IF(AX240="K",VLOOKUP(L240,Foundation_Calc!$V$117:$X$151,VLOOKUP(AX240,Foundation_Calc!$I$10:$J$13,2,FALSE),0),"")))</f>
        <v>C4R</v>
      </c>
      <c r="N240" s="449" t="s">
        <v>124</v>
      </c>
      <c r="O240" s="449"/>
      <c r="P240" s="449"/>
      <c r="Q240" s="4"/>
      <c r="R240" s="6"/>
      <c r="S240" s="6"/>
      <c r="T240" s="4">
        <v>-30</v>
      </c>
      <c r="U240" s="4"/>
      <c r="V240" s="4"/>
      <c r="W240" s="9">
        <v>1.4</v>
      </c>
      <c r="X240" s="9"/>
      <c r="Y240" s="9"/>
      <c r="Z240" s="9"/>
      <c r="AA240" s="9"/>
      <c r="AB240" s="9"/>
      <c r="AC240" s="449" t="str">
        <f t="shared" si="29"/>
        <v>PHQ</v>
      </c>
      <c r="AD240" s="449"/>
      <c r="AE240" s="449"/>
      <c r="AF240" s="4"/>
      <c r="AG240" s="83"/>
      <c r="AH240" s="4"/>
      <c r="AI240" s="4"/>
      <c r="AJ240" s="449"/>
      <c r="AK240" s="449"/>
      <c r="AL240" s="449"/>
      <c r="AM240" s="449" t="s">
        <v>126</v>
      </c>
      <c r="AN240" s="10">
        <v>5.5</v>
      </c>
      <c r="AO240" s="9"/>
      <c r="AP240" s="9"/>
      <c r="AQ240" s="9"/>
      <c r="AR240" s="9"/>
      <c r="AS240" s="9"/>
      <c r="AT240" s="9">
        <f>+ab($T$240,$T$238,$T$242,$G$239,$G$241, 1*$F$240,1200)</f>
        <v>-5.7375244864003294</v>
      </c>
      <c r="AU240" s="428"/>
      <c r="AV240" s="428"/>
      <c r="AW240" s="449" t="str">
        <f>IF(C240&gt;0,VLOOKUP(C240,Foundation_Calc!$A$2:$C$13,3,1),
IF(J240&gt;0,VLOOKUP(J240,Foundation_Calc!$A$2:$C$13,3,1),""))</f>
        <v>Multi Soil</v>
      </c>
      <c r="AX240" s="449" t="str">
        <f>IF(C240&gt;0,VLOOKUP(C240,Foundation_Calc!$E$35:$G$65,3,1),
IF(J240&gt;0,VLOOKUP(J240,Foundation_Calc!$E$35:$G$65,3,1),""))</f>
        <v>PT</v>
      </c>
      <c r="AY240" s="10">
        <f>IF(L240="","",
IF(AX240="PT",VLOOKUP(L240,Foundation_Calc!$K$79:$R$113,VLOOKUP(AW240,Foundation_Calc!$I$2:$J$8,2,FALSE),0),
IF(AX240="K",VLOOKUP(L240,Foundation_Calc!$K$117:$R$151,VLOOKUP(AW240,Foundation_Calc!$I$2:$J$8,2,FALSE),0),"")))</f>
        <v>3.5</v>
      </c>
      <c r="AZ240" s="10" t="str">
        <f>IF(K240="","",
IF(AX240="PT",VLOOKUP(K240,Foundation_Calc!$K$79:$R$113,VLOOKUP(AW240,Foundation_Calc!$I$2:$J$8,2,FALSE),0),
IF(AX240="K",VLOOKUP(K240,Foundation_Calc!$K$117:$R$151,VLOOKUP(AW240,Foundation_Calc!$I$2:$J$8,2,FALSE),0),"")))</f>
        <v/>
      </c>
      <c r="BA240" s="495" t="str">
        <f t="shared" si="32"/>
        <v>ü</v>
      </c>
      <c r="BB240" s="495" t="str">
        <f t="shared" si="33"/>
        <v/>
      </c>
      <c r="BC240" s="495" t="str">
        <f t="shared" si="34"/>
        <v/>
      </c>
      <c r="BD240" s="513" t="str">
        <f>IF(AND(L240="",H240=""),"",
IF(H240="",Pole_Calc!A$9,
IF(H240="MP",Pole_Calc!A$10,
IF(H240="AnMP",Pole_Calc!A$11,
IF(H240="A",Pole_Calc!A$12,
IF(H240="S/A",Pole_Calc!A$13,
IF(H240="A/S",Pole_Calc!A$14,"Poner a mano")))))))</f>
        <v>App.7-V11I-P9.5.1.2</v>
      </c>
      <c r="BE240" s="429" t="s">
        <v>118</v>
      </c>
      <c r="BF240" s="289"/>
      <c r="BG240" s="289"/>
      <c r="BH240" s="290"/>
      <c r="BI240" s="289"/>
    </row>
    <row r="241" spans="1:61" ht="16.149999999999999" customHeight="1">
      <c r="A241" s="514"/>
      <c r="B241" s="450"/>
      <c r="C241" s="3"/>
      <c r="D241" s="83"/>
      <c r="E241" s="4"/>
      <c r="F241" s="4"/>
      <c r="G241" s="6">
        <v>50</v>
      </c>
      <c r="H241" s="449"/>
      <c r="I241" s="4">
        <f>SUM(G241:G259)</f>
        <v>515</v>
      </c>
      <c r="J241" s="3"/>
      <c r="K241" s="449"/>
      <c r="L241" s="449"/>
      <c r="M241" s="449" t="str">
        <f>IF(L241="","",
IF(AX241="PT",VLOOKUP(L241,Foundation_Calc!$V$79:$X$113,VLOOKUP(AX241,Foundation_Calc!$I$10:$J$13,2,FALSE),0),
IF(AX241="K",VLOOKUP(L241,Foundation_Calc!$V$117:$X$151,VLOOKUP(AX241,Foundation_Calc!$I$10:$J$13,2,FALSE),0),"")))</f>
        <v/>
      </c>
      <c r="N241" s="449"/>
      <c r="O241" s="449"/>
      <c r="P241" s="449"/>
      <c r="Q241" s="4"/>
      <c r="R241" s="6"/>
      <c r="S241" s="6"/>
      <c r="T241" s="4"/>
      <c r="U241" s="4"/>
      <c r="V241" s="4"/>
      <c r="W241" s="9"/>
      <c r="X241" s="9"/>
      <c r="Y241" s="9"/>
      <c r="Z241" s="9"/>
      <c r="AA241" s="9"/>
      <c r="AB241" s="9"/>
      <c r="AC241" s="449" t="str">
        <f t="shared" si="29"/>
        <v/>
      </c>
      <c r="AD241" s="449"/>
      <c r="AE241" s="449"/>
      <c r="AF241" s="4"/>
      <c r="AG241" s="83"/>
      <c r="AH241" s="4"/>
      <c r="AI241" s="4"/>
      <c r="AJ241" s="449"/>
      <c r="AK241" s="449"/>
      <c r="AL241" s="449"/>
      <c r="AM241" s="449"/>
      <c r="AN241" s="10"/>
      <c r="AO241" s="9"/>
      <c r="AP241" s="9"/>
      <c r="AQ241" s="9">
        <f>+FL_2($T$242,$T$240,$G$241,1200,9.28, 1*$F$242)</f>
        <v>-0.33331886373108921</v>
      </c>
      <c r="AR241" s="9"/>
      <c r="AS241" s="9"/>
      <c r="AT241" s="9"/>
      <c r="AU241" s="428"/>
      <c r="AV241" s="428"/>
      <c r="AW241" s="449" t="str">
        <f>IF(C241&gt;0,VLOOKUP(C241,Foundation_Calc!$A$2:$C$13,3,1),
IF(J241&gt;0,VLOOKUP(J241,Foundation_Calc!$A$2:$C$13,3,1),""))</f>
        <v/>
      </c>
      <c r="AX241" s="449" t="str">
        <f>IF(C241&gt;0,VLOOKUP(C241,Foundation_Calc!$E$35:$G$65,3,1),
IF(J241&gt;0,VLOOKUP(J241,Foundation_Calc!$E$35:$G$65,3,1),""))</f>
        <v/>
      </c>
      <c r="AY241" s="10" t="str">
        <f>IF(L241="","",
IF(AX241="PT",VLOOKUP(L241,Foundation_Calc!$K$79:$R$113,VLOOKUP(AW241,Foundation_Calc!$I$2:$J$8,2,FALSE),0),
IF(AX241="K",VLOOKUP(L241,Foundation_Calc!$K$117:$R$151,VLOOKUP(AW241,Foundation_Calc!$I$2:$J$8,2,FALSE),0),"")))</f>
        <v/>
      </c>
      <c r="AZ241" s="10" t="str">
        <f>IF(K241="","",
IF(AX241="PT",VLOOKUP(K241,Foundation_Calc!$K$79:$R$113,VLOOKUP(AW241,Foundation_Calc!$I$2:$J$8,2,FALSE),0),
IF(AX241="K",VLOOKUP(K241,Foundation_Calc!$K$117:$R$151,VLOOKUP(AW241,Foundation_Calc!$I$2:$J$8,2,FALSE),0),"")))</f>
        <v/>
      </c>
      <c r="BA241" s="495" t="str">
        <f t="shared" si="32"/>
        <v/>
      </c>
      <c r="BB241" s="495" t="str">
        <f t="shared" si="33"/>
        <v/>
      </c>
      <c r="BC241" s="495" t="str">
        <f t="shared" si="34"/>
        <v/>
      </c>
      <c r="BD241" s="513" t="str">
        <f>IF(AND(L241="",H241=""),"",
IF(H241="",Pole_Calc!A$9,
IF(H241="MP",Pole_Calc!A$10,
IF(H241="AnMP",Pole_Calc!A$11,
IF(H241="A",Pole_Calc!A$12,
IF(H241="S/A",Pole_Calc!A$13,
IF(H241="A/S",Pole_Calc!A$14,"Poner a mano")))))))</f>
        <v/>
      </c>
      <c r="BE241" s="429" t="s">
        <v>118</v>
      </c>
      <c r="BF241" s="290"/>
      <c r="BG241" s="290"/>
      <c r="BH241" s="290"/>
      <c r="BI241" s="290"/>
    </row>
    <row r="242" spans="1:61" ht="16.149999999999999" customHeight="1">
      <c r="A242" s="514"/>
      <c r="B242" s="450" t="s">
        <v>1060</v>
      </c>
      <c r="C242" s="3">
        <f>+$C$240+$G$241</f>
        <v>36010.550000000003</v>
      </c>
      <c r="D242" s="83"/>
      <c r="E242" s="4"/>
      <c r="F242" s="4">
        <v>-1500</v>
      </c>
      <c r="G242" s="6"/>
      <c r="H242" s="449" t="s">
        <v>168</v>
      </c>
      <c r="I242" s="4"/>
      <c r="J242" s="3"/>
      <c r="K242" s="449"/>
      <c r="L242" s="449" t="s">
        <v>158</v>
      </c>
      <c r="M242" s="449" t="str">
        <f>IF(L242="","",
IF(AX242="PT",VLOOKUP(L242,Foundation_Calc!$V$79:$X$113,VLOOKUP(AX242,Foundation_Calc!$I$10:$J$13,2,FALSE),0),
IF(AX242="K",VLOOKUP(L242,Foundation_Calc!$V$117:$X$151,VLOOKUP(AX242,Foundation_Calc!$I$10:$J$13,2,FALSE),0),"")))</f>
        <v>C4R</v>
      </c>
      <c r="N242" s="449" t="s">
        <v>124</v>
      </c>
      <c r="O242" s="449"/>
      <c r="P242" s="449"/>
      <c r="Q242" s="4"/>
      <c r="R242" s="6"/>
      <c r="S242" s="6"/>
      <c r="T242" s="4">
        <v>-30</v>
      </c>
      <c r="U242" s="4"/>
      <c r="V242" s="4"/>
      <c r="W242" s="9">
        <v>1.4</v>
      </c>
      <c r="X242" s="9"/>
      <c r="Y242" s="9"/>
      <c r="Z242" s="9"/>
      <c r="AA242" s="9"/>
      <c r="AB242" s="9"/>
      <c r="AC242" s="449" t="str">
        <f t="shared" si="29"/>
        <v>PHQ</v>
      </c>
      <c r="AD242" s="449"/>
      <c r="AE242" s="449"/>
      <c r="AF242" s="4"/>
      <c r="AG242" s="83"/>
      <c r="AH242" s="4"/>
      <c r="AI242" s="4"/>
      <c r="AJ242" s="449"/>
      <c r="AK242" s="449"/>
      <c r="AL242" s="449"/>
      <c r="AM242" s="449" t="s">
        <v>126</v>
      </c>
      <c r="AN242" s="10">
        <v>5.5</v>
      </c>
      <c r="AO242" s="9"/>
      <c r="AP242" s="9"/>
      <c r="AQ242" s="9"/>
      <c r="AR242" s="9"/>
      <c r="AS242" s="9"/>
      <c r="AT242" s="9">
        <f>+ab($T$242,$T$240,$T$244,$G$241,$G$243, 1*$F$242,1200)</f>
        <v>-5.7375244864003294</v>
      </c>
      <c r="AU242" s="428"/>
      <c r="AV242" s="428"/>
      <c r="AW242" s="449" t="str">
        <f>IF(C242&gt;0,VLOOKUP(C242,Foundation_Calc!$A$2:$C$13,3,1),
IF(J242&gt;0,VLOOKUP(J242,Foundation_Calc!$A$2:$C$13,3,1),""))</f>
        <v>Multi Soil</v>
      </c>
      <c r="AX242" s="449" t="str">
        <f>IF(C242&gt;0,VLOOKUP(C242,Foundation_Calc!$E$35:$G$65,3,1),
IF(J242&gt;0,VLOOKUP(J242,Foundation_Calc!$E$35:$G$65,3,1),""))</f>
        <v>PT</v>
      </c>
      <c r="AY242" s="10">
        <f>IF(L242="","",
IF(AX242="PT",VLOOKUP(L242,Foundation_Calc!$K$79:$R$113,VLOOKUP(AW242,Foundation_Calc!$I$2:$J$8,2,FALSE),0),
IF(AX242="K",VLOOKUP(L242,Foundation_Calc!$K$117:$R$151,VLOOKUP(AW242,Foundation_Calc!$I$2:$J$8,2,FALSE),0),"")))</f>
        <v>3.5</v>
      </c>
      <c r="AZ242" s="10" t="str">
        <f>IF(K242="","",
IF(AX242="PT",VLOOKUP(K242,Foundation_Calc!$K$79:$R$113,VLOOKUP(AW242,Foundation_Calc!$I$2:$J$8,2,FALSE),0),
IF(AX242="K",VLOOKUP(K242,Foundation_Calc!$K$117:$R$151,VLOOKUP(AW242,Foundation_Calc!$I$2:$J$8,2,FALSE),0),"")))</f>
        <v/>
      </c>
      <c r="BA242" s="495" t="str">
        <f t="shared" si="32"/>
        <v>ü</v>
      </c>
      <c r="BB242" s="495" t="str">
        <f t="shared" si="33"/>
        <v/>
      </c>
      <c r="BC242" s="495" t="str">
        <f t="shared" si="34"/>
        <v/>
      </c>
      <c r="BD242" s="513" t="str">
        <f>IF(AND(L242="",H242=""),"",
IF(H242="",Pole_Calc!A$9,
IF(H242="MP",Pole_Calc!A$10,
IF(H242="AnMP",Pole_Calc!A$11,
IF(H242="A",Pole_Calc!A$12,
IF(H242="S/A",Pole_Calc!A$13,
IF(H242="A/S",Pole_Calc!A$14,"Poner a mano")))))))</f>
        <v>App.7-V11I-P9.5.1.3</v>
      </c>
      <c r="BE242" s="429" t="s">
        <v>118</v>
      </c>
      <c r="BF242" s="289"/>
      <c r="BG242" s="289"/>
      <c r="BH242" s="290"/>
      <c r="BI242" s="289"/>
    </row>
    <row r="243" spans="1:61" ht="16.149999999999999" customHeight="1">
      <c r="A243" s="514"/>
      <c r="B243" s="450"/>
      <c r="C243" s="3"/>
      <c r="D243" s="83"/>
      <c r="E243" s="4"/>
      <c r="F243" s="4"/>
      <c r="G243" s="6">
        <v>50</v>
      </c>
      <c r="H243" s="449"/>
      <c r="I243" s="4"/>
      <c r="J243" s="3">
        <f>C242+7.5</f>
        <v>36018.050000000003</v>
      </c>
      <c r="K243" s="449" t="s">
        <v>166</v>
      </c>
      <c r="L243" s="449"/>
      <c r="M243" s="449" t="str">
        <f>IF(L243="","",
IF(AX243="PT",VLOOKUP(L243,Foundation_Calc!$V$79:$X$113,VLOOKUP(AX243,Foundation_Calc!$I$10:$J$13,2,FALSE),0),
IF(AX243="K",VLOOKUP(L243,Foundation_Calc!$V$117:$X$151,VLOOKUP(AX243,Foundation_Calc!$I$10:$J$13,2,FALSE),0),"")))</f>
        <v/>
      </c>
      <c r="N243" s="449"/>
      <c r="O243" s="449"/>
      <c r="P243" s="449"/>
      <c r="Q243" s="4"/>
      <c r="R243" s="6"/>
      <c r="S243" s="6"/>
      <c r="T243" s="4"/>
      <c r="U243" s="4"/>
      <c r="V243" s="4"/>
      <c r="W243" s="9"/>
      <c r="X243" s="9"/>
      <c r="Y243" s="9"/>
      <c r="Z243" s="9"/>
      <c r="AA243" s="9"/>
      <c r="AB243" s="9"/>
      <c r="AC243" s="449" t="str">
        <f t="shared" si="29"/>
        <v/>
      </c>
      <c r="AD243" s="449"/>
      <c r="AE243" s="449"/>
      <c r="AF243" s="4"/>
      <c r="AG243" s="83"/>
      <c r="AH243" s="4"/>
      <c r="AI243" s="4"/>
      <c r="AJ243" s="449"/>
      <c r="AK243" s="449"/>
      <c r="AL243" s="449"/>
      <c r="AM243" s="449"/>
      <c r="AN243" s="10"/>
      <c r="AO243" s="9"/>
      <c r="AP243" s="9"/>
      <c r="AQ243" s="9">
        <f>+FL_2($T$244,$T$242,$G$243,1200,9.28, 1*$F$244)</f>
        <v>-0.33331886373108921</v>
      </c>
      <c r="AR243" s="9"/>
      <c r="AS243" s="9"/>
      <c r="AT243" s="9"/>
      <c r="AU243" s="428"/>
      <c r="AV243" s="428"/>
      <c r="AW243" s="449" t="str">
        <f>IF(C243&gt;0,VLOOKUP(C243,Foundation_Calc!$A$2:$C$13,3,1),
IF(J243&gt;0,VLOOKUP(J243,Foundation_Calc!$A$2:$C$13,3,1),""))</f>
        <v>Multi Soil</v>
      </c>
      <c r="AX243" s="449" t="str">
        <f>IF(C243&gt;0,VLOOKUP(C243,Foundation_Calc!$E$35:$G$65,3,1),
IF(J243&gt;0,VLOOKUP(J243,Foundation_Calc!$E$35:$G$65,3,1),""))</f>
        <v>PT</v>
      </c>
      <c r="AY243" s="10" t="str">
        <f>IF(L243="","",
IF(AX243="PT",VLOOKUP(L243,Foundation_Calc!$K$79:$R$113,VLOOKUP(AW243,Foundation_Calc!$I$2:$J$8,2,FALSE),0),
IF(AX243="K",VLOOKUP(L243,Foundation_Calc!$K$117:$R$151,VLOOKUP(AW243,Foundation_Calc!$I$2:$J$8,2,FALSE),0),"")))</f>
        <v/>
      </c>
      <c r="AZ243" s="10">
        <f>IF(K243="","",
IF(AX243="PT",VLOOKUP(K243,Foundation_Calc!$K$79:$R$113,VLOOKUP(AW243,Foundation_Calc!$I$2:$J$8,2,FALSE),0),
IF(AX243="K",VLOOKUP(K243,Foundation_Calc!$K$117:$R$151,VLOOKUP(AW243,Foundation_Calc!$I$2:$J$8,2,FALSE),0),"")))</f>
        <v>2.8</v>
      </c>
      <c r="BA243" s="495" t="str">
        <f t="shared" si="32"/>
        <v/>
      </c>
      <c r="BB243" s="495" t="str">
        <f t="shared" si="33"/>
        <v>ü</v>
      </c>
      <c r="BC243" s="495" t="str">
        <f t="shared" si="34"/>
        <v/>
      </c>
      <c r="BD243" s="513" t="str">
        <f>IF(AND(L243="",H243=""),"",
IF(H243="",Pole_Calc!A$9,
IF(H243="MP",Pole_Calc!A$10,
IF(H243="AnMP",Pole_Calc!A$11,
IF(H243="A",Pole_Calc!A$12,
IF(H243="S/A",Pole_Calc!A$13,
IF(H243="A/S",Pole_Calc!A$14,"Poner a mano")))))))</f>
        <v/>
      </c>
      <c r="BE243" s="429" t="s">
        <v>118</v>
      </c>
      <c r="BF243" s="290"/>
      <c r="BG243" s="290"/>
      <c r="BH243" s="290"/>
      <c r="BI243" s="290"/>
    </row>
    <row r="244" spans="1:61" ht="16.149999999999999" customHeight="1">
      <c r="A244" s="514"/>
      <c r="B244" s="450" t="s">
        <v>1061</v>
      </c>
      <c r="C244" s="3">
        <f>+$C$242+$G$243</f>
        <v>36060.550000000003</v>
      </c>
      <c r="D244" s="83"/>
      <c r="E244" s="4"/>
      <c r="F244" s="4">
        <v>-1500</v>
      </c>
      <c r="G244" s="6"/>
      <c r="H244" s="449"/>
      <c r="I244" s="4"/>
      <c r="J244" s="3"/>
      <c r="K244" s="449"/>
      <c r="L244" s="449" t="s">
        <v>158</v>
      </c>
      <c r="M244" s="449" t="str">
        <f>IF(L244="","",
IF(AX244="PT",VLOOKUP(L244,Foundation_Calc!$V$79:$X$113,VLOOKUP(AX244,Foundation_Calc!$I$10:$J$13,2,FALSE),0),
IF(AX244="K",VLOOKUP(L244,Foundation_Calc!$V$117:$X$151,VLOOKUP(AX244,Foundation_Calc!$I$10:$J$13,2,FALSE),0),"")))</f>
        <v>C4R</v>
      </c>
      <c r="N244" s="449" t="s">
        <v>124</v>
      </c>
      <c r="O244" s="449"/>
      <c r="P244" s="449"/>
      <c r="Q244" s="4"/>
      <c r="R244" s="6"/>
      <c r="S244" s="6"/>
      <c r="T244" s="4">
        <v>-30</v>
      </c>
      <c r="U244" s="4"/>
      <c r="V244" s="4"/>
      <c r="W244" s="9">
        <v>1.4</v>
      </c>
      <c r="X244" s="9"/>
      <c r="Y244" s="9"/>
      <c r="Z244" s="9"/>
      <c r="AA244" s="9"/>
      <c r="AB244" s="9"/>
      <c r="AC244" s="449" t="str">
        <f t="shared" si="29"/>
        <v>PHQ</v>
      </c>
      <c r="AD244" s="449"/>
      <c r="AE244" s="449"/>
      <c r="AF244" s="4"/>
      <c r="AG244" s="83"/>
      <c r="AH244" s="4"/>
      <c r="AI244" s="4"/>
      <c r="AJ244" s="449"/>
      <c r="AK244" s="449"/>
      <c r="AL244" s="449"/>
      <c r="AM244" s="449" t="s">
        <v>126</v>
      </c>
      <c r="AN244" s="10">
        <v>5.5</v>
      </c>
      <c r="AO244" s="9"/>
      <c r="AP244" s="9"/>
      <c r="AQ244" s="9"/>
      <c r="AR244" s="9"/>
      <c r="AS244" s="9"/>
      <c r="AT244" s="9">
        <f>+ab($T$244,$T$242,$T$246,$G$243,$G$245, 1*$F$244,1200)</f>
        <v>-5.7375244864003294</v>
      </c>
      <c r="AU244" s="428"/>
      <c r="AV244" s="428"/>
      <c r="AW244" s="449" t="str">
        <f>IF(C244&gt;0,VLOOKUP(C244,Foundation_Calc!$A$2:$C$13,3,1),
IF(J244&gt;0,VLOOKUP(J244,Foundation_Calc!$A$2:$C$13,3,1),""))</f>
        <v>Multi Soil</v>
      </c>
      <c r="AX244" s="449" t="str">
        <f>IF(C244&gt;0,VLOOKUP(C244,Foundation_Calc!$E$35:$G$65,3,1),
IF(J244&gt;0,VLOOKUP(J244,Foundation_Calc!$E$35:$G$65,3,1),""))</f>
        <v>PT</v>
      </c>
      <c r="AY244" s="10">
        <f>IF(L244="","",
IF(AX244="PT",VLOOKUP(L244,Foundation_Calc!$K$79:$R$113,VLOOKUP(AW244,Foundation_Calc!$I$2:$J$8,2,FALSE),0),
IF(AX244="K",VLOOKUP(L244,Foundation_Calc!$K$117:$R$151,VLOOKUP(AW244,Foundation_Calc!$I$2:$J$8,2,FALSE),0),"")))</f>
        <v>3.5</v>
      </c>
      <c r="AZ244" s="10" t="str">
        <f>IF(K244="","",
IF(AX244="PT",VLOOKUP(K244,Foundation_Calc!$K$79:$R$113,VLOOKUP(AW244,Foundation_Calc!$I$2:$J$8,2,FALSE),0),
IF(AX244="K",VLOOKUP(K244,Foundation_Calc!$K$117:$R$151,VLOOKUP(AW244,Foundation_Calc!$I$2:$J$8,2,FALSE),0),"")))</f>
        <v/>
      </c>
      <c r="BA244" s="495" t="str">
        <f t="shared" si="32"/>
        <v>ü</v>
      </c>
      <c r="BB244" s="495" t="str">
        <f t="shared" si="33"/>
        <v/>
      </c>
      <c r="BC244" s="495" t="str">
        <f t="shared" si="34"/>
        <v/>
      </c>
      <c r="BD244" s="513" t="str">
        <f>IF(AND(L244="",H244=""),"",
IF(H244="",Pole_Calc!A$9,
IF(H244="MP",Pole_Calc!A$10,
IF(H244="AnMP",Pole_Calc!A$11,
IF(H244="A",Pole_Calc!A$12,
IF(H244="S/A",Pole_Calc!A$13,
IF(H244="A/S",Pole_Calc!A$14,"Poner a mano")))))))</f>
        <v>App.7-V11I-P9.5.1.1</v>
      </c>
      <c r="BE244" s="429" t="s">
        <v>118</v>
      </c>
      <c r="BF244" s="289"/>
      <c r="BG244" s="289"/>
      <c r="BH244" s="290"/>
      <c r="BI244" s="289"/>
    </row>
    <row r="245" spans="1:61" ht="16.149999999999999" customHeight="1">
      <c r="A245" s="514" t="s">
        <v>169</v>
      </c>
      <c r="B245" s="450"/>
      <c r="C245" s="3"/>
      <c r="D245" s="83"/>
      <c r="E245" s="4"/>
      <c r="F245" s="4"/>
      <c r="G245" s="6">
        <v>50</v>
      </c>
      <c r="H245" s="449"/>
      <c r="I245" s="4"/>
      <c r="J245" s="3"/>
      <c r="K245" s="449"/>
      <c r="L245" s="449"/>
      <c r="M245" s="449" t="str">
        <f>IF(L245="","",
IF(AX245="PT",VLOOKUP(L245,Foundation_Calc!$V$79:$X$113,VLOOKUP(AX245,Foundation_Calc!$I$10:$J$13,2,FALSE),0),
IF(AX245="K",VLOOKUP(L245,Foundation_Calc!$V$117:$X$151,VLOOKUP(AX245,Foundation_Calc!$I$10:$J$13,2,FALSE),0),"")))</f>
        <v/>
      </c>
      <c r="N245" s="449"/>
      <c r="O245" s="449"/>
      <c r="P245" s="449"/>
      <c r="Q245" s="4"/>
      <c r="R245" s="6"/>
      <c r="S245" s="6"/>
      <c r="T245" s="4"/>
      <c r="U245" s="4"/>
      <c r="V245" s="4"/>
      <c r="W245" s="9"/>
      <c r="X245" s="9"/>
      <c r="Y245" s="9"/>
      <c r="Z245" s="9"/>
      <c r="AA245" s="9"/>
      <c r="AB245" s="9"/>
      <c r="AC245" s="449" t="str">
        <f t="shared" si="29"/>
        <v/>
      </c>
      <c r="AD245" s="449"/>
      <c r="AE245" s="449"/>
      <c r="AF245" s="4"/>
      <c r="AG245" s="83"/>
      <c r="AH245" s="4"/>
      <c r="AI245" s="4"/>
      <c r="AJ245" s="449"/>
      <c r="AK245" s="449"/>
      <c r="AL245" s="449"/>
      <c r="AM245" s="449"/>
      <c r="AN245" s="10"/>
      <c r="AO245" s="9"/>
      <c r="AP245" s="9"/>
      <c r="AQ245" s="9">
        <f>+FL_2($T$246,$T$244,$G$245,1200,9.28, 1*$F$246)</f>
        <v>-0.33331886373108921</v>
      </c>
      <c r="AR245" s="9"/>
      <c r="AS245" s="9"/>
      <c r="AT245" s="9"/>
      <c r="AU245" s="428"/>
      <c r="AV245" s="428"/>
      <c r="AW245" s="449" t="str">
        <f>IF(C245&gt;0,VLOOKUP(C245,Foundation_Calc!$A$2:$C$13,3,1),
IF(J245&gt;0,VLOOKUP(J245,Foundation_Calc!$A$2:$C$13,3,1),""))</f>
        <v/>
      </c>
      <c r="AX245" s="449" t="str">
        <f>IF(C245&gt;0,VLOOKUP(C245,Foundation_Calc!$E$35:$G$65,3,1),
IF(J245&gt;0,VLOOKUP(J245,Foundation_Calc!$E$35:$G$65,3,1),""))</f>
        <v/>
      </c>
      <c r="AY245" s="10" t="str">
        <f>IF(L245="","",
IF(AX245="PT",VLOOKUP(L245,Foundation_Calc!$K$79:$R$113,VLOOKUP(AW245,Foundation_Calc!$I$2:$J$8,2,FALSE),0),
IF(AX245="K",VLOOKUP(L245,Foundation_Calc!$K$117:$R$151,VLOOKUP(AW245,Foundation_Calc!$I$2:$J$8,2,FALSE),0),"")))</f>
        <v/>
      </c>
      <c r="AZ245" s="10" t="str">
        <f>IF(K245="","",
IF(AX245="PT",VLOOKUP(K245,Foundation_Calc!$K$79:$R$113,VLOOKUP(AW245,Foundation_Calc!$I$2:$J$8,2,FALSE),0),
IF(AX245="K",VLOOKUP(K245,Foundation_Calc!$K$117:$R$151,VLOOKUP(AW245,Foundation_Calc!$I$2:$J$8,2,FALSE),0),"")))</f>
        <v/>
      </c>
      <c r="BA245" s="495" t="str">
        <f t="shared" si="32"/>
        <v/>
      </c>
      <c r="BB245" s="495" t="str">
        <f t="shared" si="33"/>
        <v/>
      </c>
      <c r="BC245" s="495" t="str">
        <f t="shared" si="34"/>
        <v/>
      </c>
      <c r="BD245" s="513" t="str">
        <f>IF(AND(L245="",H245=""),"",
IF(H245="",Pole_Calc!A$9,
IF(H245="MP",Pole_Calc!A$10,
IF(H245="AnMP",Pole_Calc!A$11,
IF(H245="A",Pole_Calc!A$12,
IF(H245="S/A",Pole_Calc!A$13,
IF(H245="A/S",Pole_Calc!A$14,"Poner a mano")))))))</f>
        <v/>
      </c>
      <c r="BE245" s="429" t="s">
        <v>118</v>
      </c>
      <c r="BF245" s="290"/>
      <c r="BG245" s="290"/>
      <c r="BH245" s="290"/>
      <c r="BI245" s="290"/>
    </row>
    <row r="246" spans="1:61" ht="16.149999999999999" customHeight="1">
      <c r="A246" s="514"/>
      <c r="B246" s="450" t="s">
        <v>1062</v>
      </c>
      <c r="C246" s="3">
        <f>+$C$244+$G$245</f>
        <v>36110.550000000003</v>
      </c>
      <c r="D246" s="83"/>
      <c r="E246" s="4"/>
      <c r="F246" s="4">
        <v>-1500</v>
      </c>
      <c r="G246" s="6"/>
      <c r="H246" s="449"/>
      <c r="I246" s="4"/>
      <c r="J246" s="3"/>
      <c r="K246" s="449"/>
      <c r="L246" s="449" t="s">
        <v>158</v>
      </c>
      <c r="M246" s="449" t="str">
        <f>IF(L246="","",
IF(AX246="PT",VLOOKUP(L246,Foundation_Calc!$V$79:$X$113,VLOOKUP(AX246,Foundation_Calc!$I$10:$J$13,2,FALSE),0),
IF(AX246="K",VLOOKUP(L246,Foundation_Calc!$V$117:$X$151,VLOOKUP(AX246,Foundation_Calc!$I$10:$J$13,2,FALSE),0),"")))</f>
        <v>C4R</v>
      </c>
      <c r="N246" s="449" t="s">
        <v>124</v>
      </c>
      <c r="O246" s="449"/>
      <c r="P246" s="449"/>
      <c r="Q246" s="4"/>
      <c r="R246" s="6"/>
      <c r="S246" s="6"/>
      <c r="T246" s="4">
        <v>-30</v>
      </c>
      <c r="U246" s="4"/>
      <c r="V246" s="4"/>
      <c r="W246" s="9">
        <v>1.4</v>
      </c>
      <c r="X246" s="9"/>
      <c r="Y246" s="9"/>
      <c r="Z246" s="9"/>
      <c r="AA246" s="9"/>
      <c r="AB246" s="9"/>
      <c r="AC246" s="449" t="str">
        <f t="shared" si="29"/>
        <v>PHQ</v>
      </c>
      <c r="AD246" s="449"/>
      <c r="AE246" s="449"/>
      <c r="AF246" s="4"/>
      <c r="AG246" s="83"/>
      <c r="AH246" s="4"/>
      <c r="AI246" s="4"/>
      <c r="AJ246" s="449"/>
      <c r="AK246" s="449"/>
      <c r="AL246" s="449"/>
      <c r="AM246" s="449" t="s">
        <v>126</v>
      </c>
      <c r="AN246" s="10">
        <v>5.5</v>
      </c>
      <c r="AO246" s="9"/>
      <c r="AP246" s="9"/>
      <c r="AQ246" s="9"/>
      <c r="AR246" s="9"/>
      <c r="AS246" s="9"/>
      <c r="AT246" s="9">
        <f>+ab($T$246,$T$244,$T$248,$G$245,$G$247, 1*$F$246,1200)</f>
        <v>-5.7375244864003294</v>
      </c>
      <c r="AU246" s="428"/>
      <c r="AV246" s="428"/>
      <c r="AW246" s="449" t="str">
        <f>IF(C246&gt;0,VLOOKUP(C246,Foundation_Calc!$A$2:$C$13,3,1),
IF(J246&gt;0,VLOOKUP(J246,Foundation_Calc!$A$2:$C$13,3,1),""))</f>
        <v>Multi Soil</v>
      </c>
      <c r="AX246" s="449" t="str">
        <f>IF(C246&gt;0,VLOOKUP(C246,Foundation_Calc!$E$35:$G$65,3,1),
IF(J246&gt;0,VLOOKUP(J246,Foundation_Calc!$E$35:$G$65,3,1),""))</f>
        <v>PT</v>
      </c>
      <c r="AY246" s="10">
        <f>IF(L246="","",
IF(AX246="PT",VLOOKUP(L246,Foundation_Calc!$K$79:$R$113,VLOOKUP(AW246,Foundation_Calc!$I$2:$J$8,2,FALSE),0),
IF(AX246="K",VLOOKUP(L246,Foundation_Calc!$K$117:$R$151,VLOOKUP(AW246,Foundation_Calc!$I$2:$J$8,2,FALSE),0),"")))</f>
        <v>3.5</v>
      </c>
      <c r="AZ246" s="10" t="str">
        <f>IF(K246="","",
IF(AX246="PT",VLOOKUP(K246,Foundation_Calc!$K$79:$R$113,VLOOKUP(AW246,Foundation_Calc!$I$2:$J$8,2,FALSE),0),
IF(AX246="K",VLOOKUP(K246,Foundation_Calc!$K$117:$R$151,VLOOKUP(AW246,Foundation_Calc!$I$2:$J$8,2,FALSE),0),"")))</f>
        <v/>
      </c>
      <c r="BA246" s="495" t="str">
        <f t="shared" si="32"/>
        <v>ü</v>
      </c>
      <c r="BB246" s="495" t="str">
        <f t="shared" si="33"/>
        <v/>
      </c>
      <c r="BC246" s="495" t="str">
        <f t="shared" si="34"/>
        <v/>
      </c>
      <c r="BD246" s="513" t="str">
        <f>IF(AND(L246="",H246=""),"",
IF(H246="",Pole_Calc!A$9,
IF(H246="MP",Pole_Calc!A$10,
IF(H246="AnMP",Pole_Calc!A$11,
IF(H246="A",Pole_Calc!A$12,
IF(H246="S/A",Pole_Calc!A$13,
IF(H246="A/S",Pole_Calc!A$14,"Poner a mano")))))))</f>
        <v>App.7-V11I-P9.5.1.1</v>
      </c>
      <c r="BE246" s="429" t="s">
        <v>118</v>
      </c>
      <c r="BF246" s="289"/>
      <c r="BG246" s="289"/>
      <c r="BH246" s="290"/>
      <c r="BI246" s="289"/>
    </row>
    <row r="247" spans="1:61" ht="16.149999999999999" customHeight="1">
      <c r="A247" s="514"/>
      <c r="B247" s="450"/>
      <c r="C247" s="3"/>
      <c r="D247" s="83"/>
      <c r="E247" s="4"/>
      <c r="F247" s="4"/>
      <c r="G247" s="6">
        <v>50</v>
      </c>
      <c r="H247" s="449"/>
      <c r="I247" s="4"/>
      <c r="J247" s="3"/>
      <c r="K247" s="449"/>
      <c r="L247" s="449"/>
      <c r="M247" s="449" t="str">
        <f>IF(L247="","",
IF(AX247="PT",VLOOKUP(L247,Foundation_Calc!$V$79:$X$113,VLOOKUP(AX247,Foundation_Calc!$I$10:$J$13,2,FALSE),0),
IF(AX247="K",VLOOKUP(L247,Foundation_Calc!$V$117:$X$151,VLOOKUP(AX247,Foundation_Calc!$I$10:$J$13,2,FALSE),0),"")))</f>
        <v/>
      </c>
      <c r="N247" s="449"/>
      <c r="O247" s="449"/>
      <c r="P247" s="449"/>
      <c r="Q247" s="4"/>
      <c r="R247" s="6"/>
      <c r="S247" s="6"/>
      <c r="T247" s="4"/>
      <c r="U247" s="4"/>
      <c r="V247" s="4"/>
      <c r="W247" s="9"/>
      <c r="X247" s="9"/>
      <c r="Y247" s="9"/>
      <c r="Z247" s="9"/>
      <c r="AA247" s="9"/>
      <c r="AB247" s="9"/>
      <c r="AC247" s="449" t="str">
        <f t="shared" si="29"/>
        <v/>
      </c>
      <c r="AD247" s="449"/>
      <c r="AE247" s="449"/>
      <c r="AF247" s="4"/>
      <c r="AG247" s="83"/>
      <c r="AH247" s="4"/>
      <c r="AI247" s="4"/>
      <c r="AJ247" s="449"/>
      <c r="AK247" s="449"/>
      <c r="AL247" s="449"/>
      <c r="AM247" s="449"/>
      <c r="AN247" s="10"/>
      <c r="AO247" s="9"/>
      <c r="AP247" s="9"/>
      <c r="AQ247" s="9">
        <f>+FL_2($T$248,$T$246,$G$247,1200,9.28, 1*$F$248)</f>
        <v>-0.33331886373108921</v>
      </c>
      <c r="AR247" s="9"/>
      <c r="AS247" s="9"/>
      <c r="AT247" s="9"/>
      <c r="AU247" s="428"/>
      <c r="AV247" s="428"/>
      <c r="AW247" s="449" t="str">
        <f>IF(C247&gt;0,VLOOKUP(C247,Foundation_Calc!$A$2:$C$13,3,1),
IF(J247&gt;0,VLOOKUP(J247,Foundation_Calc!$A$2:$C$13,3,1),""))</f>
        <v/>
      </c>
      <c r="AX247" s="449" t="str">
        <f>IF(C247&gt;0,VLOOKUP(C247,Foundation_Calc!$E$35:$G$65,3,1),
IF(J247&gt;0,VLOOKUP(J247,Foundation_Calc!$E$35:$G$65,3,1),""))</f>
        <v/>
      </c>
      <c r="AY247" s="10" t="str">
        <f>IF(L247="","",
IF(AX247="PT",VLOOKUP(L247,Foundation_Calc!$K$79:$R$113,VLOOKUP(AW247,Foundation_Calc!$I$2:$J$8,2,FALSE),0),
IF(AX247="K",VLOOKUP(L247,Foundation_Calc!$K$117:$R$151,VLOOKUP(AW247,Foundation_Calc!$I$2:$J$8,2,FALSE),0),"")))</f>
        <v/>
      </c>
      <c r="AZ247" s="10" t="str">
        <f>IF(K247="","",
IF(AX247="PT",VLOOKUP(K247,Foundation_Calc!$K$79:$R$113,VLOOKUP(AW247,Foundation_Calc!$I$2:$J$8,2,FALSE),0),
IF(AX247="K",VLOOKUP(K247,Foundation_Calc!$K$117:$R$151,VLOOKUP(AW247,Foundation_Calc!$I$2:$J$8,2,FALSE),0),"")))</f>
        <v/>
      </c>
      <c r="BA247" s="495" t="str">
        <f t="shared" si="32"/>
        <v/>
      </c>
      <c r="BB247" s="495" t="str">
        <f t="shared" si="33"/>
        <v/>
      </c>
      <c r="BC247" s="495" t="str">
        <f t="shared" si="34"/>
        <v/>
      </c>
      <c r="BD247" s="513" t="str">
        <f>IF(AND(L247="",H247=""),"",
IF(H247="",Pole_Calc!A$9,
IF(H247="MP",Pole_Calc!A$10,
IF(H247="AnMP",Pole_Calc!A$11,
IF(H247="A",Pole_Calc!A$12,
IF(H247="S/A",Pole_Calc!A$13,
IF(H247="A/S",Pole_Calc!A$14,"Poner a mano")))))))</f>
        <v/>
      </c>
      <c r="BE247" s="429" t="s">
        <v>118</v>
      </c>
      <c r="BF247" s="290"/>
      <c r="BG247" s="290"/>
      <c r="BH247" s="290"/>
      <c r="BI247" s="290"/>
    </row>
    <row r="248" spans="1:61" ht="16.149999999999999" customHeight="1">
      <c r="A248" s="514"/>
      <c r="B248" s="450" t="s">
        <v>1063</v>
      </c>
      <c r="C248" s="3">
        <f>+$C$246+$G$247</f>
        <v>36160.550000000003</v>
      </c>
      <c r="D248" s="83"/>
      <c r="E248" s="4"/>
      <c r="F248" s="4">
        <v>-1500</v>
      </c>
      <c r="G248" s="6"/>
      <c r="H248" s="449"/>
      <c r="I248" s="4"/>
      <c r="J248" s="3"/>
      <c r="K248" s="449"/>
      <c r="L248" s="449" t="s">
        <v>158</v>
      </c>
      <c r="M248" s="449" t="str">
        <f>IF(L248="","",
IF(AX248="PT",VLOOKUP(L248,Foundation_Calc!$V$79:$X$113,VLOOKUP(AX248,Foundation_Calc!$I$10:$J$13,2,FALSE),0),
IF(AX248="K",VLOOKUP(L248,Foundation_Calc!$V$117:$X$151,VLOOKUP(AX248,Foundation_Calc!$I$10:$J$13,2,FALSE),0),"")))</f>
        <v>C4R</v>
      </c>
      <c r="N248" s="449" t="s">
        <v>124</v>
      </c>
      <c r="O248" s="449"/>
      <c r="P248" s="449"/>
      <c r="Q248" s="4"/>
      <c r="R248" s="6"/>
      <c r="S248" s="6"/>
      <c r="T248" s="4">
        <v>-30</v>
      </c>
      <c r="U248" s="4"/>
      <c r="V248" s="4"/>
      <c r="W248" s="9">
        <v>1.4</v>
      </c>
      <c r="X248" s="9"/>
      <c r="Y248" s="9"/>
      <c r="Z248" s="9"/>
      <c r="AA248" s="9"/>
      <c r="AB248" s="9"/>
      <c r="AC248" s="449" t="str">
        <f t="shared" si="29"/>
        <v>PHQ</v>
      </c>
      <c r="AD248" s="449"/>
      <c r="AE248" s="449"/>
      <c r="AF248" s="4"/>
      <c r="AG248" s="83"/>
      <c r="AH248" s="4"/>
      <c r="AI248" s="4"/>
      <c r="AJ248" s="449"/>
      <c r="AK248" s="449"/>
      <c r="AL248" s="449"/>
      <c r="AM248" s="449" t="s">
        <v>126</v>
      </c>
      <c r="AN248" s="10">
        <v>5.5</v>
      </c>
      <c r="AO248" s="9"/>
      <c r="AP248" s="9"/>
      <c r="AQ248" s="9"/>
      <c r="AR248" s="9"/>
      <c r="AS248" s="9"/>
      <c r="AT248" s="9">
        <f>+ab($T$248,$T$246,$T$250,$G$247,$G$249, 1*$F$248,1200)</f>
        <v>-5.7375244864003294</v>
      </c>
      <c r="AU248" s="428"/>
      <c r="AV248" s="428"/>
      <c r="AW248" s="449" t="str">
        <f>IF(C248&gt;0,VLOOKUP(C248,Foundation_Calc!$A$2:$C$13,3,1),
IF(J248&gt;0,VLOOKUP(J248,Foundation_Calc!$A$2:$C$13,3,1),""))</f>
        <v>Multi Soil</v>
      </c>
      <c r="AX248" s="449" t="str">
        <f>IF(C248&gt;0,VLOOKUP(C248,Foundation_Calc!$E$35:$G$65,3,1),
IF(J248&gt;0,VLOOKUP(J248,Foundation_Calc!$E$35:$G$65,3,1),""))</f>
        <v>PT</v>
      </c>
      <c r="AY248" s="10">
        <f>IF(L248="","",
IF(AX248="PT",VLOOKUP(L248,Foundation_Calc!$K$79:$R$113,VLOOKUP(AW248,Foundation_Calc!$I$2:$J$8,2,FALSE),0),
IF(AX248="K",VLOOKUP(L248,Foundation_Calc!$K$117:$R$151,VLOOKUP(AW248,Foundation_Calc!$I$2:$J$8,2,FALSE),0),"")))</f>
        <v>3.5</v>
      </c>
      <c r="AZ248" s="10" t="str">
        <f>IF(K248="","",
IF(AX248="PT",VLOOKUP(K248,Foundation_Calc!$K$79:$R$113,VLOOKUP(AW248,Foundation_Calc!$I$2:$J$8,2,FALSE),0),
IF(AX248="K",VLOOKUP(K248,Foundation_Calc!$K$117:$R$151,VLOOKUP(AW248,Foundation_Calc!$I$2:$J$8,2,FALSE),0),"")))</f>
        <v/>
      </c>
      <c r="BA248" s="495" t="str">
        <f t="shared" si="32"/>
        <v>ü</v>
      </c>
      <c r="BB248" s="495" t="str">
        <f t="shared" si="33"/>
        <v/>
      </c>
      <c r="BC248" s="495" t="str">
        <f t="shared" si="34"/>
        <v/>
      </c>
      <c r="BD248" s="513" t="str">
        <f>IF(AND(L248="",H248=""),"",
IF(H248="",Pole_Calc!A$9,
IF(H248="MP",Pole_Calc!A$10,
IF(H248="AnMP",Pole_Calc!A$11,
IF(H248="A",Pole_Calc!A$12,
IF(H248="S/A",Pole_Calc!A$13,
IF(H248="A/S",Pole_Calc!A$14,"Poner a mano")))))))</f>
        <v>App.7-V11I-P9.5.1.1</v>
      </c>
      <c r="BE248" s="429" t="s">
        <v>118</v>
      </c>
      <c r="BF248" s="289"/>
      <c r="BG248" s="289"/>
      <c r="BH248" s="290"/>
      <c r="BI248" s="289"/>
    </row>
    <row r="249" spans="1:61" ht="16.149999999999999" customHeight="1">
      <c r="A249" s="514"/>
      <c r="B249" s="450"/>
      <c r="C249" s="3"/>
      <c r="D249" s="83"/>
      <c r="E249" s="4"/>
      <c r="F249" s="4"/>
      <c r="G249" s="6">
        <v>50</v>
      </c>
      <c r="H249" s="449"/>
      <c r="I249" s="4"/>
      <c r="J249" s="3"/>
      <c r="K249" s="449"/>
      <c r="L249" s="449"/>
      <c r="M249" s="449" t="str">
        <f>IF(L249="","",
IF(AX249="PT",VLOOKUP(L249,Foundation_Calc!$V$79:$X$113,VLOOKUP(AX249,Foundation_Calc!$I$10:$J$13,2,FALSE),0),
IF(AX249="K",VLOOKUP(L249,Foundation_Calc!$V$117:$X$151,VLOOKUP(AX249,Foundation_Calc!$I$10:$J$13,2,FALSE),0),"")))</f>
        <v/>
      </c>
      <c r="N249" s="449"/>
      <c r="O249" s="449"/>
      <c r="P249" s="449"/>
      <c r="Q249" s="4"/>
      <c r="R249" s="6"/>
      <c r="S249" s="6"/>
      <c r="T249" s="4"/>
      <c r="U249" s="4"/>
      <c r="V249" s="4"/>
      <c r="W249" s="9"/>
      <c r="X249" s="9"/>
      <c r="Y249" s="9"/>
      <c r="Z249" s="9"/>
      <c r="AA249" s="9"/>
      <c r="AB249" s="9"/>
      <c r="AC249" s="449" t="str">
        <f t="shared" si="29"/>
        <v/>
      </c>
      <c r="AD249" s="449"/>
      <c r="AE249" s="449"/>
      <c r="AF249" s="4"/>
      <c r="AG249" s="83"/>
      <c r="AH249" s="4"/>
      <c r="AI249" s="4"/>
      <c r="AJ249" s="449"/>
      <c r="AK249" s="449"/>
      <c r="AL249" s="449"/>
      <c r="AM249" s="449"/>
      <c r="AN249" s="10"/>
      <c r="AO249" s="9"/>
      <c r="AP249" s="9"/>
      <c r="AQ249" s="9">
        <f>+FL_2($T$250,$T$248,$G$249,1200,9.28, 1*$F$250)</f>
        <v>-0.35172334314499187</v>
      </c>
      <c r="AR249" s="9"/>
      <c r="AS249" s="9"/>
      <c r="AT249" s="9"/>
      <c r="AU249" s="428"/>
      <c r="AV249" s="428"/>
      <c r="AW249" s="449" t="str">
        <f>IF(C249&gt;0,VLOOKUP(C249,Foundation_Calc!$A$2:$C$13,3,1),
IF(J249&gt;0,VLOOKUP(J249,Foundation_Calc!$A$2:$C$13,3,1),""))</f>
        <v/>
      </c>
      <c r="AX249" s="449" t="str">
        <f>IF(C249&gt;0,VLOOKUP(C249,Foundation_Calc!$E$35:$G$65,3,1),
IF(J249&gt;0,VLOOKUP(J249,Foundation_Calc!$E$35:$G$65,3,1),""))</f>
        <v/>
      </c>
      <c r="AY249" s="10" t="str">
        <f>IF(L249="","",
IF(AX249="PT",VLOOKUP(L249,Foundation_Calc!$K$79:$R$113,VLOOKUP(AW249,Foundation_Calc!$I$2:$J$8,2,FALSE),0),
IF(AX249="K",VLOOKUP(L249,Foundation_Calc!$K$117:$R$151,VLOOKUP(AW249,Foundation_Calc!$I$2:$J$8,2,FALSE),0),"")))</f>
        <v/>
      </c>
      <c r="AZ249" s="10" t="str">
        <f>IF(K249="","",
IF(AX249="PT",VLOOKUP(K249,Foundation_Calc!$K$79:$R$113,VLOOKUP(AW249,Foundation_Calc!$I$2:$J$8,2,FALSE),0),
IF(AX249="K",VLOOKUP(K249,Foundation_Calc!$K$117:$R$151,VLOOKUP(AW249,Foundation_Calc!$I$2:$J$8,2,FALSE),0),"")))</f>
        <v/>
      </c>
      <c r="BA249" s="495" t="str">
        <f t="shared" si="32"/>
        <v/>
      </c>
      <c r="BB249" s="495" t="str">
        <f t="shared" si="33"/>
        <v/>
      </c>
      <c r="BC249" s="495" t="str">
        <f t="shared" si="34"/>
        <v/>
      </c>
      <c r="BD249" s="513" t="str">
        <f>IF(AND(L249="",H249=""),"",
IF(H249="",Pole_Calc!A$9,
IF(H249="MP",Pole_Calc!A$10,
IF(H249="AnMP",Pole_Calc!A$11,
IF(H249="A",Pole_Calc!A$12,
IF(H249="S/A",Pole_Calc!A$13,
IF(H249="A/S",Pole_Calc!A$14,"Poner a mano")))))))</f>
        <v/>
      </c>
      <c r="BE249" s="429" t="s">
        <v>118</v>
      </c>
      <c r="BF249" s="290"/>
      <c r="BG249" s="290"/>
      <c r="BH249" s="290"/>
      <c r="BI249" s="290"/>
    </row>
    <row r="250" spans="1:61" ht="16.149999999999999" customHeight="1">
      <c r="A250" s="514"/>
      <c r="B250" s="450" t="s">
        <v>1064</v>
      </c>
      <c r="C250" s="3">
        <f>+$C$248+$G$249</f>
        <v>36210.550000000003</v>
      </c>
      <c r="D250" s="83"/>
      <c r="E250" s="4"/>
      <c r="F250" s="4">
        <v>-1645.3225806450841</v>
      </c>
      <c r="G250" s="6"/>
      <c r="H250" s="449"/>
      <c r="I250" s="4"/>
      <c r="J250" s="3"/>
      <c r="K250" s="449"/>
      <c r="L250" s="449" t="s">
        <v>158</v>
      </c>
      <c r="M250" s="449" t="str">
        <f>IF(L250="","",
IF(AX250="PT",VLOOKUP(L250,Foundation_Calc!$V$79:$X$113,VLOOKUP(AX250,Foundation_Calc!$I$10:$J$13,2,FALSE),0),
IF(AX250="K",VLOOKUP(L250,Foundation_Calc!$V$117:$X$151,VLOOKUP(AX250,Foundation_Calc!$I$10:$J$13,2,FALSE),0),"")))</f>
        <v>C4RT</v>
      </c>
      <c r="N250" s="449" t="s">
        <v>124</v>
      </c>
      <c r="O250" s="449"/>
      <c r="P250" s="449"/>
      <c r="Q250" s="4"/>
      <c r="R250" s="6"/>
      <c r="S250" s="6"/>
      <c r="T250" s="4">
        <v>-30</v>
      </c>
      <c r="U250" s="4"/>
      <c r="V250" s="4"/>
      <c r="W250" s="9">
        <v>1.4</v>
      </c>
      <c r="X250" s="9"/>
      <c r="Y250" s="9"/>
      <c r="Z250" s="9"/>
      <c r="AA250" s="9"/>
      <c r="AB250" s="9"/>
      <c r="AC250" s="449" t="str">
        <f t="shared" si="29"/>
        <v>PHQ</v>
      </c>
      <c r="AD250" s="449"/>
      <c r="AE250" s="449"/>
      <c r="AF250" s="4"/>
      <c r="AG250" s="83"/>
      <c r="AH250" s="4"/>
      <c r="AI250" s="4"/>
      <c r="AJ250" s="449"/>
      <c r="AK250" s="449"/>
      <c r="AL250" s="449"/>
      <c r="AM250" s="449" t="s">
        <v>126</v>
      </c>
      <c r="AN250" s="10">
        <v>5.5</v>
      </c>
      <c r="AO250" s="9"/>
      <c r="AP250" s="9"/>
      <c r="AQ250" s="9"/>
      <c r="AR250" s="9"/>
      <c r="AS250" s="9"/>
      <c r="AT250" s="9">
        <f>+ab($T$250,$T$248,$T$252,$G$249,$G$251, 1*$F$250,1200)</f>
        <v>-6.289125973114988</v>
      </c>
      <c r="AU250" s="428"/>
      <c r="AV250" s="428"/>
      <c r="AW250" s="449" t="str">
        <f>IF(C250&gt;0,VLOOKUP(C250,Foundation_Calc!$A$2:$C$13,3,1),
IF(J250&gt;0,VLOOKUP(J250,Foundation_Calc!$A$2:$C$13,3,1),""))</f>
        <v>Multi Soil</v>
      </c>
      <c r="AX250" s="449" t="str">
        <f>IF(C250&gt;0,VLOOKUP(C250,Foundation_Calc!$E$35:$G$65,3,1),
IF(J250&gt;0,VLOOKUP(J250,Foundation_Calc!$E$35:$G$65,3,1),""))</f>
        <v>K</v>
      </c>
      <c r="AY250" s="10">
        <f>IF(L250="","",
IF(AX250="PT",VLOOKUP(L250,Foundation_Calc!$K$79:$R$113,VLOOKUP(AW250,Foundation_Calc!$I$2:$J$8,2,FALSE),0),
IF(AX250="K",VLOOKUP(L250,Foundation_Calc!$K$117:$R$151,VLOOKUP(AW250,Foundation_Calc!$I$2:$J$8,2,FALSE),0),"")))</f>
        <v>4.2</v>
      </c>
      <c r="AZ250" s="10" t="str">
        <f>IF(K250="","",
IF(AX250="PT",VLOOKUP(K250,Foundation_Calc!$K$79:$R$113,VLOOKUP(AW250,Foundation_Calc!$I$2:$J$8,2,FALSE),0),
IF(AX250="K",VLOOKUP(K250,Foundation_Calc!$K$117:$R$151,VLOOKUP(AW250,Foundation_Calc!$I$2:$J$8,2,FALSE),0),"")))</f>
        <v/>
      </c>
      <c r="BA250" s="495" t="str">
        <f t="shared" si="32"/>
        <v>ü</v>
      </c>
      <c r="BB250" s="495" t="str">
        <f t="shared" si="33"/>
        <v/>
      </c>
      <c r="BC250" s="495" t="str">
        <f t="shared" si="34"/>
        <v/>
      </c>
      <c r="BD250" s="513" t="str">
        <f>IF(AND(L250="",H250=""),"",
IF(H250="",Pole_Calc!A$9,
IF(H250="MP",Pole_Calc!A$10,
IF(H250="AnMP",Pole_Calc!A$11,
IF(H250="A",Pole_Calc!A$12,
IF(H250="S/A",Pole_Calc!A$13,
IF(H250="A/S",Pole_Calc!A$14,"Poner a mano")))))))</f>
        <v>App.7-V11I-P9.5.1.1</v>
      </c>
      <c r="BE250" s="429" t="s">
        <v>118</v>
      </c>
      <c r="BF250" s="289"/>
      <c r="BG250" s="289"/>
      <c r="BH250" s="290"/>
      <c r="BI250" s="289"/>
    </row>
    <row r="251" spans="1:61" ht="16.149999999999999" customHeight="1">
      <c r="A251" s="514"/>
      <c r="B251" s="450"/>
      <c r="C251" s="3"/>
      <c r="D251" s="83"/>
      <c r="E251" s="4"/>
      <c r="F251" s="4"/>
      <c r="G251" s="6">
        <v>50</v>
      </c>
      <c r="H251" s="449"/>
      <c r="I251" s="4"/>
      <c r="J251" s="3"/>
      <c r="K251" s="449"/>
      <c r="L251" s="449"/>
      <c r="M251" s="449" t="str">
        <f>IF(L251="","",
IF(AX251="PT",VLOOKUP(L251,Foundation_Calc!$V$79:$X$113,VLOOKUP(AX251,Foundation_Calc!$I$10:$J$13,2,FALSE),0),
IF(AX251="K",VLOOKUP(L251,Foundation_Calc!$V$117:$X$151,VLOOKUP(AX251,Foundation_Calc!$I$10:$J$13,2,FALSE),0),"")))</f>
        <v/>
      </c>
      <c r="N251" s="449"/>
      <c r="O251" s="449"/>
      <c r="P251" s="449"/>
      <c r="Q251" s="4"/>
      <c r="R251" s="6"/>
      <c r="S251" s="6"/>
      <c r="T251" s="4"/>
      <c r="U251" s="4"/>
      <c r="V251" s="4"/>
      <c r="W251" s="9"/>
      <c r="X251" s="9"/>
      <c r="Y251" s="9"/>
      <c r="Z251" s="9"/>
      <c r="AA251" s="9"/>
      <c r="AB251" s="9"/>
      <c r="AC251" s="449" t="str">
        <f t="shared" si="29"/>
        <v/>
      </c>
      <c r="AD251" s="449"/>
      <c r="AE251" s="449"/>
      <c r="AF251" s="4"/>
      <c r="AG251" s="83"/>
      <c r="AH251" s="4"/>
      <c r="AI251" s="4"/>
      <c r="AJ251" s="449"/>
      <c r="AK251" s="449"/>
      <c r="AL251" s="449"/>
      <c r="AM251" s="449"/>
      <c r="AN251" s="10"/>
      <c r="AO251" s="9"/>
      <c r="AP251" s="9"/>
      <c r="AQ251" s="9">
        <f>+FL_2($T$252,$T$250,$G$251,1200,9.28, 1*$F$252)</f>
        <v>-0.41299940207924613</v>
      </c>
      <c r="AR251" s="9"/>
      <c r="AS251" s="9"/>
      <c r="AT251" s="9"/>
      <c r="AU251" s="428"/>
      <c r="AV251" s="428"/>
      <c r="AW251" s="449" t="str">
        <f>IF(C251&gt;0,VLOOKUP(C251,Foundation_Calc!$A$2:$C$13,3,1),
IF(J251&gt;0,VLOOKUP(J251,Foundation_Calc!$A$2:$C$13,3,1),""))</f>
        <v/>
      </c>
      <c r="AX251" s="449" t="str">
        <f>IF(C251&gt;0,VLOOKUP(C251,Foundation_Calc!$E$35:$G$65,3,1),
IF(J251&gt;0,VLOOKUP(J251,Foundation_Calc!$E$35:$G$65,3,1),""))</f>
        <v/>
      </c>
      <c r="AY251" s="10" t="str">
        <f>IF(L251="","",
IF(AX251="PT",VLOOKUP(L251,Foundation_Calc!$K$79:$R$113,VLOOKUP(AW251,Foundation_Calc!$I$2:$J$8,2,FALSE),0),
IF(AX251="K",VLOOKUP(L251,Foundation_Calc!$K$117:$R$151,VLOOKUP(AW251,Foundation_Calc!$I$2:$J$8,2,FALSE),0),"")))</f>
        <v/>
      </c>
      <c r="AZ251" s="10" t="str">
        <f>IF(K251="","",
IF(AX251="PT",VLOOKUP(K251,Foundation_Calc!$K$79:$R$113,VLOOKUP(AW251,Foundation_Calc!$I$2:$J$8,2,FALSE),0),
IF(AX251="K",VLOOKUP(K251,Foundation_Calc!$K$117:$R$151,VLOOKUP(AW251,Foundation_Calc!$I$2:$J$8,2,FALSE),0),"")))</f>
        <v/>
      </c>
      <c r="BA251" s="495" t="str">
        <f t="shared" si="32"/>
        <v/>
      </c>
      <c r="BB251" s="495" t="str">
        <f t="shared" si="33"/>
        <v/>
      </c>
      <c r="BC251" s="495" t="str">
        <f t="shared" si="34"/>
        <v/>
      </c>
      <c r="BD251" s="513" t="str">
        <f>IF(AND(L251="",H251=""),"",
IF(H251="",Pole_Calc!A$9,
IF(H251="MP",Pole_Calc!A$10,
IF(H251="AnMP",Pole_Calc!A$11,
IF(H251="A",Pole_Calc!A$12,
IF(H251="S/A",Pole_Calc!A$13,
IF(H251="A/S",Pole_Calc!A$14,"Poner a mano")))))))</f>
        <v/>
      </c>
      <c r="BE251" s="429" t="s">
        <v>118</v>
      </c>
      <c r="BF251" s="290"/>
      <c r="BG251" s="290"/>
      <c r="BH251" s="290"/>
      <c r="BI251" s="290"/>
    </row>
    <row r="252" spans="1:61" ht="16.149999999999999" customHeight="1">
      <c r="A252" s="514"/>
      <c r="B252" s="450" t="s">
        <v>1065</v>
      </c>
      <c r="C252" s="3">
        <f>+$C$250+$G$251</f>
        <v>36260.550000000003</v>
      </c>
      <c r="D252" s="83"/>
      <c r="E252" s="4"/>
      <c r="F252" s="4">
        <v>-2428.8095238093556</v>
      </c>
      <c r="G252" s="6"/>
      <c r="H252" s="449"/>
      <c r="I252" s="4"/>
      <c r="J252" s="3"/>
      <c r="K252" s="449"/>
      <c r="L252" s="449" t="s">
        <v>158</v>
      </c>
      <c r="M252" s="449" t="str">
        <f>IF(L252="","",
IF(AX252="PT",VLOOKUP(L252,Foundation_Calc!$V$79:$X$113,VLOOKUP(AX252,Foundation_Calc!$I$10:$J$13,2,FALSE),0),
IF(AX252="K",VLOOKUP(L252,Foundation_Calc!$V$117:$X$151,VLOOKUP(AX252,Foundation_Calc!$I$10:$J$13,2,FALSE),0),"")))</f>
        <v>C4RT</v>
      </c>
      <c r="N252" s="449" t="s">
        <v>124</v>
      </c>
      <c r="O252" s="449"/>
      <c r="P252" s="449"/>
      <c r="Q252" s="4"/>
      <c r="R252" s="6"/>
      <c r="S252" s="6"/>
      <c r="T252" s="4">
        <v>-30</v>
      </c>
      <c r="U252" s="4"/>
      <c r="V252" s="4"/>
      <c r="W252" s="9">
        <v>1.4</v>
      </c>
      <c r="X252" s="9"/>
      <c r="Y252" s="9"/>
      <c r="Z252" s="9"/>
      <c r="AA252" s="9"/>
      <c r="AB252" s="9"/>
      <c r="AC252" s="449" t="str">
        <f t="shared" si="29"/>
        <v>PH</v>
      </c>
      <c r="AD252" s="449"/>
      <c r="AE252" s="449"/>
      <c r="AF252" s="4"/>
      <c r="AG252" s="83"/>
      <c r="AH252" s="4"/>
      <c r="AI252" s="4"/>
      <c r="AJ252" s="449"/>
      <c r="AK252" s="449"/>
      <c r="AL252" s="449"/>
      <c r="AM252" s="449" t="s">
        <v>126</v>
      </c>
      <c r="AN252" s="10">
        <v>5.5</v>
      </c>
      <c r="AO252" s="9"/>
      <c r="AP252" s="9"/>
      <c r="AQ252" s="9"/>
      <c r="AR252" s="9"/>
      <c r="AS252" s="9"/>
      <c r="AT252" s="9">
        <f>+ab($T$252,$T$250,$T$254,$G$251,$G$253, 1*$F$252,1200)</f>
        <v>-8.4345460082054426</v>
      </c>
      <c r="AU252" s="428"/>
      <c r="AV252" s="428"/>
      <c r="AW252" s="449" t="str">
        <f>IF(C252&gt;0,VLOOKUP(C252,Foundation_Calc!$A$2:$C$13,3,1),
IF(J252&gt;0,VLOOKUP(J252,Foundation_Calc!$A$2:$C$13,3,1),""))</f>
        <v>Multi Soil</v>
      </c>
      <c r="AX252" s="449" t="str">
        <f>IF(C252&gt;0,VLOOKUP(C252,Foundation_Calc!$E$35:$G$65,3,1),
IF(J252&gt;0,VLOOKUP(J252,Foundation_Calc!$E$35:$G$65,3,1),""))</f>
        <v>K</v>
      </c>
      <c r="AY252" s="10">
        <f>IF(L252="","",
IF(AX252="PT",VLOOKUP(L252,Foundation_Calc!$K$79:$R$113,VLOOKUP(AW252,Foundation_Calc!$I$2:$J$8,2,FALSE),0),
IF(AX252="K",VLOOKUP(L252,Foundation_Calc!$K$117:$R$151,VLOOKUP(AW252,Foundation_Calc!$I$2:$J$8,2,FALSE),0),"")))</f>
        <v>4.2</v>
      </c>
      <c r="AZ252" s="10" t="str">
        <f>IF(K252="","",
IF(AX252="PT",VLOOKUP(K252,Foundation_Calc!$K$79:$R$113,VLOOKUP(AW252,Foundation_Calc!$I$2:$J$8,2,FALSE),0),
IF(AX252="K",VLOOKUP(K252,Foundation_Calc!$K$117:$R$151,VLOOKUP(AW252,Foundation_Calc!$I$2:$J$8,2,FALSE),0),"")))</f>
        <v/>
      </c>
      <c r="BA252" s="495" t="str">
        <f t="shared" si="32"/>
        <v>ü</v>
      </c>
      <c r="BB252" s="495" t="str">
        <f t="shared" si="33"/>
        <v/>
      </c>
      <c r="BC252" s="495" t="str">
        <f t="shared" si="34"/>
        <v/>
      </c>
      <c r="BD252" s="513" t="str">
        <f>IF(AND(L252="",H252=""),"",
IF(H252="",Pole_Calc!A$9,
IF(H252="MP",Pole_Calc!A$10,
IF(H252="AnMP",Pole_Calc!A$11,
IF(H252="A",Pole_Calc!A$12,
IF(H252="S/A",Pole_Calc!A$13,
IF(H252="A/S",Pole_Calc!A$14,"Poner a mano")))))))</f>
        <v>App.7-V11I-P9.5.1.1</v>
      </c>
      <c r="BE252" s="429" t="s">
        <v>118</v>
      </c>
      <c r="BF252" s="289"/>
      <c r="BG252" s="289"/>
      <c r="BH252" s="290"/>
      <c r="BI252" s="289"/>
    </row>
    <row r="253" spans="1:61" ht="16.149999999999999" customHeight="1">
      <c r="A253" s="514"/>
      <c r="B253" s="450"/>
      <c r="C253" s="3"/>
      <c r="D253" s="83"/>
      <c r="E253" s="4"/>
      <c r="F253" s="4"/>
      <c r="G253" s="6">
        <v>50</v>
      </c>
      <c r="H253" s="449"/>
      <c r="I253" s="4"/>
      <c r="J253" s="3">
        <f>C254-7.5</f>
        <v>36303.050000000003</v>
      </c>
      <c r="K253" s="449" t="s">
        <v>315</v>
      </c>
      <c r="L253" s="449"/>
      <c r="M253" s="449" t="str">
        <f>IF(L253="","",
IF(AX253="PT",VLOOKUP(L253,Foundation_Calc!$V$79:$X$113,VLOOKUP(AX253,Foundation_Calc!$I$10:$J$13,2,FALSE),0),
IF(AX253="K",VLOOKUP(L253,Foundation_Calc!$V$117:$X$151,VLOOKUP(AX253,Foundation_Calc!$I$10:$J$13,2,FALSE),0),"")))</f>
        <v/>
      </c>
      <c r="N253" s="449"/>
      <c r="O253" s="449"/>
      <c r="P253" s="449"/>
      <c r="Q253" s="4"/>
      <c r="R253" s="6"/>
      <c r="S253" s="6"/>
      <c r="T253" s="4"/>
      <c r="U253" s="4"/>
      <c r="V253" s="4"/>
      <c r="W253" s="9"/>
      <c r="X253" s="9"/>
      <c r="Y253" s="9"/>
      <c r="Z253" s="9"/>
      <c r="AA253" s="9"/>
      <c r="AB253" s="9"/>
      <c r="AC253" s="449" t="str">
        <f t="shared" si="29"/>
        <v/>
      </c>
      <c r="AD253" s="449"/>
      <c r="AE253" s="449"/>
      <c r="AF253" s="4"/>
      <c r="AG253" s="83"/>
      <c r="AH253" s="4"/>
      <c r="AI253" s="4"/>
      <c r="AJ253" s="449"/>
      <c r="AK253" s="449"/>
      <c r="AL253" s="449"/>
      <c r="AM253" s="449"/>
      <c r="AN253" s="10"/>
      <c r="AO253" s="9"/>
      <c r="AP253" s="9"/>
      <c r="AQ253" s="9">
        <f>+FL_2($T$254,$T$252,$G$253,1200,9.28, 1*$F$254)</f>
        <v>-0.42785720168508617</v>
      </c>
      <c r="AR253" s="9"/>
      <c r="AS253" s="9"/>
      <c r="AT253" s="9"/>
      <c r="AU253" s="428"/>
      <c r="AV253" s="428"/>
      <c r="AW253" s="449" t="str">
        <f>IF(C253&gt;0,VLOOKUP(C253,Foundation_Calc!$A$2:$C$13,3,1),
IF(J253&gt;0,VLOOKUP(J253,Foundation_Calc!$A$2:$C$13,3,1),""))</f>
        <v>Multi Soil</v>
      </c>
      <c r="AX253" s="449" t="str">
        <f>IF(C253&gt;0,VLOOKUP(C253,Foundation_Calc!$E$35:$G$65,3,1),
IF(J253&gt;0,VLOOKUP(J253,Foundation_Calc!$E$35:$G$65,3,1),""))</f>
        <v>K</v>
      </c>
      <c r="AY253" s="10" t="str">
        <f>IF(L253="","",
IF(AX253="PT",VLOOKUP(L253,Foundation_Calc!$K$79:$R$113,VLOOKUP(AW253,Foundation_Calc!$I$2:$J$8,2,FALSE),0),
IF(AX253="K",VLOOKUP(L253,Foundation_Calc!$K$117:$R$151,VLOOKUP(AW253,Foundation_Calc!$I$2:$J$8,2,FALSE),0),"")))</f>
        <v/>
      </c>
      <c r="AZ253" s="10">
        <f>IF(K253="","",
IF(AX253="PT",VLOOKUP(K253,Foundation_Calc!$K$79:$R$113,VLOOKUP(AW253,Foundation_Calc!$I$2:$J$8,2,FALSE),0),
IF(AX253="K",VLOOKUP(K253,Foundation_Calc!$K$117:$R$151,VLOOKUP(AW253,Foundation_Calc!$I$2:$J$8,2,FALSE),0),"")))</f>
        <v>3.9</v>
      </c>
      <c r="BA253" s="495" t="str">
        <f t="shared" si="32"/>
        <v/>
      </c>
      <c r="BB253" s="495" t="str">
        <f t="shared" si="33"/>
        <v>ü</v>
      </c>
      <c r="BC253" s="495" t="str">
        <f t="shared" si="34"/>
        <v/>
      </c>
      <c r="BD253" s="513" t="str">
        <f>IF(AND(L253="",H253=""),"",
IF(H253="",Pole_Calc!A$9,
IF(H253="MP",Pole_Calc!A$10,
IF(H253="AnMP",Pole_Calc!A$11,
IF(H253="A",Pole_Calc!A$12,
IF(H253="S/A",Pole_Calc!A$13,
IF(H253="A/S",Pole_Calc!A$14,"Poner a mano")))))))</f>
        <v/>
      </c>
      <c r="BE253" s="429" t="s">
        <v>118</v>
      </c>
      <c r="BF253" s="290"/>
      <c r="BG253" s="290"/>
      <c r="BH253" s="290"/>
      <c r="BI253" s="290"/>
    </row>
    <row r="254" spans="1:61" ht="16.149999999999999" customHeight="1">
      <c r="A254" s="514"/>
      <c r="B254" s="450" t="s">
        <v>1066</v>
      </c>
      <c r="C254" s="3">
        <f>+$C$252+$G$253</f>
        <v>36310.550000000003</v>
      </c>
      <c r="D254" s="83"/>
      <c r="E254" s="4"/>
      <c r="F254" s="4">
        <v>-4636.8181818175681</v>
      </c>
      <c r="G254" s="6"/>
      <c r="H254" s="449" t="s">
        <v>121</v>
      </c>
      <c r="I254" s="4" t="s">
        <v>122</v>
      </c>
      <c r="J254" s="3"/>
      <c r="K254" s="449"/>
      <c r="L254" s="449" t="s">
        <v>151</v>
      </c>
      <c r="M254" s="449" t="str">
        <f>IF(L254="","",
IF(AX254="PT",VLOOKUP(L254,Foundation_Calc!$V$79:$X$113,VLOOKUP(AX254,Foundation_Calc!$I$10:$J$13,2,FALSE),0),
IF(AX254="K",VLOOKUP(L254,Foundation_Calc!$V$117:$X$151,VLOOKUP(AX254,Foundation_Calc!$I$10:$J$13,2,FALSE),0),"")))</f>
        <v>C4RT</v>
      </c>
      <c r="N254" s="449" t="s">
        <v>124</v>
      </c>
      <c r="O254" s="449"/>
      <c r="P254" s="449"/>
      <c r="Q254" s="4"/>
      <c r="R254" s="6"/>
      <c r="S254" s="6"/>
      <c r="T254" s="4">
        <v>-20</v>
      </c>
      <c r="U254" s="4"/>
      <c r="V254" s="4"/>
      <c r="W254" s="9">
        <v>1.4</v>
      </c>
      <c r="X254" s="9"/>
      <c r="Y254" s="9"/>
      <c r="Z254" s="9"/>
      <c r="AA254" s="9"/>
      <c r="AB254" s="9"/>
      <c r="AC254" s="449" t="str">
        <f t="shared" si="29"/>
        <v>PH</v>
      </c>
      <c r="AD254" s="449"/>
      <c r="AE254" s="449"/>
      <c r="AF254" s="4"/>
      <c r="AG254" s="83"/>
      <c r="AH254" s="4"/>
      <c r="AI254" s="4"/>
      <c r="AJ254" s="449"/>
      <c r="AK254" s="449"/>
      <c r="AL254" s="449"/>
      <c r="AM254" s="449" t="s">
        <v>126</v>
      </c>
      <c r="AN254" s="10">
        <v>5.5</v>
      </c>
      <c r="AO254" s="9"/>
      <c r="AP254" s="9"/>
      <c r="AQ254" s="9"/>
      <c r="AR254" s="9"/>
      <c r="AS254" s="9"/>
      <c r="AT254" s="9">
        <f>+ab($T$254,$T$252,$U$256,$G$253,$G$255, 1*$F$254,1200)</f>
        <v>-12.052357173135578</v>
      </c>
      <c r="AU254" s="428"/>
      <c r="AV254" s="428"/>
      <c r="AW254" s="449" t="str">
        <f>IF(C254&gt;0,VLOOKUP(C254,Foundation_Calc!$A$2:$C$13,3,1),
IF(J254&gt;0,VLOOKUP(J254,Foundation_Calc!$A$2:$C$13,3,1),""))</f>
        <v>Multi Soil</v>
      </c>
      <c r="AX254" s="449" t="str">
        <f>IF(C254&gt;0,VLOOKUP(C254,Foundation_Calc!$E$35:$G$65,3,1),
IF(J254&gt;0,VLOOKUP(J254,Foundation_Calc!$E$35:$G$65,3,1),""))</f>
        <v>K</v>
      </c>
      <c r="AY254" s="10">
        <f>IF(L254="","",
IF(AX254="PT",VLOOKUP(L254,Foundation_Calc!$K$79:$R$113,VLOOKUP(AW254,Foundation_Calc!$I$2:$J$8,2,FALSE),0),
IF(AX254="K",VLOOKUP(L254,Foundation_Calc!$K$117:$R$151,VLOOKUP(AW254,Foundation_Calc!$I$2:$J$8,2,FALSE),0),"")))</f>
        <v>4.2</v>
      </c>
      <c r="AZ254" s="10" t="str">
        <f>IF(K254="","",
IF(AX254="PT",VLOOKUP(K254,Foundation_Calc!$K$79:$R$113,VLOOKUP(AW254,Foundation_Calc!$I$2:$J$8,2,FALSE),0),
IF(AX254="K",VLOOKUP(K254,Foundation_Calc!$K$117:$R$151,VLOOKUP(AW254,Foundation_Calc!$I$2:$J$8,2,FALSE),0),"")))</f>
        <v/>
      </c>
      <c r="BA254" s="495" t="str">
        <f t="shared" si="32"/>
        <v>ü</v>
      </c>
      <c r="BB254" s="495" t="str">
        <f t="shared" si="33"/>
        <v/>
      </c>
      <c r="BC254" s="495" t="str">
        <f t="shared" si="34"/>
        <v/>
      </c>
      <c r="BD254" s="513" t="str">
        <f>IF(AND(L254="",H254=""),"",
IF(H254="",Pole_Calc!A$9,
IF(H254="MP",Pole_Calc!A$10,
IF(H254="AnMP",Pole_Calc!A$11,
IF(H254="A",Pole_Calc!A$12,
IF(H254="S/A",Pole_Calc!A$13,
IF(H254="A/S",Pole_Calc!A$14,"Poner a mano")))))))</f>
        <v>App.7-V11I-P9.5.1.6</v>
      </c>
      <c r="BE254" s="429" t="s">
        <v>118</v>
      </c>
      <c r="BF254" s="289"/>
      <c r="BG254" s="289"/>
      <c r="BH254" s="290"/>
      <c r="BI254" s="289"/>
    </row>
    <row r="255" spans="1:61" ht="16.149999999999999" customHeight="1">
      <c r="A255" s="514"/>
      <c r="B255" s="450"/>
      <c r="C255" s="3"/>
      <c r="D255" s="83"/>
      <c r="E255" s="4"/>
      <c r="F255" s="4"/>
      <c r="G255" s="6">
        <v>55</v>
      </c>
      <c r="H255" s="449"/>
      <c r="I255" s="4"/>
      <c r="J255" s="3"/>
      <c r="K255" s="449"/>
      <c r="L255" s="449"/>
      <c r="M255" s="449" t="str">
        <f>IF(L255="","",
IF(AX255="PT",VLOOKUP(L255,Foundation_Calc!$V$79:$X$113,VLOOKUP(AX255,Foundation_Calc!$I$10:$J$13,2,FALSE),0),
IF(AX255="K",VLOOKUP(L255,Foundation_Calc!$V$117:$X$151,VLOOKUP(AX255,Foundation_Calc!$I$10:$J$13,2,FALSE),0),"")))</f>
        <v/>
      </c>
      <c r="N255" s="449"/>
      <c r="O255" s="449"/>
      <c r="P255" s="449"/>
      <c r="Q255" s="4"/>
      <c r="R255" s="6"/>
      <c r="S255" s="6"/>
      <c r="T255" s="4"/>
      <c r="U255" s="4"/>
      <c r="V255" s="4"/>
      <c r="W255" s="9"/>
      <c r="X255" s="9"/>
      <c r="Y255" s="9"/>
      <c r="Z255" s="9"/>
      <c r="AA255" s="9"/>
      <c r="AB255" s="9"/>
      <c r="AC255" s="449" t="str">
        <f t="shared" si="29"/>
        <v/>
      </c>
      <c r="AD255" s="449"/>
      <c r="AE255" s="449"/>
      <c r="AF255" s="4"/>
      <c r="AG255" s="83"/>
      <c r="AH255" s="4"/>
      <c r="AI255" s="4"/>
      <c r="AJ255" s="449"/>
      <c r="AK255" s="449"/>
      <c r="AL255" s="449"/>
      <c r="AM255" s="449"/>
      <c r="AN255" s="10"/>
      <c r="AO255" s="9"/>
      <c r="AP255" s="9"/>
      <c r="AQ255" s="9">
        <f>+FL_2($U$256,$T$254,$G$255,1200,9.28, 1*$F$256)</f>
        <v>-0.34359933927272723</v>
      </c>
      <c r="AR255" s="9"/>
      <c r="AS255" s="9"/>
      <c r="AT255" s="9"/>
      <c r="AU255" s="428"/>
      <c r="AV255" s="428"/>
      <c r="AW255" s="449" t="str">
        <f>IF(C255&gt;0,VLOOKUP(C255,Foundation_Calc!$A$2:$C$13,3,1),
IF(J255&gt;0,VLOOKUP(J255,Foundation_Calc!$A$2:$C$13,3,1),""))</f>
        <v/>
      </c>
      <c r="AX255" s="449" t="str">
        <f>IF(C255&gt;0,VLOOKUP(C255,Foundation_Calc!$E$35:$G$65,3,1),
IF(J255&gt;0,VLOOKUP(J255,Foundation_Calc!$E$35:$G$65,3,1),""))</f>
        <v/>
      </c>
      <c r="AY255" s="10" t="str">
        <f>IF(L255="","",
IF(AX255="PT",VLOOKUP(L255,Foundation_Calc!$K$79:$R$113,VLOOKUP(AW255,Foundation_Calc!$I$2:$J$8,2,FALSE),0),
IF(AX255="K",VLOOKUP(L255,Foundation_Calc!$K$117:$R$151,VLOOKUP(AW255,Foundation_Calc!$I$2:$J$8,2,FALSE),0),"")))</f>
        <v/>
      </c>
      <c r="AZ255" s="10" t="str">
        <f>IF(K255="","",
IF(AX255="PT",VLOOKUP(K255,Foundation_Calc!$K$79:$R$113,VLOOKUP(AW255,Foundation_Calc!$I$2:$J$8,2,FALSE),0),
IF(AX255="K",VLOOKUP(K255,Foundation_Calc!$K$117:$R$151,VLOOKUP(AW255,Foundation_Calc!$I$2:$J$8,2,FALSE),0),"")))</f>
        <v/>
      </c>
      <c r="BA255" s="495" t="str">
        <f t="shared" si="32"/>
        <v/>
      </c>
      <c r="BB255" s="495" t="str">
        <f t="shared" si="33"/>
        <v/>
      </c>
      <c r="BC255" s="495" t="str">
        <f t="shared" si="34"/>
        <v/>
      </c>
      <c r="BD255" s="513" t="str">
        <f>IF(AND(L255="",H255=""),"",
IF(H255="",Pole_Calc!A$9,
IF(H255="MP",Pole_Calc!A$10,
IF(H255="AnMP",Pole_Calc!A$11,
IF(H255="A",Pole_Calc!A$12,
IF(H255="S/A",Pole_Calc!A$13,
IF(H255="A/S",Pole_Calc!A$14,"Poner a mano")))))))</f>
        <v/>
      </c>
      <c r="BE255" s="429" t="s">
        <v>118</v>
      </c>
      <c r="BF255" s="290"/>
      <c r="BG255" s="290"/>
      <c r="BH255" s="290"/>
      <c r="BI255" s="290"/>
    </row>
    <row r="256" spans="1:61" ht="16.149999999999999" customHeight="1">
      <c r="A256" s="514"/>
      <c r="B256" s="450" t="s">
        <v>1067</v>
      </c>
      <c r="C256" s="3">
        <f>+$C$254+$G$255</f>
        <v>36365.550000000003</v>
      </c>
      <c r="D256" s="83"/>
      <c r="E256" s="4"/>
      <c r="F256" s="4">
        <v>0</v>
      </c>
      <c r="G256" s="6"/>
      <c r="H256" s="449" t="s">
        <v>131</v>
      </c>
      <c r="I256" s="4"/>
      <c r="J256" s="3"/>
      <c r="K256" s="449"/>
      <c r="L256" s="449" t="s">
        <v>158</v>
      </c>
      <c r="M256" s="449" t="str">
        <f>IF(L256="","",
IF(AX256="PT",VLOOKUP(L256,Foundation_Calc!$V$79:$X$113,VLOOKUP(AX256,Foundation_Calc!$I$10:$J$13,2,FALSE),0),
IF(AX256="K",VLOOKUP(L256,Foundation_Calc!$V$117:$X$151,VLOOKUP(AX256,Foundation_Calc!$I$10:$J$13,2,FALSE),0),"")))</f>
        <v>C4RT</v>
      </c>
      <c r="N256" s="449" t="s">
        <v>133</v>
      </c>
      <c r="O256" s="449" t="s">
        <v>134</v>
      </c>
      <c r="P256" s="449"/>
      <c r="Q256" s="4"/>
      <c r="R256" s="6"/>
      <c r="S256" s="6"/>
      <c r="T256" s="4">
        <v>35</v>
      </c>
      <c r="U256" s="4">
        <v>15</v>
      </c>
      <c r="V256" s="4"/>
      <c r="W256" s="9">
        <v>1.4</v>
      </c>
      <c r="X256" s="9">
        <v>2.2999999999999998</v>
      </c>
      <c r="Y256" s="9"/>
      <c r="Z256" s="9">
        <v>0.45</v>
      </c>
      <c r="AA256" s="9"/>
      <c r="AB256" s="9"/>
      <c r="AC256" s="449"/>
      <c r="AD256" s="449"/>
      <c r="AE256" s="449"/>
      <c r="AF256" s="4"/>
      <c r="AG256" s="83"/>
      <c r="AH256" s="4"/>
      <c r="AI256" s="4"/>
      <c r="AJ256" s="449"/>
      <c r="AK256" s="449"/>
      <c r="AL256" s="449"/>
      <c r="AM256" s="449" t="s">
        <v>126</v>
      </c>
      <c r="AN256" s="10">
        <v>5.5</v>
      </c>
      <c r="AO256" s="9"/>
      <c r="AP256" s="9"/>
      <c r="AQ256" s="9"/>
      <c r="AR256" s="9"/>
      <c r="AS256" s="9"/>
      <c r="AT256" s="9">
        <f>+ab($U$256,$T$254,$U$258,$G$255,$G$257, 1*$F$256,1200)</f>
        <v>11.566988113121415</v>
      </c>
      <c r="AU256" s="428"/>
      <c r="AV256" s="428"/>
      <c r="AW256" s="449" t="str">
        <f>IF(C256&gt;0,VLOOKUP(C256,Foundation_Calc!$A$2:$C$13,3,1),
IF(J256&gt;0,VLOOKUP(J256,Foundation_Calc!$A$2:$C$13,3,1),""))</f>
        <v>Multi Soil</v>
      </c>
      <c r="AX256" s="449" t="str">
        <f>IF(C256&gt;0,VLOOKUP(C256,Foundation_Calc!$E$35:$G$65,3,1),
IF(J256&gt;0,VLOOKUP(J256,Foundation_Calc!$E$35:$G$65,3,1),""))</f>
        <v>K</v>
      </c>
      <c r="AY256" s="10">
        <f>IF(L256="","",
IF(AX256="PT",VLOOKUP(L256,Foundation_Calc!$K$79:$R$113,VLOOKUP(AW256,Foundation_Calc!$I$2:$J$8,2,FALSE),0),
IF(AX256="K",VLOOKUP(L256,Foundation_Calc!$K$117:$R$151,VLOOKUP(AW256,Foundation_Calc!$I$2:$J$8,2,FALSE),0),"")))</f>
        <v>4.2</v>
      </c>
      <c r="AZ256" s="10" t="str">
        <f>IF(K256="","",
IF(AX256="PT",VLOOKUP(K256,Foundation_Calc!$K$79:$R$113,VLOOKUP(AW256,Foundation_Calc!$I$2:$J$8,2,FALSE),0),
IF(AX256="K",VLOOKUP(K256,Foundation_Calc!$K$117:$R$151,VLOOKUP(AW256,Foundation_Calc!$I$2:$J$8,2,FALSE),0),"")))</f>
        <v/>
      </c>
      <c r="BA256" s="495" t="str">
        <f t="shared" si="32"/>
        <v>ü</v>
      </c>
      <c r="BB256" s="495" t="str">
        <f t="shared" si="33"/>
        <v/>
      </c>
      <c r="BC256" s="495" t="str">
        <f t="shared" si="34"/>
        <v/>
      </c>
      <c r="BD256" s="513" t="str">
        <f>IF(AND(L256="",H256=""),"",
IF(H256="",Pole_Calc!A$9,
IF(H256="MP",Pole_Calc!A$10,
IF(H256="AnMP",Pole_Calc!A$11,
IF(H256="A",Pole_Calc!A$12,
IF(H256="S/A",Pole_Calc!A$13,
IF(H256="A/S",Pole_Calc!A$14,"Poner a mano")))))))</f>
        <v>App.7-V11I-P9.5.1.5</v>
      </c>
      <c r="BE256" s="429" t="s">
        <v>118</v>
      </c>
      <c r="BF256" s="289"/>
      <c r="BG256" s="289"/>
      <c r="BH256" s="290"/>
      <c r="BI256" s="289"/>
    </row>
    <row r="257" spans="1:61" ht="16.149999999999999" customHeight="1">
      <c r="A257" s="545"/>
      <c r="B257" s="450"/>
      <c r="C257" s="3"/>
      <c r="D257" s="83"/>
      <c r="E257" s="4"/>
      <c r="F257" s="4"/>
      <c r="G257" s="6">
        <v>50</v>
      </c>
      <c r="H257" s="449"/>
      <c r="I257" s="4"/>
      <c r="J257" s="3"/>
      <c r="K257" s="449"/>
      <c r="L257" s="449"/>
      <c r="M257" s="449" t="str">
        <f>IF(L257="","",
IF(AX257="PT",VLOOKUP(L257,Foundation_Calc!$V$79:$X$113,VLOOKUP(AX257,Foundation_Calc!$I$10:$J$13,2,FALSE),0),
IF(AX257="K",VLOOKUP(L257,Foundation_Calc!$V$117:$X$151,VLOOKUP(AX257,Foundation_Calc!$I$10:$J$13,2,FALSE),0),"")))</f>
        <v/>
      </c>
      <c r="N257" s="449"/>
      <c r="O257" s="449"/>
      <c r="P257" s="449"/>
      <c r="Q257" s="4"/>
      <c r="R257" s="6"/>
      <c r="S257" s="6"/>
      <c r="T257" s="4"/>
      <c r="U257" s="4"/>
      <c r="V257" s="4"/>
      <c r="W257" s="9"/>
      <c r="X257" s="9"/>
      <c r="Y257" s="9"/>
      <c r="Z257" s="9"/>
      <c r="AA257" s="9"/>
      <c r="AB257" s="9"/>
      <c r="AC257" s="449" t="str">
        <f t="shared" si="29"/>
        <v/>
      </c>
      <c r="AD257" s="449"/>
      <c r="AE257" s="449"/>
      <c r="AF257" s="4"/>
      <c r="AG257" s="83"/>
      <c r="AH257" s="4"/>
      <c r="AI257" s="4"/>
      <c r="AJ257" s="449"/>
      <c r="AK257" s="449"/>
      <c r="AL257" s="449"/>
      <c r="AM257" s="449"/>
      <c r="AN257" s="10"/>
      <c r="AO257" s="9"/>
      <c r="AP257" s="9"/>
      <c r="AQ257" s="9">
        <f>+FL_2($T$258,$U$256,$G$257,1200,9.28, 1*$F$258)</f>
        <v>-0.26494252799999995</v>
      </c>
      <c r="AR257" s="9"/>
      <c r="AS257" s="9"/>
      <c r="AT257" s="9"/>
      <c r="AU257" s="428"/>
      <c r="AV257" s="428"/>
      <c r="AW257" s="449" t="str">
        <f>IF(C257&gt;0,VLOOKUP(C257,Foundation_Calc!$A$2:$C$13,3,1),
IF(J257&gt;0,VLOOKUP(J257,Foundation_Calc!$A$2:$C$13,3,1),""))</f>
        <v/>
      </c>
      <c r="AX257" s="449" t="str">
        <f>IF(C257&gt;0,VLOOKUP(C257,Foundation_Calc!$E$35:$G$65,3,1),
IF(J257&gt;0,VLOOKUP(J257,Foundation_Calc!$E$35:$G$65,3,1),""))</f>
        <v/>
      </c>
      <c r="AY257" s="10" t="str">
        <f>IF(L257="","",
IF(AX257="PT",VLOOKUP(L257,Foundation_Calc!$K$79:$R$113,VLOOKUP(AW257,Foundation_Calc!$I$2:$J$8,2,FALSE),0),
IF(AX257="K",VLOOKUP(L257,Foundation_Calc!$K$117:$R$151,VLOOKUP(AW257,Foundation_Calc!$I$2:$J$8,2,FALSE),0),"")))</f>
        <v/>
      </c>
      <c r="AZ257" s="10" t="str">
        <f>IF(K257="","",
IF(AX257="PT",VLOOKUP(K257,Foundation_Calc!$K$79:$R$113,VLOOKUP(AW257,Foundation_Calc!$I$2:$J$8,2,FALSE),0),
IF(AX257="K",VLOOKUP(K257,Foundation_Calc!$K$117:$R$151,VLOOKUP(AW257,Foundation_Calc!$I$2:$J$8,2,FALSE),0),"")))</f>
        <v/>
      </c>
      <c r="BA257" s="495" t="str">
        <f t="shared" si="32"/>
        <v/>
      </c>
      <c r="BB257" s="495" t="str">
        <f t="shared" si="33"/>
        <v/>
      </c>
      <c r="BC257" s="495" t="str">
        <f t="shared" si="34"/>
        <v/>
      </c>
      <c r="BD257" s="513" t="str">
        <f>IF(AND(L257="",H257=""),"",
IF(H257="",Pole_Calc!A$9,
IF(H257="MP",Pole_Calc!A$10,
IF(H257="AnMP",Pole_Calc!A$11,
IF(H257="A",Pole_Calc!A$12,
IF(H257="S/A",Pole_Calc!A$13,
IF(H257="A/S",Pole_Calc!A$14,"Poner a mano")))))))</f>
        <v/>
      </c>
      <c r="BE257" s="429" t="s">
        <v>118</v>
      </c>
      <c r="BF257" s="290"/>
      <c r="BG257" s="290"/>
      <c r="BH257" s="290"/>
      <c r="BI257" s="290"/>
    </row>
    <row r="258" spans="1:61" ht="16.149999999999999" customHeight="1">
      <c r="A258" s="545"/>
      <c r="B258" s="450" t="s">
        <v>1068</v>
      </c>
      <c r="C258" s="3">
        <f>+$C$256+$G$257</f>
        <v>36415.550000000003</v>
      </c>
      <c r="D258" s="83"/>
      <c r="E258" s="4"/>
      <c r="F258" s="4">
        <v>0</v>
      </c>
      <c r="G258" s="6"/>
      <c r="H258" s="449" t="s">
        <v>131</v>
      </c>
      <c r="I258" s="4"/>
      <c r="J258" s="3"/>
      <c r="K258" s="449"/>
      <c r="L258" s="449" t="s">
        <v>158</v>
      </c>
      <c r="M258" s="449" t="str">
        <f>IF(L258="","",
IF(AX258="PT",VLOOKUP(L258,Foundation_Calc!$V$79:$X$113,VLOOKUP(AX258,Foundation_Calc!$I$10:$J$13,2,FALSE),0),
IF(AX258="K",VLOOKUP(L258,Foundation_Calc!$V$117:$X$151,VLOOKUP(AX258,Foundation_Calc!$I$10:$J$13,2,FALSE),0),"")))</f>
        <v>C4RT</v>
      </c>
      <c r="N258" s="449" t="s">
        <v>124</v>
      </c>
      <c r="O258" s="449" t="s">
        <v>133</v>
      </c>
      <c r="P258" s="449"/>
      <c r="Q258" s="4"/>
      <c r="R258" s="6"/>
      <c r="S258" s="6"/>
      <c r="T258" s="4">
        <v>-15</v>
      </c>
      <c r="U258" s="4">
        <v>-35</v>
      </c>
      <c r="V258" s="4"/>
      <c r="W258" s="9">
        <v>1.4</v>
      </c>
      <c r="X258" s="9">
        <v>2.2999999999999998</v>
      </c>
      <c r="Y258" s="9"/>
      <c r="Z258" s="9"/>
      <c r="AA258" s="9">
        <v>0.45</v>
      </c>
      <c r="AB258" s="9"/>
      <c r="AC258" s="449" t="str">
        <f t="shared" si="29"/>
        <v>PH</v>
      </c>
      <c r="AD258" s="449"/>
      <c r="AE258" s="449"/>
      <c r="AF258" s="4"/>
      <c r="AG258" s="83"/>
      <c r="AH258" s="4"/>
      <c r="AI258" s="4"/>
      <c r="AJ258" s="449"/>
      <c r="AK258" s="449"/>
      <c r="AL258" s="449"/>
      <c r="AM258" s="449" t="s">
        <v>126</v>
      </c>
      <c r="AN258" s="10">
        <v>5.5</v>
      </c>
      <c r="AO258" s="9"/>
      <c r="AP258" s="9"/>
      <c r="AQ258" s="9"/>
      <c r="AR258" s="9"/>
      <c r="AS258" s="9"/>
      <c r="AT258" s="9">
        <f>+ab($T$258,$T$256,$T$260,$G$257,$G$259, 1*$F$258,1200)</f>
        <v>-11.36227034076861</v>
      </c>
      <c r="AU258" s="428"/>
      <c r="AV258" s="428"/>
      <c r="AW258" s="449" t="str">
        <f>IF(C258&gt;0,VLOOKUP(C258,Foundation_Calc!$A$2:$C$13,3,1),
IF(J258&gt;0,VLOOKUP(J258,Foundation_Calc!$A$2:$C$13,3,1),""))</f>
        <v>Multi Soil</v>
      </c>
      <c r="AX258" s="449" t="str">
        <f>IF(C258&gt;0,VLOOKUP(C258,Foundation_Calc!$E$35:$G$65,3,1),
IF(J258&gt;0,VLOOKUP(J258,Foundation_Calc!$E$35:$G$65,3,1),""))</f>
        <v>K</v>
      </c>
      <c r="AY258" s="10">
        <f>IF(L258="","",
IF(AX258="PT",VLOOKUP(L258,Foundation_Calc!$K$79:$R$113,VLOOKUP(AW258,Foundation_Calc!$I$2:$J$8,2,FALSE),0),
IF(AX258="K",VLOOKUP(L258,Foundation_Calc!$K$117:$R$151,VLOOKUP(AW258,Foundation_Calc!$I$2:$J$8,2,FALSE),0),"")))</f>
        <v>4.2</v>
      </c>
      <c r="AZ258" s="10" t="str">
        <f>IF(K258="","",
IF(AX258="PT",VLOOKUP(K258,Foundation_Calc!$K$79:$R$113,VLOOKUP(AW258,Foundation_Calc!$I$2:$J$8,2,FALSE),0),
IF(AX258="K",VLOOKUP(K258,Foundation_Calc!$K$117:$R$151,VLOOKUP(AW258,Foundation_Calc!$I$2:$J$8,2,FALSE),0),"")))</f>
        <v/>
      </c>
      <c r="BA258" s="495" t="str">
        <f t="shared" si="32"/>
        <v>ü</v>
      </c>
      <c r="BB258" s="495" t="str">
        <f t="shared" si="33"/>
        <v/>
      </c>
      <c r="BC258" s="495" t="str">
        <f t="shared" si="34"/>
        <v/>
      </c>
      <c r="BD258" s="513" t="str">
        <f>IF(AND(L258="",H258=""),"",
IF(H258="",Pole_Calc!A$9,
IF(H258="MP",Pole_Calc!A$10,
IF(H258="AnMP",Pole_Calc!A$11,
IF(H258="A",Pole_Calc!A$12,
IF(H258="S/A",Pole_Calc!A$13,
IF(H258="A/S",Pole_Calc!A$14,"Poner a mano")))))))</f>
        <v>App.7-V11I-P9.5.1.5</v>
      </c>
      <c r="BE258" s="429" t="s">
        <v>118</v>
      </c>
      <c r="BF258" s="289"/>
      <c r="BG258" s="289"/>
      <c r="BH258" s="290"/>
      <c r="BI258" s="289"/>
    </row>
    <row r="259" spans="1:61" ht="16.149999999999999" customHeight="1">
      <c r="A259" s="545"/>
      <c r="B259" s="450"/>
      <c r="C259" s="3"/>
      <c r="D259" s="83"/>
      <c r="E259" s="4"/>
      <c r="F259" s="4"/>
      <c r="G259" s="6">
        <v>60</v>
      </c>
      <c r="H259" s="449"/>
      <c r="I259" s="4"/>
      <c r="J259" s="3"/>
      <c r="K259" s="449"/>
      <c r="L259" s="449"/>
      <c r="M259" s="449" t="str">
        <f>IF(L259="","",
IF(AX259="PT",VLOOKUP(L259,Foundation_Calc!$V$79:$X$113,VLOOKUP(AX259,Foundation_Calc!$I$10:$J$13,2,FALSE),0),
IF(AX259="K",VLOOKUP(L259,Foundation_Calc!$V$117:$X$151,VLOOKUP(AX259,Foundation_Calc!$I$10:$J$13,2,FALSE),0),"")))</f>
        <v/>
      </c>
      <c r="N259" s="449"/>
      <c r="O259" s="449"/>
      <c r="P259" s="449"/>
      <c r="Q259" s="4"/>
      <c r="R259" s="6"/>
      <c r="S259" s="6"/>
      <c r="T259" s="4"/>
      <c r="U259" s="4"/>
      <c r="V259" s="4"/>
      <c r="W259" s="9"/>
      <c r="X259" s="9"/>
      <c r="Y259" s="9"/>
      <c r="Z259" s="9"/>
      <c r="AA259" s="9"/>
      <c r="AB259" s="9"/>
      <c r="AC259" s="449" t="str">
        <f t="shared" si="29"/>
        <v/>
      </c>
      <c r="AD259" s="449"/>
      <c r="AE259" s="449"/>
      <c r="AF259" s="4"/>
      <c r="AG259" s="83"/>
      <c r="AH259" s="4"/>
      <c r="AI259" s="4"/>
      <c r="AJ259" s="449"/>
      <c r="AK259" s="449"/>
      <c r="AL259" s="449"/>
      <c r="AM259" s="449"/>
      <c r="AN259" s="10"/>
      <c r="AO259" s="9"/>
      <c r="AP259" s="9"/>
      <c r="AQ259" s="9">
        <f>+FL_1($T$260,$T$258,$G$259,1200,9.28, 1*$F$260)</f>
        <v>0.42673563199999998</v>
      </c>
      <c r="AR259" s="9"/>
      <c r="AS259" s="9"/>
      <c r="AT259" s="9"/>
      <c r="AU259" s="428"/>
      <c r="AV259" s="428"/>
      <c r="AW259" s="449" t="str">
        <f>IF(C259&gt;0,VLOOKUP(C259,Foundation_Calc!$A$2:$C$13,3,1),
IF(J259&gt;0,VLOOKUP(J259,Foundation_Calc!$A$2:$C$13,3,1),""))</f>
        <v/>
      </c>
      <c r="AX259" s="449" t="str">
        <f>IF(C259&gt;0,VLOOKUP(C259,Foundation_Calc!$E$35:$G$65,3,1),
IF(J259&gt;0,VLOOKUP(J259,Foundation_Calc!$E$35:$G$65,3,1),""))</f>
        <v/>
      </c>
      <c r="AY259" s="10" t="str">
        <f>IF(L259="","",
IF(AX259="PT",VLOOKUP(L259,Foundation_Calc!$K$79:$R$113,VLOOKUP(AW259,Foundation_Calc!$I$2:$J$8,2,FALSE),0),
IF(AX259="K",VLOOKUP(L259,Foundation_Calc!$K$117:$R$151,VLOOKUP(AW259,Foundation_Calc!$I$2:$J$8,2,FALSE),0),"")))</f>
        <v/>
      </c>
      <c r="AZ259" s="10" t="str">
        <f>IF(K259="","",
IF(AX259="PT",VLOOKUP(K259,Foundation_Calc!$K$79:$R$113,VLOOKUP(AW259,Foundation_Calc!$I$2:$J$8,2,FALSE),0),
IF(AX259="K",VLOOKUP(K259,Foundation_Calc!$K$117:$R$151,VLOOKUP(AW259,Foundation_Calc!$I$2:$J$8,2,FALSE),0),"")))</f>
        <v/>
      </c>
      <c r="BA259" s="495" t="str">
        <f t="shared" si="32"/>
        <v/>
      </c>
      <c r="BB259" s="495" t="str">
        <f t="shared" si="33"/>
        <v/>
      </c>
      <c r="BC259" s="495" t="str">
        <f t="shared" si="34"/>
        <v/>
      </c>
      <c r="BD259" s="513" t="str">
        <f>IF(AND(L259="",H259=""),"",
IF(H259="",Pole_Calc!A$9,
IF(H259="MP",Pole_Calc!A$10,
IF(H259="AnMP",Pole_Calc!A$11,
IF(H259="A",Pole_Calc!A$12,
IF(H259="S/A",Pole_Calc!A$13,
IF(H259="A/S",Pole_Calc!A$14,"Poner a mano")))))))</f>
        <v/>
      </c>
      <c r="BE259" s="429" t="s">
        <v>118</v>
      </c>
      <c r="BF259" s="290"/>
      <c r="BG259" s="290"/>
      <c r="BH259" s="290"/>
      <c r="BI259" s="290"/>
    </row>
    <row r="260" spans="1:61" ht="16.149999999999999" customHeight="1">
      <c r="A260" s="545"/>
      <c r="B260" s="450" t="s">
        <v>1069</v>
      </c>
      <c r="C260" s="3">
        <f>+$C$258+$G$259-1.7</f>
        <v>36473.850000000006</v>
      </c>
      <c r="D260" s="83"/>
      <c r="E260" s="4"/>
      <c r="F260" s="4">
        <v>0</v>
      </c>
      <c r="G260" s="6"/>
      <c r="H260" s="449" t="s">
        <v>121</v>
      </c>
      <c r="I260" s="4" t="s">
        <v>122</v>
      </c>
      <c r="J260" s="3"/>
      <c r="K260" s="449"/>
      <c r="L260" s="449" t="s">
        <v>151</v>
      </c>
      <c r="M260" s="449" t="str">
        <f>IF(L260="","",
IF(AX260="PT",VLOOKUP(L260,Foundation_Calc!$V$79:$X$113,VLOOKUP(AX260,Foundation_Calc!$I$10:$J$13,2,FALSE),0),
IF(AX260="K",VLOOKUP(L260,Foundation_Calc!$V$117:$X$151,VLOOKUP(AX260,Foundation_Calc!$I$10:$J$13,2,FALSE),0),"")))</f>
        <v>C4RT</v>
      </c>
      <c r="N260" s="449" t="s">
        <v>134</v>
      </c>
      <c r="O260" s="449"/>
      <c r="P260" s="449"/>
      <c r="Q260" s="4"/>
      <c r="R260" s="6"/>
      <c r="S260" s="6"/>
      <c r="T260" s="4">
        <v>25</v>
      </c>
      <c r="U260" s="4"/>
      <c r="V260" s="4"/>
      <c r="W260" s="9">
        <v>1.4</v>
      </c>
      <c r="X260" s="9"/>
      <c r="Y260" s="9"/>
      <c r="Z260" s="9"/>
      <c r="AA260" s="9"/>
      <c r="AB260" s="9"/>
      <c r="AC260" s="449" t="str">
        <f t="shared" si="29"/>
        <v>PH</v>
      </c>
      <c r="AD260" s="449"/>
      <c r="AE260" s="449"/>
      <c r="AF260" s="4"/>
      <c r="AG260" s="83"/>
      <c r="AH260" s="4"/>
      <c r="AI260" s="4"/>
      <c r="AJ260" s="449"/>
      <c r="AK260" s="449"/>
      <c r="AL260" s="449"/>
      <c r="AM260" s="449" t="s">
        <v>126</v>
      </c>
      <c r="AN260" s="10">
        <v>5.5</v>
      </c>
      <c r="AO260" s="9"/>
      <c r="AP260" s="9"/>
      <c r="AQ260" s="9"/>
      <c r="AR260" s="9"/>
      <c r="AS260" s="9"/>
      <c r="AT260" s="9">
        <f>+ab($T$260,$T$258,$T$262,$G$259,$G$261, 1*$F$260,1200)</f>
        <v>11.362193980715585</v>
      </c>
      <c r="AU260" s="428"/>
      <c r="AV260" s="428"/>
      <c r="AW260" s="449" t="str">
        <f>IF(C260&gt;0,VLOOKUP(C260,Foundation_Calc!$A$2:$C$13,3,1),
IF(J260&gt;0,VLOOKUP(J260,Foundation_Calc!$A$2:$C$13,3,1),""))</f>
        <v>Multi Soil</v>
      </c>
      <c r="AX260" s="449" t="str">
        <f>IF(C260&gt;0,VLOOKUP(C260,Foundation_Calc!$E$35:$G$65,3,1),
IF(J260&gt;0,VLOOKUP(J260,Foundation_Calc!$E$35:$G$65,3,1),""))</f>
        <v>K</v>
      </c>
      <c r="AY260" s="10">
        <f>IF(L260="","",
IF(AX260="PT",VLOOKUP(L260,Foundation_Calc!$K$79:$R$113,VLOOKUP(AW260,Foundation_Calc!$I$2:$J$8,2,FALSE),0),
IF(AX260="K",VLOOKUP(L260,Foundation_Calc!$K$117:$R$151,VLOOKUP(AW260,Foundation_Calc!$I$2:$J$8,2,FALSE),0),"")))</f>
        <v>4.2</v>
      </c>
      <c r="AZ260" s="10" t="str">
        <f>IF(K260="","",
IF(AX260="PT",VLOOKUP(K260,Foundation_Calc!$K$79:$R$113,VLOOKUP(AW260,Foundation_Calc!$I$2:$J$8,2,FALSE),0),
IF(AX260="K",VLOOKUP(K260,Foundation_Calc!$K$117:$R$151,VLOOKUP(AW260,Foundation_Calc!$I$2:$J$8,2,FALSE),0),"")))</f>
        <v/>
      </c>
      <c r="BA260" s="495" t="str">
        <f t="shared" si="32"/>
        <v>ü</v>
      </c>
      <c r="BB260" s="495" t="str">
        <f t="shared" si="33"/>
        <v/>
      </c>
      <c r="BC260" s="495" t="str">
        <f t="shared" si="34"/>
        <v/>
      </c>
      <c r="BD260" s="513" t="str">
        <f>IF(AND(L260="",H260=""),"",
IF(H260="",Pole_Calc!A$9,
IF(H260="MP",Pole_Calc!A$10,
IF(H260="AnMP",Pole_Calc!A$11,
IF(H260="A",Pole_Calc!A$12,
IF(H260="S/A",Pole_Calc!A$13,
IF(H260="A/S",Pole_Calc!A$14,"Poner a mano")))))))</f>
        <v>App.7-V11I-P9.5.1.6</v>
      </c>
      <c r="BE260" s="429" t="s">
        <v>118</v>
      </c>
      <c r="BF260" s="289"/>
      <c r="BG260" s="289"/>
      <c r="BH260" s="290"/>
      <c r="BI260" s="289"/>
    </row>
    <row r="261" spans="1:61" ht="16.149999999999999" customHeight="1">
      <c r="A261" s="545"/>
      <c r="B261" s="450"/>
      <c r="C261" s="3"/>
      <c r="D261" s="83"/>
      <c r="E261" s="4"/>
      <c r="F261" s="4"/>
      <c r="G261" s="6">
        <v>60</v>
      </c>
      <c r="H261" s="449"/>
      <c r="I261" s="4"/>
      <c r="J261" s="3">
        <f>C260+7.5</f>
        <v>36481.350000000006</v>
      </c>
      <c r="K261" s="449" t="s">
        <v>315</v>
      </c>
      <c r="L261" s="449"/>
      <c r="M261" s="449" t="str">
        <f>IF(L261="","",
IF(AX261="PT",VLOOKUP(L261,Foundation_Calc!$V$79:$X$113,VLOOKUP(AX261,Foundation_Calc!$I$10:$J$13,2,FALSE),0),
IF(AX261="K",VLOOKUP(L261,Foundation_Calc!$V$117:$X$151,VLOOKUP(AX261,Foundation_Calc!$I$10:$J$13,2,FALSE),0),"")))</f>
        <v/>
      </c>
      <c r="N261" s="449"/>
      <c r="O261" s="449"/>
      <c r="P261" s="449"/>
      <c r="Q261" s="4"/>
      <c r="R261" s="6"/>
      <c r="S261" s="6"/>
      <c r="T261" s="4"/>
      <c r="U261" s="4"/>
      <c r="V261" s="4"/>
      <c r="W261" s="9"/>
      <c r="X261" s="9"/>
      <c r="Y261" s="9"/>
      <c r="Z261" s="9"/>
      <c r="AA261" s="9"/>
      <c r="AB261" s="9"/>
      <c r="AC261" s="449" t="str">
        <f t="shared" si="29"/>
        <v/>
      </c>
      <c r="AD261" s="449"/>
      <c r="AE261" s="449"/>
      <c r="AF261" s="4"/>
      <c r="AG261" s="83"/>
      <c r="AH261" s="4"/>
      <c r="AI261" s="4"/>
      <c r="AJ261" s="449"/>
      <c r="AK261" s="449"/>
      <c r="AL261" s="449"/>
      <c r="AM261" s="449"/>
      <c r="AN261" s="10"/>
      <c r="AO261" s="9"/>
      <c r="AP261" s="9"/>
      <c r="AQ261" s="9">
        <f>+FL_2($T$262,$T$260,$G$261,1200,9.28, 1*$F$262)</f>
        <v>-0.46265517199999995</v>
      </c>
      <c r="AR261" s="9"/>
      <c r="AS261" s="9"/>
      <c r="AT261" s="9"/>
      <c r="AU261" s="428"/>
      <c r="AV261" s="428"/>
      <c r="AW261" s="449" t="str">
        <f>IF(C261&gt;0,VLOOKUP(C261,Foundation_Calc!$A$2:$C$13,3,1),
IF(J261&gt;0,VLOOKUP(J261,Foundation_Calc!$A$2:$C$13,3,1),""))</f>
        <v>Multi Soil</v>
      </c>
      <c r="AX261" s="449" t="str">
        <f>IF(C261&gt;0,VLOOKUP(C261,Foundation_Calc!$E$35:$G$65,3,1),
IF(J261&gt;0,VLOOKUP(J261,Foundation_Calc!$E$35:$G$65,3,1),""))</f>
        <v>K</v>
      </c>
      <c r="AY261" s="10" t="str">
        <f>IF(L261="","",
IF(AX261="PT",VLOOKUP(L261,Foundation_Calc!$K$79:$R$113,VLOOKUP(AW261,Foundation_Calc!$I$2:$J$8,2,FALSE),0),
IF(AX261="K",VLOOKUP(L261,Foundation_Calc!$K$117:$R$151,VLOOKUP(AW261,Foundation_Calc!$I$2:$J$8,2,FALSE),0),"")))</f>
        <v/>
      </c>
      <c r="AZ261" s="10">
        <f>IF(K261="","",
IF(AX261="PT",VLOOKUP(K261,Foundation_Calc!$K$79:$R$113,VLOOKUP(AW261,Foundation_Calc!$I$2:$J$8,2,FALSE),0),
IF(AX261="K",VLOOKUP(K261,Foundation_Calc!$K$117:$R$151,VLOOKUP(AW261,Foundation_Calc!$I$2:$J$8,2,FALSE),0),"")))</f>
        <v>3.9</v>
      </c>
      <c r="BA261" s="495" t="str">
        <f t="shared" si="32"/>
        <v/>
      </c>
      <c r="BB261" s="495" t="str">
        <f t="shared" si="33"/>
        <v>ü</v>
      </c>
      <c r="BC261" s="495" t="str">
        <f t="shared" si="34"/>
        <v/>
      </c>
      <c r="BD261" s="513" t="str">
        <f>IF(AND(L261="",H261=""),"",
IF(H261="",Pole_Calc!A$9,
IF(H261="MP",Pole_Calc!A$10,
IF(H261="AnMP",Pole_Calc!A$11,
IF(H261="A",Pole_Calc!A$12,
IF(H261="S/A",Pole_Calc!A$13,
IF(H261="A/S",Pole_Calc!A$14,"Poner a mano")))))))</f>
        <v/>
      </c>
      <c r="BE261" s="429" t="s">
        <v>118</v>
      </c>
      <c r="BF261" s="290"/>
      <c r="BG261" s="290"/>
      <c r="BH261" s="290"/>
      <c r="BI261" s="290"/>
    </row>
    <row r="262" spans="1:61" ht="16.149999999999999" customHeight="1">
      <c r="A262" s="545"/>
      <c r="B262" s="450" t="s">
        <v>1070</v>
      </c>
      <c r="C262" s="3">
        <f>+$C$260+$G$261</f>
        <v>36533.850000000006</v>
      </c>
      <c r="D262" s="83"/>
      <c r="E262" s="4"/>
      <c r="F262" s="4">
        <v>0</v>
      </c>
      <c r="G262" s="6"/>
      <c r="H262" s="449"/>
      <c r="I262" s="4"/>
      <c r="J262" s="3"/>
      <c r="K262" s="449"/>
      <c r="L262" s="449" t="s">
        <v>153</v>
      </c>
      <c r="M262" s="449" t="str">
        <f>IF(L262="","",
IF(AX262="PT",VLOOKUP(L262,Foundation_Calc!$V$79:$X$113,VLOOKUP(AX262,Foundation_Calc!$I$10:$J$13,2,FALSE),0),
IF(AX262="K",VLOOKUP(L262,Foundation_Calc!$V$117:$X$151,VLOOKUP(AX262,Foundation_Calc!$I$10:$J$13,2,FALSE),0),"")))</f>
        <v>C3RT</v>
      </c>
      <c r="N262" s="449" t="s">
        <v>124</v>
      </c>
      <c r="O262" s="449"/>
      <c r="P262" s="449"/>
      <c r="Q262" s="4"/>
      <c r="R262" s="6"/>
      <c r="S262" s="6"/>
      <c r="T262" s="4">
        <v>-35</v>
      </c>
      <c r="U262" s="4"/>
      <c r="V262" s="4"/>
      <c r="W262" s="9">
        <v>1.4</v>
      </c>
      <c r="X262" s="9"/>
      <c r="Y262" s="9"/>
      <c r="Z262" s="9"/>
      <c r="AA262" s="9"/>
      <c r="AB262" s="9"/>
      <c r="AC262" s="449" t="str">
        <f t="shared" si="29"/>
        <v>PH</v>
      </c>
      <c r="AD262" s="449"/>
      <c r="AE262" s="449"/>
      <c r="AF262" s="4"/>
      <c r="AG262" s="83"/>
      <c r="AH262" s="4"/>
      <c r="AI262" s="4"/>
      <c r="AJ262" s="449"/>
      <c r="AK262" s="449"/>
      <c r="AL262" s="449"/>
      <c r="AM262" s="449" t="s">
        <v>126</v>
      </c>
      <c r="AN262" s="10">
        <v>5.5</v>
      </c>
      <c r="AO262" s="9"/>
      <c r="AP262" s="9"/>
      <c r="AQ262" s="9"/>
      <c r="AR262" s="9"/>
      <c r="AS262" s="9"/>
      <c r="AT262" s="9">
        <f>+ab($T$262,$T$260,$T$264,$G$261,$G$263, 1*$F$262,1200)</f>
        <v>-8.3829644766031866</v>
      </c>
      <c r="AU262" s="428"/>
      <c r="AV262" s="428"/>
      <c r="AW262" s="449" t="str">
        <f>IF(C262&gt;0,VLOOKUP(C262,Foundation_Calc!$A$2:$C$13,3,1),
IF(J262&gt;0,VLOOKUP(J262,Foundation_Calc!$A$2:$C$13,3,1),""))</f>
        <v>Multi Soil</v>
      </c>
      <c r="AX262" s="449" t="str">
        <f>IF(C262&gt;0,VLOOKUP(C262,Foundation_Calc!$E$35:$G$65,3,1),
IF(J262&gt;0,VLOOKUP(J262,Foundation_Calc!$E$35:$G$65,3,1),""))</f>
        <v>K</v>
      </c>
      <c r="AY262" s="10">
        <f>IF(L262="","",
IF(AX262="PT",VLOOKUP(L262,Foundation_Calc!$K$79:$R$113,VLOOKUP(AW262,Foundation_Calc!$I$2:$J$8,2,FALSE),0),
IF(AX262="K",VLOOKUP(L262,Foundation_Calc!$K$117:$R$151,VLOOKUP(AW262,Foundation_Calc!$I$2:$J$8,2,FALSE),0),"")))</f>
        <v>4</v>
      </c>
      <c r="AZ262" s="10" t="str">
        <f>IF(K262="","",
IF(AX262="PT",VLOOKUP(K262,Foundation_Calc!$K$79:$R$113,VLOOKUP(AW262,Foundation_Calc!$I$2:$J$8,2,FALSE),0),
IF(AX262="K",VLOOKUP(K262,Foundation_Calc!$K$117:$R$151,VLOOKUP(AW262,Foundation_Calc!$I$2:$J$8,2,FALSE),0),"")))</f>
        <v/>
      </c>
      <c r="BA262" s="495" t="str">
        <f t="shared" si="32"/>
        <v>ü</v>
      </c>
      <c r="BB262" s="495" t="str">
        <f t="shared" si="33"/>
        <v/>
      </c>
      <c r="BC262" s="495" t="str">
        <f t="shared" si="34"/>
        <v/>
      </c>
      <c r="BD262" s="513" t="str">
        <f>IF(AND(L262="",H262=""),"",
IF(H262="",Pole_Calc!A$9,
IF(H262="MP",Pole_Calc!A$10,
IF(H262="AnMP",Pole_Calc!A$11,
IF(H262="A",Pole_Calc!A$12,
IF(H262="S/A",Pole_Calc!A$13,
IF(H262="A/S",Pole_Calc!A$14,"Poner a mano")))))))</f>
        <v>App.7-V11I-P9.5.1.1</v>
      </c>
      <c r="BE262" s="429" t="s">
        <v>118</v>
      </c>
      <c r="BF262" s="289"/>
      <c r="BG262" s="289"/>
      <c r="BH262" s="290"/>
      <c r="BI262" s="289"/>
    </row>
    <row r="263" spans="1:61" ht="16.149999999999999" customHeight="1">
      <c r="A263" s="545"/>
      <c r="B263" s="450"/>
      <c r="C263" s="3"/>
      <c r="D263" s="83"/>
      <c r="E263" s="4"/>
      <c r="F263" s="4"/>
      <c r="G263" s="6">
        <v>55</v>
      </c>
      <c r="H263" s="449"/>
      <c r="I263" s="4"/>
      <c r="J263" s="3"/>
      <c r="K263" s="449"/>
      <c r="L263" s="449"/>
      <c r="M263" s="449" t="str">
        <f>IF(L263="","",
IF(AX263="PT",VLOOKUP(L263,Foundation_Calc!$V$79:$X$113,VLOOKUP(AX263,Foundation_Calc!$I$10:$J$13,2,FALSE),0),
IF(AX263="K",VLOOKUP(L263,Foundation_Calc!$V$117:$X$151,VLOOKUP(AX263,Foundation_Calc!$I$10:$J$13,2,FALSE),0),"")))</f>
        <v/>
      </c>
      <c r="N263" s="449"/>
      <c r="O263" s="449"/>
      <c r="P263" s="449"/>
      <c r="Q263" s="4"/>
      <c r="R263" s="6"/>
      <c r="S263" s="6"/>
      <c r="T263" s="4"/>
      <c r="U263" s="4"/>
      <c r="V263" s="4"/>
      <c r="W263" s="9"/>
      <c r="X263" s="9"/>
      <c r="Y263" s="9"/>
      <c r="Z263" s="9"/>
      <c r="AA263" s="9"/>
      <c r="AB263" s="9"/>
      <c r="AC263" s="449" t="str">
        <f t="shared" ref="AC263:AC328" si="35">IF(OR(AT263&gt;8,AT263&lt;-8),"PH",
IF(OR(AT263&gt;5,AT263&lt;-5),"PHQ",
IF(OR(AT263&gt;1,AT263&lt;-1),
"PHC","")))</f>
        <v/>
      </c>
      <c r="AD263" s="449"/>
      <c r="AE263" s="449"/>
      <c r="AF263" s="4"/>
      <c r="AG263" s="83"/>
      <c r="AH263" s="4"/>
      <c r="AI263" s="4"/>
      <c r="AJ263" s="449"/>
      <c r="AK263" s="449"/>
      <c r="AL263" s="449"/>
      <c r="AM263" s="449"/>
      <c r="AN263" s="10"/>
      <c r="AO263" s="9"/>
      <c r="AP263" s="9"/>
      <c r="AQ263" s="9">
        <f>+FL_2($T$264,$T$262,$G$263,1200,9.28, 1*$F$264)</f>
        <v>-0.42165644724987017</v>
      </c>
      <c r="AR263" s="9"/>
      <c r="AS263" s="9"/>
      <c r="AT263" s="9"/>
      <c r="AU263" s="428"/>
      <c r="AV263" s="428"/>
      <c r="AW263" s="449" t="str">
        <f>IF(C263&gt;0,VLOOKUP(C263,Foundation_Calc!$A$2:$C$13,3,1),
IF(J263&gt;0,VLOOKUP(J263,Foundation_Calc!$A$2:$C$13,3,1),""))</f>
        <v/>
      </c>
      <c r="AX263" s="449" t="str">
        <f>IF(C263&gt;0,VLOOKUP(C263,Foundation_Calc!$E$35:$G$65,3,1),
IF(J263&gt;0,VLOOKUP(J263,Foundation_Calc!$E$35:$G$65,3,1),""))</f>
        <v/>
      </c>
      <c r="AY263" s="10" t="str">
        <f>IF(L263="","",
IF(AX263="PT",VLOOKUP(L263,Foundation_Calc!$K$79:$R$113,VLOOKUP(AW263,Foundation_Calc!$I$2:$J$8,2,FALSE),0),
IF(AX263="K",VLOOKUP(L263,Foundation_Calc!$K$117:$R$151,VLOOKUP(AW263,Foundation_Calc!$I$2:$J$8,2,FALSE),0),"")))</f>
        <v/>
      </c>
      <c r="AZ263" s="10" t="str">
        <f>IF(K263="","",
IF(AX263="PT",VLOOKUP(K263,Foundation_Calc!$K$79:$R$113,VLOOKUP(AW263,Foundation_Calc!$I$2:$J$8,2,FALSE),0),
IF(AX263="K",VLOOKUP(K263,Foundation_Calc!$K$117:$R$151,VLOOKUP(AW263,Foundation_Calc!$I$2:$J$8,2,FALSE),0),"")))</f>
        <v/>
      </c>
      <c r="BA263" s="495" t="str">
        <f t="shared" si="32"/>
        <v/>
      </c>
      <c r="BB263" s="495" t="str">
        <f t="shared" si="33"/>
        <v/>
      </c>
      <c r="BC263" s="495" t="str">
        <f t="shared" si="34"/>
        <v/>
      </c>
      <c r="BD263" s="513" t="str">
        <f>IF(AND(L263="",H263=""),"",
IF(H263="",Pole_Calc!A$9,
IF(H263="MP",Pole_Calc!A$10,
IF(H263="AnMP",Pole_Calc!A$11,
IF(H263="A",Pole_Calc!A$12,
IF(H263="S/A",Pole_Calc!A$13,
IF(H263="A/S",Pole_Calc!A$14,"Poner a mano")))))))</f>
        <v/>
      </c>
      <c r="BE263" s="429" t="s">
        <v>118</v>
      </c>
      <c r="BF263" s="290"/>
      <c r="BG263" s="290"/>
      <c r="BH263" s="290"/>
      <c r="BI263" s="290"/>
    </row>
    <row r="264" spans="1:61" ht="16.149999999999999" customHeight="1">
      <c r="A264" s="545"/>
      <c r="B264" s="450" t="s">
        <v>1071</v>
      </c>
      <c r="C264" s="3">
        <f>+$C$262+$G$263</f>
        <v>36588.850000000006</v>
      </c>
      <c r="D264" s="83"/>
      <c r="E264" s="4"/>
      <c r="F264" s="4">
        <v>10507.828594974604</v>
      </c>
      <c r="G264" s="6"/>
      <c r="H264" s="449"/>
      <c r="I264" s="4"/>
      <c r="J264" s="3"/>
      <c r="K264" s="449"/>
      <c r="L264" s="449" t="s">
        <v>153</v>
      </c>
      <c r="M264" s="449" t="str">
        <f>IF(L264="","",
IF(AX264="PT",VLOOKUP(L264,Foundation_Calc!$V$79:$X$113,VLOOKUP(AX264,Foundation_Calc!$I$10:$J$13,2,FALSE),0),
IF(AX264="K",VLOOKUP(L264,Foundation_Calc!$V$117:$X$151,VLOOKUP(AX264,Foundation_Calc!$I$10:$J$13,2,FALSE),0),"")))</f>
        <v>C3RT</v>
      </c>
      <c r="N264" s="449" t="s">
        <v>134</v>
      </c>
      <c r="O264" s="449"/>
      <c r="P264" s="449"/>
      <c r="Q264" s="4"/>
      <c r="R264" s="6"/>
      <c r="S264" s="6"/>
      <c r="T264" s="4">
        <v>35</v>
      </c>
      <c r="U264" s="4"/>
      <c r="V264" s="4"/>
      <c r="W264" s="9">
        <v>1.4</v>
      </c>
      <c r="X264" s="9"/>
      <c r="Y264" s="9"/>
      <c r="Z264" s="9"/>
      <c r="AA264" s="9"/>
      <c r="AB264" s="9"/>
      <c r="AC264" s="449" t="str">
        <f t="shared" si="35"/>
        <v>PH</v>
      </c>
      <c r="AD264" s="449"/>
      <c r="AE264" s="449"/>
      <c r="AF264" s="4"/>
      <c r="AG264" s="83"/>
      <c r="AH264" s="4"/>
      <c r="AI264" s="4"/>
      <c r="AJ264" s="449"/>
      <c r="AK264" s="449"/>
      <c r="AL264" s="449"/>
      <c r="AM264" s="449" t="s">
        <v>126</v>
      </c>
      <c r="AN264" s="10">
        <v>5.5</v>
      </c>
      <c r="AO264" s="9"/>
      <c r="AP264" s="9"/>
      <c r="AQ264" s="9"/>
      <c r="AR264" s="9"/>
      <c r="AS264" s="9"/>
      <c r="AT264" s="9">
        <f>+ab($T$264,$T$262,$T$266,$G$263,$G$265, 1*$F$264,1200)</f>
        <v>9.1920668302411173</v>
      </c>
      <c r="AU264" s="428"/>
      <c r="AV264" s="428"/>
      <c r="AW264" s="449" t="str">
        <f>IF(C264&gt;0,VLOOKUP(C264,Foundation_Calc!$A$2:$C$13,3,1),
IF(J264&gt;0,VLOOKUP(J264,Foundation_Calc!$A$2:$C$13,3,1),""))</f>
        <v>Multi Soil</v>
      </c>
      <c r="AX264" s="449" t="str">
        <f>IF(C264&gt;0,VLOOKUP(C264,Foundation_Calc!$E$35:$G$65,3,1),
IF(J264&gt;0,VLOOKUP(J264,Foundation_Calc!$E$35:$G$65,3,1),""))</f>
        <v>K</v>
      </c>
      <c r="AY264" s="10">
        <f>IF(L264="","",
IF(AX264="PT",VLOOKUP(L264,Foundation_Calc!$K$79:$R$113,VLOOKUP(AW264,Foundation_Calc!$I$2:$J$8,2,FALSE),0),
IF(AX264="K",VLOOKUP(L264,Foundation_Calc!$K$117:$R$151,VLOOKUP(AW264,Foundation_Calc!$I$2:$J$8,2,FALSE),0),"")))</f>
        <v>4</v>
      </c>
      <c r="AZ264" s="10" t="str">
        <f>IF(K264="","",
IF(AX264="PT",VLOOKUP(K264,Foundation_Calc!$K$79:$R$113,VLOOKUP(AW264,Foundation_Calc!$I$2:$J$8,2,FALSE),0),
IF(AX264="K",VLOOKUP(K264,Foundation_Calc!$K$117:$R$151,VLOOKUP(AW264,Foundation_Calc!$I$2:$J$8,2,FALSE),0),"")))</f>
        <v/>
      </c>
      <c r="BA264" s="495" t="str">
        <f t="shared" si="32"/>
        <v>ü</v>
      </c>
      <c r="BB264" s="495" t="str">
        <f t="shared" si="33"/>
        <v/>
      </c>
      <c r="BC264" s="495" t="str">
        <f t="shared" si="34"/>
        <v/>
      </c>
      <c r="BD264" s="513" t="str">
        <f>IF(AND(L264="",H264=""),"",
IF(H264="",Pole_Calc!A$9,
IF(H264="MP",Pole_Calc!A$10,
IF(H264="AnMP",Pole_Calc!A$11,
IF(H264="A",Pole_Calc!A$12,
IF(H264="S/A",Pole_Calc!A$13,
IF(H264="A/S",Pole_Calc!A$14,"Poner a mano")))))))</f>
        <v>App.7-V11I-P9.5.1.1</v>
      </c>
      <c r="BE264" s="429" t="s">
        <v>118</v>
      </c>
      <c r="BF264" s="289"/>
      <c r="BG264" s="289"/>
      <c r="BH264" s="290"/>
      <c r="BI264" s="289"/>
    </row>
    <row r="265" spans="1:61" ht="16.149999999999999" customHeight="1">
      <c r="A265" s="546"/>
      <c r="B265" s="536"/>
      <c r="C265" s="537"/>
      <c r="D265" s="538"/>
      <c r="E265" s="539"/>
      <c r="F265" s="539"/>
      <c r="G265" s="540">
        <v>53</v>
      </c>
      <c r="H265" s="541"/>
      <c r="I265" s="539"/>
      <c r="J265" s="537"/>
      <c r="K265" s="541"/>
      <c r="L265" s="449"/>
      <c r="M265" s="541" t="str">
        <f>IF(L265="","",
IF(AX265="PT",VLOOKUP(L265,Foundation_Calc!$V$79:$X$113,VLOOKUP(AX265,Foundation_Calc!$I$10:$J$13,2,FALSE),0),
IF(AX265="K",VLOOKUP(L265,Foundation_Calc!$V$117:$X$151,VLOOKUP(AX265,Foundation_Calc!$I$10:$J$13,2,FALSE),0),"")))</f>
        <v/>
      </c>
      <c r="N265" s="541"/>
      <c r="O265" s="541"/>
      <c r="P265" s="541"/>
      <c r="Q265" s="539"/>
      <c r="R265" s="540"/>
      <c r="S265" s="540"/>
      <c r="T265" s="539"/>
      <c r="U265" s="539"/>
      <c r="V265" s="539"/>
      <c r="W265" s="542"/>
      <c r="X265" s="542"/>
      <c r="Y265" s="542"/>
      <c r="Z265" s="542"/>
      <c r="AA265" s="542"/>
      <c r="AB265" s="542"/>
      <c r="AC265" s="541" t="str">
        <f t="shared" si="35"/>
        <v/>
      </c>
      <c r="AD265" s="541"/>
      <c r="AE265" s="541"/>
      <c r="AF265" s="539"/>
      <c r="AG265" s="538"/>
      <c r="AH265" s="539"/>
      <c r="AI265" s="539"/>
      <c r="AJ265" s="541"/>
      <c r="AK265" s="541"/>
      <c r="AL265" s="541"/>
      <c r="AM265" s="541"/>
      <c r="AN265" s="543"/>
      <c r="AO265" s="542"/>
      <c r="AP265" s="542"/>
      <c r="AQ265" s="542">
        <f>+FL_1($T$266,$T$264,$G$265,1200,9.28, 1*$F$266)</f>
        <v>0.44866281351546355</v>
      </c>
      <c r="AR265" s="542"/>
      <c r="AS265" s="542"/>
      <c r="AT265" s="542"/>
      <c r="AU265" s="544"/>
      <c r="AV265" s="544"/>
      <c r="AW265" s="541" t="str">
        <f>IF(C265&gt;0,VLOOKUP(C265,Foundation_Calc!$A$2:$C$13,3,1),
IF(J265&gt;0,VLOOKUP(J265,Foundation_Calc!$A$2:$C$13,3,1),""))</f>
        <v/>
      </c>
      <c r="AX265" s="541" t="str">
        <f>IF(C265&gt;0,VLOOKUP(C265,Foundation_Calc!$E$35:$G$65,3,1),
IF(J265&gt;0,VLOOKUP(J265,Foundation_Calc!$E$35:$G$65,3,1),""))</f>
        <v/>
      </c>
      <c r="AY265" s="543" t="str">
        <f>IF(L265="","",
IF(AX265="PT",VLOOKUP(L265,Foundation_Calc!$K$79:$R$113,VLOOKUP(AW265,Foundation_Calc!$I$2:$J$8,2,FALSE),0),
IF(AX265="K",VLOOKUP(L265,Foundation_Calc!$K$117:$R$151,VLOOKUP(AW265,Foundation_Calc!$I$2:$J$8,2,FALSE),0),"")))</f>
        <v/>
      </c>
      <c r="AZ265" s="543" t="str">
        <f>IF(K265="","",
IF(AX265="PT",VLOOKUP(K265,Foundation_Calc!$K$79:$R$113,VLOOKUP(AW265,Foundation_Calc!$I$2:$J$8,2,FALSE),0),
IF(AX265="K",VLOOKUP(K265,Foundation_Calc!$K$117:$R$151,VLOOKUP(AW265,Foundation_Calc!$I$2:$J$8,2,FALSE),0),"")))</f>
        <v/>
      </c>
      <c r="BA265" s="550" t="str">
        <f t="shared" si="32"/>
        <v/>
      </c>
      <c r="BB265" s="550" t="str">
        <f t="shared" si="33"/>
        <v/>
      </c>
      <c r="BC265" s="550" t="str">
        <f t="shared" si="34"/>
        <v/>
      </c>
      <c r="BD265" s="516" t="str">
        <f>IF(AND(L265="",H265=""),"",
IF(H265="",Pole_Calc!A$9,
IF(H265="MP",Pole_Calc!A$10,
IF(H265="AnMP",Pole_Calc!A$11,
IF(H265="A",Pole_Calc!A$12,
IF(H265="S/A",Pole_Calc!A$13,
IF(H265="A/S",Pole_Calc!A$14,"Poner a mano")))))))</f>
        <v/>
      </c>
      <c r="BE265" s="429" t="s">
        <v>118</v>
      </c>
      <c r="BF265" s="290"/>
      <c r="BG265" s="290"/>
      <c r="BH265" s="290"/>
      <c r="BI265" s="290"/>
    </row>
    <row r="266" spans="1:61" ht="16.149999999999999" customHeight="1">
      <c r="A266" s="545"/>
      <c r="B266" s="450" t="s">
        <v>1072</v>
      </c>
      <c r="C266" s="3">
        <f>+$C$264+$G$265</f>
        <v>36641.850000000006</v>
      </c>
      <c r="D266" s="83"/>
      <c r="E266" s="4"/>
      <c r="F266" s="4">
        <v>3300.4400155300968</v>
      </c>
      <c r="G266" s="6"/>
      <c r="H266" s="449"/>
      <c r="I266" s="4"/>
      <c r="J266" s="3"/>
      <c r="K266" s="449"/>
      <c r="L266" s="449" t="s">
        <v>153</v>
      </c>
      <c r="M266" s="449" t="str">
        <f>IF(L266="","",
IF(AX266="PT",VLOOKUP(L266,Foundation_Calc!$V$79:$X$113,VLOOKUP(AX266,Foundation_Calc!$I$10:$J$13,2,FALSE),0),
IF(AX266="K",VLOOKUP(L266,Foundation_Calc!$V$117:$X$151,VLOOKUP(AX266,Foundation_Calc!$I$10:$J$13,2,FALSE),0),"")))</f>
        <v>C3RT</v>
      </c>
      <c r="N266" s="449" t="s">
        <v>134</v>
      </c>
      <c r="O266" s="449"/>
      <c r="P266" s="449"/>
      <c r="Q266" s="4"/>
      <c r="R266" s="6"/>
      <c r="S266" s="6"/>
      <c r="T266" s="4">
        <v>20</v>
      </c>
      <c r="U266" s="4"/>
      <c r="V266" s="4"/>
      <c r="W266" s="9">
        <v>1.4</v>
      </c>
      <c r="X266" s="9"/>
      <c r="Y266" s="9"/>
      <c r="Z266" s="9"/>
      <c r="AA266" s="9"/>
      <c r="AB266" s="9"/>
      <c r="AC266" s="449" t="str">
        <f t="shared" si="35"/>
        <v>PH</v>
      </c>
      <c r="AD266" s="449"/>
      <c r="AE266" s="449"/>
      <c r="AF266" s="4"/>
      <c r="AG266" s="83"/>
      <c r="AH266" s="4"/>
      <c r="AI266" s="4"/>
      <c r="AJ266" s="449"/>
      <c r="AK266" s="449"/>
      <c r="AL266" s="449"/>
      <c r="AM266" s="449" t="s">
        <v>126</v>
      </c>
      <c r="AN266" s="10">
        <v>5.5</v>
      </c>
      <c r="AO266" s="9"/>
      <c r="AP266" s="9"/>
      <c r="AQ266" s="9"/>
      <c r="AR266" s="9"/>
      <c r="AS266" s="9"/>
      <c r="AT266" s="9">
        <f>+ab($T$266,$T$264,$T$268,$G$265,$G$267, 1*$F$266,1200)</f>
        <v>17.26846471648312</v>
      </c>
      <c r="AU266" s="428"/>
      <c r="AV266" s="428"/>
      <c r="AW266" s="449" t="str">
        <f>IF(C266&gt;0,VLOOKUP(C266,Foundation_Calc!$A$2:$C$13,3,1),
IF(J266&gt;0,VLOOKUP(J266,Foundation_Calc!$A$2:$C$13,3,1),""))</f>
        <v>Multi Soil</v>
      </c>
      <c r="AX266" s="449" t="str">
        <f>IF(C266&gt;0,VLOOKUP(C266,Foundation_Calc!$E$35:$G$65,3,1),
IF(J266&gt;0,VLOOKUP(J266,Foundation_Calc!$E$35:$G$65,3,1),""))</f>
        <v>K</v>
      </c>
      <c r="AY266" s="10">
        <f>IF(L266="","",
IF(AX266="PT",VLOOKUP(L266,Foundation_Calc!$K$79:$R$113,VLOOKUP(AW266,Foundation_Calc!$I$2:$J$8,2,FALSE),0),
IF(AX266="K",VLOOKUP(L266,Foundation_Calc!$K$117:$R$151,VLOOKUP(AW266,Foundation_Calc!$I$2:$J$8,2,FALSE),0),"")))</f>
        <v>4</v>
      </c>
      <c r="AZ266" s="10" t="str">
        <f>IF(K266="","",
IF(AX266="PT",VLOOKUP(K266,Foundation_Calc!$K$79:$R$113,VLOOKUP(AW266,Foundation_Calc!$I$2:$J$8,2,FALSE),0),
IF(AX266="K",VLOOKUP(K266,Foundation_Calc!$K$117:$R$151,VLOOKUP(AW266,Foundation_Calc!$I$2:$J$8,2,FALSE),0),"")))</f>
        <v/>
      </c>
      <c r="BA266" s="495" t="str">
        <f t="shared" si="32"/>
        <v>ü</v>
      </c>
      <c r="BB266" s="495" t="str">
        <f t="shared" si="33"/>
        <v/>
      </c>
      <c r="BC266" s="495" t="str">
        <f t="shared" si="34"/>
        <v/>
      </c>
      <c r="BD266" s="513" t="str">
        <f>IF(AND(L266="",H266=""),"",
IF(H266="",Pole_Calc!A$9,
IF(H266="MP",Pole_Calc!A$10,
IF(H266="AnMP",Pole_Calc!A$11,
IF(H266="A",Pole_Calc!A$12,
IF(H266="S/A",Pole_Calc!A$13,
IF(H266="A/S",Pole_Calc!A$14,"Poner a mano")))))))</f>
        <v>App.7-V11I-P9.5.1.1</v>
      </c>
      <c r="BE266" s="429" t="s">
        <v>118</v>
      </c>
      <c r="BF266" s="289"/>
      <c r="BG266" s="289"/>
      <c r="BH266" s="290"/>
      <c r="BI266" s="289"/>
    </row>
    <row r="267" spans="1:61" ht="16.149999999999999" customHeight="1">
      <c r="A267" s="514" t="s">
        <v>169</v>
      </c>
      <c r="B267" s="450"/>
      <c r="C267" s="3"/>
      <c r="D267" s="83"/>
      <c r="E267" s="4"/>
      <c r="F267" s="4"/>
      <c r="G267" s="6">
        <v>50</v>
      </c>
      <c r="H267" s="449"/>
      <c r="I267" s="4"/>
      <c r="J267" s="3"/>
      <c r="K267" s="449"/>
      <c r="L267" s="449"/>
      <c r="M267" s="449" t="str">
        <f>IF(L267="","",
IF(AX267="PT",VLOOKUP(L267,Foundation_Calc!$V$79:$X$113,VLOOKUP(AX267,Foundation_Calc!$I$10:$J$13,2,FALSE),0),
IF(AX267="K",VLOOKUP(L267,Foundation_Calc!$V$117:$X$151,VLOOKUP(AX267,Foundation_Calc!$I$10:$J$13,2,FALSE),0),"")))</f>
        <v/>
      </c>
      <c r="N267" s="449"/>
      <c r="O267" s="449"/>
      <c r="P267" s="449"/>
      <c r="Q267" s="4"/>
      <c r="R267" s="6"/>
      <c r="S267" s="6"/>
      <c r="T267" s="4"/>
      <c r="U267" s="4"/>
      <c r="V267" s="4"/>
      <c r="W267" s="9"/>
      <c r="X267" s="9"/>
      <c r="Y267" s="9"/>
      <c r="Z267" s="9"/>
      <c r="AA267" s="9"/>
      <c r="AB267" s="9"/>
      <c r="AC267" s="449" t="str">
        <f t="shared" si="35"/>
        <v/>
      </c>
      <c r="AD267" s="449"/>
      <c r="AE267" s="449"/>
      <c r="AF267" s="4"/>
      <c r="AG267" s="83"/>
      <c r="AH267" s="4"/>
      <c r="AI267" s="4"/>
      <c r="AJ267" s="449"/>
      <c r="AK267" s="449"/>
      <c r="AL267" s="449"/>
      <c r="AM267" s="449"/>
      <c r="AN267" s="10"/>
      <c r="AO267" s="9"/>
      <c r="AP267" s="9"/>
      <c r="AQ267" s="9">
        <f>+FL_1($T$268,$T$266,$G$267,1200,9.28, 1*$F$268)</f>
        <v>0.34300044394587254</v>
      </c>
      <c r="AR267" s="9"/>
      <c r="AS267" s="9"/>
      <c r="AT267" s="9"/>
      <c r="AU267" s="428"/>
      <c r="AV267" s="428"/>
      <c r="AW267" s="449" t="str">
        <f>IF(C267&gt;0,VLOOKUP(C267,Foundation_Calc!$A$2:$C$13,3,1),
IF(J267&gt;0,VLOOKUP(J267,Foundation_Calc!$A$2:$C$13,3,1),""))</f>
        <v/>
      </c>
      <c r="AX267" s="449" t="str">
        <f>IF(C267&gt;0,VLOOKUP(C267,Foundation_Calc!$E$35:$G$65,3,1),
IF(J267&gt;0,VLOOKUP(J267,Foundation_Calc!$E$35:$G$65,3,1),""))</f>
        <v/>
      </c>
      <c r="AY267" s="10" t="str">
        <f>IF(L267="","",
IF(AX267="PT",VLOOKUP(L267,Foundation_Calc!$K$79:$R$113,VLOOKUP(AW267,Foundation_Calc!$I$2:$J$8,2,FALSE),0),
IF(AX267="K",VLOOKUP(L267,Foundation_Calc!$K$117:$R$151,VLOOKUP(AW267,Foundation_Calc!$I$2:$J$8,2,FALSE),0),"")))</f>
        <v/>
      </c>
      <c r="AZ267" s="10" t="str">
        <f>IF(K267="","",
IF(AX267="PT",VLOOKUP(K267,Foundation_Calc!$K$79:$R$113,VLOOKUP(AW267,Foundation_Calc!$I$2:$J$8,2,FALSE),0),
IF(AX267="K",VLOOKUP(K267,Foundation_Calc!$K$117:$R$151,VLOOKUP(AW267,Foundation_Calc!$I$2:$J$8,2,FALSE),0),"")))</f>
        <v/>
      </c>
      <c r="BA267" s="495" t="str">
        <f t="shared" si="32"/>
        <v/>
      </c>
      <c r="BB267" s="495" t="str">
        <f t="shared" si="33"/>
        <v/>
      </c>
      <c r="BC267" s="495" t="str">
        <f t="shared" si="34"/>
        <v/>
      </c>
      <c r="BD267" s="513" t="str">
        <f>IF(AND(L267="",H267=""),"",
IF(H267="",Pole_Calc!A$9,
IF(H267="MP",Pole_Calc!A$10,
IF(H267="AnMP",Pole_Calc!A$11,
IF(H267="A",Pole_Calc!A$12,
IF(H267="S/A",Pole_Calc!A$13,
IF(H267="A/S",Pole_Calc!A$14,"Poner a mano")))))))</f>
        <v/>
      </c>
      <c r="BE267" s="429" t="s">
        <v>118</v>
      </c>
      <c r="BF267" s="290"/>
      <c r="BG267" s="290"/>
      <c r="BH267" s="290"/>
      <c r="BI267" s="290"/>
    </row>
    <row r="268" spans="1:61" ht="16.149999999999999" customHeight="1">
      <c r="A268" s="545"/>
      <c r="B268" s="450" t="s">
        <v>1073</v>
      </c>
      <c r="C268" s="3">
        <f>+$C$266+$G$267</f>
        <v>36691.850000000006</v>
      </c>
      <c r="D268" s="83"/>
      <c r="E268" s="4"/>
      <c r="F268" s="4">
        <v>2003.8107959456779</v>
      </c>
      <c r="G268" s="6"/>
      <c r="H268" s="449"/>
      <c r="I268" s="4"/>
      <c r="J268" s="3"/>
      <c r="K268" s="449"/>
      <c r="L268" s="449" t="s">
        <v>158</v>
      </c>
      <c r="M268" s="449" t="str">
        <f>IF(L268="","",
IF(AX268="PT",VLOOKUP(L268,Foundation_Calc!$V$79:$X$113,VLOOKUP(AX268,Foundation_Calc!$I$10:$J$13,2,FALSE),0),
IF(AX268="K",VLOOKUP(L268,Foundation_Calc!$V$117:$X$151,VLOOKUP(AX268,Foundation_Calc!$I$10:$J$13,2,FALSE),0),"")))</f>
        <v>C4RT</v>
      </c>
      <c r="N268" s="449" t="s">
        <v>134</v>
      </c>
      <c r="O268" s="449"/>
      <c r="P268" s="449"/>
      <c r="Q268" s="4"/>
      <c r="R268" s="6"/>
      <c r="S268" s="6"/>
      <c r="T268" s="4">
        <v>30</v>
      </c>
      <c r="U268" s="4"/>
      <c r="V268" s="4"/>
      <c r="W268" s="9">
        <v>1.4</v>
      </c>
      <c r="X268" s="9"/>
      <c r="Y268" s="9"/>
      <c r="Z268" s="9"/>
      <c r="AA268" s="9"/>
      <c r="AB268" s="9"/>
      <c r="AC268" s="449" t="str">
        <f t="shared" si="35"/>
        <v>PHQ</v>
      </c>
      <c r="AD268" s="449"/>
      <c r="AE268" s="449"/>
      <c r="AF268" s="4"/>
      <c r="AG268" s="83"/>
      <c r="AH268" s="4"/>
      <c r="AI268" s="4"/>
      <c r="AJ268" s="449"/>
      <c r="AK268" s="449"/>
      <c r="AL268" s="449"/>
      <c r="AM268" s="449" t="s">
        <v>126</v>
      </c>
      <c r="AN268" s="10">
        <v>5.5</v>
      </c>
      <c r="AO268" s="9"/>
      <c r="AP268" s="9"/>
      <c r="AQ268" s="9"/>
      <c r="AR268" s="9"/>
      <c r="AS268" s="9"/>
      <c r="AT268" s="9">
        <f>+ab($T$268,$T$266,$T$270,$G$267,$G$269, 1*$F$268,1200)</f>
        <v>7.0833635582298342</v>
      </c>
      <c r="AU268" s="428"/>
      <c r="AV268" s="428"/>
      <c r="AW268" s="449" t="str">
        <f>IF(C268&gt;0,VLOOKUP(C268,Foundation_Calc!$A$2:$C$13,3,1),
IF(J268&gt;0,VLOOKUP(J268,Foundation_Calc!$A$2:$C$13,3,1),""))</f>
        <v>Multi Soil</v>
      </c>
      <c r="AX268" s="449" t="str">
        <f>IF(C268&gt;0,VLOOKUP(C268,Foundation_Calc!$E$35:$G$65,3,1),
IF(J268&gt;0,VLOOKUP(J268,Foundation_Calc!$E$35:$G$65,3,1),""))</f>
        <v>K</v>
      </c>
      <c r="AY268" s="10">
        <f>IF(L268="","",
IF(AX268="PT",VLOOKUP(L268,Foundation_Calc!$K$79:$R$113,VLOOKUP(AW268,Foundation_Calc!$I$2:$J$8,2,FALSE),0),
IF(AX268="K",VLOOKUP(L268,Foundation_Calc!$K$117:$R$151,VLOOKUP(AW268,Foundation_Calc!$I$2:$J$8,2,FALSE),0),"")))</f>
        <v>4.2</v>
      </c>
      <c r="AZ268" s="10" t="str">
        <f>IF(K268="","",
IF(AX268="PT",VLOOKUP(K268,Foundation_Calc!$K$79:$R$113,VLOOKUP(AW268,Foundation_Calc!$I$2:$J$8,2,FALSE),0),
IF(AX268="K",VLOOKUP(K268,Foundation_Calc!$K$117:$R$151,VLOOKUP(AW268,Foundation_Calc!$I$2:$J$8,2,FALSE),0),"")))</f>
        <v/>
      </c>
      <c r="BA268" s="495" t="str">
        <f t="shared" si="32"/>
        <v>ü</v>
      </c>
      <c r="BB268" s="495" t="str">
        <f t="shared" si="33"/>
        <v/>
      </c>
      <c r="BC268" s="495" t="str">
        <f t="shared" si="34"/>
        <v/>
      </c>
      <c r="BD268" s="513" t="str">
        <f>IF(AND(L268="",H268=""),"",
IF(H268="",Pole_Calc!A$9,
IF(H268="MP",Pole_Calc!A$10,
IF(H268="AnMP",Pole_Calc!A$11,
IF(H268="A",Pole_Calc!A$12,
IF(H268="S/A",Pole_Calc!A$13,
IF(H268="A/S",Pole_Calc!A$14,"Poner a mano")))))))</f>
        <v>App.7-V11I-P9.5.1.1</v>
      </c>
      <c r="BE268" s="429" t="s">
        <v>118</v>
      </c>
      <c r="BF268" s="289"/>
      <c r="BG268" s="289"/>
      <c r="BH268" s="290"/>
      <c r="BI268" s="289"/>
    </row>
    <row r="269" spans="1:61" ht="16.149999999999999" customHeight="1">
      <c r="A269" s="545"/>
      <c r="B269" s="450"/>
      <c r="C269" s="3"/>
      <c r="D269" s="83"/>
      <c r="E269" s="4"/>
      <c r="F269" s="4"/>
      <c r="G269" s="6">
        <v>50</v>
      </c>
      <c r="H269" s="449"/>
      <c r="I269" s="4"/>
      <c r="J269" s="3">
        <f>C270-7.5</f>
        <v>36734.350000000006</v>
      </c>
      <c r="K269" s="449" t="s">
        <v>324</v>
      </c>
      <c r="L269" s="449"/>
      <c r="M269" s="449" t="str">
        <f>IF(L269="","",
IF(AX269="PT",VLOOKUP(L269,Foundation_Calc!$V$79:$X$113,VLOOKUP(AX269,Foundation_Calc!$I$10:$J$13,2,FALSE),0),
IF(AX269="K",VLOOKUP(L269,Foundation_Calc!$V$117:$X$151,VLOOKUP(AX269,Foundation_Calc!$I$10:$J$13,2,FALSE),0),"")))</f>
        <v/>
      </c>
      <c r="N269" s="449"/>
      <c r="O269" s="449"/>
      <c r="P269" s="449"/>
      <c r="Q269" s="4"/>
      <c r="R269" s="6"/>
      <c r="S269" s="6"/>
      <c r="T269" s="4"/>
      <c r="U269" s="4"/>
      <c r="V269" s="4"/>
      <c r="W269" s="9"/>
      <c r="X269" s="9"/>
      <c r="Y269" s="9"/>
      <c r="Z269" s="9"/>
      <c r="AA269" s="9"/>
      <c r="AB269" s="9"/>
      <c r="AC269" s="449" t="str">
        <f t="shared" si="35"/>
        <v/>
      </c>
      <c r="AD269" s="449"/>
      <c r="AE269" s="449"/>
      <c r="AF269" s="4"/>
      <c r="AG269" s="83"/>
      <c r="AH269" s="4"/>
      <c r="AI269" s="4"/>
      <c r="AJ269" s="449"/>
      <c r="AK269" s="449"/>
      <c r="AL269" s="449"/>
      <c r="AM269" s="449"/>
      <c r="AN269" s="10"/>
      <c r="AO269" s="9"/>
      <c r="AP269" s="9"/>
      <c r="AQ269" s="9">
        <f>+FL_1($T$270,$T$268,$G$269,1200,9.28, 1*$F$270)</f>
        <v>0.33331886373108921</v>
      </c>
      <c r="AR269" s="9"/>
      <c r="AS269" s="9"/>
      <c r="AT269" s="9"/>
      <c r="AU269" s="428"/>
      <c r="AV269" s="428"/>
      <c r="AW269" s="449" t="str">
        <f>IF(C269&gt;0,VLOOKUP(C269,Foundation_Calc!$A$2:$C$13,3,1),
IF(J269&gt;0,VLOOKUP(J269,Foundation_Calc!$A$2:$C$13,3,1),""))</f>
        <v>Multi Soil</v>
      </c>
      <c r="AX269" s="449" t="str">
        <f>IF(C269&gt;0,VLOOKUP(C269,Foundation_Calc!$E$35:$G$65,3,1),
IF(J269&gt;0,VLOOKUP(J269,Foundation_Calc!$E$35:$G$65,3,1),""))</f>
        <v>K</v>
      </c>
      <c r="AY269" s="10" t="str">
        <f>IF(L269="","",
IF(AX269="PT",VLOOKUP(L269,Foundation_Calc!$K$79:$R$113,VLOOKUP(AW269,Foundation_Calc!$I$2:$J$8,2,FALSE),0),
IF(AX269="K",VLOOKUP(L269,Foundation_Calc!$K$117:$R$151,VLOOKUP(AW269,Foundation_Calc!$I$2:$J$8,2,FALSE),0),"")))</f>
        <v/>
      </c>
      <c r="AZ269" s="10">
        <f>IF(K269="","",
IF(AX269="PT",VLOOKUP(K269,Foundation_Calc!$K$79:$R$113,VLOOKUP(AW269,Foundation_Calc!$I$2:$J$8,2,FALSE),0),
IF(AX269="K",VLOOKUP(K269,Foundation_Calc!$K$117:$R$151,VLOOKUP(AW269,Foundation_Calc!$I$2:$J$8,2,FALSE),0),"")))</f>
        <v>2.8</v>
      </c>
      <c r="BA269" s="495" t="str">
        <f t="shared" si="32"/>
        <v/>
      </c>
      <c r="BB269" s="495" t="str">
        <f t="shared" si="33"/>
        <v>ü</v>
      </c>
      <c r="BC269" s="495" t="str">
        <f t="shared" si="34"/>
        <v/>
      </c>
      <c r="BD269" s="513" t="str">
        <f>IF(AND(L269="",H269=""),"",
IF(H269="",Pole_Calc!A$9,
IF(H269="MP",Pole_Calc!A$10,
IF(H269="AnMP",Pole_Calc!A$11,
IF(H269="A",Pole_Calc!A$12,
IF(H269="S/A",Pole_Calc!A$13,
IF(H269="A/S",Pole_Calc!A$14,"Poner a mano")))))))</f>
        <v/>
      </c>
      <c r="BE269" s="429" t="s">
        <v>118</v>
      </c>
      <c r="BF269" s="290"/>
      <c r="BG269" s="290"/>
      <c r="BH269" s="290"/>
      <c r="BI269" s="290"/>
    </row>
    <row r="270" spans="1:61" ht="16.149999999999999" customHeight="1">
      <c r="A270" s="514"/>
      <c r="B270" s="450" t="s">
        <v>1074</v>
      </c>
      <c r="C270" s="3">
        <f>+$C$268+$G$269</f>
        <v>36741.850000000006</v>
      </c>
      <c r="D270" s="83"/>
      <c r="E270" s="4"/>
      <c r="F270" s="4">
        <v>1500</v>
      </c>
      <c r="G270" s="6"/>
      <c r="H270" s="449" t="s">
        <v>168</v>
      </c>
      <c r="I270" s="4">
        <f>SUM(G255:G271)</f>
        <v>483</v>
      </c>
      <c r="J270" s="3"/>
      <c r="K270" s="449"/>
      <c r="L270" s="449" t="s">
        <v>158</v>
      </c>
      <c r="M270" s="449" t="str">
        <f>IF(L270="","",
IF(AX270="PT",VLOOKUP(L270,Foundation_Calc!$V$79:$X$113,VLOOKUP(AX270,Foundation_Calc!$I$10:$J$13,2,FALSE),0),
IF(AX270="K",VLOOKUP(L270,Foundation_Calc!$V$117:$X$151,VLOOKUP(AX270,Foundation_Calc!$I$10:$J$13,2,FALSE),0),"")))</f>
        <v>C4RT</v>
      </c>
      <c r="N270" s="449" t="s">
        <v>134</v>
      </c>
      <c r="O270" s="449"/>
      <c r="P270" s="449"/>
      <c r="Q270" s="4"/>
      <c r="R270" s="6"/>
      <c r="S270" s="6"/>
      <c r="T270" s="4">
        <v>30</v>
      </c>
      <c r="U270" s="4"/>
      <c r="V270" s="4"/>
      <c r="W270" s="9">
        <v>1.4</v>
      </c>
      <c r="X270" s="9"/>
      <c r="Y270" s="9"/>
      <c r="Z270" s="9"/>
      <c r="AA270" s="9"/>
      <c r="AB270" s="9"/>
      <c r="AC270" s="449" t="str">
        <f t="shared" si="35"/>
        <v>PHQ</v>
      </c>
      <c r="AD270" s="449"/>
      <c r="AE270" s="449"/>
      <c r="AF270" s="4"/>
      <c r="AG270" s="83"/>
      <c r="AH270" s="4"/>
      <c r="AI270" s="4"/>
      <c r="AJ270" s="449"/>
      <c r="AK270" s="449"/>
      <c r="AL270" s="449"/>
      <c r="AM270" s="449" t="s">
        <v>126</v>
      </c>
      <c r="AN270" s="10">
        <v>5.5</v>
      </c>
      <c r="AO270" s="9"/>
      <c r="AP270" s="9"/>
      <c r="AQ270" s="9"/>
      <c r="AR270" s="9"/>
      <c r="AS270" s="9"/>
      <c r="AT270" s="9">
        <f>+ab($T$270,$T$268,$T$272,$G$269,$G$271, 1*$F$270,1200)</f>
        <v>5.7375244864003294</v>
      </c>
      <c r="AU270" s="428"/>
      <c r="AV270" s="428"/>
      <c r="AW270" s="449" t="str">
        <f>IF(C270&gt;0,VLOOKUP(C270,Foundation_Calc!$A$2:$C$13,3,1),
IF(J270&gt;0,VLOOKUP(J270,Foundation_Calc!$A$2:$C$13,3,1),""))</f>
        <v>Multi Soil</v>
      </c>
      <c r="AX270" s="449" t="str">
        <f>IF(C270&gt;0,VLOOKUP(C270,Foundation_Calc!$E$35:$G$65,3,1),
IF(J270&gt;0,VLOOKUP(J270,Foundation_Calc!$E$35:$G$65,3,1),""))</f>
        <v>K</v>
      </c>
      <c r="AY270" s="10">
        <f>IF(L270="","",
IF(AX270="PT",VLOOKUP(L270,Foundation_Calc!$K$79:$R$113,VLOOKUP(AW270,Foundation_Calc!$I$2:$J$8,2,FALSE),0),
IF(AX270="K",VLOOKUP(L270,Foundation_Calc!$K$117:$R$151,VLOOKUP(AW270,Foundation_Calc!$I$2:$J$8,2,FALSE),0),"")))</f>
        <v>4.2</v>
      </c>
      <c r="AZ270" s="10" t="str">
        <f>IF(K270="","",
IF(AX270="PT",VLOOKUP(K270,Foundation_Calc!$K$79:$R$113,VLOOKUP(AW270,Foundation_Calc!$I$2:$J$8,2,FALSE),0),
IF(AX270="K",VLOOKUP(K270,Foundation_Calc!$K$117:$R$151,VLOOKUP(AW270,Foundation_Calc!$I$2:$J$8,2,FALSE),0),"")))</f>
        <v/>
      </c>
      <c r="BA270" s="495" t="str">
        <f t="shared" si="32"/>
        <v>ü</v>
      </c>
      <c r="BB270" s="495" t="str">
        <f t="shared" si="33"/>
        <v/>
      </c>
      <c r="BC270" s="495" t="str">
        <f t="shared" si="34"/>
        <v/>
      </c>
      <c r="BD270" s="513" t="str">
        <f>IF(AND(L270="",H270=""),"",
IF(H270="",Pole_Calc!A$9,
IF(H270="MP",Pole_Calc!A$10,
IF(H270="AnMP",Pole_Calc!A$11,
IF(H270="A",Pole_Calc!A$12,
IF(H270="S/A",Pole_Calc!A$13,
IF(H270="A/S",Pole_Calc!A$14,"Poner a mano")))))))</f>
        <v>App.7-V11I-P9.5.1.3</v>
      </c>
      <c r="BE270" s="429" t="s">
        <v>118</v>
      </c>
      <c r="BF270" s="289"/>
      <c r="BG270" s="289"/>
      <c r="BH270" s="290"/>
      <c r="BI270" s="289"/>
    </row>
    <row r="271" spans="1:61" ht="16.149999999999999" customHeight="1">
      <c r="A271" s="545"/>
      <c r="B271" s="450"/>
      <c r="C271" s="3"/>
      <c r="D271" s="83"/>
      <c r="E271" s="4"/>
      <c r="F271" s="4"/>
      <c r="G271" s="6">
        <v>50</v>
      </c>
      <c r="H271" s="449"/>
      <c r="I271" s="4" t="s">
        <v>195</v>
      </c>
      <c r="J271" s="3">
        <f>C272-7.5</f>
        <v>36784.350000000006</v>
      </c>
      <c r="K271" s="449" t="s">
        <v>324</v>
      </c>
      <c r="L271" s="449"/>
      <c r="M271" s="449" t="str">
        <f>IF(L271="","",
IF(AX271="PT",VLOOKUP(L271,Foundation_Calc!$V$79:$X$113,VLOOKUP(AX271,Foundation_Calc!$I$10:$J$13,2,FALSE),0),
IF(AX271="K",VLOOKUP(L271,Foundation_Calc!$V$117:$X$151,VLOOKUP(AX271,Foundation_Calc!$I$10:$J$13,2,FALSE),0),"")))</f>
        <v/>
      </c>
      <c r="N271" s="449"/>
      <c r="O271" s="449"/>
      <c r="P271" s="449"/>
      <c r="Q271" s="4"/>
      <c r="R271" s="6"/>
      <c r="S271" s="6"/>
      <c r="T271" s="4"/>
      <c r="U271" s="4"/>
      <c r="V271" s="4"/>
      <c r="W271" s="9"/>
      <c r="X271" s="9"/>
      <c r="Y271" s="9"/>
      <c r="Z271" s="9"/>
      <c r="AA271" s="9"/>
      <c r="AB271" s="9"/>
      <c r="AC271" s="449" t="str">
        <f t="shared" si="35"/>
        <v/>
      </c>
      <c r="AD271" s="449"/>
      <c r="AE271" s="449"/>
      <c r="AF271" s="4"/>
      <c r="AG271" s="83"/>
      <c r="AH271" s="4"/>
      <c r="AI271" s="4"/>
      <c r="AJ271" s="449"/>
      <c r="AK271" s="449"/>
      <c r="AL271" s="449"/>
      <c r="AM271" s="449"/>
      <c r="AN271" s="10"/>
      <c r="AO271" s="9"/>
      <c r="AP271" s="9"/>
      <c r="AQ271" s="9">
        <f>+FL_1($T$272,$T$270,$G$271,1200,9.28, 1*$F$272)</f>
        <v>0.33331886373108921</v>
      </c>
      <c r="AR271" s="9"/>
      <c r="AS271" s="9"/>
      <c r="AT271" s="9"/>
      <c r="AU271" s="428"/>
      <c r="AV271" s="428"/>
      <c r="AW271" s="449" t="str">
        <f>IF(C271&gt;0,VLOOKUP(C271,Foundation_Calc!$A$2:$C$13,3,1),
IF(J271&gt;0,VLOOKUP(J271,Foundation_Calc!$A$2:$C$13,3,1),""))</f>
        <v>Multi Soil</v>
      </c>
      <c r="AX271" s="449" t="str">
        <f>IF(C271&gt;0,VLOOKUP(C271,Foundation_Calc!$E$35:$G$65,3,1),
IF(J271&gt;0,VLOOKUP(J271,Foundation_Calc!$E$35:$G$65,3,1),""))</f>
        <v>K</v>
      </c>
      <c r="AY271" s="10" t="str">
        <f>IF(L271="","",
IF(AX271="PT",VLOOKUP(L271,Foundation_Calc!$K$79:$R$113,VLOOKUP(AW271,Foundation_Calc!$I$2:$J$8,2,FALSE),0),
IF(AX271="K",VLOOKUP(L271,Foundation_Calc!$K$117:$R$151,VLOOKUP(AW271,Foundation_Calc!$I$2:$J$8,2,FALSE),0),"")))</f>
        <v/>
      </c>
      <c r="AZ271" s="10">
        <f>IF(K271="","",
IF(AX271="PT",VLOOKUP(K271,Foundation_Calc!$K$79:$R$113,VLOOKUP(AW271,Foundation_Calc!$I$2:$J$8,2,FALSE),0),
IF(AX271="K",VLOOKUP(K271,Foundation_Calc!$K$117:$R$151,VLOOKUP(AW271,Foundation_Calc!$I$2:$J$8,2,FALSE),0),"")))</f>
        <v>2.8</v>
      </c>
      <c r="BA271" s="495" t="str">
        <f t="shared" si="32"/>
        <v/>
      </c>
      <c r="BB271" s="495" t="str">
        <f t="shared" si="33"/>
        <v>ü</v>
      </c>
      <c r="BC271" s="495" t="str">
        <f t="shared" si="34"/>
        <v/>
      </c>
      <c r="BD271" s="513" t="str">
        <f>IF(AND(L271="",H271=""),"",
IF(H271="",Pole_Calc!A$9,
IF(H271="MP",Pole_Calc!A$10,
IF(H271="AnMP",Pole_Calc!A$11,
IF(H271="A",Pole_Calc!A$12,
IF(H271="S/A",Pole_Calc!A$13,
IF(H271="A/S",Pole_Calc!A$14,"Poner a mano")))))))</f>
        <v/>
      </c>
      <c r="BE271" s="429" t="s">
        <v>118</v>
      </c>
      <c r="BF271" s="290"/>
      <c r="BG271" s="290"/>
      <c r="BH271" s="290"/>
      <c r="BI271" s="290"/>
    </row>
    <row r="272" spans="1:61" ht="16.149999999999999" customHeight="1">
      <c r="A272" s="545"/>
      <c r="B272" s="450" t="s">
        <v>1075</v>
      </c>
      <c r="C272" s="3">
        <f>+$C$270+$G$271</f>
        <v>36791.850000000006</v>
      </c>
      <c r="D272" s="83"/>
      <c r="E272" s="4"/>
      <c r="F272" s="4">
        <v>1500</v>
      </c>
      <c r="G272" s="6"/>
      <c r="H272" s="449" t="s">
        <v>171</v>
      </c>
      <c r="I272" s="4"/>
      <c r="J272" s="3"/>
      <c r="K272" s="449"/>
      <c r="L272" s="449" t="s">
        <v>158</v>
      </c>
      <c r="M272" s="449" t="str">
        <f>IF(L272="","",
IF(AX272="PT",VLOOKUP(L272,Foundation_Calc!$V$79:$X$113,VLOOKUP(AX272,Foundation_Calc!$I$10:$J$13,2,FALSE),0),
IF(AX272="K",VLOOKUP(L272,Foundation_Calc!$V$117:$X$151,VLOOKUP(AX272,Foundation_Calc!$I$10:$J$13,2,FALSE),0),"")))</f>
        <v>C4RT</v>
      </c>
      <c r="N272" s="449" t="s">
        <v>134</v>
      </c>
      <c r="O272" s="449"/>
      <c r="P272" s="449"/>
      <c r="Q272" s="4"/>
      <c r="R272" s="6"/>
      <c r="S272" s="6"/>
      <c r="T272" s="4">
        <v>30</v>
      </c>
      <c r="U272" s="4"/>
      <c r="V272" s="4"/>
      <c r="W272" s="9">
        <v>1.4</v>
      </c>
      <c r="X272" s="9"/>
      <c r="Y272" s="9"/>
      <c r="Z272" s="9"/>
      <c r="AA272" s="9"/>
      <c r="AB272" s="9"/>
      <c r="AC272" s="449" t="str">
        <f t="shared" si="35"/>
        <v>PHQ</v>
      </c>
      <c r="AD272" s="449"/>
      <c r="AE272" s="449"/>
      <c r="AF272" s="4"/>
      <c r="AG272" s="83"/>
      <c r="AH272" s="4"/>
      <c r="AI272" s="4"/>
      <c r="AJ272" s="449"/>
      <c r="AK272" s="449"/>
      <c r="AL272" s="449"/>
      <c r="AM272" s="449" t="s">
        <v>126</v>
      </c>
      <c r="AN272" s="10">
        <v>5.5</v>
      </c>
      <c r="AO272" s="9"/>
      <c r="AP272" s="9"/>
      <c r="AQ272" s="9"/>
      <c r="AR272" s="9"/>
      <c r="AS272" s="9"/>
      <c r="AT272" s="9">
        <f>+ab($T$272,$T$270,$T$274,$G$271,$G$273, 1*$F$272,1200)</f>
        <v>5.7375244864003294</v>
      </c>
      <c r="AU272" s="428"/>
      <c r="AV272" s="428"/>
      <c r="AW272" s="449" t="str">
        <f>IF(C272&gt;0,VLOOKUP(C272,Foundation_Calc!$A$2:$C$13,3,1),
IF(J272&gt;0,VLOOKUP(J272,Foundation_Calc!$A$2:$C$13,3,1),""))</f>
        <v>Multi Soil</v>
      </c>
      <c r="AX272" s="449" t="str">
        <f>IF(C272&gt;0,VLOOKUP(C272,Foundation_Calc!$E$35:$G$65,3,1),
IF(J272&gt;0,VLOOKUP(J272,Foundation_Calc!$E$35:$G$65,3,1),""))</f>
        <v>K</v>
      </c>
      <c r="AY272" s="10">
        <f>IF(L272="","",
IF(AX272="PT",VLOOKUP(L272,Foundation_Calc!$K$79:$R$113,VLOOKUP(AW272,Foundation_Calc!$I$2:$J$8,2,FALSE),0),
IF(AX272="K",VLOOKUP(L272,Foundation_Calc!$K$117:$R$151,VLOOKUP(AW272,Foundation_Calc!$I$2:$J$8,2,FALSE),0),"")))</f>
        <v>4.2</v>
      </c>
      <c r="AZ272" s="10" t="str">
        <f>IF(K272="","",
IF(AX272="PT",VLOOKUP(K272,Foundation_Calc!$K$79:$R$113,VLOOKUP(AW272,Foundation_Calc!$I$2:$J$8,2,FALSE),0),
IF(AX272="K",VLOOKUP(K272,Foundation_Calc!$K$117:$R$151,VLOOKUP(AW272,Foundation_Calc!$I$2:$J$8,2,FALSE),0),"")))</f>
        <v/>
      </c>
      <c r="BA272" s="495" t="str">
        <f t="shared" si="32"/>
        <v>ü</v>
      </c>
      <c r="BB272" s="495" t="str">
        <f t="shared" si="33"/>
        <v/>
      </c>
      <c r="BC272" s="495" t="str">
        <f t="shared" si="34"/>
        <v/>
      </c>
      <c r="BD272" s="513" t="str">
        <f>IF(AND(L272="",H272=""),"",
IF(H272="",Pole_Calc!A$9,
IF(H272="MP",Pole_Calc!A$10,
IF(H272="AnMP",Pole_Calc!A$11,
IF(H272="A",Pole_Calc!A$12,
IF(H272="S/A",Pole_Calc!A$13,
IF(H272="A/S",Pole_Calc!A$14,"Poner a mano")))))))</f>
        <v>App.7-V11I-P9.5.1.2</v>
      </c>
      <c r="BE272" s="429" t="s">
        <v>118</v>
      </c>
      <c r="BF272" s="289"/>
      <c r="BG272" s="289"/>
      <c r="BH272" s="290"/>
      <c r="BI272" s="289"/>
    </row>
    <row r="273" spans="1:61" ht="16.149999999999999" customHeight="1">
      <c r="A273" s="545"/>
      <c r="B273" s="450"/>
      <c r="C273" s="3"/>
      <c r="D273" s="83"/>
      <c r="E273" s="4"/>
      <c r="F273" s="4"/>
      <c r="G273" s="6">
        <v>50</v>
      </c>
      <c r="H273" s="449"/>
      <c r="I273" s="4" t="s">
        <v>195</v>
      </c>
      <c r="J273" s="3">
        <f>C272+7.5</f>
        <v>36799.350000000006</v>
      </c>
      <c r="K273" s="449" t="s">
        <v>324</v>
      </c>
      <c r="L273" s="449"/>
      <c r="M273" s="449" t="str">
        <f>IF(L273="","",
IF(AX273="PT",VLOOKUP(L273,Foundation_Calc!$V$79:$X$113,VLOOKUP(AX273,Foundation_Calc!$I$10:$J$13,2,FALSE),0),
IF(AX273="K",VLOOKUP(L273,Foundation_Calc!$V$117:$X$151,VLOOKUP(AX273,Foundation_Calc!$I$10:$J$13,2,FALSE),0),"")))</f>
        <v/>
      </c>
      <c r="N273" s="449"/>
      <c r="O273" s="449"/>
      <c r="P273" s="449"/>
      <c r="Q273" s="4"/>
      <c r="R273" s="6"/>
      <c r="S273" s="6"/>
      <c r="T273" s="4"/>
      <c r="U273" s="4"/>
      <c r="V273" s="4"/>
      <c r="W273" s="9"/>
      <c r="X273" s="9"/>
      <c r="Y273" s="9"/>
      <c r="Z273" s="9"/>
      <c r="AA273" s="9"/>
      <c r="AB273" s="9"/>
      <c r="AC273" s="449" t="str">
        <f t="shared" si="35"/>
        <v/>
      </c>
      <c r="AD273" s="449"/>
      <c r="AE273" s="449"/>
      <c r="AF273" s="4"/>
      <c r="AG273" s="83"/>
      <c r="AH273" s="4"/>
      <c r="AI273" s="4"/>
      <c r="AJ273" s="449"/>
      <c r="AK273" s="449"/>
      <c r="AL273" s="449"/>
      <c r="AM273" s="449"/>
      <c r="AN273" s="10"/>
      <c r="AO273" s="9"/>
      <c r="AP273" s="9"/>
      <c r="AQ273" s="9">
        <f>+FL_1($T$274,$T$272,$G$273,1200,9.28, 1*$F$274)</f>
        <v>0.38259493901606823</v>
      </c>
      <c r="AR273" s="9"/>
      <c r="AS273" s="9"/>
      <c r="AT273" s="9"/>
      <c r="AU273" s="428"/>
      <c r="AV273" s="428"/>
      <c r="AW273" s="449" t="str">
        <f>IF(C273&gt;0,VLOOKUP(C273,Foundation_Calc!$A$2:$C$13,3,1),
IF(J273&gt;0,VLOOKUP(J273,Foundation_Calc!$A$2:$C$13,3,1),""))</f>
        <v>Multi Soil</v>
      </c>
      <c r="AX273" s="449" t="str">
        <f>IF(C273&gt;0,VLOOKUP(C273,Foundation_Calc!$E$35:$G$65,3,1),
IF(J273&gt;0,VLOOKUP(J273,Foundation_Calc!$E$35:$G$65,3,1),""))</f>
        <v>K</v>
      </c>
      <c r="AY273" s="10" t="str">
        <f>IF(L273="","",
IF(AX273="PT",VLOOKUP(L273,Foundation_Calc!$K$79:$R$113,VLOOKUP(AW273,Foundation_Calc!$I$2:$J$8,2,FALSE),0),
IF(AX273="K",VLOOKUP(L273,Foundation_Calc!$K$117:$R$151,VLOOKUP(AW273,Foundation_Calc!$I$2:$J$8,2,FALSE),0),"")))</f>
        <v/>
      </c>
      <c r="AZ273" s="10">
        <f>IF(K273="","",
IF(AX273="PT",VLOOKUP(K273,Foundation_Calc!$K$79:$R$113,VLOOKUP(AW273,Foundation_Calc!$I$2:$J$8,2,FALSE),0),
IF(AX273="K",VLOOKUP(K273,Foundation_Calc!$K$117:$R$151,VLOOKUP(AW273,Foundation_Calc!$I$2:$J$8,2,FALSE),0),"")))</f>
        <v>2.8</v>
      </c>
      <c r="BA273" s="495" t="str">
        <f t="shared" si="32"/>
        <v/>
      </c>
      <c r="BB273" s="495" t="str">
        <f t="shared" si="33"/>
        <v>ü</v>
      </c>
      <c r="BC273" s="495" t="str">
        <f t="shared" si="34"/>
        <v/>
      </c>
      <c r="BD273" s="513" t="str">
        <f>IF(AND(L273="",H273=""),"",
IF(H273="",Pole_Calc!A$9,
IF(H273="MP",Pole_Calc!A$10,
IF(H273="AnMP",Pole_Calc!A$11,
IF(H273="A",Pole_Calc!A$12,
IF(H273="S/A",Pole_Calc!A$13,
IF(H273="A/S",Pole_Calc!A$14,"Poner a mano")))))))</f>
        <v/>
      </c>
      <c r="BE273" s="429" t="s">
        <v>118</v>
      </c>
      <c r="BF273" s="290"/>
      <c r="BG273" s="290"/>
      <c r="BH273" s="290"/>
      <c r="BI273" s="290"/>
    </row>
    <row r="274" spans="1:61" ht="16.149999999999999" customHeight="1">
      <c r="A274" s="545"/>
      <c r="B274" s="450" t="s">
        <v>1076</v>
      </c>
      <c r="C274" s="3">
        <f>+$C$272+$G$273</f>
        <v>36841.850000000006</v>
      </c>
      <c r="D274" s="83"/>
      <c r="E274" s="4"/>
      <c r="F274" s="4">
        <v>1964.6021107772151</v>
      </c>
      <c r="G274" s="6"/>
      <c r="H274" s="449" t="s">
        <v>168</v>
      </c>
      <c r="I274" s="4">
        <f>SUM(G273:G291)</f>
        <v>518</v>
      </c>
      <c r="J274" s="3"/>
      <c r="K274" s="449"/>
      <c r="L274" s="449" t="s">
        <v>158</v>
      </c>
      <c r="M274" s="449" t="str">
        <f>IF(L274="","",
IF(AX274="PT",VLOOKUP(L274,Foundation_Calc!$V$79:$X$113,VLOOKUP(AX274,Foundation_Calc!$I$10:$J$13,2,FALSE),0),
IF(AX274="K",VLOOKUP(L274,Foundation_Calc!$V$117:$X$151,VLOOKUP(AX274,Foundation_Calc!$I$10:$J$13,2,FALSE),0),"")))</f>
        <v>C4RT</v>
      </c>
      <c r="N274" s="449" t="s">
        <v>134</v>
      </c>
      <c r="O274" s="449"/>
      <c r="P274" s="449"/>
      <c r="Q274" s="4"/>
      <c r="R274" s="6"/>
      <c r="S274" s="6"/>
      <c r="T274" s="4">
        <v>30</v>
      </c>
      <c r="U274" s="4"/>
      <c r="V274" s="4"/>
      <c r="W274" s="9">
        <v>1.4</v>
      </c>
      <c r="X274" s="9"/>
      <c r="Y274" s="9"/>
      <c r="Z274" s="9"/>
      <c r="AA274" s="9"/>
      <c r="AB274" s="9"/>
      <c r="AC274" s="449" t="str">
        <f t="shared" si="35"/>
        <v>PHQ</v>
      </c>
      <c r="AD274" s="449"/>
      <c r="AE274" s="449"/>
      <c r="AF274" s="4"/>
      <c r="AG274" s="83"/>
      <c r="AH274" s="4"/>
      <c r="AI274" s="4"/>
      <c r="AJ274" s="449"/>
      <c r="AK274" s="449"/>
      <c r="AL274" s="449"/>
      <c r="AM274" s="449" t="s">
        <v>126</v>
      </c>
      <c r="AN274" s="10">
        <v>5.5</v>
      </c>
      <c r="AO274" s="9"/>
      <c r="AP274" s="9"/>
      <c r="AQ274" s="9"/>
      <c r="AR274" s="9"/>
      <c r="AS274" s="9"/>
      <c r="AT274" s="9">
        <f>+ab($T$274,$T$272,$T$276,$G$273,$G$275, 1*$F$274,1200)</f>
        <v>6.9561316653487051</v>
      </c>
      <c r="AU274" s="428"/>
      <c r="AV274" s="428"/>
      <c r="AW274" s="449" t="str">
        <f>IF(C274&gt;0,VLOOKUP(C274,Foundation_Calc!$A$2:$C$13,3,1),
IF(J274&gt;0,VLOOKUP(J274,Foundation_Calc!$A$2:$C$13,3,1),""))</f>
        <v>Multi Soil</v>
      </c>
      <c r="AX274" s="449" t="str">
        <f>IF(C274&gt;0,VLOOKUP(C274,Foundation_Calc!$E$35:$G$65,3,1),
IF(J274&gt;0,VLOOKUP(J274,Foundation_Calc!$E$35:$G$65,3,1),""))</f>
        <v>K</v>
      </c>
      <c r="AY274" s="10">
        <f>IF(L274="","",
IF(AX274="PT",VLOOKUP(L274,Foundation_Calc!$K$79:$R$113,VLOOKUP(AW274,Foundation_Calc!$I$2:$J$8,2,FALSE),0),
IF(AX274="K",VLOOKUP(L274,Foundation_Calc!$K$117:$R$151,VLOOKUP(AW274,Foundation_Calc!$I$2:$J$8,2,FALSE),0),"")))</f>
        <v>4.2</v>
      </c>
      <c r="AZ274" s="10" t="str">
        <f>IF(K274="","",
IF(AX274="PT",VLOOKUP(K274,Foundation_Calc!$K$79:$R$113,VLOOKUP(AW274,Foundation_Calc!$I$2:$J$8,2,FALSE),0),
IF(AX274="K",VLOOKUP(K274,Foundation_Calc!$K$117:$R$151,VLOOKUP(AW274,Foundation_Calc!$I$2:$J$8,2,FALSE),0),"")))</f>
        <v/>
      </c>
      <c r="BA274" s="495" t="str">
        <f t="shared" si="32"/>
        <v>ü</v>
      </c>
      <c r="BB274" s="495" t="str">
        <f t="shared" si="33"/>
        <v/>
      </c>
      <c r="BC274" s="495" t="str">
        <f t="shared" si="34"/>
        <v/>
      </c>
      <c r="BD274" s="513" t="str">
        <f>IF(AND(L274="",H274=""),"",
IF(H274="",Pole_Calc!A$9,
IF(H274="MP",Pole_Calc!A$10,
IF(H274="AnMP",Pole_Calc!A$11,
IF(H274="A",Pole_Calc!A$12,
IF(H274="S/A",Pole_Calc!A$13,
IF(H274="A/S",Pole_Calc!A$14,"Poner a mano")))))))</f>
        <v>App.7-V11I-P9.5.1.3</v>
      </c>
      <c r="BE274" s="429" t="s">
        <v>118</v>
      </c>
      <c r="BF274" s="289"/>
      <c r="BG274" s="289"/>
      <c r="BH274" s="290"/>
      <c r="BI274" s="289"/>
    </row>
    <row r="275" spans="1:61" ht="16.149999999999999" customHeight="1">
      <c r="A275" s="545"/>
      <c r="B275" s="450"/>
      <c r="C275" s="3"/>
      <c r="D275" s="83"/>
      <c r="E275" s="4"/>
      <c r="F275" s="4"/>
      <c r="G275" s="6">
        <v>50</v>
      </c>
      <c r="H275" s="449"/>
      <c r="I275" s="4"/>
      <c r="J275" s="3">
        <f>C274+7.5</f>
        <v>36849.350000000006</v>
      </c>
      <c r="K275" s="449" t="s">
        <v>324</v>
      </c>
      <c r="L275" s="449"/>
      <c r="M275" s="449" t="str">
        <f>IF(L275="","",
IF(AX275="PT",VLOOKUP(L275,Foundation_Calc!$V$79:$X$113,VLOOKUP(AX275,Foundation_Calc!$I$10:$J$13,2,FALSE),0),
IF(AX275="K",VLOOKUP(L275,Foundation_Calc!$V$117:$X$151,VLOOKUP(AX275,Foundation_Calc!$I$10:$J$13,2,FALSE),0),"")))</f>
        <v/>
      </c>
      <c r="N275" s="449"/>
      <c r="O275" s="449"/>
      <c r="P275" s="449"/>
      <c r="Q275" s="4"/>
      <c r="R275" s="6"/>
      <c r="S275" s="6"/>
      <c r="T275" s="4"/>
      <c r="U275" s="4"/>
      <c r="V275" s="4"/>
      <c r="W275" s="9"/>
      <c r="X275" s="9"/>
      <c r="Y275" s="9"/>
      <c r="Z275" s="9"/>
      <c r="AA275" s="9"/>
      <c r="AB275" s="9"/>
      <c r="AC275" s="449" t="str">
        <f t="shared" si="35"/>
        <v/>
      </c>
      <c r="AD275" s="449"/>
      <c r="AE275" s="449"/>
      <c r="AF275" s="4"/>
      <c r="AG275" s="83"/>
      <c r="AH275" s="4"/>
      <c r="AI275" s="4"/>
      <c r="AJ275" s="449"/>
      <c r="AK275" s="449"/>
      <c r="AL275" s="449"/>
      <c r="AM275" s="449"/>
      <c r="AN275" s="10"/>
      <c r="AO275" s="9"/>
      <c r="AP275" s="9"/>
      <c r="AQ275" s="9">
        <f>+FL_1($T$276,$T$274,$G$275,1200,9.28, 1*$F$276)</f>
        <v>0.39821267340150346</v>
      </c>
      <c r="AR275" s="9"/>
      <c r="AS275" s="9"/>
      <c r="AT275" s="9"/>
      <c r="AU275" s="428"/>
      <c r="AV275" s="428"/>
      <c r="AW275" s="449" t="str">
        <f>IF(C275&gt;0,VLOOKUP(C275,Foundation_Calc!$A$2:$C$13,3,1),
IF(J275&gt;0,VLOOKUP(J275,Foundation_Calc!$A$2:$C$13,3,1),""))</f>
        <v>Multi Soil</v>
      </c>
      <c r="AX275" s="449" t="str">
        <f>IF(C275&gt;0,VLOOKUP(C275,Foundation_Calc!$E$35:$G$65,3,1),
IF(J275&gt;0,VLOOKUP(J275,Foundation_Calc!$E$35:$G$65,3,1),""))</f>
        <v>K</v>
      </c>
      <c r="AY275" s="10" t="str">
        <f>IF(L275="","",
IF(AX275="PT",VLOOKUP(L275,Foundation_Calc!$K$79:$R$113,VLOOKUP(AW275,Foundation_Calc!$I$2:$J$8,2,FALSE),0),
IF(AX275="K",VLOOKUP(L275,Foundation_Calc!$K$117:$R$151,VLOOKUP(AW275,Foundation_Calc!$I$2:$J$8,2,FALSE),0),"")))</f>
        <v/>
      </c>
      <c r="AZ275" s="10">
        <f>IF(K275="","",
IF(AX275="PT",VLOOKUP(K275,Foundation_Calc!$K$79:$R$113,VLOOKUP(AW275,Foundation_Calc!$I$2:$J$8,2,FALSE),0),
IF(AX275="K",VLOOKUP(K275,Foundation_Calc!$K$117:$R$151,VLOOKUP(AW275,Foundation_Calc!$I$2:$J$8,2,FALSE),0),"")))</f>
        <v>2.8</v>
      </c>
      <c r="BA275" s="495" t="str">
        <f t="shared" si="32"/>
        <v/>
      </c>
      <c r="BB275" s="495" t="str">
        <f t="shared" si="33"/>
        <v>ü</v>
      </c>
      <c r="BC275" s="495" t="str">
        <f t="shared" si="34"/>
        <v/>
      </c>
      <c r="BD275" s="513" t="str">
        <f>IF(AND(L275="",H275=""),"",
IF(H275="",Pole_Calc!A$9,
IF(H275="MP",Pole_Calc!A$10,
IF(H275="AnMP",Pole_Calc!A$11,
IF(H275="A",Pole_Calc!A$12,
IF(H275="S/A",Pole_Calc!A$13,
IF(H275="A/S",Pole_Calc!A$14,"Poner a mano")))))))</f>
        <v/>
      </c>
      <c r="BE275" s="429" t="s">
        <v>118</v>
      </c>
      <c r="BF275" s="290"/>
      <c r="BG275" s="290"/>
      <c r="BH275" s="290"/>
      <c r="BI275" s="290"/>
    </row>
    <row r="276" spans="1:61" ht="16.149999999999999" customHeight="1">
      <c r="A276" s="545"/>
      <c r="B276" s="450" t="s">
        <v>1077</v>
      </c>
      <c r="C276" s="3">
        <f>+$C$274+$G$275</f>
        <v>36891.850000000006</v>
      </c>
      <c r="D276" s="83"/>
      <c r="E276" s="4"/>
      <c r="F276" s="4">
        <v>3195.4015787493322</v>
      </c>
      <c r="G276" s="6"/>
      <c r="H276" s="449"/>
      <c r="I276" s="4"/>
      <c r="J276" s="3"/>
      <c r="K276" s="449"/>
      <c r="L276" s="449" t="s">
        <v>153</v>
      </c>
      <c r="M276" s="449" t="str">
        <f>IF(L276="","",
IF(AX276="PT",VLOOKUP(L276,Foundation_Calc!$V$79:$X$113,VLOOKUP(AX276,Foundation_Calc!$I$10:$J$13,2,FALSE),0),
IF(AX276="K",VLOOKUP(L276,Foundation_Calc!$V$117:$X$151,VLOOKUP(AX276,Foundation_Calc!$I$10:$J$13,2,FALSE),0),"")))</f>
        <v>C3RT</v>
      </c>
      <c r="N276" s="449" t="s">
        <v>134</v>
      </c>
      <c r="O276" s="449"/>
      <c r="P276" s="449"/>
      <c r="Q276" s="4"/>
      <c r="R276" s="6"/>
      <c r="S276" s="6"/>
      <c r="T276" s="4">
        <v>20</v>
      </c>
      <c r="U276" s="4"/>
      <c r="V276" s="4"/>
      <c r="W276" s="9">
        <v>1.4</v>
      </c>
      <c r="X276" s="9"/>
      <c r="Y276" s="9"/>
      <c r="Z276" s="9"/>
      <c r="AA276" s="9"/>
      <c r="AB276" s="9"/>
      <c r="AC276" s="449" t="str">
        <f t="shared" si="35"/>
        <v>PH</v>
      </c>
      <c r="AD276" s="449"/>
      <c r="AE276" s="449"/>
      <c r="AF276" s="4"/>
      <c r="AG276" s="83"/>
      <c r="AH276" s="4"/>
      <c r="AI276" s="4"/>
      <c r="AJ276" s="449"/>
      <c r="AK276" s="449"/>
      <c r="AL276" s="449"/>
      <c r="AM276" s="449" t="s">
        <v>126</v>
      </c>
      <c r="AN276" s="10">
        <v>5.5</v>
      </c>
      <c r="AO276" s="9"/>
      <c r="AP276" s="9"/>
      <c r="AQ276" s="9"/>
      <c r="AR276" s="9"/>
      <c r="AS276" s="9"/>
      <c r="AT276" s="9">
        <f>+ab($T$276,$T$274,$T$278,$G$275,$G$277, 1*$F$276,1200)</f>
        <v>8.4120548613422965</v>
      </c>
      <c r="AU276" s="428"/>
      <c r="AV276" s="428"/>
      <c r="AW276" s="449" t="str">
        <f>IF(C276&gt;0,VLOOKUP(C276,Foundation_Calc!$A$2:$C$13,3,1),
IF(J276&gt;0,VLOOKUP(J276,Foundation_Calc!$A$2:$C$13,3,1),""))</f>
        <v>Multi Soil</v>
      </c>
      <c r="AX276" s="449" t="str">
        <f>IF(C276&gt;0,VLOOKUP(C276,Foundation_Calc!$E$35:$G$65,3,1),
IF(J276&gt;0,VLOOKUP(J276,Foundation_Calc!$E$35:$G$65,3,1),""))</f>
        <v>K</v>
      </c>
      <c r="AY276" s="10">
        <f>IF(L276="","",
IF(AX276="PT",VLOOKUP(L276,Foundation_Calc!$K$79:$R$113,VLOOKUP(AW276,Foundation_Calc!$I$2:$J$8,2,FALSE),0),
IF(AX276="K",VLOOKUP(L276,Foundation_Calc!$K$117:$R$151,VLOOKUP(AW276,Foundation_Calc!$I$2:$J$8,2,FALSE),0),"")))</f>
        <v>4</v>
      </c>
      <c r="AZ276" s="10" t="str">
        <f>IF(K276="","",
IF(AX276="PT",VLOOKUP(K276,Foundation_Calc!$K$79:$R$113,VLOOKUP(AW276,Foundation_Calc!$I$2:$J$8,2,FALSE),0),
IF(AX276="K",VLOOKUP(K276,Foundation_Calc!$K$117:$R$151,VLOOKUP(AW276,Foundation_Calc!$I$2:$J$8,2,FALSE),0),"")))</f>
        <v/>
      </c>
      <c r="BA276" s="495" t="str">
        <f t="shared" si="32"/>
        <v>ü</v>
      </c>
      <c r="BB276" s="495" t="str">
        <f t="shared" si="33"/>
        <v/>
      </c>
      <c r="BC276" s="495" t="str">
        <f t="shared" si="34"/>
        <v/>
      </c>
      <c r="BD276" s="513" t="str">
        <f>IF(AND(L276="",H276=""),"",
IF(H276="",Pole_Calc!A$9,
IF(H276="MP",Pole_Calc!A$10,
IF(H276="AnMP",Pole_Calc!A$11,
IF(H276="A",Pole_Calc!A$12,
IF(H276="S/A",Pole_Calc!A$13,
IF(H276="A/S",Pole_Calc!A$14,"Poner a mano")))))))</f>
        <v>App.7-V11I-P9.5.1.1</v>
      </c>
      <c r="BE276" s="429" t="s">
        <v>118</v>
      </c>
      <c r="BF276" s="289"/>
      <c r="BG276" s="289"/>
      <c r="BH276" s="290"/>
      <c r="BI276" s="289"/>
    </row>
    <row r="277" spans="1:61" ht="16.149999999999999" customHeight="1">
      <c r="A277" s="545"/>
      <c r="B277" s="450"/>
      <c r="C277" s="3"/>
      <c r="D277" s="83"/>
      <c r="E277" s="4"/>
      <c r="F277" s="4"/>
      <c r="G277" s="6">
        <v>50</v>
      </c>
      <c r="H277" s="449"/>
      <c r="I277" s="4"/>
      <c r="J277" s="3"/>
      <c r="K277" s="449"/>
      <c r="L277" s="449"/>
      <c r="M277" s="449" t="str">
        <f>IF(L277="","",
IF(AX277="PT",VLOOKUP(L277,Foundation_Calc!$V$79:$X$113,VLOOKUP(AX277,Foundation_Calc!$I$10:$J$13,2,FALSE),0),
IF(AX277="K",VLOOKUP(L277,Foundation_Calc!$V$117:$X$151,VLOOKUP(AX277,Foundation_Calc!$I$10:$J$13,2,FALSE),0),"")))</f>
        <v/>
      </c>
      <c r="N277" s="449"/>
      <c r="O277" s="449"/>
      <c r="P277" s="449"/>
      <c r="Q277" s="4"/>
      <c r="R277" s="6"/>
      <c r="S277" s="6"/>
      <c r="T277" s="4"/>
      <c r="U277" s="4"/>
      <c r="V277" s="4"/>
      <c r="W277" s="9"/>
      <c r="X277" s="9"/>
      <c r="Y277" s="9"/>
      <c r="Z277" s="9"/>
      <c r="AA277" s="9"/>
      <c r="AB277" s="9"/>
      <c r="AC277" s="449" t="str">
        <f t="shared" si="35"/>
        <v/>
      </c>
      <c r="AD277" s="449"/>
      <c r="AE277" s="449"/>
      <c r="AF277" s="4"/>
      <c r="AG277" s="83"/>
      <c r="AH277" s="4"/>
      <c r="AI277" s="4"/>
      <c r="AJ277" s="449"/>
      <c r="AK277" s="449"/>
      <c r="AL277" s="449"/>
      <c r="AM277" s="449"/>
      <c r="AN277" s="10"/>
      <c r="AO277" s="9"/>
      <c r="AP277" s="9"/>
      <c r="AQ277" s="9">
        <f>+FL_2($T$278,$T$276,$G$277,1200,9.28, 1*$F$278)</f>
        <v>-0.3486891789857533</v>
      </c>
      <c r="AR277" s="9"/>
      <c r="AS277" s="9"/>
      <c r="AT277" s="9"/>
      <c r="AU277" s="428"/>
      <c r="AV277" s="428"/>
      <c r="AW277" s="449" t="str">
        <f>IF(C277&gt;0,VLOOKUP(C277,Foundation_Calc!$A$2:$C$13,3,1),
IF(J277&gt;0,VLOOKUP(J277,Foundation_Calc!$A$2:$C$13,3,1),""))</f>
        <v/>
      </c>
      <c r="AX277" s="449" t="str">
        <f>IF(C277&gt;0,VLOOKUP(C277,Foundation_Calc!$E$35:$G$65,3,1),
IF(J277&gt;0,VLOOKUP(J277,Foundation_Calc!$E$35:$G$65,3,1),""))</f>
        <v/>
      </c>
      <c r="AY277" s="10" t="str">
        <f>IF(L277="","",
IF(AX277="PT",VLOOKUP(L277,Foundation_Calc!$K$79:$R$113,VLOOKUP(AW277,Foundation_Calc!$I$2:$J$8,2,FALSE),0),
IF(AX277="K",VLOOKUP(L277,Foundation_Calc!$K$117:$R$151,VLOOKUP(AW277,Foundation_Calc!$I$2:$J$8,2,FALSE),0),"")))</f>
        <v/>
      </c>
      <c r="AZ277" s="10" t="str">
        <f>IF(K277="","",
IF(AX277="PT",VLOOKUP(K277,Foundation_Calc!$K$79:$R$113,VLOOKUP(AW277,Foundation_Calc!$I$2:$J$8,2,FALSE),0),
IF(AX277="K",VLOOKUP(K277,Foundation_Calc!$K$117:$R$151,VLOOKUP(AW277,Foundation_Calc!$I$2:$J$8,2,FALSE),0),"")))</f>
        <v/>
      </c>
      <c r="BA277" s="495" t="str">
        <f t="shared" si="32"/>
        <v/>
      </c>
      <c r="BB277" s="495" t="str">
        <f t="shared" si="33"/>
        <v/>
      </c>
      <c r="BC277" s="495" t="str">
        <f t="shared" si="34"/>
        <v/>
      </c>
      <c r="BD277" s="513" t="str">
        <f>IF(AND(L277="",H277=""),"",
IF(H277="",Pole_Calc!A$9,
IF(H277="MP",Pole_Calc!A$10,
IF(H277="AnMP",Pole_Calc!A$11,
IF(H277="A",Pole_Calc!A$12,
IF(H277="S/A",Pole_Calc!A$13,
IF(H277="A/S",Pole_Calc!A$14,"Poner a mano")))))))</f>
        <v/>
      </c>
      <c r="BE277" s="429" t="s">
        <v>118</v>
      </c>
      <c r="BF277" s="290"/>
      <c r="BG277" s="290"/>
      <c r="BH277" s="290"/>
      <c r="BI277" s="290"/>
    </row>
    <row r="278" spans="1:61" ht="16.149999999999999" customHeight="1">
      <c r="A278" s="545"/>
      <c r="B278" s="450" t="s">
        <v>1078</v>
      </c>
      <c r="C278" s="3">
        <f>+$C$276+$G$277</f>
        <v>36941.850000000006</v>
      </c>
      <c r="D278" s="83"/>
      <c r="E278" s="4"/>
      <c r="F278" s="4">
        <v>8555.0150956040816</v>
      </c>
      <c r="G278" s="6"/>
      <c r="H278" s="449"/>
      <c r="I278" s="4"/>
      <c r="J278" s="3"/>
      <c r="K278" s="449"/>
      <c r="L278" s="449" t="s">
        <v>153</v>
      </c>
      <c r="M278" s="449" t="str">
        <f>IF(L278="","",
IF(AX278="PT",VLOOKUP(L278,Foundation_Calc!$V$79:$X$113,VLOOKUP(AX278,Foundation_Calc!$I$10:$J$13,2,FALSE),0),
IF(AX278="K",VLOOKUP(L278,Foundation_Calc!$V$117:$X$151,VLOOKUP(AX278,Foundation_Calc!$I$10:$J$13,2,FALSE),0),"")))</f>
        <v>C3RT</v>
      </c>
      <c r="N278" s="449" t="s">
        <v>124</v>
      </c>
      <c r="O278" s="449"/>
      <c r="P278" s="449"/>
      <c r="Q278" s="4"/>
      <c r="R278" s="6"/>
      <c r="S278" s="6"/>
      <c r="T278" s="4">
        <v>-25</v>
      </c>
      <c r="U278" s="4"/>
      <c r="V278" s="4"/>
      <c r="W278" s="9">
        <v>1.4</v>
      </c>
      <c r="X278" s="9"/>
      <c r="Y278" s="9"/>
      <c r="Z278" s="9"/>
      <c r="AA278" s="9"/>
      <c r="AB278" s="9"/>
      <c r="AC278" s="449" t="str">
        <f t="shared" si="35"/>
        <v>PH</v>
      </c>
      <c r="AD278" s="449"/>
      <c r="AE278" s="449"/>
      <c r="AF278" s="4"/>
      <c r="AG278" s="83"/>
      <c r="AH278" s="4"/>
      <c r="AI278" s="4"/>
      <c r="AJ278" s="449"/>
      <c r="AK278" s="449"/>
      <c r="AL278" s="449"/>
      <c r="AM278" s="449" t="s">
        <v>126</v>
      </c>
      <c r="AN278" s="10">
        <v>5.5</v>
      </c>
      <c r="AO278" s="9"/>
      <c r="AP278" s="9"/>
      <c r="AQ278" s="9"/>
      <c r="AR278" s="9"/>
      <c r="AS278" s="9"/>
      <c r="AT278" s="9">
        <f>+ab($T$278,$T$276,$T$280,$G$277,$G$279, 1*$F$278,1200)</f>
        <v>-12.461331849337782</v>
      </c>
      <c r="AU278" s="428"/>
      <c r="AV278" s="428"/>
      <c r="AW278" s="449" t="str">
        <f>IF(C278&gt;0,VLOOKUP(C278,Foundation_Calc!$A$2:$C$13,3,1),
IF(J278&gt;0,VLOOKUP(J278,Foundation_Calc!$A$2:$C$13,3,1),""))</f>
        <v>Multi Soil</v>
      </c>
      <c r="AX278" s="449" t="str">
        <f>IF(C278&gt;0,VLOOKUP(C278,Foundation_Calc!$E$35:$G$65,3,1),
IF(J278&gt;0,VLOOKUP(J278,Foundation_Calc!$E$35:$G$65,3,1),""))</f>
        <v>K</v>
      </c>
      <c r="AY278" s="10">
        <f>IF(L278="","",
IF(AX278="PT",VLOOKUP(L278,Foundation_Calc!$K$79:$R$113,VLOOKUP(AW278,Foundation_Calc!$I$2:$J$8,2,FALSE),0),
IF(AX278="K",VLOOKUP(L278,Foundation_Calc!$K$117:$R$151,VLOOKUP(AW278,Foundation_Calc!$I$2:$J$8,2,FALSE),0),"")))</f>
        <v>4</v>
      </c>
      <c r="AZ278" s="10" t="str">
        <f>IF(K278="","",
IF(AX278="PT",VLOOKUP(K278,Foundation_Calc!$K$79:$R$113,VLOOKUP(AW278,Foundation_Calc!$I$2:$J$8,2,FALSE),0),
IF(AX278="K",VLOOKUP(K278,Foundation_Calc!$K$117:$R$151,VLOOKUP(AW278,Foundation_Calc!$I$2:$J$8,2,FALSE),0),"")))</f>
        <v/>
      </c>
      <c r="BA278" s="495" t="str">
        <f t="shared" si="32"/>
        <v>ü</v>
      </c>
      <c r="BB278" s="495" t="str">
        <f t="shared" si="33"/>
        <v/>
      </c>
      <c r="BC278" s="495" t="str">
        <f t="shared" si="34"/>
        <v/>
      </c>
      <c r="BD278" s="513" t="str">
        <f>IF(AND(L278="",H278=""),"",
IF(H278="",Pole_Calc!A$9,
IF(H278="MP",Pole_Calc!A$10,
IF(H278="AnMP",Pole_Calc!A$11,
IF(H278="A",Pole_Calc!A$12,
IF(H278="S/A",Pole_Calc!A$13,
IF(H278="A/S",Pole_Calc!A$14,"Poner a mano")))))))</f>
        <v>App.7-V11I-P9.5.1.1</v>
      </c>
      <c r="BE278" s="429" t="s">
        <v>118</v>
      </c>
      <c r="BF278" s="289"/>
      <c r="BG278" s="289"/>
      <c r="BH278" s="290"/>
      <c r="BI278" s="289"/>
    </row>
    <row r="279" spans="1:61" ht="16.149999999999999" customHeight="1">
      <c r="A279" s="545"/>
      <c r="B279" s="450"/>
      <c r="C279" s="3"/>
      <c r="D279" s="83"/>
      <c r="E279" s="4"/>
      <c r="F279" s="4"/>
      <c r="G279" s="6">
        <v>50</v>
      </c>
      <c r="H279" s="449"/>
      <c r="I279" s="4"/>
      <c r="J279" s="3"/>
      <c r="K279" s="449"/>
      <c r="L279" s="449"/>
      <c r="M279" s="449" t="str">
        <f>IF(L279="","",
IF(AX279="PT",VLOOKUP(L279,Foundation_Calc!$V$79:$X$113,VLOOKUP(AX279,Foundation_Calc!$I$10:$J$13,2,FALSE),0),
IF(AX279="K",VLOOKUP(L279,Foundation_Calc!$V$117:$X$151,VLOOKUP(AX279,Foundation_Calc!$I$10:$J$13,2,FALSE),0),"")))</f>
        <v/>
      </c>
      <c r="N279" s="449"/>
      <c r="O279" s="449"/>
      <c r="P279" s="449"/>
      <c r="Q279" s="4"/>
      <c r="R279" s="6"/>
      <c r="S279" s="6"/>
      <c r="T279" s="4"/>
      <c r="U279" s="4"/>
      <c r="V279" s="4"/>
      <c r="W279" s="9"/>
      <c r="X279" s="9"/>
      <c r="Y279" s="9"/>
      <c r="Z279" s="9"/>
      <c r="AA279" s="9"/>
      <c r="AB279" s="9"/>
      <c r="AC279" s="449" t="str">
        <f t="shared" si="35"/>
        <v/>
      </c>
      <c r="AD279" s="449"/>
      <c r="AE279" s="449"/>
      <c r="AF279" s="4"/>
      <c r="AG279" s="83"/>
      <c r="AH279" s="4"/>
      <c r="AI279" s="4"/>
      <c r="AJ279" s="449"/>
      <c r="AK279" s="449"/>
      <c r="AL279" s="449"/>
      <c r="AM279" s="449"/>
      <c r="AN279" s="10"/>
      <c r="AO279" s="9"/>
      <c r="AP279" s="9"/>
      <c r="AQ279" s="9">
        <f>+FL_1($T$280,$T$278,$G$279,1200,9.28, 1*$F$280)</f>
        <v>0.384770112</v>
      </c>
      <c r="AR279" s="9"/>
      <c r="AS279" s="9"/>
      <c r="AT279" s="9"/>
      <c r="AU279" s="428"/>
      <c r="AV279" s="428"/>
      <c r="AW279" s="449" t="str">
        <f>IF(C279&gt;0,VLOOKUP(C279,Foundation_Calc!$A$2:$C$13,3,1),
IF(J279&gt;0,VLOOKUP(J279,Foundation_Calc!$A$2:$C$13,3,1),""))</f>
        <v/>
      </c>
      <c r="AX279" s="449" t="str">
        <f>IF(C279&gt;0,VLOOKUP(C279,Foundation_Calc!$E$35:$G$65,3,1),
IF(J279&gt;0,VLOOKUP(J279,Foundation_Calc!$E$35:$G$65,3,1),""))</f>
        <v/>
      </c>
      <c r="AY279" s="10" t="str">
        <f>IF(L279="","",
IF(AX279="PT",VLOOKUP(L279,Foundation_Calc!$K$79:$R$113,VLOOKUP(AW279,Foundation_Calc!$I$2:$J$8,2,FALSE),0),
IF(AX279="K",VLOOKUP(L279,Foundation_Calc!$K$117:$R$151,VLOOKUP(AW279,Foundation_Calc!$I$2:$J$8,2,FALSE),0),"")))</f>
        <v/>
      </c>
      <c r="AZ279" s="10" t="str">
        <f>IF(K279="","",
IF(AX279="PT",VLOOKUP(K279,Foundation_Calc!$K$79:$R$113,VLOOKUP(AW279,Foundation_Calc!$I$2:$J$8,2,FALSE),0),
IF(AX279="K",VLOOKUP(K279,Foundation_Calc!$K$117:$R$151,VLOOKUP(AW279,Foundation_Calc!$I$2:$J$8,2,FALSE),0),"")))</f>
        <v/>
      </c>
      <c r="BA279" s="495" t="str">
        <f t="shared" si="32"/>
        <v/>
      </c>
      <c r="BB279" s="495" t="str">
        <f t="shared" si="33"/>
        <v/>
      </c>
      <c r="BC279" s="495" t="str">
        <f t="shared" si="34"/>
        <v/>
      </c>
      <c r="BD279" s="513" t="str">
        <f>IF(AND(L279="",H279=""),"",
IF(H279="",Pole_Calc!A$9,
IF(H279="MP",Pole_Calc!A$10,
IF(H279="AnMP",Pole_Calc!A$11,
IF(H279="A",Pole_Calc!A$12,
IF(H279="S/A",Pole_Calc!A$13,
IF(H279="A/S",Pole_Calc!A$14,"Poner a mano")))))))</f>
        <v/>
      </c>
      <c r="BE279" s="429" t="s">
        <v>118</v>
      </c>
      <c r="BF279" s="290"/>
      <c r="BG279" s="290"/>
      <c r="BH279" s="290"/>
      <c r="BI279" s="290"/>
    </row>
    <row r="280" spans="1:61" ht="16.149999999999999" customHeight="1">
      <c r="A280" s="545"/>
      <c r="B280" s="450" t="s">
        <v>1079</v>
      </c>
      <c r="C280" s="3">
        <f>+$C$278+$G$279</f>
        <v>36991.850000000006</v>
      </c>
      <c r="D280" s="83"/>
      <c r="E280" s="4"/>
      <c r="F280" s="4">
        <v>0</v>
      </c>
      <c r="G280" s="6"/>
      <c r="H280" s="449"/>
      <c r="I280" s="4"/>
      <c r="J280" s="3"/>
      <c r="K280" s="449"/>
      <c r="L280" s="449" t="s">
        <v>153</v>
      </c>
      <c r="M280" s="449" t="str">
        <f>IF(L280="","",
IF(AX280="PT",VLOOKUP(L280,Foundation_Calc!$V$79:$X$113,VLOOKUP(AX280,Foundation_Calc!$I$10:$J$13,2,FALSE),0),
IF(AX280="K",VLOOKUP(L280,Foundation_Calc!$V$117:$X$151,VLOOKUP(AX280,Foundation_Calc!$I$10:$J$13,2,FALSE),0),"")))</f>
        <v>C3RT</v>
      </c>
      <c r="N280" s="449" t="s">
        <v>134</v>
      </c>
      <c r="O280" s="449"/>
      <c r="P280" s="449"/>
      <c r="Q280" s="4"/>
      <c r="R280" s="6"/>
      <c r="S280" s="6"/>
      <c r="T280" s="4">
        <v>35</v>
      </c>
      <c r="U280" s="4"/>
      <c r="V280" s="4"/>
      <c r="W280" s="9">
        <v>1.4</v>
      </c>
      <c r="X280" s="9"/>
      <c r="Y280" s="9"/>
      <c r="Z280" s="9"/>
      <c r="AA280" s="9"/>
      <c r="AB280" s="9"/>
      <c r="AC280" s="449" t="str">
        <f t="shared" si="35"/>
        <v>PHQ</v>
      </c>
      <c r="AD280" s="449"/>
      <c r="AE280" s="449"/>
      <c r="AF280" s="4"/>
      <c r="AG280" s="83"/>
      <c r="AH280" s="4"/>
      <c r="AI280" s="4"/>
      <c r="AJ280" s="449"/>
      <c r="AK280" s="449"/>
      <c r="AL280" s="449"/>
      <c r="AM280" s="449" t="s">
        <v>126</v>
      </c>
      <c r="AN280" s="10">
        <v>5.5</v>
      </c>
      <c r="AO280" s="9"/>
      <c r="AP280" s="9"/>
      <c r="AQ280" s="9"/>
      <c r="AR280" s="9"/>
      <c r="AS280" s="9"/>
      <c r="AT280" s="9">
        <f>+ab($T$280,$T$278,$T$282,$G$279,$G$281, 1*$F$280,1200)</f>
        <v>7.9217337542774597</v>
      </c>
      <c r="AU280" s="428"/>
      <c r="AV280" s="428"/>
      <c r="AW280" s="449" t="str">
        <f>IF(C280&gt;0,VLOOKUP(C280,Foundation_Calc!$A$2:$C$13,3,1),
IF(J280&gt;0,VLOOKUP(J280,Foundation_Calc!$A$2:$C$13,3,1),""))</f>
        <v>Multi Soil</v>
      </c>
      <c r="AX280" s="449" t="str">
        <f>IF(C280&gt;0,VLOOKUP(C280,Foundation_Calc!$E$35:$G$65,3,1),
IF(J280&gt;0,VLOOKUP(J280,Foundation_Calc!$E$35:$G$65,3,1),""))</f>
        <v>K</v>
      </c>
      <c r="AY280" s="10">
        <f>IF(L280="","",
IF(AX280="PT",VLOOKUP(L280,Foundation_Calc!$K$79:$R$113,VLOOKUP(AW280,Foundation_Calc!$I$2:$J$8,2,FALSE),0),
IF(AX280="K",VLOOKUP(L280,Foundation_Calc!$K$117:$R$151,VLOOKUP(AW280,Foundation_Calc!$I$2:$J$8,2,FALSE),0),"")))</f>
        <v>4</v>
      </c>
      <c r="AZ280" s="10" t="str">
        <f>IF(K280="","",
IF(AX280="PT",VLOOKUP(K280,Foundation_Calc!$K$79:$R$113,VLOOKUP(AW280,Foundation_Calc!$I$2:$J$8,2,FALSE),0),
IF(AX280="K",VLOOKUP(K280,Foundation_Calc!$K$117:$R$151,VLOOKUP(AW280,Foundation_Calc!$I$2:$J$8,2,FALSE),0),"")))</f>
        <v/>
      </c>
      <c r="BA280" s="495" t="str">
        <f t="shared" si="32"/>
        <v>ü</v>
      </c>
      <c r="BB280" s="495" t="str">
        <f t="shared" si="33"/>
        <v/>
      </c>
      <c r="BC280" s="495" t="str">
        <f t="shared" si="34"/>
        <v/>
      </c>
      <c r="BD280" s="513" t="str">
        <f>IF(AND(L280="",H280=""),"",
IF(H280="",Pole_Calc!A$9,
IF(H280="MP",Pole_Calc!A$10,
IF(H280="AnMP",Pole_Calc!A$11,
IF(H280="A",Pole_Calc!A$12,
IF(H280="S/A",Pole_Calc!A$13,
IF(H280="A/S",Pole_Calc!A$14,"Poner a mano")))))))</f>
        <v>App.7-V11I-P9.5.1.1</v>
      </c>
      <c r="BE280" s="429" t="s">
        <v>118</v>
      </c>
      <c r="BF280" s="289"/>
      <c r="BG280" s="289"/>
      <c r="BH280" s="290"/>
      <c r="BI280" s="289"/>
    </row>
    <row r="281" spans="1:61" ht="16.149999999999999" customHeight="1">
      <c r="A281" s="514"/>
      <c r="B281" s="450"/>
      <c r="C281" s="3"/>
      <c r="D281" s="83"/>
      <c r="E281" s="4"/>
      <c r="F281" s="4"/>
      <c r="G281" s="6">
        <v>58</v>
      </c>
      <c r="H281" s="449"/>
      <c r="I281" s="4"/>
      <c r="J281" s="3"/>
      <c r="K281" s="449"/>
      <c r="L281" s="449"/>
      <c r="M281" s="449" t="str">
        <f>IF(L281="","",
IF(AX281="PT",VLOOKUP(L281,Foundation_Calc!$V$79:$X$113,VLOOKUP(AX281,Foundation_Calc!$I$10:$J$13,2,FALSE),0),
IF(AX281="K",VLOOKUP(L281,Foundation_Calc!$V$117:$X$151,VLOOKUP(AX281,Foundation_Calc!$I$10:$J$13,2,FALSE),0),"")))</f>
        <v/>
      </c>
      <c r="N281" s="449"/>
      <c r="O281" s="449"/>
      <c r="P281" s="449"/>
      <c r="Q281" s="4"/>
      <c r="R281" s="6"/>
      <c r="S281" s="6"/>
      <c r="T281" s="4"/>
      <c r="U281" s="4"/>
      <c r="V281" s="4"/>
      <c r="W281" s="9"/>
      <c r="X281" s="9"/>
      <c r="Y281" s="9"/>
      <c r="Z281" s="9"/>
      <c r="AA281" s="9"/>
      <c r="AB281" s="9"/>
      <c r="AC281" s="449" t="str">
        <f t="shared" si="35"/>
        <v/>
      </c>
      <c r="AD281" s="449"/>
      <c r="AE281" s="449"/>
      <c r="AF281" s="4"/>
      <c r="AG281" s="83"/>
      <c r="AH281" s="4"/>
      <c r="AI281" s="4"/>
      <c r="AJ281" s="449"/>
      <c r="AK281" s="449"/>
      <c r="AL281" s="449"/>
      <c r="AM281" s="449"/>
      <c r="AN281" s="10"/>
      <c r="AO281" s="9"/>
      <c r="AP281" s="9"/>
      <c r="AQ281" s="9">
        <f>+FL_1($T$282,$T$280,$G$281,1200,9.28, 1*$F$282)</f>
        <v>0.41936333972413781</v>
      </c>
      <c r="AR281" s="9"/>
      <c r="AS281" s="9"/>
      <c r="AT281" s="9"/>
      <c r="AU281" s="428"/>
      <c r="AV281" s="428"/>
      <c r="AW281" s="449" t="str">
        <f>IF(C281&gt;0,VLOOKUP(C281,Foundation_Calc!$A$2:$C$13,3,1),
IF(J281&gt;0,VLOOKUP(J281,Foundation_Calc!$A$2:$C$13,3,1),""))</f>
        <v/>
      </c>
      <c r="AX281" s="449" t="str">
        <f>IF(C281&gt;0,VLOOKUP(C281,Foundation_Calc!$E$35:$G$65,3,1),
IF(J281&gt;0,VLOOKUP(J281,Foundation_Calc!$E$35:$G$65,3,1),""))</f>
        <v/>
      </c>
      <c r="AY281" s="10" t="str">
        <f>IF(L281="","",
IF(AX281="PT",VLOOKUP(L281,Foundation_Calc!$K$79:$R$113,VLOOKUP(AW281,Foundation_Calc!$I$2:$J$8,2,FALSE),0),
IF(AX281="K",VLOOKUP(L281,Foundation_Calc!$K$117:$R$151,VLOOKUP(AW281,Foundation_Calc!$I$2:$J$8,2,FALSE),0),"")))</f>
        <v/>
      </c>
      <c r="AZ281" s="10" t="str">
        <f>IF(K281="","",
IF(AX281="PT",VLOOKUP(K281,Foundation_Calc!$K$79:$R$113,VLOOKUP(AW281,Foundation_Calc!$I$2:$J$8,2,FALSE),0),
IF(AX281="K",VLOOKUP(K281,Foundation_Calc!$K$117:$R$151,VLOOKUP(AW281,Foundation_Calc!$I$2:$J$8,2,FALSE),0),"")))</f>
        <v/>
      </c>
      <c r="BA281" s="495" t="str">
        <f t="shared" si="32"/>
        <v/>
      </c>
      <c r="BB281" s="495" t="str">
        <f t="shared" si="33"/>
        <v/>
      </c>
      <c r="BC281" s="495" t="str">
        <f t="shared" si="34"/>
        <v/>
      </c>
      <c r="BD281" s="513" t="str">
        <f>IF(AND(L281="",H281=""),"",
IF(H281="",Pole_Calc!A$9,
IF(H281="MP",Pole_Calc!A$10,
IF(H281="AnMP",Pole_Calc!A$11,
IF(H281="A",Pole_Calc!A$12,
IF(H281="S/A",Pole_Calc!A$13,
IF(H281="A/S",Pole_Calc!A$14,"Poner a mano")))))))</f>
        <v/>
      </c>
      <c r="BE281" s="429" t="s">
        <v>118</v>
      </c>
      <c r="BF281" s="290"/>
      <c r="BG281" s="290"/>
      <c r="BH281" s="290"/>
      <c r="BI281" s="290"/>
    </row>
    <row r="282" spans="1:61" ht="16.149999999999999" customHeight="1">
      <c r="A282" s="514"/>
      <c r="B282" s="450" t="s">
        <v>1080</v>
      </c>
      <c r="C282" s="3">
        <f>+$C$280+$G$281</f>
        <v>37049.850000000006</v>
      </c>
      <c r="D282" s="83"/>
      <c r="E282" s="4"/>
      <c r="F282" s="4">
        <v>0</v>
      </c>
      <c r="G282" s="6"/>
      <c r="H282" s="449"/>
      <c r="I282" s="4"/>
      <c r="J282" s="3"/>
      <c r="K282" s="449"/>
      <c r="L282" s="449" t="s">
        <v>153</v>
      </c>
      <c r="M282" s="449" t="str">
        <f>IF(L282="","",
IF(AX282="PT",VLOOKUP(L282,Foundation_Calc!$V$79:$X$113,VLOOKUP(AX282,Foundation_Calc!$I$10:$J$13,2,FALSE),0),
IF(AX282="K",VLOOKUP(L282,Foundation_Calc!$V$117:$X$151,VLOOKUP(AX282,Foundation_Calc!$I$10:$J$13,2,FALSE),0),"")))</f>
        <v>C3R</v>
      </c>
      <c r="N282" s="449" t="s">
        <v>124</v>
      </c>
      <c r="O282" s="449"/>
      <c r="P282" s="449"/>
      <c r="Q282" s="4"/>
      <c r="R282" s="6"/>
      <c r="S282" s="6"/>
      <c r="T282" s="4">
        <v>-35</v>
      </c>
      <c r="U282" s="4"/>
      <c r="V282" s="4"/>
      <c r="W282" s="9">
        <v>1.4</v>
      </c>
      <c r="X282" s="9"/>
      <c r="Y282" s="9"/>
      <c r="Z282" s="9"/>
      <c r="AA282" s="9"/>
      <c r="AB282" s="9"/>
      <c r="AC282" s="449" t="str">
        <f t="shared" si="35"/>
        <v>PHQ</v>
      </c>
      <c r="AD282" s="449"/>
      <c r="AE282" s="449"/>
      <c r="AF282" s="4"/>
      <c r="AG282" s="83"/>
      <c r="AH282" s="4"/>
      <c r="AI282" s="4"/>
      <c r="AJ282" s="449"/>
      <c r="AK282" s="449"/>
      <c r="AL282" s="449"/>
      <c r="AM282" s="449" t="s">
        <v>126</v>
      </c>
      <c r="AN282" s="10">
        <v>5.5</v>
      </c>
      <c r="AO282" s="9"/>
      <c r="AP282" s="9"/>
      <c r="AQ282" s="9"/>
      <c r="AR282" s="9"/>
      <c r="AS282" s="9"/>
      <c r="AT282" s="9">
        <f>+ab($T$282,$T$280,$T$284,$G$281,$G$283, 1*$F$282,1200)</f>
        <v>-7.6922470268995049</v>
      </c>
      <c r="AU282" s="428"/>
      <c r="AV282" s="428"/>
      <c r="AW282" s="449" t="str">
        <f>IF(C282&gt;0,VLOOKUP(C282,Foundation_Calc!$A$2:$C$13,3,1),
IF(J282&gt;0,VLOOKUP(J282,Foundation_Calc!$A$2:$C$13,3,1),""))</f>
        <v>Multi Soil</v>
      </c>
      <c r="AX282" s="449" t="str">
        <f>IF(C282&gt;0,VLOOKUP(C282,Foundation_Calc!$E$35:$G$65,3,1),
IF(J282&gt;0,VLOOKUP(J282,Foundation_Calc!$E$35:$G$65,3,1),""))</f>
        <v>PT</v>
      </c>
      <c r="AY282" s="10">
        <f>IF(L282="","",
IF(AX282="PT",VLOOKUP(L282,Foundation_Calc!$K$79:$R$113,VLOOKUP(AW282,Foundation_Calc!$I$2:$J$8,2,FALSE),0),
IF(AX282="K",VLOOKUP(L282,Foundation_Calc!$K$117:$R$151,VLOOKUP(AW282,Foundation_Calc!$I$2:$J$8,2,FALSE),0),"")))</f>
        <v>3.5</v>
      </c>
      <c r="AZ282" s="10" t="str">
        <f>IF(K282="","",
IF(AX282="PT",VLOOKUP(K282,Foundation_Calc!$K$79:$R$113,VLOOKUP(AW282,Foundation_Calc!$I$2:$J$8,2,FALSE),0),
IF(AX282="K",VLOOKUP(K282,Foundation_Calc!$K$117:$R$151,VLOOKUP(AW282,Foundation_Calc!$I$2:$J$8,2,FALSE),0),"")))</f>
        <v/>
      </c>
      <c r="BA282" s="495" t="str">
        <f t="shared" si="32"/>
        <v>ü</v>
      </c>
      <c r="BB282" s="495" t="str">
        <f t="shared" si="33"/>
        <v/>
      </c>
      <c r="BC282" s="495" t="str">
        <f t="shared" si="34"/>
        <v/>
      </c>
      <c r="BD282" s="513" t="str">
        <f>IF(AND(L282="",H282=""),"",
IF(H282="",Pole_Calc!A$9,
IF(H282="MP",Pole_Calc!A$10,
IF(H282="AnMP",Pole_Calc!A$11,
IF(H282="A",Pole_Calc!A$12,
IF(H282="S/A",Pole_Calc!A$13,
IF(H282="A/S",Pole_Calc!A$14,"Poner a mano")))))))</f>
        <v>App.7-V11I-P9.5.1.1</v>
      </c>
      <c r="BE282" s="429" t="s">
        <v>118</v>
      </c>
      <c r="BF282" s="289"/>
      <c r="BG282" s="289"/>
      <c r="BH282" s="290"/>
      <c r="BI282" s="289"/>
    </row>
    <row r="283" spans="1:61" ht="16.149999999999999" customHeight="1">
      <c r="A283" s="514"/>
      <c r="B283" s="450"/>
      <c r="C283" s="3"/>
      <c r="D283" s="83"/>
      <c r="E283" s="4"/>
      <c r="F283" s="4"/>
      <c r="G283" s="6">
        <v>55</v>
      </c>
      <c r="H283" s="449"/>
      <c r="I283" s="4"/>
      <c r="J283" s="3"/>
      <c r="K283" s="449"/>
      <c r="L283" s="449"/>
      <c r="M283" s="449" t="str">
        <f>IF(L283="","",
IF(AX283="PT",VLOOKUP(L283,Foundation_Calc!$V$79:$X$113,VLOOKUP(AX283,Foundation_Calc!$I$10:$J$13,2,FALSE),0),
IF(AX283="K",VLOOKUP(L283,Foundation_Calc!$V$117:$X$151,VLOOKUP(AX283,Foundation_Calc!$I$10:$J$13,2,FALSE),0),"")))</f>
        <v/>
      </c>
      <c r="N283" s="449"/>
      <c r="O283" s="449"/>
      <c r="P283" s="449"/>
      <c r="Q283" s="4"/>
      <c r="R283" s="6"/>
      <c r="S283" s="6"/>
      <c r="T283" s="4"/>
      <c r="U283" s="4"/>
      <c r="V283" s="4"/>
      <c r="W283" s="9"/>
      <c r="X283" s="9"/>
      <c r="Y283" s="9"/>
      <c r="Z283" s="9"/>
      <c r="AA283" s="9"/>
      <c r="AB283" s="9"/>
      <c r="AC283" s="449" t="str">
        <f t="shared" si="35"/>
        <v/>
      </c>
      <c r="AD283" s="449"/>
      <c r="AE283" s="449"/>
      <c r="AF283" s="4"/>
      <c r="AG283" s="83"/>
      <c r="AH283" s="4"/>
      <c r="AI283" s="4"/>
      <c r="AJ283" s="449"/>
      <c r="AK283" s="449"/>
      <c r="AL283" s="449"/>
      <c r="AM283" s="449"/>
      <c r="AN283" s="10"/>
      <c r="AO283" s="9"/>
      <c r="AP283" s="9"/>
      <c r="AQ283" s="9">
        <f>+FL_2($T$284,$T$282,$G$283,1200,9.28, 1*$F$284)</f>
        <v>-0.39714735709090898</v>
      </c>
      <c r="AR283" s="9"/>
      <c r="AS283" s="9"/>
      <c r="AT283" s="9"/>
      <c r="AU283" s="428"/>
      <c r="AV283" s="428"/>
      <c r="AW283" s="449" t="str">
        <f>IF(C283&gt;0,VLOOKUP(C283,Foundation_Calc!$A$2:$C$13,3,1),
IF(J283&gt;0,VLOOKUP(J283,Foundation_Calc!$A$2:$C$13,3,1),""))</f>
        <v/>
      </c>
      <c r="AX283" s="449" t="str">
        <f>IF(C283&gt;0,VLOOKUP(C283,Foundation_Calc!$E$35:$G$65,3,1),
IF(J283&gt;0,VLOOKUP(J283,Foundation_Calc!$E$35:$G$65,3,1),""))</f>
        <v/>
      </c>
      <c r="AY283" s="10" t="str">
        <f>IF(L283="","",
IF(AX283="PT",VLOOKUP(L283,Foundation_Calc!$K$79:$R$113,VLOOKUP(AW283,Foundation_Calc!$I$2:$J$8,2,FALSE),0),
IF(AX283="K",VLOOKUP(L283,Foundation_Calc!$K$117:$R$151,VLOOKUP(AW283,Foundation_Calc!$I$2:$J$8,2,FALSE),0),"")))</f>
        <v/>
      </c>
      <c r="AZ283" s="10" t="str">
        <f>IF(K283="","",
IF(AX283="PT",VLOOKUP(K283,Foundation_Calc!$K$79:$R$113,VLOOKUP(AW283,Foundation_Calc!$I$2:$J$8,2,FALSE),0),
IF(AX283="K",VLOOKUP(K283,Foundation_Calc!$K$117:$R$151,VLOOKUP(AW283,Foundation_Calc!$I$2:$J$8,2,FALSE),0),"")))</f>
        <v/>
      </c>
      <c r="BA283" s="495" t="str">
        <f t="shared" si="32"/>
        <v/>
      </c>
      <c r="BB283" s="495" t="str">
        <f t="shared" si="33"/>
        <v/>
      </c>
      <c r="BC283" s="495" t="str">
        <f t="shared" si="34"/>
        <v/>
      </c>
      <c r="BD283" s="513" t="str">
        <f>IF(AND(L283="",H283=""),"",
IF(H283="",Pole_Calc!A$9,
IF(H283="MP",Pole_Calc!A$10,
IF(H283="AnMP",Pole_Calc!A$11,
IF(H283="A",Pole_Calc!A$12,
IF(H283="S/A",Pole_Calc!A$13,
IF(H283="A/S",Pole_Calc!A$14,"Poner a mano")))))))</f>
        <v/>
      </c>
      <c r="BE283" s="429" t="s">
        <v>118</v>
      </c>
      <c r="BF283" s="290"/>
      <c r="BG283" s="290"/>
      <c r="BH283" s="290"/>
      <c r="BI283" s="290"/>
    </row>
    <row r="284" spans="1:61" ht="16.149999999999999" customHeight="1">
      <c r="A284" s="518"/>
      <c r="B284" s="450" t="s">
        <v>1081</v>
      </c>
      <c r="C284" s="3">
        <f>+$C$282+$G$283</f>
        <v>37104.850000000006</v>
      </c>
      <c r="D284" s="83"/>
      <c r="E284" s="4"/>
      <c r="F284" s="4">
        <v>0</v>
      </c>
      <c r="G284" s="6"/>
      <c r="H284" s="449"/>
      <c r="I284" s="4"/>
      <c r="J284" s="3"/>
      <c r="K284" s="449"/>
      <c r="L284" s="449" t="s">
        <v>153</v>
      </c>
      <c r="M284" s="449" t="str">
        <f>IF(L284="","",
IF(AX284="PT",VLOOKUP(L284,Foundation_Calc!$V$79:$X$113,VLOOKUP(AX284,Foundation_Calc!$I$10:$J$13,2,FALSE),0),
IF(AX284="K",VLOOKUP(L284,Foundation_Calc!$V$117:$X$151,VLOOKUP(AX284,Foundation_Calc!$I$10:$J$13,2,FALSE),0),"")))</f>
        <v>C3R</v>
      </c>
      <c r="N284" s="449" t="s">
        <v>134</v>
      </c>
      <c r="O284" s="449"/>
      <c r="P284" s="449"/>
      <c r="Q284" s="4"/>
      <c r="R284" s="6"/>
      <c r="S284" s="6"/>
      <c r="T284" s="4">
        <v>35</v>
      </c>
      <c r="U284" s="4"/>
      <c r="V284" s="4"/>
      <c r="W284" s="9">
        <v>1.4</v>
      </c>
      <c r="X284" s="9"/>
      <c r="Y284" s="9"/>
      <c r="Z284" s="9"/>
      <c r="AA284" s="9"/>
      <c r="AB284" s="9"/>
      <c r="AC284" s="449" t="str">
        <f t="shared" si="35"/>
        <v>PHQ</v>
      </c>
      <c r="AD284" s="449"/>
      <c r="AE284" s="449"/>
      <c r="AF284" s="4"/>
      <c r="AG284" s="83"/>
      <c r="AH284" s="4"/>
      <c r="AI284" s="4"/>
      <c r="AJ284" s="449"/>
      <c r="AK284" s="449"/>
      <c r="AL284" s="449"/>
      <c r="AM284" s="449" t="s">
        <v>126</v>
      </c>
      <c r="AN284" s="10">
        <v>5.5</v>
      </c>
      <c r="AO284" s="9"/>
      <c r="AP284" s="9"/>
      <c r="AQ284" s="9"/>
      <c r="AR284" s="9"/>
      <c r="AS284" s="9"/>
      <c r="AT284" s="9">
        <f>+ab($T$284,$T$282,$T$286,$G$283,$G$285, 1*$F$284,1200)</f>
        <v>7.4955682572493121</v>
      </c>
      <c r="AU284" s="428"/>
      <c r="AV284" s="428"/>
      <c r="AW284" s="449" t="str">
        <f>IF(C284&gt;0,VLOOKUP(C284,Foundation_Calc!$A$2:$C$13,3,1),
IF(J284&gt;0,VLOOKUP(J284,Foundation_Calc!$A$2:$C$13,3,1),""))</f>
        <v>Multi Soil</v>
      </c>
      <c r="AX284" s="449" t="str">
        <f>IF(C284&gt;0,VLOOKUP(C284,Foundation_Calc!$E$35:$G$65,3,1),
IF(J284&gt;0,VLOOKUP(J284,Foundation_Calc!$E$35:$G$65,3,1),""))</f>
        <v>PT</v>
      </c>
      <c r="AY284" s="10">
        <f>IF(L284="","",
IF(AX284="PT",VLOOKUP(L284,Foundation_Calc!$K$79:$R$113,VLOOKUP(AW284,Foundation_Calc!$I$2:$J$8,2,FALSE),0),
IF(AX284="K",VLOOKUP(L284,Foundation_Calc!$K$117:$R$151,VLOOKUP(AW284,Foundation_Calc!$I$2:$J$8,2,FALSE),0),"")))</f>
        <v>3.5</v>
      </c>
      <c r="AZ284" s="10" t="str">
        <f>IF(K284="","",
IF(AX284="PT",VLOOKUP(K284,Foundation_Calc!$K$79:$R$113,VLOOKUP(AW284,Foundation_Calc!$I$2:$J$8,2,FALSE),0),
IF(AX284="K",VLOOKUP(K284,Foundation_Calc!$K$117:$R$151,VLOOKUP(AW284,Foundation_Calc!$I$2:$J$8,2,FALSE),0),"")))</f>
        <v/>
      </c>
      <c r="BA284" s="495" t="str">
        <f t="shared" si="32"/>
        <v>ü</v>
      </c>
      <c r="BB284" s="495" t="str">
        <f t="shared" si="33"/>
        <v/>
      </c>
      <c r="BC284" s="495" t="str">
        <f t="shared" si="34"/>
        <v/>
      </c>
      <c r="BD284" s="513" t="str">
        <f>IF(AND(L284="",H284=""),"",
IF(H284="",Pole_Calc!A$9,
IF(H284="MP",Pole_Calc!A$10,
IF(H284="AnMP",Pole_Calc!A$11,
IF(H284="A",Pole_Calc!A$12,
IF(H284="S/A",Pole_Calc!A$13,
IF(H284="A/S",Pole_Calc!A$14,"Poner a mano")))))))</f>
        <v>App.7-V11I-P9.5.1.1</v>
      </c>
      <c r="BE284" s="429" t="s">
        <v>118</v>
      </c>
      <c r="BF284" s="289"/>
      <c r="BG284" s="289"/>
      <c r="BH284" s="290"/>
      <c r="BI284" s="289"/>
    </row>
    <row r="285" spans="1:61" ht="16.149999999999999" customHeight="1">
      <c r="A285" s="571"/>
      <c r="B285" s="450"/>
      <c r="C285" s="3"/>
      <c r="D285" s="83"/>
      <c r="E285" s="4"/>
      <c r="F285" s="4"/>
      <c r="G285" s="6">
        <v>55</v>
      </c>
      <c r="H285" s="449"/>
      <c r="I285" s="4"/>
      <c r="J285" s="3">
        <f>C286-7.5</f>
        <v>37152.350000000006</v>
      </c>
      <c r="K285" s="449" t="s">
        <v>117</v>
      </c>
      <c r="L285" s="449"/>
      <c r="M285" s="449" t="str">
        <f>IF(L285="","",
IF(AX285="PT",VLOOKUP(L285,Foundation_Calc!$V$79:$X$113,VLOOKUP(AX285,Foundation_Calc!$I$10:$J$13,2,FALSE),0),
IF(AX285="K",VLOOKUP(L285,Foundation_Calc!$V$117:$X$151,VLOOKUP(AX285,Foundation_Calc!$I$10:$J$13,2,FALSE),0),"")))</f>
        <v/>
      </c>
      <c r="N285" s="449"/>
      <c r="O285" s="449"/>
      <c r="P285" s="449"/>
      <c r="Q285" s="4"/>
      <c r="R285" s="6"/>
      <c r="S285" s="6"/>
      <c r="T285" s="4"/>
      <c r="U285" s="4"/>
      <c r="V285" s="4"/>
      <c r="W285" s="9"/>
      <c r="X285" s="9"/>
      <c r="Y285" s="9"/>
      <c r="Z285" s="9"/>
      <c r="AA285" s="9"/>
      <c r="AB285" s="9"/>
      <c r="AC285" s="449" t="str">
        <f t="shared" si="35"/>
        <v/>
      </c>
      <c r="AD285" s="449"/>
      <c r="AE285" s="449"/>
      <c r="AF285" s="4"/>
      <c r="AG285" s="83"/>
      <c r="AH285" s="4"/>
      <c r="AI285" s="4"/>
      <c r="AJ285" s="449"/>
      <c r="AK285" s="449"/>
      <c r="AL285" s="449"/>
      <c r="AM285" s="449"/>
      <c r="AN285" s="10"/>
      <c r="AO285" s="9"/>
      <c r="AP285" s="9"/>
      <c r="AQ285" s="9">
        <f>+FL_1($T$286,$T$284,$G$285,1200,9.28, 1*$F$286)</f>
        <v>0.43369726809294712</v>
      </c>
      <c r="AR285" s="9"/>
      <c r="AS285" s="9"/>
      <c r="AT285" s="9"/>
      <c r="AU285" s="428"/>
      <c r="AV285" s="428"/>
      <c r="AW285" s="449" t="str">
        <f>IF(C285&gt;0,VLOOKUP(C285,Foundation_Calc!$A$2:$C$13,3,1),
IF(J285&gt;0,VLOOKUP(J285,Foundation_Calc!$A$2:$C$13,3,1),""))</f>
        <v>Multi Soil</v>
      </c>
      <c r="AX285" s="449" t="str">
        <f>IF(C285&gt;0,VLOOKUP(C285,Foundation_Calc!$E$35:$G$65,3,1),
IF(J285&gt;0,VLOOKUP(J285,Foundation_Calc!$E$35:$G$65,3,1),""))</f>
        <v>PT</v>
      </c>
      <c r="AY285" s="10" t="str">
        <f>IF(L285="","",
IF(AX285="PT",VLOOKUP(L285,Foundation_Calc!$K$79:$R$113,VLOOKUP(AW285,Foundation_Calc!$I$2:$J$8,2,FALSE),0),
IF(AX285="K",VLOOKUP(L285,Foundation_Calc!$K$117:$R$151,VLOOKUP(AW285,Foundation_Calc!$I$2:$J$8,2,FALSE),0),"")))</f>
        <v/>
      </c>
      <c r="AZ285" s="10">
        <f>IF(K285="","",
IF(AX285="PT",VLOOKUP(K285,Foundation_Calc!$K$79:$R$113,VLOOKUP(AW285,Foundation_Calc!$I$2:$J$8,2,FALSE),0),
IF(AX285="K",VLOOKUP(K285,Foundation_Calc!$K$117:$R$151,VLOOKUP(AW285,Foundation_Calc!$I$2:$J$8,2,FALSE),0),"")))</f>
        <v>3.9</v>
      </c>
      <c r="BA285" s="495" t="str">
        <f t="shared" si="32"/>
        <v/>
      </c>
      <c r="BB285" s="495" t="str">
        <f t="shared" si="33"/>
        <v>ü</v>
      </c>
      <c r="BC285" s="495" t="str">
        <f t="shared" si="34"/>
        <v/>
      </c>
      <c r="BD285" s="513" t="str">
        <f>IF(AND(L285="",H285=""),"",
IF(H285="",Pole_Calc!A$9,
IF(H285="MP",Pole_Calc!A$10,
IF(H285="AnMP",Pole_Calc!A$11,
IF(H285="A",Pole_Calc!A$12,
IF(H285="S/A",Pole_Calc!A$13,
IF(H285="A/S",Pole_Calc!A$14,"Poner a mano")))))))</f>
        <v/>
      </c>
      <c r="BE285" s="429" t="s">
        <v>118</v>
      </c>
      <c r="BF285" s="290"/>
      <c r="BG285" s="290"/>
      <c r="BH285" s="290"/>
      <c r="BI285" s="290"/>
    </row>
    <row r="286" spans="1:61" ht="16.149999999999999" customHeight="1">
      <c r="A286" s="571"/>
      <c r="B286" s="450" t="s">
        <v>1082</v>
      </c>
      <c r="C286" s="3">
        <f>+$C$284+$G$285</f>
        <v>37159.850000000006</v>
      </c>
      <c r="D286" s="83"/>
      <c r="E286" s="4"/>
      <c r="F286" s="4">
        <v>-7204.0555764182827</v>
      </c>
      <c r="G286" s="6"/>
      <c r="H286" s="449" t="s">
        <v>121</v>
      </c>
      <c r="I286" s="4" t="s">
        <v>122</v>
      </c>
      <c r="J286" s="3"/>
      <c r="K286" s="449"/>
      <c r="L286" s="449" t="s">
        <v>151</v>
      </c>
      <c r="M286" s="449" t="str">
        <f>IF(L286="","",
IF(AX286="PT",VLOOKUP(L286,Foundation_Calc!$V$79:$X$113,VLOOKUP(AX286,Foundation_Calc!$I$10:$J$13,2,FALSE),0),
IF(AX286="K",VLOOKUP(L286,Foundation_Calc!$V$117:$X$151,VLOOKUP(AX286,Foundation_Calc!$I$10:$J$13,2,FALSE),0),"")))</f>
        <v>C4R</v>
      </c>
      <c r="N286" s="449" t="s">
        <v>124</v>
      </c>
      <c r="O286" s="449"/>
      <c r="P286" s="449"/>
      <c r="Q286" s="4"/>
      <c r="R286" s="6"/>
      <c r="S286" s="6"/>
      <c r="T286" s="4">
        <v>-35</v>
      </c>
      <c r="U286" s="4"/>
      <c r="V286" s="4"/>
      <c r="W286" s="9">
        <v>1.4</v>
      </c>
      <c r="X286" s="9"/>
      <c r="Y286" s="9"/>
      <c r="Z286" s="9"/>
      <c r="AA286" s="9"/>
      <c r="AB286" s="9"/>
      <c r="AC286" s="449" t="str">
        <f t="shared" si="35"/>
        <v>PH</v>
      </c>
      <c r="AD286" s="449"/>
      <c r="AE286" s="449"/>
      <c r="AF286" s="4"/>
      <c r="AG286" s="83"/>
      <c r="AH286" s="4"/>
      <c r="AI286" s="4"/>
      <c r="AJ286" s="449"/>
      <c r="AK286" s="449"/>
      <c r="AL286" s="449"/>
      <c r="AM286" s="449" t="s">
        <v>126</v>
      </c>
      <c r="AN286" s="10">
        <v>5.5</v>
      </c>
      <c r="AO286" s="9"/>
      <c r="AP286" s="9"/>
      <c r="AQ286" s="9"/>
      <c r="AR286" s="9"/>
      <c r="AS286" s="9"/>
      <c r="AT286" s="9">
        <f>+ab($T$286,$T$284,$U$288,$G$285,$G$287, 1*$F$286,1200)</f>
        <v>-9.0551433465308904</v>
      </c>
      <c r="AU286" s="428"/>
      <c r="AV286" s="428"/>
      <c r="AW286" s="449" t="str">
        <f>IF(C286&gt;0,VLOOKUP(C286,Foundation_Calc!$A$2:$C$13,3,1),
IF(J286&gt;0,VLOOKUP(J286,Foundation_Calc!$A$2:$C$13,3,1),""))</f>
        <v>Multi Soil</v>
      </c>
      <c r="AX286" s="449" t="str">
        <f>IF(C286&gt;0,VLOOKUP(C286,Foundation_Calc!$E$35:$G$65,3,1),
IF(J286&gt;0,VLOOKUP(J286,Foundation_Calc!$E$35:$G$65,3,1),""))</f>
        <v>PT</v>
      </c>
      <c r="AY286" s="10">
        <f>IF(L286="","",
IF(AX286="PT",VLOOKUP(L286,Foundation_Calc!$K$79:$R$113,VLOOKUP(AW286,Foundation_Calc!$I$2:$J$8,2,FALSE),0),
IF(AX286="K",VLOOKUP(L286,Foundation_Calc!$K$117:$R$151,VLOOKUP(AW286,Foundation_Calc!$I$2:$J$8,2,FALSE),0),"")))</f>
        <v>3.5</v>
      </c>
      <c r="AZ286" s="10" t="str">
        <f>IF(K286="","",
IF(AX286="PT",VLOOKUP(K286,Foundation_Calc!$K$79:$R$113,VLOOKUP(AW286,Foundation_Calc!$I$2:$J$8,2,FALSE),0),
IF(AX286="K",VLOOKUP(K286,Foundation_Calc!$K$117:$R$151,VLOOKUP(AW286,Foundation_Calc!$I$2:$J$8,2,FALSE),0),"")))</f>
        <v/>
      </c>
      <c r="BA286" s="495" t="str">
        <f t="shared" si="32"/>
        <v>ü</v>
      </c>
      <c r="BB286" s="495" t="str">
        <f t="shared" si="33"/>
        <v/>
      </c>
      <c r="BC286" s="495" t="str">
        <f t="shared" si="34"/>
        <v/>
      </c>
      <c r="BD286" s="513" t="str">
        <f>IF(AND(L286="",H286=""),"",
IF(H286="",Pole_Calc!A$9,
IF(H286="MP",Pole_Calc!A$10,
IF(H286="AnMP",Pole_Calc!A$11,
IF(H286="A",Pole_Calc!A$12,
IF(H286="S/A",Pole_Calc!A$13,
IF(H286="A/S",Pole_Calc!A$14,"Poner a mano")))))))</f>
        <v>App.7-V11I-P9.5.1.6</v>
      </c>
      <c r="BE286" s="429" t="s">
        <v>118</v>
      </c>
      <c r="BF286" s="289"/>
      <c r="BG286" s="289"/>
      <c r="BH286" s="290"/>
      <c r="BI286" s="289"/>
    </row>
    <row r="287" spans="1:61" ht="16.149999999999999" customHeight="1">
      <c r="A287" s="571"/>
      <c r="B287" s="450"/>
      <c r="C287" s="3"/>
      <c r="D287" s="83"/>
      <c r="E287" s="4"/>
      <c r="F287" s="4"/>
      <c r="G287" s="6">
        <v>50</v>
      </c>
      <c r="H287" s="449"/>
      <c r="I287" s="4"/>
      <c r="J287" s="3"/>
      <c r="K287" s="449"/>
      <c r="L287" s="449"/>
      <c r="M287" s="449" t="str">
        <f>IF(L287="","",
IF(AX287="PT",VLOOKUP(L287,Foundation_Calc!$V$79:$X$113,VLOOKUP(AX287,Foundation_Calc!$I$10:$J$13,2,FALSE),0),
IF(AX287="K",VLOOKUP(L287,Foundation_Calc!$V$117:$X$151,VLOOKUP(AX287,Foundation_Calc!$I$10:$J$13,2,FALSE),0),"")))</f>
        <v/>
      </c>
      <c r="N287" s="449"/>
      <c r="O287" s="449"/>
      <c r="P287" s="449"/>
      <c r="Q287" s="4"/>
      <c r="R287" s="6"/>
      <c r="S287" s="6"/>
      <c r="T287" s="4"/>
      <c r="U287" s="4"/>
      <c r="V287" s="4"/>
      <c r="W287" s="9"/>
      <c r="X287" s="9"/>
      <c r="Y287" s="9"/>
      <c r="Z287" s="9"/>
      <c r="AA287" s="9"/>
      <c r="AB287" s="9"/>
      <c r="AC287" s="449" t="str">
        <f t="shared" si="35"/>
        <v/>
      </c>
      <c r="AD287" s="449"/>
      <c r="AE287" s="449"/>
      <c r="AF287" s="4"/>
      <c r="AG287" s="83"/>
      <c r="AH287" s="4"/>
      <c r="AI287" s="4"/>
      <c r="AJ287" s="449"/>
      <c r="AK287" s="449"/>
      <c r="AL287" s="449"/>
      <c r="AM287" s="449"/>
      <c r="AN287" s="10"/>
      <c r="AO287" s="9"/>
      <c r="AP287" s="9"/>
      <c r="AQ287" s="9">
        <f>+FL_2($U$288,$T$286,$G$287,1200,9.28, 1*$F$288)</f>
        <v>-0.44317617064431869</v>
      </c>
      <c r="AR287" s="9"/>
      <c r="AS287" s="9"/>
      <c r="AT287" s="9"/>
      <c r="AU287" s="428"/>
      <c r="AV287" s="428"/>
      <c r="AW287" s="449" t="str">
        <f>IF(C287&gt;0,VLOOKUP(C287,Foundation_Calc!$A$2:$C$13,3,1),
IF(J287&gt;0,VLOOKUP(J287,Foundation_Calc!$A$2:$C$13,3,1),""))</f>
        <v/>
      </c>
      <c r="AX287" s="449" t="str">
        <f>IF(C287&gt;0,VLOOKUP(C287,Foundation_Calc!$E$35:$G$65,3,1),
IF(J287&gt;0,VLOOKUP(J287,Foundation_Calc!$E$35:$G$65,3,1),""))</f>
        <v/>
      </c>
      <c r="AY287" s="10" t="str">
        <f>IF(L287="","",
IF(AX287="PT",VLOOKUP(L287,Foundation_Calc!$K$79:$R$113,VLOOKUP(AW287,Foundation_Calc!$I$2:$J$8,2,FALSE),0),
IF(AX287="K",VLOOKUP(L287,Foundation_Calc!$K$117:$R$151,VLOOKUP(AW287,Foundation_Calc!$I$2:$J$8,2,FALSE),0),"")))</f>
        <v/>
      </c>
      <c r="AZ287" s="10" t="str">
        <f>IF(K287="","",
IF(AX287="PT",VLOOKUP(K287,Foundation_Calc!$K$79:$R$113,VLOOKUP(AW287,Foundation_Calc!$I$2:$J$8,2,FALSE),0),
IF(AX287="K",VLOOKUP(K287,Foundation_Calc!$K$117:$R$151,VLOOKUP(AW287,Foundation_Calc!$I$2:$J$8,2,FALSE),0),"")))</f>
        <v/>
      </c>
      <c r="BA287" s="495" t="str">
        <f t="shared" si="32"/>
        <v/>
      </c>
      <c r="BB287" s="495" t="str">
        <f t="shared" si="33"/>
        <v/>
      </c>
      <c r="BC287" s="495" t="str">
        <f t="shared" si="34"/>
        <v/>
      </c>
      <c r="BD287" s="513" t="str">
        <f>IF(AND(L287="",H287=""),"",
IF(H287="",Pole_Calc!A$9,
IF(H287="MP",Pole_Calc!A$10,
IF(H287="AnMP",Pole_Calc!A$11,
IF(H287="A",Pole_Calc!A$12,
IF(H287="S/A",Pole_Calc!A$13,
IF(H287="A/S",Pole_Calc!A$14,"Poner a mano")))))))</f>
        <v/>
      </c>
      <c r="BE287" s="429" t="s">
        <v>118</v>
      </c>
      <c r="BF287" s="290"/>
      <c r="BG287" s="290"/>
      <c r="BH287" s="290"/>
      <c r="BI287" s="290"/>
    </row>
    <row r="288" spans="1:61" ht="16.149999999999999" customHeight="1">
      <c r="A288" s="571"/>
      <c r="B288" s="450" t="s">
        <v>1083</v>
      </c>
      <c r="C288" s="3">
        <f>+$C$286+$G$287</f>
        <v>37209.850000000006</v>
      </c>
      <c r="D288" s="83"/>
      <c r="E288" s="4"/>
      <c r="F288" s="4">
        <v>-2503.510374527033</v>
      </c>
      <c r="G288" s="6"/>
      <c r="H288" s="449" t="s">
        <v>131</v>
      </c>
      <c r="I288" s="4"/>
      <c r="J288" s="3"/>
      <c r="K288" s="449"/>
      <c r="L288" s="449" t="s">
        <v>183</v>
      </c>
      <c r="M288" s="449" t="str">
        <f>IF(L288="","",
IF(AX288="PT",VLOOKUP(L288,Foundation_Calc!$V$79:$X$113,VLOOKUP(AX288,Foundation_Calc!$I$10:$J$13,2,FALSE),0),
IF(AX288="K",VLOOKUP(L288,Foundation_Calc!$V$117:$X$151,VLOOKUP(AX288,Foundation_Calc!$I$10:$J$13,2,FALSE),0),"")))</f>
        <v>2C3R</v>
      </c>
      <c r="N288" s="449" t="s">
        <v>133</v>
      </c>
      <c r="O288" s="449" t="s">
        <v>124</v>
      </c>
      <c r="P288" s="449"/>
      <c r="Q288" s="4"/>
      <c r="R288" s="6"/>
      <c r="S288" s="6"/>
      <c r="T288" s="4">
        <v>-10</v>
      </c>
      <c r="U288" s="4">
        <v>-30</v>
      </c>
      <c r="V288" s="4"/>
      <c r="W288" s="9">
        <v>1.4</v>
      </c>
      <c r="X288" s="9">
        <v>2.2999999999999998</v>
      </c>
      <c r="Y288" s="9"/>
      <c r="Z288" s="9">
        <v>0.45</v>
      </c>
      <c r="AA288" s="9"/>
      <c r="AB288" s="9"/>
      <c r="AC288" s="449"/>
      <c r="AD288" s="449"/>
      <c r="AE288" s="449"/>
      <c r="AF288" s="4"/>
      <c r="AG288" s="83"/>
      <c r="AH288" s="4"/>
      <c r="AI288" s="4"/>
      <c r="AJ288" s="449"/>
      <c r="AK288" s="449"/>
      <c r="AL288" s="449"/>
      <c r="AM288" s="449" t="s">
        <v>126</v>
      </c>
      <c r="AN288" s="10">
        <v>5.5</v>
      </c>
      <c r="AO288" s="9"/>
      <c r="AP288" s="9"/>
      <c r="AQ288" s="9"/>
      <c r="AR288" s="9"/>
      <c r="AS288" s="9"/>
      <c r="AT288" s="9">
        <f>+ab($U$288,$T$286,$U$290,$G$287,$G$289, 1*$F$288,1200)</f>
        <v>-10.011395850401891</v>
      </c>
      <c r="AU288" s="428"/>
      <c r="AV288" s="428"/>
      <c r="AW288" s="449" t="str">
        <f>IF(C288&gt;0,VLOOKUP(C288,Foundation_Calc!$A$2:$C$13,3,1),
IF(J288&gt;0,VLOOKUP(J288,Foundation_Calc!$A$2:$C$13,3,1),""))</f>
        <v>Multi Soil</v>
      </c>
      <c r="AX288" s="449" t="str">
        <f>IF(C288&gt;0,VLOOKUP(C288,Foundation_Calc!$E$35:$G$65,3,1),
IF(J288&gt;0,VLOOKUP(J288,Foundation_Calc!$E$35:$G$65,3,1),""))</f>
        <v>PT</v>
      </c>
      <c r="AY288" s="10">
        <f>IF(L288="","",
IF(AX288="PT",VLOOKUP(L288,Foundation_Calc!$K$79:$R$113,VLOOKUP(AW288,Foundation_Calc!$I$2:$J$8,2,FALSE),0),
IF(AX288="K",VLOOKUP(L288,Foundation_Calc!$K$117:$R$151,VLOOKUP(AW288,Foundation_Calc!$I$2:$J$8,2,FALSE),0),"")))</f>
        <v>3.7</v>
      </c>
      <c r="AZ288" s="10" t="str">
        <f>IF(K288="","",
IF(AX288="PT",VLOOKUP(K288,Foundation_Calc!$K$79:$R$113,VLOOKUP(AW288,Foundation_Calc!$I$2:$J$8,2,FALSE),0),
IF(AX288="K",VLOOKUP(K288,Foundation_Calc!$K$117:$R$151,VLOOKUP(AW288,Foundation_Calc!$I$2:$J$8,2,FALSE),0),"")))</f>
        <v/>
      </c>
      <c r="BA288" s="495" t="str">
        <f t="shared" si="32"/>
        <v>ü</v>
      </c>
      <c r="BB288" s="495" t="str">
        <f t="shared" si="33"/>
        <v/>
      </c>
      <c r="BC288" s="495" t="str">
        <f t="shared" si="34"/>
        <v/>
      </c>
      <c r="BD288" s="513" t="str">
        <f>IF(AND(L288="",H288=""),"",
IF(H288="",Pole_Calc!A$9,
IF(H288="MP",Pole_Calc!A$10,
IF(H288="AnMP",Pole_Calc!A$11,
IF(H288="A",Pole_Calc!A$12,
IF(H288="S/A",Pole_Calc!A$13,
IF(H288="A/S",Pole_Calc!A$14,"Poner a mano")))))))</f>
        <v>App.7-V11I-P9.5.1.5</v>
      </c>
      <c r="BE288" s="429" t="s">
        <v>118</v>
      </c>
      <c r="BF288" s="289"/>
      <c r="BG288" s="289"/>
      <c r="BH288" s="290"/>
      <c r="BI288" s="289"/>
    </row>
    <row r="289" spans="1:61" ht="16.149999999999999" customHeight="1">
      <c r="A289" s="514"/>
      <c r="B289" s="450"/>
      <c r="C289" s="3"/>
      <c r="D289" s="83"/>
      <c r="E289" s="4"/>
      <c r="F289" s="4"/>
      <c r="G289" s="6">
        <v>50</v>
      </c>
      <c r="H289" s="449"/>
      <c r="I289" s="4"/>
      <c r="J289" s="3"/>
      <c r="K289" s="449"/>
      <c r="L289" s="449"/>
      <c r="M289" s="449" t="str">
        <f>IF(L289="","",
IF(AX289="PT",VLOOKUP(L289,Foundation_Calc!$V$79:$X$113,VLOOKUP(AX289,Foundation_Calc!$I$10:$J$13,2,FALSE),0),
IF(AX289="K",VLOOKUP(L289,Foundation_Calc!$V$117:$X$151,VLOOKUP(AX289,Foundation_Calc!$I$10:$J$13,2,FALSE),0),"")))</f>
        <v/>
      </c>
      <c r="N289" s="449"/>
      <c r="O289" s="449"/>
      <c r="P289" s="449"/>
      <c r="Q289" s="4"/>
      <c r="R289" s="6"/>
      <c r="S289" s="6"/>
      <c r="T289" s="4"/>
      <c r="U289" s="4"/>
      <c r="V289" s="4"/>
      <c r="W289" s="9"/>
      <c r="X289" s="9"/>
      <c r="Y289" s="9"/>
      <c r="Z289" s="9"/>
      <c r="AA289" s="9"/>
      <c r="AB289" s="9"/>
      <c r="AC289" s="449" t="str">
        <f t="shared" si="35"/>
        <v/>
      </c>
      <c r="AD289" s="449"/>
      <c r="AE289" s="449"/>
      <c r="AF289" s="4"/>
      <c r="AG289" s="83"/>
      <c r="AH289" s="4"/>
      <c r="AI289" s="4"/>
      <c r="AJ289" s="449"/>
      <c r="AK289" s="449"/>
      <c r="AL289" s="449"/>
      <c r="AM289" s="449"/>
      <c r="AN289" s="10"/>
      <c r="AO289" s="9"/>
      <c r="AP289" s="9"/>
      <c r="AQ289" s="9">
        <f>+FL_2($T$290,$U$288,$G$289,1200,9.28, 1*$F$290)</f>
        <v>-0.30001167788322897</v>
      </c>
      <c r="AR289" s="9"/>
      <c r="AS289" s="9"/>
      <c r="AT289" s="9"/>
      <c r="AU289" s="428"/>
      <c r="AV289" s="428"/>
      <c r="AW289" s="449" t="str">
        <f>IF(C289&gt;0,VLOOKUP(C289,Foundation_Calc!$A$2:$C$13,3,1),
IF(J289&gt;0,VLOOKUP(J289,Foundation_Calc!$A$2:$C$13,3,1),""))</f>
        <v/>
      </c>
      <c r="AX289" s="449" t="str">
        <f>IF(C289&gt;0,VLOOKUP(C289,Foundation_Calc!$E$35:$G$65,3,1),
IF(J289&gt;0,VLOOKUP(J289,Foundation_Calc!$E$35:$G$65,3,1),""))</f>
        <v/>
      </c>
      <c r="AY289" s="10" t="str">
        <f>IF(L289="","",
IF(AX289="PT",VLOOKUP(L289,Foundation_Calc!$K$79:$R$113,VLOOKUP(AW289,Foundation_Calc!$I$2:$J$8,2,FALSE),0),
IF(AX289="K",VLOOKUP(L289,Foundation_Calc!$K$117:$R$151,VLOOKUP(AW289,Foundation_Calc!$I$2:$J$8,2,FALSE),0),"")))</f>
        <v/>
      </c>
      <c r="AZ289" s="10" t="str">
        <f>IF(K289="","",
IF(AX289="PT",VLOOKUP(K289,Foundation_Calc!$K$79:$R$113,VLOOKUP(AW289,Foundation_Calc!$I$2:$J$8,2,FALSE),0),
IF(AX289="K",VLOOKUP(K289,Foundation_Calc!$K$117:$R$151,VLOOKUP(AW289,Foundation_Calc!$I$2:$J$8,2,FALSE),0),"")))</f>
        <v/>
      </c>
      <c r="BA289" s="495" t="str">
        <f t="shared" si="32"/>
        <v/>
      </c>
      <c r="BB289" s="495" t="str">
        <f t="shared" si="33"/>
        <v/>
      </c>
      <c r="BC289" s="495" t="str">
        <f t="shared" si="34"/>
        <v/>
      </c>
      <c r="BD289" s="513" t="str">
        <f>IF(AND(L289="",H289=""),"",
IF(H289="",Pole_Calc!A$9,
IF(H289="MP",Pole_Calc!A$10,
IF(H289="AnMP",Pole_Calc!A$11,
IF(H289="A",Pole_Calc!A$12,
IF(H289="S/A",Pole_Calc!A$13,
IF(H289="A/S",Pole_Calc!A$14,"Poner a mano")))))))</f>
        <v/>
      </c>
      <c r="BE289" s="429" t="s">
        <v>118</v>
      </c>
      <c r="BF289" s="290"/>
      <c r="BG289" s="290"/>
      <c r="BH289" s="290"/>
      <c r="BI289" s="290"/>
    </row>
    <row r="290" spans="1:61" ht="16.149999999999999" customHeight="1">
      <c r="A290" s="571"/>
      <c r="B290" s="450" t="s">
        <v>1084</v>
      </c>
      <c r="C290" s="3">
        <f>+$C$288+$G$289</f>
        <v>37259.850000000006</v>
      </c>
      <c r="D290" s="83"/>
      <c r="E290" s="4"/>
      <c r="F290" s="4">
        <v>-1514.9964463397612</v>
      </c>
      <c r="G290" s="6"/>
      <c r="H290" s="449" t="s">
        <v>131</v>
      </c>
      <c r="I290" s="4"/>
      <c r="J290" s="3"/>
      <c r="K290" s="449"/>
      <c r="L290" s="449" t="s">
        <v>183</v>
      </c>
      <c r="M290" s="449" t="str">
        <f>IF(L290="","",
IF(AX290="PT",VLOOKUP(L290,Foundation_Calc!$V$79:$X$113,VLOOKUP(AX290,Foundation_Calc!$I$10:$J$13,2,FALSE),0),
IF(AX290="K",VLOOKUP(L290,Foundation_Calc!$V$117:$X$151,VLOOKUP(AX290,Foundation_Calc!$I$10:$J$13,2,FALSE),0),"")))</f>
        <v>2C3R</v>
      </c>
      <c r="N290" s="449" t="s">
        <v>124</v>
      </c>
      <c r="O290" s="449" t="s">
        <v>133</v>
      </c>
      <c r="P290" s="449"/>
      <c r="Q290" s="4"/>
      <c r="R290" s="6"/>
      <c r="S290" s="6"/>
      <c r="T290" s="4">
        <v>-10</v>
      </c>
      <c r="U290" s="4">
        <v>-30</v>
      </c>
      <c r="V290" s="4"/>
      <c r="W290" s="9">
        <v>1.4</v>
      </c>
      <c r="X290" s="9">
        <v>2.2999999999999998</v>
      </c>
      <c r="Y290" s="9"/>
      <c r="Z290" s="9"/>
      <c r="AA290" s="9">
        <v>0.45</v>
      </c>
      <c r="AB290" s="9"/>
      <c r="AC290" s="449" t="str">
        <f t="shared" si="35"/>
        <v>PHQ</v>
      </c>
      <c r="AD290" s="449"/>
      <c r="AE290" s="449"/>
      <c r="AF290" s="4"/>
      <c r="AG290" s="83"/>
      <c r="AH290" s="4"/>
      <c r="AI290" s="4"/>
      <c r="AJ290" s="449"/>
      <c r="AK290" s="449"/>
      <c r="AL290" s="449"/>
      <c r="AM290" s="449" t="s">
        <v>126</v>
      </c>
      <c r="AN290" s="10">
        <v>5.5</v>
      </c>
      <c r="AO290" s="9"/>
      <c r="AP290" s="9"/>
      <c r="AQ290" s="9"/>
      <c r="AR290" s="9"/>
      <c r="AS290" s="9"/>
      <c r="AT290" s="9">
        <f>+ab($T$290,$T$288,$T$292,$G$289,$G$291, 1*$F$290,1200)</f>
        <v>-6.5870429767938532</v>
      </c>
      <c r="AU290" s="428"/>
      <c r="AV290" s="428"/>
      <c r="AW290" s="449" t="str">
        <f>IF(C290&gt;0,VLOOKUP(C290,Foundation_Calc!$A$2:$C$13,3,1),
IF(J290&gt;0,VLOOKUP(J290,Foundation_Calc!$A$2:$C$13,3,1),""))</f>
        <v>Multi Soil</v>
      </c>
      <c r="AX290" s="449" t="str">
        <f>IF(C290&gt;0,VLOOKUP(C290,Foundation_Calc!$E$35:$G$65,3,1),
IF(J290&gt;0,VLOOKUP(J290,Foundation_Calc!$E$35:$G$65,3,1),""))</f>
        <v>PT</v>
      </c>
      <c r="AY290" s="10">
        <f>IF(L290="","",
IF(AX290="PT",VLOOKUP(L290,Foundation_Calc!$K$79:$R$113,VLOOKUP(AW290,Foundation_Calc!$I$2:$J$8,2,FALSE),0),
IF(AX290="K",VLOOKUP(L290,Foundation_Calc!$K$117:$R$151,VLOOKUP(AW290,Foundation_Calc!$I$2:$J$8,2,FALSE),0),"")))</f>
        <v>3.7</v>
      </c>
      <c r="AZ290" s="10" t="str">
        <f>IF(K290="","",
IF(AX290="PT",VLOOKUP(K290,Foundation_Calc!$K$79:$R$113,VLOOKUP(AW290,Foundation_Calc!$I$2:$J$8,2,FALSE),0),
IF(AX290="K",VLOOKUP(K290,Foundation_Calc!$K$117:$R$151,VLOOKUP(AW290,Foundation_Calc!$I$2:$J$8,2,FALSE),0),"")))</f>
        <v/>
      </c>
      <c r="BA290" s="495" t="str">
        <f t="shared" si="32"/>
        <v>ü</v>
      </c>
      <c r="BB290" s="495" t="str">
        <f t="shared" si="33"/>
        <v/>
      </c>
      <c r="BC290" s="495" t="str">
        <f t="shared" si="34"/>
        <v/>
      </c>
      <c r="BD290" s="513" t="str">
        <f>IF(AND(L290="",H290=""),"",
IF(H290="",Pole_Calc!A$9,
IF(H290="MP",Pole_Calc!A$10,
IF(H290="AnMP",Pole_Calc!A$11,
IF(H290="A",Pole_Calc!A$12,
IF(H290="S/A",Pole_Calc!A$13,
IF(H290="A/S",Pole_Calc!A$14,"Poner a mano")))))))</f>
        <v>App.7-V11I-P9.5.1.5</v>
      </c>
      <c r="BE290" s="429" t="s">
        <v>118</v>
      </c>
      <c r="BF290" s="289"/>
      <c r="BG290" s="289"/>
      <c r="BH290" s="290"/>
      <c r="BI290" s="289"/>
    </row>
    <row r="291" spans="1:61" ht="16.149999999999999" customHeight="1">
      <c r="A291" s="514"/>
      <c r="B291" s="450"/>
      <c r="C291" s="3"/>
      <c r="D291" s="83"/>
      <c r="E291" s="4"/>
      <c r="F291" s="4"/>
      <c r="G291" s="6">
        <v>50</v>
      </c>
      <c r="H291" s="449"/>
      <c r="I291" s="4"/>
      <c r="J291" s="3"/>
      <c r="K291" s="449"/>
      <c r="L291" s="449"/>
      <c r="M291" s="449" t="str">
        <f>IF(L291="","",
IF(AX291="PT",VLOOKUP(L291,Foundation_Calc!$V$79:$X$113,VLOOKUP(AX291,Foundation_Calc!$I$10:$J$13,2,FALSE),0),
IF(AX291="K",VLOOKUP(L291,Foundation_Calc!$V$117:$X$151,VLOOKUP(AX291,Foundation_Calc!$I$10:$J$13,2,FALSE),0),"")))</f>
        <v/>
      </c>
      <c r="N291" s="449"/>
      <c r="O291" s="449"/>
      <c r="P291" s="449"/>
      <c r="Q291" s="4"/>
      <c r="R291" s="6"/>
      <c r="S291" s="6"/>
      <c r="T291" s="4"/>
      <c r="U291" s="4"/>
      <c r="V291" s="4"/>
      <c r="W291" s="9"/>
      <c r="X291" s="9"/>
      <c r="Y291" s="9"/>
      <c r="Z291" s="9"/>
      <c r="AA291" s="9"/>
      <c r="AB291" s="9"/>
      <c r="AC291" s="449" t="str">
        <f t="shared" si="35"/>
        <v/>
      </c>
      <c r="AD291" s="449"/>
      <c r="AE291" s="449"/>
      <c r="AF291" s="4"/>
      <c r="AG291" s="83"/>
      <c r="AH291" s="4"/>
      <c r="AI291" s="4"/>
      <c r="AJ291" s="449"/>
      <c r="AK291" s="449"/>
      <c r="AL291" s="449"/>
      <c r="AM291" s="449"/>
      <c r="AN291" s="10"/>
      <c r="AO291" s="9"/>
      <c r="AP291" s="9"/>
      <c r="AQ291" s="9">
        <f>+FL_1($T$292,$T$290,$G$291,1200,9.28, 1*$F$292)</f>
        <v>0.30709029145574679</v>
      </c>
      <c r="AR291" s="9"/>
      <c r="AS291" s="9"/>
      <c r="AT291" s="9"/>
      <c r="AU291" s="428"/>
      <c r="AV291" s="428"/>
      <c r="AW291" s="449" t="str">
        <f>IF(C291&gt;0,VLOOKUP(C291,Foundation_Calc!$A$2:$C$13,3,1),
IF(J291&gt;0,VLOOKUP(J291,Foundation_Calc!$A$2:$C$13,3,1),""))</f>
        <v/>
      </c>
      <c r="AX291" s="449" t="str">
        <f>IF(C291&gt;0,VLOOKUP(C291,Foundation_Calc!$E$35:$G$65,3,1),
IF(J291&gt;0,VLOOKUP(J291,Foundation_Calc!$E$35:$G$65,3,1),""))</f>
        <v/>
      </c>
      <c r="AY291" s="10" t="str">
        <f>IF(L291="","",
IF(AX291="PT",VLOOKUP(L291,Foundation_Calc!$K$79:$R$113,VLOOKUP(AW291,Foundation_Calc!$I$2:$J$8,2,FALSE),0),
IF(AX291="K",VLOOKUP(L291,Foundation_Calc!$K$117:$R$151,VLOOKUP(AW291,Foundation_Calc!$I$2:$J$8,2,FALSE),0),"")))</f>
        <v/>
      </c>
      <c r="AZ291" s="10" t="str">
        <f>IF(K291="","",
IF(AX291="PT",VLOOKUP(K291,Foundation_Calc!$K$79:$R$113,VLOOKUP(AW291,Foundation_Calc!$I$2:$J$8,2,FALSE),0),
IF(AX291="K",VLOOKUP(K291,Foundation_Calc!$K$117:$R$151,VLOOKUP(AW291,Foundation_Calc!$I$2:$J$8,2,FALSE),0),"")))</f>
        <v/>
      </c>
      <c r="BA291" s="495" t="str">
        <f t="shared" si="32"/>
        <v/>
      </c>
      <c r="BB291" s="495" t="str">
        <f t="shared" si="33"/>
        <v/>
      </c>
      <c r="BC291" s="495" t="str">
        <f t="shared" si="34"/>
        <v/>
      </c>
      <c r="BD291" s="513" t="str">
        <f>IF(AND(L291="",H291=""),"",
IF(H291="",Pole_Calc!A$9,
IF(H291="MP",Pole_Calc!A$10,
IF(H291="AnMP",Pole_Calc!A$11,
IF(H291="A",Pole_Calc!A$12,
IF(H291="S/A",Pole_Calc!A$13,
IF(H291="A/S",Pole_Calc!A$14,"Poner a mano")))))))</f>
        <v/>
      </c>
      <c r="BE291" s="429" t="s">
        <v>118</v>
      </c>
      <c r="BF291" s="290"/>
      <c r="BG291" s="290"/>
      <c r="BH291" s="290"/>
      <c r="BI291" s="290"/>
    </row>
    <row r="292" spans="1:61" ht="16.149999999999999" customHeight="1">
      <c r="A292" s="571"/>
      <c r="B292" s="450" t="s">
        <v>1085</v>
      </c>
      <c r="C292" s="3">
        <f>+$C$290+$G$291-0.6</f>
        <v>37309.250000000007</v>
      </c>
      <c r="D292" s="83"/>
      <c r="E292" s="4"/>
      <c r="F292" s="4">
        <v>-1200</v>
      </c>
      <c r="G292" s="6"/>
      <c r="H292" s="449" t="s">
        <v>121</v>
      </c>
      <c r="I292" s="4" t="s">
        <v>122</v>
      </c>
      <c r="J292" s="3"/>
      <c r="K292" s="449"/>
      <c r="L292" s="449" t="s">
        <v>181</v>
      </c>
      <c r="M292" s="449" t="str">
        <f>IF(L292="","",
IF(AX292="PT",VLOOKUP(L292,Foundation_Calc!$V$79:$X$113,VLOOKUP(AX292,Foundation_Calc!$I$10:$J$13,2,FALSE),0),
IF(AX292="K",VLOOKUP(L292,Foundation_Calc!$V$117:$X$151,VLOOKUP(AX292,Foundation_Calc!$I$10:$J$13,2,FALSE),0),"")))</f>
        <v>C5R</v>
      </c>
      <c r="N292" s="449" t="s">
        <v>124</v>
      </c>
      <c r="O292" s="449"/>
      <c r="P292" s="449"/>
      <c r="Q292" s="4"/>
      <c r="R292" s="6"/>
      <c r="S292" s="6"/>
      <c r="T292" s="4">
        <v>-30</v>
      </c>
      <c r="U292" s="4"/>
      <c r="V292" s="4"/>
      <c r="W292" s="9">
        <v>1.4</v>
      </c>
      <c r="X292" s="9"/>
      <c r="Y292" s="9"/>
      <c r="Z292" s="9"/>
      <c r="AA292" s="9"/>
      <c r="AB292" s="9"/>
      <c r="AC292" s="449" t="str">
        <f t="shared" si="35"/>
        <v>PHC</v>
      </c>
      <c r="AD292" s="449"/>
      <c r="AE292" s="449"/>
      <c r="AF292" s="4"/>
      <c r="AG292" s="83"/>
      <c r="AH292" s="4"/>
      <c r="AI292" s="4"/>
      <c r="AJ292" s="449"/>
      <c r="AK292" s="449"/>
      <c r="AL292" s="449"/>
      <c r="AM292" s="449" t="s">
        <v>126</v>
      </c>
      <c r="AN292" s="10">
        <v>5.5</v>
      </c>
      <c r="AO292" s="9"/>
      <c r="AP292" s="9"/>
      <c r="AQ292" s="9"/>
      <c r="AR292" s="9"/>
      <c r="AS292" s="9"/>
      <c r="AT292" s="9">
        <f>+ab($T$292,$T$290,$T$294,$G$291,$G$293, 1*$F$292,1200)</f>
        <v>-4.1945196298913805</v>
      </c>
      <c r="AU292" s="428"/>
      <c r="AV292" s="428"/>
      <c r="AW292" s="449" t="str">
        <f>IF(C292&gt;0,VLOOKUP(C292,Foundation_Calc!$A$2:$C$13,3,1),
IF(J292&gt;0,VLOOKUP(J292,Foundation_Calc!$A$2:$C$13,3,1),""))</f>
        <v>Multi Soil</v>
      </c>
      <c r="AX292" s="449" t="str">
        <f>IF(C292&gt;0,VLOOKUP(C292,Foundation_Calc!$E$35:$G$65,3,1),
IF(J292&gt;0,VLOOKUP(J292,Foundation_Calc!$E$35:$G$65,3,1),""))</f>
        <v>PT</v>
      </c>
      <c r="AY292" s="10">
        <f>IF(L292="","",
IF(AX292="PT",VLOOKUP(L292,Foundation_Calc!$K$79:$R$113,VLOOKUP(AW292,Foundation_Calc!$I$2:$J$8,2,FALSE),0),
IF(AX292="K",VLOOKUP(L292,Foundation_Calc!$K$117:$R$151,VLOOKUP(AW292,Foundation_Calc!$I$2:$J$8,2,FALSE),0),"")))</f>
        <v>3.5</v>
      </c>
      <c r="AZ292" s="10" t="str">
        <f>IF(K292="","",
IF(AX292="PT",VLOOKUP(K292,Foundation_Calc!$K$79:$R$113,VLOOKUP(AW292,Foundation_Calc!$I$2:$J$8,2,FALSE),0),
IF(AX292="K",VLOOKUP(K292,Foundation_Calc!$K$117:$R$151,VLOOKUP(AW292,Foundation_Calc!$I$2:$J$8,2,FALSE),0),"")))</f>
        <v/>
      </c>
      <c r="BA292" s="495" t="str">
        <f t="shared" si="32"/>
        <v>ü</v>
      </c>
      <c r="BB292" s="495" t="str">
        <f t="shared" si="33"/>
        <v/>
      </c>
      <c r="BC292" s="495" t="str">
        <f t="shared" si="34"/>
        <v/>
      </c>
      <c r="BD292" s="513" t="str">
        <f>IF(AND(L292="",H292=""),"",
IF(H292="",Pole_Calc!A$9,
IF(H292="MP",Pole_Calc!A$10,
IF(H292="AnMP",Pole_Calc!A$11,
IF(H292="A",Pole_Calc!A$12,
IF(H292="S/A",Pole_Calc!A$13,
IF(H292="A/S",Pole_Calc!A$14,"Poner a mano")))))))</f>
        <v>App.7-V11I-P9.5.1.6</v>
      </c>
      <c r="BE292" s="429" t="s">
        <v>118</v>
      </c>
      <c r="BF292" s="289"/>
      <c r="BG292" s="289"/>
      <c r="BH292" s="290"/>
      <c r="BI292" s="289"/>
    </row>
    <row r="293" spans="1:61" ht="16.149999999999999" customHeight="1">
      <c r="A293" s="514"/>
      <c r="B293" s="450"/>
      <c r="C293" s="3"/>
      <c r="D293" s="83"/>
      <c r="E293" s="4"/>
      <c r="F293" s="4"/>
      <c r="G293" s="6">
        <v>50</v>
      </c>
      <c r="H293" s="449"/>
      <c r="I293" s="4"/>
      <c r="J293" s="3">
        <f>C292+7.5</f>
        <v>37316.750000000007</v>
      </c>
      <c r="K293" s="449" t="s">
        <v>117</v>
      </c>
      <c r="L293" s="449"/>
      <c r="M293" s="449" t="str">
        <f>IF(L293="","",
IF(AX293="PT",VLOOKUP(L293,Foundation_Calc!$V$79:$X$113,VLOOKUP(AX293,Foundation_Calc!$I$10:$J$13,2,FALSE),0),
IF(AX293="K",VLOOKUP(L293,Foundation_Calc!$V$117:$X$151,VLOOKUP(AX293,Foundation_Calc!$I$10:$J$13,2,FALSE),0),"")))</f>
        <v/>
      </c>
      <c r="N293" s="449"/>
      <c r="O293" s="449"/>
      <c r="P293" s="449"/>
      <c r="Q293" s="4"/>
      <c r="R293" s="6"/>
      <c r="S293" s="6"/>
      <c r="T293" s="4"/>
      <c r="U293" s="4"/>
      <c r="V293" s="4"/>
      <c r="W293" s="9"/>
      <c r="X293" s="9"/>
      <c r="Y293" s="9"/>
      <c r="Z293" s="9"/>
      <c r="AA293" s="9"/>
      <c r="AB293" s="9"/>
      <c r="AC293" s="449" t="str">
        <f t="shared" si="35"/>
        <v/>
      </c>
      <c r="AD293" s="449"/>
      <c r="AE293" s="449"/>
      <c r="AF293" s="4"/>
      <c r="AG293" s="83"/>
      <c r="AH293" s="4"/>
      <c r="AI293" s="4"/>
      <c r="AJ293" s="449"/>
      <c r="AK293" s="449"/>
      <c r="AL293" s="449"/>
      <c r="AM293" s="449"/>
      <c r="AN293" s="10"/>
      <c r="AO293" s="9"/>
      <c r="AP293" s="9"/>
      <c r="AQ293" s="9">
        <f>+FL_2($T$294,$T$292,$G$293,1200,9.28, 1*$F$294)</f>
        <v>-0.30001500298189332</v>
      </c>
      <c r="AR293" s="9"/>
      <c r="AS293" s="9"/>
      <c r="AT293" s="9"/>
      <c r="AU293" s="428"/>
      <c r="AV293" s="428"/>
      <c r="AW293" s="449" t="str">
        <f>IF(C293&gt;0,VLOOKUP(C293,Foundation_Calc!$A$2:$C$13,3,1),
IF(J293&gt;0,VLOOKUP(J293,Foundation_Calc!$A$2:$C$13,3,1),""))</f>
        <v>Multi Soil</v>
      </c>
      <c r="AX293" s="449" t="str">
        <f>IF(C293&gt;0,VLOOKUP(C293,Foundation_Calc!$E$35:$G$65,3,1),
IF(J293&gt;0,VLOOKUP(J293,Foundation_Calc!$E$35:$G$65,3,1),""))</f>
        <v>PT</v>
      </c>
      <c r="AY293" s="10" t="str">
        <f>IF(L293="","",
IF(AX293="PT",VLOOKUP(L293,Foundation_Calc!$K$79:$R$113,VLOOKUP(AW293,Foundation_Calc!$I$2:$J$8,2,FALSE),0),
IF(AX293="K",VLOOKUP(L293,Foundation_Calc!$K$117:$R$151,VLOOKUP(AW293,Foundation_Calc!$I$2:$J$8,2,FALSE),0),"")))</f>
        <v/>
      </c>
      <c r="AZ293" s="10">
        <f>IF(K293="","",
IF(AX293="PT",VLOOKUP(K293,Foundation_Calc!$K$79:$R$113,VLOOKUP(AW293,Foundation_Calc!$I$2:$J$8,2,FALSE),0),
IF(AX293="K",VLOOKUP(K293,Foundation_Calc!$K$117:$R$151,VLOOKUP(AW293,Foundation_Calc!$I$2:$J$8,2,FALSE),0),"")))</f>
        <v>3.9</v>
      </c>
      <c r="BA293" s="495" t="str">
        <f t="shared" ref="BA293:BA358" si="36">IF(AY293="","",IF(AY293&gt;0,"ü",""))</f>
        <v/>
      </c>
      <c r="BB293" s="495" t="str">
        <f t="shared" ref="BB293:BB358" si="37">IF(AZ293="","",IF(AZ293&gt;0,"ü",""))</f>
        <v>ü</v>
      </c>
      <c r="BC293" s="495" t="str">
        <f t="shared" ref="BC293:BC358" si="38">IF(M293="","",IF(M293="U.S.","ü",IF(M293="U.S. N.D.","ü","")))</f>
        <v/>
      </c>
      <c r="BD293" s="513" t="str">
        <f>IF(AND(L293="",H293=""),"",
IF(H293="",Pole_Calc!A$9,
IF(H293="MP",Pole_Calc!A$10,
IF(H293="AnMP",Pole_Calc!A$11,
IF(H293="A",Pole_Calc!A$12,
IF(H293="S/A",Pole_Calc!A$13,
IF(H293="A/S",Pole_Calc!A$14,"Poner a mano")))))))</f>
        <v/>
      </c>
      <c r="BE293" s="429" t="s">
        <v>118</v>
      </c>
      <c r="BF293" s="290"/>
      <c r="BG293" s="290"/>
      <c r="BH293" s="290"/>
      <c r="BI293" s="290"/>
    </row>
    <row r="294" spans="1:61" ht="16.149999999999999" customHeight="1">
      <c r="A294" s="571"/>
      <c r="B294" s="450" t="s">
        <v>1086</v>
      </c>
      <c r="C294" s="3">
        <f>+$C$292+$G$293</f>
        <v>37359.250000000007</v>
      </c>
      <c r="D294" s="83"/>
      <c r="E294" s="4"/>
      <c r="F294" s="4">
        <v>-1200</v>
      </c>
      <c r="G294" s="6"/>
      <c r="H294" s="449"/>
      <c r="I294" s="4"/>
      <c r="J294" s="3"/>
      <c r="K294" s="449"/>
      <c r="L294" s="449" t="s">
        <v>158</v>
      </c>
      <c r="M294" s="449" t="str">
        <f>IF(L294="","",
IF(AX294="PT",VLOOKUP(L294,Foundation_Calc!$V$79:$X$113,VLOOKUP(AX294,Foundation_Calc!$I$10:$J$13,2,FALSE),0),
IF(AX294="K",VLOOKUP(L294,Foundation_Calc!$V$117:$X$151,VLOOKUP(AX294,Foundation_Calc!$I$10:$J$13,2,FALSE),0),"")))</f>
        <v>C4R</v>
      </c>
      <c r="N294" s="449" t="s">
        <v>124</v>
      </c>
      <c r="O294" s="449"/>
      <c r="P294" s="449"/>
      <c r="Q294" s="4"/>
      <c r="R294" s="6"/>
      <c r="S294" s="6"/>
      <c r="T294" s="4">
        <v>-30</v>
      </c>
      <c r="U294" s="4"/>
      <c r="V294" s="4"/>
      <c r="W294" s="9">
        <v>1.4</v>
      </c>
      <c r="X294" s="9"/>
      <c r="Y294" s="9"/>
      <c r="Z294" s="9"/>
      <c r="AA294" s="9"/>
      <c r="AB294" s="9"/>
      <c r="AC294" s="449" t="str">
        <f t="shared" si="35"/>
        <v>PHC</v>
      </c>
      <c r="AD294" s="449"/>
      <c r="AE294" s="449"/>
      <c r="AF294" s="4"/>
      <c r="AG294" s="83"/>
      <c r="AH294" s="4"/>
      <c r="AI294" s="4"/>
      <c r="AJ294" s="449"/>
      <c r="AK294" s="449"/>
      <c r="AL294" s="449"/>
      <c r="AM294" s="449" t="s">
        <v>126</v>
      </c>
      <c r="AN294" s="10">
        <v>5.5</v>
      </c>
      <c r="AO294" s="9"/>
      <c r="AP294" s="9"/>
      <c r="AQ294" s="9"/>
      <c r="AR294" s="9"/>
      <c r="AS294" s="9"/>
      <c r="AT294" s="9">
        <f>+ab($T$294,$T$292,$T$296,$G$293,$G$295, 1*$F$294,1200)</f>
        <v>-4.8926775362660564</v>
      </c>
      <c r="AU294" s="428"/>
      <c r="AV294" s="428"/>
      <c r="AW294" s="449" t="str">
        <f>IF(C294&gt;0,VLOOKUP(C294,Foundation_Calc!$A$2:$C$13,3,1),
IF(J294&gt;0,VLOOKUP(J294,Foundation_Calc!$A$2:$C$13,3,1),""))</f>
        <v>Multi Soil</v>
      </c>
      <c r="AX294" s="449" t="str">
        <f>IF(C294&gt;0,VLOOKUP(C294,Foundation_Calc!$E$35:$G$65,3,1),
IF(J294&gt;0,VLOOKUP(J294,Foundation_Calc!$E$35:$G$65,3,1),""))</f>
        <v>PT</v>
      </c>
      <c r="AY294" s="10">
        <f>IF(L294="","",
IF(AX294="PT",VLOOKUP(L294,Foundation_Calc!$K$79:$R$113,VLOOKUP(AW294,Foundation_Calc!$I$2:$J$8,2,FALSE),0),
IF(AX294="K",VLOOKUP(L294,Foundation_Calc!$K$117:$R$151,VLOOKUP(AW294,Foundation_Calc!$I$2:$J$8,2,FALSE),0),"")))</f>
        <v>3.5</v>
      </c>
      <c r="AZ294" s="10" t="str">
        <f>IF(K294="","",
IF(AX294="PT",VLOOKUP(K294,Foundation_Calc!$K$79:$R$113,VLOOKUP(AW294,Foundation_Calc!$I$2:$J$8,2,FALSE),0),
IF(AX294="K",VLOOKUP(K294,Foundation_Calc!$K$117:$R$151,VLOOKUP(AW294,Foundation_Calc!$I$2:$J$8,2,FALSE),0),"")))</f>
        <v/>
      </c>
      <c r="BA294" s="495" t="str">
        <f t="shared" si="36"/>
        <v>ü</v>
      </c>
      <c r="BB294" s="495" t="str">
        <f t="shared" si="37"/>
        <v/>
      </c>
      <c r="BC294" s="495" t="str">
        <f t="shared" si="38"/>
        <v/>
      </c>
      <c r="BD294" s="513" t="str">
        <f>IF(AND(L294="",H294=""),"",
IF(H294="",Pole_Calc!A$9,
IF(H294="MP",Pole_Calc!A$10,
IF(H294="AnMP",Pole_Calc!A$11,
IF(H294="A",Pole_Calc!A$12,
IF(H294="S/A",Pole_Calc!A$13,
IF(H294="A/S",Pole_Calc!A$14,"Poner a mano")))))))</f>
        <v>App.7-V11I-P9.5.1.1</v>
      </c>
      <c r="BE294" s="429" t="s">
        <v>118</v>
      </c>
      <c r="BF294" s="289"/>
      <c r="BG294" s="289"/>
      <c r="BH294" s="290"/>
      <c r="BI294" s="289"/>
    </row>
    <row r="295" spans="1:61" ht="16.149999999999999" customHeight="1">
      <c r="A295" s="571"/>
      <c r="B295" s="450"/>
      <c r="C295" s="3"/>
      <c r="D295" s="83"/>
      <c r="E295" s="4"/>
      <c r="F295" s="4"/>
      <c r="G295" s="6">
        <v>43.9</v>
      </c>
      <c r="H295" s="449"/>
      <c r="I295" s="4"/>
      <c r="J295" s="3"/>
      <c r="K295" s="449"/>
      <c r="L295" s="449"/>
      <c r="M295" s="449" t="str">
        <f>IF(L295="","",
IF(AX295="PT",VLOOKUP(L295,Foundation_Calc!$V$79:$X$113,VLOOKUP(AX295,Foundation_Calc!$I$10:$J$13,2,FALSE),0),
IF(AX295="K",VLOOKUP(L295,Foundation_Calc!$V$117:$X$151,VLOOKUP(AX295,Foundation_Calc!$I$10:$J$13,2,FALSE),0),"")))</f>
        <v/>
      </c>
      <c r="N295" s="449"/>
      <c r="O295" s="449"/>
      <c r="P295" s="449"/>
      <c r="Q295" s="4"/>
      <c r="R295" s="6"/>
      <c r="S295" s="6"/>
      <c r="T295" s="4"/>
      <c r="U295" s="4"/>
      <c r="V295" s="4"/>
      <c r="W295" s="9"/>
      <c r="X295" s="9"/>
      <c r="Y295" s="9"/>
      <c r="Z295" s="9"/>
      <c r="AA295" s="9"/>
      <c r="AB295" s="9"/>
      <c r="AC295" s="449" t="str">
        <f t="shared" si="35"/>
        <v/>
      </c>
      <c r="AD295" s="449"/>
      <c r="AE295" s="449"/>
      <c r="AF295" s="4"/>
      <c r="AG295" s="83"/>
      <c r="AH295" s="4"/>
      <c r="AI295" s="4"/>
      <c r="AJ295" s="449"/>
      <c r="AK295" s="449"/>
      <c r="AL295" s="449"/>
      <c r="AM295" s="449"/>
      <c r="AN295" s="10"/>
      <c r="AO295" s="9"/>
      <c r="AP295" s="9"/>
      <c r="AQ295" s="9">
        <f>+FL_2($T$296,$T$294,$G$295,1200,9.28, 1*$F$296)</f>
        <v>-0.30001317298599789</v>
      </c>
      <c r="AR295" s="9"/>
      <c r="AS295" s="9"/>
      <c r="AT295" s="9"/>
      <c r="AU295" s="428"/>
      <c r="AV295" s="428"/>
      <c r="AW295" s="449" t="str">
        <f>IF(C295&gt;0,VLOOKUP(C295,Foundation_Calc!$A$2:$C$13,3,1),
IF(J295&gt;0,VLOOKUP(J295,Foundation_Calc!$A$2:$C$13,3,1),""))</f>
        <v/>
      </c>
      <c r="AX295" s="449" t="str">
        <f>IF(C295&gt;0,VLOOKUP(C295,Foundation_Calc!$E$35:$G$65,3,1),
IF(J295&gt;0,VLOOKUP(J295,Foundation_Calc!$E$35:$G$65,3,1),""))</f>
        <v/>
      </c>
      <c r="AY295" s="10" t="str">
        <f>IF(L295="","",
IF(AX295="PT",VLOOKUP(L295,Foundation_Calc!$K$79:$R$113,VLOOKUP(AW295,Foundation_Calc!$I$2:$J$8,2,FALSE),0),
IF(AX295="K",VLOOKUP(L295,Foundation_Calc!$K$117:$R$151,VLOOKUP(AW295,Foundation_Calc!$I$2:$J$8,2,FALSE),0),"")))</f>
        <v/>
      </c>
      <c r="AZ295" s="10" t="str">
        <f>IF(K295="","",
IF(AX295="PT",VLOOKUP(K295,Foundation_Calc!$K$79:$R$113,VLOOKUP(AW295,Foundation_Calc!$I$2:$J$8,2,FALSE),0),
IF(AX295="K",VLOOKUP(K295,Foundation_Calc!$K$117:$R$151,VLOOKUP(AW295,Foundation_Calc!$I$2:$J$8,2,FALSE),0),"")))</f>
        <v/>
      </c>
      <c r="BA295" s="495" t="str">
        <f t="shared" si="36"/>
        <v/>
      </c>
      <c r="BB295" s="495" t="str">
        <f t="shared" si="37"/>
        <v/>
      </c>
      <c r="BC295" s="495" t="str">
        <f t="shared" si="38"/>
        <v/>
      </c>
      <c r="BD295" s="513" t="str">
        <f>IF(AND(L295="",H295=""),"",
IF(H295="",Pole_Calc!A$9,
IF(H295="MP",Pole_Calc!A$10,
IF(H295="AnMP",Pole_Calc!A$11,
IF(H295="A",Pole_Calc!A$12,
IF(H295="S/A",Pole_Calc!A$13,
IF(H295="A/S",Pole_Calc!A$14,"Poner a mano")))))))</f>
        <v/>
      </c>
      <c r="BE295" s="429" t="s">
        <v>118</v>
      </c>
      <c r="BF295" s="290"/>
      <c r="BG295" s="290"/>
      <c r="BH295" s="290"/>
      <c r="BI295" s="290"/>
    </row>
    <row r="296" spans="1:61" ht="16.149999999999999" customHeight="1">
      <c r="A296" s="571"/>
      <c r="B296" s="450" t="s">
        <v>1087</v>
      </c>
      <c r="C296" s="3">
        <f>+$C$294+$G$295</f>
        <v>37403.150000000009</v>
      </c>
      <c r="D296" s="83"/>
      <c r="E296" s="4"/>
      <c r="F296" s="4">
        <v>-1200</v>
      </c>
      <c r="G296" s="6"/>
      <c r="H296" s="449"/>
      <c r="I296" s="4"/>
      <c r="J296" s="3"/>
      <c r="K296" s="449"/>
      <c r="L296" s="449" t="s">
        <v>158</v>
      </c>
      <c r="M296" s="449" t="str">
        <f>IF(L296="","",
IF(AX296="PT",VLOOKUP(L296,Foundation_Calc!$V$79:$X$113,VLOOKUP(AX296,Foundation_Calc!$I$10:$J$13,2,FALSE),0),
IF(AX296="K",VLOOKUP(L296,Foundation_Calc!$V$117:$X$151,VLOOKUP(AX296,Foundation_Calc!$I$10:$J$13,2,FALSE),0),"")))</f>
        <v>C4R</v>
      </c>
      <c r="N296" s="449" t="s">
        <v>124</v>
      </c>
      <c r="O296" s="449"/>
      <c r="P296" s="449"/>
      <c r="Q296" s="4"/>
      <c r="R296" s="6"/>
      <c r="S296" s="6"/>
      <c r="T296" s="4">
        <v>-30</v>
      </c>
      <c r="U296" s="4"/>
      <c r="V296" s="4"/>
      <c r="W296" s="9">
        <v>1.4</v>
      </c>
      <c r="X296" s="9"/>
      <c r="Y296" s="9"/>
      <c r="Z296" s="9"/>
      <c r="AA296" s="9"/>
      <c r="AB296" s="9"/>
      <c r="AC296" s="449" t="str">
        <f t="shared" si="35"/>
        <v>PHC</v>
      </c>
      <c r="AD296" s="449"/>
      <c r="AE296" s="449"/>
      <c r="AF296" s="4"/>
      <c r="AG296" s="83"/>
      <c r="AH296" s="4"/>
      <c r="AI296" s="4"/>
      <c r="AJ296" s="449"/>
      <c r="AK296" s="449"/>
      <c r="AL296" s="449"/>
      <c r="AM296" s="449" t="s">
        <v>126</v>
      </c>
      <c r="AN296" s="10">
        <v>5.5</v>
      </c>
      <c r="AO296" s="9"/>
      <c r="AP296" s="9"/>
      <c r="AQ296" s="9"/>
      <c r="AR296" s="9"/>
      <c r="AS296" s="9"/>
      <c r="AT296" s="9">
        <f>+ab($T$296,$T$294,$T$298,$G$295,$G$297, 1*$F$296,1200)</f>
        <v>-4.8771710402002224</v>
      </c>
      <c r="AU296" s="428"/>
      <c r="AV296" s="428"/>
      <c r="AW296" s="449" t="str">
        <f>IF(C296&gt;0,VLOOKUP(C296,Foundation_Calc!$A$2:$C$13,3,1),
IF(J296&gt;0,VLOOKUP(J296,Foundation_Calc!$A$2:$C$13,3,1),""))</f>
        <v>Multi Soil</v>
      </c>
      <c r="AX296" s="449" t="str">
        <f>IF(C296&gt;0,VLOOKUP(C296,Foundation_Calc!$E$35:$G$65,3,1),
IF(J296&gt;0,VLOOKUP(J296,Foundation_Calc!$E$35:$G$65,3,1),""))</f>
        <v>PT</v>
      </c>
      <c r="AY296" s="10">
        <f>IF(L296="","",
IF(AX296="PT",VLOOKUP(L296,Foundation_Calc!$K$79:$R$113,VLOOKUP(AW296,Foundation_Calc!$I$2:$J$8,2,FALSE),0),
IF(AX296="K",VLOOKUP(L296,Foundation_Calc!$K$117:$R$151,VLOOKUP(AW296,Foundation_Calc!$I$2:$J$8,2,FALSE),0),"")))</f>
        <v>3.5</v>
      </c>
      <c r="AZ296" s="10" t="str">
        <f>IF(K296="","",
IF(AX296="PT",VLOOKUP(K296,Foundation_Calc!$K$79:$R$113,VLOOKUP(AW296,Foundation_Calc!$I$2:$J$8,2,FALSE),0),
IF(AX296="K",VLOOKUP(K296,Foundation_Calc!$K$117:$R$151,VLOOKUP(AW296,Foundation_Calc!$I$2:$J$8,2,FALSE),0),"")))</f>
        <v/>
      </c>
      <c r="BA296" s="495" t="str">
        <f t="shared" si="36"/>
        <v>ü</v>
      </c>
      <c r="BB296" s="495" t="str">
        <f t="shared" si="37"/>
        <v/>
      </c>
      <c r="BC296" s="495" t="str">
        <f t="shared" si="38"/>
        <v/>
      </c>
      <c r="BD296" s="513" t="str">
        <f>IF(AND(L296="",H296=""),"",
IF(H296="",Pole_Calc!A$9,
IF(H296="MP",Pole_Calc!A$10,
IF(H296="AnMP",Pole_Calc!A$11,
IF(H296="A",Pole_Calc!A$12,
IF(H296="S/A",Pole_Calc!A$13,
IF(H296="A/S",Pole_Calc!A$14,"Poner a mano")))))))</f>
        <v>App.7-V11I-P9.5.1.1</v>
      </c>
      <c r="BE296" s="429" t="s">
        <v>118</v>
      </c>
      <c r="BF296" s="289"/>
      <c r="BG296" s="289"/>
      <c r="BH296" s="290"/>
      <c r="BI296" s="289"/>
    </row>
    <row r="297" spans="1:61" ht="16.149999999999999" customHeight="1">
      <c r="A297" s="696" t="s">
        <v>339</v>
      </c>
      <c r="B297" s="697"/>
      <c r="C297" s="698"/>
      <c r="D297" s="699"/>
      <c r="E297" s="700"/>
      <c r="F297" s="700"/>
      <c r="G297" s="701">
        <v>50.3</v>
      </c>
      <c r="H297" s="702"/>
      <c r="I297" s="700"/>
      <c r="J297" s="698">
        <f>C298-7.5</f>
        <v>37445.950000000012</v>
      </c>
      <c r="K297" s="702" t="s">
        <v>166</v>
      </c>
      <c r="L297" s="702"/>
      <c r="M297" s="702" t="str">
        <f>IF(L297="","",
IF(AX297="PT",VLOOKUP(L297,Foundation_Calc!$V$79:$X$113,VLOOKUP(AX297,Foundation_Calc!$I$10:$J$13,2,FALSE),0),
IF(AX297="K",VLOOKUP(L297,Foundation_Calc!$V$117:$X$151,VLOOKUP(AX297,Foundation_Calc!$I$10:$J$13,2,FALSE),0),"")))</f>
        <v/>
      </c>
      <c r="N297" s="702"/>
      <c r="O297" s="702"/>
      <c r="P297" s="702"/>
      <c r="Q297" s="700"/>
      <c r="R297" s="701"/>
      <c r="S297" s="701"/>
      <c r="T297" s="700"/>
      <c r="U297" s="700"/>
      <c r="V297" s="700"/>
      <c r="W297" s="703"/>
      <c r="X297" s="703"/>
      <c r="Y297" s="703"/>
      <c r="Z297" s="703"/>
      <c r="AA297" s="703"/>
      <c r="AB297" s="703"/>
      <c r="AC297" s="702" t="str">
        <f t="shared" si="35"/>
        <v/>
      </c>
      <c r="AD297" s="702"/>
      <c r="AE297" s="702"/>
      <c r="AF297" s="700"/>
      <c r="AG297" s="699"/>
      <c r="AH297" s="700"/>
      <c r="AI297" s="700"/>
      <c r="AJ297" s="702"/>
      <c r="AK297" s="702"/>
      <c r="AL297" s="702"/>
      <c r="AM297" s="702"/>
      <c r="AN297" s="704"/>
      <c r="AO297" s="703"/>
      <c r="AP297" s="703"/>
      <c r="AQ297" s="703">
        <f>+FL_2($T$298,$T$296,$G$297,1200,9.28, 1*$F$298)</f>
        <v>-0.30001509298163564</v>
      </c>
      <c r="AR297" s="703"/>
      <c r="AS297" s="703"/>
      <c r="AT297" s="703"/>
      <c r="AU297" s="705"/>
      <c r="AV297" s="705"/>
      <c r="AW297" s="702" t="str">
        <f>IF(C297&gt;0,VLOOKUP(C297,Foundation_Calc!$A$2:$C$13,3,1),
IF(J297&gt;0,VLOOKUP(J297,Foundation_Calc!$A$2:$C$13,3,1),""))</f>
        <v>Multi Soil</v>
      </c>
      <c r="AX297" s="702" t="str">
        <f>IF(C297&gt;0,VLOOKUP(C297,Foundation_Calc!$E$35:$G$65,3,1),
IF(J297&gt;0,VLOOKUP(J297,Foundation_Calc!$E$35:$G$65,3,1),""))</f>
        <v>PT</v>
      </c>
      <c r="AY297" s="704" t="str">
        <f>IF(L297="","",
IF(AX297="PT",VLOOKUP(L297,Foundation_Calc!$K$79:$R$113,VLOOKUP(AW297,Foundation_Calc!$I$2:$J$8,2,FALSE),0),
IF(AX297="K",VLOOKUP(L297,Foundation_Calc!$K$117:$R$151,VLOOKUP(AW297,Foundation_Calc!$I$2:$J$8,2,FALSE),0),"")))</f>
        <v/>
      </c>
      <c r="AZ297" s="704">
        <f>IF(K297="","",
IF(AX297="PT",VLOOKUP(K297,Foundation_Calc!$K$79:$R$113,VLOOKUP(AW297,Foundation_Calc!$I$2:$J$8,2,FALSE),0),
IF(AX297="K",VLOOKUP(K297,Foundation_Calc!$K$117:$R$151,VLOOKUP(AW297,Foundation_Calc!$I$2:$J$8,2,FALSE),0),"")))</f>
        <v>2.8</v>
      </c>
      <c r="BA297" s="495" t="str">
        <f t="shared" si="36"/>
        <v/>
      </c>
      <c r="BB297" s="495" t="str">
        <f t="shared" si="37"/>
        <v>ü</v>
      </c>
      <c r="BC297" s="495" t="str">
        <f t="shared" si="38"/>
        <v/>
      </c>
      <c r="BD297" s="513" t="str">
        <f>IF(AND(L297="",H297=""),"",
IF(H297="",Pole_Calc!A$9,
IF(H297="MP",Pole_Calc!A$10,
IF(H297="AnMP",Pole_Calc!A$11,
IF(H297="A",Pole_Calc!A$12,
IF(H297="S/A",Pole_Calc!A$13,
IF(H297="A/S",Pole_Calc!A$14,"Poner a mano")))))))</f>
        <v/>
      </c>
      <c r="BE297" s="429" t="s">
        <v>118</v>
      </c>
      <c r="BF297" s="290"/>
      <c r="BG297" s="290"/>
      <c r="BH297" s="290"/>
      <c r="BI297" s="290"/>
    </row>
    <row r="298" spans="1:61" ht="16.149999999999999" customHeight="1">
      <c r="A298" s="514"/>
      <c r="B298" s="450" t="s">
        <v>1088</v>
      </c>
      <c r="C298" s="3">
        <f>+$C$296+$G$297</f>
        <v>37453.450000000012</v>
      </c>
      <c r="D298" s="83"/>
      <c r="E298" s="4"/>
      <c r="F298" s="4">
        <v>-1200</v>
      </c>
      <c r="G298" s="6"/>
      <c r="H298" s="449" t="s">
        <v>168</v>
      </c>
      <c r="I298" s="4"/>
      <c r="J298" s="3"/>
      <c r="K298" s="449"/>
      <c r="L298" s="449" t="s">
        <v>158</v>
      </c>
      <c r="M298" s="449" t="str">
        <f>IF(L298="","",
IF(AX298="PT",VLOOKUP(L298,Foundation_Calc!$V$79:$X$113,VLOOKUP(AX298,Foundation_Calc!$I$10:$J$13,2,FALSE),0),
IF(AX298="K",VLOOKUP(L298,Foundation_Calc!$V$117:$X$151,VLOOKUP(AX298,Foundation_Calc!$I$10:$J$13,2,FALSE),0),"")))</f>
        <v>C4R</v>
      </c>
      <c r="N298" s="449" t="s">
        <v>124</v>
      </c>
      <c r="O298" s="449"/>
      <c r="P298" s="449"/>
      <c r="Q298" s="4"/>
      <c r="R298" s="6"/>
      <c r="S298" s="6"/>
      <c r="T298" s="4">
        <v>-30</v>
      </c>
      <c r="U298" s="4"/>
      <c r="V298" s="4"/>
      <c r="W298" s="9">
        <v>1.4</v>
      </c>
      <c r="X298" s="9"/>
      <c r="Y298" s="9"/>
      <c r="Z298" s="9"/>
      <c r="AA298" s="9"/>
      <c r="AB298" s="9"/>
      <c r="AC298" s="449" t="str">
        <f t="shared" si="35"/>
        <v>PHC</v>
      </c>
      <c r="AD298" s="449"/>
      <c r="AE298" s="449"/>
      <c r="AF298" s="4"/>
      <c r="AG298" s="83"/>
      <c r="AH298" s="4"/>
      <c r="AI298" s="4"/>
      <c r="AJ298" s="449"/>
      <c r="AK298" s="449"/>
      <c r="AL298" s="449"/>
      <c r="AM298" s="449" t="s">
        <v>126</v>
      </c>
      <c r="AN298" s="10">
        <v>5.5</v>
      </c>
      <c r="AO298" s="9"/>
      <c r="AP298" s="9"/>
      <c r="AQ298" s="9"/>
      <c r="AR298" s="9"/>
      <c r="AS298" s="9"/>
      <c r="AT298" s="9">
        <f>+ab($T$298,$T$296,$T$300,$G$297,$G$299, 1*$F$298,1200)</f>
        <v>-4.9345131701363956</v>
      </c>
      <c r="AU298" s="428"/>
      <c r="AV298" s="428"/>
      <c r="AW298" s="449" t="str">
        <f>IF(C298&gt;0,VLOOKUP(C298,Foundation_Calc!$A$2:$C$13,3,1),
IF(J298&gt;0,VLOOKUP(J298,Foundation_Calc!$A$2:$C$13,3,1),""))</f>
        <v>Multi Soil</v>
      </c>
      <c r="AX298" s="449" t="str">
        <f>IF(C298&gt;0,VLOOKUP(C298,Foundation_Calc!$E$35:$G$65,3,1),
IF(J298&gt;0,VLOOKUP(J298,Foundation_Calc!$E$35:$G$65,3,1),""))</f>
        <v>PT</v>
      </c>
      <c r="AY298" s="10">
        <f>IF(L298="","",
IF(AX298="PT",VLOOKUP(L298,Foundation_Calc!$K$79:$R$113,VLOOKUP(AW298,Foundation_Calc!$I$2:$J$8,2,FALSE),0),
IF(AX298="K",VLOOKUP(L298,Foundation_Calc!$K$117:$R$151,VLOOKUP(AW298,Foundation_Calc!$I$2:$J$8,2,FALSE),0),"")))</f>
        <v>3.5</v>
      </c>
      <c r="AZ298" s="10" t="str">
        <f>IF(K298="","",
IF(AX298="PT",VLOOKUP(K298,Foundation_Calc!$K$79:$R$113,VLOOKUP(AW298,Foundation_Calc!$I$2:$J$8,2,FALSE),0),
IF(AX298="K",VLOOKUP(K298,Foundation_Calc!$K$117:$R$151,VLOOKUP(AW298,Foundation_Calc!$I$2:$J$8,2,FALSE),0),"")))</f>
        <v/>
      </c>
      <c r="BA298" s="495" t="str">
        <f t="shared" si="36"/>
        <v>ü</v>
      </c>
      <c r="BB298" s="495" t="str">
        <f t="shared" si="37"/>
        <v/>
      </c>
      <c r="BC298" s="495" t="str">
        <f t="shared" si="38"/>
        <v/>
      </c>
      <c r="BD298" s="513" t="str">
        <f>IF(AND(L298="",H298=""),"",
IF(H298="",Pole_Calc!A$9,
IF(H298="MP",Pole_Calc!A$10,
IF(H298="AnMP",Pole_Calc!A$11,
IF(H298="A",Pole_Calc!A$12,
IF(H298="S/A",Pole_Calc!A$13,
IF(H298="A/S",Pole_Calc!A$14,"Poner a mano")))))))</f>
        <v>App.7-V11I-P9.5.1.3</v>
      </c>
      <c r="BE298" s="429" t="s">
        <v>118</v>
      </c>
      <c r="BF298" s="289"/>
      <c r="BG298" s="289"/>
      <c r="BH298" s="290"/>
      <c r="BI298" s="289"/>
    </row>
    <row r="299" spans="1:61" ht="16.149999999999999" customHeight="1">
      <c r="A299" s="696" t="s">
        <v>341</v>
      </c>
      <c r="B299" s="697"/>
      <c r="C299" s="698"/>
      <c r="D299" s="699"/>
      <c r="E299" s="700"/>
      <c r="F299" s="700"/>
      <c r="G299" s="701">
        <v>42.8</v>
      </c>
      <c r="H299" s="702"/>
      <c r="I299" s="700">
        <f>SUM(G287:G299)</f>
        <v>337</v>
      </c>
      <c r="J299" s="698"/>
      <c r="K299" s="702"/>
      <c r="L299" s="702"/>
      <c r="M299" s="702" t="str">
        <f>IF(L299="","",
IF(AX299="PT",VLOOKUP(L299,Foundation_Calc!$V$79:$X$113,VLOOKUP(AX299,Foundation_Calc!$I$10:$J$13,2,FALSE),0),
IF(AX299="K",VLOOKUP(L299,Foundation_Calc!$V$117:$X$151,VLOOKUP(AX299,Foundation_Calc!$I$10:$J$13,2,FALSE),0),"")))</f>
        <v/>
      </c>
      <c r="N299" s="702"/>
      <c r="O299" s="702"/>
      <c r="P299" s="702"/>
      <c r="Q299" s="700"/>
      <c r="R299" s="701"/>
      <c r="S299" s="701"/>
      <c r="T299" s="700"/>
      <c r="U299" s="700"/>
      <c r="V299" s="700"/>
      <c r="W299" s="703"/>
      <c r="X299" s="703"/>
      <c r="Y299" s="703"/>
      <c r="Z299" s="703"/>
      <c r="AA299" s="703"/>
      <c r="AB299" s="703"/>
      <c r="AC299" s="702" t="str">
        <f t="shared" si="35"/>
        <v/>
      </c>
      <c r="AD299" s="702"/>
      <c r="AE299" s="702"/>
      <c r="AF299" s="700"/>
      <c r="AG299" s="699"/>
      <c r="AH299" s="700"/>
      <c r="AI299" s="700"/>
      <c r="AJ299" s="702"/>
      <c r="AK299" s="702"/>
      <c r="AL299" s="702"/>
      <c r="AM299" s="702"/>
      <c r="AN299" s="704"/>
      <c r="AO299" s="703"/>
      <c r="AP299" s="703"/>
      <c r="AQ299" s="703">
        <f>+FL_2($T$300,$T$298,$G$299,1200,9.28, 1*$F$300)</f>
        <v>-0.3</v>
      </c>
      <c r="AR299" s="703"/>
      <c r="AS299" s="703"/>
      <c r="AT299" s="703"/>
      <c r="AU299" s="705"/>
      <c r="AV299" s="705"/>
      <c r="AW299" s="702" t="str">
        <f>IF(C299&gt;0,VLOOKUP(C299,Foundation_Calc!$A$2:$C$13,3,1),
IF(J299&gt;0,VLOOKUP(J299,Foundation_Calc!$A$2:$C$13,3,1),""))</f>
        <v/>
      </c>
      <c r="AX299" s="702" t="str">
        <f>IF(C299&gt;0,VLOOKUP(C299,Foundation_Calc!$E$35:$G$65,3,1),
IF(J299&gt;0,VLOOKUP(J299,Foundation_Calc!$E$35:$G$65,3,1),""))</f>
        <v/>
      </c>
      <c r="AY299" s="704" t="str">
        <f>IF(L299="","",
IF(AX299="PT",VLOOKUP(L299,Foundation_Calc!$K$79:$R$113,VLOOKUP(AW299,Foundation_Calc!$I$2:$J$8,2,FALSE),0),
IF(AX299="K",VLOOKUP(L299,Foundation_Calc!$K$117:$R$151,VLOOKUP(AW299,Foundation_Calc!$I$2:$J$8,2,FALSE),0),"")))</f>
        <v/>
      </c>
      <c r="AZ299" s="704" t="str">
        <f>IF(K299="","",
IF(AX299="PT",VLOOKUP(K299,Foundation_Calc!$K$79:$R$113,VLOOKUP(AW299,Foundation_Calc!$I$2:$J$8,2,FALSE),0),
IF(AX299="K",VLOOKUP(K299,Foundation_Calc!$K$117:$R$151,VLOOKUP(AW299,Foundation_Calc!$I$2:$J$8,2,FALSE),0),"")))</f>
        <v/>
      </c>
      <c r="BA299" s="495" t="str">
        <f t="shared" si="36"/>
        <v/>
      </c>
      <c r="BB299" s="495" t="str">
        <f t="shared" si="37"/>
        <v/>
      </c>
      <c r="BC299" s="495" t="str">
        <f t="shared" si="38"/>
        <v/>
      </c>
      <c r="BD299" s="513" t="str">
        <f>IF(AND(L299="",H299=""),"",
IF(H299="",Pole_Calc!A$9,
IF(H299="MP",Pole_Calc!A$10,
IF(H299="AnMP",Pole_Calc!A$11,
IF(H299="A",Pole_Calc!A$12,
IF(H299="S/A",Pole_Calc!A$13,
IF(H299="A/S",Pole_Calc!A$14,"Poner a mano")))))))</f>
        <v/>
      </c>
      <c r="BE299" s="429" t="s">
        <v>118</v>
      </c>
      <c r="BF299" s="290"/>
      <c r="BG299" s="290"/>
      <c r="BH299" s="290"/>
      <c r="BI299" s="290"/>
    </row>
    <row r="300" spans="1:61" ht="16.149999999999999" customHeight="1">
      <c r="A300" s="571"/>
      <c r="B300" s="450" t="s">
        <v>1089</v>
      </c>
      <c r="C300" s="3">
        <f>+$C$298+$G$299</f>
        <v>37496.250000000015</v>
      </c>
      <c r="D300" s="83"/>
      <c r="E300" s="4"/>
      <c r="F300" s="4">
        <v>-1200</v>
      </c>
      <c r="G300" s="6"/>
      <c r="H300" s="449" t="s">
        <v>171</v>
      </c>
      <c r="I300" s="4"/>
      <c r="J300" s="3"/>
      <c r="K300" s="449"/>
      <c r="L300" s="449" t="s">
        <v>568</v>
      </c>
      <c r="M300" s="449" t="str">
        <f>IF(L300="","",
IF(AX300="PT",VLOOKUP(L300,Foundation_Calc!$V$79:$X$113,VLOOKUP(AX300,Foundation_Calc!$I$10:$J$13,2,FALSE),0),
IF(AX300="K",VLOOKUP(L300,Foundation_Calc!$V$117:$X$151,VLOOKUP(AX300,Foundation_Calc!$I$10:$J$13,2,FALSE),0),"")))</f>
        <v>C9R</v>
      </c>
      <c r="N300" s="449" t="s">
        <v>124</v>
      </c>
      <c r="O300" s="449"/>
      <c r="P300" s="449"/>
      <c r="Q300" s="4"/>
      <c r="R300" s="6"/>
      <c r="S300" s="6"/>
      <c r="T300" s="4">
        <v>-30</v>
      </c>
      <c r="U300" s="4"/>
      <c r="V300" s="4"/>
      <c r="W300" s="572">
        <v>1.1000000000000001</v>
      </c>
      <c r="X300" s="9"/>
      <c r="Y300" s="9"/>
      <c r="Z300" s="9"/>
      <c r="AA300" s="9"/>
      <c r="AB300" s="9"/>
      <c r="AC300" s="449" t="str">
        <f t="shared" si="35"/>
        <v>PHQ</v>
      </c>
      <c r="AD300" s="449"/>
      <c r="AE300" s="449"/>
      <c r="AF300" s="4"/>
      <c r="AG300" s="83"/>
      <c r="AH300" s="4"/>
      <c r="AI300" s="4"/>
      <c r="AJ300" s="449"/>
      <c r="AK300" s="449"/>
      <c r="AL300" s="449" t="s">
        <v>569</v>
      </c>
      <c r="AM300" s="449" t="s">
        <v>126</v>
      </c>
      <c r="AN300" s="10">
        <v>5.5</v>
      </c>
      <c r="AO300" s="9"/>
      <c r="AP300" s="9"/>
      <c r="AQ300" s="9"/>
      <c r="AR300" s="9"/>
      <c r="AS300" s="9"/>
      <c r="AT300" s="9">
        <f>+ab($T$300,$T$298,$T$302,$G$299,$G$301,-1*$F$300,1200)</f>
        <v>5.0588656861508055</v>
      </c>
      <c r="AU300" s="428"/>
      <c r="AV300" s="428"/>
      <c r="AW300" s="449" t="str">
        <f>IF(C300&gt;0,VLOOKUP(C300,Foundation_Calc!$A$2:$C$13,3,1),
IF(J300&gt;0,VLOOKUP(J300,Foundation_Calc!$A$2:$C$13,3,1),""))</f>
        <v>Multi Soil</v>
      </c>
      <c r="AX300" s="449" t="str">
        <f>IF(C300&gt;0,VLOOKUP(C300,Foundation_Calc!$E$2:$G$33,3,1),
IF(J300&gt;0,VLOOKUP(J300,Foundation_Calc!$E$2:$G$33,3,1),""))</f>
        <v>PT</v>
      </c>
      <c r="AY300" s="10">
        <f>IF(L300="","",
IF(AX300="PT",VLOOKUP(L300,Foundation_Calc!$K$79:$R$113,VLOOKUP(AW300,Foundation_Calc!$I$2:$J$8,2,FALSE),0),
IF(AX300="K",VLOOKUP(L300,Foundation_Calc!$K$117:$R$151,VLOOKUP(AW300,Foundation_Calc!$I$2:$J$8,2,FALSE),0),"")))</f>
        <v>4.5999999999999996</v>
      </c>
      <c r="AZ300" s="10" t="str">
        <f>IF(K300="","",
IF(AX300="PT",VLOOKUP(K300,Foundation_Calc!$K$79:$R$113,VLOOKUP(AW300,Foundation_Calc!$I$2:$J$8,2,FALSE),0),
IF(AX300="K",VLOOKUP(K300,Foundation_Calc!$K$117:$R$151,VLOOKUP(AW300,Foundation_Calc!$I$2:$J$8,2,FALSE),0),"")))</f>
        <v/>
      </c>
      <c r="BA300" s="495" t="str">
        <f t="shared" si="36"/>
        <v>ü</v>
      </c>
      <c r="BB300" s="495" t="str">
        <f t="shared" si="37"/>
        <v/>
      </c>
      <c r="BC300" s="495" t="str">
        <f t="shared" si="38"/>
        <v/>
      </c>
      <c r="BD300" s="513" t="str">
        <f>Pole_Calc!A$232</f>
        <v>App.7-V11I-P13.3</v>
      </c>
      <c r="BE300" s="429" t="s">
        <v>118</v>
      </c>
      <c r="BF300" s="289"/>
      <c r="BG300" s="289"/>
      <c r="BH300" s="290"/>
      <c r="BI300" s="289"/>
    </row>
    <row r="301" spans="1:61" ht="16.149999999999999" customHeight="1">
      <c r="A301" s="571"/>
      <c r="B301" s="450"/>
      <c r="C301" s="3"/>
      <c r="D301" s="83"/>
      <c r="E301" s="4"/>
      <c r="F301" s="4"/>
      <c r="G301" s="6">
        <v>48</v>
      </c>
      <c r="H301" s="449"/>
      <c r="I301" s="4">
        <f>SUM(G301:G315)</f>
        <v>354.2</v>
      </c>
      <c r="J301" s="3"/>
      <c r="K301" s="449"/>
      <c r="L301" s="449"/>
      <c r="M301" s="449" t="str">
        <f>IF(L301="","",
IF(AX301="PT",VLOOKUP(L301,Foundation_Calc!$V$79:$X$113,VLOOKUP(AX301,Foundation_Calc!$I$10:$J$13,2,FALSE),0),
IF(AX301="K",VLOOKUP(L301,Foundation_Calc!$V$117:$X$151,VLOOKUP(AX301,Foundation_Calc!$I$10:$J$13,2,FALSE),0),"")))</f>
        <v/>
      </c>
      <c r="N301" s="449"/>
      <c r="O301" s="449"/>
      <c r="P301" s="449"/>
      <c r="Q301" s="4"/>
      <c r="R301" s="6"/>
      <c r="S301" s="6"/>
      <c r="T301" s="4"/>
      <c r="U301" s="4"/>
      <c r="V301" s="4"/>
      <c r="W301" s="572"/>
      <c r="X301" s="9"/>
      <c r="Y301" s="9"/>
      <c r="Z301" s="9"/>
      <c r="AA301" s="9"/>
      <c r="AB301" s="9"/>
      <c r="AC301" s="449" t="str">
        <f t="shared" si="35"/>
        <v/>
      </c>
      <c r="AD301" s="449"/>
      <c r="AE301" s="449"/>
      <c r="AF301" s="4"/>
      <c r="AG301" s="83"/>
      <c r="AH301" s="4"/>
      <c r="AI301" s="4"/>
      <c r="AJ301" s="449"/>
      <c r="AK301" s="449"/>
      <c r="AL301" s="449"/>
      <c r="AM301" s="449"/>
      <c r="AN301" s="10"/>
      <c r="AO301" s="9"/>
      <c r="AP301" s="9"/>
      <c r="AQ301" s="9">
        <f>+FL_2($T$302,$T$300,$G$301,1200,9.28, 1*$F$302)</f>
        <v>-0.30001440298338383</v>
      </c>
      <c r="AR301" s="9"/>
      <c r="AS301" s="9"/>
      <c r="AT301" s="9"/>
      <c r="AU301" s="428"/>
      <c r="AV301" s="428"/>
      <c r="AW301" s="449" t="str">
        <f>IF(C301&gt;0,VLOOKUP(C301,Foundation_Calc!$A$2:$C$13,3,1),
IF(J301&gt;0,VLOOKUP(J301,Foundation_Calc!$A$2:$C$13,3,1),""))</f>
        <v/>
      </c>
      <c r="AX301" s="449" t="str">
        <f>IF(C301&gt;0,VLOOKUP(C301,Foundation_Calc!$E$35:$G$65,3,1),
IF(J301&gt;0,VLOOKUP(J301,Foundation_Calc!$E$35:$G$65,3,1),""))</f>
        <v/>
      </c>
      <c r="AY301" s="10" t="str">
        <f>IF(L301="","",
IF(AX301="PT",VLOOKUP(L301,Foundation_Calc!$K$79:$R$113,VLOOKUP(AW301,Foundation_Calc!$I$2:$J$8,2,FALSE),0),
IF(AX301="K",VLOOKUP(L301,Foundation_Calc!$K$117:$R$151,VLOOKUP(AW301,Foundation_Calc!$I$2:$J$8,2,FALSE),0),"")))</f>
        <v/>
      </c>
      <c r="AZ301" s="10" t="str">
        <f>IF(K301="","",
IF(AX301="PT",VLOOKUP(K301,Foundation_Calc!$K$79:$R$113,VLOOKUP(AW301,Foundation_Calc!$I$2:$J$8,2,FALSE),0),
IF(AX301="K",VLOOKUP(K301,Foundation_Calc!$K$117:$R$151,VLOOKUP(AW301,Foundation_Calc!$I$2:$J$8,2,FALSE),0),"")))</f>
        <v/>
      </c>
      <c r="BA301" s="495" t="str">
        <f t="shared" si="36"/>
        <v/>
      </c>
      <c r="BB301" s="495" t="str">
        <f t="shared" si="37"/>
        <v/>
      </c>
      <c r="BC301" s="495" t="str">
        <f t="shared" si="38"/>
        <v/>
      </c>
      <c r="BD301" s="513" t="str">
        <f>IF(AND(L301="",H301=""),"",
IF(H301="",Pole_Calc!A$9,
IF(H301="MP",Pole_Calc!A$10,
IF(H301="AnMP",Pole_Calc!A$11,
IF(H301="A",Pole_Calc!A$12,
IF(H301="S/A",Pole_Calc!A$13,
IF(H301="A/S",Pole_Calc!A$14,"Poner a mano")))))))</f>
        <v/>
      </c>
      <c r="BE301" s="429" t="s">
        <v>118</v>
      </c>
      <c r="BF301" s="290"/>
      <c r="BG301" s="290"/>
      <c r="BH301" s="290"/>
      <c r="BI301" s="290"/>
    </row>
    <row r="302" spans="1:61" ht="16.149999999999999" customHeight="1">
      <c r="A302" s="571"/>
      <c r="B302" s="450" t="s">
        <v>1090</v>
      </c>
      <c r="C302" s="3">
        <f>+$C$300+$G$301</f>
        <v>37544.250000000015</v>
      </c>
      <c r="D302" s="83"/>
      <c r="E302" s="4"/>
      <c r="F302" s="4">
        <v>-1200</v>
      </c>
      <c r="G302" s="6"/>
      <c r="H302" s="449" t="s">
        <v>168</v>
      </c>
      <c r="I302" s="4"/>
      <c r="J302" s="3"/>
      <c r="K302" s="449"/>
      <c r="L302" s="449" t="s">
        <v>158</v>
      </c>
      <c r="M302" s="449" t="str">
        <f>IF(L302="","",
IF(AX302="PT",VLOOKUP(L302,Foundation_Calc!$V$79:$X$113,VLOOKUP(AX302,Foundation_Calc!$I$10:$J$13,2,FALSE),0),
IF(AX302="K",VLOOKUP(L302,Foundation_Calc!$V$117:$X$151,VLOOKUP(AX302,Foundation_Calc!$I$10:$J$13,2,FALSE),0),"")))</f>
        <v>C4R</v>
      </c>
      <c r="N302" s="449" t="s">
        <v>124</v>
      </c>
      <c r="O302" s="449"/>
      <c r="P302" s="449"/>
      <c r="Q302" s="4"/>
      <c r="R302" s="6"/>
      <c r="S302" s="6"/>
      <c r="T302" s="4">
        <v>-30</v>
      </c>
      <c r="U302" s="4"/>
      <c r="V302" s="4"/>
      <c r="W302" s="572">
        <v>0.9</v>
      </c>
      <c r="X302" s="9"/>
      <c r="Y302" s="9"/>
      <c r="Z302" s="9"/>
      <c r="AA302" s="9"/>
      <c r="AB302" s="9"/>
      <c r="AC302" s="449" t="str">
        <f t="shared" si="35"/>
        <v>PHC</v>
      </c>
      <c r="AD302" s="449"/>
      <c r="AE302" s="449"/>
      <c r="AF302" s="4"/>
      <c r="AG302" s="83"/>
      <c r="AH302" s="4"/>
      <c r="AI302" s="4"/>
      <c r="AJ302" s="449"/>
      <c r="AK302" s="449"/>
      <c r="AL302" s="449"/>
      <c r="AM302" s="449" t="s">
        <v>126</v>
      </c>
      <c r="AN302" s="10">
        <v>5.5</v>
      </c>
      <c r="AO302" s="9"/>
      <c r="AP302" s="9"/>
      <c r="AQ302" s="9"/>
      <c r="AR302" s="9"/>
      <c r="AS302" s="9"/>
      <c r="AT302" s="9">
        <f>+ab($T$302,$T$300,$T$304,$G$301,$G$303, 1*$F$302,1200)</f>
        <v>-4.9239874966500059</v>
      </c>
      <c r="AU302" s="428"/>
      <c r="AV302" s="428"/>
      <c r="AW302" s="449" t="str">
        <f>IF(C302&gt;0,VLOOKUP(C302,Foundation_Calc!$A$2:$C$13,3,1),
IF(J302&gt;0,VLOOKUP(J302,Foundation_Calc!$A$2:$C$13,3,1),""))</f>
        <v>Multi Soil</v>
      </c>
      <c r="AX302" s="449" t="str">
        <f>IF(C302&gt;0,VLOOKUP(C302,Foundation_Calc!$E$35:$G$65,3,1),
IF(J302&gt;0,VLOOKUP(J302,Foundation_Calc!$E$35:$G$65,3,1),""))</f>
        <v>PT</v>
      </c>
      <c r="AY302" s="10">
        <f>IF(L302="","",
IF(AX302="PT",VLOOKUP(L302,Foundation_Calc!$K$79:$R$113,VLOOKUP(AW302,Foundation_Calc!$I$2:$J$8,2,FALSE),0),
IF(AX302="K",VLOOKUP(L302,Foundation_Calc!$K$117:$R$151,VLOOKUP(AW302,Foundation_Calc!$I$2:$J$8,2,FALSE),0),"")))</f>
        <v>3.5</v>
      </c>
      <c r="AZ302" s="10" t="str">
        <f>IF(K302="","",
IF(AX302="PT",VLOOKUP(K302,Foundation_Calc!$K$79:$R$113,VLOOKUP(AW302,Foundation_Calc!$I$2:$J$8,2,FALSE),0),
IF(AX302="K",VLOOKUP(K302,Foundation_Calc!$K$117:$R$151,VLOOKUP(AW302,Foundation_Calc!$I$2:$J$8,2,FALSE),0),"")))</f>
        <v/>
      </c>
      <c r="BA302" s="495" t="str">
        <f t="shared" si="36"/>
        <v>ü</v>
      </c>
      <c r="BB302" s="495" t="str">
        <f t="shared" si="37"/>
        <v/>
      </c>
      <c r="BC302" s="495" t="str">
        <f t="shared" si="38"/>
        <v/>
      </c>
      <c r="BD302" s="513" t="str">
        <f>IF(AND(L302="",H302=""),"",
IF(H302="",Pole_Calc!A$9,
IF(H302="MP",Pole_Calc!A$10,
IF(H302="AnMP",Pole_Calc!A$11,
IF(H302="A",Pole_Calc!A$12,
IF(H302="S/A",Pole_Calc!A$13,
IF(H302="A/S",Pole_Calc!A$14,"Poner a mano")))))))</f>
        <v>App.7-V11I-P9.5.1.3</v>
      </c>
      <c r="BE302" s="429" t="s">
        <v>118</v>
      </c>
      <c r="BF302" s="289"/>
      <c r="BG302" s="289"/>
      <c r="BH302" s="290"/>
      <c r="BI302" s="289"/>
    </row>
    <row r="303" spans="1:61" ht="16.149999999999999" customHeight="1">
      <c r="A303" s="514" t="s">
        <v>199</v>
      </c>
      <c r="B303" s="450"/>
      <c r="C303" s="3"/>
      <c r="D303" s="83"/>
      <c r="E303" s="4"/>
      <c r="F303" s="4"/>
      <c r="G303" s="6">
        <v>45.3</v>
      </c>
      <c r="H303" s="449"/>
      <c r="I303" s="4"/>
      <c r="J303" s="3">
        <f>C302+7.5</f>
        <v>37551.750000000015</v>
      </c>
      <c r="K303" s="449" t="s">
        <v>166</v>
      </c>
      <c r="L303" s="449"/>
      <c r="M303" s="449" t="str">
        <f>IF(L303="","",
IF(AX303="PT",VLOOKUP(L303,Foundation_Calc!$V$79:$X$113,VLOOKUP(AX303,Foundation_Calc!$I$10:$J$13,2,FALSE),0),
IF(AX303="K",VLOOKUP(L303,Foundation_Calc!$V$117:$X$151,VLOOKUP(AX303,Foundation_Calc!$I$10:$J$13,2,FALSE),0),"")))</f>
        <v/>
      </c>
      <c r="N303" s="449"/>
      <c r="O303" s="449"/>
      <c r="P303" s="449"/>
      <c r="Q303" s="4"/>
      <c r="R303" s="6"/>
      <c r="S303" s="6"/>
      <c r="T303" s="4"/>
      <c r="U303" s="4"/>
      <c r="V303" s="4"/>
      <c r="W303" s="572"/>
      <c r="X303" s="9"/>
      <c r="Y303" s="9"/>
      <c r="Z303" s="9"/>
      <c r="AA303" s="9"/>
      <c r="AB303" s="9"/>
      <c r="AC303" s="449" t="str">
        <f t="shared" si="35"/>
        <v/>
      </c>
      <c r="AD303" s="449"/>
      <c r="AE303" s="449"/>
      <c r="AF303" s="4"/>
      <c r="AG303" s="83"/>
      <c r="AH303" s="4"/>
      <c r="AI303" s="4"/>
      <c r="AJ303" s="449"/>
      <c r="AK303" s="449"/>
      <c r="AL303" s="449"/>
      <c r="AM303" s="449"/>
      <c r="AN303" s="10"/>
      <c r="AO303" s="9"/>
      <c r="AP303" s="9"/>
      <c r="AQ303" s="9">
        <f>+FL_2($T$304,$T$302,$G$303,1200,9.28, 1*$F$304)</f>
        <v>-0.30001359298524916</v>
      </c>
      <c r="AR303" s="9"/>
      <c r="AS303" s="9"/>
      <c r="AT303" s="9"/>
      <c r="AU303" s="428"/>
      <c r="AV303" s="428"/>
      <c r="AW303" s="449" t="str">
        <f>IF(C303&gt;0,VLOOKUP(C303,Foundation_Calc!$A$2:$C$13,3,1),
IF(J303&gt;0,VLOOKUP(J303,Foundation_Calc!$A$2:$C$13,3,1),""))</f>
        <v>Multi Soil</v>
      </c>
      <c r="AX303" s="449" t="str">
        <f>IF(C303&gt;0,VLOOKUP(C303,Foundation_Calc!$E$35:$G$65,3,1),
IF(J303&gt;0,VLOOKUP(J303,Foundation_Calc!$E$35:$G$65,3,1),""))</f>
        <v>PT</v>
      </c>
      <c r="AY303" s="10" t="str">
        <f>IF(L303="","",
IF(AX303="PT",VLOOKUP(L303,Foundation_Calc!$K$79:$R$113,VLOOKUP(AW303,Foundation_Calc!$I$2:$J$8,2,FALSE),0),
IF(AX303="K",VLOOKUP(L303,Foundation_Calc!$K$117:$R$151,VLOOKUP(AW303,Foundation_Calc!$I$2:$J$8,2,FALSE),0),"")))</f>
        <v/>
      </c>
      <c r="AZ303" s="10">
        <f>IF(K303="","",
IF(AX303="PT",VLOOKUP(K303,Foundation_Calc!$K$79:$R$113,VLOOKUP(AW303,Foundation_Calc!$I$2:$J$8,2,FALSE),0),
IF(AX303="K",VLOOKUP(K303,Foundation_Calc!$K$117:$R$151,VLOOKUP(AW303,Foundation_Calc!$I$2:$J$8,2,FALSE),0),"")))</f>
        <v>2.8</v>
      </c>
      <c r="BA303" s="495" t="str">
        <f t="shared" si="36"/>
        <v/>
      </c>
      <c r="BB303" s="495" t="str">
        <f t="shared" si="37"/>
        <v>ü</v>
      </c>
      <c r="BC303" s="495" t="str">
        <f t="shared" si="38"/>
        <v/>
      </c>
      <c r="BD303" s="513" t="str">
        <f>IF(AND(L303="",H303=""),"",
IF(H303="",Pole_Calc!A$9,
IF(H303="MP",Pole_Calc!A$10,
IF(H303="AnMP",Pole_Calc!A$11,
IF(H303="A",Pole_Calc!A$12,
IF(H303="S/A",Pole_Calc!A$13,
IF(H303="A/S",Pole_Calc!A$14,"Poner a mano")))))))</f>
        <v/>
      </c>
      <c r="BE303" s="429" t="s">
        <v>118</v>
      </c>
      <c r="BF303" s="290"/>
      <c r="BG303" s="290"/>
      <c r="BH303" s="290"/>
      <c r="BI303" s="290"/>
    </row>
    <row r="304" spans="1:61" ht="16.149999999999999" customHeight="1">
      <c r="A304" s="706" t="s">
        <v>199</v>
      </c>
      <c r="B304" s="536" t="s">
        <v>1091</v>
      </c>
      <c r="C304" s="537">
        <f>+$C$302+$G$303</f>
        <v>37589.550000000017</v>
      </c>
      <c r="D304" s="538"/>
      <c r="E304" s="539"/>
      <c r="F304" s="539">
        <v>-1200</v>
      </c>
      <c r="G304" s="540"/>
      <c r="H304" s="541"/>
      <c r="I304" s="539"/>
      <c r="J304" s="537"/>
      <c r="K304" s="541"/>
      <c r="L304" s="541" t="s">
        <v>158</v>
      </c>
      <c r="M304" s="541" t="str">
        <f>IF(L304="","",
IF(AX304="PT",VLOOKUP(L304,Foundation_Calc!$V$79:$X$113,VLOOKUP(AX304,Foundation_Calc!$I$10:$J$13,2,FALSE),0),
IF(AX304="K",VLOOKUP(L304,Foundation_Calc!$V$117:$X$151,VLOOKUP(AX304,Foundation_Calc!$I$10:$J$13,2,FALSE),0),"")))</f>
        <v>C4R</v>
      </c>
      <c r="N304" s="541" t="s">
        <v>124</v>
      </c>
      <c r="O304" s="541"/>
      <c r="P304" s="541"/>
      <c r="Q304" s="539"/>
      <c r="R304" s="540"/>
      <c r="S304" s="540"/>
      <c r="T304" s="539">
        <v>-30</v>
      </c>
      <c r="U304" s="539"/>
      <c r="V304" s="539"/>
      <c r="W304" s="579">
        <v>0.9</v>
      </c>
      <c r="X304" s="542"/>
      <c r="Y304" s="542"/>
      <c r="Z304" s="542"/>
      <c r="AA304" s="542"/>
      <c r="AB304" s="542"/>
      <c r="AC304" s="541" t="str">
        <f t="shared" si="35"/>
        <v>PHQ</v>
      </c>
      <c r="AD304" s="541"/>
      <c r="AE304" s="541"/>
      <c r="AF304" s="539"/>
      <c r="AG304" s="538"/>
      <c r="AH304" s="539"/>
      <c r="AI304" s="539"/>
      <c r="AJ304" s="541"/>
      <c r="AK304" s="541"/>
      <c r="AL304" s="541"/>
      <c r="AM304" s="541" t="s">
        <v>126</v>
      </c>
      <c r="AN304" s="543">
        <v>5.5</v>
      </c>
      <c r="AO304" s="542"/>
      <c r="AP304" s="542"/>
      <c r="AQ304" s="542"/>
      <c r="AR304" s="542"/>
      <c r="AS304" s="542"/>
      <c r="AT304" s="542">
        <f>+ab($T$304,$T$302,$T$306,$G$303,$G$305, 1*$F$304,1200)</f>
        <v>-5.6671547918980858</v>
      </c>
      <c r="AU304" s="544"/>
      <c r="AV304" s="544"/>
      <c r="AW304" s="541" t="str">
        <f>IF(C304&gt;0,VLOOKUP(C304,Foundation_Calc!$A$2:$C$13,3,1),
IF(J304&gt;0,VLOOKUP(J304,Foundation_Calc!$A$2:$C$13,3,1),""))</f>
        <v>Multi Soil</v>
      </c>
      <c r="AX304" s="541" t="str">
        <f>IF(C304&gt;0,VLOOKUP(C304,Foundation_Calc!$E$35:$G$65,3,1),
IF(J304&gt;0,VLOOKUP(J304,Foundation_Calc!$E$35:$G$65,3,1),""))</f>
        <v>PT</v>
      </c>
      <c r="AY304" s="543">
        <f>IF(L304="","",
IF(AX304="PT",VLOOKUP(L304,Foundation_Calc!$K$79:$R$113,VLOOKUP(AW304,Foundation_Calc!$I$2:$J$8,2,FALSE),0),
IF(AX304="K",VLOOKUP(L304,Foundation_Calc!$K$117:$R$151,VLOOKUP(AW304,Foundation_Calc!$I$2:$J$8,2,FALSE),0),"")))</f>
        <v>3.5</v>
      </c>
      <c r="AZ304" s="543" t="str">
        <f>IF(K304="","",
IF(AX304="PT",VLOOKUP(K304,Foundation_Calc!$K$79:$R$113,VLOOKUP(AW304,Foundation_Calc!$I$2:$J$8,2,FALSE),0),
IF(AX304="K",VLOOKUP(K304,Foundation_Calc!$K$117:$R$151,VLOOKUP(AW304,Foundation_Calc!$I$2:$J$8,2,FALSE),0),"")))</f>
        <v/>
      </c>
      <c r="BA304" s="550" t="str">
        <f t="shared" si="36"/>
        <v>ü</v>
      </c>
      <c r="BB304" s="550" t="str">
        <f t="shared" si="37"/>
        <v/>
      </c>
      <c r="BC304" s="550" t="str">
        <f t="shared" si="38"/>
        <v/>
      </c>
      <c r="BD304" s="516" t="str">
        <f>IF(AND(L304="",H304=""),"",
IF(H304="",Pole_Calc!A$9,
IF(H304="MP",Pole_Calc!A$10,
IF(H304="AnMP",Pole_Calc!A$11,
IF(H304="A",Pole_Calc!A$12,
IF(H304="S/A",Pole_Calc!A$13,
IF(H304="A/S",Pole_Calc!A$14,"Poner a mano")))))))</f>
        <v>App.7-V11I-P9.5.1.1</v>
      </c>
      <c r="BE304" s="429" t="s">
        <v>118</v>
      </c>
      <c r="BF304" s="289"/>
      <c r="BG304" s="289"/>
      <c r="BH304" s="290"/>
      <c r="BI304" s="289"/>
    </row>
    <row r="305" spans="1:61" ht="16.149999999999999" customHeight="1">
      <c r="A305" s="514" t="s">
        <v>199</v>
      </c>
      <c r="B305" s="450"/>
      <c r="C305" s="3"/>
      <c r="D305" s="83"/>
      <c r="E305" s="4"/>
      <c r="F305" s="4"/>
      <c r="G305" s="6">
        <v>35.700000000000003</v>
      </c>
      <c r="H305" s="449"/>
      <c r="I305" s="4"/>
      <c r="J305" s="3"/>
      <c r="K305" s="449"/>
      <c r="L305" s="449"/>
      <c r="M305" s="449" t="str">
        <f>IF(L305="","",
IF(AX305="PT",VLOOKUP(L305,Foundation_Calc!$V$79:$X$113,VLOOKUP(AX305,Foundation_Calc!$I$10:$J$13,2,FALSE),0),
IF(AX305="K",VLOOKUP(L305,Foundation_Calc!$V$117:$X$151,VLOOKUP(AX305,Foundation_Calc!$I$10:$J$13,2,FALSE),0),"")))</f>
        <v/>
      </c>
      <c r="N305" s="449"/>
      <c r="O305" s="449"/>
      <c r="P305" s="449"/>
      <c r="Q305" s="4"/>
      <c r="R305" s="6"/>
      <c r="S305" s="6"/>
      <c r="T305" s="4"/>
      <c r="U305" s="4"/>
      <c r="V305" s="4"/>
      <c r="W305" s="572"/>
      <c r="X305" s="9"/>
      <c r="Y305" s="9"/>
      <c r="Z305" s="9"/>
      <c r="AA305" s="9"/>
      <c r="AB305" s="9"/>
      <c r="AC305" s="449" t="str">
        <f t="shared" si="35"/>
        <v/>
      </c>
      <c r="AD305" s="449"/>
      <c r="AE305" s="449"/>
      <c r="AF305" s="4"/>
      <c r="AG305" s="83"/>
      <c r="AH305" s="4"/>
      <c r="AI305" s="4"/>
      <c r="AJ305" s="449"/>
      <c r="AK305" s="449"/>
      <c r="AL305" s="449"/>
      <c r="AM305" s="449"/>
      <c r="AN305" s="10"/>
      <c r="AO305" s="9"/>
      <c r="AP305" s="9"/>
      <c r="AQ305" s="9">
        <f>+FL_2($T$306,$T$304,$G$305,1200,9.28, 1*$F$306)</f>
        <v>-0.3</v>
      </c>
      <c r="AR305" s="9"/>
      <c r="AS305" s="9"/>
      <c r="AT305" s="9"/>
      <c r="AU305" s="428"/>
      <c r="AV305" s="428"/>
      <c r="AW305" s="449" t="str">
        <f>IF(C305&gt;0,VLOOKUP(C305,Foundation_Calc!$A$2:$C$13,3,1),
IF(J305&gt;0,VLOOKUP(J305,Foundation_Calc!$A$2:$C$13,3,1),""))</f>
        <v/>
      </c>
      <c r="AX305" s="449" t="str">
        <f>IF(C305&gt;0,VLOOKUP(C305,Foundation_Calc!$E$35:$G$65,3,1),
IF(J305&gt;0,VLOOKUP(J305,Foundation_Calc!$E$35:$G$65,3,1),""))</f>
        <v/>
      </c>
      <c r="AY305" s="10" t="str">
        <f>IF(L305="","",
IF(AX305="PT",VLOOKUP(L305,Foundation_Calc!$K$79:$R$113,VLOOKUP(AW305,Foundation_Calc!$I$2:$J$8,2,FALSE),0),
IF(AX305="K",VLOOKUP(L305,Foundation_Calc!$K$117:$R$151,VLOOKUP(AW305,Foundation_Calc!$I$2:$J$8,2,FALSE),0),"")))</f>
        <v/>
      </c>
      <c r="AZ305" s="10" t="str">
        <f>IF(K305="","",
IF(AX305="PT",VLOOKUP(K305,Foundation_Calc!$K$79:$R$113,VLOOKUP(AW305,Foundation_Calc!$I$2:$J$8,2,FALSE),0),
IF(AX305="K",VLOOKUP(K305,Foundation_Calc!$K$117:$R$151,VLOOKUP(AW305,Foundation_Calc!$I$2:$J$8,2,FALSE),0),"")))</f>
        <v/>
      </c>
      <c r="BA305" s="495" t="str">
        <f t="shared" si="36"/>
        <v/>
      </c>
      <c r="BB305" s="495" t="str">
        <f t="shared" si="37"/>
        <v/>
      </c>
      <c r="BC305" s="495" t="str">
        <f t="shared" si="38"/>
        <v/>
      </c>
      <c r="BD305" s="513" t="str">
        <f>IF(AND(L305="",H305=""),"",
IF(H305="",Pole_Calc!A$9,
IF(H305="MP",Pole_Calc!A$10,
IF(H305="AnMP",Pole_Calc!A$11,
IF(H305="A",Pole_Calc!A$12,
IF(H305="S/A",Pole_Calc!A$13,
IF(H305="A/S",Pole_Calc!A$14,"Poner a mano")))))))</f>
        <v/>
      </c>
      <c r="BE305" s="429" t="s">
        <v>118</v>
      </c>
      <c r="BF305" s="290"/>
      <c r="BG305" s="290"/>
      <c r="BH305" s="290"/>
      <c r="BI305" s="290"/>
    </row>
    <row r="306" spans="1:61" ht="16.149999999999999" customHeight="1">
      <c r="A306" s="514"/>
      <c r="B306" s="450" t="s">
        <v>1092</v>
      </c>
      <c r="C306" s="3">
        <f>+$C$304+$G$305</f>
        <v>37625.250000000015</v>
      </c>
      <c r="D306" s="83"/>
      <c r="E306" s="4"/>
      <c r="F306" s="4">
        <v>-1200</v>
      </c>
      <c r="G306" s="6"/>
      <c r="H306" s="449"/>
      <c r="I306" s="4"/>
      <c r="J306" s="3"/>
      <c r="K306" s="449"/>
      <c r="L306" s="449" t="s">
        <v>158</v>
      </c>
      <c r="M306" s="449" t="str">
        <f>IF(L306="","",
IF(AX306="PT",VLOOKUP(L306,Foundation_Calc!$V$79:$X$113,VLOOKUP(AX306,Foundation_Calc!$I$10:$J$13,2,FALSE),0),
IF(AX306="K",VLOOKUP(L306,Foundation_Calc!$V$117:$X$151,VLOOKUP(AX306,Foundation_Calc!$I$10:$J$13,2,FALSE),0),"")))</f>
        <v>C4R</v>
      </c>
      <c r="N306" s="449" t="s">
        <v>124</v>
      </c>
      <c r="O306" s="449"/>
      <c r="P306" s="449"/>
      <c r="Q306" s="4"/>
      <c r="R306" s="6"/>
      <c r="S306" s="6"/>
      <c r="T306" s="4">
        <v>-30</v>
      </c>
      <c r="U306" s="4"/>
      <c r="V306" s="4"/>
      <c r="W306" s="572">
        <v>0.9</v>
      </c>
      <c r="X306" s="9"/>
      <c r="Y306" s="9"/>
      <c r="Z306" s="9"/>
      <c r="AA306" s="9"/>
      <c r="AB306" s="9"/>
      <c r="AC306" s="449" t="str">
        <f t="shared" si="35"/>
        <v>PHQ</v>
      </c>
      <c r="AD306" s="449"/>
      <c r="AE306" s="449"/>
      <c r="AF306" s="4"/>
      <c r="AG306" s="83"/>
      <c r="AH306" s="4"/>
      <c r="AI306" s="4"/>
      <c r="AJ306" s="449"/>
      <c r="AK306" s="449"/>
      <c r="AL306" s="449"/>
      <c r="AM306" s="449" t="s">
        <v>126</v>
      </c>
      <c r="AN306" s="10">
        <v>5.5</v>
      </c>
      <c r="AO306" s="9"/>
      <c r="AP306" s="9"/>
      <c r="AQ306" s="9"/>
      <c r="AR306" s="9"/>
      <c r="AS306" s="9"/>
      <c r="AT306" s="9">
        <f>+ab($T$306,$T$304,$T$308,$G$305,$G$307, 1*$F$306,1200)</f>
        <v>-6.5227746619141103</v>
      </c>
      <c r="AU306" s="428"/>
      <c r="AV306" s="428"/>
      <c r="AW306" s="449" t="str">
        <f>IF(C306&gt;0,VLOOKUP(C306,Foundation_Calc!$A$2:$C$13,3,1),
IF(J306&gt;0,VLOOKUP(J306,Foundation_Calc!$A$2:$C$13,3,1),""))</f>
        <v>Multi Soil</v>
      </c>
      <c r="AX306" s="449" t="str">
        <f>IF(C306&gt;0,VLOOKUP(C306,Foundation_Calc!$E$35:$G$65,3,1),
IF(J306&gt;0,VLOOKUP(J306,Foundation_Calc!$E$35:$G$65,3,1),""))</f>
        <v>PT</v>
      </c>
      <c r="AY306" s="10">
        <f>IF(L306="","",
IF(AX306="PT",VLOOKUP(L306,Foundation_Calc!$K$79:$R$113,VLOOKUP(AW306,Foundation_Calc!$I$2:$J$8,2,FALSE),0),
IF(AX306="K",VLOOKUP(L306,Foundation_Calc!$K$117:$R$151,VLOOKUP(AW306,Foundation_Calc!$I$2:$J$8,2,FALSE),0),"")))</f>
        <v>3.5</v>
      </c>
      <c r="AZ306" s="10" t="str">
        <f>IF(K306="","",
IF(AX306="PT",VLOOKUP(K306,Foundation_Calc!$K$79:$R$113,VLOOKUP(AW306,Foundation_Calc!$I$2:$J$8,2,FALSE),0),
IF(AX306="K",VLOOKUP(K306,Foundation_Calc!$K$117:$R$151,VLOOKUP(AW306,Foundation_Calc!$I$2:$J$8,2,FALSE),0),"")))</f>
        <v/>
      </c>
      <c r="BA306" s="495" t="str">
        <f t="shared" si="36"/>
        <v>ü</v>
      </c>
      <c r="BB306" s="495" t="str">
        <f t="shared" si="37"/>
        <v/>
      </c>
      <c r="BC306" s="495" t="str">
        <f t="shared" si="38"/>
        <v/>
      </c>
      <c r="BD306" s="513" t="str">
        <f>IF(AND(L306="",H306=""),"",
IF(H306="",Pole_Calc!A$9,
IF(H306="MP",Pole_Calc!A$10,
IF(H306="AnMP",Pole_Calc!A$11,
IF(H306="A",Pole_Calc!A$12,
IF(H306="S/A",Pole_Calc!A$13,
IF(H306="A/S",Pole_Calc!A$14,"Poner a mano")))))))</f>
        <v>App.7-V11I-P9.5.1.1</v>
      </c>
      <c r="BE306" s="429" t="s">
        <v>118</v>
      </c>
      <c r="BF306" s="289"/>
      <c r="BG306" s="289"/>
      <c r="BH306" s="290"/>
      <c r="BI306" s="289"/>
    </row>
    <row r="307" spans="1:61" ht="16.149999999999999" customHeight="1">
      <c r="A307" s="696" t="s">
        <v>349</v>
      </c>
      <c r="B307" s="697"/>
      <c r="C307" s="698"/>
      <c r="D307" s="699"/>
      <c r="E307" s="700"/>
      <c r="F307" s="700"/>
      <c r="G307" s="701">
        <v>34.6</v>
      </c>
      <c r="H307" s="702"/>
      <c r="I307" s="700"/>
      <c r="J307" s="698"/>
      <c r="K307" s="702"/>
      <c r="L307" s="702"/>
      <c r="M307" s="702" t="str">
        <f>IF(L307="","",
IF(AX307="PT",VLOOKUP(L307,Foundation_Calc!$V$79:$X$113,VLOOKUP(AX307,Foundation_Calc!$I$10:$J$13,2,FALSE),0),
IF(AX307="K",VLOOKUP(L307,Foundation_Calc!$V$117:$X$151,VLOOKUP(AX307,Foundation_Calc!$I$10:$J$13,2,FALSE),0),"")))</f>
        <v/>
      </c>
      <c r="N307" s="702"/>
      <c r="O307" s="702"/>
      <c r="P307" s="702"/>
      <c r="Q307" s="700"/>
      <c r="R307" s="701"/>
      <c r="S307" s="701"/>
      <c r="T307" s="700"/>
      <c r="U307" s="700"/>
      <c r="V307" s="700"/>
      <c r="W307" s="707"/>
      <c r="X307" s="703"/>
      <c r="Y307" s="703"/>
      <c r="Z307" s="703"/>
      <c r="AA307" s="703"/>
      <c r="AB307" s="703"/>
      <c r="AC307" s="702" t="str">
        <f t="shared" si="35"/>
        <v/>
      </c>
      <c r="AD307" s="702"/>
      <c r="AE307" s="702"/>
      <c r="AF307" s="700"/>
      <c r="AG307" s="699"/>
      <c r="AH307" s="700"/>
      <c r="AI307" s="700"/>
      <c r="AJ307" s="702"/>
      <c r="AK307" s="702"/>
      <c r="AL307" s="702"/>
      <c r="AM307" s="702"/>
      <c r="AN307" s="704"/>
      <c r="AO307" s="703"/>
      <c r="AP307" s="703"/>
      <c r="AQ307" s="703">
        <f>+FL_2($T$308,$T$306,$G$307,1200,9.28, 1*$F$308)</f>
        <v>-0.3</v>
      </c>
      <c r="AR307" s="703"/>
      <c r="AS307" s="703"/>
      <c r="AT307" s="703"/>
      <c r="AU307" s="705"/>
      <c r="AV307" s="705"/>
      <c r="AW307" s="702" t="str">
        <f>IF(C307&gt;0,VLOOKUP(C307,Foundation_Calc!$A$2:$C$13,3,1),
IF(J307&gt;0,VLOOKUP(J307,Foundation_Calc!$A$2:$C$13,3,1),""))</f>
        <v/>
      </c>
      <c r="AX307" s="702" t="str">
        <f>IF(C307&gt;0,VLOOKUP(C307,Foundation_Calc!$E$35:$G$65,3,1),
IF(J307&gt;0,VLOOKUP(J307,Foundation_Calc!$E$35:$G$65,3,1),""))</f>
        <v/>
      </c>
      <c r="AY307" s="704" t="str">
        <f>IF(L307="","",
IF(AX307="PT",VLOOKUP(L307,Foundation_Calc!$K$79:$R$113,VLOOKUP(AW307,Foundation_Calc!$I$2:$J$8,2,FALSE),0),
IF(AX307="K",VLOOKUP(L307,Foundation_Calc!$K$117:$R$151,VLOOKUP(AW307,Foundation_Calc!$I$2:$J$8,2,FALSE),0),"")))</f>
        <v/>
      </c>
      <c r="AZ307" s="704" t="str">
        <f>IF(K307="","",
IF(AX307="PT",VLOOKUP(K307,Foundation_Calc!$K$79:$R$113,VLOOKUP(AW307,Foundation_Calc!$I$2:$J$8,2,FALSE),0),
IF(AX307="K",VLOOKUP(K307,Foundation_Calc!$K$117:$R$151,VLOOKUP(AW307,Foundation_Calc!$I$2:$J$8,2,FALSE),0),"")))</f>
        <v/>
      </c>
      <c r="BA307" s="495" t="str">
        <f t="shared" si="36"/>
        <v/>
      </c>
      <c r="BB307" s="495" t="str">
        <f t="shared" si="37"/>
        <v/>
      </c>
      <c r="BC307" s="495" t="str">
        <f t="shared" si="38"/>
        <v/>
      </c>
      <c r="BD307" s="513" t="str">
        <f>IF(AND(L307="",H307=""),"",
IF(H307="",Pole_Calc!A$9,
IF(H307="MP",Pole_Calc!A$10,
IF(H307="AnMP",Pole_Calc!A$11,
IF(H307="A",Pole_Calc!A$12,
IF(H307="S/A",Pole_Calc!A$13,
IF(H307="A/S",Pole_Calc!A$14,"Poner a mano")))))))</f>
        <v/>
      </c>
      <c r="BE307" s="429" t="s">
        <v>118</v>
      </c>
      <c r="BF307" s="290"/>
      <c r="BG307" s="290"/>
      <c r="BH307" s="290"/>
      <c r="BI307" s="290"/>
    </row>
    <row r="308" spans="1:61" ht="16.149999999999999" customHeight="1">
      <c r="A308" s="514"/>
      <c r="B308" s="450" t="s">
        <v>1093</v>
      </c>
      <c r="C308" s="3">
        <f>+$C$306+$G$307</f>
        <v>37659.850000000013</v>
      </c>
      <c r="D308" s="83"/>
      <c r="E308" s="4"/>
      <c r="F308" s="4">
        <v>-1200</v>
      </c>
      <c r="G308" s="6"/>
      <c r="H308" s="449"/>
      <c r="I308" s="4"/>
      <c r="J308" s="3"/>
      <c r="K308" s="449"/>
      <c r="L308" s="449" t="s">
        <v>158</v>
      </c>
      <c r="M308" s="449" t="str">
        <f>IF(L308="","",
IF(AX308="PT",VLOOKUP(L308,Foundation_Calc!$V$79:$X$113,VLOOKUP(AX308,Foundation_Calc!$I$10:$J$13,2,FALSE),0),
IF(AX308="K",VLOOKUP(L308,Foundation_Calc!$V$117:$X$151,VLOOKUP(AX308,Foundation_Calc!$I$10:$J$13,2,FALSE),0),"")))</f>
        <v>C4R</v>
      </c>
      <c r="N308" s="449" t="s">
        <v>124</v>
      </c>
      <c r="O308" s="449"/>
      <c r="P308" s="449"/>
      <c r="Q308" s="4"/>
      <c r="R308" s="6"/>
      <c r="S308" s="6"/>
      <c r="T308" s="4">
        <v>-30</v>
      </c>
      <c r="U308" s="4"/>
      <c r="V308" s="4"/>
      <c r="W308" s="572">
        <v>1.1000000000000001</v>
      </c>
      <c r="X308" s="9"/>
      <c r="Y308" s="9"/>
      <c r="Z308" s="9"/>
      <c r="AA308" s="9"/>
      <c r="AB308" s="9"/>
      <c r="AC308" s="449" t="str">
        <f t="shared" si="35"/>
        <v>PHQ</v>
      </c>
      <c r="AD308" s="449"/>
      <c r="AE308" s="449"/>
      <c r="AF308" s="4"/>
      <c r="AG308" s="83"/>
      <c r="AH308" s="4"/>
      <c r="AI308" s="4"/>
      <c r="AJ308" s="449"/>
      <c r="AK308" s="449"/>
      <c r="AL308" s="449"/>
      <c r="AM308" s="449" t="s">
        <v>126</v>
      </c>
      <c r="AN308" s="10">
        <v>5.5</v>
      </c>
      <c r="AO308" s="9"/>
      <c r="AP308" s="9"/>
      <c r="AQ308" s="9"/>
      <c r="AR308" s="9"/>
      <c r="AS308" s="9"/>
      <c r="AT308" s="9">
        <f>+ab($T$308,$T$306,$T$310,$G$307,$G$309, 1*$F$308,1200)</f>
        <v>-5.7661624669545573</v>
      </c>
      <c r="AU308" s="428"/>
      <c r="AV308" s="428"/>
      <c r="AW308" s="449" t="str">
        <f>IF(C308&gt;0,VLOOKUP(C308,Foundation_Calc!$A$2:$C$13,3,1),
IF(J308&gt;0,VLOOKUP(J308,Foundation_Calc!$A$2:$C$13,3,1),""))</f>
        <v>Multi Soil</v>
      </c>
      <c r="AX308" s="449" t="str">
        <f>IF(C308&gt;0,VLOOKUP(C308,Foundation_Calc!$E$35:$G$65,3,1),
IF(J308&gt;0,VLOOKUP(J308,Foundation_Calc!$E$35:$G$65,3,1),""))</f>
        <v>PT</v>
      </c>
      <c r="AY308" s="10">
        <f>IF(L308="","",
IF(AX308="PT",VLOOKUP(L308,Foundation_Calc!$K$79:$R$113,VLOOKUP(AW308,Foundation_Calc!$I$2:$J$8,2,FALSE),0),
IF(AX308="K",VLOOKUP(L308,Foundation_Calc!$K$117:$R$151,VLOOKUP(AW308,Foundation_Calc!$I$2:$J$8,2,FALSE),0),"")))</f>
        <v>3.5</v>
      </c>
      <c r="AZ308" s="10" t="str">
        <f>IF(K308="","",
IF(AX308="PT",VLOOKUP(K308,Foundation_Calc!$K$79:$R$113,VLOOKUP(AW308,Foundation_Calc!$I$2:$J$8,2,FALSE),0),
IF(AX308="K",VLOOKUP(K308,Foundation_Calc!$K$117:$R$151,VLOOKUP(AW308,Foundation_Calc!$I$2:$J$8,2,FALSE),0),"")))</f>
        <v/>
      </c>
      <c r="BA308" s="495" t="str">
        <f t="shared" si="36"/>
        <v>ü</v>
      </c>
      <c r="BB308" s="495" t="str">
        <f t="shared" si="37"/>
        <v/>
      </c>
      <c r="BC308" s="495" t="str">
        <f t="shared" si="38"/>
        <v/>
      </c>
      <c r="BD308" s="513" t="str">
        <f>IF(AND(L308="",H308=""),"",
IF(H308="",Pole_Calc!A$9,
IF(H308="MP",Pole_Calc!A$10,
IF(H308="AnMP",Pole_Calc!A$11,
IF(H308="A",Pole_Calc!A$12,
IF(H308="S/A",Pole_Calc!A$13,
IF(H308="A/S",Pole_Calc!A$14,"Poner a mano")))))))</f>
        <v>App.7-V11I-P9.5.1.1</v>
      </c>
      <c r="BE308" s="429" t="s">
        <v>118</v>
      </c>
      <c r="BF308" s="289"/>
      <c r="BG308" s="289"/>
      <c r="BH308" s="290"/>
      <c r="BI308" s="289"/>
    </row>
    <row r="309" spans="1:61" ht="16.149999999999999" customHeight="1">
      <c r="A309" s="685" t="s">
        <v>305</v>
      </c>
      <c r="B309" s="686"/>
      <c r="C309" s="687"/>
      <c r="D309" s="688"/>
      <c r="E309" s="689"/>
      <c r="F309" s="689"/>
      <c r="G309" s="690">
        <v>45</v>
      </c>
      <c r="H309" s="691"/>
      <c r="I309" s="689"/>
      <c r="J309" s="687">
        <f>C310-7.5</f>
        <v>37697.350000000013</v>
      </c>
      <c r="K309" s="691" t="s">
        <v>117</v>
      </c>
      <c r="L309" s="691"/>
      <c r="M309" s="691" t="str">
        <f>IF(L309="","",
IF(AX309="PT",VLOOKUP(L309,Foundation_Calc!$V$79:$X$113,VLOOKUP(AX309,Foundation_Calc!$I$10:$J$13,2,FALSE),0),
IF(AX309="K",VLOOKUP(L309,Foundation_Calc!$V$117:$X$151,VLOOKUP(AX309,Foundation_Calc!$I$10:$J$13,2,FALSE),0),"")))</f>
        <v/>
      </c>
      <c r="N309" s="691"/>
      <c r="O309" s="691"/>
      <c r="P309" s="691"/>
      <c r="Q309" s="689"/>
      <c r="R309" s="690"/>
      <c r="S309" s="690"/>
      <c r="T309" s="689"/>
      <c r="U309" s="689"/>
      <c r="V309" s="689"/>
      <c r="W309" s="692"/>
      <c r="X309" s="692"/>
      <c r="Y309" s="692"/>
      <c r="Z309" s="692"/>
      <c r="AA309" s="692"/>
      <c r="AB309" s="692"/>
      <c r="AC309" s="691" t="str">
        <f t="shared" si="35"/>
        <v/>
      </c>
      <c r="AD309" s="691"/>
      <c r="AE309" s="691"/>
      <c r="AF309" s="689"/>
      <c r="AG309" s="688"/>
      <c r="AH309" s="689"/>
      <c r="AI309" s="689"/>
      <c r="AJ309" s="691"/>
      <c r="AK309" s="691"/>
      <c r="AL309" s="691"/>
      <c r="AM309" s="691"/>
      <c r="AN309" s="693"/>
      <c r="AO309" s="692"/>
      <c r="AP309" s="692"/>
      <c r="AQ309" s="692">
        <f>+FL_2($T$310,$T$308,$G$309,1200,9.28, 1*$F$310)</f>
        <v>-0.31560967727132444</v>
      </c>
      <c r="AR309" s="692"/>
      <c r="AS309" s="692"/>
      <c r="AT309" s="692"/>
      <c r="AU309" s="694"/>
      <c r="AV309" s="694"/>
      <c r="AW309" s="691" t="str">
        <f>IF(C309&gt;0,VLOOKUP(C309,Foundation_Calc!$A$2:$C$13,3,1),
IF(J309&gt;0,VLOOKUP(J309,Foundation_Calc!$A$2:$C$13,3,1),""))</f>
        <v>Multi Soil</v>
      </c>
      <c r="AX309" s="691" t="str">
        <f>IF(C309&gt;0,VLOOKUP(C309,Foundation_Calc!$E$35:$G$65,3,1),
IF(J309&gt;0,VLOOKUP(J309,Foundation_Calc!$E$35:$G$65,3,1),""))</f>
        <v>PT</v>
      </c>
      <c r="AY309" s="693" t="str">
        <f>IF(L309="","",
IF(AX309="PT",VLOOKUP(L309,Foundation_Calc!$K$79:$R$113,VLOOKUP(AW309,Foundation_Calc!$I$2:$J$8,2,FALSE),0),
IF(AX309="K",VLOOKUP(L309,Foundation_Calc!$K$117:$R$151,VLOOKUP(AW309,Foundation_Calc!$I$2:$J$8,2,FALSE),0),"")))</f>
        <v/>
      </c>
      <c r="AZ309" s="693">
        <f>IF(K309="","",
IF(AX309="PT",VLOOKUP(K309,Foundation_Calc!$K$79:$R$113,VLOOKUP(AW309,Foundation_Calc!$I$2:$J$8,2,FALSE),0),
IF(AX309="K",VLOOKUP(K309,Foundation_Calc!$K$117:$R$151,VLOOKUP(AW309,Foundation_Calc!$I$2:$J$8,2,FALSE),0),"")))</f>
        <v>3.9</v>
      </c>
      <c r="BA309" s="495" t="str">
        <f t="shared" si="36"/>
        <v/>
      </c>
      <c r="BB309" s="495" t="str">
        <f t="shared" si="37"/>
        <v>ü</v>
      </c>
      <c r="BC309" s="495" t="str">
        <f t="shared" si="38"/>
        <v/>
      </c>
      <c r="BD309" s="513" t="str">
        <f>IF(AND(L309="",H309=""),"",
IF(H309="",Pole_Calc!A$9,
IF(H309="MP",Pole_Calc!A$10,
IF(H309="AnMP",Pole_Calc!A$11,
IF(H309="A",Pole_Calc!A$12,
IF(H309="S/A",Pole_Calc!A$13,
IF(H309="A/S",Pole_Calc!A$14,"Poner a mano")))))))</f>
        <v/>
      </c>
      <c r="BE309" s="429" t="s">
        <v>118</v>
      </c>
      <c r="BF309" s="290"/>
      <c r="BG309" s="290"/>
      <c r="BH309" s="290"/>
      <c r="BI309" s="290"/>
    </row>
    <row r="310" spans="1:61" ht="16.149999999999999" customHeight="1">
      <c r="A310" s="514"/>
      <c r="B310" s="450" t="s">
        <v>1094</v>
      </c>
      <c r="C310" s="3">
        <f>+$C$308+$G$309</f>
        <v>37704.850000000013</v>
      </c>
      <c r="D310" s="83"/>
      <c r="E310" s="4"/>
      <c r="F310" s="4">
        <v>-1405.2446527980828</v>
      </c>
      <c r="G310" s="6"/>
      <c r="H310" s="449" t="s">
        <v>121</v>
      </c>
      <c r="I310" s="4" t="s">
        <v>122</v>
      </c>
      <c r="J310" s="3"/>
      <c r="K310" s="449"/>
      <c r="L310" s="449" t="s">
        <v>181</v>
      </c>
      <c r="M310" s="449" t="str">
        <f>IF(L310="","",
IF(AX310="PT",VLOOKUP(L310,Foundation_Calc!$V$79:$X$113,VLOOKUP(AX310,Foundation_Calc!$I$10:$J$13,2,FALSE),0),
IF(AX310="K",VLOOKUP(L310,Foundation_Calc!$V$117:$X$151,VLOOKUP(AX310,Foundation_Calc!$I$10:$J$13,2,FALSE),0),"")))</f>
        <v>C5R</v>
      </c>
      <c r="N310" s="449" t="s">
        <v>124</v>
      </c>
      <c r="O310" s="449"/>
      <c r="P310" s="449"/>
      <c r="Q310" s="4"/>
      <c r="R310" s="6"/>
      <c r="S310" s="6"/>
      <c r="T310" s="4">
        <v>-30</v>
      </c>
      <c r="U310" s="4"/>
      <c r="V310" s="4"/>
      <c r="W310" s="9">
        <v>1.4</v>
      </c>
      <c r="X310" s="9"/>
      <c r="Y310" s="9"/>
      <c r="Z310" s="9"/>
      <c r="AA310" s="9"/>
      <c r="AB310" s="9"/>
      <c r="AC310" s="449" t="str">
        <f t="shared" si="35"/>
        <v>PHQ</v>
      </c>
      <c r="AD310" s="449"/>
      <c r="AE310" s="449"/>
      <c r="AF310" s="4"/>
      <c r="AG310" s="83"/>
      <c r="AH310" s="4"/>
      <c r="AI310" s="4"/>
      <c r="AJ310" s="449"/>
      <c r="AK310" s="449"/>
      <c r="AL310" s="449"/>
      <c r="AM310" s="449" t="s">
        <v>126</v>
      </c>
      <c r="AN310" s="10">
        <v>5.5</v>
      </c>
      <c r="AO310" s="9"/>
      <c r="AP310" s="9"/>
      <c r="AQ310" s="9"/>
      <c r="AR310" s="9"/>
      <c r="AS310" s="9"/>
      <c r="AT310" s="9">
        <f>+ab($T$310,$T$308,$U$312,$G$309,$G$311, 1*$F$310,1200)</f>
        <v>-5.7732099800881285</v>
      </c>
      <c r="AU310" s="428"/>
      <c r="AV310" s="428"/>
      <c r="AW310" s="449" t="str">
        <f>IF(C310&gt;0,VLOOKUP(C310,Foundation_Calc!$A$2:$C$13,3,1),
IF(J310&gt;0,VLOOKUP(J310,Foundation_Calc!$A$2:$C$13,3,1),""))</f>
        <v>Multi Soil</v>
      </c>
      <c r="AX310" s="449" t="str">
        <f>IF(C310&gt;0,VLOOKUP(C310,Foundation_Calc!$E$35:$G$65,3,1),
IF(J310&gt;0,VLOOKUP(J310,Foundation_Calc!$E$35:$G$65,3,1),""))</f>
        <v>PT</v>
      </c>
      <c r="AY310" s="10">
        <f>IF(L310="","",
IF(AX310="PT",VLOOKUP(L310,Foundation_Calc!$K$79:$R$113,VLOOKUP(AW310,Foundation_Calc!$I$2:$J$8,2,FALSE),0),
IF(AX310="K",VLOOKUP(L310,Foundation_Calc!$K$117:$R$151,VLOOKUP(AW310,Foundation_Calc!$I$2:$J$8,2,FALSE),0),"")))</f>
        <v>3.5</v>
      </c>
      <c r="AZ310" s="10" t="str">
        <f>IF(K310="","",
IF(AX310="PT",VLOOKUP(K310,Foundation_Calc!$K$79:$R$113,VLOOKUP(AW310,Foundation_Calc!$I$2:$J$8,2,FALSE),0),
IF(AX310="K",VLOOKUP(K310,Foundation_Calc!$K$117:$R$151,VLOOKUP(AW310,Foundation_Calc!$I$2:$J$8,2,FALSE),0),"")))</f>
        <v/>
      </c>
      <c r="BA310" s="495" t="str">
        <f t="shared" si="36"/>
        <v>ü</v>
      </c>
      <c r="BB310" s="495" t="str">
        <f t="shared" si="37"/>
        <v/>
      </c>
      <c r="BC310" s="495" t="str">
        <f t="shared" si="38"/>
        <v/>
      </c>
      <c r="BD310" s="513" t="str">
        <f>IF(AND(L310="",H310=""),"",
IF(H310="",Pole_Calc!A$9,
IF(H310="MP",Pole_Calc!A$10,
IF(H310="AnMP",Pole_Calc!A$11,
IF(H310="A",Pole_Calc!A$12,
IF(H310="S/A",Pole_Calc!A$13,
IF(H310="A/S",Pole_Calc!A$14,"Poner a mano")))))))</f>
        <v>App.7-V11I-P9.5.1.6</v>
      </c>
      <c r="BE310" s="429" t="s">
        <v>118</v>
      </c>
      <c r="BF310" s="289"/>
      <c r="BG310" s="289"/>
      <c r="BH310" s="290"/>
      <c r="BI310" s="289"/>
    </row>
    <row r="311" spans="1:61" ht="16.149999999999999" customHeight="1">
      <c r="A311" s="514"/>
      <c r="B311" s="450"/>
      <c r="C311" s="3"/>
      <c r="D311" s="83"/>
      <c r="E311" s="4"/>
      <c r="F311" s="4"/>
      <c r="G311" s="6">
        <v>48.1</v>
      </c>
      <c r="H311" s="449"/>
      <c r="I311" s="4"/>
      <c r="J311" s="3"/>
      <c r="K311" s="449"/>
      <c r="L311" s="449"/>
      <c r="M311" s="449" t="str">
        <f>IF(L311="","",
IF(AX311="PT",VLOOKUP(L311,Foundation_Calc!$V$79:$X$113,VLOOKUP(AX311,Foundation_Calc!$I$10:$J$13,2,FALSE),0),
IF(AX311="K",VLOOKUP(L311,Foundation_Calc!$V$117:$X$151,VLOOKUP(AX311,Foundation_Calc!$I$10:$J$13,2,FALSE),0),"")))</f>
        <v/>
      </c>
      <c r="N311" s="449"/>
      <c r="O311" s="449"/>
      <c r="P311" s="449"/>
      <c r="Q311" s="4"/>
      <c r="R311" s="6"/>
      <c r="S311" s="6"/>
      <c r="T311" s="4"/>
      <c r="U311" s="4"/>
      <c r="V311" s="4"/>
      <c r="W311" s="9"/>
      <c r="X311" s="9"/>
      <c r="Y311" s="9"/>
      <c r="Z311" s="9"/>
      <c r="AA311" s="9"/>
      <c r="AB311" s="9"/>
      <c r="AC311" s="449" t="str">
        <f t="shared" si="35"/>
        <v/>
      </c>
      <c r="AD311" s="449"/>
      <c r="AE311" s="449"/>
      <c r="AF311" s="4"/>
      <c r="AG311" s="83"/>
      <c r="AH311" s="4"/>
      <c r="AI311" s="4"/>
      <c r="AJ311" s="449"/>
      <c r="AK311" s="449"/>
      <c r="AL311" s="449"/>
      <c r="AM311" s="449"/>
      <c r="AN311" s="10"/>
      <c r="AO311" s="9"/>
      <c r="AP311" s="9"/>
      <c r="AQ311" s="9">
        <f>+FL_2($U$312,$T$310,$G$311,1200,9.28, 1*$F$312)</f>
        <v>-0.39035337214353327</v>
      </c>
      <c r="AR311" s="9"/>
      <c r="AS311" s="9"/>
      <c r="AT311" s="9"/>
      <c r="AU311" s="428"/>
      <c r="AV311" s="428"/>
      <c r="AW311" s="449" t="str">
        <f>IF(C311&gt;0,VLOOKUP(C311,Foundation_Calc!$A$2:$C$13,3,1),
IF(J311&gt;0,VLOOKUP(J311,Foundation_Calc!$A$2:$C$13,3,1),""))</f>
        <v/>
      </c>
      <c r="AX311" s="449" t="str">
        <f>IF(C311&gt;0,VLOOKUP(C311,Foundation_Calc!$E$35:$G$65,3,1),
IF(J311&gt;0,VLOOKUP(J311,Foundation_Calc!$E$35:$G$65,3,1),""))</f>
        <v/>
      </c>
      <c r="AY311" s="10" t="str">
        <f>IF(L311="","",
IF(AX311="PT",VLOOKUP(L311,Foundation_Calc!$K$79:$R$113,VLOOKUP(AW311,Foundation_Calc!$I$2:$J$8,2,FALSE),0),
IF(AX311="K",VLOOKUP(L311,Foundation_Calc!$K$117:$R$151,VLOOKUP(AW311,Foundation_Calc!$I$2:$J$8,2,FALSE),0),"")))</f>
        <v/>
      </c>
      <c r="AZ311" s="10" t="str">
        <f>IF(K311="","",
IF(AX311="PT",VLOOKUP(K311,Foundation_Calc!$K$79:$R$113,VLOOKUP(AW311,Foundation_Calc!$I$2:$J$8,2,FALSE),0),
IF(AX311="K",VLOOKUP(K311,Foundation_Calc!$K$117:$R$151,VLOOKUP(AW311,Foundation_Calc!$I$2:$J$8,2,FALSE),0),"")))</f>
        <v/>
      </c>
      <c r="BA311" s="495" t="str">
        <f t="shared" si="36"/>
        <v/>
      </c>
      <c r="BB311" s="495" t="str">
        <f t="shared" si="37"/>
        <v/>
      </c>
      <c r="BC311" s="495" t="str">
        <f t="shared" si="38"/>
        <v/>
      </c>
      <c r="BD311" s="513" t="str">
        <f>IF(AND(L311="",H311=""),"",
IF(H311="",Pole_Calc!A$9,
IF(H311="MP",Pole_Calc!A$10,
IF(H311="AnMP",Pole_Calc!A$11,
IF(H311="A",Pole_Calc!A$12,
IF(H311="S/A",Pole_Calc!A$13,
IF(H311="A/S",Pole_Calc!A$14,"Poner a mano")))))))</f>
        <v/>
      </c>
      <c r="BE311" s="429" t="s">
        <v>118</v>
      </c>
      <c r="BF311" s="290"/>
      <c r="BG311" s="290"/>
      <c r="BH311" s="290"/>
      <c r="BI311" s="290"/>
    </row>
    <row r="312" spans="1:61" ht="16.149999999999999" customHeight="1">
      <c r="A312" s="514"/>
      <c r="B312" s="450" t="s">
        <v>1095</v>
      </c>
      <c r="C312" s="3">
        <f>+$C$310+$G$311</f>
        <v>37752.950000000012</v>
      </c>
      <c r="D312" s="83"/>
      <c r="E312" s="4"/>
      <c r="F312" s="4">
        <v>-2169.6901153583804</v>
      </c>
      <c r="G312" s="6"/>
      <c r="H312" s="449" t="s">
        <v>131</v>
      </c>
      <c r="I312" s="4"/>
      <c r="J312" s="3"/>
      <c r="K312" s="449"/>
      <c r="L312" s="449" t="s">
        <v>183</v>
      </c>
      <c r="M312" s="449" t="str">
        <f>IF(L312="","",
IF(AX312="PT",VLOOKUP(L312,Foundation_Calc!$V$79:$X$113,VLOOKUP(AX312,Foundation_Calc!$I$10:$J$13,2,FALSE),0),
IF(AX312="K",VLOOKUP(L312,Foundation_Calc!$V$117:$X$151,VLOOKUP(AX312,Foundation_Calc!$I$10:$J$13,2,FALSE),0),"")))</f>
        <v>2C3R</v>
      </c>
      <c r="N312" s="449" t="s">
        <v>133</v>
      </c>
      <c r="O312" s="449" t="s">
        <v>124</v>
      </c>
      <c r="P312" s="449"/>
      <c r="Q312" s="4"/>
      <c r="R312" s="6"/>
      <c r="S312" s="6"/>
      <c r="T312" s="4">
        <v>-10</v>
      </c>
      <c r="U312" s="4">
        <v>-30</v>
      </c>
      <c r="V312" s="4"/>
      <c r="W312" s="9">
        <v>1.4</v>
      </c>
      <c r="X312" s="9">
        <v>2.2999999999999998</v>
      </c>
      <c r="Y312" s="9"/>
      <c r="Z312" s="9">
        <v>0.45</v>
      </c>
      <c r="AA312" s="9"/>
      <c r="AB312" s="9"/>
      <c r="AC312" s="449"/>
      <c r="AD312" s="449"/>
      <c r="AE312" s="449"/>
      <c r="AF312" s="4"/>
      <c r="AG312" s="83"/>
      <c r="AH312" s="4"/>
      <c r="AI312" s="4"/>
      <c r="AJ312" s="449"/>
      <c r="AK312" s="449"/>
      <c r="AL312" s="449"/>
      <c r="AM312" s="449" t="s">
        <v>126</v>
      </c>
      <c r="AN312" s="10">
        <v>5.5</v>
      </c>
      <c r="AO312" s="9"/>
      <c r="AP312" s="9"/>
      <c r="AQ312" s="9"/>
      <c r="AR312" s="9"/>
      <c r="AS312" s="9"/>
      <c r="AT312" s="9">
        <f>+ab($U$312,$T$310,$U$314,$G$311,$G$313, 1*$F$312,1200)</f>
        <v>-7.9000088092517391</v>
      </c>
      <c r="AU312" s="428"/>
      <c r="AV312" s="428"/>
      <c r="AW312" s="449" t="str">
        <f>IF(C312&gt;0,VLOOKUP(C312,Foundation_Calc!$A$2:$C$13,3,1),
IF(J312&gt;0,VLOOKUP(J312,Foundation_Calc!$A$2:$C$13,3,1),""))</f>
        <v>Multi Soil</v>
      </c>
      <c r="AX312" s="449" t="str">
        <f>IF(C312&gt;0,VLOOKUP(C312,Foundation_Calc!$E$35:$G$65,3,1),
IF(J312&gt;0,VLOOKUP(J312,Foundation_Calc!$E$35:$G$65,3,1),""))</f>
        <v>PT</v>
      </c>
      <c r="AY312" s="10">
        <f>IF(L312="","",
IF(AX312="PT",VLOOKUP(L312,Foundation_Calc!$K$79:$R$113,VLOOKUP(AW312,Foundation_Calc!$I$2:$J$8,2,FALSE),0),
IF(AX312="K",VLOOKUP(L312,Foundation_Calc!$K$117:$R$151,VLOOKUP(AW312,Foundation_Calc!$I$2:$J$8,2,FALSE),0),"")))</f>
        <v>3.7</v>
      </c>
      <c r="AZ312" s="10" t="str">
        <f>IF(K312="","",
IF(AX312="PT",VLOOKUP(K312,Foundation_Calc!$K$79:$R$113,VLOOKUP(AW312,Foundation_Calc!$I$2:$J$8,2,FALSE),0),
IF(AX312="K",VLOOKUP(K312,Foundation_Calc!$K$117:$R$151,VLOOKUP(AW312,Foundation_Calc!$I$2:$J$8,2,FALSE),0),"")))</f>
        <v/>
      </c>
      <c r="BA312" s="495" t="str">
        <f t="shared" si="36"/>
        <v>ü</v>
      </c>
      <c r="BB312" s="495" t="str">
        <f t="shared" si="37"/>
        <v/>
      </c>
      <c r="BC312" s="495" t="str">
        <f t="shared" si="38"/>
        <v/>
      </c>
      <c r="BD312" s="513" t="str">
        <f>IF(AND(L312="",H312=""),"",
IF(H312="",Pole_Calc!A$9,
IF(H312="MP",Pole_Calc!A$10,
IF(H312="AnMP",Pole_Calc!A$11,
IF(H312="A",Pole_Calc!A$12,
IF(H312="S/A",Pole_Calc!A$13,
IF(H312="A/S",Pole_Calc!A$14,"Poner a mano")))))))</f>
        <v>App.7-V11I-P9.5.1.5</v>
      </c>
      <c r="BE312" s="429" t="s">
        <v>118</v>
      </c>
      <c r="BF312" s="289"/>
      <c r="BG312" s="289"/>
      <c r="BH312" s="290"/>
      <c r="BI312" s="289"/>
    </row>
    <row r="313" spans="1:61" ht="16.149999999999999" customHeight="1">
      <c r="A313" s="514"/>
      <c r="B313" s="450"/>
      <c r="C313" s="3"/>
      <c r="D313" s="83"/>
      <c r="E313" s="4"/>
      <c r="F313" s="4"/>
      <c r="G313" s="6">
        <v>47.5</v>
      </c>
      <c r="H313" s="449"/>
      <c r="I313" s="4"/>
      <c r="J313" s="3"/>
      <c r="K313" s="449"/>
      <c r="L313" s="449"/>
      <c r="M313" s="449" t="str">
        <f>IF(L313="","",
IF(AX313="PT",VLOOKUP(L313,Foundation_Calc!$V$79:$X$113,VLOOKUP(AX313,Foundation_Calc!$I$10:$J$13,2,FALSE),0),
IF(AX313="K",VLOOKUP(L313,Foundation_Calc!$V$117:$X$151,VLOOKUP(AX313,Foundation_Calc!$I$10:$J$13,2,FALSE),0),"")))</f>
        <v/>
      </c>
      <c r="N313" s="449"/>
      <c r="O313" s="449"/>
      <c r="P313" s="449"/>
      <c r="Q313" s="4"/>
      <c r="R313" s="6"/>
      <c r="S313" s="6"/>
      <c r="T313" s="4"/>
      <c r="U313" s="4"/>
      <c r="V313" s="4"/>
      <c r="W313" s="9"/>
      <c r="X313" s="9"/>
      <c r="Y313" s="9"/>
      <c r="Z313" s="9"/>
      <c r="AA313" s="9"/>
      <c r="AB313" s="9"/>
      <c r="AC313" s="449" t="str">
        <f t="shared" si="35"/>
        <v/>
      </c>
      <c r="AD313" s="449"/>
      <c r="AE313" s="449"/>
      <c r="AF313" s="4"/>
      <c r="AG313" s="83"/>
      <c r="AH313" s="4"/>
      <c r="AI313" s="4"/>
      <c r="AJ313" s="449"/>
      <c r="AK313" s="449"/>
      <c r="AL313" s="449"/>
      <c r="AM313" s="449"/>
      <c r="AN313" s="10"/>
      <c r="AO313" s="9"/>
      <c r="AP313" s="9"/>
      <c r="AQ313" s="9">
        <f>+FL_2($T$314,$U$312,$G$313,1200,9.28, 1*$F$314)</f>
        <v>-0.34356027243365161</v>
      </c>
      <c r="AR313" s="9"/>
      <c r="AS313" s="9"/>
      <c r="AT313" s="9"/>
      <c r="AU313" s="428"/>
      <c r="AV313" s="428"/>
      <c r="AW313" s="449" t="str">
        <f>IF(C313&gt;0,VLOOKUP(C313,Foundation_Calc!$A$2:$C$13,3,1),
IF(J313&gt;0,VLOOKUP(J313,Foundation_Calc!$A$2:$C$13,3,1),""))</f>
        <v/>
      </c>
      <c r="AX313" s="449" t="str">
        <f>IF(C313&gt;0,VLOOKUP(C313,Foundation_Calc!$E$35:$G$65,3,1),
IF(J313&gt;0,VLOOKUP(J313,Foundation_Calc!$E$35:$G$65,3,1),""))</f>
        <v/>
      </c>
      <c r="AY313" s="10" t="str">
        <f>IF(L313="","",
IF(AX313="PT",VLOOKUP(L313,Foundation_Calc!$K$79:$R$113,VLOOKUP(AW313,Foundation_Calc!$I$2:$J$8,2,FALSE),0),
IF(AX313="K",VLOOKUP(L313,Foundation_Calc!$K$117:$R$151,VLOOKUP(AW313,Foundation_Calc!$I$2:$J$8,2,FALSE),0),"")))</f>
        <v/>
      </c>
      <c r="AZ313" s="10" t="str">
        <f>IF(K313="","",
IF(AX313="PT",VLOOKUP(K313,Foundation_Calc!$K$79:$R$113,VLOOKUP(AW313,Foundation_Calc!$I$2:$J$8,2,FALSE),0),
IF(AX313="K",VLOOKUP(K313,Foundation_Calc!$K$117:$R$151,VLOOKUP(AW313,Foundation_Calc!$I$2:$J$8,2,FALSE),0),"")))</f>
        <v/>
      </c>
      <c r="BA313" s="495" t="str">
        <f t="shared" si="36"/>
        <v/>
      </c>
      <c r="BB313" s="495" t="str">
        <f t="shared" si="37"/>
        <v/>
      </c>
      <c r="BC313" s="495" t="str">
        <f t="shared" si="38"/>
        <v/>
      </c>
      <c r="BD313" s="513" t="str">
        <f>IF(AND(L313="",H313=""),"",
IF(H313="",Pole_Calc!A$9,
IF(H313="MP",Pole_Calc!A$10,
IF(H313="AnMP",Pole_Calc!A$11,
IF(H313="A",Pole_Calc!A$12,
IF(H313="S/A",Pole_Calc!A$13,
IF(H313="A/S",Pole_Calc!A$14,"Poner a mano")))))))</f>
        <v/>
      </c>
      <c r="BE313" s="429" t="s">
        <v>118</v>
      </c>
      <c r="BF313" s="290"/>
      <c r="BG313" s="290"/>
      <c r="BH313" s="290"/>
      <c r="BI313" s="290"/>
    </row>
    <row r="314" spans="1:61" ht="16.149999999999999" customHeight="1">
      <c r="A314" s="514"/>
      <c r="B314" s="450" t="s">
        <v>1096</v>
      </c>
      <c r="C314" s="3">
        <f>+$C$312+$G$313</f>
        <v>37800.450000000012</v>
      </c>
      <c r="D314" s="83"/>
      <c r="E314" s="4"/>
      <c r="F314" s="4">
        <v>-4688.2697947207744</v>
      </c>
      <c r="G314" s="6"/>
      <c r="H314" s="449" t="s">
        <v>131</v>
      </c>
      <c r="I314" s="4"/>
      <c r="J314" s="3"/>
      <c r="K314" s="449"/>
      <c r="L314" s="449" t="s">
        <v>183</v>
      </c>
      <c r="M314" s="449" t="str">
        <f>IF(L314="","",
IF(AX314="PT",VLOOKUP(L314,Foundation_Calc!$V$79:$X$113,VLOOKUP(AX314,Foundation_Calc!$I$10:$J$13,2,FALSE),0),
IF(AX314="K",VLOOKUP(L314,Foundation_Calc!$V$117:$X$151,VLOOKUP(AX314,Foundation_Calc!$I$10:$J$13,2,FALSE),0),"")))</f>
        <v>2C3R</v>
      </c>
      <c r="N314" s="449" t="s">
        <v>124</v>
      </c>
      <c r="O314" s="449" t="s">
        <v>133</v>
      </c>
      <c r="P314" s="449"/>
      <c r="Q314" s="4"/>
      <c r="R314" s="6"/>
      <c r="S314" s="6"/>
      <c r="T314" s="4">
        <v>0</v>
      </c>
      <c r="U314" s="4">
        <v>-20</v>
      </c>
      <c r="V314" s="4"/>
      <c r="W314" s="9">
        <v>1.4</v>
      </c>
      <c r="X314" s="9">
        <v>2.2999999999999998</v>
      </c>
      <c r="Y314" s="9"/>
      <c r="Z314" s="9"/>
      <c r="AA314" s="9">
        <v>0.45</v>
      </c>
      <c r="AB314" s="9"/>
      <c r="AC314" s="449" t="str">
        <f t="shared" si="35"/>
        <v>PH</v>
      </c>
      <c r="AD314" s="449"/>
      <c r="AE314" s="449"/>
      <c r="AF314" s="4"/>
      <c r="AG314" s="83"/>
      <c r="AH314" s="4"/>
      <c r="AI314" s="4"/>
      <c r="AJ314" s="449"/>
      <c r="AK314" s="449"/>
      <c r="AL314" s="449"/>
      <c r="AM314" s="449" t="s">
        <v>126</v>
      </c>
      <c r="AN314" s="10">
        <v>5.5</v>
      </c>
      <c r="AO314" s="9"/>
      <c r="AP314" s="9"/>
      <c r="AQ314" s="9"/>
      <c r="AR314" s="9"/>
      <c r="AS314" s="9"/>
      <c r="AT314" s="9">
        <f>+ab($T$314,$T$312,$T$316,$G$313,$G$315, 1*$F$314,1200)</f>
        <v>-14.141267860187101</v>
      </c>
      <c r="AU314" s="428"/>
      <c r="AV314" s="428"/>
      <c r="AW314" s="449" t="str">
        <f>IF(C314&gt;0,VLOOKUP(C314,Foundation_Calc!$A$2:$C$13,3,1),
IF(J314&gt;0,VLOOKUP(J314,Foundation_Calc!$A$2:$C$13,3,1),""))</f>
        <v>Multi Soil</v>
      </c>
      <c r="AX314" s="449" t="str">
        <f>IF(C314&gt;0,VLOOKUP(C314,Foundation_Calc!$E$35:$G$65,3,1),
IF(J314&gt;0,VLOOKUP(J314,Foundation_Calc!$E$35:$G$65,3,1),""))</f>
        <v>PT</v>
      </c>
      <c r="AY314" s="10">
        <f>IF(L314="","",
IF(AX314="PT",VLOOKUP(L314,Foundation_Calc!$K$79:$R$113,VLOOKUP(AW314,Foundation_Calc!$I$2:$J$8,2,FALSE),0),
IF(AX314="K",VLOOKUP(L314,Foundation_Calc!$K$117:$R$151,VLOOKUP(AW314,Foundation_Calc!$I$2:$J$8,2,FALSE),0),"")))</f>
        <v>3.7</v>
      </c>
      <c r="AZ314" s="10" t="str">
        <f>IF(K314="","",
IF(AX314="PT",VLOOKUP(K314,Foundation_Calc!$K$79:$R$113,VLOOKUP(AW314,Foundation_Calc!$I$2:$J$8,2,FALSE),0),
IF(AX314="K",VLOOKUP(K314,Foundation_Calc!$K$117:$R$151,VLOOKUP(AW314,Foundation_Calc!$I$2:$J$8,2,FALSE),0),"")))</f>
        <v/>
      </c>
      <c r="BA314" s="495" t="str">
        <f t="shared" si="36"/>
        <v>ü</v>
      </c>
      <c r="BB314" s="495" t="str">
        <f t="shared" si="37"/>
        <v/>
      </c>
      <c r="BC314" s="495" t="str">
        <f t="shared" si="38"/>
        <v/>
      </c>
      <c r="BD314" s="513" t="str">
        <f>IF(AND(L314="",H314=""),"",
IF(H314="",Pole_Calc!A$9,
IF(H314="MP",Pole_Calc!A$10,
IF(H314="AnMP",Pole_Calc!A$11,
IF(H314="A",Pole_Calc!A$12,
IF(H314="S/A",Pole_Calc!A$13,
IF(H314="A/S",Pole_Calc!A$14,"Poner a mano")))))))</f>
        <v>App.7-V11I-P9.5.1.5</v>
      </c>
      <c r="BE314" s="429" t="s">
        <v>118</v>
      </c>
      <c r="BF314" s="289"/>
      <c r="BG314" s="289"/>
      <c r="BH314" s="290"/>
      <c r="BI314" s="289"/>
    </row>
    <row r="315" spans="1:61" ht="16.149999999999999" customHeight="1">
      <c r="A315" s="514"/>
      <c r="B315" s="450"/>
      <c r="C315" s="3"/>
      <c r="D315" s="83"/>
      <c r="E315" s="4"/>
      <c r="F315" s="4"/>
      <c r="G315" s="6">
        <v>50</v>
      </c>
      <c r="H315" s="449"/>
      <c r="I315" s="4"/>
      <c r="J315" s="3"/>
      <c r="K315" s="449"/>
      <c r="L315" s="449"/>
      <c r="M315" s="449" t="str">
        <f>IF(L315="","",
IF(AX315="PT",VLOOKUP(L315,Foundation_Calc!$V$79:$X$113,VLOOKUP(AX315,Foundation_Calc!$I$10:$J$13,2,FALSE),0),
IF(AX315="K",VLOOKUP(L315,Foundation_Calc!$V$117:$X$151,VLOOKUP(AX315,Foundation_Calc!$I$10:$J$13,2,FALSE),0),"")))</f>
        <v/>
      </c>
      <c r="N315" s="449"/>
      <c r="O315" s="449"/>
      <c r="P315" s="449"/>
      <c r="Q315" s="4"/>
      <c r="R315" s="6"/>
      <c r="S315" s="6"/>
      <c r="T315" s="4"/>
      <c r="U315" s="4"/>
      <c r="V315" s="4"/>
      <c r="W315" s="572"/>
      <c r="X315" s="9"/>
      <c r="Y315" s="9"/>
      <c r="Z315" s="9"/>
      <c r="AA315" s="9"/>
      <c r="AB315" s="9"/>
      <c r="AC315" s="449" t="str">
        <f t="shared" si="35"/>
        <v/>
      </c>
      <c r="AD315" s="449"/>
      <c r="AE315" s="449"/>
      <c r="AF315" s="4"/>
      <c r="AG315" s="83"/>
      <c r="AH315" s="4"/>
      <c r="AI315" s="4"/>
      <c r="AJ315" s="449"/>
      <c r="AK315" s="449"/>
      <c r="AL315" s="449"/>
      <c r="AM315" s="449"/>
      <c r="AN315" s="10"/>
      <c r="AO315" s="9"/>
      <c r="AP315" s="9"/>
      <c r="AQ315" s="9">
        <f>+FL_1($T$316,$T$314,$G$315,1200,9.28, 1*$F$316)</f>
        <v>0.38283045199999999</v>
      </c>
      <c r="AR315" s="9"/>
      <c r="AS315" s="9"/>
      <c r="AT315" s="9"/>
      <c r="AU315" s="428"/>
      <c r="AV315" s="428"/>
      <c r="AW315" s="449" t="str">
        <f>IF(C315&gt;0,VLOOKUP(C315,Foundation_Calc!$A$2:$C$13,3,1),
IF(J315&gt;0,VLOOKUP(J315,Foundation_Calc!$A$2:$C$13,3,1),""))</f>
        <v/>
      </c>
      <c r="AX315" s="449" t="str">
        <f>IF(C315&gt;0,VLOOKUP(C315,Foundation_Calc!$E$35:$G$65,3,1),
IF(J315&gt;0,VLOOKUP(J315,Foundation_Calc!$E$35:$G$65,3,1),""))</f>
        <v/>
      </c>
      <c r="AY315" s="10" t="str">
        <f>IF(L315="","",
IF(AX315="PT",VLOOKUP(L315,Foundation_Calc!$K$79:$R$113,VLOOKUP(AW315,Foundation_Calc!$I$2:$J$8,2,FALSE),0),
IF(AX315="K",VLOOKUP(L315,Foundation_Calc!$K$117:$R$151,VLOOKUP(AW315,Foundation_Calc!$I$2:$J$8,2,FALSE),0),"")))</f>
        <v/>
      </c>
      <c r="AZ315" s="10" t="str">
        <f>IF(K315="","",
IF(AX315="PT",VLOOKUP(K315,Foundation_Calc!$K$79:$R$113,VLOOKUP(AW315,Foundation_Calc!$I$2:$J$8,2,FALSE),0),
IF(AX315="K",VLOOKUP(K315,Foundation_Calc!$K$117:$R$151,VLOOKUP(AW315,Foundation_Calc!$I$2:$J$8,2,FALSE),0),"")))</f>
        <v/>
      </c>
      <c r="BA315" s="495" t="str">
        <f t="shared" si="36"/>
        <v/>
      </c>
      <c r="BB315" s="495" t="str">
        <f t="shared" si="37"/>
        <v/>
      </c>
      <c r="BC315" s="495" t="str">
        <f t="shared" si="38"/>
        <v/>
      </c>
      <c r="BD315" s="513" t="str">
        <f>IF(AND(L315="",H315=""),"",
IF(H315="",Pole_Calc!A$9,
IF(H315="MP",Pole_Calc!A$10,
IF(H315="AnMP",Pole_Calc!A$11,
IF(H315="A",Pole_Calc!A$12,
IF(H315="S/A",Pole_Calc!A$13,
IF(H315="A/S",Pole_Calc!A$14,"Poner a mano")))))))</f>
        <v/>
      </c>
      <c r="BE315" s="429" t="s">
        <v>118</v>
      </c>
      <c r="BF315" s="290"/>
      <c r="BG315" s="290"/>
      <c r="BH315" s="290"/>
      <c r="BI315" s="290"/>
    </row>
    <row r="316" spans="1:61" ht="16.149999999999999" customHeight="1">
      <c r="A316" s="514"/>
      <c r="B316" s="450" t="s">
        <v>1097</v>
      </c>
      <c r="C316" s="3">
        <f>+$C$314+$G$315-0.8</f>
        <v>37849.650000000009</v>
      </c>
      <c r="D316" s="83"/>
      <c r="E316" s="4"/>
      <c r="F316" s="4">
        <v>0</v>
      </c>
      <c r="G316" s="6"/>
      <c r="H316" s="449" t="s">
        <v>121</v>
      </c>
      <c r="I316" s="4" t="s">
        <v>122</v>
      </c>
      <c r="J316" s="3"/>
      <c r="K316" s="449"/>
      <c r="L316" s="449" t="s">
        <v>151</v>
      </c>
      <c r="M316" s="449" t="str">
        <f>IF(L316="","",
IF(AX316="PT",VLOOKUP(L316,Foundation_Calc!$V$79:$X$113,VLOOKUP(AX316,Foundation_Calc!$I$10:$J$13,2,FALSE),0),
IF(AX316="K",VLOOKUP(L316,Foundation_Calc!$V$117:$X$151,VLOOKUP(AX316,Foundation_Calc!$I$10:$J$13,2,FALSE),0),"")))</f>
        <v>C4RT</v>
      </c>
      <c r="N316" s="449" t="s">
        <v>134</v>
      </c>
      <c r="O316" s="449"/>
      <c r="P316" s="449"/>
      <c r="Q316" s="4"/>
      <c r="R316" s="6"/>
      <c r="S316" s="6"/>
      <c r="T316" s="4">
        <v>25</v>
      </c>
      <c r="U316" s="4"/>
      <c r="V316" s="4"/>
      <c r="W316" s="9">
        <v>1.4</v>
      </c>
      <c r="X316" s="9"/>
      <c r="Y316" s="9"/>
      <c r="Z316" s="9"/>
      <c r="AA316" s="9"/>
      <c r="AB316" s="9"/>
      <c r="AC316" s="449" t="str">
        <f t="shared" si="35"/>
        <v>PH</v>
      </c>
      <c r="AD316" s="449"/>
      <c r="AE316" s="449"/>
      <c r="AF316" s="4"/>
      <c r="AG316" s="83"/>
      <c r="AH316" s="4"/>
      <c r="AI316" s="4"/>
      <c r="AJ316" s="449"/>
      <c r="AK316" s="449"/>
      <c r="AL316" s="449"/>
      <c r="AM316" s="449" t="s">
        <v>126</v>
      </c>
      <c r="AN316" s="10">
        <v>5.5</v>
      </c>
      <c r="AO316" s="9"/>
      <c r="AP316" s="9"/>
      <c r="AQ316" s="9"/>
      <c r="AR316" s="9"/>
      <c r="AS316" s="9"/>
      <c r="AT316" s="9">
        <f>+ab($T$316,$T$314,$T$318,$G$315,$G$317, 1*$F$316,1200)</f>
        <v>11.14504395531122</v>
      </c>
      <c r="AU316" s="428"/>
      <c r="AV316" s="428"/>
      <c r="AW316" s="449" t="str">
        <f>IF(C316&gt;0,VLOOKUP(C316,Foundation_Calc!$A$2:$C$13,3,1),
IF(J316&gt;0,VLOOKUP(J316,Foundation_Calc!$A$2:$C$13,3,1),""))</f>
        <v>Multi Soil</v>
      </c>
      <c r="AX316" s="449" t="str">
        <f>IF(C316&gt;0,VLOOKUP(C316,Foundation_Calc!$E$35:$G$65,3,1),
IF(J316&gt;0,VLOOKUP(J316,Foundation_Calc!$E$35:$G$65,3,1),""))</f>
        <v>K</v>
      </c>
      <c r="AY316" s="10">
        <f>IF(L316="","",
IF(AX316="PT",VLOOKUP(L316,Foundation_Calc!$K$79:$R$113,VLOOKUP(AW316,Foundation_Calc!$I$2:$J$8,2,FALSE),0),
IF(AX316="K",VLOOKUP(L316,Foundation_Calc!$K$117:$R$151,VLOOKUP(AW316,Foundation_Calc!$I$2:$J$8,2,FALSE),0),"")))</f>
        <v>4.2</v>
      </c>
      <c r="AZ316" s="10" t="str">
        <f>IF(K316="","",
IF(AX316="PT",VLOOKUP(K316,Foundation_Calc!$K$79:$R$113,VLOOKUP(AW316,Foundation_Calc!$I$2:$J$8,2,FALSE),0),
IF(AX316="K",VLOOKUP(K316,Foundation_Calc!$K$117:$R$151,VLOOKUP(AW316,Foundation_Calc!$I$2:$J$8,2,FALSE),0),"")))</f>
        <v/>
      </c>
      <c r="BA316" s="495" t="str">
        <f t="shared" si="36"/>
        <v>ü</v>
      </c>
      <c r="BB316" s="495" t="str">
        <f t="shared" si="37"/>
        <v/>
      </c>
      <c r="BC316" s="495" t="str">
        <f t="shared" si="38"/>
        <v/>
      </c>
      <c r="BD316" s="513" t="str">
        <f>IF(AND(L316="",H316=""),"",
IF(H316="",Pole_Calc!A$9,
IF(H316="MP",Pole_Calc!A$10,
IF(H316="AnMP",Pole_Calc!A$11,
IF(H316="A",Pole_Calc!A$12,
IF(H316="S/A",Pole_Calc!A$13,
IF(H316="A/S",Pole_Calc!A$14,"Poner a mano")))))))</f>
        <v>App.7-V11I-P9.5.1.6</v>
      </c>
      <c r="BE316" s="429" t="s">
        <v>118</v>
      </c>
      <c r="BF316" s="289"/>
      <c r="BG316" s="289"/>
      <c r="BH316" s="290"/>
      <c r="BI316" s="289"/>
    </row>
    <row r="317" spans="1:61" ht="16.149999999999999" customHeight="1">
      <c r="A317" s="514"/>
      <c r="B317" s="450"/>
      <c r="C317" s="3"/>
      <c r="D317" s="83"/>
      <c r="E317" s="4"/>
      <c r="F317" s="4"/>
      <c r="G317" s="6">
        <v>50</v>
      </c>
      <c r="H317" s="449"/>
      <c r="I317" s="4"/>
      <c r="J317" s="3">
        <f>C316+7.5</f>
        <v>37857.150000000009</v>
      </c>
      <c r="K317" s="449" t="s">
        <v>315</v>
      </c>
      <c r="L317" s="449"/>
      <c r="M317" s="449" t="str">
        <f>IF(L317="","",
IF(AX317="PT",VLOOKUP(L317,Foundation_Calc!$V$79:$X$113,VLOOKUP(AX317,Foundation_Calc!$I$10:$J$13,2,FALSE),0),
IF(AX317="K",VLOOKUP(L317,Foundation_Calc!$V$117:$X$151,VLOOKUP(AX317,Foundation_Calc!$I$10:$J$13,2,FALSE),0),"")))</f>
        <v/>
      </c>
      <c r="N317" s="449"/>
      <c r="O317" s="449"/>
      <c r="P317" s="449"/>
      <c r="Q317" s="4"/>
      <c r="R317" s="6"/>
      <c r="S317" s="6"/>
      <c r="T317" s="4"/>
      <c r="U317" s="4"/>
      <c r="V317" s="4"/>
      <c r="W317" s="9"/>
      <c r="X317" s="9"/>
      <c r="Y317" s="9"/>
      <c r="Z317" s="9"/>
      <c r="AA317" s="9"/>
      <c r="AB317" s="9"/>
      <c r="AC317" s="449" t="str">
        <f t="shared" si="35"/>
        <v/>
      </c>
      <c r="AD317" s="449"/>
      <c r="AE317" s="449"/>
      <c r="AF317" s="4"/>
      <c r="AG317" s="83"/>
      <c r="AH317" s="4"/>
      <c r="AI317" s="4"/>
      <c r="AJ317" s="449"/>
      <c r="AK317" s="449"/>
      <c r="AL317" s="449"/>
      <c r="AM317" s="449"/>
      <c r="AN317" s="10"/>
      <c r="AO317" s="9"/>
      <c r="AP317" s="9"/>
      <c r="AQ317" s="9">
        <f>+FL_2($T$318,$T$316,$G$317,1200,9.28, 1*$F$318)</f>
        <v>-0.384770112</v>
      </c>
      <c r="AR317" s="9"/>
      <c r="AS317" s="9"/>
      <c r="AT317" s="9"/>
      <c r="AU317" s="428"/>
      <c r="AV317" s="428"/>
      <c r="AW317" s="449" t="str">
        <f>IF(C317&gt;0,VLOOKUP(C317,Foundation_Calc!$A$2:$C$13,3,1),
IF(J317&gt;0,VLOOKUP(J317,Foundation_Calc!$A$2:$C$13,3,1),""))</f>
        <v>Multi Soil</v>
      </c>
      <c r="AX317" s="449" t="str">
        <f>IF(C317&gt;0,VLOOKUP(C317,Foundation_Calc!$E$35:$G$65,3,1),
IF(J317&gt;0,VLOOKUP(J317,Foundation_Calc!$E$35:$G$65,3,1),""))</f>
        <v>K</v>
      </c>
      <c r="AY317" s="10" t="str">
        <f>IF(L317="","",
IF(AX317="PT",VLOOKUP(L317,Foundation_Calc!$K$79:$R$113,VLOOKUP(AW317,Foundation_Calc!$I$2:$J$8,2,FALSE),0),
IF(AX317="K",VLOOKUP(L317,Foundation_Calc!$K$117:$R$151,VLOOKUP(AW317,Foundation_Calc!$I$2:$J$8,2,FALSE),0),"")))</f>
        <v/>
      </c>
      <c r="AZ317" s="10">
        <f>IF(K317="","",
IF(AX317="PT",VLOOKUP(K317,Foundation_Calc!$K$79:$R$113,VLOOKUP(AW317,Foundation_Calc!$I$2:$J$8,2,FALSE),0),
IF(AX317="K",VLOOKUP(K317,Foundation_Calc!$K$117:$R$151,VLOOKUP(AW317,Foundation_Calc!$I$2:$J$8,2,FALSE),0),"")))</f>
        <v>3.9</v>
      </c>
      <c r="BA317" s="495" t="str">
        <f t="shared" si="36"/>
        <v/>
      </c>
      <c r="BB317" s="495" t="str">
        <f t="shared" si="37"/>
        <v>ü</v>
      </c>
      <c r="BC317" s="495" t="str">
        <f t="shared" si="38"/>
        <v/>
      </c>
      <c r="BD317" s="513" t="str">
        <f>IF(AND(L317="",H317=""),"",
IF(H317="",Pole_Calc!A$9,
IF(H317="MP",Pole_Calc!A$10,
IF(H317="AnMP",Pole_Calc!A$11,
IF(H317="A",Pole_Calc!A$12,
IF(H317="S/A",Pole_Calc!A$13,
IF(H317="A/S",Pole_Calc!A$14,"Poner a mano")))))))</f>
        <v/>
      </c>
      <c r="BE317" s="429" t="s">
        <v>118</v>
      </c>
      <c r="BF317" s="290"/>
      <c r="BG317" s="290"/>
      <c r="BH317" s="290"/>
      <c r="BI317" s="290"/>
    </row>
    <row r="318" spans="1:61" ht="16.149999999999999" customHeight="1">
      <c r="A318" s="514"/>
      <c r="B318" s="450" t="s">
        <v>1098</v>
      </c>
      <c r="C318" s="3">
        <f>+$C$316+$G$317</f>
        <v>37899.650000000009</v>
      </c>
      <c r="D318" s="83"/>
      <c r="E318" s="4"/>
      <c r="F318" s="4">
        <v>0</v>
      </c>
      <c r="G318" s="6"/>
      <c r="H318" s="449"/>
      <c r="I318" s="4"/>
      <c r="J318" s="3"/>
      <c r="K318" s="449"/>
      <c r="L318" s="449" t="s">
        <v>153</v>
      </c>
      <c r="M318" s="449" t="str">
        <f>IF(L318="","",
IF(AX318="PT",VLOOKUP(L318,Foundation_Calc!$V$79:$X$113,VLOOKUP(AX318,Foundation_Calc!$I$10:$J$13,2,FALSE),0),
IF(AX318="K",VLOOKUP(L318,Foundation_Calc!$V$117:$X$151,VLOOKUP(AX318,Foundation_Calc!$I$10:$J$13,2,FALSE),0),"")))</f>
        <v>C3RT</v>
      </c>
      <c r="N318" s="449" t="s">
        <v>124</v>
      </c>
      <c r="O318" s="449"/>
      <c r="P318" s="449"/>
      <c r="Q318" s="4"/>
      <c r="R318" s="6"/>
      <c r="S318" s="6"/>
      <c r="T318" s="4">
        <v>-35</v>
      </c>
      <c r="U318" s="4"/>
      <c r="V318" s="4"/>
      <c r="W318" s="9">
        <v>1.4</v>
      </c>
      <c r="X318" s="9"/>
      <c r="Y318" s="9"/>
      <c r="Z318" s="9"/>
      <c r="AA318" s="9"/>
      <c r="AB318" s="9"/>
      <c r="AC318" s="449" t="str">
        <f t="shared" si="35"/>
        <v>PHQ</v>
      </c>
      <c r="AD318" s="449"/>
      <c r="AE318" s="449"/>
      <c r="AF318" s="4"/>
      <c r="AG318" s="83"/>
      <c r="AH318" s="4"/>
      <c r="AI318" s="4"/>
      <c r="AJ318" s="449"/>
      <c r="AK318" s="449"/>
      <c r="AL318" s="449"/>
      <c r="AM318" s="449" t="s">
        <v>126</v>
      </c>
      <c r="AN318" s="10">
        <v>5.5</v>
      </c>
      <c r="AO318" s="9"/>
      <c r="AP318" s="9"/>
      <c r="AQ318" s="9"/>
      <c r="AR318" s="9"/>
      <c r="AS318" s="9"/>
      <c r="AT318" s="9">
        <f>+ab($T$318,$T$316,$T$320,$G$317,$G$319, 1*$F$318,1200)</f>
        <v>-7.7134419471853377</v>
      </c>
      <c r="AU318" s="428"/>
      <c r="AV318" s="428"/>
      <c r="AW318" s="449" t="str">
        <f>IF(C318&gt;0,VLOOKUP(C318,Foundation_Calc!$A$2:$C$13,3,1),
IF(J318&gt;0,VLOOKUP(J318,Foundation_Calc!$A$2:$C$13,3,1),""))</f>
        <v>Multi Soil</v>
      </c>
      <c r="AX318" s="449" t="str">
        <f>IF(C318&gt;0,VLOOKUP(C318,Foundation_Calc!$E$35:$G$65,3,1),
IF(J318&gt;0,VLOOKUP(J318,Foundation_Calc!$E$35:$G$65,3,1),""))</f>
        <v>K</v>
      </c>
      <c r="AY318" s="10">
        <f>IF(L318="","",
IF(AX318="PT",VLOOKUP(L318,Foundation_Calc!$K$79:$R$113,VLOOKUP(AW318,Foundation_Calc!$I$2:$J$8,2,FALSE),0),
IF(AX318="K",VLOOKUP(L318,Foundation_Calc!$K$117:$R$151,VLOOKUP(AW318,Foundation_Calc!$I$2:$J$8,2,FALSE),0),"")))</f>
        <v>4</v>
      </c>
      <c r="AZ318" s="10" t="str">
        <f>IF(K318="","",
IF(AX318="PT",VLOOKUP(K318,Foundation_Calc!$K$79:$R$113,VLOOKUP(AW318,Foundation_Calc!$I$2:$J$8,2,FALSE),0),
IF(AX318="K",VLOOKUP(K318,Foundation_Calc!$K$117:$R$151,VLOOKUP(AW318,Foundation_Calc!$I$2:$J$8,2,FALSE),0),"")))</f>
        <v/>
      </c>
      <c r="BA318" s="495" t="str">
        <f t="shared" si="36"/>
        <v>ü</v>
      </c>
      <c r="BB318" s="495" t="str">
        <f t="shared" si="37"/>
        <v/>
      </c>
      <c r="BC318" s="495" t="str">
        <f t="shared" si="38"/>
        <v/>
      </c>
      <c r="BD318" s="513" t="str">
        <f>IF(AND(L318="",H318=""),"",
IF(H318="",Pole_Calc!A$9,
IF(H318="MP",Pole_Calc!A$10,
IF(H318="AnMP",Pole_Calc!A$11,
IF(H318="A",Pole_Calc!A$12,
IF(H318="S/A",Pole_Calc!A$13,
IF(H318="A/S",Pole_Calc!A$14,"Poner a mano")))))))</f>
        <v>App.7-V11I-P9.5.1.1</v>
      </c>
      <c r="BE318" s="429" t="s">
        <v>118</v>
      </c>
      <c r="BF318" s="289"/>
      <c r="BG318" s="289"/>
      <c r="BH318" s="290"/>
      <c r="BI318" s="289"/>
    </row>
    <row r="319" spans="1:61" ht="16.149999999999999" customHeight="1">
      <c r="A319" s="514"/>
      <c r="B319" s="450"/>
      <c r="C319" s="3"/>
      <c r="D319" s="83"/>
      <c r="E319" s="4"/>
      <c r="F319" s="4"/>
      <c r="G319" s="6">
        <v>55</v>
      </c>
      <c r="H319" s="449"/>
      <c r="I319" s="4"/>
      <c r="J319" s="3"/>
      <c r="K319" s="449"/>
      <c r="L319" s="449"/>
      <c r="M319" s="449" t="str">
        <f>IF(L319="","",
IF(AX319="PT",VLOOKUP(L319,Foundation_Calc!$V$79:$X$113,VLOOKUP(AX319,Foundation_Calc!$I$10:$J$13,2,FALSE),0),
IF(AX319="K",VLOOKUP(L319,Foundation_Calc!$V$117:$X$151,VLOOKUP(AX319,Foundation_Calc!$I$10:$J$13,2,FALSE),0),"")))</f>
        <v/>
      </c>
      <c r="N319" s="449"/>
      <c r="O319" s="449"/>
      <c r="P319" s="449"/>
      <c r="Q319" s="4"/>
      <c r="R319" s="6"/>
      <c r="S319" s="6"/>
      <c r="T319" s="4"/>
      <c r="U319" s="4"/>
      <c r="V319" s="4"/>
      <c r="W319" s="9"/>
      <c r="X319" s="9"/>
      <c r="Y319" s="9"/>
      <c r="Z319" s="9"/>
      <c r="AA319" s="9"/>
      <c r="AB319" s="9"/>
      <c r="AC319" s="449" t="str">
        <f t="shared" si="35"/>
        <v/>
      </c>
      <c r="AD319" s="449"/>
      <c r="AE319" s="449"/>
      <c r="AF319" s="4"/>
      <c r="AG319" s="83"/>
      <c r="AH319" s="4"/>
      <c r="AI319" s="4"/>
      <c r="AJ319" s="449"/>
      <c r="AK319" s="449"/>
      <c r="AL319" s="449"/>
      <c r="AM319" s="449"/>
      <c r="AN319" s="10"/>
      <c r="AO319" s="9"/>
      <c r="AP319" s="9"/>
      <c r="AQ319" s="9">
        <f>+FL_2($T$320,$T$318,$G$319,1200,9.28, 1*$F$320)</f>
        <v>-0.39714735709090898</v>
      </c>
      <c r="AR319" s="9"/>
      <c r="AS319" s="9"/>
      <c r="AT319" s="9"/>
      <c r="AU319" s="428"/>
      <c r="AV319" s="428"/>
      <c r="AW319" s="449" t="str">
        <f>IF(C319&gt;0,VLOOKUP(C319,Foundation_Calc!$A$2:$C$13,3,1),
IF(J319&gt;0,VLOOKUP(J319,Foundation_Calc!$A$2:$C$13,3,1),""))</f>
        <v/>
      </c>
      <c r="AX319" s="449" t="str">
        <f>IF(C319&gt;0,VLOOKUP(C319,Foundation_Calc!$E$35:$G$65,3,1),
IF(J319&gt;0,VLOOKUP(J319,Foundation_Calc!$E$35:$G$65,3,1),""))</f>
        <v/>
      </c>
      <c r="AY319" s="10" t="str">
        <f>IF(L319="","",
IF(AX319="PT",VLOOKUP(L319,Foundation_Calc!$K$79:$R$113,VLOOKUP(AW319,Foundation_Calc!$I$2:$J$8,2,FALSE),0),
IF(AX319="K",VLOOKUP(L319,Foundation_Calc!$K$117:$R$151,VLOOKUP(AW319,Foundation_Calc!$I$2:$J$8,2,FALSE),0),"")))</f>
        <v/>
      </c>
      <c r="AZ319" s="10" t="str">
        <f>IF(K319="","",
IF(AX319="PT",VLOOKUP(K319,Foundation_Calc!$K$79:$R$113,VLOOKUP(AW319,Foundation_Calc!$I$2:$J$8,2,FALSE),0),
IF(AX319="K",VLOOKUP(K319,Foundation_Calc!$K$117:$R$151,VLOOKUP(AW319,Foundation_Calc!$I$2:$J$8,2,FALSE),0),"")))</f>
        <v/>
      </c>
      <c r="BA319" s="495" t="str">
        <f t="shared" si="36"/>
        <v/>
      </c>
      <c r="BB319" s="495" t="str">
        <f t="shared" si="37"/>
        <v/>
      </c>
      <c r="BC319" s="495" t="str">
        <f t="shared" si="38"/>
        <v/>
      </c>
      <c r="BD319" s="513" t="str">
        <f>IF(AND(L319="",H319=""),"",
IF(H319="",Pole_Calc!A$9,
IF(H319="MP",Pole_Calc!A$10,
IF(H319="AnMP",Pole_Calc!A$11,
IF(H319="A",Pole_Calc!A$12,
IF(H319="S/A",Pole_Calc!A$13,
IF(H319="A/S",Pole_Calc!A$14,"Poner a mano")))))))</f>
        <v/>
      </c>
      <c r="BE319" s="429" t="s">
        <v>118</v>
      </c>
      <c r="BF319" s="290"/>
      <c r="BG319" s="290"/>
      <c r="BH319" s="290"/>
      <c r="BI319" s="290"/>
    </row>
    <row r="320" spans="1:61" ht="16.149999999999999" customHeight="1">
      <c r="A320" s="574"/>
      <c r="B320" s="450" t="s">
        <v>1099</v>
      </c>
      <c r="C320" s="3">
        <f>+$C$318+$G$319</f>
        <v>37954.650000000009</v>
      </c>
      <c r="D320" s="83"/>
      <c r="E320" s="4"/>
      <c r="F320" s="4">
        <v>0</v>
      </c>
      <c r="G320" s="6"/>
      <c r="H320" s="449"/>
      <c r="I320" s="4"/>
      <c r="J320" s="3"/>
      <c r="K320" s="449"/>
      <c r="L320" s="449" t="s">
        <v>153</v>
      </c>
      <c r="M320" s="449" t="str">
        <f>IF(L320="","",
IF(AX320="PT",VLOOKUP(L320,Foundation_Calc!$V$79:$X$113,VLOOKUP(AX320,Foundation_Calc!$I$10:$J$13,2,FALSE),0),
IF(AX320="K",VLOOKUP(L320,Foundation_Calc!$V$117:$X$151,VLOOKUP(AX320,Foundation_Calc!$I$10:$J$13,2,FALSE),0),"")))</f>
        <v>C3RT</v>
      </c>
      <c r="N320" s="449" t="s">
        <v>134</v>
      </c>
      <c r="O320" s="449"/>
      <c r="P320" s="449"/>
      <c r="Q320" s="4"/>
      <c r="R320" s="6"/>
      <c r="S320" s="6"/>
      <c r="T320" s="4">
        <v>35</v>
      </c>
      <c r="U320" s="4"/>
      <c r="V320" s="4"/>
      <c r="W320" s="9">
        <v>1.4</v>
      </c>
      <c r="X320" s="9"/>
      <c r="Y320" s="9"/>
      <c r="Z320" s="9"/>
      <c r="AA320" s="9"/>
      <c r="AB320" s="9"/>
      <c r="AC320" s="449" t="str">
        <f t="shared" si="35"/>
        <v>PHQ</v>
      </c>
      <c r="AD320" s="449"/>
      <c r="AE320" s="449"/>
      <c r="AF320" s="4"/>
      <c r="AG320" s="83"/>
      <c r="AH320" s="4"/>
      <c r="AI320" s="4"/>
      <c r="AJ320" s="449"/>
      <c r="AK320" s="449"/>
      <c r="AL320" s="449"/>
      <c r="AM320" s="449" t="s">
        <v>126</v>
      </c>
      <c r="AN320" s="10">
        <v>5.5</v>
      </c>
      <c r="AO320" s="9"/>
      <c r="AP320" s="9"/>
      <c r="AQ320" s="9"/>
      <c r="AR320" s="9"/>
      <c r="AS320" s="9"/>
      <c r="AT320" s="9">
        <f>+ab($T$320,$T$318,$T$322,$G$319,$G$321, 1*$F$320,1200)</f>
        <v>7.4955682572493121</v>
      </c>
      <c r="AU320" s="428"/>
      <c r="AV320" s="428"/>
      <c r="AW320" s="449" t="str">
        <f>IF(C320&gt;0,VLOOKUP(C320,Foundation_Calc!$A$2:$C$13,3,1),
IF(J320&gt;0,VLOOKUP(J320,Foundation_Calc!$A$2:$C$13,3,1),""))</f>
        <v>Multi Soil</v>
      </c>
      <c r="AX320" s="449" t="str">
        <f>IF(C320&gt;0,VLOOKUP(C320,Foundation_Calc!$E$35:$G$65,3,1),
IF(J320&gt;0,VLOOKUP(J320,Foundation_Calc!$E$35:$G$65,3,1),""))</f>
        <v>K</v>
      </c>
      <c r="AY320" s="10">
        <f>IF(L320="","",
IF(AX320="PT",VLOOKUP(L320,Foundation_Calc!$K$79:$R$113,VLOOKUP(AW320,Foundation_Calc!$I$2:$J$8,2,FALSE),0),
IF(AX320="K",VLOOKUP(L320,Foundation_Calc!$K$117:$R$151,VLOOKUP(AW320,Foundation_Calc!$I$2:$J$8,2,FALSE),0),"")))</f>
        <v>4</v>
      </c>
      <c r="AZ320" s="10" t="str">
        <f>IF(K320="","",
IF(AX320="PT",VLOOKUP(K320,Foundation_Calc!$K$79:$R$113,VLOOKUP(AW320,Foundation_Calc!$I$2:$J$8,2,FALSE),0),
IF(AX320="K",VLOOKUP(K320,Foundation_Calc!$K$117:$R$151,VLOOKUP(AW320,Foundation_Calc!$I$2:$J$8,2,FALSE),0),"")))</f>
        <v/>
      </c>
      <c r="BA320" s="495" t="str">
        <f t="shared" si="36"/>
        <v>ü</v>
      </c>
      <c r="BB320" s="495" t="str">
        <f t="shared" si="37"/>
        <v/>
      </c>
      <c r="BC320" s="495" t="str">
        <f t="shared" si="38"/>
        <v/>
      </c>
      <c r="BD320" s="513" t="str">
        <f>IF(AND(L320="",H320=""),"",
IF(H320="",Pole_Calc!A$9,
IF(H320="MP",Pole_Calc!A$10,
IF(H320="AnMP",Pole_Calc!A$11,
IF(H320="A",Pole_Calc!A$12,
IF(H320="S/A",Pole_Calc!A$13,
IF(H320="A/S",Pole_Calc!A$14,"Poner a mano")))))))</f>
        <v>App.7-V11I-P9.5.1.1</v>
      </c>
      <c r="BE320" s="429" t="s">
        <v>118</v>
      </c>
      <c r="BF320" s="289"/>
      <c r="BG320" s="289"/>
      <c r="BH320" s="290"/>
      <c r="BI320" s="289"/>
    </row>
    <row r="321" spans="1:61" ht="16.149999999999999" customHeight="1">
      <c r="A321" s="514"/>
      <c r="B321" s="450"/>
      <c r="C321" s="3"/>
      <c r="D321" s="83"/>
      <c r="E321" s="4"/>
      <c r="F321" s="4"/>
      <c r="G321" s="6">
        <v>55</v>
      </c>
      <c r="H321" s="449"/>
      <c r="I321" s="4"/>
      <c r="J321" s="3"/>
      <c r="K321" s="449"/>
      <c r="L321" s="449"/>
      <c r="M321" s="449" t="str">
        <f>IF(L321="","",
IF(AX321="PT",VLOOKUP(L321,Foundation_Calc!$V$79:$X$113,VLOOKUP(AX321,Foundation_Calc!$I$10:$J$13,2,FALSE),0),
IF(AX321="K",VLOOKUP(L321,Foundation_Calc!$V$117:$X$151,VLOOKUP(AX321,Foundation_Calc!$I$10:$J$13,2,FALSE),0),"")))</f>
        <v/>
      </c>
      <c r="N321" s="449"/>
      <c r="O321" s="449"/>
      <c r="P321" s="449"/>
      <c r="Q321" s="4"/>
      <c r="R321" s="6"/>
      <c r="S321" s="6"/>
      <c r="T321" s="4"/>
      <c r="U321" s="4"/>
      <c r="V321" s="4"/>
      <c r="W321" s="9"/>
      <c r="X321" s="9"/>
      <c r="Y321" s="9"/>
      <c r="Z321" s="9"/>
      <c r="AA321" s="9"/>
      <c r="AB321" s="9"/>
      <c r="AC321" s="449"/>
      <c r="AD321" s="449"/>
      <c r="AE321" s="449"/>
      <c r="AF321" s="4"/>
      <c r="AG321" s="83"/>
      <c r="AH321" s="4"/>
      <c r="AI321" s="4"/>
      <c r="AJ321" s="449"/>
      <c r="AK321" s="449"/>
      <c r="AL321" s="449"/>
      <c r="AM321" s="449"/>
      <c r="AN321" s="10"/>
      <c r="AO321" s="9"/>
      <c r="AP321" s="9"/>
      <c r="AQ321" s="9">
        <f>+FL_1($T$322,$T$320,$G$321,1200,9.28, 1*$F$322)</f>
        <v>0.39714735709090898</v>
      </c>
      <c r="AR321" s="9"/>
      <c r="AS321" s="9"/>
      <c r="AT321" s="9"/>
      <c r="AU321" s="428"/>
      <c r="AV321" s="428"/>
      <c r="AW321" s="449"/>
      <c r="AX321" s="449" t="str">
        <f>IF(C321&gt;0,VLOOKUP(C321,Foundation_Calc!$E$35:$G$65,3,1),
IF(J321&gt;0,VLOOKUP(J321,Foundation_Calc!$E$35:$G$65,3,1),""))</f>
        <v/>
      </c>
      <c r="AY321" s="10" t="str">
        <f>IF(L321="","",
IF(AX321="PT",VLOOKUP(L321,Foundation_Calc!$K$79:$R$113,VLOOKUP(AW321,Foundation_Calc!$I$2:$J$8,2,FALSE),0),
IF(AX321="K",VLOOKUP(L321,Foundation_Calc!$K$117:$R$151,VLOOKUP(AW321,Foundation_Calc!$I$2:$J$8,2,FALSE),0),"")))</f>
        <v/>
      </c>
      <c r="AZ321" s="10" t="str">
        <f>IF(K321="","",
IF(AX321="PT",VLOOKUP(K321,Foundation_Calc!$K$79:$R$113,VLOOKUP(AW321,Foundation_Calc!$I$2:$J$8,2,FALSE),0),
IF(AX321="K",VLOOKUP(K321,Foundation_Calc!$K$117:$R$151,VLOOKUP(AW321,Foundation_Calc!$I$2:$J$8,2,FALSE),0),"")))</f>
        <v/>
      </c>
      <c r="BA321" s="495"/>
      <c r="BB321" s="495"/>
      <c r="BC321" s="495"/>
      <c r="BD321" s="513" t="str">
        <f>IF(AND(L321="",H321=""),"",
IF(H321="",Pole_Calc!A$9,
IF(H321="MP",Pole_Calc!A$10,
IF(H321="AnMP",Pole_Calc!A$11,
IF(H321="A",Pole_Calc!A$12,
IF(H321="S/A",Pole_Calc!A$13,
IF(H321="A/S",Pole_Calc!A$14,"Poner a mano")))))))</f>
        <v/>
      </c>
      <c r="BE321" s="429" t="s">
        <v>118</v>
      </c>
      <c r="BF321" s="290"/>
      <c r="BG321" s="290"/>
      <c r="BH321" s="290"/>
      <c r="BI321" s="290"/>
    </row>
    <row r="322" spans="1:61" ht="16.149999999999999" customHeight="1">
      <c r="A322" s="574"/>
      <c r="B322" s="450" t="s">
        <v>1100</v>
      </c>
      <c r="C322" s="3">
        <f>+$C$320+$G$321</f>
        <v>38009.650000000009</v>
      </c>
      <c r="D322" s="83"/>
      <c r="E322" s="4"/>
      <c r="F322" s="4">
        <v>0</v>
      </c>
      <c r="G322" s="6"/>
      <c r="H322" s="449"/>
      <c r="I322" s="4"/>
      <c r="J322" s="3"/>
      <c r="K322" s="449"/>
      <c r="L322" s="449" t="s">
        <v>153</v>
      </c>
      <c r="M322" s="449" t="str">
        <f>IF(L322="","",
IF(AX322="PT",VLOOKUP(L322,Foundation_Calc!$V$79:$X$113,VLOOKUP(AX322,Foundation_Calc!$I$10:$J$13,2,FALSE),0),
IF(AX322="K",VLOOKUP(L322,Foundation_Calc!$V$117:$X$151,VLOOKUP(AX322,Foundation_Calc!$I$10:$J$13,2,FALSE),0),"")))</f>
        <v>C3RT</v>
      </c>
      <c r="N322" s="449" t="s">
        <v>124</v>
      </c>
      <c r="O322" s="449"/>
      <c r="P322" s="449"/>
      <c r="Q322" s="4"/>
      <c r="R322" s="6"/>
      <c r="S322" s="6"/>
      <c r="T322" s="4">
        <v>-35</v>
      </c>
      <c r="U322" s="4"/>
      <c r="V322" s="4"/>
      <c r="W322" s="9">
        <v>1.4</v>
      </c>
      <c r="X322" s="9"/>
      <c r="Y322" s="9"/>
      <c r="Z322" s="9"/>
      <c r="AA322" s="9"/>
      <c r="AB322" s="9"/>
      <c r="AC322" s="449" t="str">
        <f t="shared" si="35"/>
        <v>PH</v>
      </c>
      <c r="AD322" s="449"/>
      <c r="AE322" s="449"/>
      <c r="AF322" s="4"/>
      <c r="AG322" s="83"/>
      <c r="AH322" s="4"/>
      <c r="AI322" s="4"/>
      <c r="AJ322" s="449"/>
      <c r="AK322" s="449"/>
      <c r="AL322" s="449"/>
      <c r="AM322" s="449" t="s">
        <v>126</v>
      </c>
      <c r="AN322" s="10">
        <v>5.5</v>
      </c>
      <c r="AO322" s="9"/>
      <c r="AP322" s="9"/>
      <c r="AQ322" s="9"/>
      <c r="AR322" s="9"/>
      <c r="AS322" s="9"/>
      <c r="AT322" s="9">
        <f>+ab($T$322,$T$320,$T$324,$G$321,$G$323, 1*$F$322,1200)</f>
        <v>-12.021730166314134</v>
      </c>
      <c r="AU322" s="428"/>
      <c r="AV322" s="428"/>
      <c r="AW322" s="449" t="str">
        <f>IF(C322&gt;0,VLOOKUP(C322,Foundation_Calc!$A$2:$C$13,3,1),
IF(J322&gt;0,VLOOKUP(J322,Foundation_Calc!$A$2:$C$13,3,1),""))</f>
        <v>Multi Soil</v>
      </c>
      <c r="AX322" s="449" t="str">
        <f>IF(C322&gt;0,VLOOKUP(C322,Foundation_Calc!$E$35:$G$65,3,1),
IF(J322&gt;0,VLOOKUP(J322,Foundation_Calc!$E$35:$G$65,3,1),""))</f>
        <v>K</v>
      </c>
      <c r="AY322" s="10">
        <f>IF(L322="","",
IF(AX322="PT",VLOOKUP(L322,Foundation_Calc!$K$79:$R$113,VLOOKUP(AW322,Foundation_Calc!$I$2:$J$8,2,FALSE),0),
IF(AX322="K",VLOOKUP(L322,Foundation_Calc!$K$117:$R$151,VLOOKUP(AW322,Foundation_Calc!$I$2:$J$8,2,FALSE),0),"")))</f>
        <v>4</v>
      </c>
      <c r="AZ322" s="10" t="str">
        <f>IF(K322="","",
IF(AX322="PT",VLOOKUP(K322,Foundation_Calc!$K$79:$R$113,VLOOKUP(AW322,Foundation_Calc!$I$2:$J$8,2,FALSE),0),
IF(AX322="K",VLOOKUP(K322,Foundation_Calc!$K$117:$R$151,VLOOKUP(AW322,Foundation_Calc!$I$2:$J$8,2,FALSE),0),"")))</f>
        <v/>
      </c>
      <c r="BA322" s="495" t="str">
        <f t="shared" ref="BA322" si="39">IF(AY322="","",IF(AY322&gt;0,"ü",""))</f>
        <v>ü</v>
      </c>
      <c r="BB322" s="495" t="str">
        <f t="shared" ref="BB322" si="40">IF(AZ322="","",IF(AZ322&gt;0,"ü",""))</f>
        <v/>
      </c>
      <c r="BC322" s="495" t="str">
        <f t="shared" ref="BC322" si="41">IF(M322="","",IF(M322="U.S.","ü",IF(M322="U.S. N.D.","ü","")))</f>
        <v/>
      </c>
      <c r="BD322" s="513" t="str">
        <f>IF(AND(L322="",H322=""),"",
IF(H322="",Pole_Calc!A$9,
IF(H322="MP",Pole_Calc!A$10,
IF(H322="AnMP",Pole_Calc!A$11,
IF(H322="A",Pole_Calc!A$12,
IF(H322="S/A",Pole_Calc!A$13,
IF(H322="A/S",Pole_Calc!A$14,"Poner a mano")))))))</f>
        <v>App.7-V11I-P9.5.1.1</v>
      </c>
      <c r="BE322" s="429" t="s">
        <v>118</v>
      </c>
      <c r="BF322" s="289"/>
      <c r="BG322" s="289"/>
      <c r="BH322" s="290"/>
      <c r="BI322" s="289"/>
    </row>
    <row r="323" spans="1:61" ht="16.149999999999999" customHeight="1">
      <c r="A323" s="514"/>
      <c r="B323" s="450"/>
      <c r="C323" s="3"/>
      <c r="D323" s="83"/>
      <c r="E323" s="4"/>
      <c r="F323" s="4"/>
      <c r="G323" s="6">
        <v>50</v>
      </c>
      <c r="H323" s="449"/>
      <c r="I323" s="4"/>
      <c r="J323" s="3"/>
      <c r="K323" s="449"/>
      <c r="L323" s="449"/>
      <c r="M323" s="449" t="str">
        <f>IF(L323="","",
IF(AX323="PT",VLOOKUP(L323,Foundation_Calc!$V$79:$X$113,VLOOKUP(AX323,Foundation_Calc!$I$10:$J$13,2,FALSE),0),
IF(AX323="K",VLOOKUP(L323,Foundation_Calc!$V$117:$X$151,VLOOKUP(AX323,Foundation_Calc!$I$10:$J$13,2,FALSE),0),"")))</f>
        <v/>
      </c>
      <c r="N323" s="449"/>
      <c r="O323" s="449"/>
      <c r="P323" s="449"/>
      <c r="Q323" s="4"/>
      <c r="R323" s="6"/>
      <c r="S323" s="6"/>
      <c r="T323" s="4"/>
      <c r="U323" s="4"/>
      <c r="V323" s="4"/>
      <c r="W323" s="9"/>
      <c r="X323" s="9"/>
      <c r="Y323" s="9"/>
      <c r="Z323" s="9"/>
      <c r="AA323" s="9"/>
      <c r="AB323" s="9"/>
      <c r="AC323" s="449" t="str">
        <f t="shared" si="35"/>
        <v/>
      </c>
      <c r="AD323" s="449"/>
      <c r="AE323" s="449"/>
      <c r="AF323" s="4"/>
      <c r="AG323" s="83"/>
      <c r="AH323" s="4"/>
      <c r="AI323" s="4"/>
      <c r="AJ323" s="449"/>
      <c r="AK323" s="449"/>
      <c r="AL323" s="449"/>
      <c r="AM323" s="449"/>
      <c r="AN323" s="10"/>
      <c r="AO323" s="9"/>
      <c r="AP323" s="9"/>
      <c r="AQ323" s="9">
        <f>+FL_2($T$324,$T$322,$G$323,1200,9.28, 1*$F$324)</f>
        <v>-0.45184390176541755</v>
      </c>
      <c r="AR323" s="9"/>
      <c r="AS323" s="9"/>
      <c r="AT323" s="9"/>
      <c r="AU323" s="428"/>
      <c r="AV323" s="428"/>
      <c r="AW323" s="449" t="str">
        <f>IF(C323&gt;0,VLOOKUP(C323,Foundation_Calc!$A$2:$C$13,3,1),
IF(J323&gt;0,VLOOKUP(J323,Foundation_Calc!$A$2:$C$13,3,1),""))</f>
        <v/>
      </c>
      <c r="AX323" s="449" t="str">
        <f>IF(C323&gt;0,VLOOKUP(C323,Foundation_Calc!$E$35:$G$65,3,1),
IF(J323&gt;0,VLOOKUP(J323,Foundation_Calc!$E$35:$G$65,3,1),""))</f>
        <v/>
      </c>
      <c r="AY323" s="10" t="str">
        <f>IF(L323="","",
IF(AX323="PT",VLOOKUP(L323,Foundation_Calc!$K$79:$R$113,VLOOKUP(AW323,Foundation_Calc!$I$2:$J$8,2,FALSE),0),
IF(AX323="K",VLOOKUP(L323,Foundation_Calc!$K$117:$R$151,VLOOKUP(AW323,Foundation_Calc!$I$2:$J$8,2,FALSE),0),"")))</f>
        <v/>
      </c>
      <c r="AZ323" s="10" t="str">
        <f>IF(K323="","",
IF(AX323="PT",VLOOKUP(K323,Foundation_Calc!$K$79:$R$113,VLOOKUP(AW323,Foundation_Calc!$I$2:$J$8,2,FALSE),0),
IF(AX323="K",VLOOKUP(K323,Foundation_Calc!$K$117:$R$151,VLOOKUP(AW323,Foundation_Calc!$I$2:$J$8,2,FALSE),0),"")))</f>
        <v/>
      </c>
      <c r="BA323" s="495" t="str">
        <f t="shared" si="36"/>
        <v/>
      </c>
      <c r="BB323" s="495" t="str">
        <f t="shared" si="37"/>
        <v/>
      </c>
      <c r="BC323" s="495" t="str">
        <f t="shared" si="38"/>
        <v/>
      </c>
      <c r="BD323" s="513" t="str">
        <f>IF(AND(L323="",H323=""),"",
IF(H323="",Pole_Calc!A$9,
IF(H323="MP",Pole_Calc!A$10,
IF(H323="AnMP",Pole_Calc!A$11,
IF(H323="A",Pole_Calc!A$12,
IF(H323="S/A",Pole_Calc!A$13,
IF(H323="A/S",Pole_Calc!A$14,"Poner a mano")))))))</f>
        <v/>
      </c>
      <c r="BE323" s="429" t="s">
        <v>118</v>
      </c>
      <c r="BF323" s="290"/>
      <c r="BG323" s="290"/>
      <c r="BH323" s="290"/>
      <c r="BI323" s="290"/>
    </row>
    <row r="324" spans="1:61" ht="16.149999999999999" customHeight="1">
      <c r="A324" s="607"/>
      <c r="B324" s="536" t="s">
        <v>1101</v>
      </c>
      <c r="C324" s="537">
        <f>+$C$322+$G$323</f>
        <v>38059.650000000009</v>
      </c>
      <c r="D324" s="538"/>
      <c r="E324" s="539"/>
      <c r="F324" s="539">
        <v>-4270.9953621133091</v>
      </c>
      <c r="G324" s="6"/>
      <c r="H324" s="541"/>
      <c r="I324" s="539"/>
      <c r="J324" s="537"/>
      <c r="K324" s="541"/>
      <c r="L324" s="541" t="s">
        <v>153</v>
      </c>
      <c r="M324" s="541" t="str">
        <f>IF(L324="","",
IF(AX324="PT",VLOOKUP(L324,Foundation_Calc!$V$79:$X$113,VLOOKUP(AX324,Foundation_Calc!$I$10:$J$13,2,FALSE),0),
IF(AX324="K",VLOOKUP(L324,Foundation_Calc!$V$117:$X$151,VLOOKUP(AX324,Foundation_Calc!$I$10:$J$13,2,FALSE),0),"")))</f>
        <v>C3RT</v>
      </c>
      <c r="N324" s="541" t="s">
        <v>124</v>
      </c>
      <c r="O324" s="541"/>
      <c r="P324" s="541"/>
      <c r="Q324" s="539"/>
      <c r="R324" s="540"/>
      <c r="S324" s="540"/>
      <c r="T324" s="539">
        <v>-20</v>
      </c>
      <c r="U324" s="539"/>
      <c r="V324" s="539"/>
      <c r="W324" s="542">
        <v>1.4</v>
      </c>
      <c r="X324" s="542"/>
      <c r="Y324" s="542"/>
      <c r="Z324" s="542"/>
      <c r="AA324" s="542"/>
      <c r="AB324" s="542"/>
      <c r="AC324" s="541" t="str">
        <f t="shared" si="35"/>
        <v>PH</v>
      </c>
      <c r="AD324" s="541"/>
      <c r="AE324" s="541"/>
      <c r="AF324" s="539"/>
      <c r="AG324" s="538"/>
      <c r="AH324" s="539"/>
      <c r="AI324" s="539"/>
      <c r="AJ324" s="541"/>
      <c r="AK324" s="541"/>
      <c r="AL324" s="541"/>
      <c r="AM324" s="541" t="s">
        <v>126</v>
      </c>
      <c r="AN324" s="543">
        <v>5.5</v>
      </c>
      <c r="AO324" s="542"/>
      <c r="AP324" s="542"/>
      <c r="AQ324" s="542"/>
      <c r="AR324" s="542"/>
      <c r="AS324" s="542"/>
      <c r="AT324" s="542">
        <f>+ab($T$324,$T$322,$T$326,$G$323,$G$325, 1*$F$324,1200)</f>
        <v>-27.662352624692367</v>
      </c>
      <c r="AU324" s="544"/>
      <c r="AV324" s="544"/>
      <c r="AW324" s="541" t="str">
        <f>IF(C324&gt;0,VLOOKUP(C324,Foundation_Calc!$A$2:$C$13,3,1),
IF(J324&gt;0,VLOOKUP(J324,Foundation_Calc!$A$2:$C$13,3,1),""))</f>
        <v>Multi Soil</v>
      </c>
      <c r="AX324" s="541" t="str">
        <f>IF(C324&gt;0,VLOOKUP(C324,Foundation_Calc!$E$35:$G$65,3,1),
IF(J324&gt;0,VLOOKUP(J324,Foundation_Calc!$E$35:$G$65,3,1),""))</f>
        <v>K</v>
      </c>
      <c r="AY324" s="543">
        <f>IF(L324="","",
IF(AX324="PT",VLOOKUP(L324,Foundation_Calc!$K$79:$R$113,VLOOKUP(AW324,Foundation_Calc!$I$2:$J$8,2,FALSE),0),
IF(AX324="K",VLOOKUP(L324,Foundation_Calc!$K$117:$R$151,VLOOKUP(AW324,Foundation_Calc!$I$2:$J$8,2,FALSE),0),"")))</f>
        <v>4</v>
      </c>
      <c r="AZ324" s="543" t="str">
        <f>IF(K324="","",
IF(AX324="PT",VLOOKUP(K324,Foundation_Calc!$K$79:$R$113,VLOOKUP(AW324,Foundation_Calc!$I$2:$J$8,2,FALSE),0),
IF(AX324="K",VLOOKUP(K324,Foundation_Calc!$K$117:$R$151,VLOOKUP(AW324,Foundation_Calc!$I$2:$J$8,2,FALSE),0),"")))</f>
        <v/>
      </c>
      <c r="BA324" s="550" t="str">
        <f t="shared" si="36"/>
        <v>ü</v>
      </c>
      <c r="BB324" s="550" t="str">
        <f t="shared" si="37"/>
        <v/>
      </c>
      <c r="BC324" s="550" t="str">
        <f t="shared" si="38"/>
        <v/>
      </c>
      <c r="BD324" s="516" t="str">
        <f>IF(AND(L324="",H324=""),"",
IF(H324="",Pole_Calc!A$9,
IF(H324="MP",Pole_Calc!A$10,
IF(H324="AnMP",Pole_Calc!A$11,
IF(H324="A",Pole_Calc!A$12,
IF(H324="S/A",Pole_Calc!A$13,
IF(H324="A/S",Pole_Calc!A$14,"Poner a mano")))))))</f>
        <v>App.7-V11I-P9.5.1.1</v>
      </c>
      <c r="BE324" s="429" t="s">
        <v>118</v>
      </c>
      <c r="BF324" s="289"/>
      <c r="BG324" s="289"/>
      <c r="BH324" s="290"/>
      <c r="BI324" s="289"/>
    </row>
    <row r="325" spans="1:61" ht="16.149999999999999" customHeight="1">
      <c r="A325" s="514"/>
      <c r="B325" s="450"/>
      <c r="C325" s="3"/>
      <c r="D325" s="83"/>
      <c r="E325" s="4"/>
      <c r="F325" s="4"/>
      <c r="G325" s="6">
        <v>48</v>
      </c>
      <c r="H325" s="449"/>
      <c r="I325" s="4"/>
      <c r="J325" s="3">
        <f>C326-7.5</f>
        <v>38100.150000000009</v>
      </c>
      <c r="K325" s="449" t="s">
        <v>324</v>
      </c>
      <c r="L325" s="449"/>
      <c r="M325" s="449" t="str">
        <f>IF(L325="","",
IF(AX325="PT",VLOOKUP(L325,Foundation_Calc!$V$79:$X$113,VLOOKUP(AX325,Foundation_Calc!$I$10:$J$13,2,FALSE),0),
IF(AX325="K",VLOOKUP(L325,Foundation_Calc!$V$117:$X$151,VLOOKUP(AX325,Foundation_Calc!$I$10:$J$13,2,FALSE),0),"")))</f>
        <v/>
      </c>
      <c r="N325" s="449"/>
      <c r="O325" s="449"/>
      <c r="P325" s="449"/>
      <c r="Q325" s="4"/>
      <c r="R325" s="6"/>
      <c r="S325" s="6"/>
      <c r="T325" s="4"/>
      <c r="U325" s="4"/>
      <c r="V325" s="4"/>
      <c r="W325" s="9"/>
      <c r="X325" s="9"/>
      <c r="Y325" s="9"/>
      <c r="Z325" s="9"/>
      <c r="AA325" s="9"/>
      <c r="AB325" s="9"/>
      <c r="AC325" s="449" t="str">
        <f t="shared" si="35"/>
        <v/>
      </c>
      <c r="AD325" s="449"/>
      <c r="AE325" s="449"/>
      <c r="AF325" s="4"/>
      <c r="AG325" s="83"/>
      <c r="AH325" s="4"/>
      <c r="AI325" s="4"/>
      <c r="AJ325" s="449"/>
      <c r="AK325" s="449"/>
      <c r="AL325" s="449"/>
      <c r="AM325" s="449"/>
      <c r="AN325" s="10"/>
      <c r="AO325" s="9"/>
      <c r="AP325" s="9"/>
      <c r="AQ325" s="9">
        <f>+FL_2($T$326,$T$324,$G$325,1200,9.28, 1*$F$326)</f>
        <v>-0.30550877931176701</v>
      </c>
      <c r="AR325" s="9"/>
      <c r="AS325" s="9"/>
      <c r="AT325" s="9"/>
      <c r="AU325" s="428"/>
      <c r="AV325" s="428"/>
      <c r="AW325" s="449" t="str">
        <f>IF(C325&gt;0,VLOOKUP(C325,Foundation_Calc!$A$2:$C$13,3,1),
IF(J325&gt;0,VLOOKUP(J325,Foundation_Calc!$A$2:$C$13,3,1),""))</f>
        <v>Multi Soil</v>
      </c>
      <c r="AX325" s="449" t="str">
        <f>IF(C325&gt;0,VLOOKUP(C325,Foundation_Calc!$E$35:$G$65,3,1),
IF(J325&gt;0,VLOOKUP(J325,Foundation_Calc!$E$35:$G$65,3,1),""))</f>
        <v>K</v>
      </c>
      <c r="AY325" s="10" t="str">
        <f>IF(L325="","",
IF(AX325="PT",VLOOKUP(L325,Foundation_Calc!$K$79:$R$113,VLOOKUP(AW325,Foundation_Calc!$I$2:$J$8,2,FALSE),0),
IF(AX325="K",VLOOKUP(L325,Foundation_Calc!$K$117:$R$151,VLOOKUP(AW325,Foundation_Calc!$I$2:$J$8,2,FALSE),0),"")))</f>
        <v/>
      </c>
      <c r="AZ325" s="10">
        <f>IF(K325="","",
IF(AX325="PT",VLOOKUP(K325,Foundation_Calc!$K$79:$R$113,VLOOKUP(AW325,Foundation_Calc!$I$2:$J$8,2,FALSE),0),
IF(AX325="K",VLOOKUP(K325,Foundation_Calc!$K$117:$R$151,VLOOKUP(AW325,Foundation_Calc!$I$2:$J$8,2,FALSE),0),"")))</f>
        <v>2.8</v>
      </c>
      <c r="BA325" s="495" t="str">
        <f t="shared" si="36"/>
        <v/>
      </c>
      <c r="BB325" s="495" t="str">
        <f t="shared" si="37"/>
        <v>ü</v>
      </c>
      <c r="BC325" s="495" t="str">
        <f t="shared" si="38"/>
        <v/>
      </c>
      <c r="BD325" s="513" t="str">
        <f>IF(AND(L325="",H325=""),"",
IF(H325="",Pole_Calc!A$9,
IF(H325="MP",Pole_Calc!A$10,
IF(H325="AnMP",Pole_Calc!A$11,
IF(H325="A",Pole_Calc!A$12,
IF(H325="S/A",Pole_Calc!A$13,
IF(H325="A/S",Pole_Calc!A$14,"Poner a mano")))))))</f>
        <v/>
      </c>
      <c r="BE325" s="429" t="s">
        <v>118</v>
      </c>
      <c r="BF325" s="290"/>
      <c r="BG325" s="290"/>
      <c r="BH325" s="290"/>
      <c r="BI325" s="290"/>
    </row>
    <row r="326" spans="1:61" ht="16.149999999999999" customHeight="1">
      <c r="A326" s="514"/>
      <c r="B326" s="450" t="s">
        <v>1102</v>
      </c>
      <c r="C326" s="3">
        <f>+$C$324+$G$325</f>
        <v>38107.650000000009</v>
      </c>
      <c r="D326" s="83"/>
      <c r="E326" s="4"/>
      <c r="F326" s="4">
        <v>-1574.5889780351611</v>
      </c>
      <c r="G326" s="540"/>
      <c r="H326" s="449" t="s">
        <v>168</v>
      </c>
      <c r="I326" s="4"/>
      <c r="J326" s="3"/>
      <c r="K326" s="449"/>
      <c r="L326" s="449" t="s">
        <v>158</v>
      </c>
      <c r="M326" s="449" t="str">
        <f>IF(L326="","",
IF(AX326="PT",VLOOKUP(L326,Foundation_Calc!$V$79:$X$113,VLOOKUP(AX326,Foundation_Calc!$I$10:$J$13,2,FALSE),0),
IF(AX326="K",VLOOKUP(L326,Foundation_Calc!$V$117:$X$151,VLOOKUP(AX326,Foundation_Calc!$I$10:$J$13,2,FALSE),0),"")))</f>
        <v>C4RT</v>
      </c>
      <c r="N326" s="449" t="s">
        <v>124</v>
      </c>
      <c r="O326" s="449"/>
      <c r="P326" s="449"/>
      <c r="Q326" s="4"/>
      <c r="R326" s="6"/>
      <c r="S326" s="6"/>
      <c r="T326" s="4">
        <v>-30</v>
      </c>
      <c r="U326" s="4"/>
      <c r="V326" s="4"/>
      <c r="W326" s="9">
        <v>1.4</v>
      </c>
      <c r="X326" s="9"/>
      <c r="Y326" s="9"/>
      <c r="Z326" s="9"/>
      <c r="AA326" s="9"/>
      <c r="AB326" s="9"/>
      <c r="AC326" s="449" t="str">
        <f t="shared" si="35"/>
        <v>PHQ</v>
      </c>
      <c r="AD326" s="449"/>
      <c r="AE326" s="449"/>
      <c r="AF326" s="4"/>
      <c r="AG326" s="83"/>
      <c r="AH326" s="4"/>
      <c r="AI326" s="4"/>
      <c r="AJ326" s="449"/>
      <c r="AK326" s="449"/>
      <c r="AL326" s="449"/>
      <c r="AM326" s="449" t="s">
        <v>126</v>
      </c>
      <c r="AN326" s="10">
        <v>5.5</v>
      </c>
      <c r="AO326" s="9"/>
      <c r="AP326" s="9"/>
      <c r="AQ326" s="9"/>
      <c r="AR326" s="9"/>
      <c r="AS326" s="9"/>
      <c r="AT326" s="9">
        <f>+ab($T$326,$T$324,$T$328,$G$325,$G$327, 1*$F$326,1200)</f>
        <v>-5.8715157279333248</v>
      </c>
      <c r="AU326" s="428"/>
      <c r="AV326" s="428"/>
      <c r="AW326" s="449" t="str">
        <f>IF(C326&gt;0,VLOOKUP(C326,Foundation_Calc!$A$2:$C$13,3,1),
IF(J326&gt;0,VLOOKUP(J326,Foundation_Calc!$A$2:$C$13,3,1),""))</f>
        <v>Multi Soil</v>
      </c>
      <c r="AX326" s="449" t="str">
        <f>IF(C326&gt;0,VLOOKUP(C326,Foundation_Calc!$E$35:$G$65,3,1),
IF(J326&gt;0,VLOOKUP(J326,Foundation_Calc!$E$35:$G$65,3,1),""))</f>
        <v>K</v>
      </c>
      <c r="AY326" s="10">
        <f>IF(L326="","",
IF(AX326="PT",VLOOKUP(L326,Foundation_Calc!$K$79:$R$113,VLOOKUP(AW326,Foundation_Calc!$I$2:$J$8,2,FALSE),0),
IF(AX326="K",VLOOKUP(L326,Foundation_Calc!$K$117:$R$151,VLOOKUP(AW326,Foundation_Calc!$I$2:$J$8,2,FALSE),0),"")))</f>
        <v>4.2</v>
      </c>
      <c r="AZ326" s="10" t="str">
        <f>IF(K326="","",
IF(AX326="PT",VLOOKUP(K326,Foundation_Calc!$K$79:$R$113,VLOOKUP(AW326,Foundation_Calc!$I$2:$J$8,2,FALSE),0),
IF(AX326="K",VLOOKUP(K326,Foundation_Calc!$K$117:$R$151,VLOOKUP(AW326,Foundation_Calc!$I$2:$J$8,2,FALSE),0),"")))</f>
        <v/>
      </c>
      <c r="BA326" s="495" t="str">
        <f t="shared" si="36"/>
        <v>ü</v>
      </c>
      <c r="BB326" s="495" t="str">
        <f t="shared" si="37"/>
        <v/>
      </c>
      <c r="BC326" s="495" t="str">
        <f t="shared" si="38"/>
        <v/>
      </c>
      <c r="BD326" s="513" t="str">
        <f>IF(AND(L326="",H326=""),"",
IF(H326="",Pole_Calc!A$9,
IF(H326="MP",Pole_Calc!A$10,
IF(H326="AnMP",Pole_Calc!A$11,
IF(H326="A",Pole_Calc!A$12,
IF(H326="S/A",Pole_Calc!A$13,
IF(H326="A/S",Pole_Calc!A$14,"Poner a mano")))))))</f>
        <v>App.7-V11I-P9.5.1.3</v>
      </c>
      <c r="BE326" s="429" t="s">
        <v>118</v>
      </c>
      <c r="BF326" s="289"/>
      <c r="BG326" s="289"/>
      <c r="BH326" s="290"/>
      <c r="BI326" s="289"/>
    </row>
    <row r="327" spans="1:61" ht="16.149999999999999" customHeight="1">
      <c r="A327" s="514"/>
      <c r="B327" s="450"/>
      <c r="C327" s="3"/>
      <c r="D327" s="83"/>
      <c r="E327" s="4"/>
      <c r="F327" s="4"/>
      <c r="G327" s="6">
        <v>48</v>
      </c>
      <c r="H327" s="449"/>
      <c r="I327" s="4">
        <f>SUM(G311:G327)</f>
        <v>451.6</v>
      </c>
      <c r="J327" s="3"/>
      <c r="K327" s="449"/>
      <c r="L327" s="449"/>
      <c r="M327" s="449" t="str">
        <f>IF(L327="","",
IF(AX327="PT",VLOOKUP(L327,Foundation_Calc!$V$79:$X$113,VLOOKUP(AX327,Foundation_Calc!$I$10:$J$13,2,FALSE),0),
IF(AX327="K",VLOOKUP(L327,Foundation_Calc!$V$117:$X$151,VLOOKUP(AX327,Foundation_Calc!$I$10:$J$13,2,FALSE),0),"")))</f>
        <v/>
      </c>
      <c r="N327" s="449"/>
      <c r="O327" s="449"/>
      <c r="P327" s="449"/>
      <c r="Q327" s="4"/>
      <c r="R327" s="6"/>
      <c r="S327" s="6"/>
      <c r="T327" s="4"/>
      <c r="U327" s="4"/>
      <c r="V327" s="4"/>
      <c r="W327" s="9"/>
      <c r="X327" s="9"/>
      <c r="Y327" s="9"/>
      <c r="Z327" s="9"/>
      <c r="AA327" s="9"/>
      <c r="AB327" s="9"/>
      <c r="AC327" s="449" t="str">
        <f t="shared" si="35"/>
        <v/>
      </c>
      <c r="AD327" s="449"/>
      <c r="AE327" s="449"/>
      <c r="AF327" s="4"/>
      <c r="AG327" s="83"/>
      <c r="AH327" s="4"/>
      <c r="AI327" s="4"/>
      <c r="AJ327" s="449"/>
      <c r="AK327" s="449"/>
      <c r="AL327" s="449"/>
      <c r="AM327" s="449"/>
      <c r="AN327" s="10"/>
      <c r="AO327" s="9"/>
      <c r="AP327" s="9"/>
      <c r="AQ327" s="9">
        <f>+FL_2($T$328,$T$326,$G$327,1200,9.28, 1*$F$328)</f>
        <v>-0.30005441130447724</v>
      </c>
      <c r="AR327" s="9"/>
      <c r="AS327" s="9"/>
      <c r="AT327" s="9"/>
      <c r="AU327" s="428"/>
      <c r="AV327" s="428"/>
      <c r="AW327" s="449" t="str">
        <f>IF(C327&gt;0,VLOOKUP(C327,Foundation_Calc!$A$2:$C$13,3,1),
IF(J327&gt;0,VLOOKUP(J327,Foundation_Calc!$A$2:$C$13,3,1),""))</f>
        <v/>
      </c>
      <c r="AX327" s="449" t="str">
        <f>IF(C327&gt;0,VLOOKUP(C327,Foundation_Calc!$E$35:$G$65,3,1),
IF(J327&gt;0,VLOOKUP(J327,Foundation_Calc!$E$35:$G$65,3,1),""))</f>
        <v/>
      </c>
      <c r="AY327" s="10" t="str">
        <f>IF(L327="","",
IF(AX327="PT",VLOOKUP(L327,Foundation_Calc!$K$79:$R$113,VLOOKUP(AW327,Foundation_Calc!$I$2:$J$8,2,FALSE),0),
IF(AX327="K",VLOOKUP(L327,Foundation_Calc!$K$117:$R$151,VLOOKUP(AW327,Foundation_Calc!$I$2:$J$8,2,FALSE),0),"")))</f>
        <v/>
      </c>
      <c r="AZ327" s="10" t="str">
        <f>IF(K327="","",
IF(AX327="PT",VLOOKUP(K327,Foundation_Calc!$K$79:$R$113,VLOOKUP(AW327,Foundation_Calc!$I$2:$J$8,2,FALSE),0),
IF(AX327="K",VLOOKUP(K327,Foundation_Calc!$K$117:$R$151,VLOOKUP(AW327,Foundation_Calc!$I$2:$J$8,2,FALSE),0),"")))</f>
        <v/>
      </c>
      <c r="BA327" s="495" t="str">
        <f t="shared" si="36"/>
        <v/>
      </c>
      <c r="BB327" s="495" t="str">
        <f t="shared" si="37"/>
        <v/>
      </c>
      <c r="BC327" s="495" t="str">
        <f t="shared" si="38"/>
        <v/>
      </c>
      <c r="BD327" s="513" t="str">
        <f>IF(AND(L327="",H327=""),"",
IF(H327="",Pole_Calc!A$9,
IF(H327="MP",Pole_Calc!A$10,
IF(H327="AnMP",Pole_Calc!A$11,
IF(H327="A",Pole_Calc!A$12,
IF(H327="S/A",Pole_Calc!A$13,
IF(H327="A/S",Pole_Calc!A$14,"Poner a mano")))))))</f>
        <v/>
      </c>
      <c r="BE327" s="429" t="s">
        <v>118</v>
      </c>
      <c r="BF327" s="290"/>
      <c r="BG327" s="290"/>
      <c r="BH327" s="290"/>
      <c r="BI327" s="290"/>
    </row>
    <row r="328" spans="1:61" ht="16.149999999999999" customHeight="1">
      <c r="A328" s="514"/>
      <c r="B328" s="450" t="s">
        <v>1103</v>
      </c>
      <c r="C328" s="3">
        <f>+$C$326+$G$327</f>
        <v>38155.650000000009</v>
      </c>
      <c r="D328" s="83"/>
      <c r="E328" s="4"/>
      <c r="F328" s="4">
        <v>-1000</v>
      </c>
      <c r="G328" s="6"/>
      <c r="H328" s="449" t="s">
        <v>171</v>
      </c>
      <c r="I328" s="4"/>
      <c r="J328" s="3"/>
      <c r="K328" s="449"/>
      <c r="L328" s="449" t="s">
        <v>158</v>
      </c>
      <c r="M328" s="449" t="str">
        <f>IF(L328="","",
IF(AX328="PT",VLOOKUP(L328,Foundation_Calc!$V$79:$X$113,VLOOKUP(AX328,Foundation_Calc!$I$10:$J$13,2,FALSE),0),
IF(AX328="K",VLOOKUP(L328,Foundation_Calc!$V$117:$X$151,VLOOKUP(AX328,Foundation_Calc!$I$10:$J$13,2,FALSE),0),"")))</f>
        <v>C4RT</v>
      </c>
      <c r="N328" s="449" t="s">
        <v>124</v>
      </c>
      <c r="O328" s="449"/>
      <c r="P328" s="449"/>
      <c r="Q328" s="4"/>
      <c r="R328" s="6"/>
      <c r="S328" s="6"/>
      <c r="T328" s="4">
        <v>-30</v>
      </c>
      <c r="U328" s="4"/>
      <c r="V328" s="4"/>
      <c r="W328" s="9">
        <v>1.4</v>
      </c>
      <c r="X328" s="9"/>
      <c r="Y328" s="9"/>
      <c r="Z328" s="9"/>
      <c r="AA328" s="9"/>
      <c r="AB328" s="9"/>
      <c r="AC328" s="449" t="str">
        <f t="shared" si="35"/>
        <v>PHC</v>
      </c>
      <c r="AD328" s="449"/>
      <c r="AE328" s="449"/>
      <c r="AF328" s="4"/>
      <c r="AG328" s="83"/>
      <c r="AH328" s="4"/>
      <c r="AI328" s="4"/>
      <c r="AJ328" s="449"/>
      <c r="AK328" s="449"/>
      <c r="AL328" s="449"/>
      <c r="AM328" s="449" t="s">
        <v>126</v>
      </c>
      <c r="AN328" s="10">
        <v>5.5</v>
      </c>
      <c r="AO328" s="9"/>
      <c r="AP328" s="9"/>
      <c r="AQ328" s="9"/>
      <c r="AR328" s="9"/>
      <c r="AS328" s="9"/>
      <c r="AT328" s="9">
        <f>+ab($T$328,$T$326,$T$330,$G$327,$G$329, 1*$F$328,1200)</f>
        <v>-3.9912951206966776</v>
      </c>
      <c r="AU328" s="428"/>
      <c r="AV328" s="428"/>
      <c r="AW328" s="449" t="str">
        <f>IF(C328&gt;0,VLOOKUP(C328,Foundation_Calc!$A$2:$C$13,3,1),
IF(J328&gt;0,VLOOKUP(J328,Foundation_Calc!$A$2:$C$13,3,1),""))</f>
        <v>Multi Soil</v>
      </c>
      <c r="AX328" s="449" t="str">
        <f>IF(C328&gt;0,VLOOKUP(C328,Foundation_Calc!$E$35:$G$65,3,1),
IF(J328&gt;0,VLOOKUP(J328,Foundation_Calc!$E$35:$G$65,3,1),""))</f>
        <v>K</v>
      </c>
      <c r="AY328" s="10">
        <f>IF(L328="","",
IF(AX328="PT",VLOOKUP(L328,Foundation_Calc!$K$79:$R$113,VLOOKUP(AW328,Foundation_Calc!$I$2:$J$8,2,FALSE),0),
IF(AX328="K",VLOOKUP(L328,Foundation_Calc!$K$117:$R$151,VLOOKUP(AW328,Foundation_Calc!$I$2:$J$8,2,FALSE),0),"")))</f>
        <v>4.2</v>
      </c>
      <c r="AZ328" s="10" t="str">
        <f>IF(K328="","",
IF(AX328="PT",VLOOKUP(K328,Foundation_Calc!$K$79:$R$113,VLOOKUP(AW328,Foundation_Calc!$I$2:$J$8,2,FALSE),0),
IF(AX328="K",VLOOKUP(K328,Foundation_Calc!$K$117:$R$151,VLOOKUP(AW328,Foundation_Calc!$I$2:$J$8,2,FALSE),0),"")))</f>
        <v/>
      </c>
      <c r="BA328" s="495" t="str">
        <f t="shared" si="36"/>
        <v>ü</v>
      </c>
      <c r="BB328" s="495" t="str">
        <f t="shared" si="37"/>
        <v/>
      </c>
      <c r="BC328" s="495" t="str">
        <f t="shared" si="38"/>
        <v/>
      </c>
      <c r="BD328" s="513" t="str">
        <f>IF(AND(L328="",H328=""),"",
IF(H328="",Pole_Calc!A$9,
IF(H328="MP",Pole_Calc!A$10,
IF(H328="AnMP",Pole_Calc!A$11,
IF(H328="A",Pole_Calc!A$12,
IF(H328="S/A",Pole_Calc!A$13,
IF(H328="A/S",Pole_Calc!A$14,"Poner a mano")))))))</f>
        <v>App.7-V11I-P9.5.1.2</v>
      </c>
      <c r="BE328" s="429" t="s">
        <v>118</v>
      </c>
      <c r="BF328" s="289"/>
      <c r="BG328" s="289"/>
      <c r="BH328" s="290"/>
      <c r="BI328" s="289"/>
    </row>
    <row r="329" spans="1:61" ht="16.149999999999999" customHeight="1">
      <c r="A329" s="514"/>
      <c r="B329" s="450"/>
      <c r="C329" s="3"/>
      <c r="D329" s="83"/>
      <c r="E329" s="4"/>
      <c r="F329" s="4"/>
      <c r="G329" s="6">
        <v>48</v>
      </c>
      <c r="H329" s="449"/>
      <c r="I329" s="4">
        <f>SUM(G329:G353)-10</f>
        <v>523</v>
      </c>
      <c r="J329" s="3"/>
      <c r="K329" s="449"/>
      <c r="L329" s="449"/>
      <c r="M329" s="449" t="str">
        <f>IF(L329="","",
IF(AX329="PT",VLOOKUP(L329,Foundation_Calc!$V$79:$X$113,VLOOKUP(AX329,Foundation_Calc!$I$10:$J$13,2,FALSE),0),
IF(AX329="K",VLOOKUP(L329,Foundation_Calc!$V$117:$X$151,VLOOKUP(AX329,Foundation_Calc!$I$10:$J$13,2,FALSE),0),"")))</f>
        <v/>
      </c>
      <c r="N329" s="449"/>
      <c r="O329" s="449"/>
      <c r="P329" s="449"/>
      <c r="Q329" s="4"/>
      <c r="R329" s="6"/>
      <c r="S329" s="6"/>
      <c r="T329" s="4"/>
      <c r="U329" s="4"/>
      <c r="V329" s="4"/>
      <c r="W329" s="9"/>
      <c r="X329" s="9"/>
      <c r="Y329" s="9"/>
      <c r="Z329" s="9"/>
      <c r="AA329" s="9"/>
      <c r="AB329" s="9"/>
      <c r="AC329" s="449" t="str">
        <f t="shared" ref="AC329:AC392" si="42">IF(OR(AT329&gt;8,AT329&lt;-8),"PH",
IF(OR(AT329&gt;5,AT329&lt;-5),"PHQ",
IF(OR(AT329&gt;1,AT329&lt;-1),
"PHC","")))</f>
        <v/>
      </c>
      <c r="AD329" s="449"/>
      <c r="AE329" s="449"/>
      <c r="AF329" s="4"/>
      <c r="AG329" s="83"/>
      <c r="AH329" s="4"/>
      <c r="AI329" s="4"/>
      <c r="AJ329" s="449"/>
      <c r="AK329" s="449"/>
      <c r="AL329" s="449"/>
      <c r="AM329" s="449"/>
      <c r="AN329" s="10"/>
      <c r="AO329" s="9"/>
      <c r="AP329" s="9"/>
      <c r="AQ329" s="9">
        <f>+FL_2($T$330,$T$328,$G$329,1200,9.28, 1*$F$330)</f>
        <v>-0.30005441130447724</v>
      </c>
      <c r="AR329" s="9"/>
      <c r="AS329" s="9"/>
      <c r="AT329" s="9"/>
      <c r="AU329" s="428"/>
      <c r="AV329" s="428"/>
      <c r="AW329" s="449" t="str">
        <f>IF(C329&gt;0,VLOOKUP(C329,Foundation_Calc!$A$2:$C$13,3,1),
IF(J329&gt;0,VLOOKUP(J329,Foundation_Calc!$A$2:$C$13,3,1),""))</f>
        <v/>
      </c>
      <c r="AX329" s="449" t="str">
        <f>IF(C329&gt;0,VLOOKUP(C329,Foundation_Calc!$E$35:$G$65,3,1),
IF(J329&gt;0,VLOOKUP(J329,Foundation_Calc!$E$35:$G$65,3,1),""))</f>
        <v/>
      </c>
      <c r="AY329" s="10" t="str">
        <f>IF(L329="","",
IF(AX329="PT",VLOOKUP(L329,Foundation_Calc!$K$79:$R$113,VLOOKUP(AW329,Foundation_Calc!$I$2:$J$8,2,FALSE),0),
IF(AX329="K",VLOOKUP(L329,Foundation_Calc!$K$117:$R$151,VLOOKUP(AW329,Foundation_Calc!$I$2:$J$8,2,FALSE),0),"")))</f>
        <v/>
      </c>
      <c r="AZ329" s="10" t="str">
        <f>IF(K329="","",
IF(AX329="PT",VLOOKUP(K329,Foundation_Calc!$K$79:$R$113,VLOOKUP(AW329,Foundation_Calc!$I$2:$J$8,2,FALSE),0),
IF(AX329="K",VLOOKUP(K329,Foundation_Calc!$K$117:$R$151,VLOOKUP(AW329,Foundation_Calc!$I$2:$J$8,2,FALSE),0),"")))</f>
        <v/>
      </c>
      <c r="BA329" s="495" t="str">
        <f t="shared" si="36"/>
        <v/>
      </c>
      <c r="BB329" s="495" t="str">
        <f t="shared" si="37"/>
        <v/>
      </c>
      <c r="BC329" s="495" t="str">
        <f t="shared" si="38"/>
        <v/>
      </c>
      <c r="BD329" s="513" t="str">
        <f>IF(AND(L329="",H329=""),"",
IF(H329="",Pole_Calc!A$9,
IF(H329="MP",Pole_Calc!A$10,
IF(H329="AnMP",Pole_Calc!A$11,
IF(H329="A",Pole_Calc!A$12,
IF(H329="S/A",Pole_Calc!A$13,
IF(H329="A/S",Pole_Calc!A$14,"Poner a mano")))))))</f>
        <v/>
      </c>
      <c r="BE329" s="429" t="s">
        <v>118</v>
      </c>
      <c r="BF329" s="290"/>
      <c r="BG329" s="290"/>
      <c r="BH329" s="290"/>
      <c r="BI329" s="290"/>
    </row>
    <row r="330" spans="1:61" ht="16.149999999999999" customHeight="1">
      <c r="A330" s="514"/>
      <c r="B330" s="450" t="s">
        <v>1104</v>
      </c>
      <c r="C330" s="3">
        <f>+$C$328+$G$329</f>
        <v>38203.650000000009</v>
      </c>
      <c r="D330" s="83"/>
      <c r="E330" s="4"/>
      <c r="F330" s="4">
        <v>-1000</v>
      </c>
      <c r="G330" s="6"/>
      <c r="H330" s="449" t="s">
        <v>168</v>
      </c>
      <c r="I330" s="4"/>
      <c r="J330" s="3"/>
      <c r="K330" s="449"/>
      <c r="L330" s="449" t="s">
        <v>158</v>
      </c>
      <c r="M330" s="449" t="str">
        <f>IF(L330="","",
IF(AX330="PT",VLOOKUP(L330,Foundation_Calc!$V$79:$X$113,VLOOKUP(AX330,Foundation_Calc!$I$10:$J$13,2,FALSE),0),
IF(AX330="K",VLOOKUP(L330,Foundation_Calc!$V$117:$X$151,VLOOKUP(AX330,Foundation_Calc!$I$10:$J$13,2,FALSE),0),"")))</f>
        <v>C4RT</v>
      </c>
      <c r="N330" s="449" t="s">
        <v>124</v>
      </c>
      <c r="O330" s="449"/>
      <c r="P330" s="449"/>
      <c r="Q330" s="4"/>
      <c r="R330" s="6"/>
      <c r="S330" s="6"/>
      <c r="T330" s="4">
        <v>-30</v>
      </c>
      <c r="U330" s="4"/>
      <c r="V330" s="4"/>
      <c r="W330" s="9">
        <v>1.4</v>
      </c>
      <c r="X330" s="9"/>
      <c r="Y330" s="9"/>
      <c r="Z330" s="9"/>
      <c r="AA330" s="9"/>
      <c r="AB330" s="9"/>
      <c r="AC330" s="449" t="str">
        <f t="shared" si="42"/>
        <v>PHC</v>
      </c>
      <c r="AD330" s="449"/>
      <c r="AE330" s="449"/>
      <c r="AF330" s="4"/>
      <c r="AG330" s="83"/>
      <c r="AH330" s="4"/>
      <c r="AI330" s="4"/>
      <c r="AJ330" s="449"/>
      <c r="AK330" s="449"/>
      <c r="AL330" s="449"/>
      <c r="AM330" s="449" t="s">
        <v>126</v>
      </c>
      <c r="AN330" s="10">
        <v>5.5</v>
      </c>
      <c r="AO330" s="9"/>
      <c r="AP330" s="9"/>
      <c r="AQ330" s="9"/>
      <c r="AR330" s="9"/>
      <c r="AS330" s="9"/>
      <c r="AT330" s="9">
        <f>+ab($T$330,$T$328,$T$332,$G$329,$G$331, 1*$F$330,1200)</f>
        <v>-3.9912951206966776</v>
      </c>
      <c r="AU330" s="428"/>
      <c r="AV330" s="428"/>
      <c r="AW330" s="449" t="str">
        <f>IF(C330&gt;0,VLOOKUP(C330,Foundation_Calc!$A$2:$C$13,3,1),
IF(J330&gt;0,VLOOKUP(J330,Foundation_Calc!$A$2:$C$13,3,1),""))</f>
        <v>Multi Soil</v>
      </c>
      <c r="AX330" s="449" t="str">
        <f>IF(C330&gt;0,VLOOKUP(C330,Foundation_Calc!$E$35:$G$65,3,1),
IF(J330&gt;0,VLOOKUP(J330,Foundation_Calc!$E$35:$G$65,3,1),""))</f>
        <v>K</v>
      </c>
      <c r="AY330" s="10">
        <f>IF(L330="","",
IF(AX330="PT",VLOOKUP(L330,Foundation_Calc!$K$79:$R$113,VLOOKUP(AW330,Foundation_Calc!$I$2:$J$8,2,FALSE),0),
IF(AX330="K",VLOOKUP(L330,Foundation_Calc!$K$117:$R$151,VLOOKUP(AW330,Foundation_Calc!$I$2:$J$8,2,FALSE),0),"")))</f>
        <v>4.2</v>
      </c>
      <c r="AZ330" s="10" t="str">
        <f>IF(K330="","",
IF(AX330="PT",VLOOKUP(K330,Foundation_Calc!$K$79:$R$113,VLOOKUP(AW330,Foundation_Calc!$I$2:$J$8,2,FALSE),0),
IF(AX330="K",VLOOKUP(K330,Foundation_Calc!$K$117:$R$151,VLOOKUP(AW330,Foundation_Calc!$I$2:$J$8,2,FALSE),0),"")))</f>
        <v/>
      </c>
      <c r="BA330" s="495" t="str">
        <f t="shared" si="36"/>
        <v>ü</v>
      </c>
      <c r="BB330" s="495" t="str">
        <f t="shared" si="37"/>
        <v/>
      </c>
      <c r="BC330" s="495" t="str">
        <f t="shared" si="38"/>
        <v/>
      </c>
      <c r="BD330" s="513" t="str">
        <f>IF(AND(L330="",H330=""),"",
IF(H330="",Pole_Calc!A$9,
IF(H330="MP",Pole_Calc!A$10,
IF(H330="AnMP",Pole_Calc!A$11,
IF(H330="A",Pole_Calc!A$12,
IF(H330="S/A",Pole_Calc!A$13,
IF(H330="A/S",Pole_Calc!A$14,"Poner a mano")))))))</f>
        <v>App.7-V11I-P9.5.1.3</v>
      </c>
      <c r="BE330" s="429" t="s">
        <v>118</v>
      </c>
      <c r="BF330" s="289"/>
      <c r="BG330" s="289"/>
      <c r="BH330" s="290"/>
      <c r="BI330" s="289"/>
    </row>
    <row r="331" spans="1:61" ht="16.149999999999999" customHeight="1">
      <c r="A331" s="514"/>
      <c r="B331" s="450"/>
      <c r="C331" s="3"/>
      <c r="D331" s="83"/>
      <c r="E331" s="4"/>
      <c r="F331" s="4"/>
      <c r="G331" s="6">
        <v>48</v>
      </c>
      <c r="H331" s="449"/>
      <c r="I331" s="4"/>
      <c r="J331" s="3">
        <f>C330+7.5</f>
        <v>38211.150000000009</v>
      </c>
      <c r="K331" s="449" t="s">
        <v>324</v>
      </c>
      <c r="L331" s="449"/>
      <c r="M331" s="449" t="str">
        <f>IF(L331="","",
IF(AX331="PT",VLOOKUP(L331,Foundation_Calc!$V$79:$X$113,VLOOKUP(AX331,Foundation_Calc!$I$10:$J$13,2,FALSE),0),
IF(AX331="K",VLOOKUP(L331,Foundation_Calc!$V$117:$X$151,VLOOKUP(AX331,Foundation_Calc!$I$10:$J$13,2,FALSE),0),"")))</f>
        <v/>
      </c>
      <c r="N331" s="449"/>
      <c r="O331" s="449"/>
      <c r="P331" s="449"/>
      <c r="Q331" s="4"/>
      <c r="R331" s="6"/>
      <c r="S331" s="6"/>
      <c r="T331" s="4"/>
      <c r="U331" s="4"/>
      <c r="V331" s="4"/>
      <c r="W331" s="9"/>
      <c r="X331" s="9"/>
      <c r="Y331" s="9"/>
      <c r="Z331" s="9"/>
      <c r="AA331" s="9"/>
      <c r="AB331" s="9"/>
      <c r="AC331" s="449" t="str">
        <f t="shared" si="42"/>
        <v/>
      </c>
      <c r="AD331" s="449"/>
      <c r="AE331" s="449"/>
      <c r="AF331" s="4"/>
      <c r="AG331" s="83"/>
      <c r="AH331" s="4"/>
      <c r="AI331" s="4"/>
      <c r="AJ331" s="449"/>
      <c r="AK331" s="449"/>
      <c r="AL331" s="449"/>
      <c r="AM331" s="449"/>
      <c r="AN331" s="10"/>
      <c r="AO331" s="9"/>
      <c r="AP331" s="9"/>
      <c r="AQ331" s="9">
        <f>+FL_2($T$332,$T$330,$G$331,1200,9.28, 1*$F$332)</f>
        <v>-0.30005441130447724</v>
      </c>
      <c r="AR331" s="9"/>
      <c r="AS331" s="9"/>
      <c r="AT331" s="9"/>
      <c r="AU331" s="428"/>
      <c r="AV331" s="428"/>
      <c r="AW331" s="449" t="str">
        <f>IF(C331&gt;0,VLOOKUP(C331,Foundation_Calc!$A$2:$C$13,3,1),
IF(J331&gt;0,VLOOKUP(J331,Foundation_Calc!$A$2:$C$13,3,1),""))</f>
        <v>Multi Soil</v>
      </c>
      <c r="AX331" s="449" t="str">
        <f>IF(C331&gt;0,VLOOKUP(C331,Foundation_Calc!$E$35:$G$65,3,1),
IF(J331&gt;0,VLOOKUP(J331,Foundation_Calc!$E$35:$G$65,3,1),""))</f>
        <v>K</v>
      </c>
      <c r="AY331" s="10" t="str">
        <f>IF(L331="","",
IF(AX331="PT",VLOOKUP(L331,Foundation_Calc!$K$79:$R$113,VLOOKUP(AW331,Foundation_Calc!$I$2:$J$8,2,FALSE),0),
IF(AX331="K",VLOOKUP(L331,Foundation_Calc!$K$117:$R$151,VLOOKUP(AW331,Foundation_Calc!$I$2:$J$8,2,FALSE),0),"")))</f>
        <v/>
      </c>
      <c r="AZ331" s="10">
        <f>IF(K331="","",
IF(AX331="PT",VLOOKUP(K331,Foundation_Calc!$K$79:$R$113,VLOOKUP(AW331,Foundation_Calc!$I$2:$J$8,2,FALSE),0),
IF(AX331="K",VLOOKUP(K331,Foundation_Calc!$K$117:$R$151,VLOOKUP(AW331,Foundation_Calc!$I$2:$J$8,2,FALSE),0),"")))</f>
        <v>2.8</v>
      </c>
      <c r="BA331" s="495" t="str">
        <f t="shared" si="36"/>
        <v/>
      </c>
      <c r="BB331" s="495" t="str">
        <f t="shared" si="37"/>
        <v>ü</v>
      </c>
      <c r="BC331" s="495" t="str">
        <f t="shared" si="38"/>
        <v/>
      </c>
      <c r="BD331" s="513" t="str">
        <f>IF(AND(L331="",H331=""),"",
IF(H331="",Pole_Calc!A$9,
IF(H331="MP",Pole_Calc!A$10,
IF(H331="AnMP",Pole_Calc!A$11,
IF(H331="A",Pole_Calc!A$12,
IF(H331="S/A",Pole_Calc!A$13,
IF(H331="A/S",Pole_Calc!A$14,"Poner a mano")))))))</f>
        <v/>
      </c>
      <c r="BE331" s="429" t="s">
        <v>118</v>
      </c>
      <c r="BF331" s="290"/>
      <c r="BG331" s="290"/>
      <c r="BH331" s="290"/>
      <c r="BI331" s="290"/>
    </row>
    <row r="332" spans="1:61" ht="16.149999999999999" customHeight="1">
      <c r="A332" s="514"/>
      <c r="B332" s="450" t="s">
        <v>1105</v>
      </c>
      <c r="C332" s="3">
        <f>+$C$330+$G$331</f>
        <v>38251.650000000009</v>
      </c>
      <c r="D332" s="83"/>
      <c r="E332" s="4"/>
      <c r="F332" s="4">
        <v>-1000</v>
      </c>
      <c r="G332" s="6"/>
      <c r="H332" s="449"/>
      <c r="I332" s="4"/>
      <c r="J332" s="3"/>
      <c r="K332" s="449"/>
      <c r="L332" s="449" t="s">
        <v>158</v>
      </c>
      <c r="M332" s="449" t="str">
        <f>IF(L332="","",
IF(AX332="PT",VLOOKUP(L332,Foundation_Calc!$V$79:$X$113,VLOOKUP(AX332,Foundation_Calc!$I$10:$J$13,2,FALSE),0),
IF(AX332="K",VLOOKUP(L332,Foundation_Calc!$V$117:$X$151,VLOOKUP(AX332,Foundation_Calc!$I$10:$J$13,2,FALSE),0),"")))</f>
        <v>C4RT</v>
      </c>
      <c r="N332" s="449" t="s">
        <v>124</v>
      </c>
      <c r="O332" s="449"/>
      <c r="P332" s="449"/>
      <c r="Q332" s="4"/>
      <c r="R332" s="6"/>
      <c r="S332" s="6"/>
      <c r="T332" s="4">
        <v>-30</v>
      </c>
      <c r="U332" s="4"/>
      <c r="V332" s="4"/>
      <c r="W332" s="9">
        <v>1.4</v>
      </c>
      <c r="X332" s="9"/>
      <c r="Y332" s="9"/>
      <c r="Z332" s="9"/>
      <c r="AA332" s="9"/>
      <c r="AB332" s="9"/>
      <c r="AC332" s="449" t="str">
        <f t="shared" si="42"/>
        <v>PHC</v>
      </c>
      <c r="AD332" s="449"/>
      <c r="AE332" s="449"/>
      <c r="AF332" s="4"/>
      <c r="AG332" s="83"/>
      <c r="AH332" s="4"/>
      <c r="AI332" s="4"/>
      <c r="AJ332" s="449"/>
      <c r="AK332" s="449"/>
      <c r="AL332" s="449"/>
      <c r="AM332" s="449" t="s">
        <v>126</v>
      </c>
      <c r="AN332" s="10">
        <v>5.5</v>
      </c>
      <c r="AO332" s="9"/>
      <c r="AP332" s="9"/>
      <c r="AQ332" s="9"/>
      <c r="AR332" s="9"/>
      <c r="AS332" s="9"/>
      <c r="AT332" s="9">
        <f>+ab($T$332,$T$330,$T$334,$G$331,$G$333, 1*$F$332,1200)</f>
        <v>-3.9912951206966776</v>
      </c>
      <c r="AU332" s="428"/>
      <c r="AV332" s="428"/>
      <c r="AW332" s="449" t="str">
        <f>IF(C332&gt;0,VLOOKUP(C332,Foundation_Calc!$A$2:$C$13,3,1),
IF(J332&gt;0,VLOOKUP(J332,Foundation_Calc!$A$2:$C$13,3,1),""))</f>
        <v>Multi Soil</v>
      </c>
      <c r="AX332" s="449" t="str">
        <f>IF(C332&gt;0,VLOOKUP(C332,Foundation_Calc!$E$35:$G$65,3,1),
IF(J332&gt;0,VLOOKUP(J332,Foundation_Calc!$E$35:$G$65,3,1),""))</f>
        <v>K</v>
      </c>
      <c r="AY332" s="10">
        <f>IF(L332="","",
IF(AX332="PT",VLOOKUP(L332,Foundation_Calc!$K$79:$R$113,VLOOKUP(AW332,Foundation_Calc!$I$2:$J$8,2,FALSE),0),
IF(AX332="K",VLOOKUP(L332,Foundation_Calc!$K$117:$R$151,VLOOKUP(AW332,Foundation_Calc!$I$2:$J$8,2,FALSE),0),"")))</f>
        <v>4.2</v>
      </c>
      <c r="AZ332" s="10" t="str">
        <f>IF(K332="","",
IF(AX332="PT",VLOOKUP(K332,Foundation_Calc!$K$79:$R$113,VLOOKUP(AW332,Foundation_Calc!$I$2:$J$8,2,FALSE),0),
IF(AX332="K",VLOOKUP(K332,Foundation_Calc!$K$117:$R$151,VLOOKUP(AW332,Foundation_Calc!$I$2:$J$8,2,FALSE),0),"")))</f>
        <v/>
      </c>
      <c r="BA332" s="495" t="str">
        <f t="shared" si="36"/>
        <v>ü</v>
      </c>
      <c r="BB332" s="495" t="str">
        <f t="shared" si="37"/>
        <v/>
      </c>
      <c r="BC332" s="495" t="str">
        <f t="shared" si="38"/>
        <v/>
      </c>
      <c r="BD332" s="513" t="str">
        <f>IF(AND(L332="",H332=""),"",
IF(H332="",Pole_Calc!A$9,
IF(H332="MP",Pole_Calc!A$10,
IF(H332="AnMP",Pole_Calc!A$11,
IF(H332="A",Pole_Calc!A$12,
IF(H332="S/A",Pole_Calc!A$13,
IF(H332="A/S",Pole_Calc!A$14,"Poner a mano")))))))</f>
        <v>App.7-V11I-P9.5.1.1</v>
      </c>
      <c r="BE332" s="429" t="s">
        <v>118</v>
      </c>
      <c r="BF332" s="289"/>
      <c r="BG332" s="289"/>
      <c r="BH332" s="290"/>
      <c r="BI332" s="289"/>
    </row>
    <row r="333" spans="1:61" ht="16.149999999999999" customHeight="1">
      <c r="A333" s="514"/>
      <c r="B333" s="450"/>
      <c r="C333" s="3"/>
      <c r="D333" s="83"/>
      <c r="E333" s="4"/>
      <c r="F333" s="4"/>
      <c r="G333" s="6">
        <v>48</v>
      </c>
      <c r="H333" s="449"/>
      <c r="I333" s="4"/>
      <c r="J333" s="3"/>
      <c r="K333" s="449"/>
      <c r="L333" s="449"/>
      <c r="M333" s="449" t="str">
        <f>IF(L333="","",
IF(AX333="PT",VLOOKUP(L333,Foundation_Calc!$V$79:$X$113,VLOOKUP(AX333,Foundation_Calc!$I$10:$J$13,2,FALSE),0),
IF(AX333="K",VLOOKUP(L333,Foundation_Calc!$V$117:$X$151,VLOOKUP(AX333,Foundation_Calc!$I$10:$J$13,2,FALSE),0),"")))</f>
        <v/>
      </c>
      <c r="N333" s="449"/>
      <c r="O333" s="449"/>
      <c r="P333" s="449"/>
      <c r="Q333" s="4"/>
      <c r="R333" s="6"/>
      <c r="S333" s="6"/>
      <c r="T333" s="4"/>
      <c r="U333" s="4"/>
      <c r="V333" s="4"/>
      <c r="W333" s="9"/>
      <c r="X333" s="9"/>
      <c r="Y333" s="9"/>
      <c r="Z333" s="9"/>
      <c r="AA333" s="9"/>
      <c r="AB333" s="9"/>
      <c r="AC333" s="449" t="str">
        <f t="shared" si="42"/>
        <v/>
      </c>
      <c r="AD333" s="449"/>
      <c r="AE333" s="449"/>
      <c r="AF333" s="4"/>
      <c r="AG333" s="83"/>
      <c r="AH333" s="4"/>
      <c r="AI333" s="4"/>
      <c r="AJ333" s="449"/>
      <c r="AK333" s="449"/>
      <c r="AL333" s="449"/>
      <c r="AM333" s="449"/>
      <c r="AN333" s="10"/>
      <c r="AO333" s="9"/>
      <c r="AP333" s="9"/>
      <c r="AQ333" s="9">
        <f>+FL_2($T$334,$T$332,$G$333,1200,9.28, 1*$F$334)</f>
        <v>-0.30005441130447724</v>
      </c>
      <c r="AR333" s="9"/>
      <c r="AS333" s="9"/>
      <c r="AT333" s="9"/>
      <c r="AU333" s="428"/>
      <c r="AV333" s="428"/>
      <c r="AW333" s="449" t="str">
        <f>IF(C333&gt;0,VLOOKUP(C333,Foundation_Calc!$A$2:$C$13,3,1),
IF(J333&gt;0,VLOOKUP(J333,Foundation_Calc!$A$2:$C$13,3,1),""))</f>
        <v/>
      </c>
      <c r="AX333" s="449" t="str">
        <f>IF(C333&gt;0,VLOOKUP(C333,Foundation_Calc!$E$35:$G$65,3,1),
IF(J333&gt;0,VLOOKUP(J333,Foundation_Calc!$E$35:$G$65,3,1),""))</f>
        <v/>
      </c>
      <c r="AY333" s="10" t="str">
        <f>IF(L333="","",
IF(AX333="PT",VLOOKUP(L333,Foundation_Calc!$K$79:$R$113,VLOOKUP(AW333,Foundation_Calc!$I$2:$J$8,2,FALSE),0),
IF(AX333="K",VLOOKUP(L333,Foundation_Calc!$K$117:$R$151,VLOOKUP(AW333,Foundation_Calc!$I$2:$J$8,2,FALSE),0),"")))</f>
        <v/>
      </c>
      <c r="AZ333" s="10" t="str">
        <f>IF(K333="","",
IF(AX333="PT",VLOOKUP(K333,Foundation_Calc!$K$79:$R$113,VLOOKUP(AW333,Foundation_Calc!$I$2:$J$8,2,FALSE),0),
IF(AX333="K",VLOOKUP(K333,Foundation_Calc!$K$117:$R$151,VLOOKUP(AW333,Foundation_Calc!$I$2:$J$8,2,FALSE),0),"")))</f>
        <v/>
      </c>
      <c r="BA333" s="497" t="str">
        <f t="shared" si="36"/>
        <v/>
      </c>
      <c r="BB333" s="497" t="str">
        <f t="shared" si="37"/>
        <v/>
      </c>
      <c r="BC333" s="497" t="str">
        <f t="shared" si="38"/>
        <v/>
      </c>
      <c r="BD333" s="513" t="str">
        <f>IF(AND(L333="",H333=""),"",
IF(H333="",Pole_Calc!A$9,
IF(H333="MP",Pole_Calc!A$10,
IF(H333="AnMP",Pole_Calc!A$11,
IF(H333="A",Pole_Calc!A$12,
IF(H333="S/A",Pole_Calc!A$13,
IF(H333="A/S",Pole_Calc!A$14,"Poner a mano")))))))</f>
        <v/>
      </c>
      <c r="BE333" s="429" t="s">
        <v>118</v>
      </c>
      <c r="BF333" s="290"/>
      <c r="BG333" s="290"/>
      <c r="BH333" s="290"/>
      <c r="BI333" s="290"/>
    </row>
    <row r="334" spans="1:61" ht="16.149999999999999" customHeight="1">
      <c r="A334" s="514"/>
      <c r="B334" s="450" t="s">
        <v>1106</v>
      </c>
      <c r="C334" s="3">
        <f>+$C$332+$G$333</f>
        <v>38299.650000000009</v>
      </c>
      <c r="D334" s="83"/>
      <c r="E334" s="4"/>
      <c r="F334" s="4">
        <v>-1000</v>
      </c>
      <c r="G334" s="6"/>
      <c r="H334" s="449"/>
      <c r="I334" s="4"/>
      <c r="J334" s="3"/>
      <c r="K334" s="449"/>
      <c r="L334" s="449" t="s">
        <v>158</v>
      </c>
      <c r="M334" s="449" t="str">
        <f>IF(L334="","",
IF(AX334="PT",VLOOKUP(L334,Foundation_Calc!$V$79:$X$113,VLOOKUP(AX334,Foundation_Calc!$I$10:$J$13,2,FALSE),0),
IF(AX334="K",VLOOKUP(L334,Foundation_Calc!$V$117:$X$151,VLOOKUP(AX334,Foundation_Calc!$I$10:$J$13,2,FALSE),0),"")))</f>
        <v>C4RT</v>
      </c>
      <c r="N334" s="449" t="s">
        <v>124</v>
      </c>
      <c r="O334" s="449"/>
      <c r="P334" s="449"/>
      <c r="Q334" s="4"/>
      <c r="R334" s="6"/>
      <c r="S334" s="6"/>
      <c r="T334" s="4">
        <v>-30</v>
      </c>
      <c r="U334" s="4"/>
      <c r="V334" s="4"/>
      <c r="W334" s="9">
        <v>1.4</v>
      </c>
      <c r="X334" s="9"/>
      <c r="Y334" s="9"/>
      <c r="Z334" s="9"/>
      <c r="AA334" s="9"/>
      <c r="AB334" s="9"/>
      <c r="AC334" s="449" t="str">
        <f t="shared" si="42"/>
        <v>PHC</v>
      </c>
      <c r="AD334" s="449"/>
      <c r="AE334" s="449"/>
      <c r="AF334" s="4"/>
      <c r="AG334" s="83"/>
      <c r="AH334" s="4"/>
      <c r="AI334" s="4"/>
      <c r="AJ334" s="449"/>
      <c r="AK334" s="449"/>
      <c r="AL334" s="449"/>
      <c r="AM334" s="449" t="s">
        <v>126</v>
      </c>
      <c r="AN334" s="10">
        <v>5.5</v>
      </c>
      <c r="AO334" s="9"/>
      <c r="AP334" s="9"/>
      <c r="AQ334" s="9"/>
      <c r="AR334" s="9"/>
      <c r="AS334" s="9"/>
      <c r="AT334" s="9">
        <f>+ab($T$334,$T$332,$T$336,$G$333,$G$335, 1*$F$334,1200)</f>
        <v>-3.9912951206966776</v>
      </c>
      <c r="AU334" s="428"/>
      <c r="AV334" s="428"/>
      <c r="AW334" s="449" t="str">
        <f>IF(C334&gt;0,VLOOKUP(C334,Foundation_Calc!$A$2:$C$13,3,1),
IF(J334&gt;0,VLOOKUP(J334,Foundation_Calc!$A$2:$C$13,3,1),""))</f>
        <v>Multi Soil</v>
      </c>
      <c r="AX334" s="449" t="str">
        <f>IF(C334&gt;0,VLOOKUP(C334,Foundation_Calc!$E$35:$G$65,3,1),
IF(J334&gt;0,VLOOKUP(J334,Foundation_Calc!$E$35:$G$65,3,1),""))</f>
        <v>K</v>
      </c>
      <c r="AY334" s="10">
        <f>IF(L334="","",
IF(AX334="PT",VLOOKUP(L334,Foundation_Calc!$K$79:$R$113,VLOOKUP(AW334,Foundation_Calc!$I$2:$J$8,2,FALSE),0),
IF(AX334="K",VLOOKUP(L334,Foundation_Calc!$K$117:$R$151,VLOOKUP(AW334,Foundation_Calc!$I$2:$J$8,2,FALSE),0),"")))</f>
        <v>4.2</v>
      </c>
      <c r="AZ334" s="10" t="str">
        <f>IF(K334="","",
IF(AX334="PT",VLOOKUP(K334,Foundation_Calc!$K$79:$R$113,VLOOKUP(AW334,Foundation_Calc!$I$2:$J$8,2,FALSE),0),
IF(AX334="K",VLOOKUP(K334,Foundation_Calc!$K$117:$R$151,VLOOKUP(AW334,Foundation_Calc!$I$2:$J$8,2,FALSE),0),"")))</f>
        <v/>
      </c>
      <c r="BA334" s="495" t="str">
        <f t="shared" si="36"/>
        <v>ü</v>
      </c>
      <c r="BB334" s="495" t="str">
        <f t="shared" si="37"/>
        <v/>
      </c>
      <c r="BC334" s="495" t="str">
        <f t="shared" si="38"/>
        <v/>
      </c>
      <c r="BD334" s="513" t="str">
        <f>IF(AND(L334="",H334=""),"",
IF(H334="",Pole_Calc!A$9,
IF(H334="MP",Pole_Calc!A$10,
IF(H334="AnMP",Pole_Calc!A$11,
IF(H334="A",Pole_Calc!A$12,
IF(H334="S/A",Pole_Calc!A$13,
IF(H334="A/S",Pole_Calc!A$14,"Poner a mano")))))))</f>
        <v>App.7-V11I-P9.5.1.1</v>
      </c>
      <c r="BE334" s="429" t="s">
        <v>118</v>
      </c>
      <c r="BF334" s="289"/>
      <c r="BG334" s="289"/>
      <c r="BH334" s="290"/>
      <c r="BI334" s="289"/>
    </row>
    <row r="335" spans="1:61" ht="16.149999999999999" customHeight="1">
      <c r="A335" s="514"/>
      <c r="B335" s="450"/>
      <c r="C335" s="3"/>
      <c r="D335" s="83"/>
      <c r="E335" s="4"/>
      <c r="F335" s="4"/>
      <c r="G335" s="6">
        <v>48</v>
      </c>
      <c r="H335" s="449"/>
      <c r="I335" s="4"/>
      <c r="J335" s="3"/>
      <c r="K335" s="449"/>
      <c r="L335" s="449"/>
      <c r="M335" s="449" t="str">
        <f>IF(L335="","",
IF(AX335="PT",VLOOKUP(L335,Foundation_Calc!$V$79:$X$113,VLOOKUP(AX335,Foundation_Calc!$I$10:$J$13,2,FALSE),0),
IF(AX335="K",VLOOKUP(L335,Foundation_Calc!$V$117:$X$151,VLOOKUP(AX335,Foundation_Calc!$I$10:$J$13,2,FALSE),0),"")))</f>
        <v/>
      </c>
      <c r="N335" s="449"/>
      <c r="O335" s="449"/>
      <c r="P335" s="449"/>
      <c r="Q335" s="4"/>
      <c r="R335" s="6"/>
      <c r="S335" s="6"/>
      <c r="T335" s="4"/>
      <c r="U335" s="4"/>
      <c r="V335" s="4"/>
      <c r="W335" s="9"/>
      <c r="X335" s="9"/>
      <c r="Y335" s="9"/>
      <c r="Z335" s="9"/>
      <c r="AA335" s="9"/>
      <c r="AB335" s="9"/>
      <c r="AC335" s="449" t="str">
        <f t="shared" si="42"/>
        <v/>
      </c>
      <c r="AD335" s="449"/>
      <c r="AE335" s="449"/>
      <c r="AF335" s="4"/>
      <c r="AG335" s="83"/>
      <c r="AH335" s="4"/>
      <c r="AI335" s="4"/>
      <c r="AJ335" s="449"/>
      <c r="AK335" s="449"/>
      <c r="AL335" s="449"/>
      <c r="AM335" s="449"/>
      <c r="AN335" s="10"/>
      <c r="AO335" s="9"/>
      <c r="AP335" s="9"/>
      <c r="AQ335" s="9">
        <f>+FL_2($T$336,$T$334,$G$335,1200,9.28, 1*$F$336)</f>
        <v>-0.30005441130447724</v>
      </c>
      <c r="AR335" s="9"/>
      <c r="AS335" s="9"/>
      <c r="AT335" s="9"/>
      <c r="AU335" s="428"/>
      <c r="AV335" s="428"/>
      <c r="AW335" s="449" t="str">
        <f>IF(C335&gt;0,VLOOKUP(C335,Foundation_Calc!$A$2:$C$13,3,1),
IF(J335&gt;0,VLOOKUP(J335,Foundation_Calc!$A$2:$C$13,3,1),""))</f>
        <v/>
      </c>
      <c r="AX335" s="449" t="str">
        <f>IF(C335&gt;0,VLOOKUP(C335,Foundation_Calc!$E$35:$G$65,3,1),
IF(J335&gt;0,VLOOKUP(J335,Foundation_Calc!$E$35:$G$65,3,1),""))</f>
        <v/>
      </c>
      <c r="AY335" s="10" t="str">
        <f>IF(L335="","",
IF(AX335="PT",VLOOKUP(L335,Foundation_Calc!$K$79:$R$113,VLOOKUP(AW335,Foundation_Calc!$I$2:$J$8,2,FALSE),0),
IF(AX335="K",VLOOKUP(L335,Foundation_Calc!$K$117:$R$151,VLOOKUP(AW335,Foundation_Calc!$I$2:$J$8,2,FALSE),0),"")))</f>
        <v/>
      </c>
      <c r="AZ335" s="10" t="str">
        <f>IF(K335="","",
IF(AX335="PT",VLOOKUP(K335,Foundation_Calc!$K$79:$R$113,VLOOKUP(AW335,Foundation_Calc!$I$2:$J$8,2,FALSE),0),
IF(AX335="K",VLOOKUP(K335,Foundation_Calc!$K$117:$R$151,VLOOKUP(AW335,Foundation_Calc!$I$2:$J$8,2,FALSE),0),"")))</f>
        <v/>
      </c>
      <c r="BA335" s="495" t="str">
        <f t="shared" si="36"/>
        <v/>
      </c>
      <c r="BB335" s="495" t="str">
        <f t="shared" si="37"/>
        <v/>
      </c>
      <c r="BC335" s="495" t="str">
        <f t="shared" si="38"/>
        <v/>
      </c>
      <c r="BD335" s="513" t="str">
        <f>IF(AND(L335="",H335=""),"",
IF(H335="",Pole_Calc!A$9,
IF(H335="MP",Pole_Calc!A$10,
IF(H335="AnMP",Pole_Calc!A$11,
IF(H335="A",Pole_Calc!A$12,
IF(H335="S/A",Pole_Calc!A$13,
IF(H335="A/S",Pole_Calc!A$14,"Poner a mano")))))))</f>
        <v/>
      </c>
      <c r="BE335" s="429" t="s">
        <v>118</v>
      </c>
      <c r="BF335" s="290"/>
      <c r="BG335" s="290"/>
      <c r="BH335" s="290"/>
      <c r="BI335" s="290"/>
    </row>
    <row r="336" spans="1:61" ht="16.149999999999999" customHeight="1">
      <c r="A336" s="514"/>
      <c r="B336" s="450" t="s">
        <v>1107</v>
      </c>
      <c r="C336" s="3">
        <f>+$C$334+$G$335</f>
        <v>38347.650000000009</v>
      </c>
      <c r="D336" s="83"/>
      <c r="E336" s="4"/>
      <c r="F336" s="4">
        <v>-1000</v>
      </c>
      <c r="G336" s="6"/>
      <c r="H336" s="449"/>
      <c r="I336" s="4"/>
      <c r="J336" s="3"/>
      <c r="K336" s="449"/>
      <c r="L336" s="449" t="s">
        <v>158</v>
      </c>
      <c r="M336" s="449" t="str">
        <f>IF(L336="","",
IF(AX336="PT",VLOOKUP(L336,Foundation_Calc!$V$79:$X$113,VLOOKUP(AX336,Foundation_Calc!$I$10:$J$13,2,FALSE),0),
IF(AX336="K",VLOOKUP(L336,Foundation_Calc!$V$117:$X$151,VLOOKUP(AX336,Foundation_Calc!$I$10:$J$13,2,FALSE),0),"")))</f>
        <v>C4RT</v>
      </c>
      <c r="N336" s="449" t="s">
        <v>124</v>
      </c>
      <c r="O336" s="449"/>
      <c r="P336" s="449"/>
      <c r="Q336" s="4"/>
      <c r="R336" s="6"/>
      <c r="S336" s="6"/>
      <c r="T336" s="4">
        <v>-30</v>
      </c>
      <c r="U336" s="4"/>
      <c r="V336" s="4"/>
      <c r="W336" s="9">
        <v>1.4</v>
      </c>
      <c r="X336" s="9"/>
      <c r="Y336" s="9"/>
      <c r="Z336" s="9"/>
      <c r="AA336" s="9"/>
      <c r="AB336" s="9"/>
      <c r="AC336" s="449" t="str">
        <f t="shared" si="42"/>
        <v>PHC</v>
      </c>
      <c r="AD336" s="449"/>
      <c r="AE336" s="449"/>
      <c r="AF336" s="4"/>
      <c r="AG336" s="83"/>
      <c r="AH336" s="4"/>
      <c r="AI336" s="4"/>
      <c r="AJ336" s="449"/>
      <c r="AK336" s="449"/>
      <c r="AL336" s="449"/>
      <c r="AM336" s="449" t="s">
        <v>126</v>
      </c>
      <c r="AN336" s="10">
        <v>5.5</v>
      </c>
      <c r="AO336" s="9"/>
      <c r="AP336" s="9"/>
      <c r="AQ336" s="9"/>
      <c r="AR336" s="9"/>
      <c r="AS336" s="9"/>
      <c r="AT336" s="9">
        <f>+ab($T$336,$T$334,$T$338,$G$335,$G$337, 1*$F$336,1200)</f>
        <v>-3.9912951206966776</v>
      </c>
      <c r="AU336" s="428"/>
      <c r="AV336" s="428"/>
      <c r="AW336" s="449" t="str">
        <f>IF(C336&gt;0,VLOOKUP(C336,Foundation_Calc!$A$2:$C$13,3,1),
IF(J336&gt;0,VLOOKUP(J336,Foundation_Calc!$A$2:$C$13,3,1),""))</f>
        <v>Multi Soil</v>
      </c>
      <c r="AX336" s="449" t="str">
        <f>IF(C336&gt;0,VLOOKUP(C336,Foundation_Calc!$E$35:$G$65,3,1),
IF(J336&gt;0,VLOOKUP(J336,Foundation_Calc!$E$35:$G$65,3,1),""))</f>
        <v>K</v>
      </c>
      <c r="AY336" s="10">
        <f>IF(L336="","",
IF(AX336="PT",VLOOKUP(L336,Foundation_Calc!$K$79:$R$113,VLOOKUP(AW336,Foundation_Calc!$I$2:$J$8,2,FALSE),0),
IF(AX336="K",VLOOKUP(L336,Foundation_Calc!$K$117:$R$151,VLOOKUP(AW336,Foundation_Calc!$I$2:$J$8,2,FALSE),0),"")))</f>
        <v>4.2</v>
      </c>
      <c r="AZ336" s="10" t="str">
        <f>IF(K336="","",
IF(AX336="PT",VLOOKUP(K336,Foundation_Calc!$K$79:$R$113,VLOOKUP(AW336,Foundation_Calc!$I$2:$J$8,2,FALSE),0),
IF(AX336="K",VLOOKUP(K336,Foundation_Calc!$K$117:$R$151,VLOOKUP(AW336,Foundation_Calc!$I$2:$J$8,2,FALSE),0),"")))</f>
        <v/>
      </c>
      <c r="BA336" s="495" t="str">
        <f t="shared" si="36"/>
        <v>ü</v>
      </c>
      <c r="BB336" s="495" t="str">
        <f t="shared" si="37"/>
        <v/>
      </c>
      <c r="BC336" s="495" t="str">
        <f t="shared" si="38"/>
        <v/>
      </c>
      <c r="BD336" s="513" t="str">
        <f>IF(AND(L336="",H336=""),"",
IF(H336="",Pole_Calc!A$9,
IF(H336="MP",Pole_Calc!A$10,
IF(H336="AnMP",Pole_Calc!A$11,
IF(H336="A",Pole_Calc!A$12,
IF(H336="S/A",Pole_Calc!A$13,
IF(H336="A/S",Pole_Calc!A$14,"Poner a mano")))))))</f>
        <v>App.7-V11I-P9.5.1.1</v>
      </c>
      <c r="BE336" s="429" t="s">
        <v>118</v>
      </c>
      <c r="BF336" s="289"/>
      <c r="BG336" s="289"/>
      <c r="BH336" s="290"/>
      <c r="BI336" s="289"/>
    </row>
    <row r="337" spans="1:61" ht="16.149999999999999" customHeight="1">
      <c r="A337" s="514"/>
      <c r="B337" s="450"/>
      <c r="C337" s="3"/>
      <c r="D337" s="83"/>
      <c r="E337" s="4"/>
      <c r="F337" s="4"/>
      <c r="G337" s="6">
        <v>48</v>
      </c>
      <c r="H337" s="449"/>
      <c r="I337" s="4"/>
      <c r="J337" s="3"/>
      <c r="K337" s="449"/>
      <c r="L337" s="449"/>
      <c r="M337" s="449" t="str">
        <f>IF(L337="","",
IF(AX337="PT",VLOOKUP(L337,Foundation_Calc!$V$79:$X$113,VLOOKUP(AX337,Foundation_Calc!$I$10:$J$13,2,FALSE),0),
IF(AX337="K",VLOOKUP(L337,Foundation_Calc!$V$117:$X$151,VLOOKUP(AX337,Foundation_Calc!$I$10:$J$13,2,FALSE),0),"")))</f>
        <v/>
      </c>
      <c r="N337" s="449"/>
      <c r="O337" s="449"/>
      <c r="P337" s="449"/>
      <c r="Q337" s="4"/>
      <c r="R337" s="6"/>
      <c r="S337" s="6"/>
      <c r="T337" s="4"/>
      <c r="U337" s="4"/>
      <c r="V337" s="4"/>
      <c r="W337" s="9"/>
      <c r="X337" s="9"/>
      <c r="Y337" s="9"/>
      <c r="Z337" s="9"/>
      <c r="AA337" s="9"/>
      <c r="AB337" s="9"/>
      <c r="AC337" s="449" t="str">
        <f t="shared" si="42"/>
        <v/>
      </c>
      <c r="AD337" s="449"/>
      <c r="AE337" s="449"/>
      <c r="AF337" s="4"/>
      <c r="AG337" s="83"/>
      <c r="AH337" s="4"/>
      <c r="AI337" s="4"/>
      <c r="AJ337" s="449"/>
      <c r="AK337" s="449"/>
      <c r="AL337" s="449"/>
      <c r="AM337" s="449"/>
      <c r="AN337" s="10"/>
      <c r="AO337" s="9"/>
      <c r="AP337" s="9"/>
      <c r="AQ337" s="9">
        <f>+FL_2($T$338,$T$336,$G$337,1200,9.28, 1*$F$338)</f>
        <v>-0.30005441130447724</v>
      </c>
      <c r="AR337" s="9"/>
      <c r="AS337" s="9"/>
      <c r="AT337" s="9"/>
      <c r="AU337" s="428"/>
      <c r="AV337" s="428"/>
      <c r="AW337" s="449" t="str">
        <f>IF(C337&gt;0,VLOOKUP(C337,Foundation_Calc!$A$2:$C$13,3,1),
IF(J337&gt;0,VLOOKUP(J337,Foundation_Calc!$A$2:$C$13,3,1),""))</f>
        <v/>
      </c>
      <c r="AX337" s="449" t="str">
        <f>IF(C337&gt;0,VLOOKUP(C337,Foundation_Calc!$E$35:$G$65,3,1),
IF(J337&gt;0,VLOOKUP(J337,Foundation_Calc!$E$35:$G$65,3,1),""))</f>
        <v/>
      </c>
      <c r="AY337" s="10" t="str">
        <f>IF(L337="","",
IF(AX337="PT",VLOOKUP(L337,Foundation_Calc!$K$79:$R$113,VLOOKUP(AW337,Foundation_Calc!$I$2:$J$8,2,FALSE),0),
IF(AX337="K",VLOOKUP(L337,Foundation_Calc!$K$117:$R$151,VLOOKUP(AW337,Foundation_Calc!$I$2:$J$8,2,FALSE),0),"")))</f>
        <v/>
      </c>
      <c r="AZ337" s="10" t="str">
        <f>IF(K337="","",
IF(AX337="PT",VLOOKUP(K337,Foundation_Calc!$K$79:$R$113,VLOOKUP(AW337,Foundation_Calc!$I$2:$J$8,2,FALSE),0),
IF(AX337="K",VLOOKUP(K337,Foundation_Calc!$K$117:$R$151,VLOOKUP(AW337,Foundation_Calc!$I$2:$J$8,2,FALSE),0),"")))</f>
        <v/>
      </c>
      <c r="BA337" s="495" t="str">
        <f t="shared" si="36"/>
        <v/>
      </c>
      <c r="BB337" s="495" t="str">
        <f t="shared" si="37"/>
        <v/>
      </c>
      <c r="BC337" s="495" t="str">
        <f t="shared" si="38"/>
        <v/>
      </c>
      <c r="BD337" s="513" t="str">
        <f>IF(AND(L337="",H337=""),"",
IF(H337="",Pole_Calc!A$9,
IF(H337="MP",Pole_Calc!A$10,
IF(H337="AnMP",Pole_Calc!A$11,
IF(H337="A",Pole_Calc!A$12,
IF(H337="S/A",Pole_Calc!A$13,
IF(H337="A/S",Pole_Calc!A$14,"Poner a mano")))))))</f>
        <v/>
      </c>
      <c r="BE337" s="429" t="s">
        <v>118</v>
      </c>
      <c r="BF337" s="290"/>
      <c r="BG337" s="290"/>
      <c r="BH337" s="290"/>
      <c r="BI337" s="290"/>
    </row>
    <row r="338" spans="1:61" ht="16.149999999999999" customHeight="1">
      <c r="A338" s="545"/>
      <c r="B338" s="450" t="s">
        <v>1108</v>
      </c>
      <c r="C338" s="3">
        <f>+$C$336+$G$337</f>
        <v>38395.650000000009</v>
      </c>
      <c r="D338" s="83"/>
      <c r="E338" s="4"/>
      <c r="F338" s="4">
        <v>-1000</v>
      </c>
      <c r="G338" s="6"/>
      <c r="H338" s="449"/>
      <c r="I338" s="4"/>
      <c r="J338" s="3"/>
      <c r="K338" s="449"/>
      <c r="L338" s="449" t="s">
        <v>158</v>
      </c>
      <c r="M338" s="449" t="str">
        <f>IF(L338="","",
IF(AX338="PT",VLOOKUP(L338,Foundation_Calc!$V$79:$X$113,VLOOKUP(AX338,Foundation_Calc!$I$10:$J$13,2,FALSE),0),
IF(AX338="K",VLOOKUP(L338,Foundation_Calc!$V$117:$X$151,VLOOKUP(AX338,Foundation_Calc!$I$10:$J$13,2,FALSE),0),"")))</f>
        <v>C4RT</v>
      </c>
      <c r="N338" s="449" t="s">
        <v>124</v>
      </c>
      <c r="O338" s="449"/>
      <c r="P338" s="449"/>
      <c r="Q338" s="4"/>
      <c r="R338" s="6"/>
      <c r="S338" s="6"/>
      <c r="T338" s="4">
        <v>-30</v>
      </c>
      <c r="U338" s="4"/>
      <c r="V338" s="4"/>
      <c r="W338" s="9">
        <v>1.4</v>
      </c>
      <c r="X338" s="9"/>
      <c r="Y338" s="9"/>
      <c r="Z338" s="9"/>
      <c r="AA338" s="9"/>
      <c r="AB338" s="9"/>
      <c r="AC338" s="449" t="str">
        <f t="shared" si="42"/>
        <v>PHC</v>
      </c>
      <c r="AD338" s="449"/>
      <c r="AE338" s="449"/>
      <c r="AF338" s="4"/>
      <c r="AG338" s="83"/>
      <c r="AH338" s="4"/>
      <c r="AI338" s="4"/>
      <c r="AJ338" s="449"/>
      <c r="AK338" s="449"/>
      <c r="AL338" s="449"/>
      <c r="AM338" s="449" t="s">
        <v>126</v>
      </c>
      <c r="AN338" s="10">
        <v>5.5</v>
      </c>
      <c r="AO338" s="9"/>
      <c r="AP338" s="9"/>
      <c r="AQ338" s="9"/>
      <c r="AR338" s="9"/>
      <c r="AS338" s="9"/>
      <c r="AT338" s="9">
        <f>+ab($T$338,$T$336,$T$340,$G$337,$G$339, 1*$F$338,1200)</f>
        <v>-4.0795374582575583</v>
      </c>
      <c r="AU338" s="428"/>
      <c r="AV338" s="428"/>
      <c r="AW338" s="449" t="str">
        <f>IF(C338&gt;0,VLOOKUP(C338,Foundation_Calc!$A$2:$C$13,3,1),
IF(J338&gt;0,VLOOKUP(J338,Foundation_Calc!$A$2:$C$13,3,1),""))</f>
        <v>Multi Soil</v>
      </c>
      <c r="AX338" s="449" t="str">
        <f>IF(C338&gt;0,VLOOKUP(C338,Foundation_Calc!$E$35:$G$65,3,1),
IF(J338&gt;0,VLOOKUP(J338,Foundation_Calc!$E$35:$G$65,3,1),""))</f>
        <v>K</v>
      </c>
      <c r="AY338" s="10">
        <f>IF(L338="","",
IF(AX338="PT",VLOOKUP(L338,Foundation_Calc!$K$79:$R$113,VLOOKUP(AW338,Foundation_Calc!$I$2:$J$8,2,FALSE),0),
IF(AX338="K",VLOOKUP(L338,Foundation_Calc!$K$117:$R$151,VLOOKUP(AW338,Foundation_Calc!$I$2:$J$8,2,FALSE),0),"")))</f>
        <v>4.2</v>
      </c>
      <c r="AZ338" s="10" t="str">
        <f>IF(K338="","",
IF(AX338="PT",VLOOKUP(K338,Foundation_Calc!$K$79:$R$113,VLOOKUP(AW338,Foundation_Calc!$I$2:$J$8,2,FALSE),0),
IF(AX338="K",VLOOKUP(K338,Foundation_Calc!$K$117:$R$151,VLOOKUP(AW338,Foundation_Calc!$I$2:$J$8,2,FALSE),0),"")))</f>
        <v/>
      </c>
      <c r="BA338" s="495" t="str">
        <f t="shared" si="36"/>
        <v>ü</v>
      </c>
      <c r="BB338" s="495" t="str">
        <f t="shared" si="37"/>
        <v/>
      </c>
      <c r="BC338" s="495" t="str">
        <f t="shared" si="38"/>
        <v/>
      </c>
      <c r="BD338" s="513" t="str">
        <f>IF(AND(L338="",H338=""),"",
IF(H338="",Pole_Calc!A$9,
IF(H338="MP",Pole_Calc!A$10,
IF(H338="AnMP",Pole_Calc!A$11,
IF(H338="A",Pole_Calc!A$12,
IF(H338="S/A",Pole_Calc!A$13,
IF(H338="A/S",Pole_Calc!A$14,"Poner a mano")))))))</f>
        <v>App.7-V11I-P9.5.1.1</v>
      </c>
      <c r="BE338" s="429" t="s">
        <v>118</v>
      </c>
      <c r="BF338" s="289"/>
      <c r="BG338" s="289"/>
      <c r="BH338" s="290"/>
      <c r="BI338" s="289"/>
    </row>
    <row r="339" spans="1:61" ht="16.149999999999999" customHeight="1">
      <c r="A339" s="514" t="s">
        <v>366</v>
      </c>
      <c r="B339" s="450"/>
      <c r="C339" s="3"/>
      <c r="D339" s="83"/>
      <c r="E339" s="4"/>
      <c r="F339" s="4"/>
      <c r="G339" s="6">
        <v>48</v>
      </c>
      <c r="H339" s="449"/>
      <c r="I339" s="4"/>
      <c r="J339" s="3">
        <f>C340-7.5</f>
        <v>38436.150000000009</v>
      </c>
      <c r="K339" s="449" t="s">
        <v>117</v>
      </c>
      <c r="L339" s="449"/>
      <c r="M339" s="449" t="str">
        <f>IF(L339="","",
IF(AX339="PT",VLOOKUP(L339,Foundation_Calc!$V$79:$X$113,VLOOKUP(AX339,Foundation_Calc!$I$10:$J$13,2,FALSE),0),
IF(AX339="K",VLOOKUP(L339,Foundation_Calc!$V$117:$X$151,VLOOKUP(AX339,Foundation_Calc!$I$10:$J$13,2,FALSE),0),"")))</f>
        <v/>
      </c>
      <c r="N339" s="449"/>
      <c r="O339" s="449"/>
      <c r="P339" s="449"/>
      <c r="Q339" s="4"/>
      <c r="R339" s="6"/>
      <c r="S339" s="6"/>
      <c r="T339" s="4"/>
      <c r="U339" s="4"/>
      <c r="V339" s="4"/>
      <c r="W339" s="9"/>
      <c r="X339" s="9"/>
      <c r="Y339" s="9"/>
      <c r="Z339" s="9"/>
      <c r="AA339" s="9"/>
      <c r="AB339" s="9"/>
      <c r="AC339" s="449" t="str">
        <f t="shared" si="42"/>
        <v/>
      </c>
      <c r="AD339" s="449"/>
      <c r="AE339" s="449"/>
      <c r="AF339" s="4"/>
      <c r="AG339" s="83"/>
      <c r="AH339" s="4"/>
      <c r="AI339" s="4"/>
      <c r="AJ339" s="449"/>
      <c r="AK339" s="449"/>
      <c r="AL339" s="449"/>
      <c r="AM339" s="449"/>
      <c r="AN339" s="10"/>
      <c r="AO339" s="9"/>
      <c r="AP339" s="9"/>
      <c r="AQ339" s="9">
        <f>+FL_2($T$340,$T$338,$G$339,1200,9.28, 1*$F$340)</f>
        <v>-0.35001851697562497</v>
      </c>
      <c r="AR339" s="9"/>
      <c r="AS339" s="9"/>
      <c r="AT339" s="9"/>
      <c r="AU339" s="428"/>
      <c r="AV339" s="428"/>
      <c r="AW339" s="449" t="str">
        <f>IF(C339&gt;0,VLOOKUP(C339,Foundation_Calc!$A$2:$C$13,3,1),
IF(J339&gt;0,VLOOKUP(J339,Foundation_Calc!$A$2:$C$13,3,1),""))</f>
        <v>Multi Soil</v>
      </c>
      <c r="AX339" s="449" t="str">
        <f>IF(C339&gt;0,VLOOKUP(C339,Foundation_Calc!$E$35:$G$65,3,1),
IF(J339&gt;0,VLOOKUP(J339,Foundation_Calc!$E$35:$G$65,3,1),""))</f>
        <v>PT</v>
      </c>
      <c r="AY339" s="10" t="str">
        <f>IF(L339="","",
IF(AX339="PT",VLOOKUP(L339,Foundation_Calc!$K$79:$R$113,VLOOKUP(AW339,Foundation_Calc!$I$2:$J$8,2,FALSE),0),
IF(AX339="K",VLOOKUP(L339,Foundation_Calc!$K$117:$R$151,VLOOKUP(AW339,Foundation_Calc!$I$2:$J$8,2,FALSE),0),"")))</f>
        <v/>
      </c>
      <c r="AZ339" s="10">
        <f>IF(K339="","",
IF(AX339="PT",VLOOKUP(K339,Foundation_Calc!$K$79:$R$113,VLOOKUP(AW339,Foundation_Calc!$I$2:$J$8,2,FALSE),0),
IF(AX339="K",VLOOKUP(K339,Foundation_Calc!$K$117:$R$151,VLOOKUP(AW339,Foundation_Calc!$I$2:$J$8,2,FALSE),0),"")))</f>
        <v>3.9</v>
      </c>
      <c r="BA339" s="495" t="str">
        <f t="shared" si="36"/>
        <v/>
      </c>
      <c r="BB339" s="495" t="str">
        <f t="shared" si="37"/>
        <v>ü</v>
      </c>
      <c r="BC339" s="495" t="str">
        <f t="shared" si="38"/>
        <v/>
      </c>
      <c r="BD339" s="513" t="str">
        <f>IF(AND(L339="",H339=""),"",
IF(H339="",Pole_Calc!A$9,
IF(H339="MP",Pole_Calc!A$10,
IF(H339="AnMP",Pole_Calc!A$11,
IF(H339="A",Pole_Calc!A$12,
IF(H339="S/A",Pole_Calc!A$13,
IF(H339="A/S",Pole_Calc!A$14,"Poner a mano")))))))</f>
        <v/>
      </c>
      <c r="BE339" s="429" t="s">
        <v>118</v>
      </c>
      <c r="BF339" s="290"/>
      <c r="BG339" s="290"/>
      <c r="BH339" s="290"/>
      <c r="BI339" s="290"/>
    </row>
    <row r="340" spans="1:61" ht="16.149999999999999" customHeight="1">
      <c r="A340" s="514" t="s">
        <v>367</v>
      </c>
      <c r="B340" s="450" t="s">
        <v>1109</v>
      </c>
      <c r="C340" s="3">
        <f>+$C$338+$G$339</f>
        <v>38443.650000000009</v>
      </c>
      <c r="D340" s="83"/>
      <c r="E340" s="4"/>
      <c r="F340" s="4">
        <v>-1373.2048635006838</v>
      </c>
      <c r="G340" s="6"/>
      <c r="H340" s="449" t="s">
        <v>121</v>
      </c>
      <c r="I340" s="4" t="s">
        <v>122</v>
      </c>
      <c r="J340" s="3"/>
      <c r="K340" s="449"/>
      <c r="L340" s="449" t="s">
        <v>181</v>
      </c>
      <c r="M340" s="449" t="str">
        <f>IF(L340="","",
IF(AX340="PT",VLOOKUP(L340,Foundation_Calc!$V$79:$X$113,VLOOKUP(AX340,Foundation_Calc!$I$10:$J$13,2,FALSE),0),
IF(AX340="K",VLOOKUP(L340,Foundation_Calc!$V$117:$X$151,VLOOKUP(AX340,Foundation_Calc!$I$10:$J$13,2,FALSE),0),"")))</f>
        <v>C5R</v>
      </c>
      <c r="N340" s="449" t="s">
        <v>124</v>
      </c>
      <c r="O340" s="449"/>
      <c r="P340" s="449"/>
      <c r="Q340" s="4"/>
      <c r="R340" s="6"/>
      <c r="S340" s="6"/>
      <c r="T340" s="4">
        <v>-35</v>
      </c>
      <c r="U340" s="4"/>
      <c r="V340" s="4"/>
      <c r="W340" s="9">
        <v>1.4</v>
      </c>
      <c r="X340" s="9"/>
      <c r="Y340" s="9"/>
      <c r="Z340" s="9"/>
      <c r="AA340" s="9"/>
      <c r="AB340" s="9"/>
      <c r="AC340" s="449" t="str">
        <f t="shared" si="42"/>
        <v>PHC</v>
      </c>
      <c r="AD340" s="449"/>
      <c r="AE340" s="449"/>
      <c r="AF340" s="4"/>
      <c r="AG340" s="83"/>
      <c r="AH340" s="4"/>
      <c r="AI340" s="4"/>
      <c r="AJ340" s="449"/>
      <c r="AK340" s="449"/>
      <c r="AL340" s="449"/>
      <c r="AM340" s="449" t="s">
        <v>126</v>
      </c>
      <c r="AN340" s="10">
        <v>5.5</v>
      </c>
      <c r="AO340" s="9"/>
      <c r="AP340" s="9"/>
      <c r="AQ340" s="9"/>
      <c r="AR340" s="9"/>
      <c r="AS340" s="9"/>
      <c r="AT340" s="9">
        <f>+ab($T$340,$T$338,$U$342,$G$339,$G$341, 1*$F$340,1200)</f>
        <v>-3.7923592155027928</v>
      </c>
      <c r="AU340" s="428"/>
      <c r="AV340" s="428"/>
      <c r="AW340" s="449" t="str">
        <f>IF(C340&gt;0,VLOOKUP(C340,Foundation_Calc!$A$2:$C$13,3,1),
IF(J340&gt;0,VLOOKUP(J340,Foundation_Calc!$A$2:$C$13,3,1),""))</f>
        <v>Multi Soil</v>
      </c>
      <c r="AX340" s="449" t="str">
        <f>IF(C340&gt;0,VLOOKUP(C340,Foundation_Calc!$E$35:$G$65,3,1),
IF(J340&gt;0,VLOOKUP(J340,Foundation_Calc!$E$35:$G$65,3,1),""))</f>
        <v>PT</v>
      </c>
      <c r="AY340" s="10">
        <f>IF(L340="","",
IF(AX340="PT",VLOOKUP(L340,Foundation_Calc!$K$79:$R$113,VLOOKUP(AW340,Foundation_Calc!$I$2:$J$8,2,FALSE),0),
IF(AX340="K",VLOOKUP(L340,Foundation_Calc!$K$117:$R$151,VLOOKUP(AW340,Foundation_Calc!$I$2:$J$8,2,FALSE),0),"")))</f>
        <v>3.5</v>
      </c>
      <c r="AZ340" s="10" t="str">
        <f>IF(K340="","",
IF(AX340="PT",VLOOKUP(K340,Foundation_Calc!$K$79:$R$113,VLOOKUP(AW340,Foundation_Calc!$I$2:$J$8,2,FALSE),0),
IF(AX340="K",VLOOKUP(K340,Foundation_Calc!$K$117:$R$151,VLOOKUP(AW340,Foundation_Calc!$I$2:$J$8,2,FALSE),0),"")))</f>
        <v/>
      </c>
      <c r="BA340" s="495" t="str">
        <f t="shared" si="36"/>
        <v>ü</v>
      </c>
      <c r="BB340" s="495" t="str">
        <f t="shared" si="37"/>
        <v/>
      </c>
      <c r="BC340" s="495" t="str">
        <f t="shared" si="38"/>
        <v/>
      </c>
      <c r="BD340" s="513" t="str">
        <f>IF(AND(L340="",H340=""),"",
IF(H340="",Pole_Calc!A$9,
IF(H340="MP",Pole_Calc!A$10,
IF(H340="AnMP",Pole_Calc!A$11,
IF(H340="A",Pole_Calc!A$12,
IF(H340="S/A",Pole_Calc!A$13,
IF(H340="A/S",Pole_Calc!A$14,"Poner a mano")))))))</f>
        <v>App.7-V11I-P9.5.1.6</v>
      </c>
      <c r="BE340" s="429" t="s">
        <v>118</v>
      </c>
      <c r="BF340" s="289"/>
      <c r="BG340" s="289"/>
      <c r="BH340" s="290"/>
      <c r="BI340" s="289"/>
    </row>
    <row r="341" spans="1:61" ht="16.149999999999999" customHeight="1">
      <c r="A341" s="545"/>
      <c r="B341" s="450"/>
      <c r="C341" s="3"/>
      <c r="D341" s="83"/>
      <c r="E341" s="4"/>
      <c r="F341" s="4"/>
      <c r="G341" s="6">
        <v>47</v>
      </c>
      <c r="H341" s="449"/>
      <c r="I341" s="4"/>
      <c r="J341" s="3"/>
      <c r="K341" s="449"/>
      <c r="L341" s="449"/>
      <c r="M341" s="449" t="str">
        <f>IF(L341="","",
IF(AX341="PT",VLOOKUP(L341,Foundation_Calc!$V$79:$X$113,VLOOKUP(AX341,Foundation_Calc!$I$10:$J$13,2,FALSE),0),
IF(AX341="K",VLOOKUP(L341,Foundation_Calc!$V$117:$X$151,VLOOKUP(AX341,Foundation_Calc!$I$10:$J$13,2,FALSE),0),"")))</f>
        <v/>
      </c>
      <c r="N341" s="449"/>
      <c r="O341" s="449"/>
      <c r="P341" s="449"/>
      <c r="Q341" s="4"/>
      <c r="R341" s="6"/>
      <c r="S341" s="6"/>
      <c r="T341" s="4"/>
      <c r="U341" s="4"/>
      <c r="V341" s="4"/>
      <c r="W341" s="572"/>
      <c r="X341" s="9"/>
      <c r="Y341" s="9"/>
      <c r="Z341" s="9"/>
      <c r="AA341" s="9"/>
      <c r="AB341" s="9"/>
      <c r="AC341" s="449" t="str">
        <f t="shared" si="42"/>
        <v/>
      </c>
      <c r="AD341" s="449"/>
      <c r="AE341" s="449"/>
      <c r="AF341" s="4"/>
      <c r="AG341" s="83"/>
      <c r="AH341" s="4"/>
      <c r="AI341" s="4"/>
      <c r="AJ341" s="449"/>
      <c r="AK341" s="449"/>
      <c r="AL341" s="449"/>
      <c r="AM341" s="449"/>
      <c r="AN341" s="10"/>
      <c r="AO341" s="9"/>
      <c r="AP341" s="9"/>
      <c r="AQ341" s="9">
        <f>+FL_1($U$342,$T$340,$G$341,1200,9.28, 1*$F$342)</f>
        <v>0.40622496367616129</v>
      </c>
      <c r="AR341" s="9"/>
      <c r="AS341" s="9"/>
      <c r="AT341" s="9"/>
      <c r="AU341" s="428"/>
      <c r="AV341" s="428"/>
      <c r="AW341" s="449" t="str">
        <f>IF(C341&gt;0,VLOOKUP(C341,Foundation_Calc!$A$2:$C$13,3,1),
IF(J341&gt;0,VLOOKUP(J341,Foundation_Calc!$A$2:$C$13,3,1),""))</f>
        <v/>
      </c>
      <c r="AX341" s="449" t="str">
        <f>IF(C341&gt;0,VLOOKUP(C341,Foundation_Calc!$E$35:$G$65,3,1),
IF(J341&gt;0,VLOOKUP(J341,Foundation_Calc!$E$35:$G$65,3,1),""))</f>
        <v/>
      </c>
      <c r="AY341" s="10" t="str">
        <f>IF(L341="","",
IF(AX341="PT",VLOOKUP(L341,Foundation_Calc!$K$79:$R$113,VLOOKUP(AW341,Foundation_Calc!$I$2:$J$8,2,FALSE),0),
IF(AX341="K",VLOOKUP(L341,Foundation_Calc!$K$117:$R$151,VLOOKUP(AW341,Foundation_Calc!$I$2:$J$8,2,FALSE),0),"")))</f>
        <v/>
      </c>
      <c r="AZ341" s="10" t="str">
        <f>IF(K341="","",
IF(AX341="PT",VLOOKUP(K341,Foundation_Calc!$K$79:$R$113,VLOOKUP(AW341,Foundation_Calc!$I$2:$J$8,2,FALSE),0),
IF(AX341="K",VLOOKUP(K341,Foundation_Calc!$K$117:$R$151,VLOOKUP(AW341,Foundation_Calc!$I$2:$J$8,2,FALSE),0),"")))</f>
        <v/>
      </c>
      <c r="BA341" s="495" t="str">
        <f t="shared" si="36"/>
        <v/>
      </c>
      <c r="BB341" s="495" t="str">
        <f t="shared" si="37"/>
        <v/>
      </c>
      <c r="BC341" s="495" t="str">
        <f t="shared" si="38"/>
        <v/>
      </c>
      <c r="BD341" s="513" t="str">
        <f>IF(AND(L341="",H341=""),"",
IF(H341="",Pole_Calc!A$9,
IF(H341="MP",Pole_Calc!A$10,
IF(H341="AnMP",Pole_Calc!A$11,
IF(H341="A",Pole_Calc!A$12,
IF(H341="S/A",Pole_Calc!A$13,
IF(H341="A/S",Pole_Calc!A$14,"Poner a mano")))))))</f>
        <v/>
      </c>
      <c r="BE341" s="429" t="s">
        <v>118</v>
      </c>
      <c r="BF341" s="290"/>
      <c r="BG341" s="290"/>
      <c r="BH341" s="290"/>
      <c r="BI341" s="290"/>
    </row>
    <row r="342" spans="1:61" ht="16.149999999999999" customHeight="1">
      <c r="A342" s="514" t="s">
        <v>234</v>
      </c>
      <c r="B342" s="450" t="s">
        <v>1110</v>
      </c>
      <c r="C342" s="3">
        <f>+$C$340+$G$341</f>
        <v>38490.650000000009</v>
      </c>
      <c r="D342" s="83"/>
      <c r="E342" s="4"/>
      <c r="F342" s="4">
        <v>-2979.4922847182042</v>
      </c>
      <c r="G342" s="6"/>
      <c r="H342" s="449" t="s">
        <v>131</v>
      </c>
      <c r="I342" s="4"/>
      <c r="J342" s="3"/>
      <c r="K342" s="449"/>
      <c r="L342" s="449" t="s">
        <v>298</v>
      </c>
      <c r="M342" s="449" t="str">
        <f>IF(L342="","",
IF(AX342="PT",VLOOKUP(L342,Foundation_Calc!$V$79:$X$113,VLOOKUP(AX342,Foundation_Calc!$I$10:$J$13,2,FALSE),0),
IF(AX342="K",VLOOKUP(L342,Foundation_Calc!$V$117:$X$151,VLOOKUP(AX342,Foundation_Calc!$I$10:$J$13,2,FALSE),0),"")))</f>
        <v>2C3R</v>
      </c>
      <c r="N342" s="449" t="s">
        <v>133</v>
      </c>
      <c r="O342" s="449" t="s">
        <v>134</v>
      </c>
      <c r="P342" s="449"/>
      <c r="Q342" s="4"/>
      <c r="R342" s="6"/>
      <c r="S342" s="6"/>
      <c r="T342" s="4">
        <v>55</v>
      </c>
      <c r="U342" s="4">
        <v>35</v>
      </c>
      <c r="V342" s="4"/>
      <c r="W342" s="9">
        <v>1.4</v>
      </c>
      <c r="X342" s="9">
        <v>2.2999999999999998</v>
      </c>
      <c r="Y342" s="9"/>
      <c r="Z342" s="9">
        <v>0.55000000000000004</v>
      </c>
      <c r="AA342" s="9"/>
      <c r="AB342" s="9"/>
      <c r="AC342" s="449"/>
      <c r="AD342" s="449"/>
      <c r="AE342" s="449"/>
      <c r="AF342" s="4"/>
      <c r="AG342" s="83"/>
      <c r="AH342" s="4"/>
      <c r="AI342" s="4"/>
      <c r="AJ342" s="449"/>
      <c r="AK342" s="449"/>
      <c r="AL342" s="449"/>
      <c r="AM342" s="449" t="s">
        <v>126</v>
      </c>
      <c r="AN342" s="10">
        <v>5.5</v>
      </c>
      <c r="AO342" s="9"/>
      <c r="AP342" s="9"/>
      <c r="AQ342" s="9"/>
      <c r="AR342" s="9"/>
      <c r="AS342" s="9"/>
      <c r="AT342" s="9">
        <f>+ab($U$342,$T$340,$U$346,$G$341,$G$343, 1*$F$342,1200)</f>
        <v>13.441990601563962</v>
      </c>
      <c r="AU342" s="428"/>
      <c r="AV342" s="428"/>
      <c r="AW342" s="449" t="str">
        <f>IF(C342&gt;0,VLOOKUP(C342,Foundation_Calc!$A$2:$C$13,3,1),
IF(J342&gt;0,VLOOKUP(J342,Foundation_Calc!$A$2:$C$13,3,1),""))</f>
        <v>Multi Soil</v>
      </c>
      <c r="AX342" s="449" t="str">
        <f>IF(C342&gt;0,VLOOKUP(C342,Foundation_Calc!$E$35:$G$65,3,1),
IF(J342&gt;0,VLOOKUP(J342,Foundation_Calc!$E$35:$G$65,3,1),""))</f>
        <v>PT</v>
      </c>
      <c r="AY342" s="10">
        <f>IF(L342="","",
IF(AX342="PT",VLOOKUP(L342,Foundation_Calc!$K$79:$R$113,VLOOKUP(AW342,Foundation_Calc!$I$2:$J$8,2,FALSE),0),
IF(AX342="K",VLOOKUP(L342,Foundation_Calc!$K$117:$R$151,VLOOKUP(AW342,Foundation_Calc!$I$2:$J$8,2,FALSE),0),"")))</f>
        <v>4</v>
      </c>
      <c r="AZ342" s="10" t="str">
        <f>IF(K342="","",
IF(AX342="PT",VLOOKUP(K342,Foundation_Calc!$K$79:$R$113,VLOOKUP(AW342,Foundation_Calc!$I$2:$J$8,2,FALSE),0),
IF(AX342="K",VLOOKUP(K342,Foundation_Calc!$K$117:$R$151,VLOOKUP(AW342,Foundation_Calc!$I$2:$J$8,2,FALSE),0),"")))</f>
        <v/>
      </c>
      <c r="BA342" s="495" t="str">
        <f t="shared" si="36"/>
        <v>ü</v>
      </c>
      <c r="BB342" s="495" t="str">
        <f t="shared" si="37"/>
        <v/>
      </c>
      <c r="BC342" s="495" t="str">
        <f t="shared" si="38"/>
        <v/>
      </c>
      <c r="BD342" s="513" t="str">
        <f>IF(AND(L342="",H342=""),"",
IF(H342="",Pole_Calc!A$9,
IF(H342="MP",Pole_Calc!A$10,
IF(H342="AnMP",Pole_Calc!A$11,
IF(H342="A",Pole_Calc!A$12,
IF(H342="S/A",Pole_Calc!A$13,
IF(H342="A/S",Pole_Calc!A$14,"Poner a mano")))))))</f>
        <v>App.7-V11I-P9.5.1.5</v>
      </c>
      <c r="BE342" s="429" t="s">
        <v>118</v>
      </c>
      <c r="BF342" s="289"/>
      <c r="BG342" s="289"/>
      <c r="BH342" s="290"/>
      <c r="BI342" s="289"/>
    </row>
    <row r="343" spans="1:61" ht="16.149999999999999" customHeight="1">
      <c r="A343" s="514" t="s">
        <v>370</v>
      </c>
      <c r="B343" s="450"/>
      <c r="C343" s="3"/>
      <c r="D343" s="83"/>
      <c r="E343" s="4"/>
      <c r="F343" s="4"/>
      <c r="G343" s="6">
        <v>47</v>
      </c>
      <c r="H343" s="449"/>
      <c r="I343" s="4"/>
      <c r="J343" s="3"/>
      <c r="K343" s="449"/>
      <c r="L343" s="449"/>
      <c r="M343" s="449" t="str">
        <f>IF(L343="","",
IF(AX343="PT",VLOOKUP(L343,Foundation_Calc!$V$79:$X$113,VLOOKUP(AX343,Foundation_Calc!$I$10:$J$13,2,FALSE),0),
IF(AX343="K",VLOOKUP(L343,Foundation_Calc!$V$117:$X$151,VLOOKUP(AX343,Foundation_Calc!$I$10:$J$13,2,FALSE),0),"")))</f>
        <v/>
      </c>
      <c r="N343" s="449"/>
      <c r="O343" s="449"/>
      <c r="P343" s="449"/>
      <c r="Q343" s="4"/>
      <c r="R343" s="6"/>
      <c r="S343" s="6"/>
      <c r="T343" s="4"/>
      <c r="U343" s="4"/>
      <c r="V343" s="4"/>
      <c r="W343" s="572"/>
      <c r="X343" s="9"/>
      <c r="Y343" s="9"/>
      <c r="Z343" s="9"/>
      <c r="AA343" s="9"/>
      <c r="AB343" s="9"/>
      <c r="AC343" s="449" t="str">
        <f t="shared" si="42"/>
        <v/>
      </c>
      <c r="AD343" s="449"/>
      <c r="AE343" s="449"/>
      <c r="AF343" s="4"/>
      <c r="AG343" s="83"/>
      <c r="AH343" s="4"/>
      <c r="AI343" s="4"/>
      <c r="AJ343" s="449"/>
      <c r="AK343" s="449"/>
      <c r="AL343" s="449"/>
      <c r="AM343" s="449"/>
      <c r="AN343" s="10"/>
      <c r="AO343" s="9"/>
      <c r="AP343" s="9"/>
      <c r="AQ343" s="9">
        <f>+FL_1($U$346,$U$342,$G$343,1200,9.28, 1*$F$344)</f>
        <v>0.35695465849645375</v>
      </c>
      <c r="AR343" s="9"/>
      <c r="AS343" s="9"/>
      <c r="AT343" s="9"/>
      <c r="AU343" s="428"/>
      <c r="AV343" s="428"/>
      <c r="AW343" s="449" t="str">
        <f>IF(C343&gt;0,VLOOKUP(C343,Foundation_Calc!$A$2:$C$13,3,1),
IF(J343&gt;0,VLOOKUP(J343,Foundation_Calc!$A$2:$C$13,3,1),""))</f>
        <v/>
      </c>
      <c r="AX343" s="449" t="str">
        <f>IF(C343&gt;0,VLOOKUP(C343,Foundation_Calc!$E$35:$G$65,3,1),
IF(J343&gt;0,VLOOKUP(J343,Foundation_Calc!$E$35:$G$65,3,1),""))</f>
        <v/>
      </c>
      <c r="AY343" s="10" t="str">
        <f>IF(L343="","",
IF(AX343="PT",VLOOKUP(L343,Foundation_Calc!$K$79:$R$113,VLOOKUP(AW343,Foundation_Calc!$I$2:$J$8,2,FALSE),0),
IF(AX343="K",VLOOKUP(L343,Foundation_Calc!$K$117:$R$151,VLOOKUP(AW343,Foundation_Calc!$I$2:$J$8,2,FALSE),0),"")))</f>
        <v/>
      </c>
      <c r="AZ343" s="10" t="str">
        <f>IF(K343="","",
IF(AX343="PT",VLOOKUP(K343,Foundation_Calc!$K$79:$R$113,VLOOKUP(AW343,Foundation_Calc!$I$2:$J$8,2,FALSE),0),
IF(AX343="K",VLOOKUP(K343,Foundation_Calc!$K$117:$R$151,VLOOKUP(AW343,Foundation_Calc!$I$2:$J$8,2,FALSE),0),"")))</f>
        <v/>
      </c>
      <c r="BA343" s="495" t="str">
        <f t="shared" si="36"/>
        <v/>
      </c>
      <c r="BB343" s="495" t="str">
        <f t="shared" si="37"/>
        <v/>
      </c>
      <c r="BC343" s="495" t="str">
        <f t="shared" si="38"/>
        <v/>
      </c>
      <c r="BD343" s="513" t="str">
        <f>IF(AND(L343="",H343=""),"",
IF(H343="",Pole_Calc!A$9,
IF(H343="MP",Pole_Calc!A$10,
IF(H343="AnMP",Pole_Calc!A$11,
IF(H343="A",Pole_Calc!A$12,
IF(H343="S/A",Pole_Calc!A$13,
IF(H343="A/S",Pole_Calc!A$14,"Poner a mano")))))))</f>
        <v/>
      </c>
      <c r="BE343" s="429" t="s">
        <v>118</v>
      </c>
      <c r="BF343" s="290"/>
      <c r="BG343" s="290"/>
      <c r="BH343" s="290"/>
      <c r="BI343" s="290"/>
    </row>
    <row r="344" spans="1:61" ht="16.149999999999999" customHeight="1">
      <c r="A344" s="545"/>
      <c r="B344" s="450" t="s">
        <v>1111</v>
      </c>
      <c r="C344" s="3">
        <f>C346-G345</f>
        <v>38532.650000000009</v>
      </c>
      <c r="D344" s="83"/>
      <c r="E344" s="4"/>
      <c r="F344" s="4">
        <v>0</v>
      </c>
      <c r="G344" s="6"/>
      <c r="H344" s="449"/>
      <c r="I344" s="4"/>
      <c r="J344" s="3"/>
      <c r="K344" s="449"/>
      <c r="L344" s="449" t="s">
        <v>123</v>
      </c>
      <c r="M344" s="449" t="str">
        <f>IF(L344="","",
IF(AX344="PT",VLOOKUP(L344,Foundation_Calc!$V$79:$X$113,VLOOKUP(AX344,Foundation_Calc!$I$10:$J$13,2,FALSE),0),
IF(AX344="K",VLOOKUP(L344,Foundation_Calc!$V$117:$X$151,VLOOKUP(AX344,Foundation_Calc!$I$10:$J$13,2,FALSE),0),"")))</f>
        <v>C9R</v>
      </c>
      <c r="N344" s="449"/>
      <c r="O344" s="449"/>
      <c r="P344" s="449"/>
      <c r="Q344" s="4"/>
      <c r="R344" s="6"/>
      <c r="S344" s="6"/>
      <c r="T344" s="4"/>
      <c r="U344" s="4"/>
      <c r="V344" s="4"/>
      <c r="W344" s="572"/>
      <c r="X344" s="9"/>
      <c r="Y344" s="9"/>
      <c r="Z344" s="9"/>
      <c r="AA344" s="9"/>
      <c r="AB344" s="9"/>
      <c r="AC344" s="449" t="str">
        <f t="shared" si="42"/>
        <v/>
      </c>
      <c r="AD344" s="449"/>
      <c r="AE344" s="449"/>
      <c r="AF344" s="4"/>
      <c r="AG344" s="83"/>
      <c r="AH344" s="4"/>
      <c r="AI344" s="4"/>
      <c r="AJ344" s="449"/>
      <c r="AK344" s="449"/>
      <c r="AL344" s="449"/>
      <c r="AM344" s="449" t="s">
        <v>126</v>
      </c>
      <c r="AN344" s="10">
        <v>5.5</v>
      </c>
      <c r="AO344" s="9"/>
      <c r="AP344" s="9"/>
      <c r="AQ344" s="9"/>
      <c r="AR344" s="9"/>
      <c r="AS344" s="9"/>
      <c r="AT344" s="9"/>
      <c r="AU344" s="428"/>
      <c r="AV344" s="428"/>
      <c r="AW344" s="449" t="str">
        <f>IF(C344&gt;0,VLOOKUP(C344,Foundation_Calc!$A$2:$C$13,3,1),
IF(J344&gt;0,VLOOKUP(J344,Foundation_Calc!$A$2:$C$13,3,1),""))</f>
        <v>Multi Soil</v>
      </c>
      <c r="AX344" s="449" t="str">
        <f>IF(C344&gt;0,VLOOKUP(C344,Foundation_Calc!$E$35:$G$65,3,1),
IF(J344&gt;0,VLOOKUP(J344,Foundation_Calc!$E$35:$G$65,3,1),""))</f>
        <v>PT</v>
      </c>
      <c r="AY344" s="10">
        <f>IF(L344="","",
IF(AX344="PT",VLOOKUP(L344,Foundation_Calc!$K$79:$R$113,VLOOKUP(AW344,Foundation_Calc!$I$2:$J$8,2,FALSE),0),
IF(AX344="K",VLOOKUP(L344,Foundation_Calc!$K$117:$R$151,VLOOKUP(AW344,Foundation_Calc!$I$2:$J$8,2,FALSE),0),"")))</f>
        <v>4.4000000000000004</v>
      </c>
      <c r="AZ344" s="10" t="str">
        <f>IF(K344="","",
IF(AX344="PT",VLOOKUP(K344,Foundation_Calc!$K$79:$R$113,VLOOKUP(AW344,Foundation_Calc!$I$2:$J$8,2,FALSE),0),
IF(AX344="K",VLOOKUP(K344,Foundation_Calc!$K$117:$R$151,VLOOKUP(AW344,Foundation_Calc!$I$2:$J$8,2,FALSE),0),"")))</f>
        <v/>
      </c>
      <c r="BA344" s="495" t="str">
        <f t="shared" si="36"/>
        <v>ü</v>
      </c>
      <c r="BB344" s="495" t="str">
        <f t="shared" si="37"/>
        <v/>
      </c>
      <c r="BC344" s="495" t="str">
        <f t="shared" si="38"/>
        <v/>
      </c>
      <c r="BD344" s="513" t="str">
        <f>Pole_Calc!A$322</f>
        <v>App.8-V08H-10.7.4.1</v>
      </c>
      <c r="BE344" s="429" t="s">
        <v>118</v>
      </c>
      <c r="BF344" s="289"/>
      <c r="BG344" s="289"/>
      <c r="BH344" s="290"/>
      <c r="BI344" s="289"/>
    </row>
    <row r="345" spans="1:61" ht="16.149999999999999" customHeight="1">
      <c r="A345" s="514"/>
      <c r="B345" s="450"/>
      <c r="C345" s="3"/>
      <c r="D345" s="83"/>
      <c r="E345" s="4"/>
      <c r="F345" s="4"/>
      <c r="G345" s="6">
        <v>5</v>
      </c>
      <c r="H345" s="448"/>
      <c r="I345" s="4"/>
      <c r="J345" s="3"/>
      <c r="K345" s="449"/>
      <c r="L345" s="449"/>
      <c r="M345" s="449" t="str">
        <f>IF(L345="","",
IF(AX345="PT",VLOOKUP(L345,Foundation_Calc!$V$79:$X$113,VLOOKUP(AX345,Foundation_Calc!$I$10:$J$13,2,FALSE),0),
IF(AX345="K",VLOOKUP(L345,Foundation_Calc!$V$117:$X$151,VLOOKUP(AX345,Foundation_Calc!$I$10:$J$13,2,FALSE),0),"")))</f>
        <v/>
      </c>
      <c r="N345" s="449"/>
      <c r="O345" s="449"/>
      <c r="P345" s="449"/>
      <c r="Q345" s="4"/>
      <c r="R345" s="6"/>
      <c r="S345" s="6"/>
      <c r="T345" s="4"/>
      <c r="U345" s="4"/>
      <c r="V345" s="4"/>
      <c r="W345" s="572"/>
      <c r="X345" s="9"/>
      <c r="Y345" s="9"/>
      <c r="Z345" s="9"/>
      <c r="AA345" s="9"/>
      <c r="AB345" s="9"/>
      <c r="AC345" s="449" t="str">
        <f t="shared" si="42"/>
        <v/>
      </c>
      <c r="AD345" s="449"/>
      <c r="AE345" s="449"/>
      <c r="AF345" s="4"/>
      <c r="AG345" s="83"/>
      <c r="AH345" s="4"/>
      <c r="AI345" s="4"/>
      <c r="AJ345" s="449"/>
      <c r="AK345" s="449"/>
      <c r="AL345" s="449"/>
      <c r="AM345" s="449"/>
      <c r="AN345" s="10"/>
      <c r="AO345" s="9"/>
      <c r="AP345" s="9"/>
      <c r="AQ345" s="9"/>
      <c r="AR345" s="9"/>
      <c r="AS345" s="9"/>
      <c r="AT345" s="9"/>
      <c r="AU345" s="428"/>
      <c r="AV345" s="428"/>
      <c r="AW345" s="449" t="str">
        <f>IF(C345&gt;0,VLOOKUP(C345,Foundation_Calc!$A$2:$C$13,3,1),
IF(J345&gt;0,VLOOKUP(J345,Foundation_Calc!$A$2:$C$13,3,1),""))</f>
        <v/>
      </c>
      <c r="AX345" s="449" t="str">
        <f>IF(C345&gt;0,VLOOKUP(C345,Foundation_Calc!$E$35:$G$65,3,1),
IF(J345&gt;0,VLOOKUP(J345,Foundation_Calc!$E$35:$G$65,3,1),""))</f>
        <v/>
      </c>
      <c r="AY345" s="10" t="str">
        <f>IF(L345="","",
IF(AX345="PT",VLOOKUP(L345,Foundation_Calc!$K$79:$R$113,VLOOKUP(AW345,Foundation_Calc!$I$2:$J$8,2,FALSE),0),
IF(AX345="K",VLOOKUP(L345,Foundation_Calc!$K$117:$R$151,VLOOKUP(AW345,Foundation_Calc!$I$2:$J$8,2,FALSE),0),"")))</f>
        <v/>
      </c>
      <c r="AZ345" s="10" t="str">
        <f>IF(K345="","",
IF(AX345="PT",VLOOKUP(K345,Foundation_Calc!$K$79:$R$113,VLOOKUP(AW345,Foundation_Calc!$I$2:$J$8,2,FALSE),0),
IF(AX345="K",VLOOKUP(K345,Foundation_Calc!$K$117:$R$151,VLOOKUP(AW345,Foundation_Calc!$I$2:$J$8,2,FALSE),0),"")))</f>
        <v/>
      </c>
      <c r="BA345" s="495" t="str">
        <f t="shared" si="36"/>
        <v/>
      </c>
      <c r="BB345" s="495" t="str">
        <f t="shared" si="37"/>
        <v/>
      </c>
      <c r="BC345" s="495" t="str">
        <f t="shared" si="38"/>
        <v/>
      </c>
      <c r="BD345" s="513" t="str">
        <f>IF(AND(L345="",H345=""),"",
IF(H345="",Pole_Calc!A$9,
IF(H345="MP",Pole_Calc!A$10,
IF(H345="AnMP",Pole_Calc!A$11,
IF(H345="A",Pole_Calc!A$12,
IF(H345="S/A",Pole_Calc!A$13,
IF(H345="A/S",Pole_Calc!A$14,"Poner a mano")))))))</f>
        <v/>
      </c>
      <c r="BE345" s="429" t="s">
        <v>118</v>
      </c>
      <c r="BF345" s="290"/>
      <c r="BG345" s="290"/>
      <c r="BH345" s="290"/>
      <c r="BI345" s="290"/>
    </row>
    <row r="346" spans="1:61" ht="16.149999999999999" customHeight="1">
      <c r="A346" s="514"/>
      <c r="B346" s="450" t="s">
        <v>1112</v>
      </c>
      <c r="C346" s="3">
        <f>+$C$342+$G$343</f>
        <v>38537.650000000009</v>
      </c>
      <c r="D346" s="83"/>
      <c r="E346" s="4"/>
      <c r="F346" s="4">
        <v>0</v>
      </c>
      <c r="G346" s="6"/>
      <c r="H346" s="449" t="s">
        <v>114</v>
      </c>
      <c r="I346" s="4"/>
      <c r="J346" s="3"/>
      <c r="K346" s="449"/>
      <c r="L346" s="449" t="s">
        <v>158</v>
      </c>
      <c r="M346" s="449" t="str">
        <f>IF(L346="","",
IF(AX346="PT",VLOOKUP(L346,Foundation_Calc!$V$79:$X$113,VLOOKUP(AX346,Foundation_Calc!$I$10:$J$13,2,FALSE),0),
IF(AX346="K",VLOOKUP(L346,Foundation_Calc!$V$117:$X$151,VLOOKUP(AX346,Foundation_Calc!$I$10:$J$13,2,FALSE),0),"")))</f>
        <v>C4R</v>
      </c>
      <c r="N346" s="449" t="s">
        <v>124</v>
      </c>
      <c r="O346" s="449" t="s">
        <v>124</v>
      </c>
      <c r="P346" s="449"/>
      <c r="Q346" s="4"/>
      <c r="R346" s="6"/>
      <c r="S346" s="6"/>
      <c r="T346" s="4">
        <v>-15</v>
      </c>
      <c r="U346" s="4">
        <v>-35</v>
      </c>
      <c r="V346" s="4"/>
      <c r="W346" s="9">
        <v>1.4</v>
      </c>
      <c r="X346" s="9">
        <v>2.2999999999999998</v>
      </c>
      <c r="Y346" s="9"/>
      <c r="Z346" s="9">
        <v>0.15</v>
      </c>
      <c r="AA346" s="9"/>
      <c r="AB346" s="9"/>
      <c r="AC346" s="449" t="str">
        <f t="shared" si="42"/>
        <v>PHQ</v>
      </c>
      <c r="AD346" s="449"/>
      <c r="AE346" s="449"/>
      <c r="AF346" s="4"/>
      <c r="AG346" s="83"/>
      <c r="AH346" s="4"/>
      <c r="AI346" s="4"/>
      <c r="AJ346" s="449"/>
      <c r="AK346" s="449"/>
      <c r="AL346" s="449"/>
      <c r="AM346" s="449" t="s">
        <v>126</v>
      </c>
      <c r="AN346" s="10">
        <v>5.5</v>
      </c>
      <c r="AO346" s="9"/>
      <c r="AP346" s="9"/>
      <c r="AQ346" s="9"/>
      <c r="AR346" s="9"/>
      <c r="AS346" s="9"/>
      <c r="AT346" s="9">
        <f>+ab($T$346,$T$342,$T$348,$G$343,$G$347, 1*$F$346,1200)</f>
        <v>-7.4731410959763105</v>
      </c>
      <c r="AU346" s="428"/>
      <c r="AV346" s="428"/>
      <c r="AW346" s="449" t="str">
        <f>IF(C346&gt;0,VLOOKUP(C346,Foundation_Calc!$A$2:$C$13,3,1),
IF(J346&gt;0,VLOOKUP(J346,Foundation_Calc!$A$2:$C$13,3,1),""))</f>
        <v>Multi Soil</v>
      </c>
      <c r="AX346" s="449" t="str">
        <f>IF(C346&gt;0,VLOOKUP(C346,Foundation_Calc!$E$35:$G$65,3,1),
IF(J346&gt;0,VLOOKUP(J346,Foundation_Calc!$E$35:$G$65,3,1),""))</f>
        <v>PT</v>
      </c>
      <c r="AY346" s="10">
        <f>IF(L346="","",
IF(AX346="PT",VLOOKUP(L346,Foundation_Calc!$K$79:$R$113,VLOOKUP(AW346,Foundation_Calc!$I$2:$J$8,2,FALSE),0),
IF(AX346="K",VLOOKUP(L346,Foundation_Calc!$K$117:$R$151,VLOOKUP(AW346,Foundation_Calc!$I$2:$J$8,2,FALSE),0),"")))</f>
        <v>3.5</v>
      </c>
      <c r="AZ346" s="10" t="str">
        <f>IF(K346="","",
IF(AX346="PT",VLOOKUP(K346,Foundation_Calc!$K$79:$R$113,VLOOKUP(AW346,Foundation_Calc!$I$2:$J$8,2,FALSE),0),
IF(AX346="K",VLOOKUP(K346,Foundation_Calc!$K$117:$R$151,VLOOKUP(AW346,Foundation_Calc!$I$2:$J$8,2,FALSE),0),"")))</f>
        <v/>
      </c>
      <c r="BA346" s="495" t="str">
        <f t="shared" si="36"/>
        <v>ü</v>
      </c>
      <c r="BB346" s="495" t="str">
        <f t="shared" si="37"/>
        <v/>
      </c>
      <c r="BC346" s="495" t="str">
        <f t="shared" si="38"/>
        <v/>
      </c>
      <c r="BD346" s="513" t="str">
        <f>IF(AND(L346="",H346=""),"",
IF(H346="",Pole_Calc!A$9,
IF(H346="MP",Pole_Calc!A$10,
IF(H346="AnMP",Pole_Calc!A$11,
IF(H346="A",Pole_Calc!A$12,
IF(H346="S/A",Pole_Calc!A$13,
IF(H346="A/S",Pole_Calc!A$14,"Poner a mano")))))))</f>
        <v>App.7-V11I-P9.5.1.4</v>
      </c>
      <c r="BE346" s="429" t="s">
        <v>118</v>
      </c>
      <c r="BF346" s="289"/>
      <c r="BG346" s="289"/>
      <c r="BH346" s="290"/>
      <c r="BI346" s="289"/>
    </row>
    <row r="347" spans="1:61" ht="17.45" customHeight="1">
      <c r="A347" s="514" t="s">
        <v>169</v>
      </c>
      <c r="B347" s="450"/>
      <c r="C347" s="3"/>
      <c r="D347" s="83"/>
      <c r="E347" s="4"/>
      <c r="F347" s="4"/>
      <c r="G347" s="6">
        <v>47</v>
      </c>
      <c r="H347" s="449"/>
      <c r="I347" s="4"/>
      <c r="J347" s="3"/>
      <c r="K347" s="449"/>
      <c r="L347" s="449"/>
      <c r="M347" s="449" t="str">
        <f>IF(L347="","",
IF(AX347="PT",VLOOKUP(L347,Foundation_Calc!$V$79:$X$113,VLOOKUP(AX347,Foundation_Calc!$I$10:$J$13,2,FALSE),0),
IF(AX347="K",VLOOKUP(L347,Foundation_Calc!$V$117:$X$151,VLOOKUP(AX347,Foundation_Calc!$I$10:$J$13,2,FALSE),0),"")))</f>
        <v/>
      </c>
      <c r="N347" s="449"/>
      <c r="O347" s="449"/>
      <c r="P347" s="449"/>
      <c r="Q347" s="4"/>
      <c r="R347" s="6"/>
      <c r="S347" s="6"/>
      <c r="T347" s="4"/>
      <c r="U347" s="4"/>
      <c r="V347" s="4"/>
      <c r="W347" s="572"/>
      <c r="X347" s="9"/>
      <c r="Y347" s="9"/>
      <c r="Z347" s="9"/>
      <c r="AA347" s="9"/>
      <c r="AB347" s="9"/>
      <c r="AC347" s="449" t="str">
        <f t="shared" si="42"/>
        <v/>
      </c>
      <c r="AD347" s="449"/>
      <c r="AE347" s="449"/>
      <c r="AF347" s="4"/>
      <c r="AG347" s="83"/>
      <c r="AH347" s="4"/>
      <c r="AI347" s="4"/>
      <c r="AJ347" s="449"/>
      <c r="AK347" s="449"/>
      <c r="AL347" s="449"/>
      <c r="AM347" s="449"/>
      <c r="AN347" s="10"/>
      <c r="AO347" s="9"/>
      <c r="AP347" s="9"/>
      <c r="AQ347" s="9">
        <f>+FL_1($T$348,$T$346,$G$347,1200,9.28, 1*$F$348)</f>
        <v>0.38670910672340425</v>
      </c>
      <c r="AR347" s="9"/>
      <c r="AS347" s="9"/>
      <c r="AT347" s="9"/>
      <c r="AU347" s="428"/>
      <c r="AV347" s="428"/>
      <c r="AW347" s="449" t="str">
        <f>IF(C347&gt;0,VLOOKUP(C347,Foundation_Calc!$A$2:$C$13,3,1),
IF(J347&gt;0,VLOOKUP(J347,Foundation_Calc!$A$2:$C$13,3,1),""))</f>
        <v/>
      </c>
      <c r="AX347" s="449" t="str">
        <f>IF(C347&gt;0,VLOOKUP(C347,Foundation_Calc!$E$35:$G$65,3,1),
IF(J347&gt;0,VLOOKUP(J347,Foundation_Calc!$E$35:$G$65,3,1),""))</f>
        <v/>
      </c>
      <c r="AY347" s="10" t="str">
        <f>IF(L347="","",
IF(AX347="PT",VLOOKUP(L347,Foundation_Calc!$K$79:$R$113,VLOOKUP(AW347,Foundation_Calc!$I$2:$J$8,2,FALSE),0),
IF(AX347="K",VLOOKUP(L347,Foundation_Calc!$K$117:$R$151,VLOOKUP(AW347,Foundation_Calc!$I$2:$J$8,2,FALSE),0),"")))</f>
        <v/>
      </c>
      <c r="AZ347" s="10" t="str">
        <f>IF(K347="","",
IF(AX347="PT",VLOOKUP(K347,Foundation_Calc!$K$79:$R$113,VLOOKUP(AW347,Foundation_Calc!$I$2:$J$8,2,FALSE),0),
IF(AX347="K",VLOOKUP(K347,Foundation_Calc!$K$117:$R$151,VLOOKUP(AW347,Foundation_Calc!$I$2:$J$8,2,FALSE),0),"")))</f>
        <v/>
      </c>
      <c r="BA347" s="495" t="str">
        <f t="shared" si="36"/>
        <v/>
      </c>
      <c r="BB347" s="495" t="str">
        <f t="shared" si="37"/>
        <v/>
      </c>
      <c r="BC347" s="495" t="str">
        <f t="shared" si="38"/>
        <v/>
      </c>
      <c r="BD347" s="513" t="str">
        <f>IF(AND(L347="",H347=""),"",
IF(H347="",Pole_Calc!A$9,
IF(H347="MP",Pole_Calc!A$10,
IF(H347="AnMP",Pole_Calc!A$11,
IF(H347="A",Pole_Calc!A$12,
IF(H347="S/A",Pole_Calc!A$13,
IF(H347="A/S",Pole_Calc!A$14,"Poner a mano")))))))</f>
        <v/>
      </c>
      <c r="BE347" s="429" t="s">
        <v>118</v>
      </c>
      <c r="BF347" s="290"/>
      <c r="BG347" s="290"/>
      <c r="BH347" s="290"/>
      <c r="BI347" s="290"/>
    </row>
    <row r="348" spans="1:61" ht="17.45" customHeight="1">
      <c r="A348" s="514"/>
      <c r="B348" s="450" t="s">
        <v>1113</v>
      </c>
      <c r="C348" s="3">
        <f>+$C$346+$G$347</f>
        <v>38584.650000000009</v>
      </c>
      <c r="D348" s="83"/>
      <c r="E348" s="4"/>
      <c r="F348" s="4">
        <v>0</v>
      </c>
      <c r="G348" s="6"/>
      <c r="H348" s="449" t="s">
        <v>114</v>
      </c>
      <c r="I348" s="4"/>
      <c r="J348" s="3"/>
      <c r="K348" s="449"/>
      <c r="L348" s="449" t="s">
        <v>158</v>
      </c>
      <c r="M348" s="449" t="str">
        <f>IF(L348="","",
IF(AX348="PT",VLOOKUP(L348,Foundation_Calc!$V$79:$X$113,VLOOKUP(AX348,Foundation_Calc!$I$10:$J$13,2,FALSE),0),
IF(AX348="K",VLOOKUP(L348,Foundation_Calc!$V$117:$X$151,VLOOKUP(AX348,Foundation_Calc!$I$10:$J$13,2,FALSE),0),"")))</f>
        <v>C4R</v>
      </c>
      <c r="N348" s="449" t="s">
        <v>134</v>
      </c>
      <c r="O348" s="449" t="s">
        <v>134</v>
      </c>
      <c r="P348" s="449"/>
      <c r="Q348" s="4"/>
      <c r="R348" s="6"/>
      <c r="S348" s="6"/>
      <c r="T348" s="4">
        <v>35</v>
      </c>
      <c r="U348" s="4">
        <v>15</v>
      </c>
      <c r="V348" s="4"/>
      <c r="W348" s="9">
        <v>1.4</v>
      </c>
      <c r="X348" s="9">
        <v>2.2999999999999998</v>
      </c>
      <c r="Y348" s="9"/>
      <c r="Z348" s="9"/>
      <c r="AA348" s="9">
        <v>0.15</v>
      </c>
      <c r="AB348" s="9"/>
      <c r="AC348" s="449" t="str">
        <f t="shared" si="42"/>
        <v>PHQ</v>
      </c>
      <c r="AD348" s="449"/>
      <c r="AE348" s="449"/>
      <c r="AF348" s="4"/>
      <c r="AG348" s="83"/>
      <c r="AH348" s="4"/>
      <c r="AI348" s="4"/>
      <c r="AJ348" s="449"/>
      <c r="AK348" s="449"/>
      <c r="AL348" s="449"/>
      <c r="AM348" s="449" t="s">
        <v>126</v>
      </c>
      <c r="AN348" s="10">
        <v>5.5</v>
      </c>
      <c r="AO348" s="9"/>
      <c r="AP348" s="9"/>
      <c r="AQ348" s="9"/>
      <c r="AR348" s="9"/>
      <c r="AS348" s="9"/>
      <c r="AT348" s="9">
        <f>+ab($T$348,$T$346,$T$352,$G$347,$G$351, 1*$F$348,1200)</f>
        <v>7.4731138933968646</v>
      </c>
      <c r="AU348" s="428"/>
      <c r="AV348" s="428"/>
      <c r="AW348" s="449" t="str">
        <f>IF(C348&gt;0,VLOOKUP(C348,Foundation_Calc!$A$2:$C$13,3,1),
IF(J348&gt;0,VLOOKUP(J348,Foundation_Calc!$A$2:$C$13,3,1),""))</f>
        <v>Multi Soil</v>
      </c>
      <c r="AX348" s="449" t="str">
        <f>IF(C348&gt;0,VLOOKUP(C348,Foundation_Calc!$E$35:$G$65,3,1),
IF(J348&gt;0,VLOOKUP(J348,Foundation_Calc!$E$35:$G$65,3,1),""))</f>
        <v>PT</v>
      </c>
      <c r="AY348" s="10">
        <f>IF(L348="","",
IF(AX348="PT",VLOOKUP(L348,Foundation_Calc!$K$79:$R$113,VLOOKUP(AW348,Foundation_Calc!$I$2:$J$8,2,FALSE),0),
IF(AX348="K",VLOOKUP(L348,Foundation_Calc!$K$117:$R$151,VLOOKUP(AW348,Foundation_Calc!$I$2:$J$8,2,FALSE),0),"")))</f>
        <v>3.5</v>
      </c>
      <c r="AZ348" s="10" t="str">
        <f>IF(K348="","",
IF(AX348="PT",VLOOKUP(K348,Foundation_Calc!$K$79:$R$113,VLOOKUP(AW348,Foundation_Calc!$I$2:$J$8,2,FALSE),0),
IF(AX348="K",VLOOKUP(K348,Foundation_Calc!$K$117:$R$151,VLOOKUP(AW348,Foundation_Calc!$I$2:$J$8,2,FALSE),0),"")))</f>
        <v/>
      </c>
      <c r="BA348" s="497" t="str">
        <f t="shared" si="36"/>
        <v>ü</v>
      </c>
      <c r="BB348" s="497" t="str">
        <f t="shared" si="37"/>
        <v/>
      </c>
      <c r="BC348" s="497" t="str">
        <f t="shared" si="38"/>
        <v/>
      </c>
      <c r="BD348" s="513" t="str">
        <f>IF(AND(L348="",H348=""),"",
IF(H348="",Pole_Calc!A$9,
IF(H348="MP",Pole_Calc!A$10,
IF(H348="AnMP",Pole_Calc!A$11,
IF(H348="A",Pole_Calc!A$12,
IF(H348="S/A",Pole_Calc!A$13,
IF(H348="A/S",Pole_Calc!A$14,"Poner a mano")))))))</f>
        <v>App.7-V11I-P9.5.1.4</v>
      </c>
      <c r="BE348" s="429" t="s">
        <v>118</v>
      </c>
      <c r="BF348" s="289"/>
      <c r="BG348" s="289"/>
      <c r="BH348" s="290"/>
      <c r="BI348" s="289"/>
    </row>
    <row r="349" spans="1:61" ht="17.45" customHeight="1">
      <c r="A349" s="545"/>
      <c r="B349" s="450"/>
      <c r="C349" s="3"/>
      <c r="D349" s="83"/>
      <c r="E349" s="4"/>
      <c r="F349" s="4"/>
      <c r="G349" s="6">
        <v>5</v>
      </c>
      <c r="H349" s="449"/>
      <c r="I349" s="4"/>
      <c r="J349" s="3"/>
      <c r="K349" s="449"/>
      <c r="L349" s="449"/>
      <c r="M349" s="449" t="str">
        <f>IF(L349="","",
IF(AX349="PT",VLOOKUP(L349,Foundation_Calc!$V$79:$X$113,VLOOKUP(AX349,Foundation_Calc!$I$10:$J$13,2,FALSE),0),
IF(AX349="K",VLOOKUP(L349,Foundation_Calc!$V$117:$X$151,VLOOKUP(AX349,Foundation_Calc!$I$10:$J$13,2,FALSE),0),"")))</f>
        <v/>
      </c>
      <c r="N349" s="449"/>
      <c r="O349" s="449"/>
      <c r="P349" s="561"/>
      <c r="Q349" s="4"/>
      <c r="R349" s="6"/>
      <c r="S349" s="6"/>
      <c r="T349" s="4"/>
      <c r="U349" s="4"/>
      <c r="V349" s="4"/>
      <c r="W349" s="572"/>
      <c r="X349" s="9"/>
      <c r="Y349" s="9"/>
      <c r="Z349" s="9"/>
      <c r="AA349" s="9"/>
      <c r="AB349" s="9"/>
      <c r="AC349" s="449" t="str">
        <f t="shared" si="42"/>
        <v/>
      </c>
      <c r="AD349" s="449"/>
      <c r="AE349" s="449"/>
      <c r="AF349" s="4"/>
      <c r="AG349" s="83"/>
      <c r="AH349" s="4"/>
      <c r="AI349" s="4"/>
      <c r="AJ349" s="449"/>
      <c r="AK349" s="449"/>
      <c r="AL349" s="449"/>
      <c r="AM349" s="449"/>
      <c r="AN349" s="10"/>
      <c r="AO349" s="9"/>
      <c r="AP349" s="9"/>
      <c r="AQ349" s="9"/>
      <c r="AR349" s="9"/>
      <c r="AS349" s="9"/>
      <c r="AT349" s="9"/>
      <c r="AU349" s="428"/>
      <c r="AV349" s="428"/>
      <c r="AW349" s="449" t="str">
        <f>IF(C349&gt;0,VLOOKUP(C349,Foundation_Calc!$A$2:$C$13,3,1),
IF(J349&gt;0,VLOOKUP(J349,Foundation_Calc!$A$2:$C$13,3,1),""))</f>
        <v/>
      </c>
      <c r="AX349" s="449" t="str">
        <f>IF(C349&gt;0,VLOOKUP(C349,Foundation_Calc!$E$35:$G$65,3,1),
IF(J349&gt;0,VLOOKUP(J349,Foundation_Calc!$E$35:$G$65,3,1),""))</f>
        <v/>
      </c>
      <c r="AY349" s="10" t="str">
        <f>IF(L349="","",
IF(AX349="PT",VLOOKUP(L349,Foundation_Calc!$K$79:$R$113,VLOOKUP(AW349,Foundation_Calc!$I$2:$J$8,2,FALSE),0),
IF(AX349="K",VLOOKUP(L349,Foundation_Calc!$K$117:$R$151,VLOOKUP(AW349,Foundation_Calc!$I$2:$J$8,2,FALSE),0),"")))</f>
        <v/>
      </c>
      <c r="AZ349" s="10" t="str">
        <f>IF(K349="","",
IF(AX349="PT",VLOOKUP(K349,Foundation_Calc!$K$79:$R$113,VLOOKUP(AW349,Foundation_Calc!$I$2:$J$8,2,FALSE),0),
IF(AX349="K",VLOOKUP(K349,Foundation_Calc!$K$117:$R$151,VLOOKUP(AW349,Foundation_Calc!$I$2:$J$8,2,FALSE),0),"")))</f>
        <v/>
      </c>
      <c r="BA349" s="495" t="str">
        <f t="shared" si="36"/>
        <v/>
      </c>
      <c r="BB349" s="495" t="str">
        <f t="shared" si="37"/>
        <v/>
      </c>
      <c r="BC349" s="495" t="str">
        <f t="shared" si="38"/>
        <v/>
      </c>
      <c r="BD349" s="513" t="str">
        <f>IF(AND(L349="",H349=""),"",
IF(H349="",Pole_Calc!A$9,
IF(H349="MP",Pole_Calc!A$10,
IF(H349="AnMP",Pole_Calc!A$11,
IF(H349="A",Pole_Calc!A$12,
IF(H349="S/A",Pole_Calc!A$13,
IF(H349="A/S",Pole_Calc!A$14,"Poner a mano")))))))</f>
        <v/>
      </c>
      <c r="BE349" s="429" t="s">
        <v>118</v>
      </c>
      <c r="BF349" s="290"/>
      <c r="BG349" s="290"/>
      <c r="BH349" s="290"/>
      <c r="BI349" s="290"/>
    </row>
    <row r="350" spans="1:61" ht="17.45" customHeight="1">
      <c r="A350" s="545"/>
      <c r="B350" s="450" t="s">
        <v>1114</v>
      </c>
      <c r="C350" s="3">
        <f>+$C$348+$G$349</f>
        <v>38589.650000000009</v>
      </c>
      <c r="D350" s="83"/>
      <c r="E350" s="4"/>
      <c r="F350" s="4">
        <v>0</v>
      </c>
      <c r="G350" s="6"/>
      <c r="H350" s="449"/>
      <c r="I350" s="4"/>
      <c r="J350" s="3"/>
      <c r="K350" s="449"/>
      <c r="L350" s="449" t="s">
        <v>123</v>
      </c>
      <c r="M350" s="449" t="str">
        <f>IF(L350="","",
IF(AX350="PT",VLOOKUP(L350,Foundation_Calc!$V$79:$X$113,VLOOKUP(AX350,Foundation_Calc!$I$10:$J$13,2,FALSE),0),
IF(AX350="K",VLOOKUP(L350,Foundation_Calc!$V$117:$X$151,VLOOKUP(AX350,Foundation_Calc!$I$10:$J$13,2,FALSE),0),"")))</f>
        <v>C9R</v>
      </c>
      <c r="N350" s="449"/>
      <c r="O350" s="449"/>
      <c r="P350" s="449"/>
      <c r="Q350" s="4"/>
      <c r="R350" s="6"/>
      <c r="S350" s="6"/>
      <c r="T350" s="4"/>
      <c r="U350" s="4"/>
      <c r="V350" s="4"/>
      <c r="W350" s="572"/>
      <c r="X350" s="9"/>
      <c r="Y350" s="9"/>
      <c r="Z350" s="9"/>
      <c r="AA350" s="9"/>
      <c r="AB350" s="9"/>
      <c r="AC350" s="449" t="str">
        <f t="shared" si="42"/>
        <v/>
      </c>
      <c r="AD350" s="449"/>
      <c r="AE350" s="449"/>
      <c r="AF350" s="4"/>
      <c r="AG350" s="83"/>
      <c r="AH350" s="4"/>
      <c r="AI350" s="4"/>
      <c r="AJ350" s="449"/>
      <c r="AK350" s="449"/>
      <c r="AL350" s="449"/>
      <c r="AM350" s="449" t="s">
        <v>126</v>
      </c>
      <c r="AN350" s="10">
        <v>5.5</v>
      </c>
      <c r="AO350" s="9"/>
      <c r="AP350" s="9"/>
      <c r="AQ350" s="9"/>
      <c r="AR350" s="9"/>
      <c r="AS350" s="9"/>
      <c r="AT350" s="9"/>
      <c r="AU350" s="428"/>
      <c r="AV350" s="428"/>
      <c r="AW350" s="449" t="str">
        <f>IF(C350&gt;0,VLOOKUP(C350,Foundation_Calc!$A$2:$C$13,3,1),
IF(J350&gt;0,VLOOKUP(J350,Foundation_Calc!$A$2:$C$13,3,1),""))</f>
        <v>Multi Soil</v>
      </c>
      <c r="AX350" s="449" t="str">
        <f>IF(C350&gt;0,VLOOKUP(C350,Foundation_Calc!$E$35:$G$65,3,1),
IF(J350&gt;0,VLOOKUP(J350,Foundation_Calc!$E$35:$G$65,3,1),""))</f>
        <v>PT</v>
      </c>
      <c r="AY350" s="10">
        <f>IF(L350="","",
IF(AX350="PT",VLOOKUP(L350,Foundation_Calc!$K$79:$R$113,VLOOKUP(AW350,Foundation_Calc!$I$2:$J$8,2,FALSE),0),
IF(AX350="K",VLOOKUP(L350,Foundation_Calc!$K$117:$R$151,VLOOKUP(AW350,Foundation_Calc!$I$2:$J$8,2,FALSE),0),"")))</f>
        <v>4.4000000000000004</v>
      </c>
      <c r="AZ350" s="10" t="str">
        <f>IF(K350="","",
IF(AX350="PT",VLOOKUP(K350,Foundation_Calc!$K$79:$R$113,VLOOKUP(AW350,Foundation_Calc!$I$2:$J$8,2,FALSE),0),
IF(AX350="K",VLOOKUP(K350,Foundation_Calc!$K$117:$R$151,VLOOKUP(AW350,Foundation_Calc!$I$2:$J$8,2,FALSE),0),"")))</f>
        <v/>
      </c>
      <c r="BA350" s="495" t="str">
        <f t="shared" si="36"/>
        <v>ü</v>
      </c>
      <c r="BB350" s="495" t="str">
        <f t="shared" si="37"/>
        <v/>
      </c>
      <c r="BC350" s="495" t="str">
        <f t="shared" si="38"/>
        <v/>
      </c>
      <c r="BD350" s="513" t="str">
        <f>Pole_Calc!A$322</f>
        <v>App.8-V08H-10.7.4.1</v>
      </c>
      <c r="BE350" s="429" t="s">
        <v>118</v>
      </c>
      <c r="BF350" s="289"/>
      <c r="BG350" s="289"/>
      <c r="BH350" s="290"/>
      <c r="BI350" s="289"/>
    </row>
    <row r="351" spans="1:61" ht="17.45" customHeight="1">
      <c r="A351" s="546"/>
      <c r="B351" s="536"/>
      <c r="C351" s="537"/>
      <c r="D351" s="538"/>
      <c r="E351" s="539"/>
      <c r="F351" s="539"/>
      <c r="G351" s="540">
        <v>47</v>
      </c>
      <c r="H351" s="547"/>
      <c r="I351" s="4"/>
      <c r="J351" s="537"/>
      <c r="K351" s="541"/>
      <c r="L351" s="449"/>
      <c r="M351" s="541" t="str">
        <f>IF(L351="","",
IF(AX351="PT",VLOOKUP(L351,Foundation_Calc!$V$79:$X$113,VLOOKUP(AX351,Foundation_Calc!$I$10:$J$13,2,FALSE),0),
IF(AX351="K",VLOOKUP(L351,Foundation_Calc!$V$117:$X$151,VLOOKUP(AX351,Foundation_Calc!$I$10:$J$13,2,FALSE),0),"")))</f>
        <v/>
      </c>
      <c r="N351" s="541"/>
      <c r="O351" s="541"/>
      <c r="P351" s="562"/>
      <c r="Q351" s="539"/>
      <c r="R351" s="540"/>
      <c r="S351" s="540"/>
      <c r="T351" s="539"/>
      <c r="U351" s="539"/>
      <c r="V351" s="539"/>
      <c r="W351" s="579"/>
      <c r="X351" s="542"/>
      <c r="Y351" s="542"/>
      <c r="Z351" s="542"/>
      <c r="AA351" s="542"/>
      <c r="AB351" s="542"/>
      <c r="AC351" s="541" t="str">
        <f t="shared" si="42"/>
        <v/>
      </c>
      <c r="AD351" s="541"/>
      <c r="AE351" s="541"/>
      <c r="AF351" s="539"/>
      <c r="AG351" s="538"/>
      <c r="AH351" s="539"/>
      <c r="AI351" s="539"/>
      <c r="AJ351" s="541"/>
      <c r="AK351" s="541"/>
      <c r="AL351" s="541"/>
      <c r="AM351" s="541"/>
      <c r="AN351" s="543"/>
      <c r="AO351" s="542"/>
      <c r="AP351" s="542"/>
      <c r="AQ351" s="542">
        <f>+FL_2($T$352,$T$348,$G$351,1200,9.28, 1*$F$352)</f>
        <v>-0.37027046792574697</v>
      </c>
      <c r="AR351" s="542"/>
      <c r="AS351" s="542"/>
      <c r="AT351" s="542"/>
      <c r="AU351" s="544"/>
      <c r="AV351" s="544"/>
      <c r="AW351" s="541" t="str">
        <f>IF(C351&gt;0,VLOOKUP(C351,Foundation_Calc!$A$2:$C$13,3,1),
IF(J351&gt;0,VLOOKUP(J351,Foundation_Calc!$A$2:$C$13,3,1),""))</f>
        <v/>
      </c>
      <c r="AX351" s="541" t="str">
        <f>IF(C351&gt;0,VLOOKUP(C351,Foundation_Calc!$E$35:$G$65,3,1),
IF(J351&gt;0,VLOOKUP(J351,Foundation_Calc!$E$35:$G$65,3,1),""))</f>
        <v/>
      </c>
      <c r="AY351" s="543" t="str">
        <f>IF(L351="","",
IF(AX351="PT",VLOOKUP(L351,Foundation_Calc!$K$79:$R$113,VLOOKUP(AW351,Foundation_Calc!$I$2:$J$8,2,FALSE),0),
IF(AX351="K",VLOOKUP(L351,Foundation_Calc!$K$117:$R$151,VLOOKUP(AW351,Foundation_Calc!$I$2:$J$8,2,FALSE),0),"")))</f>
        <v/>
      </c>
      <c r="AZ351" s="543" t="str">
        <f>IF(K351="","",
IF(AX351="PT",VLOOKUP(K351,Foundation_Calc!$K$79:$R$113,VLOOKUP(AW351,Foundation_Calc!$I$2:$J$8,2,FALSE),0),
IF(AX351="K",VLOOKUP(K351,Foundation_Calc!$K$117:$R$151,VLOOKUP(AW351,Foundation_Calc!$I$2:$J$8,2,FALSE),0),"")))</f>
        <v/>
      </c>
      <c r="BA351" s="550" t="str">
        <f t="shared" si="36"/>
        <v/>
      </c>
      <c r="BB351" s="550" t="str">
        <f t="shared" si="37"/>
        <v/>
      </c>
      <c r="BC351" s="550" t="str">
        <f t="shared" si="38"/>
        <v/>
      </c>
      <c r="BD351" s="516" t="str">
        <f>IF(AND(L351="",H351=""),"",
IF(H351="",Pole_Calc!A$9,
IF(H351="MP",Pole_Calc!A$10,
IF(H351="AnMP",Pole_Calc!A$11,
IF(H351="A",Pole_Calc!A$12,
IF(H351="S/A",Pole_Calc!A$13,
IF(H351="A/S",Pole_Calc!A$14,"Poner a mano")))))))</f>
        <v/>
      </c>
      <c r="BE351" s="429" t="s">
        <v>118</v>
      </c>
      <c r="BF351" s="290"/>
      <c r="BG351" s="290"/>
      <c r="BH351" s="290"/>
      <c r="BI351" s="290"/>
    </row>
    <row r="352" spans="1:61" ht="17.45" customHeight="1">
      <c r="A352" s="545"/>
      <c r="B352" s="450" t="s">
        <v>1115</v>
      </c>
      <c r="C352" s="3">
        <f>+$C$348+$G$351</f>
        <v>38631.650000000009</v>
      </c>
      <c r="D352" s="83"/>
      <c r="E352" s="4"/>
      <c r="F352" s="4">
        <v>8625.0720461111378</v>
      </c>
      <c r="G352" s="6"/>
      <c r="H352" s="449" t="s">
        <v>131</v>
      </c>
      <c r="I352" s="4"/>
      <c r="J352" s="3"/>
      <c r="K352" s="449"/>
      <c r="L352" s="449" t="s">
        <v>183</v>
      </c>
      <c r="M352" s="449" t="str">
        <f>IF(L352="","",
IF(AX352="PT",VLOOKUP(L352,Foundation_Calc!$V$79:$X$113,VLOOKUP(AX352,Foundation_Calc!$I$10:$J$13,2,FALSE),0),
IF(AX352="K",VLOOKUP(L352,Foundation_Calc!$V$117:$X$151,VLOOKUP(AX352,Foundation_Calc!$I$10:$J$13,2,FALSE),0),"")))</f>
        <v>2C3R</v>
      </c>
      <c r="N352" s="449" t="s">
        <v>124</v>
      </c>
      <c r="O352" s="449" t="s">
        <v>133</v>
      </c>
      <c r="P352" s="449"/>
      <c r="Q352" s="4"/>
      <c r="R352" s="6"/>
      <c r="S352" s="6"/>
      <c r="T352" s="4">
        <v>-35</v>
      </c>
      <c r="U352" s="4">
        <v>-55</v>
      </c>
      <c r="V352" s="4"/>
      <c r="W352" s="9">
        <v>1.4</v>
      </c>
      <c r="X352" s="9">
        <v>2.2999999999999998</v>
      </c>
      <c r="Y352" s="9"/>
      <c r="Z352" s="9"/>
      <c r="AA352" s="9">
        <v>0.55000000000000004</v>
      </c>
      <c r="AB352" s="9"/>
      <c r="AC352" s="449" t="str">
        <f t="shared" si="42"/>
        <v>PH</v>
      </c>
      <c r="AD352" s="449"/>
      <c r="AE352" s="449"/>
      <c r="AF352" s="4"/>
      <c r="AG352" s="83"/>
      <c r="AH352" s="4"/>
      <c r="AI352" s="4"/>
      <c r="AJ352" s="449"/>
      <c r="AK352" s="449"/>
      <c r="AL352" s="449"/>
      <c r="AM352" s="449" t="s">
        <v>126</v>
      </c>
      <c r="AN352" s="10">
        <v>5.5</v>
      </c>
      <c r="AO352" s="9"/>
      <c r="AP352" s="9"/>
      <c r="AQ352" s="9"/>
      <c r="AR352" s="9"/>
      <c r="AS352" s="9"/>
      <c r="AT352" s="9">
        <f>+ab($T$352,$T$348,$T$354,$G$351,$G$353, 1*$F$352,1200)</f>
        <v>-8.1886622025635152</v>
      </c>
      <c r="AU352" s="428"/>
      <c r="AV352" s="428"/>
      <c r="AW352" s="449" t="str">
        <f>IF(C352&gt;0,VLOOKUP(C352,Foundation_Calc!$A$2:$C$13,3,1),
IF(J352&gt;0,VLOOKUP(J352,Foundation_Calc!$A$2:$C$13,3,1),""))</f>
        <v>Multi Soil</v>
      </c>
      <c r="AX352" s="449" t="str">
        <f>IF(C352&gt;0,VLOOKUP(C352,Foundation_Calc!$E$35:$G$65,3,1),
IF(J352&gt;0,VLOOKUP(J352,Foundation_Calc!$E$35:$G$65,3,1),""))</f>
        <v>PT</v>
      </c>
      <c r="AY352" s="10">
        <f>IF(L352="","",
IF(AX352="PT",VLOOKUP(L352,Foundation_Calc!$K$79:$R$113,VLOOKUP(AW352,Foundation_Calc!$I$2:$J$8,2,FALSE),0),
IF(AX352="K",VLOOKUP(L352,Foundation_Calc!$K$117:$R$151,VLOOKUP(AW352,Foundation_Calc!$I$2:$J$8,2,FALSE),0),"")))</f>
        <v>3.7</v>
      </c>
      <c r="AZ352" s="10" t="str">
        <f>IF(K352="","",
IF(AX352="PT",VLOOKUP(K352,Foundation_Calc!$K$79:$R$113,VLOOKUP(AW352,Foundation_Calc!$I$2:$J$8,2,FALSE),0),
IF(AX352="K",VLOOKUP(K352,Foundation_Calc!$K$117:$R$151,VLOOKUP(AW352,Foundation_Calc!$I$2:$J$8,2,FALSE),0),"")))</f>
        <v/>
      </c>
      <c r="BA352" s="495" t="str">
        <f t="shared" si="36"/>
        <v>ü</v>
      </c>
      <c r="BB352" s="495" t="str">
        <f t="shared" si="37"/>
        <v/>
      </c>
      <c r="BC352" s="495" t="str">
        <f t="shared" si="38"/>
        <v/>
      </c>
      <c r="BD352" s="513" t="str">
        <f>IF(AND(L352="",H352=""),"",
IF(H352="",Pole_Calc!A$9,
IF(H352="MP",Pole_Calc!A$10,
IF(H352="AnMP",Pole_Calc!A$11,
IF(H352="A",Pole_Calc!A$12,
IF(H352="S/A",Pole_Calc!A$13,
IF(H352="A/S",Pole_Calc!A$14,"Poner a mano")))))))</f>
        <v>App.7-V11I-P9.5.1.5</v>
      </c>
      <c r="BE352" s="429" t="s">
        <v>118</v>
      </c>
      <c r="BF352" s="289"/>
      <c r="BG352" s="289"/>
      <c r="BH352" s="290"/>
      <c r="BI352" s="289"/>
    </row>
    <row r="353" spans="1:61" ht="17.45" customHeight="1">
      <c r="A353" s="545"/>
      <c r="B353" s="450"/>
      <c r="C353" s="3"/>
      <c r="D353" s="83"/>
      <c r="E353" s="4"/>
      <c r="F353" s="4"/>
      <c r="G353" s="6">
        <v>47</v>
      </c>
      <c r="H353" s="449"/>
      <c r="I353" s="4"/>
      <c r="J353" s="3"/>
      <c r="K353" s="449"/>
      <c r="L353" s="449"/>
      <c r="M353" s="449" t="str">
        <f>IF(L353="","",
IF(AX353="PT",VLOOKUP(L353,Foundation_Calc!$V$79:$X$113,VLOOKUP(AX353,Foundation_Calc!$I$10:$J$13,2,FALSE),0),
IF(AX353="K",VLOOKUP(L353,Foundation_Calc!$V$117:$X$151,VLOOKUP(AX353,Foundation_Calc!$I$10:$J$13,2,FALSE),0),"")))</f>
        <v/>
      </c>
      <c r="N353" s="449"/>
      <c r="O353" s="449"/>
      <c r="P353" s="449"/>
      <c r="Q353" s="4"/>
      <c r="R353" s="6"/>
      <c r="S353" s="6"/>
      <c r="T353" s="4"/>
      <c r="U353" s="4"/>
      <c r="V353" s="4"/>
      <c r="W353" s="572"/>
      <c r="X353" s="9"/>
      <c r="Y353" s="9"/>
      <c r="Z353" s="9"/>
      <c r="AA353" s="9"/>
      <c r="AB353" s="9"/>
      <c r="AC353" s="449" t="str">
        <f t="shared" si="42"/>
        <v/>
      </c>
      <c r="AD353" s="449"/>
      <c r="AE353" s="449"/>
      <c r="AF353" s="4"/>
      <c r="AG353" s="83"/>
      <c r="AH353" s="4"/>
      <c r="AI353" s="4"/>
      <c r="AJ353" s="449"/>
      <c r="AK353" s="449"/>
      <c r="AL353" s="449"/>
      <c r="AM353" s="449"/>
      <c r="AN353" s="10"/>
      <c r="AO353" s="9"/>
      <c r="AP353" s="9"/>
      <c r="AQ353" s="9">
        <f>+FL_2($T$354,$T$352,$G$353,1200,9.28, 1*$F$354)</f>
        <v>-0.45668493493408424</v>
      </c>
      <c r="AR353" s="9"/>
      <c r="AS353" s="9"/>
      <c r="AT353" s="9"/>
      <c r="AU353" s="428"/>
      <c r="AV353" s="428"/>
      <c r="AW353" s="449" t="str">
        <f>IF(C353&gt;0,VLOOKUP(C353,Foundation_Calc!$A$2:$C$13,3,1),
IF(J353&gt;0,VLOOKUP(J353,Foundation_Calc!$A$2:$C$13,3,1),""))</f>
        <v/>
      </c>
      <c r="AX353" s="449" t="str">
        <f>IF(C353&gt;0,VLOOKUP(C353,Foundation_Calc!$E$35:$G$65,3,1),
IF(J353&gt;0,VLOOKUP(J353,Foundation_Calc!$E$35:$G$65,3,1),""))</f>
        <v/>
      </c>
      <c r="AY353" s="10" t="str">
        <f>IF(L353="","",
IF(AX353="PT",VLOOKUP(L353,Foundation_Calc!$K$79:$R$113,VLOOKUP(AW353,Foundation_Calc!$I$2:$J$8,2,FALSE),0),
IF(AX353="K",VLOOKUP(L353,Foundation_Calc!$K$117:$R$151,VLOOKUP(AW353,Foundation_Calc!$I$2:$J$8,2,FALSE),0),"")))</f>
        <v/>
      </c>
      <c r="AZ353" s="10" t="str">
        <f>IF(K353="","",
IF(AX353="PT",VLOOKUP(K353,Foundation_Calc!$K$79:$R$113,VLOOKUP(AW353,Foundation_Calc!$I$2:$J$8,2,FALSE),0),
IF(AX353="K",VLOOKUP(K353,Foundation_Calc!$K$117:$R$151,VLOOKUP(AW353,Foundation_Calc!$I$2:$J$8,2,FALSE),0),"")))</f>
        <v/>
      </c>
      <c r="BA353" s="495" t="str">
        <f t="shared" si="36"/>
        <v/>
      </c>
      <c r="BB353" s="495" t="str">
        <f t="shared" si="37"/>
        <v/>
      </c>
      <c r="BC353" s="495" t="str">
        <f t="shared" si="38"/>
        <v/>
      </c>
      <c r="BD353" s="513" t="str">
        <f>IF(AND(L353="",H353=""),"",
IF(H353="",Pole_Calc!A$9,
IF(H353="MP",Pole_Calc!A$10,
IF(H353="AnMP",Pole_Calc!A$11,
IF(H353="A",Pole_Calc!A$12,
IF(H353="S/A",Pole_Calc!A$13,
IF(H353="A/S",Pole_Calc!A$14,"Poner a mano")))))))</f>
        <v/>
      </c>
      <c r="BE353" s="429" t="s">
        <v>118</v>
      </c>
      <c r="BF353" s="290"/>
      <c r="BG353" s="290"/>
      <c r="BH353" s="290"/>
      <c r="BI353" s="290"/>
    </row>
    <row r="354" spans="1:61" ht="17.45" customHeight="1">
      <c r="A354" s="514" t="s">
        <v>367</v>
      </c>
      <c r="B354" s="450" t="s">
        <v>1116</v>
      </c>
      <c r="C354" s="3">
        <f>+$C$352+$G$353+1.71</f>
        <v>38680.360000000008</v>
      </c>
      <c r="D354" s="83"/>
      <c r="E354" s="4"/>
      <c r="F354" s="4">
        <v>1912.7017095383717</v>
      </c>
      <c r="G354" s="6"/>
      <c r="H354" s="449" t="s">
        <v>121</v>
      </c>
      <c r="I354" s="4" t="s">
        <v>122</v>
      </c>
      <c r="J354" s="3"/>
      <c r="K354" s="449"/>
      <c r="L354" s="449" t="s">
        <v>181</v>
      </c>
      <c r="M354" s="449" t="str">
        <f>IF(L354="","",
IF(AX354="PT",VLOOKUP(L354,Foundation_Calc!$V$79:$X$113,VLOOKUP(AX354,Foundation_Calc!$I$10:$J$13,2,FALSE),0),
IF(AX354="K",VLOOKUP(L354,Foundation_Calc!$V$117:$X$151,VLOOKUP(AX354,Foundation_Calc!$I$10:$J$13,2,FALSE),0),"")))</f>
        <v>C5R</v>
      </c>
      <c r="N354" s="449" t="s">
        <v>134</v>
      </c>
      <c r="O354" s="449"/>
      <c r="P354" s="449"/>
      <c r="Q354" s="4"/>
      <c r="R354" s="6"/>
      <c r="S354" s="6"/>
      <c r="T354" s="4">
        <v>30</v>
      </c>
      <c r="U354" s="4"/>
      <c r="V354" s="4"/>
      <c r="W354" s="9">
        <v>1.4</v>
      </c>
      <c r="X354" s="9"/>
      <c r="Y354" s="9"/>
      <c r="Z354" s="9"/>
      <c r="AA354" s="9"/>
      <c r="AB354" s="9"/>
      <c r="AC354" s="449" t="str">
        <f t="shared" si="42"/>
        <v>PHQ</v>
      </c>
      <c r="AD354" s="449"/>
      <c r="AE354" s="449"/>
      <c r="AF354" s="4"/>
      <c r="AG354" s="83"/>
      <c r="AH354" s="4"/>
      <c r="AI354" s="4"/>
      <c r="AJ354" s="449"/>
      <c r="AK354" s="449"/>
      <c r="AL354" s="449"/>
      <c r="AM354" s="449" t="s">
        <v>126</v>
      </c>
      <c r="AN354" s="10">
        <v>5.5</v>
      </c>
      <c r="AO354" s="9"/>
      <c r="AP354" s="9"/>
      <c r="AQ354" s="9"/>
      <c r="AR354" s="9"/>
      <c r="AS354" s="9"/>
      <c r="AT354" s="9">
        <f>+ab($T$354,$T$352,$T$356,$G$353,$G$355, 1*$F$354,1200)</f>
        <v>5.0527269088133835</v>
      </c>
      <c r="AU354" s="428"/>
      <c r="AV354" s="428"/>
      <c r="AW354" s="449" t="str">
        <f>IF(C354&gt;0,VLOOKUP(C354,Foundation_Calc!$A$2:$C$13,3,1),
IF(J354&gt;0,VLOOKUP(J354,Foundation_Calc!$A$2:$C$13,3,1),""))</f>
        <v>Multi Soil</v>
      </c>
      <c r="AX354" s="449" t="str">
        <f>IF(C354&gt;0,VLOOKUP(C354,Foundation_Calc!$E$35:$G$65,3,1),
IF(J354&gt;0,VLOOKUP(J354,Foundation_Calc!$E$35:$G$65,3,1),""))</f>
        <v>PT</v>
      </c>
      <c r="AY354" s="10">
        <f>IF(L354="","",
IF(AX354="PT",VLOOKUP(L354,Foundation_Calc!$K$79:$R$113,VLOOKUP(AW354,Foundation_Calc!$I$2:$J$8,2,FALSE),0),
IF(AX354="K",VLOOKUP(L354,Foundation_Calc!$K$117:$R$151,VLOOKUP(AW354,Foundation_Calc!$I$2:$J$8,2,FALSE),0),"")))</f>
        <v>3.5</v>
      </c>
      <c r="AZ354" s="10" t="str">
        <f>IF(K354="","",
IF(AX354="PT",VLOOKUP(K354,Foundation_Calc!$K$79:$R$113,VLOOKUP(AW354,Foundation_Calc!$I$2:$J$8,2,FALSE),0),
IF(AX354="K",VLOOKUP(K354,Foundation_Calc!$K$117:$R$151,VLOOKUP(AW354,Foundation_Calc!$I$2:$J$8,2,FALSE),0),"")))</f>
        <v/>
      </c>
      <c r="BA354" s="495" t="str">
        <f t="shared" si="36"/>
        <v>ü</v>
      </c>
      <c r="BB354" s="495" t="str">
        <f t="shared" si="37"/>
        <v/>
      </c>
      <c r="BC354" s="495" t="str">
        <f t="shared" si="38"/>
        <v/>
      </c>
      <c r="BD354" s="513" t="str">
        <f>IF(AND(L354="",H354=""),"",
IF(H354="",Pole_Calc!A$9,
IF(H354="MP",Pole_Calc!A$10,
IF(H354="AnMP",Pole_Calc!A$11,
IF(H354="A",Pole_Calc!A$12,
IF(H354="S/A",Pole_Calc!A$13,
IF(H354="A/S",Pole_Calc!A$14,"Poner a mano")))))))</f>
        <v>App.7-V11I-P9.5.1.6</v>
      </c>
      <c r="BE354" s="429" t="s">
        <v>118</v>
      </c>
      <c r="BF354" s="289"/>
      <c r="BG354" s="289"/>
      <c r="BH354" s="290"/>
      <c r="BI354" s="289"/>
    </row>
    <row r="355" spans="1:61" ht="17.45" customHeight="1">
      <c r="A355" s="514" t="s">
        <v>366</v>
      </c>
      <c r="B355" s="450"/>
      <c r="C355" s="3"/>
      <c r="D355" s="83"/>
      <c r="E355" s="4"/>
      <c r="F355" s="4"/>
      <c r="G355" s="6">
        <v>45</v>
      </c>
      <c r="H355" s="448"/>
      <c r="I355" s="4"/>
      <c r="J355" s="3">
        <f>C354+7.5</f>
        <v>38687.860000000008</v>
      </c>
      <c r="K355" s="449" t="s">
        <v>117</v>
      </c>
      <c r="L355" s="449"/>
      <c r="M355" s="449" t="str">
        <f>IF(L355="","",
IF(AX355="PT",VLOOKUP(L355,Foundation_Calc!$V$79:$X$113,VLOOKUP(AX355,Foundation_Calc!$I$10:$J$13,2,FALSE),0),
IF(AX355="K",VLOOKUP(L355,Foundation_Calc!$V$117:$X$151,VLOOKUP(AX355,Foundation_Calc!$I$10:$J$13,2,FALSE),0),"")))</f>
        <v/>
      </c>
      <c r="N355" s="449"/>
      <c r="O355" s="449"/>
      <c r="P355" s="449"/>
      <c r="Q355" s="4"/>
      <c r="R355" s="6"/>
      <c r="S355" s="6"/>
      <c r="T355" s="4"/>
      <c r="U355" s="4"/>
      <c r="V355" s="4"/>
      <c r="W355" s="9"/>
      <c r="X355" s="9"/>
      <c r="Y355" s="9"/>
      <c r="Z355" s="9"/>
      <c r="AA355" s="9"/>
      <c r="AB355" s="9"/>
      <c r="AC355" s="449" t="str">
        <f t="shared" si="42"/>
        <v/>
      </c>
      <c r="AD355" s="449"/>
      <c r="AE355" s="449"/>
      <c r="AF355" s="4"/>
      <c r="AG355" s="83"/>
      <c r="AH355" s="4"/>
      <c r="AI355" s="4"/>
      <c r="AJ355" s="449"/>
      <c r="AK355" s="449"/>
      <c r="AL355" s="449"/>
      <c r="AM355" s="449"/>
      <c r="AN355" s="10"/>
      <c r="AO355" s="9"/>
      <c r="AP355" s="9"/>
      <c r="AQ355" s="9">
        <f>+FL_1($T$356,$T$354,$G$355,1200,9.28, 1*$F$356)</f>
        <v>0.30002821606365138</v>
      </c>
      <c r="AR355" s="9"/>
      <c r="AS355" s="9"/>
      <c r="AT355" s="9"/>
      <c r="AU355" s="428"/>
      <c r="AV355" s="428"/>
      <c r="AW355" s="449" t="str">
        <f>IF(C355&gt;0,VLOOKUP(C355,Foundation_Calc!$A$2:$C$13,3,1),
IF(J355&gt;0,VLOOKUP(J355,Foundation_Calc!$A$2:$C$13,3,1),""))</f>
        <v>Multi Soil</v>
      </c>
      <c r="AX355" s="449" t="str">
        <f>IF(C355&gt;0,VLOOKUP(C355,Foundation_Calc!$E$35:$G$65,3,1),
IF(J355&gt;0,VLOOKUP(J355,Foundation_Calc!$E$35:$G$65,3,1),""))</f>
        <v>PT</v>
      </c>
      <c r="AY355" s="10" t="str">
        <f>IF(L355="","",
IF(AX355="PT",VLOOKUP(L355,Foundation_Calc!$K$79:$R$113,VLOOKUP(AW355,Foundation_Calc!$I$2:$J$8,2,FALSE),0),
IF(AX355="K",VLOOKUP(L355,Foundation_Calc!$K$117:$R$151,VLOOKUP(AW355,Foundation_Calc!$I$2:$J$8,2,FALSE),0),"")))</f>
        <v/>
      </c>
      <c r="AZ355" s="10">
        <f>IF(K355="","",
IF(AX355="PT",VLOOKUP(K355,Foundation_Calc!$K$79:$R$113,VLOOKUP(AW355,Foundation_Calc!$I$2:$J$8,2,FALSE),0),
IF(AX355="K",VLOOKUP(K355,Foundation_Calc!$K$117:$R$151,VLOOKUP(AW355,Foundation_Calc!$I$2:$J$8,2,FALSE),0),"")))</f>
        <v>3.9</v>
      </c>
      <c r="BA355" s="495" t="str">
        <f t="shared" si="36"/>
        <v/>
      </c>
      <c r="BB355" s="495" t="str">
        <f t="shared" si="37"/>
        <v>ü</v>
      </c>
      <c r="BC355" s="495" t="str">
        <f t="shared" si="38"/>
        <v/>
      </c>
      <c r="BD355" s="513" t="str">
        <f>IF(AND(L355="",H355=""),"",
IF(H355="",Pole_Calc!A$9,
IF(H355="MP",Pole_Calc!A$10,
IF(H355="AnMP",Pole_Calc!A$11,
IF(H355="A",Pole_Calc!A$12,
IF(H355="S/A",Pole_Calc!A$13,
IF(H355="A/S",Pole_Calc!A$14,"Poner a mano")))))))</f>
        <v/>
      </c>
      <c r="BE355" s="429" t="s">
        <v>118</v>
      </c>
      <c r="BF355" s="290"/>
      <c r="BG355" s="290"/>
      <c r="BH355" s="290"/>
      <c r="BI355" s="290"/>
    </row>
    <row r="356" spans="1:61" ht="17.45" customHeight="1">
      <c r="A356" s="545"/>
      <c r="B356" s="450" t="s">
        <v>1117</v>
      </c>
      <c r="C356" s="3">
        <f>+$C$354+$G$355</f>
        <v>38725.360000000008</v>
      </c>
      <c r="D356" s="83"/>
      <c r="E356" s="4"/>
      <c r="F356" s="4">
        <v>1112.7056417883064</v>
      </c>
      <c r="G356" s="6"/>
      <c r="H356" s="449"/>
      <c r="I356" s="4"/>
      <c r="J356" s="3"/>
      <c r="K356" s="449"/>
      <c r="L356" s="449" t="s">
        <v>158</v>
      </c>
      <c r="M356" s="449" t="str">
        <f>IF(L356="","",
IF(AX356="PT",VLOOKUP(L356,Foundation_Calc!$V$79:$X$113,VLOOKUP(AX356,Foundation_Calc!$I$10:$J$13,2,FALSE),0),
IF(AX356="K",VLOOKUP(L356,Foundation_Calc!$V$117:$X$151,VLOOKUP(AX356,Foundation_Calc!$I$10:$J$13,2,FALSE),0),"")))</f>
        <v>C4R</v>
      </c>
      <c r="N356" s="449" t="s">
        <v>134</v>
      </c>
      <c r="O356" s="449"/>
      <c r="P356" s="449"/>
      <c r="Q356" s="4"/>
      <c r="R356" s="6"/>
      <c r="S356" s="6"/>
      <c r="T356" s="4">
        <v>30</v>
      </c>
      <c r="U356" s="4"/>
      <c r="V356" s="4"/>
      <c r="W356" s="9">
        <v>1.4</v>
      </c>
      <c r="X356" s="9"/>
      <c r="Y356" s="9"/>
      <c r="Z356" s="9"/>
      <c r="AA356" s="9"/>
      <c r="AB356" s="9"/>
      <c r="AC356" s="449" t="str">
        <f t="shared" si="42"/>
        <v>PHC</v>
      </c>
      <c r="AD356" s="449"/>
      <c r="AE356" s="449"/>
      <c r="AF356" s="4"/>
      <c r="AG356" s="83"/>
      <c r="AH356" s="4"/>
      <c r="AI356" s="4"/>
      <c r="AJ356" s="449"/>
      <c r="AK356" s="449"/>
      <c r="AL356" s="449"/>
      <c r="AM356" s="449" t="s">
        <v>126</v>
      </c>
      <c r="AN356" s="10">
        <v>5.5</v>
      </c>
      <c r="AO356" s="9"/>
      <c r="AP356" s="9"/>
      <c r="AQ356" s="9"/>
      <c r="AR356" s="9"/>
      <c r="AS356" s="9"/>
      <c r="AT356" s="9">
        <f>+ab($T$356,$T$354,$T$358,$G$355,$G$357, 1*$F$356,1200)</f>
        <v>4.5820359072768131</v>
      </c>
      <c r="AU356" s="428"/>
      <c r="AV356" s="428"/>
      <c r="AW356" s="449" t="str">
        <f>IF(C356&gt;0,VLOOKUP(C356,Foundation_Calc!$A$2:$C$13,3,1),
IF(J356&gt;0,VLOOKUP(J356,Foundation_Calc!$A$2:$C$13,3,1),""))</f>
        <v>Multi Soil</v>
      </c>
      <c r="AX356" s="449" t="str">
        <f>IF(C356&gt;0,VLOOKUP(C356,Foundation_Calc!$E$35:$G$65,3,1),
IF(J356&gt;0,VLOOKUP(J356,Foundation_Calc!$E$35:$G$65,3,1),""))</f>
        <v>PT</v>
      </c>
      <c r="AY356" s="10">
        <f>IF(L356="","",
IF(AX356="PT",VLOOKUP(L356,Foundation_Calc!$K$79:$R$113,VLOOKUP(AW356,Foundation_Calc!$I$2:$J$8,2,FALSE),0),
IF(AX356="K",VLOOKUP(L356,Foundation_Calc!$K$117:$R$151,VLOOKUP(AW356,Foundation_Calc!$I$2:$J$8,2,FALSE),0),"")))</f>
        <v>3.5</v>
      </c>
      <c r="AZ356" s="10" t="str">
        <f>IF(K356="","",
IF(AX356="PT",VLOOKUP(K356,Foundation_Calc!$K$79:$R$113,VLOOKUP(AW356,Foundation_Calc!$I$2:$J$8,2,FALSE),0),
IF(AX356="K",VLOOKUP(K356,Foundation_Calc!$K$117:$R$151,VLOOKUP(AW356,Foundation_Calc!$I$2:$J$8,2,FALSE),0),"")))</f>
        <v/>
      </c>
      <c r="BA356" s="495" t="str">
        <f t="shared" si="36"/>
        <v>ü</v>
      </c>
      <c r="BB356" s="495" t="str">
        <f t="shared" si="37"/>
        <v/>
      </c>
      <c r="BC356" s="495" t="str">
        <f t="shared" si="38"/>
        <v/>
      </c>
      <c r="BD356" s="513" t="str">
        <f>IF(AND(L356="",H356=""),"",
IF(H356="",Pole_Calc!A$9,
IF(H356="MP",Pole_Calc!A$10,
IF(H356="AnMP",Pole_Calc!A$11,
IF(H356="A",Pole_Calc!A$12,
IF(H356="S/A",Pole_Calc!A$13,
IF(H356="A/S",Pole_Calc!A$14,"Poner a mano")))))))</f>
        <v>App.7-V11I-P9.5.1.1</v>
      </c>
      <c r="BE356" s="429" t="s">
        <v>118</v>
      </c>
      <c r="BF356" s="289"/>
      <c r="BG356" s="289"/>
      <c r="BH356" s="290"/>
      <c r="BI356" s="289"/>
    </row>
    <row r="357" spans="1:61" ht="17.45" customHeight="1">
      <c r="A357" s="545"/>
      <c r="B357" s="450"/>
      <c r="C357" s="3"/>
      <c r="D357" s="83"/>
      <c r="E357" s="4"/>
      <c r="F357" s="4"/>
      <c r="G357" s="6">
        <v>48</v>
      </c>
      <c r="H357" s="449"/>
      <c r="I357" s="4"/>
      <c r="J357" s="3"/>
      <c r="K357" s="449"/>
      <c r="L357" s="449"/>
      <c r="M357" s="449" t="str">
        <f>IF(L357="","",
IF(AX357="PT",VLOOKUP(L357,Foundation_Calc!$V$79:$X$113,VLOOKUP(AX357,Foundation_Calc!$I$10:$J$13,2,FALSE),0),
IF(AX357="K",VLOOKUP(L357,Foundation_Calc!$V$117:$X$151,VLOOKUP(AX357,Foundation_Calc!$I$10:$J$13,2,FALSE),0),"")))</f>
        <v/>
      </c>
      <c r="N357" s="449"/>
      <c r="O357" s="449"/>
      <c r="P357" s="449"/>
      <c r="Q357" s="4"/>
      <c r="R357" s="6"/>
      <c r="S357" s="6"/>
      <c r="T357" s="4"/>
      <c r="U357" s="4"/>
      <c r="V357" s="4"/>
      <c r="W357" s="9"/>
      <c r="X357" s="9"/>
      <c r="Y357" s="9"/>
      <c r="Z357" s="9"/>
      <c r="AA357" s="9"/>
      <c r="AB357" s="9"/>
      <c r="AC357" s="449" t="str">
        <f t="shared" si="42"/>
        <v/>
      </c>
      <c r="AD357" s="449"/>
      <c r="AE357" s="449"/>
      <c r="AF357" s="4"/>
      <c r="AG357" s="83"/>
      <c r="AH357" s="4"/>
      <c r="AI357" s="4"/>
      <c r="AJ357" s="449"/>
      <c r="AK357" s="449"/>
      <c r="AL357" s="449"/>
      <c r="AM357" s="449"/>
      <c r="AN357" s="10"/>
      <c r="AO357" s="9"/>
      <c r="AP357" s="9"/>
      <c r="AQ357" s="9">
        <f>+FL_1($T$358,$T$356,$G$357,1200,9.28, 1*$F$358)</f>
        <v>0.30005441130447724</v>
      </c>
      <c r="AR357" s="9"/>
      <c r="AS357" s="9"/>
      <c r="AT357" s="9"/>
      <c r="AU357" s="428"/>
      <c r="AV357" s="428"/>
      <c r="AW357" s="449" t="str">
        <f>IF(C357&gt;0,VLOOKUP(C357,Foundation_Calc!$A$2:$C$13,3,1),
IF(J357&gt;0,VLOOKUP(J357,Foundation_Calc!$A$2:$C$13,3,1),""))</f>
        <v/>
      </c>
      <c r="AX357" s="449" t="str">
        <f>IF(C357&gt;0,VLOOKUP(C357,Foundation_Calc!$E$35:$G$65,3,1),
IF(J357&gt;0,VLOOKUP(J357,Foundation_Calc!$E$35:$G$65,3,1),""))</f>
        <v/>
      </c>
      <c r="AY357" s="10" t="str">
        <f>IF(L357="","",
IF(AX357="PT",VLOOKUP(L357,Foundation_Calc!$K$79:$R$113,VLOOKUP(AW357,Foundation_Calc!$I$2:$J$8,2,FALSE),0),
IF(AX357="K",VLOOKUP(L357,Foundation_Calc!$K$117:$R$151,VLOOKUP(AW357,Foundation_Calc!$I$2:$J$8,2,FALSE),0),"")))</f>
        <v/>
      </c>
      <c r="AZ357" s="10" t="str">
        <f>IF(K357="","",
IF(AX357="PT",VLOOKUP(K357,Foundation_Calc!$K$79:$R$113,VLOOKUP(AW357,Foundation_Calc!$I$2:$J$8,2,FALSE),0),
IF(AX357="K",VLOOKUP(K357,Foundation_Calc!$K$117:$R$151,VLOOKUP(AW357,Foundation_Calc!$I$2:$J$8,2,FALSE),0),"")))</f>
        <v/>
      </c>
      <c r="BA357" s="495" t="str">
        <f t="shared" si="36"/>
        <v/>
      </c>
      <c r="BB357" s="495" t="str">
        <f t="shared" si="37"/>
        <v/>
      </c>
      <c r="BC357" s="495" t="str">
        <f t="shared" si="38"/>
        <v/>
      </c>
      <c r="BD357" s="513" t="str">
        <f>IF(AND(L357="",H357=""),"",
IF(H357="",Pole_Calc!A$9,
IF(H357="MP",Pole_Calc!A$10,
IF(H357="AnMP",Pole_Calc!A$11,
IF(H357="A",Pole_Calc!A$12,
IF(H357="S/A",Pole_Calc!A$13,
IF(H357="A/S",Pole_Calc!A$14,"Poner a mano")))))))</f>
        <v/>
      </c>
      <c r="BE357" s="429" t="s">
        <v>118</v>
      </c>
      <c r="BF357" s="290"/>
      <c r="BG357" s="290"/>
      <c r="BH357" s="290"/>
      <c r="BI357" s="290"/>
    </row>
    <row r="358" spans="1:61" ht="17.45" customHeight="1">
      <c r="A358" s="545"/>
      <c r="B358" s="450" t="s">
        <v>1118</v>
      </c>
      <c r="C358" s="3">
        <f>+$C$356+$G$357</f>
        <v>38773.360000000008</v>
      </c>
      <c r="D358" s="83"/>
      <c r="E358" s="4"/>
      <c r="F358" s="4">
        <v>1000</v>
      </c>
      <c r="G358" s="6"/>
      <c r="H358" s="449"/>
      <c r="I358" s="4"/>
      <c r="J358" s="3"/>
      <c r="K358" s="449"/>
      <c r="L358" s="449" t="s">
        <v>158</v>
      </c>
      <c r="M358" s="449" t="str">
        <f>IF(L358="","",
IF(AX358="PT",VLOOKUP(L358,Foundation_Calc!$V$79:$X$113,VLOOKUP(AX358,Foundation_Calc!$I$10:$J$13,2,FALSE),0),
IF(AX358="K",VLOOKUP(L358,Foundation_Calc!$V$117:$X$151,VLOOKUP(AX358,Foundation_Calc!$I$10:$J$13,2,FALSE),0),"")))</f>
        <v>C4R</v>
      </c>
      <c r="N358" s="449" t="s">
        <v>134</v>
      </c>
      <c r="O358" s="449"/>
      <c r="P358" s="449"/>
      <c r="Q358" s="4"/>
      <c r="R358" s="6"/>
      <c r="S358" s="6"/>
      <c r="T358" s="4">
        <v>30</v>
      </c>
      <c r="U358" s="4"/>
      <c r="V358" s="4"/>
      <c r="W358" s="9">
        <v>1.4</v>
      </c>
      <c r="X358" s="9"/>
      <c r="Y358" s="9"/>
      <c r="Z358" s="9"/>
      <c r="AA358" s="9"/>
      <c r="AB358" s="9"/>
      <c r="AC358" s="449" t="str">
        <f t="shared" si="42"/>
        <v>PHC</v>
      </c>
      <c r="AD358" s="449"/>
      <c r="AE358" s="449"/>
      <c r="AF358" s="4"/>
      <c r="AG358" s="83"/>
      <c r="AH358" s="4"/>
      <c r="AI358" s="4"/>
      <c r="AJ358" s="449"/>
      <c r="AK358" s="449"/>
      <c r="AL358" s="449"/>
      <c r="AM358" s="449" t="s">
        <v>126</v>
      </c>
      <c r="AN358" s="10">
        <v>5.5</v>
      </c>
      <c r="AO358" s="9"/>
      <c r="AP358" s="9"/>
      <c r="AQ358" s="9"/>
      <c r="AR358" s="9"/>
      <c r="AS358" s="9"/>
      <c r="AT358" s="9">
        <f>+ab($T$358,$T$356,$T$360,$G$357,$G$359, 1*$F$358,1200)</f>
        <v>3.9912951206966776</v>
      </c>
      <c r="AU358" s="428"/>
      <c r="AV358" s="428"/>
      <c r="AW358" s="449" t="str">
        <f>IF(C358&gt;0,VLOOKUP(C358,Foundation_Calc!$A$2:$C$13,3,1),
IF(J358&gt;0,VLOOKUP(J358,Foundation_Calc!$A$2:$C$13,3,1),""))</f>
        <v>Multi Soil</v>
      </c>
      <c r="AX358" s="449" t="str">
        <f>IF(C358&gt;0,VLOOKUP(C358,Foundation_Calc!$E$35:$G$65,3,1),
IF(J358&gt;0,VLOOKUP(J358,Foundation_Calc!$E$35:$G$65,3,1),""))</f>
        <v>PT</v>
      </c>
      <c r="AY358" s="10">
        <f>IF(L358="","",
IF(AX358="PT",VLOOKUP(L358,Foundation_Calc!$K$79:$R$113,VLOOKUP(AW358,Foundation_Calc!$I$2:$J$8,2,FALSE),0),
IF(AX358="K",VLOOKUP(L358,Foundation_Calc!$K$117:$R$151,VLOOKUP(AW358,Foundation_Calc!$I$2:$J$8,2,FALSE),0),"")))</f>
        <v>3.5</v>
      </c>
      <c r="AZ358" s="10" t="str">
        <f>IF(K358="","",
IF(AX358="PT",VLOOKUP(K358,Foundation_Calc!$K$79:$R$113,VLOOKUP(AW358,Foundation_Calc!$I$2:$J$8,2,FALSE),0),
IF(AX358="K",VLOOKUP(K358,Foundation_Calc!$K$117:$R$151,VLOOKUP(AW358,Foundation_Calc!$I$2:$J$8,2,FALSE),0),"")))</f>
        <v/>
      </c>
      <c r="BA358" s="495" t="str">
        <f t="shared" si="36"/>
        <v>ü</v>
      </c>
      <c r="BB358" s="495" t="str">
        <f t="shared" si="37"/>
        <v/>
      </c>
      <c r="BC358" s="495" t="str">
        <f t="shared" si="38"/>
        <v/>
      </c>
      <c r="BD358" s="513" t="str">
        <f>IF(AND(L358="",H358=""),"",
IF(H358="",Pole_Calc!A$9,
IF(H358="MP",Pole_Calc!A$10,
IF(H358="AnMP",Pole_Calc!A$11,
IF(H358="A",Pole_Calc!A$12,
IF(H358="S/A",Pole_Calc!A$13,
IF(H358="A/S",Pole_Calc!A$14,"Poner a mano")))))))</f>
        <v>App.7-V11I-P9.5.1.1</v>
      </c>
      <c r="BE358" s="429" t="s">
        <v>118</v>
      </c>
      <c r="BF358" s="289"/>
      <c r="BG358" s="289"/>
      <c r="BH358" s="290"/>
      <c r="BI358" s="289"/>
    </row>
    <row r="359" spans="1:61" ht="17.45" customHeight="1">
      <c r="A359" s="545"/>
      <c r="B359" s="450"/>
      <c r="C359" s="3"/>
      <c r="D359" s="83"/>
      <c r="E359" s="4"/>
      <c r="F359" s="4"/>
      <c r="G359" s="6">
        <v>48</v>
      </c>
      <c r="H359" s="449"/>
      <c r="I359" s="4"/>
      <c r="J359" s="3">
        <f>C360-7.5</f>
        <v>38813.860000000008</v>
      </c>
      <c r="K359" s="449" t="s">
        <v>166</v>
      </c>
      <c r="L359" s="449"/>
      <c r="M359" s="449" t="str">
        <f>IF(L359="","",
IF(AX359="PT",VLOOKUP(L359,Foundation_Calc!$V$79:$X$113,VLOOKUP(AX359,Foundation_Calc!$I$10:$J$13,2,FALSE),0),
IF(AX359="K",VLOOKUP(L359,Foundation_Calc!$V$117:$X$151,VLOOKUP(AX359,Foundation_Calc!$I$10:$J$13,2,FALSE),0),"")))</f>
        <v/>
      </c>
      <c r="N359" s="449"/>
      <c r="O359" s="449"/>
      <c r="P359" s="449"/>
      <c r="Q359" s="4"/>
      <c r="R359" s="6"/>
      <c r="S359" s="6"/>
      <c r="T359" s="4"/>
      <c r="U359" s="4"/>
      <c r="V359" s="4"/>
      <c r="W359" s="9"/>
      <c r="X359" s="9"/>
      <c r="Y359" s="9"/>
      <c r="Z359" s="9"/>
      <c r="AA359" s="9"/>
      <c r="AB359" s="9"/>
      <c r="AC359" s="449" t="str">
        <f t="shared" si="42"/>
        <v/>
      </c>
      <c r="AD359" s="449"/>
      <c r="AE359" s="449"/>
      <c r="AF359" s="4"/>
      <c r="AG359" s="83"/>
      <c r="AH359" s="4"/>
      <c r="AI359" s="4"/>
      <c r="AJ359" s="449"/>
      <c r="AK359" s="449"/>
      <c r="AL359" s="449"/>
      <c r="AM359" s="449"/>
      <c r="AN359" s="10"/>
      <c r="AO359" s="9"/>
      <c r="AP359" s="9"/>
      <c r="AQ359" s="9">
        <f>+FL_1($T$360,$T$358,$G$359,1200,9.28, 1*$F$360)</f>
        <v>0.30005441130447724</v>
      </c>
      <c r="AR359" s="9"/>
      <c r="AS359" s="9"/>
      <c r="AT359" s="9"/>
      <c r="AU359" s="428"/>
      <c r="AV359" s="428"/>
      <c r="AW359" s="449" t="str">
        <f>IF(C359&gt;0,VLOOKUP(C359,Foundation_Calc!$A$2:$C$13,3,1),
IF(J359&gt;0,VLOOKUP(J359,Foundation_Calc!$A$2:$C$13,3,1),""))</f>
        <v>Multi Soil</v>
      </c>
      <c r="AX359" s="449" t="str">
        <f>IF(C359&gt;0,VLOOKUP(C359,Foundation_Calc!$E$35:$G$65,3,1),
IF(J359&gt;0,VLOOKUP(J359,Foundation_Calc!$E$35:$G$65,3,1),""))</f>
        <v>PT</v>
      </c>
      <c r="AY359" s="10" t="str">
        <f>IF(L359="","",
IF(AX359="PT",VLOOKUP(L359,Foundation_Calc!$K$79:$R$113,VLOOKUP(AW359,Foundation_Calc!$I$2:$J$8,2,FALSE),0),
IF(AX359="K",VLOOKUP(L359,Foundation_Calc!$K$117:$R$151,VLOOKUP(AW359,Foundation_Calc!$I$2:$J$8,2,FALSE),0),"")))</f>
        <v/>
      </c>
      <c r="AZ359" s="10">
        <f>IF(K359="","",
IF(AX359="PT",VLOOKUP(K359,Foundation_Calc!$K$79:$R$113,VLOOKUP(AW359,Foundation_Calc!$I$2:$J$8,2,FALSE),0),
IF(AX359="K",VLOOKUP(K359,Foundation_Calc!$K$117:$R$151,VLOOKUP(AW359,Foundation_Calc!$I$2:$J$8,2,FALSE),0),"")))</f>
        <v>2.8</v>
      </c>
      <c r="BA359" s="495" t="str">
        <f t="shared" ref="BA359:BA405" si="43">IF(AY359="","",IF(AY359&gt;0,"ü",""))</f>
        <v/>
      </c>
      <c r="BB359" s="495" t="str">
        <f t="shared" ref="BB359:BB405" si="44">IF(AZ359="","",IF(AZ359&gt;0,"ü",""))</f>
        <v>ü</v>
      </c>
      <c r="BC359" s="495" t="str">
        <f t="shared" ref="BC359:BC405" si="45">IF(M359="","",IF(M359="U.S.","ü",IF(M359="U.S. N.D.","ü","")))</f>
        <v/>
      </c>
      <c r="BD359" s="513" t="str">
        <f>IF(AND(L359="",H359=""),"",
IF(H359="",Pole_Calc!A$9,
IF(H359="MP",Pole_Calc!A$10,
IF(H359="AnMP",Pole_Calc!A$11,
IF(H359="A",Pole_Calc!A$12,
IF(H359="S/A",Pole_Calc!A$13,
IF(H359="A/S",Pole_Calc!A$14,"Poner a mano")))))))</f>
        <v/>
      </c>
      <c r="BE359" s="429" t="s">
        <v>118</v>
      </c>
      <c r="BF359" s="290"/>
      <c r="BG359" s="290"/>
      <c r="BH359" s="290"/>
      <c r="BI359" s="290"/>
    </row>
    <row r="360" spans="1:61" ht="17.45" customHeight="1">
      <c r="A360" s="514"/>
      <c r="B360" s="450" t="s">
        <v>1119</v>
      </c>
      <c r="C360" s="3">
        <f>+$C$358+$G$359</f>
        <v>38821.360000000008</v>
      </c>
      <c r="D360" s="83"/>
      <c r="E360" s="4"/>
      <c r="F360" s="4">
        <v>1000</v>
      </c>
      <c r="G360" s="6"/>
      <c r="H360" s="449" t="s">
        <v>168</v>
      </c>
      <c r="I360" s="4">
        <f>SUM(G341:G361)-10</f>
        <v>424</v>
      </c>
      <c r="J360" s="3"/>
      <c r="K360" s="449"/>
      <c r="L360" s="449" t="s">
        <v>158</v>
      </c>
      <c r="M360" s="449" t="str">
        <f>IF(L360="","",
IF(AX360="PT",VLOOKUP(L360,Foundation_Calc!$V$79:$X$113,VLOOKUP(AX360,Foundation_Calc!$I$10:$J$13,2,FALSE),0),
IF(AX360="K",VLOOKUP(L360,Foundation_Calc!$V$117:$X$151,VLOOKUP(AX360,Foundation_Calc!$I$10:$J$13,2,FALSE),0),"")))</f>
        <v>C4R</v>
      </c>
      <c r="N360" s="449" t="s">
        <v>134</v>
      </c>
      <c r="O360" s="449"/>
      <c r="P360" s="449"/>
      <c r="Q360" s="4"/>
      <c r="R360" s="6"/>
      <c r="S360" s="6"/>
      <c r="T360" s="4">
        <v>30</v>
      </c>
      <c r="U360" s="4"/>
      <c r="V360" s="4"/>
      <c r="W360" s="9">
        <v>1.4</v>
      </c>
      <c r="X360" s="9"/>
      <c r="Y360" s="9"/>
      <c r="Z360" s="9"/>
      <c r="AA360" s="9"/>
      <c r="AB360" s="9"/>
      <c r="AC360" s="449" t="str">
        <f t="shared" si="42"/>
        <v>PHC</v>
      </c>
      <c r="AD360" s="449"/>
      <c r="AE360" s="449"/>
      <c r="AF360" s="4"/>
      <c r="AG360" s="83"/>
      <c r="AH360" s="4"/>
      <c r="AI360" s="4"/>
      <c r="AJ360" s="449"/>
      <c r="AK360" s="449"/>
      <c r="AL360" s="449"/>
      <c r="AM360" s="449" t="s">
        <v>126</v>
      </c>
      <c r="AN360" s="10">
        <v>5.5</v>
      </c>
      <c r="AO360" s="9"/>
      <c r="AP360" s="9"/>
      <c r="AQ360" s="9"/>
      <c r="AR360" s="9"/>
      <c r="AS360" s="9"/>
      <c r="AT360" s="9">
        <f>+ab($T$360,$T$358,$T$362,$G$359,$G$361, 1*$F$360,1200)</f>
        <v>3.9912951206966776</v>
      </c>
      <c r="AU360" s="428"/>
      <c r="AV360" s="428"/>
      <c r="AW360" s="449" t="str">
        <f>IF(C360&gt;0,VLOOKUP(C360,Foundation_Calc!$A$2:$C$13,3,1),
IF(J360&gt;0,VLOOKUP(J360,Foundation_Calc!$A$2:$C$13,3,1),""))</f>
        <v>Multi Soil</v>
      </c>
      <c r="AX360" s="449" t="str">
        <f>IF(C360&gt;0,VLOOKUP(C360,Foundation_Calc!$E$35:$G$65,3,1),
IF(J360&gt;0,VLOOKUP(J360,Foundation_Calc!$E$35:$G$65,3,1),""))</f>
        <v>PT</v>
      </c>
      <c r="AY360" s="10">
        <f>IF(L360="","",
IF(AX360="PT",VLOOKUP(L360,Foundation_Calc!$K$79:$R$113,VLOOKUP(AW360,Foundation_Calc!$I$2:$J$8,2,FALSE),0),
IF(AX360="K",VLOOKUP(L360,Foundation_Calc!$K$117:$R$151,VLOOKUP(AW360,Foundation_Calc!$I$2:$J$8,2,FALSE),0),"")))</f>
        <v>3.5</v>
      </c>
      <c r="AZ360" s="10" t="str">
        <f>IF(K360="","",
IF(AX360="PT",VLOOKUP(K360,Foundation_Calc!$K$79:$R$113,VLOOKUP(AW360,Foundation_Calc!$I$2:$J$8,2,FALSE),0),
IF(AX360="K",VLOOKUP(K360,Foundation_Calc!$K$117:$R$151,VLOOKUP(AW360,Foundation_Calc!$I$2:$J$8,2,FALSE),0),"")))</f>
        <v/>
      </c>
      <c r="BA360" s="495" t="str">
        <f t="shared" si="43"/>
        <v>ü</v>
      </c>
      <c r="BB360" s="495" t="str">
        <f t="shared" si="44"/>
        <v/>
      </c>
      <c r="BC360" s="495" t="str">
        <f t="shared" si="45"/>
        <v/>
      </c>
      <c r="BD360" s="513" t="str">
        <f>IF(AND(L360="",H360=""),"",
IF(H360="",Pole_Calc!A$9,
IF(H360="MP",Pole_Calc!A$10,
IF(H360="AnMP",Pole_Calc!A$11,
IF(H360="A",Pole_Calc!A$12,
IF(H360="S/A",Pole_Calc!A$13,
IF(H360="A/S",Pole_Calc!A$14,"Poner a mano")))))))</f>
        <v>App.7-V11I-P9.5.1.3</v>
      </c>
      <c r="BE360" s="429" t="s">
        <v>118</v>
      </c>
      <c r="BF360" s="289"/>
      <c r="BG360" s="289"/>
      <c r="BH360" s="290"/>
      <c r="BI360" s="289"/>
    </row>
    <row r="361" spans="1:61" ht="17.45" customHeight="1">
      <c r="A361" s="514"/>
      <c r="B361" s="450"/>
      <c r="C361" s="3"/>
      <c r="D361" s="83"/>
      <c r="E361" s="4"/>
      <c r="F361" s="4"/>
      <c r="G361" s="6">
        <v>48</v>
      </c>
      <c r="H361" s="449"/>
      <c r="I361" s="4" t="s">
        <v>195</v>
      </c>
      <c r="J361" s="3">
        <f>C362-7.5</f>
        <v>38861.860000000008</v>
      </c>
      <c r="K361" s="449" t="s">
        <v>166</v>
      </c>
      <c r="L361" s="449"/>
      <c r="M361" s="449" t="str">
        <f>IF(L361="","",
IF(AX361="PT",VLOOKUP(L361,Foundation_Calc!$V$79:$X$113,VLOOKUP(AX361,Foundation_Calc!$I$10:$J$13,2,FALSE),0),
IF(AX361="K",VLOOKUP(L361,Foundation_Calc!$V$117:$X$151,VLOOKUP(AX361,Foundation_Calc!$I$10:$J$13,2,FALSE),0),"")))</f>
        <v/>
      </c>
      <c r="N361" s="449"/>
      <c r="O361" s="449"/>
      <c r="P361" s="449"/>
      <c r="Q361" s="4"/>
      <c r="R361" s="6"/>
      <c r="S361" s="6"/>
      <c r="T361" s="4"/>
      <c r="U361" s="4"/>
      <c r="V361" s="4"/>
      <c r="W361" s="9"/>
      <c r="X361" s="9"/>
      <c r="Y361" s="9"/>
      <c r="Z361" s="9"/>
      <c r="AA361" s="9"/>
      <c r="AB361" s="9"/>
      <c r="AC361" s="449" t="str">
        <f t="shared" si="42"/>
        <v/>
      </c>
      <c r="AD361" s="449"/>
      <c r="AE361" s="449"/>
      <c r="AF361" s="4"/>
      <c r="AG361" s="83"/>
      <c r="AH361" s="4"/>
      <c r="AI361" s="4"/>
      <c r="AJ361" s="449"/>
      <c r="AK361" s="449"/>
      <c r="AL361" s="449"/>
      <c r="AM361" s="449"/>
      <c r="AN361" s="10"/>
      <c r="AO361" s="9"/>
      <c r="AP361" s="9"/>
      <c r="AQ361" s="9">
        <f>+FL_1($T$362,$T$360,$G$361,1200,9.28, 1*$F$362)</f>
        <v>0.30005441130447724</v>
      </c>
      <c r="AR361" s="9"/>
      <c r="AS361" s="9"/>
      <c r="AT361" s="9"/>
      <c r="AU361" s="428"/>
      <c r="AV361" s="428"/>
      <c r="AW361" s="449" t="str">
        <f>IF(C361&gt;0,VLOOKUP(C361,Foundation_Calc!$A$2:$C$13,3,1),
IF(J361&gt;0,VLOOKUP(J361,Foundation_Calc!$A$2:$C$13,3,1),""))</f>
        <v>Multi Soil</v>
      </c>
      <c r="AX361" s="449" t="str">
        <f>IF(C361&gt;0,VLOOKUP(C361,Foundation_Calc!$E$35:$G$65,3,1),
IF(J361&gt;0,VLOOKUP(J361,Foundation_Calc!$E$35:$G$65,3,1),""))</f>
        <v>PT</v>
      </c>
      <c r="AY361" s="10" t="str">
        <f>IF(L361="","",
IF(AX361="PT",VLOOKUP(L361,Foundation_Calc!$K$79:$R$113,VLOOKUP(AW361,Foundation_Calc!$I$2:$J$8,2,FALSE),0),
IF(AX361="K",VLOOKUP(L361,Foundation_Calc!$K$117:$R$151,VLOOKUP(AW361,Foundation_Calc!$I$2:$J$8,2,FALSE),0),"")))</f>
        <v/>
      </c>
      <c r="AZ361" s="10">
        <f>IF(K361="","",
IF(AX361="PT",VLOOKUP(K361,Foundation_Calc!$K$79:$R$113,VLOOKUP(AW361,Foundation_Calc!$I$2:$J$8,2,FALSE),0),
IF(AX361="K",VLOOKUP(K361,Foundation_Calc!$K$117:$R$151,VLOOKUP(AW361,Foundation_Calc!$I$2:$J$8,2,FALSE),0),"")))</f>
        <v>2.8</v>
      </c>
      <c r="BA361" s="495" t="str">
        <f t="shared" si="43"/>
        <v/>
      </c>
      <c r="BB361" s="495" t="str">
        <f t="shared" si="44"/>
        <v>ü</v>
      </c>
      <c r="BC361" s="495" t="str">
        <f t="shared" si="45"/>
        <v/>
      </c>
      <c r="BD361" s="513" t="str">
        <f>IF(AND(L361="",H361=""),"",
IF(H361="",Pole_Calc!A$9,
IF(H361="MP",Pole_Calc!A$10,
IF(H361="AnMP",Pole_Calc!A$11,
IF(H361="A",Pole_Calc!A$12,
IF(H361="S/A",Pole_Calc!A$13,
IF(H361="A/S",Pole_Calc!A$14,"Poner a mano")))))))</f>
        <v/>
      </c>
      <c r="BE361" s="429" t="s">
        <v>118</v>
      </c>
      <c r="BF361" s="290"/>
      <c r="BG361" s="290"/>
      <c r="BH361" s="290"/>
      <c r="BI361" s="290"/>
    </row>
    <row r="362" spans="1:61" ht="17.45" customHeight="1">
      <c r="A362" s="514"/>
      <c r="B362" s="450" t="s">
        <v>1120</v>
      </c>
      <c r="C362" s="3">
        <f>+$C$360+$G$361</f>
        <v>38869.360000000008</v>
      </c>
      <c r="D362" s="83"/>
      <c r="E362" s="4"/>
      <c r="F362" s="4">
        <v>1000</v>
      </c>
      <c r="G362" s="6"/>
      <c r="H362" s="449" t="s">
        <v>171</v>
      </c>
      <c r="I362" s="4"/>
      <c r="J362" s="3"/>
      <c r="K362" s="449"/>
      <c r="L362" s="449" t="s">
        <v>158</v>
      </c>
      <c r="M362" s="449" t="str">
        <f>IF(L362="","",
IF(AX362="PT",VLOOKUP(L362,Foundation_Calc!$V$79:$X$113,VLOOKUP(AX362,Foundation_Calc!$I$10:$J$13,2,FALSE),0),
IF(AX362="K",VLOOKUP(L362,Foundation_Calc!$V$117:$X$151,VLOOKUP(AX362,Foundation_Calc!$I$10:$J$13,2,FALSE),0),"")))</f>
        <v>C4R</v>
      </c>
      <c r="N362" s="449" t="s">
        <v>134</v>
      </c>
      <c r="O362" s="449"/>
      <c r="P362" s="449"/>
      <c r="Q362" s="4"/>
      <c r="R362" s="6"/>
      <c r="S362" s="6"/>
      <c r="T362" s="4">
        <v>30</v>
      </c>
      <c r="U362" s="4"/>
      <c r="V362" s="4"/>
      <c r="W362" s="9">
        <v>1.4</v>
      </c>
      <c r="X362" s="9"/>
      <c r="Y362" s="9"/>
      <c r="Z362" s="9"/>
      <c r="AA362" s="9"/>
      <c r="AB362" s="9"/>
      <c r="AC362" s="449" t="str">
        <f t="shared" si="42"/>
        <v>PHC</v>
      </c>
      <c r="AD362" s="449"/>
      <c r="AE362" s="449"/>
      <c r="AF362" s="4"/>
      <c r="AG362" s="83"/>
      <c r="AH362" s="4"/>
      <c r="AI362" s="4"/>
      <c r="AJ362" s="449"/>
      <c r="AK362" s="449"/>
      <c r="AL362" s="449"/>
      <c r="AM362" s="449" t="s">
        <v>126</v>
      </c>
      <c r="AN362" s="10">
        <v>5.5</v>
      </c>
      <c r="AO362" s="9"/>
      <c r="AP362" s="9"/>
      <c r="AQ362" s="9"/>
      <c r="AR362" s="9"/>
      <c r="AS362" s="9"/>
      <c r="AT362" s="9">
        <f>+ab($T$362,$T$360,$T$364,$G$361,$G$363, 1*$F$362,1200)</f>
        <v>3.9912951206966776</v>
      </c>
      <c r="AU362" s="428"/>
      <c r="AV362" s="428"/>
      <c r="AW362" s="449" t="str">
        <f>IF(C362&gt;0,VLOOKUP(C362,Foundation_Calc!$A$2:$C$13,3,1),
IF(J362&gt;0,VLOOKUP(J362,Foundation_Calc!$A$2:$C$13,3,1),""))</f>
        <v>Multi Soil</v>
      </c>
      <c r="AX362" s="449" t="str">
        <f>IF(C362&gt;0,VLOOKUP(C362,Foundation_Calc!$E$35:$G$65,3,1),
IF(J362&gt;0,VLOOKUP(J362,Foundation_Calc!$E$35:$G$65,3,1),""))</f>
        <v>PT</v>
      </c>
      <c r="AY362" s="10">
        <f>IF(L362="","",
IF(AX362="PT",VLOOKUP(L362,Foundation_Calc!$K$79:$R$113,VLOOKUP(AW362,Foundation_Calc!$I$2:$J$8,2,FALSE),0),
IF(AX362="K",VLOOKUP(L362,Foundation_Calc!$K$117:$R$151,VLOOKUP(AW362,Foundation_Calc!$I$2:$J$8,2,FALSE),0),"")))</f>
        <v>3.5</v>
      </c>
      <c r="AZ362" s="10" t="str">
        <f>IF(K362="","",
IF(AX362="PT",VLOOKUP(K362,Foundation_Calc!$K$79:$R$113,VLOOKUP(AW362,Foundation_Calc!$I$2:$J$8,2,FALSE),0),
IF(AX362="K",VLOOKUP(K362,Foundation_Calc!$K$117:$R$151,VLOOKUP(AW362,Foundation_Calc!$I$2:$J$8,2,FALSE),0),"")))</f>
        <v/>
      </c>
      <c r="BA362" s="495" t="str">
        <f t="shared" si="43"/>
        <v>ü</v>
      </c>
      <c r="BB362" s="495" t="str">
        <f t="shared" si="44"/>
        <v/>
      </c>
      <c r="BC362" s="495" t="str">
        <f t="shared" si="45"/>
        <v/>
      </c>
      <c r="BD362" s="513" t="str">
        <f>IF(AND(L362="",H362=""),"",
IF(H362="",Pole_Calc!A$9,
IF(H362="MP",Pole_Calc!A$10,
IF(H362="AnMP",Pole_Calc!A$11,
IF(H362="A",Pole_Calc!A$12,
IF(H362="S/A",Pole_Calc!A$13,
IF(H362="A/S",Pole_Calc!A$14,"Poner a mano")))))))</f>
        <v>App.7-V11I-P9.5.1.2</v>
      </c>
      <c r="BE362" s="429" t="s">
        <v>118</v>
      </c>
      <c r="BF362" s="289"/>
      <c r="BG362" s="289"/>
      <c r="BH362" s="290"/>
      <c r="BI362" s="289"/>
    </row>
    <row r="363" spans="1:61" ht="17.45" customHeight="1">
      <c r="A363" s="514"/>
      <c r="B363" s="450"/>
      <c r="C363" s="3"/>
      <c r="D363" s="83"/>
      <c r="E363" s="4"/>
      <c r="F363" s="4"/>
      <c r="G363" s="6">
        <v>48</v>
      </c>
      <c r="H363" s="449"/>
      <c r="I363" s="4" t="s">
        <v>195</v>
      </c>
      <c r="J363" s="3">
        <f>C362+7.5</f>
        <v>38876.860000000008</v>
      </c>
      <c r="K363" s="449" t="s">
        <v>166</v>
      </c>
      <c r="L363" s="449"/>
      <c r="M363" s="449" t="str">
        <f>IF(L363="","",
IF(AX363="PT",VLOOKUP(L363,Foundation_Calc!$V$79:$X$113,VLOOKUP(AX363,Foundation_Calc!$I$10:$J$13,2,FALSE),0),
IF(AX363="K",VLOOKUP(L363,Foundation_Calc!$V$117:$X$151,VLOOKUP(AX363,Foundation_Calc!$I$10:$J$13,2,FALSE),0),"")))</f>
        <v/>
      </c>
      <c r="N363" s="449"/>
      <c r="O363" s="449"/>
      <c r="P363" s="449"/>
      <c r="Q363" s="4"/>
      <c r="R363" s="6"/>
      <c r="S363" s="6"/>
      <c r="T363" s="4"/>
      <c r="U363" s="4"/>
      <c r="V363" s="4"/>
      <c r="W363" s="9"/>
      <c r="X363" s="9"/>
      <c r="Y363" s="9"/>
      <c r="Z363" s="9"/>
      <c r="AA363" s="9"/>
      <c r="AB363" s="9"/>
      <c r="AC363" s="449" t="str">
        <f t="shared" si="42"/>
        <v/>
      </c>
      <c r="AD363" s="449"/>
      <c r="AE363" s="449"/>
      <c r="AF363" s="4"/>
      <c r="AG363" s="83"/>
      <c r="AH363" s="4"/>
      <c r="AI363" s="4"/>
      <c r="AJ363" s="449"/>
      <c r="AK363" s="449"/>
      <c r="AL363" s="449"/>
      <c r="AM363" s="449"/>
      <c r="AN363" s="10"/>
      <c r="AO363" s="9"/>
      <c r="AP363" s="9"/>
      <c r="AQ363" s="9">
        <f>+FL_1($T$364,$T$362,$G$363,1200,9.28, 1*$F$364)</f>
        <v>0.30005441130447724</v>
      </c>
      <c r="AR363" s="9"/>
      <c r="AS363" s="9"/>
      <c r="AT363" s="9"/>
      <c r="AU363" s="428"/>
      <c r="AV363" s="428"/>
      <c r="AW363" s="449" t="str">
        <f>IF(C363&gt;0,VLOOKUP(C363,Foundation_Calc!$A$2:$C$13,3,1),
IF(J363&gt;0,VLOOKUP(J363,Foundation_Calc!$A$2:$C$13,3,1),""))</f>
        <v>Multi Soil</v>
      </c>
      <c r="AX363" s="449" t="str">
        <f>IF(C363&gt;0,VLOOKUP(C363,Foundation_Calc!$E$35:$G$65,3,1),
IF(J363&gt;0,VLOOKUP(J363,Foundation_Calc!$E$35:$G$65,3,1),""))</f>
        <v>PT</v>
      </c>
      <c r="AY363" s="10" t="str">
        <f>IF(L363="","",
IF(AX363="PT",VLOOKUP(L363,Foundation_Calc!$K$79:$R$113,VLOOKUP(AW363,Foundation_Calc!$I$2:$J$8,2,FALSE),0),
IF(AX363="K",VLOOKUP(L363,Foundation_Calc!$K$117:$R$151,VLOOKUP(AW363,Foundation_Calc!$I$2:$J$8,2,FALSE),0),"")))</f>
        <v/>
      </c>
      <c r="AZ363" s="10">
        <f>IF(K363="","",
IF(AX363="PT",VLOOKUP(K363,Foundation_Calc!$K$79:$R$113,VLOOKUP(AW363,Foundation_Calc!$I$2:$J$8,2,FALSE),0),
IF(AX363="K",VLOOKUP(K363,Foundation_Calc!$K$117:$R$151,VLOOKUP(AW363,Foundation_Calc!$I$2:$J$8,2,FALSE),0),"")))</f>
        <v>2.8</v>
      </c>
      <c r="BA363" s="495" t="str">
        <f t="shared" si="43"/>
        <v/>
      </c>
      <c r="BB363" s="495" t="str">
        <f t="shared" si="44"/>
        <v>ü</v>
      </c>
      <c r="BC363" s="495" t="str">
        <f t="shared" si="45"/>
        <v/>
      </c>
      <c r="BD363" s="513" t="str">
        <f>IF(AND(L363="",H363=""),"",
IF(H363="",Pole_Calc!A$9,
IF(H363="MP",Pole_Calc!A$10,
IF(H363="AnMP",Pole_Calc!A$11,
IF(H363="A",Pole_Calc!A$12,
IF(H363="S/A",Pole_Calc!A$13,
IF(H363="A/S",Pole_Calc!A$14,"Poner a mano")))))))</f>
        <v/>
      </c>
      <c r="BE363" s="429" t="s">
        <v>118</v>
      </c>
      <c r="BF363" s="290"/>
      <c r="BG363" s="290"/>
      <c r="BH363" s="290"/>
      <c r="BI363" s="290"/>
    </row>
    <row r="364" spans="1:61" ht="17.45" customHeight="1">
      <c r="A364" s="514"/>
      <c r="B364" s="450" t="s">
        <v>1121</v>
      </c>
      <c r="C364" s="3">
        <f>+$C$362+$G$363</f>
        <v>38917.360000000008</v>
      </c>
      <c r="D364" s="83"/>
      <c r="E364" s="4"/>
      <c r="F364" s="4">
        <v>1000</v>
      </c>
      <c r="G364" s="6"/>
      <c r="H364" s="449" t="s">
        <v>168</v>
      </c>
      <c r="I364" s="4">
        <f>SUM(G363:G375)</f>
        <v>308</v>
      </c>
      <c r="J364" s="3"/>
      <c r="K364" s="449"/>
      <c r="L364" s="449" t="s">
        <v>158</v>
      </c>
      <c r="M364" s="449" t="str">
        <f>IF(L364="","",
IF(AX364="PT",VLOOKUP(L364,Foundation_Calc!$V$79:$X$113,VLOOKUP(AX364,Foundation_Calc!$I$10:$J$13,2,FALSE),0),
IF(AX364="K",VLOOKUP(L364,Foundation_Calc!$V$117:$X$151,VLOOKUP(AX364,Foundation_Calc!$I$10:$J$13,2,FALSE),0),"")))</f>
        <v>C4R</v>
      </c>
      <c r="N364" s="449" t="s">
        <v>134</v>
      </c>
      <c r="O364" s="449"/>
      <c r="P364" s="449"/>
      <c r="Q364" s="4"/>
      <c r="R364" s="6"/>
      <c r="S364" s="6"/>
      <c r="T364" s="4">
        <v>30</v>
      </c>
      <c r="U364" s="4"/>
      <c r="V364" s="4"/>
      <c r="W364" s="9">
        <v>1.4</v>
      </c>
      <c r="X364" s="9"/>
      <c r="Y364" s="9"/>
      <c r="Z364" s="9"/>
      <c r="AA364" s="9"/>
      <c r="AB364" s="9"/>
      <c r="AC364" s="449" t="str">
        <f t="shared" si="42"/>
        <v>PHC</v>
      </c>
      <c r="AD364" s="449"/>
      <c r="AE364" s="449"/>
      <c r="AF364" s="4"/>
      <c r="AG364" s="83"/>
      <c r="AH364" s="4"/>
      <c r="AI364" s="4"/>
      <c r="AJ364" s="449"/>
      <c r="AK364" s="449"/>
      <c r="AL364" s="449"/>
      <c r="AM364" s="449" t="s">
        <v>126</v>
      </c>
      <c r="AN364" s="10">
        <v>5.5</v>
      </c>
      <c r="AO364" s="9"/>
      <c r="AP364" s="9"/>
      <c r="AQ364" s="9"/>
      <c r="AR364" s="9"/>
      <c r="AS364" s="9"/>
      <c r="AT364" s="9">
        <f>+ab($T$364,$T$362,$T$366,$G$363,$G$365, 1*$F$364,1200)</f>
        <v>4.0331708223239371</v>
      </c>
      <c r="AU364" s="428"/>
      <c r="AV364" s="428"/>
      <c r="AW364" s="449" t="str">
        <f>IF(C364&gt;0,VLOOKUP(C364,Foundation_Calc!$A$2:$C$13,3,1),
IF(J364&gt;0,VLOOKUP(J364,Foundation_Calc!$A$2:$C$13,3,1),""))</f>
        <v>Multi Soil</v>
      </c>
      <c r="AX364" s="449" t="str">
        <f>IF(C364&gt;0,VLOOKUP(C364,Foundation_Calc!$E$35:$G$65,3,1),
IF(J364&gt;0,VLOOKUP(J364,Foundation_Calc!$E$35:$G$65,3,1),""))</f>
        <v>PT</v>
      </c>
      <c r="AY364" s="10">
        <f>IF(L364="","",
IF(AX364="PT",VLOOKUP(L364,Foundation_Calc!$K$79:$R$113,VLOOKUP(AW364,Foundation_Calc!$I$2:$J$8,2,FALSE),0),
IF(AX364="K",VLOOKUP(L364,Foundation_Calc!$K$117:$R$151,VLOOKUP(AW364,Foundation_Calc!$I$2:$J$8,2,FALSE),0),"")))</f>
        <v>3.5</v>
      </c>
      <c r="AZ364" s="10" t="str">
        <f>IF(K364="","",
IF(AX364="PT",VLOOKUP(K364,Foundation_Calc!$K$79:$R$113,VLOOKUP(AW364,Foundation_Calc!$I$2:$J$8,2,FALSE),0),
IF(AX364="K",VLOOKUP(K364,Foundation_Calc!$K$117:$R$151,VLOOKUP(AW364,Foundation_Calc!$I$2:$J$8,2,FALSE),0),"")))</f>
        <v/>
      </c>
      <c r="BA364" s="495" t="str">
        <f t="shared" si="43"/>
        <v>ü</v>
      </c>
      <c r="BB364" s="495" t="str">
        <f t="shared" si="44"/>
        <v/>
      </c>
      <c r="BC364" s="495" t="str">
        <f t="shared" si="45"/>
        <v/>
      </c>
      <c r="BD364" s="513" t="str">
        <f>IF(AND(L364="",H364=""),"",
IF(H364="",Pole_Calc!A$9,
IF(H364="MP",Pole_Calc!A$10,
IF(H364="AnMP",Pole_Calc!A$11,
IF(H364="A",Pole_Calc!A$12,
IF(H364="S/A",Pole_Calc!A$13,
IF(H364="A/S",Pole_Calc!A$14,"Poner a mano")))))))</f>
        <v>App.7-V11I-P9.5.1.3</v>
      </c>
      <c r="BE364" s="429" t="s">
        <v>118</v>
      </c>
      <c r="BF364" s="289"/>
      <c r="BG364" s="289"/>
      <c r="BH364" s="290"/>
      <c r="BI364" s="289"/>
    </row>
    <row r="365" spans="1:61" ht="17.45" customHeight="1">
      <c r="A365" s="514" t="s">
        <v>169</v>
      </c>
      <c r="B365" s="450"/>
      <c r="C365" s="3"/>
      <c r="D365" s="83"/>
      <c r="E365" s="4"/>
      <c r="F365" s="4"/>
      <c r="G365" s="6">
        <v>47</v>
      </c>
      <c r="H365" s="449"/>
      <c r="I365" s="4"/>
      <c r="J365" s="3">
        <f>C364+7.5</f>
        <v>38924.860000000008</v>
      </c>
      <c r="K365" s="449" t="s">
        <v>166</v>
      </c>
      <c r="L365" s="449"/>
      <c r="M365" s="449" t="str">
        <f>IF(L365="","",
IF(AX365="PT",VLOOKUP(L365,Foundation_Calc!$V$79:$X$113,VLOOKUP(AX365,Foundation_Calc!$I$10:$J$13,2,FALSE),0),
IF(AX365="K",VLOOKUP(L365,Foundation_Calc!$V$117:$X$151,VLOOKUP(AX365,Foundation_Calc!$I$10:$J$13,2,FALSE),0),"")))</f>
        <v/>
      </c>
      <c r="N365" s="449"/>
      <c r="O365" s="449"/>
      <c r="P365" s="449"/>
      <c r="Q365" s="4"/>
      <c r="R365" s="6"/>
      <c r="S365" s="6"/>
      <c r="T365" s="4"/>
      <c r="U365" s="4"/>
      <c r="V365" s="4"/>
      <c r="W365" s="9"/>
      <c r="X365" s="9"/>
      <c r="Y365" s="9"/>
      <c r="Z365" s="9"/>
      <c r="AA365" s="9"/>
      <c r="AB365" s="9"/>
      <c r="AC365" s="449" t="str">
        <f t="shared" si="42"/>
        <v/>
      </c>
      <c r="AD365" s="449"/>
      <c r="AE365" s="449"/>
      <c r="AF365" s="4"/>
      <c r="AG365" s="83"/>
      <c r="AH365" s="4"/>
      <c r="AI365" s="4"/>
      <c r="AJ365" s="449"/>
      <c r="AK365" s="449"/>
      <c r="AL365" s="449"/>
      <c r="AM365" s="449"/>
      <c r="AN365" s="10"/>
      <c r="AO365" s="9"/>
      <c r="AP365" s="9"/>
      <c r="AQ365" s="9">
        <f>+FL_1($T$366,$T$364,$G$365,1200,9.28, 1*$F$366)</f>
        <v>0.30005327797240311</v>
      </c>
      <c r="AR365" s="9"/>
      <c r="AS365" s="9"/>
      <c r="AT365" s="9"/>
      <c r="AU365" s="428"/>
      <c r="AV365" s="428"/>
      <c r="AW365" s="449" t="str">
        <f>IF(C365&gt;0,VLOOKUP(C365,Foundation_Calc!$A$2:$C$13,3,1),
IF(J365&gt;0,VLOOKUP(J365,Foundation_Calc!$A$2:$C$13,3,1),""))</f>
        <v>Multi Soil</v>
      </c>
      <c r="AX365" s="449" t="str">
        <f>IF(C365&gt;0,VLOOKUP(C365,Foundation_Calc!$E$35:$G$65,3,1),
IF(J365&gt;0,VLOOKUP(J365,Foundation_Calc!$E$35:$G$65,3,1),""))</f>
        <v>PT</v>
      </c>
      <c r="AY365" s="10" t="str">
        <f>IF(L365="","",
IF(AX365="PT",VLOOKUP(L365,Foundation_Calc!$K$79:$R$113,VLOOKUP(AW365,Foundation_Calc!$I$2:$J$8,2,FALSE),0),
IF(AX365="K",VLOOKUP(L365,Foundation_Calc!$K$117:$R$151,VLOOKUP(AW365,Foundation_Calc!$I$2:$J$8,2,FALSE),0),"")))</f>
        <v/>
      </c>
      <c r="AZ365" s="10">
        <f>IF(K365="","",
IF(AX365="PT",VLOOKUP(K365,Foundation_Calc!$K$79:$R$113,VLOOKUP(AW365,Foundation_Calc!$I$2:$J$8,2,FALSE),0),
IF(AX365="K",VLOOKUP(K365,Foundation_Calc!$K$117:$R$151,VLOOKUP(AW365,Foundation_Calc!$I$2:$J$8,2,FALSE),0),"")))</f>
        <v>2.8</v>
      </c>
      <c r="BA365" s="495" t="str">
        <f t="shared" si="43"/>
        <v/>
      </c>
      <c r="BB365" s="495" t="str">
        <f t="shared" si="44"/>
        <v>ü</v>
      </c>
      <c r="BC365" s="495" t="str">
        <f t="shared" si="45"/>
        <v/>
      </c>
      <c r="BD365" s="513" t="str">
        <f>IF(AND(L365="",H365=""),"",
IF(H365="",Pole_Calc!A$9,
IF(H365="MP",Pole_Calc!A$10,
IF(H365="AnMP",Pole_Calc!A$11,
IF(H365="A",Pole_Calc!A$12,
IF(H365="S/A",Pole_Calc!A$13,
IF(H365="A/S",Pole_Calc!A$14,"Poner a mano")))))))</f>
        <v/>
      </c>
      <c r="BE365" s="429" t="s">
        <v>118</v>
      </c>
      <c r="BF365" s="290"/>
      <c r="BG365" s="290"/>
      <c r="BH365" s="290"/>
      <c r="BI365" s="290"/>
    </row>
    <row r="366" spans="1:61" ht="16.149999999999999" customHeight="1">
      <c r="A366" s="517"/>
      <c r="B366" s="450" t="s">
        <v>1122</v>
      </c>
      <c r="C366" s="3">
        <f>+$C$364+$G$365</f>
        <v>38964.360000000008</v>
      </c>
      <c r="D366" s="83"/>
      <c r="E366" s="4"/>
      <c r="F366" s="4">
        <v>1000</v>
      </c>
      <c r="G366" s="6"/>
      <c r="H366" s="449"/>
      <c r="I366" s="4"/>
      <c r="J366" s="3"/>
      <c r="K366" s="449"/>
      <c r="L366" s="449" t="s">
        <v>158</v>
      </c>
      <c r="M366" s="449" t="str">
        <f>IF(L366="","",
IF(AX366="PT",VLOOKUP(L366,Foundation_Calc!$V$79:$X$113,VLOOKUP(AX366,Foundation_Calc!$I$10:$J$13,2,FALSE),0),
IF(AX366="K",VLOOKUP(L366,Foundation_Calc!$V$117:$X$151,VLOOKUP(AX366,Foundation_Calc!$I$10:$J$13,2,FALSE),0),"")))</f>
        <v>C4R</v>
      </c>
      <c r="N366" s="449" t="s">
        <v>134</v>
      </c>
      <c r="O366" s="449"/>
      <c r="P366" s="449"/>
      <c r="Q366" s="4"/>
      <c r="R366" s="6"/>
      <c r="S366" s="6"/>
      <c r="T366" s="4">
        <v>30</v>
      </c>
      <c r="U366" s="4"/>
      <c r="V366" s="4"/>
      <c r="W366" s="9">
        <v>1.4</v>
      </c>
      <c r="X366" s="9"/>
      <c r="Y366" s="9"/>
      <c r="Z366" s="9"/>
      <c r="AA366" s="9"/>
      <c r="AB366" s="9"/>
      <c r="AC366" s="449" t="str">
        <f t="shared" si="42"/>
        <v>PHC</v>
      </c>
      <c r="AD366" s="449"/>
      <c r="AE366" s="449"/>
      <c r="AF366" s="4"/>
      <c r="AG366" s="83"/>
      <c r="AH366" s="4"/>
      <c r="AI366" s="4"/>
      <c r="AJ366" s="449"/>
      <c r="AK366" s="449"/>
      <c r="AL366" s="449"/>
      <c r="AM366" s="449" t="s">
        <v>126</v>
      </c>
      <c r="AN366" s="10">
        <v>5.5</v>
      </c>
      <c r="AO366" s="9"/>
      <c r="AP366" s="9"/>
      <c r="AQ366" s="9"/>
      <c r="AR366" s="9"/>
      <c r="AS366" s="9"/>
      <c r="AT366" s="9">
        <f>+ab($T$366,$T$364,$T$368,$G$365,$G$367, 1*$F$366,1200)</f>
        <v>4.5058098388855239</v>
      </c>
      <c r="AU366" s="428"/>
      <c r="AV366" s="428"/>
      <c r="AW366" s="449" t="str">
        <f>IF(C366&gt;0,VLOOKUP(C366,Foundation_Calc!$A$2:$C$13,3,1),
IF(J366&gt;0,VLOOKUP(J366,Foundation_Calc!$A$2:$C$13,3,1),""))</f>
        <v>Multi Soil</v>
      </c>
      <c r="AX366" s="449" t="str">
        <f>IF(C366&gt;0,VLOOKUP(C366,Foundation_Calc!$E$35:$G$65,3,1),
IF(J366&gt;0,VLOOKUP(J366,Foundation_Calc!$E$35:$G$65,3,1),""))</f>
        <v>PT</v>
      </c>
      <c r="AY366" s="10">
        <f>IF(L366="","",
IF(AX366="PT",VLOOKUP(L366,Foundation_Calc!$K$79:$R$113,VLOOKUP(AW366,Foundation_Calc!$I$2:$J$8,2,FALSE),0),
IF(AX366="K",VLOOKUP(L366,Foundation_Calc!$K$117:$R$151,VLOOKUP(AW366,Foundation_Calc!$I$2:$J$8,2,FALSE),0),"")))</f>
        <v>3.5</v>
      </c>
      <c r="AZ366" s="10" t="str">
        <f>IF(K366="","",
IF(AX366="PT",VLOOKUP(K366,Foundation_Calc!$K$79:$R$113,VLOOKUP(AW366,Foundation_Calc!$I$2:$J$8,2,FALSE),0),
IF(AX366="K",VLOOKUP(K366,Foundation_Calc!$K$117:$R$151,VLOOKUP(AW366,Foundation_Calc!$I$2:$J$8,2,FALSE),0),"")))</f>
        <v/>
      </c>
      <c r="BA366" s="495" t="str">
        <f t="shared" si="43"/>
        <v>ü</v>
      </c>
      <c r="BB366" s="495" t="str">
        <f t="shared" si="44"/>
        <v/>
      </c>
      <c r="BC366" s="495" t="str">
        <f t="shared" si="45"/>
        <v/>
      </c>
      <c r="BD366" s="513" t="str">
        <f>IF(AND(L366="",H366=""),"",
IF(H366="",Pole_Calc!A$9,
IF(H366="MP",Pole_Calc!A$10,
IF(H366="AnMP",Pole_Calc!A$11,
IF(H366="A",Pole_Calc!A$12,
IF(H366="S/A",Pole_Calc!A$13,
IF(H366="A/S",Pole_Calc!A$14,"Poner a mano")))))))</f>
        <v>App.7-V11I-P9.5.1.1</v>
      </c>
      <c r="BE366" s="429" t="s">
        <v>118</v>
      </c>
      <c r="BF366" s="289"/>
      <c r="BG366" s="289"/>
      <c r="BH366" s="290"/>
      <c r="BI366" s="289"/>
    </row>
    <row r="367" spans="1:61" ht="16.149999999999999" customHeight="1">
      <c r="A367" s="517"/>
      <c r="B367" s="450"/>
      <c r="C367" s="3"/>
      <c r="D367" s="83"/>
      <c r="E367" s="4"/>
      <c r="F367" s="4"/>
      <c r="G367" s="6">
        <v>38</v>
      </c>
      <c r="H367" s="449"/>
      <c r="I367" s="4"/>
      <c r="J367" s="3"/>
      <c r="K367" s="449"/>
      <c r="L367" s="449"/>
      <c r="M367" s="449" t="str">
        <f>IF(L367="","",
IF(AX367="PT",VLOOKUP(L367,Foundation_Calc!$V$79:$X$113,VLOOKUP(AX367,Foundation_Calc!$I$10:$J$13,2,FALSE),0),
IF(AX367="K",VLOOKUP(L367,Foundation_Calc!$V$117:$X$151,VLOOKUP(AX367,Foundation_Calc!$I$10:$J$13,2,FALSE),0),"")))</f>
        <v/>
      </c>
      <c r="N367" s="449"/>
      <c r="O367" s="449"/>
      <c r="P367" s="449"/>
      <c r="Q367" s="4"/>
      <c r="R367" s="6"/>
      <c r="S367" s="6"/>
      <c r="T367" s="4"/>
      <c r="U367" s="4"/>
      <c r="V367" s="4"/>
      <c r="W367" s="9"/>
      <c r="X367" s="9"/>
      <c r="Y367" s="9"/>
      <c r="Z367" s="9"/>
      <c r="AA367" s="9"/>
      <c r="AB367" s="9"/>
      <c r="AC367" s="449" t="str">
        <f t="shared" si="42"/>
        <v/>
      </c>
      <c r="AD367" s="449"/>
      <c r="AE367" s="449"/>
      <c r="AF367" s="4"/>
      <c r="AG367" s="83"/>
      <c r="AH367" s="4"/>
      <c r="AI367" s="4"/>
      <c r="AJ367" s="449"/>
      <c r="AK367" s="449"/>
      <c r="AL367" s="449"/>
      <c r="AM367" s="449"/>
      <c r="AN367" s="10"/>
      <c r="AO367" s="9"/>
      <c r="AP367" s="9"/>
      <c r="AQ367" s="9">
        <f>+FL_1($T$368,$T$366,$G$367,1200,9.28, 1*$F$368)</f>
        <v>0.3</v>
      </c>
      <c r="AR367" s="9"/>
      <c r="AS367" s="9"/>
      <c r="AT367" s="9"/>
      <c r="AU367" s="428"/>
      <c r="AV367" s="428"/>
      <c r="AW367" s="449" t="str">
        <f>IF(C367&gt;0,VLOOKUP(C367,Foundation_Calc!$A$2:$C$13,3,1),
IF(J367&gt;0,VLOOKUP(J367,Foundation_Calc!$A$2:$C$13,3,1),""))</f>
        <v/>
      </c>
      <c r="AX367" s="449" t="str">
        <f>IF(C367&gt;0,VLOOKUP(C367,Foundation_Calc!$E$35:$G$65,3,1),
IF(J367&gt;0,VLOOKUP(J367,Foundation_Calc!$E$35:$G$65,3,1),""))</f>
        <v/>
      </c>
      <c r="AY367" s="10" t="str">
        <f>IF(L367="","",
IF(AX367="PT",VLOOKUP(L367,Foundation_Calc!$K$79:$R$113,VLOOKUP(AW367,Foundation_Calc!$I$2:$J$8,2,FALSE),0),
IF(AX367="K",VLOOKUP(L367,Foundation_Calc!$K$117:$R$151,VLOOKUP(AW367,Foundation_Calc!$I$2:$J$8,2,FALSE),0),"")))</f>
        <v/>
      </c>
      <c r="AZ367" s="10" t="str">
        <f>IF(K367="","",
IF(AX367="PT",VLOOKUP(K367,Foundation_Calc!$K$79:$R$113,VLOOKUP(AW367,Foundation_Calc!$I$2:$J$8,2,FALSE),0),
IF(AX367="K",VLOOKUP(K367,Foundation_Calc!$K$117:$R$151,VLOOKUP(AW367,Foundation_Calc!$I$2:$J$8,2,FALSE),0),"")))</f>
        <v/>
      </c>
      <c r="BA367" s="495" t="str">
        <f t="shared" si="43"/>
        <v/>
      </c>
      <c r="BB367" s="495" t="str">
        <f t="shared" si="44"/>
        <v/>
      </c>
      <c r="BC367" s="495" t="str">
        <f t="shared" si="45"/>
        <v/>
      </c>
      <c r="BD367" s="513" t="str">
        <f>IF(AND(L367="",H367=""),"",
IF(H367="",Pole_Calc!A$9,
IF(H367="MP",Pole_Calc!A$10,
IF(H367="AnMP",Pole_Calc!A$11,
IF(H367="A",Pole_Calc!A$12,
IF(H367="S/A",Pole_Calc!A$13,
IF(H367="A/S",Pole_Calc!A$14,"Poner a mano")))))))</f>
        <v/>
      </c>
      <c r="BE367" s="429" t="s">
        <v>118</v>
      </c>
      <c r="BF367" s="290"/>
      <c r="BG367" s="290"/>
      <c r="BH367" s="290"/>
      <c r="BI367" s="290"/>
    </row>
    <row r="368" spans="1:61" ht="16.149999999999999" customHeight="1">
      <c r="A368" s="517"/>
      <c r="B368" s="450" t="s">
        <v>1123</v>
      </c>
      <c r="C368" s="3">
        <f>+$C$366+$G$367</f>
        <v>39002.360000000008</v>
      </c>
      <c r="D368" s="83"/>
      <c r="E368" s="4"/>
      <c r="F368" s="4">
        <v>1028.4879725085138</v>
      </c>
      <c r="G368" s="6"/>
      <c r="H368" s="449"/>
      <c r="I368" s="4"/>
      <c r="J368" s="3"/>
      <c r="K368" s="449"/>
      <c r="L368" s="449" t="s">
        <v>158</v>
      </c>
      <c r="M368" s="449" t="str">
        <f>IF(L368="","",
IF(AX368="PT",VLOOKUP(L368,Foundation_Calc!$V$79:$X$113,VLOOKUP(AX368,Foundation_Calc!$I$10:$J$13,2,FALSE),0),
IF(AX368="K",VLOOKUP(L368,Foundation_Calc!$V$117:$X$151,VLOOKUP(AX368,Foundation_Calc!$I$10:$J$13,2,FALSE),0),"")))</f>
        <v>C4RT</v>
      </c>
      <c r="N368" s="449" t="s">
        <v>134</v>
      </c>
      <c r="O368" s="449"/>
      <c r="P368" s="449"/>
      <c r="Q368" s="4"/>
      <c r="R368" s="6"/>
      <c r="S368" s="6"/>
      <c r="T368" s="4">
        <v>30</v>
      </c>
      <c r="U368" s="4"/>
      <c r="V368" s="4"/>
      <c r="W368" s="9">
        <v>1.4</v>
      </c>
      <c r="X368" s="9"/>
      <c r="Y368" s="9"/>
      <c r="Z368" s="9"/>
      <c r="AA368" s="9"/>
      <c r="AB368" s="9"/>
      <c r="AC368" s="449" t="str">
        <f t="shared" si="42"/>
        <v>PHQ</v>
      </c>
      <c r="AD368" s="449"/>
      <c r="AE368" s="449"/>
      <c r="AF368" s="4"/>
      <c r="AG368" s="83"/>
      <c r="AH368" s="4"/>
      <c r="AI368" s="4"/>
      <c r="AJ368" s="449"/>
      <c r="AK368" s="449"/>
      <c r="AL368" s="449"/>
      <c r="AM368" s="449" t="s">
        <v>126</v>
      </c>
      <c r="AN368" s="10">
        <v>5.5</v>
      </c>
      <c r="AO368" s="9"/>
      <c r="AP368" s="9"/>
      <c r="AQ368" s="9"/>
      <c r="AR368" s="9"/>
      <c r="AS368" s="9"/>
      <c r="AT368" s="9">
        <f>+ab($T$368,$T$366,$T$370,$G$367,$G$369, 1*$F$368,1200)</f>
        <v>5.0473973537092949</v>
      </c>
      <c r="AU368" s="428"/>
      <c r="AV368" s="428"/>
      <c r="AW368" s="449" t="str">
        <f>IF(C368&gt;0,VLOOKUP(C368,Foundation_Calc!$A$2:$C$13,3,1),
IF(J368&gt;0,VLOOKUP(J368,Foundation_Calc!$A$2:$C$13,3,1),""))</f>
        <v>Multi Soil</v>
      </c>
      <c r="AX368" s="449" t="str">
        <f>IF(C368&gt;0,VLOOKUP(C368,Foundation_Calc!$E$35:$G$65,3,1),
IF(J368&gt;0,VLOOKUP(J368,Foundation_Calc!$E$35:$G$65,3,1),""))</f>
        <v>K</v>
      </c>
      <c r="AY368" s="10">
        <f>IF(L368="","",
IF(AX368="PT",VLOOKUP(L368,Foundation_Calc!$K$79:$R$113,VLOOKUP(AW368,Foundation_Calc!$I$2:$J$8,2,FALSE),0),
IF(AX368="K",VLOOKUP(L368,Foundation_Calc!$K$117:$R$151,VLOOKUP(AW368,Foundation_Calc!$I$2:$J$8,2,FALSE),0),"")))</f>
        <v>4.2</v>
      </c>
      <c r="AZ368" s="10" t="str">
        <f>IF(K368="","",
IF(AX368="PT",VLOOKUP(K368,Foundation_Calc!$K$79:$R$113,VLOOKUP(AW368,Foundation_Calc!$I$2:$J$8,2,FALSE),0),
IF(AX368="K",VLOOKUP(K368,Foundation_Calc!$K$117:$R$151,VLOOKUP(AW368,Foundation_Calc!$I$2:$J$8,2,FALSE),0),"")))</f>
        <v/>
      </c>
      <c r="BA368" s="495" t="str">
        <f t="shared" si="43"/>
        <v>ü</v>
      </c>
      <c r="BB368" s="495" t="str">
        <f t="shared" si="44"/>
        <v/>
      </c>
      <c r="BC368" s="495" t="str">
        <f t="shared" si="45"/>
        <v/>
      </c>
      <c r="BD368" s="513" t="str">
        <f>IF(AND(L368="",H368=""),"",
IF(H368="",Pole_Calc!A$9,
IF(H368="MP",Pole_Calc!A$10,
IF(H368="AnMP",Pole_Calc!A$11,
IF(H368="A",Pole_Calc!A$12,
IF(H368="S/A",Pole_Calc!A$13,
IF(H368="A/S",Pole_Calc!A$14,"Poner a mano")))))))</f>
        <v>App.7-V11I-P9.5.1.1</v>
      </c>
      <c r="BE368" s="429" t="s">
        <v>118</v>
      </c>
      <c r="BF368" s="289"/>
      <c r="BG368" s="289"/>
      <c r="BH368" s="290"/>
      <c r="BI368" s="289"/>
    </row>
    <row r="369" spans="1:61" ht="16.149999999999999" customHeight="1">
      <c r="A369" s="517"/>
      <c r="B369" s="450"/>
      <c r="C369" s="3"/>
      <c r="D369" s="83"/>
      <c r="E369" s="4"/>
      <c r="F369" s="4"/>
      <c r="G369" s="6">
        <v>40</v>
      </c>
      <c r="H369" s="449"/>
      <c r="I369" s="4"/>
      <c r="J369" s="3">
        <f>C370-7.5</f>
        <v>39034.860000000008</v>
      </c>
      <c r="K369" s="449" t="s">
        <v>315</v>
      </c>
      <c r="L369" s="449"/>
      <c r="M369" s="449" t="str">
        <f>IF(L369="","",
IF(AX369="PT",VLOOKUP(L369,Foundation_Calc!$V$79:$X$113,VLOOKUP(AX369,Foundation_Calc!$I$10:$J$13,2,FALSE),0),
IF(AX369="K",VLOOKUP(L369,Foundation_Calc!$V$117:$X$151,VLOOKUP(AX369,Foundation_Calc!$I$10:$J$13,2,FALSE),0),"")))</f>
        <v/>
      </c>
      <c r="N369" s="449"/>
      <c r="O369" s="449"/>
      <c r="P369" s="449"/>
      <c r="Q369" s="4"/>
      <c r="R369" s="6"/>
      <c r="S369" s="6"/>
      <c r="T369" s="4"/>
      <c r="U369" s="4"/>
      <c r="V369" s="4"/>
      <c r="W369" s="572"/>
      <c r="X369" s="9"/>
      <c r="Y369" s="9"/>
      <c r="Z369" s="9"/>
      <c r="AA369" s="9"/>
      <c r="AB369" s="9"/>
      <c r="AC369" s="449" t="str">
        <f t="shared" si="42"/>
        <v/>
      </c>
      <c r="AD369" s="449"/>
      <c r="AE369" s="449"/>
      <c r="AF369" s="4"/>
      <c r="AG369" s="83"/>
      <c r="AH369" s="4"/>
      <c r="AI369" s="4"/>
      <c r="AJ369" s="449"/>
      <c r="AK369" s="449"/>
      <c r="AL369" s="449"/>
      <c r="AM369" s="449"/>
      <c r="AN369" s="10"/>
      <c r="AO369" s="9"/>
      <c r="AP369" s="9"/>
      <c r="AQ369" s="9">
        <f>+FL_1($T$370,$T$368,$G$369,1200,9.28, 1*$F$370)</f>
        <v>0.32702606424837055</v>
      </c>
      <c r="AR369" s="9"/>
      <c r="AS369" s="9"/>
      <c r="AT369" s="9"/>
      <c r="AU369" s="428"/>
      <c r="AV369" s="428"/>
      <c r="AW369" s="449" t="str">
        <f>IF(C369&gt;0,VLOOKUP(C369,Foundation_Calc!$A$2:$C$13,3,1),
IF(J369&gt;0,VLOOKUP(J369,Foundation_Calc!$A$2:$C$13,3,1),""))</f>
        <v>Multi Soil</v>
      </c>
      <c r="AX369" s="449" t="str">
        <f>IF(C369&gt;0,VLOOKUP(C369,Foundation_Calc!$E$35:$G$65,3,1),
IF(J369&gt;0,VLOOKUP(J369,Foundation_Calc!$E$35:$G$65,3,1),""))</f>
        <v>K</v>
      </c>
      <c r="AY369" s="10" t="str">
        <f>IF(L369="","",
IF(AX369="PT",VLOOKUP(L369,Foundation_Calc!$K$79:$R$113,VLOOKUP(AW369,Foundation_Calc!$I$2:$J$8,2,FALSE),0),
IF(AX369="K",VLOOKUP(L369,Foundation_Calc!$K$117:$R$151,VLOOKUP(AW369,Foundation_Calc!$I$2:$J$8,2,FALSE),0),"")))</f>
        <v/>
      </c>
      <c r="AZ369" s="10">
        <f>IF(K369="","",
IF(AX369="PT",VLOOKUP(K369,Foundation_Calc!$K$79:$R$113,VLOOKUP(AW369,Foundation_Calc!$I$2:$J$8,2,FALSE),0),
IF(AX369="K",VLOOKUP(K369,Foundation_Calc!$K$117:$R$151,VLOOKUP(AW369,Foundation_Calc!$I$2:$J$8,2,FALSE),0),"")))</f>
        <v>3.9</v>
      </c>
      <c r="BA369" s="495" t="str">
        <f t="shared" si="43"/>
        <v/>
      </c>
      <c r="BB369" s="495" t="str">
        <f t="shared" si="44"/>
        <v>ü</v>
      </c>
      <c r="BC369" s="495" t="str">
        <f t="shared" si="45"/>
        <v/>
      </c>
      <c r="BD369" s="513" t="str">
        <f>IF(AND(L369="",H369=""),"",
IF(H369="",Pole_Calc!A$9,
IF(H369="MP",Pole_Calc!A$10,
IF(H369="AnMP",Pole_Calc!A$11,
IF(H369="A",Pole_Calc!A$12,
IF(H369="S/A",Pole_Calc!A$13,
IF(H369="A/S",Pole_Calc!A$14,"Poner a mano")))))))</f>
        <v/>
      </c>
      <c r="BE369" s="429" t="s">
        <v>118</v>
      </c>
      <c r="BF369" s="290"/>
      <c r="BG369" s="290"/>
      <c r="BH369" s="290"/>
      <c r="BI369" s="290"/>
    </row>
    <row r="370" spans="1:61" ht="16.149999999999999" customHeight="1">
      <c r="A370" s="514"/>
      <c r="B370" s="450" t="s">
        <v>1124</v>
      </c>
      <c r="C370" s="3">
        <f>+$C$368+$G$369</f>
        <v>39042.360000000008</v>
      </c>
      <c r="D370" s="83"/>
      <c r="E370" s="4"/>
      <c r="F370" s="4">
        <v>1566.9633507851613</v>
      </c>
      <c r="G370" s="6"/>
      <c r="H370" s="449" t="s">
        <v>121</v>
      </c>
      <c r="I370" s="4" t="s">
        <v>122</v>
      </c>
      <c r="J370" s="3"/>
      <c r="K370" s="449"/>
      <c r="L370" s="449" t="s">
        <v>181</v>
      </c>
      <c r="M370" s="449" t="str">
        <f>IF(L370="","",
IF(AX370="PT",VLOOKUP(L370,Foundation_Calc!$V$79:$X$113,VLOOKUP(AX370,Foundation_Calc!$I$10:$J$13,2,FALSE),0),
IF(AX370="K",VLOOKUP(L370,Foundation_Calc!$V$117:$X$151,VLOOKUP(AX370,Foundation_Calc!$I$10:$J$13,2,FALSE),0),"")))</f>
        <v>C5RT</v>
      </c>
      <c r="N370" s="449" t="s">
        <v>134</v>
      </c>
      <c r="O370" s="449"/>
      <c r="P370" s="449"/>
      <c r="Q370" s="4"/>
      <c r="R370" s="6"/>
      <c r="S370" s="6"/>
      <c r="T370" s="4">
        <v>30</v>
      </c>
      <c r="U370" s="4"/>
      <c r="V370" s="4"/>
      <c r="W370" s="9">
        <v>1.4</v>
      </c>
      <c r="X370" s="9"/>
      <c r="Y370" s="9"/>
      <c r="Z370" s="9"/>
      <c r="AA370" s="9"/>
      <c r="AB370" s="9"/>
      <c r="AC370" s="449" t="str">
        <f t="shared" si="42"/>
        <v>PHQ</v>
      </c>
      <c r="AD370" s="449"/>
      <c r="AE370" s="449"/>
      <c r="AF370" s="4"/>
      <c r="AG370" s="83"/>
      <c r="AH370" s="4"/>
      <c r="AI370" s="4"/>
      <c r="AJ370" s="449"/>
      <c r="AK370" s="449"/>
      <c r="AL370" s="449"/>
      <c r="AM370" s="449" t="s">
        <v>126</v>
      </c>
      <c r="AN370" s="10">
        <v>5.5</v>
      </c>
      <c r="AO370" s="9"/>
      <c r="AP370" s="9"/>
      <c r="AQ370" s="9"/>
      <c r="AR370" s="9"/>
      <c r="AS370" s="9"/>
      <c r="AT370" s="9">
        <f>+ab($T$370,$T$368,$U$372,$G$369,$G$371, 1*$F$370,1200)</f>
        <v>5.7903673695612925</v>
      </c>
      <c r="AU370" s="428"/>
      <c r="AV370" s="428"/>
      <c r="AW370" s="449" t="str">
        <f>IF(C370&gt;0,VLOOKUP(C370,Foundation_Calc!$A$2:$C$13,3,1),
IF(J370&gt;0,VLOOKUP(J370,Foundation_Calc!$A$2:$C$13,3,1),""))</f>
        <v>Multi Soil</v>
      </c>
      <c r="AX370" s="449" t="str">
        <f>IF(C370&gt;0,VLOOKUP(C370,Foundation_Calc!$E$35:$G$65,3,1),
IF(J370&gt;0,VLOOKUP(J370,Foundation_Calc!$E$35:$G$65,3,1),""))</f>
        <v>K</v>
      </c>
      <c r="AY370" s="10">
        <f>IF(L370="","",
IF(AX370="PT",VLOOKUP(L370,Foundation_Calc!$K$79:$R$113,VLOOKUP(AW370,Foundation_Calc!$I$2:$J$8,2,FALSE),0),
IF(AX370="K",VLOOKUP(L370,Foundation_Calc!$K$117:$R$151,VLOOKUP(AW370,Foundation_Calc!$I$2:$J$8,2,FALSE),0),"")))</f>
        <v>4</v>
      </c>
      <c r="AZ370" s="10" t="str">
        <f>IF(K370="","",
IF(AX370="PT",VLOOKUP(K370,Foundation_Calc!$K$79:$R$113,VLOOKUP(AW370,Foundation_Calc!$I$2:$J$8,2,FALSE),0),
IF(AX370="K",VLOOKUP(K370,Foundation_Calc!$K$117:$R$151,VLOOKUP(AW370,Foundation_Calc!$I$2:$J$8,2,FALSE),0),"")))</f>
        <v/>
      </c>
      <c r="BA370" s="495" t="str">
        <f t="shared" si="43"/>
        <v>ü</v>
      </c>
      <c r="BB370" s="495" t="str">
        <f t="shared" si="44"/>
        <v/>
      </c>
      <c r="BC370" s="495" t="str">
        <f t="shared" si="45"/>
        <v/>
      </c>
      <c r="BD370" s="513" t="str">
        <f>IF(AND(L370="",H370=""),"",
IF(H370="",Pole_Calc!A$9,
IF(H370="MP",Pole_Calc!A$10,
IF(H370="AnMP",Pole_Calc!A$11,
IF(H370="A",Pole_Calc!A$12,
IF(H370="S/A",Pole_Calc!A$13,
IF(H370="A/S",Pole_Calc!A$14,"Poner a mano")))))))</f>
        <v>App.7-V11I-P9.5.1.6</v>
      </c>
      <c r="BE370" s="429" t="s">
        <v>118</v>
      </c>
      <c r="BF370" s="289"/>
      <c r="BG370" s="289"/>
      <c r="BH370" s="290"/>
      <c r="BI370" s="289"/>
    </row>
    <row r="371" spans="1:61" ht="16.149999999999999" customHeight="1">
      <c r="A371" s="517"/>
      <c r="B371" s="450"/>
      <c r="C371" s="3"/>
      <c r="D371" s="83"/>
      <c r="E371" s="4"/>
      <c r="F371" s="4"/>
      <c r="G371" s="6">
        <v>40</v>
      </c>
      <c r="H371" s="449"/>
      <c r="I371" s="4"/>
      <c r="J371" s="3"/>
      <c r="K371" s="449"/>
      <c r="L371" s="449"/>
      <c r="M371" s="449" t="str">
        <f>IF(L371="","",
IF(AX371="PT",VLOOKUP(L371,Foundation_Calc!$V$79:$X$113,VLOOKUP(AX371,Foundation_Calc!$I$10:$J$13,2,FALSE),0),
IF(AX371="K",VLOOKUP(L371,Foundation_Calc!$V$117:$X$151,VLOOKUP(AX371,Foundation_Calc!$I$10:$J$13,2,FALSE),0),"")))</f>
        <v/>
      </c>
      <c r="N371" s="449"/>
      <c r="O371" s="449"/>
      <c r="P371" s="449"/>
      <c r="Q371" s="4"/>
      <c r="R371" s="6"/>
      <c r="S371" s="6"/>
      <c r="T371" s="4"/>
      <c r="U371" s="4"/>
      <c r="V371" s="4"/>
      <c r="W371" s="9"/>
      <c r="X371" s="9"/>
      <c r="Y371" s="9"/>
      <c r="Z371" s="9"/>
      <c r="AA371" s="9"/>
      <c r="AB371" s="9"/>
      <c r="AC371" s="449" t="str">
        <f t="shared" si="42"/>
        <v/>
      </c>
      <c r="AD371" s="449"/>
      <c r="AE371" s="449"/>
      <c r="AF371" s="4"/>
      <c r="AG371" s="83"/>
      <c r="AH371" s="4"/>
      <c r="AI371" s="4"/>
      <c r="AJ371" s="449"/>
      <c r="AK371" s="449"/>
      <c r="AL371" s="449"/>
      <c r="AM371" s="449"/>
      <c r="AN371" s="10"/>
      <c r="AO371" s="9"/>
      <c r="AP371" s="9"/>
      <c r="AQ371" s="9">
        <f>+FL_1($U$372,$T$370,$G$371,1200,9.28, 1*$F$372)</f>
        <v>0.30378819174811927</v>
      </c>
      <c r="AR371" s="9"/>
      <c r="AS371" s="9"/>
      <c r="AT371" s="9"/>
      <c r="AU371" s="428"/>
      <c r="AV371" s="428"/>
      <c r="AW371" s="449" t="str">
        <f>IF(C371&gt;0,VLOOKUP(C371,Foundation_Calc!$A$2:$C$13,3,1),
IF(J371&gt;0,VLOOKUP(J371,Foundation_Calc!$A$2:$C$13,3,1),""))</f>
        <v/>
      </c>
      <c r="AX371" s="449" t="str">
        <f>IF(C371&gt;0,VLOOKUP(C371,Foundation_Calc!$E$35:$G$65,3,1),
IF(J371&gt;0,VLOOKUP(J371,Foundation_Calc!$E$35:$G$65,3,1),""))</f>
        <v/>
      </c>
      <c r="AY371" s="10" t="str">
        <f>IF(L371="","",
IF(AX371="PT",VLOOKUP(L371,Foundation_Calc!$K$79:$R$113,VLOOKUP(AW371,Foundation_Calc!$I$2:$J$8,2,FALSE),0),
IF(AX371="K",VLOOKUP(L371,Foundation_Calc!$K$117:$R$151,VLOOKUP(AW371,Foundation_Calc!$I$2:$J$8,2,FALSE),0),"")))</f>
        <v/>
      </c>
      <c r="AZ371" s="10" t="str">
        <f>IF(K371="","",
IF(AX371="PT",VLOOKUP(K371,Foundation_Calc!$K$79:$R$113,VLOOKUP(AW371,Foundation_Calc!$I$2:$J$8,2,FALSE),0),
IF(AX371="K",VLOOKUP(K371,Foundation_Calc!$K$117:$R$151,VLOOKUP(AW371,Foundation_Calc!$I$2:$J$8,2,FALSE),0),"")))</f>
        <v/>
      </c>
      <c r="BA371" s="495" t="str">
        <f t="shared" si="43"/>
        <v/>
      </c>
      <c r="BB371" s="495" t="str">
        <f t="shared" si="44"/>
        <v/>
      </c>
      <c r="BC371" s="495" t="str">
        <f t="shared" si="45"/>
        <v/>
      </c>
      <c r="BD371" s="513" t="str">
        <f>IF(AND(L371="",H371=""),"",
IF(H371="",Pole_Calc!A$9,
IF(H371="MP",Pole_Calc!A$10,
IF(H371="AnMP",Pole_Calc!A$11,
IF(H371="A",Pole_Calc!A$12,
IF(H371="S/A",Pole_Calc!A$13,
IF(H371="A/S",Pole_Calc!A$14,"Poner a mano")))))))</f>
        <v/>
      </c>
      <c r="BE371" s="429" t="s">
        <v>118</v>
      </c>
      <c r="BF371" s="290"/>
      <c r="BG371" s="290"/>
      <c r="BH371" s="290"/>
      <c r="BI371" s="290"/>
    </row>
    <row r="372" spans="1:61" ht="16.149999999999999" customHeight="1">
      <c r="A372" s="517"/>
      <c r="B372" s="450" t="s">
        <v>1125</v>
      </c>
      <c r="C372" s="3">
        <f>+$C$370+$G$371</f>
        <v>39082.360000000008</v>
      </c>
      <c r="D372" s="83"/>
      <c r="E372" s="4"/>
      <c r="F372" s="4">
        <v>3288.90109890031</v>
      </c>
      <c r="G372" s="6"/>
      <c r="H372" s="449" t="s">
        <v>131</v>
      </c>
      <c r="I372" s="4"/>
      <c r="J372" s="3"/>
      <c r="K372" s="449"/>
      <c r="L372" s="449" t="s">
        <v>183</v>
      </c>
      <c r="M372" s="449" t="str">
        <f>IF(L372="","",
IF(AX372="PT",VLOOKUP(L372,Foundation_Calc!$V$79:$X$113,VLOOKUP(AX372,Foundation_Calc!$I$10:$J$13,2,FALSE),0),
IF(AX372="K",VLOOKUP(L372,Foundation_Calc!$V$117:$X$151,VLOOKUP(AX372,Foundation_Calc!$I$10:$J$13,2,FALSE),0),"")))</f>
        <v>2C3RT</v>
      </c>
      <c r="N372" s="449" t="s">
        <v>133</v>
      </c>
      <c r="O372" s="449" t="s">
        <v>134</v>
      </c>
      <c r="P372" s="449"/>
      <c r="Q372" s="4"/>
      <c r="R372" s="6"/>
      <c r="S372" s="6"/>
      <c r="T372" s="4">
        <v>20</v>
      </c>
      <c r="U372" s="4">
        <v>0</v>
      </c>
      <c r="V372" s="4"/>
      <c r="W372" s="9">
        <v>1.4</v>
      </c>
      <c r="X372" s="9">
        <v>2.2999999999999998</v>
      </c>
      <c r="Y372" s="9"/>
      <c r="Z372" s="9">
        <v>0.4</v>
      </c>
      <c r="AA372" s="9"/>
      <c r="AB372" s="9"/>
      <c r="AC372" s="449"/>
      <c r="AD372" s="449"/>
      <c r="AE372" s="449"/>
      <c r="AF372" s="4"/>
      <c r="AG372" s="83"/>
      <c r="AH372" s="4"/>
      <c r="AI372" s="4"/>
      <c r="AJ372" s="449"/>
      <c r="AK372" s="449"/>
      <c r="AL372" s="449"/>
      <c r="AM372" s="449" t="s">
        <v>126</v>
      </c>
      <c r="AN372" s="10">
        <v>5.5</v>
      </c>
      <c r="AO372" s="9"/>
      <c r="AP372" s="9"/>
      <c r="AQ372" s="9"/>
      <c r="AR372" s="9"/>
      <c r="AS372" s="9"/>
      <c r="AT372" s="9">
        <f>+ab($U$372,$T$370,$U$374,$G$371,$G$373, 1*$F$372,1200)</f>
        <v>14.236864077772402</v>
      </c>
      <c r="AU372" s="428"/>
      <c r="AV372" s="428"/>
      <c r="AW372" s="449" t="str">
        <f>IF(C372&gt;0,VLOOKUP(C372,Foundation_Calc!$A$2:$C$13,3,1),
IF(J372&gt;0,VLOOKUP(J372,Foundation_Calc!$A$2:$C$13,3,1),""))</f>
        <v>Multi Soil</v>
      </c>
      <c r="AX372" s="449" t="str">
        <f>IF(C372&gt;0,VLOOKUP(C372,Foundation_Calc!$E$35:$G$65,3,1),
IF(J372&gt;0,VLOOKUP(J372,Foundation_Calc!$E$35:$G$65,3,1),""))</f>
        <v>K</v>
      </c>
      <c r="AY372" s="10">
        <f>IF(L372="","",
IF(AX372="PT",VLOOKUP(L372,Foundation_Calc!$K$79:$R$113,VLOOKUP(AW372,Foundation_Calc!$I$2:$J$8,2,FALSE),0),
IF(AX372="K",VLOOKUP(L372,Foundation_Calc!$K$117:$R$151,VLOOKUP(AW372,Foundation_Calc!$I$2:$J$8,2,FALSE),0),"")))</f>
        <v>4.5</v>
      </c>
      <c r="AZ372" s="10" t="str">
        <f>IF(K372="","",
IF(AX372="PT",VLOOKUP(K372,Foundation_Calc!$K$79:$R$113,VLOOKUP(AW372,Foundation_Calc!$I$2:$J$8,2,FALSE),0),
IF(AX372="K",VLOOKUP(K372,Foundation_Calc!$K$117:$R$151,VLOOKUP(AW372,Foundation_Calc!$I$2:$J$8,2,FALSE),0),"")))</f>
        <v/>
      </c>
      <c r="BA372" s="495" t="str">
        <f t="shared" si="43"/>
        <v>ü</v>
      </c>
      <c r="BB372" s="495" t="str">
        <f t="shared" si="44"/>
        <v/>
      </c>
      <c r="BC372" s="495" t="str">
        <f t="shared" si="45"/>
        <v/>
      </c>
      <c r="BD372" s="513" t="str">
        <f>IF(AND(L372="",H372=""),"",
IF(H372="",Pole_Calc!A$9,
IF(H372="MP",Pole_Calc!A$10,
IF(H372="AnMP",Pole_Calc!A$11,
IF(H372="A",Pole_Calc!A$12,
IF(H372="S/A",Pole_Calc!A$13,
IF(H372="A/S",Pole_Calc!A$14,"Poner a mano")))))))</f>
        <v>App.7-V11I-P9.5.1.5</v>
      </c>
      <c r="BE372" s="429" t="s">
        <v>118</v>
      </c>
      <c r="BF372" s="289"/>
      <c r="BG372" s="289"/>
      <c r="BH372" s="290"/>
      <c r="BI372" s="289"/>
    </row>
    <row r="373" spans="1:61" ht="16.149999999999999" customHeight="1">
      <c r="A373" s="518"/>
      <c r="B373" s="450"/>
      <c r="C373" s="3"/>
      <c r="D373" s="83"/>
      <c r="E373" s="4"/>
      <c r="F373" s="4"/>
      <c r="G373" s="6">
        <v>45</v>
      </c>
      <c r="H373" s="449"/>
      <c r="I373" s="4"/>
      <c r="J373" s="3"/>
      <c r="K373" s="449"/>
      <c r="L373" s="449"/>
      <c r="M373" s="449" t="str">
        <f>IF(L373="","",
IF(AX373="PT",VLOOKUP(L373,Foundation_Calc!$V$79:$X$113,VLOOKUP(AX373,Foundation_Calc!$I$10:$J$13,2,FALSE),0),
IF(AX373="K",VLOOKUP(L373,Foundation_Calc!$V$117:$X$151,VLOOKUP(AX373,Foundation_Calc!$I$10:$J$13,2,FALSE),0),"")))</f>
        <v/>
      </c>
      <c r="N373" s="449"/>
      <c r="O373" s="449"/>
      <c r="P373" s="449"/>
      <c r="Q373" s="4"/>
      <c r="R373" s="6"/>
      <c r="S373" s="6"/>
      <c r="T373" s="4"/>
      <c r="U373" s="4"/>
      <c r="V373" s="4"/>
      <c r="W373" s="9"/>
      <c r="X373" s="9"/>
      <c r="Y373" s="9"/>
      <c r="Z373" s="9"/>
      <c r="AA373" s="9"/>
      <c r="AB373" s="9"/>
      <c r="AC373" s="449" t="str">
        <f t="shared" si="42"/>
        <v/>
      </c>
      <c r="AD373" s="449"/>
      <c r="AE373" s="449"/>
      <c r="AF373" s="4"/>
      <c r="AG373" s="83"/>
      <c r="AH373" s="4"/>
      <c r="AI373" s="4"/>
      <c r="AJ373" s="449"/>
      <c r="AK373" s="449"/>
      <c r="AL373" s="449"/>
      <c r="AM373" s="449"/>
      <c r="AN373" s="10"/>
      <c r="AO373" s="9"/>
      <c r="AP373" s="9"/>
      <c r="AQ373" s="9">
        <f>+FL_2($T$374,$U$372,$G$373,1200,9.28, 1*$F$374)</f>
        <v>-0.27793390800000001</v>
      </c>
      <c r="AR373" s="9"/>
      <c r="AS373" s="9"/>
      <c r="AT373" s="9"/>
      <c r="AU373" s="428"/>
      <c r="AV373" s="428"/>
      <c r="AW373" s="449" t="str">
        <f>IF(C373&gt;0,VLOOKUP(C373,Foundation_Calc!$A$2:$C$13,3,1),
IF(J373&gt;0,VLOOKUP(J373,Foundation_Calc!$A$2:$C$13,3,1),""))</f>
        <v/>
      </c>
      <c r="AX373" s="449" t="str">
        <f>IF(C373&gt;0,VLOOKUP(C373,Foundation_Calc!$E$35:$G$65,3,1),
IF(J373&gt;0,VLOOKUP(J373,Foundation_Calc!$E$35:$G$65,3,1),""))</f>
        <v/>
      </c>
      <c r="AY373" s="10" t="str">
        <f>IF(L373="","",
IF(AX373="PT",VLOOKUP(L373,Foundation_Calc!$K$79:$R$113,VLOOKUP(AW373,Foundation_Calc!$I$2:$J$8,2,FALSE),0),
IF(AX373="K",VLOOKUP(L373,Foundation_Calc!$K$117:$R$151,VLOOKUP(AW373,Foundation_Calc!$I$2:$J$8,2,FALSE),0),"")))</f>
        <v/>
      </c>
      <c r="AZ373" s="10" t="str">
        <f>IF(K373="","",
IF(AX373="PT",VLOOKUP(K373,Foundation_Calc!$K$79:$R$113,VLOOKUP(AW373,Foundation_Calc!$I$2:$J$8,2,FALSE),0),
IF(AX373="K",VLOOKUP(K373,Foundation_Calc!$K$117:$R$151,VLOOKUP(AW373,Foundation_Calc!$I$2:$J$8,2,FALSE),0),"")))</f>
        <v/>
      </c>
      <c r="BA373" s="495" t="str">
        <f t="shared" si="43"/>
        <v/>
      </c>
      <c r="BB373" s="495" t="str">
        <f t="shared" si="44"/>
        <v/>
      </c>
      <c r="BC373" s="495" t="str">
        <f t="shared" si="45"/>
        <v/>
      </c>
      <c r="BD373" s="513" t="str">
        <f>IF(AND(L373="",H373=""),"",
IF(H373="",Pole_Calc!A$9,
IF(H373="MP",Pole_Calc!A$10,
IF(H373="AnMP",Pole_Calc!A$11,
IF(H373="A",Pole_Calc!A$12,
IF(H373="S/A",Pole_Calc!A$13,
IF(H373="A/S",Pole_Calc!A$14,"Poner a mano")))))))</f>
        <v/>
      </c>
      <c r="BE373" s="429" t="s">
        <v>118</v>
      </c>
      <c r="BF373" s="290"/>
      <c r="BG373" s="290"/>
      <c r="BH373" s="290"/>
      <c r="BI373" s="290"/>
    </row>
    <row r="374" spans="1:61" ht="16.149999999999999" customHeight="1">
      <c r="A374" s="514"/>
      <c r="B374" s="450" t="s">
        <v>1126</v>
      </c>
      <c r="C374" s="3">
        <f>+$C$372+$G$373</f>
        <v>39127.360000000008</v>
      </c>
      <c r="D374" s="83"/>
      <c r="E374" s="4"/>
      <c r="F374" s="4">
        <v>0</v>
      </c>
      <c r="G374" s="6"/>
      <c r="H374" s="449" t="s">
        <v>131</v>
      </c>
      <c r="I374" s="4"/>
      <c r="J374" s="3"/>
      <c r="K374" s="449"/>
      <c r="L374" s="449" t="s">
        <v>183</v>
      </c>
      <c r="M374" s="449" t="str">
        <f>IF(L374="","",
IF(AX374="PT",VLOOKUP(L374,Foundation_Calc!$V$79:$X$113,VLOOKUP(AX374,Foundation_Calc!$I$10:$J$13,2,FALSE),0),
IF(AX374="K",VLOOKUP(L374,Foundation_Calc!$V$117:$X$151,VLOOKUP(AX374,Foundation_Calc!$I$10:$J$13,2,FALSE),0),"")))</f>
        <v>2C3RT</v>
      </c>
      <c r="N374" s="449" t="s">
        <v>124</v>
      </c>
      <c r="O374" s="449" t="s">
        <v>133</v>
      </c>
      <c r="P374" s="449"/>
      <c r="Q374" s="4"/>
      <c r="R374" s="6"/>
      <c r="S374" s="6"/>
      <c r="T374" s="4">
        <v>-15</v>
      </c>
      <c r="U374" s="4">
        <v>-35</v>
      </c>
      <c r="V374" s="4"/>
      <c r="W374" s="9">
        <v>1.4</v>
      </c>
      <c r="X374" s="9">
        <v>2.2999999999999998</v>
      </c>
      <c r="Y374" s="9"/>
      <c r="Z374" s="9"/>
      <c r="AA374" s="9">
        <v>0.4</v>
      </c>
      <c r="AB374" s="9"/>
      <c r="AC374" s="449" t="str">
        <f t="shared" si="42"/>
        <v>PH</v>
      </c>
      <c r="AD374" s="449"/>
      <c r="AE374" s="449"/>
      <c r="AF374" s="4"/>
      <c r="AG374" s="83"/>
      <c r="AH374" s="4"/>
      <c r="AI374" s="4"/>
      <c r="AJ374" s="449"/>
      <c r="AK374" s="449"/>
      <c r="AL374" s="449"/>
      <c r="AM374" s="449" t="s">
        <v>126</v>
      </c>
      <c r="AN374" s="10">
        <v>5.5</v>
      </c>
      <c r="AO374" s="9"/>
      <c r="AP374" s="9"/>
      <c r="AQ374" s="9"/>
      <c r="AR374" s="9"/>
      <c r="AS374" s="9"/>
      <c r="AT374" s="9">
        <f>+ab($T$374,$T$372,$T$376,$G$373,$G$375, 1*$F$374,1200)</f>
        <v>-11.984358836454007</v>
      </c>
      <c r="AU374" s="428"/>
      <c r="AV374" s="428"/>
      <c r="AW374" s="449" t="str">
        <f>IF(C374&gt;0,VLOOKUP(C374,Foundation_Calc!$A$2:$C$13,3,1),
IF(J374&gt;0,VLOOKUP(J374,Foundation_Calc!$A$2:$C$13,3,1),""))</f>
        <v>Multi Soil</v>
      </c>
      <c r="AX374" s="449" t="str">
        <f>IF(C374&gt;0,VLOOKUP(C374,Foundation_Calc!$E$35:$G$65,3,1),
IF(J374&gt;0,VLOOKUP(J374,Foundation_Calc!$E$35:$G$65,3,1),""))</f>
        <v>K</v>
      </c>
      <c r="AY374" s="10">
        <f>IF(L374="","",
IF(AX374="PT",VLOOKUP(L374,Foundation_Calc!$K$79:$R$113,VLOOKUP(AW374,Foundation_Calc!$I$2:$J$8,2,FALSE),0),
IF(AX374="K",VLOOKUP(L374,Foundation_Calc!$K$117:$R$151,VLOOKUP(AW374,Foundation_Calc!$I$2:$J$8,2,FALSE),0),"")))</f>
        <v>4.5</v>
      </c>
      <c r="AZ374" s="10" t="str">
        <f>IF(K374="","",
IF(AX374="PT",VLOOKUP(K374,Foundation_Calc!$K$79:$R$113,VLOOKUP(AW374,Foundation_Calc!$I$2:$J$8,2,FALSE),0),
IF(AX374="K",VLOOKUP(K374,Foundation_Calc!$K$117:$R$151,VLOOKUP(AW374,Foundation_Calc!$I$2:$J$8,2,FALSE),0),"")))</f>
        <v/>
      </c>
      <c r="BA374" s="495" t="str">
        <f t="shared" si="43"/>
        <v>ü</v>
      </c>
      <c r="BB374" s="495" t="str">
        <f t="shared" si="44"/>
        <v/>
      </c>
      <c r="BC374" s="495" t="str">
        <f t="shared" si="45"/>
        <v/>
      </c>
      <c r="BD374" s="513" t="str">
        <f>IF(AND(L374="",H374=""),"",
IF(H374="",Pole_Calc!A$9,
IF(H374="MP",Pole_Calc!A$10,
IF(H374="AnMP",Pole_Calc!A$11,
IF(H374="A",Pole_Calc!A$12,
IF(H374="S/A",Pole_Calc!A$13,
IF(H374="A/S",Pole_Calc!A$14,"Poner a mano")))))))</f>
        <v>App.7-V11I-P9.5.1.5</v>
      </c>
      <c r="BE374" s="429" t="s">
        <v>118</v>
      </c>
      <c r="BF374" s="289"/>
      <c r="BG374" s="289"/>
      <c r="BH374" s="290"/>
      <c r="BI374" s="289"/>
    </row>
    <row r="375" spans="1:61" ht="16.149999999999999" customHeight="1">
      <c r="A375" s="517"/>
      <c r="B375" s="450"/>
      <c r="C375" s="3"/>
      <c r="D375" s="83"/>
      <c r="E375" s="4"/>
      <c r="F375" s="4"/>
      <c r="G375" s="6">
        <v>50</v>
      </c>
      <c r="H375" s="449"/>
      <c r="I375" s="4"/>
      <c r="J375" s="3"/>
      <c r="K375" s="449"/>
      <c r="L375" s="449"/>
      <c r="M375" s="449" t="str">
        <f>IF(L375="","",
IF(AX375="PT",VLOOKUP(L375,Foundation_Calc!$V$79:$X$113,VLOOKUP(AX375,Foundation_Calc!$I$10:$J$13,2,FALSE),0),
IF(AX375="K",VLOOKUP(L375,Foundation_Calc!$V$117:$X$151,VLOOKUP(AX375,Foundation_Calc!$I$10:$J$13,2,FALSE),0),"")))</f>
        <v/>
      </c>
      <c r="N375" s="449"/>
      <c r="O375" s="449"/>
      <c r="P375" s="449"/>
      <c r="Q375" s="4"/>
      <c r="R375" s="6"/>
      <c r="S375" s="6"/>
      <c r="T375" s="4"/>
      <c r="U375" s="4"/>
      <c r="V375" s="4"/>
      <c r="W375" s="9"/>
      <c r="X375" s="9"/>
      <c r="Y375" s="9"/>
      <c r="Z375" s="9"/>
      <c r="AA375" s="9"/>
      <c r="AB375" s="9"/>
      <c r="AC375" s="449" t="str">
        <f t="shared" si="42"/>
        <v/>
      </c>
      <c r="AD375" s="449"/>
      <c r="AE375" s="449"/>
      <c r="AF375" s="4"/>
      <c r="AG375" s="83"/>
      <c r="AH375" s="4"/>
      <c r="AI375" s="4"/>
      <c r="AJ375" s="449"/>
      <c r="AK375" s="449"/>
      <c r="AL375" s="449"/>
      <c r="AM375" s="449"/>
      <c r="AN375" s="10"/>
      <c r="AO375" s="9"/>
      <c r="AP375" s="9"/>
      <c r="AQ375" s="9">
        <f>+FL_1($T$376,$T$374,$G$375,1200,9.28, 1*$F$376)</f>
        <v>0.33304596799999997</v>
      </c>
      <c r="AR375" s="9"/>
      <c r="AS375" s="9"/>
      <c r="AT375" s="9"/>
      <c r="AU375" s="428"/>
      <c r="AV375" s="428"/>
      <c r="AW375" s="449" t="str">
        <f>IF(C375&gt;0,VLOOKUP(C375,Foundation_Calc!$A$2:$C$13,3,1),
IF(J375&gt;0,VLOOKUP(J375,Foundation_Calc!$A$2:$C$13,3,1),""))</f>
        <v/>
      </c>
      <c r="AX375" s="449" t="str">
        <f>IF(C375&gt;0,VLOOKUP(C375,Foundation_Calc!$E$35:$G$65,3,1),
IF(J375&gt;0,VLOOKUP(J375,Foundation_Calc!$E$35:$G$65,3,1),""))</f>
        <v/>
      </c>
      <c r="AY375" s="10" t="str">
        <f>IF(L375="","",
IF(AX375="PT",VLOOKUP(L375,Foundation_Calc!$K$79:$R$113,VLOOKUP(AW375,Foundation_Calc!$I$2:$J$8,2,FALSE),0),
IF(AX375="K",VLOOKUP(L375,Foundation_Calc!$K$117:$R$151,VLOOKUP(AW375,Foundation_Calc!$I$2:$J$8,2,FALSE),0),"")))</f>
        <v/>
      </c>
      <c r="AZ375" s="10" t="str">
        <f>IF(K375="","",
IF(AX375="PT",VLOOKUP(K375,Foundation_Calc!$K$79:$R$113,VLOOKUP(AW375,Foundation_Calc!$I$2:$J$8,2,FALSE),0),
IF(AX375="K",VLOOKUP(K375,Foundation_Calc!$K$117:$R$151,VLOOKUP(AW375,Foundation_Calc!$I$2:$J$8,2,FALSE),0),"")))</f>
        <v/>
      </c>
      <c r="BA375" s="495" t="str">
        <f t="shared" si="43"/>
        <v/>
      </c>
      <c r="BB375" s="495" t="str">
        <f t="shared" si="44"/>
        <v/>
      </c>
      <c r="BC375" s="495" t="str">
        <f t="shared" si="45"/>
        <v/>
      </c>
      <c r="BD375" s="513" t="str">
        <f>IF(AND(L375="",H375=""),"",
IF(H375="",Pole_Calc!A$9,
IF(H375="MP",Pole_Calc!A$10,
IF(H375="AnMP",Pole_Calc!A$11,
IF(H375="A",Pole_Calc!A$12,
IF(H375="S/A",Pole_Calc!A$13,
IF(H375="A/S",Pole_Calc!A$14,"Poner a mano")))))))</f>
        <v/>
      </c>
      <c r="BE375" s="429" t="s">
        <v>118</v>
      </c>
      <c r="BF375" s="290"/>
      <c r="BG375" s="290"/>
      <c r="BH375" s="290"/>
      <c r="BI375" s="290"/>
    </row>
    <row r="376" spans="1:61" ht="16.149999999999999" customHeight="1">
      <c r="A376" s="517"/>
      <c r="B376" s="450" t="s">
        <v>1127</v>
      </c>
      <c r="C376" s="3">
        <f>+$C$374+$G$375</f>
        <v>39177.360000000008</v>
      </c>
      <c r="D376" s="83"/>
      <c r="E376" s="4"/>
      <c r="F376" s="4">
        <v>0</v>
      </c>
      <c r="G376" s="6"/>
      <c r="H376" s="449" t="s">
        <v>121</v>
      </c>
      <c r="I376" s="4" t="s">
        <v>122</v>
      </c>
      <c r="J376" s="3"/>
      <c r="K376" s="449"/>
      <c r="L376" s="449" t="s">
        <v>151</v>
      </c>
      <c r="M376" s="449" t="str">
        <f>IF(L376="","",
IF(AX376="PT",VLOOKUP(L376,Foundation_Calc!$V$79:$X$113,VLOOKUP(AX376,Foundation_Calc!$I$10:$J$13,2,FALSE),0),
IF(AX376="K",VLOOKUP(L376,Foundation_Calc!$V$117:$X$151,VLOOKUP(AX376,Foundation_Calc!$I$10:$J$13,2,FALSE),0),"")))</f>
        <v>C4RT</v>
      </c>
      <c r="N376" s="449" t="s">
        <v>134</v>
      </c>
      <c r="O376" s="449"/>
      <c r="P376" s="449"/>
      <c r="Q376" s="4"/>
      <c r="R376" s="6"/>
      <c r="S376" s="6"/>
      <c r="T376" s="4">
        <v>25</v>
      </c>
      <c r="U376" s="4"/>
      <c r="V376" s="4"/>
      <c r="W376" s="9">
        <v>1.4</v>
      </c>
      <c r="X376" s="9"/>
      <c r="Y376" s="9"/>
      <c r="Z376" s="9"/>
      <c r="AA376" s="9"/>
      <c r="AB376" s="9"/>
      <c r="AC376" s="449" t="str">
        <f t="shared" si="42"/>
        <v>PH</v>
      </c>
      <c r="AD376" s="449"/>
      <c r="AE376" s="449"/>
      <c r="AF376" s="4"/>
      <c r="AG376" s="83"/>
      <c r="AH376" s="4"/>
      <c r="AI376" s="4"/>
      <c r="AJ376" s="449"/>
      <c r="AK376" s="449"/>
      <c r="AL376" s="449"/>
      <c r="AM376" s="449" t="s">
        <v>126</v>
      </c>
      <c r="AN376" s="10">
        <v>5.5</v>
      </c>
      <c r="AO376" s="9"/>
      <c r="AP376" s="9"/>
      <c r="AQ376" s="9"/>
      <c r="AR376" s="9"/>
      <c r="AS376" s="9"/>
      <c r="AT376" s="9">
        <f>+ab($T$376,$T$374,$T$378,$G$375,$G$377, 1*$F$376,1200)</f>
        <v>10.043975955335142</v>
      </c>
      <c r="AU376" s="428"/>
      <c r="AV376" s="428"/>
      <c r="AW376" s="449" t="str">
        <f>IF(C376&gt;0,VLOOKUP(C376,Foundation_Calc!$A$2:$C$13,3,1),
IF(J376&gt;0,VLOOKUP(J376,Foundation_Calc!$A$2:$C$13,3,1),""))</f>
        <v>Multi Soil</v>
      </c>
      <c r="AX376" s="449" t="str">
        <f>IF(C376&gt;0,VLOOKUP(C376,Foundation_Calc!$E$35:$G$65,3,1),
IF(J376&gt;0,VLOOKUP(J376,Foundation_Calc!$E$35:$G$65,3,1),""))</f>
        <v>K</v>
      </c>
      <c r="AY376" s="10">
        <f>IF(L376="","",
IF(AX376="PT",VLOOKUP(L376,Foundation_Calc!$K$79:$R$113,VLOOKUP(AW376,Foundation_Calc!$I$2:$J$8,2,FALSE),0),
IF(AX376="K",VLOOKUP(L376,Foundation_Calc!$K$117:$R$151,VLOOKUP(AW376,Foundation_Calc!$I$2:$J$8,2,FALSE),0),"")))</f>
        <v>4.2</v>
      </c>
      <c r="AZ376" s="10" t="str">
        <f>IF(K376="","",
IF(AX376="PT",VLOOKUP(K376,Foundation_Calc!$K$79:$R$113,VLOOKUP(AW376,Foundation_Calc!$I$2:$J$8,2,FALSE),0),
IF(AX376="K",VLOOKUP(K376,Foundation_Calc!$K$117:$R$151,VLOOKUP(AW376,Foundation_Calc!$I$2:$J$8,2,FALSE),0),"")))</f>
        <v/>
      </c>
      <c r="BA376" s="495" t="str">
        <f t="shared" si="43"/>
        <v>ü</v>
      </c>
      <c r="BB376" s="495" t="str">
        <f t="shared" si="44"/>
        <v/>
      </c>
      <c r="BC376" s="495" t="str">
        <f t="shared" si="45"/>
        <v/>
      </c>
      <c r="BD376" s="513" t="str">
        <f>IF(AND(L376="",H376=""),"",
IF(H376="",Pole_Calc!A$9,
IF(H376="MP",Pole_Calc!A$10,
IF(H376="AnMP",Pole_Calc!A$11,
IF(H376="A",Pole_Calc!A$12,
IF(H376="S/A",Pole_Calc!A$13,
IF(H376="A/S",Pole_Calc!A$14,"Poner a mano")))))))</f>
        <v>App.7-V11I-P9.5.1.6</v>
      </c>
      <c r="BE376" s="429" t="s">
        <v>118</v>
      </c>
      <c r="BF376" s="289"/>
      <c r="BG376" s="289"/>
      <c r="BH376" s="290"/>
      <c r="BI376" s="289"/>
    </row>
    <row r="377" spans="1:61" ht="16.149999999999999" customHeight="1">
      <c r="A377" s="514"/>
      <c r="B377" s="450"/>
      <c r="C377" s="3"/>
      <c r="D377" s="83"/>
      <c r="E377" s="4"/>
      <c r="F377" s="4"/>
      <c r="G377" s="6">
        <v>55</v>
      </c>
      <c r="H377" s="449"/>
      <c r="I377" s="4"/>
      <c r="J377" s="3">
        <f>C376+7.5</f>
        <v>39184.860000000008</v>
      </c>
      <c r="K377" s="449" t="s">
        <v>315</v>
      </c>
      <c r="L377" s="449"/>
      <c r="M377" s="449" t="str">
        <f>IF(L377="","",
IF(AX377="PT",VLOOKUP(L377,Foundation_Calc!$V$79:$X$113,VLOOKUP(AX377,Foundation_Calc!$I$10:$J$13,2,FALSE),0),
IF(AX377="K",VLOOKUP(L377,Foundation_Calc!$V$117:$X$151,VLOOKUP(AX377,Foundation_Calc!$I$10:$J$13,2,FALSE),0),"")))</f>
        <v/>
      </c>
      <c r="N377" s="449"/>
      <c r="O377" s="449"/>
      <c r="P377" s="449"/>
      <c r="Q377" s="4"/>
      <c r="R377" s="6"/>
      <c r="S377" s="6"/>
      <c r="T377" s="4"/>
      <c r="U377" s="4"/>
      <c r="V377" s="4"/>
      <c r="W377" s="9"/>
      <c r="X377" s="9"/>
      <c r="Y377" s="9"/>
      <c r="Z377" s="9"/>
      <c r="AA377" s="9"/>
      <c r="AB377" s="9"/>
      <c r="AC377" s="449" t="str">
        <f t="shared" si="42"/>
        <v/>
      </c>
      <c r="AD377" s="449"/>
      <c r="AE377" s="449"/>
      <c r="AF377" s="4"/>
      <c r="AG377" s="83"/>
      <c r="AH377" s="4"/>
      <c r="AI377" s="4"/>
      <c r="AJ377" s="449"/>
      <c r="AK377" s="449"/>
      <c r="AL377" s="449"/>
      <c r="AM377" s="449"/>
      <c r="AN377" s="10"/>
      <c r="AO377" s="9"/>
      <c r="AP377" s="9"/>
      <c r="AQ377" s="9">
        <f>+FL_2($T$378,$T$376,$G$377,1200,9.28, 1*$F$378)</f>
        <v>-0.41936166072727271</v>
      </c>
      <c r="AR377" s="9"/>
      <c r="AS377" s="9"/>
      <c r="AT377" s="9"/>
      <c r="AU377" s="428"/>
      <c r="AV377" s="428"/>
      <c r="AW377" s="449" t="str">
        <f>IF(C377&gt;0,VLOOKUP(C377,Foundation_Calc!$A$2:$C$13,3,1),
IF(J377&gt;0,VLOOKUP(J377,Foundation_Calc!$A$2:$C$13,3,1),""))</f>
        <v>Multi Soil</v>
      </c>
      <c r="AX377" s="449" t="str">
        <f>IF(C377&gt;0,VLOOKUP(C377,Foundation_Calc!$E$35:$G$65,3,1),
IF(J377&gt;0,VLOOKUP(J377,Foundation_Calc!$E$35:$G$65,3,1),""))</f>
        <v>K</v>
      </c>
      <c r="AY377" s="10" t="str">
        <f>IF(L377="","",
IF(AX377="PT",VLOOKUP(L377,Foundation_Calc!$K$79:$R$113,VLOOKUP(AW377,Foundation_Calc!$I$2:$J$8,2,FALSE),0),
IF(AX377="K",VLOOKUP(L377,Foundation_Calc!$K$117:$R$151,VLOOKUP(AW377,Foundation_Calc!$I$2:$J$8,2,FALSE),0),"")))</f>
        <v/>
      </c>
      <c r="AZ377" s="10">
        <f>IF(K377="","",
IF(AX377="PT",VLOOKUP(K377,Foundation_Calc!$K$79:$R$113,VLOOKUP(AW377,Foundation_Calc!$I$2:$J$8,2,FALSE),0),
IF(AX377="K",VLOOKUP(K377,Foundation_Calc!$K$117:$R$151,VLOOKUP(AW377,Foundation_Calc!$I$2:$J$8,2,FALSE),0),"")))</f>
        <v>3.9</v>
      </c>
      <c r="BA377" s="495" t="str">
        <f t="shared" si="43"/>
        <v/>
      </c>
      <c r="BB377" s="495" t="str">
        <f t="shared" si="44"/>
        <v>ü</v>
      </c>
      <c r="BC377" s="495" t="str">
        <f t="shared" si="45"/>
        <v/>
      </c>
      <c r="BD377" s="513" t="str">
        <f>IF(AND(L377="",H377=""),"",
IF(H377="",Pole_Calc!A$9,
IF(H377="MP",Pole_Calc!A$10,
IF(H377="AnMP",Pole_Calc!A$11,
IF(H377="A",Pole_Calc!A$12,
IF(H377="S/A",Pole_Calc!A$13,
IF(H377="A/S",Pole_Calc!A$14,"Poner a mano")))))))</f>
        <v/>
      </c>
      <c r="BE377" s="429" t="s">
        <v>118</v>
      </c>
      <c r="BF377" s="290"/>
      <c r="BG377" s="290"/>
      <c r="BH377" s="290"/>
      <c r="BI377" s="290"/>
    </row>
    <row r="378" spans="1:61" ht="16.149999999999999" customHeight="1">
      <c r="A378" s="545"/>
      <c r="B378" s="450" t="s">
        <v>1128</v>
      </c>
      <c r="C378" s="3">
        <f>+$C$376+$G$377</f>
        <v>39232.360000000008</v>
      </c>
      <c r="D378" s="83"/>
      <c r="E378" s="4"/>
      <c r="F378" s="4">
        <v>0</v>
      </c>
      <c r="G378" s="6"/>
      <c r="H378" s="449"/>
      <c r="I378" s="4"/>
      <c r="J378" s="3"/>
      <c r="K378" s="449"/>
      <c r="L378" s="449" t="s">
        <v>153</v>
      </c>
      <c r="M378" s="449" t="str">
        <f>IF(L378="","",
IF(AX378="PT",VLOOKUP(L378,Foundation_Calc!$V$79:$X$113,VLOOKUP(AX378,Foundation_Calc!$I$10:$J$13,2,FALSE),0),
IF(AX378="K",VLOOKUP(L378,Foundation_Calc!$V$117:$X$151,VLOOKUP(AX378,Foundation_Calc!$I$10:$J$13,2,FALSE),0),"")))</f>
        <v>C3RT</v>
      </c>
      <c r="N378" s="449" t="s">
        <v>124</v>
      </c>
      <c r="O378" s="449"/>
      <c r="P378" s="449"/>
      <c r="Q378" s="4"/>
      <c r="R378" s="6"/>
      <c r="S378" s="6"/>
      <c r="T378" s="4">
        <v>-35</v>
      </c>
      <c r="U378" s="4"/>
      <c r="V378" s="4"/>
      <c r="W378" s="9">
        <v>1.4</v>
      </c>
      <c r="X378" s="9"/>
      <c r="Y378" s="9"/>
      <c r="Z378" s="9"/>
      <c r="AA378" s="9"/>
      <c r="AB378" s="9"/>
      <c r="AC378" s="449" t="str">
        <f t="shared" si="42"/>
        <v>PH</v>
      </c>
      <c r="AD378" s="449"/>
      <c r="AE378" s="449"/>
      <c r="AF378" s="4"/>
      <c r="AG378" s="83"/>
      <c r="AH378" s="4"/>
      <c r="AI378" s="4"/>
      <c r="AJ378" s="449"/>
      <c r="AK378" s="449"/>
      <c r="AL378" s="449"/>
      <c r="AM378" s="449" t="s">
        <v>126</v>
      </c>
      <c r="AN378" s="10">
        <v>5.5</v>
      </c>
      <c r="AO378" s="9"/>
      <c r="AP378" s="9"/>
      <c r="AQ378" s="9"/>
      <c r="AR378" s="9"/>
      <c r="AS378" s="9"/>
      <c r="AT378" s="9">
        <f>+ab($T$378,$T$376,$T$380,$G$377,$G$379, 1*$F$378,1200)</f>
        <v>-8.0648660649544208</v>
      </c>
      <c r="AU378" s="428"/>
      <c r="AV378" s="428"/>
      <c r="AW378" s="449" t="str">
        <f>IF(C378&gt;0,VLOOKUP(C378,Foundation_Calc!$A$2:$C$13,3,1),
IF(J378&gt;0,VLOOKUP(J378,Foundation_Calc!$A$2:$C$13,3,1),""))</f>
        <v>Multi Soil</v>
      </c>
      <c r="AX378" s="449" t="str">
        <f>IF(C378&gt;0,VLOOKUP(C378,Foundation_Calc!$E$35:$G$65,3,1),
IF(J378&gt;0,VLOOKUP(J378,Foundation_Calc!$E$35:$G$65,3,1),""))</f>
        <v>K</v>
      </c>
      <c r="AY378" s="10">
        <f>IF(L378="","",
IF(AX378="PT",VLOOKUP(L378,Foundation_Calc!$K$79:$R$113,VLOOKUP(AW378,Foundation_Calc!$I$2:$J$8,2,FALSE),0),
IF(AX378="K",VLOOKUP(L378,Foundation_Calc!$K$117:$R$151,VLOOKUP(AW378,Foundation_Calc!$I$2:$J$8,2,FALSE),0),"")))</f>
        <v>4</v>
      </c>
      <c r="AZ378" s="10" t="str">
        <f>IF(K378="","",
IF(AX378="PT",VLOOKUP(K378,Foundation_Calc!$K$79:$R$113,VLOOKUP(AW378,Foundation_Calc!$I$2:$J$8,2,FALSE),0),
IF(AX378="K",VLOOKUP(K378,Foundation_Calc!$K$117:$R$151,VLOOKUP(AW378,Foundation_Calc!$I$2:$J$8,2,FALSE),0),"")))</f>
        <v/>
      </c>
      <c r="BA378" s="495" t="str">
        <f t="shared" si="43"/>
        <v>ü</v>
      </c>
      <c r="BB378" s="495" t="str">
        <f t="shared" si="44"/>
        <v/>
      </c>
      <c r="BC378" s="495" t="str">
        <f t="shared" si="45"/>
        <v/>
      </c>
      <c r="BD378" s="513" t="str">
        <f>IF(AND(L378="",H378=""),"",
IF(H378="",Pole_Calc!A$9,
IF(H378="MP",Pole_Calc!A$10,
IF(H378="AnMP",Pole_Calc!A$11,
IF(H378="A",Pole_Calc!A$12,
IF(H378="S/A",Pole_Calc!A$13,
IF(H378="A/S",Pole_Calc!A$14,"Poner a mano")))))))</f>
        <v>App.7-V11I-P9.5.1.1</v>
      </c>
      <c r="BE378" s="429" t="s">
        <v>118</v>
      </c>
      <c r="BF378" s="289"/>
      <c r="BG378" s="289"/>
      <c r="BH378" s="290"/>
      <c r="BI378" s="289"/>
    </row>
    <row r="379" spans="1:61" ht="16.149999999999999" customHeight="1">
      <c r="A379" s="545"/>
      <c r="B379" s="450"/>
      <c r="C379" s="3"/>
      <c r="D379" s="83"/>
      <c r="E379" s="4"/>
      <c r="F379" s="4"/>
      <c r="G379" s="6">
        <v>55</v>
      </c>
      <c r="H379" s="449"/>
      <c r="I379" s="4"/>
      <c r="J379" s="3"/>
      <c r="K379" s="449"/>
      <c r="L379" s="449"/>
      <c r="M379" s="449" t="str">
        <f>IF(L379="","",
IF(AX379="PT",VLOOKUP(L379,Foundation_Calc!$V$79:$X$113,VLOOKUP(AX379,Foundation_Calc!$I$10:$J$13,2,FALSE),0),
IF(AX379="K",VLOOKUP(L379,Foundation_Calc!$V$117:$X$151,VLOOKUP(AX379,Foundation_Calc!$I$10:$J$13,2,FALSE),0),"")))</f>
        <v/>
      </c>
      <c r="N379" s="449"/>
      <c r="O379" s="449"/>
      <c r="P379" s="449"/>
      <c r="Q379" s="4"/>
      <c r="R379" s="6"/>
      <c r="S379" s="6"/>
      <c r="T379" s="4"/>
      <c r="U379" s="4"/>
      <c r="V379" s="4"/>
      <c r="W379" s="572"/>
      <c r="X379" s="9"/>
      <c r="Y379" s="9"/>
      <c r="Z379" s="9"/>
      <c r="AA379" s="9"/>
      <c r="AB379" s="9"/>
      <c r="AC379" s="449" t="str">
        <f t="shared" si="42"/>
        <v/>
      </c>
      <c r="AD379" s="449"/>
      <c r="AE379" s="449"/>
      <c r="AF379" s="4"/>
      <c r="AG379" s="83"/>
      <c r="AH379" s="4"/>
      <c r="AI379" s="4"/>
      <c r="AJ379" s="449"/>
      <c r="AK379" s="449"/>
      <c r="AL379" s="449"/>
      <c r="AM379" s="449"/>
      <c r="AN379" s="10"/>
      <c r="AO379" s="9"/>
      <c r="AP379" s="9"/>
      <c r="AQ379" s="9">
        <f>+FL_2($T$380,$T$378,$G$379,1200,9.28, 1*$F$380)</f>
        <v>-0.39714735709090898</v>
      </c>
      <c r="AR379" s="9"/>
      <c r="AS379" s="9"/>
      <c r="AT379" s="9"/>
      <c r="AU379" s="428"/>
      <c r="AV379" s="428"/>
      <c r="AW379" s="449" t="str">
        <f>IF(C379&gt;0,VLOOKUP(C379,Foundation_Calc!$A$2:$C$13,3,1),
IF(J379&gt;0,VLOOKUP(J379,Foundation_Calc!$A$2:$C$13,3,1),""))</f>
        <v/>
      </c>
      <c r="AX379" s="449" t="str">
        <f>IF(C379&gt;0,VLOOKUP(C379,Foundation_Calc!$E$35:$G$65,3,1),
IF(J379&gt;0,VLOOKUP(J379,Foundation_Calc!$E$35:$G$65,3,1),""))</f>
        <v/>
      </c>
      <c r="AY379" s="10" t="str">
        <f>IF(L379="","",
IF(AX379="PT",VLOOKUP(L379,Foundation_Calc!$K$79:$R$113,VLOOKUP(AW379,Foundation_Calc!$I$2:$J$8,2,FALSE),0),
IF(AX379="K",VLOOKUP(L379,Foundation_Calc!$K$117:$R$151,VLOOKUP(AW379,Foundation_Calc!$I$2:$J$8,2,FALSE),0),"")))</f>
        <v/>
      </c>
      <c r="AZ379" s="10" t="str">
        <f>IF(K379="","",
IF(AX379="PT",VLOOKUP(K379,Foundation_Calc!$K$79:$R$113,VLOOKUP(AW379,Foundation_Calc!$I$2:$J$8,2,FALSE),0),
IF(AX379="K",VLOOKUP(K379,Foundation_Calc!$K$117:$R$151,VLOOKUP(AW379,Foundation_Calc!$I$2:$J$8,2,FALSE),0),"")))</f>
        <v/>
      </c>
      <c r="BA379" s="495" t="str">
        <f t="shared" si="43"/>
        <v/>
      </c>
      <c r="BB379" s="495" t="str">
        <f t="shared" si="44"/>
        <v/>
      </c>
      <c r="BC379" s="495" t="str">
        <f t="shared" si="45"/>
        <v/>
      </c>
      <c r="BD379" s="513" t="str">
        <f>IF(AND(L379="",H379=""),"",
IF(H379="",Pole_Calc!A$9,
IF(H379="MP",Pole_Calc!A$10,
IF(H379="AnMP",Pole_Calc!A$11,
IF(H379="A",Pole_Calc!A$12,
IF(H379="S/A",Pole_Calc!A$13,
IF(H379="A/S",Pole_Calc!A$14,"Poner a mano")))))))</f>
        <v/>
      </c>
      <c r="BE379" s="429" t="s">
        <v>118</v>
      </c>
      <c r="BF379" s="290"/>
      <c r="BG379" s="290"/>
      <c r="BH379" s="290"/>
      <c r="BI379" s="290"/>
    </row>
    <row r="380" spans="1:61" ht="16.149999999999999" customHeight="1">
      <c r="A380" s="545"/>
      <c r="B380" s="450" t="s">
        <v>1129</v>
      </c>
      <c r="C380" s="3">
        <f>+$C$378+$G$379</f>
        <v>39287.360000000008</v>
      </c>
      <c r="D380" s="83"/>
      <c r="E380" s="4"/>
      <c r="F380" s="4">
        <v>0</v>
      </c>
      <c r="G380" s="6"/>
      <c r="H380" s="449"/>
      <c r="I380" s="4"/>
      <c r="J380" s="3"/>
      <c r="K380" s="449"/>
      <c r="L380" s="449" t="s">
        <v>153</v>
      </c>
      <c r="M380" s="449" t="str">
        <f>IF(L380="","",
IF(AX380="PT",VLOOKUP(L380,Foundation_Calc!$V$79:$X$113,VLOOKUP(AX380,Foundation_Calc!$I$10:$J$13,2,FALSE),0),
IF(AX380="K",VLOOKUP(L380,Foundation_Calc!$V$117:$X$151,VLOOKUP(AX380,Foundation_Calc!$I$10:$J$13,2,FALSE),0),"")))</f>
        <v>C3RT</v>
      </c>
      <c r="N380" s="449" t="s">
        <v>134</v>
      </c>
      <c r="O380" s="449"/>
      <c r="P380" s="449"/>
      <c r="Q380" s="4"/>
      <c r="R380" s="6"/>
      <c r="S380" s="6"/>
      <c r="T380" s="4">
        <v>35</v>
      </c>
      <c r="U380" s="4"/>
      <c r="V380" s="4"/>
      <c r="W380" s="9">
        <v>1.4</v>
      </c>
      <c r="X380" s="9"/>
      <c r="Y380" s="9"/>
      <c r="Z380" s="9"/>
      <c r="AA380" s="9"/>
      <c r="AB380" s="9"/>
      <c r="AC380" s="449" t="str">
        <f t="shared" si="42"/>
        <v>PHQ</v>
      </c>
      <c r="AD380" s="449"/>
      <c r="AE380" s="449"/>
      <c r="AF380" s="4"/>
      <c r="AG380" s="83"/>
      <c r="AH380" s="4"/>
      <c r="AI380" s="4"/>
      <c r="AJ380" s="449"/>
      <c r="AK380" s="449"/>
      <c r="AL380" s="449"/>
      <c r="AM380" s="449" t="s">
        <v>126</v>
      </c>
      <c r="AN380" s="10">
        <v>5.5</v>
      </c>
      <c r="AO380" s="9"/>
      <c r="AP380" s="9"/>
      <c r="AQ380" s="9"/>
      <c r="AR380" s="9"/>
      <c r="AS380" s="9"/>
      <c r="AT380" s="9">
        <f>+ab($T$380,$T$378,$T$382,$G$379,$G$381, 1*$F$380,1200)</f>
        <v>7.1424146886693025</v>
      </c>
      <c r="AU380" s="428"/>
      <c r="AV380" s="428"/>
      <c r="AW380" s="449" t="str">
        <f>IF(C380&gt;0,VLOOKUP(C380,Foundation_Calc!$A$2:$C$13,3,1),
IF(J380&gt;0,VLOOKUP(J380,Foundation_Calc!$A$2:$C$13,3,1),""))</f>
        <v>Multi Soil</v>
      </c>
      <c r="AX380" s="449" t="str">
        <f>IF(C380&gt;0,VLOOKUP(C380,Foundation_Calc!$E$35:$G$65,3,1),
IF(J380&gt;0,VLOOKUP(J380,Foundation_Calc!$E$35:$G$65,3,1),""))</f>
        <v>K</v>
      </c>
      <c r="AY380" s="10">
        <f>IF(L380="","",
IF(AX380="PT",VLOOKUP(L380,Foundation_Calc!$K$79:$R$113,VLOOKUP(AW380,Foundation_Calc!$I$2:$J$8,2,FALSE),0),
IF(AX380="K",VLOOKUP(L380,Foundation_Calc!$K$117:$R$151,VLOOKUP(AW380,Foundation_Calc!$I$2:$J$8,2,FALSE),0),"")))</f>
        <v>4</v>
      </c>
      <c r="AZ380" s="10" t="str">
        <f>IF(K380="","",
IF(AX380="PT",VLOOKUP(K380,Foundation_Calc!$K$79:$R$113,VLOOKUP(AW380,Foundation_Calc!$I$2:$J$8,2,FALSE),0),
IF(AX380="K",VLOOKUP(K380,Foundation_Calc!$K$117:$R$151,VLOOKUP(AW380,Foundation_Calc!$I$2:$J$8,2,FALSE),0),"")))</f>
        <v/>
      </c>
      <c r="BA380" s="495" t="str">
        <f t="shared" si="43"/>
        <v>ü</v>
      </c>
      <c r="BB380" s="495" t="str">
        <f t="shared" si="44"/>
        <v/>
      </c>
      <c r="BC380" s="495" t="str">
        <f t="shared" si="45"/>
        <v/>
      </c>
      <c r="BD380" s="513" t="str">
        <f>IF(AND(L380="",H380=""),"",
IF(H380="",Pole_Calc!A$9,
IF(H380="MP",Pole_Calc!A$10,
IF(H380="AnMP",Pole_Calc!A$11,
IF(H380="A",Pole_Calc!A$12,
IF(H380="S/A",Pole_Calc!A$13,
IF(H380="A/S",Pole_Calc!A$14,"Poner a mano")))))))</f>
        <v>App.7-V11I-P9.5.1.1</v>
      </c>
      <c r="BE380" s="429" t="s">
        <v>118</v>
      </c>
      <c r="BF380" s="289"/>
      <c r="BG380" s="289"/>
      <c r="BH380" s="290"/>
      <c r="BI380" s="289"/>
    </row>
    <row r="381" spans="1:61" ht="16.149999999999999" customHeight="1">
      <c r="A381" s="708" t="s">
        <v>392</v>
      </c>
      <c r="B381" s="697"/>
      <c r="C381" s="698"/>
      <c r="D381" s="699"/>
      <c r="E381" s="700"/>
      <c r="F381" s="700"/>
      <c r="G381" s="701">
        <v>50</v>
      </c>
      <c r="H381" s="702"/>
      <c r="I381" s="700"/>
      <c r="J381" s="698"/>
      <c r="K381" s="702"/>
      <c r="L381" s="702"/>
      <c r="M381" s="702" t="str">
        <f>IF(L381="","",
IF(AX381="PT",VLOOKUP(L381,Foundation_Calc!$V$79:$X$113,VLOOKUP(AX381,Foundation_Calc!$I$10:$J$13,2,FALSE),0),
IF(AX381="K",VLOOKUP(L381,Foundation_Calc!$V$117:$X$151,VLOOKUP(AX381,Foundation_Calc!$I$10:$J$13,2,FALSE),0),"")))</f>
        <v/>
      </c>
      <c r="N381" s="702"/>
      <c r="O381" s="702"/>
      <c r="P381" s="702"/>
      <c r="Q381" s="700"/>
      <c r="R381" s="701"/>
      <c r="S381" s="701"/>
      <c r="T381" s="700"/>
      <c r="U381" s="700"/>
      <c r="V381" s="700"/>
      <c r="W381" s="703"/>
      <c r="X381" s="703"/>
      <c r="Y381" s="703"/>
      <c r="Z381" s="703"/>
      <c r="AA381" s="703"/>
      <c r="AB381" s="703"/>
      <c r="AC381" s="702" t="str">
        <f t="shared" si="42"/>
        <v/>
      </c>
      <c r="AD381" s="702"/>
      <c r="AE381" s="702"/>
      <c r="AF381" s="700"/>
      <c r="AG381" s="699"/>
      <c r="AH381" s="700"/>
      <c r="AI381" s="700"/>
      <c r="AJ381" s="702"/>
      <c r="AK381" s="702"/>
      <c r="AL381" s="702"/>
      <c r="AM381" s="702"/>
      <c r="AN381" s="704"/>
      <c r="AO381" s="703"/>
      <c r="AP381" s="703"/>
      <c r="AQ381" s="703">
        <f>+FL_2($T$382,$T$380,$G$381,1200,9.28, 1*$F$382)</f>
        <v>-0.36839079999999996</v>
      </c>
      <c r="AR381" s="703"/>
      <c r="AS381" s="703"/>
      <c r="AT381" s="703"/>
      <c r="AU381" s="705"/>
      <c r="AV381" s="705"/>
      <c r="AW381" s="702" t="str">
        <f>IF(C381&gt;0,VLOOKUP(C381,Foundation_Calc!$A$2:$C$13,3,1),
IF(J381&gt;0,VLOOKUP(J381,Foundation_Calc!$A$2:$C$13,3,1),""))</f>
        <v/>
      </c>
      <c r="AX381" s="702" t="str">
        <f>IF(C381&gt;0,VLOOKUP(C381,Foundation_Calc!$E$35:$G$65,3,1),
IF(J381&gt;0,VLOOKUP(J381,Foundation_Calc!$E$35:$G$65,3,1),""))</f>
        <v/>
      </c>
      <c r="AY381" s="704" t="str">
        <f>IF(L381="","",
IF(AX381="PT",VLOOKUP(L381,Foundation_Calc!$K$79:$R$113,VLOOKUP(AW381,Foundation_Calc!$I$2:$J$8,2,FALSE),0),
IF(AX381="K",VLOOKUP(L381,Foundation_Calc!$K$117:$R$151,VLOOKUP(AW381,Foundation_Calc!$I$2:$J$8,2,FALSE),0),"")))</f>
        <v/>
      </c>
      <c r="AZ381" s="704" t="str">
        <f>IF(K381="","",
IF(AX381="PT",VLOOKUP(K381,Foundation_Calc!$K$79:$R$113,VLOOKUP(AW381,Foundation_Calc!$I$2:$J$8,2,FALSE),0),
IF(AX381="K",VLOOKUP(K381,Foundation_Calc!$K$117:$R$151,VLOOKUP(AW381,Foundation_Calc!$I$2:$J$8,2,FALSE),0),"")))</f>
        <v/>
      </c>
      <c r="BA381" s="495" t="str">
        <f t="shared" si="43"/>
        <v/>
      </c>
      <c r="BB381" s="495" t="str">
        <f t="shared" si="44"/>
        <v/>
      </c>
      <c r="BC381" s="495" t="str">
        <f t="shared" si="45"/>
        <v/>
      </c>
      <c r="BD381" s="513" t="str">
        <f>IF(AND(L381="",H381=""),"",
IF(H381="",Pole_Calc!A$9,
IF(H381="MP",Pole_Calc!A$10,
IF(H381="AnMP",Pole_Calc!A$11,
IF(H381="A",Pole_Calc!A$12,
IF(H381="S/A",Pole_Calc!A$13,
IF(H381="A/S",Pole_Calc!A$14,"Poner a mano")))))))</f>
        <v/>
      </c>
      <c r="BE381" s="429" t="s">
        <v>118</v>
      </c>
      <c r="BF381" s="290"/>
      <c r="BG381" s="290"/>
      <c r="BH381" s="290"/>
      <c r="BI381" s="290"/>
    </row>
    <row r="382" spans="1:61" ht="16.149999999999999" customHeight="1">
      <c r="A382" s="708" t="s">
        <v>393</v>
      </c>
      <c r="B382" s="697" t="s">
        <v>1130</v>
      </c>
      <c r="C382" s="698">
        <f>+$C$380+$G$381</f>
        <v>39337.360000000008</v>
      </c>
      <c r="D382" s="699"/>
      <c r="E382" s="700"/>
      <c r="F382" s="700">
        <v>0</v>
      </c>
      <c r="G382" s="701"/>
      <c r="H382" s="702"/>
      <c r="I382" s="700"/>
      <c r="J382" s="698"/>
      <c r="K382" s="702"/>
      <c r="L382" s="702" t="s">
        <v>153</v>
      </c>
      <c r="M382" s="702" t="str">
        <f>IF(L382="","",
IF(AX382="PT",VLOOKUP(L382,Foundation_Calc!$V$79:$X$113,VLOOKUP(AX382,Foundation_Calc!$I$10:$J$13,2,FALSE),0),
IF(AX382="K",VLOOKUP(L382,Foundation_Calc!$V$117:$X$151,VLOOKUP(AX382,Foundation_Calc!$I$10:$J$13,2,FALSE),0),"")))</f>
        <v>C3R</v>
      </c>
      <c r="N382" s="702" t="s">
        <v>124</v>
      </c>
      <c r="O382" s="702"/>
      <c r="P382" s="702"/>
      <c r="Q382" s="700"/>
      <c r="R382" s="701"/>
      <c r="S382" s="701"/>
      <c r="T382" s="700">
        <v>-35</v>
      </c>
      <c r="U382" s="700"/>
      <c r="V382" s="700"/>
      <c r="W382" s="703">
        <v>1.4</v>
      </c>
      <c r="X382" s="703"/>
      <c r="Y382" s="703"/>
      <c r="Z382" s="703"/>
      <c r="AA382" s="703"/>
      <c r="AB382" s="703"/>
      <c r="AC382" s="702" t="str">
        <f t="shared" si="42"/>
        <v>PH</v>
      </c>
      <c r="AD382" s="702"/>
      <c r="AE382" s="702"/>
      <c r="AF382" s="700"/>
      <c r="AG382" s="699"/>
      <c r="AH382" s="700"/>
      <c r="AI382" s="700"/>
      <c r="AJ382" s="702"/>
      <c r="AK382" s="702"/>
      <c r="AL382" s="702"/>
      <c r="AM382" s="702" t="s">
        <v>126</v>
      </c>
      <c r="AN382" s="704">
        <v>5.5</v>
      </c>
      <c r="AO382" s="703"/>
      <c r="AP382" s="703"/>
      <c r="AQ382" s="703"/>
      <c r="AR382" s="703"/>
      <c r="AS382" s="703"/>
      <c r="AT382" s="703">
        <f>+ab($T$382,$T$380,$T$384,$G$381,$G$383, 1*$F$382,1200)</f>
        <v>-10.841349438516888</v>
      </c>
      <c r="AU382" s="705"/>
      <c r="AV382" s="705"/>
      <c r="AW382" s="702" t="str">
        <f>IF(C382&gt;0,VLOOKUP(C382,Foundation_Calc!$A$2:$C$13,3,1),
IF(J382&gt;0,VLOOKUP(J382,Foundation_Calc!$A$2:$C$13,3,1),""))</f>
        <v>Multi Soil</v>
      </c>
      <c r="AX382" s="702" t="str">
        <f>IF(C382&gt;0,VLOOKUP(C382,Foundation_Calc!$E$35:$G$65,3,1),
IF(J382&gt;0,VLOOKUP(J382,Foundation_Calc!$E$35:$G$65,3,1),""))</f>
        <v>PT</v>
      </c>
      <c r="AY382" s="704">
        <f>IF(L382="","",
IF(AX382="PT",VLOOKUP(L382,Foundation_Calc!$K$79:$R$113,VLOOKUP(AW382,Foundation_Calc!$I$2:$J$8,2,FALSE),0),
IF(AX382="K",VLOOKUP(L382,Foundation_Calc!$K$117:$R$151,VLOOKUP(AW382,Foundation_Calc!$I$2:$J$8,2,FALSE),0),"")))</f>
        <v>3.5</v>
      </c>
      <c r="AZ382" s="704" t="str">
        <f>IF(K382="","",
IF(AX382="PT",VLOOKUP(K382,Foundation_Calc!$K$79:$R$113,VLOOKUP(AW382,Foundation_Calc!$I$2:$J$8,2,FALSE),0),
IF(AX382="K",VLOOKUP(K382,Foundation_Calc!$K$117:$R$151,VLOOKUP(AW382,Foundation_Calc!$I$2:$J$8,2,FALSE),0),"")))</f>
        <v/>
      </c>
      <c r="BA382" s="495" t="str">
        <f t="shared" si="43"/>
        <v>ü</v>
      </c>
      <c r="BB382" s="495" t="str">
        <f t="shared" si="44"/>
        <v/>
      </c>
      <c r="BC382" s="495" t="str">
        <f t="shared" si="45"/>
        <v/>
      </c>
      <c r="BD382" s="513" t="str">
        <f>IF(AND(L382="",H382=""),"",
IF(H382="",Pole_Calc!A$9,
IF(H382="MP",Pole_Calc!A$10,
IF(H382="AnMP",Pole_Calc!A$11,
IF(H382="A",Pole_Calc!A$12,
IF(H382="S/A",Pole_Calc!A$13,
IF(H382="A/S",Pole_Calc!A$14,"Poner a mano")))))))</f>
        <v>App.7-V11I-P9.5.1.1</v>
      </c>
      <c r="BE382" s="429" t="s">
        <v>118</v>
      </c>
      <c r="BF382" s="289"/>
      <c r="BG382" s="289"/>
      <c r="BH382" s="290"/>
      <c r="BI382" s="289"/>
    </row>
    <row r="383" spans="1:61" ht="16.149999999999999" customHeight="1">
      <c r="A383" s="735"/>
      <c r="B383" s="697"/>
      <c r="C383" s="698"/>
      <c r="D383" s="699"/>
      <c r="E383" s="700"/>
      <c r="F383" s="700"/>
      <c r="G383" s="701">
        <v>43</v>
      </c>
      <c r="H383" s="702"/>
      <c r="I383" s="700"/>
      <c r="J383" s="698"/>
      <c r="K383" s="702"/>
      <c r="L383" s="702"/>
      <c r="M383" s="702" t="str">
        <f>IF(L383="","",
IF(AX383="PT",VLOOKUP(L383,Foundation_Calc!$V$79:$X$113,VLOOKUP(AX383,Foundation_Calc!$I$10:$J$13,2,FALSE),0),
IF(AX383="K",VLOOKUP(L383,Foundation_Calc!$V$117:$X$151,VLOOKUP(AX383,Foundation_Calc!$I$10:$J$13,2,FALSE),0),"")))</f>
        <v/>
      </c>
      <c r="N383" s="702"/>
      <c r="O383" s="702"/>
      <c r="P383" s="702"/>
      <c r="Q383" s="700"/>
      <c r="R383" s="701"/>
      <c r="S383" s="701"/>
      <c r="T383" s="700"/>
      <c r="U383" s="700"/>
      <c r="V383" s="700"/>
      <c r="W383" s="703"/>
      <c r="X383" s="703"/>
      <c r="Y383" s="703"/>
      <c r="Z383" s="703"/>
      <c r="AA383" s="703"/>
      <c r="AB383" s="703"/>
      <c r="AC383" s="702" t="str">
        <f t="shared" si="42"/>
        <v/>
      </c>
      <c r="AD383" s="702"/>
      <c r="AE383" s="702"/>
      <c r="AF383" s="700"/>
      <c r="AG383" s="699"/>
      <c r="AH383" s="700"/>
      <c r="AI383" s="700"/>
      <c r="AJ383" s="702"/>
      <c r="AK383" s="702"/>
      <c r="AL383" s="702"/>
      <c r="AM383" s="702"/>
      <c r="AN383" s="704"/>
      <c r="AO383" s="703"/>
      <c r="AP383" s="703"/>
      <c r="AQ383" s="703">
        <f>+FL_2($T$384,$T$382,$G$383,1200,9.28, 1*$F$384)</f>
        <v>-0.40817280809362616</v>
      </c>
      <c r="AR383" s="703"/>
      <c r="AS383" s="703"/>
      <c r="AT383" s="703"/>
      <c r="AU383" s="705"/>
      <c r="AV383" s="705"/>
      <c r="AW383" s="702" t="str">
        <f>IF(C383&gt;0,VLOOKUP(C383,Foundation_Calc!$A$2:$C$13,3,1),
IF(J383&gt;0,VLOOKUP(J383,Foundation_Calc!$A$2:$C$13,3,1),""))</f>
        <v/>
      </c>
      <c r="AX383" s="702" t="str">
        <f>IF(C383&gt;0,VLOOKUP(C383,Foundation_Calc!$E$35:$G$65,3,1),
IF(J383&gt;0,VLOOKUP(J383,Foundation_Calc!$E$35:$G$65,3,1),""))</f>
        <v/>
      </c>
      <c r="AY383" s="704" t="str">
        <f>IF(L383="","",
IF(AX383="PT",VLOOKUP(L383,Foundation_Calc!$K$79:$R$113,VLOOKUP(AW383,Foundation_Calc!$I$2:$J$8,2,FALSE),0),
IF(AX383="K",VLOOKUP(L383,Foundation_Calc!$K$117:$R$151,VLOOKUP(AW383,Foundation_Calc!$I$2:$J$8,2,FALSE),0),"")))</f>
        <v/>
      </c>
      <c r="AZ383" s="704" t="str">
        <f>IF(K383="","",
IF(AX383="PT",VLOOKUP(K383,Foundation_Calc!$K$79:$R$113,VLOOKUP(AW383,Foundation_Calc!$I$2:$J$8,2,FALSE),0),
IF(AX383="K",VLOOKUP(K383,Foundation_Calc!$K$117:$R$151,VLOOKUP(AW383,Foundation_Calc!$I$2:$J$8,2,FALSE),0),"")))</f>
        <v/>
      </c>
      <c r="BA383" s="495" t="str">
        <f t="shared" si="43"/>
        <v/>
      </c>
      <c r="BB383" s="495" t="str">
        <f t="shared" si="44"/>
        <v/>
      </c>
      <c r="BC383" s="495" t="str">
        <f t="shared" si="45"/>
        <v/>
      </c>
      <c r="BD383" s="513" t="str">
        <f>IF(AND(L383="",H383=""),"",
IF(H383="",Pole_Calc!A$9,
IF(H383="MP",Pole_Calc!A$10,
IF(H383="AnMP",Pole_Calc!A$11,
IF(H383="A",Pole_Calc!A$12,
IF(H383="S/A",Pole_Calc!A$13,
IF(H383="A/S",Pole_Calc!A$14,"Poner a mano")))))))</f>
        <v/>
      </c>
      <c r="BE383" s="429" t="s">
        <v>118</v>
      </c>
      <c r="BF383" s="290"/>
      <c r="BG383" s="290"/>
      <c r="BH383" s="290"/>
      <c r="BI383" s="290"/>
    </row>
    <row r="384" spans="1:61" ht="16.149999999999999" customHeight="1">
      <c r="A384" s="735"/>
      <c r="B384" s="697" t="s">
        <v>1131</v>
      </c>
      <c r="C384" s="698">
        <f>+$C$382+$G$383</f>
        <v>39380.360000000008</v>
      </c>
      <c r="D384" s="699"/>
      <c r="E384" s="700"/>
      <c r="F384" s="700">
        <v>-4045.7973019721658</v>
      </c>
      <c r="G384" s="701"/>
      <c r="H384" s="702"/>
      <c r="I384" s="700"/>
      <c r="J384" s="698"/>
      <c r="K384" s="702"/>
      <c r="L384" s="702" t="s">
        <v>153</v>
      </c>
      <c r="M384" s="702" t="str">
        <f>IF(L384="","",
IF(AX384="PT",VLOOKUP(L384,Foundation_Calc!$V$79:$X$113,VLOOKUP(AX384,Foundation_Calc!$I$10:$J$13,2,FALSE),0),
IF(AX384="K",VLOOKUP(L384,Foundation_Calc!$V$117:$X$151,VLOOKUP(AX384,Foundation_Calc!$I$10:$J$13,2,FALSE),0),"")))</f>
        <v>C3R</v>
      </c>
      <c r="N384" s="702" t="s">
        <v>124</v>
      </c>
      <c r="O384" s="702"/>
      <c r="P384" s="702"/>
      <c r="Q384" s="700"/>
      <c r="R384" s="701"/>
      <c r="S384" s="701"/>
      <c r="T384" s="700">
        <v>-20</v>
      </c>
      <c r="U384" s="700"/>
      <c r="V384" s="700"/>
      <c r="W384" s="703">
        <v>1.4</v>
      </c>
      <c r="X384" s="703"/>
      <c r="Y384" s="703"/>
      <c r="Z384" s="703"/>
      <c r="AA384" s="703"/>
      <c r="AB384" s="703"/>
      <c r="AC384" s="702" t="str">
        <f t="shared" si="42"/>
        <v>PH</v>
      </c>
      <c r="AD384" s="702"/>
      <c r="AE384" s="702"/>
      <c r="AF384" s="700"/>
      <c r="AG384" s="699"/>
      <c r="AH384" s="700"/>
      <c r="AI384" s="700"/>
      <c r="AJ384" s="702"/>
      <c r="AK384" s="702"/>
      <c r="AL384" s="702"/>
      <c r="AM384" s="702" t="s">
        <v>126</v>
      </c>
      <c r="AN384" s="704">
        <v>5.5</v>
      </c>
      <c r="AO384" s="703"/>
      <c r="AP384" s="703"/>
      <c r="AQ384" s="703"/>
      <c r="AR384" s="703"/>
      <c r="AS384" s="703"/>
      <c r="AT384" s="703">
        <f>+ab($T$384,$T$382,$T$386,$G$383,$G$385, 1*$F$384,1200)</f>
        <v>-32.961272544752561</v>
      </c>
      <c r="AU384" s="705"/>
      <c r="AV384" s="705"/>
      <c r="AW384" s="702" t="str">
        <f>IF(C384&gt;0,VLOOKUP(C384,Foundation_Calc!$A$2:$C$13,3,1),
IF(J384&gt;0,VLOOKUP(J384,Foundation_Calc!$A$2:$C$13,3,1),""))</f>
        <v>Multi Soil</v>
      </c>
      <c r="AX384" s="702" t="str">
        <f>IF(C384&gt;0,VLOOKUP(C384,Foundation_Calc!$E$35:$G$65,3,1),
IF(J384&gt;0,VLOOKUP(J384,Foundation_Calc!$E$35:$G$65,3,1),""))</f>
        <v>PT</v>
      </c>
      <c r="AY384" s="704">
        <f>IF(L384="","",
IF(AX384="PT",VLOOKUP(L384,Foundation_Calc!$K$79:$R$113,VLOOKUP(AW384,Foundation_Calc!$I$2:$J$8,2,FALSE),0),
IF(AX384="K",VLOOKUP(L384,Foundation_Calc!$K$117:$R$151,VLOOKUP(AW384,Foundation_Calc!$I$2:$J$8,2,FALSE),0),"")))</f>
        <v>3.5</v>
      </c>
      <c r="AZ384" s="704" t="str">
        <f>IF(K384="","",
IF(AX384="PT",VLOOKUP(K384,Foundation_Calc!$K$79:$R$113,VLOOKUP(AW384,Foundation_Calc!$I$2:$J$8,2,FALSE),0),
IF(AX384="K",VLOOKUP(K384,Foundation_Calc!$K$117:$R$151,VLOOKUP(AW384,Foundation_Calc!$I$2:$J$8,2,FALSE),0),"")))</f>
        <v/>
      </c>
      <c r="BA384" s="495" t="str">
        <f t="shared" si="43"/>
        <v>ü</v>
      </c>
      <c r="BB384" s="495" t="str">
        <f t="shared" si="44"/>
        <v/>
      </c>
      <c r="BC384" s="495" t="str">
        <f t="shared" si="45"/>
        <v/>
      </c>
      <c r="BD384" s="513" t="str">
        <f>IF(AND(L384="",H384=""),"",
IF(H384="",Pole_Calc!A$9,
IF(H384="MP",Pole_Calc!A$10,
IF(H384="AnMP",Pole_Calc!A$11,
IF(H384="A",Pole_Calc!A$12,
IF(H384="S/A",Pole_Calc!A$13,
IF(H384="A/S",Pole_Calc!A$14,"Poner a mano")))))))</f>
        <v>App.7-V11I-P9.5.1.1</v>
      </c>
      <c r="BE384" s="429" t="s">
        <v>118</v>
      </c>
      <c r="BF384" s="289"/>
      <c r="BG384" s="289"/>
      <c r="BH384" s="290"/>
      <c r="BI384" s="289"/>
    </row>
    <row r="385" spans="1:61" ht="16.149999999999999" customHeight="1">
      <c r="A385" s="735"/>
      <c r="B385" s="697"/>
      <c r="C385" s="698"/>
      <c r="D385" s="699"/>
      <c r="E385" s="700"/>
      <c r="F385" s="700"/>
      <c r="G385" s="701">
        <v>45</v>
      </c>
      <c r="H385" s="702"/>
      <c r="I385" s="700"/>
      <c r="J385" s="698">
        <f>C386-7.5</f>
        <v>39417.860000000008</v>
      </c>
      <c r="K385" s="702" t="s">
        <v>166</v>
      </c>
      <c r="L385" s="702"/>
      <c r="M385" s="702" t="str">
        <f>IF(L385="","",
IF(AX385="PT",VLOOKUP(L385,Foundation_Calc!$V$79:$X$113,VLOOKUP(AX385,Foundation_Calc!$I$10:$J$13,2,FALSE),0),
IF(AX385="K",VLOOKUP(L385,Foundation_Calc!$V$117:$X$151,VLOOKUP(AX385,Foundation_Calc!$I$10:$J$13,2,FALSE),0),"")))</f>
        <v/>
      </c>
      <c r="N385" s="702"/>
      <c r="O385" s="702"/>
      <c r="P385" s="702"/>
      <c r="Q385" s="700"/>
      <c r="R385" s="701"/>
      <c r="S385" s="701"/>
      <c r="T385" s="700"/>
      <c r="U385" s="700"/>
      <c r="V385" s="700"/>
      <c r="W385" s="703"/>
      <c r="X385" s="703"/>
      <c r="Y385" s="703"/>
      <c r="Z385" s="703"/>
      <c r="AA385" s="703"/>
      <c r="AB385" s="703"/>
      <c r="AC385" s="702" t="str">
        <f t="shared" si="42"/>
        <v/>
      </c>
      <c r="AD385" s="702"/>
      <c r="AE385" s="702"/>
      <c r="AF385" s="700"/>
      <c r="AG385" s="699"/>
      <c r="AH385" s="700"/>
      <c r="AI385" s="700"/>
      <c r="AJ385" s="702"/>
      <c r="AK385" s="702"/>
      <c r="AL385" s="702"/>
      <c r="AM385" s="702"/>
      <c r="AN385" s="704"/>
      <c r="AO385" s="703"/>
      <c r="AP385" s="703"/>
      <c r="AQ385" s="703">
        <f>+FL_2($T$386,$T$384,$G$385,1200,9.28, 1*$F$386)</f>
        <v>-0.30325564160117596</v>
      </c>
      <c r="AR385" s="703"/>
      <c r="AS385" s="703"/>
      <c r="AT385" s="703"/>
      <c r="AU385" s="705"/>
      <c r="AV385" s="705"/>
      <c r="AW385" s="702" t="str">
        <f>IF(C385&gt;0,VLOOKUP(C385,Foundation_Calc!$A$2:$C$13,3,1),
IF(J385&gt;0,VLOOKUP(J385,Foundation_Calc!$A$2:$C$13,3,1),""))</f>
        <v>Multi Soil</v>
      </c>
      <c r="AX385" s="702" t="str">
        <f>IF(C385&gt;0,VLOOKUP(C385,Foundation_Calc!$E$35:$G$65,3,1),
IF(J385&gt;0,VLOOKUP(J385,Foundation_Calc!$E$35:$G$65,3,1),""))</f>
        <v>PT</v>
      </c>
      <c r="AY385" s="704" t="str">
        <f>IF(L385="","",
IF(AX385="PT",VLOOKUP(L385,Foundation_Calc!$K$79:$R$113,VLOOKUP(AW385,Foundation_Calc!$I$2:$J$8,2,FALSE),0),
IF(AX385="K",VLOOKUP(L385,Foundation_Calc!$K$117:$R$151,VLOOKUP(AW385,Foundation_Calc!$I$2:$J$8,2,FALSE),0),"")))</f>
        <v/>
      </c>
      <c r="AZ385" s="704">
        <f>IF(K385="","",
IF(AX385="PT",VLOOKUP(K385,Foundation_Calc!$K$79:$R$113,VLOOKUP(AW385,Foundation_Calc!$I$2:$J$8,2,FALSE),0),
IF(AX385="K",VLOOKUP(K385,Foundation_Calc!$K$117:$R$151,VLOOKUP(AW385,Foundation_Calc!$I$2:$J$8,2,FALSE),0),"")))</f>
        <v>2.8</v>
      </c>
      <c r="BA385" s="495" t="str">
        <f t="shared" si="43"/>
        <v/>
      </c>
      <c r="BB385" s="495" t="str">
        <f t="shared" si="44"/>
        <v>ü</v>
      </c>
      <c r="BC385" s="495" t="str">
        <f t="shared" si="45"/>
        <v/>
      </c>
      <c r="BD385" s="513" t="str">
        <f>IF(AND(L385="",H385=""),"",
IF(H385="",Pole_Calc!A$9,
IF(H385="MP",Pole_Calc!A$10,
IF(H385="AnMP",Pole_Calc!A$11,
IF(H385="A",Pole_Calc!A$12,
IF(H385="S/A",Pole_Calc!A$13,
IF(H385="A/S",Pole_Calc!A$14,"Poner a mano")))))))</f>
        <v/>
      </c>
      <c r="BE385" s="429" t="s">
        <v>118</v>
      </c>
      <c r="BF385" s="290"/>
      <c r="BG385" s="290"/>
      <c r="BH385" s="290"/>
      <c r="BI385" s="290"/>
    </row>
    <row r="386" spans="1:61" ht="16.149999999999999" customHeight="1">
      <c r="A386" s="735"/>
      <c r="B386" s="697" t="s">
        <v>1132</v>
      </c>
      <c r="C386" s="698">
        <f>+$C$384+$G$385</f>
        <v>39425.360000000008</v>
      </c>
      <c r="D386" s="699"/>
      <c r="E386" s="700"/>
      <c r="F386" s="700">
        <v>-1582.5192802057365</v>
      </c>
      <c r="G386" s="701"/>
      <c r="H386" s="702" t="s">
        <v>168</v>
      </c>
      <c r="I386" s="700"/>
      <c r="J386" s="698"/>
      <c r="K386" s="702"/>
      <c r="L386" s="702" t="s">
        <v>158</v>
      </c>
      <c r="M386" s="702" t="s">
        <v>396</v>
      </c>
      <c r="N386" s="702" t="s">
        <v>124</v>
      </c>
      <c r="O386" s="702"/>
      <c r="P386" s="702"/>
      <c r="Q386" s="700"/>
      <c r="R386" s="701"/>
      <c r="S386" s="701"/>
      <c r="T386" s="700">
        <v>-30</v>
      </c>
      <c r="U386" s="700"/>
      <c r="V386" s="700"/>
      <c r="W386" s="703">
        <v>1.4</v>
      </c>
      <c r="X386" s="703"/>
      <c r="Y386" s="703"/>
      <c r="Z386" s="703"/>
      <c r="AA386" s="703"/>
      <c r="AB386" s="703"/>
      <c r="AC386" s="702" t="str">
        <f t="shared" si="42"/>
        <v>PHQ</v>
      </c>
      <c r="AD386" s="702"/>
      <c r="AE386" s="702"/>
      <c r="AF386" s="700"/>
      <c r="AG386" s="699"/>
      <c r="AH386" s="700"/>
      <c r="AI386" s="700"/>
      <c r="AJ386" s="702"/>
      <c r="AK386" s="702"/>
      <c r="AL386" s="702"/>
      <c r="AM386" s="702" t="s">
        <v>126</v>
      </c>
      <c r="AN386" s="704">
        <v>5.5</v>
      </c>
      <c r="AO386" s="703"/>
      <c r="AP386" s="703"/>
      <c r="AQ386" s="703"/>
      <c r="AR386" s="703"/>
      <c r="AS386" s="703"/>
      <c r="AT386" s="703">
        <f>+ab($T$386,$T$384,$T$388,$G$385,$G$387, 1*$F$386,1200)</f>
        <v>-6.3645770522820166</v>
      </c>
      <c r="AU386" s="705"/>
      <c r="AV386" s="705"/>
      <c r="AW386" s="702" t="str">
        <f>IF(C386&gt;0,VLOOKUP(C386,Foundation_Calc!$A$2:$C$13,3,1),
IF(J386&gt;0,VLOOKUP(J386,Foundation_Calc!$A$2:$C$13,3,1),""))</f>
        <v>Multi Soil</v>
      </c>
      <c r="AX386" s="702" t="str">
        <f>IF(C386&gt;0,VLOOKUP(C386,Foundation_Calc!$E$35:$G$65,3,1),
IF(J386&gt;0,VLOOKUP(J386,Foundation_Calc!$E$35:$G$65,3,1),""))</f>
        <v>PT</v>
      </c>
      <c r="AY386" s="704">
        <f>IF(L386="","",
IF(AX386="PT",VLOOKUP(L386,Foundation_Calc!$K$79:$R$113,VLOOKUP(AW386,Foundation_Calc!$I$2:$J$8,2,FALSE),0),
IF(AX386="K",VLOOKUP(L386,Foundation_Calc!$K$117:$R$151,VLOOKUP(AW386,Foundation_Calc!$I$2:$J$8,2,FALSE),0),"")))</f>
        <v>3.5</v>
      </c>
      <c r="AZ386" s="704" t="str">
        <f>IF(K386="","",
IF(AX386="PT",VLOOKUP(K386,Foundation_Calc!$K$79:$R$113,VLOOKUP(AW386,Foundation_Calc!$I$2:$J$8,2,FALSE),0),
IF(AX386="K",VLOOKUP(K386,Foundation_Calc!$K$117:$R$151,VLOOKUP(AW386,Foundation_Calc!$I$2:$J$8,2,FALSE),0),"")))</f>
        <v/>
      </c>
      <c r="BA386" s="495" t="str">
        <f t="shared" si="43"/>
        <v>ü</v>
      </c>
      <c r="BB386" s="495" t="str">
        <f t="shared" si="44"/>
        <v/>
      </c>
      <c r="BC386" s="495" t="str">
        <f t="shared" si="45"/>
        <v/>
      </c>
      <c r="BD386" s="513" t="str">
        <f>IF(AND(L386="",H386=""),"",
IF(H386="",Pole_Calc!A$9,
IF(H386="MP",Pole_Calc!A$10,
IF(H386="AnMP",Pole_Calc!A$11,
IF(H386="A",Pole_Calc!A$12,
IF(H386="S/A",Pole_Calc!A$13,
IF(H386="A/S",Pole_Calc!A$14,"Poner a mano")))))))</f>
        <v>App.7-V11I-P9.5.1.3</v>
      </c>
      <c r="BE386" s="429" t="s">
        <v>118</v>
      </c>
      <c r="BF386" s="289"/>
      <c r="BG386" s="289"/>
      <c r="BH386" s="290"/>
      <c r="BI386" s="289"/>
    </row>
    <row r="387" spans="1:61" ht="16.149999999999999" customHeight="1">
      <c r="A387" s="735"/>
      <c r="B387" s="697"/>
      <c r="C387" s="698"/>
      <c r="D387" s="699"/>
      <c r="E387" s="700"/>
      <c r="F387" s="700"/>
      <c r="G387" s="701">
        <v>43</v>
      </c>
      <c r="H387" s="702"/>
      <c r="I387" s="700">
        <f>SUM(G371:G387)</f>
        <v>426</v>
      </c>
      <c r="J387" s="698"/>
      <c r="K387" s="702"/>
      <c r="L387" s="702"/>
      <c r="M387" s="702" t="str">
        <f>IF(L387="","",
IF(AX387="PT",VLOOKUP(L387,Foundation_Calc!$V$79:$X$113,VLOOKUP(AX387,Foundation_Calc!$I$10:$J$13,2,FALSE),0),
IF(AX387="K",VLOOKUP(L387,Foundation_Calc!$V$117:$X$151,VLOOKUP(AX387,Foundation_Calc!$I$10:$J$13,2,FALSE),0),"")))</f>
        <v/>
      </c>
      <c r="N387" s="702"/>
      <c r="O387" s="702"/>
      <c r="P387" s="702"/>
      <c r="Q387" s="700"/>
      <c r="R387" s="701"/>
      <c r="S387" s="701"/>
      <c r="T387" s="700"/>
      <c r="U387" s="700"/>
      <c r="V387" s="700"/>
      <c r="W387" s="703"/>
      <c r="X387" s="703"/>
      <c r="Y387" s="703"/>
      <c r="Z387" s="703"/>
      <c r="AA387" s="703"/>
      <c r="AB387" s="703"/>
      <c r="AC387" s="702" t="str">
        <f t="shared" si="42"/>
        <v/>
      </c>
      <c r="AD387" s="702"/>
      <c r="AE387" s="702"/>
      <c r="AF387" s="700"/>
      <c r="AG387" s="699"/>
      <c r="AH387" s="700"/>
      <c r="AI387" s="700"/>
      <c r="AJ387" s="702"/>
      <c r="AK387" s="702"/>
      <c r="AL387" s="702"/>
      <c r="AM387" s="702"/>
      <c r="AN387" s="704"/>
      <c r="AO387" s="703"/>
      <c r="AP387" s="703"/>
      <c r="AQ387" s="703">
        <f>+FL_2($T$388,$T$386,$G$387,1200,9.28, 1*$F$388)</f>
        <v>-0.3</v>
      </c>
      <c r="AR387" s="703"/>
      <c r="AS387" s="703"/>
      <c r="AT387" s="703"/>
      <c r="AU387" s="705"/>
      <c r="AV387" s="705"/>
      <c r="AW387" s="702" t="str">
        <f>IF(C387&gt;0,VLOOKUP(C387,Foundation_Calc!$A$2:$C$13,3,1),
IF(J387&gt;0,VLOOKUP(J387,Foundation_Calc!$A$2:$C$13,3,1),""))</f>
        <v/>
      </c>
      <c r="AX387" s="702" t="str">
        <f>IF(C387&gt;0,VLOOKUP(C387,Foundation_Calc!$E$35:$G$65,3,1),
IF(J387&gt;0,VLOOKUP(J387,Foundation_Calc!$E$35:$G$65,3,1),""))</f>
        <v/>
      </c>
      <c r="AY387" s="704" t="str">
        <f>IF(L387="","",
IF(AX387="PT",VLOOKUP(L387,Foundation_Calc!$K$79:$R$113,VLOOKUP(AW387,Foundation_Calc!$I$2:$J$8,2,FALSE),0),
IF(AX387="K",VLOOKUP(L387,Foundation_Calc!$K$117:$R$151,VLOOKUP(AW387,Foundation_Calc!$I$2:$J$8,2,FALSE),0),"")))</f>
        <v/>
      </c>
      <c r="AZ387" s="704" t="str">
        <f>IF(K387="","",
IF(AX387="PT",VLOOKUP(K387,Foundation_Calc!$K$79:$R$113,VLOOKUP(AW387,Foundation_Calc!$I$2:$J$8,2,FALSE),0),
IF(AX387="K",VLOOKUP(K387,Foundation_Calc!$K$117:$R$151,VLOOKUP(AW387,Foundation_Calc!$I$2:$J$8,2,FALSE),0),"")))</f>
        <v/>
      </c>
      <c r="BA387" s="495" t="str">
        <f t="shared" si="43"/>
        <v/>
      </c>
      <c r="BB387" s="495" t="str">
        <f t="shared" si="44"/>
        <v/>
      </c>
      <c r="BC387" s="495" t="str">
        <f t="shared" si="45"/>
        <v/>
      </c>
      <c r="BD387" s="513" t="str">
        <f>IF(AND(L387="",H387=""),"",
IF(H387="",Pole_Calc!A$9,
IF(H387="MP",Pole_Calc!A$10,
IF(H387="AnMP",Pole_Calc!A$11,
IF(H387="A",Pole_Calc!A$12,
IF(H387="S/A",Pole_Calc!A$13,
IF(H387="A/S",Pole_Calc!A$14,"Poner a mano")))))))</f>
        <v/>
      </c>
      <c r="BE387" s="429" t="s">
        <v>118</v>
      </c>
      <c r="BF387" s="290"/>
      <c r="BG387" s="290"/>
      <c r="BH387" s="290"/>
      <c r="BI387" s="290"/>
    </row>
    <row r="388" spans="1:61" ht="16.149999999999999" customHeight="1">
      <c r="A388" s="735"/>
      <c r="B388" s="720" t="s">
        <v>1133</v>
      </c>
      <c r="C388" s="698">
        <f>+$C$386+$G$387</f>
        <v>39468.360000000008</v>
      </c>
      <c r="D388" s="699"/>
      <c r="E388" s="700"/>
      <c r="F388" s="700">
        <v>-1000.4618937644666</v>
      </c>
      <c r="G388" s="701"/>
      <c r="H388" s="702" t="s">
        <v>171</v>
      </c>
      <c r="I388" s="700"/>
      <c r="J388" s="698"/>
      <c r="K388" s="702"/>
      <c r="L388" s="702" t="s">
        <v>158</v>
      </c>
      <c r="M388" s="702" t="s">
        <v>396</v>
      </c>
      <c r="N388" s="702" t="s">
        <v>124</v>
      </c>
      <c r="O388" s="702"/>
      <c r="P388" s="702"/>
      <c r="Q388" s="700"/>
      <c r="R388" s="701"/>
      <c r="S388" s="701"/>
      <c r="T388" s="700">
        <v>-30</v>
      </c>
      <c r="U388" s="700"/>
      <c r="V388" s="700"/>
      <c r="W388" s="703">
        <v>1.4</v>
      </c>
      <c r="X388" s="703"/>
      <c r="Y388" s="703"/>
      <c r="Z388" s="703"/>
      <c r="AA388" s="703"/>
      <c r="AB388" s="703"/>
      <c r="AC388" s="702" t="str">
        <f t="shared" si="42"/>
        <v>PHC</v>
      </c>
      <c r="AD388" s="702"/>
      <c r="AE388" s="702"/>
      <c r="AF388" s="700"/>
      <c r="AG388" s="699"/>
      <c r="AH388" s="700"/>
      <c r="AI388" s="700"/>
      <c r="AJ388" s="702"/>
      <c r="AK388" s="702"/>
      <c r="AL388" s="702"/>
      <c r="AM388" s="702" t="s">
        <v>126</v>
      </c>
      <c r="AN388" s="704">
        <v>5.5</v>
      </c>
      <c r="AO388" s="703"/>
      <c r="AP388" s="703"/>
      <c r="AQ388" s="703"/>
      <c r="AR388" s="703"/>
      <c r="AS388" s="703"/>
      <c r="AT388" s="703">
        <f>+ab($T$388,$T$386,$T$390,$G$387,$G$389, 1*$F$388,1200)</f>
        <v>-4.4556775412787628</v>
      </c>
      <c r="AU388" s="705"/>
      <c r="AV388" s="705"/>
      <c r="AW388" s="702" t="str">
        <f>IF(C388&gt;0,VLOOKUP(C388,Foundation_Calc!$A$2:$C$13,3,1),
IF(J388&gt;0,VLOOKUP(J388,Foundation_Calc!$A$2:$C$13,3,1),""))</f>
        <v>Multi Soil</v>
      </c>
      <c r="AX388" s="702" t="str">
        <f>IF(C388&gt;0,VLOOKUP(C388,Foundation_Calc!$E$35:$G$65,3,1),
IF(J388&gt;0,VLOOKUP(J388,Foundation_Calc!$E$35:$G$65,3,1),""))</f>
        <v>PT</v>
      </c>
      <c r="AY388" s="704">
        <f>IF(L388="","",
IF(AX388="PT",VLOOKUP(L388,Foundation_Calc!$K$79:$R$113,VLOOKUP(AW388,Foundation_Calc!$I$2:$J$8,2,FALSE),0),
IF(AX388="K",VLOOKUP(L388,Foundation_Calc!$K$117:$R$151,VLOOKUP(AW388,Foundation_Calc!$I$2:$J$8,2,FALSE),0),"")))</f>
        <v>3.5</v>
      </c>
      <c r="AZ388" s="704" t="str">
        <f>IF(K388="","",
IF(AX388="PT",VLOOKUP(K388,Foundation_Calc!$K$79:$R$113,VLOOKUP(AW388,Foundation_Calc!$I$2:$J$8,2,FALSE),0),
IF(AX388="K",VLOOKUP(K388,Foundation_Calc!$K$117:$R$151,VLOOKUP(AW388,Foundation_Calc!$I$2:$J$8,2,FALSE),0),"")))</f>
        <v/>
      </c>
      <c r="BA388" s="495" t="str">
        <f t="shared" si="43"/>
        <v>ü</v>
      </c>
      <c r="BB388" s="495" t="str">
        <f t="shared" si="44"/>
        <v/>
      </c>
      <c r="BC388" s="495" t="str">
        <f t="shared" si="45"/>
        <v/>
      </c>
      <c r="BD388" s="513" t="str">
        <f>IF(AND(L388="",H388=""),"",
IF(H388="",Pole_Calc!A$9,
IF(H388="MP",Pole_Calc!A$10,
IF(H388="AnMP",Pole_Calc!A$11,
IF(H388="A",Pole_Calc!A$12,
IF(H388="S/A",Pole_Calc!A$13,
IF(H388="A/S",Pole_Calc!A$14,"Poner a mano")))))))</f>
        <v>App.7-V11I-P9.5.1.2</v>
      </c>
      <c r="BE388" s="429" t="s">
        <v>118</v>
      </c>
      <c r="BF388" s="289"/>
      <c r="BG388" s="289"/>
      <c r="BH388" s="290"/>
      <c r="BI388" s="289"/>
    </row>
    <row r="389" spans="1:61" ht="16.149999999999999" customHeight="1">
      <c r="A389" s="708"/>
      <c r="B389" s="697"/>
      <c r="C389" s="698"/>
      <c r="D389" s="699"/>
      <c r="E389" s="700"/>
      <c r="F389" s="700"/>
      <c r="G389" s="701">
        <v>43</v>
      </c>
      <c r="H389" s="702"/>
      <c r="I389" s="700">
        <f>SUM(G389:G409)</f>
        <v>498</v>
      </c>
      <c r="J389" s="698"/>
      <c r="K389" s="702"/>
      <c r="L389" s="702"/>
      <c r="M389" s="702" t="str">
        <f>IF(L389="","",
IF(AX389="PT",VLOOKUP(L389,Foundation_Calc!$V$79:$X$113,VLOOKUP(AX389,Foundation_Calc!$I$10:$J$13,2,FALSE),0),
IF(AX389="K",VLOOKUP(L389,Foundation_Calc!$V$117:$X$151,VLOOKUP(AX389,Foundation_Calc!$I$10:$J$13,2,FALSE),0),"")))</f>
        <v/>
      </c>
      <c r="N389" s="702"/>
      <c r="O389" s="702"/>
      <c r="P389" s="702"/>
      <c r="Q389" s="700"/>
      <c r="R389" s="701"/>
      <c r="S389" s="701"/>
      <c r="T389" s="700"/>
      <c r="U389" s="700"/>
      <c r="V389" s="700"/>
      <c r="W389" s="703"/>
      <c r="X389" s="703"/>
      <c r="Y389" s="703"/>
      <c r="Z389" s="703"/>
      <c r="AA389" s="703"/>
      <c r="AB389" s="703"/>
      <c r="AC389" s="702" t="str">
        <f t="shared" si="42"/>
        <v/>
      </c>
      <c r="AD389" s="702"/>
      <c r="AE389" s="702"/>
      <c r="AF389" s="700"/>
      <c r="AG389" s="699"/>
      <c r="AH389" s="700"/>
      <c r="AI389" s="700"/>
      <c r="AJ389" s="702"/>
      <c r="AK389" s="702"/>
      <c r="AL389" s="702"/>
      <c r="AM389" s="702"/>
      <c r="AN389" s="704"/>
      <c r="AO389" s="703"/>
      <c r="AP389" s="703"/>
      <c r="AQ389" s="703">
        <f>+FL_2($T$390,$T$388,$G$389,1200,9.28, 1*$F$390)</f>
        <v>-0.3</v>
      </c>
      <c r="AR389" s="703"/>
      <c r="AS389" s="703"/>
      <c r="AT389" s="703"/>
      <c r="AU389" s="705"/>
      <c r="AV389" s="705"/>
      <c r="AW389" s="702" t="str">
        <f>IF(C389&gt;0,VLOOKUP(C389,Foundation_Calc!$A$2:$C$13,3,1),
IF(J389&gt;0,VLOOKUP(J389,Foundation_Calc!$A$2:$C$13,3,1),""))</f>
        <v/>
      </c>
      <c r="AX389" s="702" t="str">
        <f>IF(C389&gt;0,VLOOKUP(C389,Foundation_Calc!$E$35:$G$65,3,1),
IF(J389&gt;0,VLOOKUP(J389,Foundation_Calc!$E$35:$G$65,3,1),""))</f>
        <v/>
      </c>
      <c r="AY389" s="704" t="str">
        <f>IF(L389="","",
IF(AX389="PT",VLOOKUP(L389,Foundation_Calc!$K$79:$R$113,VLOOKUP(AW389,Foundation_Calc!$I$2:$J$8,2,FALSE),0),
IF(AX389="K",VLOOKUP(L389,Foundation_Calc!$K$117:$R$151,VLOOKUP(AW389,Foundation_Calc!$I$2:$J$8,2,FALSE),0),"")))</f>
        <v/>
      </c>
      <c r="AZ389" s="704" t="str">
        <f>IF(K389="","",
IF(AX389="PT",VLOOKUP(K389,Foundation_Calc!$K$79:$R$113,VLOOKUP(AW389,Foundation_Calc!$I$2:$J$8,2,FALSE),0),
IF(AX389="K",VLOOKUP(K389,Foundation_Calc!$K$117:$R$151,VLOOKUP(AW389,Foundation_Calc!$I$2:$J$8,2,FALSE),0),"")))</f>
        <v/>
      </c>
      <c r="BA389" s="495" t="str">
        <f t="shared" si="43"/>
        <v/>
      </c>
      <c r="BB389" s="495" t="str">
        <f t="shared" si="44"/>
        <v/>
      </c>
      <c r="BC389" s="495" t="str">
        <f t="shared" si="45"/>
        <v/>
      </c>
      <c r="BD389" s="513" t="str">
        <f>IF(AND(L389="",H389=""),"",
IF(H389="",Pole_Calc!A$9,
IF(H389="MP",Pole_Calc!A$10,
IF(H389="AnMP",Pole_Calc!A$11,
IF(H389="A",Pole_Calc!A$12,
IF(H389="S/A",Pole_Calc!A$13,
IF(H389="A/S",Pole_Calc!A$14,"Poner a mano")))))))</f>
        <v/>
      </c>
      <c r="BE389" s="429" t="s">
        <v>118</v>
      </c>
      <c r="BF389" s="290"/>
      <c r="BG389" s="290"/>
      <c r="BH389" s="290"/>
      <c r="BI389" s="290"/>
    </row>
    <row r="390" spans="1:61" ht="16.149999999999999" customHeight="1">
      <c r="A390" s="736"/>
      <c r="B390" s="720" t="s">
        <v>1134</v>
      </c>
      <c r="C390" s="698">
        <f>+$C$388+$G$389</f>
        <v>39511.360000000008</v>
      </c>
      <c r="D390" s="699"/>
      <c r="E390" s="700"/>
      <c r="F390" s="700">
        <v>-900</v>
      </c>
      <c r="G390" s="701"/>
      <c r="H390" s="702" t="s">
        <v>168</v>
      </c>
      <c r="I390" s="700"/>
      <c r="J390" s="698"/>
      <c r="K390" s="702"/>
      <c r="L390" s="702" t="s">
        <v>398</v>
      </c>
      <c r="M390" s="702" t="s">
        <v>399</v>
      </c>
      <c r="N390" s="702" t="s">
        <v>124</v>
      </c>
      <c r="O390" s="702"/>
      <c r="P390" s="702"/>
      <c r="Q390" s="700"/>
      <c r="R390" s="701"/>
      <c r="S390" s="701"/>
      <c r="T390" s="700">
        <v>-30</v>
      </c>
      <c r="U390" s="700"/>
      <c r="V390" s="700"/>
      <c r="W390" s="703">
        <v>1.4</v>
      </c>
      <c r="X390" s="703"/>
      <c r="Y390" s="703"/>
      <c r="Z390" s="703"/>
      <c r="AA390" s="703"/>
      <c r="AB390" s="703"/>
      <c r="AC390" s="702" t="str">
        <f t="shared" si="42"/>
        <v>PHC</v>
      </c>
      <c r="AD390" s="702"/>
      <c r="AE390" s="702"/>
      <c r="AF390" s="700"/>
      <c r="AG390" s="699"/>
      <c r="AH390" s="700"/>
      <c r="AI390" s="700"/>
      <c r="AJ390" s="702"/>
      <c r="AK390" s="702"/>
      <c r="AL390" s="702"/>
      <c r="AM390" s="702" t="s">
        <v>126</v>
      </c>
      <c r="AN390" s="704">
        <v>5.5</v>
      </c>
      <c r="AO390" s="703"/>
      <c r="AP390" s="703"/>
      <c r="AQ390" s="703"/>
      <c r="AR390" s="703"/>
      <c r="AS390" s="703"/>
      <c r="AT390" s="703">
        <f>+ab($T$390,$T$388,$T$392,$G$389,$G$391, 1*$F$390,1200)</f>
        <v>-4.0097988670160589</v>
      </c>
      <c r="AU390" s="705"/>
      <c r="AV390" s="705"/>
      <c r="AW390" s="702" t="str">
        <f>IF(C390&gt;0,VLOOKUP(C390,Foundation_Calc!$A$2:$C$13,3,1),
IF(J390&gt;0,VLOOKUP(J390,Foundation_Calc!$A$2:$C$13,3,1),""))</f>
        <v>Multi Soil</v>
      </c>
      <c r="AX390" s="702" t="str">
        <f>IF(C390&gt;0,VLOOKUP(C390,Foundation_Calc!$E$35:$G$65,3,1),
IF(J390&gt;0,VLOOKUP(J390,Foundation_Calc!$E$35:$G$65,3,1),""))</f>
        <v>PT</v>
      </c>
      <c r="AY390" s="704">
        <f>IF(L390="","",
IF(AX390="PT",VLOOKUP(L390,Foundation_Calc!$K$79:$R$113,VLOOKUP(AW390,Foundation_Calc!$I$2:$J$8,2,FALSE),0),
IF(AX390="K",VLOOKUP(L390,Foundation_Calc!$K$117:$R$151,VLOOKUP(AW390,Foundation_Calc!$I$2:$J$8,2,FALSE),0),"")))</f>
        <v>3.5</v>
      </c>
      <c r="AZ390" s="704" t="str">
        <f>IF(K390="","",
IF(AX390="PT",VLOOKUP(K390,Foundation_Calc!$K$79:$R$113,VLOOKUP(AW390,Foundation_Calc!$I$2:$J$8,2,FALSE),0),
IF(AX390="K",VLOOKUP(K390,Foundation_Calc!$K$117:$R$151,VLOOKUP(AW390,Foundation_Calc!$I$2:$J$8,2,FALSE),0),"")))</f>
        <v/>
      </c>
      <c r="BA390" s="496" t="str">
        <f t="shared" si="43"/>
        <v>ü</v>
      </c>
      <c r="BB390" s="496" t="str">
        <f t="shared" si="44"/>
        <v/>
      </c>
      <c r="BC390" s="496" t="str">
        <f t="shared" si="45"/>
        <v/>
      </c>
      <c r="BD390" s="513" t="str">
        <f>IF(AND(L390="",H390=""),"",
IF(H390="",Pole_Calc!A$9,
IF(H390="MP",Pole_Calc!A$10,
IF(H390="AnMP",Pole_Calc!A$11,
IF(H390="A",Pole_Calc!A$12,
IF(H390="S/A",Pole_Calc!A$13,
IF(H390="A/S",Pole_Calc!A$14,"Poner a mano")))))))</f>
        <v>App.7-V11I-P9.5.1.3</v>
      </c>
      <c r="BE390" s="429" t="s">
        <v>118</v>
      </c>
      <c r="BF390" s="289"/>
      <c r="BG390" s="289"/>
      <c r="BH390" s="290"/>
      <c r="BI390" s="289"/>
    </row>
    <row r="391" spans="1:61" ht="16.149999999999999" customHeight="1">
      <c r="A391" s="736"/>
      <c r="B391" s="697"/>
      <c r="C391" s="698"/>
      <c r="D391" s="699"/>
      <c r="E391" s="700"/>
      <c r="F391" s="700"/>
      <c r="G391" s="701">
        <v>43</v>
      </c>
      <c r="H391" s="702"/>
      <c r="I391" s="700"/>
      <c r="J391" s="698">
        <f>C390+7.5</f>
        <v>39518.860000000008</v>
      </c>
      <c r="K391" s="702" t="s">
        <v>166</v>
      </c>
      <c r="L391" s="702"/>
      <c r="M391" s="702" t="str">
        <f>IF(L391="","",
IF(AX391="PT",VLOOKUP(L391,Foundation_Calc!$V$79:$X$113,VLOOKUP(AX391,Foundation_Calc!$I$10:$J$13,2,FALSE),0),
IF(AX391="K",VLOOKUP(L391,Foundation_Calc!$V$117:$X$151,VLOOKUP(AX391,Foundation_Calc!$I$10:$J$13,2,FALSE),0),"")))</f>
        <v/>
      </c>
      <c r="N391" s="737"/>
      <c r="O391" s="702"/>
      <c r="P391" s="702"/>
      <c r="Q391" s="700"/>
      <c r="R391" s="701"/>
      <c r="S391" s="701"/>
      <c r="T391" s="700"/>
      <c r="U391" s="700"/>
      <c r="V391" s="700"/>
      <c r="W391" s="703"/>
      <c r="X391" s="703"/>
      <c r="Y391" s="703"/>
      <c r="Z391" s="703"/>
      <c r="AA391" s="703"/>
      <c r="AB391" s="703"/>
      <c r="AC391" s="702" t="str">
        <f t="shared" si="42"/>
        <v/>
      </c>
      <c r="AD391" s="702"/>
      <c r="AE391" s="702"/>
      <c r="AF391" s="700"/>
      <c r="AG391" s="699"/>
      <c r="AH391" s="700"/>
      <c r="AI391" s="700"/>
      <c r="AJ391" s="702"/>
      <c r="AK391" s="702"/>
      <c r="AL391" s="702"/>
      <c r="AM391" s="702"/>
      <c r="AN391" s="704"/>
      <c r="AO391" s="703"/>
      <c r="AP391" s="703"/>
      <c r="AQ391" s="703">
        <f>+FL_2($T$392,$T$390,$G$391,1200,9.28, 1*$F$392)</f>
        <v>-0.3</v>
      </c>
      <c r="AR391" s="703"/>
      <c r="AS391" s="703"/>
      <c r="AT391" s="703"/>
      <c r="AU391" s="705"/>
      <c r="AV391" s="705"/>
      <c r="AW391" s="702" t="str">
        <f>IF(C391&gt;0,VLOOKUP(C391,Foundation_Calc!$A$2:$C$13,3,1),
IF(J391&gt;0,VLOOKUP(J391,Foundation_Calc!$A$2:$C$13,3,1),""))</f>
        <v>Multi Soil</v>
      </c>
      <c r="AX391" s="702" t="str">
        <f>IF(C391&gt;0,VLOOKUP(C391,Foundation_Calc!$E$35:$G$65,3,1),
IF(J391&gt;0,VLOOKUP(J391,Foundation_Calc!$E$35:$G$65,3,1),""))</f>
        <v>PT</v>
      </c>
      <c r="AY391" s="704" t="str">
        <f>IF(L391="","",
IF(AX391="PT",VLOOKUP(L391,Foundation_Calc!$K$79:$R$113,VLOOKUP(AW391,Foundation_Calc!$I$2:$J$8,2,FALSE),0),
IF(AX391="K",VLOOKUP(L391,Foundation_Calc!$K$117:$R$151,VLOOKUP(AW391,Foundation_Calc!$I$2:$J$8,2,FALSE),0),"")))</f>
        <v/>
      </c>
      <c r="AZ391" s="704">
        <f>IF(K391="","",
IF(AX391="PT",VLOOKUP(K391,Foundation_Calc!$K$79:$R$113,VLOOKUP(AW391,Foundation_Calc!$I$2:$J$8,2,FALSE),0),
IF(AX391="K",VLOOKUP(K391,Foundation_Calc!$K$117:$R$151,VLOOKUP(AW391,Foundation_Calc!$I$2:$J$8,2,FALSE),0),"")))</f>
        <v>2.8</v>
      </c>
      <c r="BA391" s="495" t="str">
        <f t="shared" si="43"/>
        <v/>
      </c>
      <c r="BB391" s="495" t="str">
        <f t="shared" si="44"/>
        <v>ü</v>
      </c>
      <c r="BC391" s="495" t="str">
        <f t="shared" si="45"/>
        <v/>
      </c>
      <c r="BD391" s="513" t="str">
        <f>IF(AND(L391="",H391=""),"",
IF(H391="",Pole_Calc!A$9,
IF(H391="MP",Pole_Calc!A$10,
IF(H391="AnMP",Pole_Calc!A$11,
IF(H391="A",Pole_Calc!A$12,
IF(H391="S/A",Pole_Calc!A$13,
IF(H391="A/S",Pole_Calc!A$14,"Poner a mano")))))))</f>
        <v/>
      </c>
      <c r="BE391" s="429" t="s">
        <v>118</v>
      </c>
      <c r="BF391" s="290"/>
      <c r="BG391" s="290"/>
      <c r="BH391" s="290"/>
      <c r="BI391" s="290"/>
    </row>
    <row r="392" spans="1:61" ht="16.149999999999999" customHeight="1">
      <c r="A392" s="736"/>
      <c r="B392" s="720" t="s">
        <v>1135</v>
      </c>
      <c r="C392" s="698">
        <f>+$C$390+$G$391</f>
        <v>39554.360000000008</v>
      </c>
      <c r="D392" s="699"/>
      <c r="E392" s="700"/>
      <c r="F392" s="700">
        <v>-900</v>
      </c>
      <c r="G392" s="701"/>
      <c r="H392" s="702"/>
      <c r="I392" s="700"/>
      <c r="J392" s="698"/>
      <c r="K392" s="702"/>
      <c r="L392" s="702" t="s">
        <v>158</v>
      </c>
      <c r="M392" s="702" t="s">
        <v>396</v>
      </c>
      <c r="N392" s="702" t="s">
        <v>124</v>
      </c>
      <c r="O392" s="702"/>
      <c r="P392" s="702"/>
      <c r="Q392" s="700"/>
      <c r="R392" s="701"/>
      <c r="S392" s="701"/>
      <c r="T392" s="700">
        <v>-30</v>
      </c>
      <c r="U392" s="700"/>
      <c r="V392" s="700"/>
      <c r="W392" s="703">
        <v>1.4</v>
      </c>
      <c r="X392" s="703"/>
      <c r="Y392" s="703"/>
      <c r="Z392" s="703"/>
      <c r="AA392" s="703"/>
      <c r="AB392" s="703"/>
      <c r="AC392" s="702" t="str">
        <f t="shared" si="42"/>
        <v>PHC</v>
      </c>
      <c r="AD392" s="702"/>
      <c r="AE392" s="702"/>
      <c r="AF392" s="700"/>
      <c r="AG392" s="699"/>
      <c r="AH392" s="700"/>
      <c r="AI392" s="700"/>
      <c r="AJ392" s="702"/>
      <c r="AK392" s="702"/>
      <c r="AL392" s="702"/>
      <c r="AM392" s="702" t="s">
        <v>126</v>
      </c>
      <c r="AN392" s="704">
        <v>5.5</v>
      </c>
      <c r="AO392" s="703"/>
      <c r="AP392" s="703"/>
      <c r="AQ392" s="703"/>
      <c r="AR392" s="703"/>
      <c r="AS392" s="703"/>
      <c r="AT392" s="703">
        <f>+ab($T$392,$T$390,$T$394,$G$391,$G$393, 1*$F$392,1200)</f>
        <v>-4.0097988670160589</v>
      </c>
      <c r="AU392" s="705"/>
      <c r="AV392" s="705"/>
      <c r="AW392" s="702" t="str">
        <f>IF(C392&gt;0,VLOOKUP(C392,Foundation_Calc!$A$2:$C$13,3,1),
IF(J392&gt;0,VLOOKUP(J392,Foundation_Calc!$A$2:$C$13,3,1),""))</f>
        <v>Multi Soil</v>
      </c>
      <c r="AX392" s="702" t="str">
        <f>IF(C392&gt;0,VLOOKUP(C392,Foundation_Calc!$E$35:$G$65,3,1),
IF(J392&gt;0,VLOOKUP(J392,Foundation_Calc!$E$35:$G$65,3,1),""))</f>
        <v>PT</v>
      </c>
      <c r="AY392" s="704">
        <f>IF(L392="","",
IF(AX392="PT",VLOOKUP(L392,Foundation_Calc!$K$79:$R$113,VLOOKUP(AW392,Foundation_Calc!$I$2:$J$8,2,FALSE),0),
IF(AX392="K",VLOOKUP(L392,Foundation_Calc!$K$117:$R$151,VLOOKUP(AW392,Foundation_Calc!$I$2:$J$8,2,FALSE),0),"")))</f>
        <v>3.5</v>
      </c>
      <c r="AZ392" s="704" t="str">
        <f>IF(K392="","",
IF(AX392="PT",VLOOKUP(K392,Foundation_Calc!$K$79:$R$113,VLOOKUP(AW392,Foundation_Calc!$I$2:$J$8,2,FALSE),0),
IF(AX392="K",VLOOKUP(K392,Foundation_Calc!$K$117:$R$151,VLOOKUP(AW392,Foundation_Calc!$I$2:$J$8,2,FALSE),0),"")))</f>
        <v/>
      </c>
      <c r="BA392" s="495" t="str">
        <f t="shared" si="43"/>
        <v>ü</v>
      </c>
      <c r="BB392" s="495" t="str">
        <f t="shared" si="44"/>
        <v/>
      </c>
      <c r="BC392" s="495" t="str">
        <f t="shared" si="45"/>
        <v/>
      </c>
      <c r="BD392" s="513" t="str">
        <f>IF(AND(L392="",H392=""),"",
IF(H392="",Pole_Calc!A$9,
IF(H392="MP",Pole_Calc!A$10,
IF(H392="AnMP",Pole_Calc!A$11,
IF(H392="A",Pole_Calc!A$12,
IF(H392="S/A",Pole_Calc!A$13,
IF(H392="A/S",Pole_Calc!A$14,"Poner a mano")))))))</f>
        <v>App.7-V11I-P9.5.1.1</v>
      </c>
      <c r="BE392" s="429" t="s">
        <v>118</v>
      </c>
      <c r="BF392" s="289"/>
      <c r="BG392" s="289"/>
      <c r="BH392" s="290"/>
      <c r="BI392" s="289"/>
    </row>
    <row r="393" spans="1:61" ht="16.149999999999999" customHeight="1">
      <c r="A393" s="736"/>
      <c r="B393" s="697"/>
      <c r="C393" s="698"/>
      <c r="D393" s="699"/>
      <c r="E393" s="700"/>
      <c r="F393" s="700"/>
      <c r="G393" s="701">
        <v>43</v>
      </c>
      <c r="H393" s="702"/>
      <c r="I393" s="700"/>
      <c r="J393" s="698"/>
      <c r="K393" s="702"/>
      <c r="L393" s="702"/>
      <c r="M393" s="702" t="str">
        <f>IF(L393="","",
IF(AX393="PT",VLOOKUP(L393,Foundation_Calc!$V$79:$X$113,VLOOKUP(AX393,Foundation_Calc!$I$10:$J$13,2,FALSE),0),
IF(AX393="K",VLOOKUP(L393,Foundation_Calc!$V$117:$X$151,VLOOKUP(AX393,Foundation_Calc!$I$10:$J$13,2,FALSE),0),"")))</f>
        <v/>
      </c>
      <c r="N393" s="702"/>
      <c r="O393" s="702"/>
      <c r="P393" s="702"/>
      <c r="Q393" s="700"/>
      <c r="R393" s="701"/>
      <c r="S393" s="701"/>
      <c r="T393" s="700"/>
      <c r="U393" s="700"/>
      <c r="V393" s="700"/>
      <c r="W393" s="703"/>
      <c r="X393" s="703"/>
      <c r="Y393" s="703"/>
      <c r="Z393" s="703"/>
      <c r="AA393" s="703"/>
      <c r="AB393" s="703"/>
      <c r="AC393" s="702" t="str">
        <f t="shared" ref="AC393:AC403" si="46">IF(OR(AT393&gt;8,AT393&lt;-8),"PH",
IF(OR(AT393&gt;5,AT393&lt;-5),"PHQ",
IF(OR(AT393&gt;1,AT393&lt;-1),
"PHC","")))</f>
        <v/>
      </c>
      <c r="AD393" s="702"/>
      <c r="AE393" s="702"/>
      <c r="AF393" s="700"/>
      <c r="AG393" s="699"/>
      <c r="AH393" s="700"/>
      <c r="AI393" s="700"/>
      <c r="AJ393" s="702"/>
      <c r="AK393" s="702"/>
      <c r="AL393" s="702"/>
      <c r="AM393" s="702"/>
      <c r="AN393" s="704"/>
      <c r="AO393" s="703"/>
      <c r="AP393" s="703"/>
      <c r="AQ393" s="703">
        <f>+FL_2($T$394,$T$392,$G$393,1200,9.28, 1*$F$394)</f>
        <v>-0.3</v>
      </c>
      <c r="AR393" s="703"/>
      <c r="AS393" s="703"/>
      <c r="AT393" s="703"/>
      <c r="AU393" s="705"/>
      <c r="AV393" s="705"/>
      <c r="AW393" s="702" t="str">
        <f>IF(C393&gt;0,VLOOKUP(C393,Foundation_Calc!$A$2:$C$13,3,1),
IF(J393&gt;0,VLOOKUP(J393,Foundation_Calc!$A$2:$C$13,3,1),""))</f>
        <v/>
      </c>
      <c r="AX393" s="702" t="str">
        <f>IF(C393&gt;0,VLOOKUP(C393,Foundation_Calc!$E$35:$G$65,3,1),
IF(J393&gt;0,VLOOKUP(J393,Foundation_Calc!$E$35:$G$65,3,1),""))</f>
        <v/>
      </c>
      <c r="AY393" s="704" t="str">
        <f>IF(L393="","",
IF(AX393="PT",VLOOKUP(L393,Foundation_Calc!$K$79:$R$113,VLOOKUP(AW393,Foundation_Calc!$I$2:$J$8,2,FALSE),0),
IF(AX393="K",VLOOKUP(L393,Foundation_Calc!$K$117:$R$151,VLOOKUP(AW393,Foundation_Calc!$I$2:$J$8,2,FALSE),0),"")))</f>
        <v/>
      </c>
      <c r="AZ393" s="704" t="str">
        <f>IF(K393="","",
IF(AX393="PT",VLOOKUP(K393,Foundation_Calc!$K$79:$R$113,VLOOKUP(AW393,Foundation_Calc!$I$2:$J$8,2,FALSE),0),
IF(AX393="K",VLOOKUP(K393,Foundation_Calc!$K$117:$R$151,VLOOKUP(AW393,Foundation_Calc!$I$2:$J$8,2,FALSE),0),"")))</f>
        <v/>
      </c>
      <c r="BA393" s="495" t="str">
        <f t="shared" si="43"/>
        <v/>
      </c>
      <c r="BB393" s="495" t="str">
        <f t="shared" si="44"/>
        <v/>
      </c>
      <c r="BC393" s="495" t="str">
        <f t="shared" si="45"/>
        <v/>
      </c>
      <c r="BD393" s="513" t="str">
        <f>IF(AND(L393="",H393=""),"",
IF(H393="",Pole_Calc!A$9,
IF(H393="MP",Pole_Calc!A$10,
IF(H393="AnMP",Pole_Calc!A$11,
IF(H393="A",Pole_Calc!A$12,
IF(H393="S/A",Pole_Calc!A$13,
IF(H393="A/S",Pole_Calc!A$14,"Poner a mano")))))))</f>
        <v/>
      </c>
      <c r="BE393" s="429" t="s">
        <v>118</v>
      </c>
      <c r="BF393" s="290"/>
      <c r="BG393" s="290"/>
      <c r="BH393" s="290"/>
      <c r="BI393" s="290"/>
    </row>
    <row r="394" spans="1:61" ht="16.149999999999999" customHeight="1">
      <c r="A394" s="696"/>
      <c r="B394" s="720" t="s">
        <v>1136</v>
      </c>
      <c r="C394" s="698">
        <f>+$C$392+$G$393</f>
        <v>39597.360000000008</v>
      </c>
      <c r="D394" s="699"/>
      <c r="E394" s="700"/>
      <c r="F394" s="700">
        <v>-900</v>
      </c>
      <c r="G394" s="701"/>
      <c r="H394" s="702"/>
      <c r="I394" s="700"/>
      <c r="J394" s="698"/>
      <c r="K394" s="702"/>
      <c r="L394" s="702" t="s">
        <v>158</v>
      </c>
      <c r="M394" s="702" t="s">
        <v>396</v>
      </c>
      <c r="N394" s="702" t="s">
        <v>124</v>
      </c>
      <c r="O394" s="702"/>
      <c r="P394" s="702"/>
      <c r="Q394" s="700"/>
      <c r="R394" s="701"/>
      <c r="S394" s="701"/>
      <c r="T394" s="700">
        <v>-30</v>
      </c>
      <c r="U394" s="700"/>
      <c r="V394" s="700"/>
      <c r="W394" s="703">
        <v>1.4</v>
      </c>
      <c r="X394" s="703"/>
      <c r="Y394" s="703"/>
      <c r="Z394" s="703"/>
      <c r="AA394" s="703"/>
      <c r="AB394" s="703"/>
      <c r="AC394" s="702" t="str">
        <f t="shared" si="46"/>
        <v>PHC</v>
      </c>
      <c r="AD394" s="702"/>
      <c r="AE394" s="702"/>
      <c r="AF394" s="700"/>
      <c r="AG394" s="699"/>
      <c r="AH394" s="700"/>
      <c r="AI394" s="700"/>
      <c r="AJ394" s="702"/>
      <c r="AK394" s="702"/>
      <c r="AL394" s="702"/>
      <c r="AM394" s="702" t="s">
        <v>126</v>
      </c>
      <c r="AN394" s="704">
        <v>5.5</v>
      </c>
      <c r="AO394" s="703"/>
      <c r="AP394" s="703"/>
      <c r="AQ394" s="703"/>
      <c r="AR394" s="703"/>
      <c r="AS394" s="703"/>
      <c r="AT394" s="703">
        <f>+ab($T$394,$T$392,$T$396,$G$393,$G$395, 1*$F$394,1200)</f>
        <v>-3.9189543277395984</v>
      </c>
      <c r="AU394" s="705"/>
      <c r="AV394" s="705"/>
      <c r="AW394" s="702" t="str">
        <f>IF(C394&gt;0,VLOOKUP(C394,Foundation_Calc!$A$2:$C$13,3,1),
IF(J394&gt;0,VLOOKUP(J394,Foundation_Calc!$A$2:$C$13,3,1),""))</f>
        <v>Multi Soil</v>
      </c>
      <c r="AX394" s="702" t="str">
        <f>IF(C394&gt;0,VLOOKUP(C394,Foundation_Calc!$E$35:$G$65,3,1),
IF(J394&gt;0,VLOOKUP(J394,Foundation_Calc!$E$35:$G$65,3,1),""))</f>
        <v>PT</v>
      </c>
      <c r="AY394" s="704">
        <f>IF(L394="","",
IF(AX394="PT",VLOOKUP(L394,Foundation_Calc!$K$79:$R$113,VLOOKUP(AW394,Foundation_Calc!$I$2:$J$8,2,FALSE),0),
IF(AX394="K",VLOOKUP(L394,Foundation_Calc!$K$117:$R$151,VLOOKUP(AW394,Foundation_Calc!$I$2:$J$8,2,FALSE),0),"")))</f>
        <v>3.5</v>
      </c>
      <c r="AZ394" s="704" t="str">
        <f>IF(K394="","",
IF(AX394="PT",VLOOKUP(K394,Foundation_Calc!$K$79:$R$113,VLOOKUP(AW394,Foundation_Calc!$I$2:$J$8,2,FALSE),0),
IF(AX394="K",VLOOKUP(K394,Foundation_Calc!$K$117:$R$151,VLOOKUP(AW394,Foundation_Calc!$I$2:$J$8,2,FALSE),0),"")))</f>
        <v/>
      </c>
      <c r="BA394" s="495" t="str">
        <f t="shared" si="43"/>
        <v>ü</v>
      </c>
      <c r="BB394" s="495" t="str">
        <f t="shared" si="44"/>
        <v/>
      </c>
      <c r="BC394" s="495" t="str">
        <f t="shared" si="45"/>
        <v/>
      </c>
      <c r="BD394" s="513" t="str">
        <f>IF(AND(L394="",H394=""),"",
IF(H394="",Pole_Calc!A$9,
IF(H394="MP",Pole_Calc!A$10,
IF(H394="AnMP",Pole_Calc!A$11,
IF(H394="A",Pole_Calc!A$12,
IF(H394="S/A",Pole_Calc!A$13,
IF(H394="A/S",Pole_Calc!A$14,"Poner a mano")))))))</f>
        <v>App.7-V11I-P9.5.1.1</v>
      </c>
      <c r="BE394" s="429" t="s">
        <v>118</v>
      </c>
      <c r="BF394" s="289"/>
      <c r="BG394" s="289"/>
      <c r="BH394" s="290"/>
      <c r="BI394" s="289"/>
    </row>
    <row r="395" spans="1:61" ht="16.149999999999999" customHeight="1">
      <c r="A395" s="696"/>
      <c r="B395" s="697"/>
      <c r="C395" s="698"/>
      <c r="D395" s="699"/>
      <c r="E395" s="700"/>
      <c r="F395" s="700"/>
      <c r="G395" s="701">
        <v>45</v>
      </c>
      <c r="H395" s="702"/>
      <c r="I395" s="700"/>
      <c r="J395" s="698"/>
      <c r="K395" s="702"/>
      <c r="L395" s="702"/>
      <c r="M395" s="702" t="str">
        <f>IF(L395="","",
IF(AX395="PT",VLOOKUP(L395,Foundation_Calc!$V$79:$X$113,VLOOKUP(AX395,Foundation_Calc!$I$10:$J$13,2,FALSE),0),
IF(AX395="K",VLOOKUP(L395,Foundation_Calc!$V$117:$X$151,VLOOKUP(AX395,Foundation_Calc!$I$10:$J$13,2,FALSE),0),"")))</f>
        <v/>
      </c>
      <c r="N395" s="702"/>
      <c r="O395" s="702"/>
      <c r="P395" s="702"/>
      <c r="Q395" s="700"/>
      <c r="R395" s="701"/>
      <c r="S395" s="701"/>
      <c r="T395" s="700"/>
      <c r="U395" s="700"/>
      <c r="V395" s="700"/>
      <c r="W395" s="703"/>
      <c r="X395" s="703"/>
      <c r="Y395" s="703"/>
      <c r="Z395" s="703"/>
      <c r="AA395" s="703"/>
      <c r="AB395" s="703"/>
      <c r="AC395" s="702" t="str">
        <f t="shared" si="46"/>
        <v/>
      </c>
      <c r="AD395" s="702"/>
      <c r="AE395" s="702"/>
      <c r="AF395" s="700"/>
      <c r="AG395" s="699"/>
      <c r="AH395" s="700"/>
      <c r="AI395" s="700"/>
      <c r="AJ395" s="702"/>
      <c r="AK395" s="702"/>
      <c r="AL395" s="702"/>
      <c r="AM395" s="702"/>
      <c r="AN395" s="704"/>
      <c r="AO395" s="703"/>
      <c r="AP395" s="703"/>
      <c r="AQ395" s="703">
        <f>+FL_2($T$396,$T$394,$G$395,1200,9.28, 1*$F$396)</f>
        <v>-0.30007601685417717</v>
      </c>
      <c r="AR395" s="703"/>
      <c r="AS395" s="703"/>
      <c r="AT395" s="703"/>
      <c r="AU395" s="705"/>
      <c r="AV395" s="705"/>
      <c r="AW395" s="702" t="str">
        <f>IF(C395&gt;0,VLOOKUP(C395,Foundation_Calc!$A$2:$C$13,3,1),
IF(J395&gt;0,VLOOKUP(J395,Foundation_Calc!$A$2:$C$13,3,1),""))</f>
        <v/>
      </c>
      <c r="AX395" s="702" t="str">
        <f>IF(C395&gt;0,VLOOKUP(C395,Foundation_Calc!$E$35:$G$65,3,1),
IF(J395&gt;0,VLOOKUP(J395,Foundation_Calc!$E$35:$G$65,3,1),""))</f>
        <v/>
      </c>
      <c r="AY395" s="704" t="str">
        <f>IF(L395="","",
IF(AX395="PT",VLOOKUP(L395,Foundation_Calc!$K$79:$R$113,VLOOKUP(AW395,Foundation_Calc!$I$2:$J$8,2,FALSE),0),
IF(AX395="K",VLOOKUP(L395,Foundation_Calc!$K$117:$R$151,VLOOKUP(AW395,Foundation_Calc!$I$2:$J$8,2,FALSE),0),"")))</f>
        <v/>
      </c>
      <c r="AZ395" s="704" t="str">
        <f>IF(K395="","",
IF(AX395="PT",VLOOKUP(K395,Foundation_Calc!$K$79:$R$113,VLOOKUP(AW395,Foundation_Calc!$I$2:$J$8,2,FALSE),0),
IF(AX395="K",VLOOKUP(K395,Foundation_Calc!$K$117:$R$151,VLOOKUP(AW395,Foundation_Calc!$I$2:$J$8,2,FALSE),0),"")))</f>
        <v/>
      </c>
      <c r="BA395" s="495" t="str">
        <f t="shared" si="43"/>
        <v/>
      </c>
      <c r="BB395" s="495" t="str">
        <f t="shared" si="44"/>
        <v/>
      </c>
      <c r="BC395" s="495" t="str">
        <f t="shared" si="45"/>
        <v/>
      </c>
      <c r="BD395" s="513" t="str">
        <f>IF(AND(L395="",H395=""),"",
IF(H395="",Pole_Calc!A$9,
IF(H395="MP",Pole_Calc!A$10,
IF(H395="AnMP",Pole_Calc!A$11,
IF(H395="A",Pole_Calc!A$12,
IF(H395="S/A",Pole_Calc!A$13,
IF(H395="A/S",Pole_Calc!A$14,"Poner a mano")))))))</f>
        <v/>
      </c>
      <c r="BE395" s="429" t="s">
        <v>118</v>
      </c>
      <c r="BF395" s="290"/>
      <c r="BG395" s="290"/>
      <c r="BH395" s="290"/>
      <c r="BI395" s="290"/>
    </row>
    <row r="396" spans="1:61" ht="16.149999999999999" customHeight="1">
      <c r="A396" s="708"/>
      <c r="B396" s="720" t="s">
        <v>1137</v>
      </c>
      <c r="C396" s="698">
        <f>+$C$394+$G$395</f>
        <v>39642.360000000008</v>
      </c>
      <c r="D396" s="699"/>
      <c r="E396" s="700"/>
      <c r="F396" s="700">
        <v>-900</v>
      </c>
      <c r="G396" s="701"/>
      <c r="H396" s="702"/>
      <c r="I396" s="700"/>
      <c r="J396" s="698"/>
      <c r="K396" s="702"/>
      <c r="L396" s="702" t="s">
        <v>158</v>
      </c>
      <c r="M396" s="702" t="s">
        <v>396</v>
      </c>
      <c r="N396" s="702" t="s">
        <v>124</v>
      </c>
      <c r="O396" s="702"/>
      <c r="P396" s="702"/>
      <c r="Q396" s="700"/>
      <c r="R396" s="701"/>
      <c r="S396" s="701"/>
      <c r="T396" s="700">
        <v>-30</v>
      </c>
      <c r="U396" s="700"/>
      <c r="V396" s="700"/>
      <c r="W396" s="703">
        <v>1.4</v>
      </c>
      <c r="X396" s="703"/>
      <c r="Y396" s="703"/>
      <c r="Z396" s="703"/>
      <c r="AA396" s="703"/>
      <c r="AB396" s="703"/>
      <c r="AC396" s="702" t="str">
        <f t="shared" si="46"/>
        <v>PHC</v>
      </c>
      <c r="AD396" s="702"/>
      <c r="AE396" s="702"/>
      <c r="AF396" s="700"/>
      <c r="AG396" s="699"/>
      <c r="AH396" s="700"/>
      <c r="AI396" s="700"/>
      <c r="AJ396" s="702"/>
      <c r="AK396" s="702"/>
      <c r="AL396" s="702"/>
      <c r="AM396" s="702" t="s">
        <v>126</v>
      </c>
      <c r="AN396" s="704">
        <v>5.5</v>
      </c>
      <c r="AO396" s="703"/>
      <c r="AP396" s="703"/>
      <c r="AQ396" s="703"/>
      <c r="AR396" s="703"/>
      <c r="AS396" s="703"/>
      <c r="AT396" s="703">
        <f>+ab($T$396,$T$394,$T$398,$G$395,$G$397, 1*$F$396,1200)</f>
        <v>-3.8321288746804383</v>
      </c>
      <c r="AU396" s="705"/>
      <c r="AV396" s="705"/>
      <c r="AW396" s="702" t="str">
        <f>IF(C396&gt;0,VLOOKUP(C396,Foundation_Calc!$A$2:$C$13,3,1),
IF(J396&gt;0,VLOOKUP(J396,Foundation_Calc!$A$2:$C$13,3,1),""))</f>
        <v>Multi Soil</v>
      </c>
      <c r="AX396" s="702" t="str">
        <f>IF(C396&gt;0,VLOOKUP(C396,Foundation_Calc!$E$35:$G$65,3,1),
IF(J396&gt;0,VLOOKUP(J396,Foundation_Calc!$E$35:$G$65,3,1),""))</f>
        <v>PT</v>
      </c>
      <c r="AY396" s="704">
        <f>IF(L396="","",
IF(AX396="PT",VLOOKUP(L396,Foundation_Calc!$K$79:$R$113,VLOOKUP(AW396,Foundation_Calc!$I$2:$J$8,2,FALSE),0),
IF(AX396="K",VLOOKUP(L396,Foundation_Calc!$K$117:$R$151,VLOOKUP(AW396,Foundation_Calc!$I$2:$J$8,2,FALSE),0),"")))</f>
        <v>3.5</v>
      </c>
      <c r="AZ396" s="704" t="str">
        <f>IF(K396="","",
IF(AX396="PT",VLOOKUP(K396,Foundation_Calc!$K$79:$R$113,VLOOKUP(AW396,Foundation_Calc!$I$2:$J$8,2,FALSE),0),
IF(AX396="K",VLOOKUP(K396,Foundation_Calc!$K$117:$R$151,VLOOKUP(AW396,Foundation_Calc!$I$2:$J$8,2,FALSE),0),"")))</f>
        <v/>
      </c>
      <c r="BA396" s="495" t="str">
        <f t="shared" si="43"/>
        <v>ü</v>
      </c>
      <c r="BB396" s="495" t="str">
        <f t="shared" si="44"/>
        <v/>
      </c>
      <c r="BC396" s="495" t="str">
        <f t="shared" si="45"/>
        <v/>
      </c>
      <c r="BD396" s="513" t="str">
        <f>IF(AND(L396="",H396=""),"",
IF(H396="",Pole_Calc!A$9,
IF(H396="MP",Pole_Calc!A$10,
IF(H396="AnMP",Pole_Calc!A$11,
IF(H396="A",Pole_Calc!A$12,
IF(H396="S/A",Pole_Calc!A$13,
IF(H396="A/S",Pole_Calc!A$14,"Poner a mano")))))))</f>
        <v>App.7-V11I-P9.5.1.1</v>
      </c>
      <c r="BE396" s="429" t="s">
        <v>118</v>
      </c>
      <c r="BF396" s="289"/>
      <c r="BG396" s="289"/>
      <c r="BH396" s="290"/>
      <c r="BI396" s="289"/>
    </row>
    <row r="397" spans="1:61" ht="16.149999999999999" customHeight="1">
      <c r="A397" s="708"/>
      <c r="B397" s="697"/>
      <c r="C397" s="698"/>
      <c r="D397" s="699"/>
      <c r="E397" s="700"/>
      <c r="F397" s="700"/>
      <c r="G397" s="701">
        <v>45</v>
      </c>
      <c r="H397" s="702"/>
      <c r="I397" s="700"/>
      <c r="J397" s="698"/>
      <c r="K397" s="702"/>
      <c r="L397" s="702"/>
      <c r="M397" s="702" t="str">
        <f>IF(L397="","",
IF(AX397="PT",VLOOKUP(L397,Foundation_Calc!$V$79:$X$113,VLOOKUP(AX397,Foundation_Calc!$I$10:$J$13,2,FALSE),0),
IF(AX397="K",VLOOKUP(L397,Foundation_Calc!$V$117:$X$151,VLOOKUP(AX397,Foundation_Calc!$I$10:$J$13,2,FALSE),0),"")))</f>
        <v/>
      </c>
      <c r="N397" s="702"/>
      <c r="O397" s="702"/>
      <c r="P397" s="702"/>
      <c r="Q397" s="700"/>
      <c r="R397" s="701"/>
      <c r="S397" s="701"/>
      <c r="T397" s="700"/>
      <c r="U397" s="700"/>
      <c r="V397" s="700"/>
      <c r="W397" s="703"/>
      <c r="X397" s="703"/>
      <c r="Y397" s="703"/>
      <c r="Z397" s="703"/>
      <c r="AA397" s="703"/>
      <c r="AB397" s="703"/>
      <c r="AC397" s="702" t="str">
        <f t="shared" si="46"/>
        <v/>
      </c>
      <c r="AD397" s="702"/>
      <c r="AE397" s="702"/>
      <c r="AF397" s="700"/>
      <c r="AG397" s="699"/>
      <c r="AH397" s="700"/>
      <c r="AI397" s="700"/>
      <c r="AJ397" s="702"/>
      <c r="AK397" s="702"/>
      <c r="AL397" s="702"/>
      <c r="AM397" s="702"/>
      <c r="AN397" s="704"/>
      <c r="AO397" s="703"/>
      <c r="AP397" s="703"/>
      <c r="AQ397" s="703">
        <f>+FL_2($T$398,$T$396,$G$397,1200,9.28, 1*$F$398)</f>
        <v>-0.30007601685417717</v>
      </c>
      <c r="AR397" s="703"/>
      <c r="AS397" s="703"/>
      <c r="AT397" s="703"/>
      <c r="AU397" s="705"/>
      <c r="AV397" s="705"/>
      <c r="AW397" s="702" t="str">
        <f>IF(C397&gt;0,VLOOKUP(C397,Foundation_Calc!$A$2:$C$13,3,1),
IF(J397&gt;0,VLOOKUP(J397,Foundation_Calc!$A$2:$C$13,3,1),""))</f>
        <v/>
      </c>
      <c r="AX397" s="702" t="str">
        <f>IF(C397&gt;0,VLOOKUP(C397,Foundation_Calc!$E$35:$G$65,3,1),
IF(J397&gt;0,VLOOKUP(J397,Foundation_Calc!$E$35:$G$65,3,1),""))</f>
        <v/>
      </c>
      <c r="AY397" s="704" t="str">
        <f>IF(L397="","",
IF(AX397="PT",VLOOKUP(L397,Foundation_Calc!$K$79:$R$113,VLOOKUP(AW397,Foundation_Calc!$I$2:$J$8,2,FALSE),0),
IF(AX397="K",VLOOKUP(L397,Foundation_Calc!$K$117:$R$151,VLOOKUP(AW397,Foundation_Calc!$I$2:$J$8,2,FALSE),0),"")))</f>
        <v/>
      </c>
      <c r="AZ397" s="704" t="str">
        <f>IF(K397="","",
IF(AX397="PT",VLOOKUP(K397,Foundation_Calc!$K$79:$R$113,VLOOKUP(AW397,Foundation_Calc!$I$2:$J$8,2,FALSE),0),
IF(AX397="K",VLOOKUP(K397,Foundation_Calc!$K$117:$R$151,VLOOKUP(AW397,Foundation_Calc!$I$2:$J$8,2,FALSE),0),"")))</f>
        <v/>
      </c>
      <c r="BA397" s="495" t="str">
        <f t="shared" si="43"/>
        <v/>
      </c>
      <c r="BB397" s="495" t="str">
        <f t="shared" si="44"/>
        <v/>
      </c>
      <c r="BC397" s="495" t="str">
        <f t="shared" si="45"/>
        <v/>
      </c>
      <c r="BD397" s="513" t="str">
        <f>IF(AND(L397="",H397=""),"",
IF(H397="",Pole_Calc!A$9,
IF(H397="MP",Pole_Calc!A$10,
IF(H397="AnMP",Pole_Calc!A$11,
IF(H397="A",Pole_Calc!A$12,
IF(H397="S/A",Pole_Calc!A$13,
IF(H397="A/S",Pole_Calc!A$14,"Poner a mano")))))))</f>
        <v/>
      </c>
      <c r="BE397" s="429" t="s">
        <v>118</v>
      </c>
      <c r="BF397" s="290"/>
      <c r="BG397" s="290"/>
      <c r="BH397" s="290"/>
      <c r="BI397" s="290"/>
    </row>
    <row r="398" spans="1:61" ht="16.149999999999999" customHeight="1">
      <c r="A398" s="696"/>
      <c r="B398" s="720" t="s">
        <v>1138</v>
      </c>
      <c r="C398" s="698">
        <f>+$C$396+$G$397</f>
        <v>39687.360000000008</v>
      </c>
      <c r="D398" s="699"/>
      <c r="E398" s="700"/>
      <c r="F398" s="700">
        <v>-900</v>
      </c>
      <c r="G398" s="701"/>
      <c r="H398" s="702"/>
      <c r="I398" s="700"/>
      <c r="J398" s="698"/>
      <c r="K398" s="702"/>
      <c r="L398" s="702" t="s">
        <v>158</v>
      </c>
      <c r="M398" s="702" t="s">
        <v>396</v>
      </c>
      <c r="N398" s="702" t="s">
        <v>124</v>
      </c>
      <c r="O398" s="702"/>
      <c r="P398" s="702"/>
      <c r="Q398" s="700"/>
      <c r="R398" s="701"/>
      <c r="S398" s="701"/>
      <c r="T398" s="700">
        <v>-30</v>
      </c>
      <c r="U398" s="700"/>
      <c r="V398" s="700"/>
      <c r="W398" s="703">
        <v>1.4</v>
      </c>
      <c r="X398" s="703"/>
      <c r="Y398" s="703"/>
      <c r="Z398" s="703"/>
      <c r="AA398" s="703"/>
      <c r="AB398" s="703"/>
      <c r="AC398" s="702" t="str">
        <f t="shared" si="46"/>
        <v>PHC</v>
      </c>
      <c r="AD398" s="702"/>
      <c r="AE398" s="702"/>
      <c r="AF398" s="700"/>
      <c r="AG398" s="699"/>
      <c r="AH398" s="700"/>
      <c r="AI398" s="700"/>
      <c r="AJ398" s="702"/>
      <c r="AK398" s="702"/>
      <c r="AL398" s="702"/>
      <c r="AM398" s="702" t="s">
        <v>126</v>
      </c>
      <c r="AN398" s="704">
        <v>5.5</v>
      </c>
      <c r="AO398" s="703"/>
      <c r="AP398" s="703"/>
      <c r="AQ398" s="703"/>
      <c r="AR398" s="703"/>
      <c r="AS398" s="703"/>
      <c r="AT398" s="703">
        <f>+ab($T$398,$T$396,$T$400,$G$397,$G$399, 1*$F$398,1200)</f>
        <v>-3.9189543277395984</v>
      </c>
      <c r="AU398" s="705"/>
      <c r="AV398" s="705"/>
      <c r="AW398" s="702" t="str">
        <f>IF(C398&gt;0,VLOOKUP(C398,Foundation_Calc!$A$2:$C$13,3,1),
IF(J398&gt;0,VLOOKUP(J398,Foundation_Calc!$A$2:$C$13,3,1),""))</f>
        <v>Multi Soil</v>
      </c>
      <c r="AX398" s="702" t="str">
        <f>IF(C398&gt;0,VLOOKUP(C398,Foundation_Calc!$E$35:$G$65,3,1),
IF(J398&gt;0,VLOOKUP(J398,Foundation_Calc!$E$35:$G$65,3,1),""))</f>
        <v>PT</v>
      </c>
      <c r="AY398" s="704">
        <f>IF(L398="","",
IF(AX398="PT",VLOOKUP(L398,Foundation_Calc!$K$79:$R$113,VLOOKUP(AW398,Foundation_Calc!$I$2:$J$8,2,FALSE),0),
IF(AX398="K",VLOOKUP(L398,Foundation_Calc!$K$117:$R$151,VLOOKUP(AW398,Foundation_Calc!$I$2:$J$8,2,FALSE),0),"")))</f>
        <v>3.5</v>
      </c>
      <c r="AZ398" s="704" t="str">
        <f>IF(K398="","",
IF(AX398="PT",VLOOKUP(K398,Foundation_Calc!$K$79:$R$113,VLOOKUP(AW398,Foundation_Calc!$I$2:$J$8,2,FALSE),0),
IF(AX398="K",VLOOKUP(K398,Foundation_Calc!$K$117:$R$151,VLOOKUP(AW398,Foundation_Calc!$I$2:$J$8,2,FALSE),0),"")))</f>
        <v/>
      </c>
      <c r="BA398" s="495" t="str">
        <f t="shared" si="43"/>
        <v>ü</v>
      </c>
      <c r="BB398" s="495" t="str">
        <f t="shared" si="44"/>
        <v/>
      </c>
      <c r="BC398" s="495" t="str">
        <f t="shared" si="45"/>
        <v/>
      </c>
      <c r="BD398" s="513" t="str">
        <f>IF(AND(L398="",H398=""),"",
IF(H398="",Pole_Calc!A$9,
IF(H398="MP",Pole_Calc!A$10,
IF(H398="AnMP",Pole_Calc!A$11,
IF(H398="A",Pole_Calc!A$12,
IF(H398="S/A",Pole_Calc!A$13,
IF(H398="A/S",Pole_Calc!A$14,"Poner a mano")))))))</f>
        <v>App.7-V11I-P9.5.1.1</v>
      </c>
      <c r="BE398" s="429" t="s">
        <v>118</v>
      </c>
      <c r="BF398" s="289"/>
      <c r="BG398" s="289"/>
      <c r="BH398" s="290"/>
      <c r="BI398" s="289"/>
    </row>
    <row r="399" spans="1:61" ht="16.149999999999999" customHeight="1">
      <c r="A399" s="696"/>
      <c r="B399" s="697"/>
      <c r="C399" s="698"/>
      <c r="D399" s="699"/>
      <c r="E399" s="700"/>
      <c r="F399" s="700"/>
      <c r="G399" s="701">
        <v>43</v>
      </c>
      <c r="H399" s="702"/>
      <c r="I399" s="700"/>
      <c r="J399" s="698"/>
      <c r="K399" s="702"/>
      <c r="L399" s="702"/>
      <c r="M399" s="702" t="str">
        <f>IF(L399="","",
IF(AX399="PT",VLOOKUP(L399,Foundation_Calc!$V$79:$X$113,VLOOKUP(AX399,Foundation_Calc!$I$10:$J$13,2,FALSE),0),
IF(AX399="K",VLOOKUP(L399,Foundation_Calc!$V$117:$X$151,VLOOKUP(AX399,Foundation_Calc!$I$10:$J$13,2,FALSE),0),"")))</f>
        <v/>
      </c>
      <c r="N399" s="702"/>
      <c r="O399" s="702"/>
      <c r="P399" s="702"/>
      <c r="Q399" s="700"/>
      <c r="R399" s="701"/>
      <c r="S399" s="701"/>
      <c r="T399" s="700"/>
      <c r="U399" s="700"/>
      <c r="V399" s="700"/>
      <c r="W399" s="703"/>
      <c r="X399" s="703"/>
      <c r="Y399" s="703"/>
      <c r="Z399" s="703"/>
      <c r="AA399" s="703"/>
      <c r="AB399" s="703"/>
      <c r="AC399" s="702" t="str">
        <f t="shared" si="46"/>
        <v/>
      </c>
      <c r="AD399" s="702"/>
      <c r="AE399" s="702"/>
      <c r="AF399" s="700"/>
      <c r="AG399" s="699"/>
      <c r="AH399" s="700"/>
      <c r="AI399" s="700"/>
      <c r="AJ399" s="702"/>
      <c r="AK399" s="702"/>
      <c r="AL399" s="702"/>
      <c r="AM399" s="702"/>
      <c r="AN399" s="704"/>
      <c r="AO399" s="703"/>
      <c r="AP399" s="703"/>
      <c r="AQ399" s="703">
        <f>+FL_2($T$400,$T$398,$G$399,1200,9.28, 1*$F$400)</f>
        <v>-0.3</v>
      </c>
      <c r="AR399" s="703"/>
      <c r="AS399" s="703"/>
      <c r="AT399" s="703"/>
      <c r="AU399" s="705"/>
      <c r="AV399" s="705"/>
      <c r="AW399" s="702" t="str">
        <f>IF(C399&gt;0,VLOOKUP(C399,Foundation_Calc!$A$2:$C$13,3,1),
IF(J399&gt;0,VLOOKUP(J399,Foundation_Calc!$A$2:$C$13,3,1),""))</f>
        <v/>
      </c>
      <c r="AX399" s="702" t="str">
        <f>IF(C399&gt;0,VLOOKUP(C399,Foundation_Calc!$E$35:$G$65,3,1),
IF(J399&gt;0,VLOOKUP(J399,Foundation_Calc!$E$35:$G$65,3,1),""))</f>
        <v/>
      </c>
      <c r="AY399" s="704" t="str">
        <f>IF(L399="","",
IF(AX399="PT",VLOOKUP(L399,Foundation_Calc!$K$79:$R$113,VLOOKUP(AW399,Foundation_Calc!$I$2:$J$8,2,FALSE),0),
IF(AX399="K",VLOOKUP(L399,Foundation_Calc!$K$117:$R$151,VLOOKUP(AW399,Foundation_Calc!$I$2:$J$8,2,FALSE),0),"")))</f>
        <v/>
      </c>
      <c r="AZ399" s="704" t="str">
        <f>IF(K399="","",
IF(AX399="PT",VLOOKUP(K399,Foundation_Calc!$K$79:$R$113,VLOOKUP(AW399,Foundation_Calc!$I$2:$J$8,2,FALSE),0),
IF(AX399="K",VLOOKUP(K399,Foundation_Calc!$K$117:$R$151,VLOOKUP(AW399,Foundation_Calc!$I$2:$J$8,2,FALSE),0),"")))</f>
        <v/>
      </c>
      <c r="BA399" s="495" t="str">
        <f t="shared" si="43"/>
        <v/>
      </c>
      <c r="BB399" s="495" t="str">
        <f t="shared" si="44"/>
        <v/>
      </c>
      <c r="BC399" s="495" t="str">
        <f t="shared" si="45"/>
        <v/>
      </c>
      <c r="BD399" s="513" t="str">
        <f>IF(AND(L399="",H399=""),"",
IF(H399="",Pole_Calc!A$9,
IF(H399="MP",Pole_Calc!A$10,
IF(H399="AnMP",Pole_Calc!A$11,
IF(H399="A",Pole_Calc!A$12,
IF(H399="S/A",Pole_Calc!A$13,
IF(H399="A/S",Pole_Calc!A$14,"Poner a mano")))))))</f>
        <v/>
      </c>
      <c r="BE399" s="429" t="s">
        <v>118</v>
      </c>
      <c r="BF399" s="290"/>
      <c r="BG399" s="290"/>
      <c r="BH399" s="290"/>
      <c r="BI399" s="290"/>
    </row>
    <row r="400" spans="1:61" ht="16.149999999999999" customHeight="1">
      <c r="A400" s="696"/>
      <c r="B400" s="720" t="s">
        <v>1139</v>
      </c>
      <c r="C400" s="698">
        <f>+$C$398+$G$399</f>
        <v>39730.360000000008</v>
      </c>
      <c r="D400" s="699"/>
      <c r="E400" s="700"/>
      <c r="F400" s="700">
        <v>-900</v>
      </c>
      <c r="G400" s="701"/>
      <c r="H400" s="702"/>
      <c r="I400" s="700"/>
      <c r="J400" s="698"/>
      <c r="K400" s="702"/>
      <c r="L400" s="702" t="s">
        <v>158</v>
      </c>
      <c r="M400" s="702" t="s">
        <v>396</v>
      </c>
      <c r="N400" s="702" t="s">
        <v>124</v>
      </c>
      <c r="O400" s="702"/>
      <c r="P400" s="702"/>
      <c r="Q400" s="700"/>
      <c r="R400" s="701"/>
      <c r="S400" s="701"/>
      <c r="T400" s="700">
        <v>-30</v>
      </c>
      <c r="U400" s="700"/>
      <c r="V400" s="700"/>
      <c r="W400" s="703">
        <v>1.4</v>
      </c>
      <c r="X400" s="703"/>
      <c r="Y400" s="703"/>
      <c r="Z400" s="703"/>
      <c r="AA400" s="703"/>
      <c r="AB400" s="703"/>
      <c r="AC400" s="702" t="str">
        <f t="shared" si="46"/>
        <v>PHC</v>
      </c>
      <c r="AD400" s="702"/>
      <c r="AE400" s="702"/>
      <c r="AF400" s="700"/>
      <c r="AG400" s="699"/>
      <c r="AH400" s="700"/>
      <c r="AI400" s="700"/>
      <c r="AJ400" s="702"/>
      <c r="AK400" s="702"/>
      <c r="AL400" s="702"/>
      <c r="AM400" s="702" t="s">
        <v>126</v>
      </c>
      <c r="AN400" s="704">
        <v>5.5</v>
      </c>
      <c r="AO400" s="703"/>
      <c r="AP400" s="703"/>
      <c r="AQ400" s="703"/>
      <c r="AR400" s="703"/>
      <c r="AS400" s="703"/>
      <c r="AT400" s="703">
        <f>+ab($T$400,$T$398,$T$402,$G$399,$G$401, 1*$F$400,1200)</f>
        <v>-4.0097988670160589</v>
      </c>
      <c r="AU400" s="705"/>
      <c r="AV400" s="705"/>
      <c r="AW400" s="702" t="str">
        <f>IF(C400&gt;0,VLOOKUP(C400,Foundation_Calc!$A$2:$C$13,3,1),
IF(J400&gt;0,VLOOKUP(J400,Foundation_Calc!$A$2:$C$13,3,1),""))</f>
        <v>Multi Soil</v>
      </c>
      <c r="AX400" s="702" t="str">
        <f>IF(C400&gt;0,VLOOKUP(C400,Foundation_Calc!$E$35:$G$65,3,1),
IF(J400&gt;0,VLOOKUP(J400,Foundation_Calc!$E$35:$G$65,3,1),""))</f>
        <v>PT</v>
      </c>
      <c r="AY400" s="704">
        <f>IF(L400="","",
IF(AX400="PT",VLOOKUP(L400,Foundation_Calc!$K$79:$R$113,VLOOKUP(AW400,Foundation_Calc!$I$2:$J$8,2,FALSE),0),
IF(AX400="K",VLOOKUP(L400,Foundation_Calc!$K$117:$R$151,VLOOKUP(AW400,Foundation_Calc!$I$2:$J$8,2,FALSE),0),"")))</f>
        <v>3.5</v>
      </c>
      <c r="AZ400" s="704" t="str">
        <f>IF(K400="","",
IF(AX400="PT",VLOOKUP(K400,Foundation_Calc!$K$79:$R$113,VLOOKUP(AW400,Foundation_Calc!$I$2:$J$8,2,FALSE),0),
IF(AX400="K",VLOOKUP(K400,Foundation_Calc!$K$117:$R$151,VLOOKUP(AW400,Foundation_Calc!$I$2:$J$8,2,FALSE),0),"")))</f>
        <v/>
      </c>
      <c r="BA400" s="495" t="str">
        <f t="shared" si="43"/>
        <v>ü</v>
      </c>
      <c r="BB400" s="495" t="str">
        <f t="shared" si="44"/>
        <v/>
      </c>
      <c r="BC400" s="495" t="str">
        <f t="shared" si="45"/>
        <v/>
      </c>
      <c r="BD400" s="513" t="str">
        <f>IF(AND(L400="",H400=""),"",
IF(H400="",Pole_Calc!A$9,
IF(H400="MP",Pole_Calc!A$10,
IF(H400="AnMP",Pole_Calc!A$11,
IF(H400="A",Pole_Calc!A$12,
IF(H400="S/A",Pole_Calc!A$13,
IF(H400="A/S",Pole_Calc!A$14,"Poner a mano")))))))</f>
        <v>App.7-V11I-P9.5.1.1</v>
      </c>
      <c r="BE400" s="429" t="s">
        <v>118</v>
      </c>
      <c r="BF400" s="289"/>
      <c r="BG400" s="289"/>
      <c r="BH400" s="290"/>
      <c r="BI400" s="289"/>
    </row>
    <row r="401" spans="1:61" ht="16.149999999999999" customHeight="1">
      <c r="A401" s="696"/>
      <c r="B401" s="697"/>
      <c r="C401" s="698"/>
      <c r="D401" s="699"/>
      <c r="E401" s="700"/>
      <c r="F401" s="700"/>
      <c r="G401" s="701">
        <v>43</v>
      </c>
      <c r="H401" s="702"/>
      <c r="I401" s="700"/>
      <c r="J401" s="698"/>
      <c r="K401" s="702"/>
      <c r="L401" s="702"/>
      <c r="M401" s="702" t="str">
        <f>IF(L401="","",
IF(AX401="PT",VLOOKUP(L401,Foundation_Calc!$V$79:$X$113,VLOOKUP(AX401,Foundation_Calc!$I$10:$J$13,2,FALSE),0),
IF(AX401="K",VLOOKUP(L401,Foundation_Calc!$V$117:$X$151,VLOOKUP(AX401,Foundation_Calc!$I$10:$J$13,2,FALSE),0),"")))</f>
        <v/>
      </c>
      <c r="N401" s="702"/>
      <c r="O401" s="702"/>
      <c r="P401" s="702"/>
      <c r="Q401" s="700"/>
      <c r="R401" s="701"/>
      <c r="S401" s="701"/>
      <c r="T401" s="700"/>
      <c r="U401" s="700"/>
      <c r="V401" s="700"/>
      <c r="W401" s="703"/>
      <c r="X401" s="703"/>
      <c r="Y401" s="703"/>
      <c r="Z401" s="703"/>
      <c r="AA401" s="703"/>
      <c r="AB401" s="703"/>
      <c r="AC401" s="702" t="str">
        <f t="shared" si="46"/>
        <v/>
      </c>
      <c r="AD401" s="702"/>
      <c r="AE401" s="702"/>
      <c r="AF401" s="700"/>
      <c r="AG401" s="699"/>
      <c r="AH401" s="700"/>
      <c r="AI401" s="700"/>
      <c r="AJ401" s="702"/>
      <c r="AK401" s="702"/>
      <c r="AL401" s="702"/>
      <c r="AM401" s="702"/>
      <c r="AN401" s="704"/>
      <c r="AO401" s="703"/>
      <c r="AP401" s="703"/>
      <c r="AQ401" s="703">
        <f>+FL_2($T$402,$T$400,$G$401,1200,9.28, 1*$F$402)</f>
        <v>-0.3</v>
      </c>
      <c r="AR401" s="703"/>
      <c r="AS401" s="703"/>
      <c r="AT401" s="703"/>
      <c r="AU401" s="705"/>
      <c r="AV401" s="705"/>
      <c r="AW401" s="702" t="str">
        <f>IF(C401&gt;0,VLOOKUP(C401,Foundation_Calc!$A$2:$C$13,3,1),
IF(J401&gt;0,VLOOKUP(J401,Foundation_Calc!$A$2:$C$13,3,1),""))</f>
        <v/>
      </c>
      <c r="AX401" s="702" t="str">
        <f>IF(C401&gt;0,VLOOKUP(C401,Foundation_Calc!$E$35:$G$65,3,1),
IF(J401&gt;0,VLOOKUP(J401,Foundation_Calc!$E$35:$G$65,3,1),""))</f>
        <v/>
      </c>
      <c r="AY401" s="704" t="str">
        <f>IF(L401="","",
IF(AX401="PT",VLOOKUP(L401,Foundation_Calc!$K$79:$R$113,VLOOKUP(AW401,Foundation_Calc!$I$2:$J$8,2,FALSE),0),
IF(AX401="K",VLOOKUP(L401,Foundation_Calc!$K$117:$R$151,VLOOKUP(AW401,Foundation_Calc!$I$2:$J$8,2,FALSE),0),"")))</f>
        <v/>
      </c>
      <c r="AZ401" s="704" t="str">
        <f>IF(K401="","",
IF(AX401="PT",VLOOKUP(K401,Foundation_Calc!$K$79:$R$113,VLOOKUP(AW401,Foundation_Calc!$I$2:$J$8,2,FALSE),0),
IF(AX401="K",VLOOKUP(K401,Foundation_Calc!$K$117:$R$151,VLOOKUP(AW401,Foundation_Calc!$I$2:$J$8,2,FALSE),0),"")))</f>
        <v/>
      </c>
      <c r="BA401" s="495" t="str">
        <f t="shared" si="43"/>
        <v/>
      </c>
      <c r="BB401" s="495" t="str">
        <f t="shared" si="44"/>
        <v/>
      </c>
      <c r="BC401" s="495" t="str">
        <f t="shared" si="45"/>
        <v/>
      </c>
      <c r="BD401" s="513" t="str">
        <f>IF(AND(L401="",H401=""),"",
IF(H401="",Pole_Calc!A$9,
IF(H401="MP",Pole_Calc!A$10,
IF(H401="AnMP",Pole_Calc!A$11,
IF(H401="A",Pole_Calc!A$12,
IF(H401="S/A",Pole_Calc!A$13,
IF(H401="A/S",Pole_Calc!A$14,"Poner a mano")))))))</f>
        <v/>
      </c>
      <c r="BE401" s="429" t="s">
        <v>118</v>
      </c>
      <c r="BF401" s="290"/>
      <c r="BG401" s="290"/>
      <c r="BH401" s="290"/>
      <c r="BI401" s="290"/>
    </row>
    <row r="402" spans="1:61" ht="16.149999999999999" customHeight="1">
      <c r="A402" s="696"/>
      <c r="B402" s="720" t="s">
        <v>1140</v>
      </c>
      <c r="C402" s="698">
        <f>+$C$400+$G$401</f>
        <v>39773.360000000008</v>
      </c>
      <c r="D402" s="699"/>
      <c r="E402" s="700"/>
      <c r="F402" s="700">
        <v>-999.09455881090821</v>
      </c>
      <c r="G402" s="701"/>
      <c r="H402" s="702"/>
      <c r="I402" s="700"/>
      <c r="J402" s="698"/>
      <c r="K402" s="702"/>
      <c r="L402" s="702" t="s">
        <v>158</v>
      </c>
      <c r="M402" s="702" t="s">
        <v>396</v>
      </c>
      <c r="N402" s="702" t="s">
        <v>124</v>
      </c>
      <c r="O402" s="702"/>
      <c r="P402" s="702"/>
      <c r="Q402" s="700"/>
      <c r="R402" s="701"/>
      <c r="S402" s="701"/>
      <c r="T402" s="700">
        <v>-30</v>
      </c>
      <c r="U402" s="700"/>
      <c r="V402" s="700"/>
      <c r="W402" s="703">
        <v>1.4</v>
      </c>
      <c r="X402" s="703"/>
      <c r="Y402" s="703"/>
      <c r="Z402" s="703"/>
      <c r="AA402" s="703"/>
      <c r="AB402" s="703"/>
      <c r="AC402" s="702" t="str">
        <f t="shared" si="46"/>
        <v>PHC</v>
      </c>
      <c r="AD402" s="702"/>
      <c r="AE402" s="702"/>
      <c r="AF402" s="700"/>
      <c r="AG402" s="699"/>
      <c r="AH402" s="700"/>
      <c r="AI402" s="700"/>
      <c r="AJ402" s="702"/>
      <c r="AK402" s="702"/>
      <c r="AL402" s="702"/>
      <c r="AM402" s="702" t="s">
        <v>126</v>
      </c>
      <c r="AN402" s="704">
        <v>5.5</v>
      </c>
      <c r="AO402" s="703"/>
      <c r="AP402" s="703"/>
      <c r="AQ402" s="703"/>
      <c r="AR402" s="703"/>
      <c r="AS402" s="703"/>
      <c r="AT402" s="703">
        <f>+ab($T$402,$T$400,$T$404,$G$401,$G$403, 1*$F$402,1200)</f>
        <v>-4.3330107617031137</v>
      </c>
      <c r="AU402" s="705"/>
      <c r="AV402" s="705"/>
      <c r="AW402" s="702" t="str">
        <f>IF(C402&gt;0,VLOOKUP(C402,Foundation_Calc!$A$2:$C$13,3,1),
IF(J402&gt;0,VLOOKUP(J402,Foundation_Calc!$A$2:$C$13,3,1),""))</f>
        <v>Multi Soil</v>
      </c>
      <c r="AX402" s="702" t="str">
        <f>IF(C402&gt;0,VLOOKUP(C402,Foundation_Calc!$E$35:$G$65,3,1),
IF(J402&gt;0,VLOOKUP(J402,Foundation_Calc!$E$35:$G$65,3,1),""))</f>
        <v>PT</v>
      </c>
      <c r="AY402" s="704">
        <f>IF(L402="","",
IF(AX402="PT",VLOOKUP(L402,Foundation_Calc!$K$79:$R$113,VLOOKUP(AW402,Foundation_Calc!$I$2:$J$8,2,FALSE),0),
IF(AX402="K",VLOOKUP(L402,Foundation_Calc!$K$117:$R$151,VLOOKUP(AW402,Foundation_Calc!$I$2:$J$8,2,FALSE),0),"")))</f>
        <v>3.5</v>
      </c>
      <c r="AZ402" s="704" t="str">
        <f>IF(K402="","",
IF(AX402="PT",VLOOKUP(K402,Foundation_Calc!$K$79:$R$113,VLOOKUP(AW402,Foundation_Calc!$I$2:$J$8,2,FALSE),0),
IF(AX402="K",VLOOKUP(K402,Foundation_Calc!$K$117:$R$151,VLOOKUP(AW402,Foundation_Calc!$I$2:$J$8,2,FALSE),0),"")))</f>
        <v/>
      </c>
      <c r="BA402" s="495" t="str">
        <f t="shared" si="43"/>
        <v>ü</v>
      </c>
      <c r="BB402" s="495" t="str">
        <f t="shared" si="44"/>
        <v/>
      </c>
      <c r="BC402" s="495" t="str">
        <f t="shared" si="45"/>
        <v/>
      </c>
      <c r="BD402" s="513" t="str">
        <f>IF(AND(L402="",H402=""),"",
IF(H402="",Pole_Calc!A$9,
IF(H402="MP",Pole_Calc!A$10,
IF(H402="AnMP",Pole_Calc!A$11,
IF(H402="A",Pole_Calc!A$12,
IF(H402="S/A",Pole_Calc!A$13,
IF(H402="A/S",Pole_Calc!A$14,"Poner a mano")))))))</f>
        <v>App.7-V11I-P9.5.1.1</v>
      </c>
      <c r="BE402" s="429" t="s">
        <v>118</v>
      </c>
      <c r="BF402" s="289"/>
      <c r="BG402" s="289"/>
      <c r="BH402" s="290"/>
      <c r="BI402" s="289"/>
    </row>
    <row r="403" spans="1:61" ht="16.149999999999999" customHeight="1">
      <c r="A403" s="708"/>
      <c r="B403" s="697"/>
      <c r="C403" s="698"/>
      <c r="D403" s="699"/>
      <c r="E403" s="700"/>
      <c r="F403" s="700"/>
      <c r="G403" s="701">
        <v>43</v>
      </c>
      <c r="H403" s="702"/>
      <c r="I403" s="700"/>
      <c r="J403" s="698">
        <f>C404-7.5</f>
        <v>39808.860000000008</v>
      </c>
      <c r="K403" s="702" t="s">
        <v>117</v>
      </c>
      <c r="L403" s="702"/>
      <c r="M403" s="702" t="str">
        <f>IF(L403="","",
IF(AX403="PT",VLOOKUP(L403,Foundation_Calc!$V$79:$X$113,VLOOKUP(AX403,Foundation_Calc!$I$10:$J$13,2,FALSE),0),
IF(AX403="K",VLOOKUP(L403,Foundation_Calc!$V$117:$X$151,VLOOKUP(AX403,Foundation_Calc!$I$10:$J$13,2,FALSE),0),"")))</f>
        <v/>
      </c>
      <c r="N403" s="702"/>
      <c r="O403" s="702"/>
      <c r="P403" s="702"/>
      <c r="Q403" s="700"/>
      <c r="R403" s="701"/>
      <c r="S403" s="701"/>
      <c r="T403" s="700"/>
      <c r="U403" s="700"/>
      <c r="V403" s="700"/>
      <c r="W403" s="703"/>
      <c r="X403" s="703"/>
      <c r="Y403" s="703"/>
      <c r="Z403" s="703"/>
      <c r="AA403" s="703"/>
      <c r="AB403" s="703"/>
      <c r="AC403" s="702" t="str">
        <f t="shared" si="46"/>
        <v/>
      </c>
      <c r="AD403" s="702"/>
      <c r="AE403" s="702"/>
      <c r="AF403" s="700"/>
      <c r="AG403" s="699"/>
      <c r="AH403" s="700"/>
      <c r="AI403" s="700"/>
      <c r="AJ403" s="702"/>
      <c r="AK403" s="702"/>
      <c r="AL403" s="702"/>
      <c r="AM403" s="702"/>
      <c r="AN403" s="704"/>
      <c r="AO403" s="703"/>
      <c r="AP403" s="703"/>
      <c r="AQ403" s="703">
        <f>+FL_2($T$404,$T$402,$G$403,1200,9.28, 1*$F$404)</f>
        <v>-0.31219355748544125</v>
      </c>
      <c r="AR403" s="703"/>
      <c r="AS403" s="703"/>
      <c r="AT403" s="703"/>
      <c r="AU403" s="705"/>
      <c r="AV403" s="705"/>
      <c r="AW403" s="702" t="str">
        <f>IF(C403&gt;0,VLOOKUP(C403,Foundation_Calc!$A$2:$C$13,3,1),
IF(J403&gt;0,VLOOKUP(J403,Foundation_Calc!$A$2:$C$13,3,1),""))</f>
        <v>Multi Soil</v>
      </c>
      <c r="AX403" s="702" t="str">
        <f>IF(C403&gt;0,VLOOKUP(C403,Foundation_Calc!$E$35:$G$65,3,1),
IF(J403&gt;0,VLOOKUP(J403,Foundation_Calc!$E$35:$G$65,3,1),""))</f>
        <v>PT</v>
      </c>
      <c r="AY403" s="704" t="str">
        <f>IF(L403="","",
IF(AX403="PT",VLOOKUP(L403,Foundation_Calc!$K$79:$R$113,VLOOKUP(AW403,Foundation_Calc!$I$2:$J$8,2,FALSE),0),
IF(AX403="K",VLOOKUP(L403,Foundation_Calc!$K$117:$R$151,VLOOKUP(AW403,Foundation_Calc!$I$2:$J$8,2,FALSE),0),"")))</f>
        <v/>
      </c>
      <c r="AZ403" s="704">
        <f>IF(K403="","",
IF(AX403="PT",VLOOKUP(K403,Foundation_Calc!$K$79:$R$113,VLOOKUP(AW403,Foundation_Calc!$I$2:$J$8,2,FALSE),0),
IF(AX403="K",VLOOKUP(K403,Foundation_Calc!$K$117:$R$151,VLOOKUP(AW403,Foundation_Calc!$I$2:$J$8,2,FALSE),0),"")))</f>
        <v>3.9</v>
      </c>
      <c r="BA403" s="495" t="str">
        <f t="shared" si="43"/>
        <v/>
      </c>
      <c r="BB403" s="495" t="str">
        <f t="shared" si="44"/>
        <v>ü</v>
      </c>
      <c r="BC403" s="495" t="str">
        <f t="shared" si="45"/>
        <v/>
      </c>
      <c r="BD403" s="513" t="str">
        <f>IF(AND(L403="",H403=""),"",
IF(H403="",Pole_Calc!A$9,
IF(H403="MP",Pole_Calc!A$10,
IF(H403="AnMP",Pole_Calc!A$11,
IF(H403="A",Pole_Calc!A$12,
IF(H403="S/A",Pole_Calc!A$13,
IF(H403="A/S",Pole_Calc!A$14,"Poner a mano")))))))</f>
        <v/>
      </c>
      <c r="BE403" s="429" t="s">
        <v>118</v>
      </c>
      <c r="BF403" s="290"/>
      <c r="BG403" s="290"/>
      <c r="BH403" s="290"/>
      <c r="BI403" s="290"/>
    </row>
    <row r="404" spans="1:61" ht="16.149999999999999" customHeight="1">
      <c r="A404" s="696"/>
      <c r="B404" s="720" t="s">
        <v>1141</v>
      </c>
      <c r="C404" s="698">
        <f>+$C$402+$G$403</f>
        <v>39816.360000000008</v>
      </c>
      <c r="D404" s="699"/>
      <c r="E404" s="700"/>
      <c r="F404" s="700">
        <v>-1579.1008505466311</v>
      </c>
      <c r="G404" s="701"/>
      <c r="H404" s="702" t="s">
        <v>121</v>
      </c>
      <c r="I404" s="700" t="s">
        <v>122</v>
      </c>
      <c r="J404" s="698"/>
      <c r="K404" s="702"/>
      <c r="L404" s="702" t="s">
        <v>181</v>
      </c>
      <c r="M404" s="702" t="s">
        <v>399</v>
      </c>
      <c r="N404" s="702" t="s">
        <v>124</v>
      </c>
      <c r="O404" s="702"/>
      <c r="P404" s="702"/>
      <c r="Q404" s="700"/>
      <c r="R404" s="701"/>
      <c r="S404" s="701"/>
      <c r="T404" s="700">
        <v>-25</v>
      </c>
      <c r="U404" s="700"/>
      <c r="V404" s="700"/>
      <c r="W404" s="703">
        <v>1.4</v>
      </c>
      <c r="X404" s="703"/>
      <c r="Y404" s="703"/>
      <c r="Z404" s="703"/>
      <c r="AA404" s="703"/>
      <c r="AB404" s="703"/>
      <c r="AC404" s="702" t="str">
        <f>IF(OR(AT404&gt;8,AT404&lt;-8),"PH",
IF(OR(AT404&gt;5,AT404&lt;-5),"PHQ",
IF(OR(AT404&gt;1,AT404&lt;-1),
"PHC","")))</f>
        <v>PHQ</v>
      </c>
      <c r="AD404" s="702"/>
      <c r="AE404" s="702"/>
      <c r="AF404" s="700"/>
      <c r="AG404" s="699"/>
      <c r="AH404" s="700"/>
      <c r="AI404" s="700"/>
      <c r="AJ404" s="702"/>
      <c r="AK404" s="702"/>
      <c r="AL404" s="702"/>
      <c r="AM404" s="702" t="s">
        <v>126</v>
      </c>
      <c r="AN404" s="704">
        <v>5.5</v>
      </c>
      <c r="AO404" s="703"/>
      <c r="AP404" s="703"/>
      <c r="AQ404" s="703"/>
      <c r="AR404" s="703"/>
      <c r="AS404" s="703"/>
      <c r="AT404" s="703">
        <f>+ab($T$404,$T$402,$U$406,$G$403,$G$405, 1*$F$404,1200)</f>
        <v>-5.5480967743654661</v>
      </c>
      <c r="AU404" s="705"/>
      <c r="AV404" s="705"/>
      <c r="AW404" s="702" t="str">
        <f>IF(C404&gt;0,VLOOKUP(C404,Foundation_Calc!$A$2:$C$13,3,1),
IF(J404&gt;0,VLOOKUP(J404,Foundation_Calc!$A$2:$C$13,3,1),""))</f>
        <v>Multi Soil</v>
      </c>
      <c r="AX404" s="702" t="str">
        <f>IF(C404&gt;0,VLOOKUP(C404,Foundation_Calc!$E$35:$G$65,3,1),
IF(J404&gt;0,VLOOKUP(J404,Foundation_Calc!$E$35:$G$65,3,1),""))</f>
        <v>PT</v>
      </c>
      <c r="AY404" s="704">
        <f>IF(L404="","",
IF(AX404="PT",VLOOKUP(L404,Foundation_Calc!$K$79:$R$113,VLOOKUP(AW404,Foundation_Calc!$I$2:$J$8,2,FALSE),0),
IF(AX404="K",VLOOKUP(L404,Foundation_Calc!$K$117:$R$151,VLOOKUP(AW404,Foundation_Calc!$I$2:$J$8,2,FALSE),0),"")))</f>
        <v>3.5</v>
      </c>
      <c r="AZ404" s="704" t="str">
        <f>IF(K404="","",
IF(AX404="PT",VLOOKUP(K404,Foundation_Calc!$K$79:$R$113,VLOOKUP(AW404,Foundation_Calc!$I$2:$J$8,2,FALSE),0),
IF(AX404="K",VLOOKUP(K404,Foundation_Calc!$K$117:$R$151,VLOOKUP(AW404,Foundation_Calc!$I$2:$J$8,2,FALSE),0),"")))</f>
        <v/>
      </c>
      <c r="BA404" s="495" t="str">
        <f t="shared" si="43"/>
        <v>ü</v>
      </c>
      <c r="BB404" s="495" t="str">
        <f t="shared" si="44"/>
        <v/>
      </c>
      <c r="BC404" s="495" t="str">
        <f t="shared" si="45"/>
        <v/>
      </c>
      <c r="BD404" s="513" t="str">
        <f>IF(AND(L404="",H404=""),"",
IF(H404="",Pole_Calc!A$9,
IF(H404="MP",Pole_Calc!A$10,
IF(H404="AnMP",Pole_Calc!A$11,
IF(H404="A",Pole_Calc!A$12,
IF(H404="S/A",Pole_Calc!A$13,
IF(H404="A/S",Pole_Calc!A$14,"Poner a mano")))))))</f>
        <v>App.7-V11I-P9.5.1.6</v>
      </c>
      <c r="BE404" s="429" t="s">
        <v>118</v>
      </c>
      <c r="BF404" s="289"/>
      <c r="BG404" s="289"/>
      <c r="BH404" s="290"/>
      <c r="BI404" s="289"/>
    </row>
    <row r="405" spans="1:61" ht="17.45" customHeight="1">
      <c r="A405" s="696"/>
      <c r="B405" s="697"/>
      <c r="C405" s="698"/>
      <c r="D405" s="699"/>
      <c r="E405" s="700"/>
      <c r="F405" s="700"/>
      <c r="G405" s="701">
        <v>45</v>
      </c>
      <c r="H405" s="702"/>
      <c r="I405" s="700"/>
      <c r="J405" s="698"/>
      <c r="K405" s="702"/>
      <c r="L405" s="702"/>
      <c r="M405" s="702" t="str">
        <f>IF(L405="","",
IF(AX405="PT",VLOOKUP(L405,Foundation_Calc!$V$79:$X$113,VLOOKUP(AX405,Foundation_Calc!$I$10:$J$13,2,FALSE),0),
IF(AX405="K",VLOOKUP(L405,Foundation_Calc!$V$117:$X$151,VLOOKUP(AX405,Foundation_Calc!$I$10:$J$13,2,FALSE),0),"")))</f>
        <v/>
      </c>
      <c r="N405" s="702"/>
      <c r="O405" s="702"/>
      <c r="P405" s="702"/>
      <c r="Q405" s="700"/>
      <c r="R405" s="701"/>
      <c r="S405" s="701"/>
      <c r="T405" s="700"/>
      <c r="U405" s="700"/>
      <c r="V405" s="700"/>
      <c r="W405" s="703"/>
      <c r="X405" s="703"/>
      <c r="Y405" s="703"/>
      <c r="Z405" s="703"/>
      <c r="AA405" s="703"/>
      <c r="AB405" s="703"/>
      <c r="AC405" s="702" t="str">
        <f t="shared" ref="AC405:AC468" si="47">IF(OR(AT405&gt;8,AT405&lt;-8),"PH",
IF(OR(AT405&gt;5,AT405&lt;-5),"PHQ",
IF(OR(AT405&gt;1,AT405&lt;-1),
"PHC","")))</f>
        <v/>
      </c>
      <c r="AD405" s="702"/>
      <c r="AE405" s="702"/>
      <c r="AF405" s="700"/>
      <c r="AG405" s="699"/>
      <c r="AH405" s="700"/>
      <c r="AI405" s="700"/>
      <c r="AJ405" s="702"/>
      <c r="AK405" s="702"/>
      <c r="AL405" s="702"/>
      <c r="AM405" s="702"/>
      <c r="AN405" s="704"/>
      <c r="AO405" s="703"/>
      <c r="AP405" s="703"/>
      <c r="AQ405" s="703">
        <f>+FL_2($U$406,$T$404,$G$405,1200,9.28, 1*$F$406)</f>
        <v>-0.26547429680471329</v>
      </c>
      <c r="AR405" s="703"/>
      <c r="AS405" s="703"/>
      <c r="AT405" s="703"/>
      <c r="AU405" s="705"/>
      <c r="AV405" s="705"/>
      <c r="AW405" s="702" t="str">
        <f>IF(C405&gt;0,VLOOKUP(C405,Foundation_Calc!$A$2:$C$13,3,1),
IF(J405&gt;0,VLOOKUP(J405,Foundation_Calc!$A$2:$C$13,3,1),""))</f>
        <v/>
      </c>
      <c r="AX405" s="702" t="str">
        <f>IF(C405&gt;0,VLOOKUP(C405,Foundation_Calc!$E$35:$G$65,3,1),
IF(J405&gt;0,VLOOKUP(J405,Foundation_Calc!$E$35:$G$65,3,1),""))</f>
        <v/>
      </c>
      <c r="AY405" s="704" t="str">
        <f>IF(L405="","",
IF(AX405="PT",VLOOKUP(L405,Foundation_Calc!$K$79:$R$113,VLOOKUP(AW405,Foundation_Calc!$I$2:$J$8,2,FALSE),0),
IF(AX405="K",VLOOKUP(L405,Foundation_Calc!$K$117:$R$151,VLOOKUP(AW405,Foundation_Calc!$I$2:$J$8,2,FALSE),0),"")))</f>
        <v/>
      </c>
      <c r="AZ405" s="704" t="str">
        <f>IF(K405="","",
IF(AX405="PT",VLOOKUP(K405,Foundation_Calc!$K$79:$R$113,VLOOKUP(AW405,Foundation_Calc!$I$2:$J$8,2,FALSE),0),
IF(AX405="K",VLOOKUP(K405,Foundation_Calc!$K$117:$R$151,VLOOKUP(AW405,Foundation_Calc!$I$2:$J$8,2,FALSE),0),"")))</f>
        <v/>
      </c>
      <c r="BA405" s="495" t="str">
        <f t="shared" si="43"/>
        <v/>
      </c>
      <c r="BB405" s="495" t="str">
        <f t="shared" si="44"/>
        <v/>
      </c>
      <c r="BC405" s="495" t="str">
        <f t="shared" si="45"/>
        <v/>
      </c>
      <c r="BD405" s="513" t="str">
        <f>IF(AND(L405="",H405=""),"",
IF(H405="",Pole_Calc!A$9,
IF(H405="MP",Pole_Calc!A$10,
IF(H405="AnMP",Pole_Calc!A$11,
IF(H405="A",Pole_Calc!A$12,
IF(H405="S/A",Pole_Calc!A$13,
IF(H405="A/S",Pole_Calc!A$14,"Poner a mano")))))))</f>
        <v/>
      </c>
      <c r="BE405" s="429" t="s">
        <v>118</v>
      </c>
      <c r="BF405" s="290"/>
      <c r="BG405" s="290"/>
      <c r="BH405" s="290"/>
      <c r="BI405" s="290"/>
    </row>
    <row r="406" spans="1:61" ht="15.75" customHeight="1">
      <c r="A406" s="696" t="s">
        <v>1142</v>
      </c>
      <c r="B406" s="720" t="s">
        <v>1143</v>
      </c>
      <c r="C406" s="698">
        <f>+$C$404+$G$405</f>
        <v>39861.360000000008</v>
      </c>
      <c r="D406" s="699"/>
      <c r="E406" s="700"/>
      <c r="F406" s="700">
        <v>-4023.5294117637391</v>
      </c>
      <c r="G406" s="701"/>
      <c r="H406" s="702" t="s">
        <v>131</v>
      </c>
      <c r="I406" s="700" t="s">
        <v>132</v>
      </c>
      <c r="J406" s="698"/>
      <c r="K406" s="702"/>
      <c r="L406" s="702" t="s">
        <v>298</v>
      </c>
      <c r="M406" s="702" t="s">
        <v>409</v>
      </c>
      <c r="N406" s="702" t="s">
        <v>133</v>
      </c>
      <c r="O406" s="702" t="s">
        <v>134</v>
      </c>
      <c r="P406" s="702"/>
      <c r="Q406" s="700"/>
      <c r="R406" s="701"/>
      <c r="S406" s="701"/>
      <c r="T406" s="700">
        <v>55</v>
      </c>
      <c r="U406" s="700">
        <v>10</v>
      </c>
      <c r="V406" s="700"/>
      <c r="W406" s="703">
        <v>1.4</v>
      </c>
      <c r="X406" s="703">
        <v>2.2999999999999998</v>
      </c>
      <c r="Y406" s="703"/>
      <c r="Z406" s="703">
        <v>0.4</v>
      </c>
      <c r="AA406" s="703"/>
      <c r="AB406" s="703"/>
      <c r="AC406" s="702"/>
      <c r="AD406" s="702"/>
      <c r="AE406" s="702"/>
      <c r="AF406" s="700"/>
      <c r="AG406" s="699"/>
      <c r="AH406" s="700"/>
      <c r="AI406" s="700"/>
      <c r="AJ406" s="702" t="s">
        <v>233</v>
      </c>
      <c r="AK406" s="702"/>
      <c r="AL406" s="702"/>
      <c r="AM406" s="702" t="s">
        <v>126</v>
      </c>
      <c r="AN406" s="704">
        <v>5.5</v>
      </c>
      <c r="AO406" s="703"/>
      <c r="AP406" s="703"/>
      <c r="AQ406" s="703"/>
      <c r="AR406" s="703"/>
      <c r="AS406" s="703"/>
      <c r="AT406" s="703">
        <f>+ab($U$406,$T$404,$U$408,$G$405,$G$407, 1*$F$406,1200)</f>
        <v>16.878869738667568</v>
      </c>
      <c r="AU406" s="705"/>
      <c r="AV406" s="705"/>
      <c r="AW406" s="702" t="str">
        <f>IF(C406&gt;0,VLOOKUP(C406,Foundation_Calc!$A$2:$C$13,3,1),
IF(J406&gt;0,VLOOKUP(J406,Foundation_Calc!$A$2:$C$13,3,1),""))</f>
        <v>Multi Soil</v>
      </c>
      <c r="AX406" s="702" t="str">
        <f>IF(C406&gt;0,VLOOKUP(C406,Foundation_Calc!$E$35:$G$65,3,1),
IF(J406&gt;0,VLOOKUP(J406,Foundation_Calc!$E$35:$G$65,3,1),""))</f>
        <v>PT</v>
      </c>
      <c r="AY406" s="704">
        <f>IF(L406="","",
IF(AX406="PT",VLOOKUP(L406,Foundation_Calc!$K$79:$R$113,VLOOKUP(AW406,Foundation_Calc!$I$2:$J$8,2,FALSE),0),
IF(AX406="K",VLOOKUP(L406,Foundation_Calc!$K$117:$R$151,VLOOKUP(AW406,Foundation_Calc!$I$2:$J$8,2,FALSE),0),"")))</f>
        <v>4</v>
      </c>
      <c r="AZ406" s="704" t="str">
        <f>IF(K406="","",
IF(AX406="PT",VLOOKUP(K406,Foundation_Calc!$K$79:$R$113,VLOOKUP(AW406,Foundation_Calc!$I$2:$J$8,2,FALSE),0),
IF(AX406="K",VLOOKUP(K406,Foundation_Calc!$K$117:$R$151,VLOOKUP(AW406,Foundation_Calc!$I$2:$J$8,2,FALSE),0),"")))</f>
        <v/>
      </c>
      <c r="BA406" s="495" t="str">
        <f t="shared" ref="BA406:BA423" si="48">IF(AY406="","",IF(AY406&gt;0,"ü",""))</f>
        <v>ü</v>
      </c>
      <c r="BB406" s="495" t="str">
        <f t="shared" ref="BB406:BB423" si="49">IF(AZ406="","",IF(AZ406&gt;0,"ü",""))</f>
        <v/>
      </c>
      <c r="BC406" s="495" t="str">
        <f t="shared" ref="BC406:BC423" si="50">IF(M406="","",IF(M406="U.S.","ü",IF(M406="U.S. N.D.","ü","")))</f>
        <v/>
      </c>
      <c r="BD406" s="513" t="str">
        <f>IF(AND(L406="",H406=""),"",
IF(H406="",Pole_Calc!A$9,
IF(H406="MP",Pole_Calc!A$10,
IF(H406="AnMP",Pole_Calc!A$11,
IF(H406="A",Pole_Calc!A$12,
IF(H406="S/A",Pole_Calc!A$13,
IF(H406="A/S",Pole_Calc!A$14,"Poner a mano")))))))</f>
        <v>App.7-V11I-P9.5.1.5</v>
      </c>
      <c r="BE406" s="429" t="s">
        <v>118</v>
      </c>
      <c r="BF406" s="289"/>
      <c r="BG406" s="289"/>
      <c r="BH406" s="290"/>
      <c r="BI406" s="289"/>
    </row>
    <row r="407" spans="1:61" ht="15.75" customHeight="1">
      <c r="A407" s="696"/>
      <c r="B407" s="697"/>
      <c r="C407" s="698"/>
      <c r="D407" s="699"/>
      <c r="E407" s="700"/>
      <c r="F407" s="700"/>
      <c r="G407" s="701">
        <v>45</v>
      </c>
      <c r="H407" s="702"/>
      <c r="I407" s="700"/>
      <c r="J407" s="698"/>
      <c r="K407" s="702"/>
      <c r="L407" s="702"/>
      <c r="M407" s="702" t="str">
        <f>IF(L407="","",
IF(AX407="PT",VLOOKUP(L407,Foundation_Calc!$V$79:$X$113,VLOOKUP(AX407,Foundation_Calc!$I$10:$J$13,2,FALSE),0),
IF(AX407="K",VLOOKUP(L407,Foundation_Calc!$V$117:$X$151,VLOOKUP(AX407,Foundation_Calc!$I$10:$J$13,2,FALSE),0),"")))</f>
        <v/>
      </c>
      <c r="N407" s="702"/>
      <c r="O407" s="738"/>
      <c r="P407" s="702"/>
      <c r="Q407" s="700"/>
      <c r="R407" s="701"/>
      <c r="S407" s="701"/>
      <c r="T407" s="700"/>
      <c r="U407" s="700"/>
      <c r="V407" s="700"/>
      <c r="W407" s="703"/>
      <c r="X407" s="703"/>
      <c r="Y407" s="703"/>
      <c r="Z407" s="703"/>
      <c r="AA407" s="703"/>
      <c r="AB407" s="703"/>
      <c r="AC407" s="702" t="str">
        <f t="shared" si="47"/>
        <v/>
      </c>
      <c r="AD407" s="702"/>
      <c r="AE407" s="702"/>
      <c r="AF407" s="700"/>
      <c r="AG407" s="699"/>
      <c r="AH407" s="700"/>
      <c r="AI407" s="700"/>
      <c r="AJ407" s="702"/>
      <c r="AK407" s="702"/>
      <c r="AL407" s="702"/>
      <c r="AM407" s="702"/>
      <c r="AN407" s="704"/>
      <c r="AO407" s="703"/>
      <c r="AP407" s="703"/>
      <c r="AQ407" s="703">
        <f>+FL_1($T$408,$U$406,$G$407,1200,9.28, 1*$F$408)</f>
        <v>0.20852138888888888</v>
      </c>
      <c r="AR407" s="703"/>
      <c r="AS407" s="703"/>
      <c r="AT407" s="703"/>
      <c r="AU407" s="705"/>
      <c r="AV407" s="705"/>
      <c r="AW407" s="702" t="str">
        <f>IF(C407&gt;0,VLOOKUP(C407,Foundation_Calc!$A$2:$C$13,3,1),
IF(J407&gt;0,VLOOKUP(J407,Foundation_Calc!$A$2:$C$13,3,1),""))</f>
        <v/>
      </c>
      <c r="AX407" s="702" t="str">
        <f>IF(C407&gt;0,VLOOKUP(C407,Foundation_Calc!$E$35:$G$65,3,1),
IF(J407&gt;0,VLOOKUP(J407,Foundation_Calc!$E$35:$G$65,3,1),""))</f>
        <v/>
      </c>
      <c r="AY407" s="704" t="str">
        <f>IF(L407="","",
IF(AX407="PT",VLOOKUP(L407,Foundation_Calc!$K$79:$R$113,VLOOKUP(AW407,Foundation_Calc!$I$2:$J$8,2,FALSE),0),
IF(AX407="K",VLOOKUP(L407,Foundation_Calc!$K$117:$R$151,VLOOKUP(AW407,Foundation_Calc!$I$2:$J$8,2,FALSE),0),"")))</f>
        <v/>
      </c>
      <c r="AZ407" s="704" t="str">
        <f>IF(K407="","",
IF(AX407="PT",VLOOKUP(K407,Foundation_Calc!$K$79:$R$113,VLOOKUP(AW407,Foundation_Calc!$I$2:$J$8,2,FALSE),0),
IF(AX407="K",VLOOKUP(K407,Foundation_Calc!$K$117:$R$151,VLOOKUP(AW407,Foundation_Calc!$I$2:$J$8,2,FALSE),0),"")))</f>
        <v/>
      </c>
      <c r="BA407" s="495" t="str">
        <f t="shared" si="48"/>
        <v/>
      </c>
      <c r="BB407" s="495" t="str">
        <f t="shared" si="49"/>
        <v/>
      </c>
      <c r="BC407" s="495" t="str">
        <f t="shared" si="50"/>
        <v/>
      </c>
      <c r="BD407" s="513" t="str">
        <f>IF(AND(L407="",H407=""),"",
IF(H407="",Pole_Calc!A$9,
IF(H407="MP",Pole_Calc!A$10,
IF(H407="AnMP",Pole_Calc!A$11,
IF(H407="A",Pole_Calc!A$12,
IF(H407="S/A",Pole_Calc!A$13,
IF(H407="A/S",Pole_Calc!A$14,"Poner a mano")))))))</f>
        <v/>
      </c>
      <c r="BE407" s="429" t="s">
        <v>118</v>
      </c>
      <c r="BF407" s="290"/>
      <c r="BG407" s="290"/>
      <c r="BH407" s="290"/>
      <c r="BI407" s="290"/>
    </row>
    <row r="408" spans="1:61" ht="15.75" customHeight="1">
      <c r="A408" s="696"/>
      <c r="B408" s="720" t="s">
        <v>1144</v>
      </c>
      <c r="C408" s="698">
        <f>+$C$406+$G$407</f>
        <v>39906.360000000008</v>
      </c>
      <c r="D408" s="699"/>
      <c r="E408" s="700"/>
      <c r="F408" s="700">
        <v>0</v>
      </c>
      <c r="G408" s="701"/>
      <c r="H408" s="702" t="s">
        <v>131</v>
      </c>
      <c r="I408" s="700"/>
      <c r="J408" s="698"/>
      <c r="K408" s="702"/>
      <c r="L408" s="702" t="s">
        <v>183</v>
      </c>
      <c r="M408" s="702" t="s">
        <v>409</v>
      </c>
      <c r="N408" s="702" t="s">
        <v>124</v>
      </c>
      <c r="O408" s="702" t="s">
        <v>133</v>
      </c>
      <c r="P408" s="702"/>
      <c r="Q408" s="700"/>
      <c r="R408" s="701"/>
      <c r="S408" s="701"/>
      <c r="T408" s="700">
        <v>-10</v>
      </c>
      <c r="U408" s="700">
        <v>-55</v>
      </c>
      <c r="V408" s="700"/>
      <c r="W408" s="703">
        <v>1.4</v>
      </c>
      <c r="X408" s="703">
        <v>2.2999999999999998</v>
      </c>
      <c r="Y408" s="703"/>
      <c r="Z408" s="703"/>
      <c r="AA408" s="703">
        <v>0.4</v>
      </c>
      <c r="AB408" s="703"/>
      <c r="AC408" s="702" t="str">
        <f t="shared" si="47"/>
        <v>PH</v>
      </c>
      <c r="AD408" s="702"/>
      <c r="AE408" s="702"/>
      <c r="AF408" s="700"/>
      <c r="AG408" s="699"/>
      <c r="AH408" s="700"/>
      <c r="AI408" s="700"/>
      <c r="AJ408" s="702"/>
      <c r="AK408" s="702"/>
      <c r="AL408" s="702"/>
      <c r="AM408" s="702" t="s">
        <v>126</v>
      </c>
      <c r="AN408" s="704">
        <v>5.5</v>
      </c>
      <c r="AO408" s="703"/>
      <c r="AP408" s="703"/>
      <c r="AQ408" s="703"/>
      <c r="AR408" s="703"/>
      <c r="AS408" s="703"/>
      <c r="AT408" s="703">
        <f>+ab($T$408,$T$406,$T$410,$G$407,$G$409, 1*$F$408,1200)</f>
        <v>-9.378555635327734</v>
      </c>
      <c r="AU408" s="705"/>
      <c r="AV408" s="705"/>
      <c r="AW408" s="702" t="str">
        <f>IF(C408&gt;0,VLOOKUP(C408,Foundation_Calc!$A$2:$C$13,3,1),
IF(J408&gt;0,VLOOKUP(J408,Foundation_Calc!$A$2:$C$13,3,1),""))</f>
        <v>Multi Soil</v>
      </c>
      <c r="AX408" s="702" t="str">
        <f>IF(C408&gt;0,VLOOKUP(C408,Foundation_Calc!$E$35:$G$65,3,1),
IF(J408&gt;0,VLOOKUP(J408,Foundation_Calc!$E$35:$G$65,3,1),""))</f>
        <v>PT</v>
      </c>
      <c r="AY408" s="704">
        <f>IF(L408="","",
IF(AX408="PT",VLOOKUP(L408,Foundation_Calc!$K$79:$R$113,VLOOKUP(AW408,Foundation_Calc!$I$2:$J$8,2,FALSE),0),
IF(AX408="K",VLOOKUP(L408,Foundation_Calc!$K$117:$R$151,VLOOKUP(AW408,Foundation_Calc!$I$2:$J$8,2,FALSE),0),"")))</f>
        <v>3.7</v>
      </c>
      <c r="AZ408" s="704" t="str">
        <f>IF(K408="","",
IF(AX408="PT",VLOOKUP(K408,Foundation_Calc!$K$79:$R$113,VLOOKUP(AW408,Foundation_Calc!$I$2:$J$8,2,FALSE),0),
IF(AX408="K",VLOOKUP(K408,Foundation_Calc!$K$117:$R$151,VLOOKUP(AW408,Foundation_Calc!$I$2:$J$8,2,FALSE),0),"")))</f>
        <v/>
      </c>
      <c r="BA408" s="495" t="str">
        <f t="shared" si="48"/>
        <v>ü</v>
      </c>
      <c r="BB408" s="495" t="str">
        <f t="shared" si="49"/>
        <v/>
      </c>
      <c r="BC408" s="495" t="str">
        <f t="shared" si="50"/>
        <v/>
      </c>
      <c r="BD408" s="513" t="str">
        <f>IF(AND(L408="",H408=""),"",
IF(H408="",Pole_Calc!A$9,
IF(H408="MP",Pole_Calc!A$10,
IF(H408="AnMP",Pole_Calc!A$11,
IF(H408="A",Pole_Calc!A$12,
IF(H408="S/A",Pole_Calc!A$13,
IF(H408="A/S",Pole_Calc!A$14,"Poner a mano")))))))</f>
        <v>App.7-V11I-P9.5.1.5</v>
      </c>
      <c r="BE408" s="429" t="s">
        <v>118</v>
      </c>
      <c r="BF408" s="289"/>
      <c r="BG408" s="289"/>
      <c r="BH408" s="290"/>
      <c r="BI408" s="289"/>
    </row>
    <row r="409" spans="1:61" ht="15.75" customHeight="1">
      <c r="A409" s="708"/>
      <c r="B409" s="697"/>
      <c r="C409" s="698"/>
      <c r="D409" s="699"/>
      <c r="E409" s="700"/>
      <c r="F409" s="700"/>
      <c r="G409" s="701">
        <v>60</v>
      </c>
      <c r="H409" s="702"/>
      <c r="I409" s="700"/>
      <c r="J409" s="698"/>
      <c r="K409" s="702"/>
      <c r="L409" s="702"/>
      <c r="M409" s="702" t="str">
        <f>IF(L409="","",
IF(AX409="PT",VLOOKUP(L409,Foundation_Calc!$V$79:$X$113,VLOOKUP(AX409,Foundation_Calc!$I$10:$J$13,2,FALSE),0),
IF(AX409="K",VLOOKUP(L409,Foundation_Calc!$V$117:$X$151,VLOOKUP(AX409,Foundation_Calc!$I$10:$J$13,2,FALSE),0),"")))</f>
        <v/>
      </c>
      <c r="N409" s="702"/>
      <c r="O409" s="702"/>
      <c r="P409" s="702"/>
      <c r="Q409" s="700"/>
      <c r="R409" s="701"/>
      <c r="S409" s="701"/>
      <c r="T409" s="700"/>
      <c r="U409" s="700"/>
      <c r="V409" s="700"/>
      <c r="W409" s="703"/>
      <c r="X409" s="703"/>
      <c r="Y409" s="703"/>
      <c r="Z409" s="703"/>
      <c r="AA409" s="703"/>
      <c r="AB409" s="703"/>
      <c r="AC409" s="702" t="str">
        <f t="shared" si="47"/>
        <v/>
      </c>
      <c r="AD409" s="702"/>
      <c r="AE409" s="702"/>
      <c r="AF409" s="700"/>
      <c r="AG409" s="699"/>
      <c r="AH409" s="700"/>
      <c r="AI409" s="700"/>
      <c r="AJ409" s="702"/>
      <c r="AK409" s="702"/>
      <c r="AL409" s="702"/>
      <c r="AM409" s="702"/>
      <c r="AN409" s="704"/>
      <c r="AO409" s="703"/>
      <c r="AP409" s="703"/>
      <c r="AQ409" s="703">
        <f>+FL_1($T$410,$T$408,$G$409,1200,9.28, 1*$F$410)</f>
        <v>0.44500071466666663</v>
      </c>
      <c r="AR409" s="703"/>
      <c r="AS409" s="703"/>
      <c r="AT409" s="703"/>
      <c r="AU409" s="705"/>
      <c r="AV409" s="705"/>
      <c r="AW409" s="702" t="str">
        <f>IF(C409&gt;0,VLOOKUP(C409,Foundation_Calc!$A$2:$C$13,3,1),
IF(J409&gt;0,VLOOKUP(J409,Foundation_Calc!$A$2:$C$13,3,1),""))</f>
        <v/>
      </c>
      <c r="AX409" s="702" t="str">
        <f>IF(C409&gt;0,VLOOKUP(C409,Foundation_Calc!$E$35:$G$65,3,1),
IF(J409&gt;0,VLOOKUP(J409,Foundation_Calc!$E$35:$G$65,3,1),""))</f>
        <v/>
      </c>
      <c r="AY409" s="704" t="str">
        <f>IF(L409="","",
IF(AX409="PT",VLOOKUP(L409,Foundation_Calc!$K$79:$R$113,VLOOKUP(AW409,Foundation_Calc!$I$2:$J$8,2,FALSE),0),
IF(AX409="K",VLOOKUP(L409,Foundation_Calc!$K$117:$R$151,VLOOKUP(AW409,Foundation_Calc!$I$2:$J$8,2,FALSE),0),"")))</f>
        <v/>
      </c>
      <c r="AZ409" s="704" t="str">
        <f>IF(K409="","",
IF(AX409="PT",VLOOKUP(K409,Foundation_Calc!$K$79:$R$113,VLOOKUP(AW409,Foundation_Calc!$I$2:$J$8,2,FALSE),0),
IF(AX409="K",VLOOKUP(K409,Foundation_Calc!$K$117:$R$151,VLOOKUP(AW409,Foundation_Calc!$I$2:$J$8,2,FALSE),0),"")))</f>
        <v/>
      </c>
      <c r="BA409" s="495" t="str">
        <f t="shared" si="48"/>
        <v/>
      </c>
      <c r="BB409" s="495" t="str">
        <f t="shared" si="49"/>
        <v/>
      </c>
      <c r="BC409" s="495" t="str">
        <f t="shared" si="50"/>
        <v/>
      </c>
      <c r="BD409" s="513" t="str">
        <f>IF(AND(L409="",H409=""),"",
IF(H409="",Pole_Calc!A$9,
IF(H409="MP",Pole_Calc!A$10,
IF(H409="AnMP",Pole_Calc!A$11,
IF(H409="A",Pole_Calc!A$12,
IF(H409="S/A",Pole_Calc!A$13,
IF(H409="A/S",Pole_Calc!A$14,"Poner a mano")))))))</f>
        <v/>
      </c>
      <c r="BE409" s="429" t="s">
        <v>118</v>
      </c>
      <c r="BF409" s="290"/>
      <c r="BG409" s="290"/>
      <c r="BH409" s="290"/>
      <c r="BI409" s="290"/>
    </row>
    <row r="410" spans="1:61" ht="15.75" customHeight="1">
      <c r="A410" s="696"/>
      <c r="B410" s="720" t="s">
        <v>1145</v>
      </c>
      <c r="C410" s="698">
        <f>+$C$408+$G$409</f>
        <v>39966.360000000008</v>
      </c>
      <c r="D410" s="699"/>
      <c r="E410" s="700"/>
      <c r="F410" s="700">
        <v>0</v>
      </c>
      <c r="G410" s="701"/>
      <c r="H410" s="702" t="s">
        <v>121</v>
      </c>
      <c r="I410" s="700" t="s">
        <v>122</v>
      </c>
      <c r="J410" s="698"/>
      <c r="K410" s="702"/>
      <c r="L410" s="702" t="s">
        <v>151</v>
      </c>
      <c r="M410" s="702" t="s">
        <v>396</v>
      </c>
      <c r="N410" s="702" t="s">
        <v>134</v>
      </c>
      <c r="O410" s="702"/>
      <c r="P410" s="702"/>
      <c r="Q410" s="700"/>
      <c r="R410" s="701"/>
      <c r="S410" s="701"/>
      <c r="T410" s="700">
        <v>25</v>
      </c>
      <c r="U410" s="700"/>
      <c r="V410" s="700"/>
      <c r="W410" s="703">
        <v>1.4</v>
      </c>
      <c r="X410" s="703"/>
      <c r="Y410" s="703"/>
      <c r="Z410" s="703"/>
      <c r="AA410" s="703"/>
      <c r="AB410" s="703"/>
      <c r="AC410" s="702" t="str">
        <f t="shared" si="47"/>
        <v>PH</v>
      </c>
      <c r="AD410" s="702"/>
      <c r="AE410" s="702"/>
      <c r="AF410" s="700"/>
      <c r="AG410" s="699"/>
      <c r="AH410" s="700"/>
      <c r="AI410" s="700"/>
      <c r="AJ410" s="702"/>
      <c r="AK410" s="702"/>
      <c r="AL410" s="702"/>
      <c r="AM410" s="702" t="s">
        <v>126</v>
      </c>
      <c r="AN410" s="704">
        <v>5.5</v>
      </c>
      <c r="AO410" s="703"/>
      <c r="AP410" s="703"/>
      <c r="AQ410" s="703"/>
      <c r="AR410" s="703"/>
      <c r="AS410" s="703"/>
      <c r="AT410" s="703">
        <f>+ab($T$410,$T$408,$T$412,$G$409,$G$411, 1*$F$410,1200)</f>
        <v>10.980083574798185</v>
      </c>
      <c r="AU410" s="705"/>
      <c r="AV410" s="705"/>
      <c r="AW410" s="702" t="str">
        <f>IF(C410&gt;0,VLOOKUP(C410,Foundation_Calc!$A$2:$C$13,3,1),
IF(J410&gt;0,VLOOKUP(J410,Foundation_Calc!$A$2:$C$13,3,1),""))</f>
        <v>Multi Soil</v>
      </c>
      <c r="AX410" s="702" t="str">
        <f>IF(C410&gt;0,VLOOKUP(C410,Foundation_Calc!$E$35:$G$65,3,1),
IF(J410&gt;0,VLOOKUP(J410,Foundation_Calc!$E$35:$G$65,3,1),""))</f>
        <v>PT</v>
      </c>
      <c r="AY410" s="704">
        <f>IF(L410="","",
IF(AX410="PT",VLOOKUP(L410,Foundation_Calc!$K$79:$R$113,VLOOKUP(AW410,Foundation_Calc!$I$2:$J$8,2,FALSE),0),
IF(AX410="K",VLOOKUP(L410,Foundation_Calc!$K$117:$R$151,VLOOKUP(AW410,Foundation_Calc!$I$2:$J$8,2,FALSE),0),"")))</f>
        <v>3.5</v>
      </c>
      <c r="AZ410" s="704" t="str">
        <f>IF(K410="","",
IF(AX410="PT",VLOOKUP(K410,Foundation_Calc!$K$79:$R$113,VLOOKUP(AW410,Foundation_Calc!$I$2:$J$8,2,FALSE),0),
IF(AX410="K",VLOOKUP(K410,Foundation_Calc!$K$117:$R$151,VLOOKUP(AW410,Foundation_Calc!$I$2:$J$8,2,FALSE),0),"")))</f>
        <v/>
      </c>
      <c r="BA410" s="495" t="str">
        <f t="shared" si="48"/>
        <v>ü</v>
      </c>
      <c r="BB410" s="495" t="str">
        <f t="shared" si="49"/>
        <v/>
      </c>
      <c r="BC410" s="495" t="str">
        <f t="shared" si="50"/>
        <v/>
      </c>
      <c r="BD410" s="513" t="str">
        <f>IF(AND(L410="",H410=""),"",
IF(H410="",Pole_Calc!A$9,
IF(H410="MP",Pole_Calc!A$10,
IF(H410="AnMP",Pole_Calc!A$11,
IF(H410="A",Pole_Calc!A$12,
IF(H410="S/A",Pole_Calc!A$13,
IF(H410="A/S",Pole_Calc!A$14,"Poner a mano")))))))</f>
        <v>App.7-V11I-P9.5.1.6</v>
      </c>
      <c r="BE410" s="429" t="s">
        <v>118</v>
      </c>
      <c r="BF410" s="289"/>
      <c r="BG410" s="289"/>
      <c r="BH410" s="290"/>
      <c r="BI410" s="289"/>
    </row>
    <row r="411" spans="1:61" ht="15.75" customHeight="1">
      <c r="A411" s="696"/>
      <c r="B411" s="697"/>
      <c r="C411" s="698"/>
      <c r="D411" s="699"/>
      <c r="E411" s="700"/>
      <c r="F411" s="700"/>
      <c r="G411" s="701">
        <v>52.5</v>
      </c>
      <c r="H411" s="702"/>
      <c r="I411" s="700"/>
      <c r="J411" s="698">
        <f>C410+7.5</f>
        <v>39973.860000000008</v>
      </c>
      <c r="K411" s="702" t="s">
        <v>117</v>
      </c>
      <c r="L411" s="702"/>
      <c r="M411" s="702" t="str">
        <f>IF(L411="","",
IF(AX411="PT",VLOOKUP(L411,Foundation_Calc!$V$79:$X$113,VLOOKUP(AX411,Foundation_Calc!$I$10:$J$13,2,FALSE),0),
IF(AX411="K",VLOOKUP(L411,Foundation_Calc!$V$117:$X$151,VLOOKUP(AX411,Foundation_Calc!$I$10:$J$13,2,FALSE),0),"")))</f>
        <v/>
      </c>
      <c r="N411" s="702"/>
      <c r="O411" s="702"/>
      <c r="P411" s="702"/>
      <c r="Q411" s="700"/>
      <c r="R411" s="701"/>
      <c r="S411" s="701"/>
      <c r="T411" s="700"/>
      <c r="U411" s="700"/>
      <c r="V411" s="700"/>
      <c r="W411" s="703"/>
      <c r="X411" s="703"/>
      <c r="Y411" s="703"/>
      <c r="Z411" s="703"/>
      <c r="AA411" s="703"/>
      <c r="AB411" s="703"/>
      <c r="AC411" s="702" t="str">
        <f t="shared" si="47"/>
        <v/>
      </c>
      <c r="AD411" s="702"/>
      <c r="AE411" s="702"/>
      <c r="AF411" s="700"/>
      <c r="AG411" s="699"/>
      <c r="AH411" s="700"/>
      <c r="AI411" s="700"/>
      <c r="AJ411" s="702"/>
      <c r="AK411" s="702"/>
      <c r="AL411" s="702"/>
      <c r="AM411" s="702"/>
      <c r="AN411" s="704"/>
      <c r="AO411" s="703"/>
      <c r="AP411" s="703"/>
      <c r="AQ411" s="703">
        <f>+FL_2($T$412,$T$410,$G$411,1200,9.28, 1*$F$412)</f>
        <v>-0.40088507104761906</v>
      </c>
      <c r="AR411" s="703"/>
      <c r="AS411" s="703"/>
      <c r="AT411" s="703"/>
      <c r="AU411" s="705"/>
      <c r="AV411" s="705"/>
      <c r="AW411" s="702" t="str">
        <f>IF(C411&gt;0,VLOOKUP(C411,Foundation_Calc!$A$2:$C$13,3,1),
IF(J411&gt;0,VLOOKUP(J411,Foundation_Calc!$A$2:$C$13,3,1),""))</f>
        <v>Multi Soil</v>
      </c>
      <c r="AX411" s="702" t="str">
        <f>IF(C411&gt;0,VLOOKUP(C411,Foundation_Calc!$E$35:$G$65,3,1),
IF(J411&gt;0,VLOOKUP(J411,Foundation_Calc!$E$35:$G$65,3,1),""))</f>
        <v>PT</v>
      </c>
      <c r="AY411" s="704" t="str">
        <f>IF(L411="","",
IF(AX411="PT",VLOOKUP(L411,Foundation_Calc!$K$79:$R$113,VLOOKUP(AW411,Foundation_Calc!$I$2:$J$8,2,FALSE),0),
IF(AX411="K",VLOOKUP(L411,Foundation_Calc!$K$117:$R$151,VLOOKUP(AW411,Foundation_Calc!$I$2:$J$8,2,FALSE),0),"")))</f>
        <v/>
      </c>
      <c r="AZ411" s="704">
        <f>IF(K411="","",
IF(AX411="PT",VLOOKUP(K411,Foundation_Calc!$K$79:$R$113,VLOOKUP(AW411,Foundation_Calc!$I$2:$J$8,2,FALSE),0),
IF(AX411="K",VLOOKUP(K411,Foundation_Calc!$K$117:$R$151,VLOOKUP(AW411,Foundation_Calc!$I$2:$J$8,2,FALSE),0),"")))</f>
        <v>3.9</v>
      </c>
      <c r="BA411" s="495" t="str">
        <f t="shared" si="48"/>
        <v/>
      </c>
      <c r="BB411" s="495" t="str">
        <f t="shared" si="49"/>
        <v>ü</v>
      </c>
      <c r="BC411" s="495" t="str">
        <f t="shared" si="50"/>
        <v/>
      </c>
      <c r="BD411" s="513" t="str">
        <f>IF(AND(L411="",H411=""),"",
IF(H411="",Pole_Calc!A$9,
IF(H411="MP",Pole_Calc!A$10,
IF(H411="AnMP",Pole_Calc!A$11,
IF(H411="A",Pole_Calc!A$12,
IF(H411="S/A",Pole_Calc!A$13,
IF(H411="A/S",Pole_Calc!A$14,"Poner a mano")))))))</f>
        <v/>
      </c>
      <c r="BE411" s="429" t="s">
        <v>118</v>
      </c>
      <c r="BF411" s="290"/>
      <c r="BG411" s="290"/>
      <c r="BH411" s="290"/>
      <c r="BI411" s="290"/>
    </row>
    <row r="412" spans="1:61" ht="15.75" customHeight="1">
      <c r="A412" s="696"/>
      <c r="B412" s="720" t="s">
        <v>1146</v>
      </c>
      <c r="C412" s="698">
        <f>+$C$410+$G$411</f>
        <v>40018.860000000008</v>
      </c>
      <c r="D412" s="699"/>
      <c r="E412" s="700"/>
      <c r="F412" s="700">
        <v>0</v>
      </c>
      <c r="G412" s="701"/>
      <c r="H412" s="702"/>
      <c r="I412" s="700"/>
      <c r="J412" s="698"/>
      <c r="K412" s="702"/>
      <c r="L412" s="702" t="s">
        <v>153</v>
      </c>
      <c r="M412" s="702" t="s">
        <v>417</v>
      </c>
      <c r="N412" s="702" t="s">
        <v>124</v>
      </c>
      <c r="O412" s="702"/>
      <c r="P412" s="702"/>
      <c r="Q412" s="700"/>
      <c r="R412" s="701"/>
      <c r="S412" s="701"/>
      <c r="T412" s="700">
        <v>-35</v>
      </c>
      <c r="U412" s="700"/>
      <c r="V412" s="700"/>
      <c r="W412" s="703">
        <v>1.4</v>
      </c>
      <c r="X412" s="703"/>
      <c r="Y412" s="703"/>
      <c r="Z412" s="703"/>
      <c r="AA412" s="703"/>
      <c r="AB412" s="703"/>
      <c r="AC412" s="702" t="str">
        <f t="shared" si="47"/>
        <v>PHQ</v>
      </c>
      <c r="AD412" s="702"/>
      <c r="AE412" s="702"/>
      <c r="AF412" s="700"/>
      <c r="AG412" s="699"/>
      <c r="AH412" s="700"/>
      <c r="AI412" s="700"/>
      <c r="AJ412" s="702"/>
      <c r="AK412" s="702"/>
      <c r="AL412" s="702"/>
      <c r="AM412" s="702" t="s">
        <v>126</v>
      </c>
      <c r="AN412" s="704">
        <v>5.5</v>
      </c>
      <c r="AO412" s="703"/>
      <c r="AP412" s="703"/>
      <c r="AQ412" s="703"/>
      <c r="AR412" s="703"/>
      <c r="AS412" s="703"/>
      <c r="AT412" s="703">
        <f>+ab($T$412,$T$410,$T$414,$G$411,$G$413, 1*$F$412,1200)</f>
        <v>-7.0210041587097045</v>
      </c>
      <c r="AU412" s="705"/>
      <c r="AV412" s="705"/>
      <c r="AW412" s="702" t="str">
        <f>IF(C412&gt;0,VLOOKUP(C412,Foundation_Calc!$A$2:$C$13,3,1),
IF(J412&gt;0,VLOOKUP(J412,Foundation_Calc!$A$2:$C$13,3,1),""))</f>
        <v>Multi Soil</v>
      </c>
      <c r="AX412" s="702" t="str">
        <f>IF(C412&gt;0,VLOOKUP(C412,Foundation_Calc!$E$35:$G$65,3,1),
IF(J412&gt;0,VLOOKUP(J412,Foundation_Calc!$E$35:$G$65,3,1),""))</f>
        <v>PT</v>
      </c>
      <c r="AY412" s="704">
        <f>IF(L412="","",
IF(AX412="PT",VLOOKUP(L412,Foundation_Calc!$K$79:$R$113,VLOOKUP(AW412,Foundation_Calc!$I$2:$J$8,2,FALSE),0),
IF(AX412="K",VLOOKUP(L412,Foundation_Calc!$K$117:$R$151,VLOOKUP(AW412,Foundation_Calc!$I$2:$J$8,2,FALSE),0),"")))</f>
        <v>3.5</v>
      </c>
      <c r="AZ412" s="704" t="str">
        <f>IF(K412="","",
IF(AX412="PT",VLOOKUP(K412,Foundation_Calc!$K$79:$R$113,VLOOKUP(AW412,Foundation_Calc!$I$2:$J$8,2,FALSE),0),
IF(AX412="K",VLOOKUP(K412,Foundation_Calc!$K$117:$R$151,VLOOKUP(AW412,Foundation_Calc!$I$2:$J$8,2,FALSE),0),"")))</f>
        <v/>
      </c>
      <c r="BA412" s="495" t="str">
        <f t="shared" si="48"/>
        <v>ü</v>
      </c>
      <c r="BB412" s="495" t="str">
        <f t="shared" si="49"/>
        <v/>
      </c>
      <c r="BC412" s="495" t="str">
        <f t="shared" si="50"/>
        <v/>
      </c>
      <c r="BD412" s="513" t="str">
        <f>IF(AND(L412="",H412=""),"",
IF(H412="",Pole_Calc!A$9,
IF(H412="MP",Pole_Calc!A$10,
IF(H412="AnMP",Pole_Calc!A$11,
IF(H412="A",Pole_Calc!A$12,
IF(H412="S/A",Pole_Calc!A$13,
IF(H412="A/S",Pole_Calc!A$14,"Poner a mano")))))))</f>
        <v>App.7-V11I-P9.5.1.1</v>
      </c>
      <c r="BE412" s="429" t="s">
        <v>118</v>
      </c>
      <c r="BF412" s="289"/>
      <c r="BG412" s="289"/>
      <c r="BH412" s="290"/>
      <c r="BI412" s="289"/>
    </row>
    <row r="413" spans="1:61" ht="15.75" customHeight="1">
      <c r="A413" s="696"/>
      <c r="B413" s="697"/>
      <c r="C413" s="698"/>
      <c r="D413" s="699"/>
      <c r="E413" s="700"/>
      <c r="F413" s="700"/>
      <c r="G413" s="701">
        <v>44.4</v>
      </c>
      <c r="H413" s="702"/>
      <c r="I413" s="700"/>
      <c r="J413" s="698"/>
      <c r="K413" s="702"/>
      <c r="L413" s="702"/>
      <c r="M413" s="702" t="str">
        <f>IF(L413="","",
IF(AX413="PT",VLOOKUP(L413,Foundation_Calc!$V$79:$X$113,VLOOKUP(AX413,Foundation_Calc!$I$10:$J$13,2,FALSE),0),
IF(AX413="K",VLOOKUP(L413,Foundation_Calc!$V$117:$X$151,VLOOKUP(AX413,Foundation_Calc!$I$10:$J$13,2,FALSE),0),"")))</f>
        <v/>
      </c>
      <c r="N413" s="702"/>
      <c r="O413" s="738"/>
      <c r="P413" s="702"/>
      <c r="Q413" s="700"/>
      <c r="R413" s="701"/>
      <c r="S413" s="701"/>
      <c r="T413" s="700"/>
      <c r="U413" s="700"/>
      <c r="V413" s="700"/>
      <c r="W413" s="703"/>
      <c r="X413" s="703"/>
      <c r="Y413" s="703"/>
      <c r="Z413" s="703"/>
      <c r="AA413" s="703"/>
      <c r="AB413" s="703"/>
      <c r="AC413" s="702" t="str">
        <f t="shared" si="47"/>
        <v/>
      </c>
      <c r="AD413" s="702"/>
      <c r="AE413" s="702"/>
      <c r="AF413" s="700"/>
      <c r="AG413" s="699"/>
      <c r="AH413" s="700"/>
      <c r="AI413" s="700"/>
      <c r="AJ413" s="702"/>
      <c r="AK413" s="702"/>
      <c r="AL413" s="702"/>
      <c r="AM413" s="702"/>
      <c r="AN413" s="704"/>
      <c r="AO413" s="703"/>
      <c r="AP413" s="703"/>
      <c r="AQ413" s="703">
        <f>+FL_1($T$414,$T$412,$G$413,1200,9.28, 1*$F$414)</f>
        <v>0.35127128529729729</v>
      </c>
      <c r="AR413" s="703"/>
      <c r="AS413" s="703"/>
      <c r="AT413" s="703"/>
      <c r="AU413" s="705"/>
      <c r="AV413" s="705"/>
      <c r="AW413" s="702" t="str">
        <f>IF(C413&gt;0,VLOOKUP(C413,Foundation_Calc!$A$2:$C$13,3,1),
IF(J413&gt;0,VLOOKUP(J413,Foundation_Calc!$A$2:$C$13,3,1),""))</f>
        <v/>
      </c>
      <c r="AX413" s="702" t="str">
        <f>IF(C413&gt;0,VLOOKUP(C413,Foundation_Calc!$E$35:$G$65,3,1),
IF(J413&gt;0,VLOOKUP(J413,Foundation_Calc!$E$35:$G$65,3,1),""))</f>
        <v/>
      </c>
      <c r="AY413" s="704" t="str">
        <f>IF(L413="","",
IF(AX413="PT",VLOOKUP(L413,Foundation_Calc!$K$79:$R$113,VLOOKUP(AW413,Foundation_Calc!$I$2:$J$8,2,FALSE),0),
IF(AX413="K",VLOOKUP(L413,Foundation_Calc!$K$117:$R$151,VLOOKUP(AW413,Foundation_Calc!$I$2:$J$8,2,FALSE),0),"")))</f>
        <v/>
      </c>
      <c r="AZ413" s="704" t="str">
        <f>IF(K413="","",
IF(AX413="PT",VLOOKUP(K413,Foundation_Calc!$K$79:$R$113,VLOOKUP(AW413,Foundation_Calc!$I$2:$J$8,2,FALSE),0),
IF(AX413="K",VLOOKUP(K413,Foundation_Calc!$K$117:$R$151,VLOOKUP(AW413,Foundation_Calc!$I$2:$J$8,2,FALSE),0),"")))</f>
        <v/>
      </c>
      <c r="BA413" s="495" t="str">
        <f t="shared" si="48"/>
        <v/>
      </c>
      <c r="BB413" s="495" t="str">
        <f t="shared" si="49"/>
        <v/>
      </c>
      <c r="BC413" s="495" t="str">
        <f t="shared" si="50"/>
        <v/>
      </c>
      <c r="BD413" s="513" t="str">
        <f>IF(AND(L413="",H413=""),"",
IF(H413="",Pole_Calc!A$9,
IF(H413="MP",Pole_Calc!A$10,
IF(H413="AnMP",Pole_Calc!A$11,
IF(H413="A",Pole_Calc!A$12,
IF(H413="S/A",Pole_Calc!A$13,
IF(H413="A/S",Pole_Calc!A$14,"Poner a mano")))))))</f>
        <v/>
      </c>
      <c r="BE413" s="429" t="s">
        <v>118</v>
      </c>
      <c r="BF413" s="290"/>
      <c r="BG413" s="290"/>
      <c r="BH413" s="290"/>
      <c r="BI413" s="290"/>
    </row>
    <row r="414" spans="1:61" ht="15.75" customHeight="1">
      <c r="A414" s="696" t="s">
        <v>413</v>
      </c>
      <c r="B414" s="720" t="s">
        <v>1147</v>
      </c>
      <c r="C414" s="698">
        <f>+$C$412+$G$413-1.8</f>
        <v>40061.460000000006</v>
      </c>
      <c r="D414" s="699"/>
      <c r="E414" s="700"/>
      <c r="F414" s="700">
        <v>0</v>
      </c>
      <c r="G414" s="701"/>
      <c r="H414" s="702" t="s">
        <v>238</v>
      </c>
      <c r="I414" s="700"/>
      <c r="J414" s="698"/>
      <c r="K414" s="702"/>
      <c r="L414" s="702" t="s">
        <v>183</v>
      </c>
      <c r="M414" s="702" t="s">
        <v>409</v>
      </c>
      <c r="N414" s="702" t="s">
        <v>134</v>
      </c>
      <c r="O414" s="737" t="s">
        <v>124</v>
      </c>
      <c r="P414" s="702"/>
      <c r="Q414" s="700"/>
      <c r="R414" s="701"/>
      <c r="S414" s="701"/>
      <c r="T414" s="700">
        <v>35</v>
      </c>
      <c r="U414" s="700">
        <v>20</v>
      </c>
      <c r="V414" s="700"/>
      <c r="W414" s="703">
        <v>1.4</v>
      </c>
      <c r="X414" s="703">
        <v>2</v>
      </c>
      <c r="Y414" s="703"/>
      <c r="Z414" s="703"/>
      <c r="AA414" s="703"/>
      <c r="AB414" s="703"/>
      <c r="AC414" s="702" t="str">
        <f t="shared" si="47"/>
        <v>PHQ</v>
      </c>
      <c r="AD414" s="702"/>
      <c r="AE414" s="702"/>
      <c r="AF414" s="700"/>
      <c r="AG414" s="699"/>
      <c r="AH414" s="700"/>
      <c r="AI414" s="700"/>
      <c r="AJ414" s="702"/>
      <c r="AK414" s="702"/>
      <c r="AL414" s="702"/>
      <c r="AM414" s="702" t="s">
        <v>126</v>
      </c>
      <c r="AN414" s="704">
        <v>5.5</v>
      </c>
      <c r="AO414" s="703"/>
      <c r="AP414" s="703"/>
      <c r="AQ414" s="703"/>
      <c r="AR414" s="703"/>
      <c r="AS414" s="703"/>
      <c r="AT414" s="703">
        <f>+ab($T$414,$T$412,$T$416,$G$413,$G$415, 1*$F$414,1200)</f>
        <v>7.132250140966045</v>
      </c>
      <c r="AU414" s="705"/>
      <c r="AV414" s="705"/>
      <c r="AW414" s="702" t="str">
        <f>IF(C414&gt;0,VLOOKUP(C414,Foundation_Calc!$A$2:$C$13,3,1),
IF(J414&gt;0,VLOOKUP(J414,Foundation_Calc!$A$2:$C$13,3,1),""))</f>
        <v>Multi Soil</v>
      </c>
      <c r="AX414" s="702" t="str">
        <f>IF(C414&gt;0,VLOOKUP(C414,Foundation_Calc!$E$35:$G$65,3,1),
IF(J414&gt;0,VLOOKUP(J414,Foundation_Calc!$E$35:$G$65,3,1),""))</f>
        <v>PT</v>
      </c>
      <c r="AY414" s="704">
        <f>IF(L414="","",
IF(AX414="PT",VLOOKUP(L414,Foundation_Calc!$K$79:$R$113,VLOOKUP(AW414,Foundation_Calc!$I$2:$J$8,2,FALSE),0),
IF(AX414="K",VLOOKUP(L414,Foundation_Calc!$K$117:$R$151,VLOOKUP(AW414,Foundation_Calc!$I$2:$J$8,2,FALSE),0),"")))</f>
        <v>3.7</v>
      </c>
      <c r="AZ414" s="704" t="str">
        <f>IF(K414="","",
IF(AX414="PT",VLOOKUP(K414,Foundation_Calc!$K$79:$R$113,VLOOKUP(AW414,Foundation_Calc!$I$2:$J$8,2,FALSE),0),
IF(AX414="K",VLOOKUP(K414,Foundation_Calc!$K$117:$R$151,VLOOKUP(AW414,Foundation_Calc!$I$2:$J$8,2,FALSE),0),"")))</f>
        <v/>
      </c>
      <c r="BA414" s="495" t="str">
        <f t="shared" si="48"/>
        <v>ü</v>
      </c>
      <c r="BB414" s="495" t="str">
        <f t="shared" si="49"/>
        <v/>
      </c>
      <c r="BC414" s="495" t="str">
        <f t="shared" si="50"/>
        <v/>
      </c>
      <c r="BD414" s="513" t="str">
        <f>Pole_Calc!A$13</f>
        <v>App.7-V11I-P9.5.1.5</v>
      </c>
      <c r="BE414" s="429" t="s">
        <v>118</v>
      </c>
      <c r="BF414" s="289"/>
      <c r="BG414" s="289"/>
      <c r="BH414" s="290"/>
      <c r="BI414" s="289"/>
    </row>
    <row r="415" spans="1:61" ht="15.75" customHeight="1">
      <c r="A415" s="696"/>
      <c r="B415" s="697"/>
      <c r="C415" s="698"/>
      <c r="D415" s="699"/>
      <c r="E415" s="700"/>
      <c r="F415" s="700"/>
      <c r="G415" s="701">
        <v>50</v>
      </c>
      <c r="H415" s="702"/>
      <c r="I415" s="700"/>
      <c r="J415" s="698"/>
      <c r="K415" s="702"/>
      <c r="L415" s="702"/>
      <c r="M415" s="702" t="str">
        <f>IF(L415="","",
IF(AX415="PT",VLOOKUP(L415,Foundation_Calc!$V$79:$X$113,VLOOKUP(AX415,Foundation_Calc!$I$10:$J$13,2,FALSE),0),
IF(AX415="K",VLOOKUP(L415,Foundation_Calc!$V$117:$X$151,VLOOKUP(AX415,Foundation_Calc!$I$10:$J$13,2,FALSE),0),"")))</f>
        <v/>
      </c>
      <c r="N415" s="702"/>
      <c r="O415" s="702"/>
      <c r="P415" s="702"/>
      <c r="Q415" s="700"/>
      <c r="R415" s="701"/>
      <c r="S415" s="701"/>
      <c r="T415" s="700"/>
      <c r="U415" s="700"/>
      <c r="V415" s="700"/>
      <c r="W415" s="703"/>
      <c r="X415" s="703"/>
      <c r="Y415" s="703"/>
      <c r="Z415" s="703"/>
      <c r="AA415" s="703"/>
      <c r="AB415" s="703"/>
      <c r="AC415" s="702" t="str">
        <f t="shared" si="47"/>
        <v/>
      </c>
      <c r="AD415" s="702"/>
      <c r="AE415" s="702"/>
      <c r="AF415" s="700"/>
      <c r="AG415" s="699"/>
      <c r="AH415" s="700"/>
      <c r="AI415" s="700"/>
      <c r="AJ415" s="702"/>
      <c r="AK415" s="702"/>
      <c r="AL415" s="702"/>
      <c r="AM415" s="702"/>
      <c r="AN415" s="704"/>
      <c r="AO415" s="703"/>
      <c r="AP415" s="703"/>
      <c r="AQ415" s="703">
        <f>+FL_1($T$416,$T$414,$G$415,1200,9.28, 1*$F$416)</f>
        <v>0.39489941866666667</v>
      </c>
      <c r="AR415" s="703"/>
      <c r="AS415" s="703"/>
      <c r="AT415" s="703"/>
      <c r="AU415" s="705"/>
      <c r="AV415" s="705"/>
      <c r="AW415" s="702" t="str">
        <f>IF(C415&gt;0,VLOOKUP(C415,Foundation_Calc!$A$2:$C$13,3,1),
IF(J415&gt;0,VLOOKUP(J415,Foundation_Calc!$A$2:$C$13,3,1),""))</f>
        <v/>
      </c>
      <c r="AX415" s="702" t="str">
        <f>IF(C415&gt;0,VLOOKUP(C415,Foundation_Calc!$E$35:$G$65,3,1),
IF(J415&gt;0,VLOOKUP(J415,Foundation_Calc!$E$35:$G$65,3,1),""))</f>
        <v/>
      </c>
      <c r="AY415" s="704" t="str">
        <f>IF(L415="","",
IF(AX415="PT",VLOOKUP(L415,Foundation_Calc!$K$79:$R$113,VLOOKUP(AW415,Foundation_Calc!$I$2:$J$8,2,FALSE),0),
IF(AX415="K",VLOOKUP(L415,Foundation_Calc!$K$117:$R$151,VLOOKUP(AW415,Foundation_Calc!$I$2:$J$8,2,FALSE),0),"")))</f>
        <v/>
      </c>
      <c r="AZ415" s="704" t="str">
        <f>IF(K415="","",
IF(AX415="PT",VLOOKUP(K415,Foundation_Calc!$K$79:$R$113,VLOOKUP(AW415,Foundation_Calc!$I$2:$J$8,2,FALSE),0),
IF(AX415="K",VLOOKUP(K415,Foundation_Calc!$K$117:$R$151,VLOOKUP(AW415,Foundation_Calc!$I$2:$J$8,2,FALSE),0),"")))</f>
        <v/>
      </c>
      <c r="BA415" s="495" t="str">
        <f t="shared" si="48"/>
        <v/>
      </c>
      <c r="BB415" s="495" t="str">
        <f t="shared" si="49"/>
        <v/>
      </c>
      <c r="BC415" s="495" t="str">
        <f t="shared" si="50"/>
        <v/>
      </c>
      <c r="BD415" s="513" t="str">
        <f>IF(AND(L415="",H415=""),"",
IF(H415="",Pole_Calc!A$9,
IF(H415="MP",Pole_Calc!A$10,
IF(H415="AnMP",Pole_Calc!A$11,
IF(H415="A",Pole_Calc!A$12,
IF(H415="S/A",Pole_Calc!A$13,
IF(H415="A/S",Pole_Calc!A$14,"Poner a mano")))))))</f>
        <v/>
      </c>
      <c r="BE415" s="429" t="s">
        <v>118</v>
      </c>
      <c r="BF415" s="290"/>
      <c r="BG415" s="290"/>
      <c r="BH415" s="290"/>
      <c r="BI415" s="290"/>
    </row>
    <row r="416" spans="1:61" ht="15.75" customHeight="1">
      <c r="A416" s="696"/>
      <c r="B416" s="720" t="s">
        <v>1148</v>
      </c>
      <c r="C416" s="698">
        <f>+$C$414+$G$415</f>
        <v>40111.460000000006</v>
      </c>
      <c r="D416" s="699"/>
      <c r="E416" s="700"/>
      <c r="F416" s="700">
        <v>0</v>
      </c>
      <c r="G416" s="701"/>
      <c r="H416" s="702" t="s">
        <v>131</v>
      </c>
      <c r="I416" s="700"/>
      <c r="J416" s="698"/>
      <c r="K416" s="702"/>
      <c r="L416" s="702" t="s">
        <v>183</v>
      </c>
      <c r="M416" s="702" t="s">
        <v>409</v>
      </c>
      <c r="N416" s="702" t="s">
        <v>124</v>
      </c>
      <c r="O416" s="702" t="s">
        <v>133</v>
      </c>
      <c r="P416" s="702"/>
      <c r="Q416" s="700"/>
      <c r="R416" s="701"/>
      <c r="S416" s="701"/>
      <c r="T416" s="700">
        <v>-20</v>
      </c>
      <c r="U416" s="700">
        <v>-55</v>
      </c>
      <c r="V416" s="700"/>
      <c r="W416" s="703">
        <v>1.4</v>
      </c>
      <c r="X416" s="703">
        <v>2</v>
      </c>
      <c r="Y416" s="703"/>
      <c r="Z416" s="703"/>
      <c r="AA416" s="703">
        <v>0.45</v>
      </c>
      <c r="AB416" s="703"/>
      <c r="AC416" s="702" t="str">
        <f t="shared" si="47"/>
        <v>PHQ</v>
      </c>
      <c r="AD416" s="702"/>
      <c r="AE416" s="702"/>
      <c r="AF416" s="700"/>
      <c r="AG416" s="699"/>
      <c r="AH416" s="700"/>
      <c r="AI416" s="700"/>
      <c r="AJ416" s="702"/>
      <c r="AK416" s="702"/>
      <c r="AL416" s="702"/>
      <c r="AM416" s="702" t="s">
        <v>126</v>
      </c>
      <c r="AN416" s="704">
        <v>5.5</v>
      </c>
      <c r="AO416" s="703"/>
      <c r="AP416" s="703"/>
      <c r="AQ416" s="703"/>
      <c r="AR416" s="703"/>
      <c r="AS416" s="703"/>
      <c r="AT416" s="703">
        <f>+ab($T$416,$T$414,$T$418,$G$415,$G$417, 1*$F$416,1200)</f>
        <v>-7.7064417312170317</v>
      </c>
      <c r="AU416" s="705"/>
      <c r="AV416" s="705"/>
      <c r="AW416" s="702" t="str">
        <f>IF(C416&gt;0,VLOOKUP(C416,Foundation_Calc!$A$2:$C$13,3,1),
IF(J416&gt;0,VLOOKUP(J416,Foundation_Calc!$A$2:$C$13,3,1),""))</f>
        <v>Multi Soil</v>
      </c>
      <c r="AX416" s="702" t="str">
        <f>IF(C416&gt;0,VLOOKUP(C416,Foundation_Calc!$E$35:$G$65,3,1),
IF(J416&gt;0,VLOOKUP(J416,Foundation_Calc!$E$35:$G$65,3,1),""))</f>
        <v>PT</v>
      </c>
      <c r="AY416" s="704">
        <f>IF(L416="","",
IF(AX416="PT",VLOOKUP(L416,Foundation_Calc!$K$79:$R$113,VLOOKUP(AW416,Foundation_Calc!$I$2:$J$8,2,FALSE),0),
IF(AX416="K",VLOOKUP(L416,Foundation_Calc!$K$117:$R$151,VLOOKUP(AW416,Foundation_Calc!$I$2:$J$8,2,FALSE),0),"")))</f>
        <v>3.7</v>
      </c>
      <c r="AZ416" s="704" t="str">
        <f>IF(K416="","",
IF(AX416="PT",VLOOKUP(K416,Foundation_Calc!$K$79:$R$113,VLOOKUP(AW416,Foundation_Calc!$I$2:$J$8,2,FALSE),0),
IF(AX416="K",VLOOKUP(K416,Foundation_Calc!$K$117:$R$151,VLOOKUP(AW416,Foundation_Calc!$I$2:$J$8,2,FALSE),0),"")))</f>
        <v/>
      </c>
      <c r="BA416" s="495" t="str">
        <f t="shared" si="48"/>
        <v>ü</v>
      </c>
      <c r="BB416" s="495" t="str">
        <f t="shared" si="49"/>
        <v/>
      </c>
      <c r="BC416" s="495" t="str">
        <f t="shared" si="50"/>
        <v/>
      </c>
      <c r="BD416" s="513" t="str">
        <f>IF(AND(L416="",H416=""),"",
IF(H416="",Pole_Calc!A$9,
IF(H416="MP",Pole_Calc!A$10,
IF(H416="AnMP",Pole_Calc!A$11,
IF(H416="A",Pole_Calc!A$12,
IF(H416="S/A",Pole_Calc!A$13,
IF(H416="A/S",Pole_Calc!A$14,"Poner a mano")))))))</f>
        <v>App.7-V11I-P9.5.1.5</v>
      </c>
      <c r="BE416" s="429" t="s">
        <v>118</v>
      </c>
      <c r="BF416" s="289"/>
      <c r="BG416" s="289"/>
      <c r="BH416" s="290"/>
      <c r="BI416" s="289"/>
    </row>
    <row r="417" spans="1:61" ht="15.75" customHeight="1">
      <c r="A417" s="685" t="s">
        <v>160</v>
      </c>
      <c r="B417" s="686"/>
      <c r="C417" s="687"/>
      <c r="D417" s="688"/>
      <c r="E417" s="689"/>
      <c r="F417" s="689"/>
      <c r="G417" s="690">
        <v>40</v>
      </c>
      <c r="H417" s="691"/>
      <c r="I417" s="689"/>
      <c r="J417" s="687"/>
      <c r="K417" s="691"/>
      <c r="L417" s="691"/>
      <c r="M417" s="691" t="str">
        <f>IF(L417="","",
IF(AX417="PT",VLOOKUP(L417,Foundation_Calc!$V$79:$X$113,VLOOKUP(AX417,Foundation_Calc!$I$10:$J$13,2,FALSE),0),
IF(AX417="K",VLOOKUP(L417,Foundation_Calc!$V$117:$X$151,VLOOKUP(AX417,Foundation_Calc!$I$10:$J$13,2,FALSE),0),"")))</f>
        <v/>
      </c>
      <c r="N417" s="691"/>
      <c r="O417" s="691"/>
      <c r="P417" s="691"/>
      <c r="Q417" s="689"/>
      <c r="R417" s="690"/>
      <c r="S417" s="690"/>
      <c r="T417" s="689"/>
      <c r="U417" s="689"/>
      <c r="V417" s="689"/>
      <c r="W417" s="692"/>
      <c r="X417" s="692"/>
      <c r="Y417" s="692"/>
      <c r="Z417" s="692"/>
      <c r="AA417" s="692"/>
      <c r="AB417" s="692"/>
      <c r="AC417" s="691" t="str">
        <f t="shared" si="47"/>
        <v/>
      </c>
      <c r="AD417" s="691"/>
      <c r="AE417" s="691"/>
      <c r="AF417" s="689"/>
      <c r="AG417" s="688"/>
      <c r="AH417" s="689"/>
      <c r="AI417" s="689"/>
      <c r="AJ417" s="691"/>
      <c r="AK417" s="691"/>
      <c r="AL417" s="691"/>
      <c r="AM417" s="691"/>
      <c r="AN417" s="693"/>
      <c r="AO417" s="692"/>
      <c r="AP417" s="692"/>
      <c r="AQ417" s="692">
        <f>+FL_1($T$418,$T$416,$G$417,1200,9.28, 1*$F$418)</f>
        <v>0.351905352</v>
      </c>
      <c r="AR417" s="692"/>
      <c r="AS417" s="692"/>
      <c r="AT417" s="692"/>
      <c r="AU417" s="694"/>
      <c r="AV417" s="694"/>
      <c r="AW417" s="691" t="str">
        <f>IF(C417&gt;0,VLOOKUP(C417,Foundation_Calc!$A$2:$C$13,3,1),
IF(J417&gt;0,VLOOKUP(J417,Foundation_Calc!$A$2:$C$13,3,1),""))</f>
        <v/>
      </c>
      <c r="AX417" s="691" t="str">
        <f>IF(C417&gt;0,VLOOKUP(C417,Foundation_Calc!$E$35:$G$65,3,1),
IF(J417&gt;0,VLOOKUP(J417,Foundation_Calc!$E$35:$G$65,3,1),""))</f>
        <v/>
      </c>
      <c r="AY417" s="693" t="str">
        <f>IF(L417="","",
IF(AX417="PT",VLOOKUP(L417,Foundation_Calc!$K$79:$R$113,VLOOKUP(AW417,Foundation_Calc!$I$2:$J$8,2,FALSE),0),
IF(AX417="K",VLOOKUP(L417,Foundation_Calc!$K$117:$R$151,VLOOKUP(AW417,Foundation_Calc!$I$2:$J$8,2,FALSE),0),"")))</f>
        <v/>
      </c>
      <c r="AZ417" s="693" t="str">
        <f>IF(K417="","",
IF(AX417="PT",VLOOKUP(K417,Foundation_Calc!$K$79:$R$113,VLOOKUP(AW417,Foundation_Calc!$I$2:$J$8,2,FALSE),0),
IF(AX417="K",VLOOKUP(K417,Foundation_Calc!$K$117:$R$151,VLOOKUP(AW417,Foundation_Calc!$I$2:$J$8,2,FALSE),0),"")))</f>
        <v/>
      </c>
      <c r="BA417" s="495" t="str">
        <f t="shared" si="48"/>
        <v/>
      </c>
      <c r="BB417" s="495" t="str">
        <f t="shared" si="49"/>
        <v/>
      </c>
      <c r="BC417" s="495" t="str">
        <f t="shared" si="50"/>
        <v/>
      </c>
      <c r="BD417" s="513" t="str">
        <f>IF(AND(L417="",H417=""),"",
IF(H417="",Pole_Calc!A$9,
IF(H417="MP",Pole_Calc!A$10,
IF(H417="AnMP",Pole_Calc!A$11,
IF(H417="A",Pole_Calc!A$12,
IF(H417="S/A",Pole_Calc!A$13,
IF(H417="A/S",Pole_Calc!A$14,"Poner a mano")))))))</f>
        <v/>
      </c>
      <c r="BE417" s="429" t="s">
        <v>118</v>
      </c>
      <c r="BF417" s="290"/>
      <c r="BG417" s="290"/>
      <c r="BH417" s="290"/>
      <c r="BI417" s="290"/>
    </row>
    <row r="418" spans="1:61" ht="15.75" customHeight="1">
      <c r="A418" s="696"/>
      <c r="B418" s="720" t="s">
        <v>1149</v>
      </c>
      <c r="C418" s="698">
        <f>+$C$416+$G$417</f>
        <v>40151.460000000006</v>
      </c>
      <c r="D418" s="699"/>
      <c r="E418" s="700"/>
      <c r="F418" s="700">
        <v>0</v>
      </c>
      <c r="G418" s="701"/>
      <c r="H418" s="702" t="s">
        <v>284</v>
      </c>
      <c r="I418" s="700" t="s">
        <v>162</v>
      </c>
      <c r="J418" s="698"/>
      <c r="K418" s="702"/>
      <c r="L418" s="702" t="s">
        <v>151</v>
      </c>
      <c r="M418" s="702" t="s">
        <v>396</v>
      </c>
      <c r="N418" s="702" t="s">
        <v>134</v>
      </c>
      <c r="O418" s="702"/>
      <c r="P418" s="702"/>
      <c r="Q418" s="700"/>
      <c r="R418" s="701"/>
      <c r="S418" s="701"/>
      <c r="T418" s="700">
        <v>35</v>
      </c>
      <c r="U418" s="700"/>
      <c r="V418" s="700"/>
      <c r="W418" s="703">
        <v>1.4</v>
      </c>
      <c r="X418" s="703"/>
      <c r="Y418" s="703"/>
      <c r="Z418" s="703"/>
      <c r="AA418" s="703"/>
      <c r="AB418" s="703"/>
      <c r="AC418" s="702" t="str">
        <f t="shared" si="47"/>
        <v>PH</v>
      </c>
      <c r="AD418" s="702"/>
      <c r="AE418" s="702"/>
      <c r="AF418" s="700"/>
      <c r="AG418" s="699"/>
      <c r="AH418" s="700"/>
      <c r="AI418" s="700"/>
      <c r="AJ418" s="702"/>
      <c r="AK418" s="702"/>
      <c r="AL418" s="702"/>
      <c r="AM418" s="702" t="s">
        <v>126</v>
      </c>
      <c r="AN418" s="704">
        <v>5.5</v>
      </c>
      <c r="AO418" s="703"/>
      <c r="AP418" s="703"/>
      <c r="AQ418" s="703"/>
      <c r="AR418" s="703"/>
      <c r="AS418" s="703"/>
      <c r="AT418" s="703">
        <f>+ab($T$418,$T$416,$T$420,$G$417,$G$419, 1*$F$418,1200)</f>
        <v>10.834264129024433</v>
      </c>
      <c r="AU418" s="705"/>
      <c r="AV418" s="705"/>
      <c r="AW418" s="702" t="str">
        <f>IF(C418&gt;0,VLOOKUP(C418,Foundation_Calc!$A$2:$C$13,3,1),
IF(J418&gt;0,VLOOKUP(J418,Foundation_Calc!$A$2:$C$13,3,1),""))</f>
        <v>Multi Soil</v>
      </c>
      <c r="AX418" s="702" t="str">
        <f>IF(C418&gt;0,VLOOKUP(C418,Foundation_Calc!$E$35:$G$65,3,1),
IF(J418&gt;0,VLOOKUP(J418,Foundation_Calc!$E$35:$G$65,3,1),""))</f>
        <v>PT</v>
      </c>
      <c r="AY418" s="704">
        <f>IF(L418="","",
IF(AX418="PT",VLOOKUP(L418,Foundation_Calc!$K$79:$R$113,VLOOKUP(AW418,Foundation_Calc!$I$2:$J$8,2,FALSE),0),
IF(AX418="K",VLOOKUP(L418,Foundation_Calc!$K$117:$R$151,VLOOKUP(AW418,Foundation_Calc!$I$2:$J$8,2,FALSE),0),"")))</f>
        <v>3.5</v>
      </c>
      <c r="AZ418" s="704" t="str">
        <f>IF(K418="","",
IF(AX418="PT",VLOOKUP(K418,Foundation_Calc!$K$79:$R$113,VLOOKUP(AW418,Foundation_Calc!$I$2:$J$8,2,FALSE),0),
IF(AX418="K",VLOOKUP(K418,Foundation_Calc!$K$117:$R$151,VLOOKUP(AW418,Foundation_Calc!$I$2:$J$8,2,FALSE),0),"")))</f>
        <v/>
      </c>
      <c r="BA418" s="495" t="str">
        <f t="shared" si="48"/>
        <v>ü</v>
      </c>
      <c r="BB418" s="495" t="str">
        <f t="shared" si="49"/>
        <v/>
      </c>
      <c r="BC418" s="495" t="str">
        <f t="shared" si="50"/>
        <v/>
      </c>
      <c r="BD418" s="513" t="str">
        <f>Pole_Calc!A$14</f>
        <v>App.7-V11I-P9.5.1.6</v>
      </c>
      <c r="BE418" s="429" t="s">
        <v>118</v>
      </c>
      <c r="BF418" s="289"/>
      <c r="BG418" s="289"/>
      <c r="BH418" s="290"/>
      <c r="BI418" s="289"/>
    </row>
    <row r="419" spans="1:61" ht="15.75" customHeight="1">
      <c r="A419" s="709"/>
      <c r="B419" s="710"/>
      <c r="C419" s="711"/>
      <c r="D419" s="712"/>
      <c r="E419" s="713"/>
      <c r="F419" s="713"/>
      <c r="G419" s="714">
        <v>40</v>
      </c>
      <c r="H419" s="715"/>
      <c r="I419" s="713"/>
      <c r="J419" s="711">
        <f>C418+7.5</f>
        <v>40158.960000000006</v>
      </c>
      <c r="K419" s="715" t="s">
        <v>117</v>
      </c>
      <c r="L419" s="715"/>
      <c r="M419" s="715" t="str">
        <f>IF(L419="","",
IF(AX419="PT",VLOOKUP(L419,Foundation_Calc!$V$79:$X$113,VLOOKUP(AX419,Foundation_Calc!$I$10:$J$13,2,FALSE),0),
IF(AX419="K",VLOOKUP(L419,Foundation_Calc!$V$117:$X$151,VLOOKUP(AX419,Foundation_Calc!$I$10:$J$13,2,FALSE),0),"")))</f>
        <v/>
      </c>
      <c r="N419" s="715"/>
      <c r="O419" s="715"/>
      <c r="P419" s="715"/>
      <c r="Q419" s="713"/>
      <c r="R419" s="714"/>
      <c r="S419" s="714"/>
      <c r="T419" s="713"/>
      <c r="U419" s="713"/>
      <c r="V419" s="713"/>
      <c r="W419" s="716"/>
      <c r="X419" s="716"/>
      <c r="Y419" s="716"/>
      <c r="Z419" s="716"/>
      <c r="AA419" s="716"/>
      <c r="AB419" s="716"/>
      <c r="AC419" s="715" t="str">
        <f t="shared" si="47"/>
        <v/>
      </c>
      <c r="AD419" s="715"/>
      <c r="AE419" s="715"/>
      <c r="AF419" s="713"/>
      <c r="AG419" s="712"/>
      <c r="AH419" s="713"/>
      <c r="AI419" s="713"/>
      <c r="AJ419" s="715"/>
      <c r="AK419" s="715"/>
      <c r="AL419" s="715"/>
      <c r="AM419" s="715"/>
      <c r="AN419" s="717"/>
      <c r="AO419" s="716"/>
      <c r="AP419" s="716"/>
      <c r="AQ419" s="716">
        <f>+FL_1($T$420,$T$418,$G$419,1200,9.28, 1*$F$420)</f>
        <v>0.38217263469318968</v>
      </c>
      <c r="AR419" s="716"/>
      <c r="AS419" s="716"/>
      <c r="AT419" s="716"/>
      <c r="AU419" s="718"/>
      <c r="AV419" s="718"/>
      <c r="AW419" s="715" t="str">
        <f>IF(C419&gt;0,VLOOKUP(C419,Foundation_Calc!$A$2:$C$13,3,1),
IF(J419&gt;0,VLOOKUP(J419,Foundation_Calc!$A$2:$C$13,3,1),""))</f>
        <v>Multi Soil</v>
      </c>
      <c r="AX419" s="715" t="str">
        <f>IF(C419&gt;0,VLOOKUP(C419,Foundation_Calc!$E$35:$G$65,3,1),
IF(J419&gt;0,VLOOKUP(J419,Foundation_Calc!$E$35:$G$65,3,1),""))</f>
        <v>PT</v>
      </c>
      <c r="AY419" s="717" t="str">
        <f>IF(L419="","",
IF(AX419="PT",VLOOKUP(L419,Foundation_Calc!$K$79:$R$113,VLOOKUP(AW419,Foundation_Calc!$I$2:$J$8,2,FALSE),0),
IF(AX419="K",VLOOKUP(L419,Foundation_Calc!$K$117:$R$151,VLOOKUP(AW419,Foundation_Calc!$I$2:$J$8,2,FALSE),0),"")))</f>
        <v/>
      </c>
      <c r="AZ419" s="717">
        <f>IF(K419="","",
IF(AX419="PT",VLOOKUP(K419,Foundation_Calc!$K$79:$R$113,VLOOKUP(AW419,Foundation_Calc!$I$2:$J$8,2,FALSE),0),
IF(AX419="K",VLOOKUP(K419,Foundation_Calc!$K$117:$R$151,VLOOKUP(AW419,Foundation_Calc!$I$2:$J$8,2,FALSE),0),"")))</f>
        <v>3.9</v>
      </c>
      <c r="BA419" s="550" t="str">
        <f t="shared" si="48"/>
        <v/>
      </c>
      <c r="BB419" s="550" t="str">
        <f t="shared" si="49"/>
        <v>ü</v>
      </c>
      <c r="BC419" s="550" t="str">
        <f t="shared" si="50"/>
        <v/>
      </c>
      <c r="BD419" s="516" t="str">
        <f>IF(AND(L419="",H419=""),"",
IF(H419="",Pole_Calc!A$9,
IF(H419="MP",Pole_Calc!A$10,
IF(H419="AnMP",Pole_Calc!A$11,
IF(H419="A",Pole_Calc!A$12,
IF(H419="S/A",Pole_Calc!A$13,
IF(H419="A/S",Pole_Calc!A$14,"Poner a mano")))))))</f>
        <v/>
      </c>
      <c r="BE419" s="429" t="s">
        <v>118</v>
      </c>
      <c r="BF419" s="290"/>
      <c r="BG419" s="290"/>
      <c r="BH419" s="290"/>
      <c r="BI419" s="290"/>
    </row>
    <row r="420" spans="1:61" ht="15.75" customHeight="1">
      <c r="A420" s="696"/>
      <c r="B420" s="720" t="s">
        <v>1150</v>
      </c>
      <c r="C420" s="698">
        <f>+$C$418+$G$419</f>
        <v>40191.460000000006</v>
      </c>
      <c r="D420" s="699"/>
      <c r="E420" s="700"/>
      <c r="F420" s="700">
        <v>3184.6459096464191</v>
      </c>
      <c r="G420" s="701"/>
      <c r="H420" s="702"/>
      <c r="I420" s="700"/>
      <c r="J420" s="698"/>
      <c r="K420" s="702"/>
      <c r="L420" s="702" t="s">
        <v>153</v>
      </c>
      <c r="M420" s="702" t="s">
        <v>417</v>
      </c>
      <c r="N420" s="702" t="s">
        <v>134</v>
      </c>
      <c r="O420" s="702"/>
      <c r="P420" s="702"/>
      <c r="Q420" s="700"/>
      <c r="R420" s="701"/>
      <c r="S420" s="701"/>
      <c r="T420" s="700">
        <v>20</v>
      </c>
      <c r="U420" s="700"/>
      <c r="V420" s="700"/>
      <c r="W420" s="703">
        <v>1.4</v>
      </c>
      <c r="X420" s="703"/>
      <c r="Y420" s="703"/>
      <c r="Z420" s="703"/>
      <c r="AA420" s="703"/>
      <c r="AB420" s="703"/>
      <c r="AC420" s="702" t="str">
        <f t="shared" si="47"/>
        <v>PH</v>
      </c>
      <c r="AD420" s="702"/>
      <c r="AE420" s="702"/>
      <c r="AF420" s="700"/>
      <c r="AG420" s="699"/>
      <c r="AH420" s="700"/>
      <c r="AI420" s="700"/>
      <c r="AJ420" s="702"/>
      <c r="AK420" s="702"/>
      <c r="AL420" s="702"/>
      <c r="AM420" s="702" t="s">
        <v>126</v>
      </c>
      <c r="AN420" s="704">
        <v>5.5</v>
      </c>
      <c r="AO420" s="703"/>
      <c r="AP420" s="703"/>
      <c r="AQ420" s="703"/>
      <c r="AR420" s="703"/>
      <c r="AS420" s="703"/>
      <c r="AT420" s="703">
        <f>+ab($T$420,$T$418,$T$422,$G$419,$G$421, 1*$F$420,1200)</f>
        <v>27.471786821461034</v>
      </c>
      <c r="AU420" s="705"/>
      <c r="AV420" s="705"/>
      <c r="AW420" s="702" t="str">
        <f>IF(C420&gt;0,VLOOKUP(C420,Foundation_Calc!$A$2:$C$13,3,1),
IF(J420&gt;0,VLOOKUP(J420,Foundation_Calc!$A$2:$C$13,3,1),""))</f>
        <v>Multi Soil</v>
      </c>
      <c r="AX420" s="702" t="str">
        <f>IF(C420&gt;0,VLOOKUP(C420,Foundation_Calc!$E$35:$G$65,3,1),
IF(J420&gt;0,VLOOKUP(J420,Foundation_Calc!$E$35:$G$65,3,1),""))</f>
        <v>PT</v>
      </c>
      <c r="AY420" s="704">
        <f>IF(L420="","",
IF(AX420="PT",VLOOKUP(L420,Foundation_Calc!$K$79:$R$113,VLOOKUP(AW420,Foundation_Calc!$I$2:$J$8,2,FALSE),0),
IF(AX420="K",VLOOKUP(L420,Foundation_Calc!$K$117:$R$151,VLOOKUP(AW420,Foundation_Calc!$I$2:$J$8,2,FALSE),0),"")))</f>
        <v>3.5</v>
      </c>
      <c r="AZ420" s="704" t="str">
        <f>IF(K420="","",
IF(AX420="PT",VLOOKUP(K420,Foundation_Calc!$K$79:$R$113,VLOOKUP(AW420,Foundation_Calc!$I$2:$J$8,2,FALSE),0),
IF(AX420="K",VLOOKUP(K420,Foundation_Calc!$K$117:$R$151,VLOOKUP(AW420,Foundation_Calc!$I$2:$J$8,2,FALSE),0),"")))</f>
        <v/>
      </c>
      <c r="BA420" s="495" t="str">
        <f t="shared" si="48"/>
        <v>ü</v>
      </c>
      <c r="BB420" s="495" t="str">
        <f t="shared" si="49"/>
        <v/>
      </c>
      <c r="BC420" s="495" t="str">
        <f t="shared" si="50"/>
        <v/>
      </c>
      <c r="BD420" s="513" t="str">
        <f>IF(AND(L420="",H420=""),"",
IF(H420="",Pole_Calc!A$9,
IF(H420="MP",Pole_Calc!A$10,
IF(H420="AnMP",Pole_Calc!A$11,
IF(H420="A",Pole_Calc!A$12,
IF(H420="S/A",Pole_Calc!A$13,
IF(H420="A/S",Pole_Calc!A$14,"Poner a mano")))))))</f>
        <v>App.7-V11I-P9.5.1.1</v>
      </c>
      <c r="BE420" s="429" t="s">
        <v>118</v>
      </c>
      <c r="BF420" s="289"/>
      <c r="BG420" s="289"/>
      <c r="BH420" s="290"/>
      <c r="BI420" s="289"/>
    </row>
    <row r="421" spans="1:61" ht="15.75" customHeight="1">
      <c r="A421" s="696"/>
      <c r="B421" s="697"/>
      <c r="C421" s="698"/>
      <c r="D421" s="699"/>
      <c r="E421" s="700"/>
      <c r="F421" s="700"/>
      <c r="G421" s="701">
        <v>40.6</v>
      </c>
      <c r="H421" s="702"/>
      <c r="I421" s="700"/>
      <c r="J421" s="698"/>
      <c r="K421" s="702"/>
      <c r="L421" s="702"/>
      <c r="M421" s="702" t="str">
        <f>IF(L421="","",
IF(AX421="PT",VLOOKUP(L421,Foundation_Calc!$V$79:$X$113,VLOOKUP(AX421,Foundation_Calc!$I$10:$J$13,2,FALSE),0),
IF(AX421="K",VLOOKUP(L421,Foundation_Calc!$V$117:$X$151,VLOOKUP(AX421,Foundation_Calc!$I$10:$J$13,2,FALSE),0),"")))</f>
        <v/>
      </c>
      <c r="N421" s="702"/>
      <c r="O421" s="702"/>
      <c r="P421" s="702"/>
      <c r="Q421" s="700"/>
      <c r="R421" s="701"/>
      <c r="S421" s="701"/>
      <c r="T421" s="700"/>
      <c r="U421" s="700"/>
      <c r="V421" s="700"/>
      <c r="W421" s="703"/>
      <c r="X421" s="703"/>
      <c r="Y421" s="703"/>
      <c r="Z421" s="703"/>
      <c r="AA421" s="703"/>
      <c r="AB421" s="703"/>
      <c r="AC421" s="702" t="str">
        <f t="shared" si="47"/>
        <v/>
      </c>
      <c r="AD421" s="702"/>
      <c r="AE421" s="702"/>
      <c r="AF421" s="700"/>
      <c r="AG421" s="699"/>
      <c r="AH421" s="700"/>
      <c r="AI421" s="700"/>
      <c r="AJ421" s="702"/>
      <c r="AK421" s="702"/>
      <c r="AL421" s="702"/>
      <c r="AM421" s="702"/>
      <c r="AN421" s="704"/>
      <c r="AO421" s="703"/>
      <c r="AP421" s="703"/>
      <c r="AQ421" s="703">
        <f>+FL_1($T$422,$T$420,$G$421,1200,9.28, 1*$F$422)</f>
        <v>0.3</v>
      </c>
      <c r="AR421" s="703"/>
      <c r="AS421" s="703"/>
      <c r="AT421" s="703"/>
      <c r="AU421" s="705"/>
      <c r="AV421" s="705"/>
      <c r="AW421" s="702" t="str">
        <f>IF(C421&gt;0,VLOOKUP(C421,Foundation_Calc!$A$2:$C$13,3,1),
IF(J421&gt;0,VLOOKUP(J421,Foundation_Calc!$A$2:$C$13,3,1),""))</f>
        <v/>
      </c>
      <c r="AX421" s="702" t="str">
        <f>IF(C421&gt;0,VLOOKUP(C421,Foundation_Calc!$E$35:$G$65,3,1),
IF(J421&gt;0,VLOOKUP(J421,Foundation_Calc!$E$35:$G$65,3,1),""))</f>
        <v/>
      </c>
      <c r="AY421" s="704" t="str">
        <f>IF(L421="","",
IF(AX421="PT",VLOOKUP(L421,Foundation_Calc!$K$79:$R$113,VLOOKUP(AW421,Foundation_Calc!$I$2:$J$8,2,FALSE),0),
IF(AX421="K",VLOOKUP(L421,Foundation_Calc!$K$117:$R$151,VLOOKUP(AW421,Foundation_Calc!$I$2:$J$8,2,FALSE),0),"")))</f>
        <v/>
      </c>
      <c r="AZ421" s="704" t="str">
        <f>IF(K421="","",
IF(AX421="PT",VLOOKUP(K421,Foundation_Calc!$K$79:$R$113,VLOOKUP(AW421,Foundation_Calc!$I$2:$J$8,2,FALSE),0),
IF(AX421="K",VLOOKUP(K421,Foundation_Calc!$K$117:$R$151,VLOOKUP(AW421,Foundation_Calc!$I$2:$J$8,2,FALSE),0),"")))</f>
        <v/>
      </c>
      <c r="BA421" s="495" t="str">
        <f t="shared" si="48"/>
        <v/>
      </c>
      <c r="BB421" s="495" t="str">
        <f t="shared" si="49"/>
        <v/>
      </c>
      <c r="BC421" s="495" t="str">
        <f t="shared" si="50"/>
        <v/>
      </c>
      <c r="BD421" s="513" t="str">
        <f>IF(AND(L421="",H421=""),"",
IF(H421="",Pole_Calc!A$9,
IF(H421="MP",Pole_Calc!A$10,
IF(H421="AnMP",Pole_Calc!A$11,
IF(H421="A",Pole_Calc!A$12,
IF(H421="S/A",Pole_Calc!A$13,
IF(H421="A/S",Pole_Calc!A$14,"Poner a mano")))))))</f>
        <v/>
      </c>
      <c r="BE421" s="429" t="s">
        <v>118</v>
      </c>
      <c r="BF421" s="290"/>
      <c r="BG421" s="290"/>
      <c r="BH421" s="290"/>
      <c r="BI421" s="290"/>
    </row>
    <row r="422" spans="1:61" ht="15.75" customHeight="1">
      <c r="A422" s="696"/>
      <c r="B422" s="720" t="s">
        <v>1151</v>
      </c>
      <c r="C422" s="698">
        <f>+$C$420+$G$421</f>
        <v>40232.060000000005</v>
      </c>
      <c r="D422" s="699"/>
      <c r="E422" s="700"/>
      <c r="F422" s="700">
        <v>1422.1510359870435</v>
      </c>
      <c r="G422" s="701"/>
      <c r="H422" s="702"/>
      <c r="I422" s="700"/>
      <c r="J422" s="698"/>
      <c r="K422" s="702"/>
      <c r="L422" s="702" t="s">
        <v>158</v>
      </c>
      <c r="M422" s="702" t="s">
        <v>396</v>
      </c>
      <c r="N422" s="702" t="s">
        <v>134</v>
      </c>
      <c r="O422" s="702"/>
      <c r="P422" s="702"/>
      <c r="Q422" s="700"/>
      <c r="R422" s="701"/>
      <c r="S422" s="701"/>
      <c r="T422" s="700">
        <v>30</v>
      </c>
      <c r="U422" s="700"/>
      <c r="V422" s="700"/>
      <c r="W422" s="703">
        <v>1.4</v>
      </c>
      <c r="X422" s="703"/>
      <c r="Y422" s="703"/>
      <c r="Z422" s="703"/>
      <c r="AA422" s="703"/>
      <c r="AB422" s="703"/>
      <c r="AC422" s="702" t="str">
        <f t="shared" si="47"/>
        <v>PHQ</v>
      </c>
      <c r="AD422" s="702"/>
      <c r="AE422" s="702"/>
      <c r="AF422" s="700"/>
      <c r="AG422" s="699"/>
      <c r="AH422" s="700"/>
      <c r="AI422" s="700"/>
      <c r="AJ422" s="702"/>
      <c r="AK422" s="702"/>
      <c r="AL422" s="702"/>
      <c r="AM422" s="702" t="s">
        <v>126</v>
      </c>
      <c r="AN422" s="704">
        <v>5.5</v>
      </c>
      <c r="AO422" s="703"/>
      <c r="AP422" s="703"/>
      <c r="AQ422" s="703"/>
      <c r="AR422" s="703"/>
      <c r="AS422" s="703"/>
      <c r="AT422" s="703">
        <f>+ab($T$422,$T$420,$T$424,$G$421,$G$423, 1*$F$422,1200)</f>
        <v>6.2058160995208649</v>
      </c>
      <c r="AU422" s="705"/>
      <c r="AV422" s="705"/>
      <c r="AW422" s="702" t="str">
        <f>IF(C422&gt;0,VLOOKUP(C422,Foundation_Calc!$A$2:$C$13,3,1),
IF(J422&gt;0,VLOOKUP(J422,Foundation_Calc!$A$2:$C$13,3,1),""))</f>
        <v>Multi Soil</v>
      </c>
      <c r="AX422" s="702" t="str">
        <f>IF(C422&gt;0,VLOOKUP(C422,Foundation_Calc!$E$35:$G$65,3,1),
IF(J422&gt;0,VLOOKUP(J422,Foundation_Calc!$E$35:$G$65,3,1),""))</f>
        <v>PT</v>
      </c>
      <c r="AY422" s="704">
        <f>IF(L422="","",
IF(AX422="PT",VLOOKUP(L422,Foundation_Calc!$K$79:$R$113,VLOOKUP(AW422,Foundation_Calc!$I$2:$J$8,2,FALSE),0),
IF(AX422="K",VLOOKUP(L422,Foundation_Calc!$K$117:$R$151,VLOOKUP(AW422,Foundation_Calc!$I$2:$J$8,2,FALSE),0),"")))</f>
        <v>3.5</v>
      </c>
      <c r="AZ422" s="704" t="str">
        <f>IF(K422="","",
IF(AX422="PT",VLOOKUP(K422,Foundation_Calc!$K$79:$R$113,VLOOKUP(AW422,Foundation_Calc!$I$2:$J$8,2,FALSE),0),
IF(AX422="K",VLOOKUP(K422,Foundation_Calc!$K$117:$R$151,VLOOKUP(AW422,Foundation_Calc!$I$2:$J$8,2,FALSE),0),"")))</f>
        <v/>
      </c>
      <c r="BA422" s="495" t="str">
        <f t="shared" si="48"/>
        <v>ü</v>
      </c>
      <c r="BB422" s="495" t="str">
        <f t="shared" si="49"/>
        <v/>
      </c>
      <c r="BC422" s="495" t="str">
        <f t="shared" si="50"/>
        <v/>
      </c>
      <c r="BD422" s="513" t="str">
        <f>IF(AND(L422="",H422=""),"",
IF(H422="",Pole_Calc!A$9,
IF(H422="MP",Pole_Calc!A$10,
IF(H422="AnMP",Pole_Calc!A$11,
IF(H422="A",Pole_Calc!A$12,
IF(H422="S/A",Pole_Calc!A$13,
IF(H422="A/S",Pole_Calc!A$14,"Poner a mano")))))))</f>
        <v>App.7-V11I-P9.5.1.1</v>
      </c>
      <c r="BE422" s="429" t="s">
        <v>118</v>
      </c>
      <c r="BF422" s="289"/>
      <c r="BG422" s="289"/>
      <c r="BH422" s="290"/>
      <c r="BI422" s="289"/>
    </row>
    <row r="423" spans="1:61" ht="15.75" customHeight="1">
      <c r="A423" s="696"/>
      <c r="B423" s="697"/>
      <c r="C423" s="698"/>
      <c r="D423" s="699"/>
      <c r="E423" s="700"/>
      <c r="F423" s="700"/>
      <c r="G423" s="701">
        <v>40</v>
      </c>
      <c r="H423" s="702"/>
      <c r="I423" s="700"/>
      <c r="J423" s="698"/>
      <c r="K423" s="702"/>
      <c r="L423" s="702"/>
      <c r="M423" s="702" t="str">
        <f>IF(L423="","",
IF(AX423="PT",VLOOKUP(L423,Foundation_Calc!$V$79:$X$113,VLOOKUP(AX423,Foundation_Calc!$I$10:$J$13,2,FALSE),0),
IF(AX423="K",VLOOKUP(L423,Foundation_Calc!$V$117:$X$151,VLOOKUP(AX423,Foundation_Calc!$I$10:$J$13,2,FALSE),0),"")))</f>
        <v/>
      </c>
      <c r="N423" s="702"/>
      <c r="O423" s="702"/>
      <c r="P423" s="702"/>
      <c r="Q423" s="700"/>
      <c r="R423" s="701"/>
      <c r="S423" s="701"/>
      <c r="T423" s="700"/>
      <c r="U423" s="700"/>
      <c r="V423" s="700"/>
      <c r="W423" s="703"/>
      <c r="X423" s="703"/>
      <c r="Y423" s="703"/>
      <c r="Z423" s="703"/>
      <c r="AA423" s="703"/>
      <c r="AB423" s="703"/>
      <c r="AC423" s="702" t="str">
        <f t="shared" si="47"/>
        <v/>
      </c>
      <c r="AD423" s="702"/>
      <c r="AE423" s="702"/>
      <c r="AF423" s="700"/>
      <c r="AG423" s="699"/>
      <c r="AH423" s="700"/>
      <c r="AI423" s="700"/>
      <c r="AJ423" s="702"/>
      <c r="AK423" s="702"/>
      <c r="AL423" s="702"/>
      <c r="AM423" s="702"/>
      <c r="AN423" s="704"/>
      <c r="AO423" s="703"/>
      <c r="AP423" s="703"/>
      <c r="AQ423" s="703">
        <f>+FL_1($T$424,$T$422,$G$423,1200,9.28, 1*$F$424)</f>
        <v>0.3</v>
      </c>
      <c r="AR423" s="703"/>
      <c r="AS423" s="703"/>
      <c r="AT423" s="703"/>
      <c r="AU423" s="705"/>
      <c r="AV423" s="705"/>
      <c r="AW423" s="702" t="str">
        <f>IF(C423&gt;0,VLOOKUP(C423,Foundation_Calc!$A$2:$C$13,3,1),
IF(J423&gt;0,VLOOKUP(J423,Foundation_Calc!$A$2:$C$13,3,1),""))</f>
        <v/>
      </c>
      <c r="AX423" s="702" t="str">
        <f>IF(C423&gt;0,VLOOKUP(C423,Foundation_Calc!$E$35:$G$65,3,1),
IF(J423&gt;0,VLOOKUP(J423,Foundation_Calc!$E$35:$G$65,3,1),""))</f>
        <v/>
      </c>
      <c r="AY423" s="704" t="str">
        <f>IF(L423="","",
IF(AX423="PT",VLOOKUP(L423,Foundation_Calc!$K$79:$R$113,VLOOKUP(AW423,Foundation_Calc!$I$2:$J$8,2,FALSE),0),
IF(AX423="K",VLOOKUP(L423,Foundation_Calc!$K$117:$R$151,VLOOKUP(AW423,Foundation_Calc!$I$2:$J$8,2,FALSE),0),"")))</f>
        <v/>
      </c>
      <c r="AZ423" s="704" t="str">
        <f>IF(K423="","",
IF(AX423="PT",VLOOKUP(K423,Foundation_Calc!$K$79:$R$113,VLOOKUP(AW423,Foundation_Calc!$I$2:$J$8,2,FALSE),0),
IF(AX423="K",VLOOKUP(K423,Foundation_Calc!$K$117:$R$151,VLOOKUP(AW423,Foundation_Calc!$I$2:$J$8,2,FALSE),0),"")))</f>
        <v/>
      </c>
      <c r="BA423" s="495" t="str">
        <f t="shared" si="48"/>
        <v/>
      </c>
      <c r="BB423" s="495" t="str">
        <f t="shared" si="49"/>
        <v/>
      </c>
      <c r="BC423" s="495" t="str">
        <f t="shared" si="50"/>
        <v/>
      </c>
      <c r="BD423" s="513" t="str">
        <f>IF(AND(L423="",H423=""),"",
IF(H423="",Pole_Calc!A$9,
IF(H423="MP",Pole_Calc!A$10,
IF(H423="AnMP",Pole_Calc!A$11,
IF(H423="A",Pole_Calc!A$12,
IF(H423="S/A",Pole_Calc!A$13,
IF(H423="A/S",Pole_Calc!A$14,"Poner a mano")))))))</f>
        <v/>
      </c>
      <c r="BE423" s="429" t="s">
        <v>118</v>
      </c>
      <c r="BF423" s="290"/>
      <c r="BG423" s="290"/>
      <c r="BH423" s="290"/>
      <c r="BI423" s="290"/>
    </row>
    <row r="424" spans="1:61" ht="15.75" customHeight="1">
      <c r="A424" s="696"/>
      <c r="B424" s="720" t="s">
        <v>1152</v>
      </c>
      <c r="C424" s="698">
        <f>+$C$422+$G$423</f>
        <v>40272.060000000005</v>
      </c>
      <c r="D424" s="699"/>
      <c r="E424" s="700"/>
      <c r="F424" s="700">
        <v>920.33345095277139</v>
      </c>
      <c r="G424" s="701"/>
      <c r="H424" s="702"/>
      <c r="I424" s="700"/>
      <c r="J424" s="698"/>
      <c r="K424" s="702"/>
      <c r="L424" s="702" t="s">
        <v>158</v>
      </c>
      <c r="M424" s="702" t="s">
        <v>396</v>
      </c>
      <c r="N424" s="702" t="s">
        <v>134</v>
      </c>
      <c r="O424" s="702"/>
      <c r="P424" s="702"/>
      <c r="Q424" s="700"/>
      <c r="R424" s="701"/>
      <c r="S424" s="701"/>
      <c r="T424" s="700">
        <v>30</v>
      </c>
      <c r="U424" s="700"/>
      <c r="V424" s="700"/>
      <c r="W424" s="703">
        <v>1.4</v>
      </c>
      <c r="X424" s="703"/>
      <c r="Y424" s="703"/>
      <c r="Z424" s="703"/>
      <c r="AA424" s="703"/>
      <c r="AB424" s="703"/>
      <c r="AC424" s="702" t="str">
        <f t="shared" si="47"/>
        <v>PHC</v>
      </c>
      <c r="AD424" s="702"/>
      <c r="AE424" s="702"/>
      <c r="AF424" s="700"/>
      <c r="AG424" s="699"/>
      <c r="AH424" s="700"/>
      <c r="AI424" s="700"/>
      <c r="AJ424" s="702"/>
      <c r="AK424" s="702"/>
      <c r="AL424" s="702"/>
      <c r="AM424" s="702" t="s">
        <v>126</v>
      </c>
      <c r="AN424" s="704">
        <v>5.5</v>
      </c>
      <c r="AO424" s="703"/>
      <c r="AP424" s="703"/>
      <c r="AQ424" s="703"/>
      <c r="AR424" s="703"/>
      <c r="AS424" s="703"/>
      <c r="AT424" s="703">
        <f>+ab($T$424,$T$422,$T$426,$G$423,$G$425, 1*$F$424,1200)</f>
        <v>4.406422904291766</v>
      </c>
      <c r="AU424" s="705"/>
      <c r="AV424" s="705"/>
      <c r="AW424" s="702" t="str">
        <f>IF(C424&gt;0,VLOOKUP(C424,Foundation_Calc!$A$2:$C$13,3,1),
IF(J424&gt;0,VLOOKUP(J424,Foundation_Calc!$A$2:$C$13,3,1),""))</f>
        <v>Multi Soil</v>
      </c>
      <c r="AX424" s="702" t="str">
        <f>IF(C424&gt;0,VLOOKUP(C424,Foundation_Calc!$E$35:$G$65,3,1),
IF(J424&gt;0,VLOOKUP(J424,Foundation_Calc!$E$35:$G$65,3,1),""))</f>
        <v>PT</v>
      </c>
      <c r="AY424" s="704">
        <f>IF(L424="","",
IF(AX424="PT",VLOOKUP(L424,Foundation_Calc!$K$79:$R$113,VLOOKUP(AW424,Foundation_Calc!$I$2:$J$8,2,FALSE),0),
IF(AX424="K",VLOOKUP(L424,Foundation_Calc!$K$117:$R$151,VLOOKUP(AW424,Foundation_Calc!$I$2:$J$8,2,FALSE),0),"")))</f>
        <v>3.5</v>
      </c>
      <c r="AZ424" s="704" t="str">
        <f>IF(K424="","",
IF(AX424="PT",VLOOKUP(K424,Foundation_Calc!$K$79:$R$113,VLOOKUP(AW424,Foundation_Calc!$I$2:$J$8,2,FALSE),0),
IF(AX424="K",VLOOKUP(K424,Foundation_Calc!$K$117:$R$151,VLOOKUP(AW424,Foundation_Calc!$I$2:$J$8,2,FALSE),0),"")))</f>
        <v/>
      </c>
      <c r="BA424" s="495" t="str">
        <f t="shared" ref="BA424:BA467" si="51">IF(AY424="","",IF(AY424&gt;0,"ü",""))</f>
        <v>ü</v>
      </c>
      <c r="BB424" s="495" t="str">
        <f t="shared" ref="BB424:BB467" si="52">IF(AZ424="","",IF(AZ424&gt;0,"ü",""))</f>
        <v/>
      </c>
      <c r="BC424" s="495" t="str">
        <f t="shared" ref="BC424:BC467" si="53">IF(M424="","",IF(M424="U.S.","ü",IF(M424="U.S. N.D.","ü","")))</f>
        <v/>
      </c>
      <c r="BD424" s="513" t="str">
        <f>IF(AND(L424="",H424=""),"",
IF(H424="",Pole_Calc!A$9,
IF(H424="MP",Pole_Calc!A$10,
IF(H424="AnMP",Pole_Calc!A$11,
IF(H424="A",Pole_Calc!A$12,
IF(H424="S/A",Pole_Calc!A$13,
IF(H424="A/S",Pole_Calc!A$14,"Poner a mano")))))))</f>
        <v>App.7-V11I-P9.5.1.1</v>
      </c>
      <c r="BE424" s="429" t="s">
        <v>118</v>
      </c>
      <c r="BF424" s="289"/>
      <c r="BG424" s="289"/>
      <c r="BH424" s="290"/>
      <c r="BI424" s="289"/>
    </row>
    <row r="425" spans="1:61" ht="15.75" customHeight="1">
      <c r="A425" s="696"/>
      <c r="B425" s="697"/>
      <c r="C425" s="698"/>
      <c r="D425" s="699"/>
      <c r="E425" s="700"/>
      <c r="F425" s="700"/>
      <c r="G425" s="701">
        <v>40</v>
      </c>
      <c r="H425" s="702"/>
      <c r="I425" s="700"/>
      <c r="J425" s="698">
        <f>C426-7.5</f>
        <v>40303.560000000005</v>
      </c>
      <c r="K425" s="702" t="s">
        <v>166</v>
      </c>
      <c r="L425" s="702"/>
      <c r="M425" s="702" t="str">
        <f>IF(L425="","",
IF(AX425="PT",VLOOKUP(L425,Foundation_Calc!$V$79:$X$113,VLOOKUP(AX425,Foundation_Calc!$I$10:$J$13,2,FALSE),0),
IF(AX425="K",VLOOKUP(L425,Foundation_Calc!$V$117:$X$151,VLOOKUP(AX425,Foundation_Calc!$I$10:$J$13,2,FALSE),0),"")))</f>
        <v/>
      </c>
      <c r="N425" s="702"/>
      <c r="O425" s="702"/>
      <c r="P425" s="702"/>
      <c r="Q425" s="700"/>
      <c r="R425" s="701"/>
      <c r="S425" s="701"/>
      <c r="T425" s="700"/>
      <c r="U425" s="700"/>
      <c r="V425" s="700"/>
      <c r="W425" s="703"/>
      <c r="X425" s="703"/>
      <c r="Y425" s="703"/>
      <c r="Z425" s="703"/>
      <c r="AA425" s="703"/>
      <c r="AB425" s="703"/>
      <c r="AC425" s="702" t="str">
        <f t="shared" si="47"/>
        <v/>
      </c>
      <c r="AD425" s="702"/>
      <c r="AE425" s="702"/>
      <c r="AF425" s="700"/>
      <c r="AG425" s="699"/>
      <c r="AH425" s="700"/>
      <c r="AI425" s="700"/>
      <c r="AJ425" s="702"/>
      <c r="AK425" s="702"/>
      <c r="AL425" s="702"/>
      <c r="AM425" s="702"/>
      <c r="AN425" s="704"/>
      <c r="AO425" s="703"/>
      <c r="AP425" s="703"/>
      <c r="AQ425" s="703">
        <f>+FL_1($T$426,$T$424,$G$425,1200,9.28, 1*$F$426)</f>
        <v>0.3</v>
      </c>
      <c r="AR425" s="703"/>
      <c r="AS425" s="703"/>
      <c r="AT425" s="703"/>
      <c r="AU425" s="705"/>
      <c r="AV425" s="705"/>
      <c r="AW425" s="702" t="str">
        <f>IF(C425&gt;0,VLOOKUP(C425,Foundation_Calc!$A$2:$C$13,3,1),
IF(J425&gt;0,VLOOKUP(J425,Foundation_Calc!$A$2:$C$13,3,1),""))</f>
        <v>Multi Soil</v>
      </c>
      <c r="AX425" s="702" t="str">
        <f>IF(C425&gt;0,VLOOKUP(C425,Foundation_Calc!$E$35:$G$65,3,1),
IF(J425&gt;0,VLOOKUP(J425,Foundation_Calc!$E$35:$G$65,3,1),""))</f>
        <v>PT</v>
      </c>
      <c r="AY425" s="704" t="str">
        <f>IF(L425="","",
IF(AX425="PT",VLOOKUP(L425,Foundation_Calc!$K$79:$R$113,VLOOKUP(AW425,Foundation_Calc!$I$2:$J$8,2,FALSE),0),
IF(AX425="K",VLOOKUP(L425,Foundation_Calc!$K$117:$R$151,VLOOKUP(AW425,Foundation_Calc!$I$2:$J$8,2,FALSE),0),"")))</f>
        <v/>
      </c>
      <c r="AZ425" s="704">
        <f>IF(K425="","",
IF(AX425="PT",VLOOKUP(K425,Foundation_Calc!$K$79:$R$113,VLOOKUP(AW425,Foundation_Calc!$I$2:$J$8,2,FALSE),0),
IF(AX425="K",VLOOKUP(K425,Foundation_Calc!$K$117:$R$151,VLOOKUP(AW425,Foundation_Calc!$I$2:$J$8,2,FALSE),0),"")))</f>
        <v>2.8</v>
      </c>
      <c r="BA425" s="495" t="str">
        <f t="shared" si="51"/>
        <v/>
      </c>
      <c r="BB425" s="495" t="str">
        <f t="shared" si="52"/>
        <v>ü</v>
      </c>
      <c r="BC425" s="495" t="str">
        <f t="shared" si="53"/>
        <v/>
      </c>
      <c r="BD425" s="513" t="str">
        <f>IF(AND(L425="",H425=""),"",
IF(H425="",Pole_Calc!A$9,
IF(H425="MP",Pole_Calc!A$10,
IF(H425="AnMP",Pole_Calc!A$11,
IF(H425="A",Pole_Calc!A$12,
IF(H425="S/A",Pole_Calc!A$13,
IF(H425="A/S",Pole_Calc!A$14,"Poner a mano")))))))</f>
        <v/>
      </c>
      <c r="BE425" s="429" t="s">
        <v>118</v>
      </c>
      <c r="BF425" s="290"/>
      <c r="BG425" s="290"/>
      <c r="BH425" s="290"/>
      <c r="BI425" s="290"/>
    </row>
    <row r="426" spans="1:61" ht="15.75" customHeight="1">
      <c r="A426" s="696"/>
      <c r="B426" s="720" t="s">
        <v>1153</v>
      </c>
      <c r="C426" s="698">
        <f>+$C$424+$G$425-1</f>
        <v>40311.060000000005</v>
      </c>
      <c r="D426" s="699"/>
      <c r="E426" s="700"/>
      <c r="F426" s="700">
        <v>804</v>
      </c>
      <c r="G426" s="701"/>
      <c r="H426" s="702" t="s">
        <v>168</v>
      </c>
      <c r="I426" s="700"/>
      <c r="J426" s="698"/>
      <c r="K426" s="702"/>
      <c r="L426" s="702" t="s">
        <v>398</v>
      </c>
      <c r="M426" s="702" t="s">
        <v>399</v>
      </c>
      <c r="N426" s="702" t="s">
        <v>134</v>
      </c>
      <c r="O426" s="702"/>
      <c r="P426" s="702"/>
      <c r="Q426" s="700"/>
      <c r="R426" s="701"/>
      <c r="S426" s="701"/>
      <c r="T426" s="700">
        <v>30</v>
      </c>
      <c r="U426" s="700"/>
      <c r="V426" s="700"/>
      <c r="W426" s="703">
        <v>1.4</v>
      </c>
      <c r="X426" s="703"/>
      <c r="Y426" s="703"/>
      <c r="Z426" s="703"/>
      <c r="AA426" s="703"/>
      <c r="AB426" s="703"/>
      <c r="AC426" s="702" t="str">
        <f t="shared" si="47"/>
        <v>PHC</v>
      </c>
      <c r="AD426" s="702"/>
      <c r="AE426" s="702"/>
      <c r="AF426" s="700"/>
      <c r="AG426" s="699"/>
      <c r="AH426" s="700"/>
      <c r="AI426" s="700"/>
      <c r="AJ426" s="702"/>
      <c r="AK426" s="702"/>
      <c r="AL426" s="702"/>
      <c r="AM426" s="702" t="s">
        <v>126</v>
      </c>
      <c r="AN426" s="704">
        <v>5.5</v>
      </c>
      <c r="AO426" s="703"/>
      <c r="AP426" s="703"/>
      <c r="AQ426" s="703"/>
      <c r="AR426" s="703"/>
      <c r="AS426" s="703"/>
      <c r="AT426" s="703">
        <f>+ab($T$426,$T$424,$T$428,$G$425,$G$427, 1*$F$426,1200)</f>
        <v>3.8038263799140442</v>
      </c>
      <c r="AU426" s="705"/>
      <c r="AV426" s="705"/>
      <c r="AW426" s="702" t="str">
        <f>IF(C426&gt;0,VLOOKUP(C426,Foundation_Calc!$A$2:$C$13,3,1),
IF(J426&gt;0,VLOOKUP(J426,Foundation_Calc!$A$2:$C$13,3,1),""))</f>
        <v>Multi Soil</v>
      </c>
      <c r="AX426" s="702" t="str">
        <f>IF(C426&gt;0,VLOOKUP(C426,Foundation_Calc!$E$35:$G$65,3,1),
IF(J426&gt;0,VLOOKUP(J426,Foundation_Calc!$E$35:$G$65,3,1),""))</f>
        <v>PT</v>
      </c>
      <c r="AY426" s="704">
        <f>IF(L426="","",
IF(AX426="PT",VLOOKUP(L426,Foundation_Calc!$K$79:$R$113,VLOOKUP(AW426,Foundation_Calc!$I$2:$J$8,2,FALSE),0),
IF(AX426="K",VLOOKUP(L426,Foundation_Calc!$K$117:$R$151,VLOOKUP(AW426,Foundation_Calc!$I$2:$J$8,2,FALSE),0),"")))</f>
        <v>3.5</v>
      </c>
      <c r="AZ426" s="704" t="str">
        <f>IF(K426="","",
IF(AX426="PT",VLOOKUP(K426,Foundation_Calc!$K$79:$R$113,VLOOKUP(AW426,Foundation_Calc!$I$2:$J$8,2,FALSE),0),
IF(AX426="K",VLOOKUP(K426,Foundation_Calc!$K$117:$R$151,VLOOKUP(AW426,Foundation_Calc!$I$2:$J$8,2,FALSE),0),"")))</f>
        <v/>
      </c>
      <c r="BA426" s="495" t="str">
        <f t="shared" si="51"/>
        <v>ü</v>
      </c>
      <c r="BB426" s="495" t="str">
        <f t="shared" si="52"/>
        <v/>
      </c>
      <c r="BC426" s="495" t="str">
        <f t="shared" si="53"/>
        <v/>
      </c>
      <c r="BD426" s="513" t="str">
        <f>IF(AND(L426="",H426=""),"",
IF(H426="",Pole_Calc!A$9,
IF(H426="MP",Pole_Calc!A$10,
IF(H426="AnMP",Pole_Calc!A$11,
IF(H426="A",Pole_Calc!A$12,
IF(H426="S/A",Pole_Calc!A$13,
IF(H426="A/S",Pole_Calc!A$14,"Poner a mano")))))))</f>
        <v>App.7-V11I-P9.5.1.3</v>
      </c>
      <c r="BE426" s="429" t="s">
        <v>118</v>
      </c>
      <c r="BF426" s="289"/>
      <c r="BG426" s="289"/>
      <c r="BH426" s="290"/>
      <c r="BI426" s="289"/>
    </row>
    <row r="427" spans="1:61" ht="15.75" customHeight="1">
      <c r="A427" s="696"/>
      <c r="B427" s="697"/>
      <c r="C427" s="698"/>
      <c r="D427" s="699"/>
      <c r="E427" s="700"/>
      <c r="F427" s="700"/>
      <c r="G427" s="701">
        <v>41</v>
      </c>
      <c r="H427" s="702"/>
      <c r="I427" s="700">
        <f>SUM(G405:G427)</f>
        <v>538.5</v>
      </c>
      <c r="J427" s="698"/>
      <c r="K427" s="702"/>
      <c r="L427" s="702"/>
      <c r="M427" s="702" t="str">
        <f>IF(L427="","",
IF(AX427="PT",VLOOKUP(L427,Foundation_Calc!$V$79:$X$113,VLOOKUP(AX427,Foundation_Calc!$I$10:$J$13,2,FALSE),0),
IF(AX427="K",VLOOKUP(L427,Foundation_Calc!$V$117:$X$151,VLOOKUP(AX427,Foundation_Calc!$I$10:$J$13,2,FALSE),0),"")))</f>
        <v/>
      </c>
      <c r="N427" s="702"/>
      <c r="O427" s="702"/>
      <c r="P427" s="702"/>
      <c r="Q427" s="700"/>
      <c r="R427" s="701"/>
      <c r="S427" s="701"/>
      <c r="T427" s="700"/>
      <c r="U427" s="700"/>
      <c r="V427" s="700"/>
      <c r="W427" s="703"/>
      <c r="X427" s="703"/>
      <c r="Y427" s="703"/>
      <c r="Z427" s="703"/>
      <c r="AA427" s="703"/>
      <c r="AB427" s="703"/>
      <c r="AC427" s="702" t="str">
        <f t="shared" si="47"/>
        <v/>
      </c>
      <c r="AD427" s="702"/>
      <c r="AE427" s="702"/>
      <c r="AF427" s="700"/>
      <c r="AG427" s="699"/>
      <c r="AH427" s="700"/>
      <c r="AI427" s="700"/>
      <c r="AJ427" s="702"/>
      <c r="AK427" s="702"/>
      <c r="AL427" s="702"/>
      <c r="AM427" s="702"/>
      <c r="AN427" s="704"/>
      <c r="AO427" s="703"/>
      <c r="AP427" s="703"/>
      <c r="AQ427" s="703">
        <f>+FL_1($T$428,$T$426,$G$427,1200,9.28, 1*$F$428)</f>
        <v>0.3</v>
      </c>
      <c r="AR427" s="703"/>
      <c r="AS427" s="703"/>
      <c r="AT427" s="703"/>
      <c r="AU427" s="705"/>
      <c r="AV427" s="705"/>
      <c r="AW427" s="702" t="str">
        <f>IF(C427&gt;0,VLOOKUP(C427,Foundation_Calc!$A$2:$C$13,3,1),
IF(J427&gt;0,VLOOKUP(J427,Foundation_Calc!$A$2:$C$13,3,1),""))</f>
        <v/>
      </c>
      <c r="AX427" s="702" t="str">
        <f>IF(C427&gt;0,VLOOKUP(C427,Foundation_Calc!$E$35:$G$65,3,1),
IF(J427&gt;0,VLOOKUP(J427,Foundation_Calc!$E$35:$G$65,3,1),""))</f>
        <v/>
      </c>
      <c r="AY427" s="704" t="str">
        <f>IF(L427="","",
IF(AX427="PT",VLOOKUP(L427,Foundation_Calc!$K$79:$R$113,VLOOKUP(AW427,Foundation_Calc!$I$2:$J$8,2,FALSE),0),
IF(AX427="K",VLOOKUP(L427,Foundation_Calc!$K$117:$R$151,VLOOKUP(AW427,Foundation_Calc!$I$2:$J$8,2,FALSE),0),"")))</f>
        <v/>
      </c>
      <c r="AZ427" s="704" t="str">
        <f>IF(K427="","",
IF(AX427="PT",VLOOKUP(K427,Foundation_Calc!$K$79:$R$113,VLOOKUP(AW427,Foundation_Calc!$I$2:$J$8,2,FALSE),0),
IF(AX427="K",VLOOKUP(K427,Foundation_Calc!$K$117:$R$151,VLOOKUP(AW427,Foundation_Calc!$I$2:$J$8,2,FALSE),0),"")))</f>
        <v/>
      </c>
      <c r="BA427" s="495" t="str">
        <f t="shared" si="51"/>
        <v/>
      </c>
      <c r="BB427" s="495" t="str">
        <f t="shared" si="52"/>
        <v/>
      </c>
      <c r="BC427" s="495" t="str">
        <f t="shared" si="53"/>
        <v/>
      </c>
      <c r="BD427" s="513" t="str">
        <f>IF(AND(L427="",H427=""),"",
IF(H427="",Pole_Calc!A$9,
IF(H427="MP",Pole_Calc!A$10,
IF(H427="AnMP",Pole_Calc!A$11,
IF(H427="A",Pole_Calc!A$12,
IF(H427="S/A",Pole_Calc!A$13,
IF(H427="A/S",Pole_Calc!A$14,"Poner a mano")))))))</f>
        <v/>
      </c>
      <c r="BE427" s="429" t="s">
        <v>118</v>
      </c>
      <c r="BF427" s="290"/>
      <c r="BG427" s="290"/>
      <c r="BH427" s="290"/>
      <c r="BI427" s="290"/>
    </row>
    <row r="428" spans="1:61" ht="15.75" customHeight="1">
      <c r="A428" s="696"/>
      <c r="B428" s="697" t="s">
        <v>1154</v>
      </c>
      <c r="C428" s="698">
        <f>+$C$426+$G$427</f>
        <v>40352.060000000005</v>
      </c>
      <c r="D428" s="699"/>
      <c r="E428" s="700"/>
      <c r="F428" s="700">
        <v>804</v>
      </c>
      <c r="G428" s="701"/>
      <c r="H428" s="702" t="s">
        <v>171</v>
      </c>
      <c r="I428" s="700"/>
      <c r="J428" s="698"/>
      <c r="K428" s="702"/>
      <c r="L428" s="702" t="s">
        <v>158</v>
      </c>
      <c r="M428" s="702" t="str">
        <f>IF(L428="","",
IF(AX428="PT",VLOOKUP(L428,Foundation_Calc!$V$79:$X$113,VLOOKUP(AX428,Foundation_Calc!$I$10:$J$13,2,FALSE),0),
IF(AX428="K",VLOOKUP(L428,Foundation_Calc!$V$117:$X$151,VLOOKUP(AX428,Foundation_Calc!$I$10:$J$13,2,FALSE),0),"")))</f>
        <v>C4R</v>
      </c>
      <c r="N428" s="702" t="s">
        <v>134</v>
      </c>
      <c r="O428" s="702"/>
      <c r="P428" s="702"/>
      <c r="Q428" s="700"/>
      <c r="R428" s="701"/>
      <c r="S428" s="701"/>
      <c r="T428" s="700">
        <v>30</v>
      </c>
      <c r="U428" s="700"/>
      <c r="V428" s="700"/>
      <c r="W428" s="703">
        <v>1.4</v>
      </c>
      <c r="X428" s="703"/>
      <c r="Y428" s="703"/>
      <c r="Z428" s="703"/>
      <c r="AA428" s="703"/>
      <c r="AB428" s="703"/>
      <c r="AC428" s="702" t="str">
        <f t="shared" si="47"/>
        <v>PHC</v>
      </c>
      <c r="AD428" s="702"/>
      <c r="AE428" s="702"/>
      <c r="AF428" s="700"/>
      <c r="AG428" s="699"/>
      <c r="AH428" s="700"/>
      <c r="AI428" s="700"/>
      <c r="AJ428" s="702"/>
      <c r="AK428" s="702"/>
      <c r="AL428" s="702"/>
      <c r="AM428" s="702" t="s">
        <v>126</v>
      </c>
      <c r="AN428" s="704">
        <v>5.5</v>
      </c>
      <c r="AO428" s="703"/>
      <c r="AP428" s="703"/>
      <c r="AQ428" s="703"/>
      <c r="AR428" s="703"/>
      <c r="AS428" s="703"/>
      <c r="AT428" s="703">
        <f>+ab($T$428,$T$426,$T$430,$G$427,$G$429, 1*$F$428,1200)</f>
        <v>3.6683532252610638</v>
      </c>
      <c r="AU428" s="705"/>
      <c r="AV428" s="705"/>
      <c r="AW428" s="702" t="str">
        <f>IF(C428&gt;0,VLOOKUP(C428,Foundation_Calc!$A$2:$C$13,3,1),
IF(J428&gt;0,VLOOKUP(J428,Foundation_Calc!$A$2:$C$13,3,1),""))</f>
        <v>Multi Soil</v>
      </c>
      <c r="AX428" s="702" t="str">
        <f>IF(C428&gt;0,VLOOKUP(C428,Foundation_Calc!$E$35:$G$65,3,1),
IF(J428&gt;0,VLOOKUP(J428,Foundation_Calc!$E$35:$G$65,3,1),""))</f>
        <v>PT</v>
      </c>
      <c r="AY428" s="704">
        <f>IF(L428="","",
IF(AX428="PT",VLOOKUP(L428,Foundation_Calc!$K$79:$R$113,VLOOKUP(AW428,Foundation_Calc!$I$2:$J$8,2,FALSE),0),
IF(AX428="K",VLOOKUP(L428,Foundation_Calc!$K$117:$R$151,VLOOKUP(AW428,Foundation_Calc!$I$2:$J$8,2,FALSE),0),"")))</f>
        <v>3.5</v>
      </c>
      <c r="AZ428" s="704" t="str">
        <f>IF(K428="","",
IF(AX428="PT",VLOOKUP(K428,Foundation_Calc!$K$79:$R$113,VLOOKUP(AW428,Foundation_Calc!$I$2:$J$8,2,FALSE),0),
IF(AX428="K",VLOOKUP(K428,Foundation_Calc!$K$117:$R$151,VLOOKUP(AW428,Foundation_Calc!$I$2:$J$8,2,FALSE),0),"")))</f>
        <v/>
      </c>
      <c r="BA428" s="495" t="str">
        <f t="shared" si="51"/>
        <v>ü</v>
      </c>
      <c r="BB428" s="495" t="str">
        <f t="shared" si="52"/>
        <v/>
      </c>
      <c r="BC428" s="495" t="str">
        <f t="shared" si="53"/>
        <v/>
      </c>
      <c r="BD428" s="513" t="str">
        <f>IF(AND(L428="",H428=""),"",
IF(H428="",Pole_Calc!A$9,
IF(H428="MP",Pole_Calc!A$10,
IF(H428="AnMP",Pole_Calc!A$11,
IF(H428="A",Pole_Calc!A$12,
IF(H428="S/A",Pole_Calc!A$13,
IF(H428="A/S",Pole_Calc!A$14,"Poner a mano")))))))</f>
        <v>App.7-V11I-P9.5.1.2</v>
      </c>
      <c r="BE428" s="429" t="s">
        <v>118</v>
      </c>
      <c r="BF428" s="289"/>
      <c r="BG428" s="289"/>
      <c r="BH428" s="290"/>
      <c r="BI428" s="289"/>
    </row>
    <row r="429" spans="1:61" ht="15.75" customHeight="1">
      <c r="A429" s="696"/>
      <c r="B429" s="697"/>
      <c r="C429" s="698"/>
      <c r="D429" s="699"/>
      <c r="E429" s="700"/>
      <c r="F429" s="700"/>
      <c r="G429" s="701">
        <v>43</v>
      </c>
      <c r="H429" s="702"/>
      <c r="I429" s="700">
        <f>SUM(G429:G453)</f>
        <v>517</v>
      </c>
      <c r="J429" s="698"/>
      <c r="K429" s="702"/>
      <c r="L429" s="702"/>
      <c r="M429" s="702" t="str">
        <f>IF(L429="","",
IF(AX429="PT",VLOOKUP(L429,Foundation_Calc!$V$79:$X$113,VLOOKUP(AX429,Foundation_Calc!$I$10:$J$13,2,FALSE),0),
IF(AX429="K",VLOOKUP(L429,Foundation_Calc!$V$117:$X$151,VLOOKUP(AX429,Foundation_Calc!$I$10:$J$13,2,FALSE),0),"")))</f>
        <v/>
      </c>
      <c r="N429" s="702"/>
      <c r="O429" s="702"/>
      <c r="P429" s="739"/>
      <c r="Q429" s="700"/>
      <c r="R429" s="701"/>
      <c r="S429" s="701"/>
      <c r="T429" s="700"/>
      <c r="U429" s="700"/>
      <c r="V429" s="740"/>
      <c r="W429" s="703"/>
      <c r="X429" s="703"/>
      <c r="Y429" s="741"/>
      <c r="Z429" s="703"/>
      <c r="AA429" s="703"/>
      <c r="AB429" s="741"/>
      <c r="AC429" s="702" t="str">
        <f t="shared" si="47"/>
        <v/>
      </c>
      <c r="AD429" s="702"/>
      <c r="AE429" s="702"/>
      <c r="AF429" s="700"/>
      <c r="AG429" s="699"/>
      <c r="AH429" s="700"/>
      <c r="AI429" s="700"/>
      <c r="AJ429" s="702"/>
      <c r="AK429" s="702"/>
      <c r="AL429" s="702"/>
      <c r="AM429" s="702"/>
      <c r="AN429" s="704"/>
      <c r="AO429" s="703"/>
      <c r="AP429" s="703"/>
      <c r="AQ429" s="703">
        <f>+FL_1($T$430,$T$428,$G$429,1200,9.28, 1*$F$430)</f>
        <v>0.3</v>
      </c>
      <c r="AR429" s="703"/>
      <c r="AS429" s="703"/>
      <c r="AT429" s="703"/>
      <c r="AU429" s="705"/>
      <c r="AV429" s="705"/>
      <c r="AW429" s="702" t="str">
        <f>IF(C429&gt;0,VLOOKUP(C429,Foundation_Calc!$A$2:$C$13,3,1),
IF(J429&gt;0,VLOOKUP(J429,Foundation_Calc!$A$2:$C$13,3,1),""))</f>
        <v/>
      </c>
      <c r="AX429" s="702" t="str">
        <f>IF(C429&gt;0,VLOOKUP(C429,Foundation_Calc!$E$35:$G$65,3,1),
IF(J429&gt;0,VLOOKUP(J429,Foundation_Calc!$E$35:$G$65,3,1),""))</f>
        <v/>
      </c>
      <c r="AY429" s="704" t="str">
        <f>IF(L429="","",
IF(AX429="PT",VLOOKUP(L429,Foundation_Calc!$K$79:$R$113,VLOOKUP(AW429,Foundation_Calc!$I$2:$J$8,2,FALSE),0),
IF(AX429="K",VLOOKUP(L429,Foundation_Calc!$K$117:$R$151,VLOOKUP(AW429,Foundation_Calc!$I$2:$J$8,2,FALSE),0),"")))</f>
        <v/>
      </c>
      <c r="AZ429" s="704" t="str">
        <f>IF(K429="","",
IF(AX429="PT",VLOOKUP(K429,Foundation_Calc!$K$79:$R$113,VLOOKUP(AW429,Foundation_Calc!$I$2:$J$8,2,FALSE),0),
IF(AX429="K",VLOOKUP(K429,Foundation_Calc!$K$117:$R$151,VLOOKUP(AW429,Foundation_Calc!$I$2:$J$8,2,FALSE),0),"")))</f>
        <v/>
      </c>
      <c r="BA429" s="495" t="str">
        <f t="shared" si="51"/>
        <v/>
      </c>
      <c r="BB429" s="495" t="str">
        <f t="shared" si="52"/>
        <v/>
      </c>
      <c r="BC429" s="495" t="str">
        <f t="shared" si="53"/>
        <v/>
      </c>
      <c r="BD429" s="513" t="str">
        <f>IF(AND(L429="",H429=""),"",
IF(H429="",Pole_Calc!A$9,
IF(H429="MP",Pole_Calc!A$10,
IF(H429="AnMP",Pole_Calc!A$11,
IF(H429="A",Pole_Calc!A$12,
IF(H429="S/A",Pole_Calc!A$13,
IF(H429="A/S",Pole_Calc!A$14,"Poner a mano")))))))</f>
        <v/>
      </c>
      <c r="BE429" s="429" t="s">
        <v>118</v>
      </c>
      <c r="BF429" s="290"/>
      <c r="BG429" s="290"/>
      <c r="BH429" s="290"/>
      <c r="BI429" s="290"/>
    </row>
    <row r="430" spans="1:61" ht="15.75" customHeight="1">
      <c r="A430" s="696"/>
      <c r="B430" s="720" t="s">
        <v>1155</v>
      </c>
      <c r="C430" s="698">
        <f>+$C$428+$G$429</f>
        <v>40395.060000000005</v>
      </c>
      <c r="D430" s="699"/>
      <c r="E430" s="700"/>
      <c r="F430" s="700">
        <v>804</v>
      </c>
      <c r="G430" s="701"/>
      <c r="H430" s="702" t="s">
        <v>168</v>
      </c>
      <c r="I430" s="700"/>
      <c r="J430" s="698"/>
      <c r="K430" s="702"/>
      <c r="L430" s="702" t="s">
        <v>398</v>
      </c>
      <c r="M430" s="702" t="s">
        <v>399</v>
      </c>
      <c r="N430" s="702" t="s">
        <v>134</v>
      </c>
      <c r="O430" s="702"/>
      <c r="P430" s="702"/>
      <c r="Q430" s="700"/>
      <c r="R430" s="701"/>
      <c r="S430" s="701"/>
      <c r="T430" s="700">
        <v>30</v>
      </c>
      <c r="U430" s="700"/>
      <c r="V430" s="700"/>
      <c r="W430" s="703">
        <v>1.4</v>
      </c>
      <c r="X430" s="703"/>
      <c r="Y430" s="703"/>
      <c r="Z430" s="703"/>
      <c r="AA430" s="703"/>
      <c r="AB430" s="703"/>
      <c r="AC430" s="702" t="str">
        <f t="shared" si="47"/>
        <v>PHC</v>
      </c>
      <c r="AD430" s="702"/>
      <c r="AE430" s="702"/>
      <c r="AF430" s="700"/>
      <c r="AG430" s="699"/>
      <c r="AH430" s="700"/>
      <c r="AI430" s="700"/>
      <c r="AJ430" s="702"/>
      <c r="AK430" s="702"/>
      <c r="AL430" s="702"/>
      <c r="AM430" s="702" t="s">
        <v>126</v>
      </c>
      <c r="AN430" s="704">
        <f>AN428-0.06</f>
        <v>5.44</v>
      </c>
      <c r="AO430" s="703"/>
      <c r="AP430" s="703"/>
      <c r="AQ430" s="703"/>
      <c r="AR430" s="703"/>
      <c r="AS430" s="703"/>
      <c r="AT430" s="703">
        <f>+ab($T$430,$T$428,$T$432,$G$429,$G$431, 1*$F$430,1200)</f>
        <v>3.7124273869792317</v>
      </c>
      <c r="AU430" s="705"/>
      <c r="AV430" s="705"/>
      <c r="AW430" s="702" t="str">
        <f>IF(C430&gt;0,VLOOKUP(C430,Foundation_Calc!$A$2:$C$13,3,1),
IF(J430&gt;0,VLOOKUP(J430,Foundation_Calc!$A$2:$C$13,3,1),""))</f>
        <v>Multi Soil</v>
      </c>
      <c r="AX430" s="702" t="str">
        <f>IF(C430&gt;0,VLOOKUP(C430,Foundation_Calc!$E$35:$G$65,3,1),
IF(J430&gt;0,VLOOKUP(J430,Foundation_Calc!$E$35:$G$65,3,1),""))</f>
        <v>PT</v>
      </c>
      <c r="AY430" s="704">
        <f>IF(L430="","",
IF(AX430="PT",VLOOKUP(L430,Foundation_Calc!$K$79:$R$113,VLOOKUP(AW430,Foundation_Calc!$I$2:$J$8,2,FALSE),0),
IF(AX430="K",VLOOKUP(L430,Foundation_Calc!$K$117:$R$151,VLOOKUP(AW430,Foundation_Calc!$I$2:$J$8,2,FALSE),0),"")))</f>
        <v>3.5</v>
      </c>
      <c r="AZ430" s="704" t="str">
        <f>IF(K430="","",
IF(AX430="PT",VLOOKUP(K430,Foundation_Calc!$K$79:$R$113,VLOOKUP(AW430,Foundation_Calc!$I$2:$J$8,2,FALSE),0),
IF(AX430="K",VLOOKUP(K430,Foundation_Calc!$K$117:$R$151,VLOOKUP(AW430,Foundation_Calc!$I$2:$J$8,2,FALSE),0),"")))</f>
        <v/>
      </c>
      <c r="BA430" s="495" t="str">
        <f t="shared" si="51"/>
        <v>ü</v>
      </c>
      <c r="BB430" s="495" t="str">
        <f t="shared" si="52"/>
        <v/>
      </c>
      <c r="BC430" s="495" t="str">
        <f t="shared" si="53"/>
        <v/>
      </c>
      <c r="BD430" s="513" t="str">
        <f>IF(AND(L430="",H430=""),"",
IF(H430="",Pole_Calc!A$9,
IF(H430="MP",Pole_Calc!A$10,
IF(H430="AnMP",Pole_Calc!A$11,
IF(H430="A",Pole_Calc!A$12,
IF(H430="S/A",Pole_Calc!A$13,
IF(H430="A/S",Pole_Calc!A$14,"Poner a mano")))))))</f>
        <v>App.7-V11I-P9.5.1.3</v>
      </c>
      <c r="BE430" s="429" t="s">
        <v>118</v>
      </c>
      <c r="BF430" s="289"/>
      <c r="BG430" s="289"/>
      <c r="BH430" s="290"/>
      <c r="BI430" s="289"/>
    </row>
    <row r="431" spans="1:61" ht="15.75" customHeight="1">
      <c r="A431" s="696"/>
      <c r="B431" s="697"/>
      <c r="C431" s="698"/>
      <c r="D431" s="699"/>
      <c r="E431" s="700"/>
      <c r="F431" s="700"/>
      <c r="G431" s="701">
        <v>40</v>
      </c>
      <c r="H431" s="702"/>
      <c r="I431" s="700"/>
      <c r="J431" s="698">
        <f>C430+7.5</f>
        <v>40402.560000000005</v>
      </c>
      <c r="K431" s="702" t="s">
        <v>166</v>
      </c>
      <c r="L431" s="702"/>
      <c r="M431" s="702" t="str">
        <f>IF(L431="","",
IF(AX431="PT",VLOOKUP(L431,Foundation_Calc!$V$79:$X$113,VLOOKUP(AX431,Foundation_Calc!$I$10:$J$13,2,FALSE),0),
IF(AX431="K",VLOOKUP(L431,Foundation_Calc!$V$117:$X$151,VLOOKUP(AX431,Foundation_Calc!$I$10:$J$13,2,FALSE),0),"")))</f>
        <v/>
      </c>
      <c r="N431" s="702"/>
      <c r="O431" s="702"/>
      <c r="P431" s="702"/>
      <c r="Q431" s="700"/>
      <c r="R431" s="701"/>
      <c r="S431" s="701"/>
      <c r="T431" s="700"/>
      <c r="U431" s="700"/>
      <c r="V431" s="700"/>
      <c r="W431" s="703"/>
      <c r="X431" s="703"/>
      <c r="Y431" s="703"/>
      <c r="Z431" s="703"/>
      <c r="AA431" s="703"/>
      <c r="AB431" s="703"/>
      <c r="AC431" s="702" t="str">
        <f t="shared" si="47"/>
        <v/>
      </c>
      <c r="AD431" s="702"/>
      <c r="AE431" s="702"/>
      <c r="AF431" s="700"/>
      <c r="AG431" s="699"/>
      <c r="AH431" s="700"/>
      <c r="AI431" s="700"/>
      <c r="AJ431" s="702"/>
      <c r="AK431" s="702"/>
      <c r="AL431" s="702"/>
      <c r="AM431" s="702"/>
      <c r="AN431" s="704"/>
      <c r="AO431" s="703"/>
      <c r="AP431" s="703"/>
      <c r="AQ431" s="703">
        <f>+FL_1($T$432,$T$430,$G$431,1200,9.28, 1*$F$432)</f>
        <v>0.3</v>
      </c>
      <c r="AR431" s="703"/>
      <c r="AS431" s="703"/>
      <c r="AT431" s="703"/>
      <c r="AU431" s="705"/>
      <c r="AV431" s="705"/>
      <c r="AW431" s="702" t="str">
        <f>IF(C431&gt;0,VLOOKUP(C431,Foundation_Calc!$A$2:$C$13,3,1),
IF(J431&gt;0,VLOOKUP(J431,Foundation_Calc!$A$2:$C$13,3,1),""))</f>
        <v>Multi Soil</v>
      </c>
      <c r="AX431" s="702" t="str">
        <f>IF(C431&gt;0,VLOOKUP(C431,Foundation_Calc!$E$35:$G$65,3,1),
IF(J431&gt;0,VLOOKUP(J431,Foundation_Calc!$E$35:$G$65,3,1),""))</f>
        <v>PT</v>
      </c>
      <c r="AY431" s="704" t="str">
        <f>IF(L431="","",
IF(AX431="PT",VLOOKUP(L431,Foundation_Calc!$K$79:$R$113,VLOOKUP(AW431,Foundation_Calc!$I$2:$J$8,2,FALSE),0),
IF(AX431="K",VLOOKUP(L431,Foundation_Calc!$K$117:$R$151,VLOOKUP(AW431,Foundation_Calc!$I$2:$J$8,2,FALSE),0),"")))</f>
        <v/>
      </c>
      <c r="AZ431" s="704">
        <f>IF(K431="","",
IF(AX431="PT",VLOOKUP(K431,Foundation_Calc!$K$79:$R$113,VLOOKUP(AW431,Foundation_Calc!$I$2:$J$8,2,FALSE),0),
IF(AX431="K",VLOOKUP(K431,Foundation_Calc!$K$117:$R$151,VLOOKUP(AW431,Foundation_Calc!$I$2:$J$8,2,FALSE),0),"")))</f>
        <v>2.8</v>
      </c>
      <c r="BA431" s="495" t="str">
        <f t="shared" si="51"/>
        <v/>
      </c>
      <c r="BB431" s="495" t="str">
        <f t="shared" si="52"/>
        <v>ü</v>
      </c>
      <c r="BC431" s="495" t="str">
        <f t="shared" si="53"/>
        <v/>
      </c>
      <c r="BD431" s="513" t="str">
        <f>IF(AND(L431="",H431=""),"",
IF(H431="",Pole_Calc!A$9,
IF(H431="MP",Pole_Calc!A$10,
IF(H431="AnMP",Pole_Calc!A$11,
IF(H431="A",Pole_Calc!A$12,
IF(H431="S/A",Pole_Calc!A$13,
IF(H431="A/S",Pole_Calc!A$14,"Poner a mano")))))))</f>
        <v/>
      </c>
      <c r="BE431" s="429" t="s">
        <v>118</v>
      </c>
      <c r="BF431" s="290"/>
      <c r="BG431" s="290"/>
      <c r="BH431" s="290"/>
      <c r="BI431" s="290"/>
    </row>
    <row r="432" spans="1:61" ht="15.75" customHeight="1">
      <c r="A432" s="696"/>
      <c r="B432" s="720" t="s">
        <v>1156</v>
      </c>
      <c r="C432" s="698">
        <f>+$C$430+$G$431</f>
        <v>40435.060000000005</v>
      </c>
      <c r="D432" s="699"/>
      <c r="E432" s="700"/>
      <c r="F432" s="700">
        <v>804</v>
      </c>
      <c r="G432" s="701"/>
      <c r="H432" s="702"/>
      <c r="I432" s="700"/>
      <c r="J432" s="698"/>
      <c r="K432" s="702"/>
      <c r="L432" s="702" t="s">
        <v>158</v>
      </c>
      <c r="M432" s="702" t="s">
        <v>396</v>
      </c>
      <c r="N432" s="702" t="s">
        <v>134</v>
      </c>
      <c r="O432" s="702"/>
      <c r="P432" s="702"/>
      <c r="Q432" s="700"/>
      <c r="R432" s="701"/>
      <c r="S432" s="701"/>
      <c r="T432" s="700">
        <v>30</v>
      </c>
      <c r="U432" s="700"/>
      <c r="V432" s="700"/>
      <c r="W432" s="707">
        <v>1.2</v>
      </c>
      <c r="X432" s="703"/>
      <c r="Y432" s="703"/>
      <c r="Z432" s="703"/>
      <c r="AA432" s="703"/>
      <c r="AB432" s="703"/>
      <c r="AC432" s="702" t="str">
        <f t="shared" si="47"/>
        <v>PHC</v>
      </c>
      <c r="AD432" s="702"/>
      <c r="AE432" s="702"/>
      <c r="AF432" s="700"/>
      <c r="AG432" s="699"/>
      <c r="AH432" s="700"/>
      <c r="AI432" s="700"/>
      <c r="AJ432" s="702"/>
      <c r="AK432" s="702"/>
      <c r="AL432" s="702"/>
      <c r="AM432" s="702" t="s">
        <v>126</v>
      </c>
      <c r="AN432" s="704">
        <f>AN430-0.08</f>
        <v>5.36</v>
      </c>
      <c r="AO432" s="703"/>
      <c r="AP432" s="703"/>
      <c r="AQ432" s="703"/>
      <c r="AR432" s="703"/>
      <c r="AS432" s="703"/>
      <c r="AT432" s="703">
        <f>+ab($T$432,$T$430,$T$434,$G$431,$G$433, 1*$F$432,1200)</f>
        <v>4.3993823271596471</v>
      </c>
      <c r="AU432" s="705"/>
      <c r="AV432" s="705"/>
      <c r="AW432" s="702" t="str">
        <f>IF(C432&gt;0,VLOOKUP(C432,Foundation_Calc!$A$2:$C$13,3,1),
IF(J432&gt;0,VLOOKUP(J432,Foundation_Calc!$A$2:$C$13,3,1),""))</f>
        <v>Multi Soil</v>
      </c>
      <c r="AX432" s="702" t="str">
        <f>IF(C432&gt;0,VLOOKUP(C432,Foundation_Calc!$E$35:$G$65,3,1),
IF(J432&gt;0,VLOOKUP(J432,Foundation_Calc!$E$35:$G$65,3,1),""))</f>
        <v>PT</v>
      </c>
      <c r="AY432" s="704">
        <f>IF(L432="","",
IF(AX432="PT",VLOOKUP(L432,Foundation_Calc!$K$79:$R$113,VLOOKUP(AW432,Foundation_Calc!$I$2:$J$8,2,FALSE),0),
IF(AX432="K",VLOOKUP(L432,Foundation_Calc!$K$117:$R$151,VLOOKUP(AW432,Foundation_Calc!$I$2:$J$8,2,FALSE),0),"")))</f>
        <v>3.5</v>
      </c>
      <c r="AZ432" s="704" t="str">
        <f>IF(K432="","",
IF(AX432="PT",VLOOKUP(K432,Foundation_Calc!$K$79:$R$113,VLOOKUP(AW432,Foundation_Calc!$I$2:$J$8,2,FALSE),0),
IF(AX432="K",VLOOKUP(K432,Foundation_Calc!$K$117:$R$151,VLOOKUP(AW432,Foundation_Calc!$I$2:$J$8,2,FALSE),0),"")))</f>
        <v/>
      </c>
      <c r="BA432" s="495" t="str">
        <f t="shared" si="51"/>
        <v>ü</v>
      </c>
      <c r="BB432" s="495" t="str">
        <f t="shared" si="52"/>
        <v/>
      </c>
      <c r="BC432" s="495" t="str">
        <f t="shared" si="53"/>
        <v/>
      </c>
      <c r="BD432" s="513" t="str">
        <f>IF(AND(L432="",H432=""),"",
IF(H432="",Pole_Calc!A$9,
IF(H432="MP",Pole_Calc!A$10,
IF(H432="AnMP",Pole_Calc!A$11,
IF(H432="A",Pole_Calc!A$12,
IF(H432="S/A",Pole_Calc!A$13,
IF(H432="A/S",Pole_Calc!A$14,"Poner a mano")))))))</f>
        <v>App.7-V11I-P9.5.1.1</v>
      </c>
      <c r="BE432" s="429" t="s">
        <v>118</v>
      </c>
      <c r="BF432" s="289"/>
      <c r="BG432" s="289"/>
      <c r="BH432" s="290"/>
      <c r="BI432" s="289"/>
    </row>
    <row r="433" spans="1:61" ht="15.75" customHeight="1">
      <c r="A433" s="708"/>
      <c r="B433" s="697"/>
      <c r="C433" s="698"/>
      <c r="D433" s="699"/>
      <c r="E433" s="700"/>
      <c r="F433" s="700"/>
      <c r="G433" s="701">
        <v>30</v>
      </c>
      <c r="H433" s="702"/>
      <c r="I433" s="700"/>
      <c r="J433" s="698"/>
      <c r="K433" s="702"/>
      <c r="L433" s="702"/>
      <c r="M433" s="702" t="str">
        <f>IF(L433="","",
IF(AX433="PT",VLOOKUP(L433,Foundation_Calc!$V$79:$X$113,VLOOKUP(AX433,Foundation_Calc!$I$10:$J$13,2,FALSE),0),
IF(AX433="K",VLOOKUP(L433,Foundation_Calc!$V$117:$X$151,VLOOKUP(AX433,Foundation_Calc!$I$10:$J$13,2,FALSE),0),"")))</f>
        <v/>
      </c>
      <c r="N433" s="702"/>
      <c r="O433" s="702"/>
      <c r="P433" s="702"/>
      <c r="Q433" s="700"/>
      <c r="R433" s="701"/>
      <c r="S433" s="701"/>
      <c r="T433" s="700"/>
      <c r="U433" s="700"/>
      <c r="V433" s="700"/>
      <c r="W433" s="707"/>
      <c r="X433" s="703"/>
      <c r="Y433" s="703"/>
      <c r="Z433" s="703"/>
      <c r="AA433" s="703"/>
      <c r="AB433" s="703"/>
      <c r="AC433" s="702" t="str">
        <f t="shared" si="47"/>
        <v/>
      </c>
      <c r="AD433" s="702"/>
      <c r="AE433" s="702"/>
      <c r="AF433" s="700"/>
      <c r="AG433" s="699"/>
      <c r="AH433" s="700"/>
      <c r="AI433" s="700"/>
      <c r="AJ433" s="702"/>
      <c r="AK433" s="702"/>
      <c r="AL433" s="702"/>
      <c r="AM433" s="702"/>
      <c r="AN433" s="704"/>
      <c r="AO433" s="703"/>
      <c r="AP433" s="703"/>
      <c r="AQ433" s="703">
        <f>+FL_1($T$434,$T$432,$G$433,1200,9.28, 1*$F$434)</f>
        <v>0.30000000000000004</v>
      </c>
      <c r="AR433" s="703"/>
      <c r="AS433" s="703"/>
      <c r="AT433" s="703"/>
      <c r="AU433" s="705"/>
      <c r="AV433" s="705"/>
      <c r="AW433" s="702" t="str">
        <f>IF(C433&gt;0,VLOOKUP(C433,Foundation_Calc!$A$2:$C$13,3,1),
IF(J433&gt;0,VLOOKUP(J433,Foundation_Calc!$A$2:$C$13,3,1),""))</f>
        <v/>
      </c>
      <c r="AX433" s="702" t="str">
        <f>IF(C433&gt;0,VLOOKUP(C433,Foundation_Calc!$E$35:$G$65,3,1),
IF(J433&gt;0,VLOOKUP(J433,Foundation_Calc!$E$35:$G$65,3,1),""))</f>
        <v/>
      </c>
      <c r="AY433" s="704" t="str">
        <f>IF(L433="","",
IF(AX433="PT",VLOOKUP(L433,Foundation_Calc!$K$79:$R$113,VLOOKUP(AW433,Foundation_Calc!$I$2:$J$8,2,FALSE),0),
IF(AX433="K",VLOOKUP(L433,Foundation_Calc!$K$117:$R$151,VLOOKUP(AW433,Foundation_Calc!$I$2:$J$8,2,FALSE),0),"")))</f>
        <v/>
      </c>
      <c r="AZ433" s="704" t="str">
        <f>IF(K433="","",
IF(AX433="PT",VLOOKUP(K433,Foundation_Calc!$K$79:$R$113,VLOOKUP(AW433,Foundation_Calc!$I$2:$J$8,2,FALSE),0),
IF(AX433="K",VLOOKUP(K433,Foundation_Calc!$K$117:$R$151,VLOOKUP(AW433,Foundation_Calc!$I$2:$J$8,2,FALSE),0),"")))</f>
        <v/>
      </c>
      <c r="BA433" s="495" t="str">
        <f t="shared" si="51"/>
        <v/>
      </c>
      <c r="BB433" s="495" t="str">
        <f t="shared" si="52"/>
        <v/>
      </c>
      <c r="BC433" s="495" t="str">
        <f t="shared" si="53"/>
        <v/>
      </c>
      <c r="BD433" s="513" t="str">
        <f>IF(AND(L433="",H433=""),"",
IF(H433="",Pole_Calc!A$9,
IF(H433="MP",Pole_Calc!A$10,
IF(H433="AnMP",Pole_Calc!A$11,
IF(H433="A",Pole_Calc!A$12,
IF(H433="S/A",Pole_Calc!A$13,
IF(H433="A/S",Pole_Calc!A$14,"Poner a mano")))))))</f>
        <v/>
      </c>
      <c r="BE433" s="429" t="s">
        <v>118</v>
      </c>
      <c r="BF433" s="290"/>
      <c r="BG433" s="290"/>
      <c r="BH433" s="290"/>
      <c r="BI433" s="290"/>
    </row>
    <row r="434" spans="1:61" ht="15.75" customHeight="1">
      <c r="A434" s="696"/>
      <c r="B434" s="720" t="s">
        <v>1157</v>
      </c>
      <c r="C434" s="698">
        <f>+$C$432+$G$433</f>
        <v>40465.060000000005</v>
      </c>
      <c r="D434" s="699"/>
      <c r="E434" s="700"/>
      <c r="F434" s="700">
        <v>804</v>
      </c>
      <c r="G434" s="701"/>
      <c r="H434" s="702"/>
      <c r="I434" s="700"/>
      <c r="J434" s="698"/>
      <c r="K434" s="702"/>
      <c r="L434" s="702" t="s">
        <v>158</v>
      </c>
      <c r="M434" s="702" t="s">
        <v>396</v>
      </c>
      <c r="N434" s="702" t="s">
        <v>134</v>
      </c>
      <c r="O434" s="702"/>
      <c r="P434" s="702"/>
      <c r="Q434" s="700"/>
      <c r="R434" s="701"/>
      <c r="S434" s="701"/>
      <c r="T434" s="700">
        <v>30</v>
      </c>
      <c r="U434" s="700"/>
      <c r="V434" s="700"/>
      <c r="W434" s="707">
        <v>1</v>
      </c>
      <c r="X434" s="703"/>
      <c r="Y434" s="703"/>
      <c r="Z434" s="703"/>
      <c r="AA434" s="703"/>
      <c r="AB434" s="703"/>
      <c r="AC434" s="702" t="str">
        <f t="shared" si="47"/>
        <v>PHC</v>
      </c>
      <c r="AD434" s="702"/>
      <c r="AE434" s="702"/>
      <c r="AF434" s="700"/>
      <c r="AG434" s="699"/>
      <c r="AH434" s="700"/>
      <c r="AI434" s="700"/>
      <c r="AJ434" s="702"/>
      <c r="AK434" s="702"/>
      <c r="AL434" s="702"/>
      <c r="AM434" s="702" t="s">
        <v>126</v>
      </c>
      <c r="AN434" s="704">
        <f>AN436+0.08</f>
        <v>5.29</v>
      </c>
      <c r="AO434" s="703"/>
      <c r="AP434" s="703"/>
      <c r="AQ434" s="703"/>
      <c r="AR434" s="703"/>
      <c r="AS434" s="703"/>
      <c r="AT434" s="703">
        <f>+ab($T$434,$T$432,$T$436,$G$433,$G$435, 1*$F$434,1200)</f>
        <v>4.3993823271596471</v>
      </c>
      <c r="AU434" s="705"/>
      <c r="AV434" s="705"/>
      <c r="AW434" s="702" t="str">
        <f>IF(C434&gt;0,VLOOKUP(C434,Foundation_Calc!$A$2:$C$13,3,1),
IF(J434&gt;0,VLOOKUP(J434,Foundation_Calc!$A$2:$C$13,3,1),""))</f>
        <v>Multi Soil</v>
      </c>
      <c r="AX434" s="702" t="str">
        <f>IF(C434&gt;0,VLOOKUP(C434,Foundation_Calc!$E$35:$G$65,3,1),
IF(J434&gt;0,VLOOKUP(J434,Foundation_Calc!$E$35:$G$65,3,1),""))</f>
        <v>PT</v>
      </c>
      <c r="AY434" s="704">
        <f>IF(L434="","",
IF(AX434="PT",VLOOKUP(L434,Foundation_Calc!$K$79:$R$113,VLOOKUP(AW434,Foundation_Calc!$I$2:$J$8,2,FALSE),0),
IF(AX434="K",VLOOKUP(L434,Foundation_Calc!$K$117:$R$151,VLOOKUP(AW434,Foundation_Calc!$I$2:$J$8,2,FALSE),0),"")))</f>
        <v>3.5</v>
      </c>
      <c r="AZ434" s="704" t="str">
        <f>IF(K434="","",
IF(AX434="PT",VLOOKUP(K434,Foundation_Calc!$K$79:$R$113,VLOOKUP(AW434,Foundation_Calc!$I$2:$J$8,2,FALSE),0),
IF(AX434="K",VLOOKUP(K434,Foundation_Calc!$K$117:$R$151,VLOOKUP(AW434,Foundation_Calc!$I$2:$J$8,2,FALSE),0),"")))</f>
        <v/>
      </c>
      <c r="BA434" s="495" t="str">
        <f t="shared" si="51"/>
        <v>ü</v>
      </c>
      <c r="BB434" s="495" t="str">
        <f t="shared" si="52"/>
        <v/>
      </c>
      <c r="BC434" s="495" t="str">
        <f t="shared" si="53"/>
        <v/>
      </c>
      <c r="BD434" s="513" t="str">
        <f>IF(AND(L434="",H434=""),"",
IF(H434="",Pole_Calc!A$9,
IF(H434="MP",Pole_Calc!A$10,
IF(H434="AnMP",Pole_Calc!A$11,
IF(H434="A",Pole_Calc!A$12,
IF(H434="S/A",Pole_Calc!A$13,
IF(H434="A/S",Pole_Calc!A$14,"Poner a mano")))))))</f>
        <v>App.7-V11I-P9.5.1.1</v>
      </c>
      <c r="BE434" s="429" t="s">
        <v>118</v>
      </c>
      <c r="BF434" s="289"/>
      <c r="BG434" s="289"/>
      <c r="BH434" s="290"/>
      <c r="BI434" s="289"/>
    </row>
    <row r="435" spans="1:61" ht="15.75" customHeight="1">
      <c r="A435" s="696"/>
      <c r="B435" s="697"/>
      <c r="C435" s="698"/>
      <c r="D435" s="699"/>
      <c r="E435" s="700"/>
      <c r="F435" s="700"/>
      <c r="G435" s="701">
        <v>40</v>
      </c>
      <c r="H435" s="702"/>
      <c r="I435" s="700"/>
      <c r="J435" s="698"/>
      <c r="K435" s="702"/>
      <c r="L435" s="702"/>
      <c r="M435" s="702" t="str">
        <f>IF(L435="","",
IF(AX435="PT",VLOOKUP(L435,Foundation_Calc!$V$79:$X$113,VLOOKUP(AX435,Foundation_Calc!$I$10:$J$13,2,FALSE),0),
IF(AX435="K",VLOOKUP(L435,Foundation_Calc!$V$117:$X$151,VLOOKUP(AX435,Foundation_Calc!$I$10:$J$13,2,FALSE),0),"")))</f>
        <v/>
      </c>
      <c r="N435" s="702"/>
      <c r="O435" s="702"/>
      <c r="P435" s="702"/>
      <c r="Q435" s="700"/>
      <c r="R435" s="701"/>
      <c r="S435" s="701"/>
      <c r="T435" s="700"/>
      <c r="U435" s="700"/>
      <c r="V435" s="700"/>
      <c r="W435" s="707"/>
      <c r="X435" s="703"/>
      <c r="Y435" s="703"/>
      <c r="Z435" s="703"/>
      <c r="AA435" s="703"/>
      <c r="AB435" s="703"/>
      <c r="AC435" s="702" t="str">
        <f t="shared" si="47"/>
        <v/>
      </c>
      <c r="AD435" s="702"/>
      <c r="AE435" s="702"/>
      <c r="AF435" s="700"/>
      <c r="AG435" s="699"/>
      <c r="AH435" s="700"/>
      <c r="AI435" s="700"/>
      <c r="AJ435" s="702"/>
      <c r="AK435" s="702"/>
      <c r="AL435" s="702"/>
      <c r="AM435" s="702"/>
      <c r="AN435" s="704"/>
      <c r="AO435" s="703"/>
      <c r="AP435" s="703"/>
      <c r="AQ435" s="703">
        <f>+FL_1($T$436,$T$434,$G$435,1200,9.28, 1*$F$436)</f>
        <v>0.3</v>
      </c>
      <c r="AR435" s="703"/>
      <c r="AS435" s="703"/>
      <c r="AT435" s="703"/>
      <c r="AU435" s="705"/>
      <c r="AV435" s="705"/>
      <c r="AW435" s="702" t="str">
        <f>IF(C435&gt;0,VLOOKUP(C435,Foundation_Calc!$A$2:$C$13,3,1),
IF(J435&gt;0,VLOOKUP(J435,Foundation_Calc!$A$2:$C$13,3,1),""))</f>
        <v/>
      </c>
      <c r="AX435" s="702" t="str">
        <f>IF(C435&gt;0,VLOOKUP(C435,Foundation_Calc!$E$35:$G$65,3,1),
IF(J435&gt;0,VLOOKUP(J435,Foundation_Calc!$E$35:$G$65,3,1),""))</f>
        <v/>
      </c>
      <c r="AY435" s="704" t="str">
        <f>IF(L435="","",
IF(AX435="PT",VLOOKUP(L435,Foundation_Calc!$K$79:$R$113,VLOOKUP(AW435,Foundation_Calc!$I$2:$J$8,2,FALSE),0),
IF(AX435="K",VLOOKUP(L435,Foundation_Calc!$K$117:$R$151,VLOOKUP(AW435,Foundation_Calc!$I$2:$J$8,2,FALSE),0),"")))</f>
        <v/>
      </c>
      <c r="AZ435" s="704" t="str">
        <f>IF(K435="","",
IF(AX435="PT",VLOOKUP(K435,Foundation_Calc!$K$79:$R$113,VLOOKUP(AW435,Foundation_Calc!$I$2:$J$8,2,FALSE),0),
IF(AX435="K",VLOOKUP(K435,Foundation_Calc!$K$117:$R$151,VLOOKUP(AW435,Foundation_Calc!$I$2:$J$8,2,FALSE),0),"")))</f>
        <v/>
      </c>
      <c r="BA435" s="495" t="str">
        <f t="shared" si="51"/>
        <v/>
      </c>
      <c r="BB435" s="495" t="str">
        <f t="shared" si="52"/>
        <v/>
      </c>
      <c r="BC435" s="495" t="str">
        <f t="shared" si="53"/>
        <v/>
      </c>
      <c r="BD435" s="513" t="str">
        <f>IF(AND(L435="",H435=""),"",
IF(H435="",Pole_Calc!A$9,
IF(H435="MP",Pole_Calc!A$10,
IF(H435="AnMP",Pole_Calc!A$11,
IF(H435="A",Pole_Calc!A$12,
IF(H435="S/A",Pole_Calc!A$13,
IF(H435="A/S",Pole_Calc!A$14,"Poner a mano")))))))</f>
        <v/>
      </c>
      <c r="BE435" s="429" t="s">
        <v>118</v>
      </c>
      <c r="BF435" s="290"/>
      <c r="BG435" s="290"/>
      <c r="BH435" s="290"/>
      <c r="BI435" s="290"/>
    </row>
    <row r="436" spans="1:61" ht="15.75" customHeight="1">
      <c r="A436" s="696"/>
      <c r="B436" s="720" t="s">
        <v>1158</v>
      </c>
      <c r="C436" s="698">
        <f>+$C$434+$G$435</f>
        <v>40505.060000000005</v>
      </c>
      <c r="D436" s="699"/>
      <c r="E436" s="700"/>
      <c r="F436" s="700">
        <v>804</v>
      </c>
      <c r="G436" s="701"/>
      <c r="H436" s="702"/>
      <c r="I436" s="700"/>
      <c r="J436" s="698"/>
      <c r="K436" s="702"/>
      <c r="L436" s="702" t="s">
        <v>158</v>
      </c>
      <c r="M436" s="702" t="s">
        <v>396</v>
      </c>
      <c r="N436" s="702" t="s">
        <v>134</v>
      </c>
      <c r="O436" s="702"/>
      <c r="P436" s="702"/>
      <c r="Q436" s="700"/>
      <c r="R436" s="701"/>
      <c r="S436" s="701"/>
      <c r="T436" s="700">
        <v>30</v>
      </c>
      <c r="U436" s="700"/>
      <c r="V436" s="700"/>
      <c r="W436" s="707">
        <v>0.8</v>
      </c>
      <c r="X436" s="703"/>
      <c r="Y436" s="703"/>
      <c r="Z436" s="703"/>
      <c r="AA436" s="703"/>
      <c r="AB436" s="703"/>
      <c r="AC436" s="702" t="str">
        <f t="shared" si="47"/>
        <v>PHC</v>
      </c>
      <c r="AD436" s="702"/>
      <c r="AE436" s="702"/>
      <c r="AF436" s="700"/>
      <c r="AG436" s="699"/>
      <c r="AH436" s="700"/>
      <c r="AI436" s="700"/>
      <c r="AJ436" s="702"/>
      <c r="AK436" s="702"/>
      <c r="AL436" s="702"/>
      <c r="AM436" s="702" t="s">
        <v>126</v>
      </c>
      <c r="AN436" s="704">
        <f>AN438+0.06</f>
        <v>5.21</v>
      </c>
      <c r="AO436" s="703"/>
      <c r="AP436" s="703"/>
      <c r="AQ436" s="703"/>
      <c r="AR436" s="703"/>
      <c r="AS436" s="703"/>
      <c r="AT436" s="703">
        <f>+ab($T$436,$T$434,$T$438,$G$435,$G$437, 1*$F$436,1200)</f>
        <v>3.7124273869792317</v>
      </c>
      <c r="AU436" s="705"/>
      <c r="AV436" s="705"/>
      <c r="AW436" s="702" t="str">
        <f>IF(C436&gt;0,VLOOKUP(C436,Foundation_Calc!$A$2:$C$13,3,1),
IF(J436&gt;0,VLOOKUP(J436,Foundation_Calc!$A$2:$C$13,3,1),""))</f>
        <v>Multi Soil</v>
      </c>
      <c r="AX436" s="702" t="str">
        <f>IF(C436&gt;0,VLOOKUP(C436,Foundation_Calc!$E$35:$G$65,3,1),
IF(J436&gt;0,VLOOKUP(J436,Foundation_Calc!$E$35:$G$65,3,1),""))</f>
        <v>PT</v>
      </c>
      <c r="AY436" s="704">
        <f>IF(L436="","",
IF(AX436="PT",VLOOKUP(L436,Foundation_Calc!$K$79:$R$113,VLOOKUP(AW436,Foundation_Calc!$I$2:$J$8,2,FALSE),0),
IF(AX436="K",VLOOKUP(L436,Foundation_Calc!$K$117:$R$151,VLOOKUP(AW436,Foundation_Calc!$I$2:$J$8,2,FALSE),0),"")))</f>
        <v>3.5</v>
      </c>
      <c r="AZ436" s="704" t="str">
        <f>IF(K436="","",
IF(AX436="PT",VLOOKUP(K436,Foundation_Calc!$K$79:$R$113,VLOOKUP(AW436,Foundation_Calc!$I$2:$J$8,2,FALSE),0),
IF(AX436="K",VLOOKUP(K436,Foundation_Calc!$K$117:$R$151,VLOOKUP(AW436,Foundation_Calc!$I$2:$J$8,2,FALSE),0),"")))</f>
        <v/>
      </c>
      <c r="BA436" s="495" t="str">
        <f t="shared" si="51"/>
        <v>ü</v>
      </c>
      <c r="BB436" s="495" t="str">
        <f t="shared" si="52"/>
        <v/>
      </c>
      <c r="BC436" s="495" t="str">
        <f t="shared" si="53"/>
        <v/>
      </c>
      <c r="BD436" s="513" t="str">
        <f>IF(AND(L436="",H436=""),"",
IF(H436="",Pole_Calc!A$9,
IF(H436="MP",Pole_Calc!A$10,
IF(H436="AnMP",Pole_Calc!A$11,
IF(H436="A",Pole_Calc!A$12,
IF(H436="S/A",Pole_Calc!A$13,
IF(H436="A/S",Pole_Calc!A$14,"Poner a mano")))))))</f>
        <v>App.7-V11I-P9.5.1.1</v>
      </c>
      <c r="BE436" s="429" t="s">
        <v>118</v>
      </c>
      <c r="BF436" s="289"/>
      <c r="BG436" s="289"/>
      <c r="BH436" s="290"/>
      <c r="BI436" s="289"/>
    </row>
    <row r="437" spans="1:61" ht="15.75" customHeight="1">
      <c r="A437" s="708" t="s">
        <v>433</v>
      </c>
      <c r="B437" s="697"/>
      <c r="C437" s="698"/>
      <c r="D437" s="699"/>
      <c r="E437" s="700"/>
      <c r="F437" s="700"/>
      <c r="G437" s="701">
        <v>43</v>
      </c>
      <c r="H437" s="702"/>
      <c r="I437" s="700"/>
      <c r="J437" s="698"/>
      <c r="K437" s="702"/>
      <c r="L437" s="702"/>
      <c r="M437" s="702" t="str">
        <f>IF(L437="","",
IF(AX437="PT",VLOOKUP(L437,Foundation_Calc!$V$79:$X$113,VLOOKUP(AX437,Foundation_Calc!$I$10:$J$13,2,FALSE),0),
IF(AX437="K",VLOOKUP(L437,Foundation_Calc!$V$117:$X$151,VLOOKUP(AX437,Foundation_Calc!$I$10:$J$13,2,FALSE),0),"")))</f>
        <v/>
      </c>
      <c r="N437" s="702"/>
      <c r="O437" s="702"/>
      <c r="P437" s="702"/>
      <c r="Q437" s="700"/>
      <c r="R437" s="701"/>
      <c r="S437" s="701"/>
      <c r="T437" s="700"/>
      <c r="U437" s="700"/>
      <c r="V437" s="700"/>
      <c r="W437" s="707"/>
      <c r="X437" s="703"/>
      <c r="Y437" s="703"/>
      <c r="Z437" s="703"/>
      <c r="AA437" s="703"/>
      <c r="AB437" s="703"/>
      <c r="AC437" s="702" t="str">
        <f t="shared" si="47"/>
        <v/>
      </c>
      <c r="AD437" s="702"/>
      <c r="AE437" s="702"/>
      <c r="AF437" s="700"/>
      <c r="AG437" s="699"/>
      <c r="AH437" s="700"/>
      <c r="AI437" s="700"/>
      <c r="AJ437" s="702"/>
      <c r="AK437" s="702"/>
      <c r="AL437" s="702"/>
      <c r="AM437" s="702"/>
      <c r="AN437" s="704"/>
      <c r="AO437" s="703"/>
      <c r="AP437" s="703"/>
      <c r="AQ437" s="703">
        <f>+FL_1($T$438,$T$436,$G$437,1200,9.28, 1*$F$438)</f>
        <v>0.3</v>
      </c>
      <c r="AR437" s="703"/>
      <c r="AS437" s="703"/>
      <c r="AT437" s="703"/>
      <c r="AU437" s="705"/>
      <c r="AV437" s="705"/>
      <c r="AW437" s="702" t="str">
        <f>IF(C437&gt;0,VLOOKUP(C437,Foundation_Calc!$A$2:$C$13,3,1),
IF(J437&gt;0,VLOOKUP(J437,Foundation_Calc!$A$2:$C$13,3,1),""))</f>
        <v/>
      </c>
      <c r="AX437" s="702" t="str">
        <f>IF(C437&gt;0,VLOOKUP(C437,Foundation_Calc!$E$35:$G$65,3,1),
IF(J437&gt;0,VLOOKUP(J437,Foundation_Calc!$E$35:$G$65,3,1),""))</f>
        <v/>
      </c>
      <c r="AY437" s="704" t="str">
        <f>IF(L437="","",
IF(AX437="PT",VLOOKUP(L437,Foundation_Calc!$K$79:$R$113,VLOOKUP(AW437,Foundation_Calc!$I$2:$J$8,2,FALSE),0),
IF(AX437="K",VLOOKUP(L437,Foundation_Calc!$K$117:$R$151,VLOOKUP(AW437,Foundation_Calc!$I$2:$J$8,2,FALSE),0),"")))</f>
        <v/>
      </c>
      <c r="AZ437" s="704" t="str">
        <f>IF(K437="","",
IF(AX437="PT",VLOOKUP(K437,Foundation_Calc!$K$79:$R$113,VLOOKUP(AW437,Foundation_Calc!$I$2:$J$8,2,FALSE),0),
IF(AX437="K",VLOOKUP(K437,Foundation_Calc!$K$117:$R$151,VLOOKUP(AW437,Foundation_Calc!$I$2:$J$8,2,FALSE),0),"")))</f>
        <v/>
      </c>
      <c r="BA437" s="495" t="str">
        <f t="shared" si="51"/>
        <v/>
      </c>
      <c r="BB437" s="495" t="str">
        <f t="shared" si="52"/>
        <v/>
      </c>
      <c r="BC437" s="495" t="str">
        <f t="shared" si="53"/>
        <v/>
      </c>
      <c r="BD437" s="513" t="str">
        <f>IF(AND(L437="",H437=""),"",
IF(H437="",Pole_Calc!A$9,
IF(H437="MP",Pole_Calc!A$10,
IF(H437="AnMP",Pole_Calc!A$11,
IF(H437="A",Pole_Calc!A$12,
IF(H437="S/A",Pole_Calc!A$13,
IF(H437="A/S",Pole_Calc!A$14,"Poner a mano")))))))</f>
        <v/>
      </c>
      <c r="BE437" s="429" t="s">
        <v>118</v>
      </c>
      <c r="BF437" s="290"/>
      <c r="BG437" s="290"/>
      <c r="BH437" s="290"/>
      <c r="BI437" s="290"/>
    </row>
    <row r="438" spans="1:61" ht="15.75" customHeight="1">
      <c r="A438" s="708" t="s">
        <v>434</v>
      </c>
      <c r="B438" s="720" t="s">
        <v>1159</v>
      </c>
      <c r="C438" s="698">
        <f>+$C$436+$G$437</f>
        <v>40548.060000000005</v>
      </c>
      <c r="D438" s="699"/>
      <c r="E438" s="700"/>
      <c r="F438" s="700">
        <v>804</v>
      </c>
      <c r="G438" s="701"/>
      <c r="H438" s="702"/>
      <c r="I438" s="700"/>
      <c r="J438" s="698"/>
      <c r="K438" s="702"/>
      <c r="L438" s="702" t="s">
        <v>158</v>
      </c>
      <c r="M438" s="702" t="s">
        <v>396</v>
      </c>
      <c r="N438" s="702" t="s">
        <v>134</v>
      </c>
      <c r="O438" s="702"/>
      <c r="P438" s="702"/>
      <c r="Q438" s="700"/>
      <c r="R438" s="701"/>
      <c r="S438" s="701"/>
      <c r="T438" s="700">
        <v>30</v>
      </c>
      <c r="U438" s="700"/>
      <c r="V438" s="700"/>
      <c r="W438" s="707">
        <v>0.6</v>
      </c>
      <c r="X438" s="703"/>
      <c r="Y438" s="703"/>
      <c r="Z438" s="703"/>
      <c r="AA438" s="703"/>
      <c r="AB438" s="703"/>
      <c r="AC438" s="702" t="str">
        <f t="shared" si="47"/>
        <v>PHC</v>
      </c>
      <c r="AD438" s="702"/>
      <c r="AE438" s="702"/>
      <c r="AF438" s="700"/>
      <c r="AG438" s="699"/>
      <c r="AH438" s="700"/>
      <c r="AI438" s="700"/>
      <c r="AJ438" s="702"/>
      <c r="AK438" s="702"/>
      <c r="AL438" s="702"/>
      <c r="AM438" s="702" t="s">
        <v>126</v>
      </c>
      <c r="AN438" s="704">
        <v>5.15</v>
      </c>
      <c r="AO438" s="703"/>
      <c r="AP438" s="703"/>
      <c r="AQ438" s="703"/>
      <c r="AR438" s="703"/>
      <c r="AS438" s="703"/>
      <c r="AT438" s="703">
        <f>+ab($T$438,$T$436,$T$440,$G$437,$G$439, 1*$F$438,1200)</f>
        <v>3.7124273869792317</v>
      </c>
      <c r="AU438" s="705"/>
      <c r="AV438" s="705"/>
      <c r="AW438" s="702" t="str">
        <f>IF(C438&gt;0,VLOOKUP(C438,Foundation_Calc!$A$2:$C$13,3,1),
IF(J438&gt;0,VLOOKUP(J438,Foundation_Calc!$A$2:$C$13,3,1),""))</f>
        <v>Multi Soil</v>
      </c>
      <c r="AX438" s="702" t="str">
        <f>IF(C438&gt;0,VLOOKUP(C438,Foundation_Calc!$E$35:$G$65,3,1),
IF(J438&gt;0,VLOOKUP(J438,Foundation_Calc!$E$35:$G$65,3,1),""))</f>
        <v>PT</v>
      </c>
      <c r="AY438" s="704">
        <f>IF(L438="","",
IF(AX438="PT",VLOOKUP(L438,Foundation_Calc!$K$79:$R$113,VLOOKUP(AW438,Foundation_Calc!$I$2:$J$8,2,FALSE),0),
IF(AX438="K",VLOOKUP(L438,Foundation_Calc!$K$117:$R$151,VLOOKUP(AW438,Foundation_Calc!$I$2:$J$8,2,FALSE),0),"")))</f>
        <v>3.5</v>
      </c>
      <c r="AZ438" s="704" t="str">
        <f>IF(K438="","",
IF(AX438="PT",VLOOKUP(K438,Foundation_Calc!$K$79:$R$113,VLOOKUP(AW438,Foundation_Calc!$I$2:$J$8,2,FALSE),0),
IF(AX438="K",VLOOKUP(K438,Foundation_Calc!$K$117:$R$151,VLOOKUP(AW438,Foundation_Calc!$I$2:$J$8,2,FALSE),0),"")))</f>
        <v/>
      </c>
      <c r="BA438" s="495" t="str">
        <f t="shared" si="51"/>
        <v>ü</v>
      </c>
      <c r="BB438" s="495" t="str">
        <f t="shared" si="52"/>
        <v/>
      </c>
      <c r="BC438" s="495" t="str">
        <f t="shared" si="53"/>
        <v/>
      </c>
      <c r="BD438" s="513" t="str">
        <f>IF(AND(L438="",H438=""),"",
IF(H438="",Pole_Calc!A$9,
IF(H438="MP",Pole_Calc!A$10,
IF(H438="AnMP",Pole_Calc!A$11,
IF(H438="A",Pole_Calc!A$12,
IF(H438="S/A",Pole_Calc!A$13,
IF(H438="A/S",Pole_Calc!A$14,"Poner a mano")))))))</f>
        <v>App.7-V11I-P9.5.1.1</v>
      </c>
      <c r="BE438" s="429" t="s">
        <v>118</v>
      </c>
      <c r="BF438" s="289"/>
      <c r="BG438" s="289"/>
      <c r="BH438" s="290"/>
      <c r="BI438" s="289"/>
    </row>
    <row r="439" spans="1:61" ht="15.75" customHeight="1">
      <c r="A439" s="696" t="s">
        <v>430</v>
      </c>
      <c r="B439" s="697"/>
      <c r="C439" s="698"/>
      <c r="D439" s="699"/>
      <c r="E439" s="700"/>
      <c r="F439" s="700"/>
      <c r="G439" s="701">
        <v>40</v>
      </c>
      <c r="H439" s="702"/>
      <c r="I439" s="700"/>
      <c r="J439" s="698"/>
      <c r="K439" s="702"/>
      <c r="L439" s="702"/>
      <c r="M439" s="702" t="str">
        <f>IF(L439="","",
IF(AX439="PT",VLOOKUP(L439,Foundation_Calc!$V$79:$X$113,VLOOKUP(AX439,Foundation_Calc!$I$10:$J$13,2,FALSE),0),
IF(AX439="K",VLOOKUP(L439,Foundation_Calc!$V$117:$X$151,VLOOKUP(AX439,Foundation_Calc!$I$10:$J$13,2,FALSE),0),"")))</f>
        <v/>
      </c>
      <c r="N439" s="702"/>
      <c r="O439" s="702"/>
      <c r="P439" s="702"/>
      <c r="Q439" s="700"/>
      <c r="R439" s="701"/>
      <c r="S439" s="701"/>
      <c r="T439" s="700"/>
      <c r="U439" s="700"/>
      <c r="V439" s="700"/>
      <c r="W439" s="707"/>
      <c r="X439" s="703"/>
      <c r="Y439" s="703"/>
      <c r="Z439" s="703"/>
      <c r="AA439" s="703"/>
      <c r="AB439" s="703"/>
      <c r="AC439" s="702" t="str">
        <f t="shared" si="47"/>
        <v/>
      </c>
      <c r="AD439" s="702"/>
      <c r="AE439" s="702"/>
      <c r="AF439" s="700"/>
      <c r="AG439" s="699"/>
      <c r="AH439" s="700"/>
      <c r="AI439" s="700"/>
      <c r="AJ439" s="702"/>
      <c r="AK439" s="702"/>
      <c r="AL439" s="702"/>
      <c r="AM439" s="702"/>
      <c r="AN439" s="704"/>
      <c r="AO439" s="703"/>
      <c r="AP439" s="703"/>
      <c r="AQ439" s="703">
        <f>+FL_1($T$440,$T$438,$G$439,1200,9.28, 1*$F$440)</f>
        <v>0.3</v>
      </c>
      <c r="AR439" s="703"/>
      <c r="AS439" s="703"/>
      <c r="AT439" s="703"/>
      <c r="AU439" s="705"/>
      <c r="AV439" s="705"/>
      <c r="AW439" s="702" t="str">
        <f>IF(C439&gt;0,VLOOKUP(C439,Foundation_Calc!$A$2:$C$13,3,1),
IF(J439&gt;0,VLOOKUP(J439,Foundation_Calc!$A$2:$C$13,3,1),""))</f>
        <v/>
      </c>
      <c r="AX439" s="702" t="str">
        <f>IF(C439&gt;0,VLOOKUP(C439,Foundation_Calc!$E$35:$G$65,3,1),
IF(J439&gt;0,VLOOKUP(J439,Foundation_Calc!$E$35:$G$65,3,1),""))</f>
        <v/>
      </c>
      <c r="AY439" s="704" t="str">
        <f>IF(L439="","",
IF(AX439="PT",VLOOKUP(L439,Foundation_Calc!$K$79:$R$113,VLOOKUP(AW439,Foundation_Calc!$I$2:$J$8,2,FALSE),0),
IF(AX439="K",VLOOKUP(L439,Foundation_Calc!$K$117:$R$151,VLOOKUP(AW439,Foundation_Calc!$I$2:$J$8,2,FALSE),0),"")))</f>
        <v/>
      </c>
      <c r="AZ439" s="704" t="str">
        <f>IF(K439="","",
IF(AX439="PT",VLOOKUP(K439,Foundation_Calc!$K$79:$R$113,VLOOKUP(AW439,Foundation_Calc!$I$2:$J$8,2,FALSE),0),
IF(AX439="K",VLOOKUP(K439,Foundation_Calc!$K$117:$R$151,VLOOKUP(AW439,Foundation_Calc!$I$2:$J$8,2,FALSE),0),"")))</f>
        <v/>
      </c>
      <c r="BA439" s="495" t="str">
        <f t="shared" si="51"/>
        <v/>
      </c>
      <c r="BB439" s="495" t="str">
        <f t="shared" si="52"/>
        <v/>
      </c>
      <c r="BC439" s="495" t="str">
        <f t="shared" si="53"/>
        <v/>
      </c>
      <c r="BD439" s="513" t="str">
        <f>IF(AND(L439="",H439=""),"",
IF(H439="",Pole_Calc!A$9,
IF(H439="MP",Pole_Calc!A$10,
IF(H439="AnMP",Pole_Calc!A$11,
IF(H439="A",Pole_Calc!A$12,
IF(H439="S/A",Pole_Calc!A$13,
IF(H439="A/S",Pole_Calc!A$14,"Poner a mano")))))))</f>
        <v/>
      </c>
      <c r="BE439" s="429" t="s">
        <v>118</v>
      </c>
      <c r="BF439" s="290"/>
      <c r="BG439" s="290"/>
      <c r="BH439" s="290"/>
      <c r="BI439" s="290"/>
    </row>
    <row r="440" spans="1:61" ht="15.75" customHeight="1">
      <c r="A440" s="514"/>
      <c r="B440" s="450" t="s">
        <v>1160</v>
      </c>
      <c r="C440" s="3">
        <f>+$C$438+$G$439</f>
        <v>40588.060000000005</v>
      </c>
      <c r="D440" s="83"/>
      <c r="E440" s="4"/>
      <c r="F440" s="4">
        <v>804</v>
      </c>
      <c r="G440" s="6"/>
      <c r="H440" s="449"/>
      <c r="I440" s="4"/>
      <c r="J440" s="3"/>
      <c r="K440" s="449"/>
      <c r="L440" s="449" t="s">
        <v>158</v>
      </c>
      <c r="M440" s="449" t="str">
        <f>IF(L440="","",
IF(AX440="PT",VLOOKUP(L440,Foundation_Calc!$V$79:$X$113,VLOOKUP(AX440,Foundation_Calc!$I$10:$J$13,2,FALSE),0),
IF(AX440="K",VLOOKUP(L440,Foundation_Calc!$V$117:$X$151,VLOOKUP(AX440,Foundation_Calc!$I$10:$J$13,2,FALSE),0),"")))</f>
        <v>C4R</v>
      </c>
      <c r="N440" s="449" t="s">
        <v>134</v>
      </c>
      <c r="O440" s="449"/>
      <c r="P440" s="449"/>
      <c r="Q440" s="4"/>
      <c r="R440" s="6"/>
      <c r="S440" s="6"/>
      <c r="T440" s="4">
        <v>30</v>
      </c>
      <c r="U440" s="4"/>
      <c r="V440" s="4"/>
      <c r="W440" s="572">
        <v>0.6</v>
      </c>
      <c r="X440" s="9"/>
      <c r="Y440" s="9"/>
      <c r="Z440" s="9"/>
      <c r="AA440" s="9"/>
      <c r="AB440" s="9"/>
      <c r="AC440" s="449" t="str">
        <f t="shared" si="47"/>
        <v>PHC</v>
      </c>
      <c r="AD440" s="449"/>
      <c r="AE440" s="449"/>
      <c r="AF440" s="4"/>
      <c r="AG440" s="83"/>
      <c r="AH440" s="4"/>
      <c r="AI440" s="4"/>
      <c r="AJ440" s="449"/>
      <c r="AK440" s="449"/>
      <c r="AL440" s="449"/>
      <c r="AM440" s="449" t="s">
        <v>126</v>
      </c>
      <c r="AN440" s="10">
        <v>5.15</v>
      </c>
      <c r="AO440" s="9"/>
      <c r="AP440" s="9"/>
      <c r="AQ440" s="9"/>
      <c r="AR440" s="9"/>
      <c r="AS440" s="9"/>
      <c r="AT440" s="9">
        <f>+ab($T$440,$T$438,$T$442,$G$439,$G$441, 1*$F$440,1200)</f>
        <v>4.277637308713123</v>
      </c>
      <c r="AU440" s="428"/>
      <c r="AV440" s="428"/>
      <c r="AW440" s="449" t="str">
        <f>IF(C440&gt;0,VLOOKUP(C440,Foundation_Calc!$A$2:$C$13,3,1),
IF(J440&gt;0,VLOOKUP(J440,Foundation_Calc!$A$2:$C$13,3,1),""))</f>
        <v>Multi Soil</v>
      </c>
      <c r="AX440" s="449" t="str">
        <f>IF(C440&gt;0,VLOOKUP(C440,Foundation_Calc!$E$35:$G$65,3,1),
IF(J440&gt;0,VLOOKUP(J440,Foundation_Calc!$E$35:$G$65,3,1),""))</f>
        <v>PT</v>
      </c>
      <c r="AY440" s="10">
        <f>IF(L440="","",
IF(AX440="PT",VLOOKUP(L440,Foundation_Calc!$K$79:$R$113,VLOOKUP(AW440,Foundation_Calc!$I$2:$J$8,2,FALSE),0),
IF(AX440="K",VLOOKUP(L440,Foundation_Calc!$K$117:$R$151,VLOOKUP(AW440,Foundation_Calc!$I$2:$J$8,2,FALSE),0),"")))</f>
        <v>3.5</v>
      </c>
      <c r="AZ440" s="10" t="str">
        <f>IF(K440="","",
IF(AX440="PT",VLOOKUP(K440,Foundation_Calc!$K$79:$R$113,VLOOKUP(AW440,Foundation_Calc!$I$2:$J$8,2,FALSE),0),
IF(AX440="K",VLOOKUP(K440,Foundation_Calc!$K$117:$R$151,VLOOKUP(AW440,Foundation_Calc!$I$2:$J$8,2,FALSE),0),"")))</f>
        <v/>
      </c>
      <c r="BA440" s="495" t="str">
        <f t="shared" si="51"/>
        <v>ü</v>
      </c>
      <c r="BB440" s="495" t="str">
        <f t="shared" si="52"/>
        <v/>
      </c>
      <c r="BC440" s="495" t="str">
        <f t="shared" si="53"/>
        <v/>
      </c>
      <c r="BD440" s="513" t="str">
        <f>IF(AND(L440="",H440=""),"",
IF(H440="",Pole_Calc!A$9,
IF(H440="MP",Pole_Calc!A$10,
IF(H440="AnMP",Pole_Calc!A$11,
IF(H440="A",Pole_Calc!A$12,
IF(H440="S/A",Pole_Calc!A$13,
IF(H440="A/S",Pole_Calc!A$14,"Poner a mano")))))))</f>
        <v>App.7-V11I-P9.5.1.1</v>
      </c>
      <c r="BE440" s="429" t="s">
        <v>118</v>
      </c>
      <c r="BF440" s="289"/>
      <c r="BG440" s="289"/>
      <c r="BH440" s="290"/>
      <c r="BI440" s="289"/>
    </row>
    <row r="441" spans="1:61" ht="15.75" customHeight="1">
      <c r="A441" s="514"/>
      <c r="B441" s="450"/>
      <c r="C441" s="3"/>
      <c r="D441" s="83"/>
      <c r="E441" s="4"/>
      <c r="F441" s="4"/>
      <c r="G441" s="6">
        <v>32</v>
      </c>
      <c r="H441" s="449"/>
      <c r="I441" s="4"/>
      <c r="J441" s="3"/>
      <c r="K441" s="449"/>
      <c r="L441" s="449"/>
      <c r="M441" s="449" t="str">
        <f>IF(L441="","",
IF(AX441="PT",VLOOKUP(L441,Foundation_Calc!$V$79:$X$113,VLOOKUP(AX441,Foundation_Calc!$I$10:$J$13,2,FALSE),0),
IF(AX441="K",VLOOKUP(L441,Foundation_Calc!$V$117:$X$151,VLOOKUP(AX441,Foundation_Calc!$I$10:$J$13,2,FALSE),0),"")))</f>
        <v/>
      </c>
      <c r="N441" s="449"/>
      <c r="O441" s="449"/>
      <c r="P441" s="449"/>
      <c r="Q441" s="4"/>
      <c r="R441" s="6"/>
      <c r="S441" s="6"/>
      <c r="T441" s="4"/>
      <c r="U441" s="4"/>
      <c r="V441" s="4"/>
      <c r="W441" s="572"/>
      <c r="X441" s="9"/>
      <c r="Y441" s="9"/>
      <c r="Z441" s="9"/>
      <c r="AA441" s="9"/>
      <c r="AB441" s="9"/>
      <c r="AC441" s="449" t="str">
        <f t="shared" si="47"/>
        <v/>
      </c>
      <c r="AD441" s="449"/>
      <c r="AE441" s="449"/>
      <c r="AF441" s="4"/>
      <c r="AG441" s="83"/>
      <c r="AH441" s="4"/>
      <c r="AI441" s="4"/>
      <c r="AJ441" s="449"/>
      <c r="AK441" s="449"/>
      <c r="AL441" s="449"/>
      <c r="AM441" s="449"/>
      <c r="AN441" s="10"/>
      <c r="AO441" s="9"/>
      <c r="AP441" s="9"/>
      <c r="AQ441" s="9">
        <f>+FL_1($T$442,$T$440,$G$441,1200,9.28, 1*$F$442)</f>
        <v>0.30000000000008642</v>
      </c>
      <c r="AR441" s="9"/>
      <c r="AS441" s="9"/>
      <c r="AT441" s="9"/>
      <c r="AU441" s="428"/>
      <c r="AV441" s="428"/>
      <c r="AW441" s="449" t="str">
        <f>IF(C441&gt;0,VLOOKUP(C441,Foundation_Calc!$A$2:$C$13,3,1),
IF(J441&gt;0,VLOOKUP(J441,Foundation_Calc!$A$2:$C$13,3,1),""))</f>
        <v/>
      </c>
      <c r="AX441" s="449" t="str">
        <f>IF(C441&gt;0,VLOOKUP(C441,Foundation_Calc!$E$35:$G$65,3,1),
IF(J441&gt;0,VLOOKUP(J441,Foundation_Calc!$E$35:$G$65,3,1),""))</f>
        <v/>
      </c>
      <c r="AY441" s="10" t="str">
        <f>IF(L441="","",
IF(AX441="PT",VLOOKUP(L441,Foundation_Calc!$K$79:$R$113,VLOOKUP(AW441,Foundation_Calc!$I$2:$J$8,2,FALSE),0),
IF(AX441="K",VLOOKUP(L441,Foundation_Calc!$K$117:$R$151,VLOOKUP(AW441,Foundation_Calc!$I$2:$J$8,2,FALSE),0),"")))</f>
        <v/>
      </c>
      <c r="AZ441" s="10" t="str">
        <f>IF(K441="","",
IF(AX441="PT",VLOOKUP(K441,Foundation_Calc!$K$79:$R$113,VLOOKUP(AW441,Foundation_Calc!$I$2:$J$8,2,FALSE),0),
IF(AX441="K",VLOOKUP(K441,Foundation_Calc!$K$117:$R$151,VLOOKUP(AW441,Foundation_Calc!$I$2:$J$8,2,FALSE),0),"")))</f>
        <v/>
      </c>
      <c r="BA441" s="495" t="str">
        <f t="shared" si="51"/>
        <v/>
      </c>
      <c r="BB441" s="495" t="str">
        <f t="shared" si="52"/>
        <v/>
      </c>
      <c r="BC441" s="495" t="str">
        <f t="shared" si="53"/>
        <v/>
      </c>
      <c r="BD441" s="513" t="str">
        <f>IF(AND(L441="",H441=""),"",
IF(H441="",Pole_Calc!A$9,
IF(H441="MP",Pole_Calc!A$10,
IF(H441="AnMP",Pole_Calc!A$11,
IF(H441="A",Pole_Calc!A$12,
IF(H441="S/A",Pole_Calc!A$13,
IF(H441="A/S",Pole_Calc!A$14,"Poner a mano")))))))</f>
        <v/>
      </c>
      <c r="BE441" s="429" t="s">
        <v>118</v>
      </c>
      <c r="BF441" s="290"/>
      <c r="BG441" s="290"/>
      <c r="BH441" s="290"/>
      <c r="BI441" s="290"/>
    </row>
    <row r="442" spans="1:61" ht="15.75" customHeight="1">
      <c r="A442" s="517"/>
      <c r="B442" s="450" t="s">
        <v>1161</v>
      </c>
      <c r="C442" s="3">
        <f>+$C$440+$G$441-1.5</f>
        <v>40618.560000000005</v>
      </c>
      <c r="D442" s="83"/>
      <c r="E442" s="4"/>
      <c r="F442" s="4">
        <v>804</v>
      </c>
      <c r="G442" s="6"/>
      <c r="H442" s="449"/>
      <c r="I442" s="4"/>
      <c r="J442" s="3"/>
      <c r="K442" s="449"/>
      <c r="L442" s="449" t="s">
        <v>158</v>
      </c>
      <c r="M442" s="449" t="str">
        <f>IF(L442="","",
IF(AX442="PT",VLOOKUP(L442,Foundation_Calc!$V$79:$X$113,VLOOKUP(AX442,Foundation_Calc!$I$10:$J$13,2,FALSE),0),
IF(AX442="K",VLOOKUP(L442,Foundation_Calc!$V$117:$X$151,VLOOKUP(AX442,Foundation_Calc!$I$10:$J$13,2,FALSE),0),"")))</f>
        <v>C4R</v>
      </c>
      <c r="N442" s="449" t="s">
        <v>134</v>
      </c>
      <c r="O442" s="449"/>
      <c r="P442" s="449"/>
      <c r="Q442" s="4"/>
      <c r="R442" s="6"/>
      <c r="S442" s="6"/>
      <c r="T442" s="4">
        <v>30</v>
      </c>
      <c r="U442" s="4"/>
      <c r="V442" s="4"/>
      <c r="W442" s="572">
        <v>0.8</v>
      </c>
      <c r="X442" s="9"/>
      <c r="Y442" s="9"/>
      <c r="Z442" s="9"/>
      <c r="AA442" s="9"/>
      <c r="AB442" s="9"/>
      <c r="AC442" s="449" t="str">
        <f t="shared" si="47"/>
        <v>PHC</v>
      </c>
      <c r="AD442" s="449"/>
      <c r="AE442" s="449"/>
      <c r="AF442" s="4"/>
      <c r="AG442" s="83"/>
      <c r="AH442" s="4"/>
      <c r="AI442" s="4"/>
      <c r="AJ442" s="449"/>
      <c r="AK442" s="449"/>
      <c r="AL442" s="449"/>
      <c r="AM442" s="449" t="s">
        <v>126</v>
      </c>
      <c r="AN442" s="10">
        <f>AN440+0.04</f>
        <v>5.19</v>
      </c>
      <c r="AO442" s="9"/>
      <c r="AP442" s="9"/>
      <c r="AQ442" s="9"/>
      <c r="AR442" s="9"/>
      <c r="AS442" s="9"/>
      <c r="AT442" s="9">
        <f>+ab($T$442,$T$440,$T$444,$G$441,$G$443, 1*$F$442,1200)</f>
        <v>4.277637308713123</v>
      </c>
      <c r="AU442" s="428"/>
      <c r="AV442" s="428"/>
      <c r="AW442" s="449" t="str">
        <f>IF(C442&gt;0,VLOOKUP(C442,Foundation_Calc!$A$2:$C$13,3,1),
IF(J442&gt;0,VLOOKUP(J442,Foundation_Calc!$A$2:$C$13,3,1),""))</f>
        <v>Multi Soil</v>
      </c>
      <c r="AX442" s="449" t="str">
        <f>IF(C442&gt;0,VLOOKUP(C442,Foundation_Calc!$E$35:$G$65,3,1),
IF(J442&gt;0,VLOOKUP(J442,Foundation_Calc!$E$35:$G$65,3,1),""))</f>
        <v>PT</v>
      </c>
      <c r="AY442" s="10">
        <f>IF(L442="","",
IF(AX442="PT",VLOOKUP(L442,Foundation_Calc!$K$79:$R$113,VLOOKUP(AW442,Foundation_Calc!$I$2:$J$8,2,FALSE),0),
IF(AX442="K",VLOOKUP(L442,Foundation_Calc!$K$117:$R$151,VLOOKUP(AW442,Foundation_Calc!$I$2:$J$8,2,FALSE),0),"")))</f>
        <v>3.5</v>
      </c>
      <c r="AZ442" s="10" t="str">
        <f>IF(K442="","",
IF(AX442="PT",VLOOKUP(K442,Foundation_Calc!$K$79:$R$113,VLOOKUP(AW442,Foundation_Calc!$I$2:$J$8,2,FALSE),0),
IF(AX442="K",VLOOKUP(K442,Foundation_Calc!$K$117:$R$151,VLOOKUP(AW442,Foundation_Calc!$I$2:$J$8,2,FALSE),0),"")))</f>
        <v/>
      </c>
      <c r="BA442" s="495" t="str">
        <f t="shared" si="51"/>
        <v>ü</v>
      </c>
      <c r="BB442" s="495" t="str">
        <f t="shared" si="52"/>
        <v/>
      </c>
      <c r="BC442" s="495" t="str">
        <f t="shared" si="53"/>
        <v/>
      </c>
      <c r="BD442" s="513" t="str">
        <f>IF(AND(L442="",H442=""),"",
IF(H442="",Pole_Calc!A$9,
IF(H442="MP",Pole_Calc!A$10,
IF(H442="AnMP",Pole_Calc!A$11,
IF(H442="A",Pole_Calc!A$12,
IF(H442="S/A",Pole_Calc!A$13,
IF(H442="A/S",Pole_Calc!A$14,"Poner a mano")))))))</f>
        <v>App.7-V11I-P9.5.1.1</v>
      </c>
      <c r="BE442" s="429" t="s">
        <v>118</v>
      </c>
      <c r="BF442" s="289"/>
      <c r="BG442" s="289"/>
      <c r="BH442" s="290"/>
      <c r="BI442" s="289"/>
    </row>
    <row r="443" spans="1:61" ht="15.75" customHeight="1">
      <c r="A443" s="517"/>
      <c r="B443" s="450"/>
      <c r="C443" s="3"/>
      <c r="D443" s="83"/>
      <c r="E443" s="4"/>
      <c r="F443" s="4"/>
      <c r="G443" s="6">
        <v>40</v>
      </c>
      <c r="H443" s="449"/>
      <c r="I443" s="4"/>
      <c r="J443" s="3"/>
      <c r="K443" s="449"/>
      <c r="L443" s="449"/>
      <c r="M443" s="449" t="str">
        <f>IF(L443="","",
IF(AX443="PT",VLOOKUP(L443,Foundation_Calc!$V$79:$X$113,VLOOKUP(AX443,Foundation_Calc!$I$10:$J$13,2,FALSE),0),
IF(AX443="K",VLOOKUP(L443,Foundation_Calc!$V$117:$X$151,VLOOKUP(AX443,Foundation_Calc!$I$10:$J$13,2,FALSE),0),"")))</f>
        <v/>
      </c>
      <c r="N443" s="449"/>
      <c r="O443" s="449"/>
      <c r="P443" s="449"/>
      <c r="Q443" s="4"/>
      <c r="R443" s="6"/>
      <c r="S443" s="6"/>
      <c r="T443" s="4"/>
      <c r="U443" s="4"/>
      <c r="V443" s="4"/>
      <c r="W443" s="572"/>
      <c r="X443" s="9"/>
      <c r="Y443" s="9"/>
      <c r="Z443" s="9"/>
      <c r="AA443" s="9"/>
      <c r="AB443" s="9"/>
      <c r="AC443" s="449" t="str">
        <f t="shared" si="47"/>
        <v/>
      </c>
      <c r="AD443" s="449"/>
      <c r="AE443" s="449"/>
      <c r="AF443" s="4"/>
      <c r="AG443" s="83"/>
      <c r="AH443" s="4"/>
      <c r="AI443" s="4"/>
      <c r="AJ443" s="449"/>
      <c r="AK443" s="449"/>
      <c r="AL443" s="449"/>
      <c r="AM443" s="449"/>
      <c r="AN443" s="10"/>
      <c r="AO443" s="9"/>
      <c r="AP443" s="9"/>
      <c r="AQ443" s="9">
        <f>+FL_1($T$444,$T$442,$G$443,1200,9.28, 1*$F$444)</f>
        <v>0.3</v>
      </c>
      <c r="AR443" s="9"/>
      <c r="AS443" s="9"/>
      <c r="AT443" s="9"/>
      <c r="AU443" s="428"/>
      <c r="AV443" s="428"/>
      <c r="AW443" s="449" t="str">
        <f>IF(C443&gt;0,VLOOKUP(C443,Foundation_Calc!$A$2:$C$13,3,1),
IF(J443&gt;0,VLOOKUP(J443,Foundation_Calc!$A$2:$C$13,3,1),""))</f>
        <v/>
      </c>
      <c r="AX443" s="449" t="str">
        <f>IF(C443&gt;0,VLOOKUP(C443,Foundation_Calc!$E$35:$G$65,3,1),
IF(J443&gt;0,VLOOKUP(J443,Foundation_Calc!$E$35:$G$65,3,1),""))</f>
        <v/>
      </c>
      <c r="AY443" s="10" t="str">
        <f>IF(L443="","",
IF(AX443="PT",VLOOKUP(L443,Foundation_Calc!$K$79:$R$113,VLOOKUP(AW443,Foundation_Calc!$I$2:$J$8,2,FALSE),0),
IF(AX443="K",VLOOKUP(L443,Foundation_Calc!$K$117:$R$151,VLOOKUP(AW443,Foundation_Calc!$I$2:$J$8,2,FALSE),0),"")))</f>
        <v/>
      </c>
      <c r="AZ443" s="10" t="str">
        <f>IF(K443="","",
IF(AX443="PT",VLOOKUP(K443,Foundation_Calc!$K$79:$R$113,VLOOKUP(AW443,Foundation_Calc!$I$2:$J$8,2,FALSE),0),
IF(AX443="K",VLOOKUP(K443,Foundation_Calc!$K$117:$R$151,VLOOKUP(AW443,Foundation_Calc!$I$2:$J$8,2,FALSE),0),"")))</f>
        <v/>
      </c>
      <c r="BA443" s="495" t="str">
        <f t="shared" si="51"/>
        <v/>
      </c>
      <c r="BB443" s="495" t="str">
        <f t="shared" si="52"/>
        <v/>
      </c>
      <c r="BC443" s="495" t="str">
        <f t="shared" si="53"/>
        <v/>
      </c>
      <c r="BD443" s="513" t="str">
        <f>IF(AND(L443="",H443=""),"",
IF(H443="",Pole_Calc!A$9,
IF(H443="MP",Pole_Calc!A$10,
IF(H443="AnMP",Pole_Calc!A$11,
IF(H443="A",Pole_Calc!A$12,
IF(H443="S/A",Pole_Calc!A$13,
IF(H443="A/S",Pole_Calc!A$14,"Poner a mano")))))))</f>
        <v/>
      </c>
      <c r="BE443" s="429" t="s">
        <v>118</v>
      </c>
      <c r="BF443" s="290"/>
      <c r="BG443" s="290"/>
      <c r="BH443" s="290"/>
      <c r="BI443" s="290"/>
    </row>
    <row r="444" spans="1:61" ht="15.75" customHeight="1">
      <c r="A444" s="514"/>
      <c r="B444" s="450" t="s">
        <v>1162</v>
      </c>
      <c r="C444" s="3">
        <f>+$C$442+$G$443</f>
        <v>40658.560000000005</v>
      </c>
      <c r="D444" s="83"/>
      <c r="E444" s="4"/>
      <c r="F444" s="4">
        <v>804</v>
      </c>
      <c r="G444" s="6"/>
      <c r="H444" s="449"/>
      <c r="I444" s="4"/>
      <c r="J444" s="3"/>
      <c r="K444" s="449"/>
      <c r="L444" s="449" t="s">
        <v>158</v>
      </c>
      <c r="M444" s="449" t="str">
        <f>IF(L444="","",
IF(AX444="PT",VLOOKUP(L444,Foundation_Calc!$V$79:$X$113,VLOOKUP(AX444,Foundation_Calc!$I$10:$J$13,2,FALSE),0),
IF(AX444="K",VLOOKUP(L444,Foundation_Calc!$V$117:$X$151,VLOOKUP(AX444,Foundation_Calc!$I$10:$J$13,2,FALSE),0),"")))</f>
        <v>C4R</v>
      </c>
      <c r="N444" s="449" t="s">
        <v>134</v>
      </c>
      <c r="O444" s="449"/>
      <c r="P444" s="449"/>
      <c r="Q444" s="4"/>
      <c r="R444" s="6"/>
      <c r="S444" s="6"/>
      <c r="T444" s="4">
        <v>30</v>
      </c>
      <c r="U444" s="4"/>
      <c r="V444" s="4"/>
      <c r="W444" s="572">
        <v>1</v>
      </c>
      <c r="X444" s="9"/>
      <c r="Y444" s="9"/>
      <c r="Z444" s="9"/>
      <c r="AA444" s="9"/>
      <c r="AB444" s="9"/>
      <c r="AC444" s="449" t="str">
        <f t="shared" si="47"/>
        <v>PHC</v>
      </c>
      <c r="AD444" s="449"/>
      <c r="AE444" s="449"/>
      <c r="AF444" s="4"/>
      <c r="AG444" s="83"/>
      <c r="AH444" s="4"/>
      <c r="AI444" s="4"/>
      <c r="AJ444" s="449"/>
      <c r="AK444" s="449"/>
      <c r="AL444" s="449"/>
      <c r="AM444" s="449" t="s">
        <v>126</v>
      </c>
      <c r="AN444" s="10">
        <f>AN442+0.08</f>
        <v>5.2700000000000005</v>
      </c>
      <c r="AO444" s="9"/>
      <c r="AP444" s="9"/>
      <c r="AQ444" s="9"/>
      <c r="AR444" s="9"/>
      <c r="AS444" s="9"/>
      <c r="AT444" s="9">
        <f>+ab($T$444,$T$442,$T$446,$G$443,$G$445, 1*$F$444,1200)</f>
        <v>3.625311906765901</v>
      </c>
      <c r="AU444" s="428"/>
      <c r="AV444" s="428"/>
      <c r="AW444" s="449" t="str">
        <f>IF(C444&gt;0,VLOOKUP(C444,Foundation_Calc!$A$2:$C$13,3,1),
IF(J444&gt;0,VLOOKUP(J444,Foundation_Calc!$A$2:$C$13,3,1),""))</f>
        <v>Multi Soil</v>
      </c>
      <c r="AX444" s="449" t="str">
        <f>IF(C444&gt;0,VLOOKUP(C444,Foundation_Calc!$E$35:$G$65,3,1),
IF(J444&gt;0,VLOOKUP(J444,Foundation_Calc!$E$35:$G$65,3,1),""))</f>
        <v>PT</v>
      </c>
      <c r="AY444" s="10">
        <f>IF(L444="","",
IF(AX444="PT",VLOOKUP(L444,Foundation_Calc!$K$79:$R$113,VLOOKUP(AW444,Foundation_Calc!$I$2:$J$8,2,FALSE),0),
IF(AX444="K",VLOOKUP(L444,Foundation_Calc!$K$117:$R$151,VLOOKUP(AW444,Foundation_Calc!$I$2:$J$8,2,FALSE),0),"")))</f>
        <v>3.5</v>
      </c>
      <c r="AZ444" s="10" t="str">
        <f>IF(K444="","",
IF(AX444="PT",VLOOKUP(K444,Foundation_Calc!$K$79:$R$113,VLOOKUP(AW444,Foundation_Calc!$I$2:$J$8,2,FALSE),0),
IF(AX444="K",VLOOKUP(K444,Foundation_Calc!$K$117:$R$151,VLOOKUP(AW444,Foundation_Calc!$I$2:$J$8,2,FALSE),0),"")))</f>
        <v/>
      </c>
      <c r="BA444" s="495" t="str">
        <f t="shared" si="51"/>
        <v>ü</v>
      </c>
      <c r="BB444" s="495" t="str">
        <f t="shared" si="52"/>
        <v/>
      </c>
      <c r="BC444" s="495" t="str">
        <f t="shared" si="53"/>
        <v/>
      </c>
      <c r="BD444" s="513" t="str">
        <f>IF(AND(L444="",H444=""),"",
IF(H444="",Pole_Calc!A$9,
IF(H444="MP",Pole_Calc!A$10,
IF(H444="AnMP",Pole_Calc!A$11,
IF(H444="A",Pole_Calc!A$12,
IF(H444="S/A",Pole_Calc!A$13,
IF(H444="A/S",Pole_Calc!A$14,"Poner a mano")))))))</f>
        <v>App.7-V11I-P9.5.1.1</v>
      </c>
      <c r="BE444" s="429" t="s">
        <v>118</v>
      </c>
      <c r="BF444" s="289"/>
      <c r="BG444" s="289"/>
      <c r="BH444" s="290"/>
      <c r="BI444" s="289"/>
    </row>
    <row r="445" spans="1:61" ht="15.75" customHeight="1">
      <c r="A445" s="517"/>
      <c r="B445" s="450"/>
      <c r="C445" s="3"/>
      <c r="D445" s="83"/>
      <c r="E445" s="4"/>
      <c r="F445" s="4"/>
      <c r="G445" s="6">
        <v>45</v>
      </c>
      <c r="H445" s="449"/>
      <c r="I445" s="4"/>
      <c r="J445" s="3">
        <f>C446-9.5</f>
        <v>40694.060000000005</v>
      </c>
      <c r="K445" s="449" t="s">
        <v>117</v>
      </c>
      <c r="L445" s="449"/>
      <c r="M445" s="449" t="str">
        <f>IF(L445="","",
IF(AX445="PT",VLOOKUP(L445,Foundation_Calc!$V$79:$X$113,VLOOKUP(AX445,Foundation_Calc!$I$10:$J$13,2,FALSE),0),
IF(AX445="K",VLOOKUP(L445,Foundation_Calc!$V$117:$X$151,VLOOKUP(AX445,Foundation_Calc!$I$10:$J$13,2,FALSE),0),"")))</f>
        <v/>
      </c>
      <c r="N445" s="449"/>
      <c r="O445" s="449"/>
      <c r="P445" s="449"/>
      <c r="Q445" s="4"/>
      <c r="R445" s="6"/>
      <c r="S445" s="6"/>
      <c r="T445" s="4"/>
      <c r="U445" s="4"/>
      <c r="V445" s="4"/>
      <c r="W445" s="572"/>
      <c r="X445" s="9"/>
      <c r="Y445" s="9"/>
      <c r="Z445" s="9"/>
      <c r="AA445" s="9"/>
      <c r="AB445" s="9"/>
      <c r="AC445" s="449" t="str">
        <f t="shared" si="47"/>
        <v/>
      </c>
      <c r="AD445" s="449"/>
      <c r="AE445" s="449"/>
      <c r="AF445" s="4"/>
      <c r="AG445" s="83"/>
      <c r="AH445" s="4"/>
      <c r="AI445" s="4"/>
      <c r="AJ445" s="449"/>
      <c r="AK445" s="449"/>
      <c r="AL445" s="449"/>
      <c r="AM445" s="449"/>
      <c r="AN445" s="10"/>
      <c r="AO445" s="9"/>
      <c r="AP445" s="9"/>
      <c r="AQ445" s="9">
        <f>+FL_1($T$446,$T$444,$G$445,1200,9.28, 1*$F$446)</f>
        <v>0.30010587421998003</v>
      </c>
      <c r="AR445" s="9"/>
      <c r="AS445" s="9"/>
      <c r="AT445" s="9"/>
      <c r="AU445" s="428"/>
      <c r="AV445" s="428"/>
      <c r="AW445" s="449" t="str">
        <f>IF(C445&gt;0,VLOOKUP(C445,Foundation_Calc!$A$2:$C$13,3,1),
IF(J445&gt;0,VLOOKUP(J445,Foundation_Calc!$A$2:$C$13,3,1),""))</f>
        <v>Multi Soil</v>
      </c>
      <c r="AX445" s="449" t="str">
        <f>IF(C445&gt;0,VLOOKUP(C445,Foundation_Calc!$E$35:$G$65,3,1),
IF(J445&gt;0,VLOOKUP(J445,Foundation_Calc!$E$35:$G$65,3,1),""))</f>
        <v>PT</v>
      </c>
      <c r="AY445" s="10" t="str">
        <f>IF(L445="","",
IF(AX445="PT",VLOOKUP(L445,Foundation_Calc!$K$79:$R$113,VLOOKUP(AW445,Foundation_Calc!$I$2:$J$8,2,FALSE),0),
IF(AX445="K",VLOOKUP(L445,Foundation_Calc!$K$117:$R$151,VLOOKUP(AW445,Foundation_Calc!$I$2:$J$8,2,FALSE),0),"")))</f>
        <v/>
      </c>
      <c r="AZ445" s="10">
        <f>IF(K445="","",
IF(AX445="PT",VLOOKUP(K445,Foundation_Calc!$K$79:$R$113,VLOOKUP(AW445,Foundation_Calc!$I$2:$J$8,2,FALSE),0),
IF(AX445="K",VLOOKUP(K445,Foundation_Calc!$K$117:$R$151,VLOOKUP(AW445,Foundation_Calc!$I$2:$J$8,2,FALSE),0),"")))</f>
        <v>3.9</v>
      </c>
      <c r="BA445" s="495" t="str">
        <f t="shared" si="51"/>
        <v/>
      </c>
      <c r="BB445" s="495" t="str">
        <f t="shared" si="52"/>
        <v>ü</v>
      </c>
      <c r="BC445" s="495" t="str">
        <f t="shared" si="53"/>
        <v/>
      </c>
      <c r="BD445" s="513" t="str">
        <f>IF(AND(L445="",H445=""),"",
IF(H445="",Pole_Calc!A$9,
IF(H445="MP",Pole_Calc!A$10,
IF(H445="AnMP",Pole_Calc!A$11,
IF(H445="A",Pole_Calc!A$12,
IF(H445="S/A",Pole_Calc!A$13,
IF(H445="A/S",Pole_Calc!A$14,"Poner a mano")))))))</f>
        <v/>
      </c>
      <c r="BE445" s="429" t="s">
        <v>118</v>
      </c>
      <c r="BF445" s="290"/>
      <c r="BG445" s="290"/>
      <c r="BH445" s="290"/>
      <c r="BI445" s="290"/>
    </row>
    <row r="446" spans="1:61" ht="15.75" customHeight="1">
      <c r="A446" s="517"/>
      <c r="B446" s="450" t="s">
        <v>1163</v>
      </c>
      <c r="C446" s="3">
        <f>+$C$444+$G$445</f>
        <v>40703.560000000005</v>
      </c>
      <c r="D446" s="83"/>
      <c r="E446" s="4"/>
      <c r="F446" s="4">
        <v>804</v>
      </c>
      <c r="G446" s="6"/>
      <c r="H446" s="449" t="s">
        <v>121</v>
      </c>
      <c r="I446" s="4" t="s">
        <v>122</v>
      </c>
      <c r="J446" s="3"/>
      <c r="K446" s="449"/>
      <c r="L446" s="449" t="s">
        <v>181</v>
      </c>
      <c r="M446" s="449" t="str">
        <f>IF(L446="","",
IF(AX446="PT",VLOOKUP(L446,Foundation_Calc!$V$79:$X$113,VLOOKUP(AX446,Foundation_Calc!$I$10:$J$13,2,FALSE),0),
IF(AX446="K",VLOOKUP(L446,Foundation_Calc!$V$117:$X$151,VLOOKUP(AX446,Foundation_Calc!$I$10:$J$13,2,FALSE),0),"")))</f>
        <v>C5R</v>
      </c>
      <c r="N446" s="449" t="s">
        <v>134</v>
      </c>
      <c r="O446" s="449"/>
      <c r="P446" s="449"/>
      <c r="Q446" s="4"/>
      <c r="R446" s="6"/>
      <c r="S446" s="6"/>
      <c r="T446" s="4">
        <v>30</v>
      </c>
      <c r="U446" s="4"/>
      <c r="V446" s="4"/>
      <c r="W446" s="572">
        <v>1.2</v>
      </c>
      <c r="X446" s="9"/>
      <c r="Y446" s="9"/>
      <c r="Z446" s="9"/>
      <c r="AA446" s="9"/>
      <c r="AB446" s="9"/>
      <c r="AC446" s="449" t="str">
        <f t="shared" si="47"/>
        <v>PHC</v>
      </c>
      <c r="AD446" s="449"/>
      <c r="AE446" s="449"/>
      <c r="AF446" s="4"/>
      <c r="AG446" s="83"/>
      <c r="AH446" s="4"/>
      <c r="AI446" s="4"/>
      <c r="AJ446" s="449"/>
      <c r="AK446" s="449"/>
      <c r="AL446" s="449"/>
      <c r="AM446" s="449" t="s">
        <v>126</v>
      </c>
      <c r="AN446" s="10">
        <f>AN448-0.08</f>
        <v>5.36</v>
      </c>
      <c r="AO446" s="9"/>
      <c r="AP446" s="9"/>
      <c r="AQ446" s="9"/>
      <c r="AR446" s="9"/>
      <c r="AS446" s="9"/>
      <c r="AT446" s="9">
        <f>+ab($T$446,$T$444,$T$448,$G$445,$G$447, 1*$F$446,1200)</f>
        <v>3.7603859316841906</v>
      </c>
      <c r="AU446" s="428"/>
      <c r="AV446" s="428"/>
      <c r="AW446" s="449" t="str">
        <f>IF(C446&gt;0,VLOOKUP(C446,Foundation_Calc!$A$2:$C$13,3,1),
IF(J446&gt;0,VLOOKUP(J446,Foundation_Calc!$A$2:$C$13,3,1),""))</f>
        <v>Multi Soil</v>
      </c>
      <c r="AX446" s="449" t="str">
        <f>IF(C446&gt;0,VLOOKUP(C446,Foundation_Calc!$E$35:$G$65,3,1),
IF(J446&gt;0,VLOOKUP(J446,Foundation_Calc!$E$35:$G$65,3,1),""))</f>
        <v>PT</v>
      </c>
      <c r="AY446" s="10">
        <f>IF(L446="","",
IF(AX446="PT",VLOOKUP(L446,Foundation_Calc!$K$79:$R$113,VLOOKUP(AW446,Foundation_Calc!$I$2:$J$8,2,FALSE),0),
IF(AX446="K",VLOOKUP(L446,Foundation_Calc!$K$117:$R$151,VLOOKUP(AW446,Foundation_Calc!$I$2:$J$8,2,FALSE),0),"")))</f>
        <v>3.5</v>
      </c>
      <c r="AZ446" s="10" t="str">
        <f>IF(K446="","",
IF(AX446="PT",VLOOKUP(K446,Foundation_Calc!$K$79:$R$113,VLOOKUP(AW446,Foundation_Calc!$I$2:$J$8,2,FALSE),0),
IF(AX446="K",VLOOKUP(K446,Foundation_Calc!$K$117:$R$151,VLOOKUP(AW446,Foundation_Calc!$I$2:$J$8,2,FALSE),0),"")))</f>
        <v/>
      </c>
      <c r="BA446" s="495" t="str">
        <f t="shared" si="51"/>
        <v>ü</v>
      </c>
      <c r="BB446" s="495" t="str">
        <f t="shared" si="52"/>
        <v/>
      </c>
      <c r="BC446" s="495" t="str">
        <f t="shared" si="53"/>
        <v/>
      </c>
      <c r="BD446" s="513" t="str">
        <f>IF(AND(L446="",H446=""),"",
IF(H446="",Pole_Calc!A$9,
IF(H446="MP",Pole_Calc!A$10,
IF(H446="AnMP",Pole_Calc!A$11,
IF(H446="A",Pole_Calc!A$12,
IF(H446="S/A",Pole_Calc!A$13,
IF(H446="A/S",Pole_Calc!A$14,"Poner a mano")))))))</f>
        <v>App.7-V11I-P9.5.1.6</v>
      </c>
      <c r="BE446" s="429" t="s">
        <v>118</v>
      </c>
      <c r="BF446" s="289"/>
      <c r="BG446" s="289"/>
      <c r="BH446" s="290"/>
      <c r="BI446" s="289"/>
    </row>
    <row r="447" spans="1:61" ht="15.75" customHeight="1">
      <c r="A447" s="685" t="s">
        <v>160</v>
      </c>
      <c r="B447" s="686"/>
      <c r="C447" s="687"/>
      <c r="D447" s="688"/>
      <c r="E447" s="689"/>
      <c r="F447" s="689"/>
      <c r="G447" s="690">
        <v>39</v>
      </c>
      <c r="H447" s="691"/>
      <c r="I447" s="689" t="s">
        <v>195</v>
      </c>
      <c r="J447" s="687"/>
      <c r="K447" s="691"/>
      <c r="L447" s="691"/>
      <c r="M447" s="691" t="str">
        <f>IF(L447="","",
IF(AX447="PT",VLOOKUP(L447,Foundation_Calc!$V$79:$X$113,VLOOKUP(AX447,Foundation_Calc!$I$10:$J$13,2,FALSE),0),
IF(AX447="K",VLOOKUP(L447,Foundation_Calc!$V$117:$X$151,VLOOKUP(AX447,Foundation_Calc!$I$10:$J$13,2,FALSE),0),"")))</f>
        <v/>
      </c>
      <c r="N447" s="691"/>
      <c r="O447" s="691"/>
      <c r="P447" s="691"/>
      <c r="Q447" s="689"/>
      <c r="R447" s="690"/>
      <c r="S447" s="690"/>
      <c r="T447" s="689"/>
      <c r="U447" s="689"/>
      <c r="V447" s="689"/>
      <c r="W447" s="692"/>
      <c r="X447" s="692"/>
      <c r="Y447" s="692"/>
      <c r="Z447" s="692"/>
      <c r="AA447" s="692"/>
      <c r="AB447" s="692"/>
      <c r="AC447" s="691" t="str">
        <f t="shared" si="47"/>
        <v/>
      </c>
      <c r="AD447" s="691"/>
      <c r="AE447" s="691"/>
      <c r="AF447" s="689"/>
      <c r="AG447" s="688"/>
      <c r="AH447" s="689"/>
      <c r="AI447" s="689"/>
      <c r="AJ447" s="691"/>
      <c r="AK447" s="691"/>
      <c r="AL447" s="691"/>
      <c r="AM447" s="691"/>
      <c r="AN447" s="693"/>
      <c r="AO447" s="692"/>
      <c r="AP447" s="692"/>
      <c r="AQ447" s="692">
        <f>+FL_1($T$448,$T$446,$G$447,1200,9.28, 1*$F$448)</f>
        <v>0.34999999999999992</v>
      </c>
      <c r="AR447" s="692"/>
      <c r="AS447" s="692"/>
      <c r="AT447" s="692"/>
      <c r="AU447" s="694"/>
      <c r="AV447" s="694"/>
      <c r="AW447" s="691" t="str">
        <f>IF(C447&gt;0,VLOOKUP(C447,Foundation_Calc!$A$2:$C$13,3,1),
IF(J447&gt;0,VLOOKUP(J447,Foundation_Calc!$A$2:$C$13,3,1),""))</f>
        <v/>
      </c>
      <c r="AX447" s="691" t="str">
        <f>IF(C447&gt;0,VLOOKUP(C447,Foundation_Calc!$E$35:$G$65,3,1),
IF(J447&gt;0,VLOOKUP(J447,Foundation_Calc!$E$35:$G$65,3,1),""))</f>
        <v/>
      </c>
      <c r="AY447" s="693" t="str">
        <f>IF(L447="","",
IF(AX447="PT",VLOOKUP(L447,Foundation_Calc!$K$79:$R$113,VLOOKUP(AW447,Foundation_Calc!$I$2:$J$8,2,FALSE),0),
IF(AX447="K",VLOOKUP(L447,Foundation_Calc!$K$117:$R$151,VLOOKUP(AW447,Foundation_Calc!$I$2:$J$8,2,FALSE),0),"")))</f>
        <v/>
      </c>
      <c r="AZ447" s="693" t="str">
        <f>IF(K447="","",
IF(AX447="PT",VLOOKUP(K447,Foundation_Calc!$K$79:$R$113,VLOOKUP(AW447,Foundation_Calc!$I$2:$J$8,2,FALSE),0),
IF(AX447="K",VLOOKUP(K447,Foundation_Calc!$K$117:$R$151,VLOOKUP(AW447,Foundation_Calc!$I$2:$J$8,2,FALSE),0),"")))</f>
        <v/>
      </c>
      <c r="BA447" s="495" t="str">
        <f t="shared" si="51"/>
        <v/>
      </c>
      <c r="BB447" s="495" t="str">
        <f t="shared" si="52"/>
        <v/>
      </c>
      <c r="BC447" s="495" t="str">
        <f t="shared" si="53"/>
        <v/>
      </c>
      <c r="BD447" s="513" t="str">
        <f>IF(AND(L447="",H447=""),"",
IF(H447="",Pole_Calc!A$9,
IF(H447="MP",Pole_Calc!A$10,
IF(H447="AnMP",Pole_Calc!A$11,
IF(H447="A",Pole_Calc!A$12,
IF(H447="S/A",Pole_Calc!A$13,
IF(H447="A/S",Pole_Calc!A$14,"Poner a mano")))))))</f>
        <v/>
      </c>
      <c r="BE447" s="429" t="s">
        <v>118</v>
      </c>
      <c r="BF447" s="290"/>
      <c r="BG447" s="290"/>
      <c r="BH447" s="290"/>
      <c r="BI447" s="290"/>
    </row>
    <row r="448" spans="1:61" ht="15.75" customHeight="1">
      <c r="A448" s="514"/>
      <c r="B448" s="450" t="s">
        <v>1164</v>
      </c>
      <c r="C448" s="3">
        <f>+$C$446+$G$447-0.9</f>
        <v>40741.660000000003</v>
      </c>
      <c r="D448" s="83"/>
      <c r="E448" s="4"/>
      <c r="F448" s="4">
        <v>1086.5340554049956</v>
      </c>
      <c r="G448" s="6"/>
      <c r="H448" s="449" t="s">
        <v>1165</v>
      </c>
      <c r="I448" s="4" t="s">
        <v>122</v>
      </c>
      <c r="J448" s="3"/>
      <c r="K448" s="449"/>
      <c r="L448" s="449" t="s">
        <v>206</v>
      </c>
      <c r="M448" s="449" t="str">
        <f>IF(L448="","",
IF(AX448="PT",VLOOKUP(L448,Foundation_Calc!$V$79:$X$113,VLOOKUP(AX448,Foundation_Calc!$I$10:$J$13,2,FALSE),0),
IF(AX448="K",VLOOKUP(L448,Foundation_Calc!$V$117:$X$151,VLOOKUP(AX448,Foundation_Calc!$I$10:$J$13,2,FALSE),0),"")))</f>
        <v>2C4R</v>
      </c>
      <c r="N448" s="449" t="s">
        <v>133</v>
      </c>
      <c r="O448" s="449" t="s">
        <v>134</v>
      </c>
      <c r="P448" s="449"/>
      <c r="Q448" s="4"/>
      <c r="R448" s="6"/>
      <c r="S448" s="6"/>
      <c r="T448" s="4">
        <v>35</v>
      </c>
      <c r="U448" s="4">
        <v>-10</v>
      </c>
      <c r="V448" s="4"/>
      <c r="W448" s="9">
        <v>1.4</v>
      </c>
      <c r="X448" s="9">
        <v>1.8</v>
      </c>
      <c r="Y448" s="9"/>
      <c r="Z448" s="9">
        <v>0.4</v>
      </c>
      <c r="AA448" s="9"/>
      <c r="AB448" s="9"/>
      <c r="AC448" s="449" t="str">
        <f t="shared" si="47"/>
        <v>PHQ</v>
      </c>
      <c r="AD448" s="449"/>
      <c r="AE448" s="449"/>
      <c r="AF448" s="4"/>
      <c r="AG448" s="83"/>
      <c r="AH448" s="4"/>
      <c r="AI448" s="4"/>
      <c r="AJ448" s="449"/>
      <c r="AK448" s="449"/>
      <c r="AL448" s="449"/>
      <c r="AM448" s="449" t="s">
        <v>126</v>
      </c>
      <c r="AN448" s="10">
        <f>AN450-0.06</f>
        <v>5.44</v>
      </c>
      <c r="AO448" s="9"/>
      <c r="AP448" s="9"/>
      <c r="AQ448" s="9"/>
      <c r="AR448" s="9"/>
      <c r="AS448" s="9"/>
      <c r="AT448" s="9">
        <f>+ab($U$448,$T$446,$U$450,$G$447,$G$449, 1*$F$448,1200)</f>
        <v>5.8225890117366657</v>
      </c>
      <c r="AU448" s="428"/>
      <c r="AV448" s="428"/>
      <c r="AW448" s="449" t="str">
        <f>IF(C448&gt;0,VLOOKUP(C448,Foundation_Calc!$A$2:$C$13,3,1),
IF(J448&gt;0,VLOOKUP(J448,Foundation_Calc!$A$2:$C$13,3,1),""))</f>
        <v>Multi Soil</v>
      </c>
      <c r="AX448" s="449" t="str">
        <f>IF(C448&gt;0,VLOOKUP(C448,Foundation_Calc!$E$35:$G$65,3,1),
IF(J448&gt;0,VLOOKUP(J448,Foundation_Calc!$E$35:$G$65,3,1),""))</f>
        <v>PT</v>
      </c>
      <c r="AY448" s="10">
        <f>IF(L448="","",
IF(AX448="PT",VLOOKUP(L448,Foundation_Calc!$K$79:$R$113,VLOOKUP(AW448,Foundation_Calc!$I$2:$J$8,2,FALSE),0),
IF(AX448="K",VLOOKUP(L448,Foundation_Calc!$K$117:$R$151,VLOOKUP(AW448,Foundation_Calc!$I$2:$J$8,2,FALSE),0),"")))</f>
        <v>4</v>
      </c>
      <c r="AZ448" s="10" t="str">
        <f>IF(K448="","",
IF(AX448="PT",VLOOKUP(K448,Foundation_Calc!$K$79:$R$113,VLOOKUP(AW448,Foundation_Calc!$I$2:$J$8,2,FALSE),0),
IF(AX448="K",VLOOKUP(K448,Foundation_Calc!$K$117:$R$151,VLOOKUP(AW448,Foundation_Calc!$I$2:$J$8,2,FALSE),0),"")))</f>
        <v/>
      </c>
      <c r="BA448" s="495" t="str">
        <f t="shared" si="51"/>
        <v>ü</v>
      </c>
      <c r="BB448" s="495" t="str">
        <f t="shared" si="52"/>
        <v/>
      </c>
      <c r="BC448" s="495" t="str">
        <f t="shared" si="53"/>
        <v/>
      </c>
      <c r="BD448" s="513" t="str">
        <f>Pole_Calc!A$16</f>
        <v>App.7-V11I-P9.5.1.8</v>
      </c>
      <c r="BE448" s="429" t="s">
        <v>118</v>
      </c>
      <c r="BF448" s="289"/>
      <c r="BG448" s="289"/>
      <c r="BH448" s="290"/>
      <c r="BI448" s="289"/>
    </row>
    <row r="449" spans="1:61" ht="15.75" customHeight="1">
      <c r="A449" s="514" t="s">
        <v>438</v>
      </c>
      <c r="B449" s="450"/>
      <c r="C449" s="3"/>
      <c r="D449" s="83"/>
      <c r="E449" s="4"/>
      <c r="F449" s="4"/>
      <c r="G449" s="6">
        <v>45</v>
      </c>
      <c r="H449" s="449"/>
      <c r="I449" s="4">
        <v>220</v>
      </c>
      <c r="J449" s="3"/>
      <c r="K449" s="449"/>
      <c r="L449" s="449"/>
      <c r="M449" s="449" t="str">
        <f>IF(L449="","",
IF(AX449="PT",VLOOKUP(L449,Foundation_Calc!$V$79:$X$113,VLOOKUP(AX449,Foundation_Calc!$I$10:$J$13,2,FALSE),0),
IF(AX449="K",VLOOKUP(L449,Foundation_Calc!$V$117:$X$151,VLOOKUP(AX449,Foundation_Calc!$I$10:$J$13,2,FALSE),0),"")))</f>
        <v/>
      </c>
      <c r="N449" s="449"/>
      <c r="O449" s="449"/>
      <c r="P449" s="449"/>
      <c r="Q449" s="4"/>
      <c r="R449" s="6"/>
      <c r="S449" s="6"/>
      <c r="T449" s="4"/>
      <c r="U449" s="4"/>
      <c r="V449" s="4"/>
      <c r="W449" s="9"/>
      <c r="X449" s="9"/>
      <c r="Y449" s="9"/>
      <c r="Z449" s="9"/>
      <c r="AA449" s="9"/>
      <c r="AB449" s="9"/>
      <c r="AC449" s="449" t="str">
        <f t="shared" si="47"/>
        <v/>
      </c>
      <c r="AD449" s="449"/>
      <c r="AE449" s="449"/>
      <c r="AF449" s="4"/>
      <c r="AG449" s="83"/>
      <c r="AH449" s="4"/>
      <c r="AI449" s="4"/>
      <c r="AJ449" s="449"/>
      <c r="AK449" s="449"/>
      <c r="AL449" s="449"/>
      <c r="AM449" s="449"/>
      <c r="AN449" s="10"/>
      <c r="AO449" s="9"/>
      <c r="AP449" s="9"/>
      <c r="AQ449" s="9">
        <f>+FL_1($U$450,$U$448,$G$449,1200,9.28, 1*$F$450)</f>
        <v>-9.3297253108864719E-2</v>
      </c>
      <c r="AR449" s="9"/>
      <c r="AS449" s="9"/>
      <c r="AT449" s="9"/>
      <c r="AU449" s="428"/>
      <c r="AV449" s="428"/>
      <c r="AW449" s="449" t="str">
        <f>IF(C449&gt;0,VLOOKUP(C449,Foundation_Calc!$A$2:$C$13,3,1),
IF(J449&gt;0,VLOOKUP(J449,Foundation_Calc!$A$2:$C$13,3,1),""))</f>
        <v/>
      </c>
      <c r="AX449" s="449" t="str">
        <f>IF(C449&gt;0,VLOOKUP(C449,Foundation_Calc!$E$35:$G$65,3,1),
IF(J449&gt;0,VLOOKUP(J449,Foundation_Calc!$E$35:$G$65,3,1),""))</f>
        <v/>
      </c>
      <c r="AY449" s="10" t="str">
        <f>IF(L449="","",
IF(AX449="PT",VLOOKUP(L449,Foundation_Calc!$K$79:$R$113,VLOOKUP(AW449,Foundation_Calc!$I$2:$J$8,2,FALSE),0),
IF(AX449="K",VLOOKUP(L449,Foundation_Calc!$K$117:$R$151,VLOOKUP(AW449,Foundation_Calc!$I$2:$J$8,2,FALSE),0),"")))</f>
        <v/>
      </c>
      <c r="AZ449" s="10" t="str">
        <f>IF(K449="","",
IF(AX449="PT",VLOOKUP(K449,Foundation_Calc!$K$79:$R$113,VLOOKUP(AW449,Foundation_Calc!$I$2:$J$8,2,FALSE),0),
IF(AX449="K",VLOOKUP(K449,Foundation_Calc!$K$117:$R$151,VLOOKUP(AW449,Foundation_Calc!$I$2:$J$8,2,FALSE),0),"")))</f>
        <v/>
      </c>
      <c r="BA449" s="495" t="str">
        <f t="shared" si="51"/>
        <v/>
      </c>
      <c r="BB449" s="495" t="str">
        <f t="shared" si="52"/>
        <v/>
      </c>
      <c r="BC449" s="495" t="str">
        <f t="shared" si="53"/>
        <v/>
      </c>
      <c r="BD449" s="513" t="str">
        <f>IF(AND(L449="",H449=""),"",
IF(H449="",Pole_Calc!A$9,
IF(H449="MP",Pole_Calc!A$10,
IF(H449="AnMP",Pole_Calc!A$11,
IF(H449="A",Pole_Calc!A$12,
IF(H449="S/A",Pole_Calc!A$13,
IF(H449="A/S",Pole_Calc!A$14,"Poner a mano")))))))</f>
        <v/>
      </c>
      <c r="BE449" s="429" t="s">
        <v>118</v>
      </c>
      <c r="BF449" s="290"/>
      <c r="BG449" s="290"/>
      <c r="BH449" s="290"/>
      <c r="BI449" s="290"/>
    </row>
    <row r="450" spans="1:61" ht="15.75" customHeight="1">
      <c r="A450" s="721" t="s">
        <v>1166</v>
      </c>
      <c r="B450" s="722" t="s">
        <v>1167</v>
      </c>
      <c r="C450" s="723">
        <f>+$C$448+$G$449</f>
        <v>40786.660000000003</v>
      </c>
      <c r="D450" s="724"/>
      <c r="E450" s="725"/>
      <c r="F450" s="725">
        <v>2044.8647589176164</v>
      </c>
      <c r="G450" s="726"/>
      <c r="H450" s="727" t="s">
        <v>1168</v>
      </c>
      <c r="I450" s="725" t="s">
        <v>132</v>
      </c>
      <c r="J450" s="723"/>
      <c r="K450" s="727"/>
      <c r="L450" s="727" t="s">
        <v>201</v>
      </c>
      <c r="M450" s="727" t="str">
        <f>IF(L450="","",
IF(AX450="PT",VLOOKUP(L450,Foundation_Calc!$V$79:$X$113,VLOOKUP(AX450,Foundation_Calc!$I$10:$J$13,2,FALSE),0),
IF(AX450="K",VLOOKUP(L450,Foundation_Calc!$V$117:$X$151,VLOOKUP(AX450,Foundation_Calc!$I$10:$J$13,2,FALSE),0),"")))</f>
        <v/>
      </c>
      <c r="N450" s="882" t="s">
        <v>840</v>
      </c>
      <c r="O450" s="883" t="s">
        <v>343</v>
      </c>
      <c r="P450" s="883" t="s">
        <v>840</v>
      </c>
      <c r="Q450" s="725"/>
      <c r="R450" s="726"/>
      <c r="S450" s="726"/>
      <c r="T450" s="725">
        <v>55</v>
      </c>
      <c r="U450" s="725">
        <v>-30</v>
      </c>
      <c r="V450" s="725">
        <v>15</v>
      </c>
      <c r="W450" s="728">
        <v>1.4</v>
      </c>
      <c r="X450" s="728">
        <v>2</v>
      </c>
      <c r="Y450" s="728">
        <v>1.8</v>
      </c>
      <c r="Z450" s="728">
        <v>0.6</v>
      </c>
      <c r="AA450" s="728"/>
      <c r="AB450" s="728">
        <v>0.4</v>
      </c>
      <c r="AC450" s="727" t="str">
        <f t="shared" si="47"/>
        <v>PH</v>
      </c>
      <c r="AD450" s="727"/>
      <c r="AE450" s="727"/>
      <c r="AF450" s="725"/>
      <c r="AG450" s="724"/>
      <c r="AH450" s="725"/>
      <c r="AI450" s="725"/>
      <c r="AJ450" s="727" t="s">
        <v>441</v>
      </c>
      <c r="AK450" s="727" t="s">
        <v>844</v>
      </c>
      <c r="AL450" s="727"/>
      <c r="AM450" s="727"/>
      <c r="AN450" s="729">
        <v>5.5</v>
      </c>
      <c r="AO450" s="728"/>
      <c r="AP450" s="728"/>
      <c r="AQ450" s="728"/>
      <c r="AR450" s="728"/>
      <c r="AS450" s="728"/>
      <c r="AT450" s="728">
        <f>+ab($U$450,$U$448,$U$452,$G$449,$G$451, 1*$F$450,1200)</f>
        <v>18.36361906154924</v>
      </c>
      <c r="AU450" s="730"/>
      <c r="AV450" s="730"/>
      <c r="AW450" s="727" t="s">
        <v>201</v>
      </c>
      <c r="AX450" s="727" t="s">
        <v>201</v>
      </c>
      <c r="AY450" s="729" t="str">
        <f>IF(L450="","",
IF(AX450="PT",VLOOKUP(L450,Foundation_Calc!$K$79:$R$113,VLOOKUP(AW450,Foundation_Calc!$I$2:$J$8,2,FALSE),0),
IF(AX450="K",VLOOKUP(L450,Foundation_Calc!$K$117:$R$151,VLOOKUP(AW450,Foundation_Calc!$I$2:$J$8,2,FALSE),0),"")))</f>
        <v/>
      </c>
      <c r="AZ450" s="729" t="str">
        <f>IF(K450="","",
IF(AX450="PT",VLOOKUP(K450,Foundation_Calc!$K$79:$R$113,VLOOKUP(AW450,Foundation_Calc!$I$2:$J$8,2,FALSE),0),
IF(AX450="K",VLOOKUP(K450,Foundation_Calc!$K$117:$R$151,VLOOKUP(AW450,Foundation_Calc!$I$2:$J$8,2,FALSE),0),"")))</f>
        <v/>
      </c>
      <c r="BA450" s="495" t="str">
        <f t="shared" si="51"/>
        <v/>
      </c>
      <c r="BB450" s="495" t="str">
        <f t="shared" si="52"/>
        <v/>
      </c>
      <c r="BC450" s="495" t="str">
        <f t="shared" si="53"/>
        <v/>
      </c>
      <c r="BD450" s="513"/>
      <c r="BE450" s="429" t="s">
        <v>118</v>
      </c>
      <c r="BF450" s="289"/>
      <c r="BG450" s="289"/>
      <c r="BH450" s="290"/>
      <c r="BI450" s="289"/>
    </row>
    <row r="451" spans="1:61" ht="15.75" customHeight="1">
      <c r="A451" s="517" t="s">
        <v>442</v>
      </c>
      <c r="B451" s="450"/>
      <c r="C451" s="3"/>
      <c r="D451" s="83"/>
      <c r="E451" s="4"/>
      <c r="F451" s="4"/>
      <c r="G451" s="6">
        <v>40</v>
      </c>
      <c r="H451" s="449"/>
      <c r="I451" s="4"/>
      <c r="J451" s="3"/>
      <c r="K451" s="449"/>
      <c r="L451" s="449"/>
      <c r="M451" s="449" t="str">
        <f>IF(L451="","",
IF(AX451="PT",VLOOKUP(L451,Foundation_Calc!$V$79:$X$113,VLOOKUP(AX451,Foundation_Calc!$I$10:$J$13,2,FALSE),0),
IF(AX451="K",VLOOKUP(L451,Foundation_Calc!$V$117:$X$151,VLOOKUP(AX451,Foundation_Calc!$I$10:$J$13,2,FALSE),0),"")))</f>
        <v/>
      </c>
      <c r="N451" s="553"/>
      <c r="O451" s="553"/>
      <c r="P451" s="553"/>
      <c r="Q451" s="4"/>
      <c r="R451" s="6"/>
      <c r="S451" s="6"/>
      <c r="T451" s="4"/>
      <c r="U451" s="4"/>
      <c r="V451" s="4"/>
      <c r="W451" s="9"/>
      <c r="X451" s="9"/>
      <c r="Y451" s="9"/>
      <c r="Z451" s="9"/>
      <c r="AA451" s="9"/>
      <c r="AB451" s="9"/>
      <c r="AC451" s="449" t="str">
        <f t="shared" si="47"/>
        <v/>
      </c>
      <c r="AD451" s="449"/>
      <c r="AE451" s="449"/>
      <c r="AF451" s="4"/>
      <c r="AG451" s="83"/>
      <c r="AH451" s="4"/>
      <c r="AI451" s="4"/>
      <c r="AJ451" s="449"/>
      <c r="AK451" s="449"/>
      <c r="AL451" s="449"/>
      <c r="AM451" s="449"/>
      <c r="AN451" s="10"/>
      <c r="AO451" s="9"/>
      <c r="AP451" s="9"/>
      <c r="AQ451" s="9">
        <f>+FL_1($U$452,$U$450,$G$451,1200,9.28, 1*$F$452)</f>
        <v>-1.2207551058727879E-2</v>
      </c>
      <c r="AR451" s="9"/>
      <c r="AS451" s="9"/>
      <c r="AT451" s="9"/>
      <c r="AU451" s="428"/>
      <c r="AV451" s="428"/>
      <c r="AW451" s="449"/>
      <c r="AX451" s="449"/>
      <c r="AY451" s="10" t="str">
        <f>IF(L451="","",
IF(AX451="PT",VLOOKUP(L451,Foundation_Calc!$K$79:$R$113,VLOOKUP(AW451,Foundation_Calc!$I$2:$J$8,2,FALSE),0),
IF(AX451="K",VLOOKUP(L451,Foundation_Calc!$K$117:$R$151,VLOOKUP(AW451,Foundation_Calc!$I$2:$J$8,2,FALSE),0),"")))</f>
        <v/>
      </c>
      <c r="AZ451" s="10" t="str">
        <f>IF(K451="","",
IF(AX451="PT",VLOOKUP(K451,Foundation_Calc!$K$79:$R$113,VLOOKUP(AW451,Foundation_Calc!$I$2:$J$8,2,FALSE),0),
IF(AX451="K",VLOOKUP(K451,Foundation_Calc!$K$117:$R$151,VLOOKUP(AW451,Foundation_Calc!$I$2:$J$8,2,FALSE),0),"")))</f>
        <v/>
      </c>
      <c r="BA451" s="495" t="str">
        <f t="shared" si="51"/>
        <v/>
      </c>
      <c r="BB451" s="495" t="str">
        <f t="shared" si="52"/>
        <v/>
      </c>
      <c r="BC451" s="495" t="str">
        <f t="shared" si="53"/>
        <v/>
      </c>
      <c r="BD451" s="513" t="str">
        <f>IF(AND(L451="",H451=""),"",
IF(H451="",Pole_Calc!A$9,
IF(H451="MP",Pole_Calc!A$10,
IF(H451="AnMP",Pole_Calc!A$11,
IF(H451="A",Pole_Calc!A$12,
IF(H451="S/A",Pole_Calc!A$13,
IF(H451="A/S",Pole_Calc!A$14,"Poner a mano")))))))</f>
        <v/>
      </c>
      <c r="BE451" s="429" t="s">
        <v>118</v>
      </c>
      <c r="BF451" s="290"/>
      <c r="BG451" s="290"/>
      <c r="BH451" s="290"/>
      <c r="BI451" s="290"/>
    </row>
    <row r="452" spans="1:61" ht="15.75" customHeight="1">
      <c r="A452" s="517" t="s">
        <v>442</v>
      </c>
      <c r="B452" s="450" t="s">
        <v>1169</v>
      </c>
      <c r="C452" s="3">
        <f>+$C$450+$G$451</f>
        <v>40826.660000000003</v>
      </c>
      <c r="D452" s="83"/>
      <c r="E452" s="4"/>
      <c r="F452" s="4">
        <v>9467.2413793005944</v>
      </c>
      <c r="G452" s="6"/>
      <c r="H452" s="449" t="s">
        <v>131</v>
      </c>
      <c r="I452" s="4"/>
      <c r="J452" s="3"/>
      <c r="K452" s="449"/>
      <c r="L452" s="449" t="s">
        <v>201</v>
      </c>
      <c r="M452" s="449" t="str">
        <f>IF(L452="","",
IF(AX452="PT",VLOOKUP(L452,Foundation_Calc!$V$79:$X$113,VLOOKUP(AX452,Foundation_Calc!$I$10:$J$13,2,FALSE),0),
IF(AX452="K",VLOOKUP(L452,Foundation_Calc!$V$117:$X$151,VLOOKUP(AX452,Foundation_Calc!$I$10:$J$13,2,FALSE),0),"")))</f>
        <v/>
      </c>
      <c r="N452" s="575" t="s">
        <v>840</v>
      </c>
      <c r="O452" s="553" t="s">
        <v>343</v>
      </c>
      <c r="P452" s="553"/>
      <c r="Q452" s="4"/>
      <c r="R452" s="6"/>
      <c r="S452" s="6"/>
      <c r="T452" s="4">
        <v>-40</v>
      </c>
      <c r="U452" s="4">
        <v>-5</v>
      </c>
      <c r="V452" s="4"/>
      <c r="W452" s="9">
        <v>2</v>
      </c>
      <c r="X452" s="9">
        <v>1.4</v>
      </c>
      <c r="Y452" s="9"/>
      <c r="Z452" s="9">
        <v>0.35</v>
      </c>
      <c r="AA452" s="9"/>
      <c r="AB452" s="9"/>
      <c r="AC452" s="449" t="str">
        <f t="shared" si="47"/>
        <v>PH</v>
      </c>
      <c r="AD452" s="449"/>
      <c r="AE452" s="449"/>
      <c r="AF452" s="4"/>
      <c r="AG452" s="83"/>
      <c r="AH452" s="4"/>
      <c r="AI452" s="4"/>
      <c r="AJ452" s="449"/>
      <c r="AK452" s="449" t="s">
        <v>841</v>
      </c>
      <c r="AL452" s="449"/>
      <c r="AM452" s="449"/>
      <c r="AN452" s="10">
        <v>5.5</v>
      </c>
      <c r="AO452" s="9"/>
      <c r="AP452" s="9"/>
      <c r="AQ452" s="9"/>
      <c r="AR452" s="9"/>
      <c r="AS452" s="9"/>
      <c r="AT452" s="9">
        <f>+ab($U$452,$U$450,$U$454,$G$451,$G$453, 1*$F$452,1200)</f>
        <v>81.925991282355326</v>
      </c>
      <c r="AU452" s="428"/>
      <c r="AV452" s="428"/>
      <c r="AW452" s="449" t="s">
        <v>201</v>
      </c>
      <c r="AX452" s="449" t="s">
        <v>201</v>
      </c>
      <c r="AY452" s="10" t="str">
        <f>IF(L452="","",
IF(AX452="PT",VLOOKUP(L452,Foundation_Calc!$K$79:$R$113,VLOOKUP(AW452,Foundation_Calc!$I$2:$J$8,2,FALSE),0),
IF(AX452="K",VLOOKUP(L452,Foundation_Calc!$K$117:$R$151,VLOOKUP(AW452,Foundation_Calc!$I$2:$J$8,2,FALSE),0),"")))</f>
        <v/>
      </c>
      <c r="AZ452" s="10" t="str">
        <f>IF(K452="","",
IF(AX452="PT",VLOOKUP(K452,Foundation_Calc!$K$79:$R$113,VLOOKUP(AW452,Foundation_Calc!$I$2:$J$8,2,FALSE),0),
IF(AX452="K",VLOOKUP(K452,Foundation_Calc!$K$117:$R$151,VLOOKUP(AW452,Foundation_Calc!$I$2:$J$8,2,FALSE),0),"")))</f>
        <v/>
      </c>
      <c r="BA452" s="495" t="str">
        <f t="shared" si="51"/>
        <v/>
      </c>
      <c r="BB452" s="495" t="str">
        <f t="shared" si="52"/>
        <v/>
      </c>
      <c r="BC452" s="495" t="str">
        <f t="shared" si="53"/>
        <v/>
      </c>
      <c r="BD452" s="513"/>
      <c r="BE452" s="429" t="s">
        <v>118</v>
      </c>
      <c r="BF452" s="289"/>
      <c r="BG452" s="289"/>
      <c r="BH452" s="290"/>
      <c r="BI452" s="289"/>
    </row>
    <row r="453" spans="1:61" ht="15.75" customHeight="1">
      <c r="A453" s="517" t="s">
        <v>442</v>
      </c>
      <c r="B453" s="450"/>
      <c r="C453" s="3"/>
      <c r="D453" s="83"/>
      <c r="E453" s="4"/>
      <c r="F453" s="4"/>
      <c r="G453" s="6">
        <v>40</v>
      </c>
      <c r="H453" s="449"/>
      <c r="I453" s="4"/>
      <c r="J453" s="3"/>
      <c r="K453" s="449"/>
      <c r="L453" s="449"/>
      <c r="M453" s="449" t="str">
        <f>IF(L453="","",
IF(AX453="PT",VLOOKUP(L453,Foundation_Calc!$V$79:$X$113,VLOOKUP(AX453,Foundation_Calc!$I$10:$J$13,2,FALSE),0),
IF(AX453="K",VLOOKUP(L453,Foundation_Calc!$V$117:$X$151,VLOOKUP(AX453,Foundation_Calc!$I$10:$J$13,2,FALSE),0),"")))</f>
        <v/>
      </c>
      <c r="N453" s="553"/>
      <c r="O453" s="553"/>
      <c r="P453" s="553"/>
      <c r="Q453" s="4"/>
      <c r="R453" s="6"/>
      <c r="S453" s="6"/>
      <c r="T453" s="4"/>
      <c r="U453" s="4"/>
      <c r="V453" s="4"/>
      <c r="W453" s="9"/>
      <c r="X453" s="9"/>
      <c r="Y453" s="9"/>
      <c r="Z453" s="9"/>
      <c r="AA453" s="9"/>
      <c r="AB453" s="9"/>
      <c r="AC453" s="449" t="str">
        <f t="shared" si="47"/>
        <v/>
      </c>
      <c r="AD453" s="449"/>
      <c r="AE453" s="449"/>
      <c r="AF453" s="4"/>
      <c r="AG453" s="83"/>
      <c r="AH453" s="4"/>
      <c r="AI453" s="4"/>
      <c r="AJ453" s="449"/>
      <c r="AK453" s="449"/>
      <c r="AL453" s="449"/>
      <c r="AM453" s="449"/>
      <c r="AN453" s="10"/>
      <c r="AO453" s="9"/>
      <c r="AP453" s="9"/>
      <c r="AQ453" s="9">
        <f>+FL_2($U$454,$U$452,$G$453,1200,9.28, 1*$F$454)</f>
        <v>-6.9321838666666635E-2</v>
      </c>
      <c r="AR453" s="9"/>
      <c r="AS453" s="9"/>
      <c r="AT453" s="9"/>
      <c r="AU453" s="428"/>
      <c r="AV453" s="428"/>
      <c r="AW453" s="449"/>
      <c r="AX453" s="449"/>
      <c r="AY453" s="10" t="str">
        <f>IF(L453="","",
IF(AX453="PT",VLOOKUP(L453,Foundation_Calc!$K$79:$R$113,VLOOKUP(AW453,Foundation_Calc!$I$2:$J$8,2,FALSE),0),
IF(AX453="K",VLOOKUP(L453,Foundation_Calc!$K$117:$R$151,VLOOKUP(AW453,Foundation_Calc!$I$2:$J$8,2,FALSE),0),"")))</f>
        <v/>
      </c>
      <c r="AZ453" s="10" t="str">
        <f>IF(K453="","",
IF(AX453="PT",VLOOKUP(K453,Foundation_Calc!$K$79:$R$113,VLOOKUP(AW453,Foundation_Calc!$I$2:$J$8,2,FALSE),0),
IF(AX453="K",VLOOKUP(K453,Foundation_Calc!$K$117:$R$151,VLOOKUP(AW453,Foundation_Calc!$I$2:$J$8,2,FALSE),0),"")))</f>
        <v/>
      </c>
      <c r="BA453" s="495" t="str">
        <f t="shared" si="51"/>
        <v/>
      </c>
      <c r="BB453" s="495" t="str">
        <f t="shared" si="52"/>
        <v/>
      </c>
      <c r="BC453" s="495" t="str">
        <f t="shared" si="53"/>
        <v/>
      </c>
      <c r="BD453" s="513" t="str">
        <f>IF(AND(L453="",H453=""),"",
IF(H453="",Pole_Calc!A$9,
IF(H453="MP",Pole_Calc!A$10,
IF(H453="AnMP",Pole_Calc!A$11,
IF(H453="A",Pole_Calc!A$12,
IF(H453="S/A",Pole_Calc!A$13,
IF(H453="A/S",Pole_Calc!A$14,"Poner a mano")))))))</f>
        <v/>
      </c>
      <c r="BE453" s="429" t="s">
        <v>118</v>
      </c>
      <c r="BF453" s="290"/>
      <c r="BG453" s="290"/>
      <c r="BH453" s="290"/>
      <c r="BI453" s="290"/>
    </row>
    <row r="454" spans="1:61" ht="15.75" customHeight="1">
      <c r="A454" s="517" t="s">
        <v>442</v>
      </c>
      <c r="B454" s="450" t="s">
        <v>1170</v>
      </c>
      <c r="C454" s="3">
        <f>+$C$452+$G$453-0.02</f>
        <v>40866.640000000007</v>
      </c>
      <c r="D454" s="83"/>
      <c r="E454" s="4"/>
      <c r="F454" s="4">
        <v>0</v>
      </c>
      <c r="G454" s="6"/>
      <c r="H454" s="449" t="s">
        <v>238</v>
      </c>
      <c r="I454" s="4"/>
      <c r="J454" s="3"/>
      <c r="K454" s="449"/>
      <c r="L454" s="449" t="s">
        <v>201</v>
      </c>
      <c r="M454" s="449" t="str">
        <f>IF(L454="","",
IF(AX454="PT",VLOOKUP(L454,Foundation_Calc!$V$79:$X$113,VLOOKUP(AX454,Foundation_Calc!$I$10:$J$13,2,FALSE),0),
IF(AX454="K",VLOOKUP(L454,Foundation_Calc!$V$117:$X$151,VLOOKUP(AX454,Foundation_Calc!$I$10:$J$13,2,FALSE),0),"")))</f>
        <v/>
      </c>
      <c r="N454" s="575" t="s">
        <v>343</v>
      </c>
      <c r="O454" s="553" t="s">
        <v>453</v>
      </c>
      <c r="P454" s="553"/>
      <c r="Q454" s="4"/>
      <c r="R454" s="6"/>
      <c r="S454" s="6"/>
      <c r="T454" s="4">
        <v>20</v>
      </c>
      <c r="U454" s="4">
        <v>35</v>
      </c>
      <c r="V454" s="4"/>
      <c r="W454" s="9">
        <v>2</v>
      </c>
      <c r="X454" s="9">
        <v>1.4</v>
      </c>
      <c r="Y454" s="9"/>
      <c r="Z454" s="9"/>
      <c r="AA454" s="9"/>
      <c r="AB454" s="9"/>
      <c r="AC454" s="449" t="str">
        <f t="shared" si="47"/>
        <v>PHQ</v>
      </c>
      <c r="AD454" s="449"/>
      <c r="AE454" s="449"/>
      <c r="AF454" s="4"/>
      <c r="AG454" s="83"/>
      <c r="AH454" s="4"/>
      <c r="AI454" s="4"/>
      <c r="AJ454" s="449" t="s">
        <v>239</v>
      </c>
      <c r="AK454" s="449" t="s">
        <v>841</v>
      </c>
      <c r="AL454" s="449"/>
      <c r="AM454" s="449"/>
      <c r="AN454" s="10">
        <v>5.5</v>
      </c>
      <c r="AO454" s="9"/>
      <c r="AP454" s="9"/>
      <c r="AQ454" s="9"/>
      <c r="AR454" s="9"/>
      <c r="AS454" s="9"/>
      <c r="AT454" s="9">
        <f>+ab($U$454,$U$452,$T$456,$G$453,$G$455, 1*$F$454,1200)</f>
        <v>7.055391563859148</v>
      </c>
      <c r="AU454" s="428"/>
      <c r="AV454" s="428"/>
      <c r="AW454" s="449" t="s">
        <v>201</v>
      </c>
      <c r="AX454" s="449" t="s">
        <v>201</v>
      </c>
      <c r="AY454" s="10" t="str">
        <f>IF(L454="","",
IF(AX454="PT",VLOOKUP(L454,Foundation_Calc!$K$79:$R$113,VLOOKUP(AW454,Foundation_Calc!$I$2:$J$8,2,FALSE),0),
IF(AX454="K",VLOOKUP(L454,Foundation_Calc!$K$117:$R$151,VLOOKUP(AW454,Foundation_Calc!$I$2:$J$8,2,FALSE),0),"")))</f>
        <v/>
      </c>
      <c r="AZ454" s="10" t="str">
        <f>IF(K454="","",
IF(AX454="PT",VLOOKUP(K454,Foundation_Calc!$K$79:$R$113,VLOOKUP(AW454,Foundation_Calc!$I$2:$J$8,2,FALSE),0),
IF(AX454="K",VLOOKUP(K454,Foundation_Calc!$K$117:$R$151,VLOOKUP(AW454,Foundation_Calc!$I$2:$J$8,2,FALSE),0),"")))</f>
        <v/>
      </c>
      <c r="BA454" s="495" t="str">
        <f t="shared" si="51"/>
        <v/>
      </c>
      <c r="BB454" s="495" t="str">
        <f t="shared" si="52"/>
        <v/>
      </c>
      <c r="BC454" s="495" t="str">
        <f t="shared" si="53"/>
        <v/>
      </c>
      <c r="BD454" s="513"/>
      <c r="BE454" s="429" t="s">
        <v>118</v>
      </c>
      <c r="BF454" s="289"/>
      <c r="BG454" s="289"/>
      <c r="BH454" s="290"/>
      <c r="BI454" s="289"/>
    </row>
    <row r="455" spans="1:61" ht="15.75" customHeight="1">
      <c r="A455" s="517" t="s">
        <v>442</v>
      </c>
      <c r="B455" s="450"/>
      <c r="C455" s="3"/>
      <c r="D455" s="83"/>
      <c r="E455" s="4"/>
      <c r="F455" s="4"/>
      <c r="G455" s="6">
        <v>38.1</v>
      </c>
      <c r="H455" s="449"/>
      <c r="I455" s="4"/>
      <c r="J455" s="3"/>
      <c r="K455" s="449"/>
      <c r="L455" s="449"/>
      <c r="M455" s="449" t="str">
        <f>IF(L455="","",
IF(AX455="PT",VLOOKUP(L455,Foundation_Calc!$V$79:$X$113,VLOOKUP(AX455,Foundation_Calc!$I$10:$J$13,2,FALSE),0),
IF(AX455="K",VLOOKUP(L455,Foundation_Calc!$V$117:$X$151,VLOOKUP(AX455,Foundation_Calc!$I$10:$J$13,2,FALSE),0),"")))</f>
        <v/>
      </c>
      <c r="N455" s="553"/>
      <c r="O455" s="553"/>
      <c r="P455" s="553"/>
      <c r="Q455" s="4"/>
      <c r="R455" s="6"/>
      <c r="S455" s="6"/>
      <c r="T455" s="4"/>
      <c r="U455" s="4"/>
      <c r="V455" s="4"/>
      <c r="W455" s="9"/>
      <c r="X455" s="9"/>
      <c r="Y455" s="9"/>
      <c r="Z455" s="9"/>
      <c r="AA455" s="9"/>
      <c r="AB455" s="9"/>
      <c r="AC455" s="449" t="str">
        <f t="shared" si="47"/>
        <v/>
      </c>
      <c r="AD455" s="449"/>
      <c r="AE455" s="449"/>
      <c r="AF455" s="4"/>
      <c r="AG455" s="83"/>
      <c r="AH455" s="4"/>
      <c r="AI455" s="4"/>
      <c r="AJ455" s="449"/>
      <c r="AK455" s="449"/>
      <c r="AL455" s="449"/>
      <c r="AM455" s="449"/>
      <c r="AN455" s="10"/>
      <c r="AO455" s="9"/>
      <c r="AP455" s="9"/>
      <c r="AQ455" s="9">
        <f>+FL_2($T$456,$U$454,$G$455,1200,9.28, 1*$F$456)</f>
        <v>-0.3</v>
      </c>
      <c r="AR455" s="9"/>
      <c r="AS455" s="9"/>
      <c r="AT455" s="9"/>
      <c r="AU455" s="428"/>
      <c r="AV455" s="428"/>
      <c r="AW455" s="449"/>
      <c r="AX455" s="449"/>
      <c r="AY455" s="10" t="str">
        <f>IF(L455="","",
IF(AX455="PT",VLOOKUP(L455,Foundation_Calc!$K$79:$R$113,VLOOKUP(AW455,Foundation_Calc!$I$2:$J$8,2,FALSE),0),
IF(AX455="K",VLOOKUP(L455,Foundation_Calc!$K$117:$R$151,VLOOKUP(AW455,Foundation_Calc!$I$2:$J$8,2,FALSE),0),"")))</f>
        <v/>
      </c>
      <c r="AZ455" s="10" t="str">
        <f>IF(K455="","",
IF(AX455="PT",VLOOKUP(K455,Foundation_Calc!$K$79:$R$113,VLOOKUP(AW455,Foundation_Calc!$I$2:$J$8,2,FALSE),0),
IF(AX455="K",VLOOKUP(K455,Foundation_Calc!$K$117:$R$151,VLOOKUP(AW455,Foundation_Calc!$I$2:$J$8,2,FALSE),0),"")))</f>
        <v/>
      </c>
      <c r="BA455" s="495" t="str">
        <f t="shared" si="51"/>
        <v/>
      </c>
      <c r="BB455" s="495" t="str">
        <f t="shared" si="52"/>
        <v/>
      </c>
      <c r="BC455" s="495" t="str">
        <f t="shared" si="53"/>
        <v/>
      </c>
      <c r="BD455" s="513" t="str">
        <f>IF(AND(L455="",H455=""),"",
IF(H455="",Pole_Calc!A$9,
IF(H455="MP",Pole_Calc!A$10,
IF(H455="AnMP",Pole_Calc!A$11,
IF(H455="A",Pole_Calc!A$12,
IF(H455="S/A",Pole_Calc!A$13,
IF(H455="A/S",Pole_Calc!A$14,"Poner a mano")))))))</f>
        <v/>
      </c>
      <c r="BE455" s="429" t="s">
        <v>118</v>
      </c>
      <c r="BF455" s="290"/>
      <c r="BG455" s="290"/>
      <c r="BH455" s="290"/>
      <c r="BI455" s="290"/>
    </row>
    <row r="456" spans="1:61" ht="15.75" customHeight="1">
      <c r="A456" s="517" t="s">
        <v>442</v>
      </c>
      <c r="B456" s="450" t="s">
        <v>1171</v>
      </c>
      <c r="C456" s="3">
        <f>+$C$454+$G$455</f>
        <v>40904.740000000005</v>
      </c>
      <c r="D456" s="83"/>
      <c r="E456" s="4"/>
      <c r="F456" s="4">
        <v>0</v>
      </c>
      <c r="G456" s="6"/>
      <c r="H456" s="449"/>
      <c r="I456" s="4"/>
      <c r="J456" s="3"/>
      <c r="K456" s="449"/>
      <c r="L456" s="449" t="s">
        <v>201</v>
      </c>
      <c r="M456" s="449" t="str">
        <f>IF(L456="","",
IF(AX456="PT",VLOOKUP(L456,Foundation_Calc!$V$79:$X$113,VLOOKUP(AX456,Foundation_Calc!$I$10:$J$13,2,FALSE),0),
IF(AX456="K",VLOOKUP(L456,Foundation_Calc!$V$117:$X$151,VLOOKUP(AX456,Foundation_Calc!$I$10:$J$13,2,FALSE),0),"")))</f>
        <v/>
      </c>
      <c r="N456" s="553" t="s">
        <v>343</v>
      </c>
      <c r="O456" s="553"/>
      <c r="P456" s="553"/>
      <c r="Q456" s="4"/>
      <c r="R456" s="6"/>
      <c r="S456" s="6"/>
      <c r="T456" s="4">
        <v>-30</v>
      </c>
      <c r="U456" s="4"/>
      <c r="V456" s="4"/>
      <c r="W456" s="9">
        <v>1.4</v>
      </c>
      <c r="X456" s="9"/>
      <c r="Y456" s="9"/>
      <c r="Z456" s="9"/>
      <c r="AA456" s="9"/>
      <c r="AB456" s="9"/>
      <c r="AC456" s="449" t="str">
        <f t="shared" si="47"/>
        <v>PHC</v>
      </c>
      <c r="AD456" s="449"/>
      <c r="AE456" s="449"/>
      <c r="AF456" s="4"/>
      <c r="AG456" s="83"/>
      <c r="AH456" s="4"/>
      <c r="AI456" s="4"/>
      <c r="AJ456" s="449"/>
      <c r="AK456" s="449" t="s">
        <v>451</v>
      </c>
      <c r="AL456" s="449"/>
      <c r="AM456" s="449"/>
      <c r="AN456" s="10">
        <v>5.5</v>
      </c>
      <c r="AO456" s="9"/>
      <c r="AP456" s="9"/>
      <c r="AQ456" s="9"/>
      <c r="AR456" s="9"/>
      <c r="AS456" s="9"/>
      <c r="AT456" s="9">
        <f>+ab($T$456,$U$454,$T$458,$G$455,$G$457, 1*$F$456,1200)</f>
        <v>-4.9235443226669906</v>
      </c>
      <c r="AU456" s="428"/>
      <c r="AV456" s="428"/>
      <c r="AW456" s="449" t="s">
        <v>201</v>
      </c>
      <c r="AX456" s="449" t="s">
        <v>201</v>
      </c>
      <c r="AY456" s="10" t="str">
        <f>IF(L456="","",
IF(AX456="PT",VLOOKUP(L456,Foundation_Calc!$K$79:$R$113,VLOOKUP(AW456,Foundation_Calc!$I$2:$J$8,2,FALSE),0),
IF(AX456="K",VLOOKUP(L456,Foundation_Calc!$K$117:$R$151,VLOOKUP(AW456,Foundation_Calc!$I$2:$J$8,2,FALSE),0),"")))</f>
        <v/>
      </c>
      <c r="AZ456" s="10" t="str">
        <f>IF(K456="","",
IF(AX456="PT",VLOOKUP(K456,Foundation_Calc!$K$79:$R$113,VLOOKUP(AW456,Foundation_Calc!$I$2:$J$8,2,FALSE),0),
IF(AX456="K",VLOOKUP(K456,Foundation_Calc!$K$117:$R$151,VLOOKUP(AW456,Foundation_Calc!$I$2:$J$8,2,FALSE),0),"")))</f>
        <v/>
      </c>
      <c r="BA456" s="495" t="str">
        <f t="shared" si="51"/>
        <v/>
      </c>
      <c r="BB456" s="495" t="str">
        <f t="shared" si="52"/>
        <v/>
      </c>
      <c r="BC456" s="495" t="str">
        <f t="shared" si="53"/>
        <v/>
      </c>
      <c r="BD456" s="513"/>
      <c r="BE456" s="429" t="s">
        <v>118</v>
      </c>
      <c r="BF456" s="289"/>
      <c r="BG456" s="289"/>
      <c r="BH456" s="290"/>
      <c r="BI456" s="289"/>
    </row>
    <row r="457" spans="1:61" ht="15.75" customHeight="1">
      <c r="A457" s="517" t="s">
        <v>442</v>
      </c>
      <c r="B457" s="450"/>
      <c r="C457" s="3"/>
      <c r="D457" s="83"/>
      <c r="E457" s="4"/>
      <c r="F457" s="4"/>
      <c r="G457" s="6">
        <v>27.5</v>
      </c>
      <c r="H457" s="449"/>
      <c r="I457" s="4"/>
      <c r="J457" s="3"/>
      <c r="K457" s="449"/>
      <c r="L457" s="449"/>
      <c r="M457" s="449" t="str">
        <f>IF(L457="","",
IF(AX457="PT",VLOOKUP(L457,Foundation_Calc!$V$79:$X$113,VLOOKUP(AX457,Foundation_Calc!$I$10:$J$13,2,FALSE),0),
IF(AX457="K",VLOOKUP(L457,Foundation_Calc!$V$117:$X$151,VLOOKUP(AX457,Foundation_Calc!$I$10:$J$13,2,FALSE),0),"")))</f>
        <v/>
      </c>
      <c r="N457" s="449"/>
      <c r="O457" s="449"/>
      <c r="P457" s="449"/>
      <c r="Q457" s="4"/>
      <c r="R457" s="6"/>
      <c r="S457" s="6"/>
      <c r="T457" s="4"/>
      <c r="U457" s="4"/>
      <c r="V457" s="4"/>
      <c r="W457" s="9"/>
      <c r="X457" s="9"/>
      <c r="Y457" s="9"/>
      <c r="Z457" s="9"/>
      <c r="AA457" s="9"/>
      <c r="AB457" s="9"/>
      <c r="AC457" s="449" t="str">
        <f t="shared" si="47"/>
        <v/>
      </c>
      <c r="AD457" s="449"/>
      <c r="AE457" s="449"/>
      <c r="AF457" s="4"/>
      <c r="AG457" s="83"/>
      <c r="AH457" s="4"/>
      <c r="AI457" s="4"/>
      <c r="AJ457" s="449"/>
      <c r="AK457" s="449"/>
      <c r="AL457" s="449"/>
      <c r="AM457" s="449"/>
      <c r="AN457" s="10"/>
      <c r="AO457" s="9"/>
      <c r="AP457" s="9"/>
      <c r="AQ457" s="9">
        <f>+FL_2($T$458,$T$456,$G$457,1200,9.28, 1*$F$458)</f>
        <v>-0.30000000000001675</v>
      </c>
      <c r="AR457" s="9"/>
      <c r="AS457" s="9"/>
      <c r="AT457" s="9"/>
      <c r="AU457" s="428"/>
      <c r="AV457" s="428"/>
      <c r="AW457" s="449" t="str">
        <f>IF(C457&gt;0,VLOOKUP(C457,Foundation_Calc!$A$2:$C$13,3,1),
IF(J457&gt;0,VLOOKUP(J457,Foundation_Calc!$A$2:$C$13,3,1),""))</f>
        <v/>
      </c>
      <c r="AX457" s="449" t="str">
        <f>IF(C457&gt;0,VLOOKUP(C457,Foundation_Calc!$E$35:$G$65,3,1),
IF(J457&gt;0,VLOOKUP(J457,Foundation_Calc!$E$35:$G$65,3,1),""))</f>
        <v/>
      </c>
      <c r="AY457" s="10" t="str">
        <f>IF(L457="","",
IF(AX457="PT",VLOOKUP(L457,Foundation_Calc!$K$79:$R$113,VLOOKUP(AW457,Foundation_Calc!$I$2:$J$8,2,FALSE),0),
IF(AX457="K",VLOOKUP(L457,Foundation_Calc!$K$117:$R$151,VLOOKUP(AW457,Foundation_Calc!$I$2:$J$8,2,FALSE),0),"")))</f>
        <v/>
      </c>
      <c r="AZ457" s="10" t="str">
        <f>IF(K457="","",
IF(AX457="PT",VLOOKUP(K457,Foundation_Calc!$K$79:$R$113,VLOOKUP(AW457,Foundation_Calc!$I$2:$J$8,2,FALSE),0),
IF(AX457="K",VLOOKUP(K457,Foundation_Calc!$K$117:$R$151,VLOOKUP(AW457,Foundation_Calc!$I$2:$J$8,2,FALSE),0),"")))</f>
        <v/>
      </c>
      <c r="BA457" s="495" t="str">
        <f t="shared" si="51"/>
        <v/>
      </c>
      <c r="BB457" s="495" t="str">
        <f t="shared" si="52"/>
        <v/>
      </c>
      <c r="BC457" s="495" t="str">
        <f t="shared" si="53"/>
        <v/>
      </c>
      <c r="BD457" s="513" t="str">
        <f>IF(AND(L457="",H457=""),"",
IF(H457="",Pole_Calc!A$9,
IF(H457="MP",Pole_Calc!A$10,
IF(H457="AnMP",Pole_Calc!A$11,
IF(H457="A",Pole_Calc!A$12,
IF(H457="S/A",Pole_Calc!A$13,
IF(H457="A/S",Pole_Calc!A$14,"Poner a mano")))))))</f>
        <v/>
      </c>
      <c r="BE457" s="429" t="s">
        <v>118</v>
      </c>
      <c r="BF457" s="290"/>
      <c r="BG457" s="290"/>
      <c r="BH457" s="290"/>
      <c r="BI457" s="290"/>
    </row>
    <row r="458" spans="1:61" ht="15.75" customHeight="1">
      <c r="A458" s="517" t="s">
        <v>438</v>
      </c>
      <c r="B458" s="450" t="s">
        <v>1172</v>
      </c>
      <c r="C458" s="3">
        <f>+$C$456+$G$457</f>
        <v>40932.240000000005</v>
      </c>
      <c r="D458" s="83"/>
      <c r="E458" s="4"/>
      <c r="F458" s="4">
        <v>0</v>
      </c>
      <c r="G458" s="6"/>
      <c r="H458" s="449"/>
      <c r="I458" s="4"/>
      <c r="J458" s="3"/>
      <c r="K458" s="449"/>
      <c r="L458" s="449" t="s">
        <v>201</v>
      </c>
      <c r="M458" s="449" t="str">
        <f>IF(L458="","",
IF(AX458="PT",VLOOKUP(L458,Foundation_Calc!$V$79:$X$113,VLOOKUP(AX458,Foundation_Calc!$I$10:$J$13,2,FALSE),0),
IF(AX458="K",VLOOKUP(L458,Foundation_Calc!$V$117:$X$151,VLOOKUP(AX458,Foundation_Calc!$I$10:$J$13,2,FALSE),0),"")))</f>
        <v/>
      </c>
      <c r="N458" s="553" t="s">
        <v>453</v>
      </c>
      <c r="O458" s="449"/>
      <c r="P458" s="449"/>
      <c r="Q458" s="4"/>
      <c r="R458" s="6"/>
      <c r="S458" s="6"/>
      <c r="T458" s="4">
        <v>30</v>
      </c>
      <c r="U458" s="4"/>
      <c r="V458" s="4"/>
      <c r="W458" s="9">
        <v>1.4</v>
      </c>
      <c r="X458" s="9"/>
      <c r="Y458" s="9"/>
      <c r="Z458" s="9"/>
      <c r="AA458" s="9"/>
      <c r="AB458" s="9"/>
      <c r="AC458" s="449" t="str">
        <f t="shared" si="47"/>
        <v>PHQ</v>
      </c>
      <c r="AD458" s="449"/>
      <c r="AE458" s="449"/>
      <c r="AF458" s="4"/>
      <c r="AG458" s="83"/>
      <c r="AH458" s="4"/>
      <c r="AI458" s="4"/>
      <c r="AJ458" s="449"/>
      <c r="AK458" s="449" t="s">
        <v>451</v>
      </c>
      <c r="AL458" s="449"/>
      <c r="AM458" s="449"/>
      <c r="AN458" s="10">
        <v>5.5</v>
      </c>
      <c r="AO458" s="9"/>
      <c r="AP458" s="9"/>
      <c r="AQ458" s="9"/>
      <c r="AR458" s="9"/>
      <c r="AS458" s="9"/>
      <c r="AT458" s="9">
        <f>+ab($T$458,$T$456,$T$460,$G$457,$G$459, 1*$F$458,1200)</f>
        <v>7.4760231152662193</v>
      </c>
      <c r="AU458" s="428"/>
      <c r="AV458" s="428"/>
      <c r="AW458" s="449" t="s">
        <v>201</v>
      </c>
      <c r="AX458" s="449" t="s">
        <v>201</v>
      </c>
      <c r="AY458" s="10" t="str">
        <f>IF(L458="","",
IF(AX458="PT",VLOOKUP(L458,Foundation_Calc!$K$79:$R$113,VLOOKUP(AW458,Foundation_Calc!$I$2:$J$8,2,FALSE),0),
IF(AX458="K",VLOOKUP(L458,Foundation_Calc!$K$117:$R$151,VLOOKUP(AW458,Foundation_Calc!$I$2:$J$8,2,FALSE),0),"")))</f>
        <v/>
      </c>
      <c r="AZ458" s="10" t="str">
        <f>IF(K458="","",
IF(AX458="PT",VLOOKUP(K458,Foundation_Calc!$K$79:$R$113,VLOOKUP(AW458,Foundation_Calc!$I$2:$J$8,2,FALSE),0),
IF(AX458="K",VLOOKUP(K458,Foundation_Calc!$K$117:$R$151,VLOOKUP(AW458,Foundation_Calc!$I$2:$J$8,2,FALSE),0),"")))</f>
        <v/>
      </c>
      <c r="BA458" s="495" t="str">
        <f t="shared" si="51"/>
        <v/>
      </c>
      <c r="BB458" s="495" t="str">
        <f t="shared" si="52"/>
        <v/>
      </c>
      <c r="BC458" s="495" t="str">
        <f t="shared" si="53"/>
        <v/>
      </c>
      <c r="BD458" s="513"/>
      <c r="BE458" s="429" t="s">
        <v>118</v>
      </c>
      <c r="BF458" s="289"/>
      <c r="BG458" s="289"/>
      <c r="BH458" s="290"/>
      <c r="BI458" s="289"/>
    </row>
    <row r="459" spans="1:61" ht="15.75" customHeight="1">
      <c r="A459" s="732" t="s">
        <v>448</v>
      </c>
      <c r="B459" s="722"/>
      <c r="C459" s="723"/>
      <c r="D459" s="724"/>
      <c r="E459" s="725"/>
      <c r="F459" s="725"/>
      <c r="G459" s="726">
        <v>27</v>
      </c>
      <c r="H459" s="727"/>
      <c r="I459" s="725"/>
      <c r="J459" s="723"/>
      <c r="K459" s="727"/>
      <c r="L459" s="727"/>
      <c r="M459" s="727" t="str">
        <f>IF(L459="","",
IF(AX459="PT",VLOOKUP(L459,Foundation_Calc!$V$79:$X$113,VLOOKUP(AX459,Foundation_Calc!$I$10:$J$13,2,FALSE),0),
IF(AX459="K",VLOOKUP(L459,Foundation_Calc!$V$117:$X$151,VLOOKUP(AX459,Foundation_Calc!$I$10:$J$13,2,FALSE),0),"")))</f>
        <v/>
      </c>
      <c r="N459" s="743"/>
      <c r="O459" s="727"/>
      <c r="P459" s="727"/>
      <c r="Q459" s="725"/>
      <c r="R459" s="726"/>
      <c r="S459" s="726"/>
      <c r="T459" s="725"/>
      <c r="U459" s="725"/>
      <c r="V459" s="725"/>
      <c r="W459" s="728"/>
      <c r="X459" s="728"/>
      <c r="Y459" s="728"/>
      <c r="Z459" s="728"/>
      <c r="AA459" s="728"/>
      <c r="AB459" s="728"/>
      <c r="AC459" s="727" t="str">
        <f t="shared" si="47"/>
        <v/>
      </c>
      <c r="AD459" s="727"/>
      <c r="AE459" s="727"/>
      <c r="AF459" s="725"/>
      <c r="AG459" s="724"/>
      <c r="AH459" s="725"/>
      <c r="AI459" s="725"/>
      <c r="AJ459" s="727"/>
      <c r="AK459" s="727"/>
      <c r="AL459" s="727"/>
      <c r="AM459" s="727"/>
      <c r="AN459" s="729"/>
      <c r="AO459" s="728"/>
      <c r="AP459" s="728"/>
      <c r="AQ459" s="728">
        <f>+FL_1($T$460,$T$458,$G$459,1200,9.28, 1*$F$460)</f>
        <v>0.32933902207407406</v>
      </c>
      <c r="AR459" s="728"/>
      <c r="AS459" s="728"/>
      <c r="AT459" s="728"/>
      <c r="AU459" s="730"/>
      <c r="AV459" s="730"/>
      <c r="AW459" s="727"/>
      <c r="AX459" s="727"/>
      <c r="AY459" s="729" t="str">
        <f>IF(L459="","",
IF(AX459="PT",VLOOKUP(L459,Foundation_Calc!$K$79:$R$113,VLOOKUP(AW459,Foundation_Calc!$I$2:$J$8,2,FALSE),0),
IF(AX459="K",VLOOKUP(L459,Foundation_Calc!$K$117:$R$151,VLOOKUP(AW459,Foundation_Calc!$I$2:$J$8,2,FALSE),0),"")))</f>
        <v/>
      </c>
      <c r="AZ459" s="729" t="str">
        <f>IF(K459="","",
IF(AX459="PT",VLOOKUP(K459,Foundation_Calc!$K$79:$R$113,VLOOKUP(AW459,Foundation_Calc!$I$2:$J$8,2,FALSE),0),
IF(AX459="K",VLOOKUP(K459,Foundation_Calc!$K$117:$R$151,VLOOKUP(AW459,Foundation_Calc!$I$2:$J$8,2,FALSE),0),"")))</f>
        <v/>
      </c>
      <c r="BA459" s="495" t="str">
        <f t="shared" si="51"/>
        <v/>
      </c>
      <c r="BB459" s="495" t="str">
        <f t="shared" si="52"/>
        <v/>
      </c>
      <c r="BC459" s="495" t="str">
        <f t="shared" si="53"/>
        <v/>
      </c>
      <c r="BD459" s="513" t="str">
        <f>IF(AND(L459="",H459=""),"",
IF(H459="",Pole_Calc!A$9,
IF(H459="MP",Pole_Calc!A$10,
IF(H459="AnMP",Pole_Calc!A$11,
IF(H459="A",Pole_Calc!A$12,
IF(H459="S/A",Pole_Calc!A$13,
IF(H459="A/S",Pole_Calc!A$14,"Poner a mano")))))))</f>
        <v/>
      </c>
      <c r="BE459" s="429" t="s">
        <v>118</v>
      </c>
      <c r="BF459" s="290"/>
      <c r="BG459" s="290"/>
      <c r="BH459" s="290"/>
      <c r="BI459" s="290"/>
    </row>
    <row r="460" spans="1:61" ht="15.75" customHeight="1">
      <c r="A460" s="518" t="s">
        <v>438</v>
      </c>
      <c r="B460" s="450" t="s">
        <v>1173</v>
      </c>
      <c r="C460" s="3">
        <f>+$C$458+$G$459</f>
        <v>40959.240000000005</v>
      </c>
      <c r="D460" s="83"/>
      <c r="E460" s="4"/>
      <c r="F460" s="4">
        <v>0</v>
      </c>
      <c r="G460" s="6"/>
      <c r="H460" s="449"/>
      <c r="I460" s="4"/>
      <c r="J460" s="3"/>
      <c r="K460" s="449"/>
      <c r="L460" s="449" t="s">
        <v>201</v>
      </c>
      <c r="M460" s="449" t="str">
        <f>IF(L460="","",
IF(AX460="PT",VLOOKUP(L460,Foundation_Calc!$V$79:$X$113,VLOOKUP(AX460,Foundation_Calc!$I$10:$J$13,2,FALSE),0),
IF(AX460="K",VLOOKUP(L460,Foundation_Calc!$V$117:$X$151,VLOOKUP(AX460,Foundation_Calc!$I$10:$J$13,2,FALSE),0),"")))</f>
        <v/>
      </c>
      <c r="N460" s="449" t="s">
        <v>453</v>
      </c>
      <c r="O460" s="449"/>
      <c r="P460" s="449"/>
      <c r="Q460" s="4"/>
      <c r="R460" s="6"/>
      <c r="S460" s="6"/>
      <c r="T460" s="4">
        <v>20</v>
      </c>
      <c r="U460" s="4"/>
      <c r="V460" s="4"/>
      <c r="W460" s="9">
        <v>1.4</v>
      </c>
      <c r="X460" s="9"/>
      <c r="Y460" s="9"/>
      <c r="Z460" s="9"/>
      <c r="AA460" s="9"/>
      <c r="AB460" s="9"/>
      <c r="AC460" s="449" t="str">
        <f t="shared" si="47"/>
        <v>PH</v>
      </c>
      <c r="AD460" s="449"/>
      <c r="AE460" s="449"/>
      <c r="AF460" s="4"/>
      <c r="AG460" s="83"/>
      <c r="AH460" s="4"/>
      <c r="AI460" s="4"/>
      <c r="AJ460" s="449"/>
      <c r="AK460" s="449" t="s">
        <v>451</v>
      </c>
      <c r="AL460" s="449"/>
      <c r="AM460" s="449"/>
      <c r="AN460" s="10">
        <v>5.5</v>
      </c>
      <c r="AO460" s="9"/>
      <c r="AP460" s="9"/>
      <c r="AQ460" s="9"/>
      <c r="AR460" s="9"/>
      <c r="AS460" s="9"/>
      <c r="AT460" s="9">
        <f>+ab($T$460,$T$458,$T$462,$G$459,$G$461, 1*$F$460,1200)</f>
        <v>19.177478903897615</v>
      </c>
      <c r="AU460" s="428"/>
      <c r="AV460" s="428"/>
      <c r="AW460" s="449" t="s">
        <v>201</v>
      </c>
      <c r="AX460" s="449" t="s">
        <v>201</v>
      </c>
      <c r="AY460" s="10" t="str">
        <f>IF(L460="","",
IF(AX460="PT",VLOOKUP(L460,Foundation_Calc!$K$79:$R$113,VLOOKUP(AW460,Foundation_Calc!$I$2:$J$8,2,FALSE),0),
IF(AX460="K",VLOOKUP(L460,Foundation_Calc!$K$117:$R$151,VLOOKUP(AW460,Foundation_Calc!$I$2:$J$8,2,FALSE),0),"")))</f>
        <v/>
      </c>
      <c r="AZ460" s="10" t="str">
        <f>IF(K460="","",
IF(AX460="PT",VLOOKUP(K460,Foundation_Calc!$K$79:$R$113,VLOOKUP(AW460,Foundation_Calc!$I$2:$J$8,2,FALSE),0),
IF(AX460="K",VLOOKUP(K460,Foundation_Calc!$K$117:$R$151,VLOOKUP(AW460,Foundation_Calc!$I$2:$J$8,2,FALSE),0),"")))</f>
        <v/>
      </c>
      <c r="BA460" s="495" t="str">
        <f t="shared" si="51"/>
        <v/>
      </c>
      <c r="BB460" s="495" t="str">
        <f t="shared" si="52"/>
        <v/>
      </c>
      <c r="BC460" s="495" t="str">
        <f t="shared" si="53"/>
        <v/>
      </c>
      <c r="BD460" s="513"/>
      <c r="BE460" s="429" t="s">
        <v>118</v>
      </c>
      <c r="BF460" s="289"/>
      <c r="BG460" s="289"/>
      <c r="BH460" s="290"/>
      <c r="BI460" s="289"/>
    </row>
    <row r="461" spans="1:61" ht="15.75" customHeight="1">
      <c r="A461" s="734" t="s">
        <v>442</v>
      </c>
      <c r="B461" s="450"/>
      <c r="C461" s="3"/>
      <c r="D461" s="83"/>
      <c r="E461" s="4"/>
      <c r="F461" s="4"/>
      <c r="G461" s="6">
        <v>30</v>
      </c>
      <c r="H461" s="449"/>
      <c r="I461" s="4"/>
      <c r="J461" s="3"/>
      <c r="K461" s="449"/>
      <c r="L461" s="449"/>
      <c r="M461" s="449" t="str">
        <f>IF(L461="","",
IF(AX461="PT",VLOOKUP(L461,Foundation_Calc!$V$79:$X$113,VLOOKUP(AX461,Foundation_Calc!$I$10:$J$13,2,FALSE),0),
IF(AX461="K",VLOOKUP(L461,Foundation_Calc!$V$117:$X$151,VLOOKUP(AX461,Foundation_Calc!$I$10:$J$13,2,FALSE),0),"")))</f>
        <v/>
      </c>
      <c r="N461" s="575"/>
      <c r="O461" s="449"/>
      <c r="P461" s="449"/>
      <c r="Q461" s="4"/>
      <c r="R461" s="6"/>
      <c r="S461" s="6"/>
      <c r="T461" s="4"/>
      <c r="U461" s="4"/>
      <c r="V461" s="4"/>
      <c r="W461" s="9"/>
      <c r="X461" s="9"/>
      <c r="Y461" s="9"/>
      <c r="Z461" s="9"/>
      <c r="AA461" s="9"/>
      <c r="AB461" s="9"/>
      <c r="AC461" s="449" t="str">
        <f t="shared" si="47"/>
        <v/>
      </c>
      <c r="AD461" s="449"/>
      <c r="AE461" s="449"/>
      <c r="AF461" s="4"/>
      <c r="AG461" s="83"/>
      <c r="AH461" s="4"/>
      <c r="AI461" s="4"/>
      <c r="AJ461" s="449"/>
      <c r="AK461" s="449"/>
      <c r="AL461" s="449"/>
      <c r="AM461" s="449"/>
      <c r="AN461" s="10"/>
      <c r="AO461" s="9"/>
      <c r="AP461" s="9"/>
      <c r="AQ461" s="9">
        <f>+FL_1($T$462,$T$460,$G$461,1200,9.28, 1*$F$462)</f>
        <v>0.20000000000000334</v>
      </c>
      <c r="AR461" s="9"/>
      <c r="AS461" s="9"/>
      <c r="AT461" s="9"/>
      <c r="AU461" s="428"/>
      <c r="AV461" s="428"/>
      <c r="AW461" s="449"/>
      <c r="AX461" s="449"/>
      <c r="AY461" s="10" t="str">
        <f>IF(L461="","",
IF(AX461="PT",VLOOKUP(L461,Foundation_Calc!$K$79:$R$113,VLOOKUP(AW461,Foundation_Calc!$I$2:$J$8,2,FALSE),0),
IF(AX461="K",VLOOKUP(L461,Foundation_Calc!$K$117:$R$151,VLOOKUP(AW461,Foundation_Calc!$I$2:$J$8,2,FALSE),0),"")))</f>
        <v/>
      </c>
      <c r="AZ461" s="10" t="str">
        <f>IF(K461="","",
IF(AX461="PT",VLOOKUP(K461,Foundation_Calc!$K$79:$R$113,VLOOKUP(AW461,Foundation_Calc!$I$2:$J$8,2,FALSE),0),
IF(AX461="K",VLOOKUP(K461,Foundation_Calc!$K$117:$R$151,VLOOKUP(AW461,Foundation_Calc!$I$2:$J$8,2,FALSE),0),"")))</f>
        <v/>
      </c>
      <c r="BA461" s="495" t="str">
        <f t="shared" si="51"/>
        <v/>
      </c>
      <c r="BB461" s="495" t="str">
        <f t="shared" si="52"/>
        <v/>
      </c>
      <c r="BC461" s="495" t="str">
        <f t="shared" si="53"/>
        <v/>
      </c>
      <c r="BD461" s="513" t="str">
        <f>IF(AND(L461="",H461=""),"",
IF(H461="",Pole_Calc!A$9,
IF(H461="MP",Pole_Calc!A$10,
IF(H461="AnMP",Pole_Calc!A$11,
IF(H461="A",Pole_Calc!A$12,
IF(H461="S/A",Pole_Calc!A$13,
IF(H461="A/S",Pole_Calc!A$14,"Poner a mano")))))))</f>
        <v/>
      </c>
      <c r="BE461" s="429" t="s">
        <v>118</v>
      </c>
      <c r="BF461" s="290"/>
      <c r="BG461" s="290"/>
      <c r="BH461" s="290"/>
      <c r="BI461" s="290"/>
    </row>
    <row r="462" spans="1:61" ht="15.75" customHeight="1">
      <c r="A462" s="734" t="s">
        <v>442</v>
      </c>
      <c r="B462" s="450" t="s">
        <v>1174</v>
      </c>
      <c r="C462" s="3">
        <f>+$C$460+$G$461</f>
        <v>40989.240000000005</v>
      </c>
      <c r="D462" s="83"/>
      <c r="E462" s="4"/>
      <c r="F462" s="4">
        <v>0</v>
      </c>
      <c r="G462" s="6"/>
      <c r="H462" s="449"/>
      <c r="I462" s="4"/>
      <c r="J462" s="3"/>
      <c r="K462" s="449"/>
      <c r="L462" s="449" t="s">
        <v>201</v>
      </c>
      <c r="M462" s="449" t="str">
        <f>IF(L462="","",
IF(AX462="PT",VLOOKUP(L462,Foundation_Calc!$V$79:$X$113,VLOOKUP(AX462,Foundation_Calc!$I$10:$J$13,2,FALSE),0),
IF(AX462="K",VLOOKUP(L462,Foundation_Calc!$V$117:$X$151,VLOOKUP(AX462,Foundation_Calc!$I$10:$J$13,2,FALSE),0),"")))</f>
        <v/>
      </c>
      <c r="N462" s="449" t="s">
        <v>343</v>
      </c>
      <c r="O462" s="449"/>
      <c r="P462" s="449"/>
      <c r="Q462" s="4"/>
      <c r="R462" s="6"/>
      <c r="S462" s="6"/>
      <c r="T462" s="4">
        <v>-20</v>
      </c>
      <c r="U462" s="4"/>
      <c r="V462" s="4"/>
      <c r="W462" s="9">
        <v>1.4</v>
      </c>
      <c r="X462" s="9"/>
      <c r="Y462" s="9"/>
      <c r="Z462" s="9"/>
      <c r="AA462" s="9"/>
      <c r="AB462" s="9"/>
      <c r="AC462" s="449" t="str">
        <f t="shared" si="47"/>
        <v>PH</v>
      </c>
      <c r="AD462" s="449"/>
      <c r="AE462" s="449"/>
      <c r="AF462" s="4"/>
      <c r="AG462" s="83"/>
      <c r="AH462" s="4"/>
      <c r="AI462" s="4"/>
      <c r="AJ462" s="449"/>
      <c r="AK462" s="449" t="s">
        <v>451</v>
      </c>
      <c r="AL462" s="449"/>
      <c r="AM462" s="449" t="s">
        <v>345</v>
      </c>
      <c r="AN462" s="10">
        <v>5.5</v>
      </c>
      <c r="AO462" s="9"/>
      <c r="AP462" s="9"/>
      <c r="AQ462" s="9"/>
      <c r="AR462" s="9"/>
      <c r="AS462" s="9"/>
      <c r="AT462" s="9">
        <f>+ab($T$462,$T$460,$T$464,$G$461,$G$463, 1*$F$462,1200)</f>
        <v>-8.7097063967882722</v>
      </c>
      <c r="AU462" s="428"/>
      <c r="AV462" s="428"/>
      <c r="AW462" s="449" t="s">
        <v>201</v>
      </c>
      <c r="AX462" s="449" t="s">
        <v>201</v>
      </c>
      <c r="AY462" s="10" t="str">
        <f>IF(L462="","",
IF(AX462="PT",VLOOKUP(L462,Foundation_Calc!$K$79:$R$113,VLOOKUP(AW462,Foundation_Calc!$I$2:$J$8,2,FALSE),0),
IF(AX462="K",VLOOKUP(L462,Foundation_Calc!$K$117:$R$151,VLOOKUP(AW462,Foundation_Calc!$I$2:$J$8,2,FALSE),0),"")))</f>
        <v/>
      </c>
      <c r="AZ462" s="10" t="str">
        <f>IF(K462="","",
IF(AX462="PT",VLOOKUP(K462,Foundation_Calc!$K$79:$R$113,VLOOKUP(AW462,Foundation_Calc!$I$2:$J$8,2,FALSE),0),
IF(AX462="K",VLOOKUP(K462,Foundation_Calc!$K$117:$R$151,VLOOKUP(AW462,Foundation_Calc!$I$2:$J$8,2,FALSE),0),"")))</f>
        <v/>
      </c>
      <c r="BA462" s="495" t="str">
        <f t="shared" si="51"/>
        <v/>
      </c>
      <c r="BB462" s="495" t="str">
        <f t="shared" si="52"/>
        <v/>
      </c>
      <c r="BC462" s="495" t="str">
        <f t="shared" si="53"/>
        <v/>
      </c>
      <c r="BD462" s="513"/>
      <c r="BE462" s="429" t="s">
        <v>118</v>
      </c>
      <c r="BF462" s="289"/>
      <c r="BG462" s="289"/>
      <c r="BH462" s="290"/>
      <c r="BI462" s="289"/>
    </row>
    <row r="463" spans="1:61" ht="15.75" customHeight="1">
      <c r="A463" s="734" t="s">
        <v>442</v>
      </c>
      <c r="B463" s="450"/>
      <c r="C463" s="3"/>
      <c r="D463" s="83"/>
      <c r="E463" s="4"/>
      <c r="F463" s="4"/>
      <c r="G463" s="6">
        <v>46.9</v>
      </c>
      <c r="H463" s="449"/>
      <c r="I463" s="4"/>
      <c r="J463" s="3"/>
      <c r="K463" s="449"/>
      <c r="L463" s="449"/>
      <c r="M463" s="449" t="str">
        <f>IF(L463="","",
IF(AX463="PT",VLOOKUP(L463,Foundation_Calc!$V$79:$X$113,VLOOKUP(AX463,Foundation_Calc!$I$10:$J$13,2,FALSE),0),
IF(AX463="K",VLOOKUP(L463,Foundation_Calc!$V$117:$X$151,VLOOKUP(AX463,Foundation_Calc!$I$10:$J$13,2,FALSE),0),"")))</f>
        <v/>
      </c>
      <c r="N463" s="449"/>
      <c r="O463" s="449"/>
      <c r="P463" s="449"/>
      <c r="Q463" s="4"/>
      <c r="R463" s="6"/>
      <c r="S463" s="6"/>
      <c r="T463" s="4"/>
      <c r="U463" s="4"/>
      <c r="V463" s="4"/>
      <c r="W463" s="572"/>
      <c r="X463" s="572"/>
      <c r="Y463" s="9"/>
      <c r="Z463" s="9"/>
      <c r="AA463" s="9"/>
      <c r="AB463" s="9"/>
      <c r="AC463" s="449" t="str">
        <f t="shared" si="47"/>
        <v/>
      </c>
      <c r="AD463" s="449"/>
      <c r="AE463" s="449"/>
      <c r="AF463" s="4"/>
      <c r="AG463" s="83"/>
      <c r="AH463" s="4"/>
      <c r="AI463" s="4"/>
      <c r="AJ463" s="449"/>
      <c r="AK463" s="449"/>
      <c r="AL463" s="449"/>
      <c r="AM463" s="449"/>
      <c r="AN463" s="10"/>
      <c r="AO463" s="9"/>
      <c r="AP463" s="9"/>
      <c r="AQ463" s="9">
        <f>+FL_1($T$464,$T$462,$G$463,1200,9.28, 1*$F$464)</f>
        <v>0.25965924666950957</v>
      </c>
      <c r="AR463" s="9"/>
      <c r="AS463" s="9"/>
      <c r="AT463" s="9"/>
      <c r="AU463" s="428"/>
      <c r="AV463" s="428"/>
      <c r="AW463" s="449"/>
      <c r="AX463" s="449"/>
      <c r="AY463" s="10" t="str">
        <f>IF(L463="","",
IF(AX463="PT",VLOOKUP(L463,Foundation_Calc!$K$79:$R$113,VLOOKUP(AW463,Foundation_Calc!$I$2:$J$8,2,FALSE),0),
IF(AX463="K",VLOOKUP(L463,Foundation_Calc!$K$117:$R$151,VLOOKUP(AW463,Foundation_Calc!$I$2:$J$8,2,FALSE),0),"")))</f>
        <v/>
      </c>
      <c r="AZ463" s="10" t="str">
        <f>IF(K463="","",
IF(AX463="PT",VLOOKUP(K463,Foundation_Calc!$K$79:$R$113,VLOOKUP(AW463,Foundation_Calc!$I$2:$J$8,2,FALSE),0),
IF(AX463="K",VLOOKUP(K463,Foundation_Calc!$K$117:$R$151,VLOOKUP(AW463,Foundation_Calc!$I$2:$J$8,2,FALSE),0),"")))</f>
        <v/>
      </c>
      <c r="BA463" s="495" t="str">
        <f t="shared" si="51"/>
        <v/>
      </c>
      <c r="BB463" s="495" t="str">
        <f t="shared" si="52"/>
        <v/>
      </c>
      <c r="BC463" s="495" t="str">
        <f t="shared" si="53"/>
        <v/>
      </c>
      <c r="BD463" s="513" t="str">
        <f>IF(AND(L463="",H463=""),"",
IF(H463="",Pole_Calc!A$9,
IF(H463="MP",Pole_Calc!A$10,
IF(H463="AnMP",Pole_Calc!A$11,
IF(H463="A",Pole_Calc!A$12,
IF(H463="S/A",Pole_Calc!A$13,
IF(H463="A/S",Pole_Calc!A$14,"Poner a mano")))))))</f>
        <v/>
      </c>
      <c r="BE463" s="429" t="s">
        <v>118</v>
      </c>
      <c r="BF463" s="290"/>
      <c r="BG463" s="290"/>
      <c r="BH463" s="290"/>
      <c r="BI463" s="290"/>
    </row>
    <row r="464" spans="1:61" ht="15.75" customHeight="1">
      <c r="A464" s="734" t="s">
        <v>442</v>
      </c>
      <c r="B464" s="450" t="s">
        <v>1175</v>
      </c>
      <c r="C464" s="3">
        <f>+$C$462+$G$463</f>
        <v>41036.140000000007</v>
      </c>
      <c r="D464" s="83"/>
      <c r="E464" s="4"/>
      <c r="F464" s="4">
        <v>0</v>
      </c>
      <c r="G464" s="540"/>
      <c r="H464" s="449"/>
      <c r="I464" s="4"/>
      <c r="J464" s="3"/>
      <c r="K464" s="449"/>
      <c r="L464" s="449" t="s">
        <v>201</v>
      </c>
      <c r="M464" s="449" t="str">
        <f>IF(L464="","",
IF(AX464="PT",VLOOKUP(L464,Foundation_Calc!$V$79:$X$113,VLOOKUP(AX464,Foundation_Calc!$I$10:$J$13,2,FALSE),0),
IF(AX464="K",VLOOKUP(L464,Foundation_Calc!$V$117:$X$151,VLOOKUP(AX464,Foundation_Calc!$I$10:$J$13,2,FALSE),0),"")))</f>
        <v/>
      </c>
      <c r="N464" s="449" t="s">
        <v>453</v>
      </c>
      <c r="O464" s="449"/>
      <c r="P464" s="449"/>
      <c r="Q464" s="4"/>
      <c r="R464" s="6"/>
      <c r="S464" s="6"/>
      <c r="T464" s="4">
        <v>20</v>
      </c>
      <c r="U464" s="4"/>
      <c r="V464" s="4"/>
      <c r="W464" s="572">
        <v>1.2</v>
      </c>
      <c r="X464" s="572"/>
      <c r="Y464" s="9"/>
      <c r="Z464" s="9"/>
      <c r="AA464" s="9"/>
      <c r="AB464" s="9"/>
      <c r="AC464" s="449" t="str">
        <f t="shared" si="47"/>
        <v>PH</v>
      </c>
      <c r="AD464" s="449"/>
      <c r="AE464" s="449"/>
      <c r="AF464" s="4"/>
      <c r="AG464" s="83"/>
      <c r="AH464" s="4"/>
      <c r="AI464" s="4"/>
      <c r="AJ464" s="449"/>
      <c r="AK464" s="449" t="s">
        <v>451</v>
      </c>
      <c r="AL464" s="449"/>
      <c r="AM464" s="449"/>
      <c r="AN464" s="10">
        <v>5.5</v>
      </c>
      <c r="AO464" s="9"/>
      <c r="AP464" s="9"/>
      <c r="AQ464" s="9"/>
      <c r="AR464" s="9"/>
      <c r="AS464" s="9"/>
      <c r="AT464" s="9">
        <f>+ab($T$464,$T$462,$T$466,$G$463,$G$465, 1*$F$464,1200)</f>
        <v>11.561294370828833</v>
      </c>
      <c r="AU464" s="428"/>
      <c r="AV464" s="428"/>
      <c r="AW464" s="449" t="s">
        <v>201</v>
      </c>
      <c r="AX464" s="449" t="s">
        <v>201</v>
      </c>
      <c r="AY464" s="10" t="str">
        <f>IF(L464="","",
IF(AX464="PT",VLOOKUP(L464,Foundation_Calc!$K$79:$R$113,VLOOKUP(AW464,Foundation_Calc!$I$2:$J$8,2,FALSE),0),
IF(AX464="K",VLOOKUP(L464,Foundation_Calc!$K$117:$R$151,VLOOKUP(AW464,Foundation_Calc!$I$2:$J$8,2,FALSE),0),"")))</f>
        <v/>
      </c>
      <c r="AZ464" s="10" t="str">
        <f>IF(K464="","",
IF(AX464="PT",VLOOKUP(K464,Foundation_Calc!$K$79:$R$113,VLOOKUP(AW464,Foundation_Calc!$I$2:$J$8,2,FALSE),0),
IF(AX464="K",VLOOKUP(K464,Foundation_Calc!$K$117:$R$151,VLOOKUP(AW464,Foundation_Calc!$I$2:$J$8,2,FALSE),0),"")))</f>
        <v/>
      </c>
      <c r="BA464" s="495" t="str">
        <f t="shared" si="51"/>
        <v/>
      </c>
      <c r="BB464" s="495" t="str">
        <f t="shared" si="52"/>
        <v/>
      </c>
      <c r="BC464" s="495" t="str">
        <f t="shared" si="53"/>
        <v/>
      </c>
      <c r="BD464" s="513"/>
      <c r="BE464" s="429" t="s">
        <v>118</v>
      </c>
      <c r="BF464" s="289"/>
      <c r="BG464" s="289"/>
      <c r="BH464" s="290"/>
      <c r="BI464" s="289"/>
    </row>
    <row r="465" spans="1:61" ht="15.75" customHeight="1">
      <c r="A465" s="734" t="s">
        <v>442</v>
      </c>
      <c r="B465" s="450"/>
      <c r="C465" s="3"/>
      <c r="D465" s="83"/>
      <c r="E465" s="4"/>
      <c r="F465" s="4"/>
      <c r="G465" s="6">
        <v>51</v>
      </c>
      <c r="H465" s="449"/>
      <c r="I465" s="4"/>
      <c r="J465" s="3"/>
      <c r="K465" s="449"/>
      <c r="L465" s="449"/>
      <c r="M465" s="449" t="str">
        <f>IF(L465="","",
IF(AX465="PT",VLOOKUP(L465,Foundation_Calc!$V$79:$X$113,VLOOKUP(AX465,Foundation_Calc!$I$10:$J$13,2,FALSE),0),
IF(AX465="K",VLOOKUP(L465,Foundation_Calc!$V$117:$X$151,VLOOKUP(AX465,Foundation_Calc!$I$10:$J$13,2,FALSE),0),"")))</f>
        <v/>
      </c>
      <c r="N465" s="449"/>
      <c r="O465" s="449"/>
      <c r="P465" s="449"/>
      <c r="Q465" s="4"/>
      <c r="R465" s="6"/>
      <c r="S465" s="6"/>
      <c r="T465" s="4"/>
      <c r="U465" s="4"/>
      <c r="V465" s="4"/>
      <c r="W465" s="572"/>
      <c r="X465" s="572"/>
      <c r="Y465" s="9"/>
      <c r="Z465" s="9"/>
      <c r="AA465" s="9"/>
      <c r="AB465" s="9"/>
      <c r="AC465" s="449" t="str">
        <f t="shared" si="47"/>
        <v/>
      </c>
      <c r="AD465" s="449"/>
      <c r="AE465" s="449"/>
      <c r="AF465" s="4"/>
      <c r="AG465" s="83"/>
      <c r="AH465" s="4"/>
      <c r="AI465" s="4"/>
      <c r="AJ465" s="449"/>
      <c r="AK465" s="449"/>
      <c r="AL465" s="449"/>
      <c r="AM465" s="449"/>
      <c r="AN465" s="10"/>
      <c r="AO465" s="9"/>
      <c r="AP465" s="9"/>
      <c r="AQ465" s="9">
        <f>+FL_1($T$466,$T$464,$G$465,1200,9.28, 1*$F$466)</f>
        <v>0.29120249976470591</v>
      </c>
      <c r="AR465" s="9"/>
      <c r="AS465" s="9"/>
      <c r="AT465" s="9"/>
      <c r="AU465" s="428"/>
      <c r="AV465" s="428"/>
      <c r="AW465" s="449"/>
      <c r="AX465" s="449"/>
      <c r="AY465" s="10" t="str">
        <f>IF(L465="","",
IF(AX465="PT",VLOOKUP(L465,Foundation_Calc!$K$79:$R$113,VLOOKUP(AW465,Foundation_Calc!$I$2:$J$8,2,FALSE),0),
IF(AX465="K",VLOOKUP(L465,Foundation_Calc!$K$117:$R$151,VLOOKUP(AW465,Foundation_Calc!$I$2:$J$8,2,FALSE),0),"")))</f>
        <v/>
      </c>
      <c r="AZ465" s="10" t="str">
        <f>IF(K465="","",
IF(AX465="PT",VLOOKUP(K465,Foundation_Calc!$K$79:$R$113,VLOOKUP(AW465,Foundation_Calc!$I$2:$J$8,2,FALSE),0),
IF(AX465="K",VLOOKUP(K465,Foundation_Calc!$K$117:$R$151,VLOOKUP(AW465,Foundation_Calc!$I$2:$J$8,2,FALSE),0),"")))</f>
        <v/>
      </c>
      <c r="BA465" s="495" t="str">
        <f t="shared" si="51"/>
        <v/>
      </c>
      <c r="BB465" s="495" t="str">
        <f t="shared" si="52"/>
        <v/>
      </c>
      <c r="BC465" s="495" t="str">
        <f t="shared" si="53"/>
        <v/>
      </c>
      <c r="BD465" s="513" t="str">
        <f>IF(AND(L465="",H465=""),"",
IF(H465="",Pole_Calc!A$9,
IF(H465="MP",Pole_Calc!A$10,
IF(H465="AnMP",Pole_Calc!A$11,
IF(H465="A",Pole_Calc!A$12,
IF(H465="S/A",Pole_Calc!A$13,
IF(H465="A/S",Pole_Calc!A$14,"Poner a mano")))))))</f>
        <v/>
      </c>
      <c r="BE465" s="429" t="s">
        <v>118</v>
      </c>
      <c r="BF465" s="290"/>
      <c r="BG465" s="290"/>
      <c r="BH465" s="290"/>
      <c r="BI465" s="290"/>
    </row>
    <row r="466" spans="1:61" ht="15.75" customHeight="1">
      <c r="A466" s="734" t="s">
        <v>442</v>
      </c>
      <c r="B466" s="450" t="s">
        <v>1176</v>
      </c>
      <c r="C466" s="3">
        <f>+$C$464+$G$465</f>
        <v>41087.140000000007</v>
      </c>
      <c r="D466" s="83"/>
      <c r="E466" s="4"/>
      <c r="F466" s="4">
        <v>0</v>
      </c>
      <c r="G466" s="6"/>
      <c r="H466" s="449"/>
      <c r="I466" s="4"/>
      <c r="J466" s="3"/>
      <c r="K466" s="449"/>
      <c r="L466" s="449" t="s">
        <v>201</v>
      </c>
      <c r="M466" s="449" t="str">
        <f>IF(L466="","",
IF(AX466="PT",VLOOKUP(L466,Foundation_Calc!$V$79:$X$113,VLOOKUP(AX466,Foundation_Calc!$I$10:$J$13,2,FALSE),0),
IF(AX466="K",VLOOKUP(L466,Foundation_Calc!$V$117:$X$151,VLOOKUP(AX466,Foundation_Calc!$I$10:$J$13,2,FALSE),0),"")))</f>
        <v/>
      </c>
      <c r="N466" s="449" t="s">
        <v>343</v>
      </c>
      <c r="O466" s="449"/>
      <c r="P466" s="449"/>
      <c r="Q466" s="4"/>
      <c r="R466" s="6"/>
      <c r="S466" s="6"/>
      <c r="T466" s="4">
        <v>-20</v>
      </c>
      <c r="U466" s="4"/>
      <c r="V466" s="4"/>
      <c r="W466" s="572">
        <v>1.1000000000000001</v>
      </c>
      <c r="X466" s="572"/>
      <c r="Y466" s="9"/>
      <c r="Z466" s="9"/>
      <c r="AA466" s="9"/>
      <c r="AB466" s="9"/>
      <c r="AC466" s="449" t="str">
        <f t="shared" si="47"/>
        <v>PH</v>
      </c>
      <c r="AD466" s="449"/>
      <c r="AE466" s="449"/>
      <c r="AF466" s="4"/>
      <c r="AG466" s="83"/>
      <c r="AH466" s="4"/>
      <c r="AI466" s="4"/>
      <c r="AJ466" s="449"/>
      <c r="AK466" s="449" t="s">
        <v>451</v>
      </c>
      <c r="AL466" s="449"/>
      <c r="AM466" s="449"/>
      <c r="AN466" s="10">
        <v>5.5</v>
      </c>
      <c r="AO466" s="9"/>
      <c r="AP466" s="9"/>
      <c r="AQ466" s="9"/>
      <c r="AR466" s="9"/>
      <c r="AS466" s="9"/>
      <c r="AT466" s="9">
        <f>+ab($T$466,$T$464,$T$468,$G$465,$G$467, 1*$F$466,1200)</f>
        <v>-12.99744763725549</v>
      </c>
      <c r="AU466" s="428"/>
      <c r="AV466" s="428"/>
      <c r="AW466" s="449" t="s">
        <v>201</v>
      </c>
      <c r="AX466" s="449" t="s">
        <v>201</v>
      </c>
      <c r="AY466" s="10" t="str">
        <f>IF(L466="","",
IF(AX466="PT",VLOOKUP(L466,Foundation_Calc!$K$79:$R$113,VLOOKUP(AW466,Foundation_Calc!$I$2:$J$8,2,FALSE),0),
IF(AX466="K",VLOOKUP(L466,Foundation_Calc!$K$117:$R$151,VLOOKUP(AW466,Foundation_Calc!$I$2:$J$8,2,FALSE),0),"")))</f>
        <v/>
      </c>
      <c r="AZ466" s="10" t="str">
        <f>IF(K466="","",
IF(AX466="PT",VLOOKUP(K466,Foundation_Calc!$K$79:$R$113,VLOOKUP(AW466,Foundation_Calc!$I$2:$J$8,2,FALSE),0),
IF(AX466="K",VLOOKUP(K466,Foundation_Calc!$K$117:$R$151,VLOOKUP(AW466,Foundation_Calc!$I$2:$J$8,2,FALSE),0),"")))</f>
        <v/>
      </c>
      <c r="BA466" s="495" t="str">
        <f t="shared" si="51"/>
        <v/>
      </c>
      <c r="BB466" s="495" t="str">
        <f t="shared" si="52"/>
        <v/>
      </c>
      <c r="BC466" s="495" t="str">
        <f t="shared" si="53"/>
        <v/>
      </c>
      <c r="BD466" s="513"/>
      <c r="BE466" s="429" t="s">
        <v>118</v>
      </c>
      <c r="BF466" s="289"/>
      <c r="BG466" s="289"/>
      <c r="BH466" s="290"/>
      <c r="BI466" s="289"/>
    </row>
    <row r="467" spans="1:61" ht="15.75" customHeight="1">
      <c r="A467" s="734" t="s">
        <v>442</v>
      </c>
      <c r="B467" s="450"/>
      <c r="C467" s="3"/>
      <c r="D467" s="83"/>
      <c r="E467" s="4"/>
      <c r="F467" s="4"/>
      <c r="G467" s="6">
        <v>60</v>
      </c>
      <c r="H467" s="449"/>
      <c r="I467" s="4"/>
      <c r="J467" s="3"/>
      <c r="K467" s="449"/>
      <c r="L467" s="449"/>
      <c r="M467" s="449" t="str">
        <f>IF(L467="","",
IF(AX467="PT",VLOOKUP(L467,Foundation_Calc!$V$79:$X$113,VLOOKUP(AX467,Foundation_Calc!$I$10:$J$13,2,FALSE),0),
IF(AX467="K",VLOOKUP(L467,Foundation_Calc!$V$117:$X$151,VLOOKUP(AX467,Foundation_Calc!$I$10:$J$13,2,FALSE),0),"")))</f>
        <v/>
      </c>
      <c r="N467" s="449"/>
      <c r="O467" s="449"/>
      <c r="P467" s="449"/>
      <c r="Q467" s="4"/>
      <c r="R467" s="6"/>
      <c r="S467" s="6"/>
      <c r="T467" s="4"/>
      <c r="U467" s="4"/>
      <c r="V467" s="4"/>
      <c r="W467" s="572"/>
      <c r="X467" s="572"/>
      <c r="Y467" s="9"/>
      <c r="Z467" s="9"/>
      <c r="AA467" s="9"/>
      <c r="AB467" s="9"/>
      <c r="AC467" s="449" t="str">
        <f t="shared" si="47"/>
        <v/>
      </c>
      <c r="AD467" s="449"/>
      <c r="AE467" s="449"/>
      <c r="AF467" s="4"/>
      <c r="AG467" s="83"/>
      <c r="AH467" s="4"/>
      <c r="AI467" s="4"/>
      <c r="AJ467" s="449"/>
      <c r="AK467" s="449"/>
      <c r="AL467" s="449"/>
      <c r="AM467" s="449"/>
      <c r="AN467" s="10"/>
      <c r="AO467" s="9"/>
      <c r="AP467" s="9"/>
      <c r="AQ467" s="9">
        <f>+FL_1($T$468,$T$466,$G$467,1200,9.28, 1*$F$468)</f>
        <v>0.37673563199999993</v>
      </c>
      <c r="AR467" s="9"/>
      <c r="AS467" s="9"/>
      <c r="AT467" s="9"/>
      <c r="AU467" s="428"/>
      <c r="AV467" s="428"/>
      <c r="AW467" s="449"/>
      <c r="AX467" s="449"/>
      <c r="AY467" s="10" t="str">
        <f>IF(L467="","",
IF(AX467="PT",VLOOKUP(L467,Foundation_Calc!$K$79:$R$113,VLOOKUP(AW467,Foundation_Calc!$I$2:$J$8,2,FALSE),0),
IF(AX467="K",VLOOKUP(L467,Foundation_Calc!$K$117:$R$151,VLOOKUP(AW467,Foundation_Calc!$I$2:$J$8,2,FALSE),0),"")))</f>
        <v/>
      </c>
      <c r="AZ467" s="10" t="str">
        <f>IF(K467="","",
IF(AX467="PT",VLOOKUP(K467,Foundation_Calc!$K$79:$R$113,VLOOKUP(AW467,Foundation_Calc!$I$2:$J$8,2,FALSE),0),
IF(AX467="K",VLOOKUP(K467,Foundation_Calc!$K$117:$R$151,VLOOKUP(AW467,Foundation_Calc!$I$2:$J$8,2,FALSE),0),"")))</f>
        <v/>
      </c>
      <c r="BA467" s="495" t="str">
        <f t="shared" si="51"/>
        <v/>
      </c>
      <c r="BB467" s="495" t="str">
        <f t="shared" si="52"/>
        <v/>
      </c>
      <c r="BC467" s="495" t="str">
        <f t="shared" si="53"/>
        <v/>
      </c>
      <c r="BD467" s="513" t="str">
        <f>IF(AND(L467="",H467=""),"",
IF(H467="",Pole_Calc!A$9,
IF(H467="MP",Pole_Calc!A$10,
IF(H467="AnMP",Pole_Calc!A$11,
IF(H467="A",Pole_Calc!A$12,
IF(H467="S/A",Pole_Calc!A$13,
IF(H467="A/S",Pole_Calc!A$14,"Poner a mano")))))))</f>
        <v/>
      </c>
      <c r="BE467" s="429" t="s">
        <v>118</v>
      </c>
      <c r="BF467" s="290"/>
      <c r="BG467" s="290"/>
      <c r="BH467" s="290"/>
      <c r="BI467" s="290"/>
    </row>
    <row r="468" spans="1:61" ht="15.75" customHeight="1">
      <c r="A468" s="742" t="s">
        <v>442</v>
      </c>
      <c r="B468" s="536" t="s">
        <v>1177</v>
      </c>
      <c r="C468" s="537">
        <f>+$C$466+$G$467</f>
        <v>41147.140000000007</v>
      </c>
      <c r="D468" s="538"/>
      <c r="E468" s="539"/>
      <c r="F468" s="539">
        <v>0</v>
      </c>
      <c r="G468" s="540"/>
      <c r="H468" s="541"/>
      <c r="I468" s="539"/>
      <c r="J468" s="537"/>
      <c r="K468" s="541"/>
      <c r="L468" s="541" t="s">
        <v>201</v>
      </c>
      <c r="M468" s="541" t="str">
        <f>IF(L468="","",
IF(AX468="PT",VLOOKUP(L468,Foundation_Calc!$V$79:$X$113,VLOOKUP(AX468,Foundation_Calc!$I$10:$J$13,2,FALSE),0),
IF(AX468="K",VLOOKUP(L468,Foundation_Calc!$V$117:$X$151,VLOOKUP(AX468,Foundation_Calc!$I$10:$J$13,2,FALSE),0),"")))</f>
        <v/>
      </c>
      <c r="N468" s="449" t="s">
        <v>453</v>
      </c>
      <c r="O468" s="541"/>
      <c r="P468" s="541"/>
      <c r="Q468" s="539"/>
      <c r="R468" s="540"/>
      <c r="S468" s="540"/>
      <c r="T468" s="539">
        <v>20</v>
      </c>
      <c r="U468" s="539"/>
      <c r="V468" s="539"/>
      <c r="W468" s="579">
        <v>0.9</v>
      </c>
      <c r="X468" s="579"/>
      <c r="Y468" s="542"/>
      <c r="Z468" s="542"/>
      <c r="AA468" s="542"/>
      <c r="AB468" s="542"/>
      <c r="AC468" s="541" t="str">
        <f t="shared" si="47"/>
        <v>PH</v>
      </c>
      <c r="AD468" s="541"/>
      <c r="AE468" s="541"/>
      <c r="AF468" s="539"/>
      <c r="AG468" s="538"/>
      <c r="AH468" s="539"/>
      <c r="AI468" s="539"/>
      <c r="AJ468" s="541"/>
      <c r="AK468" s="541" t="s">
        <v>451</v>
      </c>
      <c r="AL468" s="541"/>
      <c r="AM468" s="541"/>
      <c r="AN468" s="543">
        <v>5.5</v>
      </c>
      <c r="AO468" s="542"/>
      <c r="AP468" s="542"/>
      <c r="AQ468" s="542"/>
      <c r="AR468" s="542"/>
      <c r="AS468" s="542"/>
      <c r="AT468" s="542">
        <f>+ab($T$468,$T$466,$T$470,$G$467,$G$469, 1*$F$468,1200)</f>
        <v>14.100168120971283</v>
      </c>
      <c r="AU468" s="544"/>
      <c r="AV468" s="544"/>
      <c r="AW468" s="449" t="s">
        <v>201</v>
      </c>
      <c r="AX468" s="449" t="s">
        <v>201</v>
      </c>
      <c r="AY468" s="543" t="str">
        <f>IF(L468="","",
IF(AX468="PT",VLOOKUP(L468,Foundation_Calc!$K$79:$R$113,VLOOKUP(AW468,Foundation_Calc!$I$2:$J$8,2,FALSE),0),
IF(AX468="K",VLOOKUP(L468,Foundation_Calc!$K$117:$R$151,VLOOKUP(AW468,Foundation_Calc!$I$2:$J$8,2,FALSE),0),"")))</f>
        <v/>
      </c>
      <c r="AZ468" s="543" t="str">
        <f>IF(K468="","",
IF(AX468="PT",VLOOKUP(K468,Foundation_Calc!$K$79:$R$113,VLOOKUP(AW468,Foundation_Calc!$I$2:$J$8,2,FALSE),0),
IF(AX468="K",VLOOKUP(K468,Foundation_Calc!$K$117:$R$151,VLOOKUP(AW468,Foundation_Calc!$I$2:$J$8,2,FALSE),0),"")))</f>
        <v/>
      </c>
      <c r="BA468" s="550" t="str">
        <f t="shared" ref="BA468:BA470" si="54">IF(AY468="","",IF(AY468&gt;0,"ü",""))</f>
        <v/>
      </c>
      <c r="BB468" s="550" t="str">
        <f t="shared" ref="BB468:BB470" si="55">IF(AZ468="","",IF(AZ468&gt;0,"ü",""))</f>
        <v/>
      </c>
      <c r="BC468" s="550" t="str">
        <f t="shared" ref="BC468:BC470" si="56">IF(M468="","",IF(M468="U.S.","ü",IF(M468="U.S. N.D.","ü","")))</f>
        <v/>
      </c>
      <c r="BD468" s="516"/>
      <c r="BE468" s="429" t="s">
        <v>118</v>
      </c>
      <c r="BF468" s="289"/>
      <c r="BG468" s="289"/>
      <c r="BH468" s="290"/>
      <c r="BI468" s="289"/>
    </row>
    <row r="469" spans="1:61" ht="15.75" customHeight="1">
      <c r="A469" s="514" t="s">
        <v>430</v>
      </c>
      <c r="B469" s="450"/>
      <c r="C469" s="3"/>
      <c r="D469" s="83"/>
      <c r="E469" s="4"/>
      <c r="F469" s="4"/>
      <c r="G469" s="6">
        <v>60</v>
      </c>
      <c r="H469" s="449"/>
      <c r="I469" s="4"/>
      <c r="J469" s="3"/>
      <c r="K469" s="449"/>
      <c r="L469" s="449"/>
      <c r="M469" s="449" t="str">
        <f>IF(L469="","",
IF(AX469="PT",VLOOKUP(L469,Foundation_Calc!$V$79:$X$113,VLOOKUP(AX469,Foundation_Calc!$I$10:$J$13,2,FALSE),0),
IF(AX469="K",VLOOKUP(L469,Foundation_Calc!$V$117:$X$151,VLOOKUP(AX469,Foundation_Calc!$I$10:$J$13,2,FALSE),0),"")))</f>
        <v/>
      </c>
      <c r="N469" s="449"/>
      <c r="O469" s="449"/>
      <c r="P469" s="449"/>
      <c r="Q469" s="4"/>
      <c r="R469" s="6"/>
      <c r="S469" s="6"/>
      <c r="T469" s="4"/>
      <c r="U469" s="4"/>
      <c r="V469" s="4"/>
      <c r="W469" s="572"/>
      <c r="X469" s="572"/>
      <c r="Y469" s="9"/>
      <c r="Z469" s="9"/>
      <c r="AA469" s="9"/>
      <c r="AB469" s="9"/>
      <c r="AC469" s="449" t="str">
        <f t="shared" ref="AC469:AC532" si="57">IF(OR(AT469&gt;8,AT469&lt;-8),"PH",
IF(OR(AT469&gt;5,AT469&lt;-5),"PHQ",
IF(OR(AT469&gt;1,AT469&lt;-1),
"PHC","")))</f>
        <v/>
      </c>
      <c r="AD469" s="449"/>
      <c r="AE469" s="449"/>
      <c r="AF469" s="4"/>
      <c r="AG469" s="83"/>
      <c r="AH469" s="4"/>
      <c r="AI469" s="4"/>
      <c r="AJ469" s="449"/>
      <c r="AK469" s="449"/>
      <c r="AL469" s="449"/>
      <c r="AM469" s="449"/>
      <c r="AN469" s="10"/>
      <c r="AO469" s="9"/>
      <c r="AP469" s="9"/>
      <c r="AQ469" s="9">
        <f>+FL_2($T$470,$T$468,$G$469,1200,9.28, 1*$F$470)</f>
        <v>-0.37673563199999993</v>
      </c>
      <c r="AR469" s="9"/>
      <c r="AS469" s="9"/>
      <c r="AT469" s="9"/>
      <c r="AU469" s="428"/>
      <c r="AV469" s="428"/>
      <c r="AW469" s="449"/>
      <c r="AX469" s="449"/>
      <c r="AY469" s="10" t="str">
        <f>IF(L469="","",
IF(AX469="PT",VLOOKUP(L469,Foundation_Calc!$K$79:$R$113,VLOOKUP(AW469,Foundation_Calc!$I$2:$J$8,2,FALSE),0),
IF(AX469="K",VLOOKUP(L469,Foundation_Calc!$K$117:$R$151,VLOOKUP(AW469,Foundation_Calc!$I$2:$J$8,2,FALSE),0),"")))</f>
        <v/>
      </c>
      <c r="AZ469" s="10" t="str">
        <f>IF(K469="","",
IF(AX469="PT",VLOOKUP(K469,Foundation_Calc!$K$79:$R$113,VLOOKUP(AW469,Foundation_Calc!$I$2:$J$8,2,FALSE),0),
IF(AX469="K",VLOOKUP(K469,Foundation_Calc!$K$117:$R$151,VLOOKUP(AW469,Foundation_Calc!$I$2:$J$8,2,FALSE),0),"")))</f>
        <v/>
      </c>
      <c r="BA469" s="495" t="str">
        <f t="shared" si="54"/>
        <v/>
      </c>
      <c r="BB469" s="495" t="str">
        <f t="shared" si="55"/>
        <v/>
      </c>
      <c r="BC469" s="495" t="str">
        <f t="shared" si="56"/>
        <v/>
      </c>
      <c r="BD469" s="513" t="str">
        <f>IF(AND(L469="",H469=""),"",
IF(H469="",Pole_Calc!A$9,
IF(H469="MP",Pole_Calc!A$10,
IF(H469="AnMP",Pole_Calc!A$11,
IF(H469="A",Pole_Calc!A$12,
IF(H469="S/A",Pole_Calc!A$13,
IF(H469="A/S",Pole_Calc!A$14,"Poner a mano")))))))</f>
        <v/>
      </c>
      <c r="BE469" s="429" t="s">
        <v>118</v>
      </c>
      <c r="BF469" s="290"/>
      <c r="BG469" s="290"/>
      <c r="BH469" s="290"/>
      <c r="BI469" s="290"/>
    </row>
    <row r="470" spans="1:61" ht="15.75" customHeight="1">
      <c r="A470" s="514" t="s">
        <v>438</v>
      </c>
      <c r="B470" s="450" t="s">
        <v>1178</v>
      </c>
      <c r="C470" s="3">
        <f>+$C$468+$G$469</f>
        <v>41207.140000000007</v>
      </c>
      <c r="D470" s="83"/>
      <c r="E470" s="4"/>
      <c r="F470" s="4">
        <v>0</v>
      </c>
      <c r="G470" s="6"/>
      <c r="H470" s="449"/>
      <c r="I470" s="4"/>
      <c r="J470" s="3"/>
      <c r="K470" s="449"/>
      <c r="L470" s="449" t="s">
        <v>201</v>
      </c>
      <c r="M470" s="449" t="str">
        <f>IF(L470="","",
IF(AX470="PT",VLOOKUP(L470,Foundation_Calc!$V$79:$X$113,VLOOKUP(AX470,Foundation_Calc!$I$10:$J$13,2,FALSE),0),
IF(AX470="K",VLOOKUP(L470,Foundation_Calc!$V$117:$X$151,VLOOKUP(AX470,Foundation_Calc!$I$10:$J$13,2,FALSE),0),"")))</f>
        <v/>
      </c>
      <c r="N470" s="449" t="s">
        <v>343</v>
      </c>
      <c r="O470" s="449"/>
      <c r="P470" s="449"/>
      <c r="Q470" s="4"/>
      <c r="R470" s="6"/>
      <c r="S470" s="6"/>
      <c r="T470" s="4">
        <v>-20</v>
      </c>
      <c r="U470" s="4"/>
      <c r="V470" s="4"/>
      <c r="W470" s="572">
        <v>0.9</v>
      </c>
      <c r="X470" s="572"/>
      <c r="Y470" s="9"/>
      <c r="Z470" s="9"/>
      <c r="AA470" s="9"/>
      <c r="AB470" s="9"/>
      <c r="AC470" s="449" t="str">
        <f t="shared" si="57"/>
        <v>PH</v>
      </c>
      <c r="AD470" s="449"/>
      <c r="AE470" s="449"/>
      <c r="AF470" s="4"/>
      <c r="AG470" s="83"/>
      <c r="AH470" s="4"/>
      <c r="AI470" s="4"/>
      <c r="AJ470" s="449"/>
      <c r="AK470" s="449" t="s">
        <v>451</v>
      </c>
      <c r="AL470" s="449"/>
      <c r="AM470" s="449"/>
      <c r="AN470" s="10">
        <v>5.5</v>
      </c>
      <c r="AO470" s="9"/>
      <c r="AP470" s="9"/>
      <c r="AQ470" s="9"/>
      <c r="AR470" s="9"/>
      <c r="AS470" s="9"/>
      <c r="AT470" s="9">
        <f>+ab($T$470,$T$468,$T$472,$G$469,$G$471, 1*$F$470,1200)</f>
        <v>-13.194250760835635</v>
      </c>
      <c r="AU470" s="428"/>
      <c r="AV470" s="428"/>
      <c r="AW470" s="449" t="s">
        <v>201</v>
      </c>
      <c r="AX470" s="449" t="s">
        <v>201</v>
      </c>
      <c r="AY470" s="10" t="str">
        <f>IF(L470="","",
IF(AX470="PT",VLOOKUP(L470,Foundation_Calc!$K$79:$R$113,VLOOKUP(AW470,Foundation_Calc!$I$2:$J$8,2,FALSE),0),
IF(AX470="K",VLOOKUP(L470,Foundation_Calc!$K$117:$R$151,VLOOKUP(AW470,Foundation_Calc!$I$2:$J$8,2,FALSE),0),"")))</f>
        <v/>
      </c>
      <c r="AZ470" s="10" t="str">
        <f>IF(K470="","",
IF(AX470="PT",VLOOKUP(K470,Foundation_Calc!$K$79:$R$113,VLOOKUP(AW470,Foundation_Calc!$I$2:$J$8,2,FALSE),0),
IF(AX470="K",VLOOKUP(K470,Foundation_Calc!$K$117:$R$151,VLOOKUP(AW470,Foundation_Calc!$I$2:$J$8,2,FALSE),0),"")))</f>
        <v/>
      </c>
      <c r="BA470" s="495" t="str">
        <f t="shared" si="54"/>
        <v/>
      </c>
      <c r="BB470" s="495" t="str">
        <f t="shared" si="55"/>
        <v/>
      </c>
      <c r="BC470" s="495" t="str">
        <f t="shared" si="56"/>
        <v/>
      </c>
      <c r="BD470" s="513"/>
      <c r="BE470" s="429" t="s">
        <v>118</v>
      </c>
      <c r="BF470" s="289"/>
      <c r="BG470" s="289"/>
      <c r="BH470" s="290"/>
      <c r="BI470" s="289"/>
    </row>
    <row r="471" spans="1:61" ht="15.75" customHeight="1">
      <c r="A471" s="514"/>
      <c r="B471" s="450"/>
      <c r="C471" s="3"/>
      <c r="D471" s="83"/>
      <c r="E471" s="4"/>
      <c r="F471" s="4"/>
      <c r="G471" s="6">
        <v>52.5</v>
      </c>
      <c r="H471" s="449"/>
      <c r="I471" s="4"/>
      <c r="J471" s="3"/>
      <c r="K471" s="449"/>
      <c r="L471" s="449"/>
      <c r="M471" s="449" t="str">
        <f>IF(L471="","",
IF(AX471="PT",VLOOKUP(L471,Foundation_Calc!$V$79:$X$113,VLOOKUP(AX471,Foundation_Calc!$I$10:$J$13,2,FALSE),0),
IF(AX471="K",VLOOKUP(L471,Foundation_Calc!$V$117:$X$151,VLOOKUP(AX471,Foundation_Calc!$I$10:$J$13,2,FALSE),0),"")))</f>
        <v/>
      </c>
      <c r="N471" s="449"/>
      <c r="O471" s="449"/>
      <c r="P471" s="449"/>
      <c r="Q471" s="4"/>
      <c r="R471" s="6"/>
      <c r="S471" s="6"/>
      <c r="T471" s="4"/>
      <c r="U471" s="4"/>
      <c r="V471" s="4"/>
      <c r="W471" s="572"/>
      <c r="X471" s="572"/>
      <c r="Y471" s="9"/>
      <c r="Z471" s="9"/>
      <c r="AA471" s="9"/>
      <c r="AB471" s="9"/>
      <c r="AC471" s="449" t="str">
        <f t="shared" si="57"/>
        <v/>
      </c>
      <c r="AD471" s="449"/>
      <c r="AE471" s="449"/>
      <c r="AF471" s="4"/>
      <c r="AG471" s="83"/>
      <c r="AH471" s="4"/>
      <c r="AI471" s="4"/>
      <c r="AJ471" s="449"/>
      <c r="AK471" s="449"/>
      <c r="AL471" s="449"/>
      <c r="AM471" s="449"/>
      <c r="AN471" s="10"/>
      <c r="AO471" s="9"/>
      <c r="AP471" s="9"/>
      <c r="AQ471" s="9">
        <f>+FL_2($T$472,$T$470,$G$471,1200,9.28, 1*$F$472)</f>
        <v>-0.30396975238095242</v>
      </c>
      <c r="AR471" s="9"/>
      <c r="AS471" s="9"/>
      <c r="AT471" s="9"/>
      <c r="AU471" s="428"/>
      <c r="AV471" s="428"/>
      <c r="AW471" s="449"/>
      <c r="AX471" s="449"/>
      <c r="AY471" s="10" t="str">
        <f>IF(L471="","",
IF(AX471="PT",VLOOKUP(L471,Foundation_Calc!$K$79:$R$113,VLOOKUP(AW471,Foundation_Calc!$I$2:$J$8,2,FALSE),0),
IF(AX471="K",VLOOKUP(L471,Foundation_Calc!$K$117:$R$151,VLOOKUP(AW471,Foundation_Calc!$I$2:$J$8,2,FALSE),0),"")))</f>
        <v/>
      </c>
      <c r="AZ471" s="10" t="str">
        <f>IF(K471="","",
IF(AX471="PT",VLOOKUP(K471,Foundation_Calc!$K$79:$R$113,VLOOKUP(AW471,Foundation_Calc!$I$2:$J$8,2,FALSE),0),
IF(AX471="K",VLOOKUP(K471,Foundation_Calc!$K$117:$R$151,VLOOKUP(AW471,Foundation_Calc!$I$2:$J$8,2,FALSE),0),"")))</f>
        <v/>
      </c>
      <c r="BA471" s="495" t="str">
        <f t="shared" ref="BA471:BA508" si="58">IF(AY471="","",IF(AY471&gt;0,"ü",""))</f>
        <v/>
      </c>
      <c r="BB471" s="495" t="str">
        <f t="shared" ref="BB471:BB508" si="59">IF(AZ471="","",IF(AZ471&gt;0,"ü",""))</f>
        <v/>
      </c>
      <c r="BC471" s="495" t="str">
        <f t="shared" ref="BC471:BC508" si="60">IF(M471="","",IF(M471="U.S.","ü",IF(M471="U.S. N.D.","ü","")))</f>
        <v/>
      </c>
      <c r="BD471" s="513" t="str">
        <f>IF(AND(L471="",H471=""),"",
IF(H471="",Pole_Calc!A$9,
IF(H471="MP",Pole_Calc!A$10,
IF(H471="AnMP",Pole_Calc!A$11,
IF(H471="A",Pole_Calc!A$12,
IF(H471="S/A",Pole_Calc!A$13,
IF(H471="A/S",Pole_Calc!A$14,"Poner a mano")))))))</f>
        <v/>
      </c>
      <c r="BE471" s="429" t="s">
        <v>118</v>
      </c>
      <c r="BF471" s="290"/>
      <c r="BG471" s="290"/>
      <c r="BH471" s="290"/>
      <c r="BI471" s="290"/>
    </row>
    <row r="472" spans="1:61" ht="15.75" customHeight="1">
      <c r="A472" s="514"/>
      <c r="B472" s="450" t="s">
        <v>1179</v>
      </c>
      <c r="C472" s="3">
        <f>+$C$470+$G$471</f>
        <v>41259.640000000007</v>
      </c>
      <c r="D472" s="83"/>
      <c r="E472" s="4"/>
      <c r="F472" s="4">
        <v>0</v>
      </c>
      <c r="G472" s="6"/>
      <c r="H472" s="449"/>
      <c r="I472" s="4"/>
      <c r="J472" s="3"/>
      <c r="K472" s="449"/>
      <c r="L472" s="449" t="s">
        <v>201</v>
      </c>
      <c r="M472" s="449" t="str">
        <f>IF(L472="","",
IF(AX472="PT",VLOOKUP(L472,Foundation_Calc!$V$79:$X$113,VLOOKUP(AX472,Foundation_Calc!$I$10:$J$13,2,FALSE),0),
IF(AX472="K",VLOOKUP(L472,Foundation_Calc!$V$117:$X$151,VLOOKUP(AX472,Foundation_Calc!$I$10:$J$13,2,FALSE),0),"")))</f>
        <v/>
      </c>
      <c r="N472" s="449" t="s">
        <v>453</v>
      </c>
      <c r="O472" s="449"/>
      <c r="P472" s="449"/>
      <c r="Q472" s="4"/>
      <c r="R472" s="6"/>
      <c r="S472" s="6"/>
      <c r="T472" s="4">
        <v>20</v>
      </c>
      <c r="U472" s="4"/>
      <c r="V472" s="4"/>
      <c r="W472" s="572">
        <v>1.1000000000000001</v>
      </c>
      <c r="X472" s="572"/>
      <c r="Y472" s="9"/>
      <c r="Z472" s="9"/>
      <c r="AA472" s="9"/>
      <c r="AB472" s="9"/>
      <c r="AC472" s="449" t="str">
        <f t="shared" si="57"/>
        <v>PH</v>
      </c>
      <c r="AD472" s="449"/>
      <c r="AE472" s="449"/>
      <c r="AF472" s="4"/>
      <c r="AG472" s="83"/>
      <c r="AH472" s="4"/>
      <c r="AI472" s="4"/>
      <c r="AJ472" s="449"/>
      <c r="AK472" s="449" t="s">
        <v>451</v>
      </c>
      <c r="AL472" s="449"/>
      <c r="AM472" s="449"/>
      <c r="AN472" s="10">
        <v>5.5</v>
      </c>
      <c r="AO472" s="9"/>
      <c r="AP472" s="9"/>
      <c r="AQ472" s="9"/>
      <c r="AR472" s="9"/>
      <c r="AS472" s="9"/>
      <c r="AT472" s="9">
        <f>+ab($T$472,$T$470,$T$474,$G$471,$G$473, 1*$F$472,1200)</f>
        <v>10.997162414975326</v>
      </c>
      <c r="AU472" s="428"/>
      <c r="AV472" s="428"/>
      <c r="AW472" s="449" t="s">
        <v>201</v>
      </c>
      <c r="AX472" s="449" t="s">
        <v>201</v>
      </c>
      <c r="AY472" s="10" t="str">
        <f>IF(L472="","",
IF(AX472="PT",VLOOKUP(L472,Foundation_Calc!$K$79:$R$113,VLOOKUP(AW472,Foundation_Calc!$I$2:$J$8,2,FALSE),0),
IF(AX472="K",VLOOKUP(L472,Foundation_Calc!$K$117:$R$151,VLOOKUP(AW472,Foundation_Calc!$I$2:$J$8,2,FALSE),0),"")))</f>
        <v/>
      </c>
      <c r="AZ472" s="10" t="str">
        <f>IF(K472="","",
IF(AX472="PT",VLOOKUP(K472,Foundation_Calc!$K$79:$R$113,VLOOKUP(AW472,Foundation_Calc!$I$2:$J$8,2,FALSE),0),
IF(AX472="K",VLOOKUP(K472,Foundation_Calc!$K$117:$R$151,VLOOKUP(AW472,Foundation_Calc!$I$2:$J$8,2,FALSE),0),"")))</f>
        <v/>
      </c>
      <c r="BA472" s="495" t="str">
        <f t="shared" si="58"/>
        <v/>
      </c>
      <c r="BB472" s="495" t="str">
        <f t="shared" si="59"/>
        <v/>
      </c>
      <c r="BC472" s="495" t="str">
        <f t="shared" si="60"/>
        <v/>
      </c>
      <c r="BD472" s="513"/>
      <c r="BE472" s="429" t="s">
        <v>118</v>
      </c>
      <c r="BF472" s="289"/>
      <c r="BG472" s="289"/>
      <c r="BH472" s="290"/>
      <c r="BI472" s="289"/>
    </row>
    <row r="473" spans="1:61" ht="15.75" customHeight="1">
      <c r="A473" s="514"/>
      <c r="B473" s="450"/>
      <c r="C473" s="3"/>
      <c r="D473" s="83"/>
      <c r="E473" s="4"/>
      <c r="F473" s="4"/>
      <c r="G473" s="6">
        <v>52</v>
      </c>
      <c r="H473" s="449"/>
      <c r="I473" s="4">
        <f>SUM(G447:G473)</f>
        <v>609</v>
      </c>
      <c r="J473" s="3"/>
      <c r="K473" s="449"/>
      <c r="L473" s="449"/>
      <c r="M473" s="449" t="str">
        <f>IF(L473="","",
IF(AX473="PT",VLOOKUP(L473,Foundation_Calc!$V$79:$X$113,VLOOKUP(AX473,Foundation_Calc!$I$10:$J$13,2,FALSE),0),
IF(AX473="K",VLOOKUP(L473,Foundation_Calc!$V$117:$X$151,VLOOKUP(AX473,Foundation_Calc!$I$10:$J$13,2,FALSE),0),"")))</f>
        <v/>
      </c>
      <c r="N473" s="449"/>
      <c r="O473" s="561"/>
      <c r="P473" s="449"/>
      <c r="Q473" s="4"/>
      <c r="R473" s="6"/>
      <c r="S473" s="6"/>
      <c r="T473" s="4"/>
      <c r="U473" s="4"/>
      <c r="V473" s="4"/>
      <c r="W473" s="572"/>
      <c r="X473" s="572"/>
      <c r="Y473" s="9"/>
      <c r="Z473" s="9"/>
      <c r="AA473" s="9"/>
      <c r="AB473" s="9"/>
      <c r="AC473" s="449" t="str">
        <f t="shared" si="57"/>
        <v/>
      </c>
      <c r="AD473" s="449"/>
      <c r="AE473" s="449"/>
      <c r="AF473" s="4"/>
      <c r="AG473" s="83"/>
      <c r="AH473" s="4"/>
      <c r="AI473" s="4"/>
      <c r="AJ473" s="449"/>
      <c r="AK473" s="449" t="s">
        <v>1180</v>
      </c>
      <c r="AL473" s="449"/>
      <c r="AM473" s="449"/>
      <c r="AN473" s="10"/>
      <c r="AO473" s="9"/>
      <c r="AP473" s="9"/>
      <c r="AQ473" s="9">
        <f>+FL_2($T$474,$T$472,$G$473,1200,9.28, 1*$F$474)</f>
        <v>-0.37116400276923073</v>
      </c>
      <c r="AR473" s="9"/>
      <c r="AS473" s="9"/>
      <c r="AT473" s="9"/>
      <c r="AU473" s="428"/>
      <c r="AV473" s="428"/>
      <c r="AW473" s="449"/>
      <c r="AX473" s="449"/>
      <c r="AY473" s="10" t="str">
        <f>IF(L473="","",
IF(AX473="PT",VLOOKUP(L473,Foundation_Calc!$K$79:$R$113,VLOOKUP(AW473,Foundation_Calc!$I$2:$J$8,2,FALSE),0),
IF(AX473="K",VLOOKUP(L473,Foundation_Calc!$K$117:$R$151,VLOOKUP(AW473,Foundation_Calc!$I$2:$J$8,2,FALSE),0),"")))</f>
        <v/>
      </c>
      <c r="AZ473" s="10" t="str">
        <f>IF(K473="","",
IF(AX473="PT",VLOOKUP(K473,Foundation_Calc!$K$79:$R$113,VLOOKUP(AW473,Foundation_Calc!$I$2:$J$8,2,FALSE),0),
IF(AX473="K",VLOOKUP(K473,Foundation_Calc!$K$117:$R$151,VLOOKUP(AW473,Foundation_Calc!$I$2:$J$8,2,FALSE),0),"")))</f>
        <v/>
      </c>
      <c r="BA473" s="495" t="str">
        <f t="shared" si="58"/>
        <v/>
      </c>
      <c r="BB473" s="495" t="str">
        <f t="shared" si="59"/>
        <v/>
      </c>
      <c r="BC473" s="495" t="str">
        <f t="shared" si="60"/>
        <v/>
      </c>
      <c r="BD473" s="513" t="str">
        <f>IF(AND(L473="",H473=""),"",
IF(H473="",Pole_Calc!A$9,
IF(H473="MP",Pole_Calc!A$10,
IF(H473="AnMP",Pole_Calc!A$11,
IF(H473="A",Pole_Calc!A$12,
IF(H473="S/A",Pole_Calc!A$13,
IF(H473="A/S",Pole_Calc!A$14,"Poner a mano")))))))</f>
        <v/>
      </c>
      <c r="BE473" s="429" t="s">
        <v>118</v>
      </c>
      <c r="BF473" s="290"/>
      <c r="BG473" s="290"/>
      <c r="BH473" s="290"/>
      <c r="BI473" s="290"/>
    </row>
    <row r="474" spans="1:61" ht="15.75" customHeight="1">
      <c r="A474" s="514"/>
      <c r="B474" s="450" t="s">
        <v>1181</v>
      </c>
      <c r="C474" s="3">
        <f>+$C$472+$G$473</f>
        <v>41311.640000000007</v>
      </c>
      <c r="D474" s="83"/>
      <c r="E474" s="4"/>
      <c r="F474" s="4">
        <v>0</v>
      </c>
      <c r="G474" s="6"/>
      <c r="H474" s="449" t="s">
        <v>171</v>
      </c>
      <c r="I474" s="4"/>
      <c r="J474" s="3"/>
      <c r="K474" s="449"/>
      <c r="L474" s="449" t="s">
        <v>201</v>
      </c>
      <c r="M474" s="449" t="str">
        <f>IF(L474="","",
IF(AX474="PT",VLOOKUP(L474,Foundation_Calc!$V$79:$X$113,VLOOKUP(AX474,Foundation_Calc!$I$10:$J$13,2,FALSE),0),
IF(AX474="K",VLOOKUP(L474,Foundation_Calc!$V$117:$X$151,VLOOKUP(AX474,Foundation_Calc!$I$10:$J$13,2,FALSE),0),"")))</f>
        <v/>
      </c>
      <c r="N474" s="449" t="s">
        <v>343</v>
      </c>
      <c r="O474" s="449"/>
      <c r="P474" s="449"/>
      <c r="Q474" s="4"/>
      <c r="R474" s="6"/>
      <c r="S474" s="6"/>
      <c r="T474" s="4">
        <v>-30</v>
      </c>
      <c r="U474" s="4"/>
      <c r="V474" s="4"/>
      <c r="W474" s="572">
        <v>1.2</v>
      </c>
      <c r="X474" s="572"/>
      <c r="Y474" s="9"/>
      <c r="Z474" s="9"/>
      <c r="AA474" s="9"/>
      <c r="AB474" s="9"/>
      <c r="AC474" s="449" t="str">
        <f t="shared" si="57"/>
        <v>PH</v>
      </c>
      <c r="AD474" s="449"/>
      <c r="AE474" s="449"/>
      <c r="AF474" s="4"/>
      <c r="AG474" s="83"/>
      <c r="AH474" s="4"/>
      <c r="AI474" s="4"/>
      <c r="AJ474" s="449"/>
      <c r="AK474" s="449" t="s">
        <v>451</v>
      </c>
      <c r="AL474" s="449"/>
      <c r="AM474" s="449"/>
      <c r="AN474" s="10">
        <v>5.5</v>
      </c>
      <c r="AO474" s="9"/>
      <c r="AP474" s="9"/>
      <c r="AQ474" s="9"/>
      <c r="AR474" s="9"/>
      <c r="AS474" s="9"/>
      <c r="AT474" s="9">
        <f>+ab($T$474,$T$472,$T$476,$G$473,$G$475, 1*$F$474,1200)</f>
        <v>-8.611471180968703</v>
      </c>
      <c r="AU474" s="428"/>
      <c r="AV474" s="428"/>
      <c r="AW474" s="449" t="s">
        <v>201</v>
      </c>
      <c r="AX474" s="449" t="s">
        <v>201</v>
      </c>
      <c r="AY474" s="10" t="str">
        <f>IF(L474="","",
IF(AX474="PT",VLOOKUP(L474,Foundation_Calc!$K$79:$R$113,VLOOKUP(AW474,Foundation_Calc!$I$2:$J$8,2,FALSE),0),
IF(AX474="K",VLOOKUP(L474,Foundation_Calc!$K$117:$R$151,VLOOKUP(AW474,Foundation_Calc!$I$2:$J$8,2,FALSE),0),"")))</f>
        <v/>
      </c>
      <c r="AZ474" s="10" t="str">
        <f>IF(K474="","",
IF(AX474="PT",VLOOKUP(K474,Foundation_Calc!$K$79:$R$113,VLOOKUP(AW474,Foundation_Calc!$I$2:$J$8,2,FALSE),0),
IF(AX474="K",VLOOKUP(K474,Foundation_Calc!$K$117:$R$151,VLOOKUP(AW474,Foundation_Calc!$I$2:$J$8,2,FALSE),0),"")))</f>
        <v/>
      </c>
      <c r="BA474" s="495" t="str">
        <f t="shared" si="58"/>
        <v/>
      </c>
      <c r="BB474" s="495" t="str">
        <f t="shared" si="59"/>
        <v/>
      </c>
      <c r="BC474" s="495" t="str">
        <f t="shared" si="60"/>
        <v/>
      </c>
      <c r="BD474" s="513"/>
      <c r="BE474" s="429" t="s">
        <v>118</v>
      </c>
      <c r="BF474" s="289"/>
      <c r="BG474" s="289"/>
      <c r="BH474" s="290"/>
      <c r="BI474" s="289"/>
    </row>
    <row r="475" spans="1:61" ht="15.75" customHeight="1">
      <c r="A475" s="518"/>
      <c r="B475" s="450"/>
      <c r="C475" s="3"/>
      <c r="D475" s="83"/>
      <c r="E475" s="4"/>
      <c r="F475" s="4"/>
      <c r="G475" s="6">
        <v>52</v>
      </c>
      <c r="H475" s="449"/>
      <c r="I475" s="4">
        <f>SUM(G475:G501)</f>
        <v>668.4</v>
      </c>
      <c r="J475" s="3"/>
      <c r="K475" s="449"/>
      <c r="L475" s="449"/>
      <c r="M475" s="449" t="str">
        <f>IF(L475="","",
IF(AX475="PT",VLOOKUP(L475,Foundation_Calc!$V$79:$X$113,VLOOKUP(AX475,Foundation_Calc!$I$10:$J$13,2,FALSE),0),
IF(AX475="K",VLOOKUP(L475,Foundation_Calc!$V$117:$X$151,VLOOKUP(AX475,Foundation_Calc!$I$10:$J$13,2,FALSE),0),"")))</f>
        <v/>
      </c>
      <c r="N475" s="449"/>
      <c r="O475" s="449"/>
      <c r="P475" s="449"/>
      <c r="Q475" s="4"/>
      <c r="R475" s="6"/>
      <c r="S475" s="6"/>
      <c r="T475" s="4"/>
      <c r="U475" s="4"/>
      <c r="V475" s="4"/>
      <c r="W475" s="572"/>
      <c r="X475" s="572"/>
      <c r="Y475" s="9"/>
      <c r="Z475" s="9"/>
      <c r="AA475" s="9"/>
      <c r="AB475" s="9"/>
      <c r="AC475" s="449" t="str">
        <f t="shared" si="57"/>
        <v/>
      </c>
      <c r="AD475" s="449"/>
      <c r="AE475" s="449"/>
      <c r="AF475" s="4"/>
      <c r="AG475" s="83"/>
      <c r="AH475" s="4"/>
      <c r="AI475" s="4"/>
      <c r="AJ475" s="449"/>
      <c r="AK475" s="449"/>
      <c r="AL475" s="449"/>
      <c r="AM475" s="449"/>
      <c r="AN475" s="10"/>
      <c r="AO475" s="9"/>
      <c r="AP475" s="9"/>
      <c r="AQ475" s="9">
        <f>+FL_1($T$476,$T$474,$G$475,1200,9.28, 1*$F$476)</f>
        <v>0.387410368</v>
      </c>
      <c r="AR475" s="9"/>
      <c r="AS475" s="9"/>
      <c r="AT475" s="9"/>
      <c r="AU475" s="428"/>
      <c r="AV475" s="428"/>
      <c r="AW475" s="449" t="str">
        <f>IF(C475&gt;0,VLOOKUP(C475,Foundation_Calc!$A$2:$C$13,3,1),
IF(J475&gt;0,VLOOKUP(J475,Foundation_Calc!$A$2:$C$13,3,1),""))</f>
        <v/>
      </c>
      <c r="AX475" s="449" t="str">
        <f>IF(C475&gt;0,VLOOKUP(C475,Foundation_Calc!$E$35:$G$65,3,1),
IF(J475&gt;0,VLOOKUP(J475,Foundation_Calc!$E$35:$G$65,3,1),""))</f>
        <v/>
      </c>
      <c r="AY475" s="10" t="str">
        <f>IF(L475="","",
IF(AX475="PT",VLOOKUP(L475,Foundation_Calc!$K$79:$R$113,VLOOKUP(AW475,Foundation_Calc!$I$2:$J$8,2,FALSE),0),
IF(AX475="K",VLOOKUP(L475,Foundation_Calc!$K$117:$R$151,VLOOKUP(AW475,Foundation_Calc!$I$2:$J$8,2,FALSE),0),"")))</f>
        <v/>
      </c>
      <c r="AZ475" s="10" t="str">
        <f>IF(K475="","",
IF(AX475="PT",VLOOKUP(K475,Foundation_Calc!$K$79:$R$113,VLOOKUP(AW475,Foundation_Calc!$I$2:$J$8,2,FALSE),0),
IF(AX475="K",VLOOKUP(K475,Foundation_Calc!$K$117:$R$151,VLOOKUP(AW475,Foundation_Calc!$I$2:$J$8,2,FALSE),0),"")))</f>
        <v/>
      </c>
      <c r="BA475" s="495" t="str">
        <f t="shared" si="58"/>
        <v/>
      </c>
      <c r="BB475" s="495" t="str">
        <f t="shared" si="59"/>
        <v/>
      </c>
      <c r="BC475" s="495" t="str">
        <f t="shared" si="60"/>
        <v/>
      </c>
      <c r="BD475" s="513" t="str">
        <f>IF(AND(L475="",H475=""),"",
IF(H475="",Pole_Calc!A$9,
IF(H475="MP",Pole_Calc!A$10,
IF(H475="AnMP",Pole_Calc!A$11,
IF(H475="A",Pole_Calc!A$12,
IF(H475="S/A",Pole_Calc!A$13,
IF(H475="A/S",Pole_Calc!A$14,"Poner a mano")))))))</f>
        <v/>
      </c>
      <c r="BE475" s="429" t="s">
        <v>118</v>
      </c>
      <c r="BF475" s="290"/>
      <c r="BG475" s="290"/>
      <c r="BH475" s="290"/>
      <c r="BI475" s="290"/>
    </row>
    <row r="476" spans="1:61" ht="15.75" customHeight="1">
      <c r="A476" s="514"/>
      <c r="B476" s="720" t="s">
        <v>1182</v>
      </c>
      <c r="C476" s="3">
        <f>+$C$474+$G$475</f>
        <v>41363.640000000007</v>
      </c>
      <c r="D476" s="83"/>
      <c r="E476" s="4"/>
      <c r="F476" s="4">
        <v>0</v>
      </c>
      <c r="G476" s="6"/>
      <c r="H476" s="449" t="s">
        <v>168</v>
      </c>
      <c r="I476" s="4"/>
      <c r="J476" s="3"/>
      <c r="K476" s="449"/>
      <c r="L476" s="449" t="s">
        <v>232</v>
      </c>
      <c r="M476" s="449" t="str">
        <f>IF(L476="","",
IF(AX476="PT",VLOOKUP(L476,Foundation_Calc!$V$79:$X$113,VLOOKUP(AX476,Foundation_Calc!$I$10:$J$13,2,FALSE),0),
IF(AX476="K",VLOOKUP(L476,Foundation_Calc!$V$117:$X$151,VLOOKUP(AX476,Foundation_Calc!$I$10:$J$13,2,FALSE),0),"")))</f>
        <v>C5R</v>
      </c>
      <c r="N476" s="449" t="s">
        <v>453</v>
      </c>
      <c r="O476" s="449"/>
      <c r="P476" s="449"/>
      <c r="Q476" s="4"/>
      <c r="R476" s="6"/>
      <c r="S476" s="6"/>
      <c r="T476" s="4">
        <v>35</v>
      </c>
      <c r="U476" s="4"/>
      <c r="V476" s="4"/>
      <c r="W476" s="9">
        <v>1.4</v>
      </c>
      <c r="X476" s="572"/>
      <c r="Y476" s="9"/>
      <c r="Z476" s="9"/>
      <c r="AA476" s="9"/>
      <c r="AB476" s="9"/>
      <c r="AC476" s="449" t="str">
        <f t="shared" si="57"/>
        <v>PHQ</v>
      </c>
      <c r="AD476" s="449"/>
      <c r="AE476" s="449"/>
      <c r="AF476" s="4"/>
      <c r="AG476" s="83"/>
      <c r="AH476" s="4"/>
      <c r="AI476" s="4"/>
      <c r="AJ476" s="449"/>
      <c r="AK476" s="449"/>
      <c r="AL476" s="449" t="s">
        <v>241</v>
      </c>
      <c r="AM476" s="449"/>
      <c r="AN476" s="10">
        <v>5.5</v>
      </c>
      <c r="AO476" s="9"/>
      <c r="AP476" s="9"/>
      <c r="AQ476" s="9"/>
      <c r="AR476" s="9"/>
      <c r="AS476" s="9"/>
      <c r="AT476" s="9">
        <f>+ab($T$476,$T$474,$T$478,$G$475,$G$477, 1*$F$476,1200)</f>
        <v>7.2030299796875505</v>
      </c>
      <c r="AU476" s="428"/>
      <c r="AV476" s="428"/>
      <c r="AW476" s="449" t="str">
        <f>IF(C476&gt;0,VLOOKUP(C476,Foundation_Calc!$A$2:$C$13,3,1),
IF(J476&gt;0,VLOOKUP(J476,Foundation_Calc!$A$2:$C$13,3,1),""))</f>
        <v>Multi Soil</v>
      </c>
      <c r="AX476" s="449" t="str">
        <f>IF(C476&gt;0,VLOOKUP(C476,Foundation_Calc!$E$35:$G$65,3,1),
IF(J476&gt;0,VLOOKUP(J476,Foundation_Calc!$E$35:$G$65,3,1),""))</f>
        <v>PT</v>
      </c>
      <c r="AY476" s="10">
        <f>IF(L476="","",
IF(AX476="PT",VLOOKUP(L476,Foundation_Calc!$K$79:$R$113,VLOOKUP(AW476,Foundation_Calc!$I$2:$J$8,2,FALSE),0),
IF(AX476="K",VLOOKUP(L476,Foundation_Calc!$K$117:$R$151,VLOOKUP(AW476,Foundation_Calc!$I$2:$J$8,2,FALSE),0),"")))</f>
        <v>3.5</v>
      </c>
      <c r="AZ476" s="10" t="str">
        <f>IF(K476="","",
IF(AX476="PT",VLOOKUP(K476,Foundation_Calc!$K$79:$R$113,VLOOKUP(AW476,Foundation_Calc!$I$2:$J$8,2,FALSE),0),
IF(AX476="K",VLOOKUP(K476,Foundation_Calc!$K$117:$R$151,VLOOKUP(AW476,Foundation_Calc!$I$2:$J$8,2,FALSE),0),"")))</f>
        <v/>
      </c>
      <c r="BA476" s="495" t="str">
        <f t="shared" si="58"/>
        <v>ü</v>
      </c>
      <c r="BB476" s="495" t="str">
        <f t="shared" si="59"/>
        <v/>
      </c>
      <c r="BC476" s="495" t="str">
        <f t="shared" si="60"/>
        <v/>
      </c>
      <c r="BD476" s="513" t="str">
        <f>Pole_Calc!A$251</f>
        <v>App.8-V08H-P10.3</v>
      </c>
      <c r="BE476" s="429" t="s">
        <v>118</v>
      </c>
      <c r="BF476" s="289"/>
      <c r="BG476" s="289"/>
      <c r="BH476" s="290"/>
      <c r="BI476" s="289"/>
    </row>
    <row r="477" spans="1:61" ht="15.75" customHeight="1">
      <c r="A477" s="514"/>
      <c r="B477" s="450"/>
      <c r="C477" s="3"/>
      <c r="D477" s="83"/>
      <c r="E477" s="4"/>
      <c r="F477" s="4"/>
      <c r="G477" s="6">
        <v>50</v>
      </c>
      <c r="H477" s="449"/>
      <c r="I477" s="4"/>
      <c r="J477" s="3">
        <f>C476+7.5</f>
        <v>41371.140000000007</v>
      </c>
      <c r="K477" s="449" t="s">
        <v>117</v>
      </c>
      <c r="L477" s="449"/>
      <c r="M477" s="449" t="str">
        <f>IF(L477="","",
IF(AX477="PT",VLOOKUP(L477,Foundation_Calc!$V$79:$X$113,VLOOKUP(AX477,Foundation_Calc!$I$10:$J$13,2,FALSE),0),
IF(AX477="K",VLOOKUP(L477,Foundation_Calc!$V$117:$X$151,VLOOKUP(AX477,Foundation_Calc!$I$10:$J$13,2,FALSE),0),"")))</f>
        <v/>
      </c>
      <c r="N477" s="449"/>
      <c r="O477" s="449"/>
      <c r="P477" s="449"/>
      <c r="Q477" s="4"/>
      <c r="R477" s="6"/>
      <c r="S477" s="6"/>
      <c r="T477" s="4"/>
      <c r="U477" s="4"/>
      <c r="V477" s="4"/>
      <c r="W477" s="572"/>
      <c r="X477" s="572"/>
      <c r="Y477" s="9"/>
      <c r="Z477" s="9"/>
      <c r="AA477" s="9"/>
      <c r="AB477" s="9"/>
      <c r="AC477" s="449" t="str">
        <f t="shared" si="57"/>
        <v/>
      </c>
      <c r="AD477" s="449"/>
      <c r="AE477" s="449"/>
      <c r="AF477" s="4"/>
      <c r="AG477" s="83"/>
      <c r="AH477" s="4"/>
      <c r="AI477" s="4"/>
      <c r="AJ477" s="449"/>
      <c r="AK477" s="449"/>
      <c r="AL477" s="449"/>
      <c r="AM477" s="449"/>
      <c r="AN477" s="10"/>
      <c r="AO477" s="9"/>
      <c r="AP477" s="9"/>
      <c r="AQ477" s="9">
        <f>+FL_2($T$478,$T$476,$G$477,1200,9.28, 1*$F$478)</f>
        <v>-0.36839079999999996</v>
      </c>
      <c r="AR477" s="9"/>
      <c r="AS477" s="9"/>
      <c r="AT477" s="9"/>
      <c r="AU477" s="428"/>
      <c r="AV477" s="428"/>
      <c r="AW477" s="449" t="str">
        <f>IF(C477&gt;0,VLOOKUP(C477,Foundation_Calc!$A$2:$C$13,3,1),
IF(J477&gt;0,VLOOKUP(J477,Foundation_Calc!$A$2:$C$13,3,1),""))</f>
        <v>Multi Soil</v>
      </c>
      <c r="AX477" s="449" t="str">
        <f>IF(C477&gt;0,VLOOKUP(C477,Foundation_Calc!$E$35:$G$65,3,1),
IF(J477&gt;0,VLOOKUP(J477,Foundation_Calc!$E$35:$G$65,3,1),""))</f>
        <v>PT</v>
      </c>
      <c r="AY477" s="10" t="str">
        <f>IF(L477="","",
IF(AX477="PT",VLOOKUP(L477,Foundation_Calc!$K$79:$R$113,VLOOKUP(AW477,Foundation_Calc!$I$2:$J$8,2,FALSE),0),
IF(AX477="K",VLOOKUP(L477,Foundation_Calc!$K$117:$R$151,VLOOKUP(AW477,Foundation_Calc!$I$2:$J$8,2,FALSE),0),"")))</f>
        <v/>
      </c>
      <c r="AZ477" s="10">
        <f>IF(K477="","",
IF(AX477="PT",VLOOKUP(K477,Foundation_Calc!$K$79:$R$113,VLOOKUP(AW477,Foundation_Calc!$I$2:$J$8,2,FALSE),0),
IF(AX477="K",VLOOKUP(K477,Foundation_Calc!$K$117:$R$151,VLOOKUP(AW477,Foundation_Calc!$I$2:$J$8,2,FALSE),0),"")))</f>
        <v>3.9</v>
      </c>
      <c r="BA477" s="495" t="str">
        <f t="shared" si="58"/>
        <v/>
      </c>
      <c r="BB477" s="495" t="str">
        <f t="shared" si="59"/>
        <v>ü</v>
      </c>
      <c r="BC477" s="495" t="str">
        <f t="shared" si="60"/>
        <v/>
      </c>
      <c r="BD477" s="513" t="str">
        <f>IF(AND(L477="",H477=""),"",
IF(H477="",Pole_Calc!A$9,
IF(H477="MP",Pole_Calc!A$10,
IF(H477="AnMP",Pole_Calc!A$11,
IF(H477="A",Pole_Calc!A$12,
IF(H477="S/A",Pole_Calc!A$13,
IF(H477="A/S",Pole_Calc!A$14,"Poner a mano")))))))</f>
        <v/>
      </c>
      <c r="BE477" s="429" t="s">
        <v>118</v>
      </c>
      <c r="BF477" s="290"/>
      <c r="BG477" s="290"/>
      <c r="BH477" s="290"/>
      <c r="BI477" s="290"/>
    </row>
    <row r="478" spans="1:61" ht="15.75" customHeight="1">
      <c r="A478" s="514"/>
      <c r="B478" s="450" t="s">
        <v>1183</v>
      </c>
      <c r="C478" s="3">
        <f>+$C$476+$G$477</f>
        <v>41413.640000000007</v>
      </c>
      <c r="D478" s="83"/>
      <c r="E478" s="4"/>
      <c r="F478" s="4">
        <v>0</v>
      </c>
      <c r="G478" s="6"/>
      <c r="H478" s="449"/>
      <c r="I478" s="4"/>
      <c r="J478" s="3"/>
      <c r="K478" s="449"/>
      <c r="L478" s="449" t="s">
        <v>201</v>
      </c>
      <c r="M478" s="449" t="str">
        <f>IF(L478="","",
IF(AX478="PT",VLOOKUP(L478,Foundation_Calc!$V$79:$X$113,VLOOKUP(AX478,Foundation_Calc!$I$10:$J$13,2,FALSE),0),
IF(AX478="K",VLOOKUP(L478,Foundation_Calc!$V$117:$X$151,VLOOKUP(AX478,Foundation_Calc!$I$10:$J$13,2,FALSE),0),"")))</f>
        <v/>
      </c>
      <c r="N478" s="449" t="s">
        <v>343</v>
      </c>
      <c r="O478" s="449"/>
      <c r="P478" s="449"/>
      <c r="Q478" s="4"/>
      <c r="R478" s="6"/>
      <c r="S478" s="6"/>
      <c r="T478" s="4">
        <v>-35</v>
      </c>
      <c r="U478" s="4"/>
      <c r="V478" s="4"/>
      <c r="W478" s="9">
        <v>1.4</v>
      </c>
      <c r="X478" s="572"/>
      <c r="Y478" s="9"/>
      <c r="Z478" s="9"/>
      <c r="AA478" s="9"/>
      <c r="AB478" s="9"/>
      <c r="AC478" s="449" t="str">
        <f t="shared" si="57"/>
        <v>PHQ</v>
      </c>
      <c r="AD478" s="449"/>
      <c r="AE478" s="449"/>
      <c r="AF478" s="4"/>
      <c r="AG478" s="83"/>
      <c r="AH478" s="4"/>
      <c r="AI478" s="4"/>
      <c r="AJ478" s="449"/>
      <c r="AK478" s="449" t="s">
        <v>451</v>
      </c>
      <c r="AL478" s="449"/>
      <c r="AM478" s="449"/>
      <c r="AN478" s="10">
        <v>5.5</v>
      </c>
      <c r="AO478" s="9"/>
      <c r="AP478" s="9"/>
      <c r="AQ478" s="9"/>
      <c r="AR478" s="9"/>
      <c r="AS478" s="9"/>
      <c r="AT478" s="9">
        <f>+ab($T$478,$T$476,$T$480,$G$477,$G$479, 1*$F$478,1200)</f>
        <v>-6.0690386396021712</v>
      </c>
      <c r="AU478" s="428"/>
      <c r="AV478" s="428"/>
      <c r="AW478" s="449" t="s">
        <v>201</v>
      </c>
      <c r="AX478" s="449" t="s">
        <v>201</v>
      </c>
      <c r="AY478" s="10" t="str">
        <f>IF(L478="","",
IF(AX478="PT",VLOOKUP(L478,Foundation_Calc!$K$79:$R$113,VLOOKUP(AW478,Foundation_Calc!$I$2:$J$8,2,FALSE),0),
IF(AX478="K",VLOOKUP(L478,Foundation_Calc!$K$117:$R$151,VLOOKUP(AW478,Foundation_Calc!$I$2:$J$8,2,FALSE),0),"")))</f>
        <v/>
      </c>
      <c r="AZ478" s="10" t="str">
        <f>IF(K478="","",
IF(AX478="PT",VLOOKUP(K478,Foundation_Calc!$K$79:$R$113,VLOOKUP(AW478,Foundation_Calc!$I$2:$J$8,2,FALSE),0),
IF(AX478="K",VLOOKUP(K478,Foundation_Calc!$K$117:$R$151,VLOOKUP(AW478,Foundation_Calc!$I$2:$J$8,2,FALSE),0),"")))</f>
        <v/>
      </c>
      <c r="BA478" s="495" t="str">
        <f t="shared" si="58"/>
        <v/>
      </c>
      <c r="BB478" s="495" t="str">
        <f t="shared" si="59"/>
        <v/>
      </c>
      <c r="BC478" s="495" t="str">
        <f t="shared" si="60"/>
        <v/>
      </c>
      <c r="BD478" s="513"/>
      <c r="BE478" s="429" t="s">
        <v>118</v>
      </c>
      <c r="BF478" s="289"/>
      <c r="BG478" s="289"/>
      <c r="BH478" s="290"/>
      <c r="BI478" s="289"/>
    </row>
    <row r="479" spans="1:61" ht="15.75" customHeight="1">
      <c r="A479" s="514"/>
      <c r="B479" s="450"/>
      <c r="C479" s="3"/>
      <c r="D479" s="83"/>
      <c r="E479" s="4"/>
      <c r="F479" s="4"/>
      <c r="G479" s="6">
        <v>40</v>
      </c>
      <c r="H479" s="449"/>
      <c r="I479" s="4"/>
      <c r="J479" s="3"/>
      <c r="K479" s="449"/>
      <c r="L479" s="449"/>
      <c r="M479" s="449" t="str">
        <f>IF(L479="","",
IF(AX479="PT",VLOOKUP(L479,Foundation_Calc!$V$79:$X$113,VLOOKUP(AX479,Foundation_Calc!$I$10:$J$13,2,FALSE),0),
IF(AX479="K",VLOOKUP(L479,Foundation_Calc!$V$117:$X$151,VLOOKUP(AX479,Foundation_Calc!$I$10:$J$13,2,FALSE),0),"")))</f>
        <v/>
      </c>
      <c r="N479" s="449"/>
      <c r="O479" s="561"/>
      <c r="P479" s="449"/>
      <c r="Q479" s="4"/>
      <c r="R479" s="6"/>
      <c r="S479" s="6"/>
      <c r="T479" s="4"/>
      <c r="U479" s="4"/>
      <c r="V479" s="4"/>
      <c r="W479" s="572"/>
      <c r="X479" s="572"/>
      <c r="Y479" s="9"/>
      <c r="Z479" s="9"/>
      <c r="AA479" s="9"/>
      <c r="AB479" s="9"/>
      <c r="AC479" s="449" t="str">
        <f t="shared" si="57"/>
        <v/>
      </c>
      <c r="AD479" s="449"/>
      <c r="AE479" s="449"/>
      <c r="AF479" s="4"/>
      <c r="AG479" s="83"/>
      <c r="AH479" s="4"/>
      <c r="AI479" s="4"/>
      <c r="AJ479" s="449"/>
      <c r="AK479" s="449"/>
      <c r="AL479" s="449"/>
      <c r="AM479" s="449"/>
      <c r="AN479" s="10"/>
      <c r="AO479" s="9"/>
      <c r="AP479" s="9"/>
      <c r="AQ479" s="9">
        <f>+FL_2($T$480,$T$478,$G$479,1200,9.28, 1*$F$480)</f>
        <v>-0.35000000000000125</v>
      </c>
      <c r="AR479" s="9"/>
      <c r="AS479" s="9"/>
      <c r="AT479" s="9"/>
      <c r="AU479" s="428"/>
      <c r="AV479" s="428"/>
      <c r="AW479" s="449"/>
      <c r="AX479" s="449"/>
      <c r="AY479" s="10" t="str">
        <f>IF(L479="","",
IF(AX479="PT",VLOOKUP(L479,Foundation_Calc!$K$79:$R$113,VLOOKUP(AW479,Foundation_Calc!$I$2:$J$8,2,FALSE),0),
IF(AX479="K",VLOOKUP(L479,Foundation_Calc!$K$117:$R$151,VLOOKUP(AW479,Foundation_Calc!$I$2:$J$8,2,FALSE),0),"")))</f>
        <v/>
      </c>
      <c r="AZ479" s="10" t="str">
        <f>IF(K479="","",
IF(AX479="PT",VLOOKUP(K479,Foundation_Calc!$K$79:$R$113,VLOOKUP(AW479,Foundation_Calc!$I$2:$J$8,2,FALSE),0),
IF(AX479="K",VLOOKUP(K479,Foundation_Calc!$K$117:$R$151,VLOOKUP(AW479,Foundation_Calc!$I$2:$J$8,2,FALSE),0),"")))</f>
        <v/>
      </c>
      <c r="BA479" s="495" t="str">
        <f t="shared" si="58"/>
        <v/>
      </c>
      <c r="BB479" s="495" t="str">
        <f t="shared" si="59"/>
        <v/>
      </c>
      <c r="BC479" s="495" t="str">
        <f t="shared" si="60"/>
        <v/>
      </c>
      <c r="BD479" s="513"/>
      <c r="BE479" s="429" t="s">
        <v>118</v>
      </c>
      <c r="BF479" s="290"/>
      <c r="BG479" s="290"/>
      <c r="BH479" s="290"/>
      <c r="BI479" s="290"/>
    </row>
    <row r="480" spans="1:61" ht="15.75" customHeight="1">
      <c r="A480" s="514"/>
      <c r="B480" s="450" t="s">
        <v>1184</v>
      </c>
      <c r="C480" s="3">
        <f>+$C$478+$G$479</f>
        <v>41453.640000000007</v>
      </c>
      <c r="D480" s="83"/>
      <c r="E480" s="4"/>
      <c r="F480" s="4">
        <v>0</v>
      </c>
      <c r="G480" s="6"/>
      <c r="H480" s="449"/>
      <c r="I480" s="4"/>
      <c r="J480" s="3"/>
      <c r="K480" s="449"/>
      <c r="L480" s="449" t="s">
        <v>201</v>
      </c>
      <c r="M480" s="449" t="str">
        <f>IF(L480="","",
IF(AX480="PT",VLOOKUP(L480,Foundation_Calc!$V$79:$X$113,VLOOKUP(AX480,Foundation_Calc!$I$10:$J$13,2,FALSE),0),
IF(AX480="K",VLOOKUP(L480,Foundation_Calc!$V$117:$X$151,VLOOKUP(AX480,Foundation_Calc!$I$10:$J$13,2,FALSE),0),"")))</f>
        <v/>
      </c>
      <c r="N480" s="449" t="s">
        <v>453</v>
      </c>
      <c r="O480" s="449"/>
      <c r="P480" s="449"/>
      <c r="Q480" s="4"/>
      <c r="R480" s="6"/>
      <c r="S480" s="6"/>
      <c r="T480" s="4">
        <v>35</v>
      </c>
      <c r="U480" s="4"/>
      <c r="V480" s="4"/>
      <c r="W480" s="9">
        <v>1.4</v>
      </c>
      <c r="X480" s="572"/>
      <c r="Y480" s="9"/>
      <c r="Z480" s="9"/>
      <c r="AA480" s="9"/>
      <c r="AB480" s="9"/>
      <c r="AC480" s="449" t="str">
        <f t="shared" si="57"/>
        <v>PHQ</v>
      </c>
      <c r="AD480" s="449"/>
      <c r="AE480" s="449"/>
      <c r="AF480" s="4"/>
      <c r="AG480" s="83"/>
      <c r="AH480" s="4"/>
      <c r="AI480" s="4"/>
      <c r="AJ480" s="449"/>
      <c r="AK480" s="449" t="s">
        <v>451</v>
      </c>
      <c r="AL480" s="449"/>
      <c r="AM480" s="449"/>
      <c r="AN480" s="10">
        <v>5.5</v>
      </c>
      <c r="AO480" s="9"/>
      <c r="AP480" s="9"/>
      <c r="AQ480" s="9"/>
      <c r="AR480" s="9"/>
      <c r="AS480" s="9"/>
      <c r="AT480" s="9">
        <f>+ab($T$480,$T$478,$T$482,$G$479,$G$481, 1*$F$480,1200)</f>
        <v>5.4455477842531632</v>
      </c>
      <c r="AU480" s="428"/>
      <c r="AV480" s="428"/>
      <c r="AW480" s="449" t="s">
        <v>201</v>
      </c>
      <c r="AX480" s="449" t="s">
        <v>201</v>
      </c>
      <c r="AY480" s="10" t="str">
        <f>IF(L480="","",
IF(AX480="PT",VLOOKUP(L480,Foundation_Calc!$K$79:$R$113,VLOOKUP(AW480,Foundation_Calc!$I$2:$J$8,2,FALSE),0),
IF(AX480="K",VLOOKUP(L480,Foundation_Calc!$K$117:$R$151,VLOOKUP(AW480,Foundation_Calc!$I$2:$J$8,2,FALSE),0),"")))</f>
        <v/>
      </c>
      <c r="AZ480" s="10" t="str">
        <f>IF(K480="","",
IF(AX480="PT",VLOOKUP(K480,Foundation_Calc!$K$79:$R$113,VLOOKUP(AW480,Foundation_Calc!$I$2:$J$8,2,FALSE),0),
IF(AX480="K",VLOOKUP(K480,Foundation_Calc!$K$117:$R$151,VLOOKUP(AW480,Foundation_Calc!$I$2:$J$8,2,FALSE),0),"")))</f>
        <v/>
      </c>
      <c r="BA480" s="495" t="str">
        <f t="shared" si="58"/>
        <v/>
      </c>
      <c r="BB480" s="495" t="str">
        <f t="shared" si="59"/>
        <v/>
      </c>
      <c r="BC480" s="495" t="str">
        <f t="shared" si="60"/>
        <v/>
      </c>
      <c r="BD480" s="513"/>
      <c r="BE480" s="429" t="s">
        <v>118</v>
      </c>
      <c r="BF480" s="289"/>
      <c r="BG480" s="289"/>
      <c r="BH480" s="290"/>
      <c r="BI480" s="289"/>
    </row>
    <row r="481" spans="1:61" ht="15.75" customHeight="1">
      <c r="A481" s="518"/>
      <c r="B481" s="450"/>
      <c r="C481" s="3"/>
      <c r="D481" s="83"/>
      <c r="E481" s="4"/>
      <c r="F481" s="4"/>
      <c r="G481" s="6">
        <v>39.700000000000003</v>
      </c>
      <c r="H481" s="449"/>
      <c r="I481" s="4"/>
      <c r="J481" s="3"/>
      <c r="K481" s="449"/>
      <c r="L481" s="449"/>
      <c r="M481" s="449" t="str">
        <f>IF(L481="","",
IF(AX481="PT",VLOOKUP(L481,Foundation_Calc!$V$79:$X$113,VLOOKUP(AX481,Foundation_Calc!$I$10:$J$13,2,FALSE),0),
IF(AX481="K",VLOOKUP(L481,Foundation_Calc!$V$117:$X$151,VLOOKUP(AX481,Foundation_Calc!$I$10:$J$13,2,FALSE),0),"")))</f>
        <v/>
      </c>
      <c r="N481" s="449"/>
      <c r="O481" s="449"/>
      <c r="P481" s="449"/>
      <c r="Q481" s="4"/>
      <c r="R481" s="6"/>
      <c r="S481" s="6"/>
      <c r="T481" s="4"/>
      <c r="U481" s="4"/>
      <c r="V481" s="4"/>
      <c r="W481" s="572"/>
      <c r="X481" s="572"/>
      <c r="Y481" s="9"/>
      <c r="Z481" s="9"/>
      <c r="AA481" s="9"/>
      <c r="AB481" s="9"/>
      <c r="AC481" s="449" t="str">
        <f t="shared" si="57"/>
        <v/>
      </c>
      <c r="AD481" s="449"/>
      <c r="AE481" s="449"/>
      <c r="AF481" s="4"/>
      <c r="AG481" s="83"/>
      <c r="AH481" s="4"/>
      <c r="AI481" s="4"/>
      <c r="AJ481" s="449"/>
      <c r="AK481" s="449"/>
      <c r="AL481" s="449"/>
      <c r="AM481" s="449"/>
      <c r="AN481" s="10"/>
      <c r="AO481" s="9"/>
      <c r="AP481" s="9"/>
      <c r="AQ481" s="9">
        <f>+FL_1($T$482,$T$480,$G$481,1200,9.28, 1*$F$482)</f>
        <v>0.35000000000000159</v>
      </c>
      <c r="AR481" s="9"/>
      <c r="AS481" s="9"/>
      <c r="AT481" s="9"/>
      <c r="AU481" s="428"/>
      <c r="AV481" s="428"/>
      <c r="AW481" s="449"/>
      <c r="AX481" s="449"/>
      <c r="AY481" s="10" t="str">
        <f>IF(L481="","",
IF(AX481="PT",VLOOKUP(L481,Foundation_Calc!$K$79:$R$113,VLOOKUP(AW481,Foundation_Calc!$I$2:$J$8,2,FALSE),0),
IF(AX481="K",VLOOKUP(L481,Foundation_Calc!$K$117:$R$151,VLOOKUP(AW481,Foundation_Calc!$I$2:$J$8,2,FALSE),0),"")))</f>
        <v/>
      </c>
      <c r="AZ481" s="10" t="str">
        <f>IF(K481="","",
IF(AX481="PT",VLOOKUP(K481,Foundation_Calc!$K$79:$R$113,VLOOKUP(AW481,Foundation_Calc!$I$2:$J$8,2,FALSE),0),
IF(AX481="K",VLOOKUP(K481,Foundation_Calc!$K$117:$R$151,VLOOKUP(AW481,Foundation_Calc!$I$2:$J$8,2,FALSE),0),"")))</f>
        <v/>
      </c>
      <c r="BA481" s="495" t="str">
        <f t="shared" si="58"/>
        <v/>
      </c>
      <c r="BB481" s="495" t="str">
        <f t="shared" si="59"/>
        <v/>
      </c>
      <c r="BC481" s="495" t="str">
        <f t="shared" si="60"/>
        <v/>
      </c>
      <c r="BD481" s="513"/>
      <c r="BE481" s="429" t="s">
        <v>118</v>
      </c>
      <c r="BF481" s="290"/>
      <c r="BG481" s="290"/>
      <c r="BH481" s="290"/>
      <c r="BI481" s="290"/>
    </row>
    <row r="482" spans="1:61" ht="15.75" customHeight="1">
      <c r="A482" s="514"/>
      <c r="B482" s="450" t="s">
        <v>1185</v>
      </c>
      <c r="C482" s="3">
        <f>+$C$480+$G$481</f>
        <v>41493.340000000004</v>
      </c>
      <c r="D482" s="83"/>
      <c r="E482" s="4"/>
      <c r="F482" s="4">
        <v>0</v>
      </c>
      <c r="G482" s="6"/>
      <c r="H482" s="449"/>
      <c r="I482" s="4"/>
      <c r="J482" s="3"/>
      <c r="K482" s="449"/>
      <c r="L482" s="449" t="s">
        <v>201</v>
      </c>
      <c r="M482" s="449" t="str">
        <f>IF(L482="","",
IF(AX482="PT",VLOOKUP(L482,Foundation_Calc!$V$79:$X$113,VLOOKUP(AX482,Foundation_Calc!$I$10:$J$13,2,FALSE),0),
IF(AX482="K",VLOOKUP(L482,Foundation_Calc!$V$117:$X$151,VLOOKUP(AX482,Foundation_Calc!$I$10:$J$13,2,FALSE),0),"")))</f>
        <v/>
      </c>
      <c r="N482" s="449" t="s">
        <v>343</v>
      </c>
      <c r="O482" s="449"/>
      <c r="P482" s="449"/>
      <c r="Q482" s="4"/>
      <c r="R482" s="6"/>
      <c r="S482" s="6"/>
      <c r="T482" s="4">
        <v>-35</v>
      </c>
      <c r="U482" s="4"/>
      <c r="V482" s="4"/>
      <c r="W482" s="9">
        <v>1.4</v>
      </c>
      <c r="X482" s="572"/>
      <c r="Y482" s="9"/>
      <c r="Z482" s="9"/>
      <c r="AA482" s="9"/>
      <c r="AB482" s="9"/>
      <c r="AC482" s="449" t="str">
        <f t="shared" si="57"/>
        <v>PH</v>
      </c>
      <c r="AD482" s="449"/>
      <c r="AE482" s="449"/>
      <c r="AF482" s="4"/>
      <c r="AG482" s="83"/>
      <c r="AH482" s="4"/>
      <c r="AI482" s="4"/>
      <c r="AJ482" s="449"/>
      <c r="AK482" s="449" t="s">
        <v>451</v>
      </c>
      <c r="AL482" s="449"/>
      <c r="AM482" s="449"/>
      <c r="AN482" s="10">
        <v>5.5</v>
      </c>
      <c r="AO482" s="9"/>
      <c r="AP482" s="9"/>
      <c r="AQ482" s="9"/>
      <c r="AR482" s="9"/>
      <c r="AS482" s="9"/>
      <c r="AT482" s="9">
        <f>+ab($T$482,$T$480,$T$484,$G$481,$G$483, 1*$F$482,1200)</f>
        <v>-10.754956736734075</v>
      </c>
      <c r="AU482" s="428"/>
      <c r="AV482" s="428"/>
      <c r="AW482" s="449" t="s">
        <v>201</v>
      </c>
      <c r="AX482" s="449" t="s">
        <v>201</v>
      </c>
      <c r="AY482" s="10" t="str">
        <f>IF(L482="","",
IF(AX482="PT",VLOOKUP(L482,Foundation_Calc!$K$79:$R$113,VLOOKUP(AW482,Foundation_Calc!$I$2:$J$8,2,FALSE),0),
IF(AX482="K",VLOOKUP(L482,Foundation_Calc!$K$117:$R$151,VLOOKUP(AW482,Foundation_Calc!$I$2:$J$8,2,FALSE),0),"")))</f>
        <v/>
      </c>
      <c r="AZ482" s="10" t="str">
        <f>IF(K482="","",
IF(AX482="PT",VLOOKUP(K482,Foundation_Calc!$K$79:$R$113,VLOOKUP(AW482,Foundation_Calc!$I$2:$J$8,2,FALSE),0),
IF(AX482="K",VLOOKUP(K482,Foundation_Calc!$K$117:$R$151,VLOOKUP(AW482,Foundation_Calc!$I$2:$J$8,2,FALSE),0),"")))</f>
        <v/>
      </c>
      <c r="BA482" s="495" t="str">
        <f t="shared" si="58"/>
        <v/>
      </c>
      <c r="BB482" s="495" t="str">
        <f t="shared" si="59"/>
        <v/>
      </c>
      <c r="BC482" s="495" t="str">
        <f t="shared" si="60"/>
        <v/>
      </c>
      <c r="BD482" s="513"/>
      <c r="BE482" s="429" t="s">
        <v>118</v>
      </c>
      <c r="BF482" s="289"/>
      <c r="BG482" s="289"/>
      <c r="BH482" s="290"/>
      <c r="BI482" s="289"/>
    </row>
    <row r="483" spans="1:61" ht="15.75" customHeight="1">
      <c r="A483" s="514"/>
      <c r="B483" s="450"/>
      <c r="C483" s="3"/>
      <c r="D483" s="83"/>
      <c r="E483" s="4"/>
      <c r="F483" s="4"/>
      <c r="G483" s="6">
        <v>38.799999999999997</v>
      </c>
      <c r="H483" s="449"/>
      <c r="I483" s="4"/>
      <c r="J483" s="3"/>
      <c r="K483" s="449"/>
      <c r="L483" s="449"/>
      <c r="M483" s="449" t="str">
        <f>IF(L483="","",
IF(AX483="PT",VLOOKUP(L483,Foundation_Calc!$V$79:$X$113,VLOOKUP(AX483,Foundation_Calc!$I$10:$J$13,2,FALSE),0),
IF(AX483="K",VLOOKUP(L483,Foundation_Calc!$V$117:$X$151,VLOOKUP(AX483,Foundation_Calc!$I$10:$J$13,2,FALSE),0),"")))</f>
        <v/>
      </c>
      <c r="N483" s="449"/>
      <c r="O483" s="449"/>
      <c r="P483" s="449"/>
      <c r="Q483" s="4"/>
      <c r="R483" s="6"/>
      <c r="S483" s="6"/>
      <c r="T483" s="4"/>
      <c r="U483" s="4"/>
      <c r="V483" s="4"/>
      <c r="W483" s="572"/>
      <c r="X483" s="572"/>
      <c r="Y483" s="9"/>
      <c r="Z483" s="9"/>
      <c r="AA483" s="9"/>
      <c r="AB483" s="9"/>
      <c r="AC483" s="449" t="str">
        <f t="shared" si="57"/>
        <v/>
      </c>
      <c r="AD483" s="449"/>
      <c r="AE483" s="449"/>
      <c r="AF483" s="4"/>
      <c r="AG483" s="83"/>
      <c r="AH483" s="4"/>
      <c r="AI483" s="4"/>
      <c r="AJ483" s="449"/>
      <c r="AK483" s="449"/>
      <c r="AL483" s="449"/>
      <c r="AM483" s="449"/>
      <c r="AN483" s="10"/>
      <c r="AO483" s="9"/>
      <c r="AP483" s="9"/>
      <c r="AQ483" s="9">
        <f>+FL_2($T$484,$T$482,$G$483,1200,9.28, 1*$F$484)</f>
        <v>-0.49552586666666659</v>
      </c>
      <c r="AR483" s="9"/>
      <c r="AS483" s="9"/>
      <c r="AT483" s="9"/>
      <c r="AU483" s="428"/>
      <c r="AV483" s="428"/>
      <c r="AW483" s="449"/>
      <c r="AX483" s="449"/>
      <c r="AY483" s="10" t="str">
        <f>IF(L483="","",
IF(AX483="PT",VLOOKUP(L483,Foundation_Calc!$K$79:$R$113,VLOOKUP(AW483,Foundation_Calc!$I$2:$J$8,2,FALSE),0),
IF(AX483="K",VLOOKUP(L483,Foundation_Calc!$K$117:$R$151,VLOOKUP(AW483,Foundation_Calc!$I$2:$J$8,2,FALSE),0),"")))</f>
        <v/>
      </c>
      <c r="AZ483" s="10" t="str">
        <f>IF(K483="","",
IF(AX483="PT",VLOOKUP(K483,Foundation_Calc!$K$79:$R$113,VLOOKUP(AW483,Foundation_Calc!$I$2:$J$8,2,FALSE),0),
IF(AX483="K",VLOOKUP(K483,Foundation_Calc!$K$117:$R$151,VLOOKUP(AW483,Foundation_Calc!$I$2:$J$8,2,FALSE),0),"")))</f>
        <v/>
      </c>
      <c r="BA483" s="495" t="str">
        <f t="shared" si="58"/>
        <v/>
      </c>
      <c r="BB483" s="495" t="str">
        <f t="shared" si="59"/>
        <v/>
      </c>
      <c r="BC483" s="495" t="str">
        <f t="shared" si="60"/>
        <v/>
      </c>
      <c r="BD483" s="513"/>
      <c r="BE483" s="429" t="s">
        <v>118</v>
      </c>
      <c r="BF483" s="290"/>
      <c r="BG483" s="290"/>
      <c r="BH483" s="290"/>
      <c r="BI483" s="290"/>
    </row>
    <row r="484" spans="1:61" ht="15.75" customHeight="1">
      <c r="A484" s="514"/>
      <c r="B484" s="450" t="s">
        <v>1186</v>
      </c>
      <c r="C484" s="3">
        <f>+$C$482+$G$483</f>
        <v>41532.140000000007</v>
      </c>
      <c r="D484" s="83"/>
      <c r="E484" s="4"/>
      <c r="F484" s="4">
        <v>0</v>
      </c>
      <c r="G484" s="6"/>
      <c r="H484" s="449"/>
      <c r="I484" s="4"/>
      <c r="J484" s="3"/>
      <c r="K484" s="449"/>
      <c r="L484" s="449" t="s">
        <v>201</v>
      </c>
      <c r="M484" s="449" t="str">
        <f>IF(L484="","",
IF(AX484="PT",VLOOKUP(L484,Foundation_Calc!$V$79:$X$113,VLOOKUP(AX484,Foundation_Calc!$I$10:$J$13,2,FALSE),0),
IF(AX484="K",VLOOKUP(L484,Foundation_Calc!$V$117:$X$151,VLOOKUP(AX484,Foundation_Calc!$I$10:$J$13,2,FALSE),0),"")))</f>
        <v/>
      </c>
      <c r="N484" s="449" t="s">
        <v>343</v>
      </c>
      <c r="O484" s="449"/>
      <c r="P484" s="449"/>
      <c r="Q484" s="4"/>
      <c r="R484" s="6"/>
      <c r="S484" s="6"/>
      <c r="T484" s="4">
        <v>-35</v>
      </c>
      <c r="U484" s="4"/>
      <c r="V484" s="4"/>
      <c r="W484" s="572">
        <v>1.2</v>
      </c>
      <c r="X484" s="572"/>
      <c r="Y484" s="572"/>
      <c r="Z484" s="9"/>
      <c r="AA484" s="9"/>
      <c r="AB484" s="9"/>
      <c r="AC484" s="449" t="str">
        <f t="shared" si="57"/>
        <v>PH</v>
      </c>
      <c r="AD484" s="449"/>
      <c r="AE484" s="449"/>
      <c r="AF484" s="4"/>
      <c r="AG484" s="83"/>
      <c r="AH484" s="4"/>
      <c r="AI484" s="4"/>
      <c r="AJ484" s="449"/>
      <c r="AK484" s="449" t="s">
        <v>451</v>
      </c>
      <c r="AL484" s="449"/>
      <c r="AM484" s="449"/>
      <c r="AN484" s="10">
        <v>5.5</v>
      </c>
      <c r="AO484" s="9"/>
      <c r="AP484" s="9"/>
      <c r="AQ484" s="9"/>
      <c r="AR484" s="9"/>
      <c r="AS484" s="9"/>
      <c r="AT484" s="9">
        <f>+ab($T$484,$T$482,$T$486,$G$483,$G$485, 1*$F$484,1200)</f>
        <v>89.999030826673362</v>
      </c>
      <c r="AU484" s="428"/>
      <c r="AV484" s="428"/>
      <c r="AW484" s="449" t="s">
        <v>201</v>
      </c>
      <c r="AX484" s="449" t="s">
        <v>201</v>
      </c>
      <c r="AY484" s="10" t="str">
        <f>IF(L484="","",
IF(AX484="PT",VLOOKUP(L484,Foundation_Calc!$K$79:$R$113,VLOOKUP(AW484,Foundation_Calc!$I$2:$J$8,2,FALSE),0),
IF(AX484="K",VLOOKUP(L484,Foundation_Calc!$K$117:$R$151,VLOOKUP(AW484,Foundation_Calc!$I$2:$J$8,2,FALSE),0),"")))</f>
        <v/>
      </c>
      <c r="AZ484" s="10" t="str">
        <f>IF(K484="","",
IF(AX484="PT",VLOOKUP(K484,Foundation_Calc!$K$79:$R$113,VLOOKUP(AW484,Foundation_Calc!$I$2:$J$8,2,FALSE),0),
IF(AX484="K",VLOOKUP(K484,Foundation_Calc!$K$117:$R$151,VLOOKUP(AW484,Foundation_Calc!$I$2:$J$8,2,FALSE),0),"")))</f>
        <v/>
      </c>
      <c r="BA484" s="495" t="str">
        <f t="shared" si="58"/>
        <v/>
      </c>
      <c r="BB484" s="495" t="str">
        <f t="shared" si="59"/>
        <v/>
      </c>
      <c r="BC484" s="495" t="str">
        <f t="shared" si="60"/>
        <v/>
      </c>
      <c r="BD484" s="513"/>
      <c r="BE484" s="429" t="s">
        <v>118</v>
      </c>
      <c r="BF484" s="289"/>
      <c r="BG484" s="289"/>
      <c r="BH484" s="290"/>
      <c r="BI484" s="289"/>
    </row>
    <row r="485" spans="1:61" ht="15.75" customHeight="1">
      <c r="A485" s="514"/>
      <c r="B485" s="450"/>
      <c r="C485" s="3"/>
      <c r="D485" s="83"/>
      <c r="E485" s="4"/>
      <c r="F485" s="4"/>
      <c r="G485" s="6">
        <v>49.9</v>
      </c>
      <c r="H485" s="449"/>
      <c r="I485" s="4"/>
      <c r="J485" s="3"/>
      <c r="K485" s="449"/>
      <c r="L485" s="449"/>
      <c r="M485" s="449" t="str">
        <f>IF(L485="","",
IF(AX485="PT",VLOOKUP(L485,Foundation_Calc!$V$79:$X$113,VLOOKUP(AX485,Foundation_Calc!$I$10:$J$13,2,FALSE),0),
IF(AX485="K",VLOOKUP(L485,Foundation_Calc!$V$117:$X$151,VLOOKUP(AX485,Foundation_Calc!$I$10:$J$13,2,FALSE),0),"")))</f>
        <v/>
      </c>
      <c r="N485" s="449"/>
      <c r="O485" s="561"/>
      <c r="P485" s="449"/>
      <c r="Q485" s="4"/>
      <c r="R485" s="6"/>
      <c r="S485" s="6"/>
      <c r="T485" s="4"/>
      <c r="U485" s="4"/>
      <c r="V485" s="4"/>
      <c r="W485" s="572"/>
      <c r="X485" s="572"/>
      <c r="Y485" s="572"/>
      <c r="Z485" s="9"/>
      <c r="AA485" s="9"/>
      <c r="AB485" s="9"/>
      <c r="AC485" s="449" t="str">
        <f t="shared" si="57"/>
        <v/>
      </c>
      <c r="AD485" s="449"/>
      <c r="AE485" s="449"/>
      <c r="AF485" s="4"/>
      <c r="AG485" s="83"/>
      <c r="AH485" s="4"/>
      <c r="AI485" s="4"/>
      <c r="AJ485" s="449"/>
      <c r="AK485" s="449"/>
      <c r="AL485" s="449"/>
      <c r="AM485" s="449"/>
      <c r="AN485" s="10"/>
      <c r="AO485" s="9"/>
      <c r="AP485" s="9"/>
      <c r="AQ485" s="9">
        <f>+FL_1($T$486,$T$484,$G$485,1200,9.28, 1*$F$486)</f>
        <v>-0.10929903333333334</v>
      </c>
      <c r="AR485" s="9"/>
      <c r="AS485" s="9"/>
      <c r="AT485" s="9"/>
      <c r="AU485" s="428"/>
      <c r="AV485" s="428"/>
      <c r="AW485" s="449"/>
      <c r="AX485" s="449"/>
      <c r="AY485" s="10" t="str">
        <f>IF(L485="","",
IF(AX485="PT",VLOOKUP(L485,Foundation_Calc!$K$79:$R$113,VLOOKUP(AW485,Foundation_Calc!$I$2:$J$8,2,FALSE),0),
IF(AX485="K",VLOOKUP(L485,Foundation_Calc!$K$117:$R$151,VLOOKUP(AW485,Foundation_Calc!$I$2:$J$8,2,FALSE),0),"")))</f>
        <v/>
      </c>
      <c r="AZ485" s="10" t="str">
        <f>IF(K485="","",
IF(AX485="PT",VLOOKUP(K485,Foundation_Calc!$K$79:$R$113,VLOOKUP(AW485,Foundation_Calc!$I$2:$J$8,2,FALSE),0),
IF(AX485="K",VLOOKUP(K485,Foundation_Calc!$K$117:$R$151,VLOOKUP(AW485,Foundation_Calc!$I$2:$J$8,2,FALSE),0),"")))</f>
        <v/>
      </c>
      <c r="BA485" s="495" t="str">
        <f t="shared" si="58"/>
        <v/>
      </c>
      <c r="BB485" s="495" t="str">
        <f t="shared" si="59"/>
        <v/>
      </c>
      <c r="BC485" s="495" t="str">
        <f t="shared" si="60"/>
        <v/>
      </c>
      <c r="BD485" s="513" t="str">
        <f>IF(AND(L485="",H485=""),"",
IF(H485="",Pole_Calc!A$9,
IF(H485="MP",Pole_Calc!A$10,
IF(H485="AnMP",Pole_Calc!A$11,
IF(H485="A",Pole_Calc!A$12,
IF(H485="S/A",Pole_Calc!A$13,
IF(H485="A/S",Pole_Calc!A$14,"Poner a mano")))))))</f>
        <v/>
      </c>
      <c r="BE485" s="429" t="s">
        <v>118</v>
      </c>
      <c r="BF485" s="290"/>
      <c r="BG485" s="290"/>
      <c r="BH485" s="290"/>
      <c r="BI485" s="290"/>
    </row>
    <row r="486" spans="1:61" ht="15.75" customHeight="1">
      <c r="A486" s="514"/>
      <c r="B486" s="450" t="s">
        <v>1187</v>
      </c>
      <c r="C486" s="3">
        <f>+$C$484+$G$485</f>
        <v>41582.040000000008</v>
      </c>
      <c r="D486" s="83"/>
      <c r="E486" s="4"/>
      <c r="F486" s="4">
        <v>0</v>
      </c>
      <c r="G486" s="6"/>
      <c r="H486" s="449" t="s">
        <v>238</v>
      </c>
      <c r="I486" s="4"/>
      <c r="J486" s="3"/>
      <c r="K486" s="449"/>
      <c r="L486" s="449" t="s">
        <v>201</v>
      </c>
      <c r="M486" s="449" t="str">
        <f>IF(L486="","",
IF(AX486="PT",VLOOKUP(L486,Foundation_Calc!$V$79:$X$113,VLOOKUP(AX486,Foundation_Calc!$I$10:$J$13,2,FALSE),0),
IF(AX486="K",VLOOKUP(L486,Foundation_Calc!$V$117:$X$151,VLOOKUP(AX486,Foundation_Calc!$I$10:$J$13,2,FALSE),0),"")))</f>
        <v/>
      </c>
      <c r="N486" s="449" t="s">
        <v>343</v>
      </c>
      <c r="O486" s="554" t="s">
        <v>453</v>
      </c>
      <c r="P486" s="449"/>
      <c r="Q486" s="4"/>
      <c r="R486" s="6"/>
      <c r="S486" s="6"/>
      <c r="T486" s="4">
        <v>-35</v>
      </c>
      <c r="U486" s="4">
        <v>-20</v>
      </c>
      <c r="V486" s="4"/>
      <c r="W486" s="572">
        <v>0.9</v>
      </c>
      <c r="X486" s="572">
        <v>0.8</v>
      </c>
      <c r="Y486" s="572"/>
      <c r="Z486" s="9"/>
      <c r="AA486" s="9"/>
      <c r="AB486" s="9"/>
      <c r="AC486" s="449" t="str">
        <f t="shared" si="57"/>
        <v>PH</v>
      </c>
      <c r="AD486" s="449"/>
      <c r="AE486" s="449"/>
      <c r="AF486" s="4"/>
      <c r="AG486" s="83"/>
      <c r="AH486" s="4"/>
      <c r="AI486" s="4"/>
      <c r="AJ486" s="449" t="s">
        <v>239</v>
      </c>
      <c r="AK486" s="449" t="s">
        <v>841</v>
      </c>
      <c r="AL486" s="449"/>
      <c r="AM486" s="449"/>
      <c r="AN486" s="10">
        <v>5.5</v>
      </c>
      <c r="AO486" s="9"/>
      <c r="AP486" s="9"/>
      <c r="AQ486" s="9"/>
      <c r="AR486" s="9"/>
      <c r="AS486" s="9"/>
      <c r="AT486" s="9">
        <f>+ab($T$486,$T$484,$T$488,$G$485,$G$487, 1*$F$486,1200)</f>
        <v>-14.607826664261932</v>
      </c>
      <c r="AU486" s="428"/>
      <c r="AV486" s="428"/>
      <c r="AW486" s="449" t="s">
        <v>201</v>
      </c>
      <c r="AX486" s="449" t="s">
        <v>201</v>
      </c>
      <c r="AY486" s="10" t="str">
        <f>IF(L486="","",
IF(AX486="PT",VLOOKUP(L486,Foundation_Calc!$K$79:$R$113,VLOOKUP(AW486,Foundation_Calc!$I$2:$J$8,2,FALSE),0),
IF(AX486="K",VLOOKUP(L486,Foundation_Calc!$K$117:$R$151,VLOOKUP(AW486,Foundation_Calc!$I$2:$J$8,2,FALSE),0),"")))</f>
        <v/>
      </c>
      <c r="AZ486" s="10" t="str">
        <f>IF(K486="","",
IF(AX486="PT",VLOOKUP(K486,Foundation_Calc!$K$79:$R$113,VLOOKUP(AW486,Foundation_Calc!$I$2:$J$8,2,FALSE),0),
IF(AX486="K",VLOOKUP(K486,Foundation_Calc!$K$117:$R$151,VLOOKUP(AW486,Foundation_Calc!$I$2:$J$8,2,FALSE),0),"")))</f>
        <v/>
      </c>
      <c r="BA486" s="495" t="str">
        <f t="shared" si="58"/>
        <v/>
      </c>
      <c r="BB486" s="495" t="str">
        <f t="shared" si="59"/>
        <v/>
      </c>
      <c r="BC486" s="495" t="str">
        <f t="shared" si="60"/>
        <v/>
      </c>
      <c r="BD486" s="513"/>
      <c r="BE486" s="429" t="s">
        <v>118</v>
      </c>
      <c r="BF486" s="289"/>
      <c r="BG486" s="289"/>
      <c r="BH486" s="290"/>
      <c r="BI486" s="289"/>
    </row>
    <row r="487" spans="1:61" ht="15.75" customHeight="1">
      <c r="A487" s="514" t="s">
        <v>469</v>
      </c>
      <c r="B487" s="450"/>
      <c r="C487" s="3"/>
      <c r="D487" s="83"/>
      <c r="E487" s="4"/>
      <c r="F487" s="4"/>
      <c r="G487" s="6">
        <v>42.8</v>
      </c>
      <c r="H487" s="449"/>
      <c r="I487" s="4"/>
      <c r="J487" s="3"/>
      <c r="K487" s="449"/>
      <c r="L487" s="449"/>
      <c r="M487" s="449" t="str">
        <f>IF(L487="","",
IF(AX487="PT",VLOOKUP(L487,Foundation_Calc!$V$79:$X$113,VLOOKUP(AX487,Foundation_Calc!$I$10:$J$13,2,FALSE),0),
IF(AX487="K",VLOOKUP(L487,Foundation_Calc!$V$117:$X$151,VLOOKUP(AX487,Foundation_Calc!$I$10:$J$13,2,FALSE),0),"")))</f>
        <v/>
      </c>
      <c r="N487" s="449"/>
      <c r="O487" s="449"/>
      <c r="P487" s="449"/>
      <c r="Q487" s="4"/>
      <c r="R487" s="6"/>
      <c r="S487" s="6"/>
      <c r="T487" s="4"/>
      <c r="U487" s="4"/>
      <c r="V487" s="4"/>
      <c r="W487" s="572"/>
      <c r="X487" s="572"/>
      <c r="Y487" s="572"/>
      <c r="Z487" s="9"/>
      <c r="AA487" s="9"/>
      <c r="AB487" s="9"/>
      <c r="AC487" s="449" t="str">
        <f t="shared" si="57"/>
        <v/>
      </c>
      <c r="AD487" s="449"/>
      <c r="AE487" s="449"/>
      <c r="AF487" s="4"/>
      <c r="AG487" s="83"/>
      <c r="AH487" s="4"/>
      <c r="AI487" s="4"/>
      <c r="AJ487" s="449"/>
      <c r="AK487" s="449"/>
      <c r="AL487" s="449"/>
      <c r="AM487" s="449"/>
      <c r="AN487" s="10"/>
      <c r="AO487" s="9"/>
      <c r="AP487" s="9"/>
      <c r="AQ487" s="9">
        <f>+FL_2($T$488,$T$486,$G$487,1200,9.28, 1*$F$488)</f>
        <v>-0.35884586502180688</v>
      </c>
      <c r="AR487" s="9"/>
      <c r="AS487" s="9"/>
      <c r="AT487" s="9"/>
      <c r="AU487" s="428"/>
      <c r="AV487" s="428"/>
      <c r="AW487" s="449"/>
      <c r="AX487" s="449"/>
      <c r="AY487" s="10" t="str">
        <f>IF(L487="","",
IF(AX487="PT",VLOOKUP(L487,Foundation_Calc!$K$79:$R$113,VLOOKUP(AW487,Foundation_Calc!$I$2:$J$8,2,FALSE),0),
IF(AX487="K",VLOOKUP(L487,Foundation_Calc!$K$117:$R$151,VLOOKUP(AW487,Foundation_Calc!$I$2:$J$8,2,FALSE),0),"")))</f>
        <v/>
      </c>
      <c r="AZ487" s="10" t="str">
        <f>IF(K487="","",
IF(AX487="PT",VLOOKUP(K487,Foundation_Calc!$K$79:$R$113,VLOOKUP(AW487,Foundation_Calc!$I$2:$J$8,2,FALSE),0),
IF(AX487="K",VLOOKUP(K487,Foundation_Calc!$K$117:$R$151,VLOOKUP(AW487,Foundation_Calc!$I$2:$J$8,2,FALSE),0),"")))</f>
        <v/>
      </c>
      <c r="BA487" s="495" t="str">
        <f t="shared" si="58"/>
        <v/>
      </c>
      <c r="BB487" s="495" t="str">
        <f t="shared" si="59"/>
        <v/>
      </c>
      <c r="BC487" s="495" t="str">
        <f t="shared" si="60"/>
        <v/>
      </c>
      <c r="BD487" s="513" t="str">
        <f>IF(AND(L487="",H487=""),"",
IF(H487="",Pole_Calc!A$9,
IF(H487="MP",Pole_Calc!A$10,
IF(H487="AnMP",Pole_Calc!A$11,
IF(H487="A",Pole_Calc!A$12,
IF(H487="S/A",Pole_Calc!A$13,
IF(H487="A/S",Pole_Calc!A$14,"Poner a mano")))))))</f>
        <v/>
      </c>
      <c r="BE487" s="429" t="s">
        <v>118</v>
      </c>
      <c r="BF487" s="290"/>
      <c r="BG487" s="290"/>
      <c r="BH487" s="290"/>
      <c r="BI487" s="290"/>
    </row>
    <row r="488" spans="1:61" ht="15.75" customHeight="1">
      <c r="A488" s="514"/>
      <c r="B488" s="450" t="s">
        <v>1188</v>
      </c>
      <c r="C488" s="3">
        <f>+$C$486+$G$487</f>
        <v>41624.840000000011</v>
      </c>
      <c r="D488" s="83"/>
      <c r="E488" s="4"/>
      <c r="F488" s="4">
        <v>0</v>
      </c>
      <c r="G488" s="6"/>
      <c r="H488" s="449" t="s">
        <v>131</v>
      </c>
      <c r="I488" s="4"/>
      <c r="J488" s="3"/>
      <c r="K488" s="449"/>
      <c r="L488" s="449" t="s">
        <v>201</v>
      </c>
      <c r="M488" s="449" t="str">
        <f>IF(L488="","",
IF(AX488="PT",VLOOKUP(L488,Foundation_Calc!$V$79:$X$113,VLOOKUP(AX488,Foundation_Calc!$I$10:$J$13,2,FALSE),0),
IF(AX488="K",VLOOKUP(L488,Foundation_Calc!$V$117:$X$151,VLOOKUP(AX488,Foundation_Calc!$I$10:$J$13,2,FALSE),0),"")))</f>
        <v/>
      </c>
      <c r="N488" s="449" t="s">
        <v>453</v>
      </c>
      <c r="O488" s="449" t="s">
        <v>840</v>
      </c>
      <c r="P488" s="449"/>
      <c r="Q488" s="4"/>
      <c r="R488" s="6"/>
      <c r="S488" s="6"/>
      <c r="T488" s="4">
        <v>20</v>
      </c>
      <c r="U488" s="4">
        <v>55</v>
      </c>
      <c r="V488" s="4"/>
      <c r="W488" s="572">
        <v>0.9</v>
      </c>
      <c r="X488" s="572">
        <v>0.8</v>
      </c>
      <c r="Y488" s="572"/>
      <c r="Z488" s="9"/>
      <c r="AA488" s="9">
        <v>0.35</v>
      </c>
      <c r="AB488" s="9"/>
      <c r="AC488" s="449" t="str">
        <f t="shared" si="57"/>
        <v>PH</v>
      </c>
      <c r="AD488" s="449"/>
      <c r="AE488" s="449"/>
      <c r="AF488" s="4"/>
      <c r="AG488" s="83"/>
      <c r="AH488" s="4"/>
      <c r="AI488" s="4"/>
      <c r="AJ488" s="449"/>
      <c r="AK488" s="449" t="s">
        <v>841</v>
      </c>
      <c r="AL488" s="449"/>
      <c r="AM488" s="449"/>
      <c r="AN488" s="10">
        <v>5.5</v>
      </c>
      <c r="AO488" s="9"/>
      <c r="AP488" s="9"/>
      <c r="AQ488" s="9"/>
      <c r="AR488" s="9"/>
      <c r="AS488" s="9"/>
      <c r="AT488" s="9">
        <f>+ab($T$488,$T$486,$U$490,$G$487,$G$489, 1*$F$488,1200)</f>
        <v>18.788611030122393</v>
      </c>
      <c r="AU488" s="428"/>
      <c r="AV488" s="428"/>
      <c r="AW488" s="449" t="s">
        <v>201</v>
      </c>
      <c r="AX488" s="449" t="s">
        <v>201</v>
      </c>
      <c r="AY488" s="10" t="str">
        <f>IF(L488="","",
IF(AX488="PT",VLOOKUP(L488,Foundation_Calc!$K$79:$R$113,VLOOKUP(AW488,Foundation_Calc!$I$2:$J$8,2,FALSE),0),
IF(AX488="K",VLOOKUP(L488,Foundation_Calc!$K$117:$R$151,VLOOKUP(AW488,Foundation_Calc!$I$2:$J$8,2,FALSE),0),"")))</f>
        <v/>
      </c>
      <c r="AZ488" s="10" t="str">
        <f>IF(K488="","",
IF(AX488="PT",VLOOKUP(K488,Foundation_Calc!$K$79:$R$113,VLOOKUP(AW488,Foundation_Calc!$I$2:$J$8,2,FALSE),0),
IF(AX488="K",VLOOKUP(K488,Foundation_Calc!$K$117:$R$151,VLOOKUP(AW488,Foundation_Calc!$I$2:$J$8,2,FALSE),0),"")))</f>
        <v/>
      </c>
      <c r="BA488" s="495" t="str">
        <f t="shared" si="58"/>
        <v/>
      </c>
      <c r="BB488" s="495" t="str">
        <f t="shared" si="59"/>
        <v/>
      </c>
      <c r="BC488" s="495" t="str">
        <f t="shared" si="60"/>
        <v/>
      </c>
      <c r="BD488" s="513"/>
      <c r="BE488" s="429" t="s">
        <v>118</v>
      </c>
      <c r="BF488" s="289"/>
      <c r="BG488" s="289"/>
      <c r="BH488" s="290"/>
      <c r="BI488" s="289"/>
    </row>
    <row r="489" spans="1:61" ht="15.75" customHeight="1">
      <c r="A489" s="514"/>
      <c r="B489" s="450"/>
      <c r="C489" s="3"/>
      <c r="D489" s="83"/>
      <c r="E489" s="4"/>
      <c r="F489" s="4"/>
      <c r="G489" s="6">
        <v>49.9</v>
      </c>
      <c r="H489" s="449"/>
      <c r="I489" s="4"/>
      <c r="J489" s="3"/>
      <c r="K489" s="449"/>
      <c r="L489" s="449"/>
      <c r="M489" s="449" t="str">
        <f>IF(L489="","",
IF(AX489="PT",VLOOKUP(L489,Foundation_Calc!$V$79:$X$113,VLOOKUP(AX489,Foundation_Calc!$I$10:$J$13,2,FALSE),0),
IF(AX489="K",VLOOKUP(L489,Foundation_Calc!$V$117:$X$151,VLOOKUP(AX489,Foundation_Calc!$I$10:$J$13,2,FALSE),0),"")))</f>
        <v/>
      </c>
      <c r="N489" s="449"/>
      <c r="O489" s="449"/>
      <c r="P489" s="449"/>
      <c r="Q489" s="4"/>
      <c r="R489" s="6"/>
      <c r="S489" s="6"/>
      <c r="T489" s="4"/>
      <c r="U489" s="4"/>
      <c r="V489" s="4"/>
      <c r="W489" s="572"/>
      <c r="X489" s="572"/>
      <c r="Y489" s="572"/>
      <c r="Z489" s="9"/>
      <c r="AA489" s="9"/>
      <c r="AB489" s="9"/>
      <c r="AC489" s="449" t="str">
        <f t="shared" si="57"/>
        <v/>
      </c>
      <c r="AD489" s="449"/>
      <c r="AE489" s="449"/>
      <c r="AF489" s="4"/>
      <c r="AG489" s="83"/>
      <c r="AH489" s="4"/>
      <c r="AI489" s="4"/>
      <c r="AJ489" s="449"/>
      <c r="AK489" s="449"/>
      <c r="AL489" s="449"/>
      <c r="AM489" s="449"/>
      <c r="AN489" s="10"/>
      <c r="AO489" s="9"/>
      <c r="AP489" s="9"/>
      <c r="AQ489" s="9">
        <f>+FL_1($U$490,$T$488,$G$489,1200,9.28, 1*$F$490)</f>
        <v>0.52154327477354701</v>
      </c>
      <c r="AR489" s="9"/>
      <c r="AS489" s="9"/>
      <c r="AT489" s="9"/>
      <c r="AU489" s="428"/>
      <c r="AV489" s="428"/>
      <c r="AW489" s="449"/>
      <c r="AX489" s="449"/>
      <c r="AY489" s="10" t="str">
        <f>IF(L489="","",
IF(AX489="PT",VLOOKUP(L489,Foundation_Calc!$K$79:$R$113,VLOOKUP(AW489,Foundation_Calc!$I$2:$J$8,2,FALSE),0),
IF(AX489="K",VLOOKUP(L489,Foundation_Calc!$K$117:$R$151,VLOOKUP(AW489,Foundation_Calc!$I$2:$J$8,2,FALSE),0),"")))</f>
        <v/>
      </c>
      <c r="AZ489" s="10" t="str">
        <f>IF(K489="","",
IF(AX489="PT",VLOOKUP(K489,Foundation_Calc!$K$79:$R$113,VLOOKUP(AW489,Foundation_Calc!$I$2:$J$8,2,FALSE),0),
IF(AX489="K",VLOOKUP(K489,Foundation_Calc!$K$117:$R$151,VLOOKUP(AW489,Foundation_Calc!$I$2:$J$8,2,FALSE),0),"")))</f>
        <v/>
      </c>
      <c r="BA489" s="495" t="str">
        <f t="shared" si="58"/>
        <v/>
      </c>
      <c r="BB489" s="495" t="str">
        <f t="shared" si="59"/>
        <v/>
      </c>
      <c r="BC489" s="495" t="str">
        <f t="shared" si="60"/>
        <v/>
      </c>
      <c r="BD489" s="513" t="str">
        <f>IF(AND(L489="",H489=""),"",
IF(H489="",Pole_Calc!A$9,
IF(H489="MP",Pole_Calc!A$10,
IF(H489="AnMP",Pole_Calc!A$11,
IF(H489="A",Pole_Calc!A$12,
IF(H489="S/A",Pole_Calc!A$13,
IF(H489="A/S",Pole_Calc!A$14,"Poner a mano")))))))</f>
        <v/>
      </c>
      <c r="BE489" s="429" t="s">
        <v>118</v>
      </c>
      <c r="BF489" s="290"/>
      <c r="BG489" s="290"/>
      <c r="BH489" s="290"/>
      <c r="BI489" s="290"/>
    </row>
    <row r="490" spans="1:61" ht="15.75" customHeight="1">
      <c r="A490" s="514"/>
      <c r="B490" s="450" t="s">
        <v>1189</v>
      </c>
      <c r="C490" s="3">
        <f>+$C$488+$G$489</f>
        <v>41674.740000000013</v>
      </c>
      <c r="D490" s="83"/>
      <c r="E490" s="4"/>
      <c r="F490" s="4">
        <v>0</v>
      </c>
      <c r="G490" s="6"/>
      <c r="H490" s="449" t="s">
        <v>846</v>
      </c>
      <c r="I490" s="4" t="s">
        <v>1190</v>
      </c>
      <c r="J490" s="3"/>
      <c r="K490" s="449"/>
      <c r="L490" s="449" t="s">
        <v>201</v>
      </c>
      <c r="M490" s="449" t="str">
        <f>IF(L490="","",
IF(AX490="PT",VLOOKUP(L490,Foundation_Calc!$V$79:$X$113,VLOOKUP(AX490,Foundation_Calc!$I$10:$J$13,2,FALSE),0),
IF(AX490="K",VLOOKUP(L490,Foundation_Calc!$V$117:$X$151,VLOOKUP(AX490,Foundation_Calc!$I$10:$J$13,2,FALSE),0),"")))</f>
        <v/>
      </c>
      <c r="N490" s="554" t="s">
        <v>840</v>
      </c>
      <c r="O490" s="449" t="s">
        <v>453</v>
      </c>
      <c r="P490" s="554" t="s">
        <v>343</v>
      </c>
      <c r="Q490" s="4"/>
      <c r="R490" s="6"/>
      <c r="S490" s="6"/>
      <c r="T490" s="4">
        <v>55</v>
      </c>
      <c r="U490" s="4">
        <v>35</v>
      </c>
      <c r="V490" s="4">
        <v>20</v>
      </c>
      <c r="W490" s="572">
        <v>1.4</v>
      </c>
      <c r="X490" s="572">
        <v>1.6</v>
      </c>
      <c r="Y490" s="572">
        <v>1.8</v>
      </c>
      <c r="Z490" s="9">
        <v>0.45</v>
      </c>
      <c r="AA490" s="9"/>
      <c r="AB490" s="9"/>
      <c r="AC490" s="449" t="str">
        <f t="shared" si="57"/>
        <v>PH</v>
      </c>
      <c r="AD490" s="449"/>
      <c r="AE490" s="449"/>
      <c r="AF490" s="4"/>
      <c r="AG490" s="83"/>
      <c r="AH490" s="4"/>
      <c r="AI490" s="4"/>
      <c r="AJ490" s="449"/>
      <c r="AK490" s="449" t="s">
        <v>841</v>
      </c>
      <c r="AL490" s="449"/>
      <c r="AM490" s="449"/>
      <c r="AN490" s="10">
        <v>5.5</v>
      </c>
      <c r="AO490" s="9"/>
      <c r="AP490" s="9"/>
      <c r="AQ490" s="9"/>
      <c r="AR490" s="9"/>
      <c r="AS490" s="9"/>
      <c r="AT490" s="9">
        <f>+ab($U$490,$T$488,$U$492,$G$489,$G$491, 1*$F$490,1200)</f>
        <v>48.09016612304778</v>
      </c>
      <c r="AU490" s="428"/>
      <c r="AV490" s="428"/>
      <c r="AW490" s="449" t="s">
        <v>201</v>
      </c>
      <c r="AX490" s="449" t="s">
        <v>201</v>
      </c>
      <c r="AY490" s="10" t="str">
        <f>IF(L490="","",
IF(AX490="PT",VLOOKUP(L490,Foundation_Calc!$K$79:$R$113,VLOOKUP(AW490,Foundation_Calc!$I$2:$J$8,2,FALSE),0),
IF(AX490="K",VLOOKUP(L490,Foundation_Calc!$K$117:$R$151,VLOOKUP(AW490,Foundation_Calc!$I$2:$J$8,2,FALSE),0),"")))</f>
        <v/>
      </c>
      <c r="AZ490" s="10" t="str">
        <f>IF(K490="","",
IF(AX490="PT",VLOOKUP(K490,Foundation_Calc!$K$79:$R$113,VLOOKUP(AW490,Foundation_Calc!$I$2:$J$8,2,FALSE),0),
IF(AX490="K",VLOOKUP(K490,Foundation_Calc!$K$117:$R$151,VLOOKUP(AW490,Foundation_Calc!$I$2:$J$8,2,FALSE),0),"")))</f>
        <v/>
      </c>
      <c r="BA490" s="495" t="str">
        <f t="shared" si="58"/>
        <v/>
      </c>
      <c r="BB490" s="495" t="str">
        <f t="shared" si="59"/>
        <v/>
      </c>
      <c r="BC490" s="495" t="str">
        <f t="shared" si="60"/>
        <v/>
      </c>
      <c r="BD490" s="513"/>
      <c r="BE490" s="429" t="s">
        <v>118</v>
      </c>
      <c r="BF490" s="289"/>
      <c r="BG490" s="289"/>
      <c r="BH490" s="290"/>
      <c r="BI490" s="289"/>
    </row>
    <row r="491" spans="1:61" ht="15.75" customHeight="1">
      <c r="A491" s="514"/>
      <c r="B491" s="450"/>
      <c r="C491" s="3"/>
      <c r="D491" s="83"/>
      <c r="E491" s="4"/>
      <c r="F491" s="4"/>
      <c r="G491" s="6">
        <v>48.6</v>
      </c>
      <c r="H491" s="449"/>
      <c r="I491" s="4"/>
      <c r="J491" s="3"/>
      <c r="K491" s="449"/>
      <c r="L491" s="449"/>
      <c r="M491" s="449" t="str">
        <f>IF(L491="","",
IF(AX491="PT",VLOOKUP(L491,Foundation_Calc!$V$79:$X$113,VLOOKUP(AX491,Foundation_Calc!$I$10:$J$13,2,FALSE),0),
IF(AX491="K",VLOOKUP(L491,Foundation_Calc!$V$117:$X$151,VLOOKUP(AX491,Foundation_Calc!$I$10:$J$13,2,FALSE),0),"")))</f>
        <v/>
      </c>
      <c r="N491" s="449"/>
      <c r="O491" s="561"/>
      <c r="P491" s="449"/>
      <c r="Q491" s="4"/>
      <c r="R491" s="6"/>
      <c r="S491" s="6"/>
      <c r="T491" s="4"/>
      <c r="U491" s="4"/>
      <c r="V491" s="4"/>
      <c r="W491" s="572"/>
      <c r="X491" s="572"/>
      <c r="Y491" s="572"/>
      <c r="Z491" s="9"/>
      <c r="AA491" s="9"/>
      <c r="AB491" s="9"/>
      <c r="AC491" s="449" t="str">
        <f t="shared" si="57"/>
        <v/>
      </c>
      <c r="AD491" s="449"/>
      <c r="AE491" s="449"/>
      <c r="AF491" s="4"/>
      <c r="AG491" s="83"/>
      <c r="AH491" s="4"/>
      <c r="AI491" s="4"/>
      <c r="AJ491" s="449"/>
      <c r="AK491" s="449"/>
      <c r="AL491" s="449"/>
      <c r="AM491" s="449"/>
      <c r="AN491" s="10"/>
      <c r="AO491" s="9"/>
      <c r="AP491" s="9"/>
      <c r="AQ491" s="9">
        <f>+FL_1($U$492,$U$490,$G$491,1200,9.28, 1*$F$492)</f>
        <v>0.57832280000000003</v>
      </c>
      <c r="AR491" s="9"/>
      <c r="AS491" s="9"/>
      <c r="AT491" s="9"/>
      <c r="AU491" s="428"/>
      <c r="AV491" s="428"/>
      <c r="AW491" s="449"/>
      <c r="AX491" s="449"/>
      <c r="AY491" s="10" t="str">
        <f>IF(L491="","",
IF(AX491="PT",VLOOKUP(L491,Foundation_Calc!$K$79:$R$113,VLOOKUP(AW491,Foundation_Calc!$I$2:$J$8,2,FALSE),0),
IF(AX491="K",VLOOKUP(L491,Foundation_Calc!$K$117:$R$151,VLOOKUP(AW491,Foundation_Calc!$I$2:$J$8,2,FALSE),0),"")))</f>
        <v/>
      </c>
      <c r="AZ491" s="10" t="str">
        <f>IF(K491="","",
IF(AX491="PT",VLOOKUP(K491,Foundation_Calc!$K$79:$R$113,VLOOKUP(AW491,Foundation_Calc!$I$2:$J$8,2,FALSE),0),
IF(AX491="K",VLOOKUP(K491,Foundation_Calc!$K$117:$R$151,VLOOKUP(AW491,Foundation_Calc!$I$2:$J$8,2,FALSE),0),"")))</f>
        <v/>
      </c>
      <c r="BA491" s="495" t="str">
        <f t="shared" si="58"/>
        <v/>
      </c>
      <c r="BB491" s="495" t="str">
        <f t="shared" si="59"/>
        <v/>
      </c>
      <c r="BC491" s="495" t="str">
        <f t="shared" si="60"/>
        <v/>
      </c>
      <c r="BD491" s="513"/>
      <c r="BE491" s="429" t="s">
        <v>118</v>
      </c>
      <c r="BF491" s="290"/>
      <c r="BG491" s="290"/>
      <c r="BH491" s="290"/>
      <c r="BI491" s="290"/>
    </row>
    <row r="492" spans="1:61" ht="15.75" customHeight="1">
      <c r="A492" s="514"/>
      <c r="B492" s="450" t="s">
        <v>1191</v>
      </c>
      <c r="C492" s="3">
        <f>+$C$490+$G$491</f>
        <v>41723.340000000011</v>
      </c>
      <c r="D492" s="83"/>
      <c r="E492" s="4"/>
      <c r="F492" s="4">
        <v>0</v>
      </c>
      <c r="G492" s="6"/>
      <c r="H492" s="449" t="s">
        <v>1011</v>
      </c>
      <c r="I492" s="4"/>
      <c r="J492" s="3"/>
      <c r="K492" s="449"/>
      <c r="L492" s="449" t="s">
        <v>201</v>
      </c>
      <c r="M492" s="449" t="str">
        <f>IF(L492="","",
IF(AX492="PT",VLOOKUP(L492,Foundation_Calc!$V$79:$X$113,VLOOKUP(AX492,Foundation_Calc!$I$10:$J$13,2,FALSE),0),
IF(AX492="K",VLOOKUP(L492,Foundation_Calc!$V$117:$X$151,VLOOKUP(AX492,Foundation_Calc!$I$10:$J$13,2,FALSE),0),"")))</f>
        <v/>
      </c>
      <c r="N492" s="554" t="s">
        <v>343</v>
      </c>
      <c r="O492" s="449" t="s">
        <v>453</v>
      </c>
      <c r="P492" s="554" t="s">
        <v>840</v>
      </c>
      <c r="Q492" s="4"/>
      <c r="R492" s="6"/>
      <c r="S492" s="6"/>
      <c r="T492" s="4">
        <v>20</v>
      </c>
      <c r="U492" s="4">
        <v>35</v>
      </c>
      <c r="V492" s="4">
        <v>55</v>
      </c>
      <c r="W492" s="572">
        <v>1.8</v>
      </c>
      <c r="X492" s="572">
        <v>1.6</v>
      </c>
      <c r="Y492" s="572">
        <v>1.4</v>
      </c>
      <c r="Z492" s="9"/>
      <c r="AA492" s="9"/>
      <c r="AB492" s="9">
        <v>0.4</v>
      </c>
      <c r="AC492" s="449" t="str">
        <f t="shared" si="57"/>
        <v>PH</v>
      </c>
      <c r="AD492" s="449"/>
      <c r="AE492" s="449"/>
      <c r="AF492" s="4"/>
      <c r="AG492" s="83"/>
      <c r="AH492" s="4"/>
      <c r="AI492" s="4"/>
      <c r="AJ492" s="449"/>
      <c r="AK492" s="449" t="s">
        <v>841</v>
      </c>
      <c r="AL492" s="449"/>
      <c r="AM492" s="449"/>
      <c r="AN492" s="10">
        <v>5.5</v>
      </c>
      <c r="AO492" s="9"/>
      <c r="AP492" s="9"/>
      <c r="AQ492" s="9"/>
      <c r="AR492" s="9"/>
      <c r="AS492" s="9"/>
      <c r="AT492" s="9">
        <f>+ab($U$492,$U$490,$T$494,$G$491,$G$493, 1*$F$492,1200)</f>
        <v>13.272086661275949</v>
      </c>
      <c r="AU492" s="428"/>
      <c r="AV492" s="428"/>
      <c r="AW492" s="449" t="s">
        <v>201</v>
      </c>
      <c r="AX492" s="449" t="s">
        <v>201</v>
      </c>
      <c r="AY492" s="10" t="str">
        <f>IF(L492="","",
IF(AX492="PT",VLOOKUP(L492,Foundation_Calc!$K$79:$R$113,VLOOKUP(AW492,Foundation_Calc!$I$2:$J$8,2,FALSE),0),
IF(AX492="K",VLOOKUP(L492,Foundation_Calc!$K$117:$R$151,VLOOKUP(AW492,Foundation_Calc!$I$2:$J$8,2,FALSE),0),"")))</f>
        <v/>
      </c>
      <c r="AZ492" s="10" t="str">
        <f>IF(K492="","",
IF(AX492="PT",VLOOKUP(K492,Foundation_Calc!$K$79:$R$113,VLOOKUP(AW492,Foundation_Calc!$I$2:$J$8,2,FALSE),0),
IF(AX492="K",VLOOKUP(K492,Foundation_Calc!$K$117:$R$151,VLOOKUP(AW492,Foundation_Calc!$I$2:$J$8,2,FALSE),0),"")))</f>
        <v/>
      </c>
      <c r="BA492" s="495" t="str">
        <f t="shared" si="58"/>
        <v/>
      </c>
      <c r="BB492" s="495" t="str">
        <f t="shared" si="59"/>
        <v/>
      </c>
      <c r="BC492" s="495" t="str">
        <f t="shared" si="60"/>
        <v/>
      </c>
      <c r="BD492" s="513"/>
      <c r="BE492" s="429" t="s">
        <v>118</v>
      </c>
      <c r="BF492" s="289"/>
      <c r="BG492" s="289"/>
      <c r="BH492" s="290"/>
      <c r="BI492" s="289"/>
    </row>
    <row r="493" spans="1:61" ht="15.75" customHeight="1">
      <c r="A493" s="518"/>
      <c r="B493" s="450"/>
      <c r="C493" s="3"/>
      <c r="D493" s="83"/>
      <c r="E493" s="4"/>
      <c r="F493" s="4"/>
      <c r="G493" s="6">
        <v>49.3</v>
      </c>
      <c r="H493" s="449"/>
      <c r="I493" s="4"/>
      <c r="J493" s="3"/>
      <c r="K493" s="449"/>
      <c r="L493" s="449"/>
      <c r="M493" s="449" t="str">
        <f>IF(L493="","",
IF(AX493="PT",VLOOKUP(L493,Foundation_Calc!$V$79:$X$113,VLOOKUP(AX493,Foundation_Calc!$I$10:$J$13,2,FALSE),0),
IF(AX493="K",VLOOKUP(L493,Foundation_Calc!$V$117:$X$151,VLOOKUP(AX493,Foundation_Calc!$I$10:$J$13,2,FALSE),0),"")))</f>
        <v/>
      </c>
      <c r="N493" s="449"/>
      <c r="O493" s="449"/>
      <c r="P493" s="449"/>
      <c r="Q493" s="4"/>
      <c r="R493" s="6"/>
      <c r="S493" s="6"/>
      <c r="T493" s="4"/>
      <c r="U493" s="4"/>
      <c r="V493" s="4"/>
      <c r="W493" s="9"/>
      <c r="X493" s="9"/>
      <c r="Y493" s="9"/>
      <c r="Z493" s="9"/>
      <c r="AA493" s="9"/>
      <c r="AB493" s="9"/>
      <c r="AC493" s="449" t="str">
        <f t="shared" si="57"/>
        <v/>
      </c>
      <c r="AD493" s="449"/>
      <c r="AE493" s="449"/>
      <c r="AF493" s="4"/>
      <c r="AG493" s="83"/>
      <c r="AH493" s="4"/>
      <c r="AI493" s="4"/>
      <c r="AJ493" s="449"/>
      <c r="AK493" s="449"/>
      <c r="AL493" s="449"/>
      <c r="AM493" s="449"/>
      <c r="AN493" s="10"/>
      <c r="AO493" s="9"/>
      <c r="AP493" s="9"/>
      <c r="AQ493" s="9">
        <f>+FL_2($T$494,$U$492,$G$493,1200,9.28, 1*$F$494)</f>
        <v>-0.36529570983908044</v>
      </c>
      <c r="AR493" s="9"/>
      <c r="AS493" s="9"/>
      <c r="AT493" s="9"/>
      <c r="AU493" s="428"/>
      <c r="AV493" s="428"/>
      <c r="AW493" s="449"/>
      <c r="AX493" s="449"/>
      <c r="AY493" s="10" t="str">
        <f>IF(L493="","",
IF(AX493="PT",VLOOKUP(L493,Foundation_Calc!$K$79:$R$113,VLOOKUP(AW493,Foundation_Calc!$I$2:$J$8,2,FALSE),0),
IF(AX493="K",VLOOKUP(L493,Foundation_Calc!$K$117:$R$151,VLOOKUP(AW493,Foundation_Calc!$I$2:$J$8,2,FALSE),0),"")))</f>
        <v/>
      </c>
      <c r="AZ493" s="10" t="str">
        <f>IF(K493="","",
IF(AX493="PT",VLOOKUP(K493,Foundation_Calc!$K$79:$R$113,VLOOKUP(AW493,Foundation_Calc!$I$2:$J$8,2,FALSE),0),
IF(AX493="K",VLOOKUP(K493,Foundation_Calc!$K$117:$R$151,VLOOKUP(AW493,Foundation_Calc!$I$2:$J$8,2,FALSE),0),"")))</f>
        <v/>
      </c>
      <c r="BA493" s="495" t="str">
        <f t="shared" si="58"/>
        <v/>
      </c>
      <c r="BB493" s="495" t="str">
        <f t="shared" si="59"/>
        <v/>
      </c>
      <c r="BC493" s="495" t="str">
        <f t="shared" si="60"/>
        <v/>
      </c>
      <c r="BD493" s="513" t="str">
        <f>IF(AND(L493="",H493=""),"",
IF(H493="",Pole_Calc!A$9,
IF(H493="MP",Pole_Calc!A$10,
IF(H493="AnMP",Pole_Calc!A$11,
IF(H493="A",Pole_Calc!A$12,
IF(H493="S/A",Pole_Calc!A$13,
IF(H493="A/S",Pole_Calc!A$14,"Poner a mano")))))))</f>
        <v/>
      </c>
      <c r="BE493" s="429" t="s">
        <v>118</v>
      </c>
      <c r="BF493" s="290"/>
      <c r="BG493" s="290"/>
      <c r="BH493" s="290"/>
      <c r="BI493" s="290"/>
    </row>
    <row r="494" spans="1:61" ht="15.75" customHeight="1">
      <c r="A494" s="514"/>
      <c r="B494" s="450" t="s">
        <v>1192</v>
      </c>
      <c r="C494" s="3">
        <f>+$C$492+$G$493</f>
        <v>41772.640000000014</v>
      </c>
      <c r="D494" s="83"/>
      <c r="E494" s="4"/>
      <c r="F494" s="4">
        <v>0</v>
      </c>
      <c r="G494" s="6"/>
      <c r="H494" s="449"/>
      <c r="I494" s="4"/>
      <c r="J494" s="3"/>
      <c r="K494" s="449"/>
      <c r="L494" s="449" t="s">
        <v>201</v>
      </c>
      <c r="M494" s="449" t="str">
        <f>IF(L494="","",
IF(AX494="PT",VLOOKUP(L494,Foundation_Calc!$V$79:$X$113,VLOOKUP(AX494,Foundation_Calc!$I$10:$J$13,2,FALSE),0),
IF(AX494="K",VLOOKUP(L494,Foundation_Calc!$V$117:$X$151,VLOOKUP(AX494,Foundation_Calc!$I$10:$J$13,2,FALSE),0),"")))</f>
        <v/>
      </c>
      <c r="N494" s="449" t="s">
        <v>343</v>
      </c>
      <c r="O494" s="449"/>
      <c r="P494" s="449"/>
      <c r="Q494" s="4"/>
      <c r="R494" s="6"/>
      <c r="S494" s="6"/>
      <c r="T494" s="4">
        <v>-35</v>
      </c>
      <c r="U494" s="4"/>
      <c r="V494" s="4"/>
      <c r="W494" s="9">
        <v>1.4</v>
      </c>
      <c r="X494" s="9"/>
      <c r="Y494" s="9"/>
      <c r="Z494" s="9"/>
      <c r="AA494" s="9"/>
      <c r="AB494" s="9"/>
      <c r="AC494" s="449" t="str">
        <f t="shared" si="57"/>
        <v>PHQ</v>
      </c>
      <c r="AD494" s="449"/>
      <c r="AE494" s="449"/>
      <c r="AF494" s="4"/>
      <c r="AG494" s="83"/>
      <c r="AH494" s="4"/>
      <c r="AI494" s="4"/>
      <c r="AJ494" s="449"/>
      <c r="AK494" s="449" t="s">
        <v>451</v>
      </c>
      <c r="AL494" s="449"/>
      <c r="AM494" s="449"/>
      <c r="AN494" s="10">
        <v>5.5</v>
      </c>
      <c r="AO494" s="9"/>
      <c r="AP494" s="9"/>
      <c r="AQ494" s="9"/>
      <c r="AR494" s="9"/>
      <c r="AS494" s="9"/>
      <c r="AT494" s="9">
        <f>+ab($T$494,$U$492,$T$496,$G$493,$G$495, 1*$F$494,1200)</f>
        <v>-7.0902514630206523</v>
      </c>
      <c r="AU494" s="428"/>
      <c r="AV494" s="428"/>
      <c r="AW494" s="449" t="s">
        <v>201</v>
      </c>
      <c r="AX494" s="449" t="s">
        <v>201</v>
      </c>
      <c r="AY494" s="10" t="str">
        <f>IF(L494="","",
IF(AX494="PT",VLOOKUP(L494,Foundation_Calc!$K$79:$R$113,VLOOKUP(AW494,Foundation_Calc!$I$2:$J$8,2,FALSE),0),
IF(AX494="K",VLOOKUP(L494,Foundation_Calc!$K$117:$R$151,VLOOKUP(AW494,Foundation_Calc!$I$2:$J$8,2,FALSE),0),"")))</f>
        <v/>
      </c>
      <c r="AZ494" s="10" t="str">
        <f>IF(K494="","",
IF(AX494="PT",VLOOKUP(K494,Foundation_Calc!$K$79:$R$113,VLOOKUP(AW494,Foundation_Calc!$I$2:$J$8,2,FALSE),0),
IF(AX494="K",VLOOKUP(K494,Foundation_Calc!$K$117:$R$151,VLOOKUP(AW494,Foundation_Calc!$I$2:$J$8,2,FALSE),0),"")))</f>
        <v/>
      </c>
      <c r="BA494" s="495" t="str">
        <f t="shared" si="58"/>
        <v/>
      </c>
      <c r="BB494" s="495" t="str">
        <f t="shared" si="59"/>
        <v/>
      </c>
      <c r="BC494" s="495" t="str">
        <f t="shared" si="60"/>
        <v/>
      </c>
      <c r="BD494" s="513"/>
      <c r="BE494" s="429" t="s">
        <v>118</v>
      </c>
      <c r="BF494" s="289"/>
      <c r="BG494" s="289"/>
      <c r="BH494" s="290"/>
      <c r="BI494" s="289"/>
    </row>
    <row r="495" spans="1:61" ht="15.75" customHeight="1">
      <c r="A495" s="514"/>
      <c r="B495" s="450"/>
      <c r="C495" s="3"/>
      <c r="D495" s="83"/>
      <c r="E495" s="4"/>
      <c r="F495" s="4"/>
      <c r="G495" s="6">
        <v>55</v>
      </c>
      <c r="H495" s="449"/>
      <c r="I495" s="4" t="s">
        <v>122</v>
      </c>
      <c r="J495" s="3"/>
      <c r="K495" s="449"/>
      <c r="L495" s="449"/>
      <c r="M495" s="449" t="str">
        <f>IF(L495="","",
IF(AX495="PT",VLOOKUP(L495,Foundation_Calc!$V$79:$X$113,VLOOKUP(AX495,Foundation_Calc!$I$10:$J$13,2,FALSE),0),
IF(AX495="K",VLOOKUP(L495,Foundation_Calc!$V$117:$X$151,VLOOKUP(AX495,Foundation_Calc!$I$10:$J$13,2,FALSE),0),"")))</f>
        <v/>
      </c>
      <c r="N495" s="449"/>
      <c r="O495" s="449"/>
      <c r="P495" s="449"/>
      <c r="Q495" s="4"/>
      <c r="R495" s="6"/>
      <c r="S495" s="6"/>
      <c r="T495" s="4"/>
      <c r="U495" s="4"/>
      <c r="V495" s="4"/>
      <c r="W495" s="9"/>
      <c r="X495" s="9"/>
      <c r="Y495" s="9"/>
      <c r="Z495" s="9"/>
      <c r="AA495" s="9"/>
      <c r="AB495" s="9"/>
      <c r="AC495" s="449" t="str">
        <f t="shared" si="57"/>
        <v/>
      </c>
      <c r="AD495" s="449"/>
      <c r="AE495" s="449"/>
      <c r="AF495" s="4"/>
      <c r="AG495" s="83"/>
      <c r="AH495" s="4"/>
      <c r="AI495" s="4"/>
      <c r="AJ495" s="449"/>
      <c r="AK495" s="449"/>
      <c r="AL495" s="449"/>
      <c r="AM495" s="449"/>
      <c r="AN495" s="10"/>
      <c r="AO495" s="9"/>
      <c r="AP495" s="9"/>
      <c r="AQ495" s="9">
        <f>+FL_2($T$496,$T$494,$G$495,1200,9.28, 1*$F$496)</f>
        <v>-0.39714735709090898</v>
      </c>
      <c r="AR495" s="9"/>
      <c r="AS495" s="9"/>
      <c r="AT495" s="9"/>
      <c r="AU495" s="428"/>
      <c r="AV495" s="428"/>
      <c r="AW495" s="449" t="str">
        <f>IF(C495&gt;0,VLOOKUP(C495,Foundation_Calc!$A$2:$C$13,3,1),
IF(J495&gt;0,VLOOKUP(J495,Foundation_Calc!$A$2:$C$13,3,1),""))</f>
        <v/>
      </c>
      <c r="AX495" s="449" t="str">
        <f>IF(C495&gt;0,VLOOKUP(C495,Foundation_Calc!$E$35:$G$65,3,1),
IF(J495&gt;0,VLOOKUP(J495,Foundation_Calc!$E$35:$G$65,3,1),""))</f>
        <v/>
      </c>
      <c r="AY495" s="10" t="str">
        <f>IF(L495="","",
IF(AX495="PT",VLOOKUP(L495,Foundation_Calc!$K$79:$R$113,VLOOKUP(AW495,Foundation_Calc!$I$2:$J$8,2,FALSE),0),
IF(AX495="K",VLOOKUP(L495,Foundation_Calc!$K$117:$R$151,VLOOKUP(AW495,Foundation_Calc!$I$2:$J$8,2,FALSE),0),"")))</f>
        <v/>
      </c>
      <c r="AZ495" s="10" t="str">
        <f>IF(K495="","",
IF(AX495="PT",VLOOKUP(K495,Foundation_Calc!$K$79:$R$113,VLOOKUP(AW495,Foundation_Calc!$I$2:$J$8,2,FALSE),0),
IF(AX495="K",VLOOKUP(K495,Foundation_Calc!$K$117:$R$151,VLOOKUP(AW495,Foundation_Calc!$I$2:$J$8,2,FALSE),0),"")))</f>
        <v/>
      </c>
      <c r="BA495" s="495" t="str">
        <f t="shared" si="58"/>
        <v/>
      </c>
      <c r="BB495" s="495" t="str">
        <f t="shared" si="59"/>
        <v/>
      </c>
      <c r="BC495" s="495" t="str">
        <f t="shared" si="60"/>
        <v/>
      </c>
      <c r="BD495" s="513" t="str">
        <f>IF(AND(L495="",H495=""),"",
IF(H495="",Pole_Calc!A$9,
IF(H495="MP",Pole_Calc!A$10,
IF(H495="AnMP",Pole_Calc!A$11,
IF(H495="A",Pole_Calc!A$12,
IF(H495="S/A",Pole_Calc!A$13,
IF(H495="A/S",Pole_Calc!A$14,"Poner a mano")))))))</f>
        <v/>
      </c>
      <c r="BE495" s="429" t="s">
        <v>118</v>
      </c>
      <c r="BF495" s="290"/>
      <c r="BG495" s="290"/>
      <c r="BH495" s="290"/>
      <c r="BI495" s="290"/>
    </row>
    <row r="496" spans="1:61" ht="15.75" customHeight="1">
      <c r="A496" s="514"/>
      <c r="B496" s="450" t="s">
        <v>1193</v>
      </c>
      <c r="C496" s="3">
        <f>+$C$494+$G$495</f>
        <v>41827.640000000014</v>
      </c>
      <c r="D496" s="83"/>
      <c r="E496" s="4"/>
      <c r="F496" s="4">
        <v>0</v>
      </c>
      <c r="G496" s="6"/>
      <c r="H496" s="449" t="s">
        <v>260</v>
      </c>
      <c r="I496" s="4" t="s">
        <v>122</v>
      </c>
      <c r="J496" s="3"/>
      <c r="K496" s="449"/>
      <c r="L496" s="449" t="s">
        <v>206</v>
      </c>
      <c r="M496" s="449" t="str">
        <f>IF(L496="","",
IF(AX496="PT",VLOOKUP(L496,Foundation_Calc!$V$79:$X$113,VLOOKUP(AX496,Foundation_Calc!$I$10:$J$13,2,FALSE),0),
IF(AX496="K",VLOOKUP(L496,Foundation_Calc!$V$117:$X$151,VLOOKUP(AX496,Foundation_Calc!$I$10:$J$13,2,FALSE),0),"")))</f>
        <v>2C4R</v>
      </c>
      <c r="N496" s="449" t="s">
        <v>134</v>
      </c>
      <c r="O496" s="580"/>
      <c r="P496" s="449"/>
      <c r="Q496" s="4"/>
      <c r="R496" s="6"/>
      <c r="S496" s="6"/>
      <c r="T496" s="4">
        <v>35</v>
      </c>
      <c r="U496" s="4"/>
      <c r="V496" s="4"/>
      <c r="W496" s="9">
        <v>1.4</v>
      </c>
      <c r="X496" s="9"/>
      <c r="Y496" s="9"/>
      <c r="Z496" s="9"/>
      <c r="AA496" s="9"/>
      <c r="AB496" s="9"/>
      <c r="AC496" s="449" t="str">
        <f t="shared" si="57"/>
        <v>PHQ</v>
      </c>
      <c r="AD496" s="449"/>
      <c r="AE496" s="449"/>
      <c r="AF496" s="4"/>
      <c r="AG496" s="83"/>
      <c r="AH496" s="4"/>
      <c r="AI496" s="4"/>
      <c r="AJ496" s="449"/>
      <c r="AK496" s="449" t="s">
        <v>715</v>
      </c>
      <c r="AL496" s="449"/>
      <c r="AM496" s="449" t="s">
        <v>552</v>
      </c>
      <c r="AN496" s="10">
        <v>5.5</v>
      </c>
      <c r="AO496" s="9"/>
      <c r="AP496" s="9"/>
      <c r="AQ496" s="9"/>
      <c r="AR496" s="9"/>
      <c r="AS496" s="9"/>
      <c r="AT496" s="9">
        <f>+ab($T$496,$T$494,$U$498,$G$495,$G$497, 1*$F$496,1200)</f>
        <v>7.4465298801587005</v>
      </c>
      <c r="AU496" s="428"/>
      <c r="AV496" s="428"/>
      <c r="AW496" s="449" t="str">
        <f>IF(C496&gt;0,VLOOKUP(C496,Foundation_Calc!$A$2:$C$13,3,1),
IF(J496&gt;0,VLOOKUP(J496,Foundation_Calc!$A$2:$C$13,3,1),""))</f>
        <v>Multi Soil</v>
      </c>
      <c r="AX496" s="449" t="str">
        <f>IF(C496&gt;0,VLOOKUP(C496,Foundation_Calc!$E$35:$G$65,3,1),
IF(J496&gt;0,VLOOKUP(J496,Foundation_Calc!$E$35:$G$65,3,1),""))</f>
        <v>PT</v>
      </c>
      <c r="AY496" s="10">
        <f>IF(L496="","",
IF(AX496="PT",VLOOKUP(L496,Foundation_Calc!$K$79:$R$113,VLOOKUP(AW496,Foundation_Calc!$I$2:$J$8,2,FALSE),0),
IF(AX496="K",VLOOKUP(L496,Foundation_Calc!$K$117:$R$151,VLOOKUP(AW496,Foundation_Calc!$I$2:$J$8,2,FALSE),0),"")))</f>
        <v>4</v>
      </c>
      <c r="AZ496" s="10" t="str">
        <f>IF(K496="","",
IF(AX496="PT",VLOOKUP(K496,Foundation_Calc!$K$79:$R$113,VLOOKUP(AW496,Foundation_Calc!$I$2:$J$8,2,FALSE),0),
IF(AX496="K",VLOOKUP(K496,Foundation_Calc!$K$117:$R$151,VLOOKUP(AW496,Foundation_Calc!$I$2:$J$8,2,FALSE),0),"")))</f>
        <v/>
      </c>
      <c r="BA496" s="495" t="str">
        <f t="shared" si="58"/>
        <v>ü</v>
      </c>
      <c r="BB496" s="495" t="str">
        <f t="shared" si="59"/>
        <v/>
      </c>
      <c r="BC496" s="495" t="str">
        <f t="shared" si="60"/>
        <v/>
      </c>
      <c r="BD496" s="513" t="str">
        <f>Pole_Calc!A$167</f>
        <v>App.7-V11I-P9.5.15.2</v>
      </c>
      <c r="BE496" s="429" t="s">
        <v>118</v>
      </c>
      <c r="BF496" s="289"/>
      <c r="BG496" s="289"/>
      <c r="BH496" s="290"/>
      <c r="BI496" s="289"/>
    </row>
    <row r="497" spans="1:61" ht="15.75" customHeight="1">
      <c r="A497" s="514"/>
      <c r="B497" s="450"/>
      <c r="C497" s="3"/>
      <c r="D497" s="83"/>
      <c r="E497" s="4"/>
      <c r="F497" s="4"/>
      <c r="G497" s="6">
        <v>50.4</v>
      </c>
      <c r="H497" s="449"/>
      <c r="I497" s="4" t="s">
        <v>549</v>
      </c>
      <c r="J497" s="3"/>
      <c r="K497" s="449"/>
      <c r="L497" s="449"/>
      <c r="M497" s="449" t="str">
        <f>IF(L497="","",
IF(AX497="PT",VLOOKUP(L497,Foundation_Calc!$V$79:$X$113,VLOOKUP(AX497,Foundation_Calc!$I$10:$J$13,2,FALSE),0),
IF(AX497="K",VLOOKUP(L497,Foundation_Calc!$V$117:$X$151,VLOOKUP(AX497,Foundation_Calc!$I$10:$J$13,2,FALSE),0),"")))</f>
        <v/>
      </c>
      <c r="N497" s="449"/>
      <c r="O497" s="561"/>
      <c r="P497" s="449"/>
      <c r="Q497" s="4"/>
      <c r="R497" s="6"/>
      <c r="S497" s="6"/>
      <c r="T497" s="4"/>
      <c r="U497" s="4"/>
      <c r="V497" s="4"/>
      <c r="W497" s="9"/>
      <c r="X497" s="9"/>
      <c r="Y497" s="9"/>
      <c r="Z497" s="9"/>
      <c r="AA497" s="9"/>
      <c r="AB497" s="9"/>
      <c r="AC497" s="449" t="str">
        <f t="shared" si="57"/>
        <v/>
      </c>
      <c r="AD497" s="449"/>
      <c r="AE497" s="449"/>
      <c r="AF497" s="4"/>
      <c r="AG497" s="83"/>
      <c r="AH497" s="4"/>
      <c r="AI497" s="4"/>
      <c r="AJ497" s="449"/>
      <c r="AK497" s="449"/>
      <c r="AL497" s="449"/>
      <c r="AM497" s="449"/>
      <c r="AN497" s="10"/>
      <c r="AO497" s="9"/>
      <c r="AP497" s="9"/>
      <c r="AQ497" s="9">
        <f>+FL_1($U$498,$T$496,$G$497,1200,9.28, 1*$F$498)</f>
        <v>0.3780885196190476</v>
      </c>
      <c r="AR497" s="9"/>
      <c r="AS497" s="9"/>
      <c r="AT497" s="9"/>
      <c r="AU497" s="428"/>
      <c r="AV497" s="428"/>
      <c r="AW497" s="449" t="str">
        <f>IF(C497&gt;0,VLOOKUP(C497,Foundation_Calc!$A$2:$C$13,3,1),
IF(J497&gt;0,VLOOKUP(J497,Foundation_Calc!$A$2:$C$13,3,1),""))</f>
        <v/>
      </c>
      <c r="AX497" s="449" t="str">
        <f>IF(C497&gt;0,VLOOKUP(C497,Foundation_Calc!$E$35:$G$65,3,1),
IF(J497&gt;0,VLOOKUP(J497,Foundation_Calc!$E$35:$G$65,3,1),""))</f>
        <v/>
      </c>
      <c r="AY497" s="10" t="str">
        <f>IF(L497="","",
IF(AX497="PT",VLOOKUP(L497,Foundation_Calc!$K$79:$R$113,VLOOKUP(AW497,Foundation_Calc!$I$2:$J$8,2,FALSE),0),
IF(AX497="K",VLOOKUP(L497,Foundation_Calc!$K$117:$R$151,VLOOKUP(AW497,Foundation_Calc!$I$2:$J$8,2,FALSE),0),"")))</f>
        <v/>
      </c>
      <c r="AZ497" s="10" t="str">
        <f>IF(K497="","",
IF(AX497="PT",VLOOKUP(K497,Foundation_Calc!$K$79:$R$113,VLOOKUP(AW497,Foundation_Calc!$I$2:$J$8,2,FALSE),0),
IF(AX497="K",VLOOKUP(K497,Foundation_Calc!$K$117:$R$151,VLOOKUP(AW497,Foundation_Calc!$I$2:$J$8,2,FALSE),0),"")))</f>
        <v/>
      </c>
      <c r="BA497" s="495" t="str">
        <f t="shared" si="58"/>
        <v/>
      </c>
      <c r="BB497" s="495" t="str">
        <f t="shared" si="59"/>
        <v/>
      </c>
      <c r="BC497" s="495" t="str">
        <f t="shared" si="60"/>
        <v/>
      </c>
      <c r="BD497" s="513" t="str">
        <f>IF(AND(L497="",H497=""),"",
IF(H497="",Pole_Calc!A$9,
IF(H497="MP",Pole_Calc!A$10,
IF(H497="AnMP",Pole_Calc!A$11,
IF(H497="A",Pole_Calc!A$12,
IF(H497="S/A",Pole_Calc!A$13,
IF(H497="A/S",Pole_Calc!A$14,"Poner a mano")))))))</f>
        <v/>
      </c>
      <c r="BE497" s="429" t="s">
        <v>118</v>
      </c>
      <c r="BF497" s="290"/>
      <c r="BG497" s="290"/>
      <c r="BH497" s="290"/>
      <c r="BI497" s="290"/>
    </row>
    <row r="498" spans="1:61" ht="15.75" customHeight="1">
      <c r="A498" s="514" t="s">
        <v>1194</v>
      </c>
      <c r="B498" s="450" t="s">
        <v>1195</v>
      </c>
      <c r="C498" s="3">
        <f>+$C$496+$G$497</f>
        <v>41878.040000000015</v>
      </c>
      <c r="D498" s="83"/>
      <c r="E498" s="4"/>
      <c r="F498" s="4">
        <v>0</v>
      </c>
      <c r="G498" s="6"/>
      <c r="H498" s="449" t="s">
        <v>131</v>
      </c>
      <c r="I498" s="4" t="s">
        <v>132</v>
      </c>
      <c r="J498" s="3"/>
      <c r="K498" s="449"/>
      <c r="L498" s="449" t="s">
        <v>183</v>
      </c>
      <c r="M498" s="449" t="str">
        <f>IF(L498="","",
IF(AX498="PT",VLOOKUP(L498,Foundation_Calc!$V$79:$X$113,VLOOKUP(AX498,Foundation_Calc!$I$10:$J$13,2,FALSE),0),
IF(AX498="K",VLOOKUP(L498,Foundation_Calc!$V$117:$X$151,VLOOKUP(AX498,Foundation_Calc!$I$10:$J$13,2,FALSE),0),"")))</f>
        <v>2C3R</v>
      </c>
      <c r="N498" s="449" t="s">
        <v>133</v>
      </c>
      <c r="O498" s="449" t="s">
        <v>124</v>
      </c>
      <c r="P498" s="449"/>
      <c r="Q498" s="4"/>
      <c r="R498" s="6"/>
      <c r="S498" s="6"/>
      <c r="T498" s="4">
        <v>15</v>
      </c>
      <c r="U498" s="4">
        <v>-30</v>
      </c>
      <c r="V498" s="4"/>
      <c r="W498" s="9">
        <v>1.4</v>
      </c>
      <c r="X498" s="9">
        <v>2.2999999999999998</v>
      </c>
      <c r="Y498" s="9"/>
      <c r="Z498" s="9">
        <v>0.5</v>
      </c>
      <c r="AA498" s="9"/>
      <c r="AB498" s="9"/>
      <c r="AC498" s="449"/>
      <c r="AD498" s="449"/>
      <c r="AE498" s="449"/>
      <c r="AF498" s="4"/>
      <c r="AG498" s="83"/>
      <c r="AH498" s="4"/>
      <c r="AI498" s="4"/>
      <c r="AJ498" s="449" t="s">
        <v>233</v>
      </c>
      <c r="AK498" s="449"/>
      <c r="AL498" s="449"/>
      <c r="AM498" s="449" t="s">
        <v>126</v>
      </c>
      <c r="AN498" s="10">
        <v>5.5</v>
      </c>
      <c r="AO498" s="9"/>
      <c r="AP498" s="9"/>
      <c r="AQ498" s="9"/>
      <c r="AR498" s="9"/>
      <c r="AS498" s="9"/>
      <c r="AT498" s="9">
        <f>+ab($U$498,$T$496,$U$500,$G$497,$G$499, 1*$F$498,1200)</f>
        <v>-11.940100794079054</v>
      </c>
      <c r="AU498" s="428"/>
      <c r="AV498" s="428"/>
      <c r="AW498" s="449" t="str">
        <f>IF(C498&gt;0,VLOOKUP(C498,Foundation_Calc!$A$2:$C$13,3,1),
IF(J498&gt;0,VLOOKUP(J498,Foundation_Calc!$A$2:$C$13,3,1),""))</f>
        <v>Multi Soil</v>
      </c>
      <c r="AX498" s="449" t="str">
        <f>IF(C498&gt;0,VLOOKUP(C498,Foundation_Calc!$E$35:$G$65,3,1),
IF(J498&gt;0,VLOOKUP(J498,Foundation_Calc!$E$35:$G$65,3,1),""))</f>
        <v>PT</v>
      </c>
      <c r="AY498" s="10">
        <f>IF(L498="","",
IF(AX498="PT",VLOOKUP(L498,Foundation_Calc!$K$79:$R$113,VLOOKUP(AW498,Foundation_Calc!$I$2:$J$8,2,FALSE),0),
IF(AX498="K",VLOOKUP(L498,Foundation_Calc!$K$117:$R$151,VLOOKUP(AW498,Foundation_Calc!$I$2:$J$8,2,FALSE),0),"")))</f>
        <v>3.7</v>
      </c>
      <c r="AZ498" s="10" t="str">
        <f>IF(K498="","",
IF(AX498="PT",VLOOKUP(K498,Foundation_Calc!$K$79:$R$113,VLOOKUP(AW498,Foundation_Calc!$I$2:$J$8,2,FALSE),0),
IF(AX498="K",VLOOKUP(K498,Foundation_Calc!$K$117:$R$151,VLOOKUP(AW498,Foundation_Calc!$I$2:$J$8,2,FALSE),0),"")))</f>
        <v/>
      </c>
      <c r="BA498" s="495" t="str">
        <f t="shared" si="58"/>
        <v>ü</v>
      </c>
      <c r="BB498" s="495" t="str">
        <f t="shared" si="59"/>
        <v/>
      </c>
      <c r="BC498" s="495" t="str">
        <f t="shared" si="60"/>
        <v/>
      </c>
      <c r="BD498" s="513" t="str">
        <f>IF(AND(L498="",H498=""),"",
IF(H498="",Pole_Calc!A$9,
IF(H498="MP",Pole_Calc!A$10,
IF(H498="AnMP",Pole_Calc!A$11,
IF(H498="A",Pole_Calc!A$12,
IF(H498="S/A",Pole_Calc!A$13,
IF(H498="A/S",Pole_Calc!A$14,"Poner a mano")))))))</f>
        <v>App.7-V11I-P9.5.1.5</v>
      </c>
      <c r="BE498" s="429" t="s">
        <v>118</v>
      </c>
      <c r="BF498" s="289"/>
      <c r="BG498" s="289"/>
      <c r="BH498" s="290"/>
      <c r="BI498" s="289"/>
    </row>
    <row r="499" spans="1:61" ht="15.75" customHeight="1">
      <c r="A499" s="518"/>
      <c r="B499" s="450"/>
      <c r="C499" s="3"/>
      <c r="D499" s="83"/>
      <c r="E499" s="4"/>
      <c r="F499" s="4"/>
      <c r="G499" s="6">
        <v>51</v>
      </c>
      <c r="H499" s="449"/>
      <c r="I499" s="4" t="s">
        <v>549</v>
      </c>
      <c r="J499" s="3"/>
      <c r="K499" s="449"/>
      <c r="L499" s="449"/>
      <c r="M499" s="449" t="str">
        <f>IF(L499="","",
IF(AX499="PT",VLOOKUP(L499,Foundation_Calc!$V$79:$X$113,VLOOKUP(AX499,Foundation_Calc!$I$10:$J$13,2,FALSE),0),
IF(AX499="K",VLOOKUP(L499,Foundation_Calc!$V$117:$X$151,VLOOKUP(AX499,Foundation_Calc!$I$10:$J$13,2,FALSE),0),"")))</f>
        <v/>
      </c>
      <c r="N499" s="449"/>
      <c r="O499" s="449"/>
      <c r="P499" s="449"/>
      <c r="Q499" s="4"/>
      <c r="R499" s="6"/>
      <c r="S499" s="6"/>
      <c r="T499" s="4"/>
      <c r="U499" s="4"/>
      <c r="V499" s="4"/>
      <c r="W499" s="9"/>
      <c r="X499" s="9"/>
      <c r="Y499" s="9"/>
      <c r="Z499" s="9"/>
      <c r="AA499" s="9"/>
      <c r="AB499" s="9"/>
      <c r="AC499" s="449" t="str">
        <f t="shared" si="57"/>
        <v/>
      </c>
      <c r="AD499" s="449"/>
      <c r="AE499" s="449"/>
      <c r="AF499" s="4"/>
      <c r="AG499" s="83"/>
      <c r="AH499" s="4"/>
      <c r="AI499" s="4"/>
      <c r="AJ499" s="449"/>
      <c r="AK499" s="449"/>
      <c r="AL499" s="449"/>
      <c r="AM499" s="449"/>
      <c r="AN499" s="10"/>
      <c r="AO499" s="9"/>
      <c r="AP499" s="9"/>
      <c r="AQ499" s="9">
        <f>+FL_1($T$500,$U$498,$G$499,1200,9.28, 1*$F$500)</f>
        <v>0.34091812447058822</v>
      </c>
      <c r="AR499" s="9"/>
      <c r="AS499" s="9"/>
      <c r="AT499" s="9"/>
      <c r="AU499" s="428"/>
      <c r="AV499" s="428"/>
      <c r="AW499" s="449" t="str">
        <f>IF(C499&gt;0,VLOOKUP(C499,Foundation_Calc!$A$2:$C$13,3,1),
IF(J499&gt;0,VLOOKUP(J499,Foundation_Calc!$A$2:$C$13,3,1),""))</f>
        <v/>
      </c>
      <c r="AX499" s="449" t="str">
        <f>IF(C499&gt;0,VLOOKUP(C499,Foundation_Calc!$E$35:$G$65,3,1),
IF(J499&gt;0,VLOOKUP(J499,Foundation_Calc!$E$35:$G$65,3,1),""))</f>
        <v/>
      </c>
      <c r="AY499" s="10" t="str">
        <f>IF(L499="","",
IF(AX499="PT",VLOOKUP(L499,Foundation_Calc!$K$79:$R$113,VLOOKUP(AW499,Foundation_Calc!$I$2:$J$8,2,FALSE),0),
IF(AX499="K",VLOOKUP(L499,Foundation_Calc!$K$117:$R$151,VLOOKUP(AW499,Foundation_Calc!$I$2:$J$8,2,FALSE),0),"")))</f>
        <v/>
      </c>
      <c r="AZ499" s="10" t="str">
        <f>IF(K499="","",
IF(AX499="PT",VLOOKUP(K499,Foundation_Calc!$K$79:$R$113,VLOOKUP(AW499,Foundation_Calc!$I$2:$J$8,2,FALSE),0),
IF(AX499="K",VLOOKUP(K499,Foundation_Calc!$K$117:$R$151,VLOOKUP(AW499,Foundation_Calc!$I$2:$J$8,2,FALSE),0),"")))</f>
        <v/>
      </c>
      <c r="BA499" s="495" t="str">
        <f t="shared" si="58"/>
        <v/>
      </c>
      <c r="BB499" s="495" t="str">
        <f t="shared" si="59"/>
        <v/>
      </c>
      <c r="BC499" s="495" t="str">
        <f t="shared" si="60"/>
        <v/>
      </c>
      <c r="BD499" s="513" t="str">
        <f>IF(AND(L499="",H499=""),"",
IF(H499="",Pole_Calc!A$9,
IF(H499="MP",Pole_Calc!A$10,
IF(H499="AnMP",Pole_Calc!A$11,
IF(H499="A",Pole_Calc!A$12,
IF(H499="S/A",Pole_Calc!A$13,
IF(H499="A/S",Pole_Calc!A$14,"Poner a mano")))))))</f>
        <v/>
      </c>
      <c r="BE499" s="429" t="s">
        <v>118</v>
      </c>
      <c r="BF499" s="290"/>
      <c r="BG499" s="290"/>
      <c r="BH499" s="290"/>
      <c r="BI499" s="290"/>
    </row>
    <row r="500" spans="1:61" ht="15.75" customHeight="1">
      <c r="A500" s="514"/>
      <c r="B500" s="450" t="s">
        <v>1196</v>
      </c>
      <c r="C500" s="3">
        <f>+$C$498+$G$499</f>
        <v>41929.040000000015</v>
      </c>
      <c r="D500" s="83"/>
      <c r="E500" s="4"/>
      <c r="F500" s="4">
        <v>0</v>
      </c>
      <c r="G500" s="6"/>
      <c r="H500" s="449" t="s">
        <v>131</v>
      </c>
      <c r="I500" s="4"/>
      <c r="J500" s="3"/>
      <c r="K500" s="449"/>
      <c r="L500" s="449" t="s">
        <v>183</v>
      </c>
      <c r="M500" s="449" t="str">
        <f>IF(L500="","",
IF(AX500="PT",VLOOKUP(L500,Foundation_Calc!$V$79:$X$113,VLOOKUP(AX500,Foundation_Calc!$I$10:$J$13,2,FALSE),0),
IF(AX500="K",VLOOKUP(L500,Foundation_Calc!$V$117:$X$151,VLOOKUP(AX500,Foundation_Calc!$I$10:$J$13,2,FALSE),0),"")))</f>
        <v>2C3R</v>
      </c>
      <c r="N500" s="449" t="s">
        <v>134</v>
      </c>
      <c r="O500" s="449" t="s">
        <v>133</v>
      </c>
      <c r="P500" s="449"/>
      <c r="Q500" s="4"/>
      <c r="R500" s="6"/>
      <c r="S500" s="6"/>
      <c r="T500" s="4">
        <v>30</v>
      </c>
      <c r="U500" s="4">
        <v>-15</v>
      </c>
      <c r="V500" s="4"/>
      <c r="W500" s="9">
        <v>1.4</v>
      </c>
      <c r="X500" s="9">
        <v>2.2999999999999998</v>
      </c>
      <c r="Y500" s="9"/>
      <c r="Z500" s="9"/>
      <c r="AA500" s="9">
        <v>0.5</v>
      </c>
      <c r="AB500" s="9"/>
      <c r="AC500" s="449" t="str">
        <f t="shared" si="57"/>
        <v>PH</v>
      </c>
      <c r="AD500" s="449"/>
      <c r="AE500" s="449"/>
      <c r="AF500" s="4"/>
      <c r="AG500" s="83"/>
      <c r="AH500" s="4"/>
      <c r="AI500" s="4"/>
      <c r="AJ500" s="449"/>
      <c r="AK500" s="449"/>
      <c r="AL500" s="449"/>
      <c r="AM500" s="449" t="s">
        <v>126</v>
      </c>
      <c r="AN500" s="10">
        <v>5.5</v>
      </c>
      <c r="AO500" s="9"/>
      <c r="AP500" s="9"/>
      <c r="AQ500" s="9"/>
      <c r="AR500" s="9"/>
      <c r="AS500" s="9"/>
      <c r="AT500" s="9">
        <f>+ab($T$500,$T$498,$T$502,$G$499,$G$501, 1*$F$500,1200)</f>
        <v>12.052155955581707</v>
      </c>
      <c r="AU500" s="428"/>
      <c r="AV500" s="428"/>
      <c r="AW500" s="449" t="str">
        <f>IF(C500&gt;0,VLOOKUP(C500,Foundation_Calc!$A$2:$C$13,3,1),
IF(J500&gt;0,VLOOKUP(J500,Foundation_Calc!$A$2:$C$13,3,1),""))</f>
        <v>Multi Soil</v>
      </c>
      <c r="AX500" s="449" t="str">
        <f>IF(C500&gt;0,VLOOKUP(C500,Foundation_Calc!$E$35:$G$65,3,1),
IF(J500&gt;0,VLOOKUP(J500,Foundation_Calc!$E$35:$G$65,3,1),""))</f>
        <v>PT</v>
      </c>
      <c r="AY500" s="10">
        <f>IF(L500="","",
IF(AX500="PT",VLOOKUP(L500,Foundation_Calc!$K$79:$R$113,VLOOKUP(AW500,Foundation_Calc!$I$2:$J$8,2,FALSE),0),
IF(AX500="K",VLOOKUP(L500,Foundation_Calc!$K$117:$R$151,VLOOKUP(AW500,Foundation_Calc!$I$2:$J$8,2,FALSE),0),"")))</f>
        <v>3.7</v>
      </c>
      <c r="AZ500" s="10" t="str">
        <f>IF(K500="","",
IF(AX500="PT",VLOOKUP(K500,Foundation_Calc!$K$79:$R$113,VLOOKUP(AW500,Foundation_Calc!$I$2:$J$8,2,FALSE),0),
IF(AX500="K",VLOOKUP(K500,Foundation_Calc!$K$117:$R$151,VLOOKUP(AW500,Foundation_Calc!$I$2:$J$8,2,FALSE),0),"")))</f>
        <v/>
      </c>
      <c r="BA500" s="495" t="str">
        <f t="shared" si="58"/>
        <v>ü</v>
      </c>
      <c r="BB500" s="495" t="str">
        <f t="shared" si="59"/>
        <v/>
      </c>
      <c r="BC500" s="495" t="str">
        <f t="shared" si="60"/>
        <v/>
      </c>
      <c r="BD500" s="513" t="str">
        <f>IF(AND(L500="",H500=""),"",
IF(H500="",Pole_Calc!A$9,
IF(H500="MP",Pole_Calc!A$10,
IF(H500="AnMP",Pole_Calc!A$11,
IF(H500="A",Pole_Calc!A$12,
IF(H500="S/A",Pole_Calc!A$13,
IF(H500="A/S",Pole_Calc!A$14,"Poner a mano")))))))</f>
        <v>App.7-V11I-P9.5.1.5</v>
      </c>
      <c r="BE500" s="429" t="s">
        <v>118</v>
      </c>
      <c r="BF500" s="289"/>
      <c r="BG500" s="289"/>
      <c r="BH500" s="290"/>
      <c r="BI500" s="289"/>
    </row>
    <row r="501" spans="1:61" ht="15.75" customHeight="1">
      <c r="A501" s="514"/>
      <c r="B501" s="450"/>
      <c r="C501" s="3"/>
      <c r="D501" s="83"/>
      <c r="E501" s="4"/>
      <c r="F501" s="4"/>
      <c r="G501" s="6">
        <v>51</v>
      </c>
      <c r="H501" s="449"/>
      <c r="I501" s="4"/>
      <c r="J501" s="3"/>
      <c r="K501" s="449"/>
      <c r="L501" s="449"/>
      <c r="M501" s="449" t="str">
        <f>IF(L501="","",
IF(AX501="PT",VLOOKUP(L501,Foundation_Calc!$V$79:$X$113,VLOOKUP(AX501,Foundation_Calc!$I$10:$J$13,2,FALSE),0),
IF(AX501="K",VLOOKUP(L501,Foundation_Calc!$V$117:$X$151,VLOOKUP(AX501,Foundation_Calc!$I$10:$J$13,2,FALSE),0),"")))</f>
        <v/>
      </c>
      <c r="N501" s="449"/>
      <c r="O501" s="449"/>
      <c r="P501" s="449"/>
      <c r="Q501" s="4"/>
      <c r="R501" s="6"/>
      <c r="S501" s="6"/>
      <c r="T501" s="4"/>
      <c r="U501" s="4"/>
      <c r="V501" s="4"/>
      <c r="W501" s="9"/>
      <c r="X501" s="9"/>
      <c r="Y501" s="9"/>
      <c r="Z501" s="9"/>
      <c r="AA501" s="9"/>
      <c r="AB501" s="9"/>
      <c r="AC501" s="449" t="str">
        <f t="shared" si="57"/>
        <v/>
      </c>
      <c r="AD501" s="449"/>
      <c r="AE501" s="449"/>
      <c r="AF501" s="4"/>
      <c r="AG501" s="83"/>
      <c r="AH501" s="4"/>
      <c r="AI501" s="4"/>
      <c r="AJ501" s="449"/>
      <c r="AK501" s="449"/>
      <c r="AL501" s="449"/>
      <c r="AM501" s="449"/>
      <c r="AN501" s="10"/>
      <c r="AO501" s="9"/>
      <c r="AP501" s="9"/>
      <c r="AQ501" s="9">
        <f>+FL_2($T$502,$T$500,$G$501,1200,9.28, 1*$F$502)</f>
        <v>-0.38145426101960783</v>
      </c>
      <c r="AR501" s="9"/>
      <c r="AS501" s="9"/>
      <c r="AT501" s="9"/>
      <c r="AU501" s="428"/>
      <c r="AV501" s="428"/>
      <c r="AW501" s="449" t="str">
        <f>IF(C501&gt;0,VLOOKUP(C501,Foundation_Calc!$A$2:$C$13,3,1),
IF(J501&gt;0,VLOOKUP(J501,Foundation_Calc!$A$2:$C$13,3,1),""))</f>
        <v/>
      </c>
      <c r="AX501" s="449" t="str">
        <f>IF(C501&gt;0,VLOOKUP(C501,Foundation_Calc!$E$35:$G$65,3,1),
IF(J501&gt;0,VLOOKUP(J501,Foundation_Calc!$E$35:$G$65,3,1),""))</f>
        <v/>
      </c>
      <c r="AY501" s="10" t="str">
        <f>IF(L501="","",
IF(AX501="PT",VLOOKUP(L501,Foundation_Calc!$K$79:$R$113,VLOOKUP(AW501,Foundation_Calc!$I$2:$J$8,2,FALSE),0),
IF(AX501="K",VLOOKUP(L501,Foundation_Calc!$K$117:$R$151,VLOOKUP(AW501,Foundation_Calc!$I$2:$J$8,2,FALSE),0),"")))</f>
        <v/>
      </c>
      <c r="AZ501" s="10" t="str">
        <f>IF(K501="","",
IF(AX501="PT",VLOOKUP(K501,Foundation_Calc!$K$79:$R$113,VLOOKUP(AW501,Foundation_Calc!$I$2:$J$8,2,FALSE),0),
IF(AX501="K",VLOOKUP(K501,Foundation_Calc!$K$117:$R$151,VLOOKUP(AW501,Foundation_Calc!$I$2:$J$8,2,FALSE),0),"")))</f>
        <v/>
      </c>
      <c r="BA501" s="495" t="str">
        <f t="shared" si="58"/>
        <v/>
      </c>
      <c r="BB501" s="495" t="str">
        <f t="shared" si="59"/>
        <v/>
      </c>
      <c r="BC501" s="495" t="str">
        <f t="shared" si="60"/>
        <v/>
      </c>
      <c r="BD501" s="513" t="str">
        <f>IF(AND(L501="",H501=""),"",
IF(H501="",Pole_Calc!A$9,
IF(H501="MP",Pole_Calc!A$10,
IF(H501="AnMP",Pole_Calc!A$11,
IF(H501="A",Pole_Calc!A$12,
IF(H501="S/A",Pole_Calc!A$13,
IF(H501="A/S",Pole_Calc!A$14,"Poner a mano")))))))</f>
        <v/>
      </c>
      <c r="BE501" s="429" t="s">
        <v>118</v>
      </c>
      <c r="BF501" s="290"/>
      <c r="BG501" s="290"/>
      <c r="BH501" s="290"/>
      <c r="BI501" s="290"/>
    </row>
    <row r="502" spans="1:61" ht="15.75" customHeight="1">
      <c r="A502" s="514"/>
      <c r="B502" s="450" t="s">
        <v>1197</v>
      </c>
      <c r="C502" s="3">
        <f>+$C$500+$G$501+0.04</f>
        <v>41980.080000000016</v>
      </c>
      <c r="D502" s="83"/>
      <c r="E502" s="4"/>
      <c r="F502" s="4">
        <v>0</v>
      </c>
      <c r="G502" s="6"/>
      <c r="H502" s="449" t="s">
        <v>121</v>
      </c>
      <c r="I502" s="4" t="s">
        <v>122</v>
      </c>
      <c r="J502" s="3"/>
      <c r="K502" s="449"/>
      <c r="L502" s="449" t="s">
        <v>151</v>
      </c>
      <c r="M502" s="449" t="str">
        <f>IF(L502="","",
IF(AX502="PT",VLOOKUP(L502,Foundation_Calc!$V$79:$X$113,VLOOKUP(AX502,Foundation_Calc!$I$10:$J$13,2,FALSE),0),
IF(AX502="K",VLOOKUP(L502,Foundation_Calc!$V$117:$X$151,VLOOKUP(AX502,Foundation_Calc!$I$10:$J$13,2,FALSE),0),"")))</f>
        <v>C4R</v>
      </c>
      <c r="N502" s="449" t="s">
        <v>124</v>
      </c>
      <c r="O502" s="449"/>
      <c r="P502" s="449"/>
      <c r="Q502" s="4"/>
      <c r="R502" s="6"/>
      <c r="S502" s="6"/>
      <c r="T502" s="4">
        <v>-35</v>
      </c>
      <c r="U502" s="4"/>
      <c r="V502" s="4"/>
      <c r="W502" s="9">
        <v>1.4</v>
      </c>
      <c r="X502" s="9"/>
      <c r="Y502" s="9"/>
      <c r="Z502" s="9"/>
      <c r="AA502" s="9"/>
      <c r="AB502" s="9"/>
      <c r="AC502" s="449" t="str">
        <f t="shared" si="57"/>
        <v>PHQ</v>
      </c>
      <c r="AD502" s="449"/>
      <c r="AE502" s="449"/>
      <c r="AF502" s="4"/>
      <c r="AG502" s="83"/>
      <c r="AH502" s="4"/>
      <c r="AI502" s="4"/>
      <c r="AJ502" s="449"/>
      <c r="AK502" s="449"/>
      <c r="AL502" s="449"/>
      <c r="AM502" s="449" t="s">
        <v>126</v>
      </c>
      <c r="AN502" s="10">
        <v>5.5</v>
      </c>
      <c r="AO502" s="9"/>
      <c r="AP502" s="9"/>
      <c r="AQ502" s="9"/>
      <c r="AR502" s="9"/>
      <c r="AS502" s="9"/>
      <c r="AT502" s="9">
        <f>+ab($T$502,$T$500,$T$504,$G$501,$G$503, 1*$F$502,1200)</f>
        <v>-7.4904139234641178</v>
      </c>
      <c r="AU502" s="428"/>
      <c r="AV502" s="428"/>
      <c r="AW502" s="449" t="str">
        <f>IF(C502&gt;0,VLOOKUP(C502,Foundation_Calc!$A$2:$C$13,3,1),
IF(J502&gt;0,VLOOKUP(J502,Foundation_Calc!$A$2:$C$13,3,1),""))</f>
        <v>Multi Soil</v>
      </c>
      <c r="AX502" s="449" t="str">
        <f>IF(C502&gt;0,VLOOKUP(C502,Foundation_Calc!$E$35:$G$65,3,1),
IF(J502&gt;0,VLOOKUP(J502,Foundation_Calc!$E$35:$G$65,3,1),""))</f>
        <v>PT</v>
      </c>
      <c r="AY502" s="10">
        <f>IF(L502="","",
IF(AX502="PT",VLOOKUP(L502,Foundation_Calc!$K$79:$R$113,VLOOKUP(AW502,Foundation_Calc!$I$2:$J$8,2,FALSE),0),
IF(AX502="K",VLOOKUP(L502,Foundation_Calc!$K$117:$R$151,VLOOKUP(AW502,Foundation_Calc!$I$2:$J$8,2,FALSE),0),"")))</f>
        <v>3.5</v>
      </c>
      <c r="AZ502" s="10" t="str">
        <f>IF(K502="","",
IF(AX502="PT",VLOOKUP(K502,Foundation_Calc!$K$79:$R$113,VLOOKUP(AW502,Foundation_Calc!$I$2:$J$8,2,FALSE),0),
IF(AX502="K",VLOOKUP(K502,Foundation_Calc!$K$117:$R$151,VLOOKUP(AW502,Foundation_Calc!$I$2:$J$8,2,FALSE),0),"")))</f>
        <v/>
      </c>
      <c r="BA502" s="495" t="str">
        <f t="shared" si="58"/>
        <v>ü</v>
      </c>
      <c r="BB502" s="495" t="str">
        <f t="shared" si="59"/>
        <v/>
      </c>
      <c r="BC502" s="495" t="str">
        <f t="shared" si="60"/>
        <v/>
      </c>
      <c r="BD502" s="513" t="str">
        <f>IF(AND(L502="",H502=""),"",
IF(H502="",Pole_Calc!A$9,
IF(H502="MP",Pole_Calc!A$10,
IF(H502="AnMP",Pole_Calc!A$11,
IF(H502="A",Pole_Calc!A$12,
IF(H502="S/A",Pole_Calc!A$13,
IF(H502="A/S",Pole_Calc!A$14,"Poner a mano")))))))</f>
        <v>App.7-V11I-P9.5.1.6</v>
      </c>
      <c r="BE502" s="429" t="s">
        <v>118</v>
      </c>
      <c r="BF502" s="289"/>
      <c r="BG502" s="289"/>
      <c r="BH502" s="290"/>
      <c r="BI502" s="289"/>
    </row>
    <row r="503" spans="1:61" ht="15.75" customHeight="1">
      <c r="A503" s="514"/>
      <c r="B503" s="450"/>
      <c r="C503" s="3"/>
      <c r="D503" s="83"/>
      <c r="E503" s="4"/>
      <c r="F503" s="4"/>
      <c r="G503" s="6">
        <v>55</v>
      </c>
      <c r="H503" s="449"/>
      <c r="I503" s="4"/>
      <c r="J503" s="3">
        <f>C502+7.5</f>
        <v>41987.580000000016</v>
      </c>
      <c r="K503" s="449" t="s">
        <v>117</v>
      </c>
      <c r="L503" s="449"/>
      <c r="M503" s="449" t="str">
        <f>IF(L503="","",
IF(AX503="PT",VLOOKUP(L503,Foundation_Calc!$V$79:$X$113,VLOOKUP(AX503,Foundation_Calc!$I$10:$J$13,2,FALSE),0),
IF(AX503="K",VLOOKUP(L503,Foundation_Calc!$V$117:$X$151,VLOOKUP(AX503,Foundation_Calc!$I$10:$J$13,2,FALSE),0),"")))</f>
        <v/>
      </c>
      <c r="N503" s="449"/>
      <c r="O503" s="449"/>
      <c r="P503" s="449"/>
      <c r="Q503" s="4"/>
      <c r="R503" s="6"/>
      <c r="S503" s="6"/>
      <c r="T503" s="4"/>
      <c r="U503" s="4"/>
      <c r="V503" s="4"/>
      <c r="W503" s="9"/>
      <c r="X503" s="9"/>
      <c r="Y503" s="9"/>
      <c r="Z503" s="9"/>
      <c r="AA503" s="9"/>
      <c r="AB503" s="9"/>
      <c r="AC503" s="449" t="str">
        <f t="shared" si="57"/>
        <v/>
      </c>
      <c r="AD503" s="449"/>
      <c r="AE503" s="449"/>
      <c r="AF503" s="4"/>
      <c r="AG503" s="83"/>
      <c r="AH503" s="4"/>
      <c r="AI503" s="4"/>
      <c r="AJ503" s="449"/>
      <c r="AK503" s="449"/>
      <c r="AL503" s="449"/>
      <c r="AM503" s="449"/>
      <c r="AN503" s="10"/>
      <c r="AO503" s="9"/>
      <c r="AP503" s="9"/>
      <c r="AQ503" s="9">
        <f>+FL_2($T$504,$T$502,$G$503,1200,9.28, 1*$F$504)</f>
        <v>-0.39714735709090898</v>
      </c>
      <c r="AR503" s="9"/>
      <c r="AS503" s="9"/>
      <c r="AT503" s="9"/>
      <c r="AU503" s="428"/>
      <c r="AV503" s="428"/>
      <c r="AW503" s="449" t="str">
        <f>IF(C503&gt;0,VLOOKUP(C503,Foundation_Calc!$A$2:$C$13,3,1),
IF(J503&gt;0,VLOOKUP(J503,Foundation_Calc!$A$2:$C$13,3,1),""))</f>
        <v>Multi Soil</v>
      </c>
      <c r="AX503" s="449" t="str">
        <f>IF(C503&gt;0,VLOOKUP(C503,Foundation_Calc!$E$35:$G$65,3,1),
IF(J503&gt;0,VLOOKUP(J503,Foundation_Calc!$E$35:$G$65,3,1),""))</f>
        <v>PT</v>
      </c>
      <c r="AY503" s="10" t="str">
        <f>IF(L503="","",
IF(AX503="PT",VLOOKUP(L503,Foundation_Calc!$K$79:$R$113,VLOOKUP(AW503,Foundation_Calc!$I$2:$J$8,2,FALSE),0),
IF(AX503="K",VLOOKUP(L503,Foundation_Calc!$K$117:$R$151,VLOOKUP(AW503,Foundation_Calc!$I$2:$J$8,2,FALSE),0),"")))</f>
        <v/>
      </c>
      <c r="AZ503" s="10">
        <f>IF(K503="","",
IF(AX503="PT",VLOOKUP(K503,Foundation_Calc!$K$79:$R$113,VLOOKUP(AW503,Foundation_Calc!$I$2:$J$8,2,FALSE),0),
IF(AX503="K",VLOOKUP(K503,Foundation_Calc!$K$117:$R$151,VLOOKUP(AW503,Foundation_Calc!$I$2:$J$8,2,FALSE),0),"")))</f>
        <v>3.9</v>
      </c>
      <c r="BA503" s="495" t="str">
        <f t="shared" si="58"/>
        <v/>
      </c>
      <c r="BB503" s="495" t="str">
        <f t="shared" si="59"/>
        <v>ü</v>
      </c>
      <c r="BC503" s="495" t="str">
        <f t="shared" si="60"/>
        <v/>
      </c>
      <c r="BD503" s="513" t="str">
        <f>IF(AND(L503="",H503=""),"",
IF(H503="",Pole_Calc!A$9,
IF(H503="MP",Pole_Calc!A$10,
IF(H503="AnMP",Pole_Calc!A$11,
IF(H503="A",Pole_Calc!A$12,
IF(H503="S/A",Pole_Calc!A$13,
IF(H503="A/S",Pole_Calc!A$14,"Poner a mano")))))))</f>
        <v/>
      </c>
      <c r="BE503" s="429" t="s">
        <v>118</v>
      </c>
      <c r="BF503" s="290"/>
      <c r="BG503" s="290"/>
      <c r="BH503" s="290"/>
      <c r="BI503" s="290"/>
    </row>
    <row r="504" spans="1:61" ht="15.75" customHeight="1">
      <c r="A504" s="514"/>
      <c r="B504" s="450" t="s">
        <v>1198</v>
      </c>
      <c r="C504" s="3">
        <f>+$C$502+$G$503</f>
        <v>42035.080000000016</v>
      </c>
      <c r="D504" s="83"/>
      <c r="E504" s="4"/>
      <c r="F504" s="4">
        <v>0</v>
      </c>
      <c r="G504" s="6"/>
      <c r="H504" s="449"/>
      <c r="I504" s="4"/>
      <c r="J504" s="3"/>
      <c r="K504" s="449"/>
      <c r="L504" s="449" t="s">
        <v>153</v>
      </c>
      <c r="M504" s="449" t="s">
        <v>417</v>
      </c>
      <c r="N504" s="449" t="s">
        <v>134</v>
      </c>
      <c r="O504" s="449"/>
      <c r="P504" s="449"/>
      <c r="Q504" s="4"/>
      <c r="R504" s="6"/>
      <c r="S504" s="6"/>
      <c r="T504" s="4">
        <v>35</v>
      </c>
      <c r="U504" s="4"/>
      <c r="V504" s="4"/>
      <c r="W504" s="9">
        <v>1.4</v>
      </c>
      <c r="X504" s="9"/>
      <c r="Y504" s="9"/>
      <c r="Z504" s="9"/>
      <c r="AA504" s="9"/>
      <c r="AB504" s="9"/>
      <c r="AC504" s="449" t="str">
        <f t="shared" si="57"/>
        <v>PHQ</v>
      </c>
      <c r="AD504" s="449"/>
      <c r="AE504" s="449"/>
      <c r="AF504" s="4"/>
      <c r="AG504" s="83"/>
      <c r="AH504" s="4"/>
      <c r="AI504" s="4"/>
      <c r="AJ504" s="449"/>
      <c r="AK504" s="449"/>
      <c r="AL504" s="449"/>
      <c r="AM504" s="449" t="s">
        <v>126</v>
      </c>
      <c r="AN504" s="10">
        <v>5.5</v>
      </c>
      <c r="AO504" s="9"/>
      <c r="AP504" s="9"/>
      <c r="AQ504" s="9"/>
      <c r="AR504" s="9"/>
      <c r="AS504" s="9"/>
      <c r="AT504" s="9">
        <f>+ab($T$504,$T$502,$T$506,$G$503,$G$505, 1*$F$504,1200)</f>
        <v>7.1424146886693025</v>
      </c>
      <c r="AU504" s="428"/>
      <c r="AV504" s="428"/>
      <c r="AW504" s="449" t="str">
        <f>IF(C504&gt;0,VLOOKUP(C504,Foundation_Calc!$A$2:$C$13,3,1),
IF(J504&gt;0,VLOOKUP(J504,Foundation_Calc!$A$2:$C$13,3,1),""))</f>
        <v>Multi Soil</v>
      </c>
      <c r="AX504" s="449" t="str">
        <f>IF(C504&gt;0,VLOOKUP(C504,Foundation_Calc!$E$35:$G$65,3,1),
IF(J504&gt;0,VLOOKUP(J504,Foundation_Calc!$E$35:$G$65,3,1),""))</f>
        <v>PT</v>
      </c>
      <c r="AY504" s="10">
        <f>IF(L504="","",
IF(AX504="PT",VLOOKUP(L504,Foundation_Calc!$K$79:$R$113,VLOOKUP(AW504,Foundation_Calc!$I$2:$J$8,2,FALSE),0),
IF(AX504="K",VLOOKUP(L504,Foundation_Calc!$K$117:$R$151,VLOOKUP(AW504,Foundation_Calc!$I$2:$J$8,2,FALSE),0),"")))</f>
        <v>3.5</v>
      </c>
      <c r="AZ504" s="10" t="str">
        <f>IF(K504="","",
IF(AX504="PT",VLOOKUP(K504,Foundation_Calc!$K$79:$R$113,VLOOKUP(AW504,Foundation_Calc!$I$2:$J$8,2,FALSE),0),
IF(AX504="K",VLOOKUP(K504,Foundation_Calc!$K$117:$R$151,VLOOKUP(AW504,Foundation_Calc!$I$2:$J$8,2,FALSE),0),"")))</f>
        <v/>
      </c>
      <c r="BA504" s="495" t="str">
        <f t="shared" si="58"/>
        <v>ü</v>
      </c>
      <c r="BB504" s="495" t="str">
        <f t="shared" si="59"/>
        <v/>
      </c>
      <c r="BC504" s="495" t="str">
        <f t="shared" si="60"/>
        <v/>
      </c>
      <c r="BD504" s="513" t="str">
        <f>IF(AND(L504="",H504=""),"",
IF(H504="",Pole_Calc!A$9,
IF(H504="MP",Pole_Calc!A$10,
IF(H504="AnMP",Pole_Calc!A$11,
IF(H504="A",Pole_Calc!A$12,
IF(H504="S/A",Pole_Calc!A$13,
IF(H504="A/S",Pole_Calc!A$14,"Poner a mano")))))))</f>
        <v>App.7-V11I-P9.5.1.1</v>
      </c>
      <c r="BE504" s="429" t="s">
        <v>118</v>
      </c>
      <c r="BF504" s="289"/>
      <c r="BG504" s="289"/>
      <c r="BH504" s="290"/>
      <c r="BI504" s="289"/>
    </row>
    <row r="505" spans="1:61" ht="15.75" customHeight="1">
      <c r="A505" s="518"/>
      <c r="B505" s="450"/>
      <c r="C505" s="3"/>
      <c r="D505" s="83"/>
      <c r="E505" s="4"/>
      <c r="F505" s="4"/>
      <c r="G505" s="6">
        <v>50</v>
      </c>
      <c r="H505" s="449"/>
      <c r="I505" s="4"/>
      <c r="J505" s="3"/>
      <c r="K505" s="449"/>
      <c r="L505" s="449"/>
      <c r="M505" s="449" t="str">
        <f>IF(L505="","",
IF(AX505="PT",VLOOKUP(L505,Foundation_Calc!$V$79:$X$113,VLOOKUP(AX505,Foundation_Calc!$I$10:$J$13,2,FALSE),0),
IF(AX505="K",VLOOKUP(L505,Foundation_Calc!$V$117:$X$151,VLOOKUP(AX505,Foundation_Calc!$I$10:$J$13,2,FALSE),0),"")))</f>
        <v/>
      </c>
      <c r="N505" s="449"/>
      <c r="O505" s="449"/>
      <c r="P505" s="449"/>
      <c r="Q505" s="4"/>
      <c r="R505" s="6"/>
      <c r="S505" s="6"/>
      <c r="T505" s="4"/>
      <c r="U505" s="4"/>
      <c r="V505" s="4"/>
      <c r="W505" s="9"/>
      <c r="X505" s="9"/>
      <c r="Y505" s="9"/>
      <c r="Z505" s="9"/>
      <c r="AA505" s="9"/>
      <c r="AB505" s="9"/>
      <c r="AC505" s="449" t="str">
        <f t="shared" si="57"/>
        <v/>
      </c>
      <c r="AD505" s="449"/>
      <c r="AE505" s="449"/>
      <c r="AF505" s="4"/>
      <c r="AG505" s="83"/>
      <c r="AH505" s="4"/>
      <c r="AI505" s="4"/>
      <c r="AJ505" s="449"/>
      <c r="AK505" s="449"/>
      <c r="AL505" s="449"/>
      <c r="AM505" s="449"/>
      <c r="AN505" s="10"/>
      <c r="AO505" s="9"/>
      <c r="AP505" s="9"/>
      <c r="AQ505" s="9">
        <f>+FL_2($T$506,$T$504,$G$505,1200,9.28, 1*$F$506)</f>
        <v>-0.36839079999999996</v>
      </c>
      <c r="AR505" s="9"/>
      <c r="AS505" s="9"/>
      <c r="AT505" s="9"/>
      <c r="AU505" s="428"/>
      <c r="AV505" s="428"/>
      <c r="AW505" s="449" t="str">
        <f>IF(C505&gt;0,VLOOKUP(C505,Foundation_Calc!$A$2:$C$13,3,1),
IF(J505&gt;0,VLOOKUP(J505,Foundation_Calc!$A$2:$C$13,3,1),""))</f>
        <v/>
      </c>
      <c r="AX505" s="449" t="str">
        <f>IF(C505&gt;0,VLOOKUP(C505,Foundation_Calc!$E$35:$G$65,3,1),
IF(J505&gt;0,VLOOKUP(J505,Foundation_Calc!$E$35:$G$65,3,1),""))</f>
        <v/>
      </c>
      <c r="AY505" s="10" t="str">
        <f>IF(L505="","",
IF(AX505="PT",VLOOKUP(L505,Foundation_Calc!$K$79:$R$113,VLOOKUP(AW505,Foundation_Calc!$I$2:$J$8,2,FALSE),0),
IF(AX505="K",VLOOKUP(L505,Foundation_Calc!$K$117:$R$151,VLOOKUP(AW505,Foundation_Calc!$I$2:$J$8,2,FALSE),0),"")))</f>
        <v/>
      </c>
      <c r="AZ505" s="10" t="str">
        <f>IF(K505="","",
IF(AX505="PT",VLOOKUP(K505,Foundation_Calc!$K$79:$R$113,VLOOKUP(AW505,Foundation_Calc!$I$2:$J$8,2,FALSE),0),
IF(AX505="K",VLOOKUP(K505,Foundation_Calc!$K$117:$R$151,VLOOKUP(AW505,Foundation_Calc!$I$2:$J$8,2,FALSE),0),"")))</f>
        <v/>
      </c>
      <c r="BA505" s="495" t="str">
        <f t="shared" si="58"/>
        <v/>
      </c>
      <c r="BB505" s="495" t="str">
        <f t="shared" si="59"/>
        <v/>
      </c>
      <c r="BC505" s="495" t="str">
        <f t="shared" si="60"/>
        <v/>
      </c>
      <c r="BD505" s="513" t="str">
        <f>IF(AND(L505="",H505=""),"",
IF(H505="",Pole_Calc!A$9,
IF(H505="MP",Pole_Calc!A$10,
IF(H505="AnMP",Pole_Calc!A$11,
IF(H505="A",Pole_Calc!A$12,
IF(H505="S/A",Pole_Calc!A$13,
IF(H505="A/S",Pole_Calc!A$14,"Poner a mano")))))))</f>
        <v/>
      </c>
      <c r="BE505" s="429" t="s">
        <v>118</v>
      </c>
      <c r="BF505" s="290"/>
      <c r="BG505" s="290"/>
      <c r="BH505" s="290"/>
      <c r="BI505" s="290"/>
    </row>
    <row r="506" spans="1:61" ht="15.75" customHeight="1">
      <c r="A506" s="514"/>
      <c r="B506" s="450" t="s">
        <v>1199</v>
      </c>
      <c r="C506" s="3">
        <f>+$C$504+$G$505</f>
        <v>42085.080000000016</v>
      </c>
      <c r="D506" s="83"/>
      <c r="E506" s="4"/>
      <c r="F506" s="4">
        <v>0</v>
      </c>
      <c r="G506" s="6"/>
      <c r="H506" s="449"/>
      <c r="I506" s="4"/>
      <c r="J506" s="3"/>
      <c r="K506" s="449"/>
      <c r="L506" s="449" t="s">
        <v>153</v>
      </c>
      <c r="M506" s="449" t="str">
        <f>IF(L506="","",
IF(AX506="PT",VLOOKUP(L506,Foundation_Calc!$V$79:$X$113,VLOOKUP(AX506,Foundation_Calc!$I$10:$J$13,2,FALSE),0),
IF(AX506="K",VLOOKUP(L506,Foundation_Calc!$V$117:$X$151,VLOOKUP(AX506,Foundation_Calc!$I$10:$J$13,2,FALSE),0),"")))</f>
        <v>C3R</v>
      </c>
      <c r="N506" s="449" t="s">
        <v>124</v>
      </c>
      <c r="O506" s="449"/>
      <c r="P506" s="449"/>
      <c r="Q506" s="4"/>
      <c r="R506" s="6"/>
      <c r="S506" s="6"/>
      <c r="T506" s="4">
        <v>-35</v>
      </c>
      <c r="U506" s="4"/>
      <c r="V506" s="4"/>
      <c r="W506" s="572">
        <v>1.2</v>
      </c>
      <c r="X506" s="9"/>
      <c r="Y506" s="9"/>
      <c r="Z506" s="9"/>
      <c r="AA506" s="9"/>
      <c r="AB506" s="9"/>
      <c r="AC506" s="449" t="str">
        <f t="shared" si="57"/>
        <v>PHQ</v>
      </c>
      <c r="AD506" s="449"/>
      <c r="AE506" s="449"/>
      <c r="AF506" s="4"/>
      <c r="AG506" s="83"/>
      <c r="AH506" s="4"/>
      <c r="AI506" s="4"/>
      <c r="AJ506" s="449"/>
      <c r="AK506" s="449"/>
      <c r="AL506" s="449"/>
      <c r="AM506" s="449" t="s">
        <v>126</v>
      </c>
      <c r="AN506" s="10">
        <v>5.5</v>
      </c>
      <c r="AO506" s="9"/>
      <c r="AP506" s="9"/>
      <c r="AQ506" s="9"/>
      <c r="AR506" s="9"/>
      <c r="AS506" s="9"/>
      <c r="AT506" s="9">
        <f>+ab($T$506,$T$504,$T$508,$G$505,$G$507, 1*$F$506,1200)</f>
        <v>-6.8209152065487553</v>
      </c>
      <c r="AU506" s="428"/>
      <c r="AV506" s="428"/>
      <c r="AW506" s="449" t="str">
        <f>IF(C506&gt;0,VLOOKUP(C506,Foundation_Calc!$A$2:$C$13,3,1),
IF(J506&gt;0,VLOOKUP(J506,Foundation_Calc!$A$2:$C$13,3,1),""))</f>
        <v>Multi Soil</v>
      </c>
      <c r="AX506" s="449" t="str">
        <f>IF(C506&gt;0,VLOOKUP(C506,Foundation_Calc!$E$35:$G$65,3,1),
IF(J506&gt;0,VLOOKUP(J506,Foundation_Calc!$E$35:$G$65,3,1),""))</f>
        <v>PT</v>
      </c>
      <c r="AY506" s="10">
        <f>IF(L506="","",
IF(AX506="PT",VLOOKUP(L506,Foundation_Calc!$K$79:$R$113,VLOOKUP(AW506,Foundation_Calc!$I$2:$J$8,2,FALSE),0),
IF(AX506="K",VLOOKUP(L506,Foundation_Calc!$K$117:$R$151,VLOOKUP(AW506,Foundation_Calc!$I$2:$J$8,2,FALSE),0),"")))</f>
        <v>3.5</v>
      </c>
      <c r="AZ506" s="10" t="str">
        <f>IF(K506="","",
IF(AX506="PT",VLOOKUP(K506,Foundation_Calc!$K$79:$R$113,VLOOKUP(AW506,Foundation_Calc!$I$2:$J$8,2,FALSE),0),
IF(AX506="K",VLOOKUP(K506,Foundation_Calc!$K$117:$R$151,VLOOKUP(AW506,Foundation_Calc!$I$2:$J$8,2,FALSE),0),"")))</f>
        <v/>
      </c>
      <c r="BA506" s="495" t="str">
        <f t="shared" si="58"/>
        <v>ü</v>
      </c>
      <c r="BB506" s="495" t="str">
        <f t="shared" si="59"/>
        <v/>
      </c>
      <c r="BC506" s="495" t="str">
        <f t="shared" si="60"/>
        <v/>
      </c>
      <c r="BD506" s="513" t="str">
        <f>IF(AND(L506="",H506=""),"",
IF(H506="",Pole_Calc!A$9,
IF(H506="MP",Pole_Calc!A$10,
IF(H506="AnMP",Pole_Calc!A$11,
IF(H506="A",Pole_Calc!A$12,
IF(H506="S/A",Pole_Calc!A$13,
IF(H506="A/S",Pole_Calc!A$14,"Poner a mano")))))))</f>
        <v>App.7-V11I-P9.5.1.1</v>
      </c>
      <c r="BE506" s="429" t="s">
        <v>118</v>
      </c>
      <c r="BF506" s="289"/>
      <c r="BG506" s="289"/>
      <c r="BH506" s="290"/>
      <c r="BI506" s="289"/>
    </row>
    <row r="507" spans="1:61" ht="15.75" customHeight="1">
      <c r="A507" s="514"/>
      <c r="B507" s="450"/>
      <c r="C507" s="3"/>
      <c r="D507" s="83"/>
      <c r="E507" s="4"/>
      <c r="F507" s="4"/>
      <c r="G507" s="6">
        <v>50</v>
      </c>
      <c r="H507" s="449"/>
      <c r="I507" s="4"/>
      <c r="J507" s="3"/>
      <c r="K507" s="449"/>
      <c r="L507" s="449"/>
      <c r="M507" s="449" t="str">
        <f>IF(L507="","",
IF(AX507="PT",VLOOKUP(L507,Foundation_Calc!$V$79:$X$113,VLOOKUP(AX507,Foundation_Calc!$I$10:$J$13,2,FALSE),0),
IF(AX507="K",VLOOKUP(L507,Foundation_Calc!$V$117:$X$151,VLOOKUP(AX507,Foundation_Calc!$I$10:$J$13,2,FALSE),0),"")))</f>
        <v/>
      </c>
      <c r="N507" s="449"/>
      <c r="O507" s="449"/>
      <c r="P507" s="449"/>
      <c r="Q507" s="4"/>
      <c r="R507" s="6"/>
      <c r="S507" s="6"/>
      <c r="T507" s="4"/>
      <c r="U507" s="4"/>
      <c r="V507" s="4"/>
      <c r="W507" s="572"/>
      <c r="X507" s="9"/>
      <c r="Y507" s="9"/>
      <c r="Z507" s="9"/>
      <c r="AA507" s="9"/>
      <c r="AB507" s="9"/>
      <c r="AC507" s="449" t="str">
        <f t="shared" si="57"/>
        <v/>
      </c>
      <c r="AD507" s="449"/>
      <c r="AE507" s="449"/>
      <c r="AF507" s="4"/>
      <c r="AG507" s="83"/>
      <c r="AH507" s="4"/>
      <c r="AI507" s="4"/>
      <c r="AJ507" s="449"/>
      <c r="AK507" s="449"/>
      <c r="AL507" s="449"/>
      <c r="AM507" s="449"/>
      <c r="AN507" s="10"/>
      <c r="AO507" s="9"/>
      <c r="AP507" s="9"/>
      <c r="AQ507" s="9">
        <f>+FL_1($T$508,$T$506,$G$507,1200,9.28, 1*$F$508)</f>
        <v>0.36839079999999996</v>
      </c>
      <c r="AR507" s="9"/>
      <c r="AS507" s="9"/>
      <c r="AT507" s="9"/>
      <c r="AU507" s="428"/>
      <c r="AV507" s="428"/>
      <c r="AW507" s="449" t="str">
        <f>IF(C507&gt;0,VLOOKUP(C507,Foundation_Calc!$A$2:$C$13,3,1),
IF(J507&gt;0,VLOOKUP(J507,Foundation_Calc!$A$2:$C$13,3,1),""))</f>
        <v/>
      </c>
      <c r="AX507" s="449" t="str">
        <f>IF(C507&gt;0,VLOOKUP(C507,Foundation_Calc!$E$35:$G$65,3,1),
IF(J507&gt;0,VLOOKUP(J507,Foundation_Calc!$E$35:$G$65,3,1),""))</f>
        <v/>
      </c>
      <c r="AY507" s="10" t="str">
        <f>IF(L507="","",
IF(AX507="PT",VLOOKUP(L507,Foundation_Calc!$K$79:$R$113,VLOOKUP(AW507,Foundation_Calc!$I$2:$J$8,2,FALSE),0),
IF(AX507="K",VLOOKUP(L507,Foundation_Calc!$K$117:$R$151,VLOOKUP(AW507,Foundation_Calc!$I$2:$J$8,2,FALSE),0),"")))</f>
        <v/>
      </c>
      <c r="AZ507" s="10" t="str">
        <f>IF(K507="","",
IF(AX507="PT",VLOOKUP(K507,Foundation_Calc!$K$79:$R$113,VLOOKUP(AW507,Foundation_Calc!$I$2:$J$8,2,FALSE),0),
IF(AX507="K",VLOOKUP(K507,Foundation_Calc!$K$117:$R$151,VLOOKUP(AW507,Foundation_Calc!$I$2:$J$8,2,FALSE),0),"")))</f>
        <v/>
      </c>
      <c r="BA507" s="495" t="str">
        <f t="shared" si="58"/>
        <v/>
      </c>
      <c r="BB507" s="495" t="str">
        <f t="shared" si="59"/>
        <v/>
      </c>
      <c r="BC507" s="495" t="str">
        <f t="shared" si="60"/>
        <v/>
      </c>
      <c r="BD507" s="513" t="str">
        <f>IF(AND(L507="",H507=""),"",
IF(H507="",Pole_Calc!A$9,
IF(H507="MP",Pole_Calc!A$10,
IF(H507="AnMP",Pole_Calc!A$11,
IF(H507="A",Pole_Calc!A$12,
IF(H507="S/A",Pole_Calc!A$13,
IF(H507="A/S",Pole_Calc!A$14,"Poner a mano")))))))</f>
        <v/>
      </c>
      <c r="BE507" s="429" t="s">
        <v>118</v>
      </c>
      <c r="BF507" s="290"/>
      <c r="BG507" s="290"/>
      <c r="BH507" s="290"/>
      <c r="BI507" s="290"/>
    </row>
    <row r="508" spans="1:61" ht="15.75" customHeight="1">
      <c r="A508" s="514"/>
      <c r="B508" s="450" t="s">
        <v>1200</v>
      </c>
      <c r="C508" s="3">
        <f>+$C$506+$G$507</f>
        <v>42135.080000000016</v>
      </c>
      <c r="D508" s="83"/>
      <c r="E508" s="4"/>
      <c r="F508" s="4">
        <v>0</v>
      </c>
      <c r="G508" s="6"/>
      <c r="H508" s="449"/>
      <c r="I508" s="4"/>
      <c r="J508" s="3"/>
      <c r="K508" s="449"/>
      <c r="L508" s="449" t="s">
        <v>153</v>
      </c>
      <c r="M508" s="449" t="str">
        <f>IF(L508="","",
IF(AX508="PT",VLOOKUP(L508,Foundation_Calc!$V$79:$X$113,VLOOKUP(AX508,Foundation_Calc!$I$10:$J$13,2,FALSE),0),
IF(AX508="K",VLOOKUP(L508,Foundation_Calc!$V$117:$X$151,VLOOKUP(AX508,Foundation_Calc!$I$10:$J$13,2,FALSE),0),"")))</f>
        <v>C3R</v>
      </c>
      <c r="N508" s="449" t="s">
        <v>134</v>
      </c>
      <c r="O508" s="449"/>
      <c r="P508" s="449"/>
      <c r="Q508" s="4"/>
      <c r="R508" s="6"/>
      <c r="S508" s="6"/>
      <c r="T508" s="4">
        <v>35</v>
      </c>
      <c r="U508" s="4"/>
      <c r="V508" s="4"/>
      <c r="W508" s="572">
        <v>1</v>
      </c>
      <c r="X508" s="9"/>
      <c r="Y508" s="9"/>
      <c r="Z508" s="9"/>
      <c r="AA508" s="9"/>
      <c r="AB508" s="9"/>
      <c r="AC508" s="449" t="str">
        <f t="shared" si="57"/>
        <v>PHQ</v>
      </c>
      <c r="AD508" s="449"/>
      <c r="AE508" s="449"/>
      <c r="AF508" s="4"/>
      <c r="AG508" s="83"/>
      <c r="AH508" s="4"/>
      <c r="AI508" s="4"/>
      <c r="AJ508" s="449"/>
      <c r="AK508" s="449"/>
      <c r="AL508" s="449"/>
      <c r="AM508" s="449" t="s">
        <v>126</v>
      </c>
      <c r="AN508" s="10">
        <v>5.5</v>
      </c>
      <c r="AO508" s="9"/>
      <c r="AP508" s="9"/>
      <c r="AQ508" s="9"/>
      <c r="AR508" s="9"/>
      <c r="AS508" s="9"/>
      <c r="AT508" s="9">
        <f>+ab($T$508,$T$506,$T$510,$G$507,$G$509, 1*$F$508,1200)</f>
        <v>7.1424146886693025</v>
      </c>
      <c r="AU508" s="428"/>
      <c r="AV508" s="428"/>
      <c r="AW508" s="449" t="str">
        <f>IF(C508&gt;0,VLOOKUP(C508,Foundation_Calc!$A$2:$C$13,3,1),
IF(J508&gt;0,VLOOKUP(J508,Foundation_Calc!$A$2:$C$13,3,1),""))</f>
        <v>Multi Soil</v>
      </c>
      <c r="AX508" s="449" t="str">
        <f>IF(C508&gt;0,VLOOKUP(C508,Foundation_Calc!$E$35:$G$65,3,1),
IF(J508&gt;0,VLOOKUP(J508,Foundation_Calc!$E$35:$G$65,3,1),""))</f>
        <v>PT</v>
      </c>
      <c r="AY508" s="10">
        <f>IF(L508="","",
IF(AX508="PT",VLOOKUP(L508,Foundation_Calc!$K$79:$R$113,VLOOKUP(AW508,Foundation_Calc!$I$2:$J$8,2,FALSE),0),
IF(AX508="K",VLOOKUP(L508,Foundation_Calc!$K$117:$R$151,VLOOKUP(AW508,Foundation_Calc!$I$2:$J$8,2,FALSE),0),"")))</f>
        <v>3.5</v>
      </c>
      <c r="AZ508" s="10" t="str">
        <f>IF(K508="","",
IF(AX508="PT",VLOOKUP(K508,Foundation_Calc!$K$79:$R$113,VLOOKUP(AW508,Foundation_Calc!$I$2:$J$8,2,FALSE),0),
IF(AX508="K",VLOOKUP(K508,Foundation_Calc!$K$117:$R$151,VLOOKUP(AW508,Foundation_Calc!$I$2:$J$8,2,FALSE),0),"")))</f>
        <v/>
      </c>
      <c r="BA508" s="495" t="str">
        <f t="shared" si="58"/>
        <v>ü</v>
      </c>
      <c r="BB508" s="495" t="str">
        <f t="shared" si="59"/>
        <v/>
      </c>
      <c r="BC508" s="495" t="str">
        <f t="shared" si="60"/>
        <v/>
      </c>
      <c r="BD508" s="513" t="str">
        <f>IF(AND(L508="",H508=""),"",
IF(H508="",Pole_Calc!A$9,
IF(H508="MP",Pole_Calc!A$10,
IF(H508="AnMP",Pole_Calc!A$11,
IF(H508="A",Pole_Calc!A$12,
IF(H508="S/A",Pole_Calc!A$13,
IF(H508="A/S",Pole_Calc!A$14,"Poner a mano")))))))</f>
        <v>App.7-V11I-P9.5.1.1</v>
      </c>
      <c r="BE508" s="429" t="s">
        <v>118</v>
      </c>
      <c r="BF508" s="289"/>
      <c r="BG508" s="289"/>
      <c r="BH508" s="290"/>
      <c r="BI508" s="289"/>
    </row>
    <row r="509" spans="1:61" ht="15.75" customHeight="1">
      <c r="A509" s="514" t="s">
        <v>193</v>
      </c>
      <c r="B509" s="450"/>
      <c r="C509" s="3"/>
      <c r="D509" s="83"/>
      <c r="E509" s="4"/>
      <c r="F509" s="4"/>
      <c r="G509" s="6">
        <v>55</v>
      </c>
      <c r="H509" s="449"/>
      <c r="I509" s="4"/>
      <c r="J509" s="3">
        <f>C510-7.5</f>
        <v>42182.580000000016</v>
      </c>
      <c r="K509" s="449" t="s">
        <v>166</v>
      </c>
      <c r="L509" s="449"/>
      <c r="M509" s="449" t="str">
        <f>IF(L509="","",
IF(AX509="PT",VLOOKUP(L509,Foundation_Calc!$V$79:$X$113,VLOOKUP(AX509,Foundation_Calc!$I$10:$J$13,2,FALSE),0),
IF(AX509="K",VLOOKUP(L509,Foundation_Calc!$V$117:$X$151,VLOOKUP(AX509,Foundation_Calc!$I$10:$J$13,2,FALSE),0),"")))</f>
        <v/>
      </c>
      <c r="N509" s="449"/>
      <c r="O509" s="561"/>
      <c r="P509" s="449"/>
      <c r="Q509" s="4"/>
      <c r="R509" s="6"/>
      <c r="S509" s="6"/>
      <c r="T509" s="4"/>
      <c r="U509" s="4"/>
      <c r="V509" s="4"/>
      <c r="W509" s="572"/>
      <c r="X509" s="9"/>
      <c r="Y509" s="9"/>
      <c r="Z509" s="9"/>
      <c r="AA509" s="9"/>
      <c r="AB509" s="9"/>
      <c r="AC509" s="449" t="str">
        <f t="shared" si="57"/>
        <v/>
      </c>
      <c r="AD509" s="449"/>
      <c r="AE509" s="449"/>
      <c r="AF509" s="4"/>
      <c r="AG509" s="83"/>
      <c r="AH509" s="4"/>
      <c r="AI509" s="4"/>
      <c r="AJ509" s="449"/>
      <c r="AK509" s="449"/>
      <c r="AL509" s="449"/>
      <c r="AM509" s="449"/>
      <c r="AN509" s="10"/>
      <c r="AO509" s="9"/>
      <c r="AP509" s="9"/>
      <c r="AQ509" s="9">
        <f>+FL_1($T$510,$T$508,$G$509,1200,9.28, 1*$F$510)</f>
        <v>0.39714735709090898</v>
      </c>
      <c r="AR509" s="9"/>
      <c r="AS509" s="9"/>
      <c r="AT509" s="9"/>
      <c r="AU509" s="428"/>
      <c r="AV509" s="428"/>
      <c r="AW509" s="449" t="str">
        <f>IF(C509&gt;0,VLOOKUP(C509,Foundation_Calc!$A$2:$C$13,3,1),
IF(J509&gt;0,VLOOKUP(J509,Foundation_Calc!$A$2:$C$13,3,1),""))</f>
        <v>Multi Soil</v>
      </c>
      <c r="AX509" s="449" t="str">
        <f>IF(C509&gt;0,VLOOKUP(C509,Foundation_Calc!$E$35:$G$65,3,1),
IF(J509&gt;0,VLOOKUP(J509,Foundation_Calc!$E$35:$G$65,3,1),""))</f>
        <v>PT</v>
      </c>
      <c r="AY509" s="10" t="str">
        <f>IF(L509="","",
IF(AX509="PT",VLOOKUP(L509,Foundation_Calc!$K$79:$R$113,VLOOKUP(AW509,Foundation_Calc!$I$2:$J$8,2,FALSE),0),
IF(AX509="K",VLOOKUP(L509,Foundation_Calc!$K$117:$R$151,VLOOKUP(AW509,Foundation_Calc!$I$2:$J$8,2,FALSE),0),"")))</f>
        <v/>
      </c>
      <c r="AZ509" s="10">
        <f>IF(K509="","",
IF(AX509="PT",VLOOKUP(K509,Foundation_Calc!$K$79:$R$113,VLOOKUP(AW509,Foundation_Calc!$I$2:$J$8,2,FALSE),0),
IF(AX509="K",VLOOKUP(K509,Foundation_Calc!$K$117:$R$151,VLOOKUP(AW509,Foundation_Calc!$I$2:$J$8,2,FALSE),0),"")))</f>
        <v>2.8</v>
      </c>
      <c r="BA509" s="495" t="str">
        <f t="shared" ref="BA509:BA546" si="61">IF(AY509="","",IF(AY509&gt;0,"ü",""))</f>
        <v/>
      </c>
      <c r="BB509" s="495" t="str">
        <f t="shared" ref="BB509:BB546" si="62">IF(AZ509="","",IF(AZ509&gt;0,"ü",""))</f>
        <v>ü</v>
      </c>
      <c r="BC509" s="495" t="str">
        <f t="shared" ref="BC509:BC546" si="63">IF(M509="","",IF(M509="U.S.","ü",IF(M509="U.S. N.D.","ü","")))</f>
        <v/>
      </c>
      <c r="BD509" s="513" t="str">
        <f>IF(AND(L509="",H509=""),"",
IF(H509="",Pole_Calc!A$9,
IF(H509="MP",Pole_Calc!A$10,
IF(H509="AnMP",Pole_Calc!A$11,
IF(H509="A",Pole_Calc!A$12,
IF(H509="S/A",Pole_Calc!A$13,
IF(H509="A/S",Pole_Calc!A$14,"Poner a mano")))))))</f>
        <v/>
      </c>
      <c r="BE509" s="429" t="s">
        <v>118</v>
      </c>
      <c r="BF509" s="290"/>
      <c r="BG509" s="290"/>
      <c r="BH509" s="290"/>
      <c r="BI509" s="290"/>
    </row>
    <row r="510" spans="1:61" ht="15.75" customHeight="1">
      <c r="A510" s="514"/>
      <c r="B510" s="450" t="s">
        <v>1201</v>
      </c>
      <c r="C510" s="3">
        <f>+$C$508+$G$509</f>
        <v>42190.080000000016</v>
      </c>
      <c r="D510" s="83"/>
      <c r="E510" s="4"/>
      <c r="F510" s="4">
        <v>0</v>
      </c>
      <c r="G510" s="6"/>
      <c r="H510" s="449" t="s">
        <v>168</v>
      </c>
      <c r="I510" s="4"/>
      <c r="J510" s="3"/>
      <c r="K510" s="449"/>
      <c r="L510" s="449" t="s">
        <v>158</v>
      </c>
      <c r="M510" s="449" t="str">
        <f>IF(L510="","",
IF(AX510="PT",VLOOKUP(L510,Foundation_Calc!$V$79:$X$113,VLOOKUP(AX510,Foundation_Calc!$I$10:$J$13,2,FALSE),0),
IF(AX510="K",VLOOKUP(L510,Foundation_Calc!$V$117:$X$151,VLOOKUP(AX510,Foundation_Calc!$I$10:$J$13,2,FALSE),0),"")))</f>
        <v>C4R</v>
      </c>
      <c r="N510" s="449" t="s">
        <v>124</v>
      </c>
      <c r="O510" s="449"/>
      <c r="P510" s="449"/>
      <c r="Q510" s="4"/>
      <c r="R510" s="6"/>
      <c r="S510" s="6"/>
      <c r="T510" s="4">
        <v>-35</v>
      </c>
      <c r="U510" s="4"/>
      <c r="V510" s="4"/>
      <c r="W510" s="572">
        <v>1</v>
      </c>
      <c r="X510" s="9"/>
      <c r="Y510" s="9"/>
      <c r="Z510" s="9"/>
      <c r="AA510" s="9"/>
      <c r="AB510" s="9"/>
      <c r="AC510" s="449" t="str">
        <f t="shared" si="57"/>
        <v>PHQ</v>
      </c>
      <c r="AD510" s="449"/>
      <c r="AE510" s="449"/>
      <c r="AF510" s="4"/>
      <c r="AG510" s="83"/>
      <c r="AH510" s="4"/>
      <c r="AI510" s="4"/>
      <c r="AJ510" s="449"/>
      <c r="AK510" s="449"/>
      <c r="AL510" s="449"/>
      <c r="AM510" s="449" t="s">
        <v>126</v>
      </c>
      <c r="AN510" s="10">
        <v>5.5</v>
      </c>
      <c r="AO510" s="9"/>
      <c r="AP510" s="9"/>
      <c r="AQ510" s="9"/>
      <c r="AR510" s="9"/>
      <c r="AS510" s="9"/>
      <c r="AT510" s="9">
        <f>+ab($T$510,$T$508,$T$512,$G$509,$G$511, 1*$F$510,1200)</f>
        <v>-7.1424424584170572</v>
      </c>
      <c r="AU510" s="428"/>
      <c r="AV510" s="428"/>
      <c r="AW510" s="449" t="str">
        <f>IF(C510&gt;0,VLOOKUP(C510,Foundation_Calc!$A$2:$C$13,3,1),
IF(J510&gt;0,VLOOKUP(J510,Foundation_Calc!$A$2:$C$13,3,1),""))</f>
        <v>Multi Soil</v>
      </c>
      <c r="AX510" s="449" t="str">
        <f>IF(C510&gt;0,VLOOKUP(C510,Foundation_Calc!$E$35:$G$65,3,1),
IF(J510&gt;0,VLOOKUP(J510,Foundation_Calc!$E$35:$G$65,3,1),""))</f>
        <v>PT</v>
      </c>
      <c r="AY510" s="10">
        <f>IF(L510="","",
IF(AX510="PT",VLOOKUP(L510,Foundation_Calc!$K$79:$R$113,VLOOKUP(AW510,Foundation_Calc!$I$2:$J$8,2,FALSE),0),
IF(AX510="K",VLOOKUP(L510,Foundation_Calc!$K$117:$R$151,VLOOKUP(AW510,Foundation_Calc!$I$2:$J$8,2,FALSE),0),"")))</f>
        <v>3.5</v>
      </c>
      <c r="AZ510" s="10" t="str">
        <f>IF(K510="","",
IF(AX510="PT",VLOOKUP(K510,Foundation_Calc!$K$79:$R$113,VLOOKUP(AW510,Foundation_Calc!$I$2:$J$8,2,FALSE),0),
IF(AX510="K",VLOOKUP(K510,Foundation_Calc!$K$117:$R$151,VLOOKUP(AW510,Foundation_Calc!$I$2:$J$8,2,FALSE),0),"")))</f>
        <v/>
      </c>
      <c r="BA510" s="495" t="str">
        <f t="shared" si="61"/>
        <v>ü</v>
      </c>
      <c r="BB510" s="495" t="str">
        <f t="shared" si="62"/>
        <v/>
      </c>
      <c r="BC510" s="495" t="str">
        <f t="shared" si="63"/>
        <v/>
      </c>
      <c r="BD510" s="513" t="str">
        <f>IF(AND(L510="",H510=""),"",
IF(H510="",Pole_Calc!A$9,
IF(H510="MP",Pole_Calc!A$10,
IF(H510="AnMP",Pole_Calc!A$11,
IF(H510="A",Pole_Calc!A$12,
IF(H510="S/A",Pole_Calc!A$13,
IF(H510="A/S",Pole_Calc!A$14,"Poner a mano")))))))</f>
        <v>App.7-V11I-P9.5.1.3</v>
      </c>
      <c r="BE510" s="429" t="s">
        <v>118</v>
      </c>
      <c r="BF510" s="289"/>
      <c r="BG510" s="289"/>
      <c r="BH510" s="290"/>
      <c r="BI510" s="289"/>
    </row>
    <row r="511" spans="1:61" ht="15.75" customHeight="1">
      <c r="A511" s="518"/>
      <c r="B511" s="450"/>
      <c r="C511" s="3"/>
      <c r="D511" s="83"/>
      <c r="E511" s="4"/>
      <c r="F511" s="4"/>
      <c r="G511" s="6">
        <v>50</v>
      </c>
      <c r="H511" s="449"/>
      <c r="I511" s="4">
        <f>SUM(G497:G511)</f>
        <v>412.4</v>
      </c>
      <c r="J511" s="3"/>
      <c r="K511" s="449"/>
      <c r="L511" s="449"/>
      <c r="M511" s="449" t="str">
        <f>IF(L511="","",
IF(AX511="PT",VLOOKUP(L511,Foundation_Calc!$V$79:$X$113,VLOOKUP(AX511,Foundation_Calc!$I$10:$J$13,2,FALSE),0),
IF(AX511="K",VLOOKUP(L511,Foundation_Calc!$V$117:$X$151,VLOOKUP(AX511,Foundation_Calc!$I$10:$J$13,2,FALSE),0),"")))</f>
        <v/>
      </c>
      <c r="N511" s="449"/>
      <c r="O511" s="449"/>
      <c r="P511" s="449"/>
      <c r="Q511" s="4"/>
      <c r="R511" s="6"/>
      <c r="S511" s="6"/>
      <c r="T511" s="4"/>
      <c r="U511" s="4"/>
      <c r="V511" s="4"/>
      <c r="W511" s="572"/>
      <c r="X511" s="9"/>
      <c r="Y511" s="9"/>
      <c r="Z511" s="9"/>
      <c r="AA511" s="9"/>
      <c r="AB511" s="9"/>
      <c r="AC511" s="449" t="str">
        <f t="shared" si="57"/>
        <v/>
      </c>
      <c r="AD511" s="449"/>
      <c r="AE511" s="449"/>
      <c r="AF511" s="4"/>
      <c r="AG511" s="83"/>
      <c r="AH511" s="4"/>
      <c r="AI511" s="4"/>
      <c r="AJ511" s="449"/>
      <c r="AK511" s="449"/>
      <c r="AL511" s="449"/>
      <c r="AM511" s="449"/>
      <c r="AN511" s="10"/>
      <c r="AO511" s="9"/>
      <c r="AP511" s="9"/>
      <c r="AQ511" s="9">
        <f>+FL_1($T$512,$T$510,$G$511,1200,9.28, 1*$F$512)</f>
        <v>0.36839079999999996</v>
      </c>
      <c r="AR511" s="9"/>
      <c r="AS511" s="9"/>
      <c r="AT511" s="9"/>
      <c r="AU511" s="428"/>
      <c r="AV511" s="428"/>
      <c r="AW511" s="449" t="str">
        <f>IF(C511&gt;0,VLOOKUP(C511,Foundation_Calc!$A$2:$C$13,3,1),
IF(J511&gt;0,VLOOKUP(J511,Foundation_Calc!$A$2:$C$13,3,1),""))</f>
        <v/>
      </c>
      <c r="AX511" s="449" t="str">
        <f>IF(C511&gt;0,VLOOKUP(C511,Foundation_Calc!$E$35:$G$65,3,1),
IF(J511&gt;0,VLOOKUP(J511,Foundation_Calc!$E$35:$G$65,3,1),""))</f>
        <v/>
      </c>
      <c r="AY511" s="10" t="str">
        <f>IF(L511="","",
IF(AX511="PT",VLOOKUP(L511,Foundation_Calc!$K$79:$R$113,VLOOKUP(AW511,Foundation_Calc!$I$2:$J$8,2,FALSE),0),
IF(AX511="K",VLOOKUP(L511,Foundation_Calc!$K$117:$R$151,VLOOKUP(AW511,Foundation_Calc!$I$2:$J$8,2,FALSE),0),"")))</f>
        <v/>
      </c>
      <c r="AZ511" s="10" t="str">
        <f>IF(K511="","",
IF(AX511="PT",VLOOKUP(K511,Foundation_Calc!$K$79:$R$113,VLOOKUP(AW511,Foundation_Calc!$I$2:$J$8,2,FALSE),0),
IF(AX511="K",VLOOKUP(K511,Foundation_Calc!$K$117:$R$151,VLOOKUP(AW511,Foundation_Calc!$I$2:$J$8,2,FALSE),0),"")))</f>
        <v/>
      </c>
      <c r="BA511" s="495" t="str">
        <f t="shared" si="61"/>
        <v/>
      </c>
      <c r="BB511" s="495" t="str">
        <f t="shared" si="62"/>
        <v/>
      </c>
      <c r="BC511" s="495" t="str">
        <f t="shared" si="63"/>
        <v/>
      </c>
      <c r="BD511" s="513" t="str">
        <f>IF(AND(L511="",H511=""),"",
IF(H511="",Pole_Calc!A$9,
IF(H511="MP",Pole_Calc!A$10,
IF(H511="AnMP",Pole_Calc!A$11,
IF(H511="A",Pole_Calc!A$12,
IF(H511="S/A",Pole_Calc!A$13,
IF(H511="A/S",Pole_Calc!A$14,"Poner a mano")))))))</f>
        <v/>
      </c>
      <c r="BE511" s="429" t="s">
        <v>118</v>
      </c>
      <c r="BF511" s="290"/>
      <c r="BG511" s="290"/>
      <c r="BH511" s="290"/>
      <c r="BI511" s="290"/>
    </row>
    <row r="512" spans="1:61" ht="15.75" customHeight="1">
      <c r="A512" s="514"/>
      <c r="B512" s="450" t="s">
        <v>1202</v>
      </c>
      <c r="C512" s="3">
        <f>+$C$510+$G$511</f>
        <v>42240.080000000016</v>
      </c>
      <c r="D512" s="83"/>
      <c r="E512" s="4"/>
      <c r="F512" s="4">
        <v>0</v>
      </c>
      <c r="G512" s="6"/>
      <c r="H512" s="449" t="s">
        <v>171</v>
      </c>
      <c r="I512" s="4"/>
      <c r="J512" s="3"/>
      <c r="K512" s="449"/>
      <c r="L512" s="449" t="s">
        <v>153</v>
      </c>
      <c r="M512" s="449" t="str">
        <f>IF(L512="","",
IF(AX512="PT",VLOOKUP(L512,Foundation_Calc!$V$79:$X$113,VLOOKUP(AX512,Foundation_Calc!$I$10:$J$13,2,FALSE),0),
IF(AX512="K",VLOOKUP(L512,Foundation_Calc!$V$117:$X$151,VLOOKUP(AX512,Foundation_Calc!$I$10:$J$13,2,FALSE),0),"")))</f>
        <v>C3R</v>
      </c>
      <c r="N512" s="449" t="s">
        <v>134</v>
      </c>
      <c r="O512" s="449"/>
      <c r="P512" s="449"/>
      <c r="Q512" s="4"/>
      <c r="R512" s="6"/>
      <c r="S512" s="6"/>
      <c r="T512" s="4">
        <v>35</v>
      </c>
      <c r="U512" s="4"/>
      <c r="V512" s="4"/>
      <c r="W512" s="572">
        <v>1.2</v>
      </c>
      <c r="X512" s="9"/>
      <c r="Y512" s="9"/>
      <c r="Z512" s="9"/>
      <c r="AA512" s="9"/>
      <c r="AB512" s="9"/>
      <c r="AC512" s="449" t="str">
        <f t="shared" si="57"/>
        <v>PHQ</v>
      </c>
      <c r="AD512" s="449"/>
      <c r="AE512" s="449"/>
      <c r="AF512" s="4"/>
      <c r="AG512" s="83"/>
      <c r="AH512" s="4"/>
      <c r="AI512" s="4"/>
      <c r="AJ512" s="449"/>
      <c r="AK512" s="449"/>
      <c r="AL512" s="449"/>
      <c r="AM512" s="449" t="s">
        <v>126</v>
      </c>
      <c r="AN512" s="10">
        <v>5.5</v>
      </c>
      <c r="AO512" s="9"/>
      <c r="AP512" s="9"/>
      <c r="AQ512" s="9"/>
      <c r="AR512" s="9"/>
      <c r="AS512" s="9"/>
      <c r="AT512" s="9">
        <f>+ab($T$512,$T$510,$T$514,$G$511,$G$513, 1*$F$512,1200)</f>
        <v>6.820891075690624</v>
      </c>
      <c r="AU512" s="428"/>
      <c r="AV512" s="428"/>
      <c r="AW512" s="449" t="str">
        <f>IF(C512&gt;0,VLOOKUP(C512,Foundation_Calc!$A$2:$C$13,3,1),
IF(J512&gt;0,VLOOKUP(J512,Foundation_Calc!$A$2:$C$13,3,1),""))</f>
        <v>Multi Soil</v>
      </c>
      <c r="AX512" s="449" t="str">
        <f>IF(C512&gt;0,VLOOKUP(C512,Foundation_Calc!$E$35:$G$65,3,1),
IF(J512&gt;0,VLOOKUP(J512,Foundation_Calc!$E$35:$G$65,3,1),""))</f>
        <v>PT</v>
      </c>
      <c r="AY512" s="10">
        <f>IF(L512="","",
IF(AX512="PT",VLOOKUP(L512,Foundation_Calc!$K$79:$R$113,VLOOKUP(AW512,Foundation_Calc!$I$2:$J$8,2,FALSE),0),
IF(AX512="K",VLOOKUP(L512,Foundation_Calc!$K$117:$R$151,VLOOKUP(AW512,Foundation_Calc!$I$2:$J$8,2,FALSE),0),"")))</f>
        <v>3.5</v>
      </c>
      <c r="AZ512" s="10" t="str">
        <f>IF(K512="","",
IF(AX512="PT",VLOOKUP(K512,Foundation_Calc!$K$79:$R$113,VLOOKUP(AW512,Foundation_Calc!$I$2:$J$8,2,FALSE),0),
IF(AX512="K",VLOOKUP(K512,Foundation_Calc!$K$117:$R$151,VLOOKUP(AW512,Foundation_Calc!$I$2:$J$8,2,FALSE),0),"")))</f>
        <v/>
      </c>
      <c r="BA512" s="495" t="str">
        <f t="shared" si="61"/>
        <v>ü</v>
      </c>
      <c r="BB512" s="495" t="str">
        <f t="shared" si="62"/>
        <v/>
      </c>
      <c r="BC512" s="495" t="str">
        <f t="shared" si="63"/>
        <v/>
      </c>
      <c r="BD512" s="513" t="str">
        <f>IF(AND(L512="",H512=""),"",
IF(H512="",Pole_Calc!A$9,
IF(H512="MP",Pole_Calc!A$10,
IF(H512="AnMP",Pole_Calc!A$11,
IF(H512="A",Pole_Calc!A$12,
IF(H512="S/A",Pole_Calc!A$13,
IF(H512="A/S",Pole_Calc!A$14,"Poner a mano")))))))</f>
        <v>App.7-V11I-P9.5.1.2</v>
      </c>
      <c r="BE512" s="429" t="s">
        <v>118</v>
      </c>
      <c r="BF512" s="289"/>
      <c r="BG512" s="289"/>
      <c r="BH512" s="290"/>
      <c r="BI512" s="289"/>
    </row>
    <row r="513" spans="1:61" ht="15.75" customHeight="1">
      <c r="A513" s="514"/>
      <c r="B513" s="450"/>
      <c r="C513" s="3"/>
      <c r="D513" s="83"/>
      <c r="E513" s="4"/>
      <c r="F513" s="4"/>
      <c r="G513" s="6">
        <v>50</v>
      </c>
      <c r="H513" s="449"/>
      <c r="I513" s="4">
        <f>SUM(G513:G527)</f>
        <v>428</v>
      </c>
      <c r="J513" s="3"/>
      <c r="K513" s="449"/>
      <c r="L513" s="449"/>
      <c r="M513" s="449" t="str">
        <f>IF(L513="","",
IF(AX513="PT",VLOOKUP(L513,Foundation_Calc!$V$79:$X$113,VLOOKUP(AX513,Foundation_Calc!$I$10:$J$13,2,FALSE),0),
IF(AX513="K",VLOOKUP(L513,Foundation_Calc!$V$117:$X$151,VLOOKUP(AX513,Foundation_Calc!$I$10:$J$13,2,FALSE),0),"")))</f>
        <v/>
      </c>
      <c r="N513" s="449"/>
      <c r="O513" s="449"/>
      <c r="P513" s="449"/>
      <c r="Q513" s="4"/>
      <c r="R513" s="6"/>
      <c r="S513" s="6"/>
      <c r="T513" s="4"/>
      <c r="U513" s="4"/>
      <c r="V513" s="4"/>
      <c r="W513" s="9"/>
      <c r="X513" s="9"/>
      <c r="Y513" s="9"/>
      <c r="Z513" s="9"/>
      <c r="AA513" s="9"/>
      <c r="AB513" s="9"/>
      <c r="AC513" s="449" t="str">
        <f t="shared" si="57"/>
        <v/>
      </c>
      <c r="AD513" s="449"/>
      <c r="AE513" s="449"/>
      <c r="AF513" s="4"/>
      <c r="AG513" s="83"/>
      <c r="AH513" s="4"/>
      <c r="AI513" s="4"/>
      <c r="AJ513" s="449"/>
      <c r="AK513" s="449"/>
      <c r="AL513" s="449"/>
      <c r="AM513" s="449"/>
      <c r="AN513" s="10"/>
      <c r="AO513" s="9"/>
      <c r="AP513" s="9"/>
      <c r="AQ513" s="9">
        <f>+FL_2($T$514,$T$512,$G$513,1200,9.28, 1*$F$514)</f>
        <v>-0.36839079999999996</v>
      </c>
      <c r="AR513" s="9"/>
      <c r="AS513" s="9"/>
      <c r="AT513" s="9"/>
      <c r="AU513" s="428"/>
      <c r="AV513" s="428"/>
      <c r="AW513" s="449" t="str">
        <f>IF(C513&gt;0,VLOOKUP(C513,Foundation_Calc!$A$2:$C$13,3,1),
IF(J513&gt;0,VLOOKUP(J513,Foundation_Calc!$A$2:$C$13,3,1),""))</f>
        <v/>
      </c>
      <c r="AX513" s="449" t="str">
        <f>IF(C513&gt;0,VLOOKUP(C513,Foundation_Calc!$E$35:$G$65,3,1),
IF(J513&gt;0,VLOOKUP(J513,Foundation_Calc!$E$35:$G$65,3,1),""))</f>
        <v/>
      </c>
      <c r="AY513" s="10" t="str">
        <f>IF(L513="","",
IF(AX513="PT",VLOOKUP(L513,Foundation_Calc!$K$79:$R$113,VLOOKUP(AW513,Foundation_Calc!$I$2:$J$8,2,FALSE),0),
IF(AX513="K",VLOOKUP(L513,Foundation_Calc!$K$117:$R$151,VLOOKUP(AW513,Foundation_Calc!$I$2:$J$8,2,FALSE),0),"")))</f>
        <v/>
      </c>
      <c r="AZ513" s="10" t="str">
        <f>IF(K513="","",
IF(AX513="PT",VLOOKUP(K513,Foundation_Calc!$K$79:$R$113,VLOOKUP(AW513,Foundation_Calc!$I$2:$J$8,2,FALSE),0),
IF(AX513="K",VLOOKUP(K513,Foundation_Calc!$K$117:$R$151,VLOOKUP(AW513,Foundation_Calc!$I$2:$J$8,2,FALSE),0),"")))</f>
        <v/>
      </c>
      <c r="BA513" s="495" t="str">
        <f t="shared" si="61"/>
        <v/>
      </c>
      <c r="BB513" s="495" t="str">
        <f t="shared" si="62"/>
        <v/>
      </c>
      <c r="BC513" s="495" t="str">
        <f t="shared" si="63"/>
        <v/>
      </c>
      <c r="BD513" s="513" t="str">
        <f>IF(AND(L513="",H513=""),"",
IF(H513="",Pole_Calc!A$9,
IF(H513="MP",Pole_Calc!A$10,
IF(H513="AnMP",Pole_Calc!A$11,
IF(H513="A",Pole_Calc!A$12,
IF(H513="S/A",Pole_Calc!A$13,
IF(H513="A/S",Pole_Calc!A$14,"Poner a mano")))))))</f>
        <v/>
      </c>
      <c r="BE513" s="429" t="s">
        <v>118</v>
      </c>
      <c r="BF513" s="290"/>
      <c r="BG513" s="290"/>
      <c r="BH513" s="290"/>
      <c r="BI513" s="290"/>
    </row>
    <row r="514" spans="1:61" ht="15.75" customHeight="1">
      <c r="A514" s="514"/>
      <c r="B514" s="450" t="s">
        <v>1203</v>
      </c>
      <c r="C514" s="3">
        <f>+$C$512+$G$513</f>
        <v>42290.080000000016</v>
      </c>
      <c r="D514" s="83"/>
      <c r="E514" s="4"/>
      <c r="F514" s="4">
        <v>0</v>
      </c>
      <c r="G514" s="6"/>
      <c r="H514" s="449" t="s">
        <v>168</v>
      </c>
      <c r="I514" s="4"/>
      <c r="J514" s="3"/>
      <c r="K514" s="449"/>
      <c r="L514" s="449" t="s">
        <v>158</v>
      </c>
      <c r="M514" s="449" t="str">
        <f>IF(L514="","",
IF(AX514="PT",VLOOKUP(L514,Foundation_Calc!$V$79:$X$113,VLOOKUP(AX514,Foundation_Calc!$I$10:$J$13,2,FALSE),0),
IF(AX514="K",VLOOKUP(L514,Foundation_Calc!$V$117:$X$151,VLOOKUP(AX514,Foundation_Calc!$I$10:$J$13,2,FALSE),0),"")))</f>
        <v>C4R</v>
      </c>
      <c r="N514" s="449" t="s">
        <v>124</v>
      </c>
      <c r="O514" s="449"/>
      <c r="P514" s="449"/>
      <c r="Q514" s="4"/>
      <c r="R514" s="6"/>
      <c r="S514" s="6"/>
      <c r="T514" s="4">
        <v>-35</v>
      </c>
      <c r="U514" s="4"/>
      <c r="V514" s="4"/>
      <c r="W514" s="9">
        <v>1.4</v>
      </c>
      <c r="X514" s="9"/>
      <c r="Y514" s="9"/>
      <c r="Z514" s="9"/>
      <c r="AA514" s="9"/>
      <c r="AB514" s="9"/>
      <c r="AC514" s="449" t="str">
        <f t="shared" si="57"/>
        <v>PHQ</v>
      </c>
      <c r="AD514" s="449"/>
      <c r="AE514" s="449"/>
      <c r="AF514" s="4"/>
      <c r="AG514" s="83"/>
      <c r="AH514" s="4"/>
      <c r="AI514" s="4"/>
      <c r="AJ514" s="449"/>
      <c r="AK514" s="449"/>
      <c r="AL514" s="449"/>
      <c r="AM514" s="449" t="s">
        <v>126</v>
      </c>
      <c r="AN514" s="10">
        <v>5.5</v>
      </c>
      <c r="AO514" s="9"/>
      <c r="AP514" s="9"/>
      <c r="AQ514" s="9"/>
      <c r="AR514" s="9"/>
      <c r="AS514" s="9"/>
      <c r="AT514" s="9">
        <f>+ab($T$514,$T$512,$T$516,$G$513,$G$515, 1*$F$514,1200)</f>
        <v>-7.1424424584170572</v>
      </c>
      <c r="AU514" s="428"/>
      <c r="AV514" s="428"/>
      <c r="AW514" s="449" t="str">
        <f>IF(C514&gt;0,VLOOKUP(C514,Foundation_Calc!$A$2:$C$13,3,1),
IF(J514&gt;0,VLOOKUP(J514,Foundation_Calc!$A$2:$C$13,3,1),""))</f>
        <v>Multi Soil</v>
      </c>
      <c r="AX514" s="449" t="str">
        <f>IF(C514&gt;0,VLOOKUP(C514,Foundation_Calc!$E$35:$G$65,3,1),
IF(J514&gt;0,VLOOKUP(J514,Foundation_Calc!$E$35:$G$65,3,1),""))</f>
        <v>PT</v>
      </c>
      <c r="AY514" s="10">
        <f>IF(L514="","",
IF(AX514="PT",VLOOKUP(L514,Foundation_Calc!$K$79:$R$113,VLOOKUP(AW514,Foundation_Calc!$I$2:$J$8,2,FALSE),0),
IF(AX514="K",VLOOKUP(L514,Foundation_Calc!$K$117:$R$151,VLOOKUP(AW514,Foundation_Calc!$I$2:$J$8,2,FALSE),0),"")))</f>
        <v>3.5</v>
      </c>
      <c r="AZ514" s="10" t="str">
        <f>IF(K514="","",
IF(AX514="PT",VLOOKUP(K514,Foundation_Calc!$K$79:$R$113,VLOOKUP(AW514,Foundation_Calc!$I$2:$J$8,2,FALSE),0),
IF(AX514="K",VLOOKUP(K514,Foundation_Calc!$K$117:$R$151,VLOOKUP(AW514,Foundation_Calc!$I$2:$J$8,2,FALSE),0),"")))</f>
        <v/>
      </c>
      <c r="BA514" s="495" t="str">
        <f t="shared" si="61"/>
        <v>ü</v>
      </c>
      <c r="BB514" s="495" t="str">
        <f t="shared" si="62"/>
        <v/>
      </c>
      <c r="BC514" s="495" t="str">
        <f t="shared" si="63"/>
        <v/>
      </c>
      <c r="BD514" s="513" t="str">
        <f>IF(AND(L514="",H514=""),"",
IF(H514="",Pole_Calc!A$9,
IF(H514="MP",Pole_Calc!A$10,
IF(H514="AnMP",Pole_Calc!A$11,
IF(H514="A",Pole_Calc!A$12,
IF(H514="S/A",Pole_Calc!A$13,
IF(H514="A/S",Pole_Calc!A$14,"Poner a mano")))))))</f>
        <v>App.7-V11I-P9.5.1.3</v>
      </c>
      <c r="BE514" s="429" t="s">
        <v>118</v>
      </c>
      <c r="BF514" s="289"/>
      <c r="BG514" s="289"/>
      <c r="BH514" s="290"/>
      <c r="BI514" s="289"/>
    </row>
    <row r="515" spans="1:61" ht="15.75" customHeight="1">
      <c r="A515" s="514" t="s">
        <v>169</v>
      </c>
      <c r="B515" s="450"/>
      <c r="C515" s="3"/>
      <c r="D515" s="83"/>
      <c r="E515" s="4"/>
      <c r="F515" s="4"/>
      <c r="G515" s="6">
        <v>55</v>
      </c>
      <c r="H515" s="449"/>
      <c r="I515" s="4"/>
      <c r="J515" s="3">
        <f>C514+7.5</f>
        <v>42297.580000000016</v>
      </c>
      <c r="K515" s="449" t="s">
        <v>166</v>
      </c>
      <c r="L515" s="449"/>
      <c r="M515" s="449" t="str">
        <f>IF(L515="","",
IF(AX515="PT",VLOOKUP(L515,Foundation_Calc!$V$79:$X$113,VLOOKUP(AX515,Foundation_Calc!$I$10:$J$13,2,FALSE),0),
IF(AX515="K",VLOOKUP(L515,Foundation_Calc!$V$117:$X$151,VLOOKUP(AX515,Foundation_Calc!$I$10:$J$13,2,FALSE),0),"")))</f>
        <v/>
      </c>
      <c r="N515" s="449"/>
      <c r="O515" s="561"/>
      <c r="P515" s="449"/>
      <c r="Q515" s="4"/>
      <c r="R515" s="6"/>
      <c r="S515" s="6"/>
      <c r="T515" s="4"/>
      <c r="U515" s="4"/>
      <c r="V515" s="4"/>
      <c r="W515" s="9"/>
      <c r="X515" s="9"/>
      <c r="Y515" s="9"/>
      <c r="Z515" s="9"/>
      <c r="AA515" s="9"/>
      <c r="AB515" s="9"/>
      <c r="AC515" s="449" t="str">
        <f t="shared" si="57"/>
        <v/>
      </c>
      <c r="AD515" s="449"/>
      <c r="AE515" s="449"/>
      <c r="AF515" s="4"/>
      <c r="AG515" s="83"/>
      <c r="AH515" s="4"/>
      <c r="AI515" s="4"/>
      <c r="AJ515" s="449"/>
      <c r="AK515" s="449"/>
      <c r="AL515" s="449"/>
      <c r="AM515" s="449"/>
      <c r="AN515" s="10"/>
      <c r="AO515" s="9"/>
      <c r="AP515" s="9"/>
      <c r="AQ515" s="9">
        <f>+FL_2($T$516,$T$514,$G$515,1200,9.28, 1*$F$516)</f>
        <v>-0.39714735709090898</v>
      </c>
      <c r="AR515" s="9"/>
      <c r="AS515" s="9"/>
      <c r="AT515" s="9"/>
      <c r="AU515" s="428"/>
      <c r="AV515" s="428"/>
      <c r="AW515" s="449" t="str">
        <f>IF(C515&gt;0,VLOOKUP(C515,Foundation_Calc!$A$2:$C$13,3,1),
IF(J515&gt;0,VLOOKUP(J515,Foundation_Calc!$A$2:$C$13,3,1),""))</f>
        <v>Multi Soil</v>
      </c>
      <c r="AX515" s="449" t="str">
        <f>IF(C515&gt;0,VLOOKUP(C515,Foundation_Calc!$E$35:$G$65,3,1),
IF(J515&gt;0,VLOOKUP(J515,Foundation_Calc!$E$35:$G$65,3,1),""))</f>
        <v>PT</v>
      </c>
      <c r="AY515" s="10" t="str">
        <f>IF(L515="","",
IF(AX515="PT",VLOOKUP(L515,Foundation_Calc!$K$79:$R$113,VLOOKUP(AW515,Foundation_Calc!$I$2:$J$8,2,FALSE),0),
IF(AX515="K",VLOOKUP(L515,Foundation_Calc!$K$117:$R$151,VLOOKUP(AW515,Foundation_Calc!$I$2:$J$8,2,FALSE),0),"")))</f>
        <v/>
      </c>
      <c r="AZ515" s="10">
        <f>IF(K515="","",
IF(AX515="PT",VLOOKUP(K515,Foundation_Calc!$K$79:$R$113,VLOOKUP(AW515,Foundation_Calc!$I$2:$J$8,2,FALSE),0),
IF(AX515="K",VLOOKUP(K515,Foundation_Calc!$K$117:$R$151,VLOOKUP(AW515,Foundation_Calc!$I$2:$J$8,2,FALSE),0),"")))</f>
        <v>2.8</v>
      </c>
      <c r="BA515" s="495" t="str">
        <f t="shared" si="61"/>
        <v/>
      </c>
      <c r="BB515" s="495" t="str">
        <f t="shared" si="62"/>
        <v>ü</v>
      </c>
      <c r="BC515" s="495" t="str">
        <f t="shared" si="63"/>
        <v/>
      </c>
      <c r="BD515" s="513" t="str">
        <f>IF(AND(L515="",H515=""),"",
IF(H515="",Pole_Calc!A$9,
IF(H515="MP",Pole_Calc!A$10,
IF(H515="AnMP",Pole_Calc!A$11,
IF(H515="A",Pole_Calc!A$12,
IF(H515="S/A",Pole_Calc!A$13,
IF(H515="A/S",Pole_Calc!A$14,"Poner a mano")))))))</f>
        <v/>
      </c>
      <c r="BE515" s="429" t="s">
        <v>118</v>
      </c>
      <c r="BF515" s="290"/>
      <c r="BG515" s="290"/>
      <c r="BH515" s="290"/>
      <c r="BI515" s="290"/>
    </row>
    <row r="516" spans="1:61" ht="15.75" customHeight="1">
      <c r="A516" s="514"/>
      <c r="B516" s="450" t="s">
        <v>1204</v>
      </c>
      <c r="C516" s="3">
        <f>+$C$514+$G$515</f>
        <v>42345.080000000016</v>
      </c>
      <c r="D516" s="83"/>
      <c r="E516" s="4"/>
      <c r="F516" s="4">
        <v>0</v>
      </c>
      <c r="G516" s="6"/>
      <c r="H516" s="449"/>
      <c r="I516" s="4"/>
      <c r="J516" s="3"/>
      <c r="K516" s="449"/>
      <c r="L516" s="449" t="s">
        <v>153</v>
      </c>
      <c r="M516" s="449" t="str">
        <f>IF(L516="","",
IF(AX516="PT",VLOOKUP(L516,Foundation_Calc!$V$79:$X$113,VLOOKUP(AX516,Foundation_Calc!$I$10:$J$13,2,FALSE),0),
IF(AX516="K",VLOOKUP(L516,Foundation_Calc!$V$117:$X$151,VLOOKUP(AX516,Foundation_Calc!$I$10:$J$13,2,FALSE),0),"")))</f>
        <v>C3R</v>
      </c>
      <c r="N516" s="449" t="s">
        <v>134</v>
      </c>
      <c r="O516" s="449"/>
      <c r="P516" s="449"/>
      <c r="Q516" s="4"/>
      <c r="R516" s="6"/>
      <c r="S516" s="6"/>
      <c r="T516" s="4">
        <v>35</v>
      </c>
      <c r="U516" s="4"/>
      <c r="V516" s="4"/>
      <c r="W516" s="9">
        <v>1.4</v>
      </c>
      <c r="X516" s="9"/>
      <c r="Y516" s="9"/>
      <c r="Z516" s="9"/>
      <c r="AA516" s="9"/>
      <c r="AB516" s="9"/>
      <c r="AC516" s="449" t="str">
        <f t="shared" si="57"/>
        <v>PHQ</v>
      </c>
      <c r="AD516" s="449"/>
      <c r="AE516" s="449"/>
      <c r="AF516" s="4"/>
      <c r="AG516" s="83"/>
      <c r="AH516" s="4"/>
      <c r="AI516" s="4"/>
      <c r="AJ516" s="449"/>
      <c r="AK516" s="449"/>
      <c r="AL516" s="449"/>
      <c r="AM516" s="449" t="s">
        <v>126</v>
      </c>
      <c r="AN516" s="10">
        <v>5.5</v>
      </c>
      <c r="AO516" s="9"/>
      <c r="AP516" s="9"/>
      <c r="AQ516" s="9"/>
      <c r="AR516" s="9"/>
      <c r="AS516" s="9"/>
      <c r="AT516" s="9">
        <f>+ab($T$516,$T$514,$T$518,$G$515,$G$517, 1*$F$516,1200)</f>
        <v>7.1424146886693025</v>
      </c>
      <c r="AU516" s="428"/>
      <c r="AV516" s="428"/>
      <c r="AW516" s="449" t="str">
        <f>IF(C516&gt;0,VLOOKUP(C516,Foundation_Calc!$A$2:$C$13,3,1),
IF(J516&gt;0,VLOOKUP(J516,Foundation_Calc!$A$2:$C$13,3,1),""))</f>
        <v>Multi Soil</v>
      </c>
      <c r="AX516" s="449" t="str">
        <f>IF(C516&gt;0,VLOOKUP(C516,Foundation_Calc!$E$35:$G$65,3,1),
IF(J516&gt;0,VLOOKUP(J516,Foundation_Calc!$E$35:$G$65,3,1),""))</f>
        <v>PT</v>
      </c>
      <c r="AY516" s="10">
        <f>IF(L516="","",
IF(AX516="PT",VLOOKUP(L516,Foundation_Calc!$K$79:$R$113,VLOOKUP(AW516,Foundation_Calc!$I$2:$J$8,2,FALSE),0),
IF(AX516="K",VLOOKUP(L516,Foundation_Calc!$K$117:$R$151,VLOOKUP(AW516,Foundation_Calc!$I$2:$J$8,2,FALSE),0),"")))</f>
        <v>3.5</v>
      </c>
      <c r="AZ516" s="10" t="str">
        <f>IF(K516="","",
IF(AX516="PT",VLOOKUP(K516,Foundation_Calc!$K$79:$R$113,VLOOKUP(AW516,Foundation_Calc!$I$2:$J$8,2,FALSE),0),
IF(AX516="K",VLOOKUP(K516,Foundation_Calc!$K$117:$R$151,VLOOKUP(AW516,Foundation_Calc!$I$2:$J$8,2,FALSE),0),"")))</f>
        <v/>
      </c>
      <c r="BA516" s="495" t="str">
        <f t="shared" si="61"/>
        <v>ü</v>
      </c>
      <c r="BB516" s="495" t="str">
        <f t="shared" si="62"/>
        <v/>
      </c>
      <c r="BC516" s="495" t="str">
        <f t="shared" si="63"/>
        <v/>
      </c>
      <c r="BD516" s="513" t="str">
        <f>IF(AND(L516="",H516=""),"",
IF(H516="",Pole_Calc!A$9,
IF(H516="MP",Pole_Calc!A$10,
IF(H516="AnMP",Pole_Calc!A$11,
IF(H516="A",Pole_Calc!A$12,
IF(H516="S/A",Pole_Calc!A$13,
IF(H516="A/S",Pole_Calc!A$14,"Poner a mano")))))))</f>
        <v>App.7-V11I-P9.5.1.1</v>
      </c>
      <c r="BE516" s="429" t="s">
        <v>118</v>
      </c>
      <c r="BF516" s="289"/>
      <c r="BG516" s="289"/>
      <c r="BH516" s="290"/>
      <c r="BI516" s="289"/>
    </row>
    <row r="517" spans="1:61" ht="15.75" customHeight="1">
      <c r="A517" s="518"/>
      <c r="B517" s="450"/>
      <c r="C517" s="3"/>
      <c r="D517" s="83"/>
      <c r="E517" s="4"/>
      <c r="F517" s="4"/>
      <c r="G517" s="6">
        <v>50</v>
      </c>
      <c r="H517" s="449"/>
      <c r="I517" s="4"/>
      <c r="J517" s="3"/>
      <c r="K517" s="449"/>
      <c r="L517" s="449"/>
      <c r="M517" s="449" t="str">
        <f>IF(L517="","",
IF(AX517="PT",VLOOKUP(L517,Foundation_Calc!$V$79:$X$113,VLOOKUP(AX517,Foundation_Calc!$I$10:$J$13,2,FALSE),0),
IF(AX517="K",VLOOKUP(L517,Foundation_Calc!$V$117:$X$151,VLOOKUP(AX517,Foundation_Calc!$I$10:$J$13,2,FALSE),0),"")))</f>
        <v/>
      </c>
      <c r="N517" s="449"/>
      <c r="O517" s="449"/>
      <c r="P517" s="449"/>
      <c r="Q517" s="4"/>
      <c r="R517" s="6"/>
      <c r="S517" s="6"/>
      <c r="T517" s="4"/>
      <c r="U517" s="4"/>
      <c r="V517" s="4"/>
      <c r="W517" s="9"/>
      <c r="X517" s="9"/>
      <c r="Y517" s="9"/>
      <c r="Z517" s="9"/>
      <c r="AA517" s="9"/>
      <c r="AB517" s="9"/>
      <c r="AC517" s="449" t="str">
        <f t="shared" si="57"/>
        <v/>
      </c>
      <c r="AD517" s="449"/>
      <c r="AE517" s="449"/>
      <c r="AF517" s="4"/>
      <c r="AG517" s="83"/>
      <c r="AH517" s="4"/>
      <c r="AI517" s="4"/>
      <c r="AJ517" s="449"/>
      <c r="AK517" s="449"/>
      <c r="AL517" s="449"/>
      <c r="AM517" s="449"/>
      <c r="AN517" s="10"/>
      <c r="AO517" s="9"/>
      <c r="AP517" s="9"/>
      <c r="AQ517" s="9">
        <f>+FL_2($T$518,$T$516,$G$517,1200,9.28, 1*$F$518)</f>
        <v>-0.36839079999999996</v>
      </c>
      <c r="AR517" s="9"/>
      <c r="AS517" s="9"/>
      <c r="AT517" s="9"/>
      <c r="AU517" s="428"/>
      <c r="AV517" s="428"/>
      <c r="AW517" s="449" t="str">
        <f>IF(C517&gt;0,VLOOKUP(C517,Foundation_Calc!$A$2:$C$13,3,1),
IF(J517&gt;0,VLOOKUP(J517,Foundation_Calc!$A$2:$C$13,3,1),""))</f>
        <v/>
      </c>
      <c r="AX517" s="449" t="str">
        <f>IF(C517&gt;0,VLOOKUP(C517,Foundation_Calc!$E$35:$G$65,3,1),
IF(J517&gt;0,VLOOKUP(J517,Foundation_Calc!$E$35:$G$65,3,1),""))</f>
        <v/>
      </c>
      <c r="AY517" s="10" t="str">
        <f>IF(L517="","",
IF(AX517="PT",VLOOKUP(L517,Foundation_Calc!$K$79:$R$113,VLOOKUP(AW517,Foundation_Calc!$I$2:$J$8,2,FALSE),0),
IF(AX517="K",VLOOKUP(L517,Foundation_Calc!$K$117:$R$151,VLOOKUP(AW517,Foundation_Calc!$I$2:$J$8,2,FALSE),0),"")))</f>
        <v/>
      </c>
      <c r="AZ517" s="10" t="str">
        <f>IF(K517="","",
IF(AX517="PT",VLOOKUP(K517,Foundation_Calc!$K$79:$R$113,VLOOKUP(AW517,Foundation_Calc!$I$2:$J$8,2,FALSE),0),
IF(AX517="K",VLOOKUP(K517,Foundation_Calc!$K$117:$R$151,VLOOKUP(AW517,Foundation_Calc!$I$2:$J$8,2,FALSE),0),"")))</f>
        <v/>
      </c>
      <c r="BA517" s="495" t="str">
        <f t="shared" si="61"/>
        <v/>
      </c>
      <c r="BB517" s="495" t="str">
        <f t="shared" si="62"/>
        <v/>
      </c>
      <c r="BC517" s="495" t="str">
        <f t="shared" si="63"/>
        <v/>
      </c>
      <c r="BD517" s="513" t="str">
        <f>IF(AND(L517="",H517=""),"",
IF(H517="",Pole_Calc!A$9,
IF(H517="MP",Pole_Calc!A$10,
IF(H517="AnMP",Pole_Calc!A$11,
IF(H517="A",Pole_Calc!A$12,
IF(H517="S/A",Pole_Calc!A$13,
IF(H517="A/S",Pole_Calc!A$14,"Poner a mano")))))))</f>
        <v/>
      </c>
      <c r="BE517" s="429" t="s">
        <v>118</v>
      </c>
      <c r="BF517" s="290"/>
      <c r="BG517" s="290"/>
      <c r="BH517" s="290"/>
      <c r="BI517" s="290"/>
    </row>
    <row r="518" spans="1:61" ht="15.75" customHeight="1">
      <c r="A518" s="514"/>
      <c r="B518" s="450" t="s">
        <v>1205</v>
      </c>
      <c r="C518" s="3">
        <f>+$C$516+$G$517</f>
        <v>42395.080000000016</v>
      </c>
      <c r="D518" s="83"/>
      <c r="E518" s="4"/>
      <c r="F518" s="4">
        <v>0</v>
      </c>
      <c r="G518" s="6"/>
      <c r="H518" s="449"/>
      <c r="I518" s="4"/>
      <c r="J518" s="3"/>
      <c r="K518" s="449"/>
      <c r="L518" s="449" t="s">
        <v>153</v>
      </c>
      <c r="M518" s="449" t="str">
        <f>IF(L518="","",
IF(AX518="PT",VLOOKUP(L518,Foundation_Calc!$V$79:$X$113,VLOOKUP(AX518,Foundation_Calc!$I$10:$J$13,2,FALSE),0),
IF(AX518="K",VLOOKUP(L518,Foundation_Calc!$V$117:$X$151,VLOOKUP(AX518,Foundation_Calc!$I$10:$J$13,2,FALSE),0),"")))</f>
        <v>C3R</v>
      </c>
      <c r="N518" s="449" t="s">
        <v>124</v>
      </c>
      <c r="O518" s="449"/>
      <c r="P518" s="449"/>
      <c r="Q518" s="4"/>
      <c r="R518" s="6"/>
      <c r="S518" s="6"/>
      <c r="T518" s="4">
        <v>-35</v>
      </c>
      <c r="U518" s="4"/>
      <c r="V518" s="4"/>
      <c r="W518" s="9">
        <v>1.4</v>
      </c>
      <c r="X518" s="9"/>
      <c r="Y518" s="9"/>
      <c r="Z518" s="9"/>
      <c r="AA518" s="9"/>
      <c r="AB518" s="9"/>
      <c r="AC518" s="449" t="str">
        <f t="shared" si="57"/>
        <v>PHQ</v>
      </c>
      <c r="AD518" s="449"/>
      <c r="AE518" s="449"/>
      <c r="AF518" s="4"/>
      <c r="AG518" s="83"/>
      <c r="AH518" s="4"/>
      <c r="AI518" s="4"/>
      <c r="AJ518" s="449"/>
      <c r="AK518" s="449"/>
      <c r="AL518" s="449"/>
      <c r="AM518" s="449" t="s">
        <v>126</v>
      </c>
      <c r="AN518" s="10">
        <v>5.5</v>
      </c>
      <c r="AO518" s="9"/>
      <c r="AP518" s="9"/>
      <c r="AQ518" s="9"/>
      <c r="AR518" s="9"/>
      <c r="AS518" s="9"/>
      <c r="AT518" s="9">
        <f>+ab($T$518,$T$516,$T$520,$G$517,$G$519, 1*$F$518,1200)</f>
        <v>-7.0710297839483092</v>
      </c>
      <c r="AU518" s="428"/>
      <c r="AV518" s="428"/>
      <c r="AW518" s="449" t="str">
        <f>IF(C518&gt;0,VLOOKUP(C518,Foundation_Calc!$A$2:$C$13,3,1),
IF(J518&gt;0,VLOOKUP(J518,Foundation_Calc!$A$2:$C$13,3,1),""))</f>
        <v>Multi Soil</v>
      </c>
      <c r="AX518" s="449" t="str">
        <f>IF(C518&gt;0,VLOOKUP(C518,Foundation_Calc!$E$35:$G$65,3,1),
IF(J518&gt;0,VLOOKUP(J518,Foundation_Calc!$E$35:$G$65,3,1),""))</f>
        <v>PT</v>
      </c>
      <c r="AY518" s="10">
        <f>IF(L518="","",
IF(AX518="PT",VLOOKUP(L518,Foundation_Calc!$K$79:$R$113,VLOOKUP(AW518,Foundation_Calc!$I$2:$J$8,2,FALSE),0),
IF(AX518="K",VLOOKUP(L518,Foundation_Calc!$K$117:$R$151,VLOOKUP(AW518,Foundation_Calc!$I$2:$J$8,2,FALSE),0),"")))</f>
        <v>3.5</v>
      </c>
      <c r="AZ518" s="10" t="str">
        <f>IF(K518="","",
IF(AX518="PT",VLOOKUP(K518,Foundation_Calc!$K$79:$R$113,VLOOKUP(AW518,Foundation_Calc!$I$2:$J$8,2,FALSE),0),
IF(AX518="K",VLOOKUP(K518,Foundation_Calc!$K$117:$R$151,VLOOKUP(AW518,Foundation_Calc!$I$2:$J$8,2,FALSE),0),"")))</f>
        <v/>
      </c>
      <c r="BA518" s="495" t="str">
        <f t="shared" si="61"/>
        <v>ü</v>
      </c>
      <c r="BB518" s="495" t="str">
        <f t="shared" si="62"/>
        <v/>
      </c>
      <c r="BC518" s="495" t="str">
        <f t="shared" si="63"/>
        <v/>
      </c>
      <c r="BD518" s="513" t="str">
        <f>IF(AND(L518="",H518=""),"",
IF(H518="",Pole_Calc!A$9,
IF(H518="MP",Pole_Calc!A$10,
IF(H518="AnMP",Pole_Calc!A$11,
IF(H518="A",Pole_Calc!A$12,
IF(H518="S/A",Pole_Calc!A$13,
IF(H518="A/S",Pole_Calc!A$14,"Poner a mano")))))))</f>
        <v>App.7-V11I-P9.5.1.1</v>
      </c>
      <c r="BE518" s="429" t="s">
        <v>118</v>
      </c>
      <c r="BF518" s="289"/>
      <c r="BG518" s="289"/>
      <c r="BH518" s="290"/>
      <c r="BI518" s="289"/>
    </row>
    <row r="519" spans="1:61" ht="15.75" customHeight="1">
      <c r="A519" s="514"/>
      <c r="B519" s="450"/>
      <c r="C519" s="3"/>
      <c r="D519" s="83"/>
      <c r="E519" s="4"/>
      <c r="F519" s="4"/>
      <c r="G519" s="6">
        <v>50</v>
      </c>
      <c r="H519" s="449"/>
      <c r="I519" s="4"/>
      <c r="J519" s="3"/>
      <c r="K519" s="449"/>
      <c r="L519" s="449"/>
      <c r="M519" s="449" t="str">
        <f>IF(L519="","",
IF(AX519="PT",VLOOKUP(L519,Foundation_Calc!$V$79:$X$113,VLOOKUP(AX519,Foundation_Calc!$I$10:$J$13,2,FALSE),0),
IF(AX519="K",VLOOKUP(L519,Foundation_Calc!$V$117:$X$151,VLOOKUP(AX519,Foundation_Calc!$I$10:$J$13,2,FALSE),0),"")))</f>
        <v/>
      </c>
      <c r="N519" s="449"/>
      <c r="O519" s="449"/>
      <c r="P519" s="449"/>
      <c r="Q519" s="4"/>
      <c r="R519" s="6"/>
      <c r="S519" s="6"/>
      <c r="T519" s="4"/>
      <c r="U519" s="4"/>
      <c r="V519" s="4"/>
      <c r="W519" s="9"/>
      <c r="X519" s="9"/>
      <c r="Y519" s="9"/>
      <c r="Z519" s="9"/>
      <c r="AA519" s="9"/>
      <c r="AB519" s="9"/>
      <c r="AC519" s="449" t="str">
        <f t="shared" si="57"/>
        <v/>
      </c>
      <c r="AD519" s="449"/>
      <c r="AE519" s="449"/>
      <c r="AF519" s="4"/>
      <c r="AG519" s="83"/>
      <c r="AH519" s="4"/>
      <c r="AI519" s="4"/>
      <c r="AJ519" s="449"/>
      <c r="AK519" s="449"/>
      <c r="AL519" s="449"/>
      <c r="AM519" s="449"/>
      <c r="AN519" s="10"/>
      <c r="AO519" s="9"/>
      <c r="AP519" s="9"/>
      <c r="AQ519" s="9">
        <f>+FL_2($T$520,$T$518,$G$519,1200,9.28, 1*$F$520)</f>
        <v>-0.37593390799999998</v>
      </c>
      <c r="AR519" s="9"/>
      <c r="AS519" s="9"/>
      <c r="AT519" s="9"/>
      <c r="AU519" s="428"/>
      <c r="AV519" s="428"/>
      <c r="AW519" s="449" t="str">
        <f>IF(C519&gt;0,VLOOKUP(C519,Foundation_Calc!$A$2:$C$13,3,1),
IF(J519&gt;0,VLOOKUP(J519,Foundation_Calc!$A$2:$C$13,3,1),""))</f>
        <v/>
      </c>
      <c r="AX519" s="449" t="str">
        <f>IF(C519&gt;0,VLOOKUP(C519,Foundation_Calc!$E$35:$G$65,3,1),
IF(J519&gt;0,VLOOKUP(J519,Foundation_Calc!$E$35:$G$65,3,1),""))</f>
        <v/>
      </c>
      <c r="AY519" s="10" t="str">
        <f>IF(L519="","",
IF(AX519="PT",VLOOKUP(L519,Foundation_Calc!$K$79:$R$113,VLOOKUP(AW519,Foundation_Calc!$I$2:$J$8,2,FALSE),0),
IF(AX519="K",VLOOKUP(L519,Foundation_Calc!$K$117:$R$151,VLOOKUP(AW519,Foundation_Calc!$I$2:$J$8,2,FALSE),0),"")))</f>
        <v/>
      </c>
      <c r="AZ519" s="10" t="str">
        <f>IF(K519="","",
IF(AX519="PT",VLOOKUP(K519,Foundation_Calc!$K$79:$R$113,VLOOKUP(AW519,Foundation_Calc!$I$2:$J$8,2,FALSE),0),
IF(AX519="K",VLOOKUP(K519,Foundation_Calc!$K$117:$R$151,VLOOKUP(AW519,Foundation_Calc!$I$2:$J$8,2,FALSE),0),"")))</f>
        <v/>
      </c>
      <c r="BA519" s="495" t="str">
        <f t="shared" si="61"/>
        <v/>
      </c>
      <c r="BB519" s="495" t="str">
        <f t="shared" si="62"/>
        <v/>
      </c>
      <c r="BC519" s="495" t="str">
        <f t="shared" si="63"/>
        <v/>
      </c>
      <c r="BD519" s="513" t="str">
        <f>IF(AND(L519="",H519=""),"",
IF(H519="",Pole_Calc!A$9,
IF(H519="MP",Pole_Calc!A$10,
IF(H519="AnMP",Pole_Calc!A$11,
IF(H519="A",Pole_Calc!A$12,
IF(H519="S/A",Pole_Calc!A$13,
IF(H519="A/S",Pole_Calc!A$14,"Poner a mano")))))))</f>
        <v/>
      </c>
      <c r="BE519" s="429" t="s">
        <v>118</v>
      </c>
      <c r="BF519" s="290"/>
      <c r="BG519" s="290"/>
      <c r="BH519" s="290"/>
      <c r="BI519" s="290"/>
    </row>
    <row r="520" spans="1:61" ht="15.75" customHeight="1">
      <c r="A520" s="514"/>
      <c r="B520" s="450" t="s">
        <v>1206</v>
      </c>
      <c r="C520" s="3">
        <f>+$C$518+$G$519</f>
        <v>42445.080000000016</v>
      </c>
      <c r="D520" s="83"/>
      <c r="E520" s="4"/>
      <c r="F520" s="4">
        <v>0</v>
      </c>
      <c r="G520" s="6"/>
      <c r="H520" s="449"/>
      <c r="I520" s="4"/>
      <c r="J520" s="3"/>
      <c r="K520" s="449"/>
      <c r="L520" s="449" t="s">
        <v>153</v>
      </c>
      <c r="M520" s="449" t="str">
        <f>IF(L520="","",
IF(AX520="PT",VLOOKUP(L520,Foundation_Calc!$V$79:$X$113,VLOOKUP(AX520,Foundation_Calc!$I$10:$J$13,2,FALSE),0),
IF(AX520="K",VLOOKUP(L520,Foundation_Calc!$V$117:$X$151,VLOOKUP(AX520,Foundation_Calc!$I$10:$J$13,2,FALSE),0),"")))</f>
        <v>C3R</v>
      </c>
      <c r="N520" s="449" t="s">
        <v>134</v>
      </c>
      <c r="O520" s="449"/>
      <c r="P520" s="449"/>
      <c r="Q520" s="4"/>
      <c r="R520" s="6"/>
      <c r="S520" s="6"/>
      <c r="T520" s="4">
        <v>30</v>
      </c>
      <c r="U520" s="4"/>
      <c r="V520" s="4"/>
      <c r="W520" s="9">
        <v>1.4</v>
      </c>
      <c r="X520" s="9"/>
      <c r="Y520" s="9"/>
      <c r="Z520" s="9"/>
      <c r="AA520" s="9"/>
      <c r="AB520" s="9"/>
      <c r="AC520" s="449" t="str">
        <f t="shared" si="57"/>
        <v>PH</v>
      </c>
      <c r="AD520" s="449"/>
      <c r="AE520" s="449"/>
      <c r="AF520" s="4"/>
      <c r="AG520" s="83"/>
      <c r="AH520" s="4"/>
      <c r="AI520" s="4"/>
      <c r="AJ520" s="449"/>
      <c r="AK520" s="449"/>
      <c r="AL520" s="449"/>
      <c r="AM520" s="449" t="s">
        <v>126</v>
      </c>
      <c r="AN520" s="10">
        <v>5.5</v>
      </c>
      <c r="AO520" s="9"/>
      <c r="AP520" s="9"/>
      <c r="AQ520" s="9"/>
      <c r="AR520" s="9"/>
      <c r="AS520" s="9"/>
      <c r="AT520" s="9">
        <f>+ab($T$520,$T$518,$T$522,$G$519,$G$521, 1*$F$520,1200)</f>
        <v>8.2849103461709834</v>
      </c>
      <c r="AU520" s="428"/>
      <c r="AV520" s="428"/>
      <c r="AW520" s="449" t="str">
        <f>IF(C520&gt;0,VLOOKUP(C520,Foundation_Calc!$A$2:$C$13,3,1),
IF(J520&gt;0,VLOOKUP(J520,Foundation_Calc!$A$2:$C$13,3,1),""))</f>
        <v>Multi Soil</v>
      </c>
      <c r="AX520" s="449" t="str">
        <f>IF(C520&gt;0,VLOOKUP(C520,Foundation_Calc!$E$35:$G$65,3,1),
IF(J520&gt;0,VLOOKUP(J520,Foundation_Calc!$E$35:$G$65,3,1),""))</f>
        <v>PT</v>
      </c>
      <c r="AY520" s="10">
        <f>IF(L520="","",
IF(AX520="PT",VLOOKUP(L520,Foundation_Calc!$K$79:$R$113,VLOOKUP(AW520,Foundation_Calc!$I$2:$J$8,2,FALSE),0),
IF(AX520="K",VLOOKUP(L520,Foundation_Calc!$K$117:$R$151,VLOOKUP(AW520,Foundation_Calc!$I$2:$J$8,2,FALSE),0),"")))</f>
        <v>3.5</v>
      </c>
      <c r="AZ520" s="10" t="str">
        <f>IF(K520="","",
IF(AX520="PT",VLOOKUP(K520,Foundation_Calc!$K$79:$R$113,VLOOKUP(AW520,Foundation_Calc!$I$2:$J$8,2,FALSE),0),
IF(AX520="K",VLOOKUP(K520,Foundation_Calc!$K$117:$R$151,VLOOKUP(AW520,Foundation_Calc!$I$2:$J$8,2,FALSE),0),"")))</f>
        <v/>
      </c>
      <c r="BA520" s="495" t="str">
        <f t="shared" si="61"/>
        <v>ü</v>
      </c>
      <c r="BB520" s="495" t="str">
        <f t="shared" si="62"/>
        <v/>
      </c>
      <c r="BC520" s="495" t="str">
        <f t="shared" si="63"/>
        <v/>
      </c>
      <c r="BD520" s="513" t="str">
        <f>IF(AND(L520="",H520=""),"",
IF(H520="",Pole_Calc!A$9,
IF(H520="MP",Pole_Calc!A$10,
IF(H520="AnMP",Pole_Calc!A$11,
IF(H520="A",Pole_Calc!A$12,
IF(H520="S/A",Pole_Calc!A$13,
IF(H520="A/S",Pole_Calc!A$14,"Poner a mano")))))))</f>
        <v>App.7-V11I-P9.5.1.1</v>
      </c>
      <c r="BE520" s="429" t="s">
        <v>118</v>
      </c>
      <c r="BF520" s="289"/>
      <c r="BG520" s="289"/>
      <c r="BH520" s="290"/>
      <c r="BI520" s="289"/>
    </row>
    <row r="521" spans="1:61" ht="15.75" customHeight="1">
      <c r="A521" s="514"/>
      <c r="B521" s="450"/>
      <c r="C521" s="3"/>
      <c r="D521" s="83"/>
      <c r="E521" s="4"/>
      <c r="F521" s="4"/>
      <c r="G521" s="6">
        <v>55</v>
      </c>
      <c r="H521" s="449"/>
      <c r="I521" s="4"/>
      <c r="J521" s="3">
        <f>C522-7.5</f>
        <v>42492.580000000016</v>
      </c>
      <c r="K521" s="449" t="s">
        <v>117</v>
      </c>
      <c r="L521" s="449"/>
      <c r="M521" s="449" t="str">
        <f>IF(L521="","",
IF(AX521="PT",VLOOKUP(L521,Foundation_Calc!$V$79:$X$113,VLOOKUP(AX521,Foundation_Calc!$I$10:$J$13,2,FALSE),0),
IF(AX521="K",VLOOKUP(L521,Foundation_Calc!$V$117:$X$151,VLOOKUP(AX521,Foundation_Calc!$I$10:$J$13,2,FALSE),0),"")))</f>
        <v/>
      </c>
      <c r="N521" s="449"/>
      <c r="O521" s="561"/>
      <c r="P521" s="449"/>
      <c r="Q521" s="4"/>
      <c r="R521" s="6"/>
      <c r="S521" s="6"/>
      <c r="T521" s="4"/>
      <c r="U521" s="4"/>
      <c r="V521" s="4"/>
      <c r="W521" s="9"/>
      <c r="X521" s="9"/>
      <c r="Y521" s="9"/>
      <c r="Z521" s="9"/>
      <c r="AA521" s="9"/>
      <c r="AB521" s="9"/>
      <c r="AC521" s="449" t="str">
        <f t="shared" si="57"/>
        <v/>
      </c>
      <c r="AD521" s="449"/>
      <c r="AE521" s="449"/>
      <c r="AF521" s="4"/>
      <c r="AG521" s="83"/>
      <c r="AH521" s="4"/>
      <c r="AI521" s="4"/>
      <c r="AJ521" s="449"/>
      <c r="AK521" s="449"/>
      <c r="AL521" s="449"/>
      <c r="AM521" s="449"/>
      <c r="AN521" s="10"/>
      <c r="AO521" s="9"/>
      <c r="AP521" s="9"/>
      <c r="AQ521" s="9">
        <f>+FL_1($T$522,$T$520,$G$521,1200,9.28, 1*$F$522)</f>
        <v>0.38207183866666655</v>
      </c>
      <c r="AR521" s="9"/>
      <c r="AS521" s="9"/>
      <c r="AT521" s="9"/>
      <c r="AU521" s="428"/>
      <c r="AV521" s="428"/>
      <c r="AW521" s="449" t="str">
        <f>IF(C521&gt;0,VLOOKUP(C521,Foundation_Calc!$A$2:$C$13,3,1),
IF(J521&gt;0,VLOOKUP(J521,Foundation_Calc!$A$2:$C$13,3,1),""))</f>
        <v>Multi Soil</v>
      </c>
      <c r="AX521" s="449" t="str">
        <f>IF(C521&gt;0,VLOOKUP(C521,Foundation_Calc!$E$35:$G$65,3,1),
IF(J521&gt;0,VLOOKUP(J521,Foundation_Calc!$E$35:$G$65,3,1),""))</f>
        <v>PT</v>
      </c>
      <c r="AY521" s="10" t="str">
        <f>IF(L521="","",
IF(AX521="PT",VLOOKUP(L521,Foundation_Calc!$K$79:$R$113,VLOOKUP(AW521,Foundation_Calc!$I$2:$J$8,2,FALSE),0),
IF(AX521="K",VLOOKUP(L521,Foundation_Calc!$K$117:$R$151,VLOOKUP(AW521,Foundation_Calc!$I$2:$J$8,2,FALSE),0),"")))</f>
        <v/>
      </c>
      <c r="AZ521" s="10">
        <f>IF(K521="","",
IF(AX521="PT",VLOOKUP(K521,Foundation_Calc!$K$79:$R$113,VLOOKUP(AW521,Foundation_Calc!$I$2:$J$8,2,FALSE),0),
IF(AX521="K",VLOOKUP(K521,Foundation_Calc!$K$117:$R$151,VLOOKUP(AW521,Foundation_Calc!$I$2:$J$8,2,FALSE),0),"")))</f>
        <v>3.9</v>
      </c>
      <c r="BA521" s="495" t="str">
        <f t="shared" si="61"/>
        <v/>
      </c>
      <c r="BB521" s="495" t="str">
        <f t="shared" si="62"/>
        <v>ü</v>
      </c>
      <c r="BC521" s="495" t="str">
        <f t="shared" si="63"/>
        <v/>
      </c>
      <c r="BD521" s="513" t="str">
        <f>IF(AND(L521="",H521=""),"",
IF(H521="",Pole_Calc!A$9,
IF(H521="MP",Pole_Calc!A$10,
IF(H521="AnMP",Pole_Calc!A$11,
IF(H521="A",Pole_Calc!A$12,
IF(H521="S/A",Pole_Calc!A$13,
IF(H521="A/S",Pole_Calc!A$14,"Poner a mano")))))))</f>
        <v/>
      </c>
      <c r="BE521" s="429" t="s">
        <v>118</v>
      </c>
      <c r="BF521" s="290"/>
      <c r="BG521" s="290"/>
      <c r="BH521" s="290"/>
      <c r="BI521" s="290"/>
    </row>
    <row r="522" spans="1:61" ht="15.75" customHeight="1">
      <c r="A522" s="514"/>
      <c r="B522" s="450" t="s">
        <v>1207</v>
      </c>
      <c r="C522" s="3">
        <f>+$C$520+$G$521</f>
        <v>42500.080000000016</v>
      </c>
      <c r="D522" s="83"/>
      <c r="E522" s="4"/>
      <c r="F522" s="4">
        <v>0</v>
      </c>
      <c r="G522" s="6"/>
      <c r="H522" s="449" t="s">
        <v>121</v>
      </c>
      <c r="I522" s="4" t="s">
        <v>122</v>
      </c>
      <c r="J522" s="3"/>
      <c r="K522" s="449"/>
      <c r="L522" s="449" t="s">
        <v>151</v>
      </c>
      <c r="M522" s="449" t="str">
        <f>IF(L522="","",
IF(AX522="PT",VLOOKUP(L522,Foundation_Calc!$V$79:$X$113,VLOOKUP(AX522,Foundation_Calc!$I$10:$J$13,2,FALSE),0),
IF(AX522="K",VLOOKUP(L522,Foundation_Calc!$V$117:$X$151,VLOOKUP(AX522,Foundation_Calc!$I$10:$J$13,2,FALSE),0),"")))</f>
        <v>C4R</v>
      </c>
      <c r="N522" s="449" t="s">
        <v>124</v>
      </c>
      <c r="O522" s="449"/>
      <c r="P522" s="449"/>
      <c r="Q522" s="4"/>
      <c r="R522" s="6"/>
      <c r="S522" s="6"/>
      <c r="T522" s="4">
        <v>-25</v>
      </c>
      <c r="U522" s="4"/>
      <c r="V522" s="4"/>
      <c r="W522" s="9">
        <v>1.4</v>
      </c>
      <c r="X522" s="9"/>
      <c r="Y522" s="9"/>
      <c r="Z522" s="9"/>
      <c r="AA522" s="9"/>
      <c r="AB522" s="9"/>
      <c r="AC522" s="449" t="str">
        <f t="shared" si="57"/>
        <v>PH</v>
      </c>
      <c r="AD522" s="449"/>
      <c r="AE522" s="449"/>
      <c r="AF522" s="4"/>
      <c r="AG522" s="83"/>
      <c r="AH522" s="4"/>
      <c r="AI522" s="4"/>
      <c r="AJ522" s="449"/>
      <c r="AK522" s="449"/>
      <c r="AL522" s="449"/>
      <c r="AM522" s="449" t="s">
        <v>126</v>
      </c>
      <c r="AN522" s="10">
        <v>5.5</v>
      </c>
      <c r="AO522" s="9"/>
      <c r="AP522" s="9"/>
      <c r="AQ522" s="9"/>
      <c r="AR522" s="9"/>
      <c r="AS522" s="9"/>
      <c r="AT522" s="9">
        <f>+ab($T$522,$T$520,$U$524,$G$521,$G$523, 1*$F$522,1200)</f>
        <v>-11.211624114121818</v>
      </c>
      <c r="AU522" s="428"/>
      <c r="AV522" s="428"/>
      <c r="AW522" s="449" t="str">
        <f>IF(C522&gt;0,VLOOKUP(C522,Foundation_Calc!$A$2:$C$13,3,1),
IF(J522&gt;0,VLOOKUP(J522,Foundation_Calc!$A$2:$C$13,3,1),""))</f>
        <v>Multi Soil</v>
      </c>
      <c r="AX522" s="449" t="str">
        <f>IF(C522&gt;0,VLOOKUP(C522,Foundation_Calc!$E$35:$G$65,3,1),
IF(J522&gt;0,VLOOKUP(J522,Foundation_Calc!$E$35:$G$65,3,1),""))</f>
        <v>PT</v>
      </c>
      <c r="AY522" s="10">
        <f>IF(L522="","",
IF(AX522="PT",VLOOKUP(L522,Foundation_Calc!$K$79:$R$113,VLOOKUP(AW522,Foundation_Calc!$I$2:$J$8,2,FALSE),0),
IF(AX522="K",VLOOKUP(L522,Foundation_Calc!$K$117:$R$151,VLOOKUP(AW522,Foundation_Calc!$I$2:$J$8,2,FALSE),0),"")))</f>
        <v>3.5</v>
      </c>
      <c r="AZ522" s="10" t="str">
        <f>IF(K522="","",
IF(AX522="PT",VLOOKUP(K522,Foundation_Calc!$K$79:$R$113,VLOOKUP(AW522,Foundation_Calc!$I$2:$J$8,2,FALSE),0),
IF(AX522="K",VLOOKUP(K522,Foundation_Calc!$K$117:$R$151,VLOOKUP(AW522,Foundation_Calc!$I$2:$J$8,2,FALSE),0),"")))</f>
        <v/>
      </c>
      <c r="BA522" s="495" t="str">
        <f t="shared" si="61"/>
        <v>ü</v>
      </c>
      <c r="BB522" s="495" t="str">
        <f t="shared" si="62"/>
        <v/>
      </c>
      <c r="BC522" s="495" t="str">
        <f t="shared" si="63"/>
        <v/>
      </c>
      <c r="BD522" s="513" t="str">
        <f>IF(AND(L522="",H522=""),"",
IF(H522="",Pole_Calc!A$9,
IF(H522="MP",Pole_Calc!A$10,
IF(H522="AnMP",Pole_Calc!A$11,
IF(H522="A",Pole_Calc!A$12,
IF(H522="S/A",Pole_Calc!A$13,
IF(H522="A/S",Pole_Calc!A$14,"Poner a mano")))))))</f>
        <v>App.7-V11I-P9.5.1.6</v>
      </c>
      <c r="BE522" s="429" t="s">
        <v>118</v>
      </c>
      <c r="BF522" s="289"/>
      <c r="BG522" s="289"/>
      <c r="BH522" s="290"/>
      <c r="BI522" s="289"/>
    </row>
    <row r="523" spans="1:61" ht="15.75" customHeight="1">
      <c r="A523" s="518"/>
      <c r="B523" s="450"/>
      <c r="C523" s="3"/>
      <c r="D523" s="83"/>
      <c r="E523" s="4"/>
      <c r="F523" s="4"/>
      <c r="G523" s="6">
        <v>58</v>
      </c>
      <c r="H523" s="449"/>
      <c r="I523" s="4"/>
      <c r="J523" s="3"/>
      <c r="K523" s="449"/>
      <c r="L523" s="449"/>
      <c r="M523" s="449" t="str">
        <f>IF(L523="","",
IF(AX523="PT",VLOOKUP(L523,Foundation_Calc!$V$79:$X$113,VLOOKUP(AX523,Foundation_Calc!$I$10:$J$13,2,FALSE),0),
IF(AX523="K",VLOOKUP(L523,Foundation_Calc!$V$117:$X$151,VLOOKUP(AX523,Foundation_Calc!$I$10:$J$13,2,FALSE),0),"")))</f>
        <v/>
      </c>
      <c r="N523" s="449"/>
      <c r="O523" s="449"/>
      <c r="P523" s="449"/>
      <c r="Q523" s="4"/>
      <c r="R523" s="6"/>
      <c r="S523" s="6"/>
      <c r="T523" s="4"/>
      <c r="U523" s="4"/>
      <c r="V523" s="4"/>
      <c r="W523" s="9"/>
      <c r="X523" s="9"/>
      <c r="Y523" s="9"/>
      <c r="Z523" s="9"/>
      <c r="AA523" s="9"/>
      <c r="AB523" s="9"/>
      <c r="AC523" s="449" t="str">
        <f t="shared" si="57"/>
        <v/>
      </c>
      <c r="AD523" s="449"/>
      <c r="AE523" s="449"/>
      <c r="AF523" s="4"/>
      <c r="AG523" s="83"/>
      <c r="AH523" s="4"/>
      <c r="AI523" s="4"/>
      <c r="AJ523" s="449"/>
      <c r="AK523" s="449"/>
      <c r="AL523" s="449"/>
      <c r="AM523" s="449"/>
      <c r="AN523" s="10"/>
      <c r="AO523" s="9"/>
      <c r="AP523" s="9"/>
      <c r="AQ523" s="9">
        <f>+FL_2($U$524,$T$522,$G$523,1200,9.28, 1*$F$524)</f>
        <v>-0.40593823337931034</v>
      </c>
      <c r="AR523" s="9"/>
      <c r="AS523" s="9"/>
      <c r="AT523" s="9"/>
      <c r="AU523" s="428"/>
      <c r="AV523" s="428"/>
      <c r="AW523" s="449" t="str">
        <f>IF(C523&gt;0,VLOOKUP(C523,Foundation_Calc!$A$2:$C$13,3,1),
IF(J523&gt;0,VLOOKUP(J523,Foundation_Calc!$A$2:$C$13,3,1),""))</f>
        <v/>
      </c>
      <c r="AX523" s="449" t="str">
        <f>IF(C523&gt;0,VLOOKUP(C523,Foundation_Calc!$E$35:$G$65,3,1),
IF(J523&gt;0,VLOOKUP(J523,Foundation_Calc!$E$35:$G$65,3,1),""))</f>
        <v/>
      </c>
      <c r="AY523" s="10" t="str">
        <f>IF(L523="","",
IF(AX523="PT",VLOOKUP(L523,Foundation_Calc!$K$79:$R$113,VLOOKUP(AW523,Foundation_Calc!$I$2:$J$8,2,FALSE),0),
IF(AX523="K",VLOOKUP(L523,Foundation_Calc!$K$117:$R$151,VLOOKUP(AW523,Foundation_Calc!$I$2:$J$8,2,FALSE),0),"")))</f>
        <v/>
      </c>
      <c r="AZ523" s="10" t="str">
        <f>IF(K523="","",
IF(AX523="PT",VLOOKUP(K523,Foundation_Calc!$K$79:$R$113,VLOOKUP(AW523,Foundation_Calc!$I$2:$J$8,2,FALSE),0),
IF(AX523="K",VLOOKUP(K523,Foundation_Calc!$K$117:$R$151,VLOOKUP(AW523,Foundation_Calc!$I$2:$J$8,2,FALSE),0),"")))</f>
        <v/>
      </c>
      <c r="BA523" s="495" t="str">
        <f t="shared" si="61"/>
        <v/>
      </c>
      <c r="BB523" s="495" t="str">
        <f t="shared" si="62"/>
        <v/>
      </c>
      <c r="BC523" s="495" t="str">
        <f t="shared" si="63"/>
        <v/>
      </c>
      <c r="BD523" s="513" t="str">
        <f>IF(AND(L523="",H523=""),"",
IF(H523="",Pole_Calc!A$9,
IF(H523="MP",Pole_Calc!A$10,
IF(H523="AnMP",Pole_Calc!A$11,
IF(H523="A",Pole_Calc!A$12,
IF(H523="S/A",Pole_Calc!A$13,
IF(H523="A/S",Pole_Calc!A$14,"Poner a mano")))))))</f>
        <v/>
      </c>
      <c r="BE523" s="429" t="s">
        <v>118</v>
      </c>
      <c r="BF523" s="290"/>
      <c r="BG523" s="290"/>
      <c r="BH523" s="290"/>
      <c r="BI523" s="290"/>
    </row>
    <row r="524" spans="1:61" ht="17.45" customHeight="1">
      <c r="A524" s="629"/>
      <c r="B524" s="450" t="s">
        <v>1208</v>
      </c>
      <c r="C524" s="3">
        <f>+$C$522+$G$523</f>
        <v>42558.080000000016</v>
      </c>
      <c r="D524" s="83"/>
      <c r="E524" s="4"/>
      <c r="F524" s="4">
        <v>0</v>
      </c>
      <c r="G524" s="6"/>
      <c r="H524" s="449" t="s">
        <v>131</v>
      </c>
      <c r="I524" s="4"/>
      <c r="J524" s="3"/>
      <c r="K524" s="449"/>
      <c r="L524" s="449" t="s">
        <v>158</v>
      </c>
      <c r="M524" s="449" t="str">
        <f>IF(L524="","",
IF(AX524="PT",VLOOKUP(L524,Foundation_Calc!$V$79:$X$113,VLOOKUP(AX524,Foundation_Calc!$I$10:$J$13,2,FALSE),0),
IF(AX524="K",VLOOKUP(L524,Foundation_Calc!$V$117:$X$151,VLOOKUP(AX524,Foundation_Calc!$I$10:$J$13,2,FALSE),0),"")))</f>
        <v>C4R</v>
      </c>
      <c r="N524" s="449" t="s">
        <v>133</v>
      </c>
      <c r="O524" s="449" t="s">
        <v>134</v>
      </c>
      <c r="P524" s="449"/>
      <c r="Q524" s="4"/>
      <c r="R524" s="6"/>
      <c r="S524" s="6"/>
      <c r="T524" s="4">
        <v>35</v>
      </c>
      <c r="U524" s="4">
        <v>15</v>
      </c>
      <c r="V524" s="4"/>
      <c r="W524" s="9">
        <v>1.4</v>
      </c>
      <c r="X524" s="9">
        <v>2.2999999999999998</v>
      </c>
      <c r="Y524" s="9"/>
      <c r="Z524" s="9">
        <v>0.5</v>
      </c>
      <c r="AA524" s="9"/>
      <c r="AB524" s="9"/>
      <c r="AC524" s="449"/>
      <c r="AD524" s="449"/>
      <c r="AE524" s="449"/>
      <c r="AF524" s="4"/>
      <c r="AG524" s="83"/>
      <c r="AH524" s="4"/>
      <c r="AI524" s="4"/>
      <c r="AJ524" s="449"/>
      <c r="AK524" s="449"/>
      <c r="AL524" s="449"/>
      <c r="AM524" s="449" t="s">
        <v>126</v>
      </c>
      <c r="AN524" s="10">
        <v>5.5</v>
      </c>
      <c r="AO524" s="9"/>
      <c r="AP524" s="9"/>
      <c r="AQ524" s="9"/>
      <c r="AR524" s="9"/>
      <c r="AS524" s="9"/>
      <c r="AT524" s="9">
        <f>+ab($U$524,$T$522,$U$526,$G$523,$G$525, 1*$F$524,1200)</f>
        <v>11.831561674651988</v>
      </c>
      <c r="AU524" s="428"/>
      <c r="AV524" s="428"/>
      <c r="AW524" s="449" t="str">
        <f>IF(C524&gt;0,VLOOKUP(C524,Foundation_Calc!$A$2:$C$13,3,1),
IF(J524&gt;0,VLOOKUP(J524,Foundation_Calc!$A$2:$C$13,3,1),""))</f>
        <v>Multi Soil</v>
      </c>
      <c r="AX524" s="449" t="str">
        <f>IF(C524&gt;0,VLOOKUP(C524,Foundation_Calc!$E$35:$G$65,3,1),
IF(J524&gt;0,VLOOKUP(J524,Foundation_Calc!$E$35:$G$65,3,1),""))</f>
        <v>PT</v>
      </c>
      <c r="AY524" s="10">
        <f>IF(L524="","",
IF(AX524="PT",VLOOKUP(L524,Foundation_Calc!$K$79:$R$113,VLOOKUP(AW524,Foundation_Calc!$I$2:$J$8,2,FALSE),0),
IF(AX524="K",VLOOKUP(L524,Foundation_Calc!$K$117:$R$151,VLOOKUP(AW524,Foundation_Calc!$I$2:$J$8,2,FALSE),0),"")))</f>
        <v>3.5</v>
      </c>
      <c r="AZ524" s="10" t="str">
        <f>IF(K524="","",
IF(AX524="PT",VLOOKUP(K524,Foundation_Calc!$K$79:$R$113,VLOOKUP(AW524,Foundation_Calc!$I$2:$J$8,2,FALSE),0),
IF(AX524="K",VLOOKUP(K524,Foundation_Calc!$K$117:$R$151,VLOOKUP(AW524,Foundation_Calc!$I$2:$J$8,2,FALSE),0),"")))</f>
        <v/>
      </c>
      <c r="BA524" s="495" t="str">
        <f t="shared" si="61"/>
        <v>ü</v>
      </c>
      <c r="BB524" s="495" t="str">
        <f t="shared" si="62"/>
        <v/>
      </c>
      <c r="BC524" s="495" t="str">
        <f t="shared" si="63"/>
        <v/>
      </c>
      <c r="BD524" s="513" t="str">
        <f>IF(AND(L524="",H524=""),"",
IF(H524="",Pole_Calc!A$9,
IF(H524="MP",Pole_Calc!A$10,
IF(H524="AnMP",Pole_Calc!A$11,
IF(H524="A",Pole_Calc!A$12,
IF(H524="S/A",Pole_Calc!A$13,
IF(H524="A/S",Pole_Calc!A$14,"Poner a mano")))))))</f>
        <v>App.7-V11I-P9.5.1.5</v>
      </c>
      <c r="BE524" s="429" t="s">
        <v>118</v>
      </c>
      <c r="BF524" s="289"/>
      <c r="BG524" s="289"/>
      <c r="BH524" s="290"/>
      <c r="BI524" s="289"/>
    </row>
    <row r="525" spans="1:61" ht="15.75" customHeight="1">
      <c r="A525" s="514"/>
      <c r="B525" s="450"/>
      <c r="C525" s="3"/>
      <c r="D525" s="83"/>
      <c r="E525" s="4"/>
      <c r="F525" s="4"/>
      <c r="G525" s="6">
        <v>55</v>
      </c>
      <c r="H525" s="449"/>
      <c r="I525" s="4"/>
      <c r="J525" s="3"/>
      <c r="K525" s="449"/>
      <c r="L525" s="449"/>
      <c r="M525" s="449" t="str">
        <f>IF(L525="","",
IF(AX525="PT",VLOOKUP(L525,Foundation_Calc!$V$79:$X$113,VLOOKUP(AX525,Foundation_Calc!$I$10:$J$13,2,FALSE),0),
IF(AX525="K",VLOOKUP(L525,Foundation_Calc!$V$117:$X$151,VLOOKUP(AX525,Foundation_Calc!$I$10:$J$13,2,FALSE),0),"")))</f>
        <v/>
      </c>
      <c r="N525" s="449"/>
      <c r="O525" s="449"/>
      <c r="P525" s="449"/>
      <c r="Q525" s="4"/>
      <c r="R525" s="6"/>
      <c r="S525" s="6"/>
      <c r="T525" s="4"/>
      <c r="U525" s="4"/>
      <c r="V525" s="4"/>
      <c r="W525" s="9"/>
      <c r="X525" s="9"/>
      <c r="Y525" s="9"/>
      <c r="Z525" s="9"/>
      <c r="AA525" s="9"/>
      <c r="AB525" s="9"/>
      <c r="AC525" s="449" t="str">
        <f t="shared" si="57"/>
        <v/>
      </c>
      <c r="AD525" s="449"/>
      <c r="AE525" s="449"/>
      <c r="AF525" s="4"/>
      <c r="AG525" s="83"/>
      <c r="AH525" s="4"/>
      <c r="AI525" s="4"/>
      <c r="AJ525" s="449"/>
      <c r="AK525" s="449"/>
      <c r="AL525" s="449"/>
      <c r="AM525" s="449"/>
      <c r="AN525" s="10"/>
      <c r="AO525" s="9"/>
      <c r="AP525" s="9"/>
      <c r="AQ525" s="9">
        <f>+FL_2($T$526,$U$524,$G$525,1200,9.28, 1*$F$526)</f>
        <v>-0.31479505005172542</v>
      </c>
      <c r="AR525" s="9"/>
      <c r="AS525" s="9"/>
      <c r="AT525" s="9"/>
      <c r="AU525" s="428"/>
      <c r="AV525" s="428"/>
      <c r="AW525" s="449" t="str">
        <f>IF(C525&gt;0,VLOOKUP(C525,Foundation_Calc!$A$2:$C$13,3,1),
IF(J525&gt;0,VLOOKUP(J525,Foundation_Calc!$A$2:$C$13,3,1),""))</f>
        <v/>
      </c>
      <c r="AX525" s="449" t="str">
        <f>IF(C525&gt;0,VLOOKUP(C525,Foundation_Calc!$E$35:$G$65,3,1),
IF(J525&gt;0,VLOOKUP(J525,Foundation_Calc!$E$35:$G$65,3,1),""))</f>
        <v/>
      </c>
      <c r="AY525" s="10" t="str">
        <f>IF(L525="","",
IF(AX525="PT",VLOOKUP(L525,Foundation_Calc!$K$79:$R$113,VLOOKUP(AW525,Foundation_Calc!$I$2:$J$8,2,FALSE),0),
IF(AX525="K",VLOOKUP(L525,Foundation_Calc!$K$117:$R$151,VLOOKUP(AW525,Foundation_Calc!$I$2:$J$8,2,FALSE),0),"")))</f>
        <v/>
      </c>
      <c r="AZ525" s="10" t="str">
        <f>IF(K525="","",
IF(AX525="PT",VLOOKUP(K525,Foundation_Calc!$K$79:$R$113,VLOOKUP(AW525,Foundation_Calc!$I$2:$J$8,2,FALSE),0),
IF(AX525="K",VLOOKUP(K525,Foundation_Calc!$K$117:$R$151,VLOOKUP(AW525,Foundation_Calc!$I$2:$J$8,2,FALSE),0),"")))</f>
        <v/>
      </c>
      <c r="BA525" s="495" t="str">
        <f t="shared" si="61"/>
        <v/>
      </c>
      <c r="BB525" s="495" t="str">
        <f t="shared" si="62"/>
        <v/>
      </c>
      <c r="BC525" s="495" t="str">
        <f t="shared" si="63"/>
        <v/>
      </c>
      <c r="BD525" s="513" t="str">
        <f>IF(AND(L525="",H525=""),"",
IF(H525="",Pole_Calc!A$9,
IF(H525="MP",Pole_Calc!A$10,
IF(H525="AnMP",Pole_Calc!A$11,
IF(H525="A",Pole_Calc!A$12,
IF(H525="S/A",Pole_Calc!A$13,
IF(H525="A/S",Pole_Calc!A$14,"Poner a mano")))))))</f>
        <v/>
      </c>
      <c r="BE525" s="429" t="s">
        <v>118</v>
      </c>
      <c r="BF525" s="290"/>
      <c r="BG525" s="290"/>
      <c r="BH525" s="290"/>
      <c r="BI525" s="290"/>
    </row>
    <row r="526" spans="1:61" ht="15.75" customHeight="1">
      <c r="A526" s="514"/>
      <c r="B526" s="450" t="s">
        <v>1209</v>
      </c>
      <c r="C526" s="3">
        <f>+$C$524+$G$525</f>
        <v>42613.080000000016</v>
      </c>
      <c r="D526" s="83"/>
      <c r="E526" s="4"/>
      <c r="F526" s="4">
        <v>112513.58695629038</v>
      </c>
      <c r="G526" s="6"/>
      <c r="H526" s="449" t="s">
        <v>131</v>
      </c>
      <c r="I526" s="4"/>
      <c r="J526" s="3"/>
      <c r="K526" s="449"/>
      <c r="L526" s="449" t="s">
        <v>158</v>
      </c>
      <c r="M526" s="449" t="str">
        <f>IF(L526="","",
IF(AX526="PT",VLOOKUP(L526,Foundation_Calc!$V$79:$X$113,VLOOKUP(AX526,Foundation_Calc!$I$10:$J$13,2,FALSE),0),
IF(AX526="K",VLOOKUP(L526,Foundation_Calc!$V$117:$X$151,VLOOKUP(AX526,Foundation_Calc!$I$10:$J$13,2,FALSE),0),"")))</f>
        <v>C4R</v>
      </c>
      <c r="N526" s="449" t="s">
        <v>124</v>
      </c>
      <c r="O526" s="449" t="s">
        <v>133</v>
      </c>
      <c r="P526" s="449"/>
      <c r="Q526" s="4"/>
      <c r="R526" s="6"/>
      <c r="S526" s="6"/>
      <c r="T526" s="4">
        <v>-15</v>
      </c>
      <c r="U526" s="4">
        <v>-35</v>
      </c>
      <c r="V526" s="4"/>
      <c r="W526" s="9">
        <v>1.4</v>
      </c>
      <c r="X526" s="9">
        <v>2.2999999999999998</v>
      </c>
      <c r="Y526" s="9"/>
      <c r="Z526" s="9"/>
      <c r="AA526" s="9">
        <v>0.5</v>
      </c>
      <c r="AB526" s="9"/>
      <c r="AC526" s="449" t="str">
        <f t="shared" si="57"/>
        <v>PH</v>
      </c>
      <c r="AD526" s="449"/>
      <c r="AE526" s="449"/>
      <c r="AF526" s="4"/>
      <c r="AG526" s="83"/>
      <c r="AH526" s="4"/>
      <c r="AI526" s="4"/>
      <c r="AJ526" s="449"/>
      <c r="AK526" s="449"/>
      <c r="AL526" s="449"/>
      <c r="AM526" s="449" t="s">
        <v>126</v>
      </c>
      <c r="AN526" s="10">
        <v>5.5</v>
      </c>
      <c r="AO526" s="9"/>
      <c r="AP526" s="9"/>
      <c r="AQ526" s="9"/>
      <c r="AR526" s="9"/>
      <c r="AS526" s="9"/>
      <c r="AT526" s="9">
        <f>+ab($T$526,$T$524,$T$528,$G$525,$G$527, 1*$F$526,1200)</f>
        <v>-12.614310154554536</v>
      </c>
      <c r="AU526" s="428"/>
      <c r="AV526" s="428"/>
      <c r="AW526" s="449" t="str">
        <f>IF(C526&gt;0,VLOOKUP(C526,Foundation_Calc!$A$2:$C$13,3,1),
IF(J526&gt;0,VLOOKUP(J526,Foundation_Calc!$A$2:$C$13,3,1),""))</f>
        <v>Multi Soil</v>
      </c>
      <c r="AX526" s="449" t="str">
        <f>IF(C526&gt;0,VLOOKUP(C526,Foundation_Calc!$E$35:$G$65,3,1),
IF(J526&gt;0,VLOOKUP(J526,Foundation_Calc!$E$35:$G$65,3,1),""))</f>
        <v>PT</v>
      </c>
      <c r="AY526" s="10">
        <f>IF(L526="","",
IF(AX526="PT",VLOOKUP(L526,Foundation_Calc!$K$79:$R$113,VLOOKUP(AW526,Foundation_Calc!$I$2:$J$8,2,FALSE),0),
IF(AX526="K",VLOOKUP(L526,Foundation_Calc!$K$117:$R$151,VLOOKUP(AW526,Foundation_Calc!$I$2:$J$8,2,FALSE),0),"")))</f>
        <v>3.5</v>
      </c>
      <c r="AZ526" s="10" t="str">
        <f>IF(K526="","",
IF(AX526="PT",VLOOKUP(K526,Foundation_Calc!$K$79:$R$113,VLOOKUP(AW526,Foundation_Calc!$I$2:$J$8,2,FALSE),0),
IF(AX526="K",VLOOKUP(K526,Foundation_Calc!$K$117:$R$151,VLOOKUP(AW526,Foundation_Calc!$I$2:$J$8,2,FALSE),0),"")))</f>
        <v/>
      </c>
      <c r="BA526" s="495" t="str">
        <f t="shared" si="61"/>
        <v>ü</v>
      </c>
      <c r="BB526" s="495" t="str">
        <f t="shared" si="62"/>
        <v/>
      </c>
      <c r="BC526" s="495" t="str">
        <f t="shared" si="63"/>
        <v/>
      </c>
      <c r="BD526" s="513" t="str">
        <f>IF(AND(L526="",H526=""),"",
IF(H526="",Pole_Calc!A$9,
IF(H526="MP",Pole_Calc!A$10,
IF(H526="AnMP",Pole_Calc!A$11,
IF(H526="A",Pole_Calc!A$12,
IF(H526="S/A",Pole_Calc!A$13,
IF(H526="A/S",Pole_Calc!A$14,"Poner a mano")))))))</f>
        <v>App.7-V11I-P9.5.1.5</v>
      </c>
      <c r="BE526" s="429" t="s">
        <v>118</v>
      </c>
      <c r="BF526" s="289"/>
      <c r="BG526" s="289"/>
      <c r="BH526" s="290"/>
      <c r="BI526" s="289"/>
    </row>
    <row r="527" spans="1:61" ht="15.75" customHeight="1">
      <c r="A527" s="514"/>
      <c r="B527" s="450"/>
      <c r="C527" s="3"/>
      <c r="D527" s="83"/>
      <c r="E527" s="4"/>
      <c r="F527" s="4"/>
      <c r="G527" s="6">
        <v>55</v>
      </c>
      <c r="H527" s="449"/>
      <c r="I527" s="4"/>
      <c r="J527" s="3"/>
      <c r="K527" s="449"/>
      <c r="L527" s="449"/>
      <c r="M527" s="449" t="str">
        <f>IF(L527="","",
IF(AX527="PT",VLOOKUP(L527,Foundation_Calc!$V$79:$X$113,VLOOKUP(AX527,Foundation_Calc!$I$10:$J$13,2,FALSE),0),
IF(AX527="K",VLOOKUP(L527,Foundation_Calc!$V$117:$X$151,VLOOKUP(AX527,Foundation_Calc!$I$10:$J$13,2,FALSE),0),"")))</f>
        <v/>
      </c>
      <c r="N527" s="449"/>
      <c r="O527" s="561"/>
      <c r="P527" s="449"/>
      <c r="Q527" s="4"/>
      <c r="R527" s="6"/>
      <c r="S527" s="6"/>
      <c r="T527" s="4"/>
      <c r="U527" s="4"/>
      <c r="V527" s="4"/>
      <c r="W527" s="9"/>
      <c r="X527" s="9"/>
      <c r="Y527" s="9"/>
      <c r="Z527" s="9"/>
      <c r="AA527" s="9"/>
      <c r="AB527" s="9"/>
      <c r="AC527" s="449" t="str">
        <f t="shared" si="57"/>
        <v/>
      </c>
      <c r="AD527" s="449"/>
      <c r="AE527" s="449"/>
      <c r="AF527" s="4"/>
      <c r="AG527" s="83"/>
      <c r="AH527" s="4"/>
      <c r="AI527" s="4"/>
      <c r="AJ527" s="449"/>
      <c r="AK527" s="449"/>
      <c r="AL527" s="449"/>
      <c r="AM527" s="449"/>
      <c r="AN527" s="10"/>
      <c r="AO527" s="9"/>
      <c r="AP527" s="9"/>
      <c r="AQ527" s="9">
        <f>+FL_2($T$528,$T$526,$G$527,1200,9.28, 1*$F$528)</f>
        <v>-0.38703180043887037</v>
      </c>
      <c r="AR527" s="9"/>
      <c r="AS527" s="9"/>
      <c r="AT527" s="9"/>
      <c r="AU527" s="428"/>
      <c r="AV527" s="428"/>
      <c r="AW527" s="449" t="str">
        <f>IF(C527&gt;0,VLOOKUP(C527,Foundation_Calc!$A$2:$C$13,3,1),
IF(J527&gt;0,VLOOKUP(J527,Foundation_Calc!$A$2:$C$13,3,1),""))</f>
        <v/>
      </c>
      <c r="AX527" s="449" t="str">
        <f>IF(C527&gt;0,VLOOKUP(C527,Foundation_Calc!$E$35:$G$65,3,1),
IF(J527&gt;0,VLOOKUP(J527,Foundation_Calc!$E$35:$G$65,3,1),""))</f>
        <v/>
      </c>
      <c r="AY527" s="10" t="str">
        <f>IF(L527="","",
IF(AX527="PT",VLOOKUP(L527,Foundation_Calc!$K$79:$R$113,VLOOKUP(AW527,Foundation_Calc!$I$2:$J$8,2,FALSE),0),
IF(AX527="K",VLOOKUP(L527,Foundation_Calc!$K$117:$R$151,VLOOKUP(AW527,Foundation_Calc!$I$2:$J$8,2,FALSE),0),"")))</f>
        <v/>
      </c>
      <c r="AZ527" s="10" t="str">
        <f>IF(K527="","",
IF(AX527="PT",VLOOKUP(K527,Foundation_Calc!$K$79:$R$113,VLOOKUP(AW527,Foundation_Calc!$I$2:$J$8,2,FALSE),0),
IF(AX527="K",VLOOKUP(K527,Foundation_Calc!$K$117:$R$151,VLOOKUP(AW527,Foundation_Calc!$I$2:$J$8,2,FALSE),0),"")))</f>
        <v/>
      </c>
      <c r="BA527" s="495" t="str">
        <f t="shared" si="61"/>
        <v/>
      </c>
      <c r="BB527" s="495" t="str">
        <f t="shared" si="62"/>
        <v/>
      </c>
      <c r="BC527" s="495" t="str">
        <f t="shared" si="63"/>
        <v/>
      </c>
      <c r="BD527" s="513" t="str">
        <f>IF(AND(L527="",H527=""),"",
IF(H527="",Pole_Calc!A$9,
IF(H527="MP",Pole_Calc!A$10,
IF(H527="AnMP",Pole_Calc!A$11,
IF(H527="A",Pole_Calc!A$12,
IF(H527="S/A",Pole_Calc!A$13,
IF(H527="A/S",Pole_Calc!A$14,"Poner a mano")))))))</f>
        <v/>
      </c>
      <c r="BE527" s="429" t="s">
        <v>118</v>
      </c>
      <c r="BF527" s="290"/>
      <c r="BG527" s="290"/>
      <c r="BH527" s="290"/>
      <c r="BI527" s="290"/>
    </row>
    <row r="528" spans="1:61" ht="15.75" customHeight="1">
      <c r="A528" s="514"/>
      <c r="B528" s="450" t="s">
        <v>1210</v>
      </c>
      <c r="C528" s="3">
        <f>+$C$526+$G$527-0.03</f>
        <v>42668.050000000017</v>
      </c>
      <c r="D528" s="83"/>
      <c r="E528" s="4"/>
      <c r="F528" s="4">
        <v>3777.1392081733502</v>
      </c>
      <c r="G528" s="6"/>
      <c r="H528" s="449" t="s">
        <v>121</v>
      </c>
      <c r="I528" s="4" t="s">
        <v>122</v>
      </c>
      <c r="J528" s="3"/>
      <c r="K528" s="449"/>
      <c r="L528" s="449" t="s">
        <v>151</v>
      </c>
      <c r="M528" s="449" t="str">
        <f>IF(L528="","",
IF(AX528="PT",VLOOKUP(L528,Foundation_Calc!$V$79:$X$113,VLOOKUP(AX528,Foundation_Calc!$I$10:$J$13,2,FALSE),0),
IF(AX528="K",VLOOKUP(L528,Foundation_Calc!$V$117:$X$151,VLOOKUP(AX528,Foundation_Calc!$I$10:$J$13,2,FALSE),0),"")))</f>
        <v>C4R</v>
      </c>
      <c r="N528" s="449" t="s">
        <v>134</v>
      </c>
      <c r="O528" s="449"/>
      <c r="P528" s="449"/>
      <c r="Q528" s="4"/>
      <c r="R528" s="6"/>
      <c r="S528" s="6"/>
      <c r="T528" s="4">
        <v>20</v>
      </c>
      <c r="U528" s="4"/>
      <c r="V528" s="4"/>
      <c r="W528" s="572">
        <v>1.2</v>
      </c>
      <c r="X528" s="9"/>
      <c r="Y528" s="9"/>
      <c r="Z528" s="9"/>
      <c r="AA528" s="9"/>
      <c r="AB528" s="9"/>
      <c r="AC528" s="449" t="str">
        <f t="shared" si="57"/>
        <v>PH</v>
      </c>
      <c r="AD528" s="449"/>
      <c r="AE528" s="449"/>
      <c r="AF528" s="4"/>
      <c r="AG528" s="83"/>
      <c r="AH528" s="4"/>
      <c r="AI528" s="4"/>
      <c r="AJ528" s="449"/>
      <c r="AK528" s="449"/>
      <c r="AL528" s="449"/>
      <c r="AM528" s="449" t="s">
        <v>126</v>
      </c>
      <c r="AN528" s="10">
        <v>5.5</v>
      </c>
      <c r="AO528" s="9"/>
      <c r="AP528" s="9"/>
      <c r="AQ528" s="9"/>
      <c r="AR528" s="9"/>
      <c r="AS528" s="9"/>
      <c r="AT528" s="9">
        <f>+ab($T$528,$T$526,$T$530,$G$527,$G$529, 1*$F$528,1200)</f>
        <v>10.115117297725424</v>
      </c>
      <c r="AU528" s="428"/>
      <c r="AV528" s="428"/>
      <c r="AW528" s="449" t="str">
        <f>IF(C528&gt;0,VLOOKUP(C528,Foundation_Calc!$A$2:$C$13,3,1),
IF(J528&gt;0,VLOOKUP(J528,Foundation_Calc!$A$2:$C$13,3,1),""))</f>
        <v>Multi Soil</v>
      </c>
      <c r="AX528" s="449" t="str">
        <f>IF(C528&gt;0,VLOOKUP(C528,Foundation_Calc!$E$35:$G$65,3,1),
IF(J528&gt;0,VLOOKUP(J528,Foundation_Calc!$E$35:$G$65,3,1),""))</f>
        <v>PT</v>
      </c>
      <c r="AY528" s="10">
        <f>IF(L528="","",
IF(AX528="PT",VLOOKUP(L528,Foundation_Calc!$K$79:$R$113,VLOOKUP(AW528,Foundation_Calc!$I$2:$J$8,2,FALSE),0),
IF(AX528="K",VLOOKUP(L528,Foundation_Calc!$K$117:$R$151,VLOOKUP(AW528,Foundation_Calc!$I$2:$J$8,2,FALSE),0),"")))</f>
        <v>3.5</v>
      </c>
      <c r="AZ528" s="10" t="str">
        <f>IF(K528="","",
IF(AX528="PT",VLOOKUP(K528,Foundation_Calc!$K$79:$R$113,VLOOKUP(AW528,Foundation_Calc!$I$2:$J$8,2,FALSE),0),
IF(AX528="K",VLOOKUP(K528,Foundation_Calc!$K$117:$R$151,VLOOKUP(AW528,Foundation_Calc!$I$2:$J$8,2,FALSE),0),"")))</f>
        <v/>
      </c>
      <c r="BA528" s="495" t="str">
        <f t="shared" si="61"/>
        <v>ü</v>
      </c>
      <c r="BB528" s="495" t="str">
        <f t="shared" si="62"/>
        <v/>
      </c>
      <c r="BC528" s="495" t="str">
        <f t="shared" si="63"/>
        <v/>
      </c>
      <c r="BD528" s="513" t="str">
        <f>IF(AND(L528="",H528=""),"",
IF(H528="",Pole_Calc!A$9,
IF(H528="MP",Pole_Calc!A$10,
IF(H528="AnMP",Pole_Calc!A$11,
IF(H528="A",Pole_Calc!A$12,
IF(H528="S/A",Pole_Calc!A$13,
IF(H528="A/S",Pole_Calc!A$14,"Poner a mano")))))))</f>
        <v>App.7-V11I-P9.5.1.6</v>
      </c>
      <c r="BE528" s="429" t="s">
        <v>118</v>
      </c>
      <c r="BF528" s="289"/>
      <c r="BG528" s="289"/>
      <c r="BH528" s="290"/>
      <c r="BI528" s="289"/>
    </row>
    <row r="529" spans="1:61" ht="15.75" customHeight="1">
      <c r="A529" s="518"/>
      <c r="B529" s="450"/>
      <c r="C529" s="3"/>
      <c r="D529" s="83"/>
      <c r="E529" s="4"/>
      <c r="F529" s="4"/>
      <c r="G529" s="6">
        <v>53</v>
      </c>
      <c r="H529" s="449"/>
      <c r="I529" s="4"/>
      <c r="J529" s="3">
        <f>C528+7.5</f>
        <v>42675.550000000017</v>
      </c>
      <c r="K529" s="449" t="s">
        <v>117</v>
      </c>
      <c r="L529" s="449"/>
      <c r="M529" s="449" t="str">
        <f>IF(L529="","",
IF(AX529="PT",VLOOKUP(L529,Foundation_Calc!$V$79:$X$113,VLOOKUP(AX529,Foundation_Calc!$I$10:$J$13,2,FALSE),0),
IF(AX529="K",VLOOKUP(L529,Foundation_Calc!$V$117:$X$151,VLOOKUP(AX529,Foundation_Calc!$I$10:$J$13,2,FALSE),0),"")))</f>
        <v/>
      </c>
      <c r="N529" s="449"/>
      <c r="O529" s="449"/>
      <c r="P529" s="449"/>
      <c r="Q529" s="4"/>
      <c r="R529" s="6"/>
      <c r="S529" s="6"/>
      <c r="T529" s="4"/>
      <c r="U529" s="4"/>
      <c r="V529" s="4"/>
      <c r="W529" s="572"/>
      <c r="X529" s="9"/>
      <c r="Y529" s="9"/>
      <c r="Z529" s="9"/>
      <c r="AA529" s="9"/>
      <c r="AB529" s="9"/>
      <c r="AC529" s="449" t="str">
        <f t="shared" si="57"/>
        <v/>
      </c>
      <c r="AD529" s="449"/>
      <c r="AE529" s="449"/>
      <c r="AF529" s="4"/>
      <c r="AG529" s="83"/>
      <c r="AH529" s="4"/>
      <c r="AI529" s="4"/>
      <c r="AJ529" s="449"/>
      <c r="AK529" s="449"/>
      <c r="AL529" s="449"/>
      <c r="AM529" s="449"/>
      <c r="AN529" s="10"/>
      <c r="AO529" s="9"/>
      <c r="AP529" s="9"/>
      <c r="AQ529" s="9">
        <f>+FL_1($T$530,$T$528,$G$529,1200,9.28, 1*$F$530)</f>
        <v>0.37412667692766566</v>
      </c>
      <c r="AR529" s="9"/>
      <c r="AS529" s="9"/>
      <c r="AT529" s="9"/>
      <c r="AU529" s="428"/>
      <c r="AV529" s="428"/>
      <c r="AW529" s="449" t="str">
        <f>IF(C529&gt;0,VLOOKUP(C529,Foundation_Calc!$A$2:$C$13,3,1),
IF(J529&gt;0,VLOOKUP(J529,Foundation_Calc!$A$2:$C$13,3,1),""))</f>
        <v>Multi Soil</v>
      </c>
      <c r="AX529" s="449" t="str">
        <f>IF(C529&gt;0,VLOOKUP(C529,Foundation_Calc!$E$35:$G$65,3,1),
IF(J529&gt;0,VLOOKUP(J529,Foundation_Calc!$E$35:$G$65,3,1),""))</f>
        <v>PT</v>
      </c>
      <c r="AY529" s="10" t="str">
        <f>IF(L529="","",
IF(AX529="PT",VLOOKUP(L529,Foundation_Calc!$K$79:$R$113,VLOOKUP(AW529,Foundation_Calc!$I$2:$J$8,2,FALSE),0),
IF(AX529="K",VLOOKUP(L529,Foundation_Calc!$K$117:$R$151,VLOOKUP(AW529,Foundation_Calc!$I$2:$J$8,2,FALSE),0),"")))</f>
        <v/>
      </c>
      <c r="AZ529" s="10">
        <f>IF(K529="","",
IF(AX529="PT",VLOOKUP(K529,Foundation_Calc!$K$79:$R$113,VLOOKUP(AW529,Foundation_Calc!$I$2:$J$8,2,FALSE),0),
IF(AX529="K",VLOOKUP(K529,Foundation_Calc!$K$117:$R$151,VLOOKUP(AW529,Foundation_Calc!$I$2:$J$8,2,FALSE),0),"")))</f>
        <v>3.9</v>
      </c>
      <c r="BA529" s="495" t="str">
        <f t="shared" si="61"/>
        <v/>
      </c>
      <c r="BB529" s="495" t="str">
        <f t="shared" si="62"/>
        <v>ü</v>
      </c>
      <c r="BC529" s="495" t="str">
        <f t="shared" si="63"/>
        <v/>
      </c>
      <c r="BD529" s="513" t="str">
        <f>IF(AND(L529="",H529=""),"",
IF(H529="",Pole_Calc!A$9,
IF(H529="MP",Pole_Calc!A$10,
IF(H529="AnMP",Pole_Calc!A$11,
IF(H529="A",Pole_Calc!A$12,
IF(H529="S/A",Pole_Calc!A$13,
IF(H529="A/S",Pole_Calc!A$14,"Poner a mano")))))))</f>
        <v/>
      </c>
      <c r="BE529" s="429" t="s">
        <v>118</v>
      </c>
      <c r="BF529" s="290"/>
      <c r="BG529" s="290"/>
      <c r="BH529" s="290"/>
      <c r="BI529" s="290"/>
    </row>
    <row r="530" spans="1:61" ht="15.75" customHeight="1">
      <c r="A530" s="514"/>
      <c r="B530" s="450" t="s">
        <v>1211</v>
      </c>
      <c r="C530" s="3">
        <f>+$C$528+$G$529</f>
        <v>42721.050000000017</v>
      </c>
      <c r="D530" s="83"/>
      <c r="E530" s="4"/>
      <c r="F530" s="4">
        <v>2300</v>
      </c>
      <c r="G530" s="6"/>
      <c r="H530" s="449"/>
      <c r="I530" s="4"/>
      <c r="J530" s="3"/>
      <c r="K530" s="449"/>
      <c r="L530" s="449" t="s">
        <v>158</v>
      </c>
      <c r="M530" s="449" t="str">
        <f>IF(L530="","",
IF(AX530="PT",VLOOKUP(L530,Foundation_Calc!$V$79:$X$113,VLOOKUP(AX530,Foundation_Calc!$I$10:$J$13,2,FALSE),0),
IF(AX530="K",VLOOKUP(L530,Foundation_Calc!$V$117:$X$151,VLOOKUP(AX530,Foundation_Calc!$I$10:$J$13,2,FALSE),0),"")))</f>
        <v>C4R</v>
      </c>
      <c r="N530" s="449" t="s">
        <v>134</v>
      </c>
      <c r="O530" s="449"/>
      <c r="P530" s="449"/>
      <c r="Q530" s="4"/>
      <c r="R530" s="6"/>
      <c r="S530" s="6"/>
      <c r="T530" s="4">
        <v>30</v>
      </c>
      <c r="U530" s="4"/>
      <c r="V530" s="4"/>
      <c r="W530" s="572">
        <v>1</v>
      </c>
      <c r="X530" s="9"/>
      <c r="Y530" s="9"/>
      <c r="Z530" s="9"/>
      <c r="AA530" s="9"/>
      <c r="AB530" s="9"/>
      <c r="AC530" s="449" t="str">
        <f t="shared" si="57"/>
        <v>PHQ</v>
      </c>
      <c r="AD530" s="449"/>
      <c r="AE530" s="449"/>
      <c r="AF530" s="4"/>
      <c r="AG530" s="83"/>
      <c r="AH530" s="4"/>
      <c r="AI530" s="4"/>
      <c r="AJ530" s="449"/>
      <c r="AK530" s="449"/>
      <c r="AL530" s="449"/>
      <c r="AM530" s="449" t="s">
        <v>126</v>
      </c>
      <c r="AN530" s="10">
        <v>5.5</v>
      </c>
      <c r="AO530" s="9"/>
      <c r="AP530" s="9"/>
      <c r="AQ530" s="9"/>
      <c r="AR530" s="9"/>
      <c r="AS530" s="9"/>
      <c r="AT530" s="9">
        <f>+ab($T$530,$T$528,$T$532,$G$529,$G$531, 1*$F$530,1200)</f>
        <v>7.6513652435162012</v>
      </c>
      <c r="AU530" s="428"/>
      <c r="AV530" s="428"/>
      <c r="AW530" s="449" t="str">
        <f>IF(C530&gt;0,VLOOKUP(C530,Foundation_Calc!$A$2:$C$13,3,1),
IF(J530&gt;0,VLOOKUP(J530,Foundation_Calc!$A$2:$C$13,3,1),""))</f>
        <v>Multi Soil</v>
      </c>
      <c r="AX530" s="449" t="str">
        <f>IF(C530&gt;0,VLOOKUP(C530,Foundation_Calc!$E$35:$G$65,3,1),
IF(J530&gt;0,VLOOKUP(J530,Foundation_Calc!$E$35:$G$65,3,1),""))</f>
        <v>PT</v>
      </c>
      <c r="AY530" s="10">
        <f>IF(L530="","",
IF(AX530="PT",VLOOKUP(L530,Foundation_Calc!$K$79:$R$113,VLOOKUP(AW530,Foundation_Calc!$I$2:$J$8,2,FALSE),0),
IF(AX530="K",VLOOKUP(L530,Foundation_Calc!$K$117:$R$151,VLOOKUP(AW530,Foundation_Calc!$I$2:$J$8,2,FALSE),0),"")))</f>
        <v>3.5</v>
      </c>
      <c r="AZ530" s="10" t="str">
        <f>IF(K530="","",
IF(AX530="PT",VLOOKUP(K530,Foundation_Calc!$K$79:$R$113,VLOOKUP(AW530,Foundation_Calc!$I$2:$J$8,2,FALSE),0),
IF(AX530="K",VLOOKUP(K530,Foundation_Calc!$K$117:$R$151,VLOOKUP(AW530,Foundation_Calc!$I$2:$J$8,2,FALSE),0),"")))</f>
        <v/>
      </c>
      <c r="BA530" s="495" t="str">
        <f t="shared" si="61"/>
        <v>ü</v>
      </c>
      <c r="BB530" s="495" t="str">
        <f t="shared" si="62"/>
        <v/>
      </c>
      <c r="BC530" s="495" t="str">
        <f t="shared" si="63"/>
        <v/>
      </c>
      <c r="BD530" s="513" t="str">
        <f>IF(AND(L530="",H530=""),"",
IF(H530="",Pole_Calc!A$9,
IF(H530="MP",Pole_Calc!A$10,
IF(H530="AnMP",Pole_Calc!A$11,
IF(H530="A",Pole_Calc!A$12,
IF(H530="S/A",Pole_Calc!A$13,
IF(H530="A/S",Pole_Calc!A$14,"Poner a mano")))))))</f>
        <v>App.7-V11I-P9.5.1.1</v>
      </c>
      <c r="BE530" s="429" t="s">
        <v>118</v>
      </c>
      <c r="BF530" s="289"/>
      <c r="BG530" s="289"/>
      <c r="BH530" s="290"/>
      <c r="BI530" s="289"/>
    </row>
    <row r="531" spans="1:61" ht="15.75" customHeight="1">
      <c r="A531" s="514" t="s">
        <v>193</v>
      </c>
      <c r="B531" s="450"/>
      <c r="C531" s="3"/>
      <c r="D531" s="83"/>
      <c r="E531" s="4"/>
      <c r="F531" s="4"/>
      <c r="G531" s="6">
        <v>53</v>
      </c>
      <c r="H531" s="449"/>
      <c r="I531" s="4"/>
      <c r="J531" s="3"/>
      <c r="K531" s="449"/>
      <c r="L531" s="449"/>
      <c r="M531" s="449" t="str">
        <f>IF(L531="","",
IF(AX531="PT",VLOOKUP(L531,Foundation_Calc!$V$79:$X$113,VLOOKUP(AX531,Foundation_Calc!$I$10:$J$13,2,FALSE),0),
IF(AX531="K",VLOOKUP(L531,Foundation_Calc!$V$117:$X$151,VLOOKUP(AX531,Foundation_Calc!$I$10:$J$13,2,FALSE),0),"")))</f>
        <v/>
      </c>
      <c r="N531" s="449"/>
      <c r="O531" s="449"/>
      <c r="P531" s="449"/>
      <c r="Q531" s="4"/>
      <c r="R531" s="6"/>
      <c r="S531" s="6"/>
      <c r="T531" s="4"/>
      <c r="U531" s="4"/>
      <c r="V531" s="4"/>
      <c r="W531" s="572"/>
      <c r="X531" s="9"/>
      <c r="Y531" s="9"/>
      <c r="Z531" s="9"/>
      <c r="AA531" s="9"/>
      <c r="AB531" s="9"/>
      <c r="AC531" s="449" t="str">
        <f t="shared" si="57"/>
        <v/>
      </c>
      <c r="AD531" s="449"/>
      <c r="AE531" s="449"/>
      <c r="AF531" s="4"/>
      <c r="AG531" s="83"/>
      <c r="AH531" s="4"/>
      <c r="AI531" s="4"/>
      <c r="AJ531" s="449"/>
      <c r="AK531" s="449"/>
      <c r="AL531" s="449"/>
      <c r="AM531" s="449"/>
      <c r="AN531" s="10"/>
      <c r="AO531" s="9"/>
      <c r="AP531" s="9"/>
      <c r="AQ531" s="9">
        <f>+FL_1($T$532,$T$530,$G$531,1200,9.28, 1*$F$532)</f>
        <v>0.43712115078263714</v>
      </c>
      <c r="AR531" s="9"/>
      <c r="AS531" s="9"/>
      <c r="AT531" s="9"/>
      <c r="AU531" s="428"/>
      <c r="AV531" s="428"/>
      <c r="AW531" s="449" t="str">
        <f>IF(C531&gt;0,VLOOKUP(C531,Foundation_Calc!$A$2:$C$13,3,1),
IF(J531&gt;0,VLOOKUP(J531,Foundation_Calc!$A$2:$C$13,3,1),""))</f>
        <v/>
      </c>
      <c r="AX531" s="449" t="str">
        <f>IF(C531&gt;0,VLOOKUP(C531,Foundation_Calc!$E$35:$G$65,3,1),
IF(J531&gt;0,VLOOKUP(J531,Foundation_Calc!$E$35:$G$65,3,1),""))</f>
        <v/>
      </c>
      <c r="AY531" s="10" t="str">
        <f>IF(L531="","",
IF(AX531="PT",VLOOKUP(L531,Foundation_Calc!$K$79:$R$113,VLOOKUP(AW531,Foundation_Calc!$I$2:$J$8,2,FALSE),0),
IF(AX531="K",VLOOKUP(L531,Foundation_Calc!$K$117:$R$151,VLOOKUP(AW531,Foundation_Calc!$I$2:$J$8,2,FALSE),0),"")))</f>
        <v/>
      </c>
      <c r="AZ531" s="10" t="str">
        <f>IF(K531="","",
IF(AX531="PT",VLOOKUP(K531,Foundation_Calc!$K$79:$R$113,VLOOKUP(AW531,Foundation_Calc!$I$2:$J$8,2,FALSE),0),
IF(AX531="K",VLOOKUP(K531,Foundation_Calc!$K$117:$R$151,VLOOKUP(AW531,Foundation_Calc!$I$2:$J$8,2,FALSE),0),"")))</f>
        <v/>
      </c>
      <c r="BA531" s="495" t="str">
        <f t="shared" si="61"/>
        <v/>
      </c>
      <c r="BB531" s="495" t="str">
        <f t="shared" si="62"/>
        <v/>
      </c>
      <c r="BC531" s="495" t="str">
        <f t="shared" si="63"/>
        <v/>
      </c>
      <c r="BD531" s="513" t="str">
        <f>IF(AND(L531="",H531=""),"",
IF(H531="",Pole_Calc!A$9,
IF(H531="MP",Pole_Calc!A$10,
IF(H531="AnMP",Pole_Calc!A$11,
IF(H531="A",Pole_Calc!A$12,
IF(H531="S/A",Pole_Calc!A$13,
IF(H531="A/S",Pole_Calc!A$14,"Poner a mano")))))))</f>
        <v/>
      </c>
      <c r="BE531" s="429" t="s">
        <v>118</v>
      </c>
      <c r="BF531" s="290"/>
      <c r="BG531" s="290"/>
      <c r="BH531" s="290"/>
      <c r="BI531" s="290"/>
    </row>
    <row r="532" spans="1:61" ht="15.75" customHeight="1">
      <c r="A532" s="514"/>
      <c r="B532" s="450" t="s">
        <v>1212</v>
      </c>
      <c r="C532" s="3">
        <f>+$C$530+$G$531</f>
        <v>42774.050000000017</v>
      </c>
      <c r="D532" s="83"/>
      <c r="E532" s="4"/>
      <c r="F532" s="4">
        <v>2612.302839116719</v>
      </c>
      <c r="G532" s="6"/>
      <c r="H532" s="449"/>
      <c r="I532" s="4"/>
      <c r="J532" s="3"/>
      <c r="K532" s="449"/>
      <c r="L532" s="449" t="s">
        <v>158</v>
      </c>
      <c r="M532" s="449" t="str">
        <f>IF(L532="","",
IF(AX532="PT",VLOOKUP(L532,Foundation_Calc!$V$79:$X$113,VLOOKUP(AX532,Foundation_Calc!$I$10:$J$13,2,FALSE),0),
IF(AX532="K",VLOOKUP(L532,Foundation_Calc!$V$117:$X$151,VLOOKUP(AX532,Foundation_Calc!$I$10:$J$13,2,FALSE),0),"")))</f>
        <v>C4R</v>
      </c>
      <c r="N532" s="449" t="s">
        <v>134</v>
      </c>
      <c r="O532" s="449"/>
      <c r="P532" s="449"/>
      <c r="Q532" s="4"/>
      <c r="R532" s="6"/>
      <c r="S532" s="6"/>
      <c r="T532" s="4">
        <v>30</v>
      </c>
      <c r="U532" s="4"/>
      <c r="V532" s="4"/>
      <c r="W532" s="572">
        <v>1</v>
      </c>
      <c r="X532" s="9"/>
      <c r="Y532" s="9"/>
      <c r="Z532" s="9"/>
      <c r="AA532" s="9"/>
      <c r="AB532" s="9"/>
      <c r="AC532" s="449" t="str">
        <f t="shared" si="57"/>
        <v>PHQ</v>
      </c>
      <c r="AD532" s="449"/>
      <c r="AE532" s="449"/>
      <c r="AF532" s="4"/>
      <c r="AG532" s="83"/>
      <c r="AH532" s="4"/>
      <c r="AI532" s="4"/>
      <c r="AJ532" s="449"/>
      <c r="AK532" s="449"/>
      <c r="AL532" s="449"/>
      <c r="AM532" s="449" t="s">
        <v>126</v>
      </c>
      <c r="AN532" s="10">
        <v>5.5</v>
      </c>
      <c r="AO532" s="9"/>
      <c r="AP532" s="9"/>
      <c r="AQ532" s="9"/>
      <c r="AR532" s="9"/>
      <c r="AS532" s="9"/>
      <c r="AT532" s="9">
        <f>+ab($T$532,$T$530,$T$534,$G$531,$G$533, 1*$F$532,1200)</f>
        <v>5.8047896615317587</v>
      </c>
      <c r="AU532" s="428"/>
      <c r="AV532" s="428"/>
      <c r="AW532" s="449" t="str">
        <f>IF(C532&gt;0,VLOOKUP(C532,Foundation_Calc!$A$2:$C$13,3,1),
IF(J532&gt;0,VLOOKUP(J532,Foundation_Calc!$A$2:$C$13,3,1),""))</f>
        <v>Multi Soil</v>
      </c>
      <c r="AX532" s="449" t="str">
        <f>IF(C532&gt;0,VLOOKUP(C532,Foundation_Calc!$E$35:$G$65,3,1),
IF(J532&gt;0,VLOOKUP(J532,Foundation_Calc!$E$35:$G$65,3,1),""))</f>
        <v>PT</v>
      </c>
      <c r="AY532" s="10">
        <f>IF(L532="","",
IF(AX532="PT",VLOOKUP(L532,Foundation_Calc!$K$79:$R$113,VLOOKUP(AW532,Foundation_Calc!$I$2:$J$8,2,FALSE),0),
IF(AX532="K",VLOOKUP(L532,Foundation_Calc!$K$117:$R$151,VLOOKUP(AW532,Foundation_Calc!$I$2:$J$8,2,FALSE),0),"")))</f>
        <v>3.5</v>
      </c>
      <c r="AZ532" s="10" t="str">
        <f>IF(K532="","",
IF(AX532="PT",VLOOKUP(K532,Foundation_Calc!$K$79:$R$113,VLOOKUP(AW532,Foundation_Calc!$I$2:$J$8,2,FALSE),0),
IF(AX532="K",VLOOKUP(K532,Foundation_Calc!$K$117:$R$151,VLOOKUP(AW532,Foundation_Calc!$I$2:$J$8,2,FALSE),0),"")))</f>
        <v/>
      </c>
      <c r="BA532" s="495" t="str">
        <f t="shared" si="61"/>
        <v>ü</v>
      </c>
      <c r="BB532" s="495" t="str">
        <f t="shared" si="62"/>
        <v/>
      </c>
      <c r="BC532" s="495" t="str">
        <f t="shared" si="63"/>
        <v/>
      </c>
      <c r="BD532" s="513" t="str">
        <f>IF(AND(L532="",H532=""),"",
IF(H532="",Pole_Calc!A$9,
IF(H532="MP",Pole_Calc!A$10,
IF(H532="AnMP",Pole_Calc!A$11,
IF(H532="A",Pole_Calc!A$12,
IF(H532="S/A",Pole_Calc!A$13,
IF(H532="A/S",Pole_Calc!A$14,"Poner a mano")))))))</f>
        <v>App.7-V11I-P9.5.1.1</v>
      </c>
      <c r="BE532" s="429" t="s">
        <v>118</v>
      </c>
      <c r="BF532" s="289"/>
      <c r="BG532" s="289"/>
      <c r="BH532" s="290"/>
      <c r="BI532" s="289"/>
    </row>
    <row r="533" spans="1:61" ht="15.75" customHeight="1">
      <c r="A533" s="514" t="s">
        <v>193</v>
      </c>
      <c r="B533" s="450"/>
      <c r="C533" s="3"/>
      <c r="D533" s="83"/>
      <c r="E533" s="4"/>
      <c r="F533" s="4"/>
      <c r="G533" s="6">
        <v>33.6</v>
      </c>
      <c r="H533" s="449"/>
      <c r="I533" s="4"/>
      <c r="J533" s="3"/>
      <c r="K533" s="449"/>
      <c r="L533" s="449"/>
      <c r="M533" s="449" t="str">
        <f>IF(L533="","",
IF(AX533="PT",VLOOKUP(L533,Foundation_Calc!$V$79:$X$113,VLOOKUP(AX533,Foundation_Calc!$I$10:$J$13,2,FALSE),0),
IF(AX533="K",VLOOKUP(L533,Foundation_Calc!$V$117:$X$151,VLOOKUP(AX533,Foundation_Calc!$I$10:$J$13,2,FALSE),0),"")))</f>
        <v/>
      </c>
      <c r="N533" s="449"/>
      <c r="O533" s="561"/>
      <c r="P533" s="449"/>
      <c r="Q533" s="4"/>
      <c r="R533" s="6"/>
      <c r="S533" s="6"/>
      <c r="T533" s="4"/>
      <c r="U533" s="4"/>
      <c r="V533" s="4"/>
      <c r="W533" s="572"/>
      <c r="X533" s="9"/>
      <c r="Y533" s="9"/>
      <c r="Z533" s="9"/>
      <c r="AA533" s="9"/>
      <c r="AB533" s="9"/>
      <c r="AC533" s="449" t="str">
        <f t="shared" ref="AC533:AC598" si="64">IF(OR(AT533&gt;8,AT533&lt;-8),"PH",
IF(OR(AT533&gt;5,AT533&lt;-5),"PHQ",
IF(OR(AT533&gt;1,AT533&lt;-1),
"PHC","")))</f>
        <v/>
      </c>
      <c r="AD533" s="449"/>
      <c r="AE533" s="449"/>
      <c r="AF533" s="4"/>
      <c r="AG533" s="83"/>
      <c r="AH533" s="4"/>
      <c r="AI533" s="4"/>
      <c r="AJ533" s="449"/>
      <c r="AK533" s="449"/>
      <c r="AL533" s="449"/>
      <c r="AM533" s="449"/>
      <c r="AN533" s="10"/>
      <c r="AO533" s="9"/>
      <c r="AP533" s="9"/>
      <c r="AQ533" s="9">
        <f>+FL_2($T$534,$T$532,$G$533,1200,9.28, 1*$F$534)</f>
        <v>-0.25</v>
      </c>
      <c r="AR533" s="9"/>
      <c r="AS533" s="9"/>
      <c r="AT533" s="9"/>
      <c r="AU533" s="428"/>
      <c r="AV533" s="428"/>
      <c r="AW533" s="449" t="str">
        <f>IF(C533&gt;0,VLOOKUP(C533,Foundation_Calc!$A$2:$C$13,3,1),
IF(J533&gt;0,VLOOKUP(J533,Foundation_Calc!$A$2:$C$13,3,1),""))</f>
        <v/>
      </c>
      <c r="AX533" s="449" t="str">
        <f>IF(C533&gt;0,VLOOKUP(C533,Foundation_Calc!$E$35:$G$65,3,1),
IF(J533&gt;0,VLOOKUP(J533,Foundation_Calc!$E$35:$G$65,3,1),""))</f>
        <v/>
      </c>
      <c r="AY533" s="10" t="str">
        <f>IF(L533="","",
IF(AX533="PT",VLOOKUP(L533,Foundation_Calc!$K$79:$R$113,VLOOKUP(AW533,Foundation_Calc!$I$2:$J$8,2,FALSE),0),
IF(AX533="K",VLOOKUP(L533,Foundation_Calc!$K$117:$R$151,VLOOKUP(AW533,Foundation_Calc!$I$2:$J$8,2,FALSE),0),"")))</f>
        <v/>
      </c>
      <c r="AZ533" s="10" t="str">
        <f>IF(K533="","",
IF(AX533="PT",VLOOKUP(K533,Foundation_Calc!$K$79:$R$113,VLOOKUP(AW533,Foundation_Calc!$I$2:$J$8,2,FALSE),0),
IF(AX533="K",VLOOKUP(K533,Foundation_Calc!$K$117:$R$151,VLOOKUP(AW533,Foundation_Calc!$I$2:$J$8,2,FALSE),0),"")))</f>
        <v/>
      </c>
      <c r="BA533" s="495" t="str">
        <f t="shared" si="61"/>
        <v/>
      </c>
      <c r="BB533" s="495" t="str">
        <f t="shared" si="62"/>
        <v/>
      </c>
      <c r="BC533" s="495" t="str">
        <f t="shared" si="63"/>
        <v/>
      </c>
      <c r="BD533" s="513" t="str">
        <f>IF(AND(L533="",H533=""),"",
IF(H533="",Pole_Calc!A$9,
IF(H533="MP",Pole_Calc!A$10,
IF(H533="AnMP",Pole_Calc!A$11,
IF(H533="A",Pole_Calc!A$12,
IF(H533="S/A",Pole_Calc!A$13,
IF(H533="A/S",Pole_Calc!A$14,"Poner a mano")))))))</f>
        <v/>
      </c>
      <c r="BE533" s="429" t="s">
        <v>118</v>
      </c>
      <c r="BF533" s="290"/>
      <c r="BG533" s="290"/>
      <c r="BH533" s="290"/>
      <c r="BI533" s="290"/>
    </row>
    <row r="534" spans="1:61" ht="15.75" customHeight="1">
      <c r="A534" s="514"/>
      <c r="B534" s="450" t="s">
        <v>1213</v>
      </c>
      <c r="C534" s="3">
        <f>+$C$532+$G$533</f>
        <v>42807.650000000016</v>
      </c>
      <c r="D534" s="83"/>
      <c r="E534" s="4"/>
      <c r="F534" s="4">
        <v>8537.1134020618556</v>
      </c>
      <c r="G534" s="6"/>
      <c r="H534" s="449"/>
      <c r="I534" s="4"/>
      <c r="J534" s="3"/>
      <c r="K534" s="449"/>
      <c r="L534" s="449" t="s">
        <v>158</v>
      </c>
      <c r="M534" s="449" t="str">
        <f>IF(L534="","",
IF(AX534="PT",VLOOKUP(L534,Foundation_Calc!$V$79:$X$113,VLOOKUP(AX534,Foundation_Calc!$I$10:$J$13,2,FALSE),0),
IF(AX534="K",VLOOKUP(L534,Foundation_Calc!$V$117:$X$151,VLOOKUP(AX534,Foundation_Calc!$I$10:$J$13,2,FALSE),0),"")))</f>
        <v>C4R</v>
      </c>
      <c r="N534" s="449" t="s">
        <v>124</v>
      </c>
      <c r="O534" s="449"/>
      <c r="P534" s="449"/>
      <c r="Q534" s="4"/>
      <c r="R534" s="6"/>
      <c r="S534" s="6"/>
      <c r="T534" s="4">
        <v>-25</v>
      </c>
      <c r="U534" s="4"/>
      <c r="V534" s="4"/>
      <c r="W534" s="572">
        <v>1</v>
      </c>
      <c r="X534" s="9"/>
      <c r="Y534" s="9"/>
      <c r="Z534" s="9"/>
      <c r="AA534" s="9"/>
      <c r="AB534" s="9"/>
      <c r="AC534" s="449" t="str">
        <f t="shared" si="64"/>
        <v>PHQ</v>
      </c>
      <c r="AD534" s="449"/>
      <c r="AE534" s="449"/>
      <c r="AF534" s="4"/>
      <c r="AG534" s="83"/>
      <c r="AH534" s="4"/>
      <c r="AI534" s="4"/>
      <c r="AJ534" s="449"/>
      <c r="AK534" s="449"/>
      <c r="AL534" s="449"/>
      <c r="AM534" s="449" t="s">
        <v>126</v>
      </c>
      <c r="AN534" s="10">
        <v>5.5</v>
      </c>
      <c r="AO534" s="9"/>
      <c r="AP534" s="9"/>
      <c r="AQ534" s="9"/>
      <c r="AR534" s="9"/>
      <c r="AS534" s="9"/>
      <c r="AT534" s="9">
        <f>+ab($T$534,$T$532,$T$538,$G$533,$G$535, 1*$F$534,1200)</f>
        <v>-6.6204782885547084</v>
      </c>
      <c r="AU534" s="428"/>
      <c r="AV534" s="428"/>
      <c r="AW534" s="449" t="str">
        <f>IF(C534&gt;0,VLOOKUP(C534,Foundation_Calc!$A$2:$C$13,3,1),
IF(J534&gt;0,VLOOKUP(J534,Foundation_Calc!$A$2:$C$13,3,1),""))</f>
        <v>Multi Soil</v>
      </c>
      <c r="AX534" s="449" t="str">
        <f>IF(C534&gt;0,VLOOKUP(C534,Foundation_Calc!$E$35:$G$65,3,1),
IF(J534&gt;0,VLOOKUP(J534,Foundation_Calc!$E$35:$G$65,3,1),""))</f>
        <v>PT</v>
      </c>
      <c r="AY534" s="10">
        <f>IF(L534="","",
IF(AX534="PT",VLOOKUP(L534,Foundation_Calc!$K$79:$R$113,VLOOKUP(AW534,Foundation_Calc!$I$2:$J$8,2,FALSE),0),
IF(AX534="K",VLOOKUP(L534,Foundation_Calc!$K$117:$R$151,VLOOKUP(AW534,Foundation_Calc!$I$2:$J$8,2,FALSE),0),"")))</f>
        <v>3.5</v>
      </c>
      <c r="AZ534" s="10" t="str">
        <f>IF(K534="","",
IF(AX534="PT",VLOOKUP(K534,Foundation_Calc!$K$79:$R$113,VLOOKUP(AW534,Foundation_Calc!$I$2:$J$8,2,FALSE),0),
IF(AX534="K",VLOOKUP(K534,Foundation_Calc!$K$117:$R$151,VLOOKUP(AW534,Foundation_Calc!$I$2:$J$8,2,FALSE),0),"")))</f>
        <v/>
      </c>
      <c r="BA534" s="495" t="str">
        <f t="shared" si="61"/>
        <v>ü</v>
      </c>
      <c r="BB534" s="495" t="str">
        <f t="shared" si="62"/>
        <v/>
      </c>
      <c r="BC534" s="495" t="str">
        <f t="shared" si="63"/>
        <v/>
      </c>
      <c r="BD534" s="513" t="str">
        <f>IF(AND(L534="",H534=""),"",
IF(H534="",Pole_Calc!A$9,
IF(H534="MP",Pole_Calc!A$10,
IF(H534="AnMP",Pole_Calc!A$11,
IF(H534="A",Pole_Calc!A$12,
IF(H534="S/A",Pole_Calc!A$13,
IF(H534="A/S",Pole_Calc!A$14,"Poner a mano")))))))</f>
        <v>App.7-V11I-P9.5.1.1</v>
      </c>
      <c r="BE534" s="429" t="s">
        <v>118</v>
      </c>
      <c r="BF534" s="289"/>
      <c r="BG534" s="289"/>
      <c r="BH534" s="290"/>
      <c r="BI534" s="289"/>
    </row>
    <row r="535" spans="1:61" ht="15.75" customHeight="1">
      <c r="A535" s="685" t="s">
        <v>305</v>
      </c>
      <c r="B535" s="686"/>
      <c r="C535" s="687"/>
      <c r="D535" s="688"/>
      <c r="E535" s="689"/>
      <c r="F535" s="689"/>
      <c r="G535" s="690">
        <v>36.200000000000003</v>
      </c>
      <c r="H535" s="691"/>
      <c r="I535" s="689"/>
      <c r="J535" s="687"/>
      <c r="K535" s="691"/>
      <c r="L535" s="691"/>
      <c r="M535" s="691" t="str">
        <f>IF(L535="","",
IF(AX535="PT",VLOOKUP(L535,Foundation_Calc!$V$79:$X$113,VLOOKUP(AX535,Foundation_Calc!$I$10:$J$13,2,FALSE),0),
IF(AX535="K",VLOOKUP(L535,Foundation_Calc!$V$117:$X$151,VLOOKUP(AX535,Foundation_Calc!$I$10:$J$13,2,FALSE),0),"")))</f>
        <v/>
      </c>
      <c r="N535" s="691"/>
      <c r="O535" s="691"/>
      <c r="P535" s="691"/>
      <c r="Q535" s="689"/>
      <c r="R535" s="690"/>
      <c r="S535" s="690"/>
      <c r="T535" s="689"/>
      <c r="U535" s="689"/>
      <c r="V535" s="689"/>
      <c r="W535" s="695"/>
      <c r="X535" s="692"/>
      <c r="Y535" s="692"/>
      <c r="Z535" s="692"/>
      <c r="AA535" s="692"/>
      <c r="AB535" s="692"/>
      <c r="AC535" s="691" t="str">
        <f t="shared" si="64"/>
        <v/>
      </c>
      <c r="AD535" s="691"/>
      <c r="AE535" s="691"/>
      <c r="AF535" s="689"/>
      <c r="AG535" s="688"/>
      <c r="AH535" s="689"/>
      <c r="AI535" s="689"/>
      <c r="AJ535" s="691"/>
      <c r="AK535" s="691"/>
      <c r="AL535" s="691"/>
      <c r="AM535" s="691"/>
      <c r="AN535" s="693"/>
      <c r="AO535" s="692"/>
      <c r="AP535" s="692"/>
      <c r="AQ535" s="692">
        <f>+FL_1($T$538,$T$534,$G$535,1200,9.28, 1*$F$538)</f>
        <v>0.35</v>
      </c>
      <c r="AR535" s="692"/>
      <c r="AS535" s="692"/>
      <c r="AT535" s="692"/>
      <c r="AU535" s="694"/>
      <c r="AV535" s="694"/>
      <c r="AW535" s="691" t="str">
        <f>IF(C535&gt;0,VLOOKUP(C535,Foundation_Calc!$A$2:$C$13,3,1),
IF(J535&gt;0,VLOOKUP(J535,Foundation_Calc!$A$2:$C$13,3,1),""))</f>
        <v/>
      </c>
      <c r="AX535" s="691" t="str">
        <f>IF(C535&gt;0,VLOOKUP(C535,Foundation_Calc!$E$35:$G$65,3,1),
IF(J535&gt;0,VLOOKUP(J535,Foundation_Calc!$E$35:$G$65,3,1),""))</f>
        <v/>
      </c>
      <c r="AY535" s="693" t="str">
        <f>IF(L535="","",
IF(AX535="PT",VLOOKUP(L535,Foundation_Calc!$K$79:$R$113,VLOOKUP(AW535,Foundation_Calc!$I$2:$J$8,2,FALSE),0),
IF(AX535="K",VLOOKUP(L535,Foundation_Calc!$K$117:$R$151,VLOOKUP(AW535,Foundation_Calc!$I$2:$J$8,2,FALSE),0),"")))</f>
        <v/>
      </c>
      <c r="AZ535" s="693" t="str">
        <f>IF(K535="","",
IF(AX535="PT",VLOOKUP(K535,Foundation_Calc!$K$79:$R$113,VLOOKUP(AW535,Foundation_Calc!$I$2:$J$8,2,FALSE),0),
IF(AX535="K",VLOOKUP(K535,Foundation_Calc!$K$117:$R$151,VLOOKUP(AW535,Foundation_Calc!$I$2:$J$8,2,FALSE),0),"")))</f>
        <v/>
      </c>
      <c r="BA535" s="495" t="str">
        <f t="shared" si="61"/>
        <v/>
      </c>
      <c r="BB535" s="495" t="str">
        <f t="shared" si="62"/>
        <v/>
      </c>
      <c r="BC535" s="495" t="str">
        <f t="shared" si="63"/>
        <v/>
      </c>
      <c r="BD535" s="513" t="str">
        <f>IF(AND(L535="",H535=""),"",
IF(H535="",Pole_Calc!A$9,
IF(H535="MP",Pole_Calc!A$10,
IF(H535="AnMP",Pole_Calc!A$11,
IF(H535="A",Pole_Calc!A$12,
IF(H535="S/A",Pole_Calc!A$13,
IF(H535="A/S",Pole_Calc!A$14,"Poner a mano")))))))</f>
        <v/>
      </c>
      <c r="BE535" s="429" t="s">
        <v>118</v>
      </c>
      <c r="BF535" s="290"/>
      <c r="BG535" s="290"/>
      <c r="BH535" s="290"/>
      <c r="BI535" s="290"/>
    </row>
    <row r="536" spans="1:61" ht="15.75" customHeight="1">
      <c r="A536" s="514"/>
      <c r="B536" s="450" t="s">
        <v>1214</v>
      </c>
      <c r="C536" s="3">
        <f>+$C$534+$G$535</f>
        <v>42843.850000000013</v>
      </c>
      <c r="D536" s="83"/>
      <c r="E536" s="4"/>
      <c r="F536" s="4">
        <v>8537.1134020618556</v>
      </c>
      <c r="G536" s="6"/>
      <c r="H536" s="449"/>
      <c r="I536" s="4"/>
      <c r="J536" s="3"/>
      <c r="K536" s="449"/>
      <c r="L536" s="449" t="s">
        <v>158</v>
      </c>
      <c r="M536" s="449" t="str">
        <f>IF(L536="","",
IF(AX536="PT",VLOOKUP(L536,Foundation_Calc!$V$79:$X$113,VLOOKUP(AX536,Foundation_Calc!$I$10:$J$13,2,FALSE),0),
IF(AX536="K",VLOOKUP(L536,Foundation_Calc!$V$117:$X$151,VLOOKUP(AX536,Foundation_Calc!$I$10:$J$13,2,FALSE),0),"")))</f>
        <v>C4R</v>
      </c>
      <c r="N536" s="449" t="s">
        <v>124</v>
      </c>
      <c r="O536" s="449"/>
      <c r="P536" s="449"/>
      <c r="Q536" s="4"/>
      <c r="R536" s="6"/>
      <c r="S536" s="6"/>
      <c r="T536" s="4">
        <v>-25</v>
      </c>
      <c r="U536" s="4"/>
      <c r="V536" s="4"/>
      <c r="W536" s="572">
        <v>1</v>
      </c>
      <c r="X536" s="9"/>
      <c r="Y536" s="9"/>
      <c r="Z536" s="9"/>
      <c r="AA536" s="9"/>
      <c r="AB536" s="9"/>
      <c r="AC536" s="449" t="str">
        <f t="shared" ref="AC536:AC537" si="65">IF(OR(AT536&gt;8,AT536&lt;-8),"PH",
IF(OR(AT536&gt;5,AT536&lt;-5),"PHQ",
IF(OR(AT536&gt;1,AT536&lt;-1),
"PHC","")))</f>
        <v>PHQ</v>
      </c>
      <c r="AD536" s="449"/>
      <c r="AE536" s="449"/>
      <c r="AF536" s="4"/>
      <c r="AG536" s="83"/>
      <c r="AH536" s="4"/>
      <c r="AI536" s="4"/>
      <c r="AJ536" s="449"/>
      <c r="AK536" s="449"/>
      <c r="AL536" s="449"/>
      <c r="AM536" s="449" t="s">
        <v>126</v>
      </c>
      <c r="AN536" s="10">
        <v>5.5</v>
      </c>
      <c r="AO536" s="9"/>
      <c r="AP536" s="9"/>
      <c r="AQ536" s="9"/>
      <c r="AR536" s="9"/>
      <c r="AS536" s="9"/>
      <c r="AT536" s="9">
        <f>+ab($T$534,$T$532,$T$538,$G$533,$G$535, 1*$F$534,1200)</f>
        <v>-6.6204782885547084</v>
      </c>
      <c r="AU536" s="428"/>
      <c r="AV536" s="428"/>
      <c r="AW536" s="449" t="str">
        <f>IF(C536&gt;0,VLOOKUP(C536,Foundation_Calc!$A$2:$C$13,3,1),
IF(J536&gt;0,VLOOKUP(J536,Foundation_Calc!$A$2:$C$13,3,1),""))</f>
        <v>Multi Soil</v>
      </c>
      <c r="AX536" s="449" t="str">
        <f>IF(C536&gt;0,VLOOKUP(C536,Foundation_Calc!$E$35:$G$65,3,1),
IF(J536&gt;0,VLOOKUP(J536,Foundation_Calc!$E$35:$G$65,3,1),""))</f>
        <v>PT</v>
      </c>
      <c r="AY536" s="10">
        <f>IF(L536="","",
IF(AX536="PT",VLOOKUP(L536,Foundation_Calc!$K$79:$R$113,VLOOKUP(AW536,Foundation_Calc!$I$2:$J$8,2,FALSE),0),
IF(AX536="K",VLOOKUP(L536,Foundation_Calc!$K$117:$R$151,VLOOKUP(AW536,Foundation_Calc!$I$2:$J$8,2,FALSE),0),"")))</f>
        <v>3.5</v>
      </c>
      <c r="AZ536" s="10" t="str">
        <f>IF(K536="","",
IF(AX536="PT",VLOOKUP(K536,Foundation_Calc!$K$79:$R$113,VLOOKUP(AW536,Foundation_Calc!$I$2:$J$8,2,FALSE),0),
IF(AX536="K",VLOOKUP(K536,Foundation_Calc!$K$117:$R$151,VLOOKUP(AW536,Foundation_Calc!$I$2:$J$8,2,FALSE),0),"")))</f>
        <v/>
      </c>
      <c r="BA536" s="495" t="str">
        <f t="shared" ref="BA536:BA537" si="66">IF(AY536="","",IF(AY536&gt;0,"ü",""))</f>
        <v>ü</v>
      </c>
      <c r="BB536" s="495" t="str">
        <f t="shared" ref="BB536:BB537" si="67">IF(AZ536="","",IF(AZ536&gt;0,"ü",""))</f>
        <v/>
      </c>
      <c r="BC536" s="495" t="str">
        <f t="shared" ref="BC536:BC537" si="68">IF(M536="","",IF(M536="U.S.","ü",IF(M536="U.S. N.D.","ü","")))</f>
        <v/>
      </c>
      <c r="BD536" s="513" t="str">
        <f>IF(AND(L536="",H536=""),"",
IF(H536="",Pole_Calc!A$9,
IF(H536="MP",Pole_Calc!A$10,
IF(H536="AnMP",Pole_Calc!A$11,
IF(H536="A",Pole_Calc!A$12,
IF(H536="S/A",Pole_Calc!A$13,
IF(H536="A/S",Pole_Calc!A$14,"Poner a mano")))))))</f>
        <v>App.7-V11I-P9.5.1.1</v>
      </c>
      <c r="BE536" s="429" t="s">
        <v>118</v>
      </c>
      <c r="BF536" s="289"/>
      <c r="BG536" s="289"/>
      <c r="BH536" s="290"/>
      <c r="BI536" s="289"/>
    </row>
    <row r="537" spans="1:61" ht="15.75" customHeight="1">
      <c r="A537" s="514" t="s">
        <v>193</v>
      </c>
      <c r="B537" s="450"/>
      <c r="C537" s="3"/>
      <c r="D537" s="83"/>
      <c r="E537" s="4"/>
      <c r="F537" s="4"/>
      <c r="G537" s="6">
        <v>36.1</v>
      </c>
      <c r="H537" s="449"/>
      <c r="I537" s="4"/>
      <c r="J537" s="3"/>
      <c r="K537" s="449"/>
      <c r="L537" s="449"/>
      <c r="M537" s="449" t="str">
        <f>IF(L537="","",
IF(AX537="PT",VLOOKUP(L537,Foundation_Calc!$V$79:$X$113,VLOOKUP(AX537,Foundation_Calc!$I$10:$J$13,2,FALSE),0),
IF(AX537="K",VLOOKUP(L537,Foundation_Calc!$V$117:$X$151,VLOOKUP(AX537,Foundation_Calc!$I$10:$J$13,2,FALSE),0),"")))</f>
        <v/>
      </c>
      <c r="N537" s="449"/>
      <c r="O537" s="449"/>
      <c r="P537" s="449"/>
      <c r="Q537" s="4"/>
      <c r="R537" s="6"/>
      <c r="S537" s="6"/>
      <c r="T537" s="4"/>
      <c r="U537" s="4"/>
      <c r="V537" s="4"/>
      <c r="W537" s="572"/>
      <c r="X537" s="9"/>
      <c r="Y537" s="9"/>
      <c r="Z537" s="9"/>
      <c r="AA537" s="9"/>
      <c r="AB537" s="9"/>
      <c r="AC537" s="449" t="str">
        <f t="shared" si="65"/>
        <v/>
      </c>
      <c r="AD537" s="449"/>
      <c r="AE537" s="449"/>
      <c r="AF537" s="4"/>
      <c r="AG537" s="83"/>
      <c r="AH537" s="4"/>
      <c r="AI537" s="4"/>
      <c r="AJ537" s="449"/>
      <c r="AK537" s="449"/>
      <c r="AL537" s="449"/>
      <c r="AM537" s="449"/>
      <c r="AN537" s="10"/>
      <c r="AO537" s="9"/>
      <c r="AP537" s="9"/>
      <c r="AQ537" s="9">
        <f>+FL_1($T$538,$T$534,$G$535,1200,9.28, 1*$F$538)</f>
        <v>0.35</v>
      </c>
      <c r="AR537" s="9"/>
      <c r="AS537" s="9"/>
      <c r="AT537" s="9"/>
      <c r="AU537" s="428"/>
      <c r="AV537" s="428"/>
      <c r="AW537" s="449" t="str">
        <f>IF(C537&gt;0,VLOOKUP(C537,Foundation_Calc!$A$2:$C$13,3,1),
IF(J537&gt;0,VLOOKUP(J537,Foundation_Calc!$A$2:$C$13,3,1),""))</f>
        <v/>
      </c>
      <c r="AX537" s="449" t="str">
        <f>IF(C537&gt;0,VLOOKUP(C537,Foundation_Calc!$E$35:$G$65,3,1),
IF(J537&gt;0,VLOOKUP(J537,Foundation_Calc!$E$35:$G$65,3,1),""))</f>
        <v/>
      </c>
      <c r="AY537" s="10" t="str">
        <f>IF(L537="","",
IF(AX537="PT",VLOOKUP(L537,Foundation_Calc!$K$79:$R$113,VLOOKUP(AW537,Foundation_Calc!$I$2:$J$8,2,FALSE),0),
IF(AX537="K",VLOOKUP(L537,Foundation_Calc!$K$117:$R$151,VLOOKUP(AW537,Foundation_Calc!$I$2:$J$8,2,FALSE),0),"")))</f>
        <v/>
      </c>
      <c r="AZ537" s="10" t="str">
        <f>IF(K537="","",
IF(AX537="PT",VLOOKUP(K537,Foundation_Calc!$K$79:$R$113,VLOOKUP(AW537,Foundation_Calc!$I$2:$J$8,2,FALSE),0),
IF(AX537="K",VLOOKUP(K537,Foundation_Calc!$K$117:$R$151,VLOOKUP(AW537,Foundation_Calc!$I$2:$J$8,2,FALSE),0),"")))</f>
        <v/>
      </c>
      <c r="BA537" s="495" t="str">
        <f t="shared" si="66"/>
        <v/>
      </c>
      <c r="BB537" s="495" t="str">
        <f t="shared" si="67"/>
        <v/>
      </c>
      <c r="BC537" s="495" t="str">
        <f t="shared" si="68"/>
        <v/>
      </c>
      <c r="BD537" s="513" t="str">
        <f>IF(AND(L537="",H537=""),"",
IF(H537="",Pole_Calc!A$9,
IF(H537="MP",Pole_Calc!A$10,
IF(H537="AnMP",Pole_Calc!A$11,
IF(H537="A",Pole_Calc!A$12,
IF(H537="S/A",Pole_Calc!A$13,
IF(H537="A/S",Pole_Calc!A$14,"Poner a mano")))))))</f>
        <v/>
      </c>
      <c r="BE537" s="429" t="s">
        <v>118</v>
      </c>
      <c r="BF537" s="290"/>
      <c r="BG537" s="290"/>
      <c r="BH537" s="290"/>
      <c r="BI537" s="290"/>
    </row>
    <row r="538" spans="1:61" ht="15.75" customHeight="1">
      <c r="A538" s="514"/>
      <c r="B538" s="450" t="s">
        <v>1215</v>
      </c>
      <c r="C538" s="3">
        <f>+$C$536+$G$537</f>
        <v>42879.950000000012</v>
      </c>
      <c r="D538" s="83"/>
      <c r="E538" s="4"/>
      <c r="F538" s="4">
        <v>0</v>
      </c>
      <c r="G538" s="6"/>
      <c r="H538" s="449"/>
      <c r="I538" s="4"/>
      <c r="J538" s="3"/>
      <c r="K538" s="449"/>
      <c r="L538" s="449" t="s">
        <v>153</v>
      </c>
      <c r="M538" s="449" t="str">
        <f>IF(L538="","",
IF(AX538="PT",VLOOKUP(L538,Foundation_Calc!$V$79:$X$113,VLOOKUP(AX538,Foundation_Calc!$I$10:$J$13,2,FALSE),0),
IF(AX538="K",VLOOKUP(L538,Foundation_Calc!$V$117:$X$151,VLOOKUP(AX538,Foundation_Calc!$I$10:$J$13,2,FALSE),0),"")))</f>
        <v>C3R</v>
      </c>
      <c r="N538" s="449" t="s">
        <v>134</v>
      </c>
      <c r="O538" s="449"/>
      <c r="P538" s="449"/>
      <c r="Q538" s="4"/>
      <c r="R538" s="6"/>
      <c r="S538" s="6"/>
      <c r="T538" s="4">
        <v>35</v>
      </c>
      <c r="U538" s="4"/>
      <c r="V538" s="4"/>
      <c r="W538" s="572">
        <v>1</v>
      </c>
      <c r="X538" s="9"/>
      <c r="Y538" s="9"/>
      <c r="Z538" s="9"/>
      <c r="AA538" s="9"/>
      <c r="AB538" s="9"/>
      <c r="AC538" s="449" t="str">
        <f t="shared" si="64"/>
        <v>PHQ</v>
      </c>
      <c r="AD538" s="449"/>
      <c r="AE538" s="449"/>
      <c r="AF538" s="4"/>
      <c r="AG538" s="83"/>
      <c r="AH538" s="4"/>
      <c r="AI538" s="4"/>
      <c r="AJ538" s="449"/>
      <c r="AK538" s="449"/>
      <c r="AL538" s="449"/>
      <c r="AM538" s="449" t="s">
        <v>126</v>
      </c>
      <c r="AN538" s="10">
        <v>5.5</v>
      </c>
      <c r="AO538" s="9"/>
      <c r="AP538" s="9"/>
      <c r="AQ538" s="9"/>
      <c r="AR538" s="9"/>
      <c r="AS538" s="9"/>
      <c r="AT538" s="9">
        <f>+ab($T$538,$T$534,$T$540,$G$535,$G$539, 1*$F$538,1200)</f>
        <v>6.4162482474859353</v>
      </c>
      <c r="AU538" s="428"/>
      <c r="AV538" s="428"/>
      <c r="AW538" s="449" t="str">
        <f>IF(C538&gt;0,VLOOKUP(C538,Foundation_Calc!$A$2:$C$13,3,1),
IF(J538&gt;0,VLOOKUP(J538,Foundation_Calc!$A$2:$C$13,3,1),""))</f>
        <v>Multi Soil</v>
      </c>
      <c r="AX538" s="449" t="str">
        <f>IF(C538&gt;0,VLOOKUP(C538,Foundation_Calc!$E$35:$G$65,3,1),
IF(J538&gt;0,VLOOKUP(J538,Foundation_Calc!$E$35:$G$65,3,1),""))</f>
        <v>PT</v>
      </c>
      <c r="AY538" s="10">
        <f>IF(L538="","",
IF(AX538="PT",VLOOKUP(L538,Foundation_Calc!$K$79:$R$113,VLOOKUP(AW538,Foundation_Calc!$I$2:$J$8,2,FALSE),0),
IF(AX538="K",VLOOKUP(L538,Foundation_Calc!$K$117:$R$151,VLOOKUP(AW538,Foundation_Calc!$I$2:$J$8,2,FALSE),0),"")))</f>
        <v>3.5</v>
      </c>
      <c r="AZ538" s="10" t="str">
        <f>IF(K538="","",
IF(AX538="PT",VLOOKUP(K538,Foundation_Calc!$K$79:$R$113,VLOOKUP(AW538,Foundation_Calc!$I$2:$J$8,2,FALSE),0),
IF(AX538="K",VLOOKUP(K538,Foundation_Calc!$K$117:$R$151,VLOOKUP(AW538,Foundation_Calc!$I$2:$J$8,2,FALSE),0),"")))</f>
        <v/>
      </c>
      <c r="BA538" s="495" t="str">
        <f t="shared" si="61"/>
        <v>ü</v>
      </c>
      <c r="BB538" s="495" t="str">
        <f t="shared" si="62"/>
        <v/>
      </c>
      <c r="BC538" s="495" t="str">
        <f t="shared" si="63"/>
        <v/>
      </c>
      <c r="BD538" s="513" t="str">
        <f>IF(AND(L538="",H538=""),"",
IF(H538="",Pole_Calc!A$9,
IF(H538="MP",Pole_Calc!A$10,
IF(H538="AnMP",Pole_Calc!A$11,
IF(H538="A",Pole_Calc!A$12,
IF(H538="S/A",Pole_Calc!A$13,
IF(H538="A/S",Pole_Calc!A$14,"Poner a mano")))))))</f>
        <v>App.7-V11I-P9.5.1.1</v>
      </c>
      <c r="BE538" s="429" t="s">
        <v>118</v>
      </c>
      <c r="BF538" s="289"/>
      <c r="BG538" s="289"/>
      <c r="BH538" s="290"/>
      <c r="BI538" s="289"/>
    </row>
    <row r="539" spans="1:61" ht="15.75" customHeight="1">
      <c r="A539" s="514" t="s">
        <v>193</v>
      </c>
      <c r="B539" s="450"/>
      <c r="C539" s="3"/>
      <c r="D539" s="83"/>
      <c r="E539" s="4"/>
      <c r="F539" s="4"/>
      <c r="G539" s="6">
        <v>53</v>
      </c>
      <c r="H539" s="449"/>
      <c r="I539" s="4"/>
      <c r="J539" s="3"/>
      <c r="K539" s="449"/>
      <c r="L539" s="449"/>
      <c r="M539" s="449" t="str">
        <f>IF(L539="","",
IF(AX539="PT",VLOOKUP(L539,Foundation_Calc!$V$79:$X$113,VLOOKUP(AX539,Foundation_Calc!$I$10:$J$13,2,FALSE),0),
IF(AX539="K",VLOOKUP(L539,Foundation_Calc!$V$117:$X$151,VLOOKUP(AX539,Foundation_Calc!$I$10:$J$13,2,FALSE),0),"")))</f>
        <v/>
      </c>
      <c r="N539" s="449"/>
      <c r="O539" s="449"/>
      <c r="P539" s="449"/>
      <c r="Q539" s="4"/>
      <c r="R539" s="6"/>
      <c r="S539" s="6"/>
      <c r="T539" s="4"/>
      <c r="U539" s="4"/>
      <c r="V539" s="4"/>
      <c r="W539" s="572"/>
      <c r="X539" s="9"/>
      <c r="Y539" s="9"/>
      <c r="Z539" s="9"/>
      <c r="AA539" s="9"/>
      <c r="AB539" s="9"/>
      <c r="AC539" s="449" t="str">
        <f t="shared" si="64"/>
        <v/>
      </c>
      <c r="AD539" s="449"/>
      <c r="AE539" s="449"/>
      <c r="AF539" s="4"/>
      <c r="AG539" s="83"/>
      <c r="AH539" s="4"/>
      <c r="AI539" s="4"/>
      <c r="AJ539" s="449"/>
      <c r="AK539" s="449"/>
      <c r="AL539" s="449"/>
      <c r="AM539" s="449"/>
      <c r="AN539" s="10"/>
      <c r="AO539" s="9"/>
      <c r="AP539" s="9"/>
      <c r="AQ539" s="9">
        <f>+FL_1($T$540,$T$538,$G$539,1200,9.28, 1*$F$540)</f>
        <v>0.38432069766037741</v>
      </c>
      <c r="AR539" s="9"/>
      <c r="AS539" s="9"/>
      <c r="AT539" s="9"/>
      <c r="AU539" s="428"/>
      <c r="AV539" s="428"/>
      <c r="AW539" s="449" t="str">
        <f>IF(C539&gt;0,VLOOKUP(C539,Foundation_Calc!$A$2:$C$13,3,1),
IF(J539&gt;0,VLOOKUP(J539,Foundation_Calc!$A$2:$C$13,3,1),""))</f>
        <v/>
      </c>
      <c r="AX539" s="449" t="str">
        <f>IF(C539&gt;0,VLOOKUP(C539,Foundation_Calc!$E$35:$G$65,3,1),
IF(J539&gt;0,VLOOKUP(J539,Foundation_Calc!$E$35:$G$65,3,1),""))</f>
        <v/>
      </c>
      <c r="AY539" s="10" t="str">
        <f>IF(L539="","",
IF(AX539="PT",VLOOKUP(L539,Foundation_Calc!$K$79:$R$113,VLOOKUP(AW539,Foundation_Calc!$I$2:$J$8,2,FALSE),0),
IF(AX539="K",VLOOKUP(L539,Foundation_Calc!$K$117:$R$151,VLOOKUP(AW539,Foundation_Calc!$I$2:$J$8,2,FALSE),0),"")))</f>
        <v/>
      </c>
      <c r="AZ539" s="10" t="str">
        <f>IF(K539="","",
IF(AX539="PT",VLOOKUP(K539,Foundation_Calc!$K$79:$R$113,VLOOKUP(AW539,Foundation_Calc!$I$2:$J$8,2,FALSE),0),
IF(AX539="K",VLOOKUP(K539,Foundation_Calc!$K$117:$R$151,VLOOKUP(AW539,Foundation_Calc!$I$2:$J$8,2,FALSE),0),"")))</f>
        <v/>
      </c>
      <c r="BA539" s="495" t="str">
        <f t="shared" si="61"/>
        <v/>
      </c>
      <c r="BB539" s="495" t="str">
        <f t="shared" si="62"/>
        <v/>
      </c>
      <c r="BC539" s="495" t="str">
        <f t="shared" si="63"/>
        <v/>
      </c>
      <c r="BD539" s="513" t="str">
        <f>IF(AND(L539="",H539=""),"",
IF(H539="",Pole_Calc!A$9,
IF(H539="MP",Pole_Calc!A$10,
IF(H539="AnMP",Pole_Calc!A$11,
IF(H539="A",Pole_Calc!A$12,
IF(H539="S/A",Pole_Calc!A$13,
IF(H539="A/S",Pole_Calc!A$14,"Poner a mano")))))))</f>
        <v/>
      </c>
      <c r="BE539" s="429" t="s">
        <v>118</v>
      </c>
      <c r="BF539" s="290"/>
      <c r="BG539" s="290"/>
      <c r="BH539" s="290"/>
      <c r="BI539" s="290"/>
    </row>
    <row r="540" spans="1:61" ht="15.75" customHeight="1">
      <c r="A540" s="514"/>
      <c r="B540" s="450" t="s">
        <v>1216</v>
      </c>
      <c r="C540" s="3">
        <f>+$C$538+$G$539</f>
        <v>42932.950000000012</v>
      </c>
      <c r="D540" s="83"/>
      <c r="E540" s="4"/>
      <c r="F540" s="4">
        <v>0</v>
      </c>
      <c r="G540" s="6"/>
      <c r="H540" s="449"/>
      <c r="I540" s="4"/>
      <c r="J540" s="3"/>
      <c r="K540" s="449"/>
      <c r="L540" s="449" t="s">
        <v>153</v>
      </c>
      <c r="M540" s="449" t="str">
        <f>IF(L540="","",
IF(AX540="PT",VLOOKUP(L540,Foundation_Calc!$V$79:$X$113,VLOOKUP(AX540,Foundation_Calc!$I$10:$J$13,2,FALSE),0),
IF(AX540="K",VLOOKUP(L540,Foundation_Calc!$V$117:$X$151,VLOOKUP(AX540,Foundation_Calc!$I$10:$J$13,2,FALSE),0),"")))</f>
        <v>C3R</v>
      </c>
      <c r="N540" s="449" t="s">
        <v>124</v>
      </c>
      <c r="O540" s="449"/>
      <c r="P540" s="449"/>
      <c r="Q540" s="4"/>
      <c r="R540" s="6"/>
      <c r="S540" s="6"/>
      <c r="T540" s="4">
        <v>-35</v>
      </c>
      <c r="U540" s="4"/>
      <c r="V540" s="4"/>
      <c r="W540" s="572">
        <v>1</v>
      </c>
      <c r="X540" s="9"/>
      <c r="Y540" s="9"/>
      <c r="Z540" s="9"/>
      <c r="AA540" s="9"/>
      <c r="AB540" s="9"/>
      <c r="AC540" s="449" t="str">
        <f t="shared" si="64"/>
        <v>PHQ</v>
      </c>
      <c r="AD540" s="449"/>
      <c r="AE540" s="449"/>
      <c r="AF540" s="4"/>
      <c r="AG540" s="83"/>
      <c r="AH540" s="4"/>
      <c r="AI540" s="4"/>
      <c r="AJ540" s="449"/>
      <c r="AK540" s="449"/>
      <c r="AL540" s="449"/>
      <c r="AM540" s="449" t="s">
        <v>126</v>
      </c>
      <c r="AN540" s="10">
        <v>5.5</v>
      </c>
      <c r="AO540" s="9"/>
      <c r="AP540" s="9"/>
      <c r="AQ540" s="9"/>
      <c r="AR540" s="9"/>
      <c r="AS540" s="9"/>
      <c r="AT540" s="9">
        <f>+ab($T$540,$T$538,$T$542,$G$539,$G$541, 1*$F$540,1200)</f>
        <v>-7.3583276531105488</v>
      </c>
      <c r="AU540" s="428"/>
      <c r="AV540" s="428"/>
      <c r="AW540" s="449" t="str">
        <f>IF(C540&gt;0,VLOOKUP(C540,Foundation_Calc!$A$2:$C$13,3,1),
IF(J540&gt;0,VLOOKUP(J540,Foundation_Calc!$A$2:$C$13,3,1),""))</f>
        <v>Multi Soil</v>
      </c>
      <c r="AX540" s="449" t="str">
        <f>IF(C540&gt;0,VLOOKUP(C540,Foundation_Calc!$E$35:$G$65,3,1),
IF(J540&gt;0,VLOOKUP(J540,Foundation_Calc!$E$35:$G$65,3,1),""))</f>
        <v>PT</v>
      </c>
      <c r="AY540" s="10">
        <f>IF(L540="","",
IF(AX540="PT",VLOOKUP(L540,Foundation_Calc!$K$79:$R$113,VLOOKUP(AW540,Foundation_Calc!$I$2:$J$8,2,FALSE),0),
IF(AX540="K",VLOOKUP(L540,Foundation_Calc!$K$117:$R$151,VLOOKUP(AW540,Foundation_Calc!$I$2:$J$8,2,FALSE),0),"")))</f>
        <v>3.5</v>
      </c>
      <c r="AZ540" s="10" t="str">
        <f>IF(K540="","",
IF(AX540="PT",VLOOKUP(K540,Foundation_Calc!$K$79:$R$113,VLOOKUP(AW540,Foundation_Calc!$I$2:$J$8,2,FALSE),0),
IF(AX540="K",VLOOKUP(K540,Foundation_Calc!$K$117:$R$151,VLOOKUP(AW540,Foundation_Calc!$I$2:$J$8,2,FALSE),0),"")))</f>
        <v/>
      </c>
      <c r="BA540" s="495" t="str">
        <f t="shared" si="61"/>
        <v>ü</v>
      </c>
      <c r="BB540" s="495" t="str">
        <f t="shared" si="62"/>
        <v/>
      </c>
      <c r="BC540" s="495" t="str">
        <f t="shared" si="63"/>
        <v/>
      </c>
      <c r="BD540" s="513" t="str">
        <f>IF(AND(L540="",H540=""),"",
IF(H540="",Pole_Calc!A$9,
IF(H540="MP",Pole_Calc!A$10,
IF(H540="AnMP",Pole_Calc!A$11,
IF(H540="A",Pole_Calc!A$12,
IF(H540="S/A",Pole_Calc!A$13,
IF(H540="A/S",Pole_Calc!A$14,"Poner a mano")))))))</f>
        <v>App.7-V11I-P9.5.1.1</v>
      </c>
      <c r="BE540" s="429" t="s">
        <v>118</v>
      </c>
      <c r="BF540" s="289"/>
      <c r="BG540" s="289"/>
      <c r="BH540" s="290"/>
      <c r="BI540" s="289"/>
    </row>
    <row r="541" spans="1:61" ht="15.75" customHeight="1">
      <c r="A541" s="514"/>
      <c r="B541" s="450"/>
      <c r="C541" s="3"/>
      <c r="D541" s="83"/>
      <c r="E541" s="4"/>
      <c r="F541" s="4"/>
      <c r="G541" s="6">
        <v>55</v>
      </c>
      <c r="H541" s="449"/>
      <c r="I541" s="4"/>
      <c r="J541" s="3"/>
      <c r="K541" s="449"/>
      <c r="L541" s="449"/>
      <c r="M541" s="449" t="str">
        <f>IF(L541="","",
IF(AX541="PT",VLOOKUP(L541,Foundation_Calc!$V$79:$X$113,VLOOKUP(AX541,Foundation_Calc!$I$10:$J$13,2,FALSE),0),
IF(AX541="K",VLOOKUP(L541,Foundation_Calc!$V$117:$X$151,VLOOKUP(AX541,Foundation_Calc!$I$10:$J$13,2,FALSE),0),"")))</f>
        <v/>
      </c>
      <c r="N541" s="449"/>
      <c r="O541" s="449"/>
      <c r="P541" s="449"/>
      <c r="Q541" s="4"/>
      <c r="R541" s="6"/>
      <c r="S541" s="6"/>
      <c r="T541" s="4"/>
      <c r="U541" s="4"/>
      <c r="V541" s="4"/>
      <c r="W541" s="572"/>
      <c r="X541" s="9"/>
      <c r="Y541" s="9"/>
      <c r="Z541" s="9"/>
      <c r="AA541" s="9"/>
      <c r="AB541" s="9"/>
      <c r="AC541" s="449" t="str">
        <f t="shared" si="64"/>
        <v/>
      </c>
      <c r="AD541" s="449"/>
      <c r="AE541" s="449"/>
      <c r="AF541" s="4"/>
      <c r="AG541" s="83"/>
      <c r="AH541" s="4"/>
      <c r="AI541" s="4"/>
      <c r="AJ541" s="449"/>
      <c r="AK541" s="449"/>
      <c r="AL541" s="449"/>
      <c r="AM541" s="449"/>
      <c r="AN541" s="10"/>
      <c r="AO541" s="9"/>
      <c r="AP541" s="9"/>
      <c r="AQ541" s="9">
        <f>+FL_2($T$542,$T$540,$G$541,1200,9.28, 1*$F$542)</f>
        <v>-0.39714735709090898</v>
      </c>
      <c r="AR541" s="9"/>
      <c r="AS541" s="9"/>
      <c r="AT541" s="9"/>
      <c r="AU541" s="428"/>
      <c r="AV541" s="428"/>
      <c r="AW541" s="449" t="str">
        <f>IF(C541&gt;0,VLOOKUP(C541,Foundation_Calc!$A$2:$C$13,3,1),
IF(J541&gt;0,VLOOKUP(J541,Foundation_Calc!$A$2:$C$13,3,1),""))</f>
        <v/>
      </c>
      <c r="AX541" s="449" t="str">
        <f>IF(C541&gt;0,VLOOKUP(C541,Foundation_Calc!$E$35:$G$65,3,1),
IF(J541&gt;0,VLOOKUP(J541,Foundation_Calc!$E$35:$G$65,3,1),""))</f>
        <v/>
      </c>
      <c r="AY541" s="10" t="str">
        <f>IF(L541="","",
IF(AX541="PT",VLOOKUP(L541,Foundation_Calc!$K$79:$R$113,VLOOKUP(AW541,Foundation_Calc!$I$2:$J$8,2,FALSE),0),
IF(AX541="K",VLOOKUP(L541,Foundation_Calc!$K$117:$R$151,VLOOKUP(AW541,Foundation_Calc!$I$2:$J$8,2,FALSE),0),"")))</f>
        <v/>
      </c>
      <c r="AZ541" s="10" t="str">
        <f>IF(K541="","",
IF(AX541="PT",VLOOKUP(K541,Foundation_Calc!$K$79:$R$113,VLOOKUP(AW541,Foundation_Calc!$I$2:$J$8,2,FALSE),0),
IF(AX541="K",VLOOKUP(K541,Foundation_Calc!$K$117:$R$151,VLOOKUP(AW541,Foundation_Calc!$I$2:$J$8,2,FALSE),0),"")))</f>
        <v/>
      </c>
      <c r="BA541" s="495" t="str">
        <f t="shared" si="61"/>
        <v/>
      </c>
      <c r="BB541" s="495" t="str">
        <f t="shared" si="62"/>
        <v/>
      </c>
      <c r="BC541" s="495" t="str">
        <f t="shared" si="63"/>
        <v/>
      </c>
      <c r="BD541" s="513" t="str">
        <f>IF(AND(L541="",H541=""),"",
IF(H541="",Pole_Calc!A$9,
IF(H541="MP",Pole_Calc!A$10,
IF(H541="AnMP",Pole_Calc!A$11,
IF(H541="A",Pole_Calc!A$12,
IF(H541="S/A",Pole_Calc!A$13,
IF(H541="A/S",Pole_Calc!A$14,"Poner a mano")))))))</f>
        <v/>
      </c>
      <c r="BE541" s="429" t="s">
        <v>118</v>
      </c>
      <c r="BF541" s="290"/>
      <c r="BG541" s="290"/>
      <c r="BH541" s="290"/>
      <c r="BI541" s="290"/>
    </row>
    <row r="542" spans="1:61" ht="15.75" customHeight="1">
      <c r="A542" s="514"/>
      <c r="B542" s="450" t="s">
        <v>1217</v>
      </c>
      <c r="C542" s="3">
        <f>+$C$540+$G$541</f>
        <v>42987.950000000012</v>
      </c>
      <c r="D542" s="83"/>
      <c r="E542" s="4"/>
      <c r="F542" s="4">
        <v>0</v>
      </c>
      <c r="G542" s="6"/>
      <c r="H542" s="449"/>
      <c r="I542" s="4"/>
      <c r="J542" s="3"/>
      <c r="K542" s="449"/>
      <c r="L542" s="449" t="s">
        <v>153</v>
      </c>
      <c r="M542" s="449" t="str">
        <f>IF(L542="","",
IF(AX542="PT",VLOOKUP(L542,Foundation_Calc!$V$79:$X$113,VLOOKUP(AX542,Foundation_Calc!$I$10:$J$13,2,FALSE),0),
IF(AX542="K",VLOOKUP(L542,Foundation_Calc!$V$117:$X$151,VLOOKUP(AX542,Foundation_Calc!$I$10:$J$13,2,FALSE),0),"")))</f>
        <v>C3R</v>
      </c>
      <c r="N542" s="449" t="s">
        <v>134</v>
      </c>
      <c r="O542" s="449"/>
      <c r="P542" s="449"/>
      <c r="Q542" s="4"/>
      <c r="R542" s="6"/>
      <c r="S542" s="6"/>
      <c r="T542" s="4">
        <v>35</v>
      </c>
      <c r="U542" s="4"/>
      <c r="V542" s="4"/>
      <c r="W542" s="572">
        <v>1.2</v>
      </c>
      <c r="X542" s="9"/>
      <c r="Y542" s="9"/>
      <c r="Z542" s="9"/>
      <c r="AA542" s="9"/>
      <c r="AB542" s="9"/>
      <c r="AC542" s="449" t="str">
        <f t="shared" si="64"/>
        <v>PHQ</v>
      </c>
      <c r="AD542" s="449"/>
      <c r="AE542" s="449"/>
      <c r="AF542" s="4"/>
      <c r="AG542" s="83"/>
      <c r="AH542" s="4"/>
      <c r="AI542" s="4"/>
      <c r="AJ542" s="449"/>
      <c r="AK542" s="449"/>
      <c r="AL542" s="449"/>
      <c r="AM542" s="449" t="s">
        <v>126</v>
      </c>
      <c r="AN542" s="10">
        <v>5.5</v>
      </c>
      <c r="AO542" s="9"/>
      <c r="AP542" s="9"/>
      <c r="AQ542" s="9"/>
      <c r="AR542" s="9"/>
      <c r="AS542" s="9"/>
      <c r="AT542" s="9">
        <f>+ab($T$542,$T$540,$T$544,$G$541,$G$543, 1*$F$542,1200)</f>
        <v>7.4955682572493121</v>
      </c>
      <c r="AU542" s="428"/>
      <c r="AV542" s="428"/>
      <c r="AW542" s="449" t="str">
        <f>IF(C542&gt;0,VLOOKUP(C542,Foundation_Calc!$A$2:$C$13,3,1),
IF(J542&gt;0,VLOOKUP(J542,Foundation_Calc!$A$2:$C$13,3,1),""))</f>
        <v>Multi Soil</v>
      </c>
      <c r="AX542" s="449" t="str">
        <f>IF(C542&gt;0,VLOOKUP(C542,Foundation_Calc!$E$35:$G$65,3,1),
IF(J542&gt;0,VLOOKUP(J542,Foundation_Calc!$E$35:$G$65,3,1),""))</f>
        <v>PT</v>
      </c>
      <c r="AY542" s="10">
        <f>IF(L542="","",
IF(AX542="PT",VLOOKUP(L542,Foundation_Calc!$K$79:$R$113,VLOOKUP(AW542,Foundation_Calc!$I$2:$J$8,2,FALSE),0),
IF(AX542="K",VLOOKUP(L542,Foundation_Calc!$K$117:$R$151,VLOOKUP(AW542,Foundation_Calc!$I$2:$J$8,2,FALSE),0),"")))</f>
        <v>3.5</v>
      </c>
      <c r="AZ542" s="10" t="str">
        <f>IF(K542="","",
IF(AX542="PT",VLOOKUP(K542,Foundation_Calc!$K$79:$R$113,VLOOKUP(AW542,Foundation_Calc!$I$2:$J$8,2,FALSE),0),
IF(AX542="K",VLOOKUP(K542,Foundation_Calc!$K$117:$R$151,VLOOKUP(AW542,Foundation_Calc!$I$2:$J$8,2,FALSE),0),"")))</f>
        <v/>
      </c>
      <c r="BA542" s="495" t="str">
        <f t="shared" si="61"/>
        <v>ü</v>
      </c>
      <c r="BB542" s="495" t="str">
        <f t="shared" si="62"/>
        <v/>
      </c>
      <c r="BC542" s="495" t="str">
        <f t="shared" si="63"/>
        <v/>
      </c>
      <c r="BD542" s="513" t="str">
        <f>IF(AND(L542="",H542=""),"",
IF(H542="",Pole_Calc!A$9,
IF(H542="MP",Pole_Calc!A$10,
IF(H542="AnMP",Pole_Calc!A$11,
IF(H542="A",Pole_Calc!A$12,
IF(H542="S/A",Pole_Calc!A$13,
IF(H542="A/S",Pole_Calc!A$14,"Poner a mano")))))))</f>
        <v>App.7-V11I-P9.5.1.1</v>
      </c>
      <c r="BE542" s="429" t="s">
        <v>118</v>
      </c>
      <c r="BF542" s="289"/>
      <c r="BG542" s="289"/>
      <c r="BH542" s="290"/>
      <c r="BI542" s="289"/>
    </row>
    <row r="543" spans="1:61" ht="15.75" customHeight="1">
      <c r="A543" s="518"/>
      <c r="B543" s="450"/>
      <c r="C543" s="3"/>
      <c r="D543" s="83"/>
      <c r="E543" s="4"/>
      <c r="F543" s="4"/>
      <c r="G543" s="6">
        <v>55</v>
      </c>
      <c r="H543" s="449"/>
      <c r="I543" s="4"/>
      <c r="J543" s="3"/>
      <c r="K543" s="449"/>
      <c r="L543" s="449"/>
      <c r="M543" s="449" t="str">
        <f>IF(L543="","",
IF(AX543="PT",VLOOKUP(L543,Foundation_Calc!$V$79:$X$113,VLOOKUP(AX543,Foundation_Calc!$I$10:$J$13,2,FALSE),0),
IF(AX543="K",VLOOKUP(L543,Foundation_Calc!$V$117:$X$151,VLOOKUP(AX543,Foundation_Calc!$I$10:$J$13,2,FALSE),0),"")))</f>
        <v/>
      </c>
      <c r="N543" s="449"/>
      <c r="O543" s="449"/>
      <c r="P543" s="449"/>
      <c r="Q543" s="4"/>
      <c r="R543" s="6"/>
      <c r="S543" s="6"/>
      <c r="T543" s="4"/>
      <c r="U543" s="4"/>
      <c r="V543" s="4"/>
      <c r="W543" s="9"/>
      <c r="X543" s="9"/>
      <c r="Y543" s="9"/>
      <c r="Z543" s="9"/>
      <c r="AA543" s="9"/>
      <c r="AB543" s="9"/>
      <c r="AC543" s="449" t="str">
        <f t="shared" si="64"/>
        <v/>
      </c>
      <c r="AD543" s="449"/>
      <c r="AE543" s="449"/>
      <c r="AF543" s="4"/>
      <c r="AG543" s="83"/>
      <c r="AH543" s="4"/>
      <c r="AI543" s="4"/>
      <c r="AJ543" s="449"/>
      <c r="AK543" s="449"/>
      <c r="AL543" s="449"/>
      <c r="AM543" s="449"/>
      <c r="AN543" s="10"/>
      <c r="AO543" s="9"/>
      <c r="AP543" s="9"/>
      <c r="AQ543" s="9">
        <f>+FL_1($T$544,$T$542,$G$543,1200,9.28, 1*$F$544)</f>
        <v>0.39714735709090898</v>
      </c>
      <c r="AR543" s="9"/>
      <c r="AS543" s="9"/>
      <c r="AT543" s="9"/>
      <c r="AU543" s="428"/>
      <c r="AV543" s="428"/>
      <c r="AW543" s="449" t="str">
        <f>IF(C543&gt;0,VLOOKUP(C543,Foundation_Calc!$A$2:$C$13,3,1),
IF(J543&gt;0,VLOOKUP(J543,Foundation_Calc!$A$2:$C$13,3,1),""))</f>
        <v/>
      </c>
      <c r="AX543" s="449" t="str">
        <f>IF(C543&gt;0,VLOOKUP(C543,Foundation_Calc!$E$35:$G$65,3,1),
IF(J543&gt;0,VLOOKUP(J543,Foundation_Calc!$E$35:$G$65,3,1),""))</f>
        <v/>
      </c>
      <c r="AY543" s="10" t="str">
        <f>IF(L543="","",
IF(AX543="PT",VLOOKUP(L543,Foundation_Calc!$K$79:$R$113,VLOOKUP(AW543,Foundation_Calc!$I$2:$J$8,2,FALSE),0),
IF(AX543="K",VLOOKUP(L543,Foundation_Calc!$K$117:$R$151,VLOOKUP(AW543,Foundation_Calc!$I$2:$J$8,2,FALSE),0),"")))</f>
        <v/>
      </c>
      <c r="AZ543" s="10" t="str">
        <f>IF(K543="","",
IF(AX543="PT",VLOOKUP(K543,Foundation_Calc!$K$79:$R$113,VLOOKUP(AW543,Foundation_Calc!$I$2:$J$8,2,FALSE),0),
IF(AX543="K",VLOOKUP(K543,Foundation_Calc!$K$117:$R$151,VLOOKUP(AW543,Foundation_Calc!$I$2:$J$8,2,FALSE),0),"")))</f>
        <v/>
      </c>
      <c r="BA543" s="495" t="str">
        <f t="shared" si="61"/>
        <v/>
      </c>
      <c r="BB543" s="495" t="str">
        <f t="shared" si="62"/>
        <v/>
      </c>
      <c r="BC543" s="495" t="str">
        <f t="shared" si="63"/>
        <v/>
      </c>
      <c r="BD543" s="513" t="str">
        <f>IF(AND(L543="",H543=""),"",
IF(H543="",Pole_Calc!A$9,
IF(H543="MP",Pole_Calc!A$10,
IF(H543="AnMP",Pole_Calc!A$11,
IF(H543="A",Pole_Calc!A$12,
IF(H543="S/A",Pole_Calc!A$13,
IF(H543="A/S",Pole_Calc!A$14,"Poner a mano")))))))</f>
        <v/>
      </c>
      <c r="BE543" s="429" t="s">
        <v>118</v>
      </c>
      <c r="BF543" s="290"/>
      <c r="BG543" s="290"/>
      <c r="BH543" s="290"/>
      <c r="BI543" s="290"/>
    </row>
    <row r="544" spans="1:61" ht="15.75" customHeight="1">
      <c r="A544" s="514"/>
      <c r="B544" s="450" t="s">
        <v>1218</v>
      </c>
      <c r="C544" s="3">
        <f>+$C$542+$G$543</f>
        <v>43042.950000000012</v>
      </c>
      <c r="D544" s="83"/>
      <c r="E544" s="4"/>
      <c r="F544" s="4">
        <v>0</v>
      </c>
      <c r="G544" s="6"/>
      <c r="H544" s="449"/>
      <c r="I544" s="4"/>
      <c r="J544" s="3"/>
      <c r="K544" s="449"/>
      <c r="L544" s="449" t="s">
        <v>153</v>
      </c>
      <c r="M544" s="449" t="str">
        <f>IF(L544="","",
IF(AX544="PT",VLOOKUP(L544,Foundation_Calc!$V$79:$X$113,VLOOKUP(AX544,Foundation_Calc!$I$10:$J$13,2,FALSE),0),
IF(AX544="K",VLOOKUP(L544,Foundation_Calc!$V$117:$X$151,VLOOKUP(AX544,Foundation_Calc!$I$10:$J$13,2,FALSE),0),"")))</f>
        <v>C3R</v>
      </c>
      <c r="N544" s="449" t="s">
        <v>124</v>
      </c>
      <c r="O544" s="449"/>
      <c r="P544" s="449"/>
      <c r="Q544" s="4"/>
      <c r="R544" s="6"/>
      <c r="S544" s="6"/>
      <c r="T544" s="4">
        <v>-35</v>
      </c>
      <c r="U544" s="4"/>
      <c r="V544" s="4"/>
      <c r="W544" s="9">
        <v>1.4</v>
      </c>
      <c r="X544" s="9"/>
      <c r="Y544" s="9"/>
      <c r="Z544" s="9"/>
      <c r="AA544" s="9"/>
      <c r="AB544" s="9"/>
      <c r="AC544" s="449" t="str">
        <f t="shared" si="64"/>
        <v>PHQ</v>
      </c>
      <c r="AD544" s="449"/>
      <c r="AE544" s="449"/>
      <c r="AF544" s="4"/>
      <c r="AG544" s="83"/>
      <c r="AH544" s="4"/>
      <c r="AI544" s="4"/>
      <c r="AJ544" s="449"/>
      <c r="AK544" s="449"/>
      <c r="AL544" s="449"/>
      <c r="AM544" s="449" t="s">
        <v>126</v>
      </c>
      <c r="AN544" s="10">
        <v>5.5</v>
      </c>
      <c r="AO544" s="9"/>
      <c r="AP544" s="9"/>
      <c r="AQ544" s="9"/>
      <c r="AR544" s="9"/>
      <c r="AS544" s="9"/>
      <c r="AT544" s="9">
        <f>+ab($T$544,$T$542,$T$546,$G$543,$G$545, 1*$F$544,1200)</f>
        <v>-7.1424424584170572</v>
      </c>
      <c r="AU544" s="428"/>
      <c r="AV544" s="428"/>
      <c r="AW544" s="449" t="str">
        <f>IF(C544&gt;0,VLOOKUP(C544,Foundation_Calc!$A$2:$C$13,3,1),
IF(J544&gt;0,VLOOKUP(J544,Foundation_Calc!$A$2:$C$13,3,1),""))</f>
        <v>Multi Soil</v>
      </c>
      <c r="AX544" s="449" t="str">
        <f>IF(C544&gt;0,VLOOKUP(C544,Foundation_Calc!$E$35:$G$65,3,1),
IF(J544&gt;0,VLOOKUP(J544,Foundation_Calc!$E$35:$G$65,3,1),""))</f>
        <v>PT</v>
      </c>
      <c r="AY544" s="10">
        <f>IF(L544="","",
IF(AX544="PT",VLOOKUP(L544,Foundation_Calc!$K$79:$R$113,VLOOKUP(AW544,Foundation_Calc!$I$2:$J$8,2,FALSE),0),
IF(AX544="K",VLOOKUP(L544,Foundation_Calc!$K$117:$R$151,VLOOKUP(AW544,Foundation_Calc!$I$2:$J$8,2,FALSE),0),"")))</f>
        <v>3.5</v>
      </c>
      <c r="AZ544" s="10" t="str">
        <f>IF(K544="","",
IF(AX544="PT",VLOOKUP(K544,Foundation_Calc!$K$79:$R$113,VLOOKUP(AW544,Foundation_Calc!$I$2:$J$8,2,FALSE),0),
IF(AX544="K",VLOOKUP(K544,Foundation_Calc!$K$117:$R$151,VLOOKUP(AW544,Foundation_Calc!$I$2:$J$8,2,FALSE),0),"")))</f>
        <v/>
      </c>
      <c r="BA544" s="495" t="str">
        <f t="shared" si="61"/>
        <v>ü</v>
      </c>
      <c r="BB544" s="495" t="str">
        <f t="shared" si="62"/>
        <v/>
      </c>
      <c r="BC544" s="495" t="str">
        <f t="shared" si="63"/>
        <v/>
      </c>
      <c r="BD544" s="513" t="str">
        <f>IF(AND(L544="",H544=""),"",
IF(H544="",Pole_Calc!A$9,
IF(H544="MP",Pole_Calc!A$10,
IF(H544="AnMP",Pole_Calc!A$11,
IF(H544="A",Pole_Calc!A$12,
IF(H544="S/A",Pole_Calc!A$13,
IF(H544="A/S",Pole_Calc!A$14,"Poner a mano")))))))</f>
        <v>App.7-V11I-P9.5.1.1</v>
      </c>
      <c r="BE544" s="429" t="s">
        <v>118</v>
      </c>
      <c r="BF544" s="289"/>
      <c r="BG544" s="289"/>
      <c r="BH544" s="290"/>
      <c r="BI544" s="289"/>
    </row>
    <row r="545" spans="1:61" ht="15.75" customHeight="1">
      <c r="A545" s="514"/>
      <c r="B545" s="450"/>
      <c r="C545" s="3"/>
      <c r="D545" s="83"/>
      <c r="E545" s="4"/>
      <c r="F545" s="4"/>
      <c r="G545" s="6">
        <v>50</v>
      </c>
      <c r="H545" s="449"/>
      <c r="I545" s="4"/>
      <c r="J545" s="3">
        <f>C546-7.5</f>
        <v>43085.450000000012</v>
      </c>
      <c r="K545" s="449" t="s">
        <v>166</v>
      </c>
      <c r="L545" s="449"/>
      <c r="M545" s="449" t="str">
        <f>IF(L545="","",
IF(AX545="PT",VLOOKUP(L545,Foundation_Calc!$V$79:$X$113,VLOOKUP(AX545,Foundation_Calc!$I$10:$J$13,2,FALSE),0),
IF(AX545="K",VLOOKUP(L545,Foundation_Calc!$V$117:$X$151,VLOOKUP(AX545,Foundation_Calc!$I$10:$J$13,2,FALSE),0),"")))</f>
        <v/>
      </c>
      <c r="N545" s="449"/>
      <c r="O545" s="449"/>
      <c r="P545" s="449"/>
      <c r="Q545" s="4"/>
      <c r="R545" s="6"/>
      <c r="S545" s="6"/>
      <c r="T545" s="4"/>
      <c r="U545" s="4"/>
      <c r="V545" s="4"/>
      <c r="W545" s="9"/>
      <c r="X545" s="9"/>
      <c r="Y545" s="9"/>
      <c r="Z545" s="9"/>
      <c r="AA545" s="9"/>
      <c r="AB545" s="9"/>
      <c r="AC545" s="449" t="str">
        <f t="shared" si="64"/>
        <v/>
      </c>
      <c r="AD545" s="449"/>
      <c r="AE545" s="449"/>
      <c r="AF545" s="4"/>
      <c r="AG545" s="83"/>
      <c r="AH545" s="4"/>
      <c r="AI545" s="4"/>
      <c r="AJ545" s="449"/>
      <c r="AK545" s="449"/>
      <c r="AL545" s="449"/>
      <c r="AM545" s="449"/>
      <c r="AN545" s="10"/>
      <c r="AO545" s="9"/>
      <c r="AP545" s="9"/>
      <c r="AQ545" s="9">
        <f>+FL_1($T$546,$T$544,$G$545,1200,9.28, 1*$F$546)</f>
        <v>0.36839079999999996</v>
      </c>
      <c r="AR545" s="9"/>
      <c r="AS545" s="9"/>
      <c r="AT545" s="9"/>
      <c r="AU545" s="428"/>
      <c r="AV545" s="428"/>
      <c r="AW545" s="449" t="str">
        <f>IF(C545&gt;0,VLOOKUP(C545,Foundation_Calc!$A$2:$C$13,3,1),
IF(J545&gt;0,VLOOKUP(J545,Foundation_Calc!$A$2:$C$13,3,1),""))</f>
        <v>Multi Soil</v>
      </c>
      <c r="AX545" s="449" t="str">
        <f>IF(C545&gt;0,VLOOKUP(C545,Foundation_Calc!$E$35:$G$65,3,1),
IF(J545&gt;0,VLOOKUP(J545,Foundation_Calc!$E$35:$G$65,3,1),""))</f>
        <v>PT</v>
      </c>
      <c r="AY545" s="10" t="str">
        <f>IF(L545="","",
IF(AX545="PT",VLOOKUP(L545,Foundation_Calc!$K$79:$R$113,VLOOKUP(AW545,Foundation_Calc!$I$2:$J$8,2,FALSE),0),
IF(AX545="K",VLOOKUP(L545,Foundation_Calc!$K$117:$R$151,VLOOKUP(AW545,Foundation_Calc!$I$2:$J$8,2,FALSE),0),"")))</f>
        <v/>
      </c>
      <c r="AZ545" s="10">
        <f>IF(K545="","",
IF(AX545="PT",VLOOKUP(K545,Foundation_Calc!$K$79:$R$113,VLOOKUP(AW545,Foundation_Calc!$I$2:$J$8,2,FALSE),0),
IF(AX545="K",VLOOKUP(K545,Foundation_Calc!$K$117:$R$151,VLOOKUP(AW545,Foundation_Calc!$I$2:$J$8,2,FALSE),0),"")))</f>
        <v>2.8</v>
      </c>
      <c r="BA545" s="495" t="str">
        <f t="shared" si="61"/>
        <v/>
      </c>
      <c r="BB545" s="495" t="str">
        <f t="shared" si="62"/>
        <v>ü</v>
      </c>
      <c r="BC545" s="495" t="str">
        <f t="shared" si="63"/>
        <v/>
      </c>
      <c r="BD545" s="513" t="str">
        <f>IF(AND(L545="",H545=""),"",
IF(H545="",Pole_Calc!A$9,
IF(H545="MP",Pole_Calc!A$10,
IF(H545="AnMP",Pole_Calc!A$11,
IF(H545="A",Pole_Calc!A$12,
IF(H545="S/A",Pole_Calc!A$13,
IF(H545="A/S",Pole_Calc!A$14,"Poner a mano")))))))</f>
        <v/>
      </c>
      <c r="BE545" s="429" t="s">
        <v>118</v>
      </c>
      <c r="BF545" s="290"/>
      <c r="BG545" s="290"/>
      <c r="BH545" s="290"/>
      <c r="BI545" s="290"/>
    </row>
    <row r="546" spans="1:61" ht="15.75" customHeight="1">
      <c r="A546" s="514"/>
      <c r="B546" s="450" t="s">
        <v>1219</v>
      </c>
      <c r="C546" s="3">
        <f>+$C$544+$G$545</f>
        <v>43092.950000000012</v>
      </c>
      <c r="D546" s="83"/>
      <c r="E546" s="4"/>
      <c r="F546" s="4">
        <v>0</v>
      </c>
      <c r="G546" s="6"/>
      <c r="H546" s="449" t="s">
        <v>168</v>
      </c>
      <c r="I546" s="4">
        <f>SUM(G523:G547)</f>
        <v>647.90000000000009</v>
      </c>
      <c r="J546" s="3"/>
      <c r="K546" s="449"/>
      <c r="L546" s="449" t="s">
        <v>158</v>
      </c>
      <c r="M546" s="449" t="str">
        <f>IF(L546="","",
IF(AX546="PT",VLOOKUP(L546,Foundation_Calc!$V$79:$X$113,VLOOKUP(AX546,Foundation_Calc!$I$10:$J$13,2,FALSE),0),
IF(AX546="K",VLOOKUP(L546,Foundation_Calc!$V$117:$X$151,VLOOKUP(AX546,Foundation_Calc!$I$10:$J$13,2,FALSE),0),"")))</f>
        <v>C4R</v>
      </c>
      <c r="N546" s="449" t="s">
        <v>134</v>
      </c>
      <c r="O546" s="449"/>
      <c r="P546" s="449"/>
      <c r="Q546" s="4"/>
      <c r="R546" s="6"/>
      <c r="S546" s="6"/>
      <c r="T546" s="4">
        <v>35</v>
      </c>
      <c r="U546" s="4"/>
      <c r="V546" s="4"/>
      <c r="W546" s="9">
        <v>1.4</v>
      </c>
      <c r="X546" s="9"/>
      <c r="Y546" s="9"/>
      <c r="Z546" s="9"/>
      <c r="AA546" s="9"/>
      <c r="AB546" s="9"/>
      <c r="AC546" s="449" t="str">
        <f t="shared" si="64"/>
        <v>PHQ</v>
      </c>
      <c r="AD546" s="449"/>
      <c r="AE546" s="449"/>
      <c r="AF546" s="4"/>
      <c r="AG546" s="83"/>
      <c r="AH546" s="4"/>
      <c r="AI546" s="4"/>
      <c r="AJ546" s="449"/>
      <c r="AK546" s="449"/>
      <c r="AL546" s="449"/>
      <c r="AM546" s="449" t="s">
        <v>126</v>
      </c>
      <c r="AN546" s="10">
        <v>5.5</v>
      </c>
      <c r="AO546" s="9"/>
      <c r="AP546" s="9"/>
      <c r="AQ546" s="9"/>
      <c r="AR546" s="9"/>
      <c r="AS546" s="9"/>
      <c r="AT546" s="9">
        <f>+ab($T$546,$T$544,$T$548,$G$545,$G$547, 1*$F$546,1200)</f>
        <v>7.1424146886693025</v>
      </c>
      <c r="AU546" s="428"/>
      <c r="AV546" s="428"/>
      <c r="AW546" s="449" t="str">
        <f>IF(C546&gt;0,VLOOKUP(C546,Foundation_Calc!$A$2:$C$13,3,1),
IF(J546&gt;0,VLOOKUP(J546,Foundation_Calc!$A$2:$C$13,3,1),""))</f>
        <v>Multi Soil</v>
      </c>
      <c r="AX546" s="449" t="str">
        <f>IF(C546&gt;0,VLOOKUP(C546,Foundation_Calc!$E$35:$G$65,3,1),
IF(J546&gt;0,VLOOKUP(J546,Foundation_Calc!$E$35:$G$65,3,1),""))</f>
        <v>PT</v>
      </c>
      <c r="AY546" s="10">
        <f>IF(L546="","",
IF(AX546="PT",VLOOKUP(L546,Foundation_Calc!$K$79:$R$113,VLOOKUP(AW546,Foundation_Calc!$I$2:$J$8,2,FALSE),0),
IF(AX546="K",VLOOKUP(L546,Foundation_Calc!$K$117:$R$151,VLOOKUP(AW546,Foundation_Calc!$I$2:$J$8,2,FALSE),0),"")))</f>
        <v>3.5</v>
      </c>
      <c r="AZ546" s="10" t="str">
        <f>IF(K546="","",
IF(AX546="PT",VLOOKUP(K546,Foundation_Calc!$K$79:$R$113,VLOOKUP(AW546,Foundation_Calc!$I$2:$J$8,2,FALSE),0),
IF(AX546="K",VLOOKUP(K546,Foundation_Calc!$K$117:$R$151,VLOOKUP(AW546,Foundation_Calc!$I$2:$J$8,2,FALSE),0),"")))</f>
        <v/>
      </c>
      <c r="BA546" s="495" t="str">
        <f t="shared" si="61"/>
        <v>ü</v>
      </c>
      <c r="BB546" s="495" t="str">
        <f t="shared" si="62"/>
        <v/>
      </c>
      <c r="BC546" s="495" t="str">
        <f t="shared" si="63"/>
        <v/>
      </c>
      <c r="BD546" s="513" t="str">
        <f>IF(AND(L546="",H546=""),"",
IF(H546="",Pole_Calc!A$9,
IF(H546="MP",Pole_Calc!A$10,
IF(H546="AnMP",Pole_Calc!A$11,
IF(H546="A",Pole_Calc!A$12,
IF(H546="S/A",Pole_Calc!A$13,
IF(H546="A/S",Pole_Calc!A$14,"Poner a mano")))))))</f>
        <v>App.7-V11I-P9.5.1.3</v>
      </c>
      <c r="BE546" s="429" t="s">
        <v>118</v>
      </c>
      <c r="BF546" s="289"/>
      <c r="BG546" s="289"/>
      <c r="BH546" s="290"/>
      <c r="BI546" s="289"/>
    </row>
    <row r="547" spans="1:61" ht="15.75" customHeight="1">
      <c r="A547" s="514"/>
      <c r="B547" s="450"/>
      <c r="C547" s="3"/>
      <c r="D547" s="83"/>
      <c r="E547" s="4"/>
      <c r="F547" s="4"/>
      <c r="G547" s="6">
        <v>55</v>
      </c>
      <c r="H547" s="449"/>
      <c r="I547" s="4" t="s">
        <v>195</v>
      </c>
      <c r="J547" s="3">
        <f>C548-7.5</f>
        <v>43140.450000000012</v>
      </c>
      <c r="K547" s="449" t="s">
        <v>166</v>
      </c>
      <c r="L547" s="449"/>
      <c r="M547" s="449" t="str">
        <f>IF(L547="","",
IF(AX547="PT",VLOOKUP(L547,Foundation_Calc!$V$79:$X$113,VLOOKUP(AX547,Foundation_Calc!$I$10:$J$13,2,FALSE),0),
IF(AX547="K",VLOOKUP(L547,Foundation_Calc!$V$117:$X$151,VLOOKUP(AX547,Foundation_Calc!$I$10:$J$13,2,FALSE),0),"")))</f>
        <v/>
      </c>
      <c r="N547" s="449"/>
      <c r="O547" s="449"/>
      <c r="P547" s="449"/>
      <c r="Q547" s="4"/>
      <c r="R547" s="6"/>
      <c r="S547" s="6"/>
      <c r="T547" s="4"/>
      <c r="U547" s="4"/>
      <c r="V547" s="4"/>
      <c r="W547" s="9"/>
      <c r="X547" s="9"/>
      <c r="Y547" s="9"/>
      <c r="Z547" s="9"/>
      <c r="AA547" s="9"/>
      <c r="AB547" s="9"/>
      <c r="AC547" s="449" t="str">
        <f t="shared" si="64"/>
        <v/>
      </c>
      <c r="AD547" s="449"/>
      <c r="AE547" s="449"/>
      <c r="AF547" s="4"/>
      <c r="AG547" s="83"/>
      <c r="AH547" s="4"/>
      <c r="AI547" s="4"/>
      <c r="AJ547" s="449"/>
      <c r="AK547" s="449"/>
      <c r="AL547" s="449"/>
      <c r="AM547" s="449"/>
      <c r="AN547" s="10"/>
      <c r="AO547" s="9"/>
      <c r="AP547" s="9"/>
      <c r="AQ547" s="9">
        <f>+FL_1($T$548,$T$546,$G$547,1200,9.28, 1*$F$548)</f>
        <v>0.39714735709090898</v>
      </c>
      <c r="AR547" s="9"/>
      <c r="AS547" s="9"/>
      <c r="AT547" s="9"/>
      <c r="AU547" s="428"/>
      <c r="AV547" s="428"/>
      <c r="AW547" s="449" t="str">
        <f>IF(C547&gt;0,VLOOKUP(C547,Foundation_Calc!$A$2:$C$13,3,1),
IF(J547&gt;0,VLOOKUP(J547,Foundation_Calc!$A$2:$C$13,3,1),""))</f>
        <v>Multi Soil</v>
      </c>
      <c r="AX547" s="449" t="str">
        <f>IF(C547&gt;0,VLOOKUP(C547,Foundation_Calc!$E$35:$G$65,3,1),
IF(J547&gt;0,VLOOKUP(J547,Foundation_Calc!$E$35:$G$65,3,1),""))</f>
        <v>PT</v>
      </c>
      <c r="AY547" s="10" t="str">
        <f>IF(L547="","",
IF(AX547="PT",VLOOKUP(L547,Foundation_Calc!$K$79:$R$113,VLOOKUP(AW547,Foundation_Calc!$I$2:$J$8,2,FALSE),0),
IF(AX547="K",VLOOKUP(L547,Foundation_Calc!$K$117:$R$151,VLOOKUP(AW547,Foundation_Calc!$I$2:$J$8,2,FALSE),0),"")))</f>
        <v/>
      </c>
      <c r="AZ547" s="10">
        <f>IF(K547="","",
IF(AX547="PT",VLOOKUP(K547,Foundation_Calc!$K$79:$R$113,VLOOKUP(AW547,Foundation_Calc!$I$2:$J$8,2,FALSE),0),
IF(AX547="K",VLOOKUP(K547,Foundation_Calc!$K$117:$R$151,VLOOKUP(AW547,Foundation_Calc!$I$2:$J$8,2,FALSE),0),"")))</f>
        <v>2.8</v>
      </c>
      <c r="BA547" s="495" t="str">
        <f t="shared" ref="BA547:BA580" si="69">IF(AY547="","",IF(AY547&gt;0,"ü",""))</f>
        <v/>
      </c>
      <c r="BB547" s="495" t="str">
        <f t="shared" ref="BB547:BB580" si="70">IF(AZ547="","",IF(AZ547&gt;0,"ü",""))</f>
        <v>ü</v>
      </c>
      <c r="BC547" s="495" t="str">
        <f t="shared" ref="BC547:BC580" si="71">IF(M547="","",IF(M547="U.S.","ü",IF(M547="U.S. N.D.","ü","")))</f>
        <v/>
      </c>
      <c r="BD547" s="513" t="str">
        <f>IF(AND(L547="",H547=""),"",
IF(H547="",Pole_Calc!A$9,
IF(H547="MP",Pole_Calc!A$10,
IF(H547="AnMP",Pole_Calc!A$11,
IF(H547="A",Pole_Calc!A$12,
IF(H547="S/A",Pole_Calc!A$13,
IF(H547="A/S",Pole_Calc!A$14,"Poner a mano")))))))</f>
        <v/>
      </c>
      <c r="BE547" s="429" t="s">
        <v>118</v>
      </c>
      <c r="BF547" s="290"/>
      <c r="BG547" s="290"/>
      <c r="BH547" s="290"/>
      <c r="BI547" s="290"/>
    </row>
    <row r="548" spans="1:61" ht="15.75" customHeight="1">
      <c r="A548" s="514"/>
      <c r="B548" s="450" t="s">
        <v>1220</v>
      </c>
      <c r="C548" s="3">
        <f>+$C$546+$G$547</f>
        <v>43147.950000000012</v>
      </c>
      <c r="D548" s="83"/>
      <c r="E548" s="4"/>
      <c r="F548" s="4">
        <v>0</v>
      </c>
      <c r="G548" s="6"/>
      <c r="H548" s="449" t="s">
        <v>171</v>
      </c>
      <c r="I548" s="4"/>
      <c r="J548" s="3"/>
      <c r="K548" s="449"/>
      <c r="L548" s="449" t="s">
        <v>158</v>
      </c>
      <c r="M548" s="449" t="str">
        <f>IF(L548="","",
IF(AX548="PT",VLOOKUP(L548,Foundation_Calc!$V$79:$X$113,VLOOKUP(AX548,Foundation_Calc!$I$10:$J$13,2,FALSE),0),
IF(AX548="K",VLOOKUP(L548,Foundation_Calc!$V$117:$X$151,VLOOKUP(AX548,Foundation_Calc!$I$10:$J$13,2,FALSE),0),"")))</f>
        <v>C4R</v>
      </c>
      <c r="N548" s="449" t="s">
        <v>124</v>
      </c>
      <c r="O548" s="449"/>
      <c r="P548" s="449"/>
      <c r="Q548" s="4"/>
      <c r="R548" s="6"/>
      <c r="S548" s="6"/>
      <c r="T548" s="4">
        <v>-35</v>
      </c>
      <c r="U548" s="4"/>
      <c r="V548" s="4"/>
      <c r="W548" s="9">
        <v>1.4</v>
      </c>
      <c r="X548" s="9"/>
      <c r="Y548" s="9"/>
      <c r="Z548" s="9"/>
      <c r="AA548" s="9"/>
      <c r="AB548" s="9"/>
      <c r="AC548" s="449" t="str">
        <f t="shared" si="64"/>
        <v>PHQ</v>
      </c>
      <c r="AD548" s="449"/>
      <c r="AE548" s="449"/>
      <c r="AF548" s="4"/>
      <c r="AG548" s="83"/>
      <c r="AH548" s="4"/>
      <c r="AI548" s="4"/>
      <c r="AJ548" s="449"/>
      <c r="AK548" s="449"/>
      <c r="AL548" s="449"/>
      <c r="AM548" s="449" t="s">
        <v>126</v>
      </c>
      <c r="AN548" s="10">
        <v>5.5</v>
      </c>
      <c r="AO548" s="9"/>
      <c r="AP548" s="9"/>
      <c r="AQ548" s="9"/>
      <c r="AR548" s="9"/>
      <c r="AS548" s="9"/>
      <c r="AT548" s="9">
        <f>+ab($T$548,$T$546,$T$550,$G$547,$G$549, 1*$F$548,1200)</f>
        <v>-7.495600280563588</v>
      </c>
      <c r="AU548" s="428"/>
      <c r="AV548" s="428"/>
      <c r="AW548" s="449" t="str">
        <f>IF(C548&gt;0,VLOOKUP(C548,Foundation_Calc!$A$2:$C$13,3,1),
IF(J548&gt;0,VLOOKUP(J548,Foundation_Calc!$A$2:$C$13,3,1),""))</f>
        <v>Multi Soil</v>
      </c>
      <c r="AX548" s="449" t="str">
        <f>IF(C548&gt;0,VLOOKUP(C548,Foundation_Calc!$E$35:$G$65,3,1),
IF(J548&gt;0,VLOOKUP(J548,Foundation_Calc!$E$35:$G$65,3,1),""))</f>
        <v>PT</v>
      </c>
      <c r="AY548" s="10">
        <f>IF(L548="","",
IF(AX548="PT",VLOOKUP(L548,Foundation_Calc!$K$79:$R$113,VLOOKUP(AW548,Foundation_Calc!$I$2:$J$8,2,FALSE),0),
IF(AX548="K",VLOOKUP(L548,Foundation_Calc!$K$117:$R$151,VLOOKUP(AW548,Foundation_Calc!$I$2:$J$8,2,FALSE),0),"")))</f>
        <v>3.5</v>
      </c>
      <c r="AZ548" s="10" t="str">
        <f>IF(K548="","",
IF(AX548="PT",VLOOKUP(K548,Foundation_Calc!$K$79:$R$113,VLOOKUP(AW548,Foundation_Calc!$I$2:$J$8,2,FALSE),0),
IF(AX548="K",VLOOKUP(K548,Foundation_Calc!$K$117:$R$151,VLOOKUP(AW548,Foundation_Calc!$I$2:$J$8,2,FALSE),0),"")))</f>
        <v/>
      </c>
      <c r="BA548" s="495" t="str">
        <f t="shared" si="69"/>
        <v>ü</v>
      </c>
      <c r="BB548" s="495" t="str">
        <f t="shared" si="70"/>
        <v/>
      </c>
      <c r="BC548" s="495" t="str">
        <f t="shared" si="71"/>
        <v/>
      </c>
      <c r="BD548" s="513" t="str">
        <f>IF(AND(L548="",H548=""),"",
IF(H548="",Pole_Calc!A$9,
IF(H548="MP",Pole_Calc!A$10,
IF(H548="AnMP",Pole_Calc!A$11,
IF(H548="A",Pole_Calc!A$12,
IF(H548="S/A",Pole_Calc!A$13,
IF(H548="A/S",Pole_Calc!A$14,"Poner a mano")))))))</f>
        <v>App.7-V11I-P9.5.1.2</v>
      </c>
      <c r="BE548" s="429" t="s">
        <v>118</v>
      </c>
      <c r="BF548" s="289"/>
      <c r="BG548" s="289"/>
      <c r="BH548" s="290"/>
      <c r="BI548" s="289"/>
    </row>
    <row r="549" spans="1:61" ht="15.75" customHeight="1">
      <c r="A549" s="518"/>
      <c r="B549" s="450"/>
      <c r="C549" s="3"/>
      <c r="D549" s="83"/>
      <c r="E549" s="4"/>
      <c r="F549" s="4"/>
      <c r="G549" s="6">
        <v>55</v>
      </c>
      <c r="H549" s="449"/>
      <c r="I549" s="4" t="s">
        <v>195</v>
      </c>
      <c r="J549" s="3">
        <f>C548+7.5</f>
        <v>43155.450000000012</v>
      </c>
      <c r="K549" s="449" t="s">
        <v>166</v>
      </c>
      <c r="L549" s="449"/>
      <c r="M549" s="449" t="str">
        <f>IF(L549="","",
IF(AX549="PT",VLOOKUP(L549,Foundation_Calc!$V$79:$X$113,VLOOKUP(AX549,Foundation_Calc!$I$10:$J$13,2,FALSE),0),
IF(AX549="K",VLOOKUP(L549,Foundation_Calc!$V$117:$X$151,VLOOKUP(AX549,Foundation_Calc!$I$10:$J$13,2,FALSE),0),"")))</f>
        <v/>
      </c>
      <c r="N549" s="449"/>
      <c r="O549" s="449"/>
      <c r="P549" s="449"/>
      <c r="Q549" s="4"/>
      <c r="R549" s="6"/>
      <c r="S549" s="6"/>
      <c r="T549" s="4"/>
      <c r="U549" s="4"/>
      <c r="V549" s="4"/>
      <c r="W549" s="9"/>
      <c r="X549" s="9"/>
      <c r="Y549" s="9"/>
      <c r="Z549" s="9"/>
      <c r="AA549" s="9"/>
      <c r="AB549" s="9"/>
      <c r="AC549" s="449" t="str">
        <f t="shared" si="64"/>
        <v/>
      </c>
      <c r="AD549" s="449"/>
      <c r="AE549" s="449"/>
      <c r="AF549" s="4"/>
      <c r="AG549" s="83"/>
      <c r="AH549" s="4"/>
      <c r="AI549" s="4"/>
      <c r="AJ549" s="449"/>
      <c r="AK549" s="449"/>
      <c r="AL549" s="449"/>
      <c r="AM549" s="449"/>
      <c r="AN549" s="10"/>
      <c r="AO549" s="9"/>
      <c r="AP549" s="9"/>
      <c r="AQ549" s="9">
        <f>+FL_2($T$550,$T$548,$G$549,1200,9.28, 1*$F$550)</f>
        <v>-0.39714735709090898</v>
      </c>
      <c r="AR549" s="9"/>
      <c r="AS549" s="9"/>
      <c r="AT549" s="9"/>
      <c r="AU549" s="428"/>
      <c r="AV549" s="428"/>
      <c r="AW549" s="449" t="str">
        <f>IF(C549&gt;0,VLOOKUP(C549,Foundation_Calc!$A$2:$C$13,3,1),
IF(J549&gt;0,VLOOKUP(J549,Foundation_Calc!$A$2:$C$13,3,1),""))</f>
        <v>Multi Soil</v>
      </c>
      <c r="AX549" s="449" t="str">
        <f>IF(C549&gt;0,VLOOKUP(C549,Foundation_Calc!$E$35:$G$65,3,1),
IF(J549&gt;0,VLOOKUP(J549,Foundation_Calc!$E$35:$G$65,3,1),""))</f>
        <v>PT</v>
      </c>
      <c r="AY549" s="10" t="str">
        <f>IF(L549="","",
IF(AX549="PT",VLOOKUP(L549,Foundation_Calc!$K$79:$R$113,VLOOKUP(AW549,Foundation_Calc!$I$2:$J$8,2,FALSE),0),
IF(AX549="K",VLOOKUP(L549,Foundation_Calc!$K$117:$R$151,VLOOKUP(AW549,Foundation_Calc!$I$2:$J$8,2,FALSE),0),"")))</f>
        <v/>
      </c>
      <c r="AZ549" s="10">
        <f>IF(K549="","",
IF(AX549="PT",VLOOKUP(K549,Foundation_Calc!$K$79:$R$113,VLOOKUP(AW549,Foundation_Calc!$I$2:$J$8,2,FALSE),0),
IF(AX549="K",VLOOKUP(K549,Foundation_Calc!$K$117:$R$151,VLOOKUP(AW549,Foundation_Calc!$I$2:$J$8,2,FALSE),0),"")))</f>
        <v>2.8</v>
      </c>
      <c r="BA549" s="495" t="str">
        <f t="shared" si="69"/>
        <v/>
      </c>
      <c r="BB549" s="495" t="str">
        <f t="shared" si="70"/>
        <v>ü</v>
      </c>
      <c r="BC549" s="495" t="str">
        <f t="shared" si="71"/>
        <v/>
      </c>
      <c r="BD549" s="513" t="str">
        <f>IF(AND(L549="",H549=""),"",
IF(H549="",Pole_Calc!A$9,
IF(H549="MP",Pole_Calc!A$10,
IF(H549="AnMP",Pole_Calc!A$11,
IF(H549="A",Pole_Calc!A$12,
IF(H549="S/A",Pole_Calc!A$13,
IF(H549="A/S",Pole_Calc!A$14,"Poner a mano")))))))</f>
        <v/>
      </c>
      <c r="BE549" s="429" t="s">
        <v>118</v>
      </c>
      <c r="BF549" s="290"/>
      <c r="BG549" s="290"/>
      <c r="BH549" s="290"/>
      <c r="BI549" s="290"/>
    </row>
    <row r="550" spans="1:61" ht="15.75" customHeight="1">
      <c r="A550" s="514"/>
      <c r="B550" s="450" t="s">
        <v>1221</v>
      </c>
      <c r="C550" s="3">
        <f>+$C$548+$G$549</f>
        <v>43202.950000000012</v>
      </c>
      <c r="D550" s="83"/>
      <c r="E550" s="4"/>
      <c r="F550" s="4">
        <v>0</v>
      </c>
      <c r="G550" s="6"/>
      <c r="H550" s="449" t="s">
        <v>168</v>
      </c>
      <c r="I550" s="4">
        <f>SUM(G549:G571)</f>
        <v>698</v>
      </c>
      <c r="J550" s="3"/>
      <c r="K550" s="449"/>
      <c r="L550" s="449" t="s">
        <v>158</v>
      </c>
      <c r="M550" s="449" t="str">
        <f>IF(L550="","",
IF(AX550="PT",VLOOKUP(L550,Foundation_Calc!$V$79:$X$113,VLOOKUP(AX550,Foundation_Calc!$I$10:$J$13,2,FALSE),0),
IF(AX550="K",VLOOKUP(L550,Foundation_Calc!$V$117:$X$151,VLOOKUP(AX550,Foundation_Calc!$I$10:$J$13,2,FALSE),0),"")))</f>
        <v>C4R</v>
      </c>
      <c r="N550" s="449" t="s">
        <v>134</v>
      </c>
      <c r="O550" s="449"/>
      <c r="P550" s="449"/>
      <c r="Q550" s="4"/>
      <c r="R550" s="6"/>
      <c r="S550" s="6"/>
      <c r="T550" s="4">
        <v>35</v>
      </c>
      <c r="U550" s="4"/>
      <c r="V550" s="4"/>
      <c r="W550" s="9">
        <v>1.4</v>
      </c>
      <c r="X550" s="9"/>
      <c r="Y550" s="9"/>
      <c r="Z550" s="9"/>
      <c r="AA550" s="9"/>
      <c r="AB550" s="9"/>
      <c r="AC550" s="449" t="str">
        <f t="shared" si="64"/>
        <v>PHQ</v>
      </c>
      <c r="AD550" s="449"/>
      <c r="AE550" s="449"/>
      <c r="AF550" s="4"/>
      <c r="AG550" s="83"/>
      <c r="AH550" s="4"/>
      <c r="AI550" s="4"/>
      <c r="AJ550" s="449"/>
      <c r="AK550" s="449"/>
      <c r="AL550" s="449"/>
      <c r="AM550" s="449" t="s">
        <v>126</v>
      </c>
      <c r="AN550" s="10">
        <v>5.5</v>
      </c>
      <c r="AO550" s="9"/>
      <c r="AP550" s="9"/>
      <c r="AQ550" s="9"/>
      <c r="AR550" s="9"/>
      <c r="AS550" s="9"/>
      <c r="AT550" s="9">
        <f>+ab($T$550,$T$548,$T$552,$G$549,$G$551, 1*$F$550,1200)</f>
        <v>7.4955682572493121</v>
      </c>
      <c r="AU550" s="428"/>
      <c r="AV550" s="428"/>
      <c r="AW550" s="449" t="str">
        <f>IF(C550&gt;0,VLOOKUP(C550,Foundation_Calc!$A$2:$C$13,3,1),
IF(J550&gt;0,VLOOKUP(J550,Foundation_Calc!$A$2:$C$13,3,1),""))</f>
        <v>Multi Soil</v>
      </c>
      <c r="AX550" s="449" t="str">
        <f>IF(C550&gt;0,VLOOKUP(C550,Foundation_Calc!$E$35:$G$65,3,1),
IF(J550&gt;0,VLOOKUP(J550,Foundation_Calc!$E$35:$G$65,3,1),""))</f>
        <v>PT</v>
      </c>
      <c r="AY550" s="10">
        <f>IF(L550="","",
IF(AX550="PT",VLOOKUP(L550,Foundation_Calc!$K$79:$R$113,VLOOKUP(AW550,Foundation_Calc!$I$2:$J$8,2,FALSE),0),
IF(AX550="K",VLOOKUP(L550,Foundation_Calc!$K$117:$R$151,VLOOKUP(AW550,Foundation_Calc!$I$2:$J$8,2,FALSE),0),"")))</f>
        <v>3.5</v>
      </c>
      <c r="AZ550" s="10" t="str">
        <f>IF(K550="","",
IF(AX550="PT",VLOOKUP(K550,Foundation_Calc!$K$79:$R$113,VLOOKUP(AW550,Foundation_Calc!$I$2:$J$8,2,FALSE),0),
IF(AX550="K",VLOOKUP(K550,Foundation_Calc!$K$117:$R$151,VLOOKUP(AW550,Foundation_Calc!$I$2:$J$8,2,FALSE),0),"")))</f>
        <v/>
      </c>
      <c r="BA550" s="495" t="str">
        <f t="shared" si="69"/>
        <v>ü</v>
      </c>
      <c r="BB550" s="495" t="str">
        <f t="shared" si="70"/>
        <v/>
      </c>
      <c r="BC550" s="495" t="str">
        <f t="shared" si="71"/>
        <v/>
      </c>
      <c r="BD550" s="513" t="str">
        <f>IF(AND(L550="",H550=""),"",
IF(H550="",Pole_Calc!A$9,
IF(H550="MP",Pole_Calc!A$10,
IF(H550="AnMP",Pole_Calc!A$11,
IF(H550="A",Pole_Calc!A$12,
IF(H550="S/A",Pole_Calc!A$13,
IF(H550="A/S",Pole_Calc!A$14,"Poner a mano")))))))</f>
        <v>App.7-V11I-P9.5.1.3</v>
      </c>
      <c r="BE550" s="429" t="s">
        <v>118</v>
      </c>
      <c r="BF550" s="289"/>
      <c r="BG550" s="289"/>
      <c r="BH550" s="290"/>
      <c r="BI550" s="289"/>
    </row>
    <row r="551" spans="1:61" ht="15.75" customHeight="1">
      <c r="A551" s="514"/>
      <c r="B551" s="450"/>
      <c r="C551" s="3"/>
      <c r="D551" s="83"/>
      <c r="E551" s="4"/>
      <c r="F551" s="4"/>
      <c r="G551" s="6">
        <v>55</v>
      </c>
      <c r="H551" s="449"/>
      <c r="I551" s="4"/>
      <c r="J551" s="3">
        <f>C550+7.5</f>
        <v>43210.450000000012</v>
      </c>
      <c r="K551" s="449" t="s">
        <v>166</v>
      </c>
      <c r="L551" s="449"/>
      <c r="M551" s="449" t="str">
        <f>IF(L551="","",
IF(AX551="PT",VLOOKUP(L551,Foundation_Calc!$V$79:$X$113,VLOOKUP(AX551,Foundation_Calc!$I$10:$J$13,2,FALSE),0),
IF(AX551="K",VLOOKUP(L551,Foundation_Calc!$V$117:$X$151,VLOOKUP(AX551,Foundation_Calc!$I$10:$J$13,2,FALSE),0),"")))</f>
        <v/>
      </c>
      <c r="N551" s="449"/>
      <c r="O551" s="449"/>
      <c r="P551" s="449"/>
      <c r="Q551" s="4"/>
      <c r="R551" s="6"/>
      <c r="S551" s="6"/>
      <c r="T551" s="4"/>
      <c r="U551" s="4"/>
      <c r="V551" s="4"/>
      <c r="W551" s="9"/>
      <c r="X551" s="9"/>
      <c r="Y551" s="9"/>
      <c r="Z551" s="9"/>
      <c r="AA551" s="9"/>
      <c r="AB551" s="9"/>
      <c r="AC551" s="449" t="str">
        <f t="shared" si="64"/>
        <v/>
      </c>
      <c r="AD551" s="449"/>
      <c r="AE551" s="449"/>
      <c r="AF551" s="4"/>
      <c r="AG551" s="83"/>
      <c r="AH551" s="4"/>
      <c r="AI551" s="4"/>
      <c r="AJ551" s="449"/>
      <c r="AK551" s="449"/>
      <c r="AL551" s="449"/>
      <c r="AM551" s="449"/>
      <c r="AN551" s="10"/>
      <c r="AO551" s="9"/>
      <c r="AP551" s="9"/>
      <c r="AQ551" s="9">
        <f>+FL_1($T$552,$T$550,$G$551,1200,9.28, 1*$F$552)</f>
        <v>0.39714735709090898</v>
      </c>
      <c r="AR551" s="9"/>
      <c r="AS551" s="9"/>
      <c r="AT551" s="9"/>
      <c r="AU551" s="428"/>
      <c r="AV551" s="428"/>
      <c r="AW551" s="449" t="str">
        <f>IF(C551&gt;0,VLOOKUP(C551,Foundation_Calc!$A$2:$C$13,3,1),
IF(J551&gt;0,VLOOKUP(J551,Foundation_Calc!$A$2:$C$13,3,1),""))</f>
        <v>Multi Soil</v>
      </c>
      <c r="AX551" s="449" t="str">
        <f>IF(C551&gt;0,VLOOKUP(C551,Foundation_Calc!$E$35:$G$65,3,1),
IF(J551&gt;0,VLOOKUP(J551,Foundation_Calc!$E$35:$G$65,3,1),""))</f>
        <v>PT</v>
      </c>
      <c r="AY551" s="10" t="str">
        <f>IF(L551="","",
IF(AX551="PT",VLOOKUP(L551,Foundation_Calc!$K$79:$R$113,VLOOKUP(AW551,Foundation_Calc!$I$2:$J$8,2,FALSE),0),
IF(AX551="K",VLOOKUP(L551,Foundation_Calc!$K$117:$R$151,VLOOKUP(AW551,Foundation_Calc!$I$2:$J$8,2,FALSE),0),"")))</f>
        <v/>
      </c>
      <c r="AZ551" s="10">
        <f>IF(K551="","",
IF(AX551="PT",VLOOKUP(K551,Foundation_Calc!$K$79:$R$113,VLOOKUP(AW551,Foundation_Calc!$I$2:$J$8,2,FALSE),0),
IF(AX551="K",VLOOKUP(K551,Foundation_Calc!$K$117:$R$151,VLOOKUP(AW551,Foundation_Calc!$I$2:$J$8,2,FALSE),0),"")))</f>
        <v>2.8</v>
      </c>
      <c r="BA551" s="495" t="str">
        <f t="shared" si="69"/>
        <v/>
      </c>
      <c r="BB551" s="495" t="str">
        <f t="shared" si="70"/>
        <v>ü</v>
      </c>
      <c r="BC551" s="495" t="str">
        <f t="shared" si="71"/>
        <v/>
      </c>
      <c r="BD551" s="513" t="str">
        <f>IF(AND(L551="",H551=""),"",
IF(H551="",Pole_Calc!A$9,
IF(H551="MP",Pole_Calc!A$10,
IF(H551="AnMP",Pole_Calc!A$11,
IF(H551="A",Pole_Calc!A$12,
IF(H551="S/A",Pole_Calc!A$13,
IF(H551="A/S",Pole_Calc!A$14,"Poner a mano")))))))</f>
        <v/>
      </c>
      <c r="BE551" s="429" t="s">
        <v>118</v>
      </c>
      <c r="BF551" s="290"/>
      <c r="BG551" s="290"/>
      <c r="BH551" s="290"/>
      <c r="BI551" s="290"/>
    </row>
    <row r="552" spans="1:61" ht="15.75" customHeight="1">
      <c r="A552" s="514"/>
      <c r="B552" s="450" t="s">
        <v>1222</v>
      </c>
      <c r="C552" s="3">
        <f>+$C$550+$G$551</f>
        <v>43257.950000000012</v>
      </c>
      <c r="D552" s="83"/>
      <c r="E552" s="4"/>
      <c r="F552" s="4">
        <v>0</v>
      </c>
      <c r="G552" s="6"/>
      <c r="H552" s="449"/>
      <c r="I552" s="4"/>
      <c r="J552" s="3"/>
      <c r="K552" s="449"/>
      <c r="L552" s="449" t="s">
        <v>153</v>
      </c>
      <c r="M552" s="449" t="str">
        <f>IF(L552="","",
IF(AX552="PT",VLOOKUP(L552,Foundation_Calc!$V$79:$X$113,VLOOKUP(AX552,Foundation_Calc!$I$10:$J$13,2,FALSE),0),
IF(AX552="K",VLOOKUP(L552,Foundation_Calc!$V$117:$X$151,VLOOKUP(AX552,Foundation_Calc!$I$10:$J$13,2,FALSE),0),"")))</f>
        <v>C3R</v>
      </c>
      <c r="N552" s="449" t="s">
        <v>124</v>
      </c>
      <c r="O552" s="449"/>
      <c r="P552" s="449"/>
      <c r="Q552" s="4"/>
      <c r="R552" s="6"/>
      <c r="S552" s="6"/>
      <c r="T552" s="4">
        <v>-35</v>
      </c>
      <c r="U552" s="4"/>
      <c r="V552" s="4"/>
      <c r="W552" s="9">
        <v>1.4</v>
      </c>
      <c r="X552" s="9"/>
      <c r="Y552" s="9"/>
      <c r="Z552" s="9"/>
      <c r="AA552" s="9"/>
      <c r="AB552" s="9"/>
      <c r="AC552" s="449" t="str">
        <f t="shared" si="64"/>
        <v>PHQ</v>
      </c>
      <c r="AD552" s="449"/>
      <c r="AE552" s="449"/>
      <c r="AF552" s="4"/>
      <c r="AG552" s="83"/>
      <c r="AH552" s="4"/>
      <c r="AI552" s="4"/>
      <c r="AJ552" s="449"/>
      <c r="AK552" s="449"/>
      <c r="AL552" s="449"/>
      <c r="AM552" s="449" t="s">
        <v>126</v>
      </c>
      <c r="AN552" s="10">
        <v>5.5</v>
      </c>
      <c r="AO552" s="9"/>
      <c r="AP552" s="9"/>
      <c r="AQ552" s="9"/>
      <c r="AR552" s="9"/>
      <c r="AS552" s="9"/>
      <c r="AT552" s="9">
        <f>+ab($T$552,$T$550,$T$554,$G$551,$G$553, 1*$F$552,1200)</f>
        <v>-7.8175501667728815</v>
      </c>
      <c r="AU552" s="428"/>
      <c r="AV552" s="428"/>
      <c r="AW552" s="449" t="str">
        <f>IF(C552&gt;0,VLOOKUP(C552,Foundation_Calc!$A$2:$C$13,3,1),
IF(J552&gt;0,VLOOKUP(J552,Foundation_Calc!$A$2:$C$13,3,1),""))</f>
        <v>Multi Soil</v>
      </c>
      <c r="AX552" s="449" t="str">
        <f>IF(C552&gt;0,VLOOKUP(C552,Foundation_Calc!$E$35:$G$65,3,1),
IF(J552&gt;0,VLOOKUP(J552,Foundation_Calc!$E$35:$G$65,3,1),""))</f>
        <v>PT</v>
      </c>
      <c r="AY552" s="10">
        <f>IF(L552="","",
IF(AX552="PT",VLOOKUP(L552,Foundation_Calc!$K$79:$R$113,VLOOKUP(AW552,Foundation_Calc!$I$2:$J$8,2,FALSE),0),
IF(AX552="K",VLOOKUP(L552,Foundation_Calc!$K$117:$R$151,VLOOKUP(AW552,Foundation_Calc!$I$2:$J$8,2,FALSE),0),"")))</f>
        <v>3.5</v>
      </c>
      <c r="AZ552" s="10" t="str">
        <f>IF(K552="","",
IF(AX552="PT",VLOOKUP(K552,Foundation_Calc!$K$79:$R$113,VLOOKUP(AW552,Foundation_Calc!$I$2:$J$8,2,FALSE),0),
IF(AX552="K",VLOOKUP(K552,Foundation_Calc!$K$117:$R$151,VLOOKUP(AW552,Foundation_Calc!$I$2:$J$8,2,FALSE),0),"")))</f>
        <v/>
      </c>
      <c r="BA552" s="495" t="str">
        <f t="shared" si="69"/>
        <v>ü</v>
      </c>
      <c r="BB552" s="495" t="str">
        <f t="shared" si="70"/>
        <v/>
      </c>
      <c r="BC552" s="495" t="str">
        <f t="shared" si="71"/>
        <v/>
      </c>
      <c r="BD552" s="513" t="str">
        <f>IF(AND(L552="",H552=""),"",
IF(H552="",Pole_Calc!A$9,
IF(H552="MP",Pole_Calc!A$10,
IF(H552="AnMP",Pole_Calc!A$11,
IF(H552="A",Pole_Calc!A$12,
IF(H552="S/A",Pole_Calc!A$13,
IF(H552="A/S",Pole_Calc!A$14,"Poner a mano")))))))</f>
        <v>App.7-V11I-P9.5.1.1</v>
      </c>
      <c r="BE552" s="429" t="s">
        <v>118</v>
      </c>
      <c r="BF552" s="289"/>
      <c r="BG552" s="289"/>
      <c r="BH552" s="290"/>
      <c r="BI552" s="289"/>
    </row>
    <row r="553" spans="1:61" ht="15.75" customHeight="1">
      <c r="A553" s="514"/>
      <c r="B553" s="450"/>
      <c r="C553" s="3"/>
      <c r="D553" s="83"/>
      <c r="E553" s="4"/>
      <c r="F553" s="4"/>
      <c r="G553" s="6">
        <v>60</v>
      </c>
      <c r="H553" s="449"/>
      <c r="I553" s="4"/>
      <c r="J553" s="3"/>
      <c r="K553" s="449"/>
      <c r="L553" s="449"/>
      <c r="M553" s="449" t="str">
        <f>IF(L553="","",
IF(AX553="PT",VLOOKUP(L553,Foundation_Calc!$V$79:$X$113,VLOOKUP(AX553,Foundation_Calc!$I$10:$J$13,2,FALSE),0),
IF(AX553="K",VLOOKUP(L553,Foundation_Calc!$V$117:$X$151,VLOOKUP(AX553,Foundation_Calc!$I$10:$J$13,2,FALSE),0),"")))</f>
        <v/>
      </c>
      <c r="N553" s="449"/>
      <c r="O553" s="449"/>
      <c r="P553" s="449"/>
      <c r="Q553" s="4"/>
      <c r="R553" s="6"/>
      <c r="S553" s="6"/>
      <c r="T553" s="4"/>
      <c r="U553" s="4"/>
      <c r="V553" s="4"/>
      <c r="W553" s="9"/>
      <c r="X553" s="9"/>
      <c r="Y553" s="9"/>
      <c r="Z553" s="9"/>
      <c r="AA553" s="9"/>
      <c r="AB553" s="9"/>
      <c r="AC553" s="449" t="str">
        <f t="shared" si="64"/>
        <v/>
      </c>
      <c r="AD553" s="449"/>
      <c r="AE553" s="449"/>
      <c r="AF553" s="4"/>
      <c r="AG553" s="83"/>
      <c r="AH553" s="4"/>
      <c r="AI553" s="4"/>
      <c r="AJ553" s="449"/>
      <c r="AK553" s="449"/>
      <c r="AL553" s="449"/>
      <c r="AM553" s="449"/>
      <c r="AN553" s="10"/>
      <c r="AO553" s="9"/>
      <c r="AP553" s="9"/>
      <c r="AQ553" s="9">
        <f>+FL_1($T$554,$T$552,$G$553,1200,9.28, 1*$F$554)</f>
        <v>0.43600286799999999</v>
      </c>
      <c r="AR553" s="9"/>
      <c r="AS553" s="9"/>
      <c r="AT553" s="9"/>
      <c r="AU553" s="428"/>
      <c r="AV553" s="428"/>
      <c r="AW553" s="449" t="str">
        <f>IF(C553&gt;0,VLOOKUP(C553,Foundation_Calc!$A$2:$C$13,3,1),
IF(J553&gt;0,VLOOKUP(J553,Foundation_Calc!$A$2:$C$13,3,1),""))</f>
        <v/>
      </c>
      <c r="AX553" s="449" t="str">
        <f>IF(C553&gt;0,VLOOKUP(C553,Foundation_Calc!$E$35:$G$65,3,1),
IF(J553&gt;0,VLOOKUP(J553,Foundation_Calc!$E$35:$G$65,3,1),""))</f>
        <v/>
      </c>
      <c r="AY553" s="10" t="str">
        <f>IF(L553="","",
IF(AX553="PT",VLOOKUP(L553,Foundation_Calc!$K$79:$R$113,VLOOKUP(AW553,Foundation_Calc!$I$2:$J$8,2,FALSE),0),
IF(AX553="K",VLOOKUP(L553,Foundation_Calc!$K$117:$R$151,VLOOKUP(AW553,Foundation_Calc!$I$2:$J$8,2,FALSE),0),"")))</f>
        <v/>
      </c>
      <c r="AZ553" s="10" t="str">
        <f>IF(K553="","",
IF(AX553="PT",VLOOKUP(K553,Foundation_Calc!$K$79:$R$113,VLOOKUP(AW553,Foundation_Calc!$I$2:$J$8,2,FALSE),0),
IF(AX553="K",VLOOKUP(K553,Foundation_Calc!$K$117:$R$151,VLOOKUP(AW553,Foundation_Calc!$I$2:$J$8,2,FALSE),0),"")))</f>
        <v/>
      </c>
      <c r="BA553" s="495" t="str">
        <f t="shared" si="69"/>
        <v/>
      </c>
      <c r="BB553" s="495" t="str">
        <f t="shared" si="70"/>
        <v/>
      </c>
      <c r="BC553" s="495" t="str">
        <f t="shared" si="71"/>
        <v/>
      </c>
      <c r="BD553" s="513" t="str">
        <f>IF(AND(L553="",H553=""),"",
IF(H553="",Pole_Calc!A$9,
IF(H553="MP",Pole_Calc!A$10,
IF(H553="AnMP",Pole_Calc!A$11,
IF(H553="A",Pole_Calc!A$12,
IF(H553="S/A",Pole_Calc!A$13,
IF(H553="A/S",Pole_Calc!A$14,"Poner a mano")))))))</f>
        <v/>
      </c>
      <c r="BE553" s="429" t="s">
        <v>118</v>
      </c>
      <c r="BF553" s="290"/>
      <c r="BG553" s="290"/>
      <c r="BH553" s="290"/>
      <c r="BI553" s="290"/>
    </row>
    <row r="554" spans="1:61" ht="15.75" customHeight="1">
      <c r="A554" s="514"/>
      <c r="B554" s="450" t="s">
        <v>1223</v>
      </c>
      <c r="C554" s="3">
        <f>+$C$552+$G$553</f>
        <v>43317.950000000012</v>
      </c>
      <c r="D554" s="83"/>
      <c r="E554" s="4"/>
      <c r="F554" s="4">
        <v>0</v>
      </c>
      <c r="G554" s="6"/>
      <c r="H554" s="449"/>
      <c r="I554" s="4"/>
      <c r="J554" s="3"/>
      <c r="K554" s="449"/>
      <c r="L554" s="449" t="s">
        <v>153</v>
      </c>
      <c r="M554" s="449" t="str">
        <f>IF(L554="","",
IF(AX554="PT",VLOOKUP(L554,Foundation_Calc!$V$79:$X$113,VLOOKUP(AX554,Foundation_Calc!$I$10:$J$13,2,FALSE),0),
IF(AX554="K",VLOOKUP(L554,Foundation_Calc!$V$117:$X$151,VLOOKUP(AX554,Foundation_Calc!$I$10:$J$13,2,FALSE),0),"")))</f>
        <v>C3R</v>
      </c>
      <c r="N554" s="449" t="s">
        <v>134</v>
      </c>
      <c r="O554" s="449"/>
      <c r="P554" s="449"/>
      <c r="Q554" s="4"/>
      <c r="R554" s="6"/>
      <c r="S554" s="6"/>
      <c r="T554" s="4">
        <v>35</v>
      </c>
      <c r="U554" s="4"/>
      <c r="V554" s="4"/>
      <c r="W554" s="9">
        <v>1.4</v>
      </c>
      <c r="X554" s="9"/>
      <c r="Y554" s="9"/>
      <c r="Z554" s="9"/>
      <c r="AA554" s="9"/>
      <c r="AB554" s="9"/>
      <c r="AC554" s="449" t="str">
        <f t="shared" si="64"/>
        <v>PH</v>
      </c>
      <c r="AD554" s="449"/>
      <c r="AE554" s="449"/>
      <c r="AF554" s="4"/>
      <c r="AG554" s="83"/>
      <c r="AH554" s="4"/>
      <c r="AI554" s="4"/>
      <c r="AJ554" s="449"/>
      <c r="AK554" s="449"/>
      <c r="AL554" s="449"/>
      <c r="AM554" s="449" t="s">
        <v>126</v>
      </c>
      <c r="AN554" s="10">
        <v>5.5</v>
      </c>
      <c r="AO554" s="9"/>
      <c r="AP554" s="9"/>
      <c r="AQ554" s="9"/>
      <c r="AR554" s="9"/>
      <c r="AS554" s="9"/>
      <c r="AT554" s="9">
        <f>+ab($T$554,$T$552,$T$556,$G$553,$G$555, 1*$F$554,1200)</f>
        <v>8.3002133012442592</v>
      </c>
      <c r="AU554" s="428"/>
      <c r="AV554" s="428"/>
      <c r="AW554" s="449" t="str">
        <f>IF(C554&gt;0,VLOOKUP(C554,Foundation_Calc!$A$2:$C$13,3,1),
IF(J554&gt;0,VLOOKUP(J554,Foundation_Calc!$A$2:$C$13,3,1),""))</f>
        <v>Multi Soil</v>
      </c>
      <c r="AX554" s="449" t="str">
        <f>IF(C554&gt;0,VLOOKUP(C554,Foundation_Calc!$E$35:$G$65,3,1),
IF(J554&gt;0,VLOOKUP(J554,Foundation_Calc!$E$35:$G$65,3,1),""))</f>
        <v>PT</v>
      </c>
      <c r="AY554" s="10">
        <f>IF(L554="","",
IF(AX554="PT",VLOOKUP(L554,Foundation_Calc!$K$79:$R$113,VLOOKUP(AW554,Foundation_Calc!$I$2:$J$8,2,FALSE),0),
IF(AX554="K",VLOOKUP(L554,Foundation_Calc!$K$117:$R$151,VLOOKUP(AW554,Foundation_Calc!$I$2:$J$8,2,FALSE),0),"")))</f>
        <v>3.5</v>
      </c>
      <c r="AZ554" s="10" t="str">
        <f>IF(K554="","",
IF(AX554="PT",VLOOKUP(K554,Foundation_Calc!$K$79:$R$113,VLOOKUP(AW554,Foundation_Calc!$I$2:$J$8,2,FALSE),0),
IF(AX554="K",VLOOKUP(K554,Foundation_Calc!$K$117:$R$151,VLOOKUP(AW554,Foundation_Calc!$I$2:$J$8,2,FALSE),0),"")))</f>
        <v/>
      </c>
      <c r="BA554" s="495" t="str">
        <f t="shared" si="69"/>
        <v>ü</v>
      </c>
      <c r="BB554" s="495" t="str">
        <f t="shared" si="70"/>
        <v/>
      </c>
      <c r="BC554" s="495" t="str">
        <f t="shared" si="71"/>
        <v/>
      </c>
      <c r="BD554" s="513" t="str">
        <f>IF(AND(L554="",H554=""),"",
IF(H554="",Pole_Calc!A$9,
IF(H554="MP",Pole_Calc!A$10,
IF(H554="AnMP",Pole_Calc!A$11,
IF(H554="A",Pole_Calc!A$12,
IF(H554="S/A",Pole_Calc!A$13,
IF(H554="A/S",Pole_Calc!A$14,"Poner a mano")))))))</f>
        <v>App.7-V11I-P9.5.1.1</v>
      </c>
      <c r="BE554" s="429" t="s">
        <v>118</v>
      </c>
      <c r="BF554" s="289"/>
      <c r="BG554" s="289"/>
      <c r="BH554" s="290"/>
      <c r="BI554" s="289"/>
    </row>
    <row r="555" spans="1:61" ht="15.75" customHeight="1">
      <c r="A555" s="518"/>
      <c r="B555" s="450"/>
      <c r="C555" s="3"/>
      <c r="D555" s="83"/>
      <c r="E555" s="4"/>
      <c r="F555" s="4"/>
      <c r="G555" s="6">
        <v>62</v>
      </c>
      <c r="H555" s="449"/>
      <c r="I555" s="4"/>
      <c r="J555" s="3"/>
      <c r="K555" s="449"/>
      <c r="L555" s="449"/>
      <c r="M555" s="449" t="str">
        <f>IF(L555="","",
IF(AX555="PT",VLOOKUP(L555,Foundation_Calc!$V$79:$X$113,VLOOKUP(AX555,Foundation_Calc!$I$10:$J$13,2,FALSE),0),
IF(AX555="K",VLOOKUP(L555,Foundation_Calc!$V$117:$X$151,VLOOKUP(AX555,Foundation_Calc!$I$10:$J$13,2,FALSE),0),"")))</f>
        <v/>
      </c>
      <c r="N555" s="449"/>
      <c r="O555" s="449"/>
      <c r="P555" s="449"/>
      <c r="Q555" s="4"/>
      <c r="R555" s="6"/>
      <c r="S555" s="6"/>
      <c r="T555" s="4"/>
      <c r="U555" s="4"/>
      <c r="V555" s="4"/>
      <c r="W555" s="9"/>
      <c r="X555" s="9"/>
      <c r="Y555" s="9"/>
      <c r="Z555" s="9"/>
      <c r="AA555" s="9"/>
      <c r="AB555" s="9"/>
      <c r="AC555" s="449" t="str">
        <f t="shared" si="64"/>
        <v/>
      </c>
      <c r="AD555" s="449"/>
      <c r="AE555" s="449"/>
      <c r="AF555" s="4"/>
      <c r="AG555" s="83"/>
      <c r="AH555" s="4"/>
      <c r="AI555" s="4"/>
      <c r="AJ555" s="449"/>
      <c r="AK555" s="449"/>
      <c r="AL555" s="449"/>
      <c r="AM555" s="449"/>
      <c r="AN555" s="10"/>
      <c r="AO555" s="9"/>
      <c r="AP555" s="9"/>
      <c r="AQ555" s="9">
        <f>+FL_2($T$556,$T$554,$G$555,1200,9.28, 1*$F$556)</f>
        <v>-0.45400350967741931</v>
      </c>
      <c r="AR555" s="9"/>
      <c r="AS555" s="9"/>
      <c r="AT555" s="9"/>
      <c r="AU555" s="428"/>
      <c r="AV555" s="428"/>
      <c r="AW555" s="449" t="str">
        <f>IF(C555&gt;0,VLOOKUP(C555,Foundation_Calc!$A$2:$C$13,3,1),
IF(J555&gt;0,VLOOKUP(J555,Foundation_Calc!$A$2:$C$13,3,1),""))</f>
        <v/>
      </c>
      <c r="AX555" s="449" t="str">
        <f>IF(C555&gt;0,VLOOKUP(C555,Foundation_Calc!$E$35:$G$65,3,1),
IF(J555&gt;0,VLOOKUP(J555,Foundation_Calc!$E$35:$G$65,3,1),""))</f>
        <v/>
      </c>
      <c r="AY555" s="10" t="str">
        <f>IF(L555="","",
IF(AX555="PT",VLOOKUP(L555,Foundation_Calc!$K$79:$R$113,VLOOKUP(AW555,Foundation_Calc!$I$2:$J$8,2,FALSE),0),
IF(AX555="K",VLOOKUP(L555,Foundation_Calc!$K$117:$R$151,VLOOKUP(AW555,Foundation_Calc!$I$2:$J$8,2,FALSE),0),"")))</f>
        <v/>
      </c>
      <c r="AZ555" s="10" t="str">
        <f>IF(K555="","",
IF(AX555="PT",VLOOKUP(K555,Foundation_Calc!$K$79:$R$113,VLOOKUP(AW555,Foundation_Calc!$I$2:$J$8,2,FALSE),0),
IF(AX555="K",VLOOKUP(K555,Foundation_Calc!$K$117:$R$151,VLOOKUP(AW555,Foundation_Calc!$I$2:$J$8,2,FALSE),0),"")))</f>
        <v/>
      </c>
      <c r="BA555" s="495" t="str">
        <f t="shared" si="69"/>
        <v/>
      </c>
      <c r="BB555" s="495" t="str">
        <f t="shared" si="70"/>
        <v/>
      </c>
      <c r="BC555" s="495" t="str">
        <f t="shared" si="71"/>
        <v/>
      </c>
      <c r="BD555" s="513" t="str">
        <f>IF(AND(L555="",H555=""),"",
IF(H555="",Pole_Calc!A$9,
IF(H555="MP",Pole_Calc!A$10,
IF(H555="AnMP",Pole_Calc!A$11,
IF(H555="A",Pole_Calc!A$12,
IF(H555="S/A",Pole_Calc!A$13,
IF(H555="A/S",Pole_Calc!A$14,"Poner a mano")))))))</f>
        <v/>
      </c>
      <c r="BE555" s="429" t="s">
        <v>118</v>
      </c>
      <c r="BF555" s="290"/>
      <c r="BG555" s="290"/>
      <c r="BH555" s="290"/>
      <c r="BI555" s="290"/>
    </row>
    <row r="556" spans="1:61" ht="15.75" customHeight="1">
      <c r="A556" s="514"/>
      <c r="B556" s="450" t="s">
        <v>1224</v>
      </c>
      <c r="C556" s="3">
        <f>+$C$554+$G$555</f>
        <v>43379.950000000012</v>
      </c>
      <c r="D556" s="83"/>
      <c r="E556" s="4"/>
      <c r="F556" s="4">
        <v>0</v>
      </c>
      <c r="G556" s="6"/>
      <c r="H556" s="449"/>
      <c r="I556" s="4"/>
      <c r="J556" s="3"/>
      <c r="K556" s="449"/>
      <c r="L556" s="449" t="s">
        <v>153</v>
      </c>
      <c r="M556" s="449" t="str">
        <f>IF(L556="","",
IF(AX556="PT",VLOOKUP(L556,Foundation_Calc!$V$79:$X$113,VLOOKUP(AX556,Foundation_Calc!$I$10:$J$13,2,FALSE),0),
IF(AX556="K",VLOOKUP(L556,Foundation_Calc!$V$117:$X$151,VLOOKUP(AX556,Foundation_Calc!$I$10:$J$13,2,FALSE),0),"")))</f>
        <v>C3R</v>
      </c>
      <c r="N556" s="449" t="s">
        <v>124</v>
      </c>
      <c r="O556" s="449"/>
      <c r="P556" s="449"/>
      <c r="Q556" s="4"/>
      <c r="R556" s="6"/>
      <c r="S556" s="6"/>
      <c r="T556" s="4">
        <v>-35</v>
      </c>
      <c r="U556" s="4"/>
      <c r="V556" s="4"/>
      <c r="W556" s="572">
        <v>1.2</v>
      </c>
      <c r="X556" s="9"/>
      <c r="Y556" s="9"/>
      <c r="Z556" s="9"/>
      <c r="AA556" s="9"/>
      <c r="AB556" s="9"/>
      <c r="AC556" s="449" t="str">
        <f t="shared" si="64"/>
        <v>PH</v>
      </c>
      <c r="AD556" s="449"/>
      <c r="AE556" s="449"/>
      <c r="AF556" s="4"/>
      <c r="AG556" s="83"/>
      <c r="AH556" s="4"/>
      <c r="AI556" s="4"/>
      <c r="AJ556" s="449"/>
      <c r="AK556" s="449"/>
      <c r="AL556" s="449"/>
      <c r="AM556" s="449" t="s">
        <v>126</v>
      </c>
      <c r="AN556" s="10">
        <v>5.5</v>
      </c>
      <c r="AO556" s="9"/>
      <c r="AP556" s="9"/>
      <c r="AQ556" s="9"/>
      <c r="AR556" s="9"/>
      <c r="AS556" s="9"/>
      <c r="AT556" s="9">
        <f>+ab($T$556,$T$554,$T$558,$G$555,$G$557, 1*$F$556,1200)</f>
        <v>-8.4366201521118445</v>
      </c>
      <c r="AU556" s="428"/>
      <c r="AV556" s="428"/>
      <c r="AW556" s="449" t="str">
        <f>IF(C556&gt;0,VLOOKUP(C556,Foundation_Calc!$A$2:$C$13,3,1),
IF(J556&gt;0,VLOOKUP(J556,Foundation_Calc!$A$2:$C$13,3,1),""))</f>
        <v>Multi Soil</v>
      </c>
      <c r="AX556" s="449" t="str">
        <f>IF(C556&gt;0,VLOOKUP(C556,Foundation_Calc!$E$35:$G$65,3,1),
IF(J556&gt;0,VLOOKUP(J556,Foundation_Calc!$E$35:$G$65,3,1),""))</f>
        <v>PT</v>
      </c>
      <c r="AY556" s="10">
        <f>IF(L556="","",
IF(AX556="PT",VLOOKUP(L556,Foundation_Calc!$K$79:$R$113,VLOOKUP(AW556,Foundation_Calc!$I$2:$J$8,2,FALSE),0),
IF(AX556="K",VLOOKUP(L556,Foundation_Calc!$K$117:$R$151,VLOOKUP(AW556,Foundation_Calc!$I$2:$J$8,2,FALSE),0),"")))</f>
        <v>3.5</v>
      </c>
      <c r="AZ556" s="10" t="str">
        <f>IF(K556="","",
IF(AX556="PT",VLOOKUP(K556,Foundation_Calc!$K$79:$R$113,VLOOKUP(AW556,Foundation_Calc!$I$2:$J$8,2,FALSE),0),
IF(AX556="K",VLOOKUP(K556,Foundation_Calc!$K$117:$R$151,VLOOKUP(AW556,Foundation_Calc!$I$2:$J$8,2,FALSE),0),"")))</f>
        <v/>
      </c>
      <c r="BA556" s="495" t="str">
        <f t="shared" si="69"/>
        <v>ü</v>
      </c>
      <c r="BB556" s="495" t="str">
        <f t="shared" si="70"/>
        <v/>
      </c>
      <c r="BC556" s="495" t="str">
        <f t="shared" si="71"/>
        <v/>
      </c>
      <c r="BD556" s="513" t="str">
        <f>IF(AND(L556="",H556=""),"",
IF(H556="",Pole_Calc!A$9,
IF(H556="MP",Pole_Calc!A$10,
IF(H556="AnMP",Pole_Calc!A$11,
IF(H556="A",Pole_Calc!A$12,
IF(H556="S/A",Pole_Calc!A$13,
IF(H556="A/S",Pole_Calc!A$14,"Poner a mano")))))))</f>
        <v>App.7-V11I-P9.5.1.1</v>
      </c>
      <c r="BE556" s="429" t="s">
        <v>118</v>
      </c>
      <c r="BF556" s="289"/>
      <c r="BG556" s="289"/>
      <c r="BH556" s="290"/>
      <c r="BI556" s="289"/>
    </row>
    <row r="557" spans="1:61" ht="15.75" customHeight="1">
      <c r="A557" s="514"/>
      <c r="B557" s="450"/>
      <c r="C557" s="3"/>
      <c r="D557" s="83"/>
      <c r="E557" s="4"/>
      <c r="F557" s="4"/>
      <c r="G557" s="6">
        <v>62</v>
      </c>
      <c r="H557" s="449"/>
      <c r="I557" s="4"/>
      <c r="J557" s="3"/>
      <c r="K557" s="449"/>
      <c r="L557" s="449"/>
      <c r="M557" s="449" t="str">
        <f>IF(L557="","",
IF(AX557="PT",VLOOKUP(L557,Foundation_Calc!$V$79:$X$113,VLOOKUP(AX557,Foundation_Calc!$I$10:$J$13,2,FALSE),0),
IF(AX557="K",VLOOKUP(L557,Foundation_Calc!$V$117:$X$151,VLOOKUP(AX557,Foundation_Calc!$I$10:$J$13,2,FALSE),0),"")))</f>
        <v/>
      </c>
      <c r="N557" s="449"/>
      <c r="O557" s="449"/>
      <c r="P557" s="449"/>
      <c r="Q557" s="4"/>
      <c r="R557" s="6"/>
      <c r="S557" s="6"/>
      <c r="T557" s="4"/>
      <c r="U557" s="4"/>
      <c r="V557" s="4"/>
      <c r="W557" s="572"/>
      <c r="X557" s="9"/>
      <c r="Y557" s="9"/>
      <c r="Z557" s="9"/>
      <c r="AA557" s="9"/>
      <c r="AB557" s="9"/>
      <c r="AC557" s="449" t="str">
        <f t="shared" si="64"/>
        <v/>
      </c>
      <c r="AD557" s="449"/>
      <c r="AE557" s="449"/>
      <c r="AF557" s="4"/>
      <c r="AG557" s="83"/>
      <c r="AH557" s="4"/>
      <c r="AI557" s="4"/>
      <c r="AJ557" s="449"/>
      <c r="AK557" s="449"/>
      <c r="AL557" s="449"/>
      <c r="AM557" s="449"/>
      <c r="AN557" s="10"/>
      <c r="AO557" s="9"/>
      <c r="AP557" s="9"/>
      <c r="AQ557" s="9">
        <f>+FL_1($T$558,$T$556,$G$557,1200,9.28, 1*$F$558)</f>
        <v>0.45400350967741931</v>
      </c>
      <c r="AR557" s="9"/>
      <c r="AS557" s="9"/>
      <c r="AT557" s="9"/>
      <c r="AU557" s="428"/>
      <c r="AV557" s="428"/>
      <c r="AW557" s="449" t="str">
        <f>IF(C557&gt;0,VLOOKUP(C557,Foundation_Calc!$A$2:$C$13,3,1),
IF(J557&gt;0,VLOOKUP(J557,Foundation_Calc!$A$2:$C$13,3,1),""))</f>
        <v/>
      </c>
      <c r="AX557" s="449" t="str">
        <f>IF(C557&gt;0,VLOOKUP(C557,Foundation_Calc!$E$35:$G$65,3,1),
IF(J557&gt;0,VLOOKUP(J557,Foundation_Calc!$E$35:$G$65,3,1),""))</f>
        <v/>
      </c>
      <c r="AY557" s="10" t="str">
        <f>IF(L557="","",
IF(AX557="PT",VLOOKUP(L557,Foundation_Calc!$K$79:$R$113,VLOOKUP(AW557,Foundation_Calc!$I$2:$J$8,2,FALSE),0),
IF(AX557="K",VLOOKUP(L557,Foundation_Calc!$K$117:$R$151,VLOOKUP(AW557,Foundation_Calc!$I$2:$J$8,2,FALSE),0),"")))</f>
        <v/>
      </c>
      <c r="AZ557" s="10" t="str">
        <f>IF(K557="","",
IF(AX557="PT",VLOOKUP(K557,Foundation_Calc!$K$79:$R$113,VLOOKUP(AW557,Foundation_Calc!$I$2:$J$8,2,FALSE),0),
IF(AX557="K",VLOOKUP(K557,Foundation_Calc!$K$117:$R$151,VLOOKUP(AW557,Foundation_Calc!$I$2:$J$8,2,FALSE),0),"")))</f>
        <v/>
      </c>
      <c r="BA557" s="495" t="str">
        <f t="shared" si="69"/>
        <v/>
      </c>
      <c r="BB557" s="495" t="str">
        <f t="shared" si="70"/>
        <v/>
      </c>
      <c r="BC557" s="495" t="str">
        <f t="shared" si="71"/>
        <v/>
      </c>
      <c r="BD557" s="513" t="str">
        <f>IF(AND(L557="",H557=""),"",
IF(H557="",Pole_Calc!A$9,
IF(H557="MP",Pole_Calc!A$10,
IF(H557="AnMP",Pole_Calc!A$11,
IF(H557="A",Pole_Calc!A$12,
IF(H557="S/A",Pole_Calc!A$13,
IF(H557="A/S",Pole_Calc!A$14,"Poner a mano")))))))</f>
        <v/>
      </c>
      <c r="BE557" s="429" t="s">
        <v>118</v>
      </c>
      <c r="BF557" s="290"/>
      <c r="BG557" s="290"/>
      <c r="BH557" s="290"/>
      <c r="BI557" s="290"/>
    </row>
    <row r="558" spans="1:61" ht="15.75" customHeight="1">
      <c r="A558" s="514"/>
      <c r="B558" s="450" t="s">
        <v>1225</v>
      </c>
      <c r="C558" s="3">
        <f>+$C$556+$G$557</f>
        <v>43441.950000000012</v>
      </c>
      <c r="D558" s="83"/>
      <c r="E558" s="4"/>
      <c r="F558" s="4">
        <v>0</v>
      </c>
      <c r="G558" s="6"/>
      <c r="H558" s="449"/>
      <c r="I558" s="4"/>
      <c r="J558" s="3"/>
      <c r="K558" s="449"/>
      <c r="L558" s="449" t="s">
        <v>153</v>
      </c>
      <c r="M558" s="449" t="str">
        <f>IF(L558="","",
IF(AX558="PT",VLOOKUP(L558,Foundation_Calc!$V$79:$X$113,VLOOKUP(AX558,Foundation_Calc!$I$10:$J$13,2,FALSE),0),
IF(AX558="K",VLOOKUP(L558,Foundation_Calc!$V$117:$X$151,VLOOKUP(AX558,Foundation_Calc!$I$10:$J$13,2,FALSE),0),"")))</f>
        <v>C3RT</v>
      </c>
      <c r="N558" s="449" t="s">
        <v>134</v>
      </c>
      <c r="O558" s="449"/>
      <c r="P558" s="449"/>
      <c r="Q558" s="4"/>
      <c r="R558" s="6"/>
      <c r="S558" s="6"/>
      <c r="T558" s="4">
        <v>35</v>
      </c>
      <c r="U558" s="4"/>
      <c r="V558" s="4"/>
      <c r="W558" s="572">
        <v>1.1000000000000001</v>
      </c>
      <c r="X558" s="9"/>
      <c r="Y558" s="9"/>
      <c r="Z558" s="9"/>
      <c r="AA558" s="9"/>
      <c r="AB558" s="9"/>
      <c r="AC558" s="449" t="str">
        <f t="shared" si="64"/>
        <v>PH</v>
      </c>
      <c r="AD558" s="449"/>
      <c r="AE558" s="449"/>
      <c r="AF558" s="4"/>
      <c r="AG558" s="83"/>
      <c r="AH558" s="4"/>
      <c r="AI558" s="4"/>
      <c r="AJ558" s="449"/>
      <c r="AK558" s="449"/>
      <c r="AL558" s="449"/>
      <c r="AM558" s="449" t="s">
        <v>126</v>
      </c>
      <c r="AN558" s="10">
        <v>5.5</v>
      </c>
      <c r="AO558" s="9"/>
      <c r="AP558" s="9"/>
      <c r="AQ558" s="9"/>
      <c r="AR558" s="9"/>
      <c r="AS558" s="9"/>
      <c r="AT558" s="9">
        <f>+ab($T$558,$T$556,$T$560,$G$557,$G$559, 1*$F$558,1200)</f>
        <v>8.3002133012442592</v>
      </c>
      <c r="AU558" s="428"/>
      <c r="AV558" s="428"/>
      <c r="AW558" s="449" t="str">
        <f>IF(C558&gt;0,VLOOKUP(C558,Foundation_Calc!$A$2:$C$13,3,1),
IF(J558&gt;0,VLOOKUP(J558,Foundation_Calc!$A$2:$C$13,3,1),""))</f>
        <v>Multi Soil</v>
      </c>
      <c r="AX558" s="449" t="str">
        <f>IF(C558&gt;0,VLOOKUP(C558,Foundation_Calc!$E$35:$G$65,3,1),
IF(J558&gt;0,VLOOKUP(J558,Foundation_Calc!$E$35:$G$65,3,1),""))</f>
        <v>K</v>
      </c>
      <c r="AY558" s="10">
        <f>IF(L558="","",
IF(AX558="PT",VLOOKUP(L558,Foundation_Calc!$K$79:$R$113,VLOOKUP(AW558,Foundation_Calc!$I$2:$J$8,2,FALSE),0),
IF(AX558="K",VLOOKUP(L558,Foundation_Calc!$K$117:$R$151,VLOOKUP(AW558,Foundation_Calc!$I$2:$J$8,2,FALSE),0),"")))</f>
        <v>4</v>
      </c>
      <c r="AZ558" s="10" t="str">
        <f>IF(K558="","",
IF(AX558="PT",VLOOKUP(K558,Foundation_Calc!$K$79:$R$113,VLOOKUP(AW558,Foundation_Calc!$I$2:$J$8,2,FALSE),0),
IF(AX558="K",VLOOKUP(K558,Foundation_Calc!$K$117:$R$151,VLOOKUP(AW558,Foundation_Calc!$I$2:$J$8,2,FALSE),0),"")))</f>
        <v/>
      </c>
      <c r="BA558" s="495" t="str">
        <f t="shared" si="69"/>
        <v>ü</v>
      </c>
      <c r="BB558" s="495" t="str">
        <f t="shared" si="70"/>
        <v/>
      </c>
      <c r="BC558" s="495" t="str">
        <f t="shared" si="71"/>
        <v/>
      </c>
      <c r="BD558" s="513" t="str">
        <f>IF(AND(L558="",H558=""),"",
IF(H558="",Pole_Calc!A$9,
IF(H558="MP",Pole_Calc!A$10,
IF(H558="AnMP",Pole_Calc!A$11,
IF(H558="A",Pole_Calc!A$12,
IF(H558="S/A",Pole_Calc!A$13,
IF(H558="A/S",Pole_Calc!A$14,"Poner a mano")))))))</f>
        <v>App.7-V11I-P9.5.1.1</v>
      </c>
      <c r="BE558" s="429" t="s">
        <v>118</v>
      </c>
      <c r="BF558" s="289"/>
      <c r="BG558" s="289"/>
      <c r="BH558" s="290"/>
      <c r="BI558" s="289"/>
    </row>
    <row r="559" spans="1:61" ht="15.75" customHeight="1">
      <c r="A559" s="514" t="s">
        <v>193</v>
      </c>
      <c r="B559" s="450"/>
      <c r="C559" s="3"/>
      <c r="D559" s="83"/>
      <c r="E559" s="4"/>
      <c r="F559" s="4"/>
      <c r="G559" s="6">
        <v>60</v>
      </c>
      <c r="H559" s="449"/>
      <c r="I559" s="4"/>
      <c r="J559" s="3"/>
      <c r="K559" s="449"/>
      <c r="L559" s="449"/>
      <c r="M559" s="449" t="str">
        <f>IF(L559="","",
IF(AX559="PT",VLOOKUP(L559,Foundation_Calc!$V$79:$X$113,VLOOKUP(AX559,Foundation_Calc!$I$10:$J$13,2,FALSE),0),
IF(AX559="K",VLOOKUP(L559,Foundation_Calc!$V$117:$X$151,VLOOKUP(AX559,Foundation_Calc!$I$10:$J$13,2,FALSE),0),"")))</f>
        <v/>
      </c>
      <c r="N559" s="449"/>
      <c r="O559" s="449"/>
      <c r="P559" s="449"/>
      <c r="Q559" s="4"/>
      <c r="R559" s="6"/>
      <c r="S559" s="6"/>
      <c r="T559" s="4"/>
      <c r="U559" s="4"/>
      <c r="V559" s="4"/>
      <c r="W559" s="572"/>
      <c r="X559" s="9"/>
      <c r="Y559" s="9"/>
      <c r="Z559" s="9"/>
      <c r="AA559" s="9"/>
      <c r="AB559" s="9"/>
      <c r="AC559" s="449" t="str">
        <f t="shared" si="64"/>
        <v/>
      </c>
      <c r="AD559" s="449"/>
      <c r="AE559" s="449"/>
      <c r="AF559" s="4"/>
      <c r="AG559" s="83"/>
      <c r="AH559" s="4"/>
      <c r="AI559" s="4"/>
      <c r="AJ559" s="449"/>
      <c r="AK559" s="449"/>
      <c r="AL559" s="449"/>
      <c r="AM559" s="449"/>
      <c r="AN559" s="10"/>
      <c r="AO559" s="9"/>
      <c r="AP559" s="9"/>
      <c r="AQ559" s="9">
        <f>+FL_2($T$560,$T$558,$G$559,1200,9.28, 1*$F$560)</f>
        <v>-0.43600286799999999</v>
      </c>
      <c r="AR559" s="9"/>
      <c r="AS559" s="9"/>
      <c r="AT559" s="9"/>
      <c r="AU559" s="428"/>
      <c r="AV559" s="428"/>
      <c r="AW559" s="449" t="str">
        <f>IF(C559&gt;0,VLOOKUP(C559,Foundation_Calc!$A$2:$C$13,3,1),
IF(J559&gt;0,VLOOKUP(J559,Foundation_Calc!$A$2:$C$13,3,1),""))</f>
        <v/>
      </c>
      <c r="AX559" s="449" t="str">
        <f>IF(C559&gt;0,VLOOKUP(C559,Foundation_Calc!$E$35:$G$65,3,1),
IF(J559&gt;0,VLOOKUP(J559,Foundation_Calc!$E$35:$G$65,3,1),""))</f>
        <v/>
      </c>
      <c r="AY559" s="10" t="str">
        <f>IF(L559="","",
IF(AX559="PT",VLOOKUP(L559,Foundation_Calc!$K$79:$R$113,VLOOKUP(AW559,Foundation_Calc!$I$2:$J$8,2,FALSE),0),
IF(AX559="K",VLOOKUP(L559,Foundation_Calc!$K$117:$R$151,VLOOKUP(AW559,Foundation_Calc!$I$2:$J$8,2,FALSE),0),"")))</f>
        <v/>
      </c>
      <c r="AZ559" s="10" t="str">
        <f>IF(K559="","",
IF(AX559="PT",VLOOKUP(K559,Foundation_Calc!$K$79:$R$113,VLOOKUP(AW559,Foundation_Calc!$I$2:$J$8,2,FALSE),0),
IF(AX559="K",VLOOKUP(K559,Foundation_Calc!$K$117:$R$151,VLOOKUP(AW559,Foundation_Calc!$I$2:$J$8,2,FALSE),0),"")))</f>
        <v/>
      </c>
      <c r="BA559" s="495" t="str">
        <f t="shared" si="69"/>
        <v/>
      </c>
      <c r="BB559" s="495" t="str">
        <f t="shared" si="70"/>
        <v/>
      </c>
      <c r="BC559" s="495" t="str">
        <f t="shared" si="71"/>
        <v/>
      </c>
      <c r="BD559" s="513" t="str">
        <f>IF(AND(L559="",H559=""),"",
IF(H559="",Pole_Calc!A$9,
IF(H559="MP",Pole_Calc!A$10,
IF(H559="AnMP",Pole_Calc!A$11,
IF(H559="A",Pole_Calc!A$12,
IF(H559="S/A",Pole_Calc!A$13,
IF(H559="A/S",Pole_Calc!A$14,"Poner a mano")))))))</f>
        <v/>
      </c>
      <c r="BE559" s="429" t="s">
        <v>118</v>
      </c>
      <c r="BF559" s="290"/>
      <c r="BG559" s="290"/>
      <c r="BH559" s="290"/>
      <c r="BI559" s="290"/>
    </row>
    <row r="560" spans="1:61" ht="15.75" customHeight="1">
      <c r="A560" s="514"/>
      <c r="B560" s="450" t="s">
        <v>1226</v>
      </c>
      <c r="C560" s="3">
        <f>+$C$558+$G$559</f>
        <v>43501.950000000012</v>
      </c>
      <c r="D560" s="83"/>
      <c r="E560" s="4"/>
      <c r="F560" s="4">
        <v>0</v>
      </c>
      <c r="G560" s="6"/>
      <c r="H560" s="449"/>
      <c r="I560" s="4"/>
      <c r="J560" s="3"/>
      <c r="K560" s="449"/>
      <c r="L560" s="449" t="s">
        <v>153</v>
      </c>
      <c r="M560" s="449" t="str">
        <f>IF(L560="","",
IF(AX560="PT",VLOOKUP(L560,Foundation_Calc!$V$79:$X$113,VLOOKUP(AX560,Foundation_Calc!$I$10:$J$13,2,FALSE),0),
IF(AX560="K",VLOOKUP(L560,Foundation_Calc!$V$117:$X$151,VLOOKUP(AX560,Foundation_Calc!$I$10:$J$13,2,FALSE),0),"")))</f>
        <v>C3RT</v>
      </c>
      <c r="N560" s="449" t="s">
        <v>124</v>
      </c>
      <c r="O560" s="449"/>
      <c r="P560" s="449"/>
      <c r="Q560" s="4"/>
      <c r="R560" s="6"/>
      <c r="S560" s="6"/>
      <c r="T560" s="4">
        <v>-35</v>
      </c>
      <c r="U560" s="4"/>
      <c r="V560" s="4"/>
      <c r="W560" s="572">
        <v>1.1000000000000001</v>
      </c>
      <c r="X560" s="9"/>
      <c r="Y560" s="9"/>
      <c r="Z560" s="9"/>
      <c r="AA560" s="9"/>
      <c r="AB560" s="9"/>
      <c r="AC560" s="449" t="str">
        <f t="shared" si="64"/>
        <v>PHQ</v>
      </c>
      <c r="AD560" s="449"/>
      <c r="AE560" s="449"/>
      <c r="AF560" s="4"/>
      <c r="AG560" s="83"/>
      <c r="AH560" s="4"/>
      <c r="AI560" s="4"/>
      <c r="AJ560" s="449"/>
      <c r="AK560" s="449"/>
      <c r="AL560" s="449"/>
      <c r="AM560" s="449" t="s">
        <v>126</v>
      </c>
      <c r="AN560" s="10">
        <v>5.5</v>
      </c>
      <c r="AO560" s="9"/>
      <c r="AP560" s="9"/>
      <c r="AQ560" s="9"/>
      <c r="AR560" s="9"/>
      <c r="AS560" s="9"/>
      <c r="AT560" s="9">
        <f>+ab($T$560,$T$558,$T$562,$G$559,$G$561, 1*$F$560,1200)</f>
        <v>-7.8175501667728815</v>
      </c>
      <c r="AU560" s="428"/>
      <c r="AV560" s="428"/>
      <c r="AW560" s="449" t="str">
        <f>IF(C560&gt;0,VLOOKUP(C560,Foundation_Calc!$A$2:$C$13,3,1),
IF(J560&gt;0,VLOOKUP(J560,Foundation_Calc!$A$2:$C$13,3,1),""))</f>
        <v>Multi Soil</v>
      </c>
      <c r="AX560" s="449" t="str">
        <f>IF(C560&gt;0,VLOOKUP(C560,Foundation_Calc!$E$35:$G$65,3,1),
IF(J560&gt;0,VLOOKUP(J560,Foundation_Calc!$E$35:$G$65,3,1),""))</f>
        <v>K</v>
      </c>
      <c r="AY560" s="10">
        <f>IF(L560="","",
IF(AX560="PT",VLOOKUP(L560,Foundation_Calc!$K$79:$R$113,VLOOKUP(AW560,Foundation_Calc!$I$2:$J$8,2,FALSE),0),
IF(AX560="K",VLOOKUP(L560,Foundation_Calc!$K$117:$R$151,VLOOKUP(AW560,Foundation_Calc!$I$2:$J$8,2,FALSE),0),"")))</f>
        <v>4</v>
      </c>
      <c r="AZ560" s="10" t="str">
        <f>IF(K560="","",
IF(AX560="PT",VLOOKUP(K560,Foundation_Calc!$K$79:$R$113,VLOOKUP(AW560,Foundation_Calc!$I$2:$J$8,2,FALSE),0),
IF(AX560="K",VLOOKUP(K560,Foundation_Calc!$K$117:$R$151,VLOOKUP(AW560,Foundation_Calc!$I$2:$J$8,2,FALSE),0),"")))</f>
        <v/>
      </c>
      <c r="BA560" s="495" t="str">
        <f t="shared" si="69"/>
        <v>ü</v>
      </c>
      <c r="BB560" s="495" t="str">
        <f t="shared" si="70"/>
        <v/>
      </c>
      <c r="BC560" s="495" t="str">
        <f t="shared" si="71"/>
        <v/>
      </c>
      <c r="BD560" s="513" t="str">
        <f>IF(AND(L560="",H560=""),"",
IF(H560="",Pole_Calc!A$9,
IF(H560="MP",Pole_Calc!A$10,
IF(H560="AnMP",Pole_Calc!A$11,
IF(H560="A",Pole_Calc!A$12,
IF(H560="S/A",Pole_Calc!A$13,
IF(H560="A/S",Pole_Calc!A$14,"Poner a mano")))))))</f>
        <v>App.7-V11I-P9.5.1.1</v>
      </c>
      <c r="BE560" s="429" t="s">
        <v>118</v>
      </c>
      <c r="BF560" s="289"/>
      <c r="BG560" s="289"/>
      <c r="BH560" s="290"/>
      <c r="BI560" s="289"/>
    </row>
    <row r="561" spans="1:61" ht="15.75" customHeight="1">
      <c r="A561" s="518"/>
      <c r="B561" s="450"/>
      <c r="C561" s="3"/>
      <c r="D561" s="83"/>
      <c r="E561" s="4"/>
      <c r="F561" s="4"/>
      <c r="G561" s="6">
        <v>55</v>
      </c>
      <c r="H561" s="449"/>
      <c r="I561" s="4"/>
      <c r="J561" s="3"/>
      <c r="K561" s="449"/>
      <c r="L561" s="449"/>
      <c r="M561" s="449" t="str">
        <f>IF(L561="","",
IF(AX561="PT",VLOOKUP(L561,Foundation_Calc!$V$79:$X$113,VLOOKUP(AX561,Foundation_Calc!$I$10:$J$13,2,FALSE),0),
IF(AX561="K",VLOOKUP(L561,Foundation_Calc!$V$117:$X$151,VLOOKUP(AX561,Foundation_Calc!$I$10:$J$13,2,FALSE),0),"")))</f>
        <v/>
      </c>
      <c r="N561" s="449"/>
      <c r="O561" s="449"/>
      <c r="P561" s="449"/>
      <c r="Q561" s="4"/>
      <c r="R561" s="6"/>
      <c r="S561" s="6"/>
      <c r="T561" s="4"/>
      <c r="U561" s="4"/>
      <c r="V561" s="4"/>
      <c r="W561" s="572"/>
      <c r="X561" s="9"/>
      <c r="Y561" s="9"/>
      <c r="Z561" s="9"/>
      <c r="AA561" s="9"/>
      <c r="AB561" s="9"/>
      <c r="AC561" s="449" t="str">
        <f t="shared" si="64"/>
        <v/>
      </c>
      <c r="AD561" s="449"/>
      <c r="AE561" s="449"/>
      <c r="AF561" s="4"/>
      <c r="AG561" s="83"/>
      <c r="AH561" s="4"/>
      <c r="AI561" s="4"/>
      <c r="AJ561" s="449"/>
      <c r="AK561" s="449"/>
      <c r="AL561" s="449"/>
      <c r="AM561" s="449"/>
      <c r="AN561" s="10"/>
      <c r="AO561" s="9"/>
      <c r="AP561" s="9"/>
      <c r="AQ561" s="9">
        <f>+FL_2($T$562,$T$560,$G$561,1200,9.28, 1*$F$562)</f>
        <v>-0.39714735709090898</v>
      </c>
      <c r="AR561" s="9"/>
      <c r="AS561" s="9"/>
      <c r="AT561" s="9"/>
      <c r="AU561" s="428"/>
      <c r="AV561" s="428"/>
      <c r="AW561" s="449" t="str">
        <f>IF(C561&gt;0,VLOOKUP(C561,Foundation_Calc!$A$2:$C$13,3,1),
IF(J561&gt;0,VLOOKUP(J561,Foundation_Calc!$A$2:$C$13,3,1),""))</f>
        <v/>
      </c>
      <c r="AX561" s="449" t="str">
        <f>IF(C561&gt;0,VLOOKUP(C561,Foundation_Calc!$E$35:$G$65,3,1),
IF(J561&gt;0,VLOOKUP(J561,Foundation_Calc!$E$35:$G$65,3,1),""))</f>
        <v/>
      </c>
      <c r="AY561" s="10" t="str">
        <f>IF(L561="","",
IF(AX561="PT",VLOOKUP(L561,Foundation_Calc!$K$79:$R$113,VLOOKUP(AW561,Foundation_Calc!$I$2:$J$8,2,FALSE),0),
IF(AX561="K",VLOOKUP(L561,Foundation_Calc!$K$117:$R$151,VLOOKUP(AW561,Foundation_Calc!$I$2:$J$8,2,FALSE),0),"")))</f>
        <v/>
      </c>
      <c r="AZ561" s="10" t="str">
        <f>IF(K561="","",
IF(AX561="PT",VLOOKUP(K561,Foundation_Calc!$K$79:$R$113,VLOOKUP(AW561,Foundation_Calc!$I$2:$J$8,2,FALSE),0),
IF(AX561="K",VLOOKUP(K561,Foundation_Calc!$K$117:$R$151,VLOOKUP(AW561,Foundation_Calc!$I$2:$J$8,2,FALSE),0),"")))</f>
        <v/>
      </c>
      <c r="BA561" s="495" t="str">
        <f t="shared" si="69"/>
        <v/>
      </c>
      <c r="BB561" s="495" t="str">
        <f t="shared" si="70"/>
        <v/>
      </c>
      <c r="BC561" s="495" t="str">
        <f t="shared" si="71"/>
        <v/>
      </c>
      <c r="BD561" s="513" t="str">
        <f>IF(AND(L561="",H561=""),"",
IF(H561="",Pole_Calc!A$9,
IF(H561="MP",Pole_Calc!A$10,
IF(H561="AnMP",Pole_Calc!A$11,
IF(H561="A",Pole_Calc!A$12,
IF(H561="S/A",Pole_Calc!A$13,
IF(H561="A/S",Pole_Calc!A$14,"Poner a mano")))))))</f>
        <v/>
      </c>
      <c r="BE561" s="429" t="s">
        <v>118</v>
      </c>
      <c r="BF561" s="290"/>
      <c r="BG561" s="290"/>
      <c r="BH561" s="290"/>
      <c r="BI561" s="290"/>
    </row>
    <row r="562" spans="1:61" ht="15.75" customHeight="1">
      <c r="A562" s="514"/>
      <c r="B562" s="450" t="s">
        <v>1227</v>
      </c>
      <c r="C562" s="3">
        <f>+$C$560+$G$561</f>
        <v>43556.950000000012</v>
      </c>
      <c r="D562" s="83"/>
      <c r="E562" s="4"/>
      <c r="F562" s="4">
        <v>0</v>
      </c>
      <c r="G562" s="6"/>
      <c r="H562" s="449"/>
      <c r="I562" s="4"/>
      <c r="J562" s="3"/>
      <c r="K562" s="449"/>
      <c r="L562" s="449" t="s">
        <v>153</v>
      </c>
      <c r="M562" s="449" t="str">
        <f>IF(L562="","",
IF(AX562="PT",VLOOKUP(L562,Foundation_Calc!$V$79:$X$113,VLOOKUP(AX562,Foundation_Calc!$I$10:$J$13,2,FALSE),0),
IF(AX562="K",VLOOKUP(L562,Foundation_Calc!$V$117:$X$151,VLOOKUP(AX562,Foundation_Calc!$I$10:$J$13,2,FALSE),0),"")))</f>
        <v>C3RT</v>
      </c>
      <c r="N562" s="449" t="s">
        <v>134</v>
      </c>
      <c r="O562" s="449"/>
      <c r="P562" s="449"/>
      <c r="Q562" s="4"/>
      <c r="R562" s="6"/>
      <c r="S562" s="6"/>
      <c r="T562" s="4">
        <v>35</v>
      </c>
      <c r="U562" s="4"/>
      <c r="V562" s="4"/>
      <c r="W562" s="572">
        <v>1.2</v>
      </c>
      <c r="X562" s="9"/>
      <c r="Y562" s="9"/>
      <c r="Z562" s="9"/>
      <c r="AA562" s="9"/>
      <c r="AB562" s="9"/>
      <c r="AC562" s="449" t="str">
        <f t="shared" si="64"/>
        <v>PHQ</v>
      </c>
      <c r="AD562" s="449"/>
      <c r="AE562" s="449"/>
      <c r="AF562" s="4"/>
      <c r="AG562" s="83"/>
      <c r="AH562" s="4"/>
      <c r="AI562" s="4"/>
      <c r="AJ562" s="449"/>
      <c r="AK562" s="449"/>
      <c r="AL562" s="449"/>
      <c r="AM562" s="449" t="s">
        <v>126</v>
      </c>
      <c r="AN562" s="10">
        <v>5.5</v>
      </c>
      <c r="AO562" s="9"/>
      <c r="AP562" s="9"/>
      <c r="AQ562" s="9"/>
      <c r="AR562" s="9"/>
      <c r="AS562" s="9"/>
      <c r="AT562" s="9">
        <f>+ab($T$562,$T$560,$T$564,$G$561,$G$563, 1*$F$562,1200)</f>
        <v>7.1424146886693025</v>
      </c>
      <c r="AU562" s="428"/>
      <c r="AV562" s="428"/>
      <c r="AW562" s="449" t="str">
        <f>IF(C562&gt;0,VLOOKUP(C562,Foundation_Calc!$A$2:$C$13,3,1),
IF(J562&gt;0,VLOOKUP(J562,Foundation_Calc!$A$2:$C$13,3,1),""))</f>
        <v>Multi Soil</v>
      </c>
      <c r="AX562" s="449" t="str">
        <f>IF(C562&gt;0,VLOOKUP(C562,Foundation_Calc!$E$35:$G$65,3,1),
IF(J562&gt;0,VLOOKUP(J562,Foundation_Calc!$E$35:$G$65,3,1),""))</f>
        <v>K</v>
      </c>
      <c r="AY562" s="10">
        <f>IF(L562="","",
IF(AX562="PT",VLOOKUP(L562,Foundation_Calc!$K$79:$R$113,VLOOKUP(AW562,Foundation_Calc!$I$2:$J$8,2,FALSE),0),
IF(AX562="K",VLOOKUP(L562,Foundation_Calc!$K$117:$R$151,VLOOKUP(AW562,Foundation_Calc!$I$2:$J$8,2,FALSE),0),"")))</f>
        <v>4</v>
      </c>
      <c r="AZ562" s="10" t="str">
        <f>IF(K562="","",
IF(AX562="PT",VLOOKUP(K562,Foundation_Calc!$K$79:$R$113,VLOOKUP(AW562,Foundation_Calc!$I$2:$J$8,2,FALSE),0),
IF(AX562="K",VLOOKUP(K562,Foundation_Calc!$K$117:$R$151,VLOOKUP(AW562,Foundation_Calc!$I$2:$J$8,2,FALSE),0),"")))</f>
        <v/>
      </c>
      <c r="BA562" s="495" t="str">
        <f t="shared" si="69"/>
        <v>ü</v>
      </c>
      <c r="BB562" s="495" t="str">
        <f t="shared" si="70"/>
        <v/>
      </c>
      <c r="BC562" s="495" t="str">
        <f t="shared" si="71"/>
        <v/>
      </c>
      <c r="BD562" s="513" t="str">
        <f>IF(AND(L562="",H562=""),"",
IF(H562="",Pole_Calc!A$9,
IF(H562="MP",Pole_Calc!A$10,
IF(H562="AnMP",Pole_Calc!A$11,
IF(H562="A",Pole_Calc!A$12,
IF(H562="S/A",Pole_Calc!A$13,
IF(H562="A/S",Pole_Calc!A$14,"Poner a mano")))))))</f>
        <v>App.7-V11I-P9.5.1.1</v>
      </c>
      <c r="BE562" s="429" t="s">
        <v>118</v>
      </c>
      <c r="BF562" s="289"/>
      <c r="BG562" s="289"/>
      <c r="BH562" s="290"/>
      <c r="BI562" s="289"/>
    </row>
    <row r="563" spans="1:61" ht="15.75" customHeight="1">
      <c r="A563" s="514"/>
      <c r="B563" s="450"/>
      <c r="C563" s="3"/>
      <c r="D563" s="83"/>
      <c r="E563" s="4"/>
      <c r="F563" s="4"/>
      <c r="G563" s="6">
        <v>50</v>
      </c>
      <c r="H563" s="449"/>
      <c r="I563" s="4"/>
      <c r="J563" s="3"/>
      <c r="K563" s="449"/>
      <c r="L563" s="449"/>
      <c r="M563" s="449" t="str">
        <f>IF(L563="","",
IF(AX563="PT",VLOOKUP(L563,Foundation_Calc!$V$79:$X$113,VLOOKUP(AX563,Foundation_Calc!$I$10:$J$13,2,FALSE),0),
IF(AX563="K",VLOOKUP(L563,Foundation_Calc!$V$117:$X$151,VLOOKUP(AX563,Foundation_Calc!$I$10:$J$13,2,FALSE),0),"")))</f>
        <v/>
      </c>
      <c r="N563" s="449"/>
      <c r="O563" s="449"/>
      <c r="P563" s="449"/>
      <c r="Q563" s="4"/>
      <c r="R563" s="6"/>
      <c r="S563" s="6"/>
      <c r="T563" s="4"/>
      <c r="U563" s="4"/>
      <c r="V563" s="4"/>
      <c r="W563" s="9"/>
      <c r="X563" s="9"/>
      <c r="Y563" s="9"/>
      <c r="Z563" s="9"/>
      <c r="AA563" s="9"/>
      <c r="AB563" s="9"/>
      <c r="AC563" s="449" t="str">
        <f t="shared" si="64"/>
        <v/>
      </c>
      <c r="AD563" s="449"/>
      <c r="AE563" s="449"/>
      <c r="AF563" s="4"/>
      <c r="AG563" s="83"/>
      <c r="AH563" s="4"/>
      <c r="AI563" s="4"/>
      <c r="AJ563" s="449"/>
      <c r="AK563" s="449"/>
      <c r="AL563" s="449"/>
      <c r="AM563" s="449"/>
      <c r="AN563" s="10"/>
      <c r="AO563" s="9"/>
      <c r="AP563" s="9"/>
      <c r="AQ563" s="9">
        <f>+FL_2($T$564,$T$562,$G$563,1200,9.28, 1*$F$564)</f>
        <v>-0.36839079999999996</v>
      </c>
      <c r="AR563" s="9"/>
      <c r="AS563" s="9"/>
      <c r="AT563" s="9"/>
      <c r="AU563" s="428"/>
      <c r="AV563" s="428"/>
      <c r="AW563" s="449" t="str">
        <f>IF(C563&gt;0,VLOOKUP(C563,Foundation_Calc!$A$2:$C$13,3,1),
IF(J563&gt;0,VLOOKUP(J563,Foundation_Calc!$A$2:$C$13,3,1),""))</f>
        <v/>
      </c>
      <c r="AX563" s="449" t="str">
        <f>IF(C563&gt;0,VLOOKUP(C563,Foundation_Calc!$E$35:$G$65,3,1),
IF(J563&gt;0,VLOOKUP(J563,Foundation_Calc!$E$35:$G$65,3,1),""))</f>
        <v/>
      </c>
      <c r="AY563" s="10" t="str">
        <f>IF(L563="","",
IF(AX563="PT",VLOOKUP(L563,Foundation_Calc!$K$79:$R$113,VLOOKUP(AW563,Foundation_Calc!$I$2:$J$8,2,FALSE),0),
IF(AX563="K",VLOOKUP(L563,Foundation_Calc!$K$117:$R$151,VLOOKUP(AW563,Foundation_Calc!$I$2:$J$8,2,FALSE),0),"")))</f>
        <v/>
      </c>
      <c r="AZ563" s="10" t="str">
        <f>IF(K563="","",
IF(AX563="PT",VLOOKUP(K563,Foundation_Calc!$K$79:$R$113,VLOOKUP(AW563,Foundation_Calc!$I$2:$J$8,2,FALSE),0),
IF(AX563="K",VLOOKUP(K563,Foundation_Calc!$K$117:$R$151,VLOOKUP(AW563,Foundation_Calc!$I$2:$J$8,2,FALSE),0),"")))</f>
        <v/>
      </c>
      <c r="BA563" s="495" t="str">
        <f t="shared" si="69"/>
        <v/>
      </c>
      <c r="BB563" s="495" t="str">
        <f t="shared" si="70"/>
        <v/>
      </c>
      <c r="BC563" s="495" t="str">
        <f t="shared" si="71"/>
        <v/>
      </c>
      <c r="BD563" s="513" t="str">
        <f>IF(AND(L563="",H563=""),"",
IF(H563="",Pole_Calc!A$9,
IF(H563="MP",Pole_Calc!A$10,
IF(H563="AnMP",Pole_Calc!A$11,
IF(H563="A",Pole_Calc!A$12,
IF(H563="S/A",Pole_Calc!A$13,
IF(H563="A/S",Pole_Calc!A$14,"Poner a mano")))))))</f>
        <v/>
      </c>
      <c r="BE563" s="429" t="s">
        <v>118</v>
      </c>
      <c r="BF563" s="290"/>
      <c r="BG563" s="290"/>
      <c r="BH563" s="290"/>
      <c r="BI563" s="290"/>
    </row>
    <row r="564" spans="1:61" ht="15.75" customHeight="1">
      <c r="A564" s="514"/>
      <c r="B564" s="450" t="s">
        <v>1228</v>
      </c>
      <c r="C564" s="3">
        <f>+$C$562+$G$563</f>
        <v>43606.950000000012</v>
      </c>
      <c r="D564" s="83"/>
      <c r="E564" s="4"/>
      <c r="F564" s="4">
        <v>0</v>
      </c>
      <c r="G564" s="6"/>
      <c r="H564" s="449"/>
      <c r="I564" s="4"/>
      <c r="J564" s="3"/>
      <c r="K564" s="449"/>
      <c r="L564" s="449" t="s">
        <v>153</v>
      </c>
      <c r="M564" s="449" t="str">
        <f>IF(L564="","",
IF(AX564="PT",VLOOKUP(L564,Foundation_Calc!$V$79:$X$113,VLOOKUP(AX564,Foundation_Calc!$I$10:$J$13,2,FALSE),0),
IF(AX564="K",VLOOKUP(L564,Foundation_Calc!$V$117:$X$151,VLOOKUP(AX564,Foundation_Calc!$I$10:$J$13,2,FALSE),0),"")))</f>
        <v>C3R</v>
      </c>
      <c r="N564" s="449" t="s">
        <v>124</v>
      </c>
      <c r="O564" s="449"/>
      <c r="P564" s="449"/>
      <c r="Q564" s="4"/>
      <c r="R564" s="6"/>
      <c r="S564" s="6"/>
      <c r="T564" s="4">
        <v>-35</v>
      </c>
      <c r="U564" s="4"/>
      <c r="V564" s="4"/>
      <c r="W564" s="9">
        <v>1.4</v>
      </c>
      <c r="X564" s="9"/>
      <c r="Y564" s="9"/>
      <c r="Z564" s="9"/>
      <c r="AA564" s="9"/>
      <c r="AB564" s="9"/>
      <c r="AC564" s="449" t="str">
        <f t="shared" si="64"/>
        <v>PHQ</v>
      </c>
      <c r="AD564" s="449"/>
      <c r="AE564" s="449"/>
      <c r="AF564" s="4"/>
      <c r="AG564" s="83"/>
      <c r="AH564" s="4"/>
      <c r="AI564" s="4"/>
      <c r="AJ564" s="449"/>
      <c r="AK564" s="449"/>
      <c r="AL564" s="449"/>
      <c r="AM564" s="449" t="s">
        <v>126</v>
      </c>
      <c r="AN564" s="10">
        <v>5.5</v>
      </c>
      <c r="AO564" s="9"/>
      <c r="AP564" s="9"/>
      <c r="AQ564" s="9"/>
      <c r="AR564" s="9"/>
      <c r="AS564" s="9"/>
      <c r="AT564" s="9">
        <f>+ab($T$564,$T$562,$T$566,$G$563,$G$565, 1*$F$564,1200)</f>
        <v>-7.1424424584170572</v>
      </c>
      <c r="AU564" s="428"/>
      <c r="AV564" s="428"/>
      <c r="AW564" s="449" t="str">
        <f>IF(C564&gt;0,VLOOKUP(C564,Foundation_Calc!$A$2:$C$13,3,1),
IF(J564&gt;0,VLOOKUP(J564,Foundation_Calc!$A$2:$C$13,3,1),""))</f>
        <v>Multi Soil</v>
      </c>
      <c r="AX564" s="449" t="str">
        <f>IF(C564&gt;0,VLOOKUP(C564,Foundation_Calc!$E$35:$G$65,3,1),
IF(J564&gt;0,VLOOKUP(J564,Foundation_Calc!$E$35:$G$65,3,1),""))</f>
        <v>PT</v>
      </c>
      <c r="AY564" s="10">
        <f>IF(L564="","",
IF(AX564="PT",VLOOKUP(L564,Foundation_Calc!$K$79:$R$113,VLOOKUP(AW564,Foundation_Calc!$I$2:$J$8,2,FALSE),0),
IF(AX564="K",VLOOKUP(L564,Foundation_Calc!$K$117:$R$151,VLOOKUP(AW564,Foundation_Calc!$I$2:$J$8,2,FALSE),0),"")))</f>
        <v>3.5</v>
      </c>
      <c r="AZ564" s="10" t="str">
        <f>IF(K564="","",
IF(AX564="PT",VLOOKUP(K564,Foundation_Calc!$K$79:$R$113,VLOOKUP(AW564,Foundation_Calc!$I$2:$J$8,2,FALSE),0),
IF(AX564="K",VLOOKUP(K564,Foundation_Calc!$K$117:$R$151,VLOOKUP(AW564,Foundation_Calc!$I$2:$J$8,2,FALSE),0),"")))</f>
        <v/>
      </c>
      <c r="BA564" s="495" t="str">
        <f t="shared" si="69"/>
        <v>ü</v>
      </c>
      <c r="BB564" s="495" t="str">
        <f t="shared" si="70"/>
        <v/>
      </c>
      <c r="BC564" s="495" t="str">
        <f t="shared" si="71"/>
        <v/>
      </c>
      <c r="BD564" s="513" t="str">
        <f>IF(AND(L564="",H564=""),"",
IF(H564="",Pole_Calc!A$9,
IF(H564="MP",Pole_Calc!A$10,
IF(H564="AnMP",Pole_Calc!A$11,
IF(H564="A",Pole_Calc!A$12,
IF(H564="S/A",Pole_Calc!A$13,
IF(H564="A/S",Pole_Calc!A$14,"Poner a mano")))))))</f>
        <v>App.7-V11I-P9.5.1.1</v>
      </c>
      <c r="BE564" s="429" t="s">
        <v>118</v>
      </c>
      <c r="BF564" s="289"/>
      <c r="BG564" s="289"/>
      <c r="BH564" s="290"/>
      <c r="BI564" s="289"/>
    </row>
    <row r="565" spans="1:61" ht="15.75" customHeight="1">
      <c r="A565" s="514" t="s">
        <v>169</v>
      </c>
      <c r="B565" s="450"/>
      <c r="C565" s="3"/>
      <c r="D565" s="83"/>
      <c r="E565" s="4"/>
      <c r="F565" s="4"/>
      <c r="G565" s="6">
        <v>55</v>
      </c>
      <c r="H565" s="449"/>
      <c r="I565" s="4"/>
      <c r="J565" s="3">
        <f>C566-7.5</f>
        <v>43654.450000000012</v>
      </c>
      <c r="K565" s="449" t="s">
        <v>117</v>
      </c>
      <c r="L565" s="449"/>
      <c r="M565" s="449" t="str">
        <f>IF(L565="","",
IF(AX565="PT",VLOOKUP(L565,Foundation_Calc!$V$79:$X$113,VLOOKUP(AX565,Foundation_Calc!$I$10:$J$13,2,FALSE),0),
IF(AX565="K",VLOOKUP(L565,Foundation_Calc!$V$117:$X$151,VLOOKUP(AX565,Foundation_Calc!$I$10:$J$13,2,FALSE),0),"")))</f>
        <v/>
      </c>
      <c r="N565" s="449"/>
      <c r="O565" s="449"/>
      <c r="P565" s="449"/>
      <c r="Q565" s="4"/>
      <c r="R565" s="6"/>
      <c r="S565" s="6"/>
      <c r="T565" s="4"/>
      <c r="U565" s="4"/>
      <c r="V565" s="4"/>
      <c r="W565" s="9"/>
      <c r="X565" s="9"/>
      <c r="Y565" s="9"/>
      <c r="Z565" s="9"/>
      <c r="AA565" s="9"/>
      <c r="AB565" s="9"/>
      <c r="AC565" s="449" t="str">
        <f t="shared" si="64"/>
        <v/>
      </c>
      <c r="AD565" s="449"/>
      <c r="AE565" s="449"/>
      <c r="AF565" s="4"/>
      <c r="AG565" s="83"/>
      <c r="AH565" s="4"/>
      <c r="AI565" s="4"/>
      <c r="AJ565" s="449"/>
      <c r="AK565" s="449"/>
      <c r="AL565" s="449"/>
      <c r="AM565" s="449"/>
      <c r="AN565" s="10"/>
      <c r="AO565" s="9"/>
      <c r="AP565" s="9"/>
      <c r="AQ565" s="9">
        <f>+FL_2($T$566,$T$564,$G$565,1200,9.28, 1*$F$566)</f>
        <v>-0.39714735709090898</v>
      </c>
      <c r="AR565" s="9"/>
      <c r="AS565" s="9"/>
      <c r="AT565" s="9"/>
      <c r="AU565" s="428"/>
      <c r="AV565" s="428"/>
      <c r="AW565" s="449" t="str">
        <f>IF(C565&gt;0,VLOOKUP(C565,Foundation_Calc!$A$2:$C$13,3,1),
IF(J565&gt;0,VLOOKUP(J565,Foundation_Calc!$A$2:$C$13,3,1),""))</f>
        <v>Multi Soil</v>
      </c>
      <c r="AX565" s="449" t="str">
        <f>IF(C565&gt;0,VLOOKUP(C565,Foundation_Calc!$E$35:$G$65,3,1),
IF(J565&gt;0,VLOOKUP(J565,Foundation_Calc!$E$35:$G$65,3,1),""))</f>
        <v>PT</v>
      </c>
      <c r="AY565" s="10" t="str">
        <f>IF(L565="","",
IF(AX565="PT",VLOOKUP(L565,Foundation_Calc!$K$79:$R$113,VLOOKUP(AW565,Foundation_Calc!$I$2:$J$8,2,FALSE),0),
IF(AX565="K",VLOOKUP(L565,Foundation_Calc!$K$117:$R$151,VLOOKUP(AW565,Foundation_Calc!$I$2:$J$8,2,FALSE),0),"")))</f>
        <v/>
      </c>
      <c r="AZ565" s="10">
        <f>IF(K565="","",
IF(AX565="PT",VLOOKUP(K565,Foundation_Calc!$K$79:$R$113,VLOOKUP(AW565,Foundation_Calc!$I$2:$J$8,2,FALSE),0),
IF(AX565="K",VLOOKUP(K565,Foundation_Calc!$K$117:$R$151,VLOOKUP(AW565,Foundation_Calc!$I$2:$J$8,2,FALSE),0),"")))</f>
        <v>3.9</v>
      </c>
      <c r="BA565" s="495" t="str">
        <f t="shared" si="69"/>
        <v/>
      </c>
      <c r="BB565" s="495" t="str">
        <f t="shared" si="70"/>
        <v>ü</v>
      </c>
      <c r="BC565" s="495" t="str">
        <f t="shared" si="71"/>
        <v/>
      </c>
      <c r="BD565" s="513" t="str">
        <f>IF(AND(L565="",H565=""),"",
IF(H565="",Pole_Calc!A$9,
IF(H565="MP",Pole_Calc!A$10,
IF(H565="AnMP",Pole_Calc!A$11,
IF(H565="A",Pole_Calc!A$12,
IF(H565="S/A",Pole_Calc!A$13,
IF(H565="A/S",Pole_Calc!A$14,"Poner a mano")))))))</f>
        <v/>
      </c>
      <c r="BE565" s="429" t="s">
        <v>118</v>
      </c>
      <c r="BF565" s="290"/>
      <c r="BG565" s="290"/>
      <c r="BH565" s="290"/>
      <c r="BI565" s="290"/>
    </row>
    <row r="566" spans="1:61" ht="15.75" customHeight="1">
      <c r="A566" s="514"/>
      <c r="B566" s="450" t="s">
        <v>1229</v>
      </c>
      <c r="C566" s="3">
        <f>+$C$564+$G$565</f>
        <v>43661.950000000012</v>
      </c>
      <c r="D566" s="83"/>
      <c r="E566" s="4"/>
      <c r="F566" s="4">
        <v>0</v>
      </c>
      <c r="G566" s="6"/>
      <c r="H566" s="449" t="s">
        <v>121</v>
      </c>
      <c r="I566" s="4" t="s">
        <v>122</v>
      </c>
      <c r="J566" s="3"/>
      <c r="K566" s="449"/>
      <c r="L566" s="449" t="s">
        <v>151</v>
      </c>
      <c r="M566" s="449" t="str">
        <f>IF(L566="","",
IF(AX566="PT",VLOOKUP(L566,Foundation_Calc!$V$79:$X$113,VLOOKUP(AX566,Foundation_Calc!$I$10:$J$13,2,FALSE),0),
IF(AX566="K",VLOOKUP(L566,Foundation_Calc!$V$117:$X$151,VLOOKUP(AX566,Foundation_Calc!$I$10:$J$13,2,FALSE),0),"")))</f>
        <v>C4R</v>
      </c>
      <c r="N566" s="449" t="s">
        <v>134</v>
      </c>
      <c r="O566" s="449"/>
      <c r="P566" s="449"/>
      <c r="Q566" s="4"/>
      <c r="R566" s="6"/>
      <c r="S566" s="6"/>
      <c r="T566" s="4">
        <v>35</v>
      </c>
      <c r="U566" s="4"/>
      <c r="V566" s="4"/>
      <c r="W566" s="9">
        <v>1.4</v>
      </c>
      <c r="X566" s="9"/>
      <c r="Y566" s="9"/>
      <c r="Z566" s="9"/>
      <c r="AA566" s="9"/>
      <c r="AB566" s="9"/>
      <c r="AC566" s="449" t="str">
        <f t="shared" si="64"/>
        <v>PHQ</v>
      </c>
      <c r="AD566" s="449"/>
      <c r="AE566" s="449"/>
      <c r="AF566" s="4"/>
      <c r="AG566" s="83"/>
      <c r="AH566" s="4"/>
      <c r="AI566" s="4"/>
      <c r="AJ566" s="449"/>
      <c r="AK566" s="449"/>
      <c r="AL566" s="449"/>
      <c r="AM566" s="449" t="s">
        <v>126</v>
      </c>
      <c r="AN566" s="10">
        <v>5.5</v>
      </c>
      <c r="AO566" s="9"/>
      <c r="AP566" s="9"/>
      <c r="AQ566" s="9"/>
      <c r="AR566" s="9"/>
      <c r="AS566" s="9"/>
      <c r="AT566" s="9">
        <f>+ab($T$566,$T$564,$U$568,$G$565,$G$567, 1*$F$566,1200)</f>
        <v>7.8175137683875535</v>
      </c>
      <c r="AU566" s="428"/>
      <c r="AV566" s="428"/>
      <c r="AW566" s="449" t="str">
        <f>IF(C566&gt;0,VLOOKUP(C566,Foundation_Calc!$A$2:$C$13,3,1),
IF(J566&gt;0,VLOOKUP(J566,Foundation_Calc!$A$2:$C$13,3,1),""))</f>
        <v>Multi Soil</v>
      </c>
      <c r="AX566" s="449" t="str">
        <f>IF(C566&gt;0,VLOOKUP(C566,Foundation_Calc!$E$35:$G$65,3,1),
IF(J566&gt;0,VLOOKUP(J566,Foundation_Calc!$E$35:$G$65,3,1),""))</f>
        <v>PT</v>
      </c>
      <c r="AY566" s="10">
        <f>IF(L566="","",
IF(AX566="PT",VLOOKUP(L566,Foundation_Calc!$K$79:$R$113,VLOOKUP(AW566,Foundation_Calc!$I$2:$J$8,2,FALSE),0),
IF(AX566="K",VLOOKUP(L566,Foundation_Calc!$K$117:$R$151,VLOOKUP(AW566,Foundation_Calc!$I$2:$J$8,2,FALSE),0),"")))</f>
        <v>3.5</v>
      </c>
      <c r="AZ566" s="10" t="str">
        <f>IF(K566="","",
IF(AX566="PT",VLOOKUP(K566,Foundation_Calc!$K$79:$R$113,VLOOKUP(AW566,Foundation_Calc!$I$2:$J$8,2,FALSE),0),
IF(AX566="K",VLOOKUP(K566,Foundation_Calc!$K$117:$R$151,VLOOKUP(AW566,Foundation_Calc!$I$2:$J$8,2,FALSE),0),"")))</f>
        <v/>
      </c>
      <c r="BA566" s="495" t="str">
        <f t="shared" si="69"/>
        <v>ü</v>
      </c>
      <c r="BB566" s="495" t="str">
        <f t="shared" si="70"/>
        <v/>
      </c>
      <c r="BC566" s="495" t="str">
        <f t="shared" si="71"/>
        <v/>
      </c>
      <c r="BD566" s="513" t="str">
        <f>IF(AND(L566="",H566=""),"",
IF(H566="",Pole_Calc!A$9,
IF(H566="MP",Pole_Calc!A$10,
IF(H566="AnMP",Pole_Calc!A$11,
IF(H566="A",Pole_Calc!A$12,
IF(H566="S/A",Pole_Calc!A$13,
IF(H566="A/S",Pole_Calc!A$14,"Poner a mano")))))))</f>
        <v>App.7-V11I-P9.5.1.6</v>
      </c>
      <c r="BE566" s="429" t="s">
        <v>118</v>
      </c>
      <c r="BF566" s="289"/>
      <c r="BG566" s="289"/>
      <c r="BH566" s="290"/>
      <c r="BI566" s="289"/>
    </row>
    <row r="567" spans="1:61" ht="15.75" customHeight="1">
      <c r="A567" s="518"/>
      <c r="B567" s="450"/>
      <c r="C567" s="3"/>
      <c r="D567" s="83"/>
      <c r="E567" s="4"/>
      <c r="F567" s="4"/>
      <c r="G567" s="6">
        <v>60</v>
      </c>
      <c r="H567" s="449"/>
      <c r="I567" s="4"/>
      <c r="J567" s="3"/>
      <c r="K567" s="449"/>
      <c r="L567" s="449"/>
      <c r="M567" s="449" t="str">
        <f>IF(L567="","",
IF(AX567="PT",VLOOKUP(L567,Foundation_Calc!$V$79:$X$113,VLOOKUP(AX567,Foundation_Calc!$I$10:$J$13,2,FALSE),0),
IF(AX567="K",VLOOKUP(L567,Foundation_Calc!$V$117:$X$151,VLOOKUP(AX567,Foundation_Calc!$I$10:$J$13,2,FALSE),0),"")))</f>
        <v/>
      </c>
      <c r="N567" s="449"/>
      <c r="O567" s="449"/>
      <c r="P567" s="449"/>
      <c r="Q567" s="4"/>
      <c r="R567" s="6"/>
      <c r="S567" s="6"/>
      <c r="T567" s="4"/>
      <c r="U567" s="4"/>
      <c r="V567" s="4"/>
      <c r="W567" s="9"/>
      <c r="X567" s="9"/>
      <c r="Y567" s="9"/>
      <c r="Z567" s="9"/>
      <c r="AA567" s="9"/>
      <c r="AB567" s="9"/>
      <c r="AC567" s="449" t="str">
        <f t="shared" si="64"/>
        <v/>
      </c>
      <c r="AD567" s="449"/>
      <c r="AE567" s="449"/>
      <c r="AF567" s="4"/>
      <c r="AG567" s="83"/>
      <c r="AH567" s="4"/>
      <c r="AI567" s="4"/>
      <c r="AJ567" s="449"/>
      <c r="AK567" s="449"/>
      <c r="AL567" s="449"/>
      <c r="AM567" s="449"/>
      <c r="AN567" s="10"/>
      <c r="AO567" s="9"/>
      <c r="AP567" s="9"/>
      <c r="AQ567" s="9">
        <f>+FL_2($U$568,$T$566,$G$567,1200,9.28, 1*$F$568)</f>
        <v>-0.43600286799999999</v>
      </c>
      <c r="AR567" s="9"/>
      <c r="AS567" s="9"/>
      <c r="AT567" s="9"/>
      <c r="AU567" s="428"/>
      <c r="AV567" s="428"/>
      <c r="AW567" s="449" t="str">
        <f>IF(C567&gt;0,VLOOKUP(C567,Foundation_Calc!$A$2:$C$13,3,1),
IF(J567&gt;0,VLOOKUP(J567,Foundation_Calc!$A$2:$C$13,3,1),""))</f>
        <v/>
      </c>
      <c r="AX567" s="449" t="str">
        <f>IF(C567&gt;0,VLOOKUP(C567,Foundation_Calc!$E$35:$G$65,3,1),
IF(J567&gt;0,VLOOKUP(J567,Foundation_Calc!$E$35:$G$65,3,1),""))</f>
        <v/>
      </c>
      <c r="AY567" s="10" t="str">
        <f>IF(L567="","",
IF(AX567="PT",VLOOKUP(L567,Foundation_Calc!$K$79:$R$113,VLOOKUP(AW567,Foundation_Calc!$I$2:$J$8,2,FALSE),0),
IF(AX567="K",VLOOKUP(L567,Foundation_Calc!$K$117:$R$151,VLOOKUP(AW567,Foundation_Calc!$I$2:$J$8,2,FALSE),0),"")))</f>
        <v/>
      </c>
      <c r="AZ567" s="10" t="str">
        <f>IF(K567="","",
IF(AX567="PT",VLOOKUP(K567,Foundation_Calc!$K$79:$R$113,VLOOKUP(AW567,Foundation_Calc!$I$2:$J$8,2,FALSE),0),
IF(AX567="K",VLOOKUP(K567,Foundation_Calc!$K$117:$R$151,VLOOKUP(AW567,Foundation_Calc!$I$2:$J$8,2,FALSE),0),"")))</f>
        <v/>
      </c>
      <c r="BA567" s="495" t="str">
        <f t="shared" si="69"/>
        <v/>
      </c>
      <c r="BB567" s="495" t="str">
        <f t="shared" si="70"/>
        <v/>
      </c>
      <c r="BC567" s="495" t="str">
        <f t="shared" si="71"/>
        <v/>
      </c>
      <c r="BD567" s="513" t="str">
        <f>IF(AND(L567="",H567=""),"",
IF(H567="",Pole_Calc!A$9,
IF(H567="MP",Pole_Calc!A$10,
IF(H567="AnMP",Pole_Calc!A$11,
IF(H567="A",Pole_Calc!A$12,
IF(H567="S/A",Pole_Calc!A$13,
IF(H567="A/S",Pole_Calc!A$14,"Poner a mano")))))))</f>
        <v/>
      </c>
      <c r="BE567" s="429" t="s">
        <v>118</v>
      </c>
      <c r="BF567" s="290"/>
      <c r="BG567" s="290"/>
      <c r="BH567" s="290"/>
      <c r="BI567" s="290"/>
    </row>
    <row r="568" spans="1:61" ht="15.75" customHeight="1">
      <c r="A568" s="514"/>
      <c r="B568" s="450" t="s">
        <v>1230</v>
      </c>
      <c r="C568" s="3">
        <f>+$C$566+$G$567</f>
        <v>43721.950000000012</v>
      </c>
      <c r="D568" s="83"/>
      <c r="E568" s="4"/>
      <c r="F568" s="4">
        <v>0</v>
      </c>
      <c r="G568" s="6"/>
      <c r="H568" s="449" t="s">
        <v>131</v>
      </c>
      <c r="I568" s="4"/>
      <c r="J568" s="3"/>
      <c r="K568" s="449"/>
      <c r="L568" s="449" t="s">
        <v>158</v>
      </c>
      <c r="M568" s="449" t="str">
        <f>IF(L568="","",
IF(AX568="PT",VLOOKUP(L568,Foundation_Calc!$V$79:$X$113,VLOOKUP(AX568,Foundation_Calc!$I$10:$J$13,2,FALSE),0),
IF(AX568="K",VLOOKUP(L568,Foundation_Calc!$V$117:$X$151,VLOOKUP(AX568,Foundation_Calc!$I$10:$J$13,2,FALSE),0),"")))</f>
        <v>C4R</v>
      </c>
      <c r="N568" s="449" t="s">
        <v>133</v>
      </c>
      <c r="O568" s="449" t="s">
        <v>124</v>
      </c>
      <c r="P568" s="449"/>
      <c r="Q568" s="4"/>
      <c r="R568" s="6"/>
      <c r="S568" s="6"/>
      <c r="T568" s="4">
        <v>-15</v>
      </c>
      <c r="U568" s="4">
        <v>-35</v>
      </c>
      <c r="V568" s="4"/>
      <c r="W568" s="9">
        <v>1.4</v>
      </c>
      <c r="X568" s="9">
        <v>2.2999999999999998</v>
      </c>
      <c r="Y568" s="9"/>
      <c r="Z568" s="9">
        <v>0.6</v>
      </c>
      <c r="AA568" s="9"/>
      <c r="AB568" s="9"/>
      <c r="AC568" s="449"/>
      <c r="AD568" s="449"/>
      <c r="AE568" s="449"/>
      <c r="AF568" s="4"/>
      <c r="AG568" s="83"/>
      <c r="AH568" s="4"/>
      <c r="AI568" s="4"/>
      <c r="AJ568" s="449"/>
      <c r="AK568" s="449"/>
      <c r="AL568" s="449"/>
      <c r="AM568" s="449" t="s">
        <v>126</v>
      </c>
      <c r="AN568" s="10">
        <v>5.5</v>
      </c>
      <c r="AO568" s="9"/>
      <c r="AP568" s="9"/>
      <c r="AQ568" s="9"/>
      <c r="AR568" s="9"/>
      <c r="AS568" s="9"/>
      <c r="AT568" s="9">
        <f>+ab($U$568,$T$566,$U$570,$G$567,$G$569, 1*$F$568,1200)</f>
        <v>-9.6335607770120042</v>
      </c>
      <c r="AU568" s="428"/>
      <c r="AV568" s="428"/>
      <c r="AW568" s="449" t="str">
        <f>IF(C568&gt;0,VLOOKUP(C568,Foundation_Calc!$A$2:$C$13,3,1),
IF(J568&gt;0,VLOOKUP(J568,Foundation_Calc!$A$2:$C$13,3,1),""))</f>
        <v>Multi Soil</v>
      </c>
      <c r="AX568" s="449" t="str">
        <f>IF(C568&gt;0,VLOOKUP(C568,Foundation_Calc!$E$35:$G$65,3,1),
IF(J568&gt;0,VLOOKUP(J568,Foundation_Calc!$E$35:$G$65,3,1),""))</f>
        <v>PT</v>
      </c>
      <c r="AY568" s="10">
        <f>IF(L568="","",
IF(AX568="PT",VLOOKUP(L568,Foundation_Calc!$K$79:$R$113,VLOOKUP(AW568,Foundation_Calc!$I$2:$J$8,2,FALSE),0),
IF(AX568="K",VLOOKUP(L568,Foundation_Calc!$K$117:$R$151,VLOOKUP(AW568,Foundation_Calc!$I$2:$J$8,2,FALSE),0),"")))</f>
        <v>3.5</v>
      </c>
      <c r="AZ568" s="10" t="str">
        <f>IF(K568="","",
IF(AX568="PT",VLOOKUP(K568,Foundation_Calc!$K$79:$R$113,VLOOKUP(AW568,Foundation_Calc!$I$2:$J$8,2,FALSE),0),
IF(AX568="K",VLOOKUP(K568,Foundation_Calc!$K$117:$R$151,VLOOKUP(AW568,Foundation_Calc!$I$2:$J$8,2,FALSE),0),"")))</f>
        <v/>
      </c>
      <c r="BA568" s="495" t="str">
        <f t="shared" si="69"/>
        <v>ü</v>
      </c>
      <c r="BB568" s="495" t="str">
        <f t="shared" si="70"/>
        <v/>
      </c>
      <c r="BC568" s="495" t="str">
        <f t="shared" si="71"/>
        <v/>
      </c>
      <c r="BD568" s="513" t="str">
        <f>IF(AND(L568="",H568=""),"",
IF(H568="",Pole_Calc!A$9,
IF(H568="MP",Pole_Calc!A$10,
IF(H568="AnMP",Pole_Calc!A$11,
IF(H568="A",Pole_Calc!A$12,
IF(H568="S/A",Pole_Calc!A$13,
IF(H568="A/S",Pole_Calc!A$14,"Poner a mano")))))))</f>
        <v>App.7-V11I-P9.5.1.5</v>
      </c>
      <c r="BE568" s="429" t="s">
        <v>118</v>
      </c>
      <c r="BF568" s="289"/>
      <c r="BG568" s="289"/>
      <c r="BH568" s="290"/>
      <c r="BI568" s="289"/>
    </row>
    <row r="569" spans="1:61" ht="15.75" customHeight="1">
      <c r="A569" s="514"/>
      <c r="B569" s="450"/>
      <c r="C569" s="3"/>
      <c r="D569" s="83"/>
      <c r="E569" s="4"/>
      <c r="F569" s="4"/>
      <c r="G569" s="6">
        <v>62</v>
      </c>
      <c r="H569" s="449"/>
      <c r="I569" s="4"/>
      <c r="J569" s="3"/>
      <c r="K569" s="449"/>
      <c r="L569" s="449"/>
      <c r="M569" s="449" t="str">
        <f>IF(L569="","",
IF(AX569="PT",VLOOKUP(L569,Foundation_Calc!$V$79:$X$113,VLOOKUP(AX569,Foundation_Calc!$I$10:$J$13,2,FALSE),0),
IF(AX569="K",VLOOKUP(L569,Foundation_Calc!$V$117:$X$151,VLOOKUP(AX569,Foundation_Calc!$I$10:$J$13,2,FALSE),0),"")))</f>
        <v/>
      </c>
      <c r="N569" s="449"/>
      <c r="O569" s="449"/>
      <c r="P569" s="449"/>
      <c r="Q569" s="4"/>
      <c r="R569" s="6"/>
      <c r="S569" s="6"/>
      <c r="T569" s="4"/>
      <c r="U569" s="4"/>
      <c r="V569" s="4"/>
      <c r="W569" s="9"/>
      <c r="X569" s="9"/>
      <c r="Y569" s="9"/>
      <c r="Z569" s="9"/>
      <c r="AA569" s="9"/>
      <c r="AB569" s="9"/>
      <c r="AC569" s="449" t="str">
        <f t="shared" si="64"/>
        <v/>
      </c>
      <c r="AD569" s="449"/>
      <c r="AE569" s="449"/>
      <c r="AF569" s="4"/>
      <c r="AG569" s="83"/>
      <c r="AH569" s="4"/>
      <c r="AI569" s="4"/>
      <c r="AJ569" s="449"/>
      <c r="AK569" s="449"/>
      <c r="AL569" s="449"/>
      <c r="AM569" s="449"/>
      <c r="AN569" s="10"/>
      <c r="AO569" s="9"/>
      <c r="AP569" s="9"/>
      <c r="AQ569" s="9">
        <f>+FL_1($T$570,$U$568,$G$569,1200,9.28, 1*$F$570)</f>
        <v>0.45400350967741931</v>
      </c>
      <c r="AR569" s="9"/>
      <c r="AS569" s="9"/>
      <c r="AT569" s="9"/>
      <c r="AU569" s="428"/>
      <c r="AV569" s="428"/>
      <c r="AW569" s="449" t="str">
        <f>IF(C569&gt;0,VLOOKUP(C569,Foundation_Calc!$A$2:$C$13,3,1),
IF(J569&gt;0,VLOOKUP(J569,Foundation_Calc!$A$2:$C$13,3,1),""))</f>
        <v/>
      </c>
      <c r="AX569" s="449" t="str">
        <f>IF(C569&gt;0,VLOOKUP(C569,Foundation_Calc!$E$35:$G$65,3,1),
IF(J569&gt;0,VLOOKUP(J569,Foundation_Calc!$E$35:$G$65,3,1),""))</f>
        <v/>
      </c>
      <c r="AY569" s="10" t="str">
        <f>IF(L569="","",
IF(AX569="PT",VLOOKUP(L569,Foundation_Calc!$K$79:$R$113,VLOOKUP(AW569,Foundation_Calc!$I$2:$J$8,2,FALSE),0),
IF(AX569="K",VLOOKUP(L569,Foundation_Calc!$K$117:$R$151,VLOOKUP(AW569,Foundation_Calc!$I$2:$J$8,2,FALSE),0),"")))</f>
        <v/>
      </c>
      <c r="AZ569" s="10" t="str">
        <f>IF(K569="","",
IF(AX569="PT",VLOOKUP(K569,Foundation_Calc!$K$79:$R$113,VLOOKUP(AW569,Foundation_Calc!$I$2:$J$8,2,FALSE),0),
IF(AX569="K",VLOOKUP(K569,Foundation_Calc!$K$117:$R$151,VLOOKUP(AW569,Foundation_Calc!$I$2:$J$8,2,FALSE),0),"")))</f>
        <v/>
      </c>
      <c r="BA569" s="495" t="str">
        <f t="shared" si="69"/>
        <v/>
      </c>
      <c r="BB569" s="495" t="str">
        <f t="shared" si="70"/>
        <v/>
      </c>
      <c r="BC569" s="495" t="str">
        <f t="shared" si="71"/>
        <v/>
      </c>
      <c r="BD569" s="513" t="str">
        <f>IF(AND(L569="",H569=""),"",
IF(H569="",Pole_Calc!A$9,
IF(H569="MP",Pole_Calc!A$10,
IF(H569="AnMP",Pole_Calc!A$11,
IF(H569="A",Pole_Calc!A$12,
IF(H569="S/A",Pole_Calc!A$13,
IF(H569="A/S",Pole_Calc!A$14,"Poner a mano")))))))</f>
        <v/>
      </c>
      <c r="BE569" s="429" t="s">
        <v>118</v>
      </c>
      <c r="BF569" s="290"/>
      <c r="BG569" s="290"/>
      <c r="BH569" s="290"/>
      <c r="BI569" s="290"/>
    </row>
    <row r="570" spans="1:61" ht="15.75" customHeight="1">
      <c r="A570" s="514"/>
      <c r="B570" s="450" t="s">
        <v>1231</v>
      </c>
      <c r="C570" s="3">
        <f>+$C$568+$G$569</f>
        <v>43783.950000000012</v>
      </c>
      <c r="D570" s="83"/>
      <c r="E570" s="4"/>
      <c r="F570" s="4">
        <v>0</v>
      </c>
      <c r="G570" s="6"/>
      <c r="H570" s="449" t="s">
        <v>131</v>
      </c>
      <c r="I570" s="4"/>
      <c r="J570" s="3"/>
      <c r="K570" s="449"/>
      <c r="L570" s="449" t="s">
        <v>158</v>
      </c>
      <c r="M570" s="449" t="str">
        <f>IF(L570="","",
IF(AX570="PT",VLOOKUP(L570,Foundation_Calc!$V$79:$X$113,VLOOKUP(AX570,Foundation_Calc!$I$10:$J$13,2,FALSE),0),
IF(AX570="K",VLOOKUP(L570,Foundation_Calc!$V$117:$X$151,VLOOKUP(AX570,Foundation_Calc!$I$10:$J$13,2,FALSE),0),"")))</f>
        <v>C4R</v>
      </c>
      <c r="N570" s="449" t="s">
        <v>134</v>
      </c>
      <c r="O570" s="449" t="s">
        <v>133</v>
      </c>
      <c r="P570" s="449"/>
      <c r="Q570" s="4"/>
      <c r="R570" s="6"/>
      <c r="S570" s="6"/>
      <c r="T570" s="4">
        <v>35</v>
      </c>
      <c r="U570" s="4">
        <v>15</v>
      </c>
      <c r="V570" s="4"/>
      <c r="W570" s="9">
        <v>1.4</v>
      </c>
      <c r="X570" s="9">
        <v>2.2999999999999998</v>
      </c>
      <c r="Y570" s="9"/>
      <c r="Z570" s="9"/>
      <c r="AA570" s="9">
        <v>0.6</v>
      </c>
      <c r="AB570" s="9"/>
      <c r="AC570" s="449" t="str">
        <f t="shared" si="64"/>
        <v>PH</v>
      </c>
      <c r="AD570" s="449"/>
      <c r="AE570" s="449"/>
      <c r="AF570" s="4"/>
      <c r="AG570" s="83"/>
      <c r="AH570" s="4"/>
      <c r="AI570" s="4"/>
      <c r="AJ570" s="449"/>
      <c r="AK570" s="449"/>
      <c r="AL570" s="449"/>
      <c r="AM570" s="449" t="s">
        <v>126</v>
      </c>
      <c r="AN570" s="10">
        <v>5.5</v>
      </c>
      <c r="AO570" s="9"/>
      <c r="AP570" s="9"/>
      <c r="AQ570" s="9"/>
      <c r="AR570" s="9"/>
      <c r="AS570" s="9"/>
      <c r="AT570" s="9">
        <f>+ab($T$570,$T$568,$T$572,$G$569,$G$571, 1*$F$570,1200)</f>
        <v>9.8172082785389527</v>
      </c>
      <c r="AU570" s="428"/>
      <c r="AV570" s="428"/>
      <c r="AW570" s="449" t="str">
        <f>IF(C570&gt;0,VLOOKUP(C570,Foundation_Calc!$A$2:$C$13,3,1),
IF(J570&gt;0,VLOOKUP(J570,Foundation_Calc!$A$2:$C$13,3,1),""))</f>
        <v>Multi Soil</v>
      </c>
      <c r="AX570" s="449" t="str">
        <f>IF(C570&gt;0,VLOOKUP(C570,Foundation_Calc!$E$35:$G$65,3,1),
IF(J570&gt;0,VLOOKUP(J570,Foundation_Calc!$E$35:$G$65,3,1),""))</f>
        <v>PT</v>
      </c>
      <c r="AY570" s="10">
        <f>IF(L570="","",
IF(AX570="PT",VLOOKUP(L570,Foundation_Calc!$K$79:$R$113,VLOOKUP(AW570,Foundation_Calc!$I$2:$J$8,2,FALSE),0),
IF(AX570="K",VLOOKUP(L570,Foundation_Calc!$K$117:$R$151,VLOOKUP(AW570,Foundation_Calc!$I$2:$J$8,2,FALSE),0),"")))</f>
        <v>3.5</v>
      </c>
      <c r="AZ570" s="10" t="str">
        <f>IF(K570="","",
IF(AX570="PT",VLOOKUP(K570,Foundation_Calc!$K$79:$R$113,VLOOKUP(AW570,Foundation_Calc!$I$2:$J$8,2,FALSE),0),
IF(AX570="K",VLOOKUP(K570,Foundation_Calc!$K$117:$R$151,VLOOKUP(AW570,Foundation_Calc!$I$2:$J$8,2,FALSE),0),"")))</f>
        <v/>
      </c>
      <c r="BA570" s="495" t="str">
        <f t="shared" si="69"/>
        <v>ü</v>
      </c>
      <c r="BB570" s="495" t="str">
        <f t="shared" si="70"/>
        <v/>
      </c>
      <c r="BC570" s="495" t="str">
        <f t="shared" si="71"/>
        <v/>
      </c>
      <c r="BD570" s="513" t="str">
        <f>IF(AND(L570="",H570=""),"",
IF(H570="",Pole_Calc!A$9,
IF(H570="MP",Pole_Calc!A$10,
IF(H570="AnMP",Pole_Calc!A$11,
IF(H570="A",Pole_Calc!A$12,
IF(H570="S/A",Pole_Calc!A$13,
IF(H570="A/S",Pole_Calc!A$14,"Poner a mano")))))))</f>
        <v>App.7-V11I-P9.5.1.5</v>
      </c>
      <c r="BE570" s="429" t="s">
        <v>118</v>
      </c>
      <c r="BF570" s="289"/>
      <c r="BG570" s="289"/>
      <c r="BH570" s="290"/>
      <c r="BI570" s="289"/>
    </row>
    <row r="571" spans="1:61" ht="15.75" customHeight="1">
      <c r="A571" s="514"/>
      <c r="B571" s="450"/>
      <c r="C571" s="3"/>
      <c r="D571" s="83"/>
      <c r="E571" s="4"/>
      <c r="F571" s="4"/>
      <c r="G571" s="6">
        <v>62</v>
      </c>
      <c r="H571" s="449"/>
      <c r="I571" s="4"/>
      <c r="J571" s="3"/>
      <c r="K571" s="449"/>
      <c r="L571" s="449"/>
      <c r="M571" s="449" t="str">
        <f>IF(L571="","",
IF(AX571="PT",VLOOKUP(L571,Foundation_Calc!$V$79:$X$113,VLOOKUP(AX571,Foundation_Calc!$I$10:$J$13,2,FALSE),0),
IF(AX571="K",VLOOKUP(L571,Foundation_Calc!$V$117:$X$151,VLOOKUP(AX571,Foundation_Calc!$I$10:$J$13,2,FALSE),0),"")))</f>
        <v/>
      </c>
      <c r="N571" s="449"/>
      <c r="O571" s="449"/>
      <c r="P571" s="449"/>
      <c r="Q571" s="4"/>
      <c r="R571" s="6"/>
      <c r="S571" s="6"/>
      <c r="T571" s="4"/>
      <c r="U571" s="4"/>
      <c r="V571" s="4"/>
      <c r="W571" s="9"/>
      <c r="X571" s="9"/>
      <c r="Y571" s="9"/>
      <c r="Z571" s="9"/>
      <c r="AA571" s="9"/>
      <c r="AB571" s="9"/>
      <c r="AC571" s="449" t="str">
        <f t="shared" si="64"/>
        <v/>
      </c>
      <c r="AD571" s="449"/>
      <c r="AE571" s="449"/>
      <c r="AF571" s="4"/>
      <c r="AG571" s="83"/>
      <c r="AH571" s="4"/>
      <c r="AI571" s="4"/>
      <c r="AJ571" s="449"/>
      <c r="AK571" s="449"/>
      <c r="AL571" s="449"/>
      <c r="AM571" s="449"/>
      <c r="AN571" s="10"/>
      <c r="AO571" s="9"/>
      <c r="AP571" s="9"/>
      <c r="AQ571" s="9">
        <f>+FL_2($T$572,$T$570,$G$571,1200,9.28, 1*$F$572)</f>
        <v>-0.45400350967741931</v>
      </c>
      <c r="AR571" s="9"/>
      <c r="AS571" s="9"/>
      <c r="AT571" s="9"/>
      <c r="AU571" s="428"/>
      <c r="AV571" s="428"/>
      <c r="AW571" s="449" t="str">
        <f>IF(C571&gt;0,VLOOKUP(C571,Foundation_Calc!$A$2:$C$13,3,1),
IF(J571&gt;0,VLOOKUP(J571,Foundation_Calc!$A$2:$C$13,3,1),""))</f>
        <v/>
      </c>
      <c r="AX571" s="449" t="str">
        <f>IF(C571&gt;0,VLOOKUP(C571,Foundation_Calc!$E$35:$G$65,3,1),
IF(J571&gt;0,VLOOKUP(J571,Foundation_Calc!$E$35:$G$65,3,1),""))</f>
        <v/>
      </c>
      <c r="AY571" s="10" t="str">
        <f>IF(L571="","",
IF(AX571="PT",VLOOKUP(L571,Foundation_Calc!$K$79:$R$113,VLOOKUP(AW571,Foundation_Calc!$I$2:$J$8,2,FALSE),0),
IF(AX571="K",VLOOKUP(L571,Foundation_Calc!$K$117:$R$151,VLOOKUP(AW571,Foundation_Calc!$I$2:$J$8,2,FALSE),0),"")))</f>
        <v/>
      </c>
      <c r="AZ571" s="10" t="str">
        <f>IF(K571="","",
IF(AX571="PT",VLOOKUP(K571,Foundation_Calc!$K$79:$R$113,VLOOKUP(AW571,Foundation_Calc!$I$2:$J$8,2,FALSE),0),
IF(AX571="K",VLOOKUP(K571,Foundation_Calc!$K$117:$R$151,VLOOKUP(AW571,Foundation_Calc!$I$2:$J$8,2,FALSE),0),"")))</f>
        <v/>
      </c>
      <c r="BA571" s="495" t="str">
        <f t="shared" si="69"/>
        <v/>
      </c>
      <c r="BB571" s="495" t="str">
        <f t="shared" si="70"/>
        <v/>
      </c>
      <c r="BC571" s="495" t="str">
        <f t="shared" si="71"/>
        <v/>
      </c>
      <c r="BD571" s="513" t="str">
        <f>IF(AND(L571="",H571=""),"",
IF(H571="",Pole_Calc!A$9,
IF(H571="MP",Pole_Calc!A$10,
IF(H571="AnMP",Pole_Calc!A$11,
IF(H571="A",Pole_Calc!A$12,
IF(H571="S/A",Pole_Calc!A$13,
IF(H571="A/S",Pole_Calc!A$14,"Poner a mano")))))))</f>
        <v/>
      </c>
      <c r="BE571" s="429" t="s">
        <v>118</v>
      </c>
      <c r="BF571" s="290"/>
      <c r="BG571" s="290"/>
      <c r="BH571" s="290"/>
      <c r="BI571" s="290"/>
    </row>
    <row r="572" spans="1:61" ht="15.75" customHeight="1">
      <c r="A572" s="514"/>
      <c r="B572" s="450" t="s">
        <v>1232</v>
      </c>
      <c r="C572" s="3">
        <f>+$C$570+$G$571-0.33</f>
        <v>43845.62000000001</v>
      </c>
      <c r="D572" s="83"/>
      <c r="E572" s="4"/>
      <c r="F572" s="4">
        <v>0</v>
      </c>
      <c r="G572" s="6"/>
      <c r="H572" s="449" t="s">
        <v>121</v>
      </c>
      <c r="I572" s="4" t="s">
        <v>122</v>
      </c>
      <c r="J572" s="3"/>
      <c r="K572" s="449"/>
      <c r="L572" s="449" t="s">
        <v>151</v>
      </c>
      <c r="M572" s="449" t="str">
        <f>IF(L572="","",
IF(AX572="PT",VLOOKUP(L572,Foundation_Calc!$V$79:$X$113,VLOOKUP(AX572,Foundation_Calc!$I$10:$J$13,2,FALSE),0),
IF(AX572="K",VLOOKUP(L572,Foundation_Calc!$V$117:$X$151,VLOOKUP(AX572,Foundation_Calc!$I$10:$J$13,2,FALSE),0),"")))</f>
        <v>C4R</v>
      </c>
      <c r="N572" s="449" t="s">
        <v>124</v>
      </c>
      <c r="O572" s="449"/>
      <c r="P572" s="449"/>
      <c r="Q572" s="4"/>
      <c r="R572" s="6"/>
      <c r="S572" s="6"/>
      <c r="T572" s="4">
        <v>-35</v>
      </c>
      <c r="U572" s="4"/>
      <c r="V572" s="4"/>
      <c r="W572" s="9">
        <v>1.4</v>
      </c>
      <c r="X572" s="9"/>
      <c r="Y572" s="9"/>
      <c r="Z572" s="9"/>
      <c r="AA572" s="9"/>
      <c r="AB572" s="9"/>
      <c r="AC572" s="449" t="str">
        <f t="shared" si="64"/>
        <v>PH</v>
      </c>
      <c r="AD572" s="449"/>
      <c r="AE572" s="449"/>
      <c r="AF572" s="4"/>
      <c r="AG572" s="83"/>
      <c r="AH572" s="4"/>
      <c r="AI572" s="4"/>
      <c r="AJ572" s="449"/>
      <c r="AK572" s="449"/>
      <c r="AL572" s="449"/>
      <c r="AM572" s="449" t="s">
        <v>126</v>
      </c>
      <c r="AN572" s="10">
        <v>5.5</v>
      </c>
      <c r="AO572" s="9"/>
      <c r="AP572" s="9"/>
      <c r="AQ572" s="9"/>
      <c r="AR572" s="9"/>
      <c r="AS572" s="9"/>
      <c r="AT572" s="9">
        <f>+ab($T$572,$T$570,$T$574,$G$571,$G$573, 1*$F$572,1200)</f>
        <v>-8.4366201521118445</v>
      </c>
      <c r="AU572" s="428"/>
      <c r="AV572" s="428"/>
      <c r="AW572" s="449" t="str">
        <f>IF(C572&gt;0,VLOOKUP(C572,Foundation_Calc!$A$2:$C$13,3,1),
IF(J572&gt;0,VLOOKUP(J572,Foundation_Calc!$A$2:$C$13,3,1),""))</f>
        <v>Multi Soil</v>
      </c>
      <c r="AX572" s="449" t="str">
        <f>IF(C572&gt;0,VLOOKUP(C572,Foundation_Calc!$E$35:$G$65,3,1),
IF(J572&gt;0,VLOOKUP(J572,Foundation_Calc!$E$35:$G$65,3,1),""))</f>
        <v>PT</v>
      </c>
      <c r="AY572" s="10">
        <f>IF(L572="","",
IF(AX572="PT",VLOOKUP(L572,Foundation_Calc!$K$79:$R$113,VLOOKUP(AW572,Foundation_Calc!$I$2:$J$8,2,FALSE),0),
IF(AX572="K",VLOOKUP(L572,Foundation_Calc!$K$117:$R$151,VLOOKUP(AW572,Foundation_Calc!$I$2:$J$8,2,FALSE),0),"")))</f>
        <v>3.5</v>
      </c>
      <c r="AZ572" s="10" t="str">
        <f>IF(K572="","",
IF(AX572="PT",VLOOKUP(K572,Foundation_Calc!$K$79:$R$113,VLOOKUP(AW572,Foundation_Calc!$I$2:$J$8,2,FALSE),0),
IF(AX572="K",VLOOKUP(K572,Foundation_Calc!$K$117:$R$151,VLOOKUP(AW572,Foundation_Calc!$I$2:$J$8,2,FALSE),0),"")))</f>
        <v/>
      </c>
      <c r="BA572" s="495" t="str">
        <f t="shared" si="69"/>
        <v>ü</v>
      </c>
      <c r="BB572" s="495" t="str">
        <f t="shared" si="70"/>
        <v/>
      </c>
      <c r="BC572" s="495" t="str">
        <f t="shared" si="71"/>
        <v/>
      </c>
      <c r="BD572" s="513" t="str">
        <f>IF(AND(L572="",H572=""),"",
IF(H572="",Pole_Calc!A$9,
IF(H572="MP",Pole_Calc!A$10,
IF(H572="AnMP",Pole_Calc!A$11,
IF(H572="A",Pole_Calc!A$12,
IF(H572="S/A",Pole_Calc!A$13,
IF(H572="A/S",Pole_Calc!A$14,"Poner a mano")))))))</f>
        <v>App.7-V11I-P9.5.1.6</v>
      </c>
      <c r="BE572" s="429" t="s">
        <v>118</v>
      </c>
      <c r="BF572" s="289"/>
      <c r="BG572" s="289"/>
      <c r="BH572" s="290"/>
      <c r="BI572" s="289"/>
    </row>
    <row r="573" spans="1:61" ht="15.75" customHeight="1">
      <c r="A573" s="518"/>
      <c r="B573" s="450"/>
      <c r="C573" s="3"/>
      <c r="D573" s="83"/>
      <c r="E573" s="4"/>
      <c r="F573" s="4"/>
      <c r="G573" s="6">
        <v>62</v>
      </c>
      <c r="H573" s="449"/>
      <c r="I573" s="4"/>
      <c r="J573" s="3">
        <f>C572+7.5</f>
        <v>43853.12000000001</v>
      </c>
      <c r="K573" s="449" t="s">
        <v>117</v>
      </c>
      <c r="L573" s="449"/>
      <c r="M573" s="449" t="str">
        <f>IF(L573="","",
IF(AX573="PT",VLOOKUP(L573,Foundation_Calc!$V$79:$X$113,VLOOKUP(AX573,Foundation_Calc!$I$10:$J$13,2,FALSE),0),
IF(AX573="K",VLOOKUP(L573,Foundation_Calc!$V$117:$X$151,VLOOKUP(AX573,Foundation_Calc!$I$10:$J$13,2,FALSE),0),"")))</f>
        <v/>
      </c>
      <c r="N573" s="449"/>
      <c r="O573" s="449"/>
      <c r="P573" s="449"/>
      <c r="Q573" s="4"/>
      <c r="R573" s="6"/>
      <c r="S573" s="6"/>
      <c r="T573" s="4"/>
      <c r="U573" s="4"/>
      <c r="V573" s="4"/>
      <c r="W573" s="9"/>
      <c r="X573" s="9"/>
      <c r="Y573" s="9"/>
      <c r="Z573" s="9"/>
      <c r="AA573" s="9"/>
      <c r="AB573" s="9"/>
      <c r="AC573" s="449" t="str">
        <f t="shared" si="64"/>
        <v/>
      </c>
      <c r="AD573" s="449"/>
      <c r="AE573" s="449"/>
      <c r="AF573" s="4"/>
      <c r="AG573" s="83"/>
      <c r="AH573" s="4"/>
      <c r="AI573" s="4"/>
      <c r="AJ573" s="449"/>
      <c r="AK573" s="449"/>
      <c r="AL573" s="449"/>
      <c r="AM573" s="449"/>
      <c r="AN573" s="10"/>
      <c r="AO573" s="9"/>
      <c r="AP573" s="9"/>
      <c r="AQ573" s="9">
        <f>+FL_1($T$574,$T$572,$G$573,1200,9.28, 1*$F$574)</f>
        <v>0.45400350967741931</v>
      </c>
      <c r="AR573" s="9"/>
      <c r="AS573" s="9"/>
      <c r="AT573" s="9"/>
      <c r="AU573" s="428"/>
      <c r="AV573" s="428"/>
      <c r="AW573" s="449" t="str">
        <f>IF(C573&gt;0,VLOOKUP(C573,Foundation_Calc!$A$2:$C$13,3,1),
IF(J573&gt;0,VLOOKUP(J573,Foundation_Calc!$A$2:$C$13,3,1),""))</f>
        <v>Multi Soil</v>
      </c>
      <c r="AX573" s="449" t="str">
        <f>IF(C573&gt;0,VLOOKUP(C573,Foundation_Calc!$E$35:$G$65,3,1),
IF(J573&gt;0,VLOOKUP(J573,Foundation_Calc!$E$35:$G$65,3,1),""))</f>
        <v>PT</v>
      </c>
      <c r="AY573" s="10" t="str">
        <f>IF(L573="","",
IF(AX573="PT",VLOOKUP(L573,Foundation_Calc!$K$79:$R$113,VLOOKUP(AW573,Foundation_Calc!$I$2:$J$8,2,FALSE),0),
IF(AX573="K",VLOOKUP(L573,Foundation_Calc!$K$117:$R$151,VLOOKUP(AW573,Foundation_Calc!$I$2:$J$8,2,FALSE),0),"")))</f>
        <v/>
      </c>
      <c r="AZ573" s="10">
        <f>IF(K573="","",
IF(AX573="PT",VLOOKUP(K573,Foundation_Calc!$K$79:$R$113,VLOOKUP(AW573,Foundation_Calc!$I$2:$J$8,2,FALSE),0),
IF(AX573="K",VLOOKUP(K573,Foundation_Calc!$K$117:$R$151,VLOOKUP(AW573,Foundation_Calc!$I$2:$J$8,2,FALSE),0),"")))</f>
        <v>3.9</v>
      </c>
      <c r="BA573" s="495" t="str">
        <f t="shared" si="69"/>
        <v/>
      </c>
      <c r="BB573" s="495" t="str">
        <f t="shared" si="70"/>
        <v>ü</v>
      </c>
      <c r="BC573" s="495" t="str">
        <f t="shared" si="71"/>
        <v/>
      </c>
      <c r="BD573" s="513" t="str">
        <f>IF(AND(L573="",H573=""),"",
IF(H573="",Pole_Calc!A$9,
IF(H573="MP",Pole_Calc!A$10,
IF(H573="AnMP",Pole_Calc!A$11,
IF(H573="A",Pole_Calc!A$12,
IF(H573="S/A",Pole_Calc!A$13,
IF(H573="A/S",Pole_Calc!A$14,"Poner a mano")))))))</f>
        <v/>
      </c>
      <c r="BE573" s="429" t="s">
        <v>118</v>
      </c>
      <c r="BF573" s="290"/>
      <c r="BG573" s="290"/>
      <c r="BH573" s="290"/>
      <c r="BI573" s="290"/>
    </row>
    <row r="574" spans="1:61" ht="15.75" customHeight="1">
      <c r="A574" s="514"/>
      <c r="B574" s="450" t="s">
        <v>1233</v>
      </c>
      <c r="C574" s="3">
        <f>+$C$572+$G$573</f>
        <v>43907.62000000001</v>
      </c>
      <c r="D574" s="83"/>
      <c r="E574" s="4"/>
      <c r="F574" s="4">
        <v>0</v>
      </c>
      <c r="G574" s="6"/>
      <c r="H574" s="449"/>
      <c r="I574" s="4"/>
      <c r="J574" s="3"/>
      <c r="K574" s="449"/>
      <c r="L574" s="449" t="s">
        <v>153</v>
      </c>
      <c r="M574" s="449" t="str">
        <f>IF(L574="","",
IF(AX574="PT",VLOOKUP(L574,Foundation_Calc!$V$79:$X$113,VLOOKUP(AX574,Foundation_Calc!$I$10:$J$13,2,FALSE),0),
IF(AX574="K",VLOOKUP(L574,Foundation_Calc!$V$117:$X$151,VLOOKUP(AX574,Foundation_Calc!$I$10:$J$13,2,FALSE),0),"")))</f>
        <v>C3R</v>
      </c>
      <c r="N574" s="449" t="s">
        <v>134</v>
      </c>
      <c r="O574" s="449"/>
      <c r="P574" s="449"/>
      <c r="Q574" s="4"/>
      <c r="R574" s="6"/>
      <c r="S574" s="6"/>
      <c r="T574" s="4">
        <v>35</v>
      </c>
      <c r="U574" s="4"/>
      <c r="V574" s="4"/>
      <c r="W574" s="9">
        <v>1.4</v>
      </c>
      <c r="X574" s="9"/>
      <c r="Y574" s="9"/>
      <c r="Z574" s="9"/>
      <c r="AA574" s="9"/>
      <c r="AB574" s="9"/>
      <c r="AC574" s="449" t="str">
        <f t="shared" si="64"/>
        <v>PH</v>
      </c>
      <c r="AD574" s="449"/>
      <c r="AE574" s="449"/>
      <c r="AF574" s="4"/>
      <c r="AG574" s="83"/>
      <c r="AH574" s="4"/>
      <c r="AI574" s="4"/>
      <c r="AJ574" s="449"/>
      <c r="AK574" s="449"/>
      <c r="AL574" s="449"/>
      <c r="AM574" s="449" t="s">
        <v>126</v>
      </c>
      <c r="AN574" s="10">
        <v>5.5</v>
      </c>
      <c r="AO574" s="9"/>
      <c r="AP574" s="9"/>
      <c r="AQ574" s="9"/>
      <c r="AR574" s="9"/>
      <c r="AS574" s="9"/>
      <c r="AT574" s="9">
        <f>+ab($T$574,$T$572,$T$576,$G$573,$G$575, 1*$F$574,1200)</f>
        <v>8.4365744899000195</v>
      </c>
      <c r="AU574" s="428"/>
      <c r="AV574" s="428"/>
      <c r="AW574" s="449" t="str">
        <f>IF(C574&gt;0,VLOOKUP(C574,Foundation_Calc!$A$2:$C$13,3,1),
IF(J574&gt;0,VLOOKUP(J574,Foundation_Calc!$A$2:$C$13,3,1),""))</f>
        <v>Multi Soil</v>
      </c>
      <c r="AX574" s="449" t="str">
        <f>IF(C574&gt;0,VLOOKUP(C574,Foundation_Calc!$E$35:$G$65,3,1),
IF(J574&gt;0,VLOOKUP(J574,Foundation_Calc!$E$35:$G$65,3,1),""))</f>
        <v>PT</v>
      </c>
      <c r="AY574" s="10">
        <f>IF(L574="","",
IF(AX574="PT",VLOOKUP(L574,Foundation_Calc!$K$79:$R$113,VLOOKUP(AW574,Foundation_Calc!$I$2:$J$8,2,FALSE),0),
IF(AX574="K",VLOOKUP(L574,Foundation_Calc!$K$117:$R$151,VLOOKUP(AW574,Foundation_Calc!$I$2:$J$8,2,FALSE),0),"")))</f>
        <v>3.5</v>
      </c>
      <c r="AZ574" s="10" t="str">
        <f>IF(K574="","",
IF(AX574="PT",VLOOKUP(K574,Foundation_Calc!$K$79:$R$113,VLOOKUP(AW574,Foundation_Calc!$I$2:$J$8,2,FALSE),0),
IF(AX574="K",VLOOKUP(K574,Foundation_Calc!$K$117:$R$151,VLOOKUP(AW574,Foundation_Calc!$I$2:$J$8,2,FALSE),0),"")))</f>
        <v/>
      </c>
      <c r="BA574" s="495" t="str">
        <f t="shared" si="69"/>
        <v>ü</v>
      </c>
      <c r="BB574" s="495" t="str">
        <f t="shared" si="70"/>
        <v/>
      </c>
      <c r="BC574" s="495" t="str">
        <f t="shared" si="71"/>
        <v/>
      </c>
      <c r="BD574" s="513" t="str">
        <f>IF(AND(L574="",H574=""),"",
IF(H574="",Pole_Calc!A$9,
IF(H574="MP",Pole_Calc!A$10,
IF(H574="AnMP",Pole_Calc!A$11,
IF(H574="A",Pole_Calc!A$12,
IF(H574="S/A",Pole_Calc!A$13,
IF(H574="A/S",Pole_Calc!A$14,"Poner a mano")))))))</f>
        <v>App.7-V11I-P9.5.1.1</v>
      </c>
      <c r="BE574" s="429" t="s">
        <v>118</v>
      </c>
      <c r="BF574" s="289"/>
      <c r="BG574" s="289"/>
      <c r="BH574" s="290"/>
      <c r="BI574" s="289"/>
    </row>
    <row r="575" spans="1:61" ht="15.75" customHeight="1">
      <c r="A575" s="514"/>
      <c r="B575" s="450"/>
      <c r="C575" s="3"/>
      <c r="D575" s="83"/>
      <c r="E575" s="4"/>
      <c r="F575" s="4"/>
      <c r="G575" s="6">
        <v>62</v>
      </c>
      <c r="H575" s="449"/>
      <c r="I575" s="4"/>
      <c r="J575" s="3"/>
      <c r="K575" s="449"/>
      <c r="L575" s="449"/>
      <c r="M575" s="449" t="str">
        <f>IF(L575="","",
IF(AX575="PT",VLOOKUP(L575,Foundation_Calc!$V$79:$X$113,VLOOKUP(AX575,Foundation_Calc!$I$10:$J$13,2,FALSE),0),
IF(AX575="K",VLOOKUP(L575,Foundation_Calc!$V$117:$X$151,VLOOKUP(AX575,Foundation_Calc!$I$10:$J$13,2,FALSE),0),"")))</f>
        <v/>
      </c>
      <c r="N575" s="449"/>
      <c r="O575" s="449"/>
      <c r="P575" s="449"/>
      <c r="Q575" s="4"/>
      <c r="R575" s="6"/>
      <c r="S575" s="6"/>
      <c r="T575" s="4"/>
      <c r="U575" s="4"/>
      <c r="V575" s="4"/>
      <c r="W575" s="9"/>
      <c r="X575" s="9"/>
      <c r="Y575" s="9"/>
      <c r="Z575" s="9"/>
      <c r="AA575" s="9"/>
      <c r="AB575" s="9"/>
      <c r="AC575" s="449" t="str">
        <f t="shared" si="64"/>
        <v/>
      </c>
      <c r="AD575" s="449"/>
      <c r="AE575" s="449"/>
      <c r="AF575" s="4"/>
      <c r="AG575" s="83"/>
      <c r="AH575" s="4"/>
      <c r="AI575" s="4"/>
      <c r="AJ575" s="449"/>
      <c r="AK575" s="449"/>
      <c r="AL575" s="449"/>
      <c r="AM575" s="449"/>
      <c r="AN575" s="10"/>
      <c r="AO575" s="9"/>
      <c r="AP575" s="9"/>
      <c r="AQ575" s="9">
        <f>+FL_2($T$576,$T$574,$G$575,1200,9.28, 1*$F$576)</f>
        <v>-0.45400350967741931</v>
      </c>
      <c r="AR575" s="9"/>
      <c r="AS575" s="9"/>
      <c r="AT575" s="9"/>
      <c r="AU575" s="428"/>
      <c r="AV575" s="428"/>
      <c r="AW575" s="449" t="str">
        <f>IF(C575&gt;0,VLOOKUP(C575,Foundation_Calc!$A$2:$C$13,3,1),
IF(J575&gt;0,VLOOKUP(J575,Foundation_Calc!$A$2:$C$13,3,1),""))</f>
        <v/>
      </c>
      <c r="AX575" s="449" t="str">
        <f>IF(C575&gt;0,VLOOKUP(C575,Foundation_Calc!$E$35:$G$65,3,1),
IF(J575&gt;0,VLOOKUP(J575,Foundation_Calc!$E$35:$G$65,3,1),""))</f>
        <v/>
      </c>
      <c r="AY575" s="10" t="str">
        <f>IF(L575="","",
IF(AX575="PT",VLOOKUP(L575,Foundation_Calc!$K$79:$R$113,VLOOKUP(AW575,Foundation_Calc!$I$2:$J$8,2,FALSE),0),
IF(AX575="K",VLOOKUP(L575,Foundation_Calc!$K$117:$R$151,VLOOKUP(AW575,Foundation_Calc!$I$2:$J$8,2,FALSE),0),"")))</f>
        <v/>
      </c>
      <c r="AZ575" s="10" t="str">
        <f>IF(K575="","",
IF(AX575="PT",VLOOKUP(K575,Foundation_Calc!$K$79:$R$113,VLOOKUP(AW575,Foundation_Calc!$I$2:$J$8,2,FALSE),0),
IF(AX575="K",VLOOKUP(K575,Foundation_Calc!$K$117:$R$151,VLOOKUP(AW575,Foundation_Calc!$I$2:$J$8,2,FALSE),0),"")))</f>
        <v/>
      </c>
      <c r="BA575" s="495" t="str">
        <f t="shared" si="69"/>
        <v/>
      </c>
      <c r="BB575" s="495" t="str">
        <f t="shared" si="70"/>
        <v/>
      </c>
      <c r="BC575" s="495" t="str">
        <f t="shared" si="71"/>
        <v/>
      </c>
      <c r="BD575" s="513" t="str">
        <f>IF(AND(L575="",H575=""),"",
IF(H575="",Pole_Calc!A$9,
IF(H575="MP",Pole_Calc!A$10,
IF(H575="AnMP",Pole_Calc!A$11,
IF(H575="A",Pole_Calc!A$12,
IF(H575="S/A",Pole_Calc!A$13,
IF(H575="A/S",Pole_Calc!A$14,"Poner a mano")))))))</f>
        <v/>
      </c>
      <c r="BE575" s="429" t="s">
        <v>118</v>
      </c>
      <c r="BF575" s="290"/>
      <c r="BG575" s="290"/>
      <c r="BH575" s="290"/>
      <c r="BI575" s="290"/>
    </row>
    <row r="576" spans="1:61" ht="15.75" customHeight="1">
      <c r="A576" s="514"/>
      <c r="B576" s="450" t="s">
        <v>1234</v>
      </c>
      <c r="C576" s="3">
        <f>+$C$574+$G$575</f>
        <v>43969.62000000001</v>
      </c>
      <c r="D576" s="83"/>
      <c r="E576" s="4"/>
      <c r="F576" s="4">
        <v>0</v>
      </c>
      <c r="G576" s="6"/>
      <c r="H576" s="449"/>
      <c r="I576" s="4"/>
      <c r="J576" s="3"/>
      <c r="K576" s="449"/>
      <c r="L576" s="449" t="s">
        <v>153</v>
      </c>
      <c r="M576" s="449" t="str">
        <f>IF(L576="","",
IF(AX576="PT",VLOOKUP(L576,Foundation_Calc!$V$79:$X$113,VLOOKUP(AX576,Foundation_Calc!$I$10:$J$13,2,FALSE),0),
IF(AX576="K",VLOOKUP(L576,Foundation_Calc!$V$117:$X$151,VLOOKUP(AX576,Foundation_Calc!$I$10:$J$13,2,FALSE),0),"")))</f>
        <v>C3R</v>
      </c>
      <c r="N576" s="449" t="s">
        <v>124</v>
      </c>
      <c r="O576" s="449"/>
      <c r="P576" s="449"/>
      <c r="Q576" s="4"/>
      <c r="R576" s="6"/>
      <c r="S576" s="6"/>
      <c r="T576" s="4">
        <v>-35</v>
      </c>
      <c r="U576" s="4"/>
      <c r="V576" s="4"/>
      <c r="W576" s="9">
        <v>1.4</v>
      </c>
      <c r="X576" s="9"/>
      <c r="Y576" s="9"/>
      <c r="Z576" s="9"/>
      <c r="AA576" s="9"/>
      <c r="AB576" s="9"/>
      <c r="AC576" s="449" t="str">
        <f t="shared" si="64"/>
        <v>PH</v>
      </c>
      <c r="AD576" s="449"/>
      <c r="AE576" s="449"/>
      <c r="AF576" s="4"/>
      <c r="AG576" s="83"/>
      <c r="AH576" s="4"/>
      <c r="AI576" s="4"/>
      <c r="AJ576" s="449"/>
      <c r="AK576" s="449"/>
      <c r="AL576" s="449"/>
      <c r="AM576" s="449" t="s">
        <v>126</v>
      </c>
      <c r="AN576" s="10">
        <v>5.5</v>
      </c>
      <c r="AO576" s="9"/>
      <c r="AP576" s="9"/>
      <c r="AQ576" s="9"/>
      <c r="AR576" s="9"/>
      <c r="AS576" s="9"/>
      <c r="AT576" s="9">
        <f>+ab($T$576,$T$574,$T$578,$G$575,$G$577, 1*$F$576,1200)</f>
        <v>-8.4366201521118445</v>
      </c>
      <c r="AU576" s="428"/>
      <c r="AV576" s="428"/>
      <c r="AW576" s="449" t="str">
        <f>IF(C576&gt;0,VLOOKUP(C576,Foundation_Calc!$A$2:$C$13,3,1),
IF(J576&gt;0,VLOOKUP(J576,Foundation_Calc!$A$2:$C$13,3,1),""))</f>
        <v>Multi Soil</v>
      </c>
      <c r="AX576" s="449" t="str">
        <f>IF(C576&gt;0,VLOOKUP(C576,Foundation_Calc!$E$35:$G$65,3,1),
IF(J576&gt;0,VLOOKUP(J576,Foundation_Calc!$E$35:$G$65,3,1),""))</f>
        <v>PT</v>
      </c>
      <c r="AY576" s="10">
        <f>IF(L576="","",
IF(AX576="PT",VLOOKUP(L576,Foundation_Calc!$K$79:$R$113,VLOOKUP(AW576,Foundation_Calc!$I$2:$J$8,2,FALSE),0),
IF(AX576="K",VLOOKUP(L576,Foundation_Calc!$K$117:$R$151,VLOOKUP(AW576,Foundation_Calc!$I$2:$J$8,2,FALSE),0),"")))</f>
        <v>3.5</v>
      </c>
      <c r="AZ576" s="10" t="str">
        <f>IF(K576="","",
IF(AX576="PT",VLOOKUP(K576,Foundation_Calc!$K$79:$R$113,VLOOKUP(AW576,Foundation_Calc!$I$2:$J$8,2,FALSE),0),
IF(AX576="K",VLOOKUP(K576,Foundation_Calc!$K$117:$R$151,VLOOKUP(AW576,Foundation_Calc!$I$2:$J$8,2,FALSE),0),"")))</f>
        <v/>
      </c>
      <c r="BA576" s="495" t="str">
        <f t="shared" si="69"/>
        <v>ü</v>
      </c>
      <c r="BB576" s="495" t="str">
        <f t="shared" si="70"/>
        <v/>
      </c>
      <c r="BC576" s="495" t="str">
        <f t="shared" si="71"/>
        <v/>
      </c>
      <c r="BD576" s="513" t="str">
        <f>IF(AND(L576="",H576=""),"",
IF(H576="",Pole_Calc!A$9,
IF(H576="MP",Pole_Calc!A$10,
IF(H576="AnMP",Pole_Calc!A$11,
IF(H576="A",Pole_Calc!A$12,
IF(H576="S/A",Pole_Calc!A$13,
IF(H576="A/S",Pole_Calc!A$14,"Poner a mano")))))))</f>
        <v>App.7-V11I-P9.5.1.1</v>
      </c>
      <c r="BE576" s="429" t="s">
        <v>118</v>
      </c>
      <c r="BF576" s="289"/>
      <c r="BG576" s="289"/>
      <c r="BH576" s="290"/>
      <c r="BI576" s="289"/>
    </row>
    <row r="577" spans="1:61" ht="15.75" customHeight="1">
      <c r="A577" s="514"/>
      <c r="B577" s="450"/>
      <c r="C577" s="3"/>
      <c r="D577" s="83"/>
      <c r="E577" s="4"/>
      <c r="F577" s="4"/>
      <c r="G577" s="6">
        <v>62</v>
      </c>
      <c r="H577" s="449"/>
      <c r="I577" s="4"/>
      <c r="J577" s="3"/>
      <c r="K577" s="449"/>
      <c r="L577" s="449"/>
      <c r="M577" s="449" t="str">
        <f>IF(L577="","",
IF(AX577="PT",VLOOKUP(L577,Foundation_Calc!$V$79:$X$113,VLOOKUP(AX577,Foundation_Calc!$I$10:$J$13,2,FALSE),0),
IF(AX577="K",VLOOKUP(L577,Foundation_Calc!$V$117:$X$151,VLOOKUP(AX577,Foundation_Calc!$I$10:$J$13,2,FALSE),0),"")))</f>
        <v/>
      </c>
      <c r="N577" s="449"/>
      <c r="O577" s="449"/>
      <c r="P577" s="449"/>
      <c r="Q577" s="4"/>
      <c r="R577" s="6"/>
      <c r="S577" s="6"/>
      <c r="T577" s="4"/>
      <c r="U577" s="4"/>
      <c r="V577" s="4"/>
      <c r="W577" s="9"/>
      <c r="X577" s="9"/>
      <c r="Y577" s="9"/>
      <c r="Z577" s="9"/>
      <c r="AA577" s="9"/>
      <c r="AB577" s="9"/>
      <c r="AC577" s="449" t="str">
        <f t="shared" si="64"/>
        <v/>
      </c>
      <c r="AD577" s="449"/>
      <c r="AE577" s="449"/>
      <c r="AF577" s="4"/>
      <c r="AG577" s="83"/>
      <c r="AH577" s="4"/>
      <c r="AI577" s="4"/>
      <c r="AJ577" s="449"/>
      <c r="AK577" s="449"/>
      <c r="AL577" s="449"/>
      <c r="AM577" s="449"/>
      <c r="AN577" s="10"/>
      <c r="AO577" s="9"/>
      <c r="AP577" s="9"/>
      <c r="AQ577" s="9">
        <f>+FL_1($T$578,$T$576,$G$577,1200,9.28, 1*$F$578)</f>
        <v>0.45400350967741931</v>
      </c>
      <c r="AR577" s="9"/>
      <c r="AS577" s="9"/>
      <c r="AT577" s="9"/>
      <c r="AU577" s="428"/>
      <c r="AV577" s="428"/>
      <c r="AW577" s="449" t="str">
        <f>IF(C577&gt;0,VLOOKUP(C577,Foundation_Calc!$A$2:$C$13,3,1),
IF(J577&gt;0,VLOOKUP(J577,Foundation_Calc!$A$2:$C$13,3,1),""))</f>
        <v/>
      </c>
      <c r="AX577" s="449" t="str">
        <f>IF(C577&gt;0,VLOOKUP(C577,Foundation_Calc!$E$35:$G$65,3,1),
IF(J577&gt;0,VLOOKUP(J577,Foundation_Calc!$E$35:$G$65,3,1),""))</f>
        <v/>
      </c>
      <c r="AY577" s="10" t="str">
        <f>IF(L577="","",
IF(AX577="PT",VLOOKUP(L577,Foundation_Calc!$K$79:$R$113,VLOOKUP(AW577,Foundation_Calc!$I$2:$J$8,2,FALSE),0),
IF(AX577="K",VLOOKUP(L577,Foundation_Calc!$K$117:$R$151,VLOOKUP(AW577,Foundation_Calc!$I$2:$J$8,2,FALSE),0),"")))</f>
        <v/>
      </c>
      <c r="AZ577" s="10" t="str">
        <f>IF(K577="","",
IF(AX577="PT",VLOOKUP(K577,Foundation_Calc!$K$79:$R$113,VLOOKUP(AW577,Foundation_Calc!$I$2:$J$8,2,FALSE),0),
IF(AX577="K",VLOOKUP(K577,Foundation_Calc!$K$117:$R$151,VLOOKUP(AW577,Foundation_Calc!$I$2:$J$8,2,FALSE),0),"")))</f>
        <v/>
      </c>
      <c r="BA577" s="495" t="str">
        <f t="shared" si="69"/>
        <v/>
      </c>
      <c r="BB577" s="495" t="str">
        <f t="shared" si="70"/>
        <v/>
      </c>
      <c r="BC577" s="495" t="str">
        <f t="shared" si="71"/>
        <v/>
      </c>
      <c r="BD577" s="513" t="str">
        <f>IF(AND(L577="",H577=""),"",
IF(H577="",Pole_Calc!A$9,
IF(H577="MP",Pole_Calc!A$10,
IF(H577="AnMP",Pole_Calc!A$11,
IF(H577="A",Pole_Calc!A$12,
IF(H577="S/A",Pole_Calc!A$13,
IF(H577="A/S",Pole_Calc!A$14,"Poner a mano")))))))</f>
        <v/>
      </c>
      <c r="BE577" s="429" t="s">
        <v>118</v>
      </c>
      <c r="BF577" s="290"/>
      <c r="BG577" s="290"/>
      <c r="BH577" s="290"/>
      <c r="BI577" s="290"/>
    </row>
    <row r="578" spans="1:61" ht="15.75" customHeight="1">
      <c r="A578" s="514"/>
      <c r="B578" s="450" t="s">
        <v>1235</v>
      </c>
      <c r="C578" s="3">
        <f>+$C$576+$G$577</f>
        <v>44031.62000000001</v>
      </c>
      <c r="D578" s="83"/>
      <c r="E578" s="4"/>
      <c r="F578" s="4">
        <v>0</v>
      </c>
      <c r="G578" s="6"/>
      <c r="H578" s="449"/>
      <c r="I578" s="4"/>
      <c r="J578" s="3"/>
      <c r="K578" s="449"/>
      <c r="L578" s="449" t="s">
        <v>153</v>
      </c>
      <c r="M578" s="449" t="str">
        <f>IF(L578="","",
IF(AX578="PT",VLOOKUP(L578,Foundation_Calc!$V$79:$X$113,VLOOKUP(AX578,Foundation_Calc!$I$10:$J$13,2,FALSE),0),
IF(AX578="K",VLOOKUP(L578,Foundation_Calc!$V$117:$X$151,VLOOKUP(AX578,Foundation_Calc!$I$10:$J$13,2,FALSE),0),"")))</f>
        <v>C3R</v>
      </c>
      <c r="N578" s="449" t="s">
        <v>134</v>
      </c>
      <c r="O578" s="449"/>
      <c r="P578" s="449"/>
      <c r="Q578" s="4"/>
      <c r="R578" s="6"/>
      <c r="S578" s="6"/>
      <c r="T578" s="4">
        <v>35</v>
      </c>
      <c r="U578" s="4"/>
      <c r="V578" s="4"/>
      <c r="W578" s="9">
        <v>1.4</v>
      </c>
      <c r="X578" s="9"/>
      <c r="Y578" s="9"/>
      <c r="Z578" s="9"/>
      <c r="AA578" s="9"/>
      <c r="AB578" s="9"/>
      <c r="AC578" s="449" t="str">
        <f t="shared" si="64"/>
        <v>PH</v>
      </c>
      <c r="AD578" s="449"/>
      <c r="AE578" s="449"/>
      <c r="AF578" s="4"/>
      <c r="AG578" s="83"/>
      <c r="AH578" s="4"/>
      <c r="AI578" s="4"/>
      <c r="AJ578" s="449"/>
      <c r="AK578" s="449"/>
      <c r="AL578" s="449"/>
      <c r="AM578" s="449" t="s">
        <v>126</v>
      </c>
      <c r="AN578" s="10">
        <v>5.5</v>
      </c>
      <c r="AO578" s="9"/>
      <c r="AP578" s="9"/>
      <c r="AQ578" s="9"/>
      <c r="AR578" s="9"/>
      <c r="AS578" s="9"/>
      <c r="AT578" s="9">
        <f>+ab($T$578,$T$576,$T$580,$G$577,$G$579, 1*$F$578,1200)</f>
        <v>8.4365744899000195</v>
      </c>
      <c r="AU578" s="428"/>
      <c r="AV578" s="428"/>
      <c r="AW578" s="449" t="str">
        <f>IF(C578&gt;0,VLOOKUP(C578,Foundation_Calc!$A$2:$C$13,3,1),
IF(J578&gt;0,VLOOKUP(J578,Foundation_Calc!$A$2:$C$13,3,1),""))</f>
        <v>Multi Soil</v>
      </c>
      <c r="AX578" s="449" t="str">
        <f>IF(C578&gt;0,VLOOKUP(C578,Foundation_Calc!$E$35:$G$65,3,1),
IF(J578&gt;0,VLOOKUP(J578,Foundation_Calc!$E$35:$G$65,3,1),""))</f>
        <v>PT</v>
      </c>
      <c r="AY578" s="10">
        <f>IF(L578="","",
IF(AX578="PT",VLOOKUP(L578,Foundation_Calc!$K$79:$R$113,VLOOKUP(AW578,Foundation_Calc!$I$2:$J$8,2,FALSE),0),
IF(AX578="K",VLOOKUP(L578,Foundation_Calc!$K$117:$R$151,VLOOKUP(AW578,Foundation_Calc!$I$2:$J$8,2,FALSE),0),"")))</f>
        <v>3.5</v>
      </c>
      <c r="AZ578" s="10" t="str">
        <f>IF(K578="","",
IF(AX578="PT",VLOOKUP(K578,Foundation_Calc!$K$79:$R$113,VLOOKUP(AW578,Foundation_Calc!$I$2:$J$8,2,FALSE),0),
IF(AX578="K",VLOOKUP(K578,Foundation_Calc!$K$117:$R$151,VLOOKUP(AW578,Foundation_Calc!$I$2:$J$8,2,FALSE),0),"")))</f>
        <v/>
      </c>
      <c r="BA578" s="495" t="str">
        <f t="shared" si="69"/>
        <v>ü</v>
      </c>
      <c r="BB578" s="495" t="str">
        <f t="shared" si="70"/>
        <v/>
      </c>
      <c r="BC578" s="495" t="str">
        <f t="shared" si="71"/>
        <v/>
      </c>
      <c r="BD578" s="513" t="str">
        <f>IF(AND(L578="",H578=""),"",
IF(H578="",Pole_Calc!A$9,
IF(H578="MP",Pole_Calc!A$10,
IF(H578="AnMP",Pole_Calc!A$11,
IF(H578="A",Pole_Calc!A$12,
IF(H578="S/A",Pole_Calc!A$13,
IF(H578="A/S",Pole_Calc!A$14,"Poner a mano")))))))</f>
        <v>App.7-V11I-P9.5.1.1</v>
      </c>
      <c r="BE578" s="429" t="s">
        <v>118</v>
      </c>
      <c r="BF578" s="289"/>
      <c r="BG578" s="289"/>
      <c r="BH578" s="290"/>
      <c r="BI578" s="289"/>
    </row>
    <row r="579" spans="1:61" ht="15.75" customHeight="1">
      <c r="A579" s="518"/>
      <c r="B579" s="450"/>
      <c r="C579" s="3"/>
      <c r="D579" s="83"/>
      <c r="E579" s="4"/>
      <c r="F579" s="4"/>
      <c r="G579" s="6">
        <v>62</v>
      </c>
      <c r="H579" s="449"/>
      <c r="I579" s="4"/>
      <c r="J579" s="3">
        <f>C580-7.5</f>
        <v>44086.12000000001</v>
      </c>
      <c r="K579" s="449" t="s">
        <v>166</v>
      </c>
      <c r="L579" s="449"/>
      <c r="M579" s="449" t="str">
        <f>IF(L579="","",
IF(AX579="PT",VLOOKUP(L579,Foundation_Calc!$V$79:$X$113,VLOOKUP(AX579,Foundation_Calc!$I$10:$J$13,2,FALSE),0),
IF(AX579="K",VLOOKUP(L579,Foundation_Calc!$V$117:$X$151,VLOOKUP(AX579,Foundation_Calc!$I$10:$J$13,2,FALSE),0),"")))</f>
        <v/>
      </c>
      <c r="N579" s="449"/>
      <c r="O579" s="449"/>
      <c r="P579" s="449"/>
      <c r="Q579" s="4"/>
      <c r="R579" s="6"/>
      <c r="S579" s="6"/>
      <c r="T579" s="4"/>
      <c r="U579" s="4"/>
      <c r="V579" s="4"/>
      <c r="W579" s="9"/>
      <c r="X579" s="9"/>
      <c r="Y579" s="9"/>
      <c r="Z579" s="9"/>
      <c r="AA579" s="9"/>
      <c r="AB579" s="9"/>
      <c r="AC579" s="449" t="str">
        <f t="shared" si="64"/>
        <v/>
      </c>
      <c r="AD579" s="449"/>
      <c r="AE579" s="449"/>
      <c r="AF579" s="4"/>
      <c r="AG579" s="83"/>
      <c r="AH579" s="4"/>
      <c r="AI579" s="4"/>
      <c r="AJ579" s="449"/>
      <c r="AK579" s="449"/>
      <c r="AL579" s="449"/>
      <c r="AM579" s="449"/>
      <c r="AN579" s="10"/>
      <c r="AO579" s="9"/>
      <c r="AP579" s="9"/>
      <c r="AQ579" s="9">
        <f>+FL_2($T$580,$T$578,$G$579,1200,9.28, 1*$F$580)</f>
        <v>-0.45400350967741931</v>
      </c>
      <c r="AR579" s="9"/>
      <c r="AS579" s="9"/>
      <c r="AT579" s="9"/>
      <c r="AU579" s="428"/>
      <c r="AV579" s="428"/>
      <c r="AW579" s="449" t="str">
        <f>IF(C579&gt;0,VLOOKUP(C579,Foundation_Calc!$A$2:$C$13,3,1),
IF(J579&gt;0,VLOOKUP(J579,Foundation_Calc!$A$2:$C$13,3,1),""))</f>
        <v>Multi Soil</v>
      </c>
      <c r="AX579" s="449" t="str">
        <f>IF(C579&gt;0,VLOOKUP(C579,Foundation_Calc!$E$35:$G$65,3,1),
IF(J579&gt;0,VLOOKUP(J579,Foundation_Calc!$E$35:$G$65,3,1),""))</f>
        <v>PT</v>
      </c>
      <c r="AY579" s="10" t="str">
        <f>IF(L579="","",
IF(AX579="PT",VLOOKUP(L579,Foundation_Calc!$K$79:$R$113,VLOOKUP(AW579,Foundation_Calc!$I$2:$J$8,2,FALSE),0),
IF(AX579="K",VLOOKUP(L579,Foundation_Calc!$K$117:$R$151,VLOOKUP(AW579,Foundation_Calc!$I$2:$J$8,2,FALSE),0),"")))</f>
        <v/>
      </c>
      <c r="AZ579" s="10">
        <f>IF(K579="","",
IF(AX579="PT",VLOOKUP(K579,Foundation_Calc!$K$79:$R$113,VLOOKUP(AW579,Foundation_Calc!$I$2:$J$8,2,FALSE),0),
IF(AX579="K",VLOOKUP(K579,Foundation_Calc!$K$117:$R$151,VLOOKUP(AW579,Foundation_Calc!$I$2:$J$8,2,FALSE),0),"")))</f>
        <v>2.8</v>
      </c>
      <c r="BA579" s="495" t="str">
        <f t="shared" si="69"/>
        <v/>
      </c>
      <c r="BB579" s="495" t="str">
        <f t="shared" si="70"/>
        <v>ü</v>
      </c>
      <c r="BC579" s="495" t="str">
        <f t="shared" si="71"/>
        <v/>
      </c>
      <c r="BD579" s="513" t="str">
        <f>IF(AND(L579="",H579=""),"",
IF(H579="",Pole_Calc!A$9,
IF(H579="MP",Pole_Calc!A$10,
IF(H579="AnMP",Pole_Calc!A$11,
IF(H579="A",Pole_Calc!A$12,
IF(H579="S/A",Pole_Calc!A$13,
IF(H579="A/S",Pole_Calc!A$14,"Poner a mano")))))))</f>
        <v/>
      </c>
      <c r="BE579" s="429" t="s">
        <v>118</v>
      </c>
      <c r="BF579" s="290"/>
      <c r="BG579" s="290"/>
      <c r="BH579" s="290"/>
      <c r="BI579" s="290"/>
    </row>
    <row r="580" spans="1:61" ht="15.75" customHeight="1">
      <c r="A580" s="514"/>
      <c r="B580" s="450" t="s">
        <v>1236</v>
      </c>
      <c r="C580" s="3">
        <f>+$C$578+$G$579</f>
        <v>44093.62000000001</v>
      </c>
      <c r="D580" s="83"/>
      <c r="E580" s="4"/>
      <c r="F580" s="4">
        <v>0</v>
      </c>
      <c r="G580" s="6"/>
      <c r="H580" s="449" t="s">
        <v>168</v>
      </c>
      <c r="I580" s="4"/>
      <c r="J580" s="3"/>
      <c r="K580" s="449"/>
      <c r="L580" s="449" t="s">
        <v>158</v>
      </c>
      <c r="M580" s="449" t="str">
        <f>IF(L580="","",
IF(AX580="PT",VLOOKUP(L580,Foundation_Calc!$V$79:$X$113,VLOOKUP(AX580,Foundation_Calc!$I$10:$J$13,2,FALSE),0),
IF(AX580="K",VLOOKUP(L580,Foundation_Calc!$V$117:$X$151,VLOOKUP(AX580,Foundation_Calc!$I$10:$J$13,2,FALSE),0),"")))</f>
        <v>C4R</v>
      </c>
      <c r="N580" s="449" t="s">
        <v>124</v>
      </c>
      <c r="O580" s="449"/>
      <c r="P580" s="449"/>
      <c r="Q580" s="4"/>
      <c r="R580" s="6"/>
      <c r="S580" s="6"/>
      <c r="T580" s="4">
        <v>-35</v>
      </c>
      <c r="U580" s="4"/>
      <c r="V580" s="4"/>
      <c r="W580" s="9">
        <v>1.4</v>
      </c>
      <c r="X580" s="9"/>
      <c r="Y580" s="9"/>
      <c r="Z580" s="9"/>
      <c r="AA580" s="9"/>
      <c r="AB580" s="9"/>
      <c r="AC580" s="449" t="str">
        <f t="shared" si="64"/>
        <v>PH</v>
      </c>
      <c r="AD580" s="449"/>
      <c r="AE580" s="449"/>
      <c r="AF580" s="4"/>
      <c r="AG580" s="83"/>
      <c r="AH580" s="4"/>
      <c r="AI580" s="4"/>
      <c r="AJ580" s="449"/>
      <c r="AK580" s="449"/>
      <c r="AL580" s="449"/>
      <c r="AM580" s="449" t="s">
        <v>126</v>
      </c>
      <c r="AN580" s="10">
        <v>5.5</v>
      </c>
      <c r="AO580" s="9"/>
      <c r="AP580" s="9"/>
      <c r="AQ580" s="9"/>
      <c r="AR580" s="9"/>
      <c r="AS580" s="9"/>
      <c r="AT580" s="9">
        <f>+ab($T$580,$T$578,$T$582,$G$579,$G$581, 1*$F$580,1200)</f>
        <v>-8.7443431418580957</v>
      </c>
      <c r="AU580" s="428"/>
      <c r="AV580" s="428"/>
      <c r="AW580" s="449" t="str">
        <f>IF(C580&gt;0,VLOOKUP(C580,Foundation_Calc!$A$2:$C$13,3,1),
IF(J580&gt;0,VLOOKUP(J580,Foundation_Calc!$A$2:$C$13,3,1),""))</f>
        <v>Multi Soil</v>
      </c>
      <c r="AX580" s="449" t="str">
        <f>IF(C580&gt;0,VLOOKUP(C580,Foundation_Calc!$E$35:$G$65,3,1),
IF(J580&gt;0,VLOOKUP(J580,Foundation_Calc!$E$35:$G$65,3,1),""))</f>
        <v>PT</v>
      </c>
      <c r="AY580" s="10">
        <f>IF(L580="","",
IF(AX580="PT",VLOOKUP(L580,Foundation_Calc!$K$79:$R$113,VLOOKUP(AW580,Foundation_Calc!$I$2:$J$8,2,FALSE),0),
IF(AX580="K",VLOOKUP(L580,Foundation_Calc!$K$117:$R$151,VLOOKUP(AW580,Foundation_Calc!$I$2:$J$8,2,FALSE),0),"")))</f>
        <v>3.5</v>
      </c>
      <c r="AZ580" s="10" t="str">
        <f>IF(K580="","",
IF(AX580="PT",VLOOKUP(K580,Foundation_Calc!$K$79:$R$113,VLOOKUP(AW580,Foundation_Calc!$I$2:$J$8,2,FALSE),0),
IF(AX580="K",VLOOKUP(K580,Foundation_Calc!$K$117:$R$151,VLOOKUP(AW580,Foundation_Calc!$I$2:$J$8,2,FALSE),0),"")))</f>
        <v/>
      </c>
      <c r="BA580" s="495" t="str">
        <f t="shared" si="69"/>
        <v>ü</v>
      </c>
      <c r="BB580" s="495" t="str">
        <f t="shared" si="70"/>
        <v/>
      </c>
      <c r="BC580" s="495" t="str">
        <f t="shared" si="71"/>
        <v/>
      </c>
      <c r="BD580" s="513" t="str">
        <f>IF(AND(L580="",H580=""),"",
IF(H580="",Pole_Calc!A$9,
IF(H580="MP",Pole_Calc!A$10,
IF(H580="AnMP",Pole_Calc!A$11,
IF(H580="A",Pole_Calc!A$12,
IF(H580="S/A",Pole_Calc!A$13,
IF(H580="A/S",Pole_Calc!A$14,"Poner a mano")))))))</f>
        <v>App.7-V11I-P9.5.1.3</v>
      </c>
      <c r="BE580" s="429" t="s">
        <v>118</v>
      </c>
      <c r="BF580" s="289"/>
      <c r="BG580" s="289"/>
      <c r="BH580" s="290"/>
      <c r="BI580" s="289"/>
    </row>
    <row r="581" spans="1:61" ht="15.75" customHeight="1">
      <c r="A581" s="514" t="s">
        <v>438</v>
      </c>
      <c r="B581" s="450"/>
      <c r="C581" s="3"/>
      <c r="D581" s="83"/>
      <c r="E581" s="4"/>
      <c r="F581" s="4"/>
      <c r="G581" s="6">
        <v>62</v>
      </c>
      <c r="H581" s="449"/>
      <c r="I581" s="4">
        <f>SUM(G567:G581)</f>
        <v>494</v>
      </c>
      <c r="J581" s="3"/>
      <c r="K581" s="449"/>
      <c r="L581" s="449"/>
      <c r="M581" s="449" t="str">
        <f>IF(L581="","",
IF(AX581="PT",VLOOKUP(L581,Foundation_Calc!$V$79:$X$113,VLOOKUP(AX581,Foundation_Calc!$I$10:$J$13,2,FALSE),0),
IF(AX581="K",VLOOKUP(L581,Foundation_Calc!$V$117:$X$151,VLOOKUP(AX581,Foundation_Calc!$I$10:$J$13,2,FALSE),0),"")))</f>
        <v/>
      </c>
      <c r="N581" s="449"/>
      <c r="O581" s="449"/>
      <c r="P581" s="449"/>
      <c r="Q581" s="4"/>
      <c r="R581" s="6"/>
      <c r="S581" s="6"/>
      <c r="T581" s="4"/>
      <c r="U581" s="4"/>
      <c r="V581" s="4"/>
      <c r="W581" s="9"/>
      <c r="X581" s="9"/>
      <c r="Y581" s="9"/>
      <c r="Z581" s="9"/>
      <c r="AA581" s="9"/>
      <c r="AB581" s="9"/>
      <c r="AC581" s="449" t="str">
        <f t="shared" si="64"/>
        <v/>
      </c>
      <c r="AD581" s="449"/>
      <c r="AE581" s="449"/>
      <c r="AF581" s="4"/>
      <c r="AG581" s="83"/>
      <c r="AH581" s="4"/>
      <c r="AI581" s="4"/>
      <c r="AJ581" s="449"/>
      <c r="AK581" s="449"/>
      <c r="AL581" s="449"/>
      <c r="AM581" s="449"/>
      <c r="AN581" s="10"/>
      <c r="AO581" s="9"/>
      <c r="AP581" s="9"/>
      <c r="AQ581" s="9">
        <f>+FL_1($T$582,$T$580,$G$581,1200,9.28, 1*$F$582)</f>
        <v>0.41765016498924729</v>
      </c>
      <c r="AR581" s="9"/>
      <c r="AS581" s="9"/>
      <c r="AT581" s="9"/>
      <c r="AU581" s="428"/>
      <c r="AV581" s="428"/>
      <c r="AW581" s="449" t="str">
        <f>IF(C581&gt;0,VLOOKUP(C581,Foundation_Calc!$A$2:$C$13,3,1),
IF(J581&gt;0,VLOOKUP(J581,Foundation_Calc!$A$2:$C$13,3,1),""))</f>
        <v/>
      </c>
      <c r="AX581" s="449" t="str">
        <f>IF(C581&gt;0,VLOOKUP(C581,Foundation_Calc!$E$35:$G$65,3,1),
IF(J581&gt;0,VLOOKUP(J581,Foundation_Calc!$E$35:$G$65,3,1),""))</f>
        <v/>
      </c>
      <c r="AY581" s="10" t="str">
        <f>IF(L581="","",
IF(AX581="PT",VLOOKUP(L581,Foundation_Calc!$K$79:$R$113,VLOOKUP(AW581,Foundation_Calc!$I$2:$J$8,2,FALSE),0),
IF(AX581="K",VLOOKUP(L581,Foundation_Calc!$K$117:$R$151,VLOOKUP(AW581,Foundation_Calc!$I$2:$J$8,2,FALSE),0),"")))</f>
        <v/>
      </c>
      <c r="AZ581" s="10" t="str">
        <f>IF(K581="","",
IF(AX581="PT",VLOOKUP(K581,Foundation_Calc!$K$79:$R$113,VLOOKUP(AW581,Foundation_Calc!$I$2:$J$8,2,FALSE),0),
IF(AX581="K",VLOOKUP(K581,Foundation_Calc!$K$117:$R$151,VLOOKUP(AW581,Foundation_Calc!$I$2:$J$8,2,FALSE),0),"")))</f>
        <v/>
      </c>
      <c r="BA581" s="495" t="str">
        <f t="shared" ref="BA581:BA615" si="72">IF(AY581="","",IF(AY581&gt;0,"ü",""))</f>
        <v/>
      </c>
      <c r="BB581" s="495" t="str">
        <f t="shared" ref="BB581:BB615" si="73">IF(AZ581="","",IF(AZ581&gt;0,"ü",""))</f>
        <v/>
      </c>
      <c r="BC581" s="495" t="str">
        <f t="shared" ref="BC581:BC615" si="74">IF(M581="","",IF(M581="U.S.","ü",IF(M581="U.S. N.D.","ü","")))</f>
        <v/>
      </c>
      <c r="BD581" s="513" t="str">
        <f>IF(AND(L581="",H581=""),"",
IF(H581="",Pole_Calc!A$9,
IF(H581="MP",Pole_Calc!A$10,
IF(H581="AnMP",Pole_Calc!A$11,
IF(H581="A",Pole_Calc!A$12,
IF(H581="S/A",Pole_Calc!A$13,
IF(H581="A/S",Pole_Calc!A$14,"Poner a mano")))))))</f>
        <v/>
      </c>
      <c r="BE581" s="429" t="s">
        <v>118</v>
      </c>
      <c r="BF581" s="290"/>
      <c r="BG581" s="290"/>
      <c r="BH581" s="290"/>
      <c r="BI581" s="290"/>
    </row>
    <row r="582" spans="1:61" ht="15.75" customHeight="1">
      <c r="A582" s="517" t="s">
        <v>442</v>
      </c>
      <c r="B582" s="450" t="s">
        <v>1237</v>
      </c>
      <c r="C582" s="3">
        <f>+$C$580+$G$581</f>
        <v>44155.62000000001</v>
      </c>
      <c r="D582" s="83"/>
      <c r="E582" s="4"/>
      <c r="F582" s="4">
        <v>0</v>
      </c>
      <c r="G582" s="6"/>
      <c r="H582" s="449" t="s">
        <v>171</v>
      </c>
      <c r="I582" s="4"/>
      <c r="J582" s="3"/>
      <c r="K582" s="449"/>
      <c r="L582" s="449" t="s">
        <v>232</v>
      </c>
      <c r="M582" s="449" t="str">
        <f>IF(L582="","",
IF(AX582="PT",VLOOKUP(L582,Foundation_Calc!$V$79:$X$113,VLOOKUP(AX582,Foundation_Calc!$I$10:$J$13,2,FALSE),0),
IF(AX582="K",VLOOKUP(L582,Foundation_Calc!$V$117:$X$151,VLOOKUP(AX582,Foundation_Calc!$I$10:$J$13,2,FALSE),0),"")))</f>
        <v>C5R</v>
      </c>
      <c r="N582" s="449" t="s">
        <v>453</v>
      </c>
      <c r="O582" s="449"/>
      <c r="P582" s="449"/>
      <c r="Q582" s="4"/>
      <c r="R582" s="6"/>
      <c r="S582" s="6"/>
      <c r="T582" s="4">
        <v>30</v>
      </c>
      <c r="U582" s="4"/>
      <c r="V582" s="4"/>
      <c r="W582" s="9">
        <v>1.4</v>
      </c>
      <c r="X582" s="9"/>
      <c r="Y582" s="9"/>
      <c r="Z582" s="9"/>
      <c r="AA582" s="9"/>
      <c r="AB582" s="9"/>
      <c r="AC582" s="449" t="str">
        <f t="shared" si="64"/>
        <v>PH</v>
      </c>
      <c r="AD582" s="449"/>
      <c r="AE582" s="449"/>
      <c r="AF582" s="4"/>
      <c r="AG582" s="83"/>
      <c r="AH582" s="4"/>
      <c r="AI582" s="4"/>
      <c r="AJ582" s="449"/>
      <c r="AK582" s="449" t="s">
        <v>451</v>
      </c>
      <c r="AL582" s="449" t="s">
        <v>241</v>
      </c>
      <c r="AM582" s="449" t="s">
        <v>126</v>
      </c>
      <c r="AN582" s="10">
        <v>5.5</v>
      </c>
      <c r="AO582" s="9"/>
      <c r="AP582" s="9"/>
      <c r="AQ582" s="9"/>
      <c r="AR582" s="9"/>
      <c r="AS582" s="9"/>
      <c r="AT582" s="9">
        <f>+ab($T$582,$T$580,$T$584,$G$581,$G$583, 1*$F$582,1200)</f>
        <v>10.164280989655376</v>
      </c>
      <c r="AU582" s="428"/>
      <c r="AV582" s="428"/>
      <c r="AW582" s="449" t="str">
        <f>IF(C582&gt;0,VLOOKUP(C582,Foundation_Calc!$A$2:$C$13,3,1),
IF(J582&gt;0,VLOOKUP(J582,Foundation_Calc!$A$2:$C$13,3,1),""))</f>
        <v>Multi Soil</v>
      </c>
      <c r="AX582" s="449" t="str">
        <f>IF(C582&gt;0,VLOOKUP(C582,Foundation_Calc!$E$35:$G$65,3,1),
IF(J582&gt;0,VLOOKUP(J582,Foundation_Calc!$E$35:$G$65,3,1),""))</f>
        <v>PT</v>
      </c>
      <c r="AY582" s="10">
        <f>IF(L582="","",
IF(AX582="PT",VLOOKUP(L582,Foundation_Calc!$K$79:$R$113,VLOOKUP(AW582,Foundation_Calc!$I$2:$J$8,2,FALSE),0),
IF(AX582="K",VLOOKUP(L582,Foundation_Calc!$K$117:$R$151,VLOOKUP(AW582,Foundation_Calc!$I$2:$J$8,2,FALSE),0),"")))</f>
        <v>3.5</v>
      </c>
      <c r="AZ582" s="10" t="str">
        <f>IF(K582="","",
IF(AX582="PT",VLOOKUP(K582,Foundation_Calc!$K$79:$R$113,VLOOKUP(AW582,Foundation_Calc!$I$2:$J$8,2,FALSE),0),
IF(AX582="K",VLOOKUP(K582,Foundation_Calc!$K$117:$R$151,VLOOKUP(AW582,Foundation_Calc!$I$2:$J$8,2,FALSE),0),"")))</f>
        <v/>
      </c>
      <c r="BA582" s="495" t="str">
        <f t="shared" si="72"/>
        <v>ü</v>
      </c>
      <c r="BB582" s="495" t="str">
        <f t="shared" si="73"/>
        <v/>
      </c>
      <c r="BC582" s="495" t="str">
        <f t="shared" si="74"/>
        <v/>
      </c>
      <c r="BD582" s="513" t="str">
        <f>Pole_Calc!A$251</f>
        <v>App.8-V08H-P10.3</v>
      </c>
      <c r="BE582" s="429" t="s">
        <v>118</v>
      </c>
      <c r="BF582" s="289"/>
      <c r="BG582" s="289"/>
      <c r="BH582" s="290"/>
      <c r="BI582" s="289"/>
    </row>
    <row r="583" spans="1:61" ht="15.75" customHeight="1">
      <c r="A583" s="517" t="s">
        <v>442</v>
      </c>
      <c r="B583" s="450"/>
      <c r="C583" s="3"/>
      <c r="D583" s="83"/>
      <c r="E583" s="4"/>
      <c r="F583" s="4"/>
      <c r="G583" s="6">
        <v>61</v>
      </c>
      <c r="H583" s="449"/>
      <c r="I583" s="4">
        <f>SUM(G583:G599)</f>
        <v>511</v>
      </c>
      <c r="J583" s="3"/>
      <c r="K583" s="449"/>
      <c r="L583" s="449"/>
      <c r="M583" s="449" t="str">
        <f>IF(L583="","",
IF(AX583="PT",VLOOKUP(L583,Foundation_Calc!$V$79:$X$113,VLOOKUP(AX583,Foundation_Calc!$I$10:$J$13,2,FALSE),0),
IF(AX583="K",VLOOKUP(L583,Foundation_Calc!$V$117:$X$151,VLOOKUP(AX583,Foundation_Calc!$I$10:$J$13,2,FALSE),0),"")))</f>
        <v/>
      </c>
      <c r="N583" s="449"/>
      <c r="O583" s="561"/>
      <c r="P583" s="449"/>
      <c r="Q583" s="4"/>
      <c r="R583" s="6"/>
      <c r="S583" s="6"/>
      <c r="T583" s="4"/>
      <c r="U583" s="4"/>
      <c r="V583" s="4"/>
      <c r="W583" s="9"/>
      <c r="X583" s="9"/>
      <c r="Y583" s="9"/>
      <c r="Z583" s="9"/>
      <c r="AA583" s="9"/>
      <c r="AB583" s="9"/>
      <c r="AC583" s="449" t="str">
        <f t="shared" si="64"/>
        <v/>
      </c>
      <c r="AD583" s="449"/>
      <c r="AE583" s="449"/>
      <c r="AF583" s="4"/>
      <c r="AG583" s="83"/>
      <c r="AH583" s="4"/>
      <c r="AI583" s="4"/>
      <c r="AJ583" s="449"/>
      <c r="AK583" s="449"/>
      <c r="AL583" s="449"/>
      <c r="AM583" s="449"/>
      <c r="AN583" s="10"/>
      <c r="AO583" s="9"/>
      <c r="AP583" s="9"/>
      <c r="AQ583" s="9">
        <f>+FL_1($T$584,$T$582,$G$583,1200,9.28, 1*$F$584)</f>
        <v>0.45313604590163931</v>
      </c>
      <c r="AR583" s="9"/>
      <c r="AS583" s="9"/>
      <c r="AT583" s="9"/>
      <c r="AU583" s="428"/>
      <c r="AV583" s="428"/>
      <c r="AW583" s="449" t="str">
        <f>IF(C583&gt;0,VLOOKUP(C583,Foundation_Calc!$A$2:$C$13,3,1),
IF(J583&gt;0,VLOOKUP(J583,Foundation_Calc!$A$2:$C$13,3,1),""))</f>
        <v/>
      </c>
      <c r="AX583" s="449" t="str">
        <f>IF(C583&gt;0,VLOOKUP(C583,Foundation_Calc!$E$35:$G$65,3,1),
IF(J583&gt;0,VLOOKUP(J583,Foundation_Calc!$E$35:$G$65,3,1),""))</f>
        <v/>
      </c>
      <c r="AY583" s="10" t="str">
        <f>IF(L583="","",
IF(AX583="PT",VLOOKUP(L583,Foundation_Calc!$K$79:$R$113,VLOOKUP(AW583,Foundation_Calc!$I$2:$J$8,2,FALSE),0),
IF(AX583="K",VLOOKUP(L583,Foundation_Calc!$K$117:$R$151,VLOOKUP(AW583,Foundation_Calc!$I$2:$J$8,2,FALSE),0),"")))</f>
        <v/>
      </c>
      <c r="AZ583" s="10" t="str">
        <f>IF(K583="","",
IF(AX583="PT",VLOOKUP(K583,Foundation_Calc!$K$79:$R$113,VLOOKUP(AW583,Foundation_Calc!$I$2:$J$8,2,FALSE),0),
IF(AX583="K",VLOOKUP(K583,Foundation_Calc!$K$117:$R$151,VLOOKUP(AW583,Foundation_Calc!$I$2:$J$8,2,FALSE),0),"")))</f>
        <v/>
      </c>
      <c r="BA583" s="495" t="str">
        <f t="shared" si="72"/>
        <v/>
      </c>
      <c r="BB583" s="495" t="str">
        <f t="shared" si="73"/>
        <v/>
      </c>
      <c r="BC583" s="495" t="str">
        <f t="shared" si="74"/>
        <v/>
      </c>
      <c r="BD583" s="513" t="str">
        <f>IF(AND(L583="",H583=""),"",
IF(H583="",Pole_Calc!A$9,
IF(H583="MP",Pole_Calc!A$10,
IF(H583="AnMP",Pole_Calc!A$11,
IF(H583="A",Pole_Calc!A$12,
IF(H583="S/A",Pole_Calc!A$13,
IF(H583="A/S",Pole_Calc!A$14,"Poner a mano")))))))</f>
        <v/>
      </c>
      <c r="BE583" s="429" t="s">
        <v>118</v>
      </c>
      <c r="BF583" s="290"/>
      <c r="BG583" s="290"/>
      <c r="BH583" s="290"/>
      <c r="BI583" s="290"/>
    </row>
    <row r="584" spans="1:61" ht="15.75" customHeight="1">
      <c r="A584" s="517" t="s">
        <v>442</v>
      </c>
      <c r="B584" s="450" t="s">
        <v>1238</v>
      </c>
      <c r="C584" s="3">
        <f>+$C$582+$G$583</f>
        <v>44216.62000000001</v>
      </c>
      <c r="D584" s="83"/>
      <c r="E584" s="4"/>
      <c r="F584" s="4">
        <v>0</v>
      </c>
      <c r="G584" s="6"/>
      <c r="H584" s="449" t="s">
        <v>168</v>
      </c>
      <c r="I584" s="4"/>
      <c r="J584" s="3"/>
      <c r="K584" s="449"/>
      <c r="L584" s="449" t="s">
        <v>232</v>
      </c>
      <c r="M584" s="449" t="str">
        <f>IF(L584="","",
IF(AX584="PT",VLOOKUP(L584,Foundation_Calc!$V$79:$X$113,VLOOKUP(AX584,Foundation_Calc!$I$10:$J$13,2,FALSE),0),
IF(AX584="K",VLOOKUP(L584,Foundation_Calc!$V$117:$X$151,VLOOKUP(AX584,Foundation_Calc!$I$10:$J$13,2,FALSE),0),"")))</f>
        <v>C5R</v>
      </c>
      <c r="N584" s="449" t="s">
        <v>343</v>
      </c>
      <c r="O584" s="449"/>
      <c r="P584" s="449"/>
      <c r="Q584" s="4"/>
      <c r="R584" s="6"/>
      <c r="S584" s="6"/>
      <c r="T584" s="4">
        <v>-20</v>
      </c>
      <c r="U584" s="4"/>
      <c r="V584" s="4"/>
      <c r="W584" s="9">
        <v>1.4</v>
      </c>
      <c r="X584" s="9"/>
      <c r="Y584" s="9"/>
      <c r="Z584" s="9"/>
      <c r="AA584" s="9"/>
      <c r="AB584" s="9"/>
      <c r="AC584" s="449" t="str">
        <f t="shared" si="64"/>
        <v>PH</v>
      </c>
      <c r="AD584" s="449"/>
      <c r="AE584" s="449"/>
      <c r="AF584" s="4"/>
      <c r="AG584" s="83"/>
      <c r="AH584" s="4"/>
      <c r="AI584" s="4"/>
      <c r="AJ584" s="449"/>
      <c r="AK584" s="449" t="s">
        <v>451</v>
      </c>
      <c r="AL584" s="449" t="s">
        <v>241</v>
      </c>
      <c r="AM584" s="449" t="s">
        <v>203</v>
      </c>
      <c r="AN584" s="10">
        <v>5.5</v>
      </c>
      <c r="AO584" s="9"/>
      <c r="AP584" s="9"/>
      <c r="AQ584" s="9"/>
      <c r="AR584" s="9"/>
      <c r="AS584" s="9"/>
      <c r="AT584" s="9">
        <f>+ab($T$584,$T$582,$T$586,$G$583,$G$585, 1*$F$584,1200)</f>
        <v>-12.966267023074643</v>
      </c>
      <c r="AU584" s="428"/>
      <c r="AV584" s="428"/>
      <c r="AW584" s="449" t="str">
        <f>IF(C584&gt;0,VLOOKUP(C584,Foundation_Calc!$A$2:$C$13,3,1),
IF(J584&gt;0,VLOOKUP(J584,Foundation_Calc!$A$2:$C$13,3,1),""))</f>
        <v>Multi Soil</v>
      </c>
      <c r="AX584" s="449" t="str">
        <f>IF(C584&gt;0,VLOOKUP(C584,Foundation_Calc!$E$35:$G$65,3,1),
IF(J584&gt;0,VLOOKUP(J584,Foundation_Calc!$E$35:$G$65,3,1),""))</f>
        <v>PT</v>
      </c>
      <c r="AY584" s="10">
        <f>IF(L584="","",
IF(AX584="PT",VLOOKUP(L584,Foundation_Calc!$K$79:$R$113,VLOOKUP(AW584,Foundation_Calc!$I$2:$J$8,2,FALSE),0),
IF(AX584="K",VLOOKUP(L584,Foundation_Calc!$K$117:$R$151,VLOOKUP(AW584,Foundation_Calc!$I$2:$J$8,2,FALSE),0),"")))</f>
        <v>3.5</v>
      </c>
      <c r="AZ584" s="10" t="str">
        <f>IF(K584="","",
IF(AX584="PT",VLOOKUP(K584,Foundation_Calc!$K$79:$R$113,VLOOKUP(AW584,Foundation_Calc!$I$2:$J$8,2,FALSE),0),
IF(AX584="K",VLOOKUP(K584,Foundation_Calc!$K$117:$R$151,VLOOKUP(AW584,Foundation_Calc!$I$2:$J$8,2,FALSE),0),"")))</f>
        <v/>
      </c>
      <c r="BA584" s="495" t="str">
        <f t="shared" si="72"/>
        <v>ü</v>
      </c>
      <c r="BB584" s="495" t="str">
        <f t="shared" si="73"/>
        <v/>
      </c>
      <c r="BC584" s="495" t="str">
        <f t="shared" si="74"/>
        <v/>
      </c>
      <c r="BD584" s="513" t="str">
        <f>Pole_Calc!A$251</f>
        <v>App.8-V08H-P10.3</v>
      </c>
      <c r="BE584" s="429" t="s">
        <v>118</v>
      </c>
      <c r="BF584" s="289"/>
      <c r="BG584" s="289"/>
      <c r="BH584" s="290"/>
      <c r="BI584" s="289"/>
    </row>
    <row r="585" spans="1:61" ht="15.75" customHeight="1">
      <c r="A585" s="517" t="s">
        <v>438</v>
      </c>
      <c r="B585" s="450"/>
      <c r="C585" s="3"/>
      <c r="D585" s="83"/>
      <c r="E585" s="4"/>
      <c r="F585" s="4"/>
      <c r="G585" s="6">
        <v>63</v>
      </c>
      <c r="H585" s="449"/>
      <c r="I585" s="4"/>
      <c r="J585" s="3">
        <f>C584+7.5</f>
        <v>44224.12000000001</v>
      </c>
      <c r="K585" s="449" t="s">
        <v>166</v>
      </c>
      <c r="L585" s="449"/>
      <c r="M585" s="449" t="str">
        <f>IF(L585="","",
IF(AX585="PT",VLOOKUP(L585,Foundation_Calc!$V$79:$X$113,VLOOKUP(AX585,Foundation_Calc!$I$10:$J$13,2,FALSE),0),
IF(AX585="K",VLOOKUP(L585,Foundation_Calc!$V$117:$X$151,VLOOKUP(AX585,Foundation_Calc!$I$10:$J$13,2,FALSE),0),"")))</f>
        <v/>
      </c>
      <c r="N585" s="449"/>
      <c r="O585" s="449"/>
      <c r="P585" s="449"/>
      <c r="Q585" s="4"/>
      <c r="R585" s="6"/>
      <c r="S585" s="6"/>
      <c r="T585" s="4"/>
      <c r="U585" s="4"/>
      <c r="V585" s="4"/>
      <c r="W585" s="9"/>
      <c r="X585" s="9"/>
      <c r="Y585" s="9"/>
      <c r="Z585" s="9"/>
      <c r="AA585" s="9"/>
      <c r="AB585" s="9"/>
      <c r="AC585" s="449" t="str">
        <f t="shared" si="64"/>
        <v/>
      </c>
      <c r="AD585" s="449"/>
      <c r="AE585" s="449"/>
      <c r="AF585" s="4"/>
      <c r="AG585" s="83"/>
      <c r="AH585" s="4"/>
      <c r="AI585" s="4"/>
      <c r="AJ585" s="449"/>
      <c r="AK585" s="449"/>
      <c r="AL585" s="449"/>
      <c r="AM585" s="449"/>
      <c r="AN585" s="10"/>
      <c r="AO585" s="9"/>
      <c r="AP585" s="9"/>
      <c r="AQ585" s="9">
        <f>+FL_2($T$586,$T$584,$G$585,1200,9.28, 1*$F$586)</f>
        <v>-0.40973406546031738</v>
      </c>
      <c r="AR585" s="9"/>
      <c r="AS585" s="9"/>
      <c r="AT585" s="9"/>
      <c r="AU585" s="428"/>
      <c r="AV585" s="428"/>
      <c r="AW585" s="449" t="str">
        <f>IF(C585&gt;0,VLOOKUP(C585,Foundation_Calc!$A$2:$C$13,3,1),
IF(J585&gt;0,VLOOKUP(J585,Foundation_Calc!$A$2:$C$13,3,1),""))</f>
        <v>Multi Soil</v>
      </c>
      <c r="AX585" s="449" t="str">
        <f>IF(C585&gt;0,VLOOKUP(C585,Foundation_Calc!$E$35:$G$65,3,1),
IF(J585&gt;0,VLOOKUP(J585,Foundation_Calc!$E$35:$G$65,3,1),""))</f>
        <v>PT</v>
      </c>
      <c r="AY585" s="10" t="str">
        <f>IF(L585="","",
IF(AX585="PT",VLOOKUP(L585,Foundation_Calc!$K$79:$R$113,VLOOKUP(AW585,Foundation_Calc!$I$2:$J$8,2,FALSE),0),
IF(AX585="K",VLOOKUP(L585,Foundation_Calc!$K$117:$R$151,VLOOKUP(AW585,Foundation_Calc!$I$2:$J$8,2,FALSE),0),"")))</f>
        <v/>
      </c>
      <c r="AZ585" s="10">
        <f>IF(K585="","",
IF(AX585="PT",VLOOKUP(K585,Foundation_Calc!$K$79:$R$113,VLOOKUP(AW585,Foundation_Calc!$I$2:$J$8,2,FALSE),0),
IF(AX585="K",VLOOKUP(K585,Foundation_Calc!$K$117:$R$151,VLOOKUP(AW585,Foundation_Calc!$I$2:$J$8,2,FALSE),0),"")))</f>
        <v>2.8</v>
      </c>
      <c r="BA585" s="495"/>
      <c r="BB585" s="495"/>
      <c r="BC585" s="495"/>
      <c r="BD585" s="513" t="str">
        <f>IF(AND(L585="",H585=""),"",
IF(H585="",Pole_Calc!A$9,
IF(H585="MP",Pole_Calc!A$10,
IF(H585="AnMP",Pole_Calc!A$11,
IF(H585="A",Pole_Calc!A$12,
IF(H585="S/A",Pole_Calc!A$13,
IF(H585="A/S",Pole_Calc!A$14,"Poner a mano")))))))</f>
        <v/>
      </c>
      <c r="BE585" s="429" t="s">
        <v>118</v>
      </c>
      <c r="BF585" s="290"/>
      <c r="BG585" s="290"/>
      <c r="BH585" s="290"/>
      <c r="BI585" s="290"/>
    </row>
    <row r="586" spans="1:61" ht="15.75" customHeight="1">
      <c r="A586" s="517" t="s">
        <v>442</v>
      </c>
      <c r="B586" s="450" t="s">
        <v>1239</v>
      </c>
      <c r="C586" s="3">
        <f>+$C$584+$G$585</f>
        <v>44279.62000000001</v>
      </c>
      <c r="D586" s="83"/>
      <c r="E586" s="4"/>
      <c r="F586" s="4">
        <v>0</v>
      </c>
      <c r="G586" s="6"/>
      <c r="H586" s="449"/>
      <c r="I586" s="4"/>
      <c r="J586" s="3"/>
      <c r="K586" s="449"/>
      <c r="L586" s="449" t="s">
        <v>568</v>
      </c>
      <c r="M586" s="449" t="str">
        <f>IF(L586="","",
IF(AX586="PT",VLOOKUP(L586,Foundation_Calc!$V$79:$X$113,VLOOKUP(AX586,Foundation_Calc!$I$10:$J$13,2,FALSE),0),
IF(AX586="K",VLOOKUP(L586,Foundation_Calc!$V$117:$X$151,VLOOKUP(AX586,Foundation_Calc!$I$10:$J$13,2,FALSE),0),"")))</f>
        <v>C9R</v>
      </c>
      <c r="N586" s="449" t="s">
        <v>453</v>
      </c>
      <c r="O586" s="449"/>
      <c r="P586" s="449"/>
      <c r="Q586" s="4"/>
      <c r="R586" s="6"/>
      <c r="S586" s="6"/>
      <c r="T586" s="4">
        <v>20</v>
      </c>
      <c r="U586" s="4"/>
      <c r="V586" s="4"/>
      <c r="W586" s="9">
        <v>1.4</v>
      </c>
      <c r="X586" s="9"/>
      <c r="Y586" s="9"/>
      <c r="Z586" s="9"/>
      <c r="AA586" s="9"/>
      <c r="AB586" s="9"/>
      <c r="AC586" s="449" t="str">
        <f t="shared" si="64"/>
        <v>PH</v>
      </c>
      <c r="AD586" s="449"/>
      <c r="AE586" s="449"/>
      <c r="AF586" s="4"/>
      <c r="AG586" s="83"/>
      <c r="AH586" s="4"/>
      <c r="AI586" s="4"/>
      <c r="AJ586" s="449"/>
      <c r="AK586" s="449" t="s">
        <v>344</v>
      </c>
      <c r="AL586" s="449" t="s">
        <v>569</v>
      </c>
      <c r="AM586" s="449" t="s">
        <v>203</v>
      </c>
      <c r="AN586" s="10">
        <v>5.5</v>
      </c>
      <c r="AO586" s="9"/>
      <c r="AP586" s="9"/>
      <c r="AQ586" s="9"/>
      <c r="AR586" s="9"/>
      <c r="AS586" s="9"/>
      <c r="AT586" s="9">
        <f>+ab($T$586,$T$584,$T$588,$G$585,$G$587, 1*$F$586,1200)</f>
        <v>14.066318935024224</v>
      </c>
      <c r="AU586" s="428"/>
      <c r="AV586" s="428"/>
      <c r="AW586" s="449" t="str">
        <f>IF(C586&gt;0,VLOOKUP(C586,Foundation_Calc!$A$2:$C$13,3,1),
IF(J586&gt;0,VLOOKUP(J586,Foundation_Calc!$A$2:$C$13,3,1),""))</f>
        <v>Multi Soil</v>
      </c>
      <c r="AX586" s="449" t="str">
        <f>IF(C586&gt;0,VLOOKUP(C586,Foundation_Calc!$E$35:$G$65,3,1),
IF(J586&gt;0,VLOOKUP(J586,Foundation_Calc!$E$35:$G$65,3,1),""))</f>
        <v>PT</v>
      </c>
      <c r="AY586" s="10">
        <f>IF(L586="","",
IF(AX586="PT",VLOOKUP(L586,Foundation_Calc!$K$79:$R$113,VLOOKUP(AW586,Foundation_Calc!$I$2:$J$8,2,FALSE),0),
IF(AX586="K",VLOOKUP(L586,Foundation_Calc!$K$117:$R$151,VLOOKUP(AW586,Foundation_Calc!$I$2:$J$8,2,FALSE),0),"")))</f>
        <v>4.5999999999999996</v>
      </c>
      <c r="AZ586" s="10" t="str">
        <f>IF(K586="","",
IF(AX586="PT",VLOOKUP(K586,Foundation_Calc!$K$79:$R$113,VLOOKUP(AW586,Foundation_Calc!$I$2:$J$8,2,FALSE),0),
IF(AX586="K",VLOOKUP(K586,Foundation_Calc!$K$117:$R$151,VLOOKUP(AW586,Foundation_Calc!$I$2:$J$8,2,FALSE),0),"")))</f>
        <v/>
      </c>
      <c r="BA586" s="495" t="str">
        <f t="shared" ref="BA586:BA592" si="75">IF(AY586="","",IF(AY586&gt;0,"ü",""))</f>
        <v>ü</v>
      </c>
      <c r="BB586" s="495" t="str">
        <f t="shared" ref="BB586:BB592" si="76">IF(AZ586="","",IF(AZ586&gt;0,"ü",""))</f>
        <v/>
      </c>
      <c r="BC586" s="495" t="str">
        <f t="shared" ref="BC586:BC592" si="77">IF(M586="","",IF(M586="U.S.","ü",IF(M586="U.S. N.D.","ü","")))</f>
        <v/>
      </c>
      <c r="BD586" s="513" t="str">
        <f>Pole_Calc!A$232</f>
        <v>App.7-V11I-P13.3</v>
      </c>
      <c r="BE586" s="429" t="s">
        <v>118</v>
      </c>
      <c r="BF586" s="289"/>
      <c r="BG586" s="289"/>
      <c r="BH586" s="290"/>
      <c r="BI586" s="289"/>
    </row>
    <row r="587" spans="1:61" ht="15.75" customHeight="1">
      <c r="A587" s="517" t="s">
        <v>438</v>
      </c>
      <c r="B587" s="450"/>
      <c r="C587" s="3"/>
      <c r="D587" s="83"/>
      <c r="E587" s="4"/>
      <c r="F587" s="4"/>
      <c r="G587" s="6">
        <v>57</v>
      </c>
      <c r="H587" s="449"/>
      <c r="I587" s="4"/>
      <c r="J587" s="3"/>
      <c r="K587" s="449"/>
      <c r="L587" s="449"/>
      <c r="M587" s="449" t="str">
        <f>IF(L587="","",
IF(AX587="PT",VLOOKUP(L587,Foundation_Calc!$V$79:$X$113,VLOOKUP(AX587,Foundation_Calc!$I$10:$J$13,2,FALSE),0),
IF(AX587="K",VLOOKUP(L587,Foundation_Calc!$V$117:$X$151,VLOOKUP(AX587,Foundation_Calc!$I$10:$J$13,2,FALSE),0),"")))</f>
        <v/>
      </c>
      <c r="N587" s="449"/>
      <c r="O587" s="449"/>
      <c r="P587" s="449"/>
      <c r="Q587" s="4"/>
      <c r="R587" s="6"/>
      <c r="S587" s="6"/>
      <c r="T587" s="4"/>
      <c r="U587" s="4"/>
      <c r="V587" s="4"/>
      <c r="W587" s="9"/>
      <c r="X587" s="9"/>
      <c r="Y587" s="9"/>
      <c r="Z587" s="9"/>
      <c r="AA587" s="9"/>
      <c r="AB587" s="9"/>
      <c r="AC587" s="449" t="str">
        <f t="shared" si="64"/>
        <v/>
      </c>
      <c r="AD587" s="449"/>
      <c r="AE587" s="449"/>
      <c r="AF587" s="4"/>
      <c r="AG587" s="83"/>
      <c r="AH587" s="4"/>
      <c r="AI587" s="4"/>
      <c r="AJ587" s="449"/>
      <c r="AK587" s="449"/>
      <c r="AL587" s="449"/>
      <c r="AM587" s="449"/>
      <c r="AN587" s="10"/>
      <c r="AO587" s="9"/>
      <c r="AP587" s="9"/>
      <c r="AQ587" s="9">
        <f>+FL_1($T$588,$T$586,$G$587,1200,9.28, 1*$F$588)</f>
        <v>0.34591002814035093</v>
      </c>
      <c r="AR587" s="9"/>
      <c r="AS587" s="9"/>
      <c r="AT587" s="9"/>
      <c r="AU587" s="428"/>
      <c r="AV587" s="428"/>
      <c r="AW587" s="449" t="str">
        <f>IF(C587&gt;0,VLOOKUP(C587,Foundation_Calc!$A$2:$C$13,3,1),
IF(J587&gt;0,VLOOKUP(J587,Foundation_Calc!$A$2:$C$13,3,1),""))</f>
        <v/>
      </c>
      <c r="AX587" s="449" t="str">
        <f>IF(C587&gt;0,VLOOKUP(C587,Foundation_Calc!$E$35:$G$65,3,1),
IF(J587&gt;0,VLOOKUP(J587,Foundation_Calc!$E$35:$G$65,3,1),""))</f>
        <v/>
      </c>
      <c r="AY587" s="10" t="str">
        <f>IF(L587="","",
IF(AX587="PT",VLOOKUP(L587,Foundation_Calc!$K$79:$R$113,VLOOKUP(AW587,Foundation_Calc!$I$2:$J$8,2,FALSE),0),
IF(AX587="K",VLOOKUP(L587,Foundation_Calc!$K$117:$R$151,VLOOKUP(AW587,Foundation_Calc!$I$2:$J$8,2,FALSE),0),"")))</f>
        <v/>
      </c>
      <c r="AZ587" s="10" t="str">
        <f>IF(K587="","",
IF(AX587="PT",VLOOKUP(K587,Foundation_Calc!$K$79:$R$113,VLOOKUP(AW587,Foundation_Calc!$I$2:$J$8,2,FALSE),0),
IF(AX587="K",VLOOKUP(K587,Foundation_Calc!$K$117:$R$151,VLOOKUP(AW587,Foundation_Calc!$I$2:$J$8,2,FALSE),0),"")))</f>
        <v/>
      </c>
      <c r="BA587" s="495" t="str">
        <f t="shared" si="75"/>
        <v/>
      </c>
      <c r="BB587" s="495" t="str">
        <f t="shared" si="76"/>
        <v/>
      </c>
      <c r="BC587" s="495" t="str">
        <f t="shared" si="77"/>
        <v/>
      </c>
      <c r="BD587" s="513"/>
      <c r="BE587" s="429" t="s">
        <v>118</v>
      </c>
      <c r="BF587" s="290"/>
      <c r="BG587" s="290"/>
      <c r="BH587" s="290"/>
      <c r="BI587" s="290"/>
    </row>
    <row r="588" spans="1:61" ht="15.75" customHeight="1">
      <c r="A588" s="732" t="s">
        <v>524</v>
      </c>
      <c r="B588" s="722" t="s">
        <v>1240</v>
      </c>
      <c r="C588" s="723">
        <f>+$C$586+$G$587</f>
        <v>44336.62000000001</v>
      </c>
      <c r="D588" s="724"/>
      <c r="E588" s="725"/>
      <c r="F588" s="725">
        <v>0</v>
      </c>
      <c r="G588" s="726"/>
      <c r="H588" s="727"/>
      <c r="I588" s="725"/>
      <c r="J588" s="723"/>
      <c r="K588" s="727"/>
      <c r="L588" s="727" t="s">
        <v>568</v>
      </c>
      <c r="M588" s="727" t="str">
        <f>IF(L588="","",
IF(AX588="PT",VLOOKUP(L588,Foundation_Calc!$V$79:$X$113,VLOOKUP(AX588,Foundation_Calc!$I$10:$J$13,2,FALSE),0),
IF(AX588="K",VLOOKUP(L588,Foundation_Calc!$V$117:$X$151,VLOOKUP(AX588,Foundation_Calc!$I$10:$J$13,2,FALSE),0),"")))</f>
        <v>C9R</v>
      </c>
      <c r="N588" s="727" t="s">
        <v>343</v>
      </c>
      <c r="O588" s="727"/>
      <c r="P588" s="727"/>
      <c r="Q588" s="725"/>
      <c r="R588" s="726"/>
      <c r="S588" s="726"/>
      <c r="T588" s="725">
        <v>-20</v>
      </c>
      <c r="U588" s="725"/>
      <c r="V588" s="725"/>
      <c r="W588" s="728">
        <v>1.4</v>
      </c>
      <c r="X588" s="728"/>
      <c r="Y588" s="728"/>
      <c r="Z588" s="728"/>
      <c r="AA588" s="728"/>
      <c r="AB588" s="728"/>
      <c r="AC588" s="727" t="str">
        <f t="shared" si="64"/>
        <v>PH</v>
      </c>
      <c r="AD588" s="727"/>
      <c r="AE588" s="727"/>
      <c r="AF588" s="725"/>
      <c r="AG588" s="724"/>
      <c r="AH588" s="725"/>
      <c r="AI588" s="725"/>
      <c r="AJ588" s="727"/>
      <c r="AK588" s="727" t="s">
        <v>344</v>
      </c>
      <c r="AL588" s="727" t="s">
        <v>569</v>
      </c>
      <c r="AM588" s="727" t="s">
        <v>203</v>
      </c>
      <c r="AN588" s="729">
        <v>5.5</v>
      </c>
      <c r="AO588" s="728"/>
      <c r="AP588" s="728"/>
      <c r="AQ588" s="728"/>
      <c r="AR588" s="728"/>
      <c r="AS588" s="728"/>
      <c r="AT588" s="728">
        <f>+ab($T$588,$T$586,$T$590,$G$587,$G$589, 1*$F$588,1200)</f>
        <v>-14.167400756640236</v>
      </c>
      <c r="AU588" s="730"/>
      <c r="AV588" s="730"/>
      <c r="AW588" s="727" t="str">
        <f>IF(C588&gt;0,VLOOKUP(C588,Foundation_Calc!$A$2:$C$13,3,1),
IF(J588&gt;0,VLOOKUP(J588,Foundation_Calc!$A$2:$C$13,3,1),""))</f>
        <v>Multi Soil</v>
      </c>
      <c r="AX588" s="727" t="str">
        <f>IF(C588&gt;0,VLOOKUP(C588,Foundation_Calc!$E$35:$G$65,3,1),
IF(J588&gt;0,VLOOKUP(J588,Foundation_Calc!$E$35:$G$65,3,1),""))</f>
        <v>PT</v>
      </c>
      <c r="AY588" s="729">
        <f>IF(L588="","",
IF(AX588="PT",VLOOKUP(L588,Foundation_Calc!$K$79:$R$113,VLOOKUP(AW588,Foundation_Calc!$I$2:$J$8,2,FALSE),0),
IF(AX588="K",VLOOKUP(L588,Foundation_Calc!$K$117:$R$151,VLOOKUP(AW588,Foundation_Calc!$I$2:$J$8,2,FALSE),0),"")))</f>
        <v>4.5999999999999996</v>
      </c>
      <c r="AZ588" s="729" t="str">
        <f>IF(K588="","",
IF(AX588="PT",VLOOKUP(K588,Foundation_Calc!$K$79:$R$113,VLOOKUP(AW588,Foundation_Calc!$I$2:$J$8,2,FALSE),0),
IF(AX588="K",VLOOKUP(K588,Foundation_Calc!$K$117:$R$151,VLOOKUP(AW588,Foundation_Calc!$I$2:$J$8,2,FALSE),0),"")))</f>
        <v/>
      </c>
      <c r="BA588" s="495" t="str">
        <f t="shared" si="75"/>
        <v>ü</v>
      </c>
      <c r="BB588" s="495" t="str">
        <f t="shared" si="76"/>
        <v/>
      </c>
      <c r="BC588" s="495" t="str">
        <f t="shared" si="77"/>
        <v/>
      </c>
      <c r="BD588" s="513" t="str">
        <f>Pole_Calc!A$232</f>
        <v>App.7-V11I-P13.3</v>
      </c>
      <c r="BE588" s="429" t="s">
        <v>118</v>
      </c>
      <c r="BF588" s="289"/>
      <c r="BG588" s="289"/>
      <c r="BH588" s="290"/>
      <c r="BI588" s="289"/>
    </row>
    <row r="589" spans="1:61" ht="15.75" customHeight="1">
      <c r="A589" s="514" t="s">
        <v>413</v>
      </c>
      <c r="B589" s="450"/>
      <c r="C589" s="3"/>
      <c r="D589" s="83"/>
      <c r="E589" s="4"/>
      <c r="F589" s="4"/>
      <c r="G589" s="6">
        <v>64</v>
      </c>
      <c r="H589" s="449"/>
      <c r="I589" s="4"/>
      <c r="J589" s="3"/>
      <c r="K589" s="449"/>
      <c r="L589" s="449"/>
      <c r="M589" s="449" t="str">
        <f>IF(L589="","",
IF(AX589="PT",VLOOKUP(L589,Foundation_Calc!$V$79:$X$113,VLOOKUP(AX589,Foundation_Calc!$I$10:$J$13,2,FALSE),0),
IF(AX589="K",VLOOKUP(L589,Foundation_Calc!$V$117:$X$151,VLOOKUP(AX589,Foundation_Calc!$I$10:$J$13,2,FALSE),0),"")))</f>
        <v/>
      </c>
      <c r="N589" s="449"/>
      <c r="O589" s="561"/>
      <c r="P589" s="449"/>
      <c r="Q589" s="4"/>
      <c r="R589" s="6"/>
      <c r="S589" s="6"/>
      <c r="T589" s="4"/>
      <c r="U589" s="4"/>
      <c r="V589" s="4"/>
      <c r="W589" s="9"/>
      <c r="X589" s="9"/>
      <c r="Y589" s="9"/>
      <c r="Z589" s="9"/>
      <c r="AA589" s="9"/>
      <c r="AB589" s="9"/>
      <c r="AC589" s="449" t="str">
        <f t="shared" si="64"/>
        <v/>
      </c>
      <c r="AD589" s="449"/>
      <c r="AE589" s="449"/>
      <c r="AF589" s="4"/>
      <c r="AG589" s="83"/>
      <c r="AH589" s="4"/>
      <c r="AI589" s="4"/>
      <c r="AJ589" s="449"/>
      <c r="AK589" s="449"/>
      <c r="AL589" s="449"/>
      <c r="AM589" s="449"/>
      <c r="AN589" s="10"/>
      <c r="AO589" s="9"/>
      <c r="AP589" s="9"/>
      <c r="AQ589" s="9">
        <f>+FL_1($T$590,$T$588,$G$589,1200,9.28, 1*$F$590)</f>
        <v>0.42120259199999999</v>
      </c>
      <c r="AR589" s="9"/>
      <c r="AS589" s="9"/>
      <c r="AT589" s="9"/>
      <c r="AU589" s="428"/>
      <c r="AV589" s="428"/>
      <c r="AW589" s="449" t="str">
        <f>IF(C589&gt;0,VLOOKUP(C589,Foundation_Calc!$A$2:$C$13,3,1),
IF(J589&gt;0,VLOOKUP(J589,Foundation_Calc!$A$2:$C$13,3,1),""))</f>
        <v/>
      </c>
      <c r="AX589" s="449" t="str">
        <f>IF(C589&gt;0,VLOOKUP(C589,Foundation_Calc!$E$35:$G$65,3,1),
IF(J589&gt;0,VLOOKUP(J589,Foundation_Calc!$E$35:$G$65,3,1),""))</f>
        <v/>
      </c>
      <c r="AY589" s="10" t="str">
        <f>IF(L589="","",
IF(AX589="PT",VLOOKUP(L589,Foundation_Calc!$K$79:$R$113,VLOOKUP(AW589,Foundation_Calc!$I$2:$J$8,2,FALSE),0),
IF(AX589="K",VLOOKUP(L589,Foundation_Calc!$K$117:$R$151,VLOOKUP(AW589,Foundation_Calc!$I$2:$J$8,2,FALSE),0),"")))</f>
        <v/>
      </c>
      <c r="AZ589" s="10" t="str">
        <f>IF(K589="","",
IF(AX589="PT",VLOOKUP(K589,Foundation_Calc!$K$79:$R$113,VLOOKUP(AW589,Foundation_Calc!$I$2:$J$8,2,FALSE),0),
IF(AX589="K",VLOOKUP(K589,Foundation_Calc!$K$117:$R$151,VLOOKUP(AW589,Foundation_Calc!$I$2:$J$8,2,FALSE),0),"")))</f>
        <v/>
      </c>
      <c r="BA589" s="495" t="str">
        <f t="shared" si="75"/>
        <v/>
      </c>
      <c r="BB589" s="495" t="str">
        <f t="shared" si="76"/>
        <v/>
      </c>
      <c r="BC589" s="495" t="str">
        <f t="shared" si="77"/>
        <v/>
      </c>
      <c r="BD589" s="513"/>
      <c r="BE589" s="429" t="s">
        <v>118</v>
      </c>
      <c r="BF589" s="290"/>
      <c r="BG589" s="290"/>
      <c r="BH589" s="290"/>
      <c r="BI589" s="290"/>
    </row>
    <row r="590" spans="1:61" ht="15.75" customHeight="1">
      <c r="A590" s="518" t="s">
        <v>438</v>
      </c>
      <c r="B590" s="450" t="s">
        <v>1241</v>
      </c>
      <c r="C590" s="3">
        <f>+$C$588+$G$589</f>
        <v>44400.62000000001</v>
      </c>
      <c r="D590" s="83"/>
      <c r="E590" s="4"/>
      <c r="F590" s="4">
        <v>0</v>
      </c>
      <c r="G590" s="6"/>
      <c r="H590" s="449"/>
      <c r="I590" s="4"/>
      <c r="J590" s="3"/>
      <c r="K590" s="449"/>
      <c r="L590" s="449" t="s">
        <v>568</v>
      </c>
      <c r="M590" s="449" t="str">
        <f>IF(L590="","",
IF(AX590="PT",VLOOKUP(L590,Foundation_Calc!$V$79:$X$113,VLOOKUP(AX590,Foundation_Calc!$I$10:$J$13,2,FALSE),0),
IF(AX590="K",VLOOKUP(L590,Foundation_Calc!$V$117:$X$151,VLOOKUP(AX590,Foundation_Calc!$I$10:$J$13,2,FALSE),0),"")))</f>
        <v>C9R</v>
      </c>
      <c r="N590" s="449" t="s">
        <v>453</v>
      </c>
      <c r="O590" s="449"/>
      <c r="P590" s="449"/>
      <c r="Q590" s="4"/>
      <c r="R590" s="6"/>
      <c r="S590" s="6"/>
      <c r="T590" s="4">
        <v>20</v>
      </c>
      <c r="U590" s="4"/>
      <c r="V590" s="4"/>
      <c r="W590" s="9">
        <v>1.4</v>
      </c>
      <c r="X590" s="9"/>
      <c r="Y590" s="9"/>
      <c r="Z590" s="9"/>
      <c r="AA590" s="9"/>
      <c r="AB590" s="9"/>
      <c r="AC590" s="449" t="str">
        <f t="shared" si="64"/>
        <v>PH</v>
      </c>
      <c r="AD590" s="449"/>
      <c r="AE590" s="449"/>
      <c r="AF590" s="4"/>
      <c r="AG590" s="83"/>
      <c r="AH590" s="4"/>
      <c r="AI590" s="4"/>
      <c r="AJ590" s="449"/>
      <c r="AK590" s="449" t="s">
        <v>344</v>
      </c>
      <c r="AL590" s="449" t="s">
        <v>569</v>
      </c>
      <c r="AM590" s="449" t="s">
        <v>203</v>
      </c>
      <c r="AN590" s="10">
        <v>5.5</v>
      </c>
      <c r="AO590" s="9"/>
      <c r="AP590" s="9"/>
      <c r="AQ590" s="9"/>
      <c r="AR590" s="9"/>
      <c r="AS590" s="9"/>
      <c r="AT590" s="9">
        <f>+ab($T$590,$T$588,$T$592,$G$589,$G$591, 1*$F$590,1200)</f>
        <v>14.999043797127449</v>
      </c>
      <c r="AU590" s="428"/>
      <c r="AV590" s="428"/>
      <c r="AW590" s="449" t="str">
        <f>IF(C590&gt;0,VLOOKUP(C590,Foundation_Calc!$A$2:$C$13,3,1),
IF(J590&gt;0,VLOOKUP(J590,Foundation_Calc!$A$2:$C$13,3,1),""))</f>
        <v>Multi Soil</v>
      </c>
      <c r="AX590" s="449" t="str">
        <f>IF(C590&gt;0,VLOOKUP(C590,Foundation_Calc!$E$35:$G$65,3,1),
IF(J590&gt;0,VLOOKUP(J590,Foundation_Calc!$E$35:$G$65,3,1),""))</f>
        <v>PT</v>
      </c>
      <c r="AY590" s="10">
        <f>IF(L590="","",
IF(AX590="PT",VLOOKUP(L590,Foundation_Calc!$K$79:$R$113,VLOOKUP(AW590,Foundation_Calc!$I$2:$J$8,2,FALSE),0),
IF(AX590="K",VLOOKUP(L590,Foundation_Calc!$K$117:$R$151,VLOOKUP(AW590,Foundation_Calc!$I$2:$J$8,2,FALSE),0),"")))</f>
        <v>4.5999999999999996</v>
      </c>
      <c r="AZ590" s="10" t="str">
        <f>IF(K590="","",
IF(AX590="PT",VLOOKUP(K590,Foundation_Calc!$K$79:$R$113,VLOOKUP(AW590,Foundation_Calc!$I$2:$J$8,2,FALSE),0),
IF(AX590="K",VLOOKUP(K590,Foundation_Calc!$K$117:$R$151,VLOOKUP(AW590,Foundation_Calc!$I$2:$J$8,2,FALSE),0),"")))</f>
        <v/>
      </c>
      <c r="BA590" s="495" t="str">
        <f t="shared" si="75"/>
        <v>ü</v>
      </c>
      <c r="BB590" s="495" t="str">
        <f t="shared" si="76"/>
        <v/>
      </c>
      <c r="BC590" s="495" t="str">
        <f t="shared" si="77"/>
        <v/>
      </c>
      <c r="BD590" s="513" t="str">
        <f>Pole_Calc!A$232</f>
        <v>App.7-V11I-P13.3</v>
      </c>
      <c r="BE590" s="429" t="s">
        <v>118</v>
      </c>
      <c r="BF590" s="289"/>
      <c r="BG590" s="289"/>
      <c r="BH590" s="290"/>
      <c r="BI590" s="289"/>
    </row>
    <row r="591" spans="1:61" ht="15.75" customHeight="1">
      <c r="A591" s="517" t="s">
        <v>438</v>
      </c>
      <c r="B591" s="450"/>
      <c r="C591" s="3"/>
      <c r="D591" s="83"/>
      <c r="E591" s="4"/>
      <c r="F591" s="4"/>
      <c r="G591" s="6">
        <v>64</v>
      </c>
      <c r="H591" s="449"/>
      <c r="I591" s="4"/>
      <c r="J591" s="3"/>
      <c r="K591" s="449"/>
      <c r="L591" s="449"/>
      <c r="M591" s="449" t="str">
        <f>IF(L591="","",
IF(AX591="PT",VLOOKUP(L591,Foundation_Calc!$V$79:$X$113,VLOOKUP(AX591,Foundation_Calc!$I$10:$J$13,2,FALSE),0),
IF(AX591="K",VLOOKUP(L591,Foundation_Calc!$V$117:$X$151,VLOOKUP(AX591,Foundation_Calc!$I$10:$J$13,2,FALSE),0),"")))</f>
        <v/>
      </c>
      <c r="N591" s="449"/>
      <c r="O591" s="449"/>
      <c r="P591" s="449"/>
      <c r="Q591" s="4"/>
      <c r="R591" s="6"/>
      <c r="S591" s="6"/>
      <c r="T591" s="4"/>
      <c r="U591" s="4"/>
      <c r="V591" s="4"/>
      <c r="W591" s="9"/>
      <c r="X591" s="9"/>
      <c r="Y591" s="9"/>
      <c r="Z591" s="9"/>
      <c r="AA591" s="9"/>
      <c r="AB591" s="9"/>
      <c r="AC591" s="449" t="str">
        <f t="shared" si="64"/>
        <v/>
      </c>
      <c r="AD591" s="449"/>
      <c r="AE591" s="449"/>
      <c r="AF591" s="4"/>
      <c r="AG591" s="83"/>
      <c r="AH591" s="4"/>
      <c r="AI591" s="4"/>
      <c r="AJ591" s="449"/>
      <c r="AK591" s="449"/>
      <c r="AL591" s="449"/>
      <c r="AM591" s="449"/>
      <c r="AN591" s="10"/>
      <c r="AO591" s="9"/>
      <c r="AP591" s="9"/>
      <c r="AQ591" s="9">
        <f>+FL_2($T$592,$T$590,$G$591,1200,9.28, 1*$F$592)</f>
        <v>-0.46902600278392426</v>
      </c>
      <c r="AR591" s="9"/>
      <c r="AS591" s="9"/>
      <c r="AT591" s="9"/>
      <c r="AU591" s="428"/>
      <c r="AV591" s="428"/>
      <c r="AW591" s="449" t="str">
        <f>IF(C591&gt;0,VLOOKUP(C591,Foundation_Calc!$A$2:$C$13,3,1),
IF(J591&gt;0,VLOOKUP(J591,Foundation_Calc!$A$2:$C$13,3,1),""))</f>
        <v/>
      </c>
      <c r="AX591" s="449" t="str">
        <f>IF(C591&gt;0,VLOOKUP(C591,Foundation_Calc!$E$35:$G$65,3,1),
IF(J591&gt;0,VLOOKUP(J591,Foundation_Calc!$E$35:$G$65,3,1),""))</f>
        <v/>
      </c>
      <c r="AY591" s="10" t="str">
        <f>IF(L591="","",
IF(AX591="PT",VLOOKUP(L591,Foundation_Calc!$K$79:$R$113,VLOOKUP(AW591,Foundation_Calc!$I$2:$J$8,2,FALSE),0),
IF(AX591="K",VLOOKUP(L591,Foundation_Calc!$K$117:$R$151,VLOOKUP(AW591,Foundation_Calc!$I$2:$J$8,2,FALSE),0),"")))</f>
        <v/>
      </c>
      <c r="AZ591" s="10" t="str">
        <f>IF(K591="","",
IF(AX591="PT",VLOOKUP(K591,Foundation_Calc!$K$79:$R$113,VLOOKUP(AW591,Foundation_Calc!$I$2:$J$8,2,FALSE),0),
IF(AX591="K",VLOOKUP(K591,Foundation_Calc!$K$117:$R$151,VLOOKUP(AW591,Foundation_Calc!$I$2:$J$8,2,FALSE),0),"")))</f>
        <v/>
      </c>
      <c r="BA591" s="495" t="str">
        <f t="shared" si="75"/>
        <v/>
      </c>
      <c r="BB591" s="495" t="str">
        <f t="shared" si="76"/>
        <v/>
      </c>
      <c r="BC591" s="495" t="str">
        <f t="shared" si="77"/>
        <v/>
      </c>
      <c r="BD591" s="513"/>
      <c r="BE591" s="429" t="s">
        <v>118</v>
      </c>
      <c r="BF591" s="290"/>
      <c r="BG591" s="290"/>
      <c r="BH591" s="290"/>
      <c r="BI591" s="290"/>
    </row>
    <row r="592" spans="1:61" ht="15.75" customHeight="1">
      <c r="A592" s="517" t="s">
        <v>438</v>
      </c>
      <c r="B592" s="450" t="s">
        <v>1242</v>
      </c>
      <c r="C592" s="3">
        <f>+$C$590+$G$591</f>
        <v>44464.62000000001</v>
      </c>
      <c r="D592" s="83"/>
      <c r="E592" s="4"/>
      <c r="F592" s="4">
        <v>10100.681341718153</v>
      </c>
      <c r="G592" s="6"/>
      <c r="H592" s="449"/>
      <c r="I592" s="4"/>
      <c r="J592" s="3"/>
      <c r="K592" s="449"/>
      <c r="L592" s="449" t="s">
        <v>568</v>
      </c>
      <c r="M592" s="449" t="str">
        <f>IF(L592="","",
IF(AX592="PT",VLOOKUP(L592,Foundation_Calc!$V$79:$X$113,VLOOKUP(AX592,Foundation_Calc!$I$10:$J$13,2,FALSE),0),
IF(AX592="K",VLOOKUP(L592,Foundation_Calc!$V$117:$X$151,VLOOKUP(AX592,Foundation_Calc!$I$10:$J$13,2,FALSE),0),"")))</f>
        <v>C9R</v>
      </c>
      <c r="N592" s="449" t="s">
        <v>343</v>
      </c>
      <c r="O592" s="449"/>
      <c r="P592" s="449"/>
      <c r="Q592" s="4"/>
      <c r="R592" s="6"/>
      <c r="S592" s="6"/>
      <c r="T592" s="4">
        <v>-20</v>
      </c>
      <c r="U592" s="4"/>
      <c r="V592" s="4"/>
      <c r="W592" s="9">
        <v>1.4</v>
      </c>
      <c r="X592" s="9"/>
      <c r="Y592" s="9"/>
      <c r="Z592" s="9"/>
      <c r="AA592" s="9"/>
      <c r="AB592" s="9"/>
      <c r="AC592" s="449" t="str">
        <f t="shared" si="64"/>
        <v>PH</v>
      </c>
      <c r="AD592" s="449"/>
      <c r="AE592" s="449"/>
      <c r="AF592" s="4"/>
      <c r="AG592" s="83"/>
      <c r="AH592" s="4"/>
      <c r="AI592" s="4"/>
      <c r="AJ592" s="449"/>
      <c r="AK592" s="449" t="s">
        <v>344</v>
      </c>
      <c r="AL592" s="449" t="s">
        <v>569</v>
      </c>
      <c r="AM592" s="449" t="s">
        <v>203</v>
      </c>
      <c r="AN592" s="10">
        <v>5.5</v>
      </c>
      <c r="AO592" s="9"/>
      <c r="AP592" s="9"/>
      <c r="AQ592" s="9"/>
      <c r="AR592" s="9"/>
      <c r="AS592" s="9"/>
      <c r="AT592" s="9">
        <f>+ab($T$592,$T$590,$T$594,$G$591,$G$593, 1*$F$592,1200)</f>
        <v>-19.847569849281527</v>
      </c>
      <c r="AU592" s="428"/>
      <c r="AV592" s="428"/>
      <c r="AW592" s="449" t="str">
        <f>IF(C592&gt;0,VLOOKUP(C592,Foundation_Calc!$A$2:$C$13,3,1),
IF(J592&gt;0,VLOOKUP(J592,Foundation_Calc!$A$2:$C$13,3,1),""))</f>
        <v>Multi Soil</v>
      </c>
      <c r="AX592" s="449" t="str">
        <f>IF(C592&gt;0,VLOOKUP(C592,Foundation_Calc!$E$35:$G$65,3,1),
IF(J592&gt;0,VLOOKUP(J592,Foundation_Calc!$E$35:$G$65,3,1),""))</f>
        <v>PT</v>
      </c>
      <c r="AY592" s="10">
        <f>IF(L592="","",
IF(AX592="PT",VLOOKUP(L592,Foundation_Calc!$K$79:$R$113,VLOOKUP(AW592,Foundation_Calc!$I$2:$J$8,2,FALSE),0),
IF(AX592="K",VLOOKUP(L592,Foundation_Calc!$K$117:$R$151,VLOOKUP(AW592,Foundation_Calc!$I$2:$J$8,2,FALSE),0),"")))</f>
        <v>4.5999999999999996</v>
      </c>
      <c r="AZ592" s="10" t="str">
        <f>IF(K592="","",
IF(AX592="PT",VLOOKUP(K592,Foundation_Calc!$K$79:$R$113,VLOOKUP(AW592,Foundation_Calc!$I$2:$J$8,2,FALSE),0),
IF(AX592="K",VLOOKUP(K592,Foundation_Calc!$K$117:$R$151,VLOOKUP(AW592,Foundation_Calc!$I$2:$J$8,2,FALSE),0),"")))</f>
        <v/>
      </c>
      <c r="BA592" s="495" t="str">
        <f t="shared" si="75"/>
        <v>ü</v>
      </c>
      <c r="BB592" s="495" t="str">
        <f t="shared" si="76"/>
        <v/>
      </c>
      <c r="BC592" s="495" t="str">
        <f t="shared" si="77"/>
        <v/>
      </c>
      <c r="BD592" s="513" t="str">
        <f>Pole_Calc!A$232</f>
        <v>App.7-V11I-P13.3</v>
      </c>
      <c r="BE592" s="429" t="s">
        <v>118</v>
      </c>
      <c r="BF592" s="289"/>
      <c r="BG592" s="289"/>
      <c r="BH592" s="290"/>
      <c r="BI592" s="289"/>
    </row>
    <row r="593" spans="1:61" ht="15.75" customHeight="1">
      <c r="A593" s="514" t="s">
        <v>438</v>
      </c>
      <c r="B593" s="450"/>
      <c r="C593" s="3"/>
      <c r="D593" s="83"/>
      <c r="E593" s="4"/>
      <c r="F593" s="4"/>
      <c r="G593" s="6">
        <v>60</v>
      </c>
      <c r="H593" s="449"/>
      <c r="I593" s="4"/>
      <c r="J593" s="3">
        <f>C594-7.5</f>
        <v>44517.12000000001</v>
      </c>
      <c r="K593" s="449" t="s">
        <v>117</v>
      </c>
      <c r="L593" s="449"/>
      <c r="M593" s="449" t="str">
        <f>IF(L593="","",
IF(AX593="PT",VLOOKUP(L593,Foundation_Calc!$V$79:$X$113,VLOOKUP(AX593,Foundation_Calc!$I$10:$J$13,2,FALSE),0),
IF(AX593="K",VLOOKUP(L593,Foundation_Calc!$V$117:$X$151,VLOOKUP(AX593,Foundation_Calc!$I$10:$J$13,2,FALSE),0),"")))</f>
        <v/>
      </c>
      <c r="N593" s="449"/>
      <c r="O593" s="449"/>
      <c r="P593" s="449"/>
      <c r="Q593" s="4"/>
      <c r="R593" s="6"/>
      <c r="S593" s="6"/>
      <c r="T593" s="4"/>
      <c r="U593" s="4"/>
      <c r="V593" s="4"/>
      <c r="W593" s="9"/>
      <c r="X593" s="9"/>
      <c r="Y593" s="9"/>
      <c r="Z593" s="9"/>
      <c r="AA593" s="9"/>
      <c r="AB593" s="9"/>
      <c r="AC593" s="449" t="str">
        <f t="shared" si="64"/>
        <v/>
      </c>
      <c r="AD593" s="449"/>
      <c r="AE593" s="449"/>
      <c r="AF593" s="4"/>
      <c r="AG593" s="83"/>
      <c r="AH593" s="4"/>
      <c r="AI593" s="4"/>
      <c r="AJ593" s="449"/>
      <c r="AK593" s="449"/>
      <c r="AL593" s="449"/>
      <c r="AM593" s="449"/>
      <c r="AN593" s="10"/>
      <c r="AO593" s="9"/>
      <c r="AP593" s="9"/>
      <c r="AQ593" s="9">
        <f>+FL_2($T$594,$T$592,$G$593,1200,9.28, 1*$F$594)</f>
        <v>-0.49315110708411602</v>
      </c>
      <c r="AR593" s="9"/>
      <c r="AS593" s="9"/>
      <c r="AT593" s="9"/>
      <c r="AU593" s="428"/>
      <c r="AV593" s="428"/>
      <c r="AW593" s="449" t="str">
        <f>IF(C593&gt;0,VLOOKUP(C593,Foundation_Calc!$A$2:$C$13,3,1),
IF(J593&gt;0,VLOOKUP(J593,Foundation_Calc!$A$2:$C$13,3,1),""))</f>
        <v>Multi Soil</v>
      </c>
      <c r="AX593" s="449" t="str">
        <f>IF(C593&gt;0,VLOOKUP(C593,Foundation_Calc!$E$35:$G$65,3,1),
IF(J593&gt;0,VLOOKUP(J593,Foundation_Calc!$E$35:$G$65,3,1),""))</f>
        <v>PT</v>
      </c>
      <c r="AY593" s="10" t="str">
        <f>IF(L593="","",
IF(AX593="PT",VLOOKUP(L593,Foundation_Calc!$K$79:$R$113,VLOOKUP(AW593,Foundation_Calc!$I$2:$J$8,2,FALSE),0),
IF(AX593="K",VLOOKUP(L593,Foundation_Calc!$K$117:$R$151,VLOOKUP(AW593,Foundation_Calc!$I$2:$J$8,2,FALSE),0),"")))</f>
        <v/>
      </c>
      <c r="AZ593" s="10">
        <f>IF(K593="","",
IF(AX593="PT",VLOOKUP(K593,Foundation_Calc!$K$79:$R$113,VLOOKUP(AW593,Foundation_Calc!$I$2:$J$8,2,FALSE),0),
IF(AX593="K",VLOOKUP(K593,Foundation_Calc!$K$117:$R$151,VLOOKUP(AW593,Foundation_Calc!$I$2:$J$8,2,FALSE),0),"")))</f>
        <v>3.9</v>
      </c>
      <c r="BA593" s="495"/>
      <c r="BB593" s="495"/>
      <c r="BC593" s="495"/>
      <c r="BD593" s="513" t="str">
        <f>IF(AND(L593="",H593=""),"",
IF(H593="",Pole_Calc!A$9,
IF(H593="MP",Pole_Calc!A$10,
IF(H593="AnMP",Pole_Calc!A$11,
IF(H593="A",Pole_Calc!A$12,
IF(H593="S/A",Pole_Calc!A$13,
IF(H593="A/S",Pole_Calc!A$14,"Poner a mano")))))))</f>
        <v/>
      </c>
      <c r="BE593" s="429" t="s">
        <v>118</v>
      </c>
      <c r="BF593" s="290"/>
      <c r="BG593" s="290"/>
      <c r="BH593" s="290"/>
      <c r="BI593" s="290"/>
    </row>
    <row r="594" spans="1:61" ht="15.75" customHeight="1">
      <c r="A594" s="514"/>
      <c r="B594" s="450" t="s">
        <v>1243</v>
      </c>
      <c r="C594" s="3">
        <f>+$C$592+$G$593</f>
        <v>44524.62000000001</v>
      </c>
      <c r="D594" s="83"/>
      <c r="E594" s="4"/>
      <c r="F594" s="4">
        <v>2437.0384420839118</v>
      </c>
      <c r="G594" s="6"/>
      <c r="H594" s="449" t="s">
        <v>121</v>
      </c>
      <c r="I594" s="4" t="s">
        <v>122</v>
      </c>
      <c r="J594" s="3"/>
      <c r="K594" s="449"/>
      <c r="L594" s="449" t="s">
        <v>181</v>
      </c>
      <c r="M594" s="449" t="str">
        <f>IF(L594="","",
IF(AX594="PT",VLOOKUP(L594,Foundation_Calc!$V$79:$X$113,VLOOKUP(AX594,Foundation_Calc!$I$10:$J$13,2,FALSE),0),
IF(AX594="K",VLOOKUP(L594,Foundation_Calc!$V$117:$X$151,VLOOKUP(AX594,Foundation_Calc!$I$10:$J$13,2,FALSE),0),"")))</f>
        <v>C5R</v>
      </c>
      <c r="N594" s="449" t="s">
        <v>134</v>
      </c>
      <c r="O594" s="449"/>
      <c r="P594" s="449"/>
      <c r="Q594" s="4"/>
      <c r="R594" s="6"/>
      <c r="S594" s="6"/>
      <c r="T594" s="4">
        <v>35</v>
      </c>
      <c r="U594" s="4"/>
      <c r="V594" s="4"/>
      <c r="W594" s="9">
        <v>1.4</v>
      </c>
      <c r="X594" s="9"/>
      <c r="Y594" s="9"/>
      <c r="Z594" s="9"/>
      <c r="AA594" s="9"/>
      <c r="AB594" s="9"/>
      <c r="AC594" s="449" t="str">
        <f t="shared" si="64"/>
        <v>PHQ</v>
      </c>
      <c r="AD594" s="449"/>
      <c r="AE594" s="449"/>
      <c r="AF594" s="4"/>
      <c r="AG594" s="83"/>
      <c r="AH594" s="4"/>
      <c r="AI594" s="4"/>
      <c r="AJ594" s="449"/>
      <c r="AK594" s="449"/>
      <c r="AL594" s="449"/>
      <c r="AM594" s="449" t="s">
        <v>126</v>
      </c>
      <c r="AN594" s="10">
        <v>5.5</v>
      </c>
      <c r="AO594" s="9"/>
      <c r="AP594" s="9"/>
      <c r="AQ594" s="9"/>
      <c r="AR594" s="9"/>
      <c r="AS594" s="9"/>
      <c r="AT594" s="9">
        <f>+ab($T$594,$T$592,$T$596,$G$593,$G$595, 1*$F$594,1200)</f>
        <v>5.8416690956321258</v>
      </c>
      <c r="AU594" s="428"/>
      <c r="AV594" s="428"/>
      <c r="AW594" s="449" t="str">
        <f>IF(C594&gt;0,VLOOKUP(C594,Foundation_Calc!$A$2:$C$13,3,1),
IF(J594&gt;0,VLOOKUP(J594,Foundation_Calc!$A$2:$C$13,3,1),""))</f>
        <v>Multi Soil</v>
      </c>
      <c r="AX594" s="449" t="str">
        <f>IF(C594&gt;0,VLOOKUP(C594,Foundation_Calc!$E$35:$G$65,3,1),
IF(J594&gt;0,VLOOKUP(J594,Foundation_Calc!$E$35:$G$65,3,1),""))</f>
        <v>PT</v>
      </c>
      <c r="AY594" s="10">
        <f>IF(L594="","",
IF(AX594="PT",VLOOKUP(L594,Foundation_Calc!$K$79:$R$113,VLOOKUP(AW594,Foundation_Calc!$I$2:$J$8,2,FALSE),0),
IF(AX594="K",VLOOKUP(L594,Foundation_Calc!$K$117:$R$151,VLOOKUP(AW594,Foundation_Calc!$I$2:$J$8,2,FALSE),0),"")))</f>
        <v>3.5</v>
      </c>
      <c r="AZ594" s="10" t="str">
        <f>IF(K594="","",
IF(AX594="PT",VLOOKUP(K594,Foundation_Calc!$K$79:$R$113,VLOOKUP(AW594,Foundation_Calc!$I$2:$J$8,2,FALSE),0),
IF(AX594="K",VLOOKUP(K594,Foundation_Calc!$K$117:$R$151,VLOOKUP(AW594,Foundation_Calc!$I$2:$J$8,2,FALSE),0),"")))</f>
        <v/>
      </c>
      <c r="BA594" s="495" t="str">
        <f t="shared" si="72"/>
        <v>ü</v>
      </c>
      <c r="BB594" s="495" t="str">
        <f t="shared" si="73"/>
        <v/>
      </c>
      <c r="BC594" s="495" t="str">
        <f t="shared" si="74"/>
        <v/>
      </c>
      <c r="BD594" s="513" t="str">
        <f>IF(AND(L594="",H594=""),"",
IF(H594="",Pole_Calc!A$9,
IF(H594="MP",Pole_Calc!A$10,
IF(H594="AnMP",Pole_Calc!A$11,
IF(H594="A",Pole_Calc!A$12,
IF(H594="S/A",Pole_Calc!A$13,
IF(H594="A/S",Pole_Calc!A$14,"Poner a mano")))))))</f>
        <v>App.7-V11I-P9.5.1.6</v>
      </c>
      <c r="BE594" s="429" t="s">
        <v>118</v>
      </c>
      <c r="BF594" s="289"/>
      <c r="BG594" s="289"/>
      <c r="BH594" s="290"/>
      <c r="BI594" s="289"/>
    </row>
    <row r="595" spans="1:61" ht="15.75" customHeight="1">
      <c r="A595" s="685" t="s">
        <v>305</v>
      </c>
      <c r="B595" s="686"/>
      <c r="C595" s="687"/>
      <c r="D595" s="688"/>
      <c r="E595" s="689"/>
      <c r="F595" s="689"/>
      <c r="G595" s="690">
        <v>50</v>
      </c>
      <c r="H595" s="691"/>
      <c r="I595" s="689"/>
      <c r="J595" s="687"/>
      <c r="K595" s="691"/>
      <c r="L595" s="691"/>
      <c r="M595" s="691" t="str">
        <f>IF(L595="","",
IF(AX595="PT",VLOOKUP(L595,Foundation_Calc!$V$79:$X$113,VLOOKUP(AX595,Foundation_Calc!$I$10:$J$13,2,FALSE),0),
IF(AX595="K",VLOOKUP(L595,Foundation_Calc!$V$117:$X$151,VLOOKUP(AX595,Foundation_Calc!$I$10:$J$13,2,FALSE),0),"")))</f>
        <v/>
      </c>
      <c r="N595" s="691"/>
      <c r="O595" s="744"/>
      <c r="P595" s="691"/>
      <c r="Q595" s="689"/>
      <c r="R595" s="690"/>
      <c r="S595" s="690"/>
      <c r="T595" s="689"/>
      <c r="U595" s="689"/>
      <c r="V595" s="689"/>
      <c r="W595" s="692"/>
      <c r="X595" s="692"/>
      <c r="Y595" s="692"/>
      <c r="Z595" s="692"/>
      <c r="AA595" s="692"/>
      <c r="AB595" s="692"/>
      <c r="AC595" s="691" t="str">
        <f t="shared" si="64"/>
        <v/>
      </c>
      <c r="AD595" s="691"/>
      <c r="AE595" s="691"/>
      <c r="AF595" s="689"/>
      <c r="AG595" s="688"/>
      <c r="AH595" s="689"/>
      <c r="AI595" s="689"/>
      <c r="AJ595" s="691"/>
      <c r="AK595" s="691"/>
      <c r="AL595" s="691"/>
      <c r="AM595" s="691"/>
      <c r="AN595" s="693"/>
      <c r="AO595" s="692"/>
      <c r="AP595" s="692"/>
      <c r="AQ595" s="692">
        <f>+FL_1($U$596,$T$594,$G$595,1200,9.28, 1*$F$596)</f>
        <v>0.35002410560857627</v>
      </c>
      <c r="AR595" s="692"/>
      <c r="AS595" s="692"/>
      <c r="AT595" s="692"/>
      <c r="AU595" s="694"/>
      <c r="AV595" s="694"/>
      <c r="AW595" s="691" t="str">
        <f>IF(C595&gt;0,VLOOKUP(C595,Foundation_Calc!$A$2:$C$13,3,1),
IF(J595&gt;0,VLOOKUP(J595,Foundation_Calc!$A$2:$C$13,3,1),""))</f>
        <v/>
      </c>
      <c r="AX595" s="691" t="str">
        <f>IF(C595&gt;0,VLOOKUP(C595,Foundation_Calc!$E$35:$G$65,3,1),
IF(J595&gt;0,VLOOKUP(J595,Foundation_Calc!$E$35:$G$65,3,1),""))</f>
        <v/>
      </c>
      <c r="AY595" s="693" t="str">
        <f>IF(L595="","",
IF(AX595="PT",VLOOKUP(L595,Foundation_Calc!$K$79:$R$113,VLOOKUP(AW595,Foundation_Calc!$I$2:$J$8,2,FALSE),0),
IF(AX595="K",VLOOKUP(L595,Foundation_Calc!$K$117:$R$151,VLOOKUP(AW595,Foundation_Calc!$I$2:$J$8,2,FALSE),0),"")))</f>
        <v/>
      </c>
      <c r="AZ595" s="693" t="str">
        <f>IF(K595="","",
IF(AX595="PT",VLOOKUP(K595,Foundation_Calc!$K$79:$R$113,VLOOKUP(AW595,Foundation_Calc!$I$2:$J$8,2,FALSE),0),
IF(AX595="K",VLOOKUP(K595,Foundation_Calc!$K$117:$R$151,VLOOKUP(AW595,Foundation_Calc!$I$2:$J$8,2,FALSE),0),"")))</f>
        <v/>
      </c>
      <c r="BA595" s="495" t="str">
        <f t="shared" si="72"/>
        <v/>
      </c>
      <c r="BB595" s="495" t="str">
        <f t="shared" si="73"/>
        <v/>
      </c>
      <c r="BC595" s="495" t="str">
        <f t="shared" si="74"/>
        <v/>
      </c>
      <c r="BD595" s="513" t="str">
        <f>IF(AND(L595="",H595=""),"",
IF(H595="",Pole_Calc!A$9,
IF(H595="MP",Pole_Calc!A$10,
IF(H595="AnMP",Pole_Calc!A$11,
IF(H595="A",Pole_Calc!A$12,
IF(H595="S/A",Pole_Calc!A$13,
IF(H595="A/S",Pole_Calc!A$14,"Poner a mano")))))))</f>
        <v/>
      </c>
      <c r="BE595" s="429" t="s">
        <v>118</v>
      </c>
      <c r="BF595" s="290"/>
      <c r="BG595" s="290"/>
      <c r="BH595" s="290"/>
      <c r="BI595" s="290"/>
    </row>
    <row r="596" spans="1:61" ht="15.75" customHeight="1">
      <c r="A596" s="514"/>
      <c r="B596" s="450" t="s">
        <v>1244</v>
      </c>
      <c r="C596" s="3">
        <f>+$C$594+$G$595</f>
        <v>44574.62000000001</v>
      </c>
      <c r="D596" s="83"/>
      <c r="E596" s="4"/>
      <c r="F596" s="4">
        <v>1493.035326929016</v>
      </c>
      <c r="G596" s="6"/>
      <c r="H596" s="449" t="s">
        <v>131</v>
      </c>
      <c r="I596" s="4"/>
      <c r="J596" s="3"/>
      <c r="K596" s="449"/>
      <c r="L596" s="449" t="s">
        <v>183</v>
      </c>
      <c r="M596" s="449" t="str">
        <f>IF(L596="","",
IF(AX596="PT",VLOOKUP(L596,Foundation_Calc!$V$79:$X$113,VLOOKUP(AX596,Foundation_Calc!$I$10:$J$13,2,FALSE),0),
IF(AX596="K",VLOOKUP(L596,Foundation_Calc!$V$117:$X$151,VLOOKUP(AX596,Foundation_Calc!$I$10:$J$13,2,FALSE),0),"")))</f>
        <v>2C3R</v>
      </c>
      <c r="N596" s="449" t="s">
        <v>133</v>
      </c>
      <c r="O596" s="449" t="s">
        <v>134</v>
      </c>
      <c r="P596" s="449"/>
      <c r="Q596" s="4"/>
      <c r="R596" s="6"/>
      <c r="S596" s="6"/>
      <c r="T596" s="4">
        <v>30</v>
      </c>
      <c r="U596" s="4">
        <v>10</v>
      </c>
      <c r="V596" s="4"/>
      <c r="W596" s="9">
        <v>1.4</v>
      </c>
      <c r="X596" s="9">
        <v>2.2999999999999998</v>
      </c>
      <c r="Y596" s="9"/>
      <c r="Z596" s="9">
        <v>0.4</v>
      </c>
      <c r="AA596" s="9"/>
      <c r="AB596" s="9"/>
      <c r="AC596" s="449"/>
      <c r="AD596" s="449"/>
      <c r="AE596" s="449"/>
      <c r="AF596" s="4"/>
      <c r="AG596" s="83"/>
      <c r="AH596" s="4"/>
      <c r="AI596" s="4"/>
      <c r="AJ596" s="449"/>
      <c r="AK596" s="449"/>
      <c r="AL596" s="449"/>
      <c r="AM596" s="449" t="s">
        <v>126</v>
      </c>
      <c r="AN596" s="10">
        <v>5.5</v>
      </c>
      <c r="AO596" s="9"/>
      <c r="AP596" s="9"/>
      <c r="AQ596" s="9"/>
      <c r="AR596" s="9"/>
      <c r="AS596" s="9"/>
      <c r="AT596" s="9">
        <f>+ab($U$596,$T$594,$U$598,$G$595,$G$597, 1*$F$596,1200)</f>
        <v>6.9476819840043822</v>
      </c>
      <c r="AU596" s="428"/>
      <c r="AV596" s="428"/>
      <c r="AW596" s="449" t="str">
        <f>IF(C596&gt;0,VLOOKUP(C596,Foundation_Calc!$A$2:$C$13,3,1),
IF(J596&gt;0,VLOOKUP(J596,Foundation_Calc!$A$2:$C$13,3,1),""))</f>
        <v>Multi Soil</v>
      </c>
      <c r="AX596" s="449" t="str">
        <f>IF(C596&gt;0,VLOOKUP(C596,Foundation_Calc!$E$35:$G$65,3,1),
IF(J596&gt;0,VLOOKUP(J596,Foundation_Calc!$E$35:$G$65,3,1),""))</f>
        <v>PT</v>
      </c>
      <c r="AY596" s="10">
        <f>IF(L596="","",
IF(AX596="PT",VLOOKUP(L596,Foundation_Calc!$K$79:$R$113,VLOOKUP(AW596,Foundation_Calc!$I$2:$J$8,2,FALSE),0),
IF(AX596="K",VLOOKUP(L596,Foundation_Calc!$K$117:$R$151,VLOOKUP(AW596,Foundation_Calc!$I$2:$J$8,2,FALSE),0),"")))</f>
        <v>3.7</v>
      </c>
      <c r="AZ596" s="10" t="str">
        <f>IF(K596="","",
IF(AX596="PT",VLOOKUP(K596,Foundation_Calc!$K$79:$R$113,VLOOKUP(AW596,Foundation_Calc!$I$2:$J$8,2,FALSE),0),
IF(AX596="K",VLOOKUP(K596,Foundation_Calc!$K$117:$R$151,VLOOKUP(AW596,Foundation_Calc!$I$2:$J$8,2,FALSE),0),"")))</f>
        <v/>
      </c>
      <c r="BA596" s="495" t="str">
        <f t="shared" si="72"/>
        <v>ü</v>
      </c>
      <c r="BB596" s="495" t="str">
        <f t="shared" si="73"/>
        <v/>
      </c>
      <c r="BC596" s="495" t="str">
        <f t="shared" si="74"/>
        <v/>
      </c>
      <c r="BD596" s="513" t="str">
        <f>IF(AND(L596="",H596=""),"",
IF(H596="",Pole_Calc!A$9,
IF(H596="MP",Pole_Calc!A$10,
IF(H596="AnMP",Pole_Calc!A$11,
IF(H596="A",Pole_Calc!A$12,
IF(H596="S/A",Pole_Calc!A$13,
IF(H596="A/S",Pole_Calc!A$14,"Poner a mano")))))))</f>
        <v>App.7-V11I-P9.5.1.5</v>
      </c>
      <c r="BE596" s="429" t="s">
        <v>118</v>
      </c>
      <c r="BF596" s="289"/>
      <c r="BG596" s="289"/>
      <c r="BH596" s="290"/>
      <c r="BI596" s="289"/>
    </row>
    <row r="597" spans="1:61" ht="15.75" customHeight="1">
      <c r="A597" s="518"/>
      <c r="B597" s="450"/>
      <c r="C597" s="3"/>
      <c r="D597" s="83"/>
      <c r="E597" s="4"/>
      <c r="F597" s="4"/>
      <c r="G597" s="6">
        <v>47</v>
      </c>
      <c r="H597" s="449"/>
      <c r="I597" s="4"/>
      <c r="J597" s="3"/>
      <c r="K597" s="449"/>
      <c r="L597" s="449"/>
      <c r="M597" s="449" t="str">
        <f>IF(L597="","",
IF(AX597="PT",VLOOKUP(L597,Foundation_Calc!$V$79:$X$113,VLOOKUP(AX597,Foundation_Calc!$I$10:$J$13,2,FALSE),0),
IF(AX597="K",VLOOKUP(L597,Foundation_Calc!$V$117:$X$151,VLOOKUP(AX597,Foundation_Calc!$I$10:$J$13,2,FALSE),0),"")))</f>
        <v/>
      </c>
      <c r="N597" s="449"/>
      <c r="O597" s="449"/>
      <c r="P597" s="449"/>
      <c r="Q597" s="4"/>
      <c r="R597" s="6"/>
      <c r="S597" s="6"/>
      <c r="T597" s="4"/>
      <c r="U597" s="4"/>
      <c r="V597" s="4"/>
      <c r="W597" s="9"/>
      <c r="X597" s="9"/>
      <c r="Y597" s="9"/>
      <c r="Z597" s="9"/>
      <c r="AA597" s="9"/>
      <c r="AB597" s="9"/>
      <c r="AC597" s="449" t="str">
        <f t="shared" si="64"/>
        <v/>
      </c>
      <c r="AD597" s="449"/>
      <c r="AE597" s="449"/>
      <c r="AF597" s="4"/>
      <c r="AG597" s="83"/>
      <c r="AH597" s="4"/>
      <c r="AI597" s="4"/>
      <c r="AJ597" s="449"/>
      <c r="AK597" s="449"/>
      <c r="AL597" s="449"/>
      <c r="AM597" s="449"/>
      <c r="AN597" s="10"/>
      <c r="AO597" s="9"/>
      <c r="AP597" s="9"/>
      <c r="AQ597" s="9">
        <f>+FL_1($T$598,$U$596,$G$597,1200,9.28, 1*$F$598)</f>
        <v>0.3</v>
      </c>
      <c r="AR597" s="9"/>
      <c r="AS597" s="9"/>
      <c r="AT597" s="9"/>
      <c r="AU597" s="428"/>
      <c r="AV597" s="428"/>
      <c r="AW597" s="449" t="str">
        <f>IF(C597&gt;0,VLOOKUP(C597,Foundation_Calc!$A$2:$C$13,3,1),
IF(J597&gt;0,VLOOKUP(J597,Foundation_Calc!$A$2:$C$13,3,1),""))</f>
        <v/>
      </c>
      <c r="AX597" s="449" t="str">
        <f>IF(C597&gt;0,VLOOKUP(C597,Foundation_Calc!$E$35:$G$65,3,1),
IF(J597&gt;0,VLOOKUP(J597,Foundation_Calc!$E$35:$G$65,3,1),""))</f>
        <v/>
      </c>
      <c r="AY597" s="10" t="str">
        <f>IF(L597="","",
IF(AX597="PT",VLOOKUP(L597,Foundation_Calc!$K$79:$R$113,VLOOKUP(AW597,Foundation_Calc!$I$2:$J$8,2,FALSE),0),
IF(AX597="K",VLOOKUP(L597,Foundation_Calc!$K$117:$R$151,VLOOKUP(AW597,Foundation_Calc!$I$2:$J$8,2,FALSE),0),"")))</f>
        <v/>
      </c>
      <c r="AZ597" s="10" t="str">
        <f>IF(K597="","",
IF(AX597="PT",VLOOKUP(K597,Foundation_Calc!$K$79:$R$113,VLOOKUP(AW597,Foundation_Calc!$I$2:$J$8,2,FALSE),0),
IF(AX597="K",VLOOKUP(K597,Foundation_Calc!$K$117:$R$151,VLOOKUP(AW597,Foundation_Calc!$I$2:$J$8,2,FALSE),0),"")))</f>
        <v/>
      </c>
      <c r="BA597" s="495" t="str">
        <f t="shared" si="72"/>
        <v/>
      </c>
      <c r="BB597" s="495" t="str">
        <f t="shared" si="73"/>
        <v/>
      </c>
      <c r="BC597" s="495" t="str">
        <f t="shared" si="74"/>
        <v/>
      </c>
      <c r="BD597" s="513" t="str">
        <f>IF(AND(L597="",H597=""),"",
IF(H597="",Pole_Calc!A$9,
IF(H597="MP",Pole_Calc!A$10,
IF(H597="AnMP",Pole_Calc!A$11,
IF(H597="A",Pole_Calc!A$12,
IF(H597="S/A",Pole_Calc!A$13,
IF(H597="A/S",Pole_Calc!A$14,"Poner a mano")))))))</f>
        <v/>
      </c>
      <c r="BE597" s="429" t="s">
        <v>118</v>
      </c>
      <c r="BF597" s="290"/>
      <c r="BG597" s="290"/>
      <c r="BH597" s="290"/>
      <c r="BI597" s="290"/>
    </row>
    <row r="598" spans="1:61" ht="15.75" customHeight="1">
      <c r="A598" s="514"/>
      <c r="B598" s="450" t="s">
        <v>1245</v>
      </c>
      <c r="C598" s="3">
        <f>+$C$596+$G$597</f>
        <v>44621.62000000001</v>
      </c>
      <c r="D598" s="83"/>
      <c r="E598" s="4"/>
      <c r="F598" s="4">
        <v>1205</v>
      </c>
      <c r="G598" s="6"/>
      <c r="H598" s="449" t="s">
        <v>131</v>
      </c>
      <c r="I598" s="4"/>
      <c r="J598" s="3"/>
      <c r="K598" s="449"/>
      <c r="L598" s="449" t="s">
        <v>183</v>
      </c>
      <c r="M598" s="449" t="str">
        <f>IF(L598="","",
IF(AX598="PT",VLOOKUP(L598,Foundation_Calc!$V$79:$X$113,VLOOKUP(AX598,Foundation_Calc!$I$10:$J$13,2,FALSE),0),
IF(AX598="K",VLOOKUP(L598,Foundation_Calc!$V$117:$X$151,VLOOKUP(AX598,Foundation_Calc!$I$10:$J$13,2,FALSE),0),"")))</f>
        <v>2C3R</v>
      </c>
      <c r="N598" s="449" t="s">
        <v>134</v>
      </c>
      <c r="O598" s="449" t="s">
        <v>133</v>
      </c>
      <c r="P598" s="449"/>
      <c r="Q598" s="4"/>
      <c r="R598" s="6"/>
      <c r="S598" s="6"/>
      <c r="T598" s="4">
        <v>30</v>
      </c>
      <c r="U598" s="4">
        <v>10</v>
      </c>
      <c r="V598" s="4"/>
      <c r="W598" s="9">
        <v>1.4</v>
      </c>
      <c r="X598" s="9">
        <v>2.2999999999999998</v>
      </c>
      <c r="Y598" s="9"/>
      <c r="Z598" s="9"/>
      <c r="AA598" s="9">
        <v>0.4</v>
      </c>
      <c r="AB598" s="9"/>
      <c r="AC598" s="449" t="str">
        <f t="shared" si="64"/>
        <v>PHQ</v>
      </c>
      <c r="AD598" s="449"/>
      <c r="AE598" s="449"/>
      <c r="AF598" s="4"/>
      <c r="AG598" s="83"/>
      <c r="AH598" s="4"/>
      <c r="AI598" s="4"/>
      <c r="AJ598" s="449"/>
      <c r="AK598" s="449"/>
      <c r="AL598" s="449"/>
      <c r="AM598" s="449" t="s">
        <v>126</v>
      </c>
      <c r="AN598" s="10">
        <v>5.5</v>
      </c>
      <c r="AO598" s="9"/>
      <c r="AP598" s="9"/>
      <c r="AQ598" s="9"/>
      <c r="AR598" s="9"/>
      <c r="AS598" s="9"/>
      <c r="AT598" s="9">
        <f>+ab($T$598,$T$596,$T$600,$G$597,$G$599, 1*$F$598,1200)</f>
        <v>5.0139154907820211</v>
      </c>
      <c r="AU598" s="428"/>
      <c r="AV598" s="428"/>
      <c r="AW598" s="449" t="str">
        <f>IF(C598&gt;0,VLOOKUP(C598,Foundation_Calc!$A$2:$C$13,3,1),
IF(J598&gt;0,VLOOKUP(J598,Foundation_Calc!$A$2:$C$13,3,1),""))</f>
        <v>Multi Soil</v>
      </c>
      <c r="AX598" s="449" t="str">
        <f>IF(C598&gt;0,VLOOKUP(C598,Foundation_Calc!$E$35:$G$65,3,1),
IF(J598&gt;0,VLOOKUP(J598,Foundation_Calc!$E$35:$G$65,3,1),""))</f>
        <v>PT</v>
      </c>
      <c r="AY598" s="10">
        <f>IF(L598="","",
IF(AX598="PT",VLOOKUP(L598,Foundation_Calc!$K$79:$R$113,VLOOKUP(AW598,Foundation_Calc!$I$2:$J$8,2,FALSE),0),
IF(AX598="K",VLOOKUP(L598,Foundation_Calc!$K$117:$R$151,VLOOKUP(AW598,Foundation_Calc!$I$2:$J$8,2,FALSE),0),"")))</f>
        <v>3.7</v>
      </c>
      <c r="AZ598" s="10" t="str">
        <f>IF(K598="","",
IF(AX598="PT",VLOOKUP(K598,Foundation_Calc!$K$79:$R$113,VLOOKUP(AW598,Foundation_Calc!$I$2:$J$8,2,FALSE),0),
IF(AX598="K",VLOOKUP(K598,Foundation_Calc!$K$117:$R$151,VLOOKUP(AW598,Foundation_Calc!$I$2:$J$8,2,FALSE),0),"")))</f>
        <v/>
      </c>
      <c r="BA598" s="495" t="str">
        <f t="shared" si="72"/>
        <v>ü</v>
      </c>
      <c r="BB598" s="495" t="str">
        <f t="shared" si="73"/>
        <v/>
      </c>
      <c r="BC598" s="495" t="str">
        <f t="shared" si="74"/>
        <v/>
      </c>
      <c r="BD598" s="513" t="str">
        <f>IF(AND(L598="",H598=""),"",
IF(H598="",Pole_Calc!A$9,
IF(H598="MP",Pole_Calc!A$10,
IF(H598="AnMP",Pole_Calc!A$11,
IF(H598="A",Pole_Calc!A$12,
IF(H598="S/A",Pole_Calc!A$13,
IF(H598="A/S",Pole_Calc!A$14,"Poner a mano")))))))</f>
        <v>App.7-V11I-P9.5.1.5</v>
      </c>
      <c r="BE598" s="429" t="s">
        <v>118</v>
      </c>
      <c r="BF598" s="289"/>
      <c r="BG598" s="289"/>
      <c r="BH598" s="290"/>
      <c r="BI598" s="289"/>
    </row>
    <row r="599" spans="1:61" ht="15.75" customHeight="1">
      <c r="A599" s="514"/>
      <c r="B599" s="450"/>
      <c r="C599" s="3"/>
      <c r="D599" s="83"/>
      <c r="E599" s="4"/>
      <c r="F599" s="4"/>
      <c r="G599" s="6">
        <v>45</v>
      </c>
      <c r="H599" s="449"/>
      <c r="I599" s="4"/>
      <c r="J599" s="3"/>
      <c r="K599" s="449"/>
      <c r="L599" s="449"/>
      <c r="M599" s="449" t="str">
        <f>IF(L599="","",
IF(AX599="PT",VLOOKUP(L599,Foundation_Calc!$V$79:$X$113,VLOOKUP(AX599,Foundation_Calc!$I$10:$J$13,2,FALSE),0),
IF(AX599="K",VLOOKUP(L599,Foundation_Calc!$V$117:$X$151,VLOOKUP(AX599,Foundation_Calc!$I$10:$J$13,2,FALSE),0),"")))</f>
        <v/>
      </c>
      <c r="N599" s="449"/>
      <c r="O599" s="449"/>
      <c r="P599" s="449"/>
      <c r="Q599" s="4"/>
      <c r="R599" s="6"/>
      <c r="S599" s="6"/>
      <c r="T599" s="4"/>
      <c r="U599" s="4"/>
      <c r="V599" s="4"/>
      <c r="W599" s="9"/>
      <c r="X599" s="9"/>
      <c r="Y599" s="9"/>
      <c r="Z599" s="9"/>
      <c r="AA599" s="9"/>
      <c r="AB599" s="9"/>
      <c r="AC599" s="449" t="str">
        <f t="shared" ref="AC599:AC661" si="78">IF(OR(AT599&gt;8,AT599&lt;-8),"PH",
IF(OR(AT599&gt;5,AT599&lt;-5),"PHQ",
IF(OR(AT599&gt;1,AT599&lt;-1),
"PHC","")))</f>
        <v/>
      </c>
      <c r="AD599" s="449"/>
      <c r="AE599" s="449"/>
      <c r="AF599" s="4"/>
      <c r="AG599" s="83"/>
      <c r="AH599" s="4"/>
      <c r="AI599" s="4"/>
      <c r="AJ599" s="449"/>
      <c r="AK599" s="449"/>
      <c r="AL599" s="449"/>
      <c r="AM599" s="449"/>
      <c r="AN599" s="10"/>
      <c r="AO599" s="9"/>
      <c r="AP599" s="9"/>
      <c r="AQ599" s="9">
        <f>+FL_1($T$600,$T$598,$G$599,1200,9.28, 1*$F$600)</f>
        <v>0.3000127248043325</v>
      </c>
      <c r="AR599" s="9"/>
      <c r="AS599" s="9"/>
      <c r="AT599" s="9"/>
      <c r="AU599" s="428"/>
      <c r="AV599" s="428"/>
      <c r="AW599" s="449" t="str">
        <f>IF(C599&gt;0,VLOOKUP(C599,Foundation_Calc!$A$2:$C$13,3,1),
IF(J599&gt;0,VLOOKUP(J599,Foundation_Calc!$A$2:$C$13,3,1),""))</f>
        <v/>
      </c>
      <c r="AX599" s="449" t="str">
        <f>IF(C599&gt;0,VLOOKUP(C599,Foundation_Calc!$E$35:$G$65,3,1),
IF(J599&gt;0,VLOOKUP(J599,Foundation_Calc!$E$35:$G$65,3,1),""))</f>
        <v/>
      </c>
      <c r="AY599" s="10" t="str">
        <f>IF(L599="","",
IF(AX599="PT",VLOOKUP(L599,Foundation_Calc!$K$79:$R$113,VLOOKUP(AW599,Foundation_Calc!$I$2:$J$8,2,FALSE),0),
IF(AX599="K",VLOOKUP(L599,Foundation_Calc!$K$117:$R$151,VLOOKUP(AW599,Foundation_Calc!$I$2:$J$8,2,FALSE),0),"")))</f>
        <v/>
      </c>
      <c r="AZ599" s="10" t="str">
        <f>IF(K599="","",
IF(AX599="PT",VLOOKUP(K599,Foundation_Calc!$K$79:$R$113,VLOOKUP(AW599,Foundation_Calc!$I$2:$J$8,2,FALSE),0),
IF(AX599="K",VLOOKUP(K599,Foundation_Calc!$K$117:$R$151,VLOOKUP(AW599,Foundation_Calc!$I$2:$J$8,2,FALSE),0),"")))</f>
        <v/>
      </c>
      <c r="BA599" s="495" t="str">
        <f t="shared" si="72"/>
        <v/>
      </c>
      <c r="BB599" s="495" t="str">
        <f t="shared" si="73"/>
        <v/>
      </c>
      <c r="BC599" s="495" t="str">
        <f t="shared" si="74"/>
        <v/>
      </c>
      <c r="BD599" s="513" t="str">
        <f>IF(AND(L599="",H599=""),"",
IF(H599="",Pole_Calc!A$9,
IF(H599="MP",Pole_Calc!A$10,
IF(H599="AnMP",Pole_Calc!A$11,
IF(H599="A",Pole_Calc!A$12,
IF(H599="S/A",Pole_Calc!A$13,
IF(H599="A/S",Pole_Calc!A$14,"Poner a mano")))))))</f>
        <v/>
      </c>
      <c r="BE599" s="429" t="s">
        <v>118</v>
      </c>
      <c r="BF599" s="290"/>
      <c r="BG599" s="290"/>
      <c r="BH599" s="290"/>
      <c r="BI599" s="290"/>
    </row>
    <row r="600" spans="1:61" ht="15.75" customHeight="1">
      <c r="A600" s="514"/>
      <c r="B600" s="450" t="s">
        <v>1246</v>
      </c>
      <c r="C600" s="3">
        <f>+$C$598+$G$599-0.34</f>
        <v>44666.280000000013</v>
      </c>
      <c r="D600" s="83"/>
      <c r="E600" s="4"/>
      <c r="F600" s="4">
        <v>1205</v>
      </c>
      <c r="G600" s="6"/>
      <c r="H600" s="449" t="s">
        <v>121</v>
      </c>
      <c r="I600" s="4" t="s">
        <v>122</v>
      </c>
      <c r="J600" s="3"/>
      <c r="K600" s="449"/>
      <c r="L600" s="449" t="s">
        <v>181</v>
      </c>
      <c r="M600" s="449" t="str">
        <f>IF(L600="","",
IF(AX600="PT",VLOOKUP(L600,Foundation_Calc!$V$79:$X$113,VLOOKUP(AX600,Foundation_Calc!$I$10:$J$13,2,FALSE),0),
IF(AX600="K",VLOOKUP(L600,Foundation_Calc!$V$117:$X$151,VLOOKUP(AX600,Foundation_Calc!$I$10:$J$13,2,FALSE),0),"")))</f>
        <v>C5R</v>
      </c>
      <c r="N600" s="449" t="s">
        <v>134</v>
      </c>
      <c r="O600" s="449"/>
      <c r="P600" s="449"/>
      <c r="Q600" s="4"/>
      <c r="R600" s="6"/>
      <c r="S600" s="6"/>
      <c r="T600" s="4">
        <v>30</v>
      </c>
      <c r="U600" s="4"/>
      <c r="V600" s="4"/>
      <c r="W600" s="9">
        <v>1.4</v>
      </c>
      <c r="X600" s="9"/>
      <c r="Y600" s="9"/>
      <c r="Z600" s="9"/>
      <c r="AA600" s="9"/>
      <c r="AB600" s="9"/>
      <c r="AC600" s="449" t="str">
        <f t="shared" si="78"/>
        <v>PHC</v>
      </c>
      <c r="AD600" s="449"/>
      <c r="AE600" s="449"/>
      <c r="AF600" s="4"/>
      <c r="AG600" s="83"/>
      <c r="AH600" s="4"/>
      <c r="AI600" s="4"/>
      <c r="AJ600" s="449"/>
      <c r="AK600" s="449"/>
      <c r="AL600" s="449"/>
      <c r="AM600" s="449" t="s">
        <v>126</v>
      </c>
      <c r="AN600" s="10">
        <v>5.5</v>
      </c>
      <c r="AO600" s="9"/>
      <c r="AP600" s="9"/>
      <c r="AQ600" s="9"/>
      <c r="AR600" s="9"/>
      <c r="AS600" s="9"/>
      <c r="AT600" s="9">
        <f>+ab($T$600,$T$598,$T$602,$G$599,$G$601, 1*$F$600,1200)</f>
        <v>4.9602728508612239</v>
      </c>
      <c r="AU600" s="428"/>
      <c r="AV600" s="428"/>
      <c r="AW600" s="449" t="str">
        <f>IF(C600&gt;0,VLOOKUP(C600,Foundation_Calc!$A$2:$C$13,3,1),
IF(J600&gt;0,VLOOKUP(J600,Foundation_Calc!$A$2:$C$13,3,1),""))</f>
        <v>Multi Soil</v>
      </c>
      <c r="AX600" s="449" t="str">
        <f>IF(C600&gt;0,VLOOKUP(C600,Foundation_Calc!$E$35:$G$65,3,1),
IF(J600&gt;0,VLOOKUP(J600,Foundation_Calc!$E$35:$G$65,3,1),""))</f>
        <v>PT</v>
      </c>
      <c r="AY600" s="10">
        <f>IF(L600="","",
IF(AX600="PT",VLOOKUP(L600,Foundation_Calc!$K$79:$R$113,VLOOKUP(AW600,Foundation_Calc!$I$2:$J$8,2,FALSE),0),
IF(AX600="K",VLOOKUP(L600,Foundation_Calc!$K$117:$R$151,VLOOKUP(AW600,Foundation_Calc!$I$2:$J$8,2,FALSE),0),"")))</f>
        <v>3.5</v>
      </c>
      <c r="AZ600" s="10" t="str">
        <f>IF(K600="","",
IF(AX600="PT",VLOOKUP(K600,Foundation_Calc!$K$79:$R$113,VLOOKUP(AW600,Foundation_Calc!$I$2:$J$8,2,FALSE),0),
IF(AX600="K",VLOOKUP(K600,Foundation_Calc!$K$117:$R$151,VLOOKUP(AW600,Foundation_Calc!$I$2:$J$8,2,FALSE),0),"")))</f>
        <v/>
      </c>
      <c r="BA600" s="495" t="str">
        <f t="shared" si="72"/>
        <v>ü</v>
      </c>
      <c r="BB600" s="495" t="str">
        <f t="shared" si="73"/>
        <v/>
      </c>
      <c r="BC600" s="495" t="str">
        <f t="shared" si="74"/>
        <v/>
      </c>
      <c r="BD600" s="513" t="str">
        <f>IF(AND(L600="",H600=""),"",
IF(H600="",Pole_Calc!A$9,
IF(H600="MP",Pole_Calc!A$10,
IF(H600="AnMP",Pole_Calc!A$11,
IF(H600="A",Pole_Calc!A$12,
IF(H600="S/A",Pole_Calc!A$13,
IF(H600="A/S",Pole_Calc!A$14,"Poner a mano")))))))</f>
        <v>App.7-V11I-P9.5.1.6</v>
      </c>
      <c r="BE600" s="429" t="s">
        <v>118</v>
      </c>
      <c r="BF600" s="289"/>
      <c r="BG600" s="289"/>
      <c r="BH600" s="290"/>
      <c r="BI600" s="289"/>
    </row>
    <row r="601" spans="1:61" ht="15.75" customHeight="1">
      <c r="A601" s="514"/>
      <c r="B601" s="450"/>
      <c r="C601" s="3"/>
      <c r="D601" s="83"/>
      <c r="E601" s="4"/>
      <c r="F601" s="4"/>
      <c r="G601" s="6">
        <v>48</v>
      </c>
      <c r="H601" s="449"/>
      <c r="I601" s="4"/>
      <c r="J601" s="3">
        <f>C600+7.5</f>
        <v>44673.780000000013</v>
      </c>
      <c r="K601" s="449" t="s">
        <v>117</v>
      </c>
      <c r="L601" s="449"/>
      <c r="M601" s="449" t="str">
        <f>IF(L601="","",
IF(AX601="PT",VLOOKUP(L601,Foundation_Calc!$V$79:$X$113,VLOOKUP(AX601,Foundation_Calc!$I$10:$J$13,2,FALSE),0),
IF(AX601="K",VLOOKUP(L601,Foundation_Calc!$V$117:$X$151,VLOOKUP(AX601,Foundation_Calc!$I$10:$J$13,2,FALSE),0),"")))</f>
        <v/>
      </c>
      <c r="N601" s="449"/>
      <c r="O601" s="561"/>
      <c r="P601" s="449"/>
      <c r="Q601" s="4"/>
      <c r="R601" s="6"/>
      <c r="S601" s="6"/>
      <c r="T601" s="4"/>
      <c r="U601" s="4"/>
      <c r="V601" s="4"/>
      <c r="W601" s="9"/>
      <c r="X601" s="9"/>
      <c r="Y601" s="9"/>
      <c r="Z601" s="9"/>
      <c r="AA601" s="9"/>
      <c r="AB601" s="9"/>
      <c r="AC601" s="449" t="str">
        <f t="shared" si="78"/>
        <v/>
      </c>
      <c r="AD601" s="449"/>
      <c r="AE601" s="449"/>
      <c r="AF601" s="4"/>
      <c r="AG601" s="83"/>
      <c r="AH601" s="4"/>
      <c r="AI601" s="4"/>
      <c r="AJ601" s="449"/>
      <c r="AK601" s="449"/>
      <c r="AL601" s="449"/>
      <c r="AM601" s="449"/>
      <c r="AN601" s="10"/>
      <c r="AO601" s="9"/>
      <c r="AP601" s="9"/>
      <c r="AQ601" s="9">
        <f>+FL_1($T$602,$T$600,$G$601,1200,9.28, 1*$F$602)</f>
        <v>0.30001357293509062</v>
      </c>
      <c r="AR601" s="9"/>
      <c r="AS601" s="9"/>
      <c r="AT601" s="9"/>
      <c r="AU601" s="428"/>
      <c r="AV601" s="428"/>
      <c r="AW601" s="449" t="str">
        <f>IF(C601&gt;0,VLOOKUP(C601,Foundation_Calc!$A$2:$C$13,3,1),
IF(J601&gt;0,VLOOKUP(J601,Foundation_Calc!$A$2:$C$13,3,1),""))</f>
        <v>Multi Soil</v>
      </c>
      <c r="AX601" s="449" t="str">
        <f>IF(C601&gt;0,VLOOKUP(C601,Foundation_Calc!$E$35:$G$65,3,1),
IF(J601&gt;0,VLOOKUP(J601,Foundation_Calc!$E$35:$G$65,3,1),""))</f>
        <v>PT</v>
      </c>
      <c r="AY601" s="10" t="str">
        <f>IF(L601="","",
IF(AX601="PT",VLOOKUP(L601,Foundation_Calc!$K$79:$R$113,VLOOKUP(AW601,Foundation_Calc!$I$2:$J$8,2,FALSE),0),
IF(AX601="K",VLOOKUP(L601,Foundation_Calc!$K$117:$R$151,VLOOKUP(AW601,Foundation_Calc!$I$2:$J$8,2,FALSE),0),"")))</f>
        <v/>
      </c>
      <c r="AZ601" s="10">
        <f>IF(K601="","",
IF(AX601="PT",VLOOKUP(K601,Foundation_Calc!$K$79:$R$113,VLOOKUP(AW601,Foundation_Calc!$I$2:$J$8,2,FALSE),0),
IF(AX601="K",VLOOKUP(K601,Foundation_Calc!$K$117:$R$151,VLOOKUP(AW601,Foundation_Calc!$I$2:$J$8,2,FALSE),0),"")))</f>
        <v>3.9</v>
      </c>
      <c r="BA601" s="495" t="str">
        <f t="shared" si="72"/>
        <v/>
      </c>
      <c r="BB601" s="495" t="str">
        <f t="shared" si="73"/>
        <v>ü</v>
      </c>
      <c r="BC601" s="495" t="str">
        <f t="shared" si="74"/>
        <v/>
      </c>
      <c r="BD601" s="513" t="str">
        <f>IF(AND(L601="",H601=""),"",
IF(H601="",Pole_Calc!A$9,
IF(H601="MP",Pole_Calc!A$10,
IF(H601="AnMP",Pole_Calc!A$11,
IF(H601="A",Pole_Calc!A$12,
IF(H601="S/A",Pole_Calc!A$13,
IF(H601="A/S",Pole_Calc!A$14,"Poner a mano")))))))</f>
        <v/>
      </c>
      <c r="BE601" s="429" t="s">
        <v>118</v>
      </c>
      <c r="BF601" s="290"/>
      <c r="BG601" s="290"/>
      <c r="BH601" s="290"/>
      <c r="BI601" s="290"/>
    </row>
    <row r="602" spans="1:61" ht="15.75" customHeight="1">
      <c r="A602" s="514"/>
      <c r="B602" s="450" t="s">
        <v>1247</v>
      </c>
      <c r="C602" s="3">
        <f>+$C$600+$G$601</f>
        <v>44714.280000000013</v>
      </c>
      <c r="D602" s="83"/>
      <c r="E602" s="4"/>
      <c r="F602" s="4">
        <v>1205</v>
      </c>
      <c r="G602" s="6"/>
      <c r="H602" s="449"/>
      <c r="I602" s="4"/>
      <c r="J602" s="3"/>
      <c r="K602" s="449"/>
      <c r="L602" s="449" t="s">
        <v>158</v>
      </c>
      <c r="M602" s="449" t="str">
        <f>IF(L602="","",
IF(AX602="PT",VLOOKUP(L602,Foundation_Calc!$V$79:$X$113,VLOOKUP(AX602,Foundation_Calc!$I$10:$J$13,2,FALSE),0),
IF(AX602="K",VLOOKUP(L602,Foundation_Calc!$V$117:$X$151,VLOOKUP(AX602,Foundation_Calc!$I$10:$J$13,2,FALSE),0),"")))</f>
        <v>C4R</v>
      </c>
      <c r="N602" s="449" t="s">
        <v>134</v>
      </c>
      <c r="O602" s="449"/>
      <c r="P602" s="449"/>
      <c r="Q602" s="4"/>
      <c r="R602" s="6"/>
      <c r="S602" s="6"/>
      <c r="T602" s="4">
        <v>30</v>
      </c>
      <c r="U602" s="4"/>
      <c r="V602" s="4"/>
      <c r="W602" s="9">
        <v>1.4</v>
      </c>
      <c r="X602" s="9"/>
      <c r="Y602" s="9"/>
      <c r="Z602" s="9"/>
      <c r="AA602" s="9"/>
      <c r="AB602" s="9"/>
      <c r="AC602" s="449" t="str">
        <f t="shared" si="78"/>
        <v>PHC</v>
      </c>
      <c r="AD602" s="449"/>
      <c r="AE602" s="449"/>
      <c r="AF602" s="4"/>
      <c r="AG602" s="83"/>
      <c r="AH602" s="4"/>
      <c r="AI602" s="4"/>
      <c r="AJ602" s="449"/>
      <c r="AK602" s="449"/>
      <c r="AL602" s="449"/>
      <c r="AM602" s="449" t="s">
        <v>126</v>
      </c>
      <c r="AN602" s="10">
        <v>5.5</v>
      </c>
      <c r="AO602" s="9"/>
      <c r="AP602" s="9"/>
      <c r="AQ602" s="9"/>
      <c r="AR602" s="9"/>
      <c r="AS602" s="9"/>
      <c r="AT602" s="9">
        <f>+ab($T$602,$T$600,$T$604,$G$601,$G$603, 1*$F$602,1200)</f>
        <v>4.8060020134701533</v>
      </c>
      <c r="AU602" s="428"/>
      <c r="AV602" s="428"/>
      <c r="AW602" s="449" t="str">
        <f>IF(C602&gt;0,VLOOKUP(C602,Foundation_Calc!$A$2:$C$13,3,1),
IF(J602&gt;0,VLOOKUP(J602,Foundation_Calc!$A$2:$C$13,3,1),""))</f>
        <v>Multi Soil</v>
      </c>
      <c r="AX602" s="449" t="str">
        <f>IF(C602&gt;0,VLOOKUP(C602,Foundation_Calc!$E$35:$G$65,3,1),
IF(J602&gt;0,VLOOKUP(J602,Foundation_Calc!$E$35:$G$65,3,1),""))</f>
        <v>PT</v>
      </c>
      <c r="AY602" s="10">
        <f>IF(L602="","",
IF(AX602="PT",VLOOKUP(L602,Foundation_Calc!$K$79:$R$113,VLOOKUP(AW602,Foundation_Calc!$I$2:$J$8,2,FALSE),0),
IF(AX602="K",VLOOKUP(L602,Foundation_Calc!$K$117:$R$151,VLOOKUP(AW602,Foundation_Calc!$I$2:$J$8,2,FALSE),0),"")))</f>
        <v>3.5</v>
      </c>
      <c r="AZ602" s="10" t="str">
        <f>IF(K602="","",
IF(AX602="PT",VLOOKUP(K602,Foundation_Calc!$K$79:$R$113,VLOOKUP(AW602,Foundation_Calc!$I$2:$J$8,2,FALSE),0),
IF(AX602="K",VLOOKUP(K602,Foundation_Calc!$K$117:$R$151,VLOOKUP(AW602,Foundation_Calc!$I$2:$J$8,2,FALSE),0),"")))</f>
        <v/>
      </c>
      <c r="BA602" s="495" t="str">
        <f t="shared" si="72"/>
        <v>ü</v>
      </c>
      <c r="BB602" s="495" t="str">
        <f t="shared" si="73"/>
        <v/>
      </c>
      <c r="BC602" s="495" t="str">
        <f t="shared" si="74"/>
        <v/>
      </c>
      <c r="BD602" s="513" t="str">
        <f>IF(AND(L602="",H602=""),"",
IF(H602="",Pole_Calc!A$9,
IF(H602="MP",Pole_Calc!A$10,
IF(H602="AnMP",Pole_Calc!A$11,
IF(H602="A",Pole_Calc!A$12,
IF(H602="S/A",Pole_Calc!A$13,
IF(H602="A/S",Pole_Calc!A$14,"Poner a mano")))))))</f>
        <v>App.7-V11I-P9.5.1.1</v>
      </c>
      <c r="BE602" s="429" t="s">
        <v>118</v>
      </c>
      <c r="BF602" s="289"/>
      <c r="BG602" s="289"/>
      <c r="BH602" s="290"/>
      <c r="BI602" s="289"/>
    </row>
    <row r="603" spans="1:61" ht="15.75" customHeight="1">
      <c r="A603" s="518"/>
      <c r="B603" s="450"/>
      <c r="C603" s="3"/>
      <c r="D603" s="83"/>
      <c r="E603" s="4"/>
      <c r="F603" s="4"/>
      <c r="G603" s="6">
        <v>48</v>
      </c>
      <c r="H603" s="449"/>
      <c r="I603" s="4"/>
      <c r="J603" s="3"/>
      <c r="K603" s="449"/>
      <c r="L603" s="449"/>
      <c r="M603" s="449" t="str">
        <f>IF(L603="","",
IF(AX603="PT",VLOOKUP(L603,Foundation_Calc!$V$79:$X$113,VLOOKUP(AX603,Foundation_Calc!$I$10:$J$13,2,FALSE),0),
IF(AX603="K",VLOOKUP(L603,Foundation_Calc!$V$117:$X$151,VLOOKUP(AX603,Foundation_Calc!$I$10:$J$13,2,FALSE),0),"")))</f>
        <v/>
      </c>
      <c r="N603" s="449"/>
      <c r="O603" s="449"/>
      <c r="P603" s="449"/>
      <c r="Q603" s="4"/>
      <c r="R603" s="6"/>
      <c r="S603" s="6"/>
      <c r="T603" s="4"/>
      <c r="U603" s="4"/>
      <c r="V603" s="4"/>
      <c r="W603" s="9"/>
      <c r="X603" s="9"/>
      <c r="Y603" s="9"/>
      <c r="Z603" s="9"/>
      <c r="AA603" s="9"/>
      <c r="AB603" s="9"/>
      <c r="AC603" s="449" t="str">
        <f t="shared" si="78"/>
        <v/>
      </c>
      <c r="AD603" s="449"/>
      <c r="AE603" s="449"/>
      <c r="AF603" s="4"/>
      <c r="AG603" s="83"/>
      <c r="AH603" s="4"/>
      <c r="AI603" s="4"/>
      <c r="AJ603" s="449"/>
      <c r="AK603" s="449"/>
      <c r="AL603" s="449"/>
      <c r="AM603" s="449"/>
      <c r="AN603" s="10"/>
      <c r="AO603" s="9"/>
      <c r="AP603" s="9"/>
      <c r="AQ603" s="9">
        <f>+FL_1($T$604,$T$602,$G$603,1200,9.28, 1*$F$604)</f>
        <v>0.30001357293509062</v>
      </c>
      <c r="AR603" s="9"/>
      <c r="AS603" s="9"/>
      <c r="AT603" s="9"/>
      <c r="AU603" s="428"/>
      <c r="AV603" s="428"/>
      <c r="AW603" s="449" t="str">
        <f>IF(C603&gt;0,VLOOKUP(C603,Foundation_Calc!$A$2:$C$13,3,1),
IF(J603&gt;0,VLOOKUP(J603,Foundation_Calc!$A$2:$C$13,3,1),""))</f>
        <v/>
      </c>
      <c r="AX603" s="449" t="str">
        <f>IF(C603&gt;0,VLOOKUP(C603,Foundation_Calc!$E$35:$G$65,3,1),
IF(J603&gt;0,VLOOKUP(J603,Foundation_Calc!$E$35:$G$65,3,1),""))</f>
        <v/>
      </c>
      <c r="AY603" s="10" t="str">
        <f>IF(L603="","",
IF(AX603="PT",VLOOKUP(L603,Foundation_Calc!$K$79:$R$113,VLOOKUP(AW603,Foundation_Calc!$I$2:$J$8,2,FALSE),0),
IF(AX603="K",VLOOKUP(L603,Foundation_Calc!$K$117:$R$151,VLOOKUP(AW603,Foundation_Calc!$I$2:$J$8,2,FALSE),0),"")))</f>
        <v/>
      </c>
      <c r="AZ603" s="10" t="str">
        <f>IF(K603="","",
IF(AX603="PT",VLOOKUP(K603,Foundation_Calc!$K$79:$R$113,VLOOKUP(AW603,Foundation_Calc!$I$2:$J$8,2,FALSE),0),
IF(AX603="K",VLOOKUP(K603,Foundation_Calc!$K$117:$R$151,VLOOKUP(AW603,Foundation_Calc!$I$2:$J$8,2,FALSE),0),"")))</f>
        <v/>
      </c>
      <c r="BA603" s="495" t="str">
        <f t="shared" si="72"/>
        <v/>
      </c>
      <c r="BB603" s="495" t="str">
        <f t="shared" si="73"/>
        <v/>
      </c>
      <c r="BC603" s="495" t="str">
        <f t="shared" si="74"/>
        <v/>
      </c>
      <c r="BD603" s="513" t="str">
        <f>IF(AND(L603="",H603=""),"",
IF(H603="",Pole_Calc!A$9,
IF(H603="MP",Pole_Calc!A$10,
IF(H603="AnMP",Pole_Calc!A$11,
IF(H603="A",Pole_Calc!A$12,
IF(H603="S/A",Pole_Calc!A$13,
IF(H603="A/S",Pole_Calc!A$14,"Poner a mano")))))))</f>
        <v/>
      </c>
      <c r="BE603" s="429" t="s">
        <v>118</v>
      </c>
      <c r="BF603" s="290"/>
      <c r="BG603" s="290"/>
      <c r="BH603" s="290"/>
      <c r="BI603" s="290"/>
    </row>
    <row r="604" spans="1:61" ht="15.75" customHeight="1">
      <c r="A604" s="514"/>
      <c r="B604" s="450" t="s">
        <v>1248</v>
      </c>
      <c r="C604" s="3">
        <f>+$C$602+$G$603</f>
        <v>44762.280000000013</v>
      </c>
      <c r="D604" s="83"/>
      <c r="E604" s="4"/>
      <c r="F604" s="4">
        <v>1205</v>
      </c>
      <c r="G604" s="6"/>
      <c r="H604" s="449"/>
      <c r="I604" s="4"/>
      <c r="J604" s="3"/>
      <c r="K604" s="449"/>
      <c r="L604" s="449" t="s">
        <v>158</v>
      </c>
      <c r="M604" s="449" t="str">
        <f>IF(L604="","",
IF(AX604="PT",VLOOKUP(L604,Foundation_Calc!$V$79:$X$113,VLOOKUP(AX604,Foundation_Calc!$I$10:$J$13,2,FALSE),0),
IF(AX604="K",VLOOKUP(L604,Foundation_Calc!$V$117:$X$151,VLOOKUP(AX604,Foundation_Calc!$I$10:$J$13,2,FALSE),0),"")))</f>
        <v>C4R</v>
      </c>
      <c r="N604" s="449" t="s">
        <v>134</v>
      </c>
      <c r="O604" s="449"/>
      <c r="P604" s="449"/>
      <c r="Q604" s="4"/>
      <c r="R604" s="6"/>
      <c r="S604" s="6"/>
      <c r="T604" s="4">
        <v>30</v>
      </c>
      <c r="U604" s="4"/>
      <c r="V604" s="4"/>
      <c r="W604" s="9">
        <v>1.4</v>
      </c>
      <c r="X604" s="9"/>
      <c r="Y604" s="9"/>
      <c r="Z604" s="9"/>
      <c r="AA604" s="9"/>
      <c r="AB604" s="9"/>
      <c r="AC604" s="449" t="str">
        <f t="shared" si="78"/>
        <v>PHC</v>
      </c>
      <c r="AD604" s="449"/>
      <c r="AE604" s="449"/>
      <c r="AF604" s="4"/>
      <c r="AG604" s="83"/>
      <c r="AH604" s="4"/>
      <c r="AI604" s="4"/>
      <c r="AJ604" s="449"/>
      <c r="AK604" s="449"/>
      <c r="AL604" s="449"/>
      <c r="AM604" s="449" t="s">
        <v>126</v>
      </c>
      <c r="AN604" s="10">
        <v>5.5</v>
      </c>
      <c r="AO604" s="9"/>
      <c r="AP604" s="9"/>
      <c r="AQ604" s="9"/>
      <c r="AR604" s="9"/>
      <c r="AS604" s="9"/>
      <c r="AT604" s="9">
        <f>+ab($T$604,$T$602,$T$606,$G$603,$G$605, 1*$F$604,1200)</f>
        <v>4.856350811026056</v>
      </c>
      <c r="AU604" s="428"/>
      <c r="AV604" s="428"/>
      <c r="AW604" s="449" t="str">
        <f>IF(C604&gt;0,VLOOKUP(C604,Foundation_Calc!$A$2:$C$13,3,1),
IF(J604&gt;0,VLOOKUP(J604,Foundation_Calc!$A$2:$C$13,3,1),""))</f>
        <v>Multi Soil</v>
      </c>
      <c r="AX604" s="449" t="str">
        <f>IF(C604&gt;0,VLOOKUP(C604,Foundation_Calc!$E$35:$G$65,3,1),
IF(J604&gt;0,VLOOKUP(J604,Foundation_Calc!$E$35:$G$65,3,1),""))</f>
        <v>PT</v>
      </c>
      <c r="AY604" s="10">
        <f>IF(L604="","",
IF(AX604="PT",VLOOKUP(L604,Foundation_Calc!$K$79:$R$113,VLOOKUP(AW604,Foundation_Calc!$I$2:$J$8,2,FALSE),0),
IF(AX604="K",VLOOKUP(L604,Foundation_Calc!$K$117:$R$151,VLOOKUP(AW604,Foundation_Calc!$I$2:$J$8,2,FALSE),0),"")))</f>
        <v>3.5</v>
      </c>
      <c r="AZ604" s="10" t="str">
        <f>IF(K604="","",
IF(AX604="PT",VLOOKUP(K604,Foundation_Calc!$K$79:$R$113,VLOOKUP(AW604,Foundation_Calc!$I$2:$J$8,2,FALSE),0),
IF(AX604="K",VLOOKUP(K604,Foundation_Calc!$K$117:$R$151,VLOOKUP(AW604,Foundation_Calc!$I$2:$J$8,2,FALSE),0),"")))</f>
        <v/>
      </c>
      <c r="BA604" s="495" t="str">
        <f t="shared" si="72"/>
        <v>ü</v>
      </c>
      <c r="BB604" s="495" t="str">
        <f t="shared" si="73"/>
        <v/>
      </c>
      <c r="BC604" s="495" t="str">
        <f t="shared" si="74"/>
        <v/>
      </c>
      <c r="BD604" s="513" t="str">
        <f>IF(AND(L604="",H604=""),"",
IF(H604="",Pole_Calc!A$9,
IF(H604="MP",Pole_Calc!A$10,
IF(H604="AnMP",Pole_Calc!A$11,
IF(H604="A",Pole_Calc!A$12,
IF(H604="S/A",Pole_Calc!A$13,
IF(H604="A/S",Pole_Calc!A$14,"Poner a mano")))))))</f>
        <v>App.7-V11I-P9.5.1.1</v>
      </c>
      <c r="BE604" s="429" t="s">
        <v>118</v>
      </c>
      <c r="BF604" s="289"/>
      <c r="BG604" s="289"/>
      <c r="BH604" s="290"/>
      <c r="BI604" s="289"/>
    </row>
    <row r="605" spans="1:61" ht="15.75" customHeight="1">
      <c r="A605" s="514"/>
      <c r="B605" s="450"/>
      <c r="C605" s="3"/>
      <c r="D605" s="83"/>
      <c r="E605" s="4"/>
      <c r="F605" s="4"/>
      <c r="G605" s="6">
        <v>47</v>
      </c>
      <c r="H605" s="449"/>
      <c r="I605" s="4"/>
      <c r="J605" s="3"/>
      <c r="K605" s="449"/>
      <c r="L605" s="449"/>
      <c r="M605" s="449" t="str">
        <f>IF(L605="","",
IF(AX605="PT",VLOOKUP(L605,Foundation_Calc!$V$79:$X$113,VLOOKUP(AX605,Foundation_Calc!$I$10:$J$13,2,FALSE),0),
IF(AX605="K",VLOOKUP(L605,Foundation_Calc!$V$117:$X$151,VLOOKUP(AX605,Foundation_Calc!$I$10:$J$13,2,FALSE),0),"")))</f>
        <v/>
      </c>
      <c r="N605" s="449"/>
      <c r="O605" s="449"/>
      <c r="P605" s="449"/>
      <c r="Q605" s="4"/>
      <c r="R605" s="6"/>
      <c r="S605" s="6"/>
      <c r="T605" s="4"/>
      <c r="U605" s="4"/>
      <c r="V605" s="4"/>
      <c r="W605" s="572"/>
      <c r="X605" s="572"/>
      <c r="Y605" s="9"/>
      <c r="Z605" s="9"/>
      <c r="AA605" s="9"/>
      <c r="AB605" s="9"/>
      <c r="AC605" s="449" t="str">
        <f t="shared" si="78"/>
        <v/>
      </c>
      <c r="AD605" s="449"/>
      <c r="AE605" s="449"/>
      <c r="AF605" s="4"/>
      <c r="AG605" s="83"/>
      <c r="AH605" s="4"/>
      <c r="AI605" s="4"/>
      <c r="AJ605" s="449"/>
      <c r="AK605" s="449"/>
      <c r="AL605" s="449"/>
      <c r="AM605" s="449"/>
      <c r="AN605" s="10"/>
      <c r="AO605" s="9"/>
      <c r="AP605" s="9"/>
      <c r="AQ605" s="9">
        <f>+FL_1($T$606,$T$604,$G$605,1200,9.28, 1*$F$606)</f>
        <v>0.30001329022498935</v>
      </c>
      <c r="AR605" s="9"/>
      <c r="AS605" s="9"/>
      <c r="AT605" s="9"/>
      <c r="AU605" s="428"/>
      <c r="AV605" s="428"/>
      <c r="AW605" s="449" t="str">
        <f>IF(C605&gt;0,VLOOKUP(C605,Foundation_Calc!$A$2:$C$13,3,1),
IF(J605&gt;0,VLOOKUP(J605,Foundation_Calc!$A$2:$C$13,3,1),""))</f>
        <v/>
      </c>
      <c r="AX605" s="449" t="str">
        <f>IF(C605&gt;0,VLOOKUP(C605,Foundation_Calc!$E$35:$G$65,3,1),
IF(J605&gt;0,VLOOKUP(J605,Foundation_Calc!$E$35:$G$65,3,1),""))</f>
        <v/>
      </c>
      <c r="AY605" s="10" t="str">
        <f>IF(L605="","",
IF(AX605="PT",VLOOKUP(L605,Foundation_Calc!$K$79:$R$113,VLOOKUP(AW605,Foundation_Calc!$I$2:$J$8,2,FALSE),0),
IF(AX605="K",VLOOKUP(L605,Foundation_Calc!$K$117:$R$151,VLOOKUP(AW605,Foundation_Calc!$I$2:$J$8,2,FALSE),0),"")))</f>
        <v/>
      </c>
      <c r="AZ605" s="10" t="str">
        <f>IF(K605="","",
IF(AX605="PT",VLOOKUP(K605,Foundation_Calc!$K$79:$R$113,VLOOKUP(AW605,Foundation_Calc!$I$2:$J$8,2,FALSE),0),
IF(AX605="K",VLOOKUP(K605,Foundation_Calc!$K$117:$R$151,VLOOKUP(AW605,Foundation_Calc!$I$2:$J$8,2,FALSE),0),"")))</f>
        <v/>
      </c>
      <c r="BA605" s="495" t="str">
        <f t="shared" si="72"/>
        <v/>
      </c>
      <c r="BB605" s="495" t="str">
        <f t="shared" si="73"/>
        <v/>
      </c>
      <c r="BC605" s="495" t="str">
        <f t="shared" si="74"/>
        <v/>
      </c>
      <c r="BD605" s="513" t="str">
        <f>IF(AND(L605="",H605=""),"",
IF(H605="",Pole_Calc!A$9,
IF(H605="MP",Pole_Calc!A$10,
IF(H605="AnMP",Pole_Calc!A$11,
IF(H605="A",Pole_Calc!A$12,
IF(H605="S/A",Pole_Calc!A$13,
IF(H605="A/S",Pole_Calc!A$14,"Poner a mano")))))))</f>
        <v/>
      </c>
      <c r="BE605" s="429" t="s">
        <v>118</v>
      </c>
      <c r="BF605" s="290"/>
      <c r="BG605" s="290"/>
      <c r="BH605" s="290"/>
      <c r="BI605" s="290"/>
    </row>
    <row r="606" spans="1:61" ht="15.75" customHeight="1">
      <c r="A606" s="514"/>
      <c r="B606" s="450" t="s">
        <v>1249</v>
      </c>
      <c r="C606" s="3">
        <f>+$C$604+$G$605</f>
        <v>44809.280000000013</v>
      </c>
      <c r="D606" s="83"/>
      <c r="E606" s="4"/>
      <c r="F606" s="4">
        <v>1205</v>
      </c>
      <c r="G606" s="6"/>
      <c r="H606" s="449"/>
      <c r="I606" s="4"/>
      <c r="J606" s="3"/>
      <c r="K606" s="449"/>
      <c r="L606" s="449" t="s">
        <v>158</v>
      </c>
      <c r="M606" s="449" t="str">
        <f>IF(L606="","",
IF(AX606="PT",VLOOKUP(L606,Foundation_Calc!$V$79:$X$113,VLOOKUP(AX606,Foundation_Calc!$I$10:$J$13,2,FALSE),0),
IF(AX606="K",VLOOKUP(L606,Foundation_Calc!$V$117:$X$151,VLOOKUP(AX606,Foundation_Calc!$I$10:$J$13,2,FALSE),0),"")))</f>
        <v>C4R</v>
      </c>
      <c r="N606" s="449" t="s">
        <v>134</v>
      </c>
      <c r="O606" s="449"/>
      <c r="P606" s="449"/>
      <c r="Q606" s="4"/>
      <c r="R606" s="6"/>
      <c r="S606" s="6"/>
      <c r="T606" s="4">
        <v>30</v>
      </c>
      <c r="U606" s="4"/>
      <c r="V606" s="4"/>
      <c r="W606" s="9">
        <v>1.4</v>
      </c>
      <c r="X606" s="572"/>
      <c r="Y606" s="9"/>
      <c r="Z606" s="9"/>
      <c r="AA606" s="9"/>
      <c r="AB606" s="9"/>
      <c r="AC606" s="449" t="str">
        <f t="shared" si="78"/>
        <v>PHC</v>
      </c>
      <c r="AD606" s="449"/>
      <c r="AE606" s="449"/>
      <c r="AF606" s="4"/>
      <c r="AG606" s="83"/>
      <c r="AH606" s="4"/>
      <c r="AI606" s="4"/>
      <c r="AJ606" s="449"/>
      <c r="AK606" s="449"/>
      <c r="AL606" s="449"/>
      <c r="AM606" s="449" t="s">
        <v>126</v>
      </c>
      <c r="AN606" s="10">
        <v>5.5</v>
      </c>
      <c r="AO606" s="9"/>
      <c r="AP606" s="9"/>
      <c r="AQ606" s="9"/>
      <c r="AR606" s="9"/>
      <c r="AS606" s="9"/>
      <c r="AT606" s="9">
        <f>+ab($T$606,$T$604,$T$608,$G$605,$G$607, 1*$F$606,1200)</f>
        <v>4.9077631003014863</v>
      </c>
      <c r="AU606" s="428"/>
      <c r="AV606" s="428"/>
      <c r="AW606" s="449" t="str">
        <f>IF(C606&gt;0,VLOOKUP(C606,Foundation_Calc!$A$2:$C$13,3,1),
IF(J606&gt;0,VLOOKUP(J606,Foundation_Calc!$A$2:$C$13,3,1),""))</f>
        <v>Multi Soil</v>
      </c>
      <c r="AX606" s="449" t="str">
        <f>IF(C606&gt;0,VLOOKUP(C606,Foundation_Calc!$E$35:$G$65,3,1),
IF(J606&gt;0,VLOOKUP(J606,Foundation_Calc!$E$35:$G$65,3,1),""))</f>
        <v>PT</v>
      </c>
      <c r="AY606" s="10">
        <f>IF(L606="","",
IF(AX606="PT",VLOOKUP(L606,Foundation_Calc!$K$79:$R$113,VLOOKUP(AW606,Foundation_Calc!$I$2:$J$8,2,FALSE),0),
IF(AX606="K",VLOOKUP(L606,Foundation_Calc!$K$117:$R$151,VLOOKUP(AW606,Foundation_Calc!$I$2:$J$8,2,FALSE),0),"")))</f>
        <v>3.5</v>
      </c>
      <c r="AZ606" s="10" t="str">
        <f>IF(K606="","",
IF(AX606="PT",VLOOKUP(K606,Foundation_Calc!$K$79:$R$113,VLOOKUP(AW606,Foundation_Calc!$I$2:$J$8,2,FALSE),0),
IF(AX606="K",VLOOKUP(K606,Foundation_Calc!$K$117:$R$151,VLOOKUP(AW606,Foundation_Calc!$I$2:$J$8,2,FALSE),0),"")))</f>
        <v/>
      </c>
      <c r="BA606" s="495" t="str">
        <f t="shared" si="72"/>
        <v>ü</v>
      </c>
      <c r="BB606" s="495" t="str">
        <f t="shared" si="73"/>
        <v/>
      </c>
      <c r="BC606" s="495" t="str">
        <f t="shared" si="74"/>
        <v/>
      </c>
      <c r="BD606" s="513" t="str">
        <f>IF(AND(L606="",H606=""),"",
IF(H606="",Pole_Calc!A$9,
IF(H606="MP",Pole_Calc!A$10,
IF(H606="AnMP",Pole_Calc!A$11,
IF(H606="A",Pole_Calc!A$12,
IF(H606="S/A",Pole_Calc!A$13,
IF(H606="A/S",Pole_Calc!A$14,"Poner a mano")))))))</f>
        <v>App.7-V11I-P9.5.1.1</v>
      </c>
      <c r="BE606" s="429" t="s">
        <v>118</v>
      </c>
      <c r="BF606" s="289"/>
      <c r="BG606" s="289"/>
      <c r="BH606" s="290"/>
      <c r="BI606" s="289"/>
    </row>
    <row r="607" spans="1:61" ht="15.75" customHeight="1">
      <c r="A607" s="514"/>
      <c r="B607" s="450"/>
      <c r="C607" s="3"/>
      <c r="D607" s="83"/>
      <c r="E607" s="4"/>
      <c r="F607" s="4"/>
      <c r="G607" s="6">
        <v>47</v>
      </c>
      <c r="H607" s="449"/>
      <c r="I607" s="4"/>
      <c r="J607" s="3"/>
      <c r="K607" s="449"/>
      <c r="L607" s="449"/>
      <c r="M607" s="449" t="str">
        <f>IF(L607="","",
IF(AX607="PT",VLOOKUP(L607,Foundation_Calc!$V$79:$X$113,VLOOKUP(AX607,Foundation_Calc!$I$10:$J$13,2,FALSE),0),
IF(AX607="K",VLOOKUP(L607,Foundation_Calc!$V$117:$X$151,VLOOKUP(AX607,Foundation_Calc!$I$10:$J$13,2,FALSE),0),"")))</f>
        <v/>
      </c>
      <c r="N607" s="449"/>
      <c r="O607" s="561"/>
      <c r="P607" s="449"/>
      <c r="Q607" s="4"/>
      <c r="R607" s="6"/>
      <c r="S607" s="6"/>
      <c r="T607" s="4"/>
      <c r="U607" s="4"/>
      <c r="V607" s="4"/>
      <c r="W607" s="9"/>
      <c r="X607" s="572"/>
      <c r="Y607" s="9"/>
      <c r="Z607" s="9"/>
      <c r="AA607" s="9"/>
      <c r="AB607" s="9"/>
      <c r="AC607" s="449" t="str">
        <f t="shared" si="78"/>
        <v/>
      </c>
      <c r="AD607" s="449"/>
      <c r="AE607" s="449"/>
      <c r="AF607" s="4"/>
      <c r="AG607" s="83"/>
      <c r="AH607" s="4"/>
      <c r="AI607" s="4"/>
      <c r="AJ607" s="449"/>
      <c r="AK607" s="449"/>
      <c r="AL607" s="449"/>
      <c r="AM607" s="449"/>
      <c r="AN607" s="10"/>
      <c r="AO607" s="9"/>
      <c r="AP607" s="9"/>
      <c r="AQ607" s="9">
        <f>+FL_1($T$608,$T$606,$G$607,1200,9.28, 1*$F$608)</f>
        <v>0.30001329022498935</v>
      </c>
      <c r="AR607" s="9"/>
      <c r="AS607" s="9"/>
      <c r="AT607" s="9"/>
      <c r="AU607" s="428"/>
      <c r="AV607" s="428"/>
      <c r="AW607" s="449" t="str">
        <f>IF(C607&gt;0,VLOOKUP(C607,Foundation_Calc!$A$2:$C$13,3,1),
IF(J607&gt;0,VLOOKUP(J607,Foundation_Calc!$A$2:$C$13,3,1),""))</f>
        <v/>
      </c>
      <c r="AX607" s="449" t="str">
        <f>IF(C607&gt;0,VLOOKUP(C607,Foundation_Calc!$E$35:$G$65,3,1),
IF(J607&gt;0,VLOOKUP(J607,Foundation_Calc!$E$35:$G$65,3,1),""))</f>
        <v/>
      </c>
      <c r="AY607" s="10" t="str">
        <f>IF(L607="","",
IF(AX607="PT",VLOOKUP(L607,Foundation_Calc!$K$79:$R$113,VLOOKUP(AW607,Foundation_Calc!$I$2:$J$8,2,FALSE),0),
IF(AX607="K",VLOOKUP(L607,Foundation_Calc!$K$117:$R$151,VLOOKUP(AW607,Foundation_Calc!$I$2:$J$8,2,FALSE),0),"")))</f>
        <v/>
      </c>
      <c r="AZ607" s="10" t="str">
        <f>IF(K607="","",
IF(AX607="PT",VLOOKUP(K607,Foundation_Calc!$K$79:$R$113,VLOOKUP(AW607,Foundation_Calc!$I$2:$J$8,2,FALSE),0),
IF(AX607="K",VLOOKUP(K607,Foundation_Calc!$K$117:$R$151,VLOOKUP(AW607,Foundation_Calc!$I$2:$J$8,2,FALSE),0),"")))</f>
        <v/>
      </c>
      <c r="BA607" s="495" t="str">
        <f t="shared" si="72"/>
        <v/>
      </c>
      <c r="BB607" s="495" t="str">
        <f t="shared" si="73"/>
        <v/>
      </c>
      <c r="BC607" s="495" t="str">
        <f t="shared" si="74"/>
        <v/>
      </c>
      <c r="BD607" s="513" t="str">
        <f>IF(AND(L607="",H607=""),"",
IF(H607="",Pole_Calc!A$9,
IF(H607="MP",Pole_Calc!A$10,
IF(H607="AnMP",Pole_Calc!A$11,
IF(H607="A",Pole_Calc!A$12,
IF(H607="S/A",Pole_Calc!A$13,
IF(H607="A/S",Pole_Calc!A$14,"Poner a mano")))))))</f>
        <v/>
      </c>
      <c r="BE607" s="429" t="s">
        <v>118</v>
      </c>
      <c r="BF607" s="290"/>
      <c r="BG607" s="290"/>
      <c r="BH607" s="290"/>
      <c r="BI607" s="290"/>
    </row>
    <row r="608" spans="1:61" ht="15.75" customHeight="1">
      <c r="A608" s="514"/>
      <c r="B608" s="450" t="s">
        <v>1250</v>
      </c>
      <c r="C608" s="3">
        <f>+$C$606+$G$607</f>
        <v>44856.280000000013</v>
      </c>
      <c r="D608" s="83"/>
      <c r="E608" s="4"/>
      <c r="F608" s="4">
        <v>1205</v>
      </c>
      <c r="G608" s="6"/>
      <c r="H608" s="449"/>
      <c r="I608" s="4"/>
      <c r="J608" s="3"/>
      <c r="K608" s="449"/>
      <c r="L608" s="449" t="s">
        <v>158</v>
      </c>
      <c r="M608" s="449" t="str">
        <f>IF(L608="","",
IF(AX608="PT",VLOOKUP(L608,Foundation_Calc!$V$79:$X$113,VLOOKUP(AX608,Foundation_Calc!$I$10:$J$13,2,FALSE),0),
IF(AX608="K",VLOOKUP(L608,Foundation_Calc!$V$117:$X$151,VLOOKUP(AX608,Foundation_Calc!$I$10:$J$13,2,FALSE),0),"")))</f>
        <v>C4R</v>
      </c>
      <c r="N608" s="449" t="s">
        <v>134</v>
      </c>
      <c r="O608" s="449"/>
      <c r="P608" s="449"/>
      <c r="Q608" s="4"/>
      <c r="R608" s="6"/>
      <c r="S608" s="6"/>
      <c r="T608" s="4">
        <v>30</v>
      </c>
      <c r="U608" s="4"/>
      <c r="V608" s="4"/>
      <c r="W608" s="9">
        <v>1.4</v>
      </c>
      <c r="X608" s="572"/>
      <c r="Y608" s="9"/>
      <c r="Z608" s="9"/>
      <c r="AA608" s="9"/>
      <c r="AB608" s="9"/>
      <c r="AC608" s="449" t="str">
        <f t="shared" si="78"/>
        <v>PHC</v>
      </c>
      <c r="AD608" s="449"/>
      <c r="AE608" s="449"/>
      <c r="AF608" s="4"/>
      <c r="AG608" s="83"/>
      <c r="AH608" s="4"/>
      <c r="AI608" s="4"/>
      <c r="AJ608" s="449"/>
      <c r="AK608" s="449"/>
      <c r="AL608" s="449"/>
      <c r="AM608" s="449" t="s">
        <v>126</v>
      </c>
      <c r="AN608" s="10">
        <v>5.5</v>
      </c>
      <c r="AO608" s="9"/>
      <c r="AP608" s="9"/>
      <c r="AQ608" s="9"/>
      <c r="AR608" s="9"/>
      <c r="AS608" s="9"/>
      <c r="AT608" s="9">
        <f>+ab($T$608,$T$606,$T$610,$G$607,$G$609, 1*$F$608,1200)</f>
        <v>4.9077631003014863</v>
      </c>
      <c r="AU608" s="428"/>
      <c r="AV608" s="428"/>
      <c r="AW608" s="449" t="str">
        <f>IF(C608&gt;0,VLOOKUP(C608,Foundation_Calc!$A$2:$C$13,3,1),
IF(J608&gt;0,VLOOKUP(J608,Foundation_Calc!$A$2:$C$13,3,1),""))</f>
        <v>Multi Soil</v>
      </c>
      <c r="AX608" s="449" t="str">
        <f>IF(C608&gt;0,VLOOKUP(C608,Foundation_Calc!$E$35:$G$65,3,1),
IF(J608&gt;0,VLOOKUP(J608,Foundation_Calc!$E$35:$G$65,3,1),""))</f>
        <v>PT</v>
      </c>
      <c r="AY608" s="10">
        <f>IF(L608="","",
IF(AX608="PT",VLOOKUP(L608,Foundation_Calc!$K$79:$R$113,VLOOKUP(AW608,Foundation_Calc!$I$2:$J$8,2,FALSE),0),
IF(AX608="K",VLOOKUP(L608,Foundation_Calc!$K$117:$R$151,VLOOKUP(AW608,Foundation_Calc!$I$2:$J$8,2,FALSE),0),"")))</f>
        <v>3.5</v>
      </c>
      <c r="AZ608" s="10" t="str">
        <f>IF(K608="","",
IF(AX608="PT",VLOOKUP(K608,Foundation_Calc!$K$79:$R$113,VLOOKUP(AW608,Foundation_Calc!$I$2:$J$8,2,FALSE),0),
IF(AX608="K",VLOOKUP(K608,Foundation_Calc!$K$117:$R$151,VLOOKUP(AW608,Foundation_Calc!$I$2:$J$8,2,FALSE),0),"")))</f>
        <v/>
      </c>
      <c r="BA608" s="495" t="str">
        <f t="shared" si="72"/>
        <v>ü</v>
      </c>
      <c r="BB608" s="495" t="str">
        <f t="shared" si="73"/>
        <v/>
      </c>
      <c r="BC608" s="495" t="str">
        <f t="shared" si="74"/>
        <v/>
      </c>
      <c r="BD608" s="513" t="str">
        <f>IF(AND(L608="",H608=""),"",
IF(H608="",Pole_Calc!A$9,
IF(H608="MP",Pole_Calc!A$10,
IF(H608="AnMP",Pole_Calc!A$11,
IF(H608="A",Pole_Calc!A$12,
IF(H608="S/A",Pole_Calc!A$13,
IF(H608="A/S",Pole_Calc!A$14,"Poner a mano")))))))</f>
        <v>App.7-V11I-P9.5.1.1</v>
      </c>
      <c r="BE608" s="429" t="s">
        <v>118</v>
      </c>
      <c r="BF608" s="289"/>
      <c r="BG608" s="289"/>
      <c r="BH608" s="290"/>
      <c r="BI608" s="289"/>
    </row>
    <row r="609" spans="1:61" ht="15.75" customHeight="1">
      <c r="A609" s="518"/>
      <c r="B609" s="450"/>
      <c r="C609" s="3"/>
      <c r="D609" s="83"/>
      <c r="E609" s="4"/>
      <c r="F609" s="4"/>
      <c r="G609" s="6">
        <v>47</v>
      </c>
      <c r="H609" s="449"/>
      <c r="I609" s="4"/>
      <c r="J609" s="3">
        <f>C610-7.5</f>
        <v>44894.340000000011</v>
      </c>
      <c r="K609" s="449" t="s">
        <v>166</v>
      </c>
      <c r="L609" s="449"/>
      <c r="M609" s="449" t="str">
        <f>IF(L609="","",
IF(AX609="PT",VLOOKUP(L609,Foundation_Calc!$V$79:$X$113,VLOOKUP(AX609,Foundation_Calc!$I$10:$J$13,2,FALSE),0),
IF(AX609="K",VLOOKUP(L609,Foundation_Calc!$V$117:$X$151,VLOOKUP(AX609,Foundation_Calc!$I$10:$J$13,2,FALSE),0),"")))</f>
        <v/>
      </c>
      <c r="N609" s="449"/>
      <c r="O609" s="449"/>
      <c r="P609" s="449"/>
      <c r="Q609" s="4"/>
      <c r="R609" s="6"/>
      <c r="S609" s="6"/>
      <c r="T609" s="4"/>
      <c r="U609" s="4"/>
      <c r="V609" s="4"/>
      <c r="W609" s="9"/>
      <c r="X609" s="572"/>
      <c r="Y609" s="9"/>
      <c r="Z609" s="9"/>
      <c r="AA609" s="9"/>
      <c r="AB609" s="9"/>
      <c r="AC609" s="449" t="str">
        <f t="shared" si="78"/>
        <v/>
      </c>
      <c r="AD609" s="449"/>
      <c r="AE609" s="449"/>
      <c r="AF609" s="4"/>
      <c r="AG609" s="83"/>
      <c r="AH609" s="4"/>
      <c r="AI609" s="4"/>
      <c r="AJ609" s="449"/>
      <c r="AK609" s="449"/>
      <c r="AL609" s="449"/>
      <c r="AM609" s="449"/>
      <c r="AN609" s="10"/>
      <c r="AO609" s="9"/>
      <c r="AP609" s="9"/>
      <c r="AQ609" s="9">
        <f>+FL_1($T$610,$T$608,$G$609,1200,9.28, 1*$F$610)</f>
        <v>0.30001329022498935</v>
      </c>
      <c r="AR609" s="9"/>
      <c r="AS609" s="9"/>
      <c r="AT609" s="9"/>
      <c r="AU609" s="428"/>
      <c r="AV609" s="428"/>
      <c r="AW609" s="449" t="str">
        <f>IF(C609&gt;0,VLOOKUP(C609,Foundation_Calc!$A$2:$C$13,3,1),
IF(J609&gt;0,VLOOKUP(J609,Foundation_Calc!$A$2:$C$13,3,1),""))</f>
        <v>Multi Soil</v>
      </c>
      <c r="AX609" s="449" t="str">
        <f>IF(C609&gt;0,VLOOKUP(C609,Foundation_Calc!$E$35:$G$65,3,1),
IF(J609&gt;0,VLOOKUP(J609,Foundation_Calc!$E$35:$G$65,3,1),""))</f>
        <v>PT</v>
      </c>
      <c r="AY609" s="10" t="str">
        <f>IF(L609="","",
IF(AX609="PT",VLOOKUP(L609,Foundation_Calc!$K$79:$R$113,VLOOKUP(AW609,Foundation_Calc!$I$2:$J$8,2,FALSE),0),
IF(AX609="K",VLOOKUP(L609,Foundation_Calc!$K$117:$R$151,VLOOKUP(AW609,Foundation_Calc!$I$2:$J$8,2,FALSE),0),"")))</f>
        <v/>
      </c>
      <c r="AZ609" s="10">
        <f>IF(K609="","",
IF(AX609="PT",VLOOKUP(K609,Foundation_Calc!$K$79:$R$113,VLOOKUP(AW609,Foundation_Calc!$I$2:$J$8,2,FALSE),0),
IF(AX609="K",VLOOKUP(K609,Foundation_Calc!$K$117:$R$151,VLOOKUP(AW609,Foundation_Calc!$I$2:$J$8,2,FALSE),0),"")))</f>
        <v>2.8</v>
      </c>
      <c r="BA609" s="495" t="str">
        <f t="shared" si="72"/>
        <v/>
      </c>
      <c r="BB609" s="495" t="str">
        <f t="shared" si="73"/>
        <v>ü</v>
      </c>
      <c r="BC609" s="495" t="str">
        <f t="shared" si="74"/>
        <v/>
      </c>
      <c r="BD609" s="513" t="str">
        <f>IF(AND(L609="",H609=""),"",
IF(H609="",Pole_Calc!A$9,
IF(H609="MP",Pole_Calc!A$10,
IF(H609="AnMP",Pole_Calc!A$11,
IF(H609="A",Pole_Calc!A$12,
IF(H609="S/A",Pole_Calc!A$13,
IF(H609="A/S",Pole_Calc!A$14,"Poner a mano")))))))</f>
        <v/>
      </c>
      <c r="BE609" s="429" t="s">
        <v>118</v>
      </c>
      <c r="BF609" s="290"/>
      <c r="BG609" s="290"/>
      <c r="BH609" s="290"/>
      <c r="BI609" s="290"/>
    </row>
    <row r="610" spans="1:61" ht="15.75" customHeight="1">
      <c r="A610" s="514"/>
      <c r="B610" s="450" t="s">
        <v>1251</v>
      </c>
      <c r="C610" s="3">
        <f>+$C$608+$G$609-1.44</f>
        <v>44901.840000000011</v>
      </c>
      <c r="D610" s="83"/>
      <c r="E610" s="4"/>
      <c r="F610" s="4">
        <v>1205</v>
      </c>
      <c r="G610" s="6"/>
      <c r="H610" s="449" t="s">
        <v>168</v>
      </c>
      <c r="I610" s="4"/>
      <c r="J610" s="3"/>
      <c r="K610" s="449"/>
      <c r="L610" s="449" t="s">
        <v>158</v>
      </c>
      <c r="M610" s="449" t="str">
        <f>IF(L610="","",
IF(AX610="PT",VLOOKUP(L610,Foundation_Calc!$V$79:$X$113,VLOOKUP(AX610,Foundation_Calc!$I$10:$J$13,2,FALSE),0),
IF(AX610="K",VLOOKUP(L610,Foundation_Calc!$V$117:$X$151,VLOOKUP(AX610,Foundation_Calc!$I$10:$J$13,2,FALSE),0),"")))</f>
        <v>C4R</v>
      </c>
      <c r="N610" s="449" t="s">
        <v>134</v>
      </c>
      <c r="O610" s="449"/>
      <c r="P610" s="449"/>
      <c r="Q610" s="4"/>
      <c r="R610" s="6"/>
      <c r="S610" s="6"/>
      <c r="T610" s="4">
        <v>30</v>
      </c>
      <c r="U610" s="4"/>
      <c r="V610" s="4"/>
      <c r="W610" s="572">
        <v>1.2</v>
      </c>
      <c r="X610" s="572"/>
      <c r="Y610" s="9"/>
      <c r="Z610" s="9"/>
      <c r="AA610" s="9"/>
      <c r="AB610" s="9"/>
      <c r="AC610" s="449" t="str">
        <f t="shared" si="78"/>
        <v>PHQ</v>
      </c>
      <c r="AD610" s="449"/>
      <c r="AE610" s="449"/>
      <c r="AF610" s="4"/>
      <c r="AG610" s="83"/>
      <c r="AH610" s="4"/>
      <c r="AI610" s="4"/>
      <c r="AJ610" s="449"/>
      <c r="AK610" s="449"/>
      <c r="AL610" s="449"/>
      <c r="AM610" s="449" t="s">
        <v>126</v>
      </c>
      <c r="AN610" s="10">
        <v>5.5</v>
      </c>
      <c r="AO610" s="9"/>
      <c r="AP610" s="9"/>
      <c r="AQ610" s="9"/>
      <c r="AR610" s="9"/>
      <c r="AS610" s="9"/>
      <c r="AT610" s="9">
        <f>+ab($T$610,$T$608,$T$612,$G$609,$G$611, 1*$F$610,1200)</f>
        <v>5.0139154907820211</v>
      </c>
      <c r="AU610" s="428"/>
      <c r="AV610" s="428"/>
      <c r="AW610" s="449" t="str">
        <f>IF(C610&gt;0,VLOOKUP(C610,Foundation_Calc!$A$2:$C$13,3,1),
IF(J610&gt;0,VLOOKUP(J610,Foundation_Calc!$A$2:$C$13,3,1),""))</f>
        <v>Multi Soil</v>
      </c>
      <c r="AX610" s="449" t="str">
        <f>IF(C610&gt;0,VLOOKUP(C610,Foundation_Calc!$E$35:$G$65,3,1),
IF(J610&gt;0,VLOOKUP(J610,Foundation_Calc!$E$35:$G$65,3,1),""))</f>
        <v>PT</v>
      </c>
      <c r="AY610" s="10">
        <f>IF(L610="","",
IF(AX610="PT",VLOOKUP(L610,Foundation_Calc!$K$79:$R$113,VLOOKUP(AW610,Foundation_Calc!$I$2:$J$8,2,FALSE),0),
IF(AX610="K",VLOOKUP(L610,Foundation_Calc!$K$117:$R$151,VLOOKUP(AW610,Foundation_Calc!$I$2:$J$8,2,FALSE),0),"")))</f>
        <v>3.5</v>
      </c>
      <c r="AZ610" s="10" t="str">
        <f>IF(K610="","",
IF(AX610="PT",VLOOKUP(K610,Foundation_Calc!$K$79:$R$113,VLOOKUP(AW610,Foundation_Calc!$I$2:$J$8,2,FALSE),0),
IF(AX610="K",VLOOKUP(K610,Foundation_Calc!$K$117:$R$151,VLOOKUP(AW610,Foundation_Calc!$I$2:$J$8,2,FALSE),0),"")))</f>
        <v/>
      </c>
      <c r="BA610" s="495" t="str">
        <f t="shared" si="72"/>
        <v>ü</v>
      </c>
      <c r="BB610" s="495" t="str">
        <f t="shared" si="73"/>
        <v/>
      </c>
      <c r="BC610" s="495" t="str">
        <f t="shared" si="74"/>
        <v/>
      </c>
      <c r="BD610" s="513" t="str">
        <f>IF(AND(L610="",H610=""),"",
IF(H610="",Pole_Calc!A$9,
IF(H610="MP",Pole_Calc!A$10,
IF(H610="AnMP",Pole_Calc!A$11,
IF(H610="A",Pole_Calc!A$12,
IF(H610="S/A",Pole_Calc!A$13,
IF(H610="A/S",Pole_Calc!A$14,"Poner a mano")))))))</f>
        <v>App.7-V11I-P9.5.1.3</v>
      </c>
      <c r="BE610" s="429" t="s">
        <v>118</v>
      </c>
      <c r="BF610" s="289"/>
      <c r="BG610" s="289"/>
      <c r="BH610" s="290"/>
      <c r="BI610" s="289"/>
    </row>
    <row r="611" spans="1:61" ht="15.75" customHeight="1">
      <c r="A611" s="607"/>
      <c r="B611" s="536"/>
      <c r="C611" s="537"/>
      <c r="D611" s="538"/>
      <c r="E611" s="539"/>
      <c r="F611" s="539"/>
      <c r="G611" s="540">
        <v>45</v>
      </c>
      <c r="H611" s="541"/>
      <c r="I611" s="539">
        <f>SUM(G595:G611)</f>
        <v>424</v>
      </c>
      <c r="J611" s="537"/>
      <c r="K611" s="541"/>
      <c r="L611" s="541"/>
      <c r="M611" s="541" t="str">
        <f>IF(L611="","",
IF(AX611="PT",VLOOKUP(L611,Foundation_Calc!$V$79:$X$113,VLOOKUP(AX611,Foundation_Calc!$I$10:$J$13,2,FALSE),0),
IF(AX611="K",VLOOKUP(L611,Foundation_Calc!$V$117:$X$151,VLOOKUP(AX611,Foundation_Calc!$I$10:$J$13,2,FALSE),0),"")))</f>
        <v/>
      </c>
      <c r="N611" s="541"/>
      <c r="O611" s="541"/>
      <c r="P611" s="541"/>
      <c r="Q611" s="539"/>
      <c r="R611" s="540"/>
      <c r="S611" s="540"/>
      <c r="T611" s="539"/>
      <c r="U611" s="539"/>
      <c r="V611" s="539"/>
      <c r="W611" s="542"/>
      <c r="X611" s="579"/>
      <c r="Y611" s="542"/>
      <c r="Z611" s="542"/>
      <c r="AA611" s="542"/>
      <c r="AB611" s="542"/>
      <c r="AC611" s="541" t="str">
        <f t="shared" si="78"/>
        <v/>
      </c>
      <c r="AD611" s="541"/>
      <c r="AE611" s="541"/>
      <c r="AF611" s="539"/>
      <c r="AG611" s="538"/>
      <c r="AH611" s="539"/>
      <c r="AI611" s="539"/>
      <c r="AJ611" s="541"/>
      <c r="AK611" s="541"/>
      <c r="AL611" s="541"/>
      <c r="AM611" s="541"/>
      <c r="AN611" s="543"/>
      <c r="AO611" s="542"/>
      <c r="AP611" s="542"/>
      <c r="AQ611" s="542">
        <f>+FL_1($T$612,$T$610,$G$611,1200,9.28, 1*$F$612)</f>
        <v>0.3000127248043325</v>
      </c>
      <c r="AR611" s="542"/>
      <c r="AS611" s="542"/>
      <c r="AT611" s="542"/>
      <c r="AU611" s="544"/>
      <c r="AV611" s="544"/>
      <c r="AW611" s="541" t="str">
        <f>IF(C611&gt;0,VLOOKUP(C611,Foundation_Calc!$A$2:$C$13,3,1),
IF(J611&gt;0,VLOOKUP(J611,Foundation_Calc!$A$2:$C$13,3,1),""))</f>
        <v/>
      </c>
      <c r="AX611" s="541" t="str">
        <f>IF(C611&gt;0,VLOOKUP(C611,Foundation_Calc!$E$35:$G$65,3,1),
IF(J611&gt;0,VLOOKUP(J611,Foundation_Calc!$E$35:$G$65,3,1),""))</f>
        <v/>
      </c>
      <c r="AY611" s="543" t="str">
        <f>IF(L611="","",
IF(AX611="PT",VLOOKUP(L611,Foundation_Calc!$K$79:$R$113,VLOOKUP(AW611,Foundation_Calc!$I$2:$J$8,2,FALSE),0),
IF(AX611="K",VLOOKUP(L611,Foundation_Calc!$K$117:$R$151,VLOOKUP(AW611,Foundation_Calc!$I$2:$J$8,2,FALSE),0),"")))</f>
        <v/>
      </c>
      <c r="AZ611" s="543" t="str">
        <f>IF(K611="","",
IF(AX611="PT",VLOOKUP(K611,Foundation_Calc!$K$79:$R$113,VLOOKUP(AW611,Foundation_Calc!$I$2:$J$8,2,FALSE),0),
IF(AX611="K",VLOOKUP(K611,Foundation_Calc!$K$117:$R$151,VLOOKUP(AW611,Foundation_Calc!$I$2:$J$8,2,FALSE),0),"")))</f>
        <v/>
      </c>
      <c r="BA611" s="550" t="str">
        <f t="shared" si="72"/>
        <v/>
      </c>
      <c r="BB611" s="550" t="str">
        <f t="shared" si="73"/>
        <v/>
      </c>
      <c r="BC611" s="550" t="str">
        <f t="shared" si="74"/>
        <v/>
      </c>
      <c r="BD611" s="516" t="str">
        <f>IF(AND(L611="",H611=""),"",
IF(H611="",Pole_Calc!A$9,
IF(H611="MP",Pole_Calc!A$10,
IF(H611="AnMP",Pole_Calc!A$11,
IF(H611="A",Pole_Calc!A$12,
IF(H611="S/A",Pole_Calc!A$13,
IF(H611="A/S",Pole_Calc!A$14,"Poner a mano")))))))</f>
        <v/>
      </c>
      <c r="BE611" s="429" t="s">
        <v>118</v>
      </c>
      <c r="BF611" s="290"/>
      <c r="BG611" s="290"/>
      <c r="BH611" s="290"/>
      <c r="BI611" s="290"/>
    </row>
    <row r="612" spans="1:61" ht="15.75" customHeight="1">
      <c r="A612" s="514"/>
      <c r="B612" s="450" t="s">
        <v>1252</v>
      </c>
      <c r="C612" s="3">
        <f>+$C$610+$G$611</f>
        <v>44946.840000000011</v>
      </c>
      <c r="D612" s="83"/>
      <c r="E612" s="4"/>
      <c r="F612" s="4">
        <v>1205</v>
      </c>
      <c r="G612" s="6"/>
      <c r="H612" s="449" t="s">
        <v>171</v>
      </c>
      <c r="I612" s="4"/>
      <c r="J612" s="3"/>
      <c r="K612" s="449"/>
      <c r="L612" s="449" t="s">
        <v>158</v>
      </c>
      <c r="M612" s="449" t="str">
        <f>IF(L612="","",
IF(AX612="PT",VLOOKUP(L612,Foundation_Calc!$V$79:$X$113,VLOOKUP(AX612,Foundation_Calc!$I$10:$J$13,2,FALSE),0),
IF(AX612="K",VLOOKUP(L612,Foundation_Calc!$V$117:$X$151,VLOOKUP(AX612,Foundation_Calc!$I$10:$J$13,2,FALSE),0),"")))</f>
        <v>C4R</v>
      </c>
      <c r="N612" s="449" t="s">
        <v>134</v>
      </c>
      <c r="O612" s="449"/>
      <c r="P612" s="449"/>
      <c r="Q612" s="4"/>
      <c r="R612" s="6"/>
      <c r="S612" s="6"/>
      <c r="T612" s="4">
        <v>30</v>
      </c>
      <c r="U612" s="4"/>
      <c r="V612" s="4"/>
      <c r="W612" s="572">
        <v>1</v>
      </c>
      <c r="X612" s="572"/>
      <c r="Y612" s="9"/>
      <c r="Z612" s="9"/>
      <c r="AA612" s="9"/>
      <c r="AB612" s="9"/>
      <c r="AC612" s="449" t="str">
        <f t="shared" si="78"/>
        <v>PHQ</v>
      </c>
      <c r="AD612" s="449"/>
      <c r="AE612" s="449"/>
      <c r="AF612" s="4"/>
      <c r="AG612" s="83"/>
      <c r="AH612" s="4"/>
      <c r="AI612" s="4"/>
      <c r="AJ612" s="449"/>
      <c r="AK612" s="449"/>
      <c r="AL612" s="449"/>
      <c r="AM612" s="449" t="s">
        <v>126</v>
      </c>
      <c r="AN612" s="10">
        <v>5.5</v>
      </c>
      <c r="AO612" s="9"/>
      <c r="AP612" s="9"/>
      <c r="AQ612" s="9"/>
      <c r="AR612" s="9"/>
      <c r="AS612" s="9"/>
      <c r="AT612" s="9">
        <f>+ab($T$612,$T$610,$T$614,$G$611,$G$613, 1*$F$612,1200)</f>
        <v>5.2465078467741479</v>
      </c>
      <c r="AU612" s="428"/>
      <c r="AV612" s="428"/>
      <c r="AW612" s="449" t="str">
        <f>IF(C612&gt;0,VLOOKUP(C612,Foundation_Calc!$A$2:$C$13,3,1),
IF(J612&gt;0,VLOOKUP(J612,Foundation_Calc!$A$2:$C$13,3,1),""))</f>
        <v>Multi Soil</v>
      </c>
      <c r="AX612" s="449" t="str">
        <f>IF(C612&gt;0,VLOOKUP(C612,Foundation_Calc!$E$35:$G$65,3,1),
IF(J612&gt;0,VLOOKUP(J612,Foundation_Calc!$E$35:$G$65,3,1),""))</f>
        <v>PT</v>
      </c>
      <c r="AY612" s="10">
        <f>IF(L612="","",
IF(AX612="PT",VLOOKUP(L612,Foundation_Calc!$K$79:$R$113,VLOOKUP(AW612,Foundation_Calc!$I$2:$J$8,2,FALSE),0),
IF(AX612="K",VLOOKUP(L612,Foundation_Calc!$K$117:$R$151,VLOOKUP(AW612,Foundation_Calc!$I$2:$J$8,2,FALSE),0),"")))</f>
        <v>3.5</v>
      </c>
      <c r="AZ612" s="10" t="str">
        <f>IF(K612="","",
IF(AX612="PT",VLOOKUP(K612,Foundation_Calc!$K$79:$R$113,VLOOKUP(AW612,Foundation_Calc!$I$2:$J$8,2,FALSE),0),
IF(AX612="K",VLOOKUP(K612,Foundation_Calc!$K$117:$R$151,VLOOKUP(AW612,Foundation_Calc!$I$2:$J$8,2,FALSE),0),"")))</f>
        <v/>
      </c>
      <c r="BA612" s="495" t="str">
        <f t="shared" si="72"/>
        <v>ü</v>
      </c>
      <c r="BB612" s="495" t="str">
        <f t="shared" si="73"/>
        <v/>
      </c>
      <c r="BC612" s="495" t="str">
        <f t="shared" si="74"/>
        <v/>
      </c>
      <c r="BD612" s="513" t="str">
        <f>IF(AND(L612="",H612=""),"",
IF(H612="",Pole_Calc!A$9,
IF(H612="MP",Pole_Calc!A$10,
IF(H612="AnMP",Pole_Calc!A$11,
IF(H612="A",Pole_Calc!A$12,
IF(H612="S/A",Pole_Calc!A$13,
IF(H612="A/S",Pole_Calc!A$14,"Poner a mano")))))))</f>
        <v>App.7-V11I-P9.5.1.2</v>
      </c>
      <c r="BE612" s="429" t="s">
        <v>118</v>
      </c>
      <c r="BF612" s="289"/>
      <c r="BG612" s="289"/>
      <c r="BH612" s="290"/>
      <c r="BI612" s="289"/>
    </row>
    <row r="613" spans="1:61" ht="15.75" customHeight="1">
      <c r="A613" s="514"/>
      <c r="B613" s="450"/>
      <c r="C613" s="3"/>
      <c r="D613" s="83"/>
      <c r="E613" s="4"/>
      <c r="F613" s="4"/>
      <c r="G613" s="6">
        <v>42.9</v>
      </c>
      <c r="H613" s="449"/>
      <c r="I613" s="4">
        <f>SUM(G613:G631)</f>
        <v>411.8</v>
      </c>
      <c r="J613" s="3"/>
      <c r="K613" s="449"/>
      <c r="L613" s="449"/>
      <c r="M613" s="449" t="str">
        <f>IF(L613="","",
IF(AX613="PT",VLOOKUP(L613,Foundation_Calc!$V$79:$X$113,VLOOKUP(AX613,Foundation_Calc!$I$10:$J$13,2,FALSE),0),
IF(AX613="K",VLOOKUP(L613,Foundation_Calc!$V$117:$X$151,VLOOKUP(AX613,Foundation_Calc!$I$10:$J$13,2,FALSE),0),"")))</f>
        <v/>
      </c>
      <c r="N613" s="449"/>
      <c r="O613" s="449"/>
      <c r="P613" s="449"/>
      <c r="Q613" s="4"/>
      <c r="R613" s="6"/>
      <c r="S613" s="6"/>
      <c r="T613" s="4"/>
      <c r="U613" s="4"/>
      <c r="V613" s="4"/>
      <c r="W613" s="572"/>
      <c r="X613" s="572"/>
      <c r="Y613" s="9"/>
      <c r="Z613" s="9"/>
      <c r="AA613" s="9"/>
      <c r="AB613" s="9"/>
      <c r="AC613" s="449" t="str">
        <f t="shared" si="78"/>
        <v/>
      </c>
      <c r="AD613" s="449"/>
      <c r="AE613" s="449"/>
      <c r="AF613" s="4"/>
      <c r="AG613" s="83"/>
      <c r="AH613" s="4"/>
      <c r="AI613" s="4"/>
      <c r="AJ613" s="449"/>
      <c r="AK613" s="449"/>
      <c r="AL613" s="449"/>
      <c r="AM613" s="449"/>
      <c r="AN613" s="10"/>
      <c r="AO613" s="9"/>
      <c r="AP613" s="9"/>
      <c r="AQ613" s="9">
        <f>+FL_1($T$614,$T$612,$G$613,1200,9.28, 1*$F$614)</f>
        <v>0.3</v>
      </c>
      <c r="AR613" s="9"/>
      <c r="AS613" s="9"/>
      <c r="AT613" s="9"/>
      <c r="AU613" s="428"/>
      <c r="AV613" s="428"/>
      <c r="AW613" s="449" t="str">
        <f>IF(C613&gt;0,VLOOKUP(C613,Foundation_Calc!$A$2:$C$13,3,1),
IF(J613&gt;0,VLOOKUP(J613,Foundation_Calc!$A$2:$C$13,3,1),""))</f>
        <v/>
      </c>
      <c r="AX613" s="449" t="str">
        <f>IF(C613&gt;0,VLOOKUP(C613,Foundation_Calc!$E$35:$G$65,3,1),
IF(J613&gt;0,VLOOKUP(J613,Foundation_Calc!$E$35:$G$65,3,1),""))</f>
        <v/>
      </c>
      <c r="AY613" s="10" t="str">
        <f>IF(L613="","",
IF(AX613="PT",VLOOKUP(L613,Foundation_Calc!$K$79:$R$113,VLOOKUP(AW613,Foundation_Calc!$I$2:$J$8,2,FALSE),0),
IF(AX613="K",VLOOKUP(L613,Foundation_Calc!$K$117:$R$151,VLOOKUP(AW613,Foundation_Calc!$I$2:$J$8,2,FALSE),0),"")))</f>
        <v/>
      </c>
      <c r="AZ613" s="10" t="str">
        <f>IF(K613="","",
IF(AX613="PT",VLOOKUP(K613,Foundation_Calc!$K$79:$R$113,VLOOKUP(AW613,Foundation_Calc!$I$2:$J$8,2,FALSE),0),
IF(AX613="K",VLOOKUP(K613,Foundation_Calc!$K$117:$R$151,VLOOKUP(AW613,Foundation_Calc!$I$2:$J$8,2,FALSE),0),"")))</f>
        <v/>
      </c>
      <c r="BA613" s="495" t="str">
        <f t="shared" si="72"/>
        <v/>
      </c>
      <c r="BB613" s="495" t="str">
        <f t="shared" si="73"/>
        <v/>
      </c>
      <c r="BC613" s="495" t="str">
        <f t="shared" si="74"/>
        <v/>
      </c>
      <c r="BD613" s="513" t="str">
        <f>IF(AND(L613="",H613=""),"",
IF(H613="",Pole_Calc!A$9,
IF(H613="MP",Pole_Calc!A$10,
IF(H613="AnMP",Pole_Calc!A$11,
IF(H613="A",Pole_Calc!A$12,
IF(H613="S/A",Pole_Calc!A$13,
IF(H613="A/S",Pole_Calc!A$14,"Poner a mano")))))))</f>
        <v/>
      </c>
      <c r="BE613" s="429" t="s">
        <v>118</v>
      </c>
      <c r="BF613" s="290"/>
      <c r="BG613" s="290"/>
      <c r="BH613" s="290"/>
      <c r="BI613" s="290"/>
    </row>
    <row r="614" spans="1:61" ht="15.75" customHeight="1">
      <c r="A614" s="514"/>
      <c r="B614" s="450" t="s">
        <v>1253</v>
      </c>
      <c r="C614" s="3">
        <f>+$C$612+$G$613</f>
        <v>44989.740000000013</v>
      </c>
      <c r="D614" s="83"/>
      <c r="E614" s="4"/>
      <c r="F614" s="4">
        <v>1205</v>
      </c>
      <c r="G614" s="6"/>
      <c r="H614" s="449" t="s">
        <v>168</v>
      </c>
      <c r="I614" s="4"/>
      <c r="J614" s="3"/>
      <c r="K614" s="449"/>
      <c r="L614" s="449" t="s">
        <v>158</v>
      </c>
      <c r="M614" s="449" t="str">
        <f>IF(L614="","",
IF(AX614="PT",VLOOKUP(L614,Foundation_Calc!$V$79:$X$113,VLOOKUP(AX614,Foundation_Calc!$I$10:$J$13,2,FALSE),0),
IF(AX614="K",VLOOKUP(L614,Foundation_Calc!$V$117:$X$151,VLOOKUP(AX614,Foundation_Calc!$I$10:$J$13,2,FALSE),0),"")))</f>
        <v>C4R</v>
      </c>
      <c r="N614" s="449" t="s">
        <v>134</v>
      </c>
      <c r="O614" s="449"/>
      <c r="P614" s="449"/>
      <c r="Q614" s="4"/>
      <c r="R614" s="6"/>
      <c r="S614" s="6"/>
      <c r="T614" s="4">
        <v>30</v>
      </c>
      <c r="U614" s="4"/>
      <c r="V614" s="4"/>
      <c r="W614" s="572">
        <v>0.8</v>
      </c>
      <c r="X614" s="572"/>
      <c r="Y614" s="9"/>
      <c r="Z614" s="9"/>
      <c r="AA614" s="9"/>
      <c r="AB614" s="9"/>
      <c r="AC614" s="449" t="str">
        <f t="shared" si="78"/>
        <v>PHC</v>
      </c>
      <c r="AD614" s="449"/>
      <c r="AE614" s="449"/>
      <c r="AF614" s="4"/>
      <c r="AG614" s="83"/>
      <c r="AH614" s="4"/>
      <c r="AI614" s="4"/>
      <c r="AJ614" s="449"/>
      <c r="AK614" s="449"/>
      <c r="AL614" s="449"/>
      <c r="AM614" s="449" t="s">
        <v>126</v>
      </c>
      <c r="AN614" s="10">
        <v>5.5</v>
      </c>
      <c r="AO614" s="9"/>
      <c r="AP614" s="9"/>
      <c r="AQ614" s="9"/>
      <c r="AR614" s="9"/>
      <c r="AS614" s="9"/>
      <c r="AT614" s="9">
        <f>+ab($T$614,$T$612,$T$616,$G$613,$G$615, 1*$F$614,1200)</f>
        <v>4.9655855372191073</v>
      </c>
      <c r="AU614" s="428"/>
      <c r="AV614" s="428"/>
      <c r="AW614" s="449" t="str">
        <f>IF(C614&gt;0,VLOOKUP(C614,Foundation_Calc!$A$2:$C$13,3,1),
IF(J614&gt;0,VLOOKUP(J614,Foundation_Calc!$A$2:$C$13,3,1),""))</f>
        <v>Multi Soil</v>
      </c>
      <c r="AX614" s="449" t="str">
        <f>IF(C614&gt;0,VLOOKUP(C614,Foundation_Calc!$E$35:$G$65,3,1),
IF(J614&gt;0,VLOOKUP(J614,Foundation_Calc!$E$35:$G$65,3,1),""))</f>
        <v>PT</v>
      </c>
      <c r="AY614" s="10">
        <f>IF(L614="","",
IF(AX614="PT",VLOOKUP(L614,Foundation_Calc!$K$79:$R$113,VLOOKUP(AW614,Foundation_Calc!$I$2:$J$8,2,FALSE),0),
IF(AX614="K",VLOOKUP(L614,Foundation_Calc!$K$117:$R$151,VLOOKUP(AW614,Foundation_Calc!$I$2:$J$8,2,FALSE),0),"")))</f>
        <v>3.5</v>
      </c>
      <c r="AZ614" s="10" t="str">
        <f>IF(K614="","",
IF(AX614="PT",VLOOKUP(K614,Foundation_Calc!$K$79:$R$113,VLOOKUP(AW614,Foundation_Calc!$I$2:$J$8,2,FALSE),0),
IF(AX614="K",VLOOKUP(K614,Foundation_Calc!$K$117:$R$151,VLOOKUP(AW614,Foundation_Calc!$I$2:$J$8,2,FALSE),0),"")))</f>
        <v/>
      </c>
      <c r="BA614" s="495" t="str">
        <f t="shared" si="72"/>
        <v>ü</v>
      </c>
      <c r="BB614" s="495" t="str">
        <f t="shared" si="73"/>
        <v/>
      </c>
      <c r="BC614" s="495" t="str">
        <f t="shared" si="74"/>
        <v/>
      </c>
      <c r="BD614" s="513" t="str">
        <f>IF(AND(L614="",H614=""),"",
IF(H614="",Pole_Calc!A$9,
IF(H614="MP",Pole_Calc!A$10,
IF(H614="AnMP",Pole_Calc!A$11,
IF(H614="A",Pole_Calc!A$12,
IF(H614="S/A",Pole_Calc!A$13,
IF(H614="A/S",Pole_Calc!A$14,"Poner a mano")))))))</f>
        <v>App.7-V11I-P9.5.1.3</v>
      </c>
      <c r="BE614" s="429" t="s">
        <v>118</v>
      </c>
      <c r="BF614" s="289"/>
      <c r="BG614" s="289"/>
      <c r="BH614" s="290"/>
      <c r="BI614" s="289"/>
    </row>
    <row r="615" spans="1:61" ht="15.75" customHeight="1">
      <c r="A615" s="685" t="s">
        <v>539</v>
      </c>
      <c r="B615" s="686"/>
      <c r="C615" s="687"/>
      <c r="D615" s="688"/>
      <c r="E615" s="689"/>
      <c r="F615" s="689"/>
      <c r="G615" s="690">
        <v>50</v>
      </c>
      <c r="H615" s="691"/>
      <c r="I615" s="689"/>
      <c r="J615" s="687">
        <f>C614+7.5</f>
        <v>44997.240000000013</v>
      </c>
      <c r="K615" s="691" t="s">
        <v>166</v>
      </c>
      <c r="L615" s="691"/>
      <c r="M615" s="691" t="str">
        <f>IF(L615="","",
IF(AX615="PT",VLOOKUP(L615,Foundation_Calc!$V$79:$X$113,VLOOKUP(AX615,Foundation_Calc!$I$10:$J$13,2,FALSE),0),
IF(AX615="K",VLOOKUP(L615,Foundation_Calc!$V$117:$X$151,VLOOKUP(AX615,Foundation_Calc!$I$10:$J$13,2,FALSE),0),"")))</f>
        <v/>
      </c>
      <c r="N615" s="691"/>
      <c r="O615" s="691"/>
      <c r="P615" s="691"/>
      <c r="Q615" s="689"/>
      <c r="R615" s="690"/>
      <c r="S615" s="690"/>
      <c r="T615" s="689"/>
      <c r="U615" s="689"/>
      <c r="V615" s="689"/>
      <c r="W615" s="695"/>
      <c r="X615" s="695"/>
      <c r="Y615" s="692"/>
      <c r="Z615" s="692"/>
      <c r="AA615" s="692"/>
      <c r="AB615" s="692"/>
      <c r="AC615" s="691" t="str">
        <f t="shared" si="78"/>
        <v/>
      </c>
      <c r="AD615" s="691"/>
      <c r="AE615" s="691"/>
      <c r="AF615" s="689"/>
      <c r="AG615" s="688"/>
      <c r="AH615" s="689"/>
      <c r="AI615" s="689"/>
      <c r="AJ615" s="691"/>
      <c r="AK615" s="691"/>
      <c r="AL615" s="691"/>
      <c r="AM615" s="691"/>
      <c r="AN615" s="693"/>
      <c r="AO615" s="692"/>
      <c r="AP615" s="692"/>
      <c r="AQ615" s="692">
        <f>+FL_1($T$616,$T$614,$G$615,1200,9.28, 1*$F$616)</f>
        <v>0.30001413835552104</v>
      </c>
      <c r="AR615" s="692"/>
      <c r="AS615" s="692"/>
      <c r="AT615" s="692"/>
      <c r="AU615" s="694"/>
      <c r="AV615" s="694"/>
      <c r="AW615" s="691" t="str">
        <f>IF(C615&gt;0,VLOOKUP(C615,Foundation_Calc!$A$2:$C$13,3,1),
IF(J615&gt;0,VLOOKUP(J615,Foundation_Calc!$A$2:$C$13,3,1),""))</f>
        <v>Multi Soil</v>
      </c>
      <c r="AX615" s="691" t="str">
        <f>IF(C615&gt;0,VLOOKUP(C615,Foundation_Calc!$E$35:$G$65,3,1),
IF(J615&gt;0,VLOOKUP(J615,Foundation_Calc!$E$35:$G$65,3,1),""))</f>
        <v>PT</v>
      </c>
      <c r="AY615" s="693" t="str">
        <f>IF(L615="","",
IF(AX615="PT",VLOOKUP(L615,Foundation_Calc!$K$79:$R$113,VLOOKUP(AW615,Foundation_Calc!$I$2:$J$8,2,FALSE),0),
IF(AX615="K",VLOOKUP(L615,Foundation_Calc!$K$117:$R$151,VLOOKUP(AW615,Foundation_Calc!$I$2:$J$8,2,FALSE),0),"")))</f>
        <v/>
      </c>
      <c r="AZ615" s="693">
        <f>IF(K615="","",
IF(AX615="PT",VLOOKUP(K615,Foundation_Calc!$K$79:$R$113,VLOOKUP(AW615,Foundation_Calc!$I$2:$J$8,2,FALSE),0),
IF(AX615="K",VLOOKUP(K615,Foundation_Calc!$K$117:$R$151,VLOOKUP(AW615,Foundation_Calc!$I$2:$J$8,2,FALSE),0),"")))</f>
        <v>2.8</v>
      </c>
      <c r="BA615" s="495" t="str">
        <f t="shared" si="72"/>
        <v/>
      </c>
      <c r="BB615" s="495" t="str">
        <f t="shared" si="73"/>
        <v>ü</v>
      </c>
      <c r="BC615" s="495" t="str">
        <f t="shared" si="74"/>
        <v/>
      </c>
      <c r="BD615" s="513" t="str">
        <f>IF(AND(L615="",H615=""),"",
IF(H615="",Pole_Calc!A$9,
IF(H615="MP",Pole_Calc!A$10,
IF(H615="AnMP",Pole_Calc!A$11,
IF(H615="A",Pole_Calc!A$12,
IF(H615="S/A",Pole_Calc!A$13,
IF(H615="A/S",Pole_Calc!A$14,"Poner a mano")))))))</f>
        <v/>
      </c>
      <c r="BE615" s="429" t="s">
        <v>118</v>
      </c>
      <c r="BF615" s="290"/>
      <c r="BG615" s="290"/>
      <c r="BH615" s="290"/>
      <c r="BI615" s="290"/>
    </row>
    <row r="616" spans="1:61" ht="15.75" customHeight="1">
      <c r="A616" s="514"/>
      <c r="B616" s="450" t="s">
        <v>1254</v>
      </c>
      <c r="C616" s="3">
        <f>+$C$614+$G$615</f>
        <v>45039.740000000013</v>
      </c>
      <c r="D616" s="83"/>
      <c r="E616" s="4"/>
      <c r="F616" s="4">
        <v>1205</v>
      </c>
      <c r="G616" s="6"/>
      <c r="H616" s="449"/>
      <c r="I616" s="4"/>
      <c r="J616" s="3"/>
      <c r="K616" s="449"/>
      <c r="L616" s="449" t="s">
        <v>158</v>
      </c>
      <c r="M616" s="449" t="str">
        <f>IF(L616="","",
IF(AX616="PT",VLOOKUP(L616,Foundation_Calc!$V$79:$X$113,VLOOKUP(AX616,Foundation_Calc!$I$10:$J$13,2,FALSE),0),
IF(AX616="K",VLOOKUP(L616,Foundation_Calc!$V$117:$X$151,VLOOKUP(AX616,Foundation_Calc!$I$10:$J$13,2,FALSE),0),"")))</f>
        <v>C4R</v>
      </c>
      <c r="N616" s="449" t="s">
        <v>134</v>
      </c>
      <c r="O616" s="449"/>
      <c r="P616" s="449"/>
      <c r="Q616" s="4"/>
      <c r="R616" s="6"/>
      <c r="S616" s="6"/>
      <c r="T616" s="4">
        <v>30</v>
      </c>
      <c r="U616" s="4"/>
      <c r="V616" s="4"/>
      <c r="W616" s="572">
        <v>0.6</v>
      </c>
      <c r="X616" s="9"/>
      <c r="Y616" s="9"/>
      <c r="Z616" s="9"/>
      <c r="AA616" s="9"/>
      <c r="AB616" s="9"/>
      <c r="AC616" s="449" t="str">
        <f t="shared" si="78"/>
        <v>PHC</v>
      </c>
      <c r="AD616" s="449"/>
      <c r="AE616" s="449"/>
      <c r="AF616" s="4"/>
      <c r="AG616" s="83"/>
      <c r="AH616" s="4"/>
      <c r="AI616" s="4"/>
      <c r="AJ616" s="449"/>
      <c r="AK616" s="449"/>
      <c r="AL616" s="449"/>
      <c r="AM616" s="449" t="s">
        <v>126</v>
      </c>
      <c r="AN616" s="10">
        <v>5.5</v>
      </c>
      <c r="AO616" s="9"/>
      <c r="AP616" s="9"/>
      <c r="AQ616" s="9"/>
      <c r="AR616" s="9"/>
      <c r="AS616" s="9"/>
      <c r="AT616" s="9">
        <f>+ab($T$616,$T$614,$T$618,$G$615,$G$617, 1*$F$616,1200)</f>
        <v>4.9077631003014863</v>
      </c>
      <c r="AU616" s="428"/>
      <c r="AV616" s="428"/>
      <c r="AW616" s="449" t="str">
        <f>IF(C616&gt;0,VLOOKUP(C616,Foundation_Calc!$A$2:$C$13,3,1),
IF(J616&gt;0,VLOOKUP(J616,Foundation_Calc!$A$2:$C$13,3,1),""))</f>
        <v>Multi Soil</v>
      </c>
      <c r="AX616" s="449" t="str">
        <f>IF(C616&gt;0,VLOOKUP(C616,Foundation_Calc!$E$35:$G$65,3,1),
IF(J616&gt;0,VLOOKUP(J616,Foundation_Calc!$E$35:$G$65,3,1),""))</f>
        <v>PT</v>
      </c>
      <c r="AY616" s="10">
        <f>IF(L616="","",
IF(AX616="PT",VLOOKUP(L616,Foundation_Calc!$K$79:$R$113,VLOOKUP(AW616,Foundation_Calc!$I$2:$J$8,2,FALSE),0),
IF(AX616="K",VLOOKUP(L616,Foundation_Calc!$K$117:$R$151,VLOOKUP(AW616,Foundation_Calc!$I$2:$J$8,2,FALSE),0),"")))</f>
        <v>3.5</v>
      </c>
      <c r="AZ616" s="10" t="str">
        <f>IF(K616="","",
IF(AX616="PT",VLOOKUP(K616,Foundation_Calc!$K$79:$R$113,VLOOKUP(AW616,Foundation_Calc!$I$2:$J$8,2,FALSE),0),
IF(AX616="K",VLOOKUP(K616,Foundation_Calc!$K$117:$R$151,VLOOKUP(AW616,Foundation_Calc!$I$2:$J$8,2,FALSE),0),"")))</f>
        <v/>
      </c>
      <c r="BA616" s="495" t="str">
        <f t="shared" ref="BA616:BA667" si="79">IF(AY616="","",IF(AY616&gt;0,"ü",""))</f>
        <v>ü</v>
      </c>
      <c r="BB616" s="495" t="str">
        <f t="shared" ref="BB616:BB667" si="80">IF(AZ616="","",IF(AZ616&gt;0,"ü",""))</f>
        <v/>
      </c>
      <c r="BC616" s="495" t="str">
        <f t="shared" ref="BC616:BC667" si="81">IF(M616="","",IF(M616="U.S.","ü",IF(M616="U.S. N.D.","ü","")))</f>
        <v/>
      </c>
      <c r="BD616" s="513" t="str">
        <f>IF(AND(L616="",H616=""),"",
IF(H616="",Pole_Calc!A$9,
IF(H616="MP",Pole_Calc!A$10,
IF(H616="AnMP",Pole_Calc!A$11,
IF(H616="A",Pole_Calc!A$12,
IF(H616="S/A",Pole_Calc!A$13,
IF(H616="A/S",Pole_Calc!A$14,"Poner a mano")))))))</f>
        <v>App.7-V11I-P9.5.1.1</v>
      </c>
      <c r="BE616" s="429" t="s">
        <v>118</v>
      </c>
      <c r="BF616" s="289"/>
      <c r="BG616" s="289"/>
      <c r="BH616" s="290"/>
      <c r="BI616" s="289"/>
    </row>
    <row r="617" spans="1:61" ht="15.75" customHeight="1">
      <c r="A617" s="514" t="s">
        <v>469</v>
      </c>
      <c r="B617" s="450"/>
      <c r="C617" s="3"/>
      <c r="D617" s="83"/>
      <c r="E617" s="4"/>
      <c r="F617" s="4"/>
      <c r="G617" s="6">
        <v>44</v>
      </c>
      <c r="H617" s="449"/>
      <c r="I617" s="4"/>
      <c r="J617" s="3"/>
      <c r="K617" s="449"/>
      <c r="L617" s="449"/>
      <c r="M617" s="449" t="str">
        <f>IF(L617="","",
IF(AX617="PT",VLOOKUP(L617,Foundation_Calc!$V$79:$X$113,VLOOKUP(AX617,Foundation_Calc!$I$10:$J$13,2,FALSE),0),
IF(AX617="K",VLOOKUP(L617,Foundation_Calc!$V$117:$X$151,VLOOKUP(AX617,Foundation_Calc!$I$10:$J$13,2,FALSE),0),"")))</f>
        <v/>
      </c>
      <c r="N617" s="575"/>
      <c r="O617" s="449"/>
      <c r="P617" s="575"/>
      <c r="Q617" s="4"/>
      <c r="R617" s="6"/>
      <c r="S617" s="6"/>
      <c r="T617" s="4"/>
      <c r="U617" s="4"/>
      <c r="V617" s="4"/>
      <c r="W617" s="572"/>
      <c r="X617" s="9"/>
      <c r="Y617" s="9"/>
      <c r="Z617" s="9"/>
      <c r="AA617" s="9"/>
      <c r="AB617" s="9"/>
      <c r="AC617" s="449" t="str">
        <f t="shared" si="78"/>
        <v/>
      </c>
      <c r="AD617" s="449"/>
      <c r="AE617" s="449"/>
      <c r="AF617" s="4"/>
      <c r="AG617" s="83"/>
      <c r="AH617" s="4"/>
      <c r="AI617" s="4"/>
      <c r="AJ617" s="449"/>
      <c r="AK617" s="449"/>
      <c r="AL617" s="449"/>
      <c r="AM617" s="449"/>
      <c r="AN617" s="10"/>
      <c r="AO617" s="9"/>
      <c r="AP617" s="9"/>
      <c r="AQ617" s="9">
        <f>+FL_1($T$618,$T$616,$G$617,1200,9.28, 1*$F$618)</f>
        <v>0.30001244209400424</v>
      </c>
      <c r="AR617" s="9"/>
      <c r="AS617" s="9"/>
      <c r="AT617" s="9"/>
      <c r="AU617" s="428"/>
      <c r="AV617" s="428"/>
      <c r="AW617" s="449" t="str">
        <f>IF(C617&gt;0,VLOOKUP(C617,Foundation_Calc!$A$2:$C$13,3,1),
IF(J617&gt;0,VLOOKUP(J617,Foundation_Calc!$A$2:$C$13,3,1),""))</f>
        <v/>
      </c>
      <c r="AX617" s="449" t="str">
        <f>IF(C617&gt;0,VLOOKUP(C617,Foundation_Calc!$E$35:$G$65,3,1),
IF(J617&gt;0,VLOOKUP(J617,Foundation_Calc!$E$35:$G$65,3,1),""))</f>
        <v/>
      </c>
      <c r="AY617" s="10" t="str">
        <f>IF(L617="","",
IF(AX617="PT",VLOOKUP(L617,Foundation_Calc!$K$79:$R$113,VLOOKUP(AW617,Foundation_Calc!$I$2:$J$8,2,FALSE),0),
IF(AX617="K",VLOOKUP(L617,Foundation_Calc!$K$117:$R$151,VLOOKUP(AW617,Foundation_Calc!$I$2:$J$8,2,FALSE),0),"")))</f>
        <v/>
      </c>
      <c r="AZ617" s="10" t="str">
        <f>IF(K617="","",
IF(AX617="PT",VLOOKUP(K617,Foundation_Calc!$K$79:$R$113,VLOOKUP(AW617,Foundation_Calc!$I$2:$J$8,2,FALSE),0),
IF(AX617="K",VLOOKUP(K617,Foundation_Calc!$K$117:$R$151,VLOOKUP(AW617,Foundation_Calc!$I$2:$J$8,2,FALSE),0),"")))</f>
        <v/>
      </c>
      <c r="BA617" s="495" t="str">
        <f t="shared" si="79"/>
        <v/>
      </c>
      <c r="BB617" s="495" t="str">
        <f t="shared" si="80"/>
        <v/>
      </c>
      <c r="BC617" s="495" t="str">
        <f t="shared" si="81"/>
        <v/>
      </c>
      <c r="BD617" s="513" t="str">
        <f>IF(AND(L617="",H617=""),"",
IF(H617="",Pole_Calc!A$9,
IF(H617="MP",Pole_Calc!A$10,
IF(H617="AnMP",Pole_Calc!A$11,
IF(H617="A",Pole_Calc!A$12,
IF(H617="S/A",Pole_Calc!A$13,
IF(H617="A/S",Pole_Calc!A$14,"Poner a mano")))))))</f>
        <v/>
      </c>
      <c r="BE617" s="429" t="s">
        <v>118</v>
      </c>
      <c r="BF617" s="290"/>
      <c r="BG617" s="290"/>
      <c r="BH617" s="290"/>
      <c r="BI617" s="290"/>
    </row>
    <row r="618" spans="1:61" ht="15.75" customHeight="1">
      <c r="A618" s="514"/>
      <c r="B618" s="450" t="s">
        <v>1255</v>
      </c>
      <c r="C618" s="3">
        <f>+$C$616+$G$617</f>
        <v>45083.740000000013</v>
      </c>
      <c r="D618" s="83"/>
      <c r="E618" s="4"/>
      <c r="F618" s="4">
        <v>1205</v>
      </c>
      <c r="G618" s="6"/>
      <c r="H618" s="449"/>
      <c r="I618" s="4"/>
      <c r="J618" s="3"/>
      <c r="K618" s="449"/>
      <c r="L618" s="449" t="s">
        <v>158</v>
      </c>
      <c r="M618" s="449" t="str">
        <f>IF(L618="","",
IF(AX618="PT",VLOOKUP(L618,Foundation_Calc!$V$79:$X$113,VLOOKUP(AX618,Foundation_Calc!$I$10:$J$13,2,FALSE),0),
IF(AX618="K",VLOOKUP(L618,Foundation_Calc!$V$117:$X$151,VLOOKUP(AX618,Foundation_Calc!$I$10:$J$13,2,FALSE),0),"")))</f>
        <v>C4R</v>
      </c>
      <c r="N618" s="449" t="s">
        <v>134</v>
      </c>
      <c r="O618" s="449"/>
      <c r="P618" s="449"/>
      <c r="Q618" s="4"/>
      <c r="R618" s="6"/>
      <c r="S618" s="6"/>
      <c r="T618" s="4">
        <v>30</v>
      </c>
      <c r="U618" s="4"/>
      <c r="V618" s="4"/>
      <c r="W618" s="572">
        <v>0.6</v>
      </c>
      <c r="X618" s="9"/>
      <c r="Y618" s="9"/>
      <c r="Z618" s="9"/>
      <c r="AA618" s="9"/>
      <c r="AB618" s="9"/>
      <c r="AC618" s="449" t="str">
        <f t="shared" si="78"/>
        <v>PHQ</v>
      </c>
      <c r="AD618" s="449"/>
      <c r="AE618" s="449"/>
      <c r="AF618" s="4"/>
      <c r="AG618" s="83"/>
      <c r="AH618" s="4"/>
      <c r="AI618" s="4"/>
      <c r="AJ618" s="449"/>
      <c r="AK618" s="449"/>
      <c r="AL618" s="449"/>
      <c r="AM618" s="449" t="s">
        <v>126</v>
      </c>
      <c r="AN618" s="10">
        <v>5.5</v>
      </c>
      <c r="AO618" s="9"/>
      <c r="AP618" s="9"/>
      <c r="AQ618" s="9"/>
      <c r="AR618" s="9"/>
      <c r="AS618" s="9"/>
      <c r="AT618" s="9">
        <f>+ab($T$618,$T$616,$T$620,$G$617,$G$619, 1*$F$618,1200)</f>
        <v>5.9918619557789441</v>
      </c>
      <c r="AU618" s="428"/>
      <c r="AV618" s="428"/>
      <c r="AW618" s="449" t="str">
        <f>IF(C618&gt;0,VLOOKUP(C618,Foundation_Calc!$A$2:$C$13,3,1),
IF(J618&gt;0,VLOOKUP(J618,Foundation_Calc!$A$2:$C$13,3,1),""))</f>
        <v>Multi Soil</v>
      </c>
      <c r="AX618" s="449" t="str">
        <f>IF(C618&gt;0,VLOOKUP(C618,Foundation_Calc!$E$35:$G$65,3,1),
IF(J618&gt;0,VLOOKUP(J618,Foundation_Calc!$E$35:$G$65,3,1),""))</f>
        <v>PT</v>
      </c>
      <c r="AY618" s="10">
        <f>IF(L618="","",
IF(AX618="PT",VLOOKUP(L618,Foundation_Calc!$K$79:$R$113,VLOOKUP(AW618,Foundation_Calc!$I$2:$J$8,2,FALSE),0),
IF(AX618="K",VLOOKUP(L618,Foundation_Calc!$K$117:$R$151,VLOOKUP(AW618,Foundation_Calc!$I$2:$J$8,2,FALSE),0),"")))</f>
        <v>3.5</v>
      </c>
      <c r="AZ618" s="10" t="str">
        <f>IF(K618="","",
IF(AX618="PT",VLOOKUP(K618,Foundation_Calc!$K$79:$R$113,VLOOKUP(AW618,Foundation_Calc!$I$2:$J$8,2,FALSE),0),
IF(AX618="K",VLOOKUP(K618,Foundation_Calc!$K$117:$R$151,VLOOKUP(AW618,Foundation_Calc!$I$2:$J$8,2,FALSE),0),"")))</f>
        <v/>
      </c>
      <c r="BA618" s="495" t="str">
        <f t="shared" si="79"/>
        <v>ü</v>
      </c>
      <c r="BB618" s="495" t="str">
        <f t="shared" si="80"/>
        <v/>
      </c>
      <c r="BC618" s="495" t="str">
        <f t="shared" si="81"/>
        <v/>
      </c>
      <c r="BD618" s="513" t="str">
        <f>IF(AND(L618="",H618=""),"",
IF(H618="",Pole_Calc!A$9,
IF(H618="MP",Pole_Calc!A$10,
IF(H618="AnMP",Pole_Calc!A$11,
IF(H618="A",Pole_Calc!A$12,
IF(H618="S/A",Pole_Calc!A$13,
IF(H618="A/S",Pole_Calc!A$14,"Poner a mano")))))))</f>
        <v>App.7-V11I-P9.5.1.1</v>
      </c>
      <c r="BE618" s="429" t="s">
        <v>118</v>
      </c>
      <c r="BF618" s="289"/>
      <c r="BG618" s="289"/>
      <c r="BH618" s="290"/>
      <c r="BI618" s="289"/>
    </row>
    <row r="619" spans="1:61" ht="15.75" customHeight="1">
      <c r="A619" s="514" t="s">
        <v>193</v>
      </c>
      <c r="B619" s="450"/>
      <c r="C619" s="3"/>
      <c r="D619" s="83"/>
      <c r="E619" s="4"/>
      <c r="F619" s="4"/>
      <c r="G619" s="6">
        <v>32.9</v>
      </c>
      <c r="H619" s="449"/>
      <c r="I619" s="4"/>
      <c r="J619" s="3"/>
      <c r="K619" s="449"/>
      <c r="L619" s="449"/>
      <c r="M619" s="449" t="str">
        <f>IF(L619="","",
IF(AX619="PT",VLOOKUP(L619,Foundation_Calc!$V$79:$X$113,VLOOKUP(AX619,Foundation_Calc!$I$10:$J$13,2,FALSE),0),
IF(AX619="K",VLOOKUP(L619,Foundation_Calc!$V$117:$X$151,VLOOKUP(AX619,Foundation_Calc!$I$10:$J$13,2,FALSE),0),"")))</f>
        <v/>
      </c>
      <c r="N619" s="575"/>
      <c r="O619" s="449"/>
      <c r="P619" s="575"/>
      <c r="Q619" s="4"/>
      <c r="R619" s="6"/>
      <c r="S619" s="6"/>
      <c r="T619" s="4"/>
      <c r="U619" s="4"/>
      <c r="V619" s="4"/>
      <c r="W619" s="572"/>
      <c r="X619" s="9"/>
      <c r="Y619" s="9"/>
      <c r="Z619" s="9"/>
      <c r="AA619" s="9"/>
      <c r="AB619" s="9"/>
      <c r="AC619" s="449" t="str">
        <f t="shared" si="78"/>
        <v/>
      </c>
      <c r="AD619" s="449"/>
      <c r="AE619" s="449"/>
      <c r="AF619" s="4"/>
      <c r="AG619" s="83"/>
      <c r="AH619" s="4"/>
      <c r="AI619" s="4"/>
      <c r="AJ619" s="449"/>
      <c r="AK619" s="449"/>
      <c r="AL619" s="449"/>
      <c r="AM619" s="449"/>
      <c r="AN619" s="10"/>
      <c r="AO619" s="9"/>
      <c r="AP619" s="9"/>
      <c r="AQ619" s="9">
        <f>+FL_1($T$620,$T$618,$G$619,1200,9.28, 1*$F$620)</f>
        <v>0.3</v>
      </c>
      <c r="AR619" s="9"/>
      <c r="AS619" s="9"/>
      <c r="AT619" s="9"/>
      <c r="AU619" s="428"/>
      <c r="AV619" s="428"/>
      <c r="AW619" s="449" t="str">
        <f>IF(C619&gt;0,VLOOKUP(C619,Foundation_Calc!$A$2:$C$13,3,1),
IF(J619&gt;0,VLOOKUP(J619,Foundation_Calc!$A$2:$C$13,3,1),""))</f>
        <v/>
      </c>
      <c r="AX619" s="449" t="str">
        <f>IF(C619&gt;0,VLOOKUP(C619,Foundation_Calc!$E$35:$G$65,3,1),
IF(J619&gt;0,VLOOKUP(J619,Foundation_Calc!$E$35:$G$65,3,1),""))</f>
        <v/>
      </c>
      <c r="AY619" s="10" t="str">
        <f>IF(L619="","",
IF(AX619="PT",VLOOKUP(L619,Foundation_Calc!$K$79:$R$113,VLOOKUP(AW619,Foundation_Calc!$I$2:$J$8,2,FALSE),0),
IF(AX619="K",VLOOKUP(L619,Foundation_Calc!$K$117:$R$151,VLOOKUP(AW619,Foundation_Calc!$I$2:$J$8,2,FALSE),0),"")))</f>
        <v/>
      </c>
      <c r="AZ619" s="10" t="str">
        <f>IF(K619="","",
IF(AX619="PT",VLOOKUP(K619,Foundation_Calc!$K$79:$R$113,VLOOKUP(AW619,Foundation_Calc!$I$2:$J$8,2,FALSE),0),
IF(AX619="K",VLOOKUP(K619,Foundation_Calc!$K$117:$R$151,VLOOKUP(AW619,Foundation_Calc!$I$2:$J$8,2,FALSE),0),"")))</f>
        <v/>
      </c>
      <c r="BA619" s="495" t="str">
        <f t="shared" si="79"/>
        <v/>
      </c>
      <c r="BB619" s="495" t="str">
        <f t="shared" si="80"/>
        <v/>
      </c>
      <c r="BC619" s="495" t="str">
        <f t="shared" si="81"/>
        <v/>
      </c>
      <c r="BD619" s="513" t="str">
        <f>IF(AND(L619="",H619=""),"",
IF(H619="",Pole_Calc!A$9,
IF(H619="MP",Pole_Calc!A$10,
IF(H619="AnMP",Pole_Calc!A$11,
IF(H619="A",Pole_Calc!A$12,
IF(H619="S/A",Pole_Calc!A$13,
IF(H619="A/S",Pole_Calc!A$14,"Poner a mano")))))))</f>
        <v/>
      </c>
      <c r="BE619" s="429" t="s">
        <v>118</v>
      </c>
      <c r="BF619" s="290"/>
      <c r="BG619" s="290"/>
      <c r="BH619" s="290"/>
      <c r="BI619" s="290"/>
    </row>
    <row r="620" spans="1:61" ht="15.75" customHeight="1">
      <c r="A620" s="514"/>
      <c r="B620" s="450" t="s">
        <v>1256</v>
      </c>
      <c r="C620" s="3">
        <f>+$C$618+$G$619</f>
        <v>45116.640000000014</v>
      </c>
      <c r="D620" s="83"/>
      <c r="E620" s="4"/>
      <c r="F620" s="4">
        <v>1205</v>
      </c>
      <c r="G620" s="6"/>
      <c r="H620" s="449"/>
      <c r="I620" s="4"/>
      <c r="J620" s="3"/>
      <c r="K620" s="449"/>
      <c r="L620" s="449" t="s">
        <v>158</v>
      </c>
      <c r="M620" s="449" t="str">
        <f>IF(L620="","",
IF(AX620="PT",VLOOKUP(L620,Foundation_Calc!$V$79:$X$113,VLOOKUP(AX620,Foundation_Calc!$I$10:$J$13,2,FALSE),0),
IF(AX620="K",VLOOKUP(L620,Foundation_Calc!$V$117:$X$151,VLOOKUP(AX620,Foundation_Calc!$I$10:$J$13,2,FALSE),0),"")))</f>
        <v>C4R</v>
      </c>
      <c r="N620" s="449" t="s">
        <v>134</v>
      </c>
      <c r="O620" s="449"/>
      <c r="P620" s="449"/>
      <c r="Q620" s="4"/>
      <c r="R620" s="6"/>
      <c r="S620" s="6"/>
      <c r="T620" s="4">
        <v>30</v>
      </c>
      <c r="U620" s="4"/>
      <c r="V620" s="4"/>
      <c r="W620" s="572">
        <v>0.8</v>
      </c>
      <c r="X620" s="9"/>
      <c r="Y620" s="9"/>
      <c r="Z620" s="9"/>
      <c r="AA620" s="9"/>
      <c r="AB620" s="9"/>
      <c r="AC620" s="449" t="str">
        <f t="shared" si="78"/>
        <v>PHQ</v>
      </c>
      <c r="AD620" s="449"/>
      <c r="AE620" s="449"/>
      <c r="AF620" s="4"/>
      <c r="AG620" s="83"/>
      <c r="AH620" s="4"/>
      <c r="AI620" s="4"/>
      <c r="AJ620" s="449"/>
      <c r="AK620" s="449"/>
      <c r="AL620" s="449"/>
      <c r="AM620" s="449" t="s">
        <v>126</v>
      </c>
      <c r="AN620" s="10">
        <v>5.5</v>
      </c>
      <c r="AO620" s="9"/>
      <c r="AP620" s="9"/>
      <c r="AQ620" s="9"/>
      <c r="AR620" s="9"/>
      <c r="AS620" s="9"/>
      <c r="AT620" s="9">
        <f>+ab($T$620,$T$618,$T$622,$G$619,$G$621, 1*$F$620,1200)</f>
        <v>6.7791058504870261</v>
      </c>
      <c r="AU620" s="428"/>
      <c r="AV620" s="428"/>
      <c r="AW620" s="449" t="str">
        <f>IF(C620&gt;0,VLOOKUP(C620,Foundation_Calc!$A$2:$C$13,3,1),
IF(J620&gt;0,VLOOKUP(J620,Foundation_Calc!$A$2:$C$13,3,1),""))</f>
        <v>Multi Soil</v>
      </c>
      <c r="AX620" s="449" t="str">
        <f>IF(C620&gt;0,VLOOKUP(C620,Foundation_Calc!$E$35:$G$65,3,1),
IF(J620&gt;0,VLOOKUP(J620,Foundation_Calc!$E$35:$G$65,3,1),""))</f>
        <v>PT</v>
      </c>
      <c r="AY620" s="10">
        <f>IF(L620="","",
IF(AX620="PT",VLOOKUP(L620,Foundation_Calc!$K$79:$R$113,VLOOKUP(AW620,Foundation_Calc!$I$2:$J$8,2,FALSE),0),
IF(AX620="K",VLOOKUP(L620,Foundation_Calc!$K$117:$R$151,VLOOKUP(AW620,Foundation_Calc!$I$2:$J$8,2,FALSE),0),"")))</f>
        <v>3.5</v>
      </c>
      <c r="AZ620" s="10" t="str">
        <f>IF(K620="","",
IF(AX620="PT",VLOOKUP(K620,Foundation_Calc!$K$79:$R$113,VLOOKUP(AW620,Foundation_Calc!$I$2:$J$8,2,FALSE),0),
IF(AX620="K",VLOOKUP(K620,Foundation_Calc!$K$117:$R$151,VLOOKUP(AW620,Foundation_Calc!$I$2:$J$8,2,FALSE),0),"")))</f>
        <v/>
      </c>
      <c r="BA620" s="495" t="str">
        <f t="shared" si="79"/>
        <v>ü</v>
      </c>
      <c r="BB620" s="495" t="str">
        <f t="shared" si="80"/>
        <v/>
      </c>
      <c r="BC620" s="495" t="str">
        <f t="shared" si="81"/>
        <v/>
      </c>
      <c r="BD620" s="513" t="str">
        <f>IF(AND(L620="",H620=""),"",
IF(H620="",Pole_Calc!A$9,
IF(H620="MP",Pole_Calc!A$10,
IF(H620="AnMP",Pole_Calc!A$11,
IF(H620="A",Pole_Calc!A$12,
IF(H620="S/A",Pole_Calc!A$13,
IF(H620="A/S",Pole_Calc!A$14,"Poner a mano")))))))</f>
        <v>App.7-V11I-P9.5.1.1</v>
      </c>
      <c r="BE620" s="429" t="s">
        <v>118</v>
      </c>
      <c r="BF620" s="289"/>
      <c r="BG620" s="289"/>
      <c r="BH620" s="290"/>
      <c r="BI620" s="289"/>
    </row>
    <row r="621" spans="1:61" ht="15.75" customHeight="1">
      <c r="A621" s="518"/>
      <c r="B621" s="450"/>
      <c r="C621" s="3"/>
      <c r="D621" s="83"/>
      <c r="E621" s="4"/>
      <c r="F621" s="4"/>
      <c r="G621" s="6">
        <v>35</v>
      </c>
      <c r="H621" s="449"/>
      <c r="I621" s="4"/>
      <c r="J621" s="3"/>
      <c r="K621" s="449"/>
      <c r="L621" s="449"/>
      <c r="M621" s="449" t="str">
        <f>IF(L621="","",
IF(AX621="PT",VLOOKUP(L621,Foundation_Calc!$V$79:$X$113,VLOOKUP(AX621,Foundation_Calc!$I$10:$J$13,2,FALSE),0),
IF(AX621="K",VLOOKUP(L621,Foundation_Calc!$V$117:$X$151,VLOOKUP(AX621,Foundation_Calc!$I$10:$J$13,2,FALSE),0),"")))</f>
        <v/>
      </c>
      <c r="N621" s="449"/>
      <c r="O621" s="449"/>
      <c r="P621" s="449"/>
      <c r="Q621" s="4"/>
      <c r="R621" s="6"/>
      <c r="S621" s="6"/>
      <c r="T621" s="4"/>
      <c r="U621" s="4"/>
      <c r="V621" s="4"/>
      <c r="W621" s="572"/>
      <c r="X621" s="9"/>
      <c r="Y621" s="9"/>
      <c r="Z621" s="9"/>
      <c r="AA621" s="9"/>
      <c r="AB621" s="9"/>
      <c r="AC621" s="449" t="str">
        <f t="shared" si="78"/>
        <v/>
      </c>
      <c r="AD621" s="449"/>
      <c r="AE621" s="449"/>
      <c r="AF621" s="4"/>
      <c r="AG621" s="83"/>
      <c r="AH621" s="4"/>
      <c r="AI621" s="4"/>
      <c r="AJ621" s="449"/>
      <c r="AK621" s="449"/>
      <c r="AL621" s="449"/>
      <c r="AM621" s="449"/>
      <c r="AN621" s="10"/>
      <c r="AO621" s="9"/>
      <c r="AP621" s="9"/>
      <c r="AQ621" s="9">
        <f>+FL_1($T$622,$T$620,$G$621,1200,9.28, 1*$F$622)</f>
        <v>0.3</v>
      </c>
      <c r="AR621" s="9"/>
      <c r="AS621" s="9"/>
      <c r="AT621" s="9"/>
      <c r="AU621" s="428"/>
      <c r="AV621" s="428"/>
      <c r="AW621" s="449"/>
      <c r="AX621" s="449" t="str">
        <f>IF(C621&gt;0,VLOOKUP(C621,Foundation_Calc!$E$35:$G$65,3,1),
IF(J621&gt;0,VLOOKUP(J621,Foundation_Calc!$E$35:$G$65,3,1),""))</f>
        <v/>
      </c>
      <c r="AY621" s="10" t="str">
        <f>IF(L621="","",
IF(AX621="PT",VLOOKUP(L621,Foundation_Calc!$K$79:$R$113,VLOOKUP(AW621,Foundation_Calc!$I$2:$J$8,2,FALSE),0),
IF(AX621="K",VLOOKUP(L621,Foundation_Calc!$K$117:$R$151,VLOOKUP(AW621,Foundation_Calc!$I$2:$J$8,2,FALSE),0),"")))</f>
        <v/>
      </c>
      <c r="AZ621" s="10" t="str">
        <f>IF(K621="","",
IF(AX621="PT",VLOOKUP(K621,Foundation_Calc!$K$79:$R$113,VLOOKUP(AW621,Foundation_Calc!$I$2:$J$8,2,FALSE),0),
IF(AX621="K",VLOOKUP(K621,Foundation_Calc!$K$117:$R$151,VLOOKUP(AW621,Foundation_Calc!$I$2:$J$8,2,FALSE),0),"")))</f>
        <v/>
      </c>
      <c r="BA621" s="495" t="str">
        <f t="shared" si="79"/>
        <v/>
      </c>
      <c r="BB621" s="495" t="str">
        <f t="shared" si="80"/>
        <v/>
      </c>
      <c r="BC621" s="495" t="str">
        <f t="shared" si="81"/>
        <v/>
      </c>
      <c r="BD621" s="513" t="str">
        <f>IF(AND(L621="",H621=""),"",
IF(H621="",Pole_Calc!A$9,
IF(H621="MP",Pole_Calc!A$10,
IF(H621="AnMP",Pole_Calc!A$11,
IF(H621="A",Pole_Calc!A$12,
IF(H621="S/A",Pole_Calc!A$13,
IF(H621="A/S",Pole_Calc!A$14,"Poner a mano")))))))</f>
        <v/>
      </c>
      <c r="BE621" s="429" t="s">
        <v>118</v>
      </c>
      <c r="BF621" s="290"/>
      <c r="BG621" s="290"/>
      <c r="BH621" s="290"/>
      <c r="BI621" s="290"/>
    </row>
    <row r="622" spans="1:61" ht="15.75" customHeight="1">
      <c r="A622" s="514"/>
      <c r="B622" s="450" t="s">
        <v>1257</v>
      </c>
      <c r="C622" s="3">
        <f>+$C$620+$G$621</f>
        <v>45151.640000000014</v>
      </c>
      <c r="D622" s="83"/>
      <c r="E622" s="4"/>
      <c r="F622" s="4">
        <v>1205</v>
      </c>
      <c r="G622" s="6"/>
      <c r="H622" s="449"/>
      <c r="I622" s="4"/>
      <c r="J622" s="3"/>
      <c r="K622" s="449"/>
      <c r="L622" s="449" t="s">
        <v>158</v>
      </c>
      <c r="M622" s="449" t="str">
        <f>IF(L622="","",
IF(AX622="PT",VLOOKUP(L622,Foundation_Calc!$V$79:$X$113,VLOOKUP(AX622,Foundation_Calc!$I$10:$J$13,2,FALSE),0),
IF(AX622="K",VLOOKUP(L622,Foundation_Calc!$V$117:$X$151,VLOOKUP(AX622,Foundation_Calc!$I$10:$J$13,2,FALSE),0),"")))</f>
        <v>C4R</v>
      </c>
      <c r="N622" s="449" t="s">
        <v>134</v>
      </c>
      <c r="O622" s="449"/>
      <c r="P622" s="449"/>
      <c r="Q622" s="4"/>
      <c r="R622" s="6"/>
      <c r="S622" s="6"/>
      <c r="T622" s="4">
        <v>30</v>
      </c>
      <c r="U622" s="4"/>
      <c r="V622" s="4"/>
      <c r="W622" s="572">
        <v>1</v>
      </c>
      <c r="X622" s="9"/>
      <c r="Y622" s="9"/>
      <c r="Z622" s="9"/>
      <c r="AA622" s="9"/>
      <c r="AB622" s="9"/>
      <c r="AC622" s="449" t="str">
        <f t="shared" si="78"/>
        <v>PHQ</v>
      </c>
      <c r="AD622" s="449"/>
      <c r="AE622" s="449"/>
      <c r="AF622" s="4"/>
      <c r="AG622" s="83"/>
      <c r="AH622" s="4"/>
      <c r="AI622" s="4"/>
      <c r="AJ622" s="449"/>
      <c r="AK622" s="449"/>
      <c r="AL622" s="449"/>
      <c r="AM622" s="449" t="s">
        <v>126</v>
      </c>
      <c r="AN622" s="10">
        <v>5.5</v>
      </c>
      <c r="AO622" s="9"/>
      <c r="AP622" s="9"/>
      <c r="AQ622" s="9"/>
      <c r="AR622" s="9"/>
      <c r="AS622" s="9"/>
      <c r="AT622" s="9">
        <f>+ab($T$622,$T$620,$T$624,$G$621,$G$623, 1*$F$622,1200)</f>
        <v>6.309458127773218</v>
      </c>
      <c r="AU622" s="428"/>
      <c r="AV622" s="428"/>
      <c r="AW622" s="449" t="str">
        <f>IF(C622&gt;0,VLOOKUP(C622,Foundation_Calc!$A$2:$C$13,3,1),
IF(J622&gt;0,VLOOKUP(J622,Foundation_Calc!$A$2:$C$13,3,1),""))</f>
        <v>Multi Soil</v>
      </c>
      <c r="AX622" s="449" t="str">
        <f>IF(C622&gt;0,VLOOKUP(C622,Foundation_Calc!$E$35:$G$65,3,1),
IF(J622&gt;0,VLOOKUP(J622,Foundation_Calc!$E$35:$G$65,3,1),""))</f>
        <v>PT</v>
      </c>
      <c r="AY622" s="10">
        <f>IF(L622="","",
IF(AX622="PT",VLOOKUP(L622,Foundation_Calc!$K$79:$R$113,VLOOKUP(AW622,Foundation_Calc!$I$2:$J$8,2,FALSE),0),
IF(AX622="K",VLOOKUP(L622,Foundation_Calc!$K$117:$R$151,VLOOKUP(AW622,Foundation_Calc!$I$2:$J$8,2,FALSE),0),"")))</f>
        <v>3.5</v>
      </c>
      <c r="AZ622" s="10" t="str">
        <f>IF(K622="","",
IF(AX622="PT",VLOOKUP(K622,Foundation_Calc!$K$79:$R$113,VLOOKUP(AW622,Foundation_Calc!$I$2:$J$8,2,FALSE),0),
IF(AX622="K",VLOOKUP(K622,Foundation_Calc!$K$117:$R$151,VLOOKUP(AW622,Foundation_Calc!$I$2:$J$8,2,FALSE),0),"")))</f>
        <v/>
      </c>
      <c r="BA622" s="495" t="str">
        <f t="shared" si="79"/>
        <v>ü</v>
      </c>
      <c r="BB622" s="495" t="str">
        <f t="shared" si="80"/>
        <v/>
      </c>
      <c r="BC622" s="495" t="str">
        <f t="shared" si="81"/>
        <v/>
      </c>
      <c r="BD622" s="513" t="str">
        <f>IF(AND(L622="",H622=""),"",
IF(H622="",Pole_Calc!A$9,
IF(H622="MP",Pole_Calc!A$10,
IF(H622="AnMP",Pole_Calc!A$11,
IF(H622="A",Pole_Calc!A$12,
IF(H622="S/A",Pole_Calc!A$13,
IF(H622="A/S",Pole_Calc!A$14,"Poner a mano")))))))</f>
        <v>App.7-V11I-P9.5.1.1</v>
      </c>
      <c r="BE622" s="429" t="s">
        <v>118</v>
      </c>
      <c r="BF622" s="289"/>
      <c r="BG622" s="289"/>
      <c r="BH622" s="290"/>
      <c r="BI622" s="289"/>
    </row>
    <row r="623" spans="1:61" ht="15.75" customHeight="1">
      <c r="A623" s="514"/>
      <c r="B623" s="450"/>
      <c r="C623" s="3"/>
      <c r="D623" s="83"/>
      <c r="E623" s="4"/>
      <c r="F623" s="4"/>
      <c r="G623" s="6">
        <v>38</v>
      </c>
      <c r="H623" s="449"/>
      <c r="I623" s="4"/>
      <c r="J623" s="3"/>
      <c r="K623" s="449"/>
      <c r="L623" s="449"/>
      <c r="M623" s="449" t="str">
        <f>IF(L623="","",
IF(AX623="PT",VLOOKUP(L623,Foundation_Calc!$V$79:$X$113,VLOOKUP(AX623,Foundation_Calc!$I$10:$J$13,2,FALSE),0),
IF(AX623="K",VLOOKUP(L623,Foundation_Calc!$V$117:$X$151,VLOOKUP(AX623,Foundation_Calc!$I$10:$J$13,2,FALSE),0),"")))</f>
        <v/>
      </c>
      <c r="N623" s="449"/>
      <c r="O623" s="449"/>
      <c r="P623" s="449"/>
      <c r="Q623" s="4"/>
      <c r="R623" s="6"/>
      <c r="S623" s="6"/>
      <c r="T623" s="4"/>
      <c r="U623" s="4"/>
      <c r="V623" s="4"/>
      <c r="W623" s="9"/>
      <c r="X623" s="9"/>
      <c r="Y623" s="9"/>
      <c r="Z623" s="9"/>
      <c r="AA623" s="9"/>
      <c r="AB623" s="9"/>
      <c r="AC623" s="449" t="str">
        <f t="shared" si="78"/>
        <v/>
      </c>
      <c r="AD623" s="449"/>
      <c r="AE623" s="449"/>
      <c r="AF623" s="4"/>
      <c r="AG623" s="83"/>
      <c r="AH623" s="4"/>
      <c r="AI623" s="4"/>
      <c r="AJ623" s="449"/>
      <c r="AK623" s="449"/>
      <c r="AL623" s="449"/>
      <c r="AM623" s="449"/>
      <c r="AN623" s="10"/>
      <c r="AO623" s="9"/>
      <c r="AP623" s="9"/>
      <c r="AQ623" s="9">
        <f>+FL_1($T$624,$T$622,$G$623,1200,9.28, 1*$F$624)</f>
        <v>0.3</v>
      </c>
      <c r="AR623" s="9"/>
      <c r="AS623" s="9"/>
      <c r="AT623" s="9"/>
      <c r="AU623" s="428"/>
      <c r="AV623" s="428"/>
      <c r="AW623" s="449" t="str">
        <f>IF(C623&gt;0,VLOOKUP(C623,Foundation_Calc!$A$2:$C$13,3,1),
IF(J623&gt;0,VLOOKUP(J623,Foundation_Calc!$A$2:$C$13,3,1),""))</f>
        <v/>
      </c>
      <c r="AX623" s="449" t="str">
        <f>IF(C623&gt;0,VLOOKUP(C623,Foundation_Calc!$E$35:$G$65,3,1),
IF(J623&gt;0,VLOOKUP(J623,Foundation_Calc!$E$35:$G$65,3,1),""))</f>
        <v/>
      </c>
      <c r="AY623" s="10" t="str">
        <f>IF(L623="","",
IF(AX623="PT",VLOOKUP(L623,Foundation_Calc!$K$79:$R$113,VLOOKUP(AW623,Foundation_Calc!$I$2:$J$8,2,FALSE),0),
IF(AX623="K",VLOOKUP(L623,Foundation_Calc!$K$117:$R$151,VLOOKUP(AW623,Foundation_Calc!$I$2:$J$8,2,FALSE),0),"")))</f>
        <v/>
      </c>
      <c r="AZ623" s="10" t="str">
        <f>IF(K623="","",
IF(AX623="PT",VLOOKUP(K623,Foundation_Calc!$K$79:$R$113,VLOOKUP(AW623,Foundation_Calc!$I$2:$J$8,2,FALSE),0),
IF(AX623="K",VLOOKUP(K623,Foundation_Calc!$K$117:$R$151,VLOOKUP(AW623,Foundation_Calc!$I$2:$J$8,2,FALSE),0),"")))</f>
        <v/>
      </c>
      <c r="BA623" s="495" t="str">
        <f t="shared" ref="BA623:BA659" si="82">IF(AY623="","",IF(AY623&gt;0,"ü",""))</f>
        <v/>
      </c>
      <c r="BB623" s="495" t="str">
        <f t="shared" ref="BB623:BB659" si="83">IF(AZ623="","",IF(AZ623&gt;0,"ü",""))</f>
        <v/>
      </c>
      <c r="BC623" s="495" t="str">
        <f t="shared" ref="BC623:BC659" si="84">IF(M623="","",IF(M623="U.S.","ü",IF(M623="U.S. N.D.","ü","")))</f>
        <v/>
      </c>
      <c r="BD623" s="513" t="str">
        <f>IF(AND(L623="",H623=""),"",
IF(H623="",Pole_Calc!A$9,
IF(H623="MP",Pole_Calc!A$10,
IF(H623="AnMP",Pole_Calc!A$11,
IF(H623="A",Pole_Calc!A$12,
IF(H623="S/A",Pole_Calc!A$13,
IF(H623="A/S",Pole_Calc!A$14,"Poner a mano")))))))</f>
        <v/>
      </c>
      <c r="BE623" s="429" t="s">
        <v>118</v>
      </c>
      <c r="BF623" s="290"/>
      <c r="BG623" s="290"/>
      <c r="BH623" s="290"/>
      <c r="BI623" s="290"/>
    </row>
    <row r="624" spans="1:61" ht="15.75" customHeight="1">
      <c r="A624" s="514"/>
      <c r="B624" s="450" t="s">
        <v>1258</v>
      </c>
      <c r="C624" s="3">
        <f>+$C$622+$G$623</f>
        <v>45189.640000000014</v>
      </c>
      <c r="D624" s="83"/>
      <c r="E624" s="4"/>
      <c r="F624" s="4">
        <v>1205</v>
      </c>
      <c r="G624" s="6"/>
      <c r="H624" s="449"/>
      <c r="I624" s="4"/>
      <c r="J624" s="3"/>
      <c r="K624" s="449"/>
      <c r="L624" s="449" t="s">
        <v>158</v>
      </c>
      <c r="M624" s="449" t="str">
        <f>IF(L624="","",
IF(AX624="PT",VLOOKUP(L624,Foundation_Calc!$V$79:$X$113,VLOOKUP(AX624,Foundation_Calc!$I$10:$J$13,2,FALSE),0),
IF(AX624="K",VLOOKUP(L624,Foundation_Calc!$V$117:$X$151,VLOOKUP(AX624,Foundation_Calc!$I$10:$J$13,2,FALSE),0),"")))</f>
        <v>C4R</v>
      </c>
      <c r="N624" s="449" t="s">
        <v>134</v>
      </c>
      <c r="O624" s="449"/>
      <c r="P624" s="449"/>
      <c r="Q624" s="4"/>
      <c r="R624" s="6"/>
      <c r="S624" s="6"/>
      <c r="T624" s="4">
        <v>30</v>
      </c>
      <c r="U624" s="4"/>
      <c r="V624" s="4"/>
      <c r="W624" s="572">
        <v>1.2</v>
      </c>
      <c r="X624" s="9"/>
      <c r="Y624" s="9"/>
      <c r="Z624" s="9"/>
      <c r="AA624" s="9"/>
      <c r="AB624" s="9"/>
      <c r="AC624" s="449" t="str">
        <f t="shared" si="78"/>
        <v>PHQ</v>
      </c>
      <c r="AD624" s="449"/>
      <c r="AE624" s="449"/>
      <c r="AF624" s="4"/>
      <c r="AG624" s="83"/>
      <c r="AH624" s="4"/>
      <c r="AI624" s="4"/>
      <c r="AJ624" s="449"/>
      <c r="AK624" s="449"/>
      <c r="AL624" s="449"/>
      <c r="AM624" s="449" t="s">
        <v>126</v>
      </c>
      <c r="AN624" s="10">
        <v>5.5</v>
      </c>
      <c r="AO624" s="9"/>
      <c r="AP624" s="9"/>
      <c r="AQ624" s="9"/>
      <c r="AR624" s="9"/>
      <c r="AS624" s="9"/>
      <c r="AT624" s="9">
        <f>+ab($T$624,$T$622,$T$626,$G$623,$G$625, 1*$F$624,1200)</f>
        <v>5.9079632561889674</v>
      </c>
      <c r="AU624" s="428"/>
      <c r="AV624" s="428"/>
      <c r="AW624" s="449" t="str">
        <f>IF(C624&gt;0,VLOOKUP(C624,Foundation_Calc!$A$2:$C$13,3,1),
IF(J624&gt;0,VLOOKUP(J624,Foundation_Calc!$A$2:$C$13,3,1),""))</f>
        <v>Multi Soil</v>
      </c>
      <c r="AX624" s="449" t="str">
        <f>IF(C624&gt;0,VLOOKUP(C624,Foundation_Calc!$E$35:$G$65,3,1),
IF(J624&gt;0,VLOOKUP(J624,Foundation_Calc!$E$35:$G$65,3,1),""))</f>
        <v>PT</v>
      </c>
      <c r="AY624" s="10">
        <f>IF(L624="","",
IF(AX624="PT",VLOOKUP(L624,Foundation_Calc!$K$79:$R$113,VLOOKUP(AW624,Foundation_Calc!$I$2:$J$8,2,FALSE),0),
IF(AX624="K",VLOOKUP(L624,Foundation_Calc!$K$117:$R$151,VLOOKUP(AW624,Foundation_Calc!$I$2:$J$8,2,FALSE),0),"")))</f>
        <v>3.5</v>
      </c>
      <c r="AZ624" s="10" t="str">
        <f>IF(K624="","",
IF(AX624="PT",VLOOKUP(K624,Foundation_Calc!$K$79:$R$113,VLOOKUP(AW624,Foundation_Calc!$I$2:$J$8,2,FALSE),0),
IF(AX624="K",VLOOKUP(K624,Foundation_Calc!$K$117:$R$151,VLOOKUP(AW624,Foundation_Calc!$I$2:$J$8,2,FALSE),0),"")))</f>
        <v/>
      </c>
      <c r="BA624" s="495" t="str">
        <f t="shared" si="82"/>
        <v>ü</v>
      </c>
      <c r="BB624" s="495" t="str">
        <f t="shared" si="83"/>
        <v/>
      </c>
      <c r="BC624" s="495" t="str">
        <f t="shared" si="84"/>
        <v/>
      </c>
      <c r="BD624" s="513" t="str">
        <f>IF(AND(L624="",H624=""),"",
IF(H624="",Pole_Calc!A$9,
IF(H624="MP",Pole_Calc!A$10,
IF(H624="AnMP",Pole_Calc!A$11,
IF(H624="A",Pole_Calc!A$12,
IF(H624="S/A",Pole_Calc!A$13,
IF(H624="A/S",Pole_Calc!A$14,"Poner a mano")))))))</f>
        <v>App.7-V11I-P9.5.1.1</v>
      </c>
      <c r="BE624" s="429" t="s">
        <v>118</v>
      </c>
      <c r="BF624" s="289"/>
      <c r="BG624" s="289"/>
      <c r="BH624" s="290"/>
      <c r="BI624" s="289"/>
    </row>
    <row r="625" spans="1:61" ht="15.75" customHeight="1">
      <c r="A625" s="514"/>
      <c r="B625" s="450"/>
      <c r="C625" s="3"/>
      <c r="D625" s="83"/>
      <c r="E625" s="4"/>
      <c r="F625" s="4"/>
      <c r="G625" s="6">
        <v>40</v>
      </c>
      <c r="H625" s="449"/>
      <c r="I625" s="4"/>
      <c r="J625" s="3">
        <f>C626-7.5</f>
        <v>45222.140000000014</v>
      </c>
      <c r="K625" s="449" t="s">
        <v>117</v>
      </c>
      <c r="L625" s="449"/>
      <c r="M625" s="449" t="str">
        <f>IF(L625="","",
IF(AX625="PT",VLOOKUP(L625,Foundation_Calc!$V$79:$X$113,VLOOKUP(AX625,Foundation_Calc!$I$10:$J$13,2,FALSE),0),
IF(AX625="K",VLOOKUP(L625,Foundation_Calc!$V$117:$X$151,VLOOKUP(AX625,Foundation_Calc!$I$10:$J$13,2,FALSE),0),"")))</f>
        <v/>
      </c>
      <c r="N625" s="449"/>
      <c r="O625" s="561"/>
      <c r="P625" s="449"/>
      <c r="Q625" s="4"/>
      <c r="R625" s="6"/>
      <c r="S625" s="6"/>
      <c r="T625" s="4"/>
      <c r="U625" s="4"/>
      <c r="V625" s="4"/>
      <c r="W625" s="9"/>
      <c r="X625" s="9"/>
      <c r="Y625" s="9"/>
      <c r="Z625" s="9"/>
      <c r="AA625" s="9"/>
      <c r="AB625" s="9"/>
      <c r="AC625" s="449" t="str">
        <f t="shared" si="78"/>
        <v/>
      </c>
      <c r="AD625" s="449"/>
      <c r="AE625" s="449"/>
      <c r="AF625" s="4"/>
      <c r="AG625" s="83"/>
      <c r="AH625" s="4"/>
      <c r="AI625" s="4"/>
      <c r="AJ625" s="449"/>
      <c r="AK625" s="449"/>
      <c r="AL625" s="449"/>
      <c r="AM625" s="449"/>
      <c r="AN625" s="10"/>
      <c r="AO625" s="9"/>
      <c r="AP625" s="9"/>
      <c r="AQ625" s="9">
        <f>+FL_1($T$626,$T$624,$G$625,1200,9.28, 1*$F$626)</f>
        <v>0.30720196415327761</v>
      </c>
      <c r="AR625" s="9"/>
      <c r="AS625" s="9"/>
      <c r="AT625" s="9"/>
      <c r="AU625" s="428"/>
      <c r="AV625" s="428"/>
      <c r="AW625" s="449" t="str">
        <f>IF(C625&gt;0,VLOOKUP(C625,Foundation_Calc!$A$2:$C$13,3,1),
IF(J625&gt;0,VLOOKUP(J625,Foundation_Calc!$A$2:$C$13,3,1),""))</f>
        <v>Multi Soil</v>
      </c>
      <c r="AX625" s="449" t="str">
        <f>IF(C625&gt;0,VLOOKUP(C625,Foundation_Calc!$E$35:$G$65,3,1),
IF(J625&gt;0,VLOOKUP(J625,Foundation_Calc!$E$35:$G$65,3,1),""))</f>
        <v>PT</v>
      </c>
      <c r="AY625" s="10" t="str">
        <f>IF(L625="","",
IF(AX625="PT",VLOOKUP(L625,Foundation_Calc!$K$79:$R$113,VLOOKUP(AW625,Foundation_Calc!$I$2:$J$8,2,FALSE),0),
IF(AX625="K",VLOOKUP(L625,Foundation_Calc!$K$117:$R$151,VLOOKUP(AW625,Foundation_Calc!$I$2:$J$8,2,FALSE),0),"")))</f>
        <v/>
      </c>
      <c r="AZ625" s="10">
        <f>IF(K625="","",
IF(AX625="PT",VLOOKUP(K625,Foundation_Calc!$K$79:$R$113,VLOOKUP(AW625,Foundation_Calc!$I$2:$J$8,2,FALSE),0),
IF(AX625="K",VLOOKUP(K625,Foundation_Calc!$K$117:$R$151,VLOOKUP(AW625,Foundation_Calc!$I$2:$J$8,2,FALSE),0),"")))</f>
        <v>3.9</v>
      </c>
      <c r="BA625" s="495" t="str">
        <f t="shared" si="82"/>
        <v/>
      </c>
      <c r="BB625" s="495" t="str">
        <f t="shared" si="83"/>
        <v>ü</v>
      </c>
      <c r="BC625" s="495" t="str">
        <f t="shared" si="84"/>
        <v/>
      </c>
      <c r="BD625" s="513" t="str">
        <f>IF(AND(L625="",H625=""),"",
IF(H625="",Pole_Calc!A$9,
IF(H625="MP",Pole_Calc!A$10,
IF(H625="AnMP",Pole_Calc!A$11,
IF(H625="A",Pole_Calc!A$12,
IF(H625="S/A",Pole_Calc!A$13,
IF(H625="A/S",Pole_Calc!A$14,"Poner a mano")))))))</f>
        <v/>
      </c>
      <c r="BE625" s="429" t="s">
        <v>118</v>
      </c>
      <c r="BF625" s="290"/>
      <c r="BG625" s="290"/>
      <c r="BH625" s="290"/>
      <c r="BI625" s="290"/>
    </row>
    <row r="626" spans="1:61" ht="15.75" customHeight="1">
      <c r="A626" s="514"/>
      <c r="B626" s="450" t="s">
        <v>1259</v>
      </c>
      <c r="C626" s="3">
        <f>+$C$624+$G$625</f>
        <v>45229.640000000014</v>
      </c>
      <c r="D626" s="83"/>
      <c r="E626" s="4"/>
      <c r="F626" s="4">
        <v>1356.3304947568777</v>
      </c>
      <c r="G626" s="6"/>
      <c r="H626" s="449" t="s">
        <v>121</v>
      </c>
      <c r="I626" s="4" t="s">
        <v>122</v>
      </c>
      <c r="J626" s="3"/>
      <c r="K626" s="449"/>
      <c r="L626" s="449" t="s">
        <v>181</v>
      </c>
      <c r="M626" s="449" t="str">
        <f>IF(L626="","",
IF(AX626="PT",VLOOKUP(L626,Foundation_Calc!$V$79:$X$113,VLOOKUP(AX626,Foundation_Calc!$I$10:$J$13,2,FALSE),0),
IF(AX626="K",VLOOKUP(L626,Foundation_Calc!$V$117:$X$151,VLOOKUP(AX626,Foundation_Calc!$I$10:$J$13,2,FALSE),0),"")))</f>
        <v>C5R</v>
      </c>
      <c r="N626" s="449" t="s">
        <v>134</v>
      </c>
      <c r="O626" s="449"/>
      <c r="P626" s="449"/>
      <c r="Q626" s="4"/>
      <c r="R626" s="6"/>
      <c r="S626" s="6"/>
      <c r="T626" s="4">
        <v>30</v>
      </c>
      <c r="U626" s="4"/>
      <c r="V626" s="4"/>
      <c r="W626" s="9">
        <v>1.4</v>
      </c>
      <c r="X626" s="9"/>
      <c r="Y626" s="9"/>
      <c r="Z626" s="9"/>
      <c r="AA626" s="9"/>
      <c r="AB626" s="9"/>
      <c r="AC626" s="449" t="str">
        <f t="shared" si="78"/>
        <v>PHC</v>
      </c>
      <c r="AD626" s="449"/>
      <c r="AE626" s="449"/>
      <c r="AF626" s="4"/>
      <c r="AG626" s="83"/>
      <c r="AH626" s="4"/>
      <c r="AI626" s="4"/>
      <c r="AJ626" s="449"/>
      <c r="AK626" s="449"/>
      <c r="AL626" s="449"/>
      <c r="AM626" s="449" t="s">
        <v>126</v>
      </c>
      <c r="AN626" s="10">
        <v>5.5</v>
      </c>
      <c r="AO626" s="9"/>
      <c r="AP626" s="9"/>
      <c r="AQ626" s="9"/>
      <c r="AR626" s="9"/>
      <c r="AS626" s="9"/>
      <c r="AT626" s="9">
        <f>+ab($T$626,$T$624,$U$628,$G$625,$G$627, 1*$F$626,1200)</f>
        <v>4.8475084098564887</v>
      </c>
      <c r="AU626" s="428"/>
      <c r="AV626" s="428"/>
      <c r="AW626" s="449" t="str">
        <f>IF(C626&gt;0,VLOOKUP(C626,Foundation_Calc!$A$2:$C$13,3,1),
IF(J626&gt;0,VLOOKUP(J626,Foundation_Calc!$A$2:$C$13,3,1),""))</f>
        <v>Multi Soil</v>
      </c>
      <c r="AX626" s="449" t="str">
        <f>IF(C626&gt;0,VLOOKUP(C626,Foundation_Calc!$E$35:$G$65,3,1),
IF(J626&gt;0,VLOOKUP(J626,Foundation_Calc!$E$35:$G$65,3,1),""))</f>
        <v>PT</v>
      </c>
      <c r="AY626" s="10">
        <f>IF(L626="","",
IF(AX626="PT",VLOOKUP(L626,Foundation_Calc!$K$79:$R$113,VLOOKUP(AW626,Foundation_Calc!$I$2:$J$8,2,FALSE),0),
IF(AX626="K",VLOOKUP(L626,Foundation_Calc!$K$117:$R$151,VLOOKUP(AW626,Foundation_Calc!$I$2:$J$8,2,FALSE),0),"")))</f>
        <v>3.5</v>
      </c>
      <c r="AZ626" s="10" t="str">
        <f>IF(K626="","",
IF(AX626="PT",VLOOKUP(K626,Foundation_Calc!$K$79:$R$113,VLOOKUP(AW626,Foundation_Calc!$I$2:$J$8,2,FALSE),0),
IF(AX626="K",VLOOKUP(K626,Foundation_Calc!$K$117:$R$151,VLOOKUP(AW626,Foundation_Calc!$I$2:$J$8,2,FALSE),0),"")))</f>
        <v/>
      </c>
      <c r="BA626" s="495" t="str">
        <f t="shared" si="82"/>
        <v>ü</v>
      </c>
      <c r="BB626" s="495" t="str">
        <f t="shared" si="83"/>
        <v/>
      </c>
      <c r="BC626" s="495" t="str">
        <f t="shared" si="84"/>
        <v/>
      </c>
      <c r="BD626" s="513" t="str">
        <f>IF(AND(L626="",H626=""),"",
IF(H626="",Pole_Calc!A$9,
IF(H626="MP",Pole_Calc!A$10,
IF(H626="AnMP",Pole_Calc!A$11,
IF(H626="A",Pole_Calc!A$12,
IF(H626="S/A",Pole_Calc!A$13,
IF(H626="A/S",Pole_Calc!A$14,"Poner a mano")))))))</f>
        <v>App.7-V11I-P9.5.1.6</v>
      </c>
      <c r="BE626" s="429" t="s">
        <v>118</v>
      </c>
      <c r="BF626" s="289"/>
      <c r="BG626" s="289"/>
      <c r="BH626" s="290"/>
      <c r="BI626" s="289"/>
    </row>
    <row r="627" spans="1:61" ht="15.75" customHeight="1">
      <c r="A627" s="518"/>
      <c r="B627" s="450"/>
      <c r="C627" s="3"/>
      <c r="D627" s="83"/>
      <c r="E627" s="4"/>
      <c r="F627" s="4"/>
      <c r="G627" s="6">
        <v>40</v>
      </c>
      <c r="H627" s="449"/>
      <c r="I627" s="4"/>
      <c r="J627" s="3"/>
      <c r="K627" s="449"/>
      <c r="L627" s="449"/>
      <c r="M627" s="449" t="str">
        <f>IF(L627="","",
IF(AX627="PT",VLOOKUP(L627,Foundation_Calc!$V$79:$X$113,VLOOKUP(AX627,Foundation_Calc!$I$10:$J$13,2,FALSE),0),
IF(AX627="K",VLOOKUP(L627,Foundation_Calc!$V$117:$X$151,VLOOKUP(AX627,Foundation_Calc!$I$10:$J$13,2,FALSE),0),"")))</f>
        <v/>
      </c>
      <c r="N627" s="449"/>
      <c r="O627" s="449"/>
      <c r="P627" s="449"/>
      <c r="Q627" s="4"/>
      <c r="R627" s="6"/>
      <c r="S627" s="6"/>
      <c r="T627" s="4"/>
      <c r="U627" s="4"/>
      <c r="V627" s="4"/>
      <c r="W627" s="9"/>
      <c r="X627" s="9"/>
      <c r="Y627" s="9"/>
      <c r="Z627" s="9"/>
      <c r="AA627" s="9"/>
      <c r="AB627" s="9"/>
      <c r="AC627" s="449" t="str">
        <f t="shared" si="78"/>
        <v/>
      </c>
      <c r="AD627" s="449"/>
      <c r="AE627" s="449"/>
      <c r="AF627" s="4"/>
      <c r="AG627" s="83"/>
      <c r="AH627" s="4"/>
      <c r="AI627" s="4"/>
      <c r="AJ627" s="449"/>
      <c r="AK627" s="449"/>
      <c r="AL627" s="449"/>
      <c r="AM627" s="449"/>
      <c r="AN627" s="10"/>
      <c r="AO627" s="9"/>
      <c r="AP627" s="9"/>
      <c r="AQ627" s="9">
        <f>+FL_1($U$628,$T$626,$G$627,1200,9.28, 1*$F$628)</f>
        <v>0.29999999999999655</v>
      </c>
      <c r="AR627" s="9"/>
      <c r="AS627" s="9"/>
      <c r="AT627" s="9"/>
      <c r="AU627" s="428"/>
      <c r="AV627" s="428"/>
      <c r="AW627" s="449" t="str">
        <f>IF(C627&gt;0,VLOOKUP(C627,Foundation_Calc!$A$2:$C$13,3,1),
IF(J627&gt;0,VLOOKUP(J627,Foundation_Calc!$A$2:$C$13,3,1),""))</f>
        <v/>
      </c>
      <c r="AX627" s="449" t="str">
        <f>IF(C627&gt;0,VLOOKUP(C627,Foundation_Calc!$E$35:$G$65,3,1),
IF(J627&gt;0,VLOOKUP(J627,Foundation_Calc!$E$35:$G$65,3,1),""))</f>
        <v/>
      </c>
      <c r="AY627" s="10" t="str">
        <f>IF(L627="","",
IF(AX627="PT",VLOOKUP(L627,Foundation_Calc!$K$79:$R$113,VLOOKUP(AW627,Foundation_Calc!$I$2:$J$8,2,FALSE),0),
IF(AX627="K",VLOOKUP(L627,Foundation_Calc!$K$117:$R$151,VLOOKUP(AW627,Foundation_Calc!$I$2:$J$8,2,FALSE),0),"")))</f>
        <v/>
      </c>
      <c r="AZ627" s="10" t="str">
        <f>IF(K627="","",
IF(AX627="PT",VLOOKUP(K627,Foundation_Calc!$K$79:$R$113,VLOOKUP(AW627,Foundation_Calc!$I$2:$J$8,2,FALSE),0),
IF(AX627="K",VLOOKUP(K627,Foundation_Calc!$K$117:$R$151,VLOOKUP(AW627,Foundation_Calc!$I$2:$J$8,2,FALSE),0),"")))</f>
        <v/>
      </c>
      <c r="BA627" s="495" t="str">
        <f t="shared" si="82"/>
        <v/>
      </c>
      <c r="BB627" s="495" t="str">
        <f t="shared" si="83"/>
        <v/>
      </c>
      <c r="BC627" s="495" t="str">
        <f t="shared" si="84"/>
        <v/>
      </c>
      <c r="BD627" s="513" t="str">
        <f>IF(AND(L627="",H627=""),"",
IF(H627="",Pole_Calc!A$9,
IF(H627="MP",Pole_Calc!A$10,
IF(H627="AnMP",Pole_Calc!A$11,
IF(H627="A",Pole_Calc!A$12,
IF(H627="S/A",Pole_Calc!A$13,
IF(H627="A/S",Pole_Calc!A$14,"Poner a mano")))))))</f>
        <v/>
      </c>
      <c r="BE627" s="429" t="s">
        <v>118</v>
      </c>
      <c r="BF627" s="290"/>
      <c r="BG627" s="290"/>
      <c r="BH627" s="290"/>
      <c r="BI627" s="290"/>
    </row>
    <row r="628" spans="1:61" ht="15.75" customHeight="1">
      <c r="A628" s="514" t="s">
        <v>1260</v>
      </c>
      <c r="B628" s="450" t="s">
        <v>1261</v>
      </c>
      <c r="C628" s="3">
        <f>+$C$626+$G$627</f>
        <v>45269.640000000014</v>
      </c>
      <c r="D628" s="83"/>
      <c r="E628" s="4"/>
      <c r="F628" s="4">
        <v>1887.7559016554667</v>
      </c>
      <c r="G628" s="6"/>
      <c r="H628" s="449" t="s">
        <v>131</v>
      </c>
      <c r="I628" s="4" t="s">
        <v>132</v>
      </c>
      <c r="J628" s="3"/>
      <c r="K628" s="449"/>
      <c r="L628" s="449" t="s">
        <v>298</v>
      </c>
      <c r="M628" s="449" t="str">
        <f>IF(L628="","",
IF(AX628="PT",VLOOKUP(L628,Foundation_Calc!$V$79:$X$113,VLOOKUP(AX628,Foundation_Calc!$I$10:$J$13,2,FALSE),0),
IF(AX628="K",VLOOKUP(L628,Foundation_Calc!$V$117:$X$151,VLOOKUP(AX628,Foundation_Calc!$I$10:$J$13,2,FALSE),0),"")))</f>
        <v>2C3R</v>
      </c>
      <c r="N628" s="449" t="s">
        <v>133</v>
      </c>
      <c r="O628" s="449" t="s">
        <v>134</v>
      </c>
      <c r="P628" s="449"/>
      <c r="Q628" s="4"/>
      <c r="R628" s="6"/>
      <c r="S628" s="6"/>
      <c r="T628" s="4">
        <v>35</v>
      </c>
      <c r="U628" s="4">
        <v>-10</v>
      </c>
      <c r="V628" s="4"/>
      <c r="W628" s="9">
        <v>1.4</v>
      </c>
      <c r="X628" s="9">
        <v>2</v>
      </c>
      <c r="Y628" s="9"/>
      <c r="Z628" s="9">
        <v>0.4</v>
      </c>
      <c r="AA628" s="9"/>
      <c r="AB628" s="9"/>
      <c r="AC628" s="449"/>
      <c r="AD628" s="449"/>
      <c r="AE628" s="449"/>
      <c r="AF628" s="4"/>
      <c r="AG628" s="83"/>
      <c r="AH628" s="4"/>
      <c r="AI628" s="4"/>
      <c r="AJ628" s="449" t="s">
        <v>233</v>
      </c>
      <c r="AK628" s="449"/>
      <c r="AL628" s="449"/>
      <c r="AM628" s="449" t="s">
        <v>126</v>
      </c>
      <c r="AN628" s="10">
        <v>5.5</v>
      </c>
      <c r="AO628" s="9"/>
      <c r="AP628" s="9"/>
      <c r="AQ628" s="9"/>
      <c r="AR628" s="9"/>
      <c r="AS628" s="9"/>
      <c r="AT628" s="9">
        <f>+ab($U$628,$T$626,$U$630,$G$627,$G$629, 1*$F$628,1200)</f>
        <v>11.933597375277511</v>
      </c>
      <c r="AU628" s="428"/>
      <c r="AV628" s="428"/>
      <c r="AW628" s="449" t="str">
        <f>IF(C628&gt;0,VLOOKUP(C628,Foundation_Calc!$A$2:$C$13,3,1),
IF(J628&gt;0,VLOOKUP(J628,Foundation_Calc!$A$2:$C$13,3,1),""))</f>
        <v>Multi Soil</v>
      </c>
      <c r="AX628" s="449" t="str">
        <f>IF(C628&gt;0,VLOOKUP(C628,Foundation_Calc!$E$35:$G$65,3,1),
IF(J628&gt;0,VLOOKUP(J628,Foundation_Calc!$E$35:$G$65,3,1),""))</f>
        <v>PT</v>
      </c>
      <c r="AY628" s="10">
        <f>IF(L628="","",
IF(AX628="PT",VLOOKUP(L628,Foundation_Calc!$K$79:$R$113,VLOOKUP(AW628,Foundation_Calc!$I$2:$J$8,2,FALSE),0),
IF(AX628="K",VLOOKUP(L628,Foundation_Calc!$K$117:$R$151,VLOOKUP(AW628,Foundation_Calc!$I$2:$J$8,2,FALSE),0),"")))</f>
        <v>4</v>
      </c>
      <c r="AZ628" s="10" t="str">
        <f>IF(K628="","",
IF(AX628="PT",VLOOKUP(K628,Foundation_Calc!$K$79:$R$113,VLOOKUP(AW628,Foundation_Calc!$I$2:$J$8,2,FALSE),0),
IF(AX628="K",VLOOKUP(K628,Foundation_Calc!$K$117:$R$151,VLOOKUP(AW628,Foundation_Calc!$I$2:$J$8,2,FALSE),0),"")))</f>
        <v/>
      </c>
      <c r="BA628" s="495" t="str">
        <f t="shared" si="82"/>
        <v>ü</v>
      </c>
      <c r="BB628" s="495" t="str">
        <f t="shared" si="83"/>
        <v/>
      </c>
      <c r="BC628" s="495" t="str">
        <f t="shared" si="84"/>
        <v/>
      </c>
      <c r="BD628" s="513" t="str">
        <f>IF(AND(L628="",H628=""),"",
IF(H628="",Pole_Calc!A$9,
IF(H628="MP",Pole_Calc!A$10,
IF(H628="AnMP",Pole_Calc!A$11,
IF(H628="A",Pole_Calc!A$12,
IF(H628="S/A",Pole_Calc!A$13,
IF(H628="A/S",Pole_Calc!A$14,"Poner a mano")))))))</f>
        <v>App.7-V11I-P9.5.1.5</v>
      </c>
      <c r="BE628" s="429" t="s">
        <v>118</v>
      </c>
      <c r="BF628" s="289"/>
      <c r="BG628" s="289"/>
      <c r="BH628" s="290"/>
      <c r="BI628" s="289"/>
    </row>
    <row r="629" spans="1:61" ht="15.75" customHeight="1">
      <c r="A629" s="514"/>
      <c r="B629" s="450"/>
      <c r="C629" s="3"/>
      <c r="D629" s="83"/>
      <c r="E629" s="4"/>
      <c r="F629" s="4"/>
      <c r="G629" s="6">
        <v>45</v>
      </c>
      <c r="H629" s="449"/>
      <c r="I629" s="4" t="s">
        <v>195</v>
      </c>
      <c r="J629" s="3">
        <f>C630-7.5</f>
        <v>45307.140000000014</v>
      </c>
      <c r="K629" s="449" t="s">
        <v>166</v>
      </c>
      <c r="L629" s="449"/>
      <c r="M629" s="449" t="str">
        <f>IF(L629="","",
IF(AX629="PT",VLOOKUP(L629,Foundation_Calc!$V$79:$X$113,VLOOKUP(AX629,Foundation_Calc!$I$10:$J$13,2,FALSE),0),
IF(AX629="K",VLOOKUP(L629,Foundation_Calc!$V$117:$X$151,VLOOKUP(AX629,Foundation_Calc!$I$10:$J$13,2,FALSE),0),"")))</f>
        <v/>
      </c>
      <c r="N629" s="449"/>
      <c r="O629" s="449"/>
      <c r="P629" s="449"/>
      <c r="Q629" s="4"/>
      <c r="R629" s="6"/>
      <c r="S629" s="6"/>
      <c r="T629" s="4"/>
      <c r="U629" s="4"/>
      <c r="V629" s="4"/>
      <c r="W629" s="9"/>
      <c r="X629" s="9"/>
      <c r="Y629" s="9"/>
      <c r="Z629" s="9"/>
      <c r="AA629" s="9"/>
      <c r="AB629" s="9"/>
      <c r="AC629" s="449" t="str">
        <f t="shared" si="78"/>
        <v/>
      </c>
      <c r="AD629" s="449"/>
      <c r="AE629" s="449"/>
      <c r="AF629" s="4"/>
      <c r="AG629" s="83"/>
      <c r="AH629" s="4"/>
      <c r="AI629" s="4"/>
      <c r="AJ629" s="449"/>
      <c r="AK629" s="449"/>
      <c r="AL629" s="449"/>
      <c r="AM629" s="449"/>
      <c r="AN629" s="10"/>
      <c r="AO629" s="9"/>
      <c r="AP629" s="9"/>
      <c r="AQ629" s="9">
        <f>+FL_2($T$630,$U$628,$G$629,1200,9.28, 1*$F$630)</f>
        <v>-0.24151114782353511</v>
      </c>
      <c r="AR629" s="9"/>
      <c r="AS629" s="9"/>
      <c r="AT629" s="9"/>
      <c r="AU629" s="428"/>
      <c r="AV629" s="428"/>
      <c r="AW629" s="449" t="str">
        <f>IF(C629&gt;0,VLOOKUP(C629,Foundation_Calc!$A$2:$C$13,3,1),
IF(J629&gt;0,VLOOKUP(J629,Foundation_Calc!$A$2:$C$13,3,1),""))</f>
        <v>Multi Soil</v>
      </c>
      <c r="AX629" s="449" t="str">
        <f>IF(C629&gt;0,VLOOKUP(C629,Foundation_Calc!$E$35:$G$65,3,1),
IF(J629&gt;0,VLOOKUP(J629,Foundation_Calc!$E$35:$G$65,3,1),""))</f>
        <v>PT</v>
      </c>
      <c r="AY629" s="10" t="str">
        <f>IF(L629="","",
IF(AX629="PT",VLOOKUP(L629,Foundation_Calc!$K$79:$R$113,VLOOKUP(AW629,Foundation_Calc!$I$2:$J$8,2,FALSE),0),
IF(AX629="K",VLOOKUP(L629,Foundation_Calc!$K$117:$R$151,VLOOKUP(AW629,Foundation_Calc!$I$2:$J$8,2,FALSE),0),"")))</f>
        <v/>
      </c>
      <c r="AZ629" s="10">
        <f>IF(K629="","",
IF(AX629="PT",VLOOKUP(K629,Foundation_Calc!$K$79:$R$113,VLOOKUP(AW629,Foundation_Calc!$I$2:$J$8,2,FALSE),0),
IF(AX629="K",VLOOKUP(K629,Foundation_Calc!$K$117:$R$151,VLOOKUP(AW629,Foundation_Calc!$I$2:$J$8,2,FALSE),0),"")))</f>
        <v>2.8</v>
      </c>
      <c r="BA629" s="495" t="str">
        <f t="shared" si="82"/>
        <v/>
      </c>
      <c r="BB629" s="495" t="str">
        <f t="shared" si="83"/>
        <v>ü</v>
      </c>
      <c r="BC629" s="495" t="str">
        <f t="shared" si="84"/>
        <v/>
      </c>
      <c r="BD629" s="513" t="str">
        <f>IF(AND(L629="",H629=""),"",
IF(H629="",Pole_Calc!A$9,
IF(H629="MP",Pole_Calc!A$10,
IF(H629="AnMP",Pole_Calc!A$11,
IF(H629="A",Pole_Calc!A$12,
IF(H629="S/A",Pole_Calc!A$13,
IF(H629="A/S",Pole_Calc!A$14,"Poner a mano")))))))</f>
        <v/>
      </c>
      <c r="BE629" s="429" t="s">
        <v>118</v>
      </c>
      <c r="BF629" s="290"/>
      <c r="BG629" s="290"/>
      <c r="BH629" s="290"/>
      <c r="BI629" s="290"/>
    </row>
    <row r="630" spans="1:61" ht="15.75" customHeight="1">
      <c r="A630" s="514"/>
      <c r="B630" s="450" t="s">
        <v>1262</v>
      </c>
      <c r="C630" s="3">
        <f>+$C$628+$G$629</f>
        <v>45314.640000000014</v>
      </c>
      <c r="D630" s="83"/>
      <c r="E630" s="4"/>
      <c r="F630" s="4">
        <v>3375.7400595552949</v>
      </c>
      <c r="G630" s="6"/>
      <c r="H630" s="449" t="s">
        <v>131</v>
      </c>
      <c r="I630" s="4"/>
      <c r="J630" s="3"/>
      <c r="K630" s="449"/>
      <c r="L630" s="449" t="s">
        <v>183</v>
      </c>
      <c r="M630" s="449" t="str">
        <f>IF(L630="","",
IF(AX630="PT",VLOOKUP(L630,Foundation_Calc!$V$79:$X$113,VLOOKUP(AX630,Foundation_Calc!$I$10:$J$13,2,FALSE),0),
IF(AX630="K",VLOOKUP(L630,Foundation_Calc!$V$117:$X$151,VLOOKUP(AX630,Foundation_Calc!$I$10:$J$13,2,FALSE),0),"")))</f>
        <v>2C3R</v>
      </c>
      <c r="N630" s="449" t="s">
        <v>134</v>
      </c>
      <c r="O630" s="449" t="s">
        <v>133</v>
      </c>
      <c r="P630" s="449"/>
      <c r="Q630" s="4"/>
      <c r="R630" s="6"/>
      <c r="S630" s="6"/>
      <c r="T630" s="4">
        <v>20</v>
      </c>
      <c r="U630" s="4">
        <v>-25</v>
      </c>
      <c r="V630" s="4"/>
      <c r="W630" s="9">
        <v>1.4</v>
      </c>
      <c r="X630" s="9">
        <v>2</v>
      </c>
      <c r="Y630" s="9"/>
      <c r="Z630" s="9"/>
      <c r="AA630" s="9">
        <v>0.4</v>
      </c>
      <c r="AB630" s="9"/>
      <c r="AC630" s="449" t="str">
        <f t="shared" si="78"/>
        <v>PH</v>
      </c>
      <c r="AD630" s="449"/>
      <c r="AE630" s="449"/>
      <c r="AF630" s="4"/>
      <c r="AG630" s="83"/>
      <c r="AH630" s="4"/>
      <c r="AI630" s="4"/>
      <c r="AJ630" s="449"/>
      <c r="AK630" s="449"/>
      <c r="AL630" s="449"/>
      <c r="AM630" s="449" t="s">
        <v>126</v>
      </c>
      <c r="AN630" s="10">
        <v>5.5</v>
      </c>
      <c r="AO630" s="9"/>
      <c r="AP630" s="9"/>
      <c r="AQ630" s="9"/>
      <c r="AR630" s="9"/>
      <c r="AS630" s="9"/>
      <c r="AT630" s="9">
        <f>+ab($T$630,$T$628,$T$632,$G$629,$G$631, 1*$F$630,1200)</f>
        <v>18.780699993012892</v>
      </c>
      <c r="AU630" s="428"/>
      <c r="AV630" s="428"/>
      <c r="AW630" s="449" t="str">
        <f>IF(C630&gt;0,VLOOKUP(C630,Foundation_Calc!$A$2:$C$13,3,1),
IF(J630&gt;0,VLOOKUP(J630,Foundation_Calc!$A$2:$C$13,3,1),""))</f>
        <v>Multi Soil</v>
      </c>
      <c r="AX630" s="449" t="str">
        <f>IF(C630&gt;0,VLOOKUP(C630,Foundation_Calc!$E$35:$G$65,3,1),
IF(J630&gt;0,VLOOKUP(J630,Foundation_Calc!$E$35:$G$65,3,1),""))</f>
        <v>PT</v>
      </c>
      <c r="AY630" s="10">
        <f>IF(L630="","",
IF(AX630="PT",VLOOKUP(L630,Foundation_Calc!$K$79:$R$113,VLOOKUP(AW630,Foundation_Calc!$I$2:$J$8,2,FALSE),0),
IF(AX630="K",VLOOKUP(L630,Foundation_Calc!$K$117:$R$151,VLOOKUP(AW630,Foundation_Calc!$I$2:$J$8,2,FALSE),0),"")))</f>
        <v>3.7</v>
      </c>
      <c r="AZ630" s="10" t="str">
        <f>IF(K630="","",
IF(AX630="PT",VLOOKUP(K630,Foundation_Calc!$K$79:$R$113,VLOOKUP(AW630,Foundation_Calc!$I$2:$J$8,2,FALSE),0),
IF(AX630="K",VLOOKUP(K630,Foundation_Calc!$K$117:$R$151,VLOOKUP(AW630,Foundation_Calc!$I$2:$J$8,2,FALSE),0),"")))</f>
        <v/>
      </c>
      <c r="BA630" s="495" t="str">
        <f t="shared" si="82"/>
        <v>ü</v>
      </c>
      <c r="BB630" s="495" t="str">
        <f t="shared" si="83"/>
        <v/>
      </c>
      <c r="BC630" s="495" t="str">
        <f t="shared" si="84"/>
        <v/>
      </c>
      <c r="BD630" s="513" t="str">
        <f>IF(AND(L630="",H630=""),"",
IF(H630="",Pole_Calc!A$9,
IF(H630="MP",Pole_Calc!A$10,
IF(H630="AnMP",Pole_Calc!A$11,
IF(H630="A",Pole_Calc!A$12,
IF(H630="S/A",Pole_Calc!A$13,
IF(H630="A/S",Pole_Calc!A$14,"Poner a mano")))))))</f>
        <v>App.7-V11I-P9.5.1.5</v>
      </c>
      <c r="BE630" s="429" t="s">
        <v>118</v>
      </c>
      <c r="BF630" s="289"/>
      <c r="BG630" s="289"/>
      <c r="BH630" s="290"/>
      <c r="BI630" s="289"/>
    </row>
    <row r="631" spans="1:61" ht="15.75" customHeight="1">
      <c r="A631" s="514"/>
      <c r="B631" s="450"/>
      <c r="C631" s="3"/>
      <c r="D631" s="83"/>
      <c r="E631" s="4"/>
      <c r="F631" s="4"/>
      <c r="G631" s="6">
        <v>44</v>
      </c>
      <c r="H631" s="449"/>
      <c r="I631" s="4" t="s">
        <v>549</v>
      </c>
      <c r="J631" s="3">
        <f>C630+7.5</f>
        <v>45322.140000000014</v>
      </c>
      <c r="K631" s="449" t="s">
        <v>166</v>
      </c>
      <c r="L631" s="449"/>
      <c r="M631" s="449" t="str">
        <f>IF(L631="","",
IF(AX631="PT",VLOOKUP(L631,Foundation_Calc!$V$79:$X$113,VLOOKUP(AX631,Foundation_Calc!$I$10:$J$13,2,FALSE),0),
IF(AX631="K",VLOOKUP(L631,Foundation_Calc!$V$117:$X$151,VLOOKUP(AX631,Foundation_Calc!$I$10:$J$13,2,FALSE),0),"")))</f>
        <v/>
      </c>
      <c r="N631" s="449"/>
      <c r="O631" s="561"/>
      <c r="P631" s="449"/>
      <c r="Q631" s="4"/>
      <c r="R631" s="6"/>
      <c r="S631" s="6"/>
      <c r="T631" s="4"/>
      <c r="U631" s="4"/>
      <c r="V631" s="4"/>
      <c r="W631" s="9"/>
      <c r="X631" s="9"/>
      <c r="Y631" s="9"/>
      <c r="Z631" s="9"/>
      <c r="AA631" s="9"/>
      <c r="AB631" s="9"/>
      <c r="AC631" s="449" t="str">
        <f t="shared" si="78"/>
        <v/>
      </c>
      <c r="AD631" s="449"/>
      <c r="AE631" s="449"/>
      <c r="AF631" s="4"/>
      <c r="AG631" s="83"/>
      <c r="AH631" s="4"/>
      <c r="AI631" s="4"/>
      <c r="AJ631" s="449"/>
      <c r="AK631" s="449"/>
      <c r="AL631" s="449"/>
      <c r="AM631" s="449"/>
      <c r="AN631" s="10"/>
      <c r="AO631" s="9"/>
      <c r="AP631" s="9"/>
      <c r="AQ631" s="9">
        <f>+FL_1($T$632,$T$630,$G$631,1200,9.28, 1*$F$632)</f>
        <v>0.36888875796168497</v>
      </c>
      <c r="AR631" s="9"/>
      <c r="AS631" s="9"/>
      <c r="AT631" s="9"/>
      <c r="AU631" s="428"/>
      <c r="AV631" s="428"/>
      <c r="AW631" s="449" t="str">
        <f>IF(C631&gt;0,VLOOKUP(C631,Foundation_Calc!$A$2:$C$13,3,1),
IF(J631&gt;0,VLOOKUP(J631,Foundation_Calc!$A$2:$C$13,3,1),""))</f>
        <v>Multi Soil</v>
      </c>
      <c r="AX631" s="449" t="str">
        <f>IF(C631&gt;0,VLOOKUP(C631,Foundation_Calc!$E$35:$G$65,3,1),
IF(J631&gt;0,VLOOKUP(J631,Foundation_Calc!$E$35:$G$65,3,1),""))</f>
        <v>PT</v>
      </c>
      <c r="AY631" s="10" t="str">
        <f>IF(L631="","",
IF(AX631="PT",VLOOKUP(L631,Foundation_Calc!$K$79:$R$113,VLOOKUP(AW631,Foundation_Calc!$I$2:$J$8,2,FALSE),0),
IF(AX631="K",VLOOKUP(L631,Foundation_Calc!$K$117:$R$151,VLOOKUP(AW631,Foundation_Calc!$I$2:$J$8,2,FALSE),0),"")))</f>
        <v/>
      </c>
      <c r="AZ631" s="10">
        <f>IF(K631="","",
IF(AX631="PT",VLOOKUP(K631,Foundation_Calc!$K$79:$R$113,VLOOKUP(AW631,Foundation_Calc!$I$2:$J$8,2,FALSE),0),
IF(AX631="K",VLOOKUP(K631,Foundation_Calc!$K$117:$R$151,VLOOKUP(AW631,Foundation_Calc!$I$2:$J$8,2,FALSE),0),"")))</f>
        <v>2.8</v>
      </c>
      <c r="BA631" s="495" t="str">
        <f t="shared" si="82"/>
        <v/>
      </c>
      <c r="BB631" s="495" t="str">
        <f t="shared" si="83"/>
        <v>ü</v>
      </c>
      <c r="BC631" s="495" t="str">
        <f t="shared" si="84"/>
        <v/>
      </c>
      <c r="BD631" s="513" t="str">
        <f>IF(AND(L631="",H631=""),"",
IF(H631="",Pole_Calc!A$9,
IF(H631="MP",Pole_Calc!A$10,
IF(H631="AnMP",Pole_Calc!A$11,
IF(H631="A",Pole_Calc!A$12,
IF(H631="S/A",Pole_Calc!A$13,
IF(H631="A/S",Pole_Calc!A$14,"Poner a mano")))))))</f>
        <v/>
      </c>
      <c r="BE631" s="429" t="s">
        <v>118</v>
      </c>
      <c r="BF631" s="290"/>
      <c r="BG631" s="290"/>
      <c r="BH631" s="290"/>
      <c r="BI631" s="290"/>
    </row>
    <row r="632" spans="1:61" ht="15.75" customHeight="1">
      <c r="A632" s="514"/>
      <c r="B632" s="450" t="s">
        <v>1263</v>
      </c>
      <c r="C632" s="3">
        <f>+$C$630+$G$631-1.45</f>
        <v>45357.190000000017</v>
      </c>
      <c r="D632" s="83"/>
      <c r="E632" s="4"/>
      <c r="F632" s="4">
        <v>13254.539202206663</v>
      </c>
      <c r="G632" s="6"/>
      <c r="H632" s="449" t="s">
        <v>121</v>
      </c>
      <c r="I632" s="4" t="s">
        <v>122</v>
      </c>
      <c r="J632" s="3"/>
      <c r="K632" s="449"/>
      <c r="L632" s="449" t="s">
        <v>151</v>
      </c>
      <c r="M632" s="449" t="str">
        <f>IF(L632="","",
IF(AX632="PT",VLOOKUP(L632,Foundation_Calc!$V$79:$X$113,VLOOKUP(AX632,Foundation_Calc!$I$10:$J$13,2,FALSE),0),
IF(AX632="K",VLOOKUP(L632,Foundation_Calc!$V$117:$X$151,VLOOKUP(AX632,Foundation_Calc!$I$10:$J$13,2,FALSE),0),"")))</f>
        <v>C4R</v>
      </c>
      <c r="N632" s="449" t="s">
        <v>134</v>
      </c>
      <c r="O632" s="449"/>
      <c r="P632" s="449"/>
      <c r="Q632" s="4"/>
      <c r="R632" s="6"/>
      <c r="S632" s="6"/>
      <c r="T632" s="4">
        <v>20</v>
      </c>
      <c r="U632" s="4"/>
      <c r="V632" s="4"/>
      <c r="W632" s="9">
        <v>1.4</v>
      </c>
      <c r="X632" s="9"/>
      <c r="Y632" s="9"/>
      <c r="Z632" s="9"/>
      <c r="AA632" s="9"/>
      <c r="AB632" s="9"/>
      <c r="AC632" s="449" t="str">
        <f t="shared" si="78"/>
        <v>PH</v>
      </c>
      <c r="AD632" s="449"/>
      <c r="AE632" s="449"/>
      <c r="AF632" s="4"/>
      <c r="AG632" s="83"/>
      <c r="AH632" s="4"/>
      <c r="AI632" s="4"/>
      <c r="AJ632" s="449"/>
      <c r="AK632" s="449"/>
      <c r="AL632" s="449"/>
      <c r="AM632" s="449" t="s">
        <v>552</v>
      </c>
      <c r="AN632" s="10">
        <v>5.5</v>
      </c>
      <c r="AO632" s="9"/>
      <c r="AP632" s="9"/>
      <c r="AQ632" s="9"/>
      <c r="AR632" s="9"/>
      <c r="AS632" s="9"/>
      <c r="AT632" s="9">
        <f>+ab($T$632,$T$630,$T$634,$G$631,$G$633, 1*$F$632,1200)</f>
        <v>36.380309567939698</v>
      </c>
      <c r="AU632" s="428"/>
      <c r="AV632" s="428"/>
      <c r="AW632" s="449" t="str">
        <f>IF(C632&gt;0,VLOOKUP(C632,Foundation_Calc!$A$2:$C$13,3,1),
IF(J632&gt;0,VLOOKUP(J632,Foundation_Calc!$A$2:$C$13,3,1),""))</f>
        <v>Multi Soil</v>
      </c>
      <c r="AX632" s="449" t="str">
        <f>IF(C632&gt;0,VLOOKUP(C632,Foundation_Calc!$E$35:$G$65,3,1),
IF(J632&gt;0,VLOOKUP(J632,Foundation_Calc!$E$35:$G$65,3,1),""))</f>
        <v>PT</v>
      </c>
      <c r="AY632" s="10">
        <f>IF(L632="","",
IF(AX632="PT",VLOOKUP(L632,Foundation_Calc!$K$79:$R$113,VLOOKUP(AW632,Foundation_Calc!$I$2:$J$8,2,FALSE),0),
IF(AX632="K",VLOOKUP(L632,Foundation_Calc!$K$117:$R$151,VLOOKUP(AW632,Foundation_Calc!$I$2:$J$8,2,FALSE),0),"")))</f>
        <v>3.5</v>
      </c>
      <c r="AZ632" s="10" t="str">
        <f>IF(K632="","",
IF(AX632="PT",VLOOKUP(K632,Foundation_Calc!$K$79:$R$113,VLOOKUP(AW632,Foundation_Calc!$I$2:$J$8,2,FALSE),0),
IF(AX632="K",VLOOKUP(K632,Foundation_Calc!$K$117:$R$151,VLOOKUP(AW632,Foundation_Calc!$I$2:$J$8,2,FALSE),0),"")))</f>
        <v/>
      </c>
      <c r="BA632" s="495" t="str">
        <f t="shared" si="82"/>
        <v>ü</v>
      </c>
      <c r="BB632" s="495" t="str">
        <f t="shared" si="83"/>
        <v/>
      </c>
      <c r="BC632" s="495" t="str">
        <f t="shared" si="84"/>
        <v/>
      </c>
      <c r="BD632" s="513" t="str">
        <f>IF(AND(L632="",H632=""),"",
IF(H632="",Pole_Calc!A$9,
IF(H632="MP",Pole_Calc!A$10,
IF(H632="AnMP",Pole_Calc!A$11,
IF(H632="A",Pole_Calc!A$12,
IF(H632="S/A",Pole_Calc!A$13,
IF(H632="A/S",Pole_Calc!A$14,"Poner a mano")))))))</f>
        <v>App.7-V11I-P9.5.1.6</v>
      </c>
      <c r="BE632" s="429" t="s">
        <v>118</v>
      </c>
      <c r="BF632" s="289"/>
      <c r="BG632" s="289"/>
      <c r="BH632" s="290"/>
      <c r="BI632" s="289"/>
    </row>
    <row r="633" spans="1:61" ht="15.75" customHeight="1">
      <c r="A633" s="518"/>
      <c r="B633" s="450"/>
      <c r="C633" s="3"/>
      <c r="D633" s="83"/>
      <c r="E633" s="4"/>
      <c r="F633" s="4"/>
      <c r="G633" s="6">
        <v>50</v>
      </c>
      <c r="H633" s="449"/>
      <c r="I633" s="4"/>
      <c r="J633" s="3">
        <f>C632+7.5</f>
        <v>45364.690000000017</v>
      </c>
      <c r="K633" s="449" t="s">
        <v>117</v>
      </c>
      <c r="L633" s="449"/>
      <c r="M633" s="449" t="str">
        <f>IF(L633="","",
IF(AX633="PT",VLOOKUP(L633,Foundation_Calc!$V$79:$X$113,VLOOKUP(AX633,Foundation_Calc!$I$10:$J$13,2,FALSE),0),
IF(AX633="K",VLOOKUP(L633,Foundation_Calc!$V$117:$X$151,VLOOKUP(AX633,Foundation_Calc!$I$10:$J$13,2,FALSE),0),"")))</f>
        <v/>
      </c>
      <c r="N633" s="449"/>
      <c r="O633" s="449"/>
      <c r="P633" s="449"/>
      <c r="Q633" s="4"/>
      <c r="R633" s="6"/>
      <c r="S633" s="6"/>
      <c r="T633" s="4"/>
      <c r="U633" s="4"/>
      <c r="V633" s="4"/>
      <c r="W633" s="9"/>
      <c r="X633" s="9"/>
      <c r="Y633" s="9"/>
      <c r="Z633" s="9"/>
      <c r="AA633" s="9"/>
      <c r="AB633" s="9"/>
      <c r="AC633" s="449" t="str">
        <f t="shared" si="78"/>
        <v/>
      </c>
      <c r="AD633" s="449"/>
      <c r="AE633" s="449"/>
      <c r="AF633" s="4"/>
      <c r="AG633" s="83"/>
      <c r="AH633" s="4"/>
      <c r="AI633" s="4"/>
      <c r="AJ633" s="449"/>
      <c r="AK633" s="449"/>
      <c r="AL633" s="449"/>
      <c r="AM633" s="449"/>
      <c r="AN633" s="10"/>
      <c r="AO633" s="9"/>
      <c r="AP633" s="9"/>
      <c r="AQ633" s="9">
        <f>+FL_2($T$634,$T$632,$G$633,1200,9.28, 1*$F$634)</f>
        <v>-6.7313214666666676E-2</v>
      </c>
      <c r="AR633" s="9"/>
      <c r="AS633" s="9"/>
      <c r="AT633" s="9"/>
      <c r="AU633" s="428"/>
      <c r="AV633" s="428"/>
      <c r="AW633" s="449" t="str">
        <f>IF(C633&gt;0,VLOOKUP(C633,Foundation_Calc!$A$2:$C$13,3,1),
IF(J633&gt;0,VLOOKUP(J633,Foundation_Calc!$A$2:$C$13,3,1),""))</f>
        <v>Multi Soil</v>
      </c>
      <c r="AX633" s="449" t="str">
        <f>IF(C633&gt;0,VLOOKUP(C633,Foundation_Calc!$E$35:$G$65,3,1),
IF(J633&gt;0,VLOOKUP(J633,Foundation_Calc!$E$35:$G$65,3,1),""))</f>
        <v>PT</v>
      </c>
      <c r="AY633" s="10" t="str">
        <f>IF(L633="","",
IF(AX633="PT",VLOOKUP(L633,Foundation_Calc!$K$79:$R$113,VLOOKUP(AW633,Foundation_Calc!$I$2:$J$8,2,FALSE),0),
IF(AX633="K",VLOOKUP(L633,Foundation_Calc!$K$117:$R$151,VLOOKUP(AW633,Foundation_Calc!$I$2:$J$8,2,FALSE),0),"")))</f>
        <v/>
      </c>
      <c r="AZ633" s="10">
        <f>IF(K633="","",
IF(AX633="PT",VLOOKUP(K633,Foundation_Calc!$K$79:$R$113,VLOOKUP(AW633,Foundation_Calc!$I$2:$J$8,2,FALSE),0),
IF(AX633="K",VLOOKUP(K633,Foundation_Calc!$K$117:$R$151,VLOOKUP(AW633,Foundation_Calc!$I$2:$J$8,2,FALSE),0),"")))</f>
        <v>3.9</v>
      </c>
      <c r="BA633" s="495" t="str">
        <f t="shared" si="82"/>
        <v/>
      </c>
      <c r="BB633" s="495" t="str">
        <f t="shared" si="83"/>
        <v>ü</v>
      </c>
      <c r="BC633" s="495" t="str">
        <f t="shared" si="84"/>
        <v/>
      </c>
      <c r="BD633" s="513" t="str">
        <f>IF(AND(L633="",H633=""),"",
IF(H633="",Pole_Calc!A$9,
IF(H633="MP",Pole_Calc!A$10,
IF(H633="AnMP",Pole_Calc!A$11,
IF(H633="A",Pole_Calc!A$12,
IF(H633="S/A",Pole_Calc!A$13,
IF(H633="A/S",Pole_Calc!A$14,"Poner a mano")))))))</f>
        <v/>
      </c>
      <c r="BE633" s="429" t="s">
        <v>118</v>
      </c>
      <c r="BF633" s="290"/>
      <c r="BG633" s="290"/>
      <c r="BH633" s="290"/>
      <c r="BI633" s="290"/>
    </row>
    <row r="634" spans="1:61" ht="15.75" customHeight="1">
      <c r="A634" s="514"/>
      <c r="B634" s="450" t="s">
        <v>1264</v>
      </c>
      <c r="C634" s="3">
        <f>+$C$632+$G$633</f>
        <v>45407.190000000017</v>
      </c>
      <c r="D634" s="83"/>
      <c r="E634" s="4"/>
      <c r="F634" s="4">
        <v>0</v>
      </c>
      <c r="G634" s="6"/>
      <c r="H634" s="449"/>
      <c r="I634" s="4"/>
      <c r="J634" s="3"/>
      <c r="K634" s="449"/>
      <c r="L634" s="449" t="s">
        <v>153</v>
      </c>
      <c r="M634" s="449" t="str">
        <f>IF(L634="","",
IF(AX634="PT",VLOOKUP(L634,Foundation_Calc!$V$79:$X$113,VLOOKUP(AX634,Foundation_Calc!$I$10:$J$13,2,FALSE),0),
IF(AX634="K",VLOOKUP(L634,Foundation_Calc!$V$117:$X$151,VLOOKUP(AX634,Foundation_Calc!$I$10:$J$13,2,FALSE),0),"")))</f>
        <v>C3R</v>
      </c>
      <c r="N634" s="449" t="s">
        <v>134</v>
      </c>
      <c r="O634" s="449"/>
      <c r="P634" s="449"/>
      <c r="Q634" s="4"/>
      <c r="R634" s="6"/>
      <c r="S634" s="6"/>
      <c r="T634" s="4">
        <v>15</v>
      </c>
      <c r="U634" s="4"/>
      <c r="V634" s="4"/>
      <c r="W634" s="9">
        <v>1.4</v>
      </c>
      <c r="X634" s="9"/>
      <c r="Y634" s="9"/>
      <c r="Z634" s="9"/>
      <c r="AA634" s="9"/>
      <c r="AB634" s="9"/>
      <c r="AC634" s="449" t="str">
        <f t="shared" si="78"/>
        <v>PH</v>
      </c>
      <c r="AD634" s="449"/>
      <c r="AE634" s="449"/>
      <c r="AF634" s="4"/>
      <c r="AG634" s="83"/>
      <c r="AH634" s="4"/>
      <c r="AI634" s="4"/>
      <c r="AJ634" s="449"/>
      <c r="AK634" s="449"/>
      <c r="AL634" s="449"/>
      <c r="AM634" s="449" t="s">
        <v>552</v>
      </c>
      <c r="AN634" s="10">
        <v>5.5</v>
      </c>
      <c r="AO634" s="9"/>
      <c r="AP634" s="9"/>
      <c r="AQ634" s="9"/>
      <c r="AR634" s="9"/>
      <c r="AS634" s="9"/>
      <c r="AT634" s="9">
        <f>+ab($T$634,$T$632,$T$636,$G$633,$G$635, 1*$F$634,1200)</f>
        <v>18.744148905952621</v>
      </c>
      <c r="AU634" s="428"/>
      <c r="AV634" s="428"/>
      <c r="AW634" s="449" t="str">
        <f>IF(C634&gt;0,VLOOKUP(C634,Foundation_Calc!$A$2:$C$13,3,1),
IF(J634&gt;0,VLOOKUP(J634,Foundation_Calc!$A$2:$C$13,3,1),""))</f>
        <v>Multi Soil</v>
      </c>
      <c r="AX634" s="449" t="str">
        <f>IF(C634&gt;0,VLOOKUP(C634,Foundation_Calc!$E$35:$G$65,3,1),
IF(J634&gt;0,VLOOKUP(J634,Foundation_Calc!$E$35:$G$65,3,1),""))</f>
        <v>PT</v>
      </c>
      <c r="AY634" s="10">
        <f>IF(L634="","",
IF(AX634="PT",VLOOKUP(L634,Foundation_Calc!$K$79:$R$113,VLOOKUP(AW634,Foundation_Calc!$I$2:$J$8,2,FALSE),0),
IF(AX634="K",VLOOKUP(L634,Foundation_Calc!$K$117:$R$151,VLOOKUP(AW634,Foundation_Calc!$I$2:$J$8,2,FALSE),0),"")))</f>
        <v>3.5</v>
      </c>
      <c r="AZ634" s="10" t="str">
        <f>IF(K634="","",
IF(AX634="PT",VLOOKUP(K634,Foundation_Calc!$K$79:$R$113,VLOOKUP(AW634,Foundation_Calc!$I$2:$J$8,2,FALSE),0),
IF(AX634="K",VLOOKUP(K634,Foundation_Calc!$K$117:$R$151,VLOOKUP(AW634,Foundation_Calc!$I$2:$J$8,2,FALSE),0),"")))</f>
        <v/>
      </c>
      <c r="BA634" s="495" t="str">
        <f t="shared" si="82"/>
        <v>ü</v>
      </c>
      <c r="BB634" s="495" t="str">
        <f t="shared" si="83"/>
        <v/>
      </c>
      <c r="BC634" s="495" t="str">
        <f t="shared" si="84"/>
        <v/>
      </c>
      <c r="BD634" s="513" t="str">
        <f>IF(AND(L634="",H634=""),"",
IF(H634="",Pole_Calc!A$9,
IF(H634="MP",Pole_Calc!A$10,
IF(H634="AnMP",Pole_Calc!A$11,
IF(H634="A",Pole_Calc!A$12,
IF(H634="S/A",Pole_Calc!A$13,
IF(H634="A/S",Pole_Calc!A$14,"Poner a mano")))))))</f>
        <v>App.7-V11I-P9.5.1.1</v>
      </c>
      <c r="BE634" s="429" t="s">
        <v>118</v>
      </c>
      <c r="BF634" s="289"/>
      <c r="BG634" s="289"/>
      <c r="BH634" s="290"/>
      <c r="BI634" s="289"/>
    </row>
    <row r="635" spans="1:61" ht="15.75" customHeight="1">
      <c r="A635" s="514"/>
      <c r="B635" s="450"/>
      <c r="C635" s="3"/>
      <c r="D635" s="83"/>
      <c r="E635" s="4"/>
      <c r="F635" s="4"/>
      <c r="G635" s="6">
        <v>46</v>
      </c>
      <c r="H635" s="449"/>
      <c r="I635" s="4"/>
      <c r="J635" s="3"/>
      <c r="K635" s="449"/>
      <c r="L635" s="449"/>
      <c r="M635" s="449" t="str">
        <f>IF(L635="","",
IF(AX635="PT",VLOOKUP(L635,Foundation_Calc!$V$79:$X$113,VLOOKUP(AX635,Foundation_Calc!$I$10:$J$13,2,FALSE),0),
IF(AX635="K",VLOOKUP(L635,Foundation_Calc!$V$117:$X$151,VLOOKUP(AX635,Foundation_Calc!$I$10:$J$13,2,FALSE),0),"")))</f>
        <v/>
      </c>
      <c r="N635" s="449"/>
      <c r="O635" s="449"/>
      <c r="P635" s="449"/>
      <c r="Q635" s="4"/>
      <c r="R635" s="6"/>
      <c r="S635" s="6"/>
      <c r="T635" s="4"/>
      <c r="U635" s="4"/>
      <c r="V635" s="4"/>
      <c r="W635" s="9"/>
      <c r="X635" s="9"/>
      <c r="Y635" s="9"/>
      <c r="Z635" s="9"/>
      <c r="AA635" s="9"/>
      <c r="AB635" s="9"/>
      <c r="AC635" s="449" t="str">
        <f t="shared" si="78"/>
        <v/>
      </c>
      <c r="AD635" s="449"/>
      <c r="AE635" s="449"/>
      <c r="AF635" s="4"/>
      <c r="AG635" s="83"/>
      <c r="AH635" s="4"/>
      <c r="AI635" s="4"/>
      <c r="AJ635" s="449"/>
      <c r="AK635" s="449"/>
      <c r="AL635" s="449"/>
      <c r="AM635" s="449"/>
      <c r="AN635" s="10"/>
      <c r="AO635" s="9"/>
      <c r="AP635" s="9"/>
      <c r="AQ635" s="9">
        <f>+FL_2($T$636,$T$634,$G$635,1200,9.28, 1*$F$636)</f>
        <v>-0.38093509495652172</v>
      </c>
      <c r="AR635" s="9"/>
      <c r="AS635" s="9"/>
      <c r="AT635" s="9"/>
      <c r="AU635" s="428"/>
      <c r="AV635" s="428"/>
      <c r="AW635" s="449" t="str">
        <f>IF(C635&gt;0,VLOOKUP(C635,Foundation_Calc!$A$2:$C$13,3,1),
IF(J635&gt;0,VLOOKUP(J635,Foundation_Calc!$A$2:$C$13,3,1),""))</f>
        <v/>
      </c>
      <c r="AX635" s="449" t="str">
        <f>IF(C635&gt;0,VLOOKUP(C635,Foundation_Calc!$E$35:$G$65,3,1),
IF(J635&gt;0,VLOOKUP(J635,Foundation_Calc!$E$35:$G$65,3,1),""))</f>
        <v/>
      </c>
      <c r="AY635" s="10" t="str">
        <f>IF(L635="","",
IF(AX635="PT",VLOOKUP(L635,Foundation_Calc!$K$79:$R$113,VLOOKUP(AW635,Foundation_Calc!$I$2:$J$8,2,FALSE),0),
IF(AX635="K",VLOOKUP(L635,Foundation_Calc!$K$117:$R$151,VLOOKUP(AW635,Foundation_Calc!$I$2:$J$8,2,FALSE),0),"")))</f>
        <v/>
      </c>
      <c r="AZ635" s="10" t="str">
        <f>IF(K635="","",
IF(AX635="PT",VLOOKUP(K635,Foundation_Calc!$K$79:$R$113,VLOOKUP(AW635,Foundation_Calc!$I$2:$J$8,2,FALSE),0),
IF(AX635="K",VLOOKUP(K635,Foundation_Calc!$K$117:$R$151,VLOOKUP(AW635,Foundation_Calc!$I$2:$J$8,2,FALSE),0),"")))</f>
        <v/>
      </c>
      <c r="BA635" s="495" t="str">
        <f t="shared" si="82"/>
        <v/>
      </c>
      <c r="BB635" s="495" t="str">
        <f t="shared" si="83"/>
        <v/>
      </c>
      <c r="BC635" s="495" t="str">
        <f t="shared" si="84"/>
        <v/>
      </c>
      <c r="BD635" s="513" t="str">
        <f>IF(AND(L635="",H635=""),"",
IF(H635="",Pole_Calc!A$9,
IF(H635="MP",Pole_Calc!A$10,
IF(H635="AnMP",Pole_Calc!A$11,
IF(H635="A",Pole_Calc!A$12,
IF(H635="S/A",Pole_Calc!A$13,
IF(H635="A/S",Pole_Calc!A$14,"Poner a mano")))))))</f>
        <v/>
      </c>
      <c r="BE635" s="429" t="s">
        <v>118</v>
      </c>
      <c r="BF635" s="290"/>
      <c r="BG635" s="290"/>
      <c r="BH635" s="290"/>
      <c r="BI635" s="290"/>
    </row>
    <row r="636" spans="1:61" ht="15.75" customHeight="1">
      <c r="A636" s="514"/>
      <c r="B636" s="450" t="s">
        <v>1265</v>
      </c>
      <c r="C636" s="3">
        <f>+$C$634+$G$635</f>
        <v>45453.190000000017</v>
      </c>
      <c r="D636" s="83"/>
      <c r="E636" s="4"/>
      <c r="F636" s="4">
        <v>0</v>
      </c>
      <c r="G636" s="6"/>
      <c r="H636" s="449"/>
      <c r="I636" s="4"/>
      <c r="J636" s="3"/>
      <c r="K636" s="449"/>
      <c r="L636" s="449" t="s">
        <v>153</v>
      </c>
      <c r="M636" s="449" t="str">
        <f>IF(L636="","",
IF(AX636="PT",VLOOKUP(L636,Foundation_Calc!$V$79:$X$113,VLOOKUP(AX636,Foundation_Calc!$I$10:$J$13,2,FALSE),0),
IF(AX636="K",VLOOKUP(L636,Foundation_Calc!$V$117:$X$151,VLOOKUP(AX636,Foundation_Calc!$I$10:$J$13,2,FALSE),0),"")))</f>
        <v>C3R</v>
      </c>
      <c r="N636" s="449" t="s">
        <v>124</v>
      </c>
      <c r="O636" s="449"/>
      <c r="P636" s="449"/>
      <c r="Q636" s="4"/>
      <c r="R636" s="6"/>
      <c r="S636" s="6"/>
      <c r="T636" s="4">
        <v>-35</v>
      </c>
      <c r="U636" s="4"/>
      <c r="V636" s="4"/>
      <c r="W636" s="9">
        <v>1.4</v>
      </c>
      <c r="X636" s="9"/>
      <c r="Y636" s="9"/>
      <c r="Z636" s="9"/>
      <c r="AA636" s="9"/>
      <c r="AB636" s="9"/>
      <c r="AC636" s="449" t="str">
        <f t="shared" si="78"/>
        <v>PHQ</v>
      </c>
      <c r="AD636" s="449"/>
      <c r="AE636" s="449"/>
      <c r="AF636" s="4"/>
      <c r="AG636" s="83"/>
      <c r="AH636" s="4"/>
      <c r="AI636" s="4"/>
      <c r="AJ636" s="449"/>
      <c r="AK636" s="449"/>
      <c r="AL636" s="449"/>
      <c r="AM636" s="449" t="s">
        <v>552</v>
      </c>
      <c r="AN636" s="10">
        <v>5.5</v>
      </c>
      <c r="AO636" s="9"/>
      <c r="AP636" s="9"/>
      <c r="AQ636" s="9"/>
      <c r="AR636" s="9"/>
      <c r="AS636" s="9"/>
      <c r="AT636" s="9">
        <f>+ab($T$636,$T$634,$T$638,$G$635,$G$637, 1*$F$636,1200)</f>
        <v>-7.8784820497844361</v>
      </c>
      <c r="AU636" s="428"/>
      <c r="AV636" s="428"/>
      <c r="AW636" s="449" t="str">
        <f>IF(C636&gt;0,VLOOKUP(C636,Foundation_Calc!$A$2:$C$13,3,1),
IF(J636&gt;0,VLOOKUP(J636,Foundation_Calc!$A$2:$C$13,3,1),""))</f>
        <v>Multi Soil</v>
      </c>
      <c r="AX636" s="449" t="str">
        <f>IF(C636&gt;0,VLOOKUP(C636,Foundation_Calc!$E$35:$G$65,3,1),
IF(J636&gt;0,VLOOKUP(J636,Foundation_Calc!$E$35:$G$65,3,1),""))</f>
        <v>PT</v>
      </c>
      <c r="AY636" s="10">
        <f>IF(L636="","",
IF(AX636="PT",VLOOKUP(L636,Foundation_Calc!$K$79:$R$113,VLOOKUP(AW636,Foundation_Calc!$I$2:$J$8,2,FALSE),0),
IF(AX636="K",VLOOKUP(L636,Foundation_Calc!$K$117:$R$151,VLOOKUP(AW636,Foundation_Calc!$I$2:$J$8,2,FALSE),0),"")))</f>
        <v>3.5</v>
      </c>
      <c r="AZ636" s="10" t="str">
        <f>IF(K636="","",
IF(AX636="PT",VLOOKUP(K636,Foundation_Calc!$K$79:$R$113,VLOOKUP(AW636,Foundation_Calc!$I$2:$J$8,2,FALSE),0),
IF(AX636="K",VLOOKUP(K636,Foundation_Calc!$K$117:$R$151,VLOOKUP(AW636,Foundation_Calc!$I$2:$J$8,2,FALSE),0),"")))</f>
        <v/>
      </c>
      <c r="BA636" s="495" t="str">
        <f t="shared" si="82"/>
        <v>ü</v>
      </c>
      <c r="BB636" s="495" t="str">
        <f t="shared" si="83"/>
        <v/>
      </c>
      <c r="BC636" s="495" t="str">
        <f t="shared" si="84"/>
        <v/>
      </c>
      <c r="BD636" s="513" t="str">
        <f>IF(AND(L636="",H636=""),"",
IF(H636="",Pole_Calc!A$9,
IF(H636="MP",Pole_Calc!A$10,
IF(H636="AnMP",Pole_Calc!A$11,
IF(H636="A",Pole_Calc!A$12,
IF(H636="S/A",Pole_Calc!A$13,
IF(H636="A/S",Pole_Calc!A$14,"Poner a mano")))))))</f>
        <v>App.7-V11I-P9.5.1.1</v>
      </c>
      <c r="BE636" s="429" t="s">
        <v>118</v>
      </c>
      <c r="BF636" s="289"/>
      <c r="BG636" s="289"/>
      <c r="BH636" s="290"/>
      <c r="BI636" s="289"/>
    </row>
    <row r="637" spans="1:61" ht="15.75" customHeight="1">
      <c r="A637" s="514"/>
      <c r="B637" s="450"/>
      <c r="C637" s="3"/>
      <c r="D637" s="83"/>
      <c r="E637" s="4"/>
      <c r="F637" s="4"/>
      <c r="G637" s="6">
        <v>52.5</v>
      </c>
      <c r="H637" s="449"/>
      <c r="I637" s="4"/>
      <c r="J637" s="3"/>
      <c r="K637" s="449"/>
      <c r="L637" s="449"/>
      <c r="M637" s="449" t="str">
        <f>IF(L637="","",
IF(AX637="PT",VLOOKUP(L637,Foundation_Calc!$V$79:$X$113,VLOOKUP(AX637,Foundation_Calc!$I$10:$J$13,2,FALSE),0),
IF(AX637="K",VLOOKUP(L637,Foundation_Calc!$V$117:$X$151,VLOOKUP(AX637,Foundation_Calc!$I$10:$J$13,2,FALSE),0),"")))</f>
        <v/>
      </c>
      <c r="N637" s="449"/>
      <c r="O637" s="561"/>
      <c r="P637" s="449"/>
      <c r="Q637" s="4"/>
      <c r="R637" s="6"/>
      <c r="S637" s="6"/>
      <c r="T637" s="4"/>
      <c r="U637" s="4"/>
      <c r="V637" s="4"/>
      <c r="W637" s="9"/>
      <c r="X637" s="9"/>
      <c r="Y637" s="9"/>
      <c r="Z637" s="9"/>
      <c r="AA637" s="9"/>
      <c r="AB637" s="9"/>
      <c r="AC637" s="449" t="str">
        <f t="shared" si="78"/>
        <v/>
      </c>
      <c r="AD637" s="449"/>
      <c r="AE637" s="449"/>
      <c r="AF637" s="4"/>
      <c r="AG637" s="83"/>
      <c r="AH637" s="4"/>
      <c r="AI637" s="4"/>
      <c r="AJ637" s="449"/>
      <c r="AK637" s="449"/>
      <c r="AL637" s="449"/>
      <c r="AM637" s="449"/>
      <c r="AN637" s="10"/>
      <c r="AO637" s="9"/>
      <c r="AP637" s="9"/>
      <c r="AQ637" s="9">
        <f>+FL_2($T$638,$T$636,$G$637,1200,9.28, 1*$F$638)</f>
        <v>-0.38138002799999993</v>
      </c>
      <c r="AR637" s="9"/>
      <c r="AS637" s="9"/>
      <c r="AT637" s="9"/>
      <c r="AU637" s="428"/>
      <c r="AV637" s="428"/>
      <c r="AW637" s="449" t="str">
        <f>IF(C637&gt;0,VLOOKUP(C637,Foundation_Calc!$A$2:$C$13,3,1),
IF(J637&gt;0,VLOOKUP(J637,Foundation_Calc!$A$2:$C$13,3,1),""))</f>
        <v/>
      </c>
      <c r="AX637" s="449" t="str">
        <f>IF(C637&gt;0,VLOOKUP(C637,Foundation_Calc!$E$35:$G$65,3,1),
IF(J637&gt;0,VLOOKUP(J637,Foundation_Calc!$E$35:$G$65,3,1),""))</f>
        <v/>
      </c>
      <c r="AY637" s="10" t="str">
        <f>IF(L637="","",
IF(AX637="PT",VLOOKUP(L637,Foundation_Calc!$K$79:$R$113,VLOOKUP(AW637,Foundation_Calc!$I$2:$J$8,2,FALSE),0),
IF(AX637="K",VLOOKUP(L637,Foundation_Calc!$K$117:$R$151,VLOOKUP(AW637,Foundation_Calc!$I$2:$J$8,2,FALSE),0),"")))</f>
        <v/>
      </c>
      <c r="AZ637" s="10" t="str">
        <f>IF(K637="","",
IF(AX637="PT",VLOOKUP(K637,Foundation_Calc!$K$79:$R$113,VLOOKUP(AW637,Foundation_Calc!$I$2:$J$8,2,FALSE),0),
IF(AX637="K",VLOOKUP(K637,Foundation_Calc!$K$117:$R$151,VLOOKUP(AW637,Foundation_Calc!$I$2:$J$8,2,FALSE),0),"")))</f>
        <v/>
      </c>
      <c r="BA637" s="495" t="str">
        <f t="shared" si="82"/>
        <v/>
      </c>
      <c r="BB637" s="495" t="str">
        <f t="shared" si="83"/>
        <v/>
      </c>
      <c r="BC637" s="495" t="str">
        <f t="shared" si="84"/>
        <v/>
      </c>
      <c r="BD637" s="513" t="str">
        <f>IF(AND(L637="",H637=""),"",
IF(H637="",Pole_Calc!A$9,
IF(H637="MP",Pole_Calc!A$10,
IF(H637="AnMP",Pole_Calc!A$11,
IF(H637="A",Pole_Calc!A$12,
IF(H637="S/A",Pole_Calc!A$13,
IF(H637="A/S",Pole_Calc!A$14,"Poner a mano")))))))</f>
        <v/>
      </c>
      <c r="BE637" s="429" t="s">
        <v>118</v>
      </c>
      <c r="BF637" s="290"/>
      <c r="BG637" s="290"/>
      <c r="BH637" s="290"/>
      <c r="BI637" s="290"/>
    </row>
    <row r="638" spans="1:61" ht="15.75" customHeight="1">
      <c r="A638" s="514"/>
      <c r="B638" s="450" t="s">
        <v>1266</v>
      </c>
      <c r="C638" s="3">
        <f>+$C$636+$G$637</f>
        <v>45505.690000000017</v>
      </c>
      <c r="D638" s="83"/>
      <c r="E638" s="4"/>
      <c r="F638" s="4">
        <v>0</v>
      </c>
      <c r="G638" s="6"/>
      <c r="H638" s="449" t="s">
        <v>238</v>
      </c>
      <c r="I638" s="4"/>
      <c r="J638" s="3"/>
      <c r="K638" s="449"/>
      <c r="L638" s="449" t="s">
        <v>183</v>
      </c>
      <c r="M638" s="449" t="str">
        <f>IF(L638="","",
IF(AX638="PT",VLOOKUP(L638,Foundation_Calc!$V$79:$X$113,VLOOKUP(AX638,Foundation_Calc!$I$10:$J$13,2,FALSE),0),
IF(AX638="K",VLOOKUP(L638,Foundation_Calc!$V$117:$X$151,VLOOKUP(AX638,Foundation_Calc!$I$10:$J$13,2,FALSE),0),"")))</f>
        <v>2C3R</v>
      </c>
      <c r="N638" s="449" t="s">
        <v>134</v>
      </c>
      <c r="O638" s="553" t="s">
        <v>124</v>
      </c>
      <c r="P638" s="449"/>
      <c r="Q638" s="4"/>
      <c r="R638" s="6"/>
      <c r="S638" s="6"/>
      <c r="T638" s="4">
        <v>35</v>
      </c>
      <c r="U638" s="4">
        <v>20</v>
      </c>
      <c r="V638" s="4"/>
      <c r="W638" s="9">
        <v>1.4</v>
      </c>
      <c r="X638" s="9">
        <v>2</v>
      </c>
      <c r="Y638" s="9"/>
      <c r="Z638" s="9"/>
      <c r="AA638" s="9"/>
      <c r="AB638" s="9"/>
      <c r="AC638" s="449" t="str">
        <f t="shared" si="78"/>
        <v>PHQ</v>
      </c>
      <c r="AD638" s="449"/>
      <c r="AE638" s="449"/>
      <c r="AF638" s="4"/>
      <c r="AG638" s="83"/>
      <c r="AH638" s="4"/>
      <c r="AI638" s="4"/>
      <c r="AJ638" s="449"/>
      <c r="AK638" s="449"/>
      <c r="AL638" s="449"/>
      <c r="AM638" s="449" t="s">
        <v>552</v>
      </c>
      <c r="AN638" s="10">
        <v>5.5</v>
      </c>
      <c r="AO638" s="9"/>
      <c r="AP638" s="9"/>
      <c r="AQ638" s="9"/>
      <c r="AR638" s="9"/>
      <c r="AS638" s="9"/>
      <c r="AT638" s="9">
        <f>+ab($T$638,$T$636,$T$640,$G$637,$G$639, 1*$F$638,1200)</f>
        <v>7.1627715094841804</v>
      </c>
      <c r="AU638" s="428"/>
      <c r="AV638" s="428"/>
      <c r="AW638" s="449" t="str">
        <f>IF(C638&gt;0,VLOOKUP(C638,Foundation_Calc!$A$2:$C$13,3,1),
IF(J638&gt;0,VLOOKUP(J638,Foundation_Calc!$A$2:$C$13,3,1),""))</f>
        <v>Multi Soil</v>
      </c>
      <c r="AX638" s="449" t="str">
        <f>IF(C638&gt;0,VLOOKUP(C638,Foundation_Calc!$E$35:$G$65,3,1),
IF(J638&gt;0,VLOOKUP(J638,Foundation_Calc!$E$35:$G$65,3,1),""))</f>
        <v>PT</v>
      </c>
      <c r="AY638" s="10">
        <f>IF(L638="","",
IF(AX638="PT",VLOOKUP(L638,Foundation_Calc!$K$79:$R$113,VLOOKUP(AW638,Foundation_Calc!$I$2:$J$8,2,FALSE),0),
IF(AX638="K",VLOOKUP(L638,Foundation_Calc!$K$117:$R$151,VLOOKUP(AW638,Foundation_Calc!$I$2:$J$8,2,FALSE),0),"")))</f>
        <v>3.7</v>
      </c>
      <c r="AZ638" s="10" t="str">
        <f>IF(K638="","",
IF(AX638="PT",VLOOKUP(K638,Foundation_Calc!$K$79:$R$113,VLOOKUP(AW638,Foundation_Calc!$I$2:$J$8,2,FALSE),0),
IF(AX638="K",VLOOKUP(K638,Foundation_Calc!$K$117:$R$151,VLOOKUP(AW638,Foundation_Calc!$I$2:$J$8,2,FALSE),0),"")))</f>
        <v/>
      </c>
      <c r="BA638" s="495" t="str">
        <f t="shared" si="82"/>
        <v>ü</v>
      </c>
      <c r="BB638" s="495" t="str">
        <f t="shared" si="83"/>
        <v/>
      </c>
      <c r="BC638" s="495" t="str">
        <f t="shared" si="84"/>
        <v/>
      </c>
      <c r="BD638" s="513" t="str">
        <f>Pole_Calc!A$13</f>
        <v>App.7-V11I-P9.5.1.5</v>
      </c>
      <c r="BE638" s="429" t="s">
        <v>118</v>
      </c>
      <c r="BF638" s="289"/>
      <c r="BG638" s="289"/>
      <c r="BH638" s="290"/>
      <c r="BI638" s="289"/>
    </row>
    <row r="639" spans="1:61" ht="15.75" customHeight="1">
      <c r="A639" s="518"/>
      <c r="B639" s="450"/>
      <c r="C639" s="3"/>
      <c r="D639" s="83"/>
      <c r="E639" s="4"/>
      <c r="F639" s="4"/>
      <c r="G639" s="6">
        <v>41.3</v>
      </c>
      <c r="H639" s="449"/>
      <c r="I639" s="4"/>
      <c r="J639" s="3"/>
      <c r="K639" s="449"/>
      <c r="L639" s="449"/>
      <c r="M639" s="449" t="str">
        <f>IF(L639="","",
IF(AX639="PT",VLOOKUP(L639,Foundation_Calc!$V$79:$X$113,VLOOKUP(AX639,Foundation_Calc!$I$10:$J$13,2,FALSE),0),
IF(AX639="K",VLOOKUP(L639,Foundation_Calc!$V$117:$X$151,VLOOKUP(AX639,Foundation_Calc!$I$10:$J$13,2,FALSE),0),"")))</f>
        <v/>
      </c>
      <c r="N639" s="449"/>
      <c r="O639" s="449"/>
      <c r="P639" s="449"/>
      <c r="Q639" s="4"/>
      <c r="R639" s="6"/>
      <c r="S639" s="6"/>
      <c r="T639" s="4"/>
      <c r="U639" s="4"/>
      <c r="V639" s="4"/>
      <c r="W639" s="9"/>
      <c r="X639" s="9"/>
      <c r="Y639" s="9"/>
      <c r="Z639" s="9"/>
      <c r="AA639" s="9"/>
      <c r="AB639" s="9"/>
      <c r="AC639" s="449" t="str">
        <f t="shared" si="78"/>
        <v/>
      </c>
      <c r="AD639" s="449"/>
      <c r="AE639" s="449"/>
      <c r="AF639" s="4"/>
      <c r="AG639" s="83"/>
      <c r="AH639" s="4"/>
      <c r="AI639" s="4"/>
      <c r="AJ639" s="449"/>
      <c r="AK639" s="449"/>
      <c r="AL639" s="449"/>
      <c r="AM639" s="449"/>
      <c r="AN639" s="10"/>
      <c r="AO639" s="9"/>
      <c r="AP639" s="9"/>
      <c r="AQ639" s="9">
        <f>+FL_2($T$640,$T$638,$G$639,1200,9.28, 1*$F$640)</f>
        <v>-0.20454775256497176</v>
      </c>
      <c r="AR639" s="9"/>
      <c r="AS639" s="9"/>
      <c r="AT639" s="9"/>
      <c r="AU639" s="428"/>
      <c r="AV639" s="428"/>
      <c r="AW639" s="449" t="str">
        <f>IF(C639&gt;0,VLOOKUP(C639,Foundation_Calc!$A$2:$C$13,3,1),
IF(J639&gt;0,VLOOKUP(J639,Foundation_Calc!$A$2:$C$13,3,1),""))</f>
        <v/>
      </c>
      <c r="AX639" s="449" t="str">
        <f>IF(C639&gt;0,VLOOKUP(C639,Foundation_Calc!$E$35:$G$65,3,1),
IF(J639&gt;0,VLOOKUP(J639,Foundation_Calc!$E$35:$G$65,3,1),""))</f>
        <v/>
      </c>
      <c r="AY639" s="10" t="str">
        <f>IF(L639="","",
IF(AX639="PT",VLOOKUP(L639,Foundation_Calc!$K$79:$R$113,VLOOKUP(AW639,Foundation_Calc!$I$2:$J$8,2,FALSE),0),
IF(AX639="K",VLOOKUP(L639,Foundation_Calc!$K$117:$R$151,VLOOKUP(AW639,Foundation_Calc!$I$2:$J$8,2,FALSE),0),"")))</f>
        <v/>
      </c>
      <c r="AZ639" s="10" t="str">
        <f>IF(K639="","",
IF(AX639="PT",VLOOKUP(K639,Foundation_Calc!$K$79:$R$113,VLOOKUP(AW639,Foundation_Calc!$I$2:$J$8,2,FALSE),0),
IF(AX639="K",VLOOKUP(K639,Foundation_Calc!$K$117:$R$151,VLOOKUP(AW639,Foundation_Calc!$I$2:$J$8,2,FALSE),0),"")))</f>
        <v/>
      </c>
      <c r="BA639" s="495" t="str">
        <f t="shared" si="82"/>
        <v/>
      </c>
      <c r="BB639" s="495" t="str">
        <f t="shared" si="83"/>
        <v/>
      </c>
      <c r="BC639" s="495" t="str">
        <f t="shared" si="84"/>
        <v/>
      </c>
      <c r="BD639" s="513" t="str">
        <f>IF(AND(L639="",H639=""),"",
IF(H639="",Pole_Calc!A$9,
IF(H639="MP",Pole_Calc!A$10,
IF(H639="AnMP",Pole_Calc!A$11,
IF(H639="A",Pole_Calc!A$12,
IF(H639="S/A",Pole_Calc!A$13,
IF(H639="A/S",Pole_Calc!A$14,"Poner a mano")))))))</f>
        <v/>
      </c>
      <c r="BE639" s="429" t="s">
        <v>118</v>
      </c>
      <c r="BF639" s="290"/>
      <c r="BG639" s="290"/>
      <c r="BH639" s="290"/>
      <c r="BI639" s="290"/>
    </row>
    <row r="640" spans="1:61" ht="15.75" customHeight="1">
      <c r="A640" s="514"/>
      <c r="B640" s="450" t="s">
        <v>1267</v>
      </c>
      <c r="C640" s="3">
        <f>+$C$638+$G$639</f>
        <v>45546.99000000002</v>
      </c>
      <c r="D640" s="83"/>
      <c r="E640" s="4"/>
      <c r="F640" s="4">
        <v>0</v>
      </c>
      <c r="G640" s="6"/>
      <c r="H640" s="449" t="s">
        <v>131</v>
      </c>
      <c r="I640" s="4"/>
      <c r="J640" s="3"/>
      <c r="K640" s="449"/>
      <c r="L640" s="449" t="s">
        <v>183</v>
      </c>
      <c r="M640" s="449" t="str">
        <f>IF(L640="","",
IF(AX640="PT",VLOOKUP(L640,Foundation_Calc!$V$79:$X$113,VLOOKUP(AX640,Foundation_Calc!$I$10:$J$13,2,FALSE),0),
IF(AX640="K",VLOOKUP(L640,Foundation_Calc!$V$117:$X$151,VLOOKUP(AX640,Foundation_Calc!$I$10:$J$13,2,FALSE),0),"")))</f>
        <v>2C3R</v>
      </c>
      <c r="N640" s="449" t="s">
        <v>124</v>
      </c>
      <c r="O640" s="553" t="s">
        <v>133</v>
      </c>
      <c r="P640" s="449"/>
      <c r="Q640" s="4"/>
      <c r="R640" s="6"/>
      <c r="S640" s="6"/>
      <c r="T640" s="4">
        <v>-20</v>
      </c>
      <c r="U640" s="4">
        <v>-55</v>
      </c>
      <c r="V640" s="4"/>
      <c r="W640" s="9">
        <v>1.4</v>
      </c>
      <c r="X640" s="9">
        <v>2</v>
      </c>
      <c r="Y640" s="9"/>
      <c r="Z640" s="9"/>
      <c r="AA640" s="9">
        <v>0.35</v>
      </c>
      <c r="AB640" s="9"/>
      <c r="AC640" s="449" t="str">
        <f t="shared" si="78"/>
        <v>PH</v>
      </c>
      <c r="AD640" s="449"/>
      <c r="AE640" s="449"/>
      <c r="AF640" s="4"/>
      <c r="AG640" s="83"/>
      <c r="AH640" s="4"/>
      <c r="AI640" s="4"/>
      <c r="AJ640" s="449"/>
      <c r="AK640" s="449"/>
      <c r="AL640" s="449"/>
      <c r="AM640" s="449" t="s">
        <v>552</v>
      </c>
      <c r="AN640" s="10">
        <v>5.5</v>
      </c>
      <c r="AO640" s="9"/>
      <c r="AP640" s="9"/>
      <c r="AQ640" s="9"/>
      <c r="AR640" s="9"/>
      <c r="AS640" s="9"/>
      <c r="AT640" s="9">
        <f>+ab($T$640,$T$638,$U$642,$G$639,$G$641, 1*$F$640,1200)</f>
        <v>-14.116674181867296</v>
      </c>
      <c r="AU640" s="428"/>
      <c r="AV640" s="428"/>
      <c r="AW640" s="449" t="str">
        <f>IF(C640&gt;0,VLOOKUP(C640,Foundation_Calc!$A$2:$C$13,3,1),
IF(J640&gt;0,VLOOKUP(J640,Foundation_Calc!$A$2:$C$13,3,1),""))</f>
        <v>Multi Soil</v>
      </c>
      <c r="AX640" s="449" t="str">
        <f>IF(C640&gt;0,VLOOKUP(C640,Foundation_Calc!$E$35:$G$65,3,1),
IF(J640&gt;0,VLOOKUP(J640,Foundation_Calc!$E$35:$G$65,3,1),""))</f>
        <v>PT</v>
      </c>
      <c r="AY640" s="10">
        <f>IF(L640="","",
IF(AX640="PT",VLOOKUP(L640,Foundation_Calc!$K$79:$R$113,VLOOKUP(AW640,Foundation_Calc!$I$2:$J$8,2,FALSE),0),
IF(AX640="K",VLOOKUP(L640,Foundation_Calc!$K$117:$R$151,VLOOKUP(AW640,Foundation_Calc!$I$2:$J$8,2,FALSE),0),"")))</f>
        <v>3.7</v>
      </c>
      <c r="AZ640" s="10" t="str">
        <f>IF(K640="","",
IF(AX640="PT",VLOOKUP(K640,Foundation_Calc!$K$79:$R$113,VLOOKUP(AW640,Foundation_Calc!$I$2:$J$8,2,FALSE),0),
IF(AX640="K",VLOOKUP(K640,Foundation_Calc!$K$117:$R$151,VLOOKUP(AW640,Foundation_Calc!$I$2:$J$8,2,FALSE),0),"")))</f>
        <v/>
      </c>
      <c r="BA640" s="495" t="str">
        <f t="shared" si="82"/>
        <v>ü</v>
      </c>
      <c r="BB640" s="495" t="str">
        <f t="shared" si="83"/>
        <v/>
      </c>
      <c r="BC640" s="495" t="str">
        <f t="shared" si="84"/>
        <v/>
      </c>
      <c r="BD640" s="513" t="str">
        <f>Pole_Calc!A$16</f>
        <v>App.7-V11I-P9.5.1.8</v>
      </c>
      <c r="BE640" s="429" t="s">
        <v>118</v>
      </c>
      <c r="BF640" s="289"/>
      <c r="BG640" s="289"/>
      <c r="BH640" s="290"/>
      <c r="BI640" s="289"/>
    </row>
    <row r="641" spans="1:61" ht="15.75" customHeight="1">
      <c r="A641" s="514"/>
      <c r="B641" s="450"/>
      <c r="C641" s="3"/>
      <c r="D641" s="83"/>
      <c r="E641" s="4"/>
      <c r="F641" s="4"/>
      <c r="G641" s="6">
        <v>31.2</v>
      </c>
      <c r="H641" s="449"/>
      <c r="I641" s="4"/>
      <c r="J641" s="3"/>
      <c r="K641" s="449"/>
      <c r="L641" s="449"/>
      <c r="M641" s="449" t="str">
        <f>IF(L641="","",
IF(AX641="PT",VLOOKUP(L641,Foundation_Calc!$V$79:$X$113,VLOOKUP(AX641,Foundation_Calc!$I$10:$J$13,2,FALSE),0),
IF(AX641="K",VLOOKUP(L641,Foundation_Calc!$V$117:$X$151,VLOOKUP(AX641,Foundation_Calc!$I$10:$J$13,2,FALSE),0),"")))</f>
        <v/>
      </c>
      <c r="N641" s="449"/>
      <c r="O641" s="449"/>
      <c r="P641" s="449"/>
      <c r="Q641" s="4"/>
      <c r="R641" s="6"/>
      <c r="S641" s="6"/>
      <c r="T641" s="4"/>
      <c r="U641" s="4"/>
      <c r="V641" s="4"/>
      <c r="W641" s="9"/>
      <c r="X641" s="9"/>
      <c r="Y641" s="9"/>
      <c r="Z641" s="9"/>
      <c r="AA641" s="9"/>
      <c r="AB641" s="9"/>
      <c r="AC641" s="449" t="str">
        <f t="shared" si="78"/>
        <v/>
      </c>
      <c r="AD641" s="449"/>
      <c r="AE641" s="449"/>
      <c r="AF641" s="4"/>
      <c r="AG641" s="83"/>
      <c r="AH641" s="4"/>
      <c r="AI641" s="4"/>
      <c r="AJ641" s="449"/>
      <c r="AK641" s="449"/>
      <c r="AL641" s="449"/>
      <c r="AM641" s="449"/>
      <c r="AN641" s="10"/>
      <c r="AO641" s="9"/>
      <c r="AP641" s="9"/>
      <c r="AQ641" s="9">
        <f>+FL_1($U$642,$T$640,$G$641,1200,9.28, 1*$F$642)</f>
        <v>-0.10590080000000002</v>
      </c>
      <c r="AR641" s="9"/>
      <c r="AS641" s="9"/>
      <c r="AT641" s="9"/>
      <c r="AU641" s="428"/>
      <c r="AV641" s="428"/>
      <c r="AW641" s="449" t="str">
        <f>IF(C641&gt;0,VLOOKUP(C641,Foundation_Calc!$A$2:$C$13,3,1),
IF(J641&gt;0,VLOOKUP(J641,Foundation_Calc!$A$2:$C$13,3,1),""))</f>
        <v/>
      </c>
      <c r="AX641" s="449" t="str">
        <f>IF(C641&gt;0,VLOOKUP(C641,Foundation_Calc!$E$35:$G$65,3,1),
IF(J641&gt;0,VLOOKUP(J641,Foundation_Calc!$E$35:$G$65,3,1),""))</f>
        <v/>
      </c>
      <c r="AY641" s="10" t="str">
        <f>IF(L641="","",
IF(AX641="PT",VLOOKUP(L641,Foundation_Calc!$K$79:$R$113,VLOOKUP(AW641,Foundation_Calc!$I$2:$J$8,2,FALSE),0),
IF(AX641="K",VLOOKUP(L641,Foundation_Calc!$K$117:$R$151,VLOOKUP(AW641,Foundation_Calc!$I$2:$J$8,2,FALSE),0),"")))</f>
        <v/>
      </c>
      <c r="AZ641" s="10" t="str">
        <f>IF(K641="","",
IF(AX641="PT",VLOOKUP(K641,Foundation_Calc!$K$79:$R$113,VLOOKUP(AW641,Foundation_Calc!$I$2:$J$8,2,FALSE),0),
IF(AX641="K",VLOOKUP(K641,Foundation_Calc!$K$117:$R$151,VLOOKUP(AW641,Foundation_Calc!$I$2:$J$8,2,FALSE),0),"")))</f>
        <v/>
      </c>
      <c r="BA641" s="495" t="str">
        <f t="shared" si="82"/>
        <v/>
      </c>
      <c r="BB641" s="495" t="str">
        <f t="shared" si="83"/>
        <v/>
      </c>
      <c r="BC641" s="495" t="str">
        <f t="shared" si="84"/>
        <v/>
      </c>
      <c r="BD641" s="513" t="str">
        <f>IF(AND(L641="",H641=""),"",
IF(H641="",Pole_Calc!A$9,
IF(H641="MP",Pole_Calc!A$10,
IF(H641="AnMP",Pole_Calc!A$11,
IF(H641="A",Pole_Calc!A$12,
IF(H641="S/A",Pole_Calc!A$13,
IF(H641="A/S",Pole_Calc!A$14,"Poner a mano")))))))</f>
        <v/>
      </c>
      <c r="BE641" s="429" t="s">
        <v>118</v>
      </c>
      <c r="BF641" s="290"/>
      <c r="BG641" s="290"/>
      <c r="BH641" s="290"/>
      <c r="BI641" s="290"/>
    </row>
    <row r="642" spans="1:61" ht="15.75" customHeight="1">
      <c r="A642" s="514"/>
      <c r="B642" s="450" t="s">
        <v>1268</v>
      </c>
      <c r="C642" s="3">
        <f>+$C$640+$G$641</f>
        <v>45578.190000000017</v>
      </c>
      <c r="D642" s="83"/>
      <c r="E642" s="4"/>
      <c r="F642" s="4">
        <v>0</v>
      </c>
      <c r="G642" s="6"/>
      <c r="H642" s="449" t="s">
        <v>131</v>
      </c>
      <c r="I642" s="4"/>
      <c r="J642" s="3"/>
      <c r="K642" s="449"/>
      <c r="L642" s="449" t="s">
        <v>183</v>
      </c>
      <c r="M642" s="449" t="str">
        <f>IF(L642="","",
IF(AX642="PT",VLOOKUP(L642,Foundation_Calc!$V$79:$X$113,VLOOKUP(AX642,Foundation_Calc!$I$10:$J$13,2,FALSE),0),
IF(AX642="K",VLOOKUP(L642,Foundation_Calc!$V$117:$X$151,VLOOKUP(AX642,Foundation_Calc!$I$10:$J$13,2,FALSE),0),"")))</f>
        <v>2C3R</v>
      </c>
      <c r="N642" s="553" t="s">
        <v>133</v>
      </c>
      <c r="O642" s="449" t="s">
        <v>124</v>
      </c>
      <c r="P642" s="449"/>
      <c r="Q642" s="4"/>
      <c r="R642" s="6"/>
      <c r="S642" s="6"/>
      <c r="T642" s="4">
        <v>-55</v>
      </c>
      <c r="U642" s="4">
        <v>-20</v>
      </c>
      <c r="V642" s="4"/>
      <c r="W642" s="9">
        <v>2</v>
      </c>
      <c r="X642" s="9">
        <v>1.4</v>
      </c>
      <c r="Y642" s="9"/>
      <c r="Z642" s="9">
        <v>0.25</v>
      </c>
      <c r="AA642" s="9"/>
      <c r="AB642" s="9"/>
      <c r="AC642" s="449"/>
      <c r="AD642" s="449"/>
      <c r="AE642" s="449"/>
      <c r="AF642" s="4"/>
      <c r="AG642" s="83"/>
      <c r="AH642" s="4"/>
      <c r="AI642" s="4"/>
      <c r="AJ642" s="449"/>
      <c r="AK642" s="449"/>
      <c r="AL642" s="449"/>
      <c r="AM642" s="449" t="s">
        <v>552</v>
      </c>
      <c r="AN642" s="10">
        <v>5.5</v>
      </c>
      <c r="AO642" s="9"/>
      <c r="AP642" s="9"/>
      <c r="AQ642" s="9"/>
      <c r="AR642" s="9"/>
      <c r="AS642" s="9"/>
      <c r="AT642" s="9">
        <f>+ab($U$642,$T$640,$U$644,$G$641,$G$643, 1*$F$642,1200)</f>
        <v>-11.73066334002467</v>
      </c>
      <c r="AU642" s="428"/>
      <c r="AV642" s="428"/>
      <c r="AW642" s="449" t="str">
        <f>IF(C642&gt;0,VLOOKUP(C642,Foundation_Calc!$A$2:$C$13,3,1),
IF(J642&gt;0,VLOOKUP(J642,Foundation_Calc!$A$2:$C$13,3,1),""))</f>
        <v>Multi Soil</v>
      </c>
      <c r="AX642" s="449" t="str">
        <f>IF(C642&gt;0,VLOOKUP(C642,Foundation_Calc!$E$35:$G$65,3,1),
IF(J642&gt;0,VLOOKUP(J642,Foundation_Calc!$E$35:$G$65,3,1),""))</f>
        <v>PT</v>
      </c>
      <c r="AY642" s="10">
        <f>IF(L642="","",
IF(AX642="PT",VLOOKUP(L642,Foundation_Calc!$K$79:$R$113,VLOOKUP(AW642,Foundation_Calc!$I$2:$J$8,2,FALSE),0),
IF(AX642="K",VLOOKUP(L642,Foundation_Calc!$K$117:$R$151,VLOOKUP(AW642,Foundation_Calc!$I$2:$J$8,2,FALSE),0),"")))</f>
        <v>3.7</v>
      </c>
      <c r="AZ642" s="10" t="str">
        <f>IF(K642="","",
IF(AX642="PT",VLOOKUP(K642,Foundation_Calc!$K$79:$R$113,VLOOKUP(AW642,Foundation_Calc!$I$2:$J$8,2,FALSE),0),
IF(AX642="K",VLOOKUP(K642,Foundation_Calc!$K$117:$R$151,VLOOKUP(AW642,Foundation_Calc!$I$2:$J$8,2,FALSE),0),"")))</f>
        <v/>
      </c>
      <c r="BA642" s="495" t="str">
        <f t="shared" si="82"/>
        <v>ü</v>
      </c>
      <c r="BB642" s="495" t="str">
        <f t="shared" si="83"/>
        <v/>
      </c>
      <c r="BC642" s="495" t="str">
        <f t="shared" si="84"/>
        <v/>
      </c>
      <c r="BD642" s="513" t="str">
        <f>Pole_Calc!A$16</f>
        <v>App.7-V11I-P9.5.1.8</v>
      </c>
      <c r="BE642" s="429" t="s">
        <v>118</v>
      </c>
      <c r="BF642" s="289"/>
      <c r="BG642" s="289"/>
      <c r="BH642" s="290"/>
      <c r="BI642" s="289"/>
    </row>
    <row r="643" spans="1:61" ht="15.75" customHeight="1">
      <c r="A643" s="514"/>
      <c r="B643" s="450"/>
      <c r="C643" s="3"/>
      <c r="D643" s="83"/>
      <c r="E643" s="4"/>
      <c r="F643" s="4"/>
      <c r="G643" s="6">
        <v>31</v>
      </c>
      <c r="H643" s="449"/>
      <c r="I643" s="4"/>
      <c r="J643" s="3">
        <f>C644-7.5</f>
        <v>45601.690000000017</v>
      </c>
      <c r="K643" s="449" t="s">
        <v>117</v>
      </c>
      <c r="L643" s="449"/>
      <c r="M643" s="449" t="str">
        <f>IF(L643="","",
IF(AX643="PT",VLOOKUP(L643,Foundation_Calc!$V$79:$X$113,VLOOKUP(AX643,Foundation_Calc!$I$10:$J$13,2,FALSE),0),
IF(AX643="K",VLOOKUP(L643,Foundation_Calc!$V$117:$X$151,VLOOKUP(AX643,Foundation_Calc!$I$10:$J$13,2,FALSE),0),"")))</f>
        <v/>
      </c>
      <c r="N643" s="449"/>
      <c r="O643" s="561"/>
      <c r="P643" s="449"/>
      <c r="Q643" s="4"/>
      <c r="R643" s="6"/>
      <c r="S643" s="6"/>
      <c r="T643" s="4"/>
      <c r="U643" s="4"/>
      <c r="V643" s="4"/>
      <c r="W643" s="9"/>
      <c r="X643" s="9"/>
      <c r="Y643" s="9"/>
      <c r="Z643" s="9"/>
      <c r="AA643" s="9"/>
      <c r="AB643" s="9"/>
      <c r="AC643" s="449" t="str">
        <f t="shared" si="78"/>
        <v/>
      </c>
      <c r="AD643" s="449"/>
      <c r="AE643" s="449"/>
      <c r="AF643" s="4"/>
      <c r="AG643" s="83"/>
      <c r="AH643" s="4"/>
      <c r="AI643" s="4"/>
      <c r="AJ643" s="449"/>
      <c r="AK643" s="449"/>
      <c r="AL643" s="449"/>
      <c r="AM643" s="449"/>
      <c r="AN643" s="10"/>
      <c r="AO643" s="9"/>
      <c r="AP643" s="9"/>
      <c r="AQ643" s="9">
        <f>+FL_2($U$644,$U$642,$G$643,1200,9.28, 1*$F$644)</f>
        <v>-0.20000000000000853</v>
      </c>
      <c r="AR643" s="9"/>
      <c r="AS643" s="9"/>
      <c r="AT643" s="9"/>
      <c r="AU643" s="428"/>
      <c r="AV643" s="428"/>
      <c r="AW643" s="449" t="str">
        <f>IF(C643&gt;0,VLOOKUP(C643,Foundation_Calc!$A$2:$C$13,3,1),
IF(J643&gt;0,VLOOKUP(J643,Foundation_Calc!$A$2:$C$13,3,1),""))</f>
        <v>Multi Soil</v>
      </c>
      <c r="AX643" s="449" t="str">
        <f>IF(C643&gt;0,VLOOKUP(C643,Foundation_Calc!$E$35:$G$65,3,1),
IF(J643&gt;0,VLOOKUP(J643,Foundation_Calc!$E$35:$G$65,3,1),""))</f>
        <v>PT</v>
      </c>
      <c r="AY643" s="10" t="str">
        <f>IF(L643="","",
IF(AX643="PT",VLOOKUP(L643,Foundation_Calc!$K$79:$R$113,VLOOKUP(AW643,Foundation_Calc!$I$2:$J$8,2,FALSE),0),
IF(AX643="K",VLOOKUP(L643,Foundation_Calc!$K$117:$R$151,VLOOKUP(AW643,Foundation_Calc!$I$2:$J$8,2,FALSE),0),"")))</f>
        <v/>
      </c>
      <c r="AZ643" s="10">
        <f>IF(K643="","",
IF(AX643="PT",VLOOKUP(K643,Foundation_Calc!$K$79:$R$113,VLOOKUP(AW643,Foundation_Calc!$I$2:$J$8,2,FALSE),0),
IF(AX643="K",VLOOKUP(K643,Foundation_Calc!$K$117:$R$151,VLOOKUP(AW643,Foundation_Calc!$I$2:$J$8,2,FALSE),0),"")))</f>
        <v>3.9</v>
      </c>
      <c r="BA643" s="495" t="str">
        <f t="shared" si="82"/>
        <v/>
      </c>
      <c r="BB643" s="495" t="str">
        <f t="shared" si="83"/>
        <v>ü</v>
      </c>
      <c r="BC643" s="495" t="str">
        <f t="shared" si="84"/>
        <v/>
      </c>
      <c r="BD643" s="513" t="str">
        <f>IF(AND(L643="",H643=""),"",
IF(H643="",Pole_Calc!A$9,
IF(H643="MP",Pole_Calc!A$10,
IF(H643="AnMP",Pole_Calc!A$11,
IF(H643="A",Pole_Calc!A$12,
IF(H643="S/A",Pole_Calc!A$13,
IF(H643="A/S",Pole_Calc!A$14,"Poner a mano")))))))</f>
        <v/>
      </c>
      <c r="BE643" s="429" t="s">
        <v>118</v>
      </c>
      <c r="BF643" s="290"/>
      <c r="BG643" s="290"/>
      <c r="BH643" s="290"/>
      <c r="BI643" s="290"/>
    </row>
    <row r="644" spans="1:61" ht="15.75" customHeight="1">
      <c r="A644" s="514"/>
      <c r="B644" s="450" t="s">
        <v>1269</v>
      </c>
      <c r="C644" s="3">
        <f>+$C$642+$G$643</f>
        <v>45609.190000000017</v>
      </c>
      <c r="D644" s="83"/>
      <c r="E644" s="4"/>
      <c r="F644" s="4">
        <v>0</v>
      </c>
      <c r="G644" s="6"/>
      <c r="H644" s="449" t="s">
        <v>565</v>
      </c>
      <c r="I644" s="4"/>
      <c r="J644" s="3"/>
      <c r="K644" s="449"/>
      <c r="L644" s="449" t="s">
        <v>183</v>
      </c>
      <c r="M644" s="449" t="str">
        <f>IF(L644="","",
IF(AX644="PT",VLOOKUP(L644,Foundation_Calc!$V$79:$X$113,VLOOKUP(AX644,Foundation_Calc!$I$10:$J$13,2,FALSE),0),
IF(AX644="K",VLOOKUP(L644,Foundation_Calc!$V$117:$X$151,VLOOKUP(AX644,Foundation_Calc!$I$10:$J$13,2,FALSE),0),"")))</f>
        <v>2C3R</v>
      </c>
      <c r="N644" s="553" t="s">
        <v>124</v>
      </c>
      <c r="O644" s="449" t="s">
        <v>134</v>
      </c>
      <c r="P644" s="449"/>
      <c r="Q644" s="4"/>
      <c r="R644" s="6"/>
      <c r="S644" s="6"/>
      <c r="T644" s="4">
        <v>-10</v>
      </c>
      <c r="U644" s="4">
        <v>30</v>
      </c>
      <c r="V644" s="4"/>
      <c r="W644" s="9">
        <v>2</v>
      </c>
      <c r="X644" s="9">
        <v>1.4</v>
      </c>
      <c r="Y644" s="9"/>
      <c r="Z644" s="9"/>
      <c r="AA644" s="9"/>
      <c r="AB644" s="9"/>
      <c r="AC644" s="449" t="str">
        <f t="shared" si="78"/>
        <v>PHC</v>
      </c>
      <c r="AD644" s="449"/>
      <c r="AE644" s="449"/>
      <c r="AF644" s="4"/>
      <c r="AG644" s="83"/>
      <c r="AH644" s="4"/>
      <c r="AI644" s="4"/>
      <c r="AJ644" s="449"/>
      <c r="AK644" s="449"/>
      <c r="AL644" s="449"/>
      <c r="AM644" s="449" t="s">
        <v>552</v>
      </c>
      <c r="AN644" s="10">
        <v>5.5</v>
      </c>
      <c r="AO644" s="9"/>
      <c r="AP644" s="9"/>
      <c r="AQ644" s="9"/>
      <c r="AR644" s="9"/>
      <c r="AS644" s="9"/>
      <c r="AT644" s="9">
        <f>+ab($U$644,$U$642,$T$646,$G$643,$G$645, 1*$F$644,1200)</f>
        <v>4.8656549051909659</v>
      </c>
      <c r="AU644" s="428"/>
      <c r="AV644" s="428"/>
      <c r="AW644" s="449" t="str">
        <f>IF(C644&gt;0,VLOOKUP(C644,Foundation_Calc!$A$2:$C$13,3,1),
IF(J644&gt;0,VLOOKUP(J644,Foundation_Calc!$A$2:$C$13,3,1),""))</f>
        <v>Multi Soil</v>
      </c>
      <c r="AX644" s="449" t="str">
        <f>IF(C644&gt;0,VLOOKUP(C644,Foundation_Calc!$E$35:$G$65,3,1),
IF(J644&gt;0,VLOOKUP(J644,Foundation_Calc!$E$35:$G$65,3,1),""))</f>
        <v>PT</v>
      </c>
      <c r="AY644" s="10">
        <f>IF(L644="","",
IF(AX644="PT",VLOOKUP(L644,Foundation_Calc!$K$79:$R$113,VLOOKUP(AW644,Foundation_Calc!$I$2:$J$8,2,FALSE),0),
IF(AX644="K",VLOOKUP(L644,Foundation_Calc!$K$117:$R$151,VLOOKUP(AW644,Foundation_Calc!$I$2:$J$8,2,FALSE),0),"")))</f>
        <v>3.7</v>
      </c>
      <c r="AZ644" s="10" t="str">
        <f>IF(K644="","",
IF(AX644="PT",VLOOKUP(K644,Foundation_Calc!$K$79:$R$113,VLOOKUP(AW644,Foundation_Calc!$I$2:$J$8,2,FALSE),0),
IF(AX644="K",VLOOKUP(K644,Foundation_Calc!$K$117:$R$151,VLOOKUP(AW644,Foundation_Calc!$I$2:$J$8,2,FALSE),0),"")))</f>
        <v/>
      </c>
      <c r="BA644" s="495" t="str">
        <f t="shared" si="82"/>
        <v>ü</v>
      </c>
      <c r="BB644" s="495" t="str">
        <f t="shared" si="83"/>
        <v/>
      </c>
      <c r="BC644" s="495" t="str">
        <f t="shared" si="84"/>
        <v/>
      </c>
      <c r="BD644" s="513" t="str">
        <f>Pole_Calc!A$16</f>
        <v>App.7-V11I-P9.5.1.8</v>
      </c>
      <c r="BE644" s="429" t="s">
        <v>118</v>
      </c>
      <c r="BF644" s="289"/>
      <c r="BG644" s="289"/>
      <c r="BH644" s="290"/>
      <c r="BI644" s="289"/>
    </row>
    <row r="645" spans="1:61" ht="15.75" customHeight="1">
      <c r="A645" s="518"/>
      <c r="B645" s="450"/>
      <c r="C645" s="3"/>
      <c r="D645" s="83"/>
      <c r="E645" s="4"/>
      <c r="F645" s="4"/>
      <c r="G645" s="6">
        <v>28</v>
      </c>
      <c r="H645" s="449"/>
      <c r="I645" s="4"/>
      <c r="J645" s="3">
        <f>C646-7.5</f>
        <v>45629.690000000017</v>
      </c>
      <c r="K645" s="449" t="s">
        <v>166</v>
      </c>
      <c r="L645" s="449"/>
      <c r="M645" s="449" t="str">
        <f>IF(L645="","",
IF(AX645="PT",VLOOKUP(L645,Foundation_Calc!$V$79:$X$113,VLOOKUP(AX645,Foundation_Calc!$I$10:$J$13,2,FALSE),0),
IF(AX645="K",VLOOKUP(L645,Foundation_Calc!$V$117:$X$151,VLOOKUP(AX645,Foundation_Calc!$I$10:$J$13,2,FALSE),0),"")))</f>
        <v/>
      </c>
      <c r="N645" s="449"/>
      <c r="O645" s="449"/>
      <c r="P645" s="449"/>
      <c r="Q645" s="4"/>
      <c r="R645" s="6"/>
      <c r="S645" s="6"/>
      <c r="T645" s="4"/>
      <c r="U645" s="4"/>
      <c r="V645" s="4"/>
      <c r="W645" s="9"/>
      <c r="X645" s="9"/>
      <c r="Y645" s="9"/>
      <c r="Z645" s="9"/>
      <c r="AA645" s="9"/>
      <c r="AB645" s="9"/>
      <c r="AC645" s="449" t="str">
        <f t="shared" si="78"/>
        <v/>
      </c>
      <c r="AD645" s="449"/>
      <c r="AE645" s="449"/>
      <c r="AF645" s="4"/>
      <c r="AG645" s="83"/>
      <c r="AH645" s="4"/>
      <c r="AI645" s="4"/>
      <c r="AJ645" s="449"/>
      <c r="AK645" s="449"/>
      <c r="AL645" s="449"/>
      <c r="AM645" s="449"/>
      <c r="AN645" s="10"/>
      <c r="AO645" s="9"/>
      <c r="AP645" s="9"/>
      <c r="AQ645" s="9">
        <f>+FL_1($T$646,$U$644,$G$645,1200,9.28, 1*$F$646)</f>
        <v>0.30000000000001953</v>
      </c>
      <c r="AR645" s="9"/>
      <c r="AS645" s="9"/>
      <c r="AT645" s="9"/>
      <c r="AU645" s="428"/>
      <c r="AV645" s="428"/>
      <c r="AW645" s="449" t="str">
        <f>IF(C645&gt;0,VLOOKUP(C645,Foundation_Calc!$A$2:$C$13,3,1),
IF(J645&gt;0,VLOOKUP(J645,Foundation_Calc!$A$2:$C$13,3,1),""))</f>
        <v>Multi Soil</v>
      </c>
      <c r="AX645" s="449" t="str">
        <f>IF(C645&gt;0,VLOOKUP(C645,Foundation_Calc!$E$35:$G$65,3,1),
IF(J645&gt;0,VLOOKUP(J645,Foundation_Calc!$E$35:$G$65,3,1),""))</f>
        <v>PT</v>
      </c>
      <c r="AY645" s="10" t="str">
        <f>IF(L645="","",
IF(AX645="PT",VLOOKUP(L645,Foundation_Calc!$K$79:$R$113,VLOOKUP(AW645,Foundation_Calc!$I$2:$J$8,2,FALSE),0),
IF(AX645="K",VLOOKUP(L645,Foundation_Calc!$K$117:$R$151,VLOOKUP(AW645,Foundation_Calc!$I$2:$J$8,2,FALSE),0),"")))</f>
        <v/>
      </c>
      <c r="AZ645" s="10">
        <f>IF(K645="","",
IF(AX645="PT",VLOOKUP(K645,Foundation_Calc!$K$79:$R$113,VLOOKUP(AW645,Foundation_Calc!$I$2:$J$8,2,FALSE),0),
IF(AX645="K",VLOOKUP(K645,Foundation_Calc!$K$117:$R$151,VLOOKUP(AW645,Foundation_Calc!$I$2:$J$8,2,FALSE),0),"")))</f>
        <v>2.8</v>
      </c>
      <c r="BA645" s="495" t="str">
        <f t="shared" si="82"/>
        <v/>
      </c>
      <c r="BB645" s="495" t="str">
        <f t="shared" si="83"/>
        <v>ü</v>
      </c>
      <c r="BC645" s="495" t="str">
        <f t="shared" si="84"/>
        <v/>
      </c>
      <c r="BD645" s="513" t="str">
        <f>IF(AND(L645="",H645=""),"",
IF(H645="",Pole_Calc!A$9,
IF(H645="MP",Pole_Calc!A$10,
IF(H645="AnMP",Pole_Calc!A$11,
IF(H645="A",Pole_Calc!A$12,
IF(H645="S/A",Pole_Calc!A$13,
IF(H645="A/S",Pole_Calc!A$14,"Poner a mano")))))))</f>
        <v/>
      </c>
      <c r="BE645" s="429" t="s">
        <v>118</v>
      </c>
      <c r="BF645" s="290"/>
      <c r="BG645" s="290"/>
      <c r="BH645" s="290"/>
      <c r="BI645" s="290"/>
    </row>
    <row r="646" spans="1:61" ht="15.75" customHeight="1">
      <c r="A646" s="514"/>
      <c r="B646" s="450" t="s">
        <v>1270</v>
      </c>
      <c r="C646" s="3">
        <f>+$C$644+$G$645</f>
        <v>45637.190000000017</v>
      </c>
      <c r="D646" s="83"/>
      <c r="E646" s="4"/>
      <c r="F646" s="4">
        <v>0</v>
      </c>
      <c r="G646" s="6"/>
      <c r="H646" s="449" t="s">
        <v>168</v>
      </c>
      <c r="I646" s="4">
        <f>SUM(G627:G647)</f>
        <v>436.3</v>
      </c>
      <c r="J646" s="3"/>
      <c r="K646" s="449"/>
      <c r="L646" s="449" t="s">
        <v>562</v>
      </c>
      <c r="M646" s="449" t="str">
        <f>IF(L646="","",
IF(AX646="PT",VLOOKUP(L646,Foundation_Calc!$V$79:$X$113,VLOOKUP(AX646,Foundation_Calc!$I$10:$J$13,2,FALSE),0),
IF(AX646="K",VLOOKUP(L646,Foundation_Calc!$V$117:$X$151,VLOOKUP(AX646,Foundation_Calc!$I$10:$J$13,2,FALSE),0),"")))</f>
        <v>C7R</v>
      </c>
      <c r="N646" s="449" t="s">
        <v>124</v>
      </c>
      <c r="O646" s="449"/>
      <c r="P646" s="449"/>
      <c r="Q646" s="4"/>
      <c r="R646" s="6"/>
      <c r="S646" s="6"/>
      <c r="T646" s="4">
        <v>-35</v>
      </c>
      <c r="U646" s="4"/>
      <c r="V646" s="4"/>
      <c r="W646" s="9">
        <v>1.4</v>
      </c>
      <c r="X646" s="9"/>
      <c r="Y646" s="9"/>
      <c r="Z646" s="9"/>
      <c r="AA646" s="9"/>
      <c r="AB646" s="9"/>
      <c r="AC646" s="449" t="str">
        <f t="shared" si="78"/>
        <v>PHC</v>
      </c>
      <c r="AD646" s="449"/>
      <c r="AE646" s="449"/>
      <c r="AF646" s="4"/>
      <c r="AG646" s="83"/>
      <c r="AH646" s="4"/>
      <c r="AI646" s="4"/>
      <c r="AJ646" s="449"/>
      <c r="AK646" s="449"/>
      <c r="AL646" s="449" t="s">
        <v>241</v>
      </c>
      <c r="AM646" s="449" t="s">
        <v>552</v>
      </c>
      <c r="AN646" s="10">
        <v>5.5</v>
      </c>
      <c r="AO646" s="9"/>
      <c r="AP646" s="9"/>
      <c r="AQ646" s="9"/>
      <c r="AR646" s="9"/>
      <c r="AS646" s="9"/>
      <c r="AT646" s="9">
        <f>+ab($T$646,$U$644,$T$648,$G$645,$G$647, 1*$F$646,1200)</f>
        <v>-3.9216415782751808</v>
      </c>
      <c r="AU646" s="428"/>
      <c r="AV646" s="428"/>
      <c r="AW646" s="449" t="str">
        <f>IF(C646&gt;0,VLOOKUP(C646,Foundation_Calc!$A$2:$C$13,3,1),
IF(J646&gt;0,VLOOKUP(J646,Foundation_Calc!$A$2:$C$13,3,1),""))</f>
        <v>Multi Soil</v>
      </c>
      <c r="AX646" s="449" t="str">
        <f>IF(C646&gt;0,VLOOKUP(C646,Foundation_Calc!$E$35:$G$65,3,1),
IF(J646&gt;0,VLOOKUP(J646,Foundation_Calc!$E$35:$G$65,3,1),""))</f>
        <v>PT</v>
      </c>
      <c r="AY646" s="10">
        <f>IF(L646="","",
IF(AX646="PT",VLOOKUP(L646,Foundation_Calc!$K$79:$R$113,VLOOKUP(AW646,Foundation_Calc!$I$2:$J$8,2,FALSE),0),
IF(AX646="K",VLOOKUP(L646,Foundation_Calc!$K$117:$R$151,VLOOKUP(AW646,Foundation_Calc!$I$2:$J$8,2,FALSE),0),"")))</f>
        <v>3.7</v>
      </c>
      <c r="AZ646" s="10" t="str">
        <f>IF(K646="","",
IF(AX646="PT",VLOOKUP(K646,Foundation_Calc!$K$79:$R$113,VLOOKUP(AW646,Foundation_Calc!$I$2:$J$8,2,FALSE),0),
IF(AX646="K",VLOOKUP(K646,Foundation_Calc!$K$117:$R$151,VLOOKUP(AW646,Foundation_Calc!$I$2:$J$8,2,FALSE),0),"")))</f>
        <v/>
      </c>
      <c r="BA646" s="495" t="str">
        <f t="shared" si="82"/>
        <v>ü</v>
      </c>
      <c r="BB646" s="495" t="str">
        <f t="shared" si="83"/>
        <v/>
      </c>
      <c r="BC646" s="495" t="str">
        <f t="shared" si="84"/>
        <v/>
      </c>
      <c r="BD646" s="513" t="str">
        <f>Pole_Calc!A$251</f>
        <v>App.8-V08H-P10.3</v>
      </c>
      <c r="BE646" s="429" t="s">
        <v>118</v>
      </c>
      <c r="BF646" s="289"/>
      <c r="BG646" s="289"/>
      <c r="BH646" s="290"/>
      <c r="BI646" s="289"/>
    </row>
    <row r="647" spans="1:61" ht="15.75" customHeight="1">
      <c r="A647" s="514"/>
      <c r="B647" s="450"/>
      <c r="C647" s="3"/>
      <c r="D647" s="83"/>
      <c r="E647" s="4"/>
      <c r="F647" s="4"/>
      <c r="G647" s="6">
        <v>27.3</v>
      </c>
      <c r="H647" s="449"/>
      <c r="I647" s="4" t="s">
        <v>549</v>
      </c>
      <c r="J647" s="3"/>
      <c r="K647" s="449"/>
      <c r="L647" s="449"/>
      <c r="M647" s="449" t="str">
        <f>IF(L647="","",
IF(AX647="PT",VLOOKUP(L647,Foundation_Calc!$V$79:$X$113,VLOOKUP(AX647,Foundation_Calc!$I$10:$J$13,2,FALSE),0),
IF(AX647="K",VLOOKUP(L647,Foundation_Calc!$V$117:$X$151,VLOOKUP(AX647,Foundation_Calc!$I$10:$J$13,2,FALSE),0),"")))</f>
        <v/>
      </c>
      <c r="N647" s="449"/>
      <c r="O647" s="449"/>
      <c r="P647" s="449"/>
      <c r="Q647" s="4"/>
      <c r="R647" s="6"/>
      <c r="S647" s="6"/>
      <c r="T647" s="4"/>
      <c r="U647" s="4"/>
      <c r="V647" s="4"/>
      <c r="W647" s="9"/>
      <c r="X647" s="9"/>
      <c r="Y647" s="9"/>
      <c r="Z647" s="9"/>
      <c r="AA647" s="9"/>
      <c r="AB647" s="9"/>
      <c r="AC647" s="449" t="str">
        <f t="shared" si="78"/>
        <v/>
      </c>
      <c r="AD647" s="449"/>
      <c r="AE647" s="449"/>
      <c r="AF647" s="4"/>
      <c r="AG647" s="83"/>
      <c r="AH647" s="4"/>
      <c r="AI647" s="4"/>
      <c r="AJ647" s="449"/>
      <c r="AK647" s="449"/>
      <c r="AL647" s="449"/>
      <c r="AM647" s="449"/>
      <c r="AN647" s="10"/>
      <c r="AO647" s="9"/>
      <c r="AP647" s="9"/>
      <c r="AQ647" s="9">
        <f>+FL_2($T$648,$T$646,$G$647,1200,9.28, 1*$F$648)</f>
        <v>-0.35000000000002207</v>
      </c>
      <c r="AR647" s="9"/>
      <c r="AS647" s="9"/>
      <c r="AT647" s="9"/>
      <c r="AU647" s="428"/>
      <c r="AV647" s="428"/>
      <c r="AW647" s="449" t="str">
        <f>IF(C647&gt;0,VLOOKUP(C647,Foundation_Calc!$A$2:$C$13,3,1),
IF(J647&gt;0,VLOOKUP(J647,Foundation_Calc!$A$2:$C$13,3,1),""))</f>
        <v/>
      </c>
      <c r="AX647" s="449" t="str">
        <f>IF(C647&gt;0,VLOOKUP(C647,Foundation_Calc!$E$35:$G$65,3,1),
IF(J647&gt;0,VLOOKUP(J647,Foundation_Calc!$E$35:$G$65,3,1),""))</f>
        <v/>
      </c>
      <c r="AY647" s="10" t="str">
        <f>IF(L647="","",
IF(AX647="PT",VLOOKUP(L647,Foundation_Calc!$K$79:$R$113,VLOOKUP(AW647,Foundation_Calc!$I$2:$J$8,2,FALSE),0),
IF(AX647="K",VLOOKUP(L647,Foundation_Calc!$K$117:$R$151,VLOOKUP(AW647,Foundation_Calc!$I$2:$J$8,2,FALSE),0),"")))</f>
        <v/>
      </c>
      <c r="AZ647" s="10" t="str">
        <f>IF(K647="","",
IF(AX647="PT",VLOOKUP(K647,Foundation_Calc!$K$79:$R$113,VLOOKUP(AW647,Foundation_Calc!$I$2:$J$8,2,FALSE),0),
IF(AX647="K",VLOOKUP(K647,Foundation_Calc!$K$117:$R$151,VLOOKUP(AW647,Foundation_Calc!$I$2:$J$8,2,FALSE),0),"")))</f>
        <v/>
      </c>
      <c r="BA647" s="495" t="str">
        <f t="shared" si="82"/>
        <v/>
      </c>
      <c r="BB647" s="495" t="str">
        <f t="shared" si="83"/>
        <v/>
      </c>
      <c r="BC647" s="495" t="str">
        <f t="shared" si="84"/>
        <v/>
      </c>
      <c r="BD647" s="513" t="str">
        <f>IF(AND(L647="",H647=""),"",
IF(H647="",Pole_Calc!A$9,
IF(H647="MP",Pole_Calc!A$10,
IF(H647="AnMP",Pole_Calc!A$11,
IF(H647="A",Pole_Calc!A$12,
IF(H647="S/A",Pole_Calc!A$13,
IF(H647="A/S",Pole_Calc!A$14,"Poner a mano")))))))</f>
        <v/>
      </c>
      <c r="BE647" s="429" t="s">
        <v>118</v>
      </c>
      <c r="BF647" s="290"/>
      <c r="BG647" s="290"/>
      <c r="BH647" s="290"/>
      <c r="BI647" s="290"/>
    </row>
    <row r="648" spans="1:61" ht="15.75" customHeight="1">
      <c r="A648" s="514"/>
      <c r="B648" s="450" t="s">
        <v>1271</v>
      </c>
      <c r="C648" s="3">
        <f>+$C$646+$G$647</f>
        <v>45664.49000000002</v>
      </c>
      <c r="D648" s="83"/>
      <c r="E648" s="4"/>
      <c r="F648" s="4">
        <v>0</v>
      </c>
      <c r="G648" s="6"/>
      <c r="H648" s="449" t="s">
        <v>171</v>
      </c>
      <c r="I648" s="4" t="s">
        <v>549</v>
      </c>
      <c r="J648" s="3"/>
      <c r="K648" s="449"/>
      <c r="L648" s="449" t="s">
        <v>158</v>
      </c>
      <c r="M648" s="449" t="str">
        <f>IF(L648="","",
IF(AX648="PT",VLOOKUP(L648,Foundation_Calc!$V$79:$X$113,VLOOKUP(AX648,Foundation_Calc!$I$10:$J$13,2,FALSE),0),
IF(AX648="K",VLOOKUP(L648,Foundation_Calc!$V$117:$X$151,VLOOKUP(AX648,Foundation_Calc!$I$10:$J$13,2,FALSE),0),"")))</f>
        <v>C4R</v>
      </c>
      <c r="N648" s="449" t="s">
        <v>134</v>
      </c>
      <c r="O648" s="449"/>
      <c r="P648" s="449"/>
      <c r="Q648" s="4"/>
      <c r="R648" s="6"/>
      <c r="S648" s="6"/>
      <c r="T648" s="4">
        <v>35</v>
      </c>
      <c r="U648" s="4"/>
      <c r="V648" s="4"/>
      <c r="W648" s="9">
        <v>1.4</v>
      </c>
      <c r="X648" s="9"/>
      <c r="Y648" s="9"/>
      <c r="Z648" s="9"/>
      <c r="AA648" s="9"/>
      <c r="AB648" s="9"/>
      <c r="AC648" s="449" t="str">
        <f t="shared" si="78"/>
        <v>PHC</v>
      </c>
      <c r="AD648" s="449"/>
      <c r="AE648" s="449"/>
      <c r="AF648" s="4"/>
      <c r="AG648" s="83"/>
      <c r="AH648" s="4"/>
      <c r="AI648" s="4"/>
      <c r="AJ648" s="449"/>
      <c r="AK648" s="449"/>
      <c r="AL648" s="449"/>
      <c r="AM648" s="449" t="s">
        <v>552</v>
      </c>
      <c r="AN648" s="10">
        <v>5.5</v>
      </c>
      <c r="AO648" s="9"/>
      <c r="AP648" s="9"/>
      <c r="AQ648" s="9"/>
      <c r="AR648" s="9"/>
      <c r="AS648" s="9"/>
      <c r="AT648" s="9">
        <f>+ab($T$648,$T$646,$T$650,$G$647,$G$649, 1*$F$648,1200)</f>
        <v>3.9849272223678369</v>
      </c>
      <c r="AU648" s="428"/>
      <c r="AV648" s="428"/>
      <c r="AW648" s="449" t="str">
        <f>IF(C648&gt;0,VLOOKUP(C648,Foundation_Calc!$A$2:$C$13,3,1),
IF(J648&gt;0,VLOOKUP(J648,Foundation_Calc!$A$2:$C$13,3,1),""))</f>
        <v>Multi Soil</v>
      </c>
      <c r="AX648" s="449" t="str">
        <f>IF(C648&gt;0,VLOOKUP(C648,Foundation_Calc!$E$35:$G$65,3,1),
IF(J648&gt;0,VLOOKUP(J648,Foundation_Calc!$E$35:$G$65,3,1),""))</f>
        <v>PT</v>
      </c>
      <c r="AY648" s="10">
        <f>IF(L648="","",
IF(AX648="PT",VLOOKUP(L648,Foundation_Calc!$K$79:$R$113,VLOOKUP(AW648,Foundation_Calc!$I$2:$J$8,2,FALSE),0),
IF(AX648="K",VLOOKUP(L648,Foundation_Calc!$K$117:$R$151,VLOOKUP(AW648,Foundation_Calc!$I$2:$J$8,2,FALSE),0),"")))</f>
        <v>3.5</v>
      </c>
      <c r="AZ648" s="10" t="str">
        <f>IF(K648="","",
IF(AX648="PT",VLOOKUP(K648,Foundation_Calc!$K$79:$R$113,VLOOKUP(AW648,Foundation_Calc!$I$2:$J$8,2,FALSE),0),
IF(AX648="K",VLOOKUP(K648,Foundation_Calc!$K$117:$R$151,VLOOKUP(AW648,Foundation_Calc!$I$2:$J$8,2,FALSE),0),"")))</f>
        <v/>
      </c>
      <c r="BA648" s="495" t="str">
        <f t="shared" si="82"/>
        <v>ü</v>
      </c>
      <c r="BB648" s="495" t="str">
        <f t="shared" si="83"/>
        <v/>
      </c>
      <c r="BC648" s="495" t="str">
        <f t="shared" si="84"/>
        <v/>
      </c>
      <c r="BD648" s="513" t="str">
        <f>IF(AND(L648="",H648=""),"",
IF(H648="",Pole_Calc!A$9,
IF(H648="MP",Pole_Calc!A$10,
IF(H648="AnMP",Pole_Calc!A$11,
IF(H648="A",Pole_Calc!A$12,
IF(H648="S/A",Pole_Calc!A$13,
IF(H648="A/S",Pole_Calc!A$14,"Poner a mano")))))))</f>
        <v>App.7-V11I-P9.5.1.2</v>
      </c>
      <c r="BE648" s="429" t="s">
        <v>118</v>
      </c>
      <c r="BF648" s="289"/>
      <c r="BG648" s="289"/>
      <c r="BH648" s="290"/>
      <c r="BI648" s="289"/>
    </row>
    <row r="649" spans="1:61" ht="15.75" customHeight="1">
      <c r="A649" s="514"/>
      <c r="B649" s="450"/>
      <c r="C649" s="3"/>
      <c r="D649" s="83"/>
      <c r="E649" s="4"/>
      <c r="F649" s="4"/>
      <c r="G649" s="6">
        <v>31.2</v>
      </c>
      <c r="H649" s="449"/>
      <c r="I649" s="4">
        <f>SUM(G649:G665)-2</f>
        <v>422.1</v>
      </c>
      <c r="J649" s="3">
        <f>C648+7.5</f>
        <v>45671.99000000002</v>
      </c>
      <c r="K649" s="449" t="s">
        <v>166</v>
      </c>
      <c r="L649" s="449"/>
      <c r="M649" s="449" t="str">
        <f>IF(L649="","",
IF(AX649="PT",VLOOKUP(L649,Foundation_Calc!$V$79:$X$113,VLOOKUP(AX649,Foundation_Calc!$I$10:$J$13,2,FALSE),0),
IF(AX649="K",VLOOKUP(L649,Foundation_Calc!$V$117:$X$151,VLOOKUP(AX649,Foundation_Calc!$I$10:$J$13,2,FALSE),0),"")))</f>
        <v/>
      </c>
      <c r="N649" s="449"/>
      <c r="O649" s="561"/>
      <c r="P649" s="449"/>
      <c r="Q649" s="4"/>
      <c r="R649" s="6"/>
      <c r="S649" s="6"/>
      <c r="T649" s="4"/>
      <c r="U649" s="4"/>
      <c r="V649" s="4"/>
      <c r="W649" s="9"/>
      <c r="X649" s="9"/>
      <c r="Y649" s="9"/>
      <c r="Z649" s="9"/>
      <c r="AA649" s="9"/>
      <c r="AB649" s="9"/>
      <c r="AC649" s="449" t="str">
        <f t="shared" si="78"/>
        <v/>
      </c>
      <c r="AD649" s="449"/>
      <c r="AE649" s="449"/>
      <c r="AF649" s="4"/>
      <c r="AG649" s="83"/>
      <c r="AH649" s="4"/>
      <c r="AI649" s="4"/>
      <c r="AJ649" s="449"/>
      <c r="AK649" s="449"/>
      <c r="AL649" s="449"/>
      <c r="AM649" s="449"/>
      <c r="AN649" s="10"/>
      <c r="AO649" s="9"/>
      <c r="AP649" s="9"/>
      <c r="AQ649" s="9">
        <f>+FL_1($T$650,$T$648,$G$649,1200,9.28, 1*$F$650)</f>
        <v>0.35000000000002146</v>
      </c>
      <c r="AR649" s="9"/>
      <c r="AS649" s="9"/>
      <c r="AT649" s="9"/>
      <c r="AU649" s="428"/>
      <c r="AV649" s="428"/>
      <c r="AW649" s="449" t="str">
        <f>IF(C649&gt;0,VLOOKUP(C649,Foundation_Calc!$A$2:$C$13,3,1),
IF(J649&gt;0,VLOOKUP(J649,Foundation_Calc!$A$2:$C$13,3,1),""))</f>
        <v>Multi Soil</v>
      </c>
      <c r="AX649" s="449" t="str">
        <f>IF(C649&gt;0,VLOOKUP(C649,Foundation_Calc!$E$35:$G$65,3,1),
IF(J649&gt;0,VLOOKUP(J649,Foundation_Calc!$E$35:$G$65,3,1),""))</f>
        <v>PT</v>
      </c>
      <c r="AY649" s="10" t="str">
        <f>IF(L649="","",
IF(AX649="PT",VLOOKUP(L649,Foundation_Calc!$K$79:$R$113,VLOOKUP(AW649,Foundation_Calc!$I$2:$J$8,2,FALSE),0),
IF(AX649="K",VLOOKUP(L649,Foundation_Calc!$K$117:$R$151,VLOOKUP(AW649,Foundation_Calc!$I$2:$J$8,2,FALSE),0),"")))</f>
        <v/>
      </c>
      <c r="AZ649" s="10">
        <f>IF(K649="","",
IF(AX649="PT",VLOOKUP(K649,Foundation_Calc!$K$79:$R$113,VLOOKUP(AW649,Foundation_Calc!$I$2:$J$8,2,FALSE),0),
IF(AX649="K",VLOOKUP(K649,Foundation_Calc!$K$117:$R$151,VLOOKUP(AW649,Foundation_Calc!$I$2:$J$8,2,FALSE),0),"")))</f>
        <v>2.8</v>
      </c>
      <c r="BA649" s="495" t="str">
        <f t="shared" si="82"/>
        <v/>
      </c>
      <c r="BB649" s="495" t="str">
        <f t="shared" si="83"/>
        <v>ü</v>
      </c>
      <c r="BC649" s="495" t="str">
        <f t="shared" si="84"/>
        <v/>
      </c>
      <c r="BD649" s="513" t="str">
        <f>IF(AND(L649="",H649=""),"",
IF(H649="",Pole_Calc!A$9,
IF(H649="MP",Pole_Calc!A$10,
IF(H649="AnMP",Pole_Calc!A$11,
IF(H649="A",Pole_Calc!A$12,
IF(H649="S/A",Pole_Calc!A$13,
IF(H649="A/S",Pole_Calc!A$14,"Poner a mano")))))))</f>
        <v/>
      </c>
      <c r="BE649" s="429" t="s">
        <v>118</v>
      </c>
      <c r="BF649" s="290"/>
      <c r="BG649" s="290"/>
      <c r="BH649" s="290"/>
      <c r="BI649" s="290"/>
    </row>
    <row r="650" spans="1:61" ht="15.75" customHeight="1">
      <c r="A650" s="514"/>
      <c r="B650" s="720" t="s">
        <v>1272</v>
      </c>
      <c r="C650" s="3">
        <f>+$C$648+$G$649</f>
        <v>45695.690000000017</v>
      </c>
      <c r="D650" s="83"/>
      <c r="E650" s="4"/>
      <c r="F650" s="4">
        <v>0</v>
      </c>
      <c r="G650" s="6"/>
      <c r="H650" s="449" t="s">
        <v>168</v>
      </c>
      <c r="I650" s="4"/>
      <c r="J650" s="3"/>
      <c r="K650" s="449"/>
      <c r="L650" s="449" t="s">
        <v>183</v>
      </c>
      <c r="M650" s="449" t="str">
        <f>IF(L650="","",
IF(AX650="PT",VLOOKUP(L650,Foundation_Calc!$V$79:$X$113,VLOOKUP(AX650,Foundation_Calc!$I$10:$J$13,2,FALSE),0),
IF(AX650="K",VLOOKUP(L650,Foundation_Calc!$V$117:$X$151,VLOOKUP(AX650,Foundation_Calc!$I$10:$J$13,2,FALSE),0),"")))</f>
        <v>2C3R</v>
      </c>
      <c r="N650" s="449" t="s">
        <v>124</v>
      </c>
      <c r="O650" s="449"/>
      <c r="P650" s="449"/>
      <c r="Q650" s="4"/>
      <c r="R650" s="6"/>
      <c r="S650" s="6"/>
      <c r="T650" s="4">
        <v>-35</v>
      </c>
      <c r="U650" s="4"/>
      <c r="V650" s="4"/>
      <c r="W650" s="9">
        <v>1.4</v>
      </c>
      <c r="X650" s="9"/>
      <c r="Y650" s="9"/>
      <c r="Z650" s="9"/>
      <c r="AA650" s="9"/>
      <c r="AB650" s="9"/>
      <c r="AC650" s="449" t="str">
        <f t="shared" si="78"/>
        <v>PH</v>
      </c>
      <c r="AD650" s="449"/>
      <c r="AE650" s="449"/>
      <c r="AF650" s="4"/>
      <c r="AG650" s="83"/>
      <c r="AH650" s="4"/>
      <c r="AI650" s="4"/>
      <c r="AJ650" s="449"/>
      <c r="AK650" s="449"/>
      <c r="AL650" s="449"/>
      <c r="AM650" s="449" t="s">
        <v>552</v>
      </c>
      <c r="AN650" s="10">
        <v>5.5</v>
      </c>
      <c r="AO650" s="9"/>
      <c r="AP650" s="9"/>
      <c r="AQ650" s="9"/>
      <c r="AR650" s="9"/>
      <c r="AS650" s="9"/>
      <c r="AT650" s="9">
        <f>+ab($T$650,$T$648,$T$652,$G$649,$G$651, 1*$F$650,1200)</f>
        <v>-8.4902492617778673</v>
      </c>
      <c r="AU650" s="428"/>
      <c r="AV650" s="428"/>
      <c r="AW650" s="449" t="str">
        <f>IF(C650&gt;0,VLOOKUP(C650,Foundation_Calc!$A$2:$C$13,3,1),
IF(J650&gt;0,VLOOKUP(J650,Foundation_Calc!$A$2:$C$13,3,1),""))</f>
        <v>Multi Soil</v>
      </c>
      <c r="AX650" s="449" t="str">
        <f>IF(C650&gt;0,VLOOKUP(C650,Foundation_Calc!$E$35:$G$65,3,1),
IF(J650&gt;0,VLOOKUP(J650,Foundation_Calc!$E$35:$G$65,3,1),""))</f>
        <v>PT</v>
      </c>
      <c r="AY650" s="10">
        <f>IF(L650="","",
IF(AX650="PT",VLOOKUP(L650,Foundation_Calc!$K$79:$R$113,VLOOKUP(AW650,Foundation_Calc!$I$2:$J$8,2,FALSE),0),
IF(AX650="K",VLOOKUP(L650,Foundation_Calc!$K$117:$R$151,VLOOKUP(AW650,Foundation_Calc!$I$2:$J$8,2,FALSE),0),"")))</f>
        <v>3.7</v>
      </c>
      <c r="AZ650" s="10" t="str">
        <f>IF(K650="","",
IF(AX650="PT",VLOOKUP(K650,Foundation_Calc!$K$79:$R$113,VLOOKUP(AW650,Foundation_Calc!$I$2:$J$8,2,FALSE),0),
IF(AX650="K",VLOOKUP(K650,Foundation_Calc!$K$117:$R$151,VLOOKUP(AW650,Foundation_Calc!$I$2:$J$8,2,FALSE),0),"")))</f>
        <v/>
      </c>
      <c r="BA650" s="495" t="str">
        <f t="shared" ref="BA650" si="85">IF(AY650="","",IF(AY650&gt;0,"ü",""))</f>
        <v>ü</v>
      </c>
      <c r="BB650" s="495" t="str">
        <f t="shared" ref="BB650" si="86">IF(AZ650="","",IF(AZ650&gt;0,"ü",""))</f>
        <v/>
      </c>
      <c r="BC650" s="495" t="str">
        <f t="shared" ref="BC650" si="87">IF(M650="","",IF(M650="U.S.","ü",IF(M650="U.S. N.D.","ü","")))</f>
        <v/>
      </c>
      <c r="BD650" s="513" t="str">
        <f>IF(AND(L650="",H650=""),"",
IF(H650="",Pole_Calc!A$9,
IF(H650="MP",Pole_Calc!A$10,
IF(H650="AnMP",Pole_Calc!A$11,
IF(H650="A",Pole_Calc!A$12,
IF(H650="S/A",Pole_Calc!A$13,
IF(H650="A/S",Pole_Calc!A$14,"Poner a mano")))))))</f>
        <v>App.7-V11I-P9.5.1.3</v>
      </c>
      <c r="BE650" s="429" t="s">
        <v>118</v>
      </c>
      <c r="BF650" s="289"/>
      <c r="BG650" s="289"/>
      <c r="BH650" s="290"/>
      <c r="BI650" s="289"/>
    </row>
    <row r="651" spans="1:61" ht="15.75" customHeight="1">
      <c r="A651" s="518"/>
      <c r="B651" s="450"/>
      <c r="C651" s="3"/>
      <c r="D651" s="83"/>
      <c r="E651" s="4"/>
      <c r="F651" s="4"/>
      <c r="G651" s="6">
        <v>39</v>
      </c>
      <c r="H651" s="449"/>
      <c r="I651" s="4"/>
      <c r="J651" s="3">
        <f>C650+7.5</f>
        <v>45703.190000000017</v>
      </c>
      <c r="K651" s="449" t="s">
        <v>166</v>
      </c>
      <c r="L651" s="449"/>
      <c r="M651" s="449" t="str">
        <f>IF(L651="","",
IF(AX651="PT",VLOOKUP(L651,Foundation_Calc!$V$79:$X$113,VLOOKUP(AX651,Foundation_Calc!$I$10:$J$13,2,FALSE),0),
IF(AX651="K",VLOOKUP(L651,Foundation_Calc!$V$117:$X$151,VLOOKUP(AX651,Foundation_Calc!$I$10:$J$13,2,FALSE),0),"")))</f>
        <v/>
      </c>
      <c r="N651" s="449"/>
      <c r="O651" s="449"/>
      <c r="P651" s="449"/>
      <c r="Q651" s="4"/>
      <c r="R651" s="6"/>
      <c r="S651" s="6"/>
      <c r="T651" s="4"/>
      <c r="U651" s="4"/>
      <c r="V651" s="4"/>
      <c r="W651" s="9"/>
      <c r="X651" s="9"/>
      <c r="Y651" s="9"/>
      <c r="Z651" s="9"/>
      <c r="AA651" s="9"/>
      <c r="AB651" s="9"/>
      <c r="AC651" s="449" t="str">
        <f t="shared" si="78"/>
        <v/>
      </c>
      <c r="AD651" s="449"/>
      <c r="AE651" s="449"/>
      <c r="AF651" s="4"/>
      <c r="AG651" s="83"/>
      <c r="AH651" s="4"/>
      <c r="AI651" s="4"/>
      <c r="AJ651" s="449"/>
      <c r="AK651" s="449"/>
      <c r="AL651" s="449"/>
      <c r="AM651" s="449"/>
      <c r="AN651" s="10"/>
      <c r="AO651" s="9"/>
      <c r="AP651" s="9"/>
      <c r="AQ651" s="9">
        <f>+FL_2(-$T$652,$T$650,$G$651,1200,9.28, 1*$F$652)</f>
        <v>-0.35000000000000225</v>
      </c>
      <c r="AR651" s="9"/>
      <c r="AS651" s="9"/>
      <c r="AT651" s="9"/>
      <c r="AU651" s="428"/>
      <c r="AV651" s="428"/>
      <c r="AW651" s="449" t="str">
        <f>IF(C651&gt;0,VLOOKUP(C651,Foundation_Calc!$A$2:$C$13,3,1),
IF(J651&gt;0,VLOOKUP(J651,Foundation_Calc!$A$2:$C$13,3,1),""))</f>
        <v>Multi Soil</v>
      </c>
      <c r="AX651" s="449" t="str">
        <f>IF(C651&gt;0,VLOOKUP(C651,Foundation_Calc!$E$35:$G$65,3,1),
IF(J651&gt;0,VLOOKUP(J651,Foundation_Calc!$E$35:$G$65,3,1),""))</f>
        <v>PT</v>
      </c>
      <c r="AY651" s="10" t="str">
        <f>IF(L651="","",
IF(AX651="PT",VLOOKUP(L651,Foundation_Calc!$K$79:$R$113,VLOOKUP(AW651,Foundation_Calc!$I$2:$J$8,2,FALSE),0),
IF(AX651="K",VLOOKUP(L651,Foundation_Calc!$K$117:$R$151,VLOOKUP(AW651,Foundation_Calc!$I$2:$J$8,2,FALSE),0),"")))</f>
        <v/>
      </c>
      <c r="AZ651" s="10">
        <f>IF(K651="","",
IF(AX651="PT",VLOOKUP(K651,Foundation_Calc!$K$79:$R$113,VLOOKUP(AW651,Foundation_Calc!$I$2:$J$8,2,FALSE),0),
IF(AX651="K",VLOOKUP(K651,Foundation_Calc!$K$117:$R$151,VLOOKUP(AW651,Foundation_Calc!$I$2:$J$8,2,FALSE),0),"")))</f>
        <v>2.8</v>
      </c>
      <c r="BA651" s="495" t="str">
        <f t="shared" si="82"/>
        <v/>
      </c>
      <c r="BB651" s="495" t="str">
        <f t="shared" si="83"/>
        <v>ü</v>
      </c>
      <c r="BC651" s="495" t="str">
        <f t="shared" si="84"/>
        <v/>
      </c>
      <c r="BD651" s="513" t="str">
        <f>IF(AND(L651="",H651=""),"",
IF(H651="",Pole_Calc!A$9,
IF(H651="MP",Pole_Calc!A$10,
IF(H651="AnMP",Pole_Calc!A$11,
IF(H651="A",Pole_Calc!A$12,
IF(H651="S/A",Pole_Calc!A$13,
IF(H651="A/S",Pole_Calc!A$14,"Poner a mano")))))))</f>
        <v/>
      </c>
      <c r="BE651" s="429" t="s">
        <v>118</v>
      </c>
      <c r="BF651" s="290"/>
      <c r="BG651" s="290"/>
      <c r="BH651" s="290"/>
      <c r="BI651" s="290"/>
    </row>
    <row r="652" spans="1:61" ht="15.75" customHeight="1">
      <c r="A652" s="514"/>
      <c r="B652" s="450" t="s">
        <v>1273</v>
      </c>
      <c r="C652" s="3">
        <f>+$C$650+$G$651</f>
        <v>45734.690000000017</v>
      </c>
      <c r="D652" s="83"/>
      <c r="E652" s="4"/>
      <c r="F652" s="4">
        <v>0</v>
      </c>
      <c r="G652" s="6"/>
      <c r="H652" s="449"/>
      <c r="I652" s="4"/>
      <c r="J652" s="3"/>
      <c r="K652" s="449"/>
      <c r="L652" s="449" t="s">
        <v>201</v>
      </c>
      <c r="M652" s="449" t="s">
        <v>201</v>
      </c>
      <c r="N652" s="449" t="s">
        <v>343</v>
      </c>
      <c r="O652" s="449"/>
      <c r="P652" s="449"/>
      <c r="Q652" s="4"/>
      <c r="R652" s="6"/>
      <c r="S652" s="6"/>
      <c r="T652" s="4">
        <v>-35</v>
      </c>
      <c r="U652" s="4"/>
      <c r="V652" s="4"/>
      <c r="W652" s="9">
        <v>1.4</v>
      </c>
      <c r="X652" s="9"/>
      <c r="Y652" s="9"/>
      <c r="Z652" s="9"/>
      <c r="AA652" s="9"/>
      <c r="AB652" s="9"/>
      <c r="AC652" s="449" t="str">
        <f t="shared" si="78"/>
        <v>PHQ</v>
      </c>
      <c r="AD652" s="449"/>
      <c r="AE652" s="449"/>
      <c r="AF652" s="4"/>
      <c r="AG652" s="83"/>
      <c r="AH652" s="4"/>
      <c r="AI652" s="4"/>
      <c r="AJ652" s="449"/>
      <c r="AK652" s="449" t="s">
        <v>344</v>
      </c>
      <c r="AL652" s="449"/>
      <c r="AM652" s="449" t="s">
        <v>574</v>
      </c>
      <c r="AN652" s="10">
        <v>5.5</v>
      </c>
      <c r="AO652" s="9"/>
      <c r="AP652" s="9"/>
      <c r="AQ652" s="9"/>
      <c r="AR652" s="9"/>
      <c r="AS652" s="9"/>
      <c r="AT652" s="9">
        <f>+ab($T$652,-$T$650,$T$654,$G$651,$G$653, 1*$F$652,1200)</f>
        <v>-5.731743634358125</v>
      </c>
      <c r="AU652" s="428"/>
      <c r="AV652" s="428"/>
      <c r="AW652" s="449"/>
      <c r="AX652" s="449"/>
      <c r="AY652" s="10" t="str">
        <f>IF(L652="","",
IF(AX652="PT",VLOOKUP(L652,Foundation_Calc!$K$79:$R$113,VLOOKUP(AW652,Foundation_Calc!$I$2:$J$8,2,FALSE),0),
IF(AX652="K",VLOOKUP(L652,Foundation_Calc!$K$117:$R$151,VLOOKUP(AW652,Foundation_Calc!$I$2:$J$8,2,FALSE),0),"")))</f>
        <v/>
      </c>
      <c r="AZ652" s="10" t="str">
        <f>IF(K652="","",
IF(AX652="PT",VLOOKUP(K652,Foundation_Calc!$K$79:$R$113,VLOOKUP(AW652,Foundation_Calc!$I$2:$J$8,2,FALSE),0),
IF(AX652="K",VLOOKUP(K652,Foundation_Calc!$K$117:$R$151,VLOOKUP(AW652,Foundation_Calc!$I$2:$J$8,2,FALSE),0),"")))</f>
        <v/>
      </c>
      <c r="BA652" s="495" t="str">
        <f t="shared" si="82"/>
        <v/>
      </c>
      <c r="BB652" s="495" t="str">
        <f t="shared" si="83"/>
        <v/>
      </c>
      <c r="BC652" s="495" t="str">
        <f t="shared" si="84"/>
        <v/>
      </c>
      <c r="BD652" s="513"/>
      <c r="BE652" s="429" t="s">
        <v>118</v>
      </c>
      <c r="BF652" s="289"/>
      <c r="BG652" s="289"/>
      <c r="BH652" s="290"/>
      <c r="BI652" s="289"/>
    </row>
    <row r="653" spans="1:61" ht="15.75" customHeight="1">
      <c r="A653" s="514"/>
      <c r="B653" s="450"/>
      <c r="C653" s="3"/>
      <c r="D653" s="83"/>
      <c r="E653" s="4"/>
      <c r="F653" s="4"/>
      <c r="G653" s="6">
        <v>45.4</v>
      </c>
      <c r="H653" s="449"/>
      <c r="I653" s="4"/>
      <c r="J653" s="3"/>
      <c r="K653" s="449"/>
      <c r="L653" s="449"/>
      <c r="M653" s="449" t="str">
        <f>IF(L653="","",
IF(AX653="PT",VLOOKUP(L653,Foundation_Calc!$V$79:$X$113,VLOOKUP(AX653,Foundation_Calc!$I$10:$J$13,2,FALSE),0),
IF(AX653="K",VLOOKUP(L653,Foundation_Calc!$V$117:$X$151,VLOOKUP(AX653,Foundation_Calc!$I$10:$J$13,2,FALSE),0),"")))</f>
        <v/>
      </c>
      <c r="N653" s="449"/>
      <c r="O653" s="449"/>
      <c r="P653" s="449"/>
      <c r="Q653" s="4"/>
      <c r="R653" s="6"/>
      <c r="S653" s="6"/>
      <c r="T653" s="4"/>
      <c r="U653" s="4"/>
      <c r="V653" s="4"/>
      <c r="W653" s="9"/>
      <c r="X653" s="9"/>
      <c r="Y653" s="9"/>
      <c r="Z653" s="9"/>
      <c r="AA653" s="9"/>
      <c r="AB653" s="9"/>
      <c r="AC653" s="449" t="str">
        <f t="shared" si="78"/>
        <v/>
      </c>
      <c r="AD653" s="449"/>
      <c r="AE653" s="449"/>
      <c r="AF653" s="4"/>
      <c r="AG653" s="83"/>
      <c r="AH653" s="4"/>
      <c r="AI653" s="4"/>
      <c r="AJ653" s="449"/>
      <c r="AK653" s="449"/>
      <c r="AL653" s="449"/>
      <c r="AM653" s="449"/>
      <c r="AN653" s="10"/>
      <c r="AO653" s="9"/>
      <c r="AP653" s="9"/>
      <c r="AQ653" s="9">
        <f>+FL_1($T$654,$T$652,$G$653,1200,9.28, 1*$F$654)</f>
        <v>0.35295034192070485</v>
      </c>
      <c r="AR653" s="9"/>
      <c r="AS653" s="9"/>
      <c r="AT653" s="9"/>
      <c r="AU653" s="428"/>
      <c r="AV653" s="428"/>
      <c r="AW653" s="449" t="str">
        <f>IF(C653&gt;0,VLOOKUP(C653,Foundation_Calc!$A$2:$C$13,3,1),
IF(J653&gt;0,VLOOKUP(J653,Foundation_Calc!$A$2:$C$13,3,1),""))</f>
        <v/>
      </c>
      <c r="AX653" s="449" t="str">
        <f>IF(C653&gt;0,VLOOKUP(C653,Foundation_Calc!$E$35:$G$65,3,1),
IF(J653&gt;0,VLOOKUP(J653,Foundation_Calc!$E$35:$G$65,3,1),""))</f>
        <v/>
      </c>
      <c r="AY653" s="10" t="str">
        <f>IF(L653="","",
IF(AX653="PT",VLOOKUP(L653,Foundation_Calc!$K$79:$R$113,VLOOKUP(AW653,Foundation_Calc!$I$2:$J$8,2,FALSE),0),
IF(AX653="K",VLOOKUP(L653,Foundation_Calc!$K$117:$R$151,VLOOKUP(AW653,Foundation_Calc!$I$2:$J$8,2,FALSE),0),"")))</f>
        <v/>
      </c>
      <c r="AZ653" s="10" t="str">
        <f>IF(K653="","",
IF(AX653="PT",VLOOKUP(K653,Foundation_Calc!$K$79:$R$113,VLOOKUP(AW653,Foundation_Calc!$I$2:$J$8,2,FALSE),0),
IF(AX653="K",VLOOKUP(K653,Foundation_Calc!$K$117:$R$151,VLOOKUP(AW653,Foundation_Calc!$I$2:$J$8,2,FALSE),0),"")))</f>
        <v/>
      </c>
      <c r="BA653" s="495" t="str">
        <f t="shared" si="82"/>
        <v/>
      </c>
      <c r="BB653" s="495" t="str">
        <f t="shared" si="83"/>
        <v/>
      </c>
      <c r="BC653" s="495" t="str">
        <f t="shared" si="84"/>
        <v/>
      </c>
      <c r="BD653" s="513" t="str">
        <f>IF(AND(L653="",H653=""),"",
IF(H653="",Pole_Calc!A$9,
IF(H653="MP",Pole_Calc!A$10,
IF(H653="AnMP",Pole_Calc!A$11,
IF(H653="A",Pole_Calc!A$12,
IF(H653="S/A",Pole_Calc!A$13,
IF(H653="A/S",Pole_Calc!A$14,"Poner a mano")))))))</f>
        <v/>
      </c>
      <c r="BE653" s="429" t="s">
        <v>118</v>
      </c>
      <c r="BF653" s="290"/>
      <c r="BG653" s="290"/>
      <c r="BH653" s="290"/>
      <c r="BI653" s="290"/>
    </row>
    <row r="654" spans="1:61" ht="15.75" customHeight="1">
      <c r="A654" s="514"/>
      <c r="B654" s="450" t="s">
        <v>1274</v>
      </c>
      <c r="C654" s="3">
        <f>+$C$652+$G$653</f>
        <v>45780.090000000018</v>
      </c>
      <c r="D654" s="83"/>
      <c r="E654" s="4"/>
      <c r="F654" s="4">
        <v>0</v>
      </c>
      <c r="G654" s="6"/>
      <c r="H654" s="449"/>
      <c r="I654" s="4"/>
      <c r="J654" s="3"/>
      <c r="K654" s="449"/>
      <c r="L654" s="449" t="s">
        <v>201</v>
      </c>
      <c r="M654" s="449" t="s">
        <v>201</v>
      </c>
      <c r="N654" s="449" t="s">
        <v>453</v>
      </c>
      <c r="O654" s="449"/>
      <c r="P654" s="449"/>
      <c r="Q654" s="4"/>
      <c r="R654" s="6"/>
      <c r="S654" s="6"/>
      <c r="T654" s="4">
        <v>35</v>
      </c>
      <c r="U654" s="4"/>
      <c r="V654" s="4"/>
      <c r="W654" s="9">
        <v>1.4</v>
      </c>
      <c r="X654" s="9"/>
      <c r="Y654" s="9"/>
      <c r="Z654" s="9"/>
      <c r="AA654" s="9"/>
      <c r="AB654" s="9"/>
      <c r="AC654" s="449" t="str">
        <f t="shared" si="78"/>
        <v>PHQ</v>
      </c>
      <c r="AD654" s="449"/>
      <c r="AE654" s="449"/>
      <c r="AF654" s="4"/>
      <c r="AG654" s="83"/>
      <c r="AH654" s="4"/>
      <c r="AI654" s="4"/>
      <c r="AJ654" s="449"/>
      <c r="AK654" s="449" t="s">
        <v>344</v>
      </c>
      <c r="AL654" s="449"/>
      <c r="AM654" s="449" t="s">
        <v>574</v>
      </c>
      <c r="AN654" s="10">
        <v>5.5</v>
      </c>
      <c r="AO654" s="9"/>
      <c r="AP654" s="9"/>
      <c r="AQ654" s="9"/>
      <c r="AR654" s="9"/>
      <c r="AS654" s="9"/>
      <c r="AT654" s="9">
        <f>+ab($T$654,$T$652,-$T$656,$G$653,$G$655, 1*$F$654,1200)</f>
        <v>6.3696494281216527</v>
      </c>
      <c r="AU654" s="428"/>
      <c r="AV654" s="428"/>
      <c r="AW654" s="449"/>
      <c r="AX654" s="449"/>
      <c r="AY654" s="10" t="str">
        <f>IF(L654="","",
IF(AX654="PT",VLOOKUP(L654,Foundation_Calc!$K$79:$R$113,VLOOKUP(AW654,Foundation_Calc!$I$2:$J$8,2,FALSE),0),
IF(AX654="K",VLOOKUP(L654,Foundation_Calc!$K$117:$R$151,VLOOKUP(AW654,Foundation_Calc!$I$2:$J$8,2,FALSE),0),"")))</f>
        <v/>
      </c>
      <c r="AZ654" s="10" t="str">
        <f>IF(K654="","",
IF(AX654="PT",VLOOKUP(K654,Foundation_Calc!$K$79:$R$113,VLOOKUP(AW654,Foundation_Calc!$I$2:$J$8,2,FALSE),0),
IF(AX654="K",VLOOKUP(K654,Foundation_Calc!$K$117:$R$151,VLOOKUP(AW654,Foundation_Calc!$I$2:$J$8,2,FALSE),0),"")))</f>
        <v/>
      </c>
      <c r="BA654" s="495" t="str">
        <f t="shared" si="82"/>
        <v/>
      </c>
      <c r="BB654" s="495" t="str">
        <f t="shared" si="83"/>
        <v/>
      </c>
      <c r="BC654" s="495" t="str">
        <f t="shared" si="84"/>
        <v/>
      </c>
      <c r="BD654" s="513"/>
      <c r="BE654" s="429" t="s">
        <v>118</v>
      </c>
      <c r="BF654" s="289"/>
      <c r="BG654" s="289"/>
      <c r="BH654" s="290"/>
      <c r="BI654" s="289"/>
    </row>
    <row r="655" spans="1:61" ht="15.75" customHeight="1">
      <c r="A655" s="514"/>
      <c r="B655" s="450"/>
      <c r="C655" s="3"/>
      <c r="D655" s="83"/>
      <c r="E655" s="4"/>
      <c r="F655" s="4"/>
      <c r="G655" s="6">
        <v>48</v>
      </c>
      <c r="H655" s="449"/>
      <c r="I655" s="4"/>
      <c r="J655" s="3"/>
      <c r="K655" s="449"/>
      <c r="L655" s="449"/>
      <c r="M655" s="449" t="str">
        <f>IF(L655="","",
IF(AX655="PT",VLOOKUP(L655,Foundation_Calc!$V$79:$X$113,VLOOKUP(AX655,Foundation_Calc!$I$10:$J$13,2,FALSE),0),
IF(AX655="K",VLOOKUP(L655,Foundation_Calc!$V$117:$X$151,VLOOKUP(AX655,Foundation_Calc!$I$10:$J$13,2,FALSE),0),"")))</f>
        <v/>
      </c>
      <c r="N655" s="580"/>
      <c r="O655" s="561"/>
      <c r="P655" s="449"/>
      <c r="Q655" s="4"/>
      <c r="R655" s="6"/>
      <c r="S655" s="6"/>
      <c r="T655" s="4"/>
      <c r="U655" s="4"/>
      <c r="V655" s="4"/>
      <c r="W655" s="9"/>
      <c r="X655" s="9"/>
      <c r="Y655" s="9"/>
      <c r="Z655" s="9"/>
      <c r="AA655" s="9"/>
      <c r="AB655" s="9"/>
      <c r="AC655" s="449" t="str">
        <f t="shared" si="78"/>
        <v/>
      </c>
      <c r="AD655" s="449"/>
      <c r="AE655" s="449"/>
      <c r="AF655" s="4"/>
      <c r="AG655" s="83"/>
      <c r="AH655" s="4"/>
      <c r="AI655" s="4"/>
      <c r="AJ655" s="449"/>
      <c r="AK655" s="449"/>
      <c r="AL655" s="449"/>
      <c r="AM655" s="449"/>
      <c r="AN655" s="10"/>
      <c r="AO655" s="9"/>
      <c r="AP655" s="9"/>
      <c r="AQ655" s="9">
        <f>+FL_1($T$656,-$T$654,$G$655,1200,9.28, 1*$F$656)</f>
        <v>0.36022448799999995</v>
      </c>
      <c r="AR655" s="9"/>
      <c r="AS655" s="9"/>
      <c r="AT655" s="9"/>
      <c r="AU655" s="428"/>
      <c r="AV655" s="428"/>
      <c r="AW655" s="449" t="str">
        <f>IF(C655&gt;0,VLOOKUP(C655,Foundation_Calc!$A$2:$C$13,3,1),
IF(J655&gt;0,VLOOKUP(J655,Foundation_Calc!$A$2:$C$13,3,1),""))</f>
        <v/>
      </c>
      <c r="AX655" s="449" t="str">
        <f>IF(C655&gt;0,VLOOKUP(C655,Foundation_Calc!$E$35:$G$65,3,1),
IF(J655&gt;0,VLOOKUP(J655,Foundation_Calc!$E$35:$G$65,3,1),""))</f>
        <v/>
      </c>
      <c r="AY655" s="10" t="str">
        <f>IF(L655="","",
IF(AX655="PT",VLOOKUP(L655,Foundation_Calc!$K$79:$R$113,VLOOKUP(AW655,Foundation_Calc!$I$2:$J$8,2,FALSE),0),
IF(AX655="K",VLOOKUP(L655,Foundation_Calc!$K$117:$R$151,VLOOKUP(AW655,Foundation_Calc!$I$2:$J$8,2,FALSE),0),"")))</f>
        <v/>
      </c>
      <c r="AZ655" s="10" t="str">
        <f>IF(K655="","",
IF(AX655="PT",VLOOKUP(K655,Foundation_Calc!$K$79:$R$113,VLOOKUP(AW655,Foundation_Calc!$I$2:$J$8,2,FALSE),0),
IF(AX655="K",VLOOKUP(K655,Foundation_Calc!$K$117:$R$151,VLOOKUP(AW655,Foundation_Calc!$I$2:$J$8,2,FALSE),0),"")))</f>
        <v/>
      </c>
      <c r="BA655" s="495" t="str">
        <f t="shared" si="82"/>
        <v/>
      </c>
      <c r="BB655" s="495" t="str">
        <f t="shared" si="83"/>
        <v/>
      </c>
      <c r="BC655" s="495" t="str">
        <f t="shared" si="84"/>
        <v/>
      </c>
      <c r="BD655" s="513" t="str">
        <f>IF(AND(L655="",H655=""),"",
IF(H655="",Pole_Calc!A$9,
IF(H655="MP",Pole_Calc!A$10,
IF(H655="AnMP",Pole_Calc!A$11,
IF(H655="A",Pole_Calc!A$12,
IF(H655="S/A",Pole_Calc!A$13,
IF(H655="A/S",Pole_Calc!A$14,"Poner a mano")))))))</f>
        <v/>
      </c>
      <c r="BE655" s="429" t="s">
        <v>118</v>
      </c>
      <c r="BF655" s="290"/>
      <c r="BG655" s="290"/>
      <c r="BH655" s="290"/>
      <c r="BI655" s="290"/>
    </row>
    <row r="656" spans="1:61" ht="15.75" customHeight="1">
      <c r="A656" s="514"/>
      <c r="B656" s="450" t="s">
        <v>1275</v>
      </c>
      <c r="C656" s="3">
        <f>+$C$654+$G$655</f>
        <v>45828.090000000018</v>
      </c>
      <c r="D656" s="83"/>
      <c r="E656" s="4"/>
      <c r="F656" s="4">
        <v>0</v>
      </c>
      <c r="G656" s="6"/>
      <c r="H656" s="449"/>
      <c r="I656" s="4"/>
      <c r="J656" s="3"/>
      <c r="K656" s="449"/>
      <c r="L656" s="449" t="s">
        <v>153</v>
      </c>
      <c r="M656" s="449" t="str">
        <f>IF(L656="","",
IF(AX656="PT",VLOOKUP(L656,Foundation_Calc!$V$79:$X$113,VLOOKUP(AX656,Foundation_Calc!$I$10:$J$13,2,FALSE),0),
IF(AX656="K",VLOOKUP(L656,Foundation_Calc!$V$117:$X$151,VLOOKUP(AX656,Foundation_Calc!$I$10:$J$13,2,FALSE),0),"")))</f>
        <v>C3R</v>
      </c>
      <c r="N656" s="449" t="s">
        <v>134</v>
      </c>
      <c r="O656" s="449"/>
      <c r="P656" s="449"/>
      <c r="Q656" s="4"/>
      <c r="R656" s="6"/>
      <c r="S656" s="6"/>
      <c r="T656" s="4">
        <v>35</v>
      </c>
      <c r="U656" s="4"/>
      <c r="V656" s="4"/>
      <c r="W656" s="9">
        <v>1.4</v>
      </c>
      <c r="X656" s="9"/>
      <c r="Y656" s="9"/>
      <c r="Z656" s="9"/>
      <c r="AA656" s="9"/>
      <c r="AB656" s="9"/>
      <c r="AC656" s="449" t="str">
        <f t="shared" si="78"/>
        <v>PHQ</v>
      </c>
      <c r="AD656" s="449"/>
      <c r="AE656" s="449"/>
      <c r="AF656" s="4"/>
      <c r="AG656" s="83"/>
      <c r="AH656" s="4"/>
      <c r="AI656" s="4"/>
      <c r="AJ656" s="449"/>
      <c r="AK656" s="449"/>
      <c r="AL656" s="449"/>
      <c r="AM656" s="449" t="s">
        <v>552</v>
      </c>
      <c r="AN656" s="10">
        <v>5.5</v>
      </c>
      <c r="AO656" s="9"/>
      <c r="AP656" s="9"/>
      <c r="AQ656" s="9"/>
      <c r="AR656" s="9"/>
      <c r="AS656" s="9"/>
      <c r="AT656" s="9">
        <f>+ab($T$656,-$T$654,$T$658,$G$655,$G$657, 1*$F$656,1200)</f>
        <v>7.5009571513713098</v>
      </c>
      <c r="AU656" s="428"/>
      <c r="AV656" s="428"/>
      <c r="AW656" s="449" t="str">
        <f>IF(C656&gt;0,VLOOKUP(C656,Foundation_Calc!$A$2:$C$13,3,1),
IF(J656&gt;0,VLOOKUP(J656,Foundation_Calc!$A$2:$C$13,3,1),""))</f>
        <v>Multi Soil</v>
      </c>
      <c r="AX656" s="449" t="str">
        <f>IF(C656&gt;0,VLOOKUP(C656,Foundation_Calc!$E$35:$G$65,3,1),
IF(J656&gt;0,VLOOKUP(J656,Foundation_Calc!$E$35:$G$65,3,1),""))</f>
        <v>PT</v>
      </c>
      <c r="AY656" s="10">
        <f>IF(L656="","",
IF(AX656="PT",VLOOKUP(L656,Foundation_Calc!$K$79:$R$113,VLOOKUP(AW656,Foundation_Calc!$I$2:$J$8,2,FALSE),0),
IF(AX656="K",VLOOKUP(L656,Foundation_Calc!$K$117:$R$151,VLOOKUP(AW656,Foundation_Calc!$I$2:$J$8,2,FALSE),0),"")))</f>
        <v>3.5</v>
      </c>
      <c r="AZ656" s="10" t="str">
        <f>IF(K656="","",
IF(AX656="PT",VLOOKUP(K656,Foundation_Calc!$K$79:$R$113,VLOOKUP(AW656,Foundation_Calc!$I$2:$J$8,2,FALSE),0),
IF(AX656="K",VLOOKUP(K656,Foundation_Calc!$K$117:$R$151,VLOOKUP(AW656,Foundation_Calc!$I$2:$J$8,2,FALSE),0),"")))</f>
        <v/>
      </c>
      <c r="BA656" s="495" t="str">
        <f t="shared" si="82"/>
        <v>ü</v>
      </c>
      <c r="BB656" s="495" t="str">
        <f t="shared" si="83"/>
        <v/>
      </c>
      <c r="BC656" s="495" t="str">
        <f t="shared" si="84"/>
        <v/>
      </c>
      <c r="BD656" s="513" t="str">
        <f>IF(AND(L656="",H656=""),"",
IF(H656="",Pole_Calc!A$9,
IF(H656="MP",Pole_Calc!A$10,
IF(H656="AnMP",Pole_Calc!A$11,
IF(H656="A",Pole_Calc!A$12,
IF(H656="S/A",Pole_Calc!A$13,
IF(H656="A/S",Pole_Calc!A$14,"Poner a mano")))))))</f>
        <v>App.7-V11I-P9.5.1.1</v>
      </c>
      <c r="BE656" s="429" t="s">
        <v>118</v>
      </c>
      <c r="BF656" s="289"/>
      <c r="BG656" s="289"/>
      <c r="BH656" s="290"/>
      <c r="BI656" s="289"/>
    </row>
    <row r="657" spans="1:61" ht="15.75" customHeight="1">
      <c r="A657" s="518"/>
      <c r="B657" s="450"/>
      <c r="C657" s="3"/>
      <c r="D657" s="83"/>
      <c r="E657" s="4"/>
      <c r="F657" s="4"/>
      <c r="G657" s="6">
        <v>64.5</v>
      </c>
      <c r="H657" s="449"/>
      <c r="I657" s="4" t="s">
        <v>549</v>
      </c>
      <c r="J657" s="3">
        <f>C658-9.5</f>
        <v>45883.090000000018</v>
      </c>
      <c r="K657" s="449" t="s">
        <v>166</v>
      </c>
      <c r="L657" s="449"/>
      <c r="M657" s="449" t="str">
        <f>IF(L657="","",
IF(AX657="PT",VLOOKUP(L657,Foundation_Calc!$V$79:$X$113,VLOOKUP(AX657,Foundation_Calc!$I$10:$J$13,2,FALSE),0),
IF(AX657="K",VLOOKUP(L657,Foundation_Calc!$V$117:$X$151,VLOOKUP(AX657,Foundation_Calc!$I$10:$J$13,2,FALSE),0),"")))</f>
        <v/>
      </c>
      <c r="N657" s="449"/>
      <c r="O657" s="575"/>
      <c r="P657" s="449"/>
      <c r="Q657" s="4"/>
      <c r="R657" s="6"/>
      <c r="S657" s="6"/>
      <c r="T657" s="4"/>
      <c r="U657" s="4"/>
      <c r="V657" s="4"/>
      <c r="W657" s="9"/>
      <c r="X657" s="9"/>
      <c r="Y657" s="9"/>
      <c r="Z657" s="9"/>
      <c r="AA657" s="9"/>
      <c r="AB657" s="9"/>
      <c r="AC657" s="449" t="str">
        <f t="shared" si="78"/>
        <v/>
      </c>
      <c r="AD657" s="449"/>
      <c r="AE657" s="449"/>
      <c r="AF657" s="4"/>
      <c r="AG657" s="83"/>
      <c r="AH657" s="4"/>
      <c r="AI657" s="4"/>
      <c r="AJ657" s="449"/>
      <c r="AK657" s="449"/>
      <c r="AL657" s="449"/>
      <c r="AM657" s="449"/>
      <c r="AN657" s="10"/>
      <c r="AO657" s="9"/>
      <c r="AP657" s="9"/>
      <c r="AQ657" s="9">
        <f>+FL_1($T$658,$T$656,$G$657,1200,9.28, 1*$F$658)</f>
        <v>0.478309251224806</v>
      </c>
      <c r="AR657" s="9"/>
      <c r="AS657" s="9"/>
      <c r="AT657" s="9"/>
      <c r="AU657" s="428"/>
      <c r="AV657" s="428"/>
      <c r="AW657" s="449" t="str">
        <f>IF(C657&gt;0,VLOOKUP(C657,Foundation_Calc!$A$2:$C$13,3,1),
IF(J657&gt;0,VLOOKUP(J657,Foundation_Calc!$A$2:$C$13,3,1),""))</f>
        <v>Multi Soil</v>
      </c>
      <c r="AX657" s="449" t="str">
        <f>IF(C657&gt;0,VLOOKUP(C657,Foundation_Calc!$E$35:$G$65,3,1),
IF(J657&gt;0,VLOOKUP(J657,Foundation_Calc!$E$35:$G$65,3,1),""))</f>
        <v>PT</v>
      </c>
      <c r="AY657" s="10" t="str">
        <f>IF(L657="","",
IF(AX657="PT",VLOOKUP(L657,Foundation_Calc!$K$79:$R$113,VLOOKUP(AW657,Foundation_Calc!$I$2:$J$8,2,FALSE),0),
IF(AX657="K",VLOOKUP(L657,Foundation_Calc!$K$117:$R$151,VLOOKUP(AW657,Foundation_Calc!$I$2:$J$8,2,FALSE),0),"")))</f>
        <v/>
      </c>
      <c r="AZ657" s="10">
        <f>IF(K657="","",
IF(AX657="PT",VLOOKUP(K657,Foundation_Calc!$K$79:$R$113,VLOOKUP(AW657,Foundation_Calc!$I$2:$J$8,2,FALSE),0),
IF(AX657="K",VLOOKUP(K657,Foundation_Calc!$K$117:$R$151,VLOOKUP(AW657,Foundation_Calc!$I$2:$J$8,2,FALSE),0),"")))</f>
        <v>2.8</v>
      </c>
      <c r="BA657" s="495" t="str">
        <f t="shared" si="82"/>
        <v/>
      </c>
      <c r="BB657" s="495" t="str">
        <f t="shared" si="83"/>
        <v>ü</v>
      </c>
      <c r="BC657" s="495" t="str">
        <f t="shared" si="84"/>
        <v/>
      </c>
      <c r="BD657" s="513" t="str">
        <f>IF(AND(L657="",H657=""),"",
IF(H657="",Pole_Calc!A$9,
IF(H657="MP",Pole_Calc!A$10,
IF(H657="AnMP",Pole_Calc!A$11,
IF(H657="A",Pole_Calc!A$12,
IF(H657="S/A",Pole_Calc!A$13,
IF(H657="A/S",Pole_Calc!A$14,"Poner a mano")))))))</f>
        <v/>
      </c>
      <c r="BE657" s="429" t="s">
        <v>118</v>
      </c>
      <c r="BF657" s="290"/>
      <c r="BG657" s="290"/>
      <c r="BH657" s="290"/>
      <c r="BI657" s="290"/>
    </row>
    <row r="658" spans="1:61" ht="15.75" customHeight="1">
      <c r="A658" s="514"/>
      <c r="B658" s="450" t="s">
        <v>1276</v>
      </c>
      <c r="C658" s="3">
        <f>+$C$656+$G$657</f>
        <v>45892.590000000018</v>
      </c>
      <c r="D658" s="83"/>
      <c r="E658" s="4"/>
      <c r="F658" s="4">
        <v>0</v>
      </c>
      <c r="G658" s="6"/>
      <c r="H658" s="449"/>
      <c r="I658" s="4" t="s">
        <v>549</v>
      </c>
      <c r="J658" s="3"/>
      <c r="K658" s="449"/>
      <c r="L658" s="449" t="s">
        <v>568</v>
      </c>
      <c r="M658" s="449" t="str">
        <f>IF(L658="","",
IF(AX658="PT",VLOOKUP(L658,Foundation_Calc!$V$79:$X$113,VLOOKUP(AX658,Foundation_Calc!$I$10:$J$13,2,FALSE),0),
IF(AX658="K",VLOOKUP(L658,Foundation_Calc!$V$117:$X$151,VLOOKUP(AX658,Foundation_Calc!$I$10:$J$13,2,FALSE),0),"")))</f>
        <v>C9R</v>
      </c>
      <c r="N658" s="449" t="s">
        <v>124</v>
      </c>
      <c r="O658" s="449"/>
      <c r="P658" s="449"/>
      <c r="Q658" s="4"/>
      <c r="R658" s="6"/>
      <c r="S658" s="6"/>
      <c r="T658" s="4">
        <v>-35</v>
      </c>
      <c r="U658" s="4"/>
      <c r="V658" s="4"/>
      <c r="W658" s="9">
        <v>1.4</v>
      </c>
      <c r="X658" s="9"/>
      <c r="Y658" s="9"/>
      <c r="Z658" s="9"/>
      <c r="AA658" s="9"/>
      <c r="AB658" s="9"/>
      <c r="AC658" s="449" t="str">
        <f t="shared" si="78"/>
        <v>PHQ</v>
      </c>
      <c r="AD658" s="449"/>
      <c r="AE658" s="449"/>
      <c r="AF658" s="4"/>
      <c r="AG658" s="83"/>
      <c r="AH658" s="4"/>
      <c r="AI658" s="4"/>
      <c r="AJ658" s="449"/>
      <c r="AK658" s="449" t="s">
        <v>569</v>
      </c>
      <c r="AL658" s="449"/>
      <c r="AM658" s="449" t="s">
        <v>552</v>
      </c>
      <c r="AN658" s="10">
        <v>5.5</v>
      </c>
      <c r="AO658" s="9"/>
      <c r="AP658" s="9"/>
      <c r="AQ658" s="9"/>
      <c r="AR658" s="9"/>
      <c r="AS658" s="9"/>
      <c r="AT658" s="9">
        <f>+ab($T$658,$T$656,$T$660,$G$657,$G$659, 1*$F$658,1200)</f>
        <v>-7.7596582344632283</v>
      </c>
      <c r="AU658" s="428"/>
      <c r="AV658" s="428"/>
      <c r="AW658" s="449" t="str">
        <f>IF(C658&gt;0,VLOOKUP(C658,Foundation_Calc!$A$2:$C$13,3,1),
IF(J658&gt;0,VLOOKUP(J658,Foundation_Calc!$A$2:$C$13,3,1),""))</f>
        <v>Multi Soil</v>
      </c>
      <c r="AX658" s="449" t="str">
        <f>IF(C658&gt;0,VLOOKUP(C658,Foundation_Calc!$E$35:$G$65,3,1),
IF(J658&gt;0,VLOOKUP(J658,Foundation_Calc!$E$35:$G$65,3,1),""))</f>
        <v>PT</v>
      </c>
      <c r="AY658" s="10">
        <f>IF(L658="","",
IF(AX658="PT",VLOOKUP(L658,Foundation_Calc!$K$79:$R$113,VLOOKUP(AW658,Foundation_Calc!$I$2:$J$8,2,FALSE),0),
IF(AX658="K",VLOOKUP(L658,Foundation_Calc!$K$117:$R$151,VLOOKUP(AW658,Foundation_Calc!$I$2:$J$8,2,FALSE),0),"")))</f>
        <v>4.5999999999999996</v>
      </c>
      <c r="AZ658" s="10" t="str">
        <f>IF(K658="","",
IF(AX658="PT",VLOOKUP(K658,Foundation_Calc!$K$79:$R$113,VLOOKUP(AW658,Foundation_Calc!$I$2:$J$8,2,FALSE),0),
IF(AX658="K",VLOOKUP(K658,Foundation_Calc!$K$117:$R$151,VLOOKUP(AW658,Foundation_Calc!$I$2:$J$8,2,FALSE),0),"")))</f>
        <v/>
      </c>
      <c r="BA658" s="495" t="str">
        <f t="shared" si="82"/>
        <v>ü</v>
      </c>
      <c r="BB658" s="495" t="str">
        <f t="shared" si="83"/>
        <v/>
      </c>
      <c r="BC658" s="495" t="str">
        <f t="shared" si="84"/>
        <v/>
      </c>
      <c r="BD658" s="513" t="str">
        <f>Pole_Calc!A$232</f>
        <v>App.7-V11I-P13.3</v>
      </c>
      <c r="BE658" s="429" t="s">
        <v>118</v>
      </c>
      <c r="BF658" s="289"/>
      <c r="BG658" s="289"/>
      <c r="BH658" s="290"/>
      <c r="BI658" s="289"/>
    </row>
    <row r="659" spans="1:61" ht="15.75" customHeight="1">
      <c r="A659" s="514"/>
      <c r="B659" s="450"/>
      <c r="C659" s="3"/>
      <c r="D659" s="83"/>
      <c r="E659" s="4"/>
      <c r="F659" s="4"/>
      <c r="G659" s="6">
        <v>51</v>
      </c>
      <c r="H659" s="449"/>
      <c r="I659" s="4"/>
      <c r="J659" s="3">
        <f>C660-7.5</f>
        <v>45936.090000000018</v>
      </c>
      <c r="K659" s="449" t="s">
        <v>117</v>
      </c>
      <c r="L659" s="449"/>
      <c r="M659" s="449" t="str">
        <f>IF(L659="","",
IF(AX659="PT",VLOOKUP(L659,Foundation_Calc!$V$79:$X$113,VLOOKUP(AX659,Foundation_Calc!$I$10:$J$13,2,FALSE),0),
IF(AX659="K",VLOOKUP(L659,Foundation_Calc!$V$117:$X$151,VLOOKUP(AX659,Foundation_Calc!$I$10:$J$13,2,FALSE),0),"")))</f>
        <v/>
      </c>
      <c r="N659" s="449"/>
      <c r="O659" s="575"/>
      <c r="P659" s="449"/>
      <c r="Q659" s="4"/>
      <c r="R659" s="6"/>
      <c r="S659" s="6"/>
      <c r="T659" s="4"/>
      <c r="U659" s="4"/>
      <c r="V659" s="4"/>
      <c r="W659" s="9"/>
      <c r="X659" s="9"/>
      <c r="Y659" s="9"/>
      <c r="Z659" s="9"/>
      <c r="AA659" s="9"/>
      <c r="AB659" s="9"/>
      <c r="AC659" s="449" t="str">
        <f t="shared" si="78"/>
        <v/>
      </c>
      <c r="AD659" s="449"/>
      <c r="AE659" s="449"/>
      <c r="AF659" s="4"/>
      <c r="AG659" s="83"/>
      <c r="AH659" s="4"/>
      <c r="AI659" s="4"/>
      <c r="AJ659" s="449"/>
      <c r="AK659" s="449"/>
      <c r="AL659" s="449"/>
      <c r="AM659" s="449"/>
      <c r="AN659" s="10"/>
      <c r="AO659" s="9"/>
      <c r="AP659" s="9"/>
      <c r="AQ659" s="9">
        <f>+FL_2($T$660,$T$658,$G$659,1200,9.28, 1*$F$660)</f>
        <v>-0.37323328431372538</v>
      </c>
      <c r="AR659" s="9"/>
      <c r="AS659" s="9"/>
      <c r="AT659" s="9"/>
      <c r="AU659" s="428"/>
      <c r="AV659" s="428"/>
      <c r="AW659" s="449" t="str">
        <f>IF(C659&gt;0,VLOOKUP(C659,Foundation_Calc!$A$2:$C$13,3,1),
IF(J659&gt;0,VLOOKUP(J659,Foundation_Calc!$A$2:$C$13,3,1),""))</f>
        <v>Multi Soil</v>
      </c>
      <c r="AX659" s="449" t="str">
        <f>IF(C659&gt;0,VLOOKUP(C659,Foundation_Calc!$E$35:$G$65,3,1),
IF(J659&gt;0,VLOOKUP(J659,Foundation_Calc!$E$35:$G$65,3,1),""))</f>
        <v>PT</v>
      </c>
      <c r="AY659" s="10" t="str">
        <f>IF(L659="","",
IF(AX659="PT",VLOOKUP(L659,Foundation_Calc!$K$79:$R$113,VLOOKUP(AW659,Foundation_Calc!$I$2:$J$8,2,FALSE),0),
IF(AX659="K",VLOOKUP(L659,Foundation_Calc!$K$117:$R$151,VLOOKUP(AW659,Foundation_Calc!$I$2:$J$8,2,FALSE),0),"")))</f>
        <v/>
      </c>
      <c r="AZ659" s="10">
        <f>IF(K659="","",
IF(AX659="PT",VLOOKUP(K659,Foundation_Calc!$K$79:$R$113,VLOOKUP(AW659,Foundation_Calc!$I$2:$J$8,2,FALSE),0),
IF(AX659="K",VLOOKUP(K659,Foundation_Calc!$K$117:$R$151,VLOOKUP(AW659,Foundation_Calc!$I$2:$J$8,2,FALSE),0),"")))</f>
        <v>3.9</v>
      </c>
      <c r="BA659" s="495" t="str">
        <f t="shared" si="82"/>
        <v/>
      </c>
      <c r="BB659" s="495" t="str">
        <f t="shared" si="83"/>
        <v>ü</v>
      </c>
      <c r="BC659" s="495" t="str">
        <f t="shared" si="84"/>
        <v/>
      </c>
      <c r="BD659" s="513" t="str">
        <f>IF(AND(L659="",H659=""),"",
IF(H659="",Pole_Calc!A$9,
IF(H659="MP",Pole_Calc!A$10,
IF(H659="AnMP",Pole_Calc!A$11,
IF(H659="A",Pole_Calc!A$12,
IF(H659="S/A",Pole_Calc!A$13,
IF(H659="A/S",Pole_Calc!A$14,"Poner a mano")))))))</f>
        <v/>
      </c>
      <c r="BE659" s="429" t="s">
        <v>118</v>
      </c>
      <c r="BF659" s="290"/>
      <c r="BG659" s="290"/>
      <c r="BH659" s="290"/>
      <c r="BI659" s="290"/>
    </row>
    <row r="660" spans="1:61" ht="15.75" customHeight="1">
      <c r="A660" s="514"/>
      <c r="B660" s="450" t="s">
        <v>1277</v>
      </c>
      <c r="C660" s="3">
        <f>+$C$658+$G$659</f>
        <v>45943.590000000018</v>
      </c>
      <c r="D660" s="83"/>
      <c r="E660" s="4"/>
      <c r="F660" s="4">
        <v>0</v>
      </c>
      <c r="G660" s="6"/>
      <c r="H660" s="449" t="s">
        <v>121</v>
      </c>
      <c r="I660" s="4" t="s">
        <v>122</v>
      </c>
      <c r="J660" s="3"/>
      <c r="K660" s="449"/>
      <c r="L660" s="449" t="s">
        <v>151</v>
      </c>
      <c r="M660" s="449" t="str">
        <f>IF(L660="","",
IF(AX660="PT",VLOOKUP(L660,Foundation_Calc!$V$79:$X$113,VLOOKUP(AX660,Foundation_Calc!$I$10:$J$13,2,FALSE),0),
IF(AX660="K",VLOOKUP(L660,Foundation_Calc!$V$117:$X$151,VLOOKUP(AX660,Foundation_Calc!$I$10:$J$13,2,FALSE),0),"")))</f>
        <v>C4R</v>
      </c>
      <c r="N660" s="449" t="s">
        <v>134</v>
      </c>
      <c r="O660" s="449"/>
      <c r="P660" s="449"/>
      <c r="Q660" s="4"/>
      <c r="R660" s="6"/>
      <c r="S660" s="6"/>
      <c r="T660" s="4">
        <v>35</v>
      </c>
      <c r="U660" s="4"/>
      <c r="V660" s="4"/>
      <c r="W660" s="9">
        <v>1.4</v>
      </c>
      <c r="X660" s="9"/>
      <c r="Y660" s="9"/>
      <c r="Z660" s="9"/>
      <c r="AA660" s="9"/>
      <c r="AB660" s="9"/>
      <c r="AC660" s="449" t="str">
        <f t="shared" si="78"/>
        <v>PHQ</v>
      </c>
      <c r="AD660" s="449"/>
      <c r="AE660" s="449"/>
      <c r="AF660" s="4"/>
      <c r="AG660" s="83"/>
      <c r="AH660" s="4"/>
      <c r="AI660" s="4"/>
      <c r="AJ660" s="449"/>
      <c r="AK660" s="449"/>
      <c r="AL660" s="449"/>
      <c r="AM660" s="449" t="s">
        <v>552</v>
      </c>
      <c r="AN660" s="10">
        <v>5.5</v>
      </c>
      <c r="AO660" s="9"/>
      <c r="AP660" s="9"/>
      <c r="AQ660" s="9"/>
      <c r="AR660" s="9"/>
      <c r="AS660" s="9"/>
      <c r="AT660" s="9">
        <f>+ab($T$660,$T$658,$U$662,$G$659,$G$661, 1*$F$660,1200)</f>
        <v>7.1428866795955077</v>
      </c>
      <c r="AU660" s="428"/>
      <c r="AV660" s="428"/>
      <c r="AW660" s="449" t="str">
        <f>IF(C660&gt;0,VLOOKUP(C660,Foundation_Calc!$A$2:$C$13,3,1),
IF(J660&gt;0,VLOOKUP(J660,Foundation_Calc!$A$2:$C$13,3,1),""))</f>
        <v>Multi Soil</v>
      </c>
      <c r="AX660" s="449" t="str">
        <f>IF(C660&gt;0,VLOOKUP(C660,Foundation_Calc!$E$35:$G$65,3,1),
IF(J660&gt;0,VLOOKUP(J660,Foundation_Calc!$E$35:$G$65,3,1),""))</f>
        <v>PT</v>
      </c>
      <c r="AY660" s="10">
        <f>IF(L660="","",
IF(AX660="PT",VLOOKUP(L660,Foundation_Calc!$K$79:$R$113,VLOOKUP(AW660,Foundation_Calc!$I$2:$J$8,2,FALSE),0),
IF(AX660="K",VLOOKUP(L660,Foundation_Calc!$K$117:$R$151,VLOOKUP(AW660,Foundation_Calc!$I$2:$J$8,2,FALSE),0),"")))</f>
        <v>3.5</v>
      </c>
      <c r="AZ660" s="10" t="str">
        <f>IF(K660="","",
IF(AX660="PT",VLOOKUP(K660,Foundation_Calc!$K$79:$R$113,VLOOKUP(AW660,Foundation_Calc!$I$2:$J$8,2,FALSE),0),
IF(AX660="K",VLOOKUP(K660,Foundation_Calc!$K$117:$R$151,VLOOKUP(AW660,Foundation_Calc!$I$2:$J$8,2,FALSE),0),"")))</f>
        <v/>
      </c>
      <c r="BA660" s="495" t="str">
        <f t="shared" si="79"/>
        <v>ü</v>
      </c>
      <c r="BB660" s="495" t="str">
        <f t="shared" si="80"/>
        <v/>
      </c>
      <c r="BC660" s="495" t="str">
        <f t="shared" si="81"/>
        <v/>
      </c>
      <c r="BD660" s="513" t="str">
        <f>IF(AND(L660="",H660=""),"",
IF(H660="",Pole_Calc!A$9,
IF(H660="MP",Pole_Calc!A$10,
IF(H660="AnMP",Pole_Calc!A$11,
IF(H660="A",Pole_Calc!A$12,
IF(H660="S/A",Pole_Calc!A$13,
IF(H660="A/S",Pole_Calc!A$14,"Poner a mano")))))))</f>
        <v>App.7-V11I-P9.5.1.6</v>
      </c>
      <c r="BE660" s="429" t="s">
        <v>118</v>
      </c>
      <c r="BF660" s="289"/>
      <c r="BG660" s="289"/>
      <c r="BH660" s="290"/>
      <c r="BI660" s="289"/>
    </row>
    <row r="661" spans="1:61" ht="15.75" customHeight="1">
      <c r="A661" s="514"/>
      <c r="B661" s="450"/>
      <c r="C661" s="3"/>
      <c r="D661" s="83"/>
      <c r="E661" s="4"/>
      <c r="F661" s="4"/>
      <c r="G661" s="6">
        <v>50</v>
      </c>
      <c r="H661" s="449"/>
      <c r="I661" s="4"/>
      <c r="J661" s="3"/>
      <c r="K661" s="449"/>
      <c r="L661" s="449"/>
      <c r="M661" s="449" t="str">
        <f>IF(L661="","",
IF(AX661="PT",VLOOKUP(L661,Foundation_Calc!$V$79:$X$113,VLOOKUP(AX661,Foundation_Calc!$I$10:$J$13,2,FALSE),0),
IF(AX661="K",VLOOKUP(L661,Foundation_Calc!$V$117:$X$151,VLOOKUP(AX661,Foundation_Calc!$I$10:$J$13,2,FALSE),0),"")))</f>
        <v/>
      </c>
      <c r="N661" s="449"/>
      <c r="O661" s="561"/>
      <c r="P661" s="449"/>
      <c r="Q661" s="4"/>
      <c r="R661" s="6"/>
      <c r="S661" s="6"/>
      <c r="T661" s="4"/>
      <c r="U661" s="4"/>
      <c r="V661" s="4"/>
      <c r="W661" s="9"/>
      <c r="X661" s="9"/>
      <c r="Y661" s="9"/>
      <c r="Z661" s="9"/>
      <c r="AA661" s="9"/>
      <c r="AB661" s="9"/>
      <c r="AC661" s="449" t="str">
        <f t="shared" si="78"/>
        <v/>
      </c>
      <c r="AD661" s="449"/>
      <c r="AE661" s="449"/>
      <c r="AF661" s="4"/>
      <c r="AG661" s="83"/>
      <c r="AH661" s="4"/>
      <c r="AI661" s="4"/>
      <c r="AJ661" s="449"/>
      <c r="AK661" s="449"/>
      <c r="AL661" s="449"/>
      <c r="AM661" s="449"/>
      <c r="AN661" s="10"/>
      <c r="AO661" s="9"/>
      <c r="AP661" s="9"/>
      <c r="AQ661" s="9">
        <f>+FL_1($U$662,$T$660,$G$661,1200,9.28, 1*$F$662)</f>
        <v>0.37593390799999998</v>
      </c>
      <c r="AR661" s="9"/>
      <c r="AS661" s="9"/>
      <c r="AT661" s="9"/>
      <c r="AU661" s="428"/>
      <c r="AV661" s="428"/>
      <c r="AW661" s="449" t="str">
        <f>IF(C661&gt;0,VLOOKUP(C661,Foundation_Calc!$A$2:$C$13,3,1),
IF(J661&gt;0,VLOOKUP(J661,Foundation_Calc!$A$2:$C$13,3,1),""))</f>
        <v/>
      </c>
      <c r="AX661" s="449" t="str">
        <f>IF(C661&gt;0,VLOOKUP(C661,Foundation_Calc!$E$35:$G$65,3,1),
IF(J661&gt;0,VLOOKUP(J661,Foundation_Calc!$E$35:$G$65,3,1),""))</f>
        <v/>
      </c>
      <c r="AY661" s="10" t="str">
        <f>IF(L661="","",
IF(AX661="PT",VLOOKUP(L661,Foundation_Calc!$K$79:$R$113,VLOOKUP(AW661,Foundation_Calc!$I$2:$J$8,2,FALSE),0),
IF(AX661="K",VLOOKUP(L661,Foundation_Calc!$K$117:$R$151,VLOOKUP(AW661,Foundation_Calc!$I$2:$J$8,2,FALSE),0),"")))</f>
        <v/>
      </c>
      <c r="AZ661" s="10" t="str">
        <f>IF(K661="","",
IF(AX661="PT",VLOOKUP(K661,Foundation_Calc!$K$79:$R$113,VLOOKUP(AW661,Foundation_Calc!$I$2:$J$8,2,FALSE),0),
IF(AX661="K",VLOOKUP(K661,Foundation_Calc!$K$117:$R$151,VLOOKUP(AW661,Foundation_Calc!$I$2:$J$8,2,FALSE),0),"")))</f>
        <v/>
      </c>
      <c r="BA661" s="495" t="str">
        <f t="shared" si="79"/>
        <v/>
      </c>
      <c r="BB661" s="495" t="str">
        <f t="shared" si="80"/>
        <v/>
      </c>
      <c r="BC661" s="495" t="str">
        <f t="shared" si="81"/>
        <v/>
      </c>
      <c r="BD661" s="513" t="str">
        <f>IF(AND(L661="",H661=""),"",
IF(H661="",Pole_Calc!A$9,
IF(H661="MP",Pole_Calc!A$10,
IF(H661="AnMP",Pole_Calc!A$11,
IF(H661="A",Pole_Calc!A$12,
IF(H661="S/A",Pole_Calc!A$13,
IF(H661="A/S",Pole_Calc!A$14,"Poner a mano")))))))</f>
        <v/>
      </c>
      <c r="BE661" s="429" t="s">
        <v>118</v>
      </c>
      <c r="BF661" s="290"/>
      <c r="BG661" s="290"/>
      <c r="BH661" s="290"/>
      <c r="BI661" s="290"/>
    </row>
    <row r="662" spans="1:61" ht="15.75" customHeight="1">
      <c r="A662" s="514"/>
      <c r="B662" s="450" t="s">
        <v>1278</v>
      </c>
      <c r="C662" s="3">
        <f>+$C$660+$G$661</f>
        <v>45993.590000000018</v>
      </c>
      <c r="D662" s="83"/>
      <c r="E662" s="4"/>
      <c r="F662" s="4">
        <v>0</v>
      </c>
      <c r="G662" s="6"/>
      <c r="H662" s="449" t="s">
        <v>131</v>
      </c>
      <c r="I662" s="4"/>
      <c r="J662" s="3"/>
      <c r="K662" s="449"/>
      <c r="L662" s="449" t="s">
        <v>183</v>
      </c>
      <c r="M662" s="449" t="str">
        <f>IF(L662="","",
IF(AX662="PT",VLOOKUP(L662,Foundation_Calc!$V$79:$X$113,VLOOKUP(AX662,Foundation_Calc!$I$10:$J$13,2,FALSE),0),
IF(AX662="K",VLOOKUP(L662,Foundation_Calc!$V$117:$X$151,VLOOKUP(AX662,Foundation_Calc!$I$10:$J$13,2,FALSE),0),"")))</f>
        <v>2C3R</v>
      </c>
      <c r="N662" s="449" t="s">
        <v>133</v>
      </c>
      <c r="O662" s="449" t="s">
        <v>124</v>
      </c>
      <c r="P662" s="449"/>
      <c r="Q662" s="4"/>
      <c r="R662" s="6"/>
      <c r="S662" s="6"/>
      <c r="T662" s="4">
        <v>15</v>
      </c>
      <c r="U662" s="4">
        <v>-30</v>
      </c>
      <c r="V662" s="4"/>
      <c r="W662" s="9">
        <v>1.4</v>
      </c>
      <c r="X662" s="9">
        <v>2.2999999999999998</v>
      </c>
      <c r="Y662" s="9"/>
      <c r="Z662" s="9">
        <v>0.45</v>
      </c>
      <c r="AA662" s="9"/>
      <c r="AB662" s="9"/>
      <c r="AC662" s="449"/>
      <c r="AD662" s="449"/>
      <c r="AE662" s="449"/>
      <c r="AF662" s="4"/>
      <c r="AG662" s="83"/>
      <c r="AH662" s="4"/>
      <c r="AI662" s="4"/>
      <c r="AJ662" s="449"/>
      <c r="AK662" s="449"/>
      <c r="AL662" s="449"/>
      <c r="AM662" s="449" t="s">
        <v>552</v>
      </c>
      <c r="AN662" s="10">
        <v>5.5</v>
      </c>
      <c r="AO662" s="9"/>
      <c r="AP662" s="9"/>
      <c r="AQ662" s="9"/>
      <c r="AR662" s="9"/>
      <c r="AS662" s="9"/>
      <c r="AT662" s="9">
        <f>+ab($U$662,$T$660,$U$664,$G$661,$G$663, 1*$F$662,1200)</f>
        <v>-11.822626863575874</v>
      </c>
      <c r="AU662" s="428"/>
      <c r="AV662" s="428"/>
      <c r="AW662" s="449" t="str">
        <f>IF(C662&gt;0,VLOOKUP(C662,Foundation_Calc!$A$2:$C$13,3,1),
IF(J662&gt;0,VLOOKUP(J662,Foundation_Calc!$A$2:$C$13,3,1),""))</f>
        <v>Multi Soil</v>
      </c>
      <c r="AX662" s="449" t="str">
        <f>IF(C662&gt;0,VLOOKUP(C662,Foundation_Calc!$E$35:$G$65,3,1),
IF(J662&gt;0,VLOOKUP(J662,Foundation_Calc!$E$35:$G$65,3,1),""))</f>
        <v>PT</v>
      </c>
      <c r="AY662" s="10">
        <f>IF(L662="","",
IF(AX662="PT",VLOOKUP(L662,Foundation_Calc!$K$79:$R$113,VLOOKUP(AW662,Foundation_Calc!$I$2:$J$8,2,FALSE),0),
IF(AX662="K",VLOOKUP(L662,Foundation_Calc!$K$117:$R$151,VLOOKUP(AW662,Foundation_Calc!$I$2:$J$8,2,FALSE),0),"")))</f>
        <v>3.7</v>
      </c>
      <c r="AZ662" s="10" t="str">
        <f>IF(K662="","",
IF(AX662="PT",VLOOKUP(K662,Foundation_Calc!$K$79:$R$113,VLOOKUP(AW662,Foundation_Calc!$I$2:$J$8,2,FALSE),0),
IF(AX662="K",VLOOKUP(K662,Foundation_Calc!$K$117:$R$151,VLOOKUP(AW662,Foundation_Calc!$I$2:$J$8,2,FALSE),0),"")))</f>
        <v/>
      </c>
      <c r="BA662" s="495" t="str">
        <f t="shared" si="79"/>
        <v>ü</v>
      </c>
      <c r="BB662" s="495" t="str">
        <f t="shared" si="80"/>
        <v/>
      </c>
      <c r="BC662" s="495" t="str">
        <f t="shared" si="81"/>
        <v/>
      </c>
      <c r="BD662" s="513" t="str">
        <f>IF(AND(L662="",H662=""),"",
IF(H662="",Pole_Calc!A$9,
IF(H662="MP",Pole_Calc!A$10,
IF(H662="AnMP",Pole_Calc!A$11,
IF(H662="A",Pole_Calc!A$12,
IF(H662="S/A",Pole_Calc!A$13,
IF(H662="A/S",Pole_Calc!A$14,"Poner a mano")))))))</f>
        <v>App.7-V11I-P9.5.1.5</v>
      </c>
      <c r="BE662" s="429" t="s">
        <v>118</v>
      </c>
      <c r="BF662" s="289"/>
      <c r="BG662" s="289"/>
      <c r="BH662" s="290"/>
      <c r="BI662" s="289"/>
    </row>
    <row r="663" spans="1:61" ht="15.75" customHeight="1">
      <c r="A663" s="514"/>
      <c r="B663" s="450"/>
      <c r="C663" s="3"/>
      <c r="D663" s="83"/>
      <c r="E663" s="4"/>
      <c r="F663" s="4"/>
      <c r="G663" s="6">
        <v>50</v>
      </c>
      <c r="H663" s="449"/>
      <c r="I663" s="4"/>
      <c r="J663" s="3"/>
      <c r="K663" s="449"/>
      <c r="L663" s="449"/>
      <c r="M663" s="449" t="str">
        <f>IF(L663="","",
IF(AX663="PT",VLOOKUP(L663,Foundation_Calc!$V$79:$X$113,VLOOKUP(AX663,Foundation_Calc!$I$10:$J$13,2,FALSE),0),
IF(AX663="K",VLOOKUP(L663,Foundation_Calc!$V$117:$X$151,VLOOKUP(AX663,Foundation_Calc!$I$10:$J$13,2,FALSE),0),"")))</f>
        <v/>
      </c>
      <c r="N663" s="449"/>
      <c r="O663" s="449"/>
      <c r="P663" s="449"/>
      <c r="Q663" s="4"/>
      <c r="R663" s="6"/>
      <c r="S663" s="6"/>
      <c r="T663" s="4"/>
      <c r="U663" s="4"/>
      <c r="V663" s="4"/>
      <c r="W663" s="9"/>
      <c r="X663" s="9"/>
      <c r="Y663" s="9"/>
      <c r="Z663" s="9"/>
      <c r="AA663" s="9"/>
      <c r="AB663" s="9"/>
      <c r="AC663" s="449" t="str">
        <f t="shared" ref="AC663:AC728" si="88">IF(OR(AT663&gt;8,AT663&lt;-8),"PH",
IF(OR(AT663&gt;5,AT663&lt;-5),"PHQ",
IF(OR(AT663&gt;1,AT663&lt;-1),
"PHC","")))</f>
        <v/>
      </c>
      <c r="AD663" s="449"/>
      <c r="AE663" s="449"/>
      <c r="AF663" s="4"/>
      <c r="AG663" s="83"/>
      <c r="AH663" s="4"/>
      <c r="AI663" s="4"/>
      <c r="AJ663" s="449"/>
      <c r="AK663" s="449"/>
      <c r="AL663" s="449"/>
      <c r="AM663" s="449"/>
      <c r="AN663" s="10"/>
      <c r="AO663" s="9"/>
      <c r="AP663" s="9"/>
      <c r="AQ663" s="9">
        <f>+FL_1($T$664,$U$662,$G$663,1200,9.28, 1*$F$664)</f>
        <v>0.33477011200000001</v>
      </c>
      <c r="AR663" s="9"/>
      <c r="AS663" s="9"/>
      <c r="AT663" s="9"/>
      <c r="AU663" s="428"/>
      <c r="AV663" s="428"/>
      <c r="AW663" s="449" t="str">
        <f>IF(C663&gt;0,VLOOKUP(C663,Foundation_Calc!$A$2:$C$13,3,1),
IF(J663&gt;0,VLOOKUP(J663,Foundation_Calc!$A$2:$C$13,3,1),""))</f>
        <v/>
      </c>
      <c r="AX663" s="449" t="str">
        <f>IF(C663&gt;0,VLOOKUP(C663,Foundation_Calc!$E$35:$G$65,3,1),
IF(J663&gt;0,VLOOKUP(J663,Foundation_Calc!$E$35:$G$65,3,1),""))</f>
        <v/>
      </c>
      <c r="AY663" s="10" t="str">
        <f>IF(L663="","",
IF(AX663="PT",VLOOKUP(L663,Foundation_Calc!$K$79:$R$113,VLOOKUP(AW663,Foundation_Calc!$I$2:$J$8,2,FALSE),0),
IF(AX663="K",VLOOKUP(L663,Foundation_Calc!$K$117:$R$151,VLOOKUP(AW663,Foundation_Calc!$I$2:$J$8,2,FALSE),0),"")))</f>
        <v/>
      </c>
      <c r="AZ663" s="10" t="str">
        <f>IF(K663="","",
IF(AX663="PT",VLOOKUP(K663,Foundation_Calc!$K$79:$R$113,VLOOKUP(AW663,Foundation_Calc!$I$2:$J$8,2,FALSE),0),
IF(AX663="K",VLOOKUP(K663,Foundation_Calc!$K$117:$R$151,VLOOKUP(AW663,Foundation_Calc!$I$2:$J$8,2,FALSE),0),"")))</f>
        <v/>
      </c>
      <c r="BA663" s="495" t="str">
        <f t="shared" si="79"/>
        <v/>
      </c>
      <c r="BB663" s="495" t="str">
        <f t="shared" si="80"/>
        <v/>
      </c>
      <c r="BC663" s="495" t="str">
        <f t="shared" si="81"/>
        <v/>
      </c>
      <c r="BD663" s="513" t="str">
        <f>IF(AND(L663="",H663=""),"",
IF(H663="",Pole_Calc!A$9,
IF(H663="MP",Pole_Calc!A$10,
IF(H663="AnMP",Pole_Calc!A$11,
IF(H663="A",Pole_Calc!A$12,
IF(H663="S/A",Pole_Calc!A$13,
IF(H663="A/S",Pole_Calc!A$14,"Poner a mano")))))))</f>
        <v/>
      </c>
      <c r="BE663" s="429" t="s">
        <v>118</v>
      </c>
      <c r="BF663" s="290"/>
      <c r="BG663" s="290"/>
      <c r="BH663" s="290"/>
      <c r="BI663" s="290"/>
    </row>
    <row r="664" spans="1:61" ht="15.75" customHeight="1">
      <c r="A664" s="897" t="s">
        <v>1279</v>
      </c>
      <c r="B664" s="450" t="s">
        <v>1280</v>
      </c>
      <c r="C664" s="3">
        <f>+$C$662+$G$663</f>
        <v>46043.590000000018</v>
      </c>
      <c r="D664" s="83"/>
      <c r="E664" s="4"/>
      <c r="F664" s="4">
        <v>0</v>
      </c>
      <c r="G664" s="6"/>
      <c r="H664" s="449" t="s">
        <v>131</v>
      </c>
      <c r="I664" s="895" t="s">
        <v>132</v>
      </c>
      <c r="J664" s="3"/>
      <c r="K664" s="449"/>
      <c r="L664" s="449" t="s">
        <v>183</v>
      </c>
      <c r="M664" s="449" t="str">
        <f>IF(L664="","",
IF(AX664="PT",VLOOKUP(L664,Foundation_Calc!$V$79:$X$113,VLOOKUP(AX664,Foundation_Calc!$I$10:$J$13,2,FALSE),0),
IF(AX664="K",VLOOKUP(L664,Foundation_Calc!$V$117:$X$151,VLOOKUP(AX664,Foundation_Calc!$I$10:$J$13,2,FALSE),0),"")))</f>
        <v>2C3RT</v>
      </c>
      <c r="N664" s="449" t="s">
        <v>134</v>
      </c>
      <c r="O664" s="449" t="s">
        <v>133</v>
      </c>
      <c r="P664" s="449"/>
      <c r="Q664" s="4"/>
      <c r="R664" s="6"/>
      <c r="S664" s="6"/>
      <c r="T664" s="4">
        <v>30</v>
      </c>
      <c r="U664" s="4">
        <v>-15</v>
      </c>
      <c r="V664" s="4"/>
      <c r="W664" s="9">
        <v>1.4</v>
      </c>
      <c r="X664" s="9">
        <v>2.2999999999999998</v>
      </c>
      <c r="Y664" s="9"/>
      <c r="Z664" s="9"/>
      <c r="AA664" s="9">
        <v>0.45</v>
      </c>
      <c r="AB664" s="9"/>
      <c r="AC664" s="449" t="str">
        <f t="shared" si="88"/>
        <v>PH</v>
      </c>
      <c r="AD664" s="449"/>
      <c r="AE664" s="449"/>
      <c r="AF664" s="4"/>
      <c r="AG664" s="83"/>
      <c r="AH664" s="4"/>
      <c r="AI664" s="4"/>
      <c r="AJ664" s="596" t="s">
        <v>290</v>
      </c>
      <c r="AK664" s="449"/>
      <c r="AL664" s="449"/>
      <c r="AM664" s="449" t="s">
        <v>552</v>
      </c>
      <c r="AN664" s="10">
        <v>5.5</v>
      </c>
      <c r="AO664" s="9"/>
      <c r="AP664" s="9"/>
      <c r="AQ664" s="9"/>
      <c r="AR664" s="9"/>
      <c r="AS664" s="9"/>
      <c r="AT664" s="9">
        <f>+ab($T$664,$T$662,$T$666,$G$663,$G$665, 1*$F$664,1200)</f>
        <v>10.867943087693687</v>
      </c>
      <c r="AU664" s="428"/>
      <c r="AV664" s="428"/>
      <c r="AW664" s="449" t="str">
        <f>IF(C664&gt;0,VLOOKUP(C664,Foundation_Calc!$A$2:$C$13,3,1),
IF(J664&gt;0,VLOOKUP(J664,Foundation_Calc!$A$2:$C$13,3,1),""))</f>
        <v>Multi Soil</v>
      </c>
      <c r="AX664" s="449" t="str">
        <f>IF(C664&gt;0,VLOOKUP(C664,Foundation_Calc!$E$35:$G$65,3,1),
IF(J664&gt;0,VLOOKUP(J664,Foundation_Calc!$E$35:$G$65,3,1),""))</f>
        <v>K</v>
      </c>
      <c r="AY664" s="10">
        <f>IF(L664="","",
IF(AX664="PT",VLOOKUP(L664,Foundation_Calc!$K$79:$R$113,VLOOKUP(AW664,Foundation_Calc!$I$2:$J$8,2,FALSE),0),
IF(AX664="K",VLOOKUP(L664,Foundation_Calc!$K$117:$R$151,VLOOKUP(AW664,Foundation_Calc!$I$2:$J$8,2,FALSE),0),"")))</f>
        <v>4.5</v>
      </c>
      <c r="AZ664" s="10" t="str">
        <f>IF(K664="","",
IF(AX664="PT",VLOOKUP(K664,Foundation_Calc!$K$79:$R$113,VLOOKUP(AW664,Foundation_Calc!$I$2:$J$8,2,FALSE),0),
IF(AX664="K",VLOOKUP(K664,Foundation_Calc!$K$117:$R$151,VLOOKUP(AW664,Foundation_Calc!$I$2:$J$8,2,FALSE),0),"")))</f>
        <v/>
      </c>
      <c r="BA664" s="495" t="str">
        <f t="shared" si="79"/>
        <v>ü</v>
      </c>
      <c r="BB664" s="495" t="str">
        <f t="shared" si="80"/>
        <v/>
      </c>
      <c r="BC664" s="495" t="str">
        <f t="shared" si="81"/>
        <v/>
      </c>
      <c r="BD664" s="513" t="str">
        <f>IF(AND(L664="",H664=""),"",
IF(H664="",Pole_Calc!A$9,
IF(H664="MP",Pole_Calc!A$10,
IF(H664="AnMP",Pole_Calc!A$11,
IF(H664="A",Pole_Calc!A$12,
IF(H664="S/A",Pole_Calc!A$13,
IF(H664="A/S",Pole_Calc!A$14,"Poner a mano")))))))</f>
        <v>App.7-V11I-P9.5.1.5</v>
      </c>
      <c r="BE664" s="429" t="s">
        <v>118</v>
      </c>
      <c r="BF664" s="289"/>
      <c r="BG664" s="289"/>
      <c r="BH664" s="290"/>
      <c r="BI664" s="289"/>
    </row>
    <row r="665" spans="1:61" ht="15.75" customHeight="1">
      <c r="A665" s="514"/>
      <c r="B665" s="450"/>
      <c r="C665" s="3"/>
      <c r="D665" s="83"/>
      <c r="E665" s="4"/>
      <c r="F665" s="4"/>
      <c r="G665" s="6">
        <v>45</v>
      </c>
      <c r="H665" s="449"/>
      <c r="I665" s="4"/>
      <c r="J665" s="3"/>
      <c r="K665" s="449"/>
      <c r="L665" s="449"/>
      <c r="M665" s="449" t="str">
        <f>IF(L665="","",
IF(AX665="PT",VLOOKUP(L665,Foundation_Calc!$V$79:$X$113,VLOOKUP(AX665,Foundation_Calc!$I$10:$J$13,2,FALSE),0),
IF(AX665="K",VLOOKUP(L665,Foundation_Calc!$V$117:$X$151,VLOOKUP(AX665,Foundation_Calc!$I$10:$J$13,2,FALSE),0),"")))</f>
        <v/>
      </c>
      <c r="N665" s="449"/>
      <c r="O665" s="449"/>
      <c r="P665" s="449"/>
      <c r="Q665" s="4"/>
      <c r="R665" s="6"/>
      <c r="S665" s="6"/>
      <c r="T665" s="4"/>
      <c r="U665" s="4"/>
      <c r="V665" s="4"/>
      <c r="W665" s="9"/>
      <c r="X665" s="9"/>
      <c r="Y665" s="9"/>
      <c r="Z665" s="9"/>
      <c r="AA665" s="9"/>
      <c r="AB665" s="9"/>
      <c r="AC665" s="449" t="str">
        <f t="shared" si="88"/>
        <v/>
      </c>
      <c r="AD665" s="449"/>
      <c r="AE665" s="449"/>
      <c r="AF665" s="4"/>
      <c r="AG665" s="83"/>
      <c r="AH665" s="4"/>
      <c r="AI665" s="4"/>
      <c r="AJ665" s="449"/>
      <c r="AK665" s="449"/>
      <c r="AL665" s="449"/>
      <c r="AM665" s="449"/>
      <c r="AN665" s="10"/>
      <c r="AO665" s="9"/>
      <c r="AP665" s="9"/>
      <c r="AQ665" s="9">
        <f>+FL_2($T$666,$T$664,$G$665,1200,9.28, 1*$F$666)</f>
        <v>-0.35564782755555552</v>
      </c>
      <c r="AR665" s="9"/>
      <c r="AS665" s="9"/>
      <c r="AT665" s="9"/>
      <c r="AU665" s="428"/>
      <c r="AV665" s="428"/>
      <c r="AW665" s="449" t="str">
        <f>IF(C665&gt;0,VLOOKUP(C665,Foundation_Calc!$A$2:$C$13,3,1),
IF(J665&gt;0,VLOOKUP(J665,Foundation_Calc!$A$2:$C$13,3,1),""))</f>
        <v/>
      </c>
      <c r="AX665" s="449" t="str">
        <f>IF(C665&gt;0,VLOOKUP(C665,Foundation_Calc!$E$35:$G$65,3,1),
IF(J665&gt;0,VLOOKUP(J665,Foundation_Calc!$E$35:$G$65,3,1),""))</f>
        <v/>
      </c>
      <c r="AY665" s="10" t="str">
        <f>IF(L665="","",
IF(AX665="PT",VLOOKUP(L665,Foundation_Calc!$K$79:$R$113,VLOOKUP(AW665,Foundation_Calc!$I$2:$J$8,2,FALSE),0),
IF(AX665="K",VLOOKUP(L665,Foundation_Calc!$K$117:$R$151,VLOOKUP(AW665,Foundation_Calc!$I$2:$J$8,2,FALSE),0),"")))</f>
        <v/>
      </c>
      <c r="AZ665" s="10" t="str">
        <f>IF(K665="","",
IF(AX665="PT",VLOOKUP(K665,Foundation_Calc!$K$79:$R$113,VLOOKUP(AW665,Foundation_Calc!$I$2:$J$8,2,FALSE),0),
IF(AX665="K",VLOOKUP(K665,Foundation_Calc!$K$117:$R$151,VLOOKUP(AW665,Foundation_Calc!$I$2:$J$8,2,FALSE),0),"")))</f>
        <v/>
      </c>
      <c r="BA665" s="495" t="str">
        <f t="shared" si="79"/>
        <v/>
      </c>
      <c r="BB665" s="495" t="str">
        <f t="shared" si="80"/>
        <v/>
      </c>
      <c r="BC665" s="495" t="str">
        <f t="shared" si="81"/>
        <v/>
      </c>
      <c r="BD665" s="513" t="str">
        <f>IF(AND(L665="",H665=""),"",
IF(H665="",Pole_Calc!A$9,
IF(H665="MP",Pole_Calc!A$10,
IF(H665="AnMP",Pole_Calc!A$11,
IF(H665="A",Pole_Calc!A$12,
IF(H665="S/A",Pole_Calc!A$13,
IF(H665="A/S",Pole_Calc!A$14,"Poner a mano")))))))</f>
        <v/>
      </c>
      <c r="BE665" s="429" t="s">
        <v>118</v>
      </c>
      <c r="BF665" s="290"/>
      <c r="BG665" s="290"/>
      <c r="BH665" s="290"/>
      <c r="BI665" s="290"/>
    </row>
    <row r="666" spans="1:61" ht="15.75" customHeight="1">
      <c r="A666" s="514"/>
      <c r="B666" s="450" t="s">
        <v>1281</v>
      </c>
      <c r="C666" s="3">
        <f>+$C$664+$G$665</f>
        <v>46088.590000000018</v>
      </c>
      <c r="D666" s="83"/>
      <c r="E666" s="4"/>
      <c r="F666" s="4">
        <v>0</v>
      </c>
      <c r="G666" s="6"/>
      <c r="H666" s="449" t="s">
        <v>121</v>
      </c>
      <c r="I666" s="4" t="s">
        <v>122</v>
      </c>
      <c r="J666" s="3"/>
      <c r="K666" s="449"/>
      <c r="L666" s="449" t="s">
        <v>151</v>
      </c>
      <c r="M666" s="449" t="str">
        <f>IF(L666="","",
IF(AX666="PT",VLOOKUP(L666,Foundation_Calc!$V$79:$X$113,VLOOKUP(AX666,Foundation_Calc!$I$10:$J$13,2,FALSE),0),
IF(AX666="K",VLOOKUP(L666,Foundation_Calc!$V$117:$X$151,VLOOKUP(AX666,Foundation_Calc!$I$10:$J$13,2,FALSE),0),"")))</f>
        <v>C4RT</v>
      </c>
      <c r="N666" s="449" t="s">
        <v>124</v>
      </c>
      <c r="O666" s="449"/>
      <c r="P666" s="449"/>
      <c r="Q666" s="4"/>
      <c r="R666" s="6"/>
      <c r="S666" s="6"/>
      <c r="T666" s="4">
        <v>-35</v>
      </c>
      <c r="U666" s="4"/>
      <c r="V666" s="4"/>
      <c r="W666" s="9">
        <v>1.4</v>
      </c>
      <c r="X666" s="9"/>
      <c r="Y666" s="9"/>
      <c r="Z666" s="9"/>
      <c r="AA666" s="9"/>
      <c r="AB666" s="9"/>
      <c r="AC666" s="449" t="str">
        <f t="shared" si="88"/>
        <v>PHQ</v>
      </c>
      <c r="AD666" s="449"/>
      <c r="AE666" s="449"/>
      <c r="AF666" s="4"/>
      <c r="AG666" s="83"/>
      <c r="AH666" s="4"/>
      <c r="AI666" s="4"/>
      <c r="AJ666" s="449"/>
      <c r="AK666" s="449"/>
      <c r="AL666" s="449"/>
      <c r="AM666" s="449" t="s">
        <v>552</v>
      </c>
      <c r="AN666" s="10">
        <v>5.5</v>
      </c>
      <c r="AO666" s="9"/>
      <c r="AP666" s="9"/>
      <c r="AQ666" s="9"/>
      <c r="AR666" s="9"/>
      <c r="AS666" s="9"/>
      <c r="AT666" s="9">
        <f>+ab($T$666,$T$664,$T$668,$G$665,$G$667, 1*$F$666,1200)</f>
        <v>-7.026791032475054</v>
      </c>
      <c r="AU666" s="428"/>
      <c r="AV666" s="428"/>
      <c r="AW666" s="449" t="str">
        <f>IF(C666&gt;0,VLOOKUP(C666,Foundation_Calc!$A$2:$C$13,3,1),
IF(J666&gt;0,VLOOKUP(J666,Foundation_Calc!$A$2:$C$13,3,1),""))</f>
        <v>Multi Soil</v>
      </c>
      <c r="AX666" s="449" t="str">
        <f>IF(C666&gt;0,VLOOKUP(C666,Foundation_Calc!$E$35:$G$65,3,1),
IF(J666&gt;0,VLOOKUP(J666,Foundation_Calc!$E$35:$G$65,3,1),""))</f>
        <v>K</v>
      </c>
      <c r="AY666" s="10">
        <f>IF(L666="","",
IF(AX666="PT",VLOOKUP(L666,Foundation_Calc!$K$79:$R$113,VLOOKUP(AW666,Foundation_Calc!$I$2:$J$8,2,FALSE),0),
IF(AX666="K",VLOOKUP(L666,Foundation_Calc!$K$117:$R$151,VLOOKUP(AW666,Foundation_Calc!$I$2:$J$8,2,FALSE),0),"")))</f>
        <v>4.2</v>
      </c>
      <c r="AZ666" s="10" t="str">
        <f>IF(K666="","",
IF(AX666="PT",VLOOKUP(K666,Foundation_Calc!$K$79:$R$113,VLOOKUP(AW666,Foundation_Calc!$I$2:$J$8,2,FALSE),0),
IF(AX666="K",VLOOKUP(K666,Foundation_Calc!$K$117:$R$151,VLOOKUP(AW666,Foundation_Calc!$I$2:$J$8,2,FALSE),0),"")))</f>
        <v/>
      </c>
      <c r="BA666" s="495" t="str">
        <f t="shared" si="79"/>
        <v>ü</v>
      </c>
      <c r="BB666" s="495" t="str">
        <f t="shared" si="80"/>
        <v/>
      </c>
      <c r="BC666" s="495" t="str">
        <f t="shared" si="81"/>
        <v/>
      </c>
      <c r="BD666" s="513" t="str">
        <f>IF(AND(L666="",H666=""),"",
IF(H666="",Pole_Calc!A$9,
IF(H666="MP",Pole_Calc!A$10,
IF(H666="AnMP",Pole_Calc!A$11,
IF(H666="A",Pole_Calc!A$12,
IF(H666="S/A",Pole_Calc!A$13,
IF(H666="A/S",Pole_Calc!A$14,"Poner a mano")))))))</f>
        <v>App.7-V11I-P9.5.1.6</v>
      </c>
      <c r="BE666" s="429" t="s">
        <v>118</v>
      </c>
      <c r="BF666" s="289"/>
      <c r="BG666" s="289"/>
      <c r="BH666" s="290"/>
      <c r="BI666" s="289"/>
    </row>
    <row r="667" spans="1:61" ht="15.75" customHeight="1">
      <c r="A667" s="514"/>
      <c r="B667" s="450"/>
      <c r="C667" s="3"/>
      <c r="D667" s="83"/>
      <c r="E667" s="4"/>
      <c r="F667" s="4"/>
      <c r="G667" s="6">
        <v>55</v>
      </c>
      <c r="H667" s="449"/>
      <c r="I667" s="4"/>
      <c r="J667" s="3">
        <f>C666+7.5</f>
        <v>46096.090000000018</v>
      </c>
      <c r="K667" s="449" t="s">
        <v>315</v>
      </c>
      <c r="L667" s="449"/>
      <c r="M667" s="449" t="str">
        <f>IF(L667="","",
IF(AX667="PT",VLOOKUP(L667,Foundation_Calc!$V$79:$X$113,VLOOKUP(AX667,Foundation_Calc!$I$10:$J$13,2,FALSE),0),
IF(AX667="K",VLOOKUP(L667,Foundation_Calc!$V$117:$X$151,VLOOKUP(AX667,Foundation_Calc!$I$10:$J$13,2,FALSE),0),"")))</f>
        <v/>
      </c>
      <c r="N667" s="449"/>
      <c r="O667" s="561"/>
      <c r="P667" s="449"/>
      <c r="Q667" s="4"/>
      <c r="R667" s="6"/>
      <c r="S667" s="6"/>
      <c r="T667" s="4"/>
      <c r="U667" s="4"/>
      <c r="V667" s="4"/>
      <c r="W667" s="9"/>
      <c r="X667" s="9"/>
      <c r="Y667" s="9"/>
      <c r="Z667" s="9"/>
      <c r="AA667" s="9"/>
      <c r="AB667" s="9"/>
      <c r="AC667" s="449" t="str">
        <f t="shared" si="88"/>
        <v/>
      </c>
      <c r="AD667" s="449"/>
      <c r="AE667" s="449"/>
      <c r="AF667" s="4"/>
      <c r="AG667" s="83"/>
      <c r="AH667" s="4"/>
      <c r="AI667" s="4"/>
      <c r="AJ667" s="449"/>
      <c r="AK667" s="449"/>
      <c r="AL667" s="449"/>
      <c r="AM667" s="449"/>
      <c r="AN667" s="10"/>
      <c r="AO667" s="9"/>
      <c r="AP667" s="9"/>
      <c r="AQ667" s="9">
        <f>+FL_2($T$668,$T$666,$G$667,1200,9.28, 1*$F$668)</f>
        <v>-0.39714735709090898</v>
      </c>
      <c r="AR667" s="9"/>
      <c r="AS667" s="9"/>
      <c r="AT667" s="9"/>
      <c r="AU667" s="428"/>
      <c r="AV667" s="428"/>
      <c r="AW667" s="449" t="str">
        <f>IF(C667&gt;0,VLOOKUP(C667,Foundation_Calc!$A$2:$C$13,3,1),
IF(J667&gt;0,VLOOKUP(J667,Foundation_Calc!$A$2:$C$13,3,1),""))</f>
        <v>Multi Soil</v>
      </c>
      <c r="AX667" s="449" t="str">
        <f>IF(C667&gt;0,VLOOKUP(C667,Foundation_Calc!$E$35:$G$65,3,1),
IF(J667&gt;0,VLOOKUP(J667,Foundation_Calc!$E$35:$G$65,3,1),""))</f>
        <v>K</v>
      </c>
      <c r="AY667" s="10" t="str">
        <f>IF(L667="","",
IF(AX667="PT",VLOOKUP(L667,Foundation_Calc!$K$79:$R$113,VLOOKUP(AW667,Foundation_Calc!$I$2:$J$8,2,FALSE),0),
IF(AX667="K",VLOOKUP(L667,Foundation_Calc!$K$117:$R$151,VLOOKUP(AW667,Foundation_Calc!$I$2:$J$8,2,FALSE),0),"")))</f>
        <v/>
      </c>
      <c r="AZ667" s="10">
        <f>IF(K667="","",
IF(AX667="PT",VLOOKUP(K667,Foundation_Calc!$K$79:$R$113,VLOOKUP(AW667,Foundation_Calc!$I$2:$J$8,2,FALSE),0),
IF(AX667="K",VLOOKUP(K667,Foundation_Calc!$K$117:$R$151,VLOOKUP(AW667,Foundation_Calc!$I$2:$J$8,2,FALSE),0),"")))</f>
        <v>3.9</v>
      </c>
      <c r="BA667" s="495" t="str">
        <f t="shared" si="79"/>
        <v/>
      </c>
      <c r="BB667" s="495" t="str">
        <f t="shared" si="80"/>
        <v>ü</v>
      </c>
      <c r="BC667" s="495" t="str">
        <f t="shared" si="81"/>
        <v/>
      </c>
      <c r="BD667" s="513" t="str">
        <f>IF(AND(L667="",H667=""),"",
IF(H667="",Pole_Calc!A$9,
IF(H667="MP",Pole_Calc!A$10,
IF(H667="AnMP",Pole_Calc!A$11,
IF(H667="A",Pole_Calc!A$12,
IF(H667="S/A",Pole_Calc!A$13,
IF(H667="A/S",Pole_Calc!A$14,"Poner a mano")))))))</f>
        <v/>
      </c>
      <c r="BE667" s="429" t="s">
        <v>118</v>
      </c>
      <c r="BF667" s="290"/>
      <c r="BG667" s="290"/>
      <c r="BH667" s="290"/>
      <c r="BI667" s="290"/>
    </row>
    <row r="668" spans="1:61" ht="15.75" customHeight="1">
      <c r="A668" s="514"/>
      <c r="B668" s="450" t="s">
        <v>1282</v>
      </c>
      <c r="C668" s="3">
        <f>+$C$666+$G$667</f>
        <v>46143.590000000018</v>
      </c>
      <c r="D668" s="83"/>
      <c r="E668" s="4"/>
      <c r="F668" s="4">
        <v>0</v>
      </c>
      <c r="G668" s="6"/>
      <c r="H668" s="449"/>
      <c r="I668" s="4"/>
      <c r="J668" s="3"/>
      <c r="K668" s="449"/>
      <c r="L668" s="449" t="s">
        <v>153</v>
      </c>
      <c r="M668" s="449" t="str">
        <f>IF(L668="","",
IF(AX668="PT",VLOOKUP(L668,Foundation_Calc!$V$79:$X$113,VLOOKUP(AX668,Foundation_Calc!$I$10:$J$13,2,FALSE),0),
IF(AX668="K",VLOOKUP(L668,Foundation_Calc!$V$117:$X$151,VLOOKUP(AX668,Foundation_Calc!$I$10:$J$13,2,FALSE),0),"")))</f>
        <v>C3RT</v>
      </c>
      <c r="N668" s="449" t="s">
        <v>134</v>
      </c>
      <c r="O668" s="449"/>
      <c r="P668" s="449"/>
      <c r="Q668" s="4"/>
      <c r="R668" s="6"/>
      <c r="S668" s="6"/>
      <c r="T668" s="4">
        <v>35</v>
      </c>
      <c r="U668" s="4"/>
      <c r="V668" s="4"/>
      <c r="W668" s="9">
        <v>1.4</v>
      </c>
      <c r="X668" s="9"/>
      <c r="Y668" s="9"/>
      <c r="Z668" s="9"/>
      <c r="AA668" s="9"/>
      <c r="AB668" s="9"/>
      <c r="AC668" s="449" t="str">
        <f t="shared" si="88"/>
        <v>PHQ</v>
      </c>
      <c r="AD668" s="449"/>
      <c r="AE668" s="449"/>
      <c r="AF668" s="4"/>
      <c r="AG668" s="83"/>
      <c r="AH668" s="4"/>
      <c r="AI668" s="4"/>
      <c r="AJ668" s="449"/>
      <c r="AK668" s="449"/>
      <c r="AL668" s="449"/>
      <c r="AM668" s="449" t="s">
        <v>552</v>
      </c>
      <c r="AN668" s="10">
        <v>5.5</v>
      </c>
      <c r="AO668" s="9"/>
      <c r="AP668" s="9"/>
      <c r="AQ668" s="9"/>
      <c r="AR668" s="9"/>
      <c r="AS668" s="9"/>
      <c r="AT668" s="9">
        <f>+ab($T$668,$T$666,$T$670,$G$667,$G$669, 1*$F$668,1200)</f>
        <v>7.5224155347479496</v>
      </c>
      <c r="AU668" s="428"/>
      <c r="AV668" s="428"/>
      <c r="AW668" s="449" t="str">
        <f>IF(C668&gt;0,VLOOKUP(C668,Foundation_Calc!$A$2:$C$13,3,1),
IF(J668&gt;0,VLOOKUP(J668,Foundation_Calc!$A$2:$C$13,3,1),""))</f>
        <v>Multi Soil</v>
      </c>
      <c r="AX668" s="449" t="str">
        <f>IF(C668&gt;0,VLOOKUP(C668,Foundation_Calc!$E$35:$G$65,3,1),
IF(J668&gt;0,VLOOKUP(J668,Foundation_Calc!$E$35:$G$65,3,1),""))</f>
        <v>K</v>
      </c>
      <c r="AY668" s="10">
        <f>IF(L668="","",
IF(AX668="PT",VLOOKUP(L668,Foundation_Calc!$K$79:$R$113,VLOOKUP(AW668,Foundation_Calc!$I$2:$J$8,2,FALSE),0),
IF(AX668="K",VLOOKUP(L668,Foundation_Calc!$K$117:$R$151,VLOOKUP(AW668,Foundation_Calc!$I$2:$J$8,2,FALSE),0),"")))</f>
        <v>4</v>
      </c>
      <c r="AZ668" s="10" t="str">
        <f>IF(K668="","",
IF(AX668="PT",VLOOKUP(K668,Foundation_Calc!$K$79:$R$113,VLOOKUP(AW668,Foundation_Calc!$I$2:$J$8,2,FALSE),0),
IF(AX668="K",VLOOKUP(K668,Foundation_Calc!$K$117:$R$151,VLOOKUP(AW668,Foundation_Calc!$I$2:$J$8,2,FALSE),0),"")))</f>
        <v/>
      </c>
      <c r="BA668" s="495" t="str">
        <f t="shared" ref="BA668:BA708" si="89">IF(AY668="","",IF(AY668&gt;0,"ü",""))</f>
        <v>ü</v>
      </c>
      <c r="BB668" s="495" t="str">
        <f t="shared" ref="BB668:BB708" si="90">IF(AZ668="","",IF(AZ668&gt;0,"ü",""))</f>
        <v/>
      </c>
      <c r="BC668" s="495" t="str">
        <f t="shared" ref="BC668:BC708" si="91">IF(M668="","",IF(M668="U.S.","ü",IF(M668="U.S. N.D.","ü","")))</f>
        <v/>
      </c>
      <c r="BD668" s="513" t="str">
        <f>IF(AND(L668="",H668=""),"",
IF(H668="",Pole_Calc!A$9,
IF(H668="MP",Pole_Calc!A$10,
IF(H668="AnMP",Pole_Calc!A$11,
IF(H668="A",Pole_Calc!A$12,
IF(H668="S/A",Pole_Calc!A$13,
IF(H668="A/S",Pole_Calc!A$14,"Poner a mano")))))))</f>
        <v>App.7-V11I-P9.5.1.1</v>
      </c>
      <c r="BE668" s="429" t="s">
        <v>118</v>
      </c>
      <c r="BF668" s="289"/>
      <c r="BG668" s="289"/>
      <c r="BH668" s="290"/>
      <c r="BI668" s="289"/>
    </row>
    <row r="669" spans="1:61" ht="15.75" customHeight="1">
      <c r="A669" s="518"/>
      <c r="B669" s="450"/>
      <c r="C669" s="3"/>
      <c r="D669" s="83"/>
      <c r="E669" s="4"/>
      <c r="F669" s="4"/>
      <c r="G669" s="6">
        <v>55.4</v>
      </c>
      <c r="H669" s="449"/>
      <c r="I669" s="4"/>
      <c r="J669" s="3"/>
      <c r="K669" s="449"/>
      <c r="L669" s="449"/>
      <c r="M669" s="449" t="str">
        <f>IF(L669="","",
IF(AX669="PT",VLOOKUP(L669,Foundation_Calc!$V$79:$X$113,VLOOKUP(AX669,Foundation_Calc!$I$10:$J$13,2,FALSE),0),
IF(AX669="K",VLOOKUP(L669,Foundation_Calc!$V$117:$X$151,VLOOKUP(AX669,Foundation_Calc!$I$10:$J$13,2,FALSE),0),"")))</f>
        <v/>
      </c>
      <c r="N669" s="449"/>
      <c r="O669" s="449"/>
      <c r="P669" s="449"/>
      <c r="Q669" s="4"/>
      <c r="R669" s="6"/>
      <c r="S669" s="6"/>
      <c r="T669" s="4"/>
      <c r="U669" s="4"/>
      <c r="V669" s="4"/>
      <c r="W669" s="9"/>
      <c r="X669" s="9"/>
      <c r="Y669" s="9"/>
      <c r="Z669" s="9"/>
      <c r="AA669" s="9"/>
      <c r="AB669" s="9"/>
      <c r="AC669" s="449" t="str">
        <f t="shared" si="88"/>
        <v/>
      </c>
      <c r="AD669" s="449"/>
      <c r="AE669" s="449"/>
      <c r="AF669" s="4"/>
      <c r="AG669" s="83"/>
      <c r="AH669" s="4"/>
      <c r="AI669" s="4"/>
      <c r="AJ669" s="449"/>
      <c r="AK669" s="449"/>
      <c r="AL669" s="449"/>
      <c r="AM669" s="449"/>
      <c r="AN669" s="10"/>
      <c r="AO669" s="9"/>
      <c r="AP669" s="9"/>
      <c r="AQ669" s="9">
        <f>+FL_1($T$670,$T$668,$G$669,1200,9.28, 1*$F$670)</f>
        <v>0.39990926186281589</v>
      </c>
      <c r="AR669" s="9"/>
      <c r="AS669" s="9"/>
      <c r="AT669" s="9"/>
      <c r="AU669" s="428"/>
      <c r="AV669" s="428"/>
      <c r="AW669" s="449" t="str">
        <f>IF(C669&gt;0,VLOOKUP(C669,Foundation_Calc!$A$2:$C$13,3,1),
IF(J669&gt;0,VLOOKUP(J669,Foundation_Calc!$A$2:$C$13,3,1),""))</f>
        <v/>
      </c>
      <c r="AX669" s="449" t="str">
        <f>IF(C669&gt;0,VLOOKUP(C669,Foundation_Calc!$E$35:$G$65,3,1),
IF(J669&gt;0,VLOOKUP(J669,Foundation_Calc!$E$35:$G$65,3,1),""))</f>
        <v/>
      </c>
      <c r="AY669" s="10" t="str">
        <f>IF(L669="","",
IF(AX669="PT",VLOOKUP(L669,Foundation_Calc!$K$79:$R$113,VLOOKUP(AW669,Foundation_Calc!$I$2:$J$8,2,FALSE),0),
IF(AX669="K",VLOOKUP(L669,Foundation_Calc!$K$117:$R$151,VLOOKUP(AW669,Foundation_Calc!$I$2:$J$8,2,FALSE),0),"")))</f>
        <v/>
      </c>
      <c r="AZ669" s="10" t="str">
        <f>IF(K669="","",
IF(AX669="PT",VLOOKUP(K669,Foundation_Calc!$K$79:$R$113,VLOOKUP(AW669,Foundation_Calc!$I$2:$J$8,2,FALSE),0),
IF(AX669="K",VLOOKUP(K669,Foundation_Calc!$K$117:$R$151,VLOOKUP(AW669,Foundation_Calc!$I$2:$J$8,2,FALSE),0),"")))</f>
        <v/>
      </c>
      <c r="BA669" s="495" t="str">
        <f t="shared" si="89"/>
        <v/>
      </c>
      <c r="BB669" s="495" t="str">
        <f t="shared" si="90"/>
        <v/>
      </c>
      <c r="BC669" s="495" t="str">
        <f t="shared" si="91"/>
        <v/>
      </c>
      <c r="BD669" s="513" t="str">
        <f>IF(AND(L669="",H669=""),"",
IF(H669="",Pole_Calc!A$9,
IF(H669="MP",Pole_Calc!A$10,
IF(H669="AnMP",Pole_Calc!A$11,
IF(H669="A",Pole_Calc!A$12,
IF(H669="S/A",Pole_Calc!A$13,
IF(H669="A/S",Pole_Calc!A$14,"Poner a mano")))))))</f>
        <v/>
      </c>
      <c r="BE669" s="429" t="s">
        <v>118</v>
      </c>
      <c r="BF669" s="290"/>
      <c r="BG669" s="290"/>
      <c r="BH669" s="290"/>
      <c r="BI669" s="290"/>
    </row>
    <row r="670" spans="1:61" ht="15.75" customHeight="1">
      <c r="A670" s="514"/>
      <c r="B670" s="450" t="s">
        <v>1283</v>
      </c>
      <c r="C670" s="3">
        <f>+$C$668+$G$669</f>
        <v>46198.99000000002</v>
      </c>
      <c r="D670" s="83"/>
      <c r="E670" s="4"/>
      <c r="F670" s="4">
        <v>0</v>
      </c>
      <c r="G670" s="6"/>
      <c r="H670" s="449"/>
      <c r="I670" s="449"/>
      <c r="J670" s="3"/>
      <c r="K670" s="449"/>
      <c r="L670" s="449" t="s">
        <v>153</v>
      </c>
      <c r="M670" s="449" t="str">
        <f>IF(L670="","",
IF(AX670="PT",VLOOKUP(L670,Foundation_Calc!$V$79:$X$113,VLOOKUP(AX670,Foundation_Calc!$I$10:$J$13,2,FALSE),0),
IF(AX670="K",VLOOKUP(L670,Foundation_Calc!$V$117:$X$151,VLOOKUP(AX670,Foundation_Calc!$I$10:$J$13,2,FALSE),0),"")))</f>
        <v>C3RT</v>
      </c>
      <c r="N670" s="449" t="s">
        <v>124</v>
      </c>
      <c r="O670" s="449"/>
      <c r="P670" s="449"/>
      <c r="Q670" s="4"/>
      <c r="R670" s="6"/>
      <c r="S670" s="6"/>
      <c r="T670" s="4">
        <v>-35</v>
      </c>
      <c r="U670" s="4"/>
      <c r="V670" s="4"/>
      <c r="W670" s="9">
        <v>1.4</v>
      </c>
      <c r="X670" s="9"/>
      <c r="Y670" s="9"/>
      <c r="Z670" s="9"/>
      <c r="AA670" s="9"/>
      <c r="AB670" s="9"/>
      <c r="AC670" s="449" t="str">
        <f t="shared" si="88"/>
        <v>PHQ</v>
      </c>
      <c r="AD670" s="449"/>
      <c r="AE670" s="449"/>
      <c r="AF670" s="4"/>
      <c r="AG670" s="83"/>
      <c r="AH670" s="4"/>
      <c r="AI670" s="4"/>
      <c r="AJ670" s="449"/>
      <c r="AK670" s="449"/>
      <c r="AL670" s="449"/>
      <c r="AM670" s="449" t="s">
        <v>552</v>
      </c>
      <c r="AN670" s="10">
        <v>5.5</v>
      </c>
      <c r="AO670" s="9"/>
      <c r="AP670" s="9"/>
      <c r="AQ670" s="9"/>
      <c r="AR670" s="9"/>
      <c r="AS670" s="9"/>
      <c r="AT670" s="9">
        <f>+ab($T$670,$T$668,$T$672,$G$669,$G$671, 1*$F$670,1200)</f>
        <v>-7.2406728616324232</v>
      </c>
      <c r="AU670" s="428"/>
      <c r="AV670" s="428"/>
      <c r="AW670" s="449" t="str">
        <f>IF(C670&gt;0,VLOOKUP(C670,Foundation_Calc!$A$2:$C$13,3,1),
IF(J670&gt;0,VLOOKUP(J670,Foundation_Calc!$A$2:$C$13,3,1),""))</f>
        <v>Multi Soil</v>
      </c>
      <c r="AX670" s="449" t="str">
        <f>IF(C670&gt;0,VLOOKUP(C670,Foundation_Calc!$E$35:$G$65,3,1),
IF(J670&gt;0,VLOOKUP(J670,Foundation_Calc!$E$35:$G$65,3,1),""))</f>
        <v>K</v>
      </c>
      <c r="AY670" s="10">
        <f>IF(L670="","",
IF(AX670="PT",VLOOKUP(L670,Foundation_Calc!$K$79:$R$113,VLOOKUP(AW670,Foundation_Calc!$I$2:$J$8,2,FALSE),0),
IF(AX670="K",VLOOKUP(L670,Foundation_Calc!$K$117:$R$151,VLOOKUP(AW670,Foundation_Calc!$I$2:$J$8,2,FALSE),0),"")))</f>
        <v>4</v>
      </c>
      <c r="AZ670" s="10" t="str">
        <f>IF(K670="","",
IF(AX670="PT",VLOOKUP(K670,Foundation_Calc!$K$79:$R$113,VLOOKUP(AW670,Foundation_Calc!$I$2:$J$8,2,FALSE),0),
IF(AX670="K",VLOOKUP(K670,Foundation_Calc!$K$117:$R$151,VLOOKUP(AW670,Foundation_Calc!$I$2:$J$8,2,FALSE),0),"")))</f>
        <v/>
      </c>
      <c r="BA670" s="495" t="str">
        <f t="shared" si="89"/>
        <v>ü</v>
      </c>
      <c r="BB670" s="495" t="str">
        <f t="shared" si="90"/>
        <v/>
      </c>
      <c r="BC670" s="495" t="str">
        <f t="shared" si="91"/>
        <v/>
      </c>
      <c r="BD670" s="513" t="str">
        <f>IF(AND(L670="",H670=""),"",
IF(H670="",Pole_Calc!A$9,
IF(H670="MP",Pole_Calc!A$10,
IF(H670="AnMP",Pole_Calc!A$11,
IF(H670="A",Pole_Calc!A$12,
IF(H670="S/A",Pole_Calc!A$13,
IF(H670="A/S",Pole_Calc!A$14,"Poner a mano")))))))</f>
        <v>App.7-V11I-P9.5.1.1</v>
      </c>
      <c r="BE670" s="429" t="s">
        <v>118</v>
      </c>
      <c r="BF670" s="289"/>
      <c r="BG670" s="289"/>
      <c r="BH670" s="290"/>
      <c r="BI670" s="289"/>
    </row>
    <row r="671" spans="1:61" ht="15.75" customHeight="1">
      <c r="A671" s="514"/>
      <c r="B671" s="450"/>
      <c r="C671" s="3"/>
      <c r="D671" s="83"/>
      <c r="E671" s="4"/>
      <c r="F671" s="4"/>
      <c r="G671" s="6">
        <v>51</v>
      </c>
      <c r="H671" s="449"/>
      <c r="I671" s="449"/>
      <c r="J671" s="3"/>
      <c r="K671" s="449"/>
      <c r="L671" s="449"/>
      <c r="M671" s="449" t="str">
        <f>IF(L671="","",
IF(AX671="PT",VLOOKUP(L671,Foundation_Calc!$V$79:$X$113,VLOOKUP(AX671,Foundation_Calc!$I$10:$J$13,2,FALSE),0),
IF(AX671="K",VLOOKUP(L671,Foundation_Calc!$V$117:$X$151,VLOOKUP(AX671,Foundation_Calc!$I$10:$J$13,2,FALSE),0),"")))</f>
        <v/>
      </c>
      <c r="N671" s="449"/>
      <c r="O671" s="449"/>
      <c r="P671" s="449"/>
      <c r="Q671" s="4"/>
      <c r="R671" s="6"/>
      <c r="S671" s="6"/>
      <c r="T671" s="4"/>
      <c r="U671" s="4"/>
      <c r="V671" s="4"/>
      <c r="W671" s="9"/>
      <c r="X671" s="9"/>
      <c r="Y671" s="9"/>
      <c r="Z671" s="9"/>
      <c r="AA671" s="9"/>
      <c r="AB671" s="9"/>
      <c r="AC671" s="449" t="str">
        <f t="shared" si="88"/>
        <v/>
      </c>
      <c r="AD671" s="449"/>
      <c r="AE671" s="449"/>
      <c r="AF671" s="4"/>
      <c r="AG671" s="83"/>
      <c r="AH671" s="4"/>
      <c r="AI671" s="4"/>
      <c r="AJ671" s="449"/>
      <c r="AK671" s="449"/>
      <c r="AL671" s="449"/>
      <c r="AM671" s="449"/>
      <c r="AN671" s="10"/>
      <c r="AO671" s="9"/>
      <c r="AP671" s="9"/>
      <c r="AQ671" s="9">
        <f>+FL_1($T$672,$T$670,$G$671,1200,9.28, 1*$F$672)</f>
        <v>0.37323328431372549</v>
      </c>
      <c r="AR671" s="9"/>
      <c r="AS671" s="9"/>
      <c r="AT671" s="9"/>
      <c r="AU671" s="428"/>
      <c r="AV671" s="428"/>
      <c r="AW671" s="449" t="str">
        <f>IF(C671&gt;0,VLOOKUP(C671,Foundation_Calc!$A$2:$C$13,3,1),
IF(J671&gt;0,VLOOKUP(J671,Foundation_Calc!$A$2:$C$13,3,1),""))</f>
        <v/>
      </c>
      <c r="AX671" s="449" t="str">
        <f>IF(C671&gt;0,VLOOKUP(C671,Foundation_Calc!$E$35:$G$65,3,1),
IF(J671&gt;0,VLOOKUP(J671,Foundation_Calc!$E$35:$G$65,3,1),""))</f>
        <v/>
      </c>
      <c r="AY671" s="10" t="str">
        <f>IF(L671="","",
IF(AX671="PT",VLOOKUP(L671,Foundation_Calc!$K$79:$R$113,VLOOKUP(AW671,Foundation_Calc!$I$2:$J$8,2,FALSE),0),
IF(AX671="K",VLOOKUP(L671,Foundation_Calc!$K$117:$R$151,VLOOKUP(AW671,Foundation_Calc!$I$2:$J$8,2,FALSE),0),"")))</f>
        <v/>
      </c>
      <c r="AZ671" s="10" t="str">
        <f>IF(K671="","",
IF(AX671="PT",VLOOKUP(K671,Foundation_Calc!$K$79:$R$113,VLOOKUP(AW671,Foundation_Calc!$I$2:$J$8,2,FALSE),0),
IF(AX671="K",VLOOKUP(K671,Foundation_Calc!$K$117:$R$151,VLOOKUP(AW671,Foundation_Calc!$I$2:$J$8,2,FALSE),0),"")))</f>
        <v/>
      </c>
      <c r="BA671" s="495" t="str">
        <f t="shared" si="89"/>
        <v/>
      </c>
      <c r="BB671" s="495" t="str">
        <f t="shared" si="90"/>
        <v/>
      </c>
      <c r="BC671" s="495" t="str">
        <f t="shared" si="91"/>
        <v/>
      </c>
      <c r="BD671" s="513" t="str">
        <f>IF(AND(L671="",H671=""),"",
IF(H671="",Pole_Calc!A$9,
IF(H671="MP",Pole_Calc!A$10,
IF(H671="AnMP",Pole_Calc!A$11,
IF(H671="A",Pole_Calc!A$12,
IF(H671="S/A",Pole_Calc!A$13,
IF(H671="A/S",Pole_Calc!A$14,"Poner a mano")))))))</f>
        <v/>
      </c>
      <c r="BE671" s="429" t="s">
        <v>118</v>
      </c>
      <c r="BF671" s="290"/>
      <c r="BG671" s="290"/>
      <c r="BH671" s="290"/>
      <c r="BI671" s="290"/>
    </row>
    <row r="672" spans="1:61" ht="15.75" customHeight="1">
      <c r="A672" s="514"/>
      <c r="B672" s="450" t="s">
        <v>1284</v>
      </c>
      <c r="C672" s="3">
        <f>+$C$670+$G$671</f>
        <v>46249.99000000002</v>
      </c>
      <c r="D672" s="83"/>
      <c r="E672" s="4"/>
      <c r="F672" s="4">
        <v>0</v>
      </c>
      <c r="G672" s="6"/>
      <c r="H672" s="449"/>
      <c r="I672" s="449"/>
      <c r="J672" s="3"/>
      <c r="K672" s="449"/>
      <c r="L672" s="449" t="s">
        <v>153</v>
      </c>
      <c r="M672" s="449" t="str">
        <f>IF(L672="","",
IF(AX672="PT",VLOOKUP(L672,Foundation_Calc!$V$79:$X$113,VLOOKUP(AX672,Foundation_Calc!$I$10:$J$13,2,FALSE),0),
IF(AX672="K",VLOOKUP(L672,Foundation_Calc!$V$117:$X$151,VLOOKUP(AX672,Foundation_Calc!$I$10:$J$13,2,FALSE),0),"")))</f>
        <v>C3RT</v>
      </c>
      <c r="N672" s="449" t="s">
        <v>134</v>
      </c>
      <c r="O672" s="449"/>
      <c r="P672" s="449"/>
      <c r="Q672" s="4"/>
      <c r="R672" s="6"/>
      <c r="S672" s="6"/>
      <c r="T672" s="4">
        <v>35</v>
      </c>
      <c r="U672" s="4"/>
      <c r="V672" s="4"/>
      <c r="W672" s="9">
        <v>1.4</v>
      </c>
      <c r="X672" s="9"/>
      <c r="Y672" s="9"/>
      <c r="Z672" s="9"/>
      <c r="AA672" s="9"/>
      <c r="AB672" s="9"/>
      <c r="AC672" s="449" t="str">
        <f t="shared" si="88"/>
        <v>PHQ</v>
      </c>
      <c r="AD672" s="449"/>
      <c r="AE672" s="449"/>
      <c r="AF672" s="4"/>
      <c r="AG672" s="83"/>
      <c r="AH672" s="4"/>
      <c r="AI672" s="4"/>
      <c r="AJ672" s="449"/>
      <c r="AK672" s="449"/>
      <c r="AL672" s="449"/>
      <c r="AM672" s="449" t="s">
        <v>552</v>
      </c>
      <c r="AN672" s="10">
        <v>5.5</v>
      </c>
      <c r="AO672" s="9"/>
      <c r="AP672" s="9"/>
      <c r="AQ672" s="9"/>
      <c r="AR672" s="9"/>
      <c r="AS672" s="9"/>
      <c r="AT672" s="9">
        <f>+ab($T$672,$T$670,$T$674,$G$671,$G$673, 1*$F$672,1200)</f>
        <v>7.120706648501872</v>
      </c>
      <c r="AU672" s="428"/>
      <c r="AV672" s="428"/>
      <c r="AW672" s="449" t="str">
        <f>IF(C672&gt;0,VLOOKUP(C672,Foundation_Calc!$A$2:$C$13,3,1),
IF(J672&gt;0,VLOOKUP(J672,Foundation_Calc!$A$2:$C$13,3,1),""))</f>
        <v>Multi Soil</v>
      </c>
      <c r="AX672" s="449" t="str">
        <f>IF(C672&gt;0,VLOOKUP(C672,Foundation_Calc!$E$35:$G$65,3,1),
IF(J672&gt;0,VLOOKUP(J672,Foundation_Calc!$E$35:$G$65,3,1),""))</f>
        <v>K</v>
      </c>
      <c r="AY672" s="10">
        <f>IF(L672="","",
IF(AX672="PT",VLOOKUP(L672,Foundation_Calc!$K$79:$R$113,VLOOKUP(AW672,Foundation_Calc!$I$2:$J$8,2,FALSE),0),
IF(AX672="K",VLOOKUP(L672,Foundation_Calc!$K$117:$R$151,VLOOKUP(AW672,Foundation_Calc!$I$2:$J$8,2,FALSE),0),"")))</f>
        <v>4</v>
      </c>
      <c r="AZ672" s="10" t="str">
        <f>IF(K672="","",
IF(AX672="PT",VLOOKUP(K672,Foundation_Calc!$K$79:$R$113,VLOOKUP(AW672,Foundation_Calc!$I$2:$J$8,2,FALSE),0),
IF(AX672="K",VLOOKUP(K672,Foundation_Calc!$K$117:$R$151,VLOOKUP(AW672,Foundation_Calc!$I$2:$J$8,2,FALSE),0),"")))</f>
        <v/>
      </c>
      <c r="BA672" s="495" t="str">
        <f t="shared" si="89"/>
        <v>ü</v>
      </c>
      <c r="BB672" s="495" t="str">
        <f t="shared" si="90"/>
        <v/>
      </c>
      <c r="BC672" s="495" t="str">
        <f t="shared" si="91"/>
        <v/>
      </c>
      <c r="BD672" s="513" t="str">
        <f>IF(AND(L672="",H672=""),"",
IF(H672="",Pole_Calc!A$9,
IF(H672="MP",Pole_Calc!A$10,
IF(H672="AnMP",Pole_Calc!A$11,
IF(H672="A",Pole_Calc!A$12,
IF(H672="S/A",Pole_Calc!A$13,
IF(H672="A/S",Pole_Calc!A$14,"Poner a mano")))))))</f>
        <v>App.7-V11I-P9.5.1.1</v>
      </c>
      <c r="BE672" s="429" t="s">
        <v>118</v>
      </c>
      <c r="BF672" s="289"/>
      <c r="BG672" s="289"/>
      <c r="BH672" s="290"/>
      <c r="BI672" s="289"/>
    </row>
    <row r="673" spans="1:61" ht="15.75" customHeight="1">
      <c r="A673" s="514"/>
      <c r="B673" s="450"/>
      <c r="C673" s="3"/>
      <c r="D673" s="83"/>
      <c r="E673" s="4"/>
      <c r="F673" s="4"/>
      <c r="G673" s="6">
        <v>53.5</v>
      </c>
      <c r="H673" s="449"/>
      <c r="I673" s="4"/>
      <c r="J673" s="3"/>
      <c r="K673" s="449"/>
      <c r="L673" s="449"/>
      <c r="M673" s="449" t="str">
        <f>IF(L673="","",
IF(AX673="PT",VLOOKUP(L673,Foundation_Calc!$V$79:$X$113,VLOOKUP(AX673,Foundation_Calc!$I$10:$J$13,2,FALSE),0),
IF(AX673="K",VLOOKUP(L673,Foundation_Calc!$V$117:$X$151,VLOOKUP(AX673,Foundation_Calc!$I$10:$J$13,2,FALSE),0),"")))</f>
        <v/>
      </c>
      <c r="N673" s="449"/>
      <c r="O673" s="561"/>
      <c r="P673" s="449"/>
      <c r="Q673" s="4"/>
      <c r="R673" s="6"/>
      <c r="S673" s="6"/>
      <c r="T673" s="4"/>
      <c r="U673" s="4"/>
      <c r="V673" s="4"/>
      <c r="W673" s="9"/>
      <c r="X673" s="9"/>
      <c r="Y673" s="9"/>
      <c r="Z673" s="9"/>
      <c r="AA673" s="9"/>
      <c r="AB673" s="9"/>
      <c r="AC673" s="449" t="str">
        <f t="shared" si="88"/>
        <v/>
      </c>
      <c r="AD673" s="449"/>
      <c r="AE673" s="449"/>
      <c r="AF673" s="4"/>
      <c r="AG673" s="83"/>
      <c r="AH673" s="4"/>
      <c r="AI673" s="4"/>
      <c r="AJ673" s="449"/>
      <c r="AK673" s="449"/>
      <c r="AL673" s="449"/>
      <c r="AM673" s="449"/>
      <c r="AN673" s="10"/>
      <c r="AO673" s="9"/>
      <c r="AP673" s="9"/>
      <c r="AQ673" s="9">
        <f>+FL_1($T$674,$T$672,$G$673,1200,9.28, 1*$F$674)</f>
        <v>0.38736993623675997</v>
      </c>
      <c r="AR673" s="9"/>
      <c r="AS673" s="9"/>
      <c r="AT673" s="9"/>
      <c r="AU673" s="428"/>
      <c r="AV673" s="428"/>
      <c r="AW673" s="449" t="str">
        <f>IF(C673&gt;0,VLOOKUP(C673,Foundation_Calc!$A$2:$C$13,3,1),
IF(J673&gt;0,VLOOKUP(J673,Foundation_Calc!$A$2:$C$13,3,1),""))</f>
        <v/>
      </c>
      <c r="AX673" s="449" t="str">
        <f>IF(C673&gt;0,VLOOKUP(C673,Foundation_Calc!$E$35:$G$65,3,1),
IF(J673&gt;0,VLOOKUP(J673,Foundation_Calc!$E$35:$G$65,3,1),""))</f>
        <v/>
      </c>
      <c r="AY673" s="10" t="str">
        <f>IF(L673="","",
IF(AX673="PT",VLOOKUP(L673,Foundation_Calc!$K$79:$R$113,VLOOKUP(AW673,Foundation_Calc!$I$2:$J$8,2,FALSE),0),
IF(AX673="K",VLOOKUP(L673,Foundation_Calc!$K$117:$R$151,VLOOKUP(AW673,Foundation_Calc!$I$2:$J$8,2,FALSE),0),"")))</f>
        <v/>
      </c>
      <c r="AZ673" s="10" t="str">
        <f>IF(K673="","",
IF(AX673="PT",VLOOKUP(K673,Foundation_Calc!$K$79:$R$113,VLOOKUP(AW673,Foundation_Calc!$I$2:$J$8,2,FALSE),0),
IF(AX673="K",VLOOKUP(K673,Foundation_Calc!$K$117:$R$151,VLOOKUP(AW673,Foundation_Calc!$I$2:$J$8,2,FALSE),0),"")))</f>
        <v/>
      </c>
      <c r="BA673" s="495" t="str">
        <f t="shared" si="89"/>
        <v/>
      </c>
      <c r="BB673" s="495" t="str">
        <f t="shared" si="90"/>
        <v/>
      </c>
      <c r="BC673" s="495" t="str">
        <f t="shared" si="91"/>
        <v/>
      </c>
      <c r="BD673" s="513" t="str">
        <f>IF(AND(L673="",H673=""),"",
IF(H673="",Pole_Calc!A$9,
IF(H673="MP",Pole_Calc!A$10,
IF(H673="AnMP",Pole_Calc!A$11,
IF(H673="A",Pole_Calc!A$12,
IF(H673="S/A",Pole_Calc!A$13,
IF(H673="A/S",Pole_Calc!A$14,"Poner a mano")))))))</f>
        <v/>
      </c>
      <c r="BE673" s="429" t="s">
        <v>118</v>
      </c>
      <c r="BF673" s="290"/>
      <c r="BG673" s="290"/>
      <c r="BH673" s="290"/>
      <c r="BI673" s="290"/>
    </row>
    <row r="674" spans="1:61" ht="15.75" customHeight="1">
      <c r="A674" s="514"/>
      <c r="B674" s="450" t="s">
        <v>1285</v>
      </c>
      <c r="C674" s="3">
        <f>+$C$672+$G$673</f>
        <v>46303.49000000002</v>
      </c>
      <c r="D674" s="83"/>
      <c r="E674" s="4"/>
      <c r="F674" s="4">
        <v>0</v>
      </c>
      <c r="G674" s="6"/>
      <c r="H674" s="449"/>
      <c r="I674" s="4"/>
      <c r="J674" s="3"/>
      <c r="K674" s="449"/>
      <c r="L674" s="449" t="s">
        <v>158</v>
      </c>
      <c r="M674" s="449" t="str">
        <f>IF(L674="","",
IF(AX674="PT",VLOOKUP(L674,Foundation_Calc!$V$79:$X$113,VLOOKUP(AX674,Foundation_Calc!$I$10:$J$13,2,FALSE),0),
IF(AX674="K",VLOOKUP(L674,Foundation_Calc!$V$117:$X$151,VLOOKUP(AX674,Foundation_Calc!$I$10:$J$13,2,FALSE),0),"")))</f>
        <v>C4R</v>
      </c>
      <c r="N674" s="449" t="s">
        <v>124</v>
      </c>
      <c r="O674" s="449"/>
      <c r="P674" s="449"/>
      <c r="Q674" s="4"/>
      <c r="R674" s="6"/>
      <c r="S674" s="6"/>
      <c r="T674" s="4">
        <v>-35</v>
      </c>
      <c r="U674" s="4"/>
      <c r="V674" s="4"/>
      <c r="W674" s="9">
        <v>1.4</v>
      </c>
      <c r="X674" s="9"/>
      <c r="Y674" s="9"/>
      <c r="Z674" s="9"/>
      <c r="AA674" s="9"/>
      <c r="AB674" s="9"/>
      <c r="AC674" s="449" t="str">
        <f t="shared" si="88"/>
        <v>PHQ</v>
      </c>
      <c r="AD674" s="449"/>
      <c r="AE674" s="449"/>
      <c r="AF674" s="4"/>
      <c r="AG674" s="83"/>
      <c r="AH674" s="4"/>
      <c r="AI674" s="4"/>
      <c r="AJ674" s="449"/>
      <c r="AK674" s="449"/>
      <c r="AL674" s="449"/>
      <c r="AM674" s="449" t="s">
        <v>552</v>
      </c>
      <c r="AN674" s="10">
        <v>5.5</v>
      </c>
      <c r="AO674" s="9"/>
      <c r="AP674" s="9"/>
      <c r="AQ674" s="9"/>
      <c r="AR674" s="9"/>
      <c r="AS674" s="9"/>
      <c r="AT674" s="9">
        <f>+ab($T$674,$T$672,$T$676,$G$673,$G$675, 1*$F$674,1200)</f>
        <v>-7.5344227830122161</v>
      </c>
      <c r="AU674" s="428"/>
      <c r="AV674" s="428"/>
      <c r="AW674" s="449" t="str">
        <f>IF(C674&gt;0,VLOOKUP(C674,Foundation_Calc!$A$2:$C$13,3,1),
IF(J674&gt;0,VLOOKUP(J674,Foundation_Calc!$A$2:$C$13,3,1),""))</f>
        <v>Multi Soil</v>
      </c>
      <c r="AX674" s="449" t="str">
        <f>IF(C674&gt;0,VLOOKUP(C674,Foundation_Calc!$E$35:$G$65,3,1),
IF(J674&gt;0,VLOOKUP(J674,Foundation_Calc!$E$35:$G$65,3,1),""))</f>
        <v>PT</v>
      </c>
      <c r="AY674" s="10">
        <f>IF(L674="","",
IF(AX674="PT",VLOOKUP(L674,Foundation_Calc!$K$79:$R$113,VLOOKUP(AW674,Foundation_Calc!$I$2:$J$8,2,FALSE),0),
IF(AX674="K",VLOOKUP(L674,Foundation_Calc!$K$117:$R$151,VLOOKUP(AW674,Foundation_Calc!$I$2:$J$8,2,FALSE),0),"")))</f>
        <v>3.5</v>
      </c>
      <c r="AZ674" s="10" t="str">
        <f>IF(K674="","",
IF(AX674="PT",VLOOKUP(K674,Foundation_Calc!$K$79:$R$113,VLOOKUP(AW674,Foundation_Calc!$I$2:$J$8,2,FALSE),0),
IF(AX674="K",VLOOKUP(K674,Foundation_Calc!$K$117:$R$151,VLOOKUP(AW674,Foundation_Calc!$I$2:$J$8,2,FALSE),0),"")))</f>
        <v/>
      </c>
      <c r="BA674" s="495" t="str">
        <f t="shared" si="89"/>
        <v>ü</v>
      </c>
      <c r="BB674" s="495" t="str">
        <f t="shared" si="90"/>
        <v/>
      </c>
      <c r="BC674" s="495" t="str">
        <f t="shared" si="91"/>
        <v/>
      </c>
      <c r="BD674" s="513" t="str">
        <f>IF(AND(L674="",H674=""),"",
IF(H674="",Pole_Calc!A$9,
IF(H674="MP",Pole_Calc!A$10,
IF(H674="AnMP",Pole_Calc!A$11,
IF(H674="A",Pole_Calc!A$12,
IF(H674="S/A",Pole_Calc!A$13,
IF(H674="A/S",Pole_Calc!A$14,"Poner a mano")))))))</f>
        <v>App.7-V11I-P9.5.1.1</v>
      </c>
      <c r="BE674" s="429" t="s">
        <v>118</v>
      </c>
      <c r="BF674" s="289"/>
      <c r="BG674" s="289"/>
      <c r="BH674" s="290"/>
      <c r="BI674" s="289"/>
    </row>
    <row r="675" spans="1:61" ht="15.75" customHeight="1">
      <c r="A675" s="518"/>
      <c r="B675" s="450"/>
      <c r="C675" s="3"/>
      <c r="D675" s="83"/>
      <c r="E675" s="4"/>
      <c r="F675" s="4"/>
      <c r="G675" s="6">
        <v>57.2</v>
      </c>
      <c r="H675" s="449"/>
      <c r="I675" s="4"/>
      <c r="J675" s="3"/>
      <c r="K675" s="449"/>
      <c r="L675" s="449"/>
      <c r="M675" s="449" t="str">
        <f>IF(L675="","",
IF(AX675="PT",VLOOKUP(L675,Foundation_Calc!$V$79:$X$113,VLOOKUP(AX675,Foundation_Calc!$I$10:$J$13,2,FALSE),0),
IF(AX675="K",VLOOKUP(L675,Foundation_Calc!$V$117:$X$151,VLOOKUP(AX675,Foundation_Calc!$I$10:$J$13,2,FALSE),0),"")))</f>
        <v/>
      </c>
      <c r="N675" s="449"/>
      <c r="O675" s="575"/>
      <c r="P675" s="449"/>
      <c r="Q675" s="4"/>
      <c r="R675" s="6"/>
      <c r="S675" s="6"/>
      <c r="T675" s="4"/>
      <c r="U675" s="4"/>
      <c r="V675" s="4"/>
      <c r="W675" s="9"/>
      <c r="X675" s="9"/>
      <c r="Y675" s="9"/>
      <c r="Z675" s="9"/>
      <c r="AA675" s="9"/>
      <c r="AB675" s="9"/>
      <c r="AC675" s="449" t="str">
        <f t="shared" si="88"/>
        <v/>
      </c>
      <c r="AD675" s="449"/>
      <c r="AE675" s="449"/>
      <c r="AF675" s="4"/>
      <c r="AG675" s="83"/>
      <c r="AH675" s="4"/>
      <c r="AI675" s="4"/>
      <c r="AJ675" s="449"/>
      <c r="AK675" s="449"/>
      <c r="AL675" s="449"/>
      <c r="AM675" s="449"/>
      <c r="AN675" s="10"/>
      <c r="AO675" s="9"/>
      <c r="AP675" s="9"/>
      <c r="AQ675" s="9">
        <f>+FL_2($T$676,$T$674,$G$675,1200,9.28, 1*$F$676)</f>
        <v>-0.41310727060139851</v>
      </c>
      <c r="AR675" s="9"/>
      <c r="AS675" s="9"/>
      <c r="AT675" s="9"/>
      <c r="AU675" s="428"/>
      <c r="AV675" s="428"/>
      <c r="AW675" s="449" t="str">
        <f>IF(C675&gt;0,VLOOKUP(C675,Foundation_Calc!$A$2:$C$13,3,1),
IF(J675&gt;0,VLOOKUP(J675,Foundation_Calc!$A$2:$C$13,3,1),""))</f>
        <v/>
      </c>
      <c r="AX675" s="449" t="str">
        <f>IF(C675&gt;0,VLOOKUP(C675,Foundation_Calc!$E$35:$G$65,3,1),
IF(J675&gt;0,VLOOKUP(J675,Foundation_Calc!$E$35:$G$65,3,1),""))</f>
        <v/>
      </c>
      <c r="AY675" s="10" t="str">
        <f>IF(L675="","",
IF(AX675="PT",VLOOKUP(L675,Foundation_Calc!$K$79:$R$113,VLOOKUP(AW675,Foundation_Calc!$I$2:$J$8,2,FALSE),0),
IF(AX675="K",VLOOKUP(L675,Foundation_Calc!$K$117:$R$151,VLOOKUP(AW675,Foundation_Calc!$I$2:$J$8,2,FALSE),0),"")))</f>
        <v/>
      </c>
      <c r="AZ675" s="10" t="str">
        <f>IF(K675="","",
IF(AX675="PT",VLOOKUP(K675,Foundation_Calc!$K$79:$R$113,VLOOKUP(AW675,Foundation_Calc!$I$2:$J$8,2,FALSE),0),
IF(AX675="K",VLOOKUP(K675,Foundation_Calc!$K$117:$R$151,VLOOKUP(AW675,Foundation_Calc!$I$2:$J$8,2,FALSE),0),"")))</f>
        <v/>
      </c>
      <c r="BA675" s="495" t="str">
        <f t="shared" si="89"/>
        <v/>
      </c>
      <c r="BB675" s="495" t="str">
        <f t="shared" si="90"/>
        <v/>
      </c>
      <c r="BC675" s="495" t="str">
        <f t="shared" si="91"/>
        <v/>
      </c>
      <c r="BD675" s="513" t="str">
        <f>IF(AND(L675="",H675=""),"",
IF(H675="",Pole_Calc!A$9,
IF(H675="MP",Pole_Calc!A$10,
IF(H675="AnMP",Pole_Calc!A$11,
IF(H675="A",Pole_Calc!A$12,
IF(H675="S/A",Pole_Calc!A$13,
IF(H675="A/S",Pole_Calc!A$14,"Poner a mano")))))))</f>
        <v/>
      </c>
      <c r="BE675" s="429" t="s">
        <v>118</v>
      </c>
      <c r="BF675" s="290"/>
      <c r="BG675" s="290"/>
      <c r="BH675" s="290"/>
      <c r="BI675" s="290"/>
    </row>
    <row r="676" spans="1:61" ht="15.75" customHeight="1">
      <c r="A676" s="514"/>
      <c r="B676" s="450" t="s">
        <v>1286</v>
      </c>
      <c r="C676" s="3">
        <f>+$C$674+$G$675</f>
        <v>46360.690000000017</v>
      </c>
      <c r="D676" s="83"/>
      <c r="E676" s="4"/>
      <c r="F676" s="4">
        <v>0</v>
      </c>
      <c r="G676" s="6"/>
      <c r="H676" s="449"/>
      <c r="I676" s="4"/>
      <c r="J676" s="3"/>
      <c r="K676" s="449"/>
      <c r="L676" s="449" t="s">
        <v>153</v>
      </c>
      <c r="M676" s="449" t="str">
        <f>IF(L676="","",
IF(AX676="PT",VLOOKUP(L676,Foundation_Calc!$V$79:$X$113,VLOOKUP(AX676,Foundation_Calc!$I$10:$J$13,2,FALSE),0),
IF(AX676="K",VLOOKUP(L676,Foundation_Calc!$V$117:$X$151,VLOOKUP(AX676,Foundation_Calc!$I$10:$J$13,2,FALSE),0),"")))</f>
        <v>C3R</v>
      </c>
      <c r="N676" s="449" t="s">
        <v>134</v>
      </c>
      <c r="O676" s="449"/>
      <c r="P676" s="449"/>
      <c r="Q676" s="4"/>
      <c r="R676" s="6"/>
      <c r="S676" s="6"/>
      <c r="T676" s="4">
        <v>35</v>
      </c>
      <c r="U676" s="4"/>
      <c r="V676" s="4"/>
      <c r="W676" s="9">
        <v>1.4</v>
      </c>
      <c r="X676" s="9"/>
      <c r="Y676" s="9"/>
      <c r="Z676" s="9"/>
      <c r="AA676" s="9"/>
      <c r="AB676" s="9"/>
      <c r="AC676" s="449" t="str">
        <f t="shared" si="88"/>
        <v>PHQ</v>
      </c>
      <c r="AD676" s="449"/>
      <c r="AE676" s="449"/>
      <c r="AF676" s="4"/>
      <c r="AG676" s="83"/>
      <c r="AH676" s="4"/>
      <c r="AI676" s="4"/>
      <c r="AJ676" s="449"/>
      <c r="AK676" s="449"/>
      <c r="AL676" s="449"/>
      <c r="AM676" s="449" t="s">
        <v>552</v>
      </c>
      <c r="AN676" s="10">
        <v>5.5</v>
      </c>
      <c r="AO676" s="9"/>
      <c r="AP676" s="9"/>
      <c r="AQ676" s="9"/>
      <c r="AR676" s="9"/>
      <c r="AS676" s="9"/>
      <c r="AT676" s="9">
        <f>+ab($T$676,$T$674,$T$678,$G$675,$G$677, 1*$F$676,1200)</f>
        <v>7.5205331713578767</v>
      </c>
      <c r="AU676" s="428"/>
      <c r="AV676" s="428"/>
      <c r="AW676" s="449" t="str">
        <f>IF(C676&gt;0,VLOOKUP(C676,Foundation_Calc!$A$2:$C$13,3,1),
IF(J676&gt;0,VLOOKUP(J676,Foundation_Calc!$A$2:$C$13,3,1),""))</f>
        <v>Multi Soil</v>
      </c>
      <c r="AX676" s="449" t="str">
        <f>IF(C676&gt;0,VLOOKUP(C676,Foundation_Calc!$E$35:$G$65,3,1),
IF(J676&gt;0,VLOOKUP(J676,Foundation_Calc!$E$35:$G$65,3,1),""))</f>
        <v>PT</v>
      </c>
      <c r="AY676" s="10">
        <f>IF(L676="","",
IF(AX676="PT",VLOOKUP(L676,Foundation_Calc!$K$79:$R$113,VLOOKUP(AW676,Foundation_Calc!$I$2:$J$8,2,FALSE),0),
IF(AX676="K",VLOOKUP(L676,Foundation_Calc!$K$117:$R$151,VLOOKUP(AW676,Foundation_Calc!$I$2:$J$8,2,FALSE),0),"")))</f>
        <v>3.5</v>
      </c>
      <c r="AZ676" s="10" t="str">
        <f>IF(K676="","",
IF(AX676="PT",VLOOKUP(K676,Foundation_Calc!$K$79:$R$113,VLOOKUP(AW676,Foundation_Calc!$I$2:$J$8,2,FALSE),0),
IF(AX676="K",VLOOKUP(K676,Foundation_Calc!$K$117:$R$151,VLOOKUP(AW676,Foundation_Calc!$I$2:$J$8,2,FALSE),0),"")))</f>
        <v/>
      </c>
      <c r="BA676" s="495" t="str">
        <f t="shared" si="89"/>
        <v>ü</v>
      </c>
      <c r="BB676" s="495" t="str">
        <f t="shared" si="90"/>
        <v/>
      </c>
      <c r="BC676" s="495" t="str">
        <f t="shared" si="91"/>
        <v/>
      </c>
      <c r="BD676" s="513" t="str">
        <f>IF(AND(L676="",H676=""),"",
IF(H676="",Pole_Calc!A$9,
IF(H676="MP",Pole_Calc!A$10,
IF(H676="AnMP",Pole_Calc!A$11,
IF(H676="A",Pole_Calc!A$12,
IF(H676="S/A",Pole_Calc!A$13,
IF(H676="A/S",Pole_Calc!A$14,"Poner a mano")))))))</f>
        <v>App.7-V11I-P9.5.1.1</v>
      </c>
      <c r="BE676" s="429" t="s">
        <v>118</v>
      </c>
      <c r="BF676" s="289"/>
      <c r="BG676" s="289"/>
      <c r="BH676" s="290"/>
      <c r="BI676" s="289"/>
    </row>
    <row r="677" spans="1:61" ht="15.75" customHeight="1">
      <c r="A677" s="514"/>
      <c r="B677" s="450"/>
      <c r="C677" s="3"/>
      <c r="D677" s="83"/>
      <c r="E677" s="4"/>
      <c r="F677" s="4"/>
      <c r="G677" s="6">
        <v>49.5</v>
      </c>
      <c r="H677" s="449"/>
      <c r="I677" s="4"/>
      <c r="J677" s="3"/>
      <c r="K677" s="449"/>
      <c r="L677" s="449"/>
      <c r="M677" s="449" t="str">
        <f>IF(L677="","",
IF(AX677="PT",VLOOKUP(L677,Foundation_Calc!$V$79:$X$113,VLOOKUP(AX677,Foundation_Calc!$I$10:$J$13,2,FALSE),0),
IF(AX677="K",VLOOKUP(L677,Foundation_Calc!$V$117:$X$151,VLOOKUP(AX677,Foundation_Calc!$I$10:$J$13,2,FALSE),0),"")))</f>
        <v/>
      </c>
      <c r="N677" s="449"/>
      <c r="O677" s="575"/>
      <c r="P677" s="449"/>
      <c r="Q677" s="4"/>
      <c r="R677" s="6"/>
      <c r="S677" s="6"/>
      <c r="T677" s="4"/>
      <c r="U677" s="4"/>
      <c r="V677" s="4"/>
      <c r="W677" s="9"/>
      <c r="X677" s="9"/>
      <c r="Y677" s="9"/>
      <c r="Z677" s="9"/>
      <c r="AA677" s="9"/>
      <c r="AB677" s="9"/>
      <c r="AC677" s="449" t="str">
        <f t="shared" si="88"/>
        <v/>
      </c>
      <c r="AD677" s="449"/>
      <c r="AE677" s="449"/>
      <c r="AF677" s="4"/>
      <c r="AG677" s="83"/>
      <c r="AH677" s="4"/>
      <c r="AI677" s="4"/>
      <c r="AJ677" s="449"/>
      <c r="AK677" s="449"/>
      <c r="AL677" s="449"/>
      <c r="AM677" s="449"/>
      <c r="AN677" s="10"/>
      <c r="AO677" s="9"/>
      <c r="AP677" s="9"/>
      <c r="AQ677" s="9">
        <f>+FL_1($T$678,$T$676,$G$677,1200,9.28, 1*$F$678)</f>
        <v>0.367554746100687</v>
      </c>
      <c r="AR677" s="9"/>
      <c r="AS677" s="9"/>
      <c r="AT677" s="9"/>
      <c r="AU677" s="428"/>
      <c r="AV677" s="428"/>
      <c r="AW677" s="449" t="str">
        <f>IF(C677&gt;0,VLOOKUP(C677,Foundation_Calc!$A$2:$C$13,3,1),
IF(J677&gt;0,VLOOKUP(J677,Foundation_Calc!$A$2:$C$13,3,1),""))</f>
        <v/>
      </c>
      <c r="AX677" s="449" t="str">
        <f>IF(C677&gt;0,VLOOKUP(C677,Foundation_Calc!$E$35:$G$65,3,1),
IF(J677&gt;0,VLOOKUP(J677,Foundation_Calc!$E$35:$G$65,3,1),""))</f>
        <v/>
      </c>
      <c r="AY677" s="10" t="str">
        <f>IF(L677="","",
IF(AX677="PT",VLOOKUP(L677,Foundation_Calc!$K$79:$R$113,VLOOKUP(AW677,Foundation_Calc!$I$2:$J$8,2,FALSE),0),
IF(AX677="K",VLOOKUP(L677,Foundation_Calc!$K$117:$R$151,VLOOKUP(AW677,Foundation_Calc!$I$2:$J$8,2,FALSE),0),"")))</f>
        <v/>
      </c>
      <c r="AZ677" s="10" t="str">
        <f>IF(K677="","",
IF(AX677="PT",VLOOKUP(K677,Foundation_Calc!$K$79:$R$113,VLOOKUP(AW677,Foundation_Calc!$I$2:$J$8,2,FALSE),0),
IF(AX677="K",VLOOKUP(K677,Foundation_Calc!$K$117:$R$151,VLOOKUP(AW677,Foundation_Calc!$I$2:$J$8,2,FALSE),0),"")))</f>
        <v/>
      </c>
      <c r="BA677" s="495" t="str">
        <f t="shared" si="89"/>
        <v/>
      </c>
      <c r="BB677" s="495" t="str">
        <f t="shared" si="90"/>
        <v/>
      </c>
      <c r="BC677" s="495" t="str">
        <f t="shared" si="91"/>
        <v/>
      </c>
      <c r="BD677" s="513" t="str">
        <f>IF(AND(L677="",H677=""),"",
IF(H677="",Pole_Calc!A$9,
IF(H677="MP",Pole_Calc!A$10,
IF(H677="AnMP",Pole_Calc!A$11,
IF(H677="A",Pole_Calc!A$12,
IF(H677="S/A",Pole_Calc!A$13,
IF(H677="A/S",Pole_Calc!A$14,"Poner a mano")))))))</f>
        <v/>
      </c>
      <c r="BE677" s="429" t="s">
        <v>118</v>
      </c>
      <c r="BF677" s="290"/>
      <c r="BG677" s="290"/>
      <c r="BH677" s="290"/>
      <c r="BI677" s="290"/>
    </row>
    <row r="678" spans="1:61" ht="15.75" customHeight="1">
      <c r="A678" s="514"/>
      <c r="B678" s="450" t="s">
        <v>1287</v>
      </c>
      <c r="C678" s="3">
        <f>+$C$676+$G$677</f>
        <v>46410.190000000017</v>
      </c>
      <c r="D678" s="83"/>
      <c r="E678" s="4"/>
      <c r="F678" s="4">
        <v>26741.228851266234</v>
      </c>
      <c r="G678" s="6"/>
      <c r="H678" s="449"/>
      <c r="I678" s="4"/>
      <c r="J678" s="3"/>
      <c r="K678" s="449"/>
      <c r="L678" s="449" t="s">
        <v>153</v>
      </c>
      <c r="M678" s="449" t="str">
        <f>IF(L678="","",
IF(AX678="PT",VLOOKUP(L678,Foundation_Calc!$V$79:$X$113,VLOOKUP(AX678,Foundation_Calc!$I$10:$J$13,2,FALSE),0),
IF(AX678="K",VLOOKUP(L678,Foundation_Calc!$V$117:$X$151,VLOOKUP(AX678,Foundation_Calc!$I$10:$J$13,2,FALSE),0),"")))</f>
        <v>C3R</v>
      </c>
      <c r="N678" s="449" t="s">
        <v>124</v>
      </c>
      <c r="O678" s="449"/>
      <c r="P678" s="449"/>
      <c r="Q678" s="4"/>
      <c r="R678" s="6"/>
      <c r="S678" s="6"/>
      <c r="T678" s="4">
        <v>-30</v>
      </c>
      <c r="U678" s="4"/>
      <c r="V678" s="4"/>
      <c r="W678" s="9">
        <v>1.4</v>
      </c>
      <c r="X678" s="9"/>
      <c r="Y678" s="9"/>
      <c r="Z678" s="9"/>
      <c r="AA678" s="9"/>
      <c r="AB678" s="9"/>
      <c r="AC678" s="449" t="str">
        <f t="shared" si="88"/>
        <v>PHQ</v>
      </c>
      <c r="AD678" s="449"/>
      <c r="AE678" s="449"/>
      <c r="AF678" s="4"/>
      <c r="AG678" s="83"/>
      <c r="AH678" s="4"/>
      <c r="AI678" s="4"/>
      <c r="AJ678" s="449"/>
      <c r="AK678" s="449"/>
      <c r="AL678" s="449"/>
      <c r="AM678" s="449" t="s">
        <v>552</v>
      </c>
      <c r="AN678" s="10">
        <v>5.5</v>
      </c>
      <c r="AO678" s="9"/>
      <c r="AP678" s="9"/>
      <c r="AQ678" s="9"/>
      <c r="AR678" s="9"/>
      <c r="AS678" s="9"/>
      <c r="AT678" s="9">
        <f>+ab($T$678,$T$676,$T$680,$G$677,$G$679, 1*$F$678,1200)</f>
        <v>-6.8921298995909632</v>
      </c>
      <c r="AU678" s="428"/>
      <c r="AV678" s="428"/>
      <c r="AW678" s="449" t="str">
        <f>IF(C678&gt;0,VLOOKUP(C678,Foundation_Calc!$A$2:$C$13,3,1),
IF(J678&gt;0,VLOOKUP(J678,Foundation_Calc!$A$2:$C$13,3,1),""))</f>
        <v>Multi Soil</v>
      </c>
      <c r="AX678" s="449" t="str">
        <f>IF(C678&gt;0,VLOOKUP(C678,Foundation_Calc!$E$35:$G$65,3,1),
IF(J678&gt;0,VLOOKUP(J678,Foundation_Calc!$E$35:$G$65,3,1),""))</f>
        <v>PT</v>
      </c>
      <c r="AY678" s="10">
        <f>IF(L678="","",
IF(AX678="PT",VLOOKUP(L678,Foundation_Calc!$K$79:$R$113,VLOOKUP(AW678,Foundation_Calc!$I$2:$J$8,2,FALSE),0),
IF(AX678="K",VLOOKUP(L678,Foundation_Calc!$K$117:$R$151,VLOOKUP(AW678,Foundation_Calc!$I$2:$J$8,2,FALSE),0),"")))</f>
        <v>3.5</v>
      </c>
      <c r="AZ678" s="10" t="str">
        <f>IF(K678="","",
IF(AX678="PT",VLOOKUP(K678,Foundation_Calc!$K$79:$R$113,VLOOKUP(AW678,Foundation_Calc!$I$2:$J$8,2,FALSE),0),
IF(AX678="K",VLOOKUP(K678,Foundation_Calc!$K$117:$R$151,VLOOKUP(AW678,Foundation_Calc!$I$2:$J$8,2,FALSE),0),"")))</f>
        <v/>
      </c>
      <c r="BA678" s="495" t="str">
        <f t="shared" si="89"/>
        <v>ü</v>
      </c>
      <c r="BB678" s="495" t="str">
        <f t="shared" si="90"/>
        <v/>
      </c>
      <c r="BC678" s="495" t="str">
        <f t="shared" si="91"/>
        <v/>
      </c>
      <c r="BD678" s="513" t="str">
        <f>IF(AND(L678="",H678=""),"",
IF(H678="",Pole_Calc!A$9,
IF(H678="MP",Pole_Calc!A$10,
IF(H678="AnMP",Pole_Calc!A$11,
IF(H678="A",Pole_Calc!A$12,
IF(H678="S/A",Pole_Calc!A$13,
IF(H678="A/S",Pole_Calc!A$14,"Poner a mano")))))))</f>
        <v>App.7-V11I-P9.5.1.1</v>
      </c>
      <c r="BE678" s="429" t="s">
        <v>118</v>
      </c>
      <c r="BF678" s="289"/>
      <c r="BG678" s="289"/>
      <c r="BH678" s="290"/>
      <c r="BI678" s="289"/>
    </row>
    <row r="679" spans="1:61" ht="15.75" customHeight="1">
      <c r="A679" s="514" t="s">
        <v>413</v>
      </c>
      <c r="B679" s="450"/>
      <c r="C679" s="3"/>
      <c r="D679" s="83"/>
      <c r="E679" s="4"/>
      <c r="F679" s="4"/>
      <c r="G679" s="6">
        <v>40</v>
      </c>
      <c r="H679" s="449"/>
      <c r="I679" s="4"/>
      <c r="J679" s="3">
        <f>C680-7.5</f>
        <v>46442.690000000017</v>
      </c>
      <c r="K679" s="449" t="s">
        <v>166</v>
      </c>
      <c r="L679" s="449"/>
      <c r="M679" s="449" t="str">
        <f>IF(L679="","",
IF(AX679="PT",VLOOKUP(L679,Foundation_Calc!$V$79:$X$113,VLOOKUP(AX679,Foundation_Calc!$I$10:$J$13,2,FALSE),0),
IF(AX679="K",VLOOKUP(L679,Foundation_Calc!$V$117:$X$151,VLOOKUP(AX679,Foundation_Calc!$I$10:$J$13,2,FALSE),0),"")))</f>
        <v/>
      </c>
      <c r="N679" s="449"/>
      <c r="O679" s="575"/>
      <c r="P679" s="449"/>
      <c r="Q679" s="4"/>
      <c r="R679" s="6"/>
      <c r="S679" s="6"/>
      <c r="T679" s="4"/>
      <c r="U679" s="4"/>
      <c r="V679" s="4"/>
      <c r="W679" s="9"/>
      <c r="X679" s="9"/>
      <c r="Y679" s="9"/>
      <c r="Z679" s="9"/>
      <c r="AA679" s="9"/>
      <c r="AB679" s="9"/>
      <c r="AC679" s="449" t="str">
        <f t="shared" si="88"/>
        <v/>
      </c>
      <c r="AD679" s="449"/>
      <c r="AE679" s="449"/>
      <c r="AF679" s="4"/>
      <c r="AG679" s="83"/>
      <c r="AH679" s="4"/>
      <c r="AI679" s="4"/>
      <c r="AJ679" s="449"/>
      <c r="AK679" s="449"/>
      <c r="AL679" s="449"/>
      <c r="AM679" s="449"/>
      <c r="AN679" s="10"/>
      <c r="AO679" s="9"/>
      <c r="AP679" s="9"/>
      <c r="AQ679" s="9">
        <f>+FL_1($T$680,$T$678,$G$679,1200,9.28, 1*$F$680)</f>
        <v>0.35</v>
      </c>
      <c r="AR679" s="9"/>
      <c r="AS679" s="9"/>
      <c r="AT679" s="9"/>
      <c r="AU679" s="428"/>
      <c r="AV679" s="428"/>
      <c r="AW679" s="449" t="str">
        <f>IF(C679&gt;0,VLOOKUP(C679,Foundation_Calc!$A$2:$C$13,3,1),
IF(J679&gt;0,VLOOKUP(J679,Foundation_Calc!$A$2:$C$13,3,1),""))</f>
        <v>Multi Soil</v>
      </c>
      <c r="AX679" s="449" t="str">
        <f>IF(C679&gt;0,VLOOKUP(C679,Foundation_Calc!$E$35:$G$65,3,1),
IF(J679&gt;0,VLOOKUP(J679,Foundation_Calc!$E$35:$G$65,3,1),""))</f>
        <v>PT</v>
      </c>
      <c r="AY679" s="10" t="str">
        <f>IF(L679="","",
IF(AX679="PT",VLOOKUP(L679,Foundation_Calc!$K$79:$R$113,VLOOKUP(AW679,Foundation_Calc!$I$2:$J$8,2,FALSE),0),
IF(AX679="K",VLOOKUP(L679,Foundation_Calc!$K$117:$R$151,VLOOKUP(AW679,Foundation_Calc!$I$2:$J$8,2,FALSE),0),"")))</f>
        <v/>
      </c>
      <c r="AZ679" s="10">
        <f>IF(K679="","",
IF(AX679="PT",VLOOKUP(K679,Foundation_Calc!$K$79:$R$113,VLOOKUP(AW679,Foundation_Calc!$I$2:$J$8,2,FALSE),0),
IF(AX679="K",VLOOKUP(K679,Foundation_Calc!$K$117:$R$151,VLOOKUP(AW679,Foundation_Calc!$I$2:$J$8,2,FALSE),0),"")))</f>
        <v>2.8</v>
      </c>
      <c r="BA679" s="495" t="str">
        <f t="shared" si="89"/>
        <v/>
      </c>
      <c r="BB679" s="495" t="str">
        <f t="shared" si="90"/>
        <v>ü</v>
      </c>
      <c r="BC679" s="495" t="str">
        <f t="shared" si="91"/>
        <v/>
      </c>
      <c r="BD679" s="513" t="str">
        <f>IF(AND(L679="",H679=""),"",
IF(H679="",Pole_Calc!A$9,
IF(H679="MP",Pole_Calc!A$10,
IF(H679="AnMP",Pole_Calc!A$11,
IF(H679="A",Pole_Calc!A$12,
IF(H679="S/A",Pole_Calc!A$13,
IF(H679="A/S",Pole_Calc!A$14,"Poner a mano")))))))</f>
        <v/>
      </c>
      <c r="BE679" s="429" t="s">
        <v>118</v>
      </c>
      <c r="BF679" s="290"/>
      <c r="BG679" s="290"/>
      <c r="BH679" s="290"/>
      <c r="BI679" s="290"/>
    </row>
    <row r="680" spans="1:61" ht="15.75" customHeight="1">
      <c r="A680" s="514"/>
      <c r="B680" s="450" t="s">
        <v>1288</v>
      </c>
      <c r="C680" s="3">
        <f>+$C$678+$G$679</f>
        <v>46450.190000000017</v>
      </c>
      <c r="D680" s="83"/>
      <c r="E680" s="4"/>
      <c r="F680" s="4">
        <v>5861.8778059718634</v>
      </c>
      <c r="G680" s="6"/>
      <c r="H680" s="449" t="s">
        <v>168</v>
      </c>
      <c r="I680" s="4"/>
      <c r="J680" s="3"/>
      <c r="K680" s="449"/>
      <c r="L680" s="449" t="s">
        <v>158</v>
      </c>
      <c r="M680" s="449" t="str">
        <f>IF(L680="","",
IF(AX680="PT",VLOOKUP(L680,Foundation_Calc!$V$79:$X$113,VLOOKUP(AX680,Foundation_Calc!$I$10:$J$13,2,FALSE),0),
IF(AX680="K",VLOOKUP(L680,Foundation_Calc!$V$117:$X$151,VLOOKUP(AX680,Foundation_Calc!$I$10:$J$13,2,FALSE),0),"")))</f>
        <v>C4R</v>
      </c>
      <c r="N680" s="449" t="s">
        <v>134</v>
      </c>
      <c r="O680" s="449"/>
      <c r="P680" s="449"/>
      <c r="Q680" s="4"/>
      <c r="R680" s="6"/>
      <c r="S680" s="6"/>
      <c r="T680" s="4">
        <v>35</v>
      </c>
      <c r="U680" s="4"/>
      <c r="V680" s="4"/>
      <c r="W680" s="9">
        <v>1.4</v>
      </c>
      <c r="X680" s="9"/>
      <c r="Y680" s="9"/>
      <c r="Z680" s="9"/>
      <c r="AA680" s="9"/>
      <c r="AB680" s="9"/>
      <c r="AC680" s="449" t="str">
        <f t="shared" si="88"/>
        <v>PHQ</v>
      </c>
      <c r="AD680" s="449"/>
      <c r="AE680" s="449"/>
      <c r="AF680" s="4"/>
      <c r="AG680" s="83"/>
      <c r="AH680" s="4"/>
      <c r="AI680" s="4"/>
      <c r="AJ680" s="449"/>
      <c r="AK680" s="449"/>
      <c r="AL680" s="449"/>
      <c r="AM680" s="449" t="s">
        <v>552</v>
      </c>
      <c r="AN680" s="10">
        <v>5.5</v>
      </c>
      <c r="AO680" s="9"/>
      <c r="AP680" s="9"/>
      <c r="AQ680" s="9"/>
      <c r="AR680" s="9"/>
      <c r="AS680" s="9"/>
      <c r="AT680" s="9">
        <f>+ab($T$680,$T$678,$T$682,$G$679,$G$681, 1*$F$680,1200)</f>
        <v>7.1135034361290463</v>
      </c>
      <c r="AU680" s="428"/>
      <c r="AV680" s="428"/>
      <c r="AW680" s="449" t="str">
        <f>IF(C680&gt;0,VLOOKUP(C680,Foundation_Calc!$A$2:$C$13,3,1),
IF(J680&gt;0,VLOOKUP(J680,Foundation_Calc!$A$2:$C$13,3,1),""))</f>
        <v>Multi Soil</v>
      </c>
      <c r="AX680" s="449" t="str">
        <f>IF(C680&gt;0,VLOOKUP(C680,Foundation_Calc!$E$35:$G$65,3,1),
IF(J680&gt;0,VLOOKUP(J680,Foundation_Calc!$E$35:$G$65,3,1),""))</f>
        <v>PT</v>
      </c>
      <c r="AY680" s="10">
        <f>IF(L680="","",
IF(AX680="PT",VLOOKUP(L680,Foundation_Calc!$K$79:$R$113,VLOOKUP(AW680,Foundation_Calc!$I$2:$J$8,2,FALSE),0),
IF(AX680="K",VLOOKUP(L680,Foundation_Calc!$K$117:$R$151,VLOOKUP(AW680,Foundation_Calc!$I$2:$J$8,2,FALSE),0),"")))</f>
        <v>3.5</v>
      </c>
      <c r="AZ680" s="10" t="str">
        <f>IF(K680="","",
IF(AX680="PT",VLOOKUP(K680,Foundation_Calc!$K$79:$R$113,VLOOKUP(AW680,Foundation_Calc!$I$2:$J$8,2,FALSE),0),
IF(AX680="K",VLOOKUP(K680,Foundation_Calc!$K$117:$R$151,VLOOKUP(AW680,Foundation_Calc!$I$2:$J$8,2,FALSE),0),"")))</f>
        <v/>
      </c>
      <c r="BA680" s="495" t="str">
        <f t="shared" si="89"/>
        <v>ü</v>
      </c>
      <c r="BB680" s="495" t="str">
        <f t="shared" si="90"/>
        <v/>
      </c>
      <c r="BC680" s="495" t="str">
        <f t="shared" si="91"/>
        <v/>
      </c>
      <c r="BD680" s="513" t="str">
        <f>IF(AND(L680="",H680=""),"",
IF(H680="",Pole_Calc!A$9,
IF(H680="MP",Pole_Calc!A$10,
IF(H680="AnMP",Pole_Calc!A$11,
IF(H680="A",Pole_Calc!A$12,
IF(H680="S/A",Pole_Calc!A$13,
IF(H680="A/S",Pole_Calc!A$14,"Poner a mano")))))))</f>
        <v>App.7-V11I-P9.5.1.3</v>
      </c>
      <c r="BE680" s="429" t="s">
        <v>118</v>
      </c>
      <c r="BF680" s="289"/>
      <c r="BG680" s="289"/>
      <c r="BH680" s="290"/>
      <c r="BI680" s="289"/>
    </row>
    <row r="681" spans="1:61" ht="15.75" customHeight="1">
      <c r="A681" s="514" t="s">
        <v>413</v>
      </c>
      <c r="B681" s="450"/>
      <c r="C681" s="3"/>
      <c r="D681" s="83"/>
      <c r="E681" s="4"/>
      <c r="F681" s="4"/>
      <c r="G681" s="6">
        <v>45.3</v>
      </c>
      <c r="H681" s="449"/>
      <c r="I681" s="4">
        <f>SUM(G661:G681)</f>
        <v>551.9</v>
      </c>
      <c r="J681" s="3"/>
      <c r="K681" s="449"/>
      <c r="L681" s="449"/>
      <c r="M681" s="449" t="str">
        <f>IF(L681="","",
IF(AX681="PT",VLOOKUP(L681,Foundation_Calc!$V$79:$X$113,VLOOKUP(AX681,Foundation_Calc!$I$10:$J$13,2,FALSE),0),
IF(AX681="K",VLOOKUP(L681,Foundation_Calc!$V$117:$X$151,VLOOKUP(AX681,Foundation_Calc!$I$10:$J$13,2,FALSE),0),"")))</f>
        <v/>
      </c>
      <c r="N681" s="575"/>
      <c r="O681" s="449"/>
      <c r="P681" s="449"/>
      <c r="Q681" s="4"/>
      <c r="R681" s="6"/>
      <c r="S681" s="6"/>
      <c r="T681" s="4"/>
      <c r="U681" s="4"/>
      <c r="V681" s="4"/>
      <c r="W681" s="9"/>
      <c r="X681" s="9"/>
      <c r="Y681" s="9"/>
      <c r="Z681" s="9"/>
      <c r="AA681" s="9"/>
      <c r="AB681" s="9"/>
      <c r="AC681" s="449" t="str">
        <f t="shared" si="88"/>
        <v/>
      </c>
      <c r="AD681" s="449"/>
      <c r="AE681" s="449"/>
      <c r="AF681" s="4"/>
      <c r="AG681" s="83"/>
      <c r="AH681" s="4"/>
      <c r="AI681" s="4"/>
      <c r="AJ681" s="449"/>
      <c r="AK681" s="449"/>
      <c r="AL681" s="449"/>
      <c r="AM681" s="449"/>
      <c r="AN681" s="10"/>
      <c r="AO681" s="9"/>
      <c r="AP681" s="9"/>
      <c r="AQ681" s="9">
        <f>+FL_1($T$682,$T$680,$G$681,1200,9.28, 1*$F$682)</f>
        <v>0.40304628948757526</v>
      </c>
      <c r="AR681" s="9"/>
      <c r="AS681" s="9"/>
      <c r="AT681" s="9"/>
      <c r="AU681" s="428"/>
      <c r="AV681" s="428"/>
      <c r="AW681" s="449" t="str">
        <f>IF(C681&gt;0,VLOOKUP(C681,Foundation_Calc!$A$2:$C$13,3,1),
IF(J681&gt;0,VLOOKUP(J681,Foundation_Calc!$A$2:$C$13,3,1),""))</f>
        <v/>
      </c>
      <c r="AX681" s="449" t="str">
        <f>IF(C681&gt;0,VLOOKUP(C681,Foundation_Calc!$E$35:$G$65,3,1),
IF(J681&gt;0,VLOOKUP(J681,Foundation_Calc!$E$35:$G$65,3,1),""))</f>
        <v/>
      </c>
      <c r="AY681" s="10" t="str">
        <f>IF(L681="","",
IF(AX681="PT",VLOOKUP(L681,Foundation_Calc!$K$79:$R$113,VLOOKUP(AW681,Foundation_Calc!$I$2:$J$8,2,FALSE),0),
IF(AX681="K",VLOOKUP(L681,Foundation_Calc!$K$117:$R$151,VLOOKUP(AW681,Foundation_Calc!$I$2:$J$8,2,FALSE),0),"")))</f>
        <v/>
      </c>
      <c r="AZ681" s="10" t="str">
        <f>IF(K681="","",
IF(AX681="PT",VLOOKUP(K681,Foundation_Calc!$K$79:$R$113,VLOOKUP(AW681,Foundation_Calc!$I$2:$J$8,2,FALSE),0),
IF(AX681="K",VLOOKUP(K681,Foundation_Calc!$K$117:$R$151,VLOOKUP(AW681,Foundation_Calc!$I$2:$J$8,2,FALSE),0),"")))</f>
        <v/>
      </c>
      <c r="BA681" s="495" t="str">
        <f t="shared" si="89"/>
        <v/>
      </c>
      <c r="BB681" s="495" t="str">
        <f t="shared" si="90"/>
        <v/>
      </c>
      <c r="BC681" s="495" t="str">
        <f t="shared" si="91"/>
        <v/>
      </c>
      <c r="BD681" s="513" t="str">
        <f>IF(AND(L681="",H681=""),"",
IF(H681="",Pole_Calc!A$9,
IF(H681="MP",Pole_Calc!A$10,
IF(H681="AnMP",Pole_Calc!A$11,
IF(H681="A",Pole_Calc!A$12,
IF(H681="S/A",Pole_Calc!A$13,
IF(H681="A/S",Pole_Calc!A$14,"Poner a mano")))))))</f>
        <v/>
      </c>
      <c r="BE681" s="429" t="s">
        <v>118</v>
      </c>
      <c r="BF681" s="290"/>
      <c r="BG681" s="290"/>
      <c r="BH681" s="290"/>
      <c r="BI681" s="290"/>
    </row>
    <row r="682" spans="1:61" ht="15.75" customHeight="1">
      <c r="A682" s="514"/>
      <c r="B682" s="450" t="s">
        <v>1289</v>
      </c>
      <c r="C682" s="3">
        <f>+$C$680+$G$681</f>
        <v>46495.49000000002</v>
      </c>
      <c r="D682" s="83"/>
      <c r="E682" s="4"/>
      <c r="F682" s="4">
        <v>3110.9914016363655</v>
      </c>
      <c r="G682" s="6"/>
      <c r="H682" s="449" t="s">
        <v>171</v>
      </c>
      <c r="I682" s="4"/>
      <c r="J682" s="3"/>
      <c r="K682" s="449"/>
      <c r="L682" s="449" t="s">
        <v>151</v>
      </c>
      <c r="M682" s="449" t="str">
        <f>IF(L682="","",
IF(AX682="PT",VLOOKUP(L682,Foundation_Calc!$V$79:$X$113,VLOOKUP(AX682,Foundation_Calc!$I$10:$J$13,2,FALSE),0),
IF(AX682="K",VLOOKUP(L682,Foundation_Calc!$V$117:$X$151,VLOOKUP(AX682,Foundation_Calc!$I$10:$J$13,2,FALSE),0),"")))</f>
        <v>C4R</v>
      </c>
      <c r="N682" s="449" t="s">
        <v>134</v>
      </c>
      <c r="O682" s="449"/>
      <c r="P682" s="449"/>
      <c r="Q682" s="4"/>
      <c r="R682" s="6"/>
      <c r="S682" s="6"/>
      <c r="T682" s="4">
        <v>20</v>
      </c>
      <c r="U682" s="4"/>
      <c r="V682" s="4"/>
      <c r="W682" s="9">
        <v>1.4</v>
      </c>
      <c r="X682" s="9"/>
      <c r="Y682" s="9"/>
      <c r="Z682" s="9"/>
      <c r="AA682" s="9"/>
      <c r="AB682" s="9"/>
      <c r="AC682" s="449" t="str">
        <f t="shared" si="88"/>
        <v>PH</v>
      </c>
      <c r="AD682" s="449"/>
      <c r="AE682" s="449"/>
      <c r="AF682" s="4"/>
      <c r="AG682" s="83"/>
      <c r="AH682" s="4"/>
      <c r="AI682" s="4"/>
      <c r="AJ682" s="449"/>
      <c r="AK682" s="449"/>
      <c r="AL682" s="449"/>
      <c r="AM682" s="449" t="s">
        <v>552</v>
      </c>
      <c r="AN682" s="10">
        <v>5.5</v>
      </c>
      <c r="AO682" s="9"/>
      <c r="AP682" s="9"/>
      <c r="AQ682" s="9"/>
      <c r="AR682" s="9"/>
      <c r="AS682" s="9"/>
      <c r="AT682" s="9">
        <f>+ab($T$682,$T$680,$T$684,$G$681,$G$683, 1*$F$682,1200)</f>
        <v>18.507196281673142</v>
      </c>
      <c r="AU682" s="428"/>
      <c r="AV682" s="428"/>
      <c r="AW682" s="449" t="str">
        <f>IF(C682&gt;0,VLOOKUP(C682,Foundation_Calc!$A$2:$C$13,3,1),
IF(J682&gt;0,VLOOKUP(J682,Foundation_Calc!$A$2:$C$13,3,1),""))</f>
        <v>Multi Soil</v>
      </c>
      <c r="AX682" s="449" t="str">
        <f>IF(C682&gt;0,VLOOKUP(C682,Foundation_Calc!$E$35:$G$65,3,1),
IF(J682&gt;0,VLOOKUP(J682,Foundation_Calc!$E$35:$G$65,3,1),""))</f>
        <v>PT</v>
      </c>
      <c r="AY682" s="10">
        <f>IF(L682="","",
IF(AX682="PT",VLOOKUP(L682,Foundation_Calc!$K$79:$R$113,VLOOKUP(AW682,Foundation_Calc!$I$2:$J$8,2,FALSE),0),
IF(AX682="K",VLOOKUP(L682,Foundation_Calc!$K$117:$R$151,VLOOKUP(AW682,Foundation_Calc!$I$2:$J$8,2,FALSE),0),"")))</f>
        <v>3.5</v>
      </c>
      <c r="AZ682" s="10" t="str">
        <f>IF(K682="","",
IF(AX682="PT",VLOOKUP(K682,Foundation_Calc!$K$79:$R$113,VLOOKUP(AW682,Foundation_Calc!$I$2:$J$8,2,FALSE),0),
IF(AX682="K",VLOOKUP(K682,Foundation_Calc!$K$117:$R$151,VLOOKUP(AW682,Foundation_Calc!$I$2:$J$8,2,FALSE),0),"")))</f>
        <v/>
      </c>
      <c r="BA682" s="495" t="str">
        <f t="shared" si="89"/>
        <v>ü</v>
      </c>
      <c r="BB682" s="495" t="str">
        <f t="shared" si="90"/>
        <v/>
      </c>
      <c r="BC682" s="495" t="str">
        <f t="shared" si="91"/>
        <v/>
      </c>
      <c r="BD682" s="513" t="str">
        <f>IF(AND(L682="",H682=""),"",
IF(H682="",Pole_Calc!A$9,
IF(H682="MP",Pole_Calc!A$10,
IF(H682="AnMP",Pole_Calc!A$11,
IF(H682="A",Pole_Calc!A$12,
IF(H682="S/A",Pole_Calc!A$13,
IF(H682="A/S",Pole_Calc!A$14,"Poner a mano")))))))</f>
        <v>App.7-V11I-P9.5.1.2</v>
      </c>
      <c r="BE682" s="429" t="s">
        <v>118</v>
      </c>
      <c r="BF682" s="289"/>
      <c r="BG682" s="289"/>
      <c r="BH682" s="290"/>
      <c r="BI682" s="289"/>
    </row>
    <row r="683" spans="1:61" ht="15.75" customHeight="1">
      <c r="A683" s="514" t="s">
        <v>589</v>
      </c>
      <c r="B683" s="450"/>
      <c r="C683" s="3"/>
      <c r="D683" s="83"/>
      <c r="E683" s="4"/>
      <c r="F683" s="4"/>
      <c r="G683" s="6">
        <v>50</v>
      </c>
      <c r="H683" s="449"/>
      <c r="I683" s="4">
        <f>SUM(G683:G703)</f>
        <v>575</v>
      </c>
      <c r="J683" s="3"/>
      <c r="K683" s="449"/>
      <c r="L683" s="449"/>
      <c r="M683" s="449" t="str">
        <f>IF(L683="","",
IF(AX683="PT",VLOOKUP(L683,Foundation_Calc!$V$79:$X$113,VLOOKUP(AX683,Foundation_Calc!$I$10:$J$13,2,FALSE),0),
IF(AX683="K",VLOOKUP(L683,Foundation_Calc!$V$117:$X$151,VLOOKUP(AX683,Foundation_Calc!$I$10:$J$13,2,FALSE),0),"")))</f>
        <v/>
      </c>
      <c r="N683" s="449"/>
      <c r="O683" s="449"/>
      <c r="P683" s="449"/>
      <c r="Q683" s="4"/>
      <c r="R683" s="6"/>
      <c r="S683" s="6"/>
      <c r="T683" s="4"/>
      <c r="U683" s="4"/>
      <c r="V683" s="4"/>
      <c r="W683" s="9"/>
      <c r="X683" s="9"/>
      <c r="Y683" s="9"/>
      <c r="Z683" s="9"/>
      <c r="AA683" s="9"/>
      <c r="AB683" s="9"/>
      <c r="AC683" s="449" t="str">
        <f t="shared" si="88"/>
        <v/>
      </c>
      <c r="AD683" s="449"/>
      <c r="AE683" s="449"/>
      <c r="AF683" s="4"/>
      <c r="AG683" s="83"/>
      <c r="AH683" s="4"/>
      <c r="AI683" s="4"/>
      <c r="AJ683" s="449"/>
      <c r="AK683" s="449"/>
      <c r="AL683" s="449"/>
      <c r="AM683" s="449"/>
      <c r="AN683" s="10"/>
      <c r="AO683" s="9"/>
      <c r="AP683" s="9"/>
      <c r="AQ683" s="9">
        <f>+FL_1($T$684,$T$682,$G$683,1200,9.28, 1*$F$684)</f>
        <v>0.34618879238977607</v>
      </c>
      <c r="AR683" s="9"/>
      <c r="AS683" s="9"/>
      <c r="AT683" s="9"/>
      <c r="AU683" s="428"/>
      <c r="AV683" s="428"/>
      <c r="AW683" s="449" t="str">
        <f>IF(C683&gt;0,VLOOKUP(C683,Foundation_Calc!$A$2:$C$13,3,1),
IF(J683&gt;0,VLOOKUP(J683,Foundation_Calc!$A$2:$C$13,3,1),""))</f>
        <v/>
      </c>
      <c r="AX683" s="449" t="str">
        <f>IF(C683&gt;0,VLOOKUP(C683,Foundation_Calc!$E$35:$G$65,3,1),
IF(J683&gt;0,VLOOKUP(J683,Foundation_Calc!$E$35:$G$65,3,1),""))</f>
        <v/>
      </c>
      <c r="AY683" s="10" t="str">
        <f>IF(L683="","",
IF(AX683="PT",VLOOKUP(L683,Foundation_Calc!$K$79:$R$113,VLOOKUP(AW683,Foundation_Calc!$I$2:$J$8,2,FALSE),0),
IF(AX683="K",VLOOKUP(L683,Foundation_Calc!$K$117:$R$151,VLOOKUP(AW683,Foundation_Calc!$I$2:$J$8,2,FALSE),0),"")))</f>
        <v/>
      </c>
      <c r="AZ683" s="10" t="str">
        <f>IF(K683="","",
IF(AX683="PT",VLOOKUP(K683,Foundation_Calc!$K$79:$R$113,VLOOKUP(AW683,Foundation_Calc!$I$2:$J$8,2,FALSE),0),
IF(AX683="K",VLOOKUP(K683,Foundation_Calc!$K$117:$R$151,VLOOKUP(AW683,Foundation_Calc!$I$2:$J$8,2,FALSE),0),"")))</f>
        <v/>
      </c>
      <c r="BA683" s="495" t="str">
        <f t="shared" si="89"/>
        <v/>
      </c>
      <c r="BB683" s="495" t="str">
        <f t="shared" si="90"/>
        <v/>
      </c>
      <c r="BC683" s="495" t="str">
        <f t="shared" si="91"/>
        <v/>
      </c>
      <c r="BD683" s="513" t="str">
        <f>IF(AND(L683="",H683=""),"",
IF(H683="",Pole_Calc!A$9,
IF(H683="MP",Pole_Calc!A$10,
IF(H683="AnMP",Pole_Calc!A$11,
IF(H683="A",Pole_Calc!A$12,
IF(H683="S/A",Pole_Calc!A$13,
IF(H683="A/S",Pole_Calc!A$14,"Poner a mano")))))))</f>
        <v/>
      </c>
      <c r="BE683" s="429" t="s">
        <v>118</v>
      </c>
      <c r="BF683" s="290"/>
      <c r="BG683" s="290"/>
      <c r="BH683" s="290"/>
      <c r="BI683" s="290"/>
    </row>
    <row r="684" spans="1:61" ht="15.75" customHeight="1">
      <c r="A684" s="514" t="s">
        <v>591</v>
      </c>
      <c r="B684" s="450" t="s">
        <v>1290</v>
      </c>
      <c r="C684" s="3">
        <f>+$C$682+$G$683</f>
        <v>46545.49000000002</v>
      </c>
      <c r="D684" s="83"/>
      <c r="E684" s="4"/>
      <c r="F684" s="4">
        <v>2049.4369753632195</v>
      </c>
      <c r="G684" s="6"/>
      <c r="H684" s="449" t="s">
        <v>168</v>
      </c>
      <c r="I684" s="4"/>
      <c r="J684" s="3"/>
      <c r="K684" s="449"/>
      <c r="L684" s="449" t="s">
        <v>183</v>
      </c>
      <c r="M684" s="449" t="str">
        <f>IF(L684="","",
IF(AX684="PT",VLOOKUP(L684,Foundation_Calc!$V$79:$X$113,VLOOKUP(AX684,Foundation_Calc!$I$10:$J$13,2,FALSE),0),
IF(AX684="K",VLOOKUP(L684,Foundation_Calc!$V$117:$X$151,VLOOKUP(AX684,Foundation_Calc!$I$10:$J$13,2,FALSE),0),"")))</f>
        <v>2C3R</v>
      </c>
      <c r="N684" s="449" t="s">
        <v>134</v>
      </c>
      <c r="O684" s="449"/>
      <c r="P684" s="449"/>
      <c r="Q684" s="4"/>
      <c r="R684" s="6"/>
      <c r="S684" s="6"/>
      <c r="T684" s="4">
        <v>30</v>
      </c>
      <c r="U684" s="4"/>
      <c r="V684" s="4"/>
      <c r="W684" s="572">
        <v>1.4</v>
      </c>
      <c r="X684" s="9"/>
      <c r="Y684" s="9"/>
      <c r="Z684" s="9"/>
      <c r="AA684" s="9"/>
      <c r="AB684" s="9"/>
      <c r="AC684" s="449" t="str">
        <f t="shared" si="88"/>
        <v>PHQ</v>
      </c>
      <c r="AD684" s="449"/>
      <c r="AE684" s="449"/>
      <c r="AF684" s="4"/>
      <c r="AG684" s="83"/>
      <c r="AH684" s="4"/>
      <c r="AI684" s="4"/>
      <c r="AJ684" s="449"/>
      <c r="AK684" s="449"/>
      <c r="AL684" s="449"/>
      <c r="AM684" s="449" t="s">
        <v>552</v>
      </c>
      <c r="AN684" s="10">
        <v>5.5</v>
      </c>
      <c r="AO684" s="9"/>
      <c r="AP684" s="9"/>
      <c r="AQ684" s="9"/>
      <c r="AR684" s="9"/>
      <c r="AS684" s="9"/>
      <c r="AT684" s="9">
        <f>+ab($T$684,$T$682,$T$686,$G$683,$G$685, 1*$F$684,1200)</f>
        <v>7.434800124692365</v>
      </c>
      <c r="AU684" s="428"/>
      <c r="AV684" s="428"/>
      <c r="AW684" s="449" t="str">
        <f>IF(C684&gt;0,VLOOKUP(C684,Foundation_Calc!$A$2:$C$13,3,1),
IF(J684&gt;0,VLOOKUP(J684,Foundation_Calc!$A$2:$C$13,3,1),""))</f>
        <v>Multi Soil</v>
      </c>
      <c r="AX684" s="449" t="str">
        <f>IF(C684&gt;0,VLOOKUP(C684,Foundation_Calc!$E$35:$G$65,3,1),
IF(J684&gt;0,VLOOKUP(J684,Foundation_Calc!$E$35:$G$65,3,1),""))</f>
        <v>PT</v>
      </c>
      <c r="AY684" s="10">
        <f>IF(L684="","",
IF(AX684="PT",VLOOKUP(L684,Foundation_Calc!$K$79:$R$113,VLOOKUP(AW684,Foundation_Calc!$I$2:$J$8,2,FALSE),0),
IF(AX684="K",VLOOKUP(L684,Foundation_Calc!$K$117:$R$151,VLOOKUP(AW684,Foundation_Calc!$I$2:$J$8,2,FALSE),0),"")))</f>
        <v>3.7</v>
      </c>
      <c r="AZ684" s="10" t="str">
        <f>IF(K684="","",
IF(AX684="PT",VLOOKUP(K684,Foundation_Calc!$K$79:$R$113,VLOOKUP(AW684,Foundation_Calc!$I$2:$J$8,2,FALSE),0),
IF(AX684="K",VLOOKUP(K684,Foundation_Calc!$K$117:$R$151,VLOOKUP(AW684,Foundation_Calc!$I$2:$J$8,2,FALSE),0),"")))</f>
        <v/>
      </c>
      <c r="BA684" s="495" t="str">
        <f t="shared" si="89"/>
        <v>ü</v>
      </c>
      <c r="BB684" s="495" t="str">
        <f t="shared" si="90"/>
        <v/>
      </c>
      <c r="BC684" s="495" t="str">
        <f t="shared" si="91"/>
        <v/>
      </c>
      <c r="BD684" s="513" t="str">
        <f>IF(AND(L684="",H684=""),"",
IF(H684="",Pole_Calc!A$9,
IF(H684="MP",Pole_Calc!A$10,
IF(H684="AnMP",Pole_Calc!A$11,
IF(H684="A",Pole_Calc!A$12,
IF(H684="S/A",Pole_Calc!A$13,
IF(H684="A/S",Pole_Calc!A$14,"Poner a mano")))))))</f>
        <v>App.7-V11I-P9.5.1.3</v>
      </c>
      <c r="BE684" s="429" t="s">
        <v>118</v>
      </c>
      <c r="BF684" s="289"/>
      <c r="BG684" s="289"/>
      <c r="BH684" s="290"/>
      <c r="BI684" s="289"/>
    </row>
    <row r="685" spans="1:61" ht="15.75" customHeight="1">
      <c r="A685" s="514"/>
      <c r="B685" s="450"/>
      <c r="C685" s="3"/>
      <c r="D685" s="83"/>
      <c r="E685" s="4"/>
      <c r="F685" s="4"/>
      <c r="G685" s="6">
        <v>47</v>
      </c>
      <c r="H685" s="449"/>
      <c r="I685" s="4"/>
      <c r="J685" s="3">
        <f>C684+7.5</f>
        <v>46552.99000000002</v>
      </c>
      <c r="K685" s="449" t="s">
        <v>166</v>
      </c>
      <c r="L685" s="449"/>
      <c r="M685" s="449" t="str">
        <f>IF(L685="","",
IF(AX685="PT",VLOOKUP(L685,Foundation_Calc!$V$79:$X$113,VLOOKUP(AX685,Foundation_Calc!$I$10:$J$13,2,FALSE),0),
IF(AX685="K",VLOOKUP(L685,Foundation_Calc!$V$117:$X$151,VLOOKUP(AX685,Foundation_Calc!$I$10:$J$13,2,FALSE),0),"")))</f>
        <v/>
      </c>
      <c r="N685" s="449"/>
      <c r="O685" s="561"/>
      <c r="P685" s="449"/>
      <c r="Q685" s="4"/>
      <c r="R685" s="6"/>
      <c r="S685" s="6"/>
      <c r="T685" s="4"/>
      <c r="U685" s="4"/>
      <c r="V685" s="4"/>
      <c r="W685" s="572"/>
      <c r="X685" s="9"/>
      <c r="Y685" s="9"/>
      <c r="Z685" s="9"/>
      <c r="AA685" s="9"/>
      <c r="AB685" s="9"/>
      <c r="AC685" s="449" t="str">
        <f t="shared" si="88"/>
        <v/>
      </c>
      <c r="AD685" s="449"/>
      <c r="AE685" s="449"/>
      <c r="AF685" s="4"/>
      <c r="AG685" s="83"/>
      <c r="AH685" s="4"/>
      <c r="AI685" s="4"/>
      <c r="AJ685" s="449"/>
      <c r="AK685" s="449"/>
      <c r="AL685" s="449"/>
      <c r="AM685" s="449"/>
      <c r="AN685" s="10"/>
      <c r="AO685" s="9"/>
      <c r="AP685" s="9"/>
      <c r="AQ685" s="9">
        <f>+FL_1($T$686,$T$684,$G$685,1200,9.28, 1*$F$686)</f>
        <v>0.37546940102431814</v>
      </c>
      <c r="AR685" s="9"/>
      <c r="AS685" s="9"/>
      <c r="AT685" s="9"/>
      <c r="AU685" s="428"/>
      <c r="AV685" s="428"/>
      <c r="AW685" s="449" t="str">
        <f>IF(C685&gt;0,VLOOKUP(C685,Foundation_Calc!$A$2:$C$13,3,1),
IF(J685&gt;0,VLOOKUP(J685,Foundation_Calc!$A$2:$C$13,3,1),""))</f>
        <v>Multi Soil</v>
      </c>
      <c r="AX685" s="449" t="str">
        <f>IF(C685&gt;0,VLOOKUP(C685,Foundation_Calc!$E$35:$G$65,3,1),
IF(J685&gt;0,VLOOKUP(J685,Foundation_Calc!$E$35:$G$65,3,1),""))</f>
        <v>PT</v>
      </c>
      <c r="AY685" s="10" t="str">
        <f>IF(L685="","",
IF(AX685="PT",VLOOKUP(L685,Foundation_Calc!$K$79:$R$113,VLOOKUP(AW685,Foundation_Calc!$I$2:$J$8,2,FALSE),0),
IF(AX685="K",VLOOKUP(L685,Foundation_Calc!$K$117:$R$151,VLOOKUP(AW685,Foundation_Calc!$I$2:$J$8,2,FALSE),0),"")))</f>
        <v/>
      </c>
      <c r="AZ685" s="10">
        <f>IF(K685="","",
IF(AX685="PT",VLOOKUP(K685,Foundation_Calc!$K$79:$R$113,VLOOKUP(AW685,Foundation_Calc!$I$2:$J$8,2,FALSE),0),
IF(AX685="K",VLOOKUP(K685,Foundation_Calc!$K$117:$R$151,VLOOKUP(AW685,Foundation_Calc!$I$2:$J$8,2,FALSE),0),"")))</f>
        <v>2.8</v>
      </c>
      <c r="BA685" s="495" t="str">
        <f t="shared" si="89"/>
        <v/>
      </c>
      <c r="BB685" s="495" t="str">
        <f t="shared" si="90"/>
        <v>ü</v>
      </c>
      <c r="BC685" s="495" t="str">
        <f t="shared" si="91"/>
        <v/>
      </c>
      <c r="BD685" s="513" t="str">
        <f>IF(AND(L685="",H685=""),"",
IF(H685="",Pole_Calc!A$9,
IF(H685="MP",Pole_Calc!A$10,
IF(H685="AnMP",Pole_Calc!A$11,
IF(H685="A",Pole_Calc!A$12,
IF(H685="S/A",Pole_Calc!A$13,
IF(H685="A/S",Pole_Calc!A$14,"Poner a mano")))))))</f>
        <v/>
      </c>
      <c r="BE685" s="429" t="s">
        <v>118</v>
      </c>
      <c r="BF685" s="290"/>
      <c r="BG685" s="290"/>
      <c r="BH685" s="290"/>
      <c r="BI685" s="290"/>
    </row>
    <row r="686" spans="1:61" ht="15.75" customHeight="1">
      <c r="A686" s="514" t="s">
        <v>199</v>
      </c>
      <c r="B686" s="720" t="s">
        <v>1291</v>
      </c>
      <c r="C686" s="3">
        <f>+$C$684+$G$685</f>
        <v>46592.49000000002</v>
      </c>
      <c r="D686" s="83"/>
      <c r="E686" s="4"/>
      <c r="F686" s="4">
        <v>2000</v>
      </c>
      <c r="G686" s="6"/>
      <c r="H686" s="449"/>
      <c r="I686" s="4"/>
      <c r="J686" s="3"/>
      <c r="K686" s="449"/>
      <c r="L686" s="449" t="s">
        <v>398</v>
      </c>
      <c r="M686" s="449" t="str">
        <f>IF(L686="","",
IF(AX686="PT",VLOOKUP(L686,Foundation_Calc!$V$79:$X$113,VLOOKUP(AX686,Foundation_Calc!$I$10:$J$13,2,FALSE),0),
IF(AX686="K",VLOOKUP(L686,Foundation_Calc!$V$117:$X$151,VLOOKUP(AX686,Foundation_Calc!$I$10:$J$13,2,FALSE),0),"")))</f>
        <v>C5R</v>
      </c>
      <c r="N686" s="449" t="s">
        <v>134</v>
      </c>
      <c r="O686" s="449"/>
      <c r="P686" s="449"/>
      <c r="Q686" s="4"/>
      <c r="R686" s="6"/>
      <c r="S686" s="6"/>
      <c r="T686" s="4">
        <v>30</v>
      </c>
      <c r="U686" s="4"/>
      <c r="V686" s="4"/>
      <c r="W686" s="572">
        <v>1.2</v>
      </c>
      <c r="X686" s="9"/>
      <c r="Y686" s="9"/>
      <c r="Z686" s="9"/>
      <c r="AA686" s="9"/>
      <c r="AB686" s="9"/>
      <c r="AC686" s="449" t="str">
        <f t="shared" si="88"/>
        <v>PH</v>
      </c>
      <c r="AD686" s="449"/>
      <c r="AE686" s="449"/>
      <c r="AF686" s="4"/>
      <c r="AG686" s="83"/>
      <c r="AH686" s="4"/>
      <c r="AI686" s="4"/>
      <c r="AJ686" s="449"/>
      <c r="AK686" s="449"/>
      <c r="AL686" s="449"/>
      <c r="AM686" s="449" t="s">
        <v>552</v>
      </c>
      <c r="AN686" s="10">
        <v>5.5</v>
      </c>
      <c r="AO686" s="9"/>
      <c r="AP686" s="9"/>
      <c r="AQ686" s="9"/>
      <c r="AR686" s="9"/>
      <c r="AS686" s="9"/>
      <c r="AT686" s="9">
        <f>+ab($T$686,$T$684,$T$688,$G$685,$G$687, 1*$F$686,1200)</f>
        <v>8.1110245242549741</v>
      </c>
      <c r="AU686" s="428"/>
      <c r="AV686" s="428"/>
      <c r="AW686" s="449" t="str">
        <f>IF(C686&gt;0,VLOOKUP(C686,Foundation_Calc!$A$2:$C$13,3,1),
IF(J686&gt;0,VLOOKUP(J686,Foundation_Calc!$A$2:$C$13,3,1),""))</f>
        <v>Multi Soil</v>
      </c>
      <c r="AX686" s="449" t="str">
        <f>IF(C686&gt;0,VLOOKUP(C686,Foundation_Calc!$E$35:$G$65,3,1),
IF(J686&gt;0,VLOOKUP(J686,Foundation_Calc!$E$35:$G$65,3,1),""))</f>
        <v>PT</v>
      </c>
      <c r="AY686" s="10">
        <f>IF(L686="","",
IF(AX686="PT",VLOOKUP(L686,Foundation_Calc!$K$79:$R$113,VLOOKUP(AW686,Foundation_Calc!$I$2:$J$8,2,FALSE),0),
IF(AX686="K",VLOOKUP(L686,Foundation_Calc!$K$117:$R$151,VLOOKUP(AW686,Foundation_Calc!$I$2:$J$8,2,FALSE),0),"")))</f>
        <v>3.5</v>
      </c>
      <c r="AZ686" s="10" t="str">
        <f>IF(K686="","",
IF(AX686="PT",VLOOKUP(K686,Foundation_Calc!$K$79:$R$113,VLOOKUP(AW686,Foundation_Calc!$I$2:$J$8,2,FALSE),0),
IF(AX686="K",VLOOKUP(K686,Foundation_Calc!$K$117:$R$151,VLOOKUP(AW686,Foundation_Calc!$I$2:$J$8,2,FALSE),0),"")))</f>
        <v/>
      </c>
      <c r="BA686" s="495" t="str">
        <f t="shared" si="89"/>
        <v>ü</v>
      </c>
      <c r="BB686" s="495" t="str">
        <f t="shared" si="90"/>
        <v/>
      </c>
      <c r="BC686" s="495" t="str">
        <f t="shared" si="91"/>
        <v/>
      </c>
      <c r="BD686" s="513" t="str">
        <f>IF(AND(L686="",H686=""),"",
IF(H686="",Pole_Calc!A$9,
IF(H686="MP",Pole_Calc!A$10,
IF(H686="AnMP",Pole_Calc!A$11,
IF(H686="A",Pole_Calc!A$12,
IF(H686="S/A",Pole_Calc!A$13,
IF(H686="A/S",Pole_Calc!A$14,"Poner a mano")))))))</f>
        <v>App.7-V11I-P9.5.1.1</v>
      </c>
      <c r="BE686" s="429" t="s">
        <v>118</v>
      </c>
      <c r="BF686" s="289"/>
      <c r="BG686" s="289"/>
      <c r="BH686" s="290"/>
      <c r="BI686" s="289"/>
    </row>
    <row r="687" spans="1:61" ht="15.75" customHeight="1">
      <c r="A687" s="733" t="s">
        <v>199</v>
      </c>
      <c r="B687" s="450"/>
      <c r="C687" s="3"/>
      <c r="D687" s="83"/>
      <c r="E687" s="4"/>
      <c r="F687" s="4"/>
      <c r="G687" s="6">
        <v>47</v>
      </c>
      <c r="H687" s="449"/>
      <c r="I687" s="4"/>
      <c r="J687" s="3"/>
      <c r="K687" s="449"/>
      <c r="L687" s="449"/>
      <c r="M687" s="449" t="str">
        <f>IF(L687="","",
IF(AX687="PT",VLOOKUP(L687,Foundation_Calc!$V$79:$X$113,VLOOKUP(AX687,Foundation_Calc!$I$10:$J$13,2,FALSE),0),
IF(AX687="K",VLOOKUP(L687,Foundation_Calc!$V$117:$X$151,VLOOKUP(AX687,Foundation_Calc!$I$10:$J$13,2,FALSE),0),"")))</f>
        <v/>
      </c>
      <c r="N687" s="449"/>
      <c r="O687" s="449"/>
      <c r="P687" s="449"/>
      <c r="Q687" s="4"/>
      <c r="R687" s="6"/>
      <c r="S687" s="6"/>
      <c r="T687" s="4"/>
      <c r="U687" s="4"/>
      <c r="V687" s="4"/>
      <c r="W687" s="572"/>
      <c r="X687" s="9"/>
      <c r="Y687" s="9"/>
      <c r="Z687" s="9"/>
      <c r="AA687" s="9"/>
      <c r="AB687" s="9"/>
      <c r="AC687" s="449" t="str">
        <f t="shared" si="88"/>
        <v/>
      </c>
      <c r="AD687" s="449"/>
      <c r="AE687" s="449"/>
      <c r="AF687" s="4"/>
      <c r="AG687" s="83"/>
      <c r="AH687" s="4"/>
      <c r="AI687" s="4"/>
      <c r="AJ687" s="449"/>
      <c r="AK687" s="449"/>
      <c r="AL687" s="449"/>
      <c r="AM687" s="449"/>
      <c r="AN687" s="10"/>
      <c r="AO687" s="9"/>
      <c r="AP687" s="9"/>
      <c r="AQ687" s="9">
        <f>+FL_1($T$688,$T$686,$G$687,1200,9.28, 1*$F$688)</f>
        <v>0.37546940102431814</v>
      </c>
      <c r="AR687" s="9"/>
      <c r="AS687" s="9"/>
      <c r="AT687" s="9"/>
      <c r="AU687" s="428"/>
      <c r="AV687" s="428"/>
      <c r="AW687" s="449" t="str">
        <f>IF(C687&gt;0,VLOOKUP(C687,Foundation_Calc!$A$2:$C$13,3,1),
IF(J687&gt;0,VLOOKUP(J687,Foundation_Calc!$A$2:$C$13,3,1),""))</f>
        <v/>
      </c>
      <c r="AX687" s="449" t="str">
        <f>IF(C687&gt;0,VLOOKUP(C687,Foundation_Calc!$E$35:$G$65,3,1),
IF(J687&gt;0,VLOOKUP(J687,Foundation_Calc!$E$35:$G$65,3,1),""))</f>
        <v/>
      </c>
      <c r="AY687" s="10" t="str">
        <f>IF(L687="","",
IF(AX687="PT",VLOOKUP(L687,Foundation_Calc!$K$79:$R$113,VLOOKUP(AW687,Foundation_Calc!$I$2:$J$8,2,FALSE),0),
IF(AX687="K",VLOOKUP(L687,Foundation_Calc!$K$117:$R$151,VLOOKUP(AW687,Foundation_Calc!$I$2:$J$8,2,FALSE),0),"")))</f>
        <v/>
      </c>
      <c r="AZ687" s="10" t="str">
        <f>IF(K687="","",
IF(AX687="PT",VLOOKUP(K687,Foundation_Calc!$K$79:$R$113,VLOOKUP(AW687,Foundation_Calc!$I$2:$J$8,2,FALSE),0),
IF(AX687="K",VLOOKUP(K687,Foundation_Calc!$K$117:$R$151,VLOOKUP(AW687,Foundation_Calc!$I$2:$J$8,2,FALSE),0),"")))</f>
        <v/>
      </c>
      <c r="BA687" s="495" t="str">
        <f t="shared" si="89"/>
        <v/>
      </c>
      <c r="BB687" s="495" t="str">
        <f t="shared" si="90"/>
        <v/>
      </c>
      <c r="BC687" s="495" t="str">
        <f t="shared" si="91"/>
        <v/>
      </c>
      <c r="BD687" s="513" t="str">
        <f>IF(AND(L687="",H687=""),"",
IF(H687="",Pole_Calc!A$9,
IF(H687="MP",Pole_Calc!A$10,
IF(H687="AnMP",Pole_Calc!A$11,
IF(H687="A",Pole_Calc!A$12,
IF(H687="S/A",Pole_Calc!A$13,
IF(H687="A/S",Pole_Calc!A$14,"Poner a mano")))))))</f>
        <v/>
      </c>
      <c r="BE687" s="429" t="s">
        <v>118</v>
      </c>
      <c r="BF687" s="290"/>
      <c r="BG687" s="290"/>
      <c r="BH687" s="290"/>
      <c r="BI687" s="290"/>
    </row>
    <row r="688" spans="1:61" ht="15.75" customHeight="1">
      <c r="A688" s="733" t="s">
        <v>199</v>
      </c>
      <c r="B688" s="720" t="s">
        <v>1292</v>
      </c>
      <c r="C688" s="3">
        <f>+$C$686+$G$687</f>
        <v>46639.49000000002</v>
      </c>
      <c r="D688" s="83"/>
      <c r="E688" s="4"/>
      <c r="F688" s="4">
        <v>2000</v>
      </c>
      <c r="G688" s="6"/>
      <c r="H688" s="449"/>
      <c r="I688" s="4"/>
      <c r="J688" s="3"/>
      <c r="K688" s="449"/>
      <c r="L688" s="449" t="s">
        <v>398</v>
      </c>
      <c r="M688" s="449" t="str">
        <f>IF(L688="","",
IF(AX688="PT",VLOOKUP(L688,Foundation_Calc!$V$79:$X$113,VLOOKUP(AX688,Foundation_Calc!$I$10:$J$13,2,FALSE),0),
IF(AX688="K",VLOOKUP(L688,Foundation_Calc!$V$117:$X$151,VLOOKUP(AX688,Foundation_Calc!$I$10:$J$13,2,FALSE),0),"")))</f>
        <v>C5R</v>
      </c>
      <c r="N688" s="449" t="s">
        <v>134</v>
      </c>
      <c r="O688" s="449"/>
      <c r="P688" s="449"/>
      <c r="Q688" s="4"/>
      <c r="R688" s="6"/>
      <c r="S688" s="6"/>
      <c r="T688" s="4">
        <v>30</v>
      </c>
      <c r="U688" s="4"/>
      <c r="V688" s="4"/>
      <c r="W688" s="572">
        <v>0.9</v>
      </c>
      <c r="X688" s="9"/>
      <c r="Y688" s="9"/>
      <c r="Z688" s="9"/>
      <c r="AA688" s="9"/>
      <c r="AB688" s="9"/>
      <c r="AC688" s="449" t="str">
        <f t="shared" si="88"/>
        <v>PH</v>
      </c>
      <c r="AD688" s="449"/>
      <c r="AE688" s="449"/>
      <c r="AF688" s="4"/>
      <c r="AG688" s="83"/>
      <c r="AH688" s="4"/>
      <c r="AI688" s="4"/>
      <c r="AJ688" s="449"/>
      <c r="AK688" s="449"/>
      <c r="AL688" s="449"/>
      <c r="AM688" s="449" t="s">
        <v>552</v>
      </c>
      <c r="AN688" s="10">
        <v>5.5</v>
      </c>
      <c r="AO688" s="9"/>
      <c r="AP688" s="9"/>
      <c r="AQ688" s="9"/>
      <c r="AR688" s="9"/>
      <c r="AS688" s="9"/>
      <c r="AT688" s="9">
        <f>+ab($T$688,$T$686,$T$690,$G$687,$G$689, 1*$F$688,1200)</f>
        <v>8.1110245242549741</v>
      </c>
      <c r="AU688" s="428"/>
      <c r="AV688" s="428"/>
      <c r="AW688" s="449" t="str">
        <f>IF(C688&gt;0,VLOOKUP(C688,Foundation_Calc!$A$2:$C$13,3,1),
IF(J688&gt;0,VLOOKUP(J688,Foundation_Calc!$A$2:$C$13,3,1),""))</f>
        <v>Multi Soil</v>
      </c>
      <c r="AX688" s="449" t="str">
        <f>IF(C688&gt;0,VLOOKUP(C688,Foundation_Calc!$E$35:$G$65,3,1),
IF(J688&gt;0,VLOOKUP(J688,Foundation_Calc!$E$35:$G$65,3,1),""))</f>
        <v>PT</v>
      </c>
      <c r="AY688" s="10">
        <f>IF(L688="","",
IF(AX688="PT",VLOOKUP(L688,Foundation_Calc!$K$79:$R$113,VLOOKUP(AW688,Foundation_Calc!$I$2:$J$8,2,FALSE),0),
IF(AX688="K",VLOOKUP(L688,Foundation_Calc!$K$117:$R$151,VLOOKUP(AW688,Foundation_Calc!$I$2:$J$8,2,FALSE),0),"")))</f>
        <v>3.5</v>
      </c>
      <c r="AZ688" s="10" t="str">
        <f>IF(K688="","",
IF(AX688="PT",VLOOKUP(K688,Foundation_Calc!$K$79:$R$113,VLOOKUP(AW688,Foundation_Calc!$I$2:$J$8,2,FALSE),0),
IF(AX688="K",VLOOKUP(K688,Foundation_Calc!$K$117:$R$151,VLOOKUP(AW688,Foundation_Calc!$I$2:$J$8,2,FALSE),0),"")))</f>
        <v/>
      </c>
      <c r="BA688" s="495" t="str">
        <f t="shared" si="89"/>
        <v>ü</v>
      </c>
      <c r="BB688" s="495" t="str">
        <f t="shared" si="90"/>
        <v/>
      </c>
      <c r="BC688" s="495" t="str">
        <f t="shared" si="91"/>
        <v/>
      </c>
      <c r="BD688" s="513" t="str">
        <f>IF(AND(L688="",H688=""),"",
IF(H688="",Pole_Calc!A$9,
IF(H688="MP",Pole_Calc!A$10,
IF(H688="AnMP",Pole_Calc!A$11,
IF(H688="A",Pole_Calc!A$12,
IF(H688="S/A",Pole_Calc!A$13,
IF(H688="A/S",Pole_Calc!A$14,"Poner a mano")))))))</f>
        <v>App.7-V11I-P9.5.1.1</v>
      </c>
      <c r="BE688" s="429" t="s">
        <v>118</v>
      </c>
      <c r="BF688" s="289"/>
      <c r="BG688" s="289"/>
      <c r="BH688" s="290"/>
      <c r="BI688" s="289"/>
    </row>
    <row r="689" spans="1:61" ht="15.75" customHeight="1">
      <c r="A689" s="514" t="s">
        <v>413</v>
      </c>
      <c r="B689" s="450"/>
      <c r="C689" s="3"/>
      <c r="D689" s="83"/>
      <c r="E689" s="4"/>
      <c r="F689" s="4"/>
      <c r="G689" s="6">
        <v>47</v>
      </c>
      <c r="H689" s="449"/>
      <c r="I689" s="4"/>
      <c r="J689" s="3"/>
      <c r="K689" s="449"/>
      <c r="L689" s="449"/>
      <c r="M689" s="449" t="str">
        <f>IF(L689="","",
IF(AX689="PT",VLOOKUP(L689,Foundation_Calc!$V$79:$X$113,VLOOKUP(AX689,Foundation_Calc!$I$10:$J$13,2,FALSE),0),
IF(AX689="K",VLOOKUP(L689,Foundation_Calc!$V$117:$X$151,VLOOKUP(AX689,Foundation_Calc!$I$10:$J$13,2,FALSE),0),"")))</f>
        <v/>
      </c>
      <c r="N689" s="449"/>
      <c r="O689" s="449"/>
      <c r="P689" s="449"/>
      <c r="Q689" s="4"/>
      <c r="R689" s="6"/>
      <c r="S689" s="6"/>
      <c r="T689" s="4"/>
      <c r="U689" s="4"/>
      <c r="V689" s="4"/>
      <c r="W689" s="572"/>
      <c r="X689" s="9"/>
      <c r="Y689" s="9"/>
      <c r="Z689" s="9"/>
      <c r="AA689" s="9"/>
      <c r="AB689" s="9"/>
      <c r="AC689" s="449" t="str">
        <f t="shared" si="88"/>
        <v/>
      </c>
      <c r="AD689" s="449"/>
      <c r="AE689" s="449"/>
      <c r="AF689" s="4"/>
      <c r="AG689" s="83"/>
      <c r="AH689" s="4"/>
      <c r="AI689" s="4"/>
      <c r="AJ689" s="449"/>
      <c r="AK689" s="449"/>
      <c r="AL689" s="449"/>
      <c r="AM689" s="449"/>
      <c r="AN689" s="10"/>
      <c r="AO689" s="9"/>
      <c r="AP689" s="9"/>
      <c r="AQ689" s="9">
        <f>+FL_1($T$690,$T$688,$G$689,1200,9.28, 1*$F$690)</f>
        <v>0.37787134005505119</v>
      </c>
      <c r="AR689" s="9"/>
      <c r="AS689" s="9"/>
      <c r="AT689" s="9"/>
      <c r="AU689" s="428"/>
      <c r="AV689" s="428"/>
      <c r="AW689" s="449" t="str">
        <f>IF(C689&gt;0,VLOOKUP(C689,Foundation_Calc!$A$2:$C$13,3,1),
IF(J689&gt;0,VLOOKUP(J689,Foundation_Calc!$A$2:$C$13,3,1),""))</f>
        <v/>
      </c>
      <c r="AX689" s="449" t="str">
        <f>IF(C689&gt;0,VLOOKUP(C689,Foundation_Calc!$E$35:$G$65,3,1),
IF(J689&gt;0,VLOOKUP(J689,Foundation_Calc!$E$35:$G$65,3,1),""))</f>
        <v/>
      </c>
      <c r="AY689" s="10" t="str">
        <f>IF(L689="","",
IF(AX689="PT",VLOOKUP(L689,Foundation_Calc!$K$79:$R$113,VLOOKUP(AW689,Foundation_Calc!$I$2:$J$8,2,FALSE),0),
IF(AX689="K",VLOOKUP(L689,Foundation_Calc!$K$117:$R$151,VLOOKUP(AW689,Foundation_Calc!$I$2:$J$8,2,FALSE),0),"")))</f>
        <v/>
      </c>
      <c r="AZ689" s="10" t="str">
        <f>IF(K689="","",
IF(AX689="PT",VLOOKUP(K689,Foundation_Calc!$K$79:$R$113,VLOOKUP(AW689,Foundation_Calc!$I$2:$J$8,2,FALSE),0),
IF(AX689="K",VLOOKUP(K689,Foundation_Calc!$K$117:$R$151,VLOOKUP(AW689,Foundation_Calc!$I$2:$J$8,2,FALSE),0),"")))</f>
        <v/>
      </c>
      <c r="BA689" s="495" t="str">
        <f t="shared" si="89"/>
        <v/>
      </c>
      <c r="BB689" s="495" t="str">
        <f t="shared" si="90"/>
        <v/>
      </c>
      <c r="BC689" s="495" t="str">
        <f t="shared" si="91"/>
        <v/>
      </c>
      <c r="BD689" s="513" t="str">
        <f>IF(AND(L689="",H689=""),"",
IF(H689="",Pole_Calc!A$9,
IF(H689="MP",Pole_Calc!A$10,
IF(H689="AnMP",Pole_Calc!A$11,
IF(H689="A",Pole_Calc!A$12,
IF(H689="S/A",Pole_Calc!A$13,
IF(H689="A/S",Pole_Calc!A$14,"Poner a mano")))))))</f>
        <v/>
      </c>
      <c r="BE689" s="429" t="s">
        <v>118</v>
      </c>
      <c r="BF689" s="290"/>
      <c r="BG689" s="290"/>
      <c r="BH689" s="290"/>
      <c r="BI689" s="290"/>
    </row>
    <row r="690" spans="1:61" ht="15.75" customHeight="1">
      <c r="A690" s="733" t="s">
        <v>199</v>
      </c>
      <c r="B690" s="450" t="s">
        <v>1293</v>
      </c>
      <c r="C690" s="3">
        <f>+$C$688+$G$689</f>
        <v>46686.49000000002</v>
      </c>
      <c r="D690" s="83"/>
      <c r="E690" s="4"/>
      <c r="F690" s="4">
        <v>2035.4073471602808</v>
      </c>
      <c r="G690" s="6"/>
      <c r="H690" s="449"/>
      <c r="I690" s="4"/>
      <c r="J690" s="3"/>
      <c r="K690" s="449"/>
      <c r="L690" s="449" t="s">
        <v>183</v>
      </c>
      <c r="M690" s="449" t="str">
        <f>IF(L690="","",
IF(AX690="PT",VLOOKUP(L690,Foundation_Calc!$V$79:$X$113,VLOOKUP(AX690,Foundation_Calc!$I$10:$J$13,2,FALSE),0),
IF(AX690="K",VLOOKUP(L690,Foundation_Calc!$V$117:$X$151,VLOOKUP(AX690,Foundation_Calc!$I$10:$J$13,2,FALSE),0),"")))</f>
        <v>2C3R</v>
      </c>
      <c r="N690" s="449" t="s">
        <v>134</v>
      </c>
      <c r="O690" s="449"/>
      <c r="P690" s="449"/>
      <c r="Q690" s="4"/>
      <c r="R690" s="6"/>
      <c r="S690" s="6"/>
      <c r="T690" s="4">
        <v>30</v>
      </c>
      <c r="U690" s="4"/>
      <c r="V690" s="4"/>
      <c r="W690" s="572">
        <v>0.9</v>
      </c>
      <c r="X690" s="9"/>
      <c r="Y690" s="9"/>
      <c r="Z690" s="9"/>
      <c r="AA690" s="9"/>
      <c r="AB690" s="9"/>
      <c r="AC690" s="449" t="str">
        <f t="shared" si="88"/>
        <v>PHQ</v>
      </c>
      <c r="AD690" s="449"/>
      <c r="AE690" s="449"/>
      <c r="AF690" s="4"/>
      <c r="AG690" s="83"/>
      <c r="AH690" s="4"/>
      <c r="AI690" s="4"/>
      <c r="AJ690" s="449"/>
      <c r="AK690" s="449"/>
      <c r="AL690" s="449"/>
      <c r="AM690" s="449" t="s">
        <v>552</v>
      </c>
      <c r="AN690" s="10">
        <v>5.5</v>
      </c>
      <c r="AO690" s="9"/>
      <c r="AP690" s="9"/>
      <c r="AQ690" s="9"/>
      <c r="AR690" s="9"/>
      <c r="AS690" s="9"/>
      <c r="AT690" s="9">
        <f>+ab($T$690,$T$688,$T$692,$G$689,$G$691, 1*$F$690,1200)</f>
        <v>7.2160037831402963</v>
      </c>
      <c r="AU690" s="428"/>
      <c r="AV690" s="428"/>
      <c r="AW690" s="449" t="str">
        <f>IF(C690&gt;0,VLOOKUP(C690,Foundation_Calc!$A$2:$C$13,3,1),
IF(J690&gt;0,VLOOKUP(J690,Foundation_Calc!$A$2:$C$13,3,1),""))</f>
        <v>Multi Soil</v>
      </c>
      <c r="AX690" s="449" t="str">
        <f>IF(C690&gt;0,VLOOKUP(C690,Foundation_Calc!$E$35:$G$65,3,1),
IF(J690&gt;0,VLOOKUP(J690,Foundation_Calc!$E$35:$G$65,3,1),""))</f>
        <v>PT</v>
      </c>
      <c r="AY690" s="10">
        <f>IF(L690="","",
IF(AX690="PT",VLOOKUP(L690,Foundation_Calc!$K$79:$R$113,VLOOKUP(AW690,Foundation_Calc!$I$2:$J$8,2,FALSE),0),
IF(AX690="K",VLOOKUP(L690,Foundation_Calc!$K$117:$R$151,VLOOKUP(AW690,Foundation_Calc!$I$2:$J$8,2,FALSE),0),"")))</f>
        <v>3.7</v>
      </c>
      <c r="AZ690" s="10" t="str">
        <f>IF(K690="","",
IF(AX690="PT",VLOOKUP(K690,Foundation_Calc!$K$79:$R$113,VLOOKUP(AW690,Foundation_Calc!$I$2:$J$8,2,FALSE),0),
IF(AX690="K",VLOOKUP(K690,Foundation_Calc!$K$117:$R$151,VLOOKUP(AW690,Foundation_Calc!$I$2:$J$8,2,FALSE),0),"")))</f>
        <v/>
      </c>
      <c r="BA690" s="495" t="str">
        <f t="shared" si="89"/>
        <v>ü</v>
      </c>
      <c r="BB690" s="495" t="str">
        <f t="shared" si="90"/>
        <v/>
      </c>
      <c r="BC690" s="495" t="str">
        <f t="shared" si="91"/>
        <v/>
      </c>
      <c r="BD690" s="513" t="str">
        <f>IF(AND(L690="",H690=""),"",
IF(H690="",Pole_Calc!A$9,
IF(H690="MP",Pole_Calc!A$10,
IF(H690="AnMP",Pole_Calc!A$11,
IF(H690="A",Pole_Calc!A$12,
IF(H690="S/A",Pole_Calc!A$13,
IF(H690="A/S",Pole_Calc!A$14,"Poner a mano")))))))</f>
        <v>App.7-V11I-P9.5.1.1</v>
      </c>
      <c r="BE690" s="429" t="s">
        <v>118</v>
      </c>
      <c r="BF690" s="289"/>
      <c r="BG690" s="289"/>
      <c r="BH690" s="290"/>
      <c r="BI690" s="289"/>
    </row>
    <row r="691" spans="1:61" ht="15.75" customHeight="1">
      <c r="A691" s="733" t="s">
        <v>199</v>
      </c>
      <c r="B691" s="450"/>
      <c r="C691" s="3"/>
      <c r="D691" s="83"/>
      <c r="E691" s="4"/>
      <c r="F691" s="4"/>
      <c r="G691" s="6">
        <v>53</v>
      </c>
      <c r="H691" s="449"/>
      <c r="I691" s="4"/>
      <c r="J691" s="3"/>
      <c r="K691" s="449"/>
      <c r="L691" s="449"/>
      <c r="M691" s="449" t="str">
        <f>IF(L691="","",
IF(AX691="PT",VLOOKUP(L691,Foundation_Calc!$V$79:$X$113,VLOOKUP(AX691,Foundation_Calc!$I$10:$J$13,2,FALSE),0),
IF(AX691="K",VLOOKUP(L691,Foundation_Calc!$V$117:$X$151,VLOOKUP(AX691,Foundation_Calc!$I$10:$J$13,2,FALSE),0),"")))</f>
        <v/>
      </c>
      <c r="N691" s="449"/>
      <c r="O691" s="449"/>
      <c r="P691" s="449"/>
      <c r="Q691" s="4"/>
      <c r="R691" s="6"/>
      <c r="S691" s="6"/>
      <c r="T691" s="4"/>
      <c r="U691" s="4"/>
      <c r="V691" s="4"/>
      <c r="W691" s="572"/>
      <c r="X691" s="9"/>
      <c r="Y691" s="9"/>
      <c r="Z691" s="9"/>
      <c r="AA691" s="9"/>
      <c r="AB691" s="9"/>
      <c r="AC691" s="449" t="str">
        <f t="shared" si="88"/>
        <v/>
      </c>
      <c r="AD691" s="449"/>
      <c r="AE691" s="449"/>
      <c r="AF691" s="4"/>
      <c r="AG691" s="83"/>
      <c r="AH691" s="4"/>
      <c r="AI691" s="4"/>
      <c r="AJ691" s="449"/>
      <c r="AK691" s="449"/>
      <c r="AL691" s="449"/>
      <c r="AM691" s="449"/>
      <c r="AN691" s="10"/>
      <c r="AO691" s="9"/>
      <c r="AP691" s="9"/>
      <c r="AQ691" s="9">
        <f>+FL_1($T$692,$T$690,$G$691,1200,9.28, 1*$F$692)</f>
        <v>0.41415889198983424</v>
      </c>
      <c r="AR691" s="9"/>
      <c r="AS691" s="9"/>
      <c r="AT691" s="9"/>
      <c r="AU691" s="428"/>
      <c r="AV691" s="428"/>
      <c r="AW691" s="449" t="str">
        <f>IF(C691&gt;0,VLOOKUP(C691,Foundation_Calc!$A$2:$C$13,3,1),
IF(J691&gt;0,VLOOKUP(J691,Foundation_Calc!$A$2:$C$13,3,1),""))</f>
        <v/>
      </c>
      <c r="AX691" s="449" t="str">
        <f>IF(C691&gt;0,VLOOKUP(C691,Foundation_Calc!$E$35:$G$65,3,1),
IF(J691&gt;0,VLOOKUP(J691,Foundation_Calc!$E$35:$G$65,3,1),""))</f>
        <v/>
      </c>
      <c r="AY691" s="10" t="str">
        <f>IF(L691="","",
IF(AX691="PT",VLOOKUP(L691,Foundation_Calc!$K$79:$R$113,VLOOKUP(AW691,Foundation_Calc!$I$2:$J$8,2,FALSE),0),
IF(AX691="K",VLOOKUP(L691,Foundation_Calc!$K$117:$R$151,VLOOKUP(AW691,Foundation_Calc!$I$2:$J$8,2,FALSE),0),"")))</f>
        <v/>
      </c>
      <c r="AZ691" s="10" t="str">
        <f>IF(K691="","",
IF(AX691="PT",VLOOKUP(K691,Foundation_Calc!$K$79:$R$113,VLOOKUP(AW691,Foundation_Calc!$I$2:$J$8,2,FALSE),0),
IF(AX691="K",VLOOKUP(K691,Foundation_Calc!$K$117:$R$151,VLOOKUP(AW691,Foundation_Calc!$I$2:$J$8,2,FALSE),0),"")))</f>
        <v/>
      </c>
      <c r="BA691" s="495" t="str">
        <f t="shared" si="89"/>
        <v/>
      </c>
      <c r="BB691" s="495" t="str">
        <f t="shared" si="90"/>
        <v/>
      </c>
      <c r="BC691" s="495" t="str">
        <f t="shared" si="91"/>
        <v/>
      </c>
      <c r="BD691" s="513" t="str">
        <f>IF(AND(L691="",H691=""),"",
IF(H691="",Pole_Calc!A$9,
IF(H691="MP",Pole_Calc!A$10,
IF(H691="AnMP",Pole_Calc!A$11,
IF(H691="A",Pole_Calc!A$12,
IF(H691="S/A",Pole_Calc!A$13,
IF(H691="A/S",Pole_Calc!A$14,"Poner a mano")))))))</f>
        <v/>
      </c>
      <c r="BE691" s="429" t="s">
        <v>118</v>
      </c>
      <c r="BF691" s="290"/>
      <c r="BG691" s="290"/>
      <c r="BH691" s="290"/>
      <c r="BI691" s="290"/>
    </row>
    <row r="692" spans="1:61" ht="15.75" customHeight="1">
      <c r="A692" s="514" t="s">
        <v>199</v>
      </c>
      <c r="B692" s="450" t="s">
        <v>1294</v>
      </c>
      <c r="C692" s="3">
        <f>+$C$690+$G$691-0.63</f>
        <v>46738.860000000022</v>
      </c>
      <c r="D692" s="83"/>
      <c r="E692" s="4"/>
      <c r="F692" s="4">
        <v>3155.4481454245183</v>
      </c>
      <c r="G692" s="6"/>
      <c r="H692" s="449"/>
      <c r="I692" s="4"/>
      <c r="J692" s="3"/>
      <c r="K692" s="449"/>
      <c r="L692" s="449" t="s">
        <v>151</v>
      </c>
      <c r="M692" s="449" t="str">
        <f>IF(L692="","",
IF(AX692="PT",VLOOKUP(L692,Foundation_Calc!$V$79:$X$113,VLOOKUP(AX692,Foundation_Calc!$I$10:$J$13,2,FALSE),0),
IF(AX692="K",VLOOKUP(L692,Foundation_Calc!$V$117:$X$151,VLOOKUP(AX692,Foundation_Calc!$I$10:$J$13,2,FALSE),0),"")))</f>
        <v>C4R</v>
      </c>
      <c r="N692" s="449" t="s">
        <v>134</v>
      </c>
      <c r="O692" s="449"/>
      <c r="P692" s="449"/>
      <c r="Q692" s="4"/>
      <c r="R692" s="6"/>
      <c r="S692" s="6"/>
      <c r="T692" s="4">
        <v>20</v>
      </c>
      <c r="U692" s="4"/>
      <c r="V692" s="4"/>
      <c r="W692" s="572">
        <v>0.9</v>
      </c>
      <c r="X692" s="9"/>
      <c r="Y692" s="9"/>
      <c r="Z692" s="9"/>
      <c r="AA692" s="9"/>
      <c r="AB692" s="9"/>
      <c r="AC692" s="449" t="str">
        <f t="shared" si="88"/>
        <v>PH</v>
      </c>
      <c r="AD692" s="449"/>
      <c r="AE692" s="449"/>
      <c r="AF692" s="4"/>
      <c r="AG692" s="83"/>
      <c r="AH692" s="4"/>
      <c r="AI692" s="4"/>
      <c r="AJ692" s="449"/>
      <c r="AK692" s="449"/>
      <c r="AL692" s="449"/>
      <c r="AM692" s="449" t="s">
        <v>552</v>
      </c>
      <c r="AN692" s="10">
        <v>5.5</v>
      </c>
      <c r="AO692" s="9"/>
      <c r="AP692" s="9"/>
      <c r="AQ692" s="9"/>
      <c r="AR692" s="9"/>
      <c r="AS692" s="9"/>
      <c r="AT692" s="9">
        <f>+ab($T$692,$T$690,$T$694,$G$691,$G$693, 1*$F$692,1200)</f>
        <v>8.1451816654662696</v>
      </c>
      <c r="AU692" s="428"/>
      <c r="AV692" s="428"/>
      <c r="AW692" s="449" t="str">
        <f>IF(C692&gt;0,VLOOKUP(C692,Foundation_Calc!$A$2:$C$13,3,1),
IF(J692&gt;0,VLOOKUP(J692,Foundation_Calc!$A$2:$C$13,3,1),""))</f>
        <v>Multi Soil</v>
      </c>
      <c r="AX692" s="449" t="str">
        <f>IF(C692&gt;0,VLOOKUP(C692,Foundation_Calc!$E$35:$G$65,3,1),
IF(J692&gt;0,VLOOKUP(J692,Foundation_Calc!$E$35:$G$65,3,1),""))</f>
        <v>PT</v>
      </c>
      <c r="AY692" s="10">
        <f>IF(L692="","",
IF(AX692="PT",VLOOKUP(L692,Foundation_Calc!$K$79:$R$113,VLOOKUP(AW692,Foundation_Calc!$I$2:$J$8,2,FALSE),0),
IF(AX692="K",VLOOKUP(L692,Foundation_Calc!$K$117:$R$151,VLOOKUP(AW692,Foundation_Calc!$I$2:$J$8,2,FALSE),0),"")))</f>
        <v>3.5</v>
      </c>
      <c r="AZ692" s="10" t="str">
        <f>IF(K692="","",
IF(AX692="PT",VLOOKUP(K692,Foundation_Calc!$K$79:$R$113,VLOOKUP(AW692,Foundation_Calc!$I$2:$J$8,2,FALSE),0),
IF(AX692="K",VLOOKUP(K692,Foundation_Calc!$K$117:$R$151,VLOOKUP(AW692,Foundation_Calc!$I$2:$J$8,2,FALSE),0),"")))</f>
        <v/>
      </c>
      <c r="BA692" s="495" t="str">
        <f t="shared" si="89"/>
        <v>ü</v>
      </c>
      <c r="BB692" s="495" t="str">
        <f t="shared" si="90"/>
        <v/>
      </c>
      <c r="BC692" s="495" t="str">
        <f t="shared" si="91"/>
        <v/>
      </c>
      <c r="BD692" s="513" t="str">
        <f>IF(AND(L692="",H692=""),"",
IF(H692="",Pole_Calc!A$9,
IF(H692="MP",Pole_Calc!A$10,
IF(H692="AnMP",Pole_Calc!A$11,
IF(H692="A",Pole_Calc!A$12,
IF(H692="S/A",Pole_Calc!A$13,
IF(H692="A/S",Pole_Calc!A$14,"Poner a mano")))))))</f>
        <v>App.7-V11I-P9.5.1.1</v>
      </c>
      <c r="BE692" s="429" t="s">
        <v>118</v>
      </c>
      <c r="BF692" s="289"/>
      <c r="BG692" s="289"/>
      <c r="BH692" s="290"/>
      <c r="BI692" s="289"/>
    </row>
    <row r="693" spans="1:61" ht="15.75" customHeight="1">
      <c r="A693" s="518"/>
      <c r="B693" s="450"/>
      <c r="C693" s="3"/>
      <c r="D693" s="83"/>
      <c r="E693" s="4"/>
      <c r="F693" s="4"/>
      <c r="G693" s="6">
        <v>53</v>
      </c>
      <c r="H693" s="449"/>
      <c r="I693" s="4"/>
      <c r="J693" s="3"/>
      <c r="K693" s="449"/>
      <c r="L693" s="449"/>
      <c r="M693" s="449" t="str">
        <f>IF(L693="","",
IF(AX693="PT",VLOOKUP(L693,Foundation_Calc!$V$79:$X$113,VLOOKUP(AX693,Foundation_Calc!$I$10:$J$13,2,FALSE),0),
IF(AX693="K",VLOOKUP(L693,Foundation_Calc!$V$117:$X$151,VLOOKUP(AX693,Foundation_Calc!$I$10:$J$13,2,FALSE),0),"")))</f>
        <v/>
      </c>
      <c r="N693" s="449"/>
      <c r="O693" s="449"/>
      <c r="P693" s="449"/>
      <c r="Q693" s="4"/>
      <c r="R693" s="6"/>
      <c r="S693" s="6"/>
      <c r="T693" s="4"/>
      <c r="U693" s="4"/>
      <c r="V693" s="4"/>
      <c r="W693" s="572"/>
      <c r="X693" s="9"/>
      <c r="Y693" s="9"/>
      <c r="Z693" s="9"/>
      <c r="AA693" s="9"/>
      <c r="AB693" s="9"/>
      <c r="AC693" s="449" t="str">
        <f t="shared" si="88"/>
        <v/>
      </c>
      <c r="AD693" s="449"/>
      <c r="AE693" s="449"/>
      <c r="AF693" s="4"/>
      <c r="AG693" s="83"/>
      <c r="AH693" s="4"/>
      <c r="AI693" s="4"/>
      <c r="AJ693" s="449"/>
      <c r="AK693" s="449"/>
      <c r="AL693" s="449"/>
      <c r="AM693" s="449"/>
      <c r="AN693" s="10"/>
      <c r="AO693" s="9"/>
      <c r="AP693" s="9"/>
      <c r="AQ693" s="9">
        <f>+FL_2($T$694,$T$692,$G$693,1200,9.28, 1*$F$694)</f>
        <v>-0.38529014528103478</v>
      </c>
      <c r="AR693" s="9"/>
      <c r="AS693" s="9"/>
      <c r="AT693" s="9"/>
      <c r="AU693" s="428"/>
      <c r="AV693" s="428"/>
      <c r="AW693" s="449" t="str">
        <f>IF(C693&gt;0,VLOOKUP(C693,Foundation_Calc!$A$2:$C$13,3,1),
IF(J693&gt;0,VLOOKUP(J693,Foundation_Calc!$A$2:$C$13,3,1),""))</f>
        <v/>
      </c>
      <c r="AX693" s="449" t="str">
        <f>IF(C693&gt;0,VLOOKUP(C693,Foundation_Calc!$E$35:$G$65,3,1),
IF(J693&gt;0,VLOOKUP(J693,Foundation_Calc!$E$35:$G$65,3,1),""))</f>
        <v/>
      </c>
      <c r="AY693" s="10" t="str">
        <f>IF(L693="","",
IF(AX693="PT",VLOOKUP(L693,Foundation_Calc!$K$79:$R$113,VLOOKUP(AW693,Foundation_Calc!$I$2:$J$8,2,FALSE),0),
IF(AX693="K",VLOOKUP(L693,Foundation_Calc!$K$117:$R$151,VLOOKUP(AW693,Foundation_Calc!$I$2:$J$8,2,FALSE),0),"")))</f>
        <v/>
      </c>
      <c r="AZ693" s="10" t="str">
        <f>IF(K693="","",
IF(AX693="PT",VLOOKUP(K693,Foundation_Calc!$K$79:$R$113,VLOOKUP(AW693,Foundation_Calc!$I$2:$J$8,2,FALSE),0),
IF(AX693="K",VLOOKUP(K693,Foundation_Calc!$K$117:$R$151,VLOOKUP(AW693,Foundation_Calc!$I$2:$J$8,2,FALSE),0),"")))</f>
        <v/>
      </c>
      <c r="BA693" s="495" t="str">
        <f t="shared" si="89"/>
        <v/>
      </c>
      <c r="BB693" s="495" t="str">
        <f t="shared" si="90"/>
        <v/>
      </c>
      <c r="BC693" s="495" t="str">
        <f t="shared" si="91"/>
        <v/>
      </c>
      <c r="BD693" s="513" t="str">
        <f>IF(AND(L693="",H693=""),"",
IF(H693="",Pole_Calc!A$9,
IF(H693="MP",Pole_Calc!A$10,
IF(H693="AnMP",Pole_Calc!A$11,
IF(H693="A",Pole_Calc!A$12,
IF(H693="S/A",Pole_Calc!A$13,
IF(H693="A/S",Pole_Calc!A$14,"Poner a mano")))))))</f>
        <v/>
      </c>
      <c r="BE693" s="429" t="s">
        <v>118</v>
      </c>
      <c r="BF693" s="290"/>
      <c r="BG693" s="290"/>
      <c r="BH693" s="290"/>
      <c r="BI693" s="290"/>
    </row>
    <row r="694" spans="1:61" ht="15.75" customHeight="1">
      <c r="A694" s="514"/>
      <c r="B694" s="450" t="s">
        <v>1295</v>
      </c>
      <c r="C694" s="3">
        <f>+$C$692+$G$693</f>
        <v>46791.860000000022</v>
      </c>
      <c r="D694" s="83"/>
      <c r="E694" s="4"/>
      <c r="F694" s="4">
        <v>7121.2710457698849</v>
      </c>
      <c r="G694" s="6"/>
      <c r="H694" s="449"/>
      <c r="I694" s="4"/>
      <c r="J694" s="3"/>
      <c r="K694" s="449"/>
      <c r="L694" s="449" t="s">
        <v>153</v>
      </c>
      <c r="M694" s="449" t="str">
        <f>IF(L694="","",
IF(AX694="PT",VLOOKUP(L694,Foundation_Calc!$V$79:$X$113,VLOOKUP(AX694,Foundation_Calc!$I$10:$J$13,2,FALSE),0),
IF(AX694="K",VLOOKUP(L694,Foundation_Calc!$V$117:$X$151,VLOOKUP(AX694,Foundation_Calc!$I$10:$J$13,2,FALSE),0),"")))</f>
        <v>C3R</v>
      </c>
      <c r="N694" s="449" t="s">
        <v>124</v>
      </c>
      <c r="O694" s="449"/>
      <c r="P694" s="449"/>
      <c r="Q694" s="4"/>
      <c r="R694" s="6"/>
      <c r="S694" s="6"/>
      <c r="T694" s="4">
        <v>-25</v>
      </c>
      <c r="U694" s="4"/>
      <c r="V694" s="4"/>
      <c r="W694" s="572">
        <v>1.2</v>
      </c>
      <c r="X694" s="9"/>
      <c r="Y694" s="9"/>
      <c r="Z694" s="9"/>
      <c r="AA694" s="9"/>
      <c r="AB694" s="9"/>
      <c r="AC694" s="449" t="str">
        <f t="shared" si="88"/>
        <v>PH</v>
      </c>
      <c r="AD694" s="449"/>
      <c r="AE694" s="449"/>
      <c r="AF694" s="4"/>
      <c r="AG694" s="83"/>
      <c r="AH694" s="4"/>
      <c r="AI694" s="4"/>
      <c r="AJ694" s="449"/>
      <c r="AK694" s="449"/>
      <c r="AL694" s="449"/>
      <c r="AM694" s="449" t="s">
        <v>552</v>
      </c>
      <c r="AN694" s="10">
        <v>5.5</v>
      </c>
      <c r="AO694" s="9"/>
      <c r="AP694" s="9"/>
      <c r="AQ694" s="9"/>
      <c r="AR694" s="9"/>
      <c r="AS694" s="9"/>
      <c r="AT694" s="9">
        <f>+ab($T$694,$T$692,$T$696,$G$693,$G$695, 1*$F$694,1200)</f>
        <v>-15.150905580924585</v>
      </c>
      <c r="AU694" s="428"/>
      <c r="AV694" s="428"/>
      <c r="AW694" s="449" t="str">
        <f>IF(C694&gt;0,VLOOKUP(C694,Foundation_Calc!$A$2:$C$13,3,1),
IF(J694&gt;0,VLOOKUP(J694,Foundation_Calc!$A$2:$C$13,3,1),""))</f>
        <v>Multi Soil</v>
      </c>
      <c r="AX694" s="449" t="str">
        <f>IF(C694&gt;0,VLOOKUP(C694,Foundation_Calc!$E$35:$G$65,3,1),
IF(J694&gt;0,VLOOKUP(J694,Foundation_Calc!$E$35:$G$65,3,1),""))</f>
        <v>PT</v>
      </c>
      <c r="AY694" s="10">
        <f>IF(L694="","",
IF(AX694="PT",VLOOKUP(L694,Foundation_Calc!$K$79:$R$113,VLOOKUP(AW694,Foundation_Calc!$I$2:$J$8,2,FALSE),0),
IF(AX694="K",VLOOKUP(L694,Foundation_Calc!$K$117:$R$151,VLOOKUP(AW694,Foundation_Calc!$I$2:$J$8,2,FALSE),0),"")))</f>
        <v>3.5</v>
      </c>
      <c r="AZ694" s="10" t="str">
        <f>IF(K694="","",
IF(AX694="PT",VLOOKUP(K694,Foundation_Calc!$K$79:$R$113,VLOOKUP(AW694,Foundation_Calc!$I$2:$J$8,2,FALSE),0),
IF(AX694="K",VLOOKUP(K694,Foundation_Calc!$K$117:$R$151,VLOOKUP(AW694,Foundation_Calc!$I$2:$J$8,2,FALSE),0),"")))</f>
        <v/>
      </c>
      <c r="BA694" s="495" t="str">
        <f t="shared" si="89"/>
        <v>ü</v>
      </c>
      <c r="BB694" s="495" t="str">
        <f t="shared" si="90"/>
        <v/>
      </c>
      <c r="BC694" s="495" t="str">
        <f t="shared" si="91"/>
        <v/>
      </c>
      <c r="BD694" s="513" t="str">
        <f>IF(AND(L694="",H694=""),"",
IF(H694="",Pole_Calc!A$9,
IF(H694="MP",Pole_Calc!A$10,
IF(H694="AnMP",Pole_Calc!A$11,
IF(H694="A",Pole_Calc!A$12,
IF(H694="S/A",Pole_Calc!A$13,
IF(H694="A/S",Pole_Calc!A$14,"Poner a mano")))))))</f>
        <v>App.7-V11I-P9.5.1.1</v>
      </c>
      <c r="BE694" s="429" t="s">
        <v>118</v>
      </c>
      <c r="BF694" s="289"/>
      <c r="BG694" s="289"/>
      <c r="BH694" s="290"/>
      <c r="BI694" s="289"/>
    </row>
    <row r="695" spans="1:61" ht="15.75" customHeight="1">
      <c r="A695" s="514"/>
      <c r="B695" s="450"/>
      <c r="C695" s="3"/>
      <c r="D695" s="83"/>
      <c r="E695" s="4"/>
      <c r="F695" s="4"/>
      <c r="G695" s="6">
        <v>53</v>
      </c>
      <c r="H695" s="449"/>
      <c r="I695" s="4"/>
      <c r="J695" s="3"/>
      <c r="K695" s="449"/>
      <c r="L695" s="449"/>
      <c r="M695" s="449" t="str">
        <f>IF(L695="","",
IF(AX695="PT",VLOOKUP(L695,Foundation_Calc!$V$79:$X$113,VLOOKUP(AX695,Foundation_Calc!$I$10:$J$13,2,FALSE),0),
IF(AX695="K",VLOOKUP(L695,Foundation_Calc!$V$117:$X$151,VLOOKUP(AX695,Foundation_Calc!$I$10:$J$13,2,FALSE),0),"")))</f>
        <v/>
      </c>
      <c r="N695" s="449"/>
      <c r="O695" s="449"/>
      <c r="P695" s="449"/>
      <c r="Q695" s="4"/>
      <c r="R695" s="6"/>
      <c r="S695" s="6"/>
      <c r="T695" s="4"/>
      <c r="U695" s="4"/>
      <c r="V695" s="4"/>
      <c r="W695" s="572"/>
      <c r="X695" s="9"/>
      <c r="Y695" s="9"/>
      <c r="Z695" s="9"/>
      <c r="AA695" s="9"/>
      <c r="AB695" s="9"/>
      <c r="AC695" s="449" t="str">
        <f t="shared" si="88"/>
        <v/>
      </c>
      <c r="AD695" s="449"/>
      <c r="AE695" s="449"/>
      <c r="AF695" s="4"/>
      <c r="AG695" s="83"/>
      <c r="AH695" s="4"/>
      <c r="AI695" s="4"/>
      <c r="AJ695" s="449"/>
      <c r="AK695" s="449"/>
      <c r="AL695" s="449"/>
      <c r="AM695" s="449"/>
      <c r="AN695" s="10"/>
      <c r="AO695" s="9"/>
      <c r="AP695" s="9"/>
      <c r="AQ695" s="9">
        <f>+FL_1($T$696,$T$694,$G$695,1200,9.28, 1*$F$696)</f>
        <v>0.40439840372327041</v>
      </c>
      <c r="AR695" s="9"/>
      <c r="AS695" s="9"/>
      <c r="AT695" s="9"/>
      <c r="AU695" s="428"/>
      <c r="AV695" s="428"/>
      <c r="AW695" s="449" t="str">
        <f>IF(C695&gt;0,VLOOKUP(C695,Foundation_Calc!$A$2:$C$13,3,1),
IF(J695&gt;0,VLOOKUP(J695,Foundation_Calc!$A$2:$C$13,3,1),""))</f>
        <v/>
      </c>
      <c r="AX695" s="449" t="str">
        <f>IF(C695&gt;0,VLOOKUP(C695,Foundation_Calc!$E$35:$G$65,3,1),
IF(J695&gt;0,VLOOKUP(J695,Foundation_Calc!$E$35:$G$65,3,1),""))</f>
        <v/>
      </c>
      <c r="AY695" s="10" t="str">
        <f>IF(L695="","",
IF(AX695="PT",VLOOKUP(L695,Foundation_Calc!$K$79:$R$113,VLOOKUP(AW695,Foundation_Calc!$I$2:$J$8,2,FALSE),0),
IF(AX695="K",VLOOKUP(L695,Foundation_Calc!$K$117:$R$151,VLOOKUP(AW695,Foundation_Calc!$I$2:$J$8,2,FALSE),0),"")))</f>
        <v/>
      </c>
      <c r="AZ695" s="10" t="str">
        <f>IF(K695="","",
IF(AX695="PT",VLOOKUP(K695,Foundation_Calc!$K$79:$R$113,VLOOKUP(AW695,Foundation_Calc!$I$2:$J$8,2,FALSE),0),
IF(AX695="K",VLOOKUP(K695,Foundation_Calc!$K$117:$R$151,VLOOKUP(AW695,Foundation_Calc!$I$2:$J$8,2,FALSE),0),"")))</f>
        <v/>
      </c>
      <c r="BA695" s="495" t="str">
        <f t="shared" si="89"/>
        <v/>
      </c>
      <c r="BB695" s="495" t="str">
        <f t="shared" si="90"/>
        <v/>
      </c>
      <c r="BC695" s="495" t="str">
        <f t="shared" si="91"/>
        <v/>
      </c>
      <c r="BD695" s="513" t="str">
        <f>IF(AND(L695="",H695=""),"",
IF(H695="",Pole_Calc!A$9,
IF(H695="MP",Pole_Calc!A$10,
IF(H695="AnMP",Pole_Calc!A$11,
IF(H695="A",Pole_Calc!A$12,
IF(H695="S/A",Pole_Calc!A$13,
IF(H695="A/S",Pole_Calc!A$14,"Poner a mano")))))))</f>
        <v/>
      </c>
      <c r="BE695" s="429" t="s">
        <v>118</v>
      </c>
      <c r="BF695" s="290"/>
      <c r="BG695" s="290"/>
      <c r="BH695" s="290"/>
      <c r="BI695" s="290"/>
    </row>
    <row r="696" spans="1:61" ht="15.75" customHeight="1">
      <c r="A696" s="514"/>
      <c r="B696" s="450" t="s">
        <v>1296</v>
      </c>
      <c r="C696" s="3">
        <f>+$C$694+$G$695</f>
        <v>46844.860000000022</v>
      </c>
      <c r="D696" s="83"/>
      <c r="E696" s="4"/>
      <c r="F696" s="4">
        <v>0</v>
      </c>
      <c r="G696" s="6"/>
      <c r="H696" s="449"/>
      <c r="I696" s="4"/>
      <c r="J696" s="3"/>
      <c r="K696" s="449"/>
      <c r="L696" s="449" t="s">
        <v>153</v>
      </c>
      <c r="M696" s="449" t="str">
        <f>IF(L696="","",
IF(AX696="PT",VLOOKUP(L696,Foundation_Calc!$V$79:$X$113,VLOOKUP(AX696,Foundation_Calc!$I$10:$J$13,2,FALSE),0),
IF(AX696="K",VLOOKUP(L696,Foundation_Calc!$V$117:$X$151,VLOOKUP(AX696,Foundation_Calc!$I$10:$J$13,2,FALSE),0),"")))</f>
        <v>C3R</v>
      </c>
      <c r="N696" s="449" t="s">
        <v>134</v>
      </c>
      <c r="O696" s="449"/>
      <c r="P696" s="449"/>
      <c r="Q696" s="4"/>
      <c r="R696" s="6"/>
      <c r="S696" s="6"/>
      <c r="T696" s="4">
        <v>35</v>
      </c>
      <c r="U696" s="4"/>
      <c r="V696" s="4"/>
      <c r="W696" s="572">
        <v>1.4</v>
      </c>
      <c r="X696" s="9"/>
      <c r="Y696" s="9"/>
      <c r="Z696" s="9"/>
      <c r="AA696" s="9"/>
      <c r="AB696" s="9"/>
      <c r="AC696" s="449" t="str">
        <f t="shared" si="88"/>
        <v>PH</v>
      </c>
      <c r="AD696" s="449"/>
      <c r="AE696" s="449"/>
      <c r="AF696" s="4"/>
      <c r="AG696" s="83"/>
      <c r="AH696" s="4"/>
      <c r="AI696" s="4"/>
      <c r="AJ696" s="449"/>
      <c r="AK696" s="449"/>
      <c r="AL696" s="449"/>
      <c r="AM696" s="449" t="s">
        <v>552</v>
      </c>
      <c r="AN696" s="10">
        <v>5.5</v>
      </c>
      <c r="AO696" s="9"/>
      <c r="AP696" s="9"/>
      <c r="AQ696" s="9"/>
      <c r="AR696" s="9"/>
      <c r="AS696" s="9"/>
      <c r="AT696" s="9">
        <f>+ab($T$696,$T$694,$T$698,$G$695,$G$697, 1*$F$696,1200)</f>
        <v>8.5677502585479264</v>
      </c>
      <c r="AU696" s="428"/>
      <c r="AV696" s="428"/>
      <c r="AW696" s="449" t="str">
        <f>IF(C696&gt;0,VLOOKUP(C696,Foundation_Calc!$A$2:$C$13,3,1),
IF(J696&gt;0,VLOOKUP(J696,Foundation_Calc!$A$2:$C$13,3,1),""))</f>
        <v>Multi Soil</v>
      </c>
      <c r="AX696" s="449" t="str">
        <f>IF(C696&gt;0,VLOOKUP(C696,Foundation_Calc!$E$35:$G$65,3,1),
IF(J696&gt;0,VLOOKUP(J696,Foundation_Calc!$E$35:$G$65,3,1),""))</f>
        <v>PT</v>
      </c>
      <c r="AY696" s="10">
        <f>IF(L696="","",
IF(AX696="PT",VLOOKUP(L696,Foundation_Calc!$K$79:$R$113,VLOOKUP(AW696,Foundation_Calc!$I$2:$J$8,2,FALSE),0),
IF(AX696="K",VLOOKUP(L696,Foundation_Calc!$K$117:$R$151,VLOOKUP(AW696,Foundation_Calc!$I$2:$J$8,2,FALSE),0),"")))</f>
        <v>3.5</v>
      </c>
      <c r="AZ696" s="10" t="str">
        <f>IF(K696="","",
IF(AX696="PT",VLOOKUP(K696,Foundation_Calc!$K$79:$R$113,VLOOKUP(AW696,Foundation_Calc!$I$2:$J$8,2,FALSE),0),
IF(AX696="K",VLOOKUP(K696,Foundation_Calc!$K$117:$R$151,VLOOKUP(AW696,Foundation_Calc!$I$2:$J$8,2,FALSE),0),"")))</f>
        <v/>
      </c>
      <c r="BA696" s="495" t="str">
        <f t="shared" si="89"/>
        <v>ü</v>
      </c>
      <c r="BB696" s="495" t="str">
        <f t="shared" si="90"/>
        <v/>
      </c>
      <c r="BC696" s="495" t="str">
        <f t="shared" si="91"/>
        <v/>
      </c>
      <c r="BD696" s="513" t="str">
        <f>IF(AND(L696="",H696=""),"",
IF(H696="",Pole_Calc!A$9,
IF(H696="MP",Pole_Calc!A$10,
IF(H696="AnMP",Pole_Calc!A$11,
IF(H696="A",Pole_Calc!A$12,
IF(H696="S/A",Pole_Calc!A$13,
IF(H696="A/S",Pole_Calc!A$14,"Poner a mano")))))))</f>
        <v>App.7-V11I-P9.5.1.1</v>
      </c>
      <c r="BE696" s="429" t="s">
        <v>118</v>
      </c>
      <c r="BF696" s="289"/>
      <c r="BG696" s="289"/>
      <c r="BH696" s="290"/>
      <c r="BI696" s="289"/>
    </row>
    <row r="697" spans="1:61" ht="15.75" customHeight="1">
      <c r="A697" s="514"/>
      <c r="B697" s="450"/>
      <c r="C697" s="3"/>
      <c r="D697" s="83"/>
      <c r="E697" s="4"/>
      <c r="F697" s="4"/>
      <c r="G697" s="6">
        <v>55</v>
      </c>
      <c r="H697" s="449"/>
      <c r="I697" s="4"/>
      <c r="J697" s="3">
        <f>C698-F697</f>
        <v>46899.860000000022</v>
      </c>
      <c r="K697" s="449" t="s">
        <v>117</v>
      </c>
      <c r="L697" s="449"/>
      <c r="M697" s="449" t="str">
        <f>IF(L697="","",
IF(AX697="PT",VLOOKUP(L697,Foundation_Calc!$V$79:$X$113,VLOOKUP(AX697,Foundation_Calc!$I$10:$J$13,2,FALSE),0),
IF(AX697="K",VLOOKUP(L697,Foundation_Calc!$V$117:$X$151,VLOOKUP(AX697,Foundation_Calc!$I$10:$J$13,2,FALSE),0),"")))</f>
        <v/>
      </c>
      <c r="N697" s="449"/>
      <c r="O697" s="561"/>
      <c r="P697" s="449"/>
      <c r="Q697" s="4"/>
      <c r="R697" s="6"/>
      <c r="S697" s="6"/>
      <c r="T697" s="4"/>
      <c r="U697" s="4"/>
      <c r="V697" s="4"/>
      <c r="W697" s="9"/>
      <c r="X697" s="9"/>
      <c r="Y697" s="9"/>
      <c r="Z697" s="9"/>
      <c r="AA697" s="9"/>
      <c r="AB697" s="9"/>
      <c r="AC697" s="449" t="str">
        <f t="shared" si="88"/>
        <v/>
      </c>
      <c r="AD697" s="449"/>
      <c r="AE697" s="449"/>
      <c r="AF697" s="4"/>
      <c r="AG697" s="83"/>
      <c r="AH697" s="4"/>
      <c r="AI697" s="4"/>
      <c r="AJ697" s="449"/>
      <c r="AK697" s="449"/>
      <c r="AL697" s="449"/>
      <c r="AM697" s="449"/>
      <c r="AN697" s="10"/>
      <c r="AO697" s="9"/>
      <c r="AP697" s="9"/>
      <c r="AQ697" s="9">
        <f>+FL_1($T$698,$T$696,$G$697,1200,9.28, 1*$F$698)</f>
        <v>0.41936166072727271</v>
      </c>
      <c r="AR697" s="9"/>
      <c r="AS697" s="9"/>
      <c r="AT697" s="9"/>
      <c r="AU697" s="428"/>
      <c r="AV697" s="428"/>
      <c r="AW697" s="449" t="str">
        <f>IF(C697&gt;0,VLOOKUP(C697,Foundation_Calc!$A$2:$C$13,3,1),
IF(J697&gt;0,VLOOKUP(J697,Foundation_Calc!$A$2:$C$13,3,1),""))</f>
        <v>Multi Soil</v>
      </c>
      <c r="AX697" s="449" t="str">
        <f>IF(C697&gt;0,VLOOKUP(C697,Foundation_Calc!$E$35:$G$65,3,1),
IF(J697&gt;0,VLOOKUP(J697,Foundation_Calc!$E$35:$G$65,3,1),""))</f>
        <v>PT</v>
      </c>
      <c r="AY697" s="10" t="str">
        <f>IF(L697="","",
IF(AX697="PT",VLOOKUP(L697,Foundation_Calc!$K$79:$R$113,VLOOKUP(AW697,Foundation_Calc!$I$2:$J$8,2,FALSE),0),
IF(AX697="K",VLOOKUP(L697,Foundation_Calc!$K$117:$R$151,VLOOKUP(AW697,Foundation_Calc!$I$2:$J$8,2,FALSE),0),"")))</f>
        <v/>
      </c>
      <c r="AZ697" s="10">
        <f>IF(K697="","",
IF(AX697="PT",VLOOKUP(K697,Foundation_Calc!$K$79:$R$113,VLOOKUP(AW697,Foundation_Calc!$I$2:$J$8,2,FALSE),0),
IF(AX697="K",VLOOKUP(K697,Foundation_Calc!$K$117:$R$151,VLOOKUP(AW697,Foundation_Calc!$I$2:$J$8,2,FALSE),0),"")))</f>
        <v>3.9</v>
      </c>
      <c r="BA697" s="495" t="str">
        <f t="shared" si="89"/>
        <v/>
      </c>
      <c r="BB697" s="495" t="str">
        <f t="shared" si="90"/>
        <v>ü</v>
      </c>
      <c r="BC697" s="495" t="str">
        <f t="shared" si="91"/>
        <v/>
      </c>
      <c r="BD697" s="513" t="str">
        <f>IF(AND(L697="",H697=""),"",
IF(H697="",Pole_Calc!A$9,
IF(H697="MP",Pole_Calc!A$10,
IF(H697="AnMP",Pole_Calc!A$11,
IF(H697="A",Pole_Calc!A$12,
IF(H697="S/A",Pole_Calc!A$13,
IF(H697="A/S",Pole_Calc!A$14,"Poner a mano")))))))</f>
        <v/>
      </c>
      <c r="BE697" s="429" t="s">
        <v>118</v>
      </c>
      <c r="BF697" s="290"/>
      <c r="BG697" s="290"/>
      <c r="BH697" s="290"/>
      <c r="BI697" s="290"/>
    </row>
    <row r="698" spans="1:61" ht="15.75" customHeight="1">
      <c r="A698" s="514"/>
      <c r="B698" s="450" t="s">
        <v>1297</v>
      </c>
      <c r="C698" s="3">
        <f>+$C$696+$G$697</f>
        <v>46899.860000000022</v>
      </c>
      <c r="D698" s="83"/>
      <c r="E698" s="4"/>
      <c r="F698" s="4">
        <v>0</v>
      </c>
      <c r="G698" s="6"/>
      <c r="H698" s="449" t="s">
        <v>121</v>
      </c>
      <c r="I698" s="4" t="s">
        <v>162</v>
      </c>
      <c r="J698" s="3"/>
      <c r="K698" s="449"/>
      <c r="L698" s="449" t="s">
        <v>151</v>
      </c>
      <c r="M698" s="449" t="str">
        <f>IF(L698="","",
IF(AX698="PT",VLOOKUP(L698,Foundation_Calc!$V$79:$X$113,VLOOKUP(AX698,Foundation_Calc!$I$10:$J$13,2,FALSE),0),
IF(AX698="K",VLOOKUP(L698,Foundation_Calc!$V$117:$X$151,VLOOKUP(AX698,Foundation_Calc!$I$10:$J$13,2,FALSE),0),"")))</f>
        <v>C4R</v>
      </c>
      <c r="N698" s="449" t="s">
        <v>124</v>
      </c>
      <c r="O698" s="449"/>
      <c r="P698" s="449"/>
      <c r="Q698" s="4"/>
      <c r="R698" s="6"/>
      <c r="S698" s="6"/>
      <c r="T698" s="4">
        <v>-25</v>
      </c>
      <c r="U698" s="4"/>
      <c r="V698" s="4"/>
      <c r="W698" s="9">
        <v>1.4</v>
      </c>
      <c r="X698" s="9"/>
      <c r="Y698" s="9"/>
      <c r="Z698" s="9"/>
      <c r="AA698" s="9"/>
      <c r="AB698" s="9"/>
      <c r="AC698" s="449" t="str">
        <f t="shared" si="88"/>
        <v>PH</v>
      </c>
      <c r="AD698" s="449"/>
      <c r="AE698" s="449"/>
      <c r="AF698" s="4"/>
      <c r="AG698" s="83"/>
      <c r="AH698" s="4"/>
      <c r="AI698" s="4"/>
      <c r="AJ698" s="449"/>
      <c r="AK698" s="449"/>
      <c r="AL698" s="449"/>
      <c r="AM698" s="449" t="s">
        <v>552</v>
      </c>
      <c r="AN698" s="10">
        <v>5.5</v>
      </c>
      <c r="AO698" s="9"/>
      <c r="AP698" s="9"/>
      <c r="AQ698" s="9"/>
      <c r="AR698" s="9"/>
      <c r="AS698" s="9"/>
      <c r="AT698" s="9">
        <f>+ab($T$698,$T$696,$U$700,$G$697,$G$699, 1*$F$698,1200)</f>
        <v>-10.437129400603444</v>
      </c>
      <c r="AU698" s="428"/>
      <c r="AV698" s="428"/>
      <c r="AW698" s="449" t="str">
        <f>IF(C698&gt;0,VLOOKUP(C698,Foundation_Calc!$A$2:$C$13,3,1),
IF(J698&gt;0,VLOOKUP(J698,Foundation_Calc!$A$2:$C$13,3,1),""))</f>
        <v>Multi Soil</v>
      </c>
      <c r="AX698" s="449" t="str">
        <f>IF(C698&gt;0,VLOOKUP(C698,Foundation_Calc!$E$35:$G$65,3,1),
IF(J698&gt;0,VLOOKUP(J698,Foundation_Calc!$E$35:$G$65,3,1),""))</f>
        <v>PT</v>
      </c>
      <c r="AY698" s="10">
        <f>IF(L698="","",
IF(AX698="PT",VLOOKUP(L698,Foundation_Calc!$K$79:$R$113,VLOOKUP(AW698,Foundation_Calc!$I$2:$J$8,2,FALSE),0),
IF(AX698="K",VLOOKUP(L698,Foundation_Calc!$K$117:$R$151,VLOOKUP(AW698,Foundation_Calc!$I$2:$J$8,2,FALSE),0),"")))</f>
        <v>3.5</v>
      </c>
      <c r="AZ698" s="10" t="str">
        <f>IF(K698="","",
IF(AX698="PT",VLOOKUP(K698,Foundation_Calc!$K$79:$R$113,VLOOKUP(AW698,Foundation_Calc!$I$2:$J$8,2,FALSE),0),
IF(AX698="K",VLOOKUP(K698,Foundation_Calc!$K$117:$R$151,VLOOKUP(AW698,Foundation_Calc!$I$2:$J$8,2,FALSE),0),"")))</f>
        <v/>
      </c>
      <c r="BA698" s="495" t="str">
        <f t="shared" si="89"/>
        <v>ü</v>
      </c>
      <c r="BB698" s="495" t="str">
        <f t="shared" si="90"/>
        <v/>
      </c>
      <c r="BC698" s="495" t="str">
        <f t="shared" si="91"/>
        <v/>
      </c>
      <c r="BD698" s="513" t="str">
        <f>IF(AND(L698="",H698=""),"",
IF(H698="",Pole_Calc!A$9,
IF(H698="MP",Pole_Calc!A$10,
IF(H698="AnMP",Pole_Calc!A$11,
IF(H698="A",Pole_Calc!A$12,
IF(H698="S/A",Pole_Calc!A$13,
IF(H698="A/S",Pole_Calc!A$14,"Poner a mano")))))))</f>
        <v>App.7-V11I-P9.5.1.6</v>
      </c>
      <c r="BE698" s="429" t="s">
        <v>118</v>
      </c>
      <c r="BF698" s="289"/>
      <c r="BG698" s="289"/>
      <c r="BH698" s="290"/>
      <c r="BI698" s="289"/>
    </row>
    <row r="699" spans="1:61" ht="15.75" customHeight="1">
      <c r="A699" s="518"/>
      <c r="B699" s="450"/>
      <c r="C699" s="3"/>
      <c r="D699" s="83"/>
      <c r="E699" s="4"/>
      <c r="F699" s="4"/>
      <c r="G699" s="6">
        <v>55</v>
      </c>
      <c r="H699" s="449"/>
      <c r="I699" s="4"/>
      <c r="J699" s="3"/>
      <c r="K699" s="449"/>
      <c r="L699" s="449"/>
      <c r="M699" s="449" t="str">
        <f>IF(L699="","",
IF(AX699="PT",VLOOKUP(L699,Foundation_Calc!$V$79:$X$113,VLOOKUP(AX699,Foundation_Calc!$I$10:$J$13,2,FALSE),0),
IF(AX699="K",VLOOKUP(L699,Foundation_Calc!$V$117:$X$151,VLOOKUP(AX699,Foundation_Calc!$I$10:$J$13,2,FALSE),0),"")))</f>
        <v/>
      </c>
      <c r="N699" s="449"/>
      <c r="O699" s="449"/>
      <c r="P699" s="449"/>
      <c r="Q699" s="4"/>
      <c r="R699" s="6"/>
      <c r="S699" s="6"/>
      <c r="T699" s="4"/>
      <c r="U699" s="4"/>
      <c r="V699" s="4"/>
      <c r="W699" s="9"/>
      <c r="X699" s="9"/>
      <c r="Y699" s="9"/>
      <c r="Z699" s="9"/>
      <c r="AA699" s="9"/>
      <c r="AB699" s="9"/>
      <c r="AC699" s="449" t="str">
        <f t="shared" si="88"/>
        <v/>
      </c>
      <c r="AD699" s="449"/>
      <c r="AE699" s="449"/>
      <c r="AF699" s="4"/>
      <c r="AG699" s="83"/>
      <c r="AH699" s="4"/>
      <c r="AI699" s="4"/>
      <c r="AJ699" s="449"/>
      <c r="AK699" s="449"/>
      <c r="AL699" s="449"/>
      <c r="AM699" s="449"/>
      <c r="AN699" s="10"/>
      <c r="AO699" s="9"/>
      <c r="AP699" s="9"/>
      <c r="AQ699" s="9">
        <f>+FL_2($U$700,$T$698,$G$699,1200,9.28, 1*$F$700)</f>
        <v>-0.3766144363636364</v>
      </c>
      <c r="AR699" s="9"/>
      <c r="AS699" s="9"/>
      <c r="AT699" s="9"/>
      <c r="AU699" s="428"/>
      <c r="AV699" s="428"/>
      <c r="AW699" s="449" t="str">
        <f>IF(C699&gt;0,VLOOKUP(C699,Foundation_Calc!$A$2:$C$13,3,1),
IF(J699&gt;0,VLOOKUP(J699,Foundation_Calc!$A$2:$C$13,3,1),""))</f>
        <v/>
      </c>
      <c r="AX699" s="449" t="str">
        <f>IF(C699&gt;0,VLOOKUP(C699,Foundation_Calc!$E$35:$G$65,3,1),
IF(J699&gt;0,VLOOKUP(J699,Foundation_Calc!$E$35:$G$65,3,1),""))</f>
        <v/>
      </c>
      <c r="AY699" s="10" t="str">
        <f>IF(L699="","",
IF(AX699="PT",VLOOKUP(L699,Foundation_Calc!$K$79:$R$113,VLOOKUP(AW699,Foundation_Calc!$I$2:$J$8,2,FALSE),0),
IF(AX699="K",VLOOKUP(L699,Foundation_Calc!$K$117:$R$151,VLOOKUP(AW699,Foundation_Calc!$I$2:$J$8,2,FALSE),0),"")))</f>
        <v/>
      </c>
      <c r="AZ699" s="10" t="str">
        <f>IF(K699="","",
IF(AX699="PT",VLOOKUP(K699,Foundation_Calc!$K$79:$R$113,VLOOKUP(AW699,Foundation_Calc!$I$2:$J$8,2,FALSE),0),
IF(AX699="K",VLOOKUP(K699,Foundation_Calc!$K$117:$R$151,VLOOKUP(AW699,Foundation_Calc!$I$2:$J$8,2,FALSE),0),"")))</f>
        <v/>
      </c>
      <c r="BA699" s="495" t="str">
        <f t="shared" si="89"/>
        <v/>
      </c>
      <c r="BB699" s="495" t="str">
        <f t="shared" si="90"/>
        <v/>
      </c>
      <c r="BC699" s="495" t="str">
        <f t="shared" si="91"/>
        <v/>
      </c>
      <c r="BD699" s="513" t="str">
        <f>IF(AND(L699="",H699=""),"",
IF(H699="",Pole_Calc!A$9,
IF(H699="MP",Pole_Calc!A$10,
IF(H699="AnMP",Pole_Calc!A$11,
IF(H699="A",Pole_Calc!A$12,
IF(H699="S/A",Pole_Calc!A$13,
IF(H699="A/S",Pole_Calc!A$14,"Poner a mano")))))))</f>
        <v/>
      </c>
      <c r="BE699" s="429" t="s">
        <v>118</v>
      </c>
      <c r="BF699" s="290"/>
      <c r="BG699" s="290"/>
      <c r="BH699" s="290"/>
      <c r="BI699" s="290"/>
    </row>
    <row r="700" spans="1:61" ht="15.75" customHeight="1">
      <c r="A700" s="514"/>
      <c r="B700" s="450" t="s">
        <v>1298</v>
      </c>
      <c r="C700" s="3">
        <f>+$C$698+$G$699</f>
        <v>46954.860000000022</v>
      </c>
      <c r="D700" s="83"/>
      <c r="E700" s="4"/>
      <c r="F700" s="4">
        <v>0</v>
      </c>
      <c r="G700" s="6"/>
      <c r="H700" s="449" t="s">
        <v>131</v>
      </c>
      <c r="I700" s="4"/>
      <c r="J700" s="3"/>
      <c r="K700" s="449"/>
      <c r="L700" s="449" t="s">
        <v>158</v>
      </c>
      <c r="M700" s="449" t="str">
        <f>IF(L700="","",
IF(AX700="PT",VLOOKUP(L700,Foundation_Calc!$V$79:$X$113,VLOOKUP(AX700,Foundation_Calc!$I$10:$J$13,2,FALSE),0),
IF(AX700="K",VLOOKUP(L700,Foundation_Calc!$V$117:$X$151,VLOOKUP(AX700,Foundation_Calc!$I$10:$J$13,2,FALSE),0),"")))</f>
        <v>C4R</v>
      </c>
      <c r="N700" s="449" t="s">
        <v>133</v>
      </c>
      <c r="O700" s="449" t="s">
        <v>134</v>
      </c>
      <c r="P700" s="449"/>
      <c r="Q700" s="4"/>
      <c r="R700" s="6"/>
      <c r="S700" s="6"/>
      <c r="T700" s="4">
        <v>35</v>
      </c>
      <c r="U700" s="4">
        <v>15</v>
      </c>
      <c r="V700" s="4"/>
      <c r="W700" s="9">
        <v>1.4</v>
      </c>
      <c r="X700" s="9">
        <v>2.2999999999999998</v>
      </c>
      <c r="Y700" s="9"/>
      <c r="Z700" s="9">
        <v>0.5</v>
      </c>
      <c r="AA700" s="9"/>
      <c r="AB700" s="9"/>
      <c r="AC700" s="449"/>
      <c r="AD700" s="449"/>
      <c r="AE700" s="449"/>
      <c r="AF700" s="4"/>
      <c r="AG700" s="83"/>
      <c r="AH700" s="4"/>
      <c r="AI700" s="4"/>
      <c r="AJ700" s="449"/>
      <c r="AK700" s="449"/>
      <c r="AL700" s="449"/>
      <c r="AM700" s="449" t="s">
        <v>552</v>
      </c>
      <c r="AN700" s="10">
        <v>5.5</v>
      </c>
      <c r="AO700" s="9"/>
      <c r="AP700" s="9"/>
      <c r="AQ700" s="9"/>
      <c r="AR700" s="9"/>
      <c r="AS700" s="9"/>
      <c r="AT700" s="9">
        <f>+ab($U$700,$T$698,$U$702,$G$699,$G$701, 1*$F$700,1200)</f>
        <v>11.566986393574631</v>
      </c>
      <c r="AU700" s="428"/>
      <c r="AV700" s="428"/>
      <c r="AW700" s="449" t="str">
        <f>IF(C700&gt;0,VLOOKUP(C700,Foundation_Calc!$A$2:$C$13,3,1),
IF(J700&gt;0,VLOOKUP(J700,Foundation_Calc!$A$2:$C$13,3,1),""))</f>
        <v>Multi Soil</v>
      </c>
      <c r="AX700" s="449" t="str">
        <f>IF(C700&gt;0,VLOOKUP(C700,Foundation_Calc!$E$35:$G$65,3,1),
IF(J700&gt;0,VLOOKUP(J700,Foundation_Calc!$E$35:$G$65,3,1),""))</f>
        <v>PT</v>
      </c>
      <c r="AY700" s="10">
        <f>IF(L700="","",
IF(AX700="PT",VLOOKUP(L700,Foundation_Calc!$K$79:$R$113,VLOOKUP(AW700,Foundation_Calc!$I$2:$J$8,2,FALSE),0),
IF(AX700="K",VLOOKUP(L700,Foundation_Calc!$K$117:$R$151,VLOOKUP(AW700,Foundation_Calc!$I$2:$J$8,2,FALSE),0),"")))</f>
        <v>3.5</v>
      </c>
      <c r="AZ700" s="10" t="str">
        <f>IF(K700="","",
IF(AX700="PT",VLOOKUP(K700,Foundation_Calc!$K$79:$R$113,VLOOKUP(AW700,Foundation_Calc!$I$2:$J$8,2,FALSE),0),
IF(AX700="K",VLOOKUP(K700,Foundation_Calc!$K$117:$R$151,VLOOKUP(AW700,Foundation_Calc!$I$2:$J$8,2,FALSE),0),"")))</f>
        <v/>
      </c>
      <c r="BA700" s="495" t="str">
        <f t="shared" si="89"/>
        <v>ü</v>
      </c>
      <c r="BB700" s="495" t="str">
        <f t="shared" si="90"/>
        <v/>
      </c>
      <c r="BC700" s="495" t="str">
        <f t="shared" si="91"/>
        <v/>
      </c>
      <c r="BD700" s="513" t="str">
        <f>IF(AND(L700="",H700=""),"",
IF(H700="",Pole_Calc!A$9,
IF(H700="MP",Pole_Calc!A$10,
IF(H700="AnMP",Pole_Calc!A$11,
IF(H700="A",Pole_Calc!A$12,
IF(H700="S/A",Pole_Calc!A$13,
IF(H700="A/S",Pole_Calc!A$14,"Poner a mano")))))))</f>
        <v>App.7-V11I-P9.5.1.5</v>
      </c>
      <c r="BE700" s="429" t="s">
        <v>118</v>
      </c>
      <c r="BF700" s="289"/>
      <c r="BG700" s="289"/>
      <c r="BH700" s="290"/>
      <c r="BI700" s="289"/>
    </row>
    <row r="701" spans="1:61" ht="15.75" customHeight="1">
      <c r="A701" s="514"/>
      <c r="B701" s="450"/>
      <c r="C701" s="3"/>
      <c r="D701" s="83"/>
      <c r="E701" s="4"/>
      <c r="F701" s="4"/>
      <c r="G701" s="6">
        <v>55</v>
      </c>
      <c r="H701" s="449"/>
      <c r="I701" s="4"/>
      <c r="J701" s="3"/>
      <c r="K701" s="449"/>
      <c r="L701" s="449"/>
      <c r="M701" s="449" t="str">
        <f>IF(L701="","",
IF(AX701="PT",VLOOKUP(L701,Foundation_Calc!$V$79:$X$113,VLOOKUP(AX701,Foundation_Calc!$I$10:$J$13,2,FALSE),0),
IF(AX701="K",VLOOKUP(L701,Foundation_Calc!$V$117:$X$151,VLOOKUP(AX701,Foundation_Calc!$I$10:$J$13,2,FALSE),0),"")))</f>
        <v/>
      </c>
      <c r="N701" s="449"/>
      <c r="O701" s="449"/>
      <c r="P701" s="449"/>
      <c r="Q701" s="4"/>
      <c r="R701" s="6"/>
      <c r="S701" s="6"/>
      <c r="T701" s="4"/>
      <c r="U701" s="4"/>
      <c r="V701" s="4"/>
      <c r="W701" s="9"/>
      <c r="X701" s="9"/>
      <c r="Y701" s="9"/>
      <c r="Z701" s="9"/>
      <c r="AA701" s="9"/>
      <c r="AB701" s="9"/>
      <c r="AC701" s="449" t="str">
        <f t="shared" si="88"/>
        <v/>
      </c>
      <c r="AD701" s="449"/>
      <c r="AE701" s="449"/>
      <c r="AF701" s="4"/>
      <c r="AG701" s="83"/>
      <c r="AH701" s="4"/>
      <c r="AI701" s="4"/>
      <c r="AJ701" s="449"/>
      <c r="AK701" s="449"/>
      <c r="AL701" s="449"/>
      <c r="AM701" s="449"/>
      <c r="AN701" s="10"/>
      <c r="AO701" s="9"/>
      <c r="AP701" s="9"/>
      <c r="AQ701" s="9">
        <f>+FL_1($T$702,$T$700,$G$701,1200,9.28, 1*$F$702)</f>
        <v>0.44585068557575741</v>
      </c>
      <c r="AR701" s="9"/>
      <c r="AS701" s="9"/>
      <c r="AT701" s="9"/>
      <c r="AU701" s="428"/>
      <c r="AV701" s="428"/>
      <c r="AW701" s="449" t="str">
        <f>IF(C701&gt;0,VLOOKUP(C701,Foundation_Calc!$A$2:$C$13,3,1),
IF(J701&gt;0,VLOOKUP(J701,Foundation_Calc!$A$2:$C$13,3,1),""))</f>
        <v/>
      </c>
      <c r="AX701" s="449" t="str">
        <f>IF(C701&gt;0,VLOOKUP(C701,Foundation_Calc!$E$35:$G$65,3,1),
IF(J701&gt;0,VLOOKUP(J701,Foundation_Calc!$E$35:$G$65,3,1),""))</f>
        <v/>
      </c>
      <c r="AY701" s="10" t="str">
        <f>IF(L701="","",
IF(AX701="PT",VLOOKUP(L701,Foundation_Calc!$K$79:$R$113,VLOOKUP(AW701,Foundation_Calc!$I$2:$J$8,2,FALSE),0),
IF(AX701="K",VLOOKUP(L701,Foundation_Calc!$K$117:$R$151,VLOOKUP(AW701,Foundation_Calc!$I$2:$J$8,2,FALSE),0),"")))</f>
        <v/>
      </c>
      <c r="AZ701" s="10" t="str">
        <f>IF(K701="","",
IF(AX701="PT",VLOOKUP(K701,Foundation_Calc!$K$79:$R$113,VLOOKUP(AW701,Foundation_Calc!$I$2:$J$8,2,FALSE),0),
IF(AX701="K",VLOOKUP(K701,Foundation_Calc!$K$117:$R$151,VLOOKUP(AW701,Foundation_Calc!$I$2:$J$8,2,FALSE),0),"")))</f>
        <v/>
      </c>
      <c r="BA701" s="495" t="str">
        <f t="shared" si="89"/>
        <v/>
      </c>
      <c r="BB701" s="495" t="str">
        <f t="shared" si="90"/>
        <v/>
      </c>
      <c r="BC701" s="495" t="str">
        <f t="shared" si="91"/>
        <v/>
      </c>
      <c r="BD701" s="513" t="str">
        <f>IF(AND(L701="",H701=""),"",
IF(H701="",Pole_Calc!A$9,
IF(H701="MP",Pole_Calc!A$10,
IF(H701="AnMP",Pole_Calc!A$11,
IF(H701="A",Pole_Calc!A$12,
IF(H701="S/A",Pole_Calc!A$13,
IF(H701="A/S",Pole_Calc!A$14,"Poner a mano")))))))</f>
        <v/>
      </c>
      <c r="BE701" s="429" t="s">
        <v>118</v>
      </c>
      <c r="BF701" s="290"/>
      <c r="BG701" s="290"/>
      <c r="BH701" s="290"/>
      <c r="BI701" s="290"/>
    </row>
    <row r="702" spans="1:61" ht="15.75" customHeight="1">
      <c r="A702" s="514"/>
      <c r="B702" s="450" t="s">
        <v>1299</v>
      </c>
      <c r="C702" s="3">
        <f>+$C$700+$G$701</f>
        <v>47009.860000000022</v>
      </c>
      <c r="D702" s="83"/>
      <c r="E702" s="4"/>
      <c r="F702" s="4">
        <v>0</v>
      </c>
      <c r="G702" s="6"/>
      <c r="H702" s="449" t="s">
        <v>131</v>
      </c>
      <c r="I702" s="4"/>
      <c r="J702" s="3"/>
      <c r="K702" s="449"/>
      <c r="L702" s="449" t="s">
        <v>158</v>
      </c>
      <c r="M702" s="449" t="str">
        <f>IF(L702="","",
IF(AX702="PT",VLOOKUP(L702,Foundation_Calc!$V$79:$X$113,VLOOKUP(AX702,Foundation_Calc!$I$10:$J$13,2,FALSE),0),
IF(AX702="K",VLOOKUP(L702,Foundation_Calc!$V$117:$X$151,VLOOKUP(AX702,Foundation_Calc!$I$10:$J$13,2,FALSE),0),"")))</f>
        <v>C4R</v>
      </c>
      <c r="N702" s="449" t="s">
        <v>124</v>
      </c>
      <c r="O702" s="449" t="s">
        <v>133</v>
      </c>
      <c r="P702" s="449"/>
      <c r="Q702" s="4"/>
      <c r="R702" s="6"/>
      <c r="S702" s="6"/>
      <c r="T702" s="4">
        <v>-15</v>
      </c>
      <c r="U702" s="4">
        <v>-35</v>
      </c>
      <c r="V702" s="4"/>
      <c r="W702" s="9">
        <v>1.4</v>
      </c>
      <c r="X702" s="9">
        <v>2.2999999999999998</v>
      </c>
      <c r="Y702" s="9"/>
      <c r="Z702" s="9"/>
      <c r="AA702" s="9">
        <v>0.5</v>
      </c>
      <c r="AB702" s="9"/>
      <c r="AC702" s="449" t="str">
        <f t="shared" si="88"/>
        <v>PH</v>
      </c>
      <c r="AD702" s="449"/>
      <c r="AE702" s="449"/>
      <c r="AF702" s="4"/>
      <c r="AG702" s="83"/>
      <c r="AH702" s="4"/>
      <c r="AI702" s="4"/>
      <c r="AJ702" s="449"/>
      <c r="AK702" s="449"/>
      <c r="AL702" s="449"/>
      <c r="AM702" s="449" t="s">
        <v>552</v>
      </c>
      <c r="AN702" s="10">
        <v>5.5</v>
      </c>
      <c r="AO702" s="9"/>
      <c r="AP702" s="9"/>
      <c r="AQ702" s="9"/>
      <c r="AR702" s="9"/>
      <c r="AS702" s="9"/>
      <c r="AT702" s="9">
        <f>+ab($T$702,$T$700,$T$704,$G$701,$G$703, 1*$F$702,1200)</f>
        <v>-11.999285776580535</v>
      </c>
      <c r="AU702" s="428"/>
      <c r="AV702" s="428"/>
      <c r="AW702" s="449" t="str">
        <f>IF(C702&gt;0,VLOOKUP(C702,Foundation_Calc!$A$2:$C$13,3,1),
IF(J702&gt;0,VLOOKUP(J702,Foundation_Calc!$A$2:$C$13,3,1),""))</f>
        <v>Multi Soil</v>
      </c>
      <c r="AX702" s="449" t="str">
        <f>IF(C702&gt;0,VLOOKUP(C702,Foundation_Calc!$E$35:$G$65,3,1),
IF(J702&gt;0,VLOOKUP(J702,Foundation_Calc!$E$35:$G$65,3,1),""))</f>
        <v>PT</v>
      </c>
      <c r="AY702" s="10">
        <f>IF(L702="","",
IF(AX702="PT",VLOOKUP(L702,Foundation_Calc!$K$79:$R$113,VLOOKUP(AW702,Foundation_Calc!$I$2:$J$8,2,FALSE),0),
IF(AX702="K",VLOOKUP(L702,Foundation_Calc!$K$117:$R$151,VLOOKUP(AW702,Foundation_Calc!$I$2:$J$8,2,FALSE),0),"")))</f>
        <v>3.5</v>
      </c>
      <c r="AZ702" s="10" t="str">
        <f>IF(K702="","",
IF(AX702="PT",VLOOKUP(K702,Foundation_Calc!$K$79:$R$113,VLOOKUP(AW702,Foundation_Calc!$I$2:$J$8,2,FALSE),0),
IF(AX702="K",VLOOKUP(K702,Foundation_Calc!$K$117:$R$151,VLOOKUP(AW702,Foundation_Calc!$I$2:$J$8,2,FALSE),0),"")))</f>
        <v/>
      </c>
      <c r="BA702" s="495" t="str">
        <f t="shared" si="89"/>
        <v>ü</v>
      </c>
      <c r="BB702" s="495" t="str">
        <f t="shared" si="90"/>
        <v/>
      </c>
      <c r="BC702" s="495" t="str">
        <f t="shared" si="91"/>
        <v/>
      </c>
      <c r="BD702" s="513" t="str">
        <f>IF(AND(L702="",H702=""),"",
IF(H702="",Pole_Calc!A$9,
IF(H702="MP",Pole_Calc!A$10,
IF(H702="AnMP",Pole_Calc!A$11,
IF(H702="A",Pole_Calc!A$12,
IF(H702="S/A",Pole_Calc!A$13,
IF(H702="A/S",Pole_Calc!A$14,"Poner a mano")))))))</f>
        <v>App.7-V11I-P9.5.1.5</v>
      </c>
      <c r="BE702" s="429" t="s">
        <v>118</v>
      </c>
      <c r="BF702" s="289"/>
      <c r="BG702" s="289"/>
      <c r="BH702" s="290"/>
      <c r="BI702" s="289"/>
    </row>
    <row r="703" spans="1:61" ht="15.75" customHeight="1">
      <c r="A703" s="514"/>
      <c r="B703" s="450"/>
      <c r="C703" s="3"/>
      <c r="D703" s="83"/>
      <c r="E703" s="4"/>
      <c r="F703" s="4"/>
      <c r="G703" s="6">
        <v>60</v>
      </c>
      <c r="H703" s="449"/>
      <c r="I703" s="4"/>
      <c r="J703" s="3"/>
      <c r="K703" s="449"/>
      <c r="L703" s="449"/>
      <c r="M703" s="449" t="str">
        <f>IF(L703="","",
IF(AX703="PT",VLOOKUP(L703,Foundation_Calc!$V$79:$X$113,VLOOKUP(AX703,Foundation_Calc!$I$10:$J$13,2,FALSE),0),
IF(AX703="K",VLOOKUP(L703,Foundation_Calc!$V$117:$X$151,VLOOKUP(AX703,Foundation_Calc!$I$10:$J$13,2,FALSE),0),"")))</f>
        <v/>
      </c>
      <c r="N703" s="449"/>
      <c r="O703" s="561"/>
      <c r="P703" s="449"/>
      <c r="Q703" s="4"/>
      <c r="R703" s="6"/>
      <c r="S703" s="6"/>
      <c r="T703" s="4"/>
      <c r="U703" s="4"/>
      <c r="V703" s="4"/>
      <c r="W703" s="9"/>
      <c r="X703" s="9"/>
      <c r="Y703" s="9"/>
      <c r="Z703" s="9"/>
      <c r="AA703" s="9"/>
      <c r="AB703" s="9"/>
      <c r="AC703" s="449" t="str">
        <f t="shared" si="88"/>
        <v/>
      </c>
      <c r="AD703" s="449"/>
      <c r="AE703" s="449"/>
      <c r="AF703" s="4"/>
      <c r="AG703" s="83"/>
      <c r="AH703" s="4"/>
      <c r="AI703" s="4"/>
      <c r="AJ703" s="449"/>
      <c r="AK703" s="449"/>
      <c r="AL703" s="449"/>
      <c r="AM703" s="449"/>
      <c r="AN703" s="10"/>
      <c r="AO703" s="9"/>
      <c r="AP703" s="9"/>
      <c r="AQ703" s="9">
        <f>+FL_1($T$704,$T$702,$G$703,1200,9.28, 1*$F$704)</f>
        <v>0.42673563199999998</v>
      </c>
      <c r="AR703" s="9"/>
      <c r="AS703" s="9"/>
      <c r="AT703" s="9"/>
      <c r="AU703" s="428"/>
      <c r="AV703" s="428"/>
      <c r="AW703" s="449" t="str">
        <f>IF(C703&gt;0,VLOOKUP(C703,Foundation_Calc!$A$2:$C$13,3,1),
IF(J703&gt;0,VLOOKUP(J703,Foundation_Calc!$A$2:$C$13,3,1),""))</f>
        <v/>
      </c>
      <c r="AX703" s="449" t="str">
        <f>IF(C703&gt;0,VLOOKUP(C703,Foundation_Calc!$E$35:$G$65,3,1),
IF(J703&gt;0,VLOOKUP(J703,Foundation_Calc!$E$35:$G$65,3,1),""))</f>
        <v/>
      </c>
      <c r="AY703" s="10" t="str">
        <f>IF(L703="","",
IF(AX703="PT",VLOOKUP(L703,Foundation_Calc!$K$79:$R$113,VLOOKUP(AW703,Foundation_Calc!$I$2:$J$8,2,FALSE),0),
IF(AX703="K",VLOOKUP(L703,Foundation_Calc!$K$117:$R$151,VLOOKUP(AW703,Foundation_Calc!$I$2:$J$8,2,FALSE),0),"")))</f>
        <v/>
      </c>
      <c r="AZ703" s="10" t="str">
        <f>IF(K703="","",
IF(AX703="PT",VLOOKUP(K703,Foundation_Calc!$K$79:$R$113,VLOOKUP(AW703,Foundation_Calc!$I$2:$J$8,2,FALSE),0),
IF(AX703="K",VLOOKUP(K703,Foundation_Calc!$K$117:$R$151,VLOOKUP(AW703,Foundation_Calc!$I$2:$J$8,2,FALSE),0),"")))</f>
        <v/>
      </c>
      <c r="BA703" s="495" t="str">
        <f t="shared" si="89"/>
        <v/>
      </c>
      <c r="BB703" s="495" t="str">
        <f t="shared" si="90"/>
        <v/>
      </c>
      <c r="BC703" s="495" t="str">
        <f t="shared" si="91"/>
        <v/>
      </c>
      <c r="BD703" s="513" t="str">
        <f>IF(AND(L703="",H703=""),"",
IF(H703="",Pole_Calc!A$9,
IF(H703="MP",Pole_Calc!A$10,
IF(H703="AnMP",Pole_Calc!A$11,
IF(H703="A",Pole_Calc!A$12,
IF(H703="S/A",Pole_Calc!A$13,
IF(H703="A/S",Pole_Calc!A$14,"Poner a mano")))))))</f>
        <v/>
      </c>
      <c r="BE703" s="429" t="s">
        <v>118</v>
      </c>
      <c r="BF703" s="290"/>
      <c r="BG703" s="290"/>
      <c r="BH703" s="290"/>
      <c r="BI703" s="290"/>
    </row>
    <row r="704" spans="1:61" ht="15.75" customHeight="1">
      <c r="A704" s="514"/>
      <c r="B704" s="450" t="s">
        <v>1300</v>
      </c>
      <c r="C704" s="3">
        <f>+$C$702+$G$703</f>
        <v>47069.860000000022</v>
      </c>
      <c r="D704" s="83"/>
      <c r="E704" s="4"/>
      <c r="F704" s="4">
        <v>0</v>
      </c>
      <c r="G704" s="6"/>
      <c r="H704" s="449" t="s">
        <v>121</v>
      </c>
      <c r="I704" s="4" t="s">
        <v>122</v>
      </c>
      <c r="J704" s="3"/>
      <c r="K704" s="449"/>
      <c r="L704" s="449" t="s">
        <v>151</v>
      </c>
      <c r="M704" s="449" t="str">
        <f>IF(L704="","",
IF(AX704="PT",VLOOKUP(L704,Foundation_Calc!$V$79:$X$113,VLOOKUP(AX704,Foundation_Calc!$I$10:$J$13,2,FALSE),0),
IF(AX704="K",VLOOKUP(L704,Foundation_Calc!$V$117:$X$151,VLOOKUP(AX704,Foundation_Calc!$I$10:$J$13,2,FALSE),0),"")))</f>
        <v>C4R</v>
      </c>
      <c r="N704" s="449" t="s">
        <v>134</v>
      </c>
      <c r="O704" s="449"/>
      <c r="P704" s="449"/>
      <c r="Q704" s="4"/>
      <c r="R704" s="6"/>
      <c r="S704" s="6"/>
      <c r="T704" s="4">
        <v>25</v>
      </c>
      <c r="U704" s="4"/>
      <c r="V704" s="4"/>
      <c r="W704" s="9">
        <v>1.4</v>
      </c>
      <c r="X704" s="9"/>
      <c r="Y704" s="9"/>
      <c r="Z704" s="9"/>
      <c r="AA704" s="9"/>
      <c r="AB704" s="9"/>
      <c r="AC704" s="449" t="str">
        <f t="shared" si="88"/>
        <v>PH</v>
      </c>
      <c r="AD704" s="449"/>
      <c r="AE704" s="449"/>
      <c r="AF704" s="4"/>
      <c r="AG704" s="83"/>
      <c r="AH704" s="4"/>
      <c r="AI704" s="4"/>
      <c r="AJ704" s="449"/>
      <c r="AK704" s="449"/>
      <c r="AL704" s="449"/>
      <c r="AM704" s="449" t="s">
        <v>552</v>
      </c>
      <c r="AN704" s="10">
        <v>5.5</v>
      </c>
      <c r="AO704" s="9"/>
      <c r="AP704" s="9"/>
      <c r="AQ704" s="9"/>
      <c r="AR704" s="9"/>
      <c r="AS704" s="9"/>
      <c r="AT704" s="9">
        <f>+ab($T$704,$T$702,$T$706,$G$703,$G$705, 1*$F$704,1200)</f>
        <v>11.362193980715585</v>
      </c>
      <c r="AU704" s="428"/>
      <c r="AV704" s="428"/>
      <c r="AW704" s="449" t="str">
        <f>IF(C704&gt;0,VLOOKUP(C704,Foundation_Calc!$A$2:$C$13,3,1),
IF(J704&gt;0,VLOOKUP(J704,Foundation_Calc!$A$2:$C$13,3,1),""))</f>
        <v>Multi Soil</v>
      </c>
      <c r="AX704" s="449" t="str">
        <f>IF(C704&gt;0,VLOOKUP(C704,Foundation_Calc!$E$35:$G$65,3,1),
IF(J704&gt;0,VLOOKUP(J704,Foundation_Calc!$E$35:$G$65,3,1),""))</f>
        <v>PT</v>
      </c>
      <c r="AY704" s="10">
        <f>IF(L704="","",
IF(AX704="PT",VLOOKUP(L704,Foundation_Calc!$K$79:$R$113,VLOOKUP(AW704,Foundation_Calc!$I$2:$J$8,2,FALSE),0),
IF(AX704="K",VLOOKUP(L704,Foundation_Calc!$K$117:$R$151,VLOOKUP(AW704,Foundation_Calc!$I$2:$J$8,2,FALSE),0),"")))</f>
        <v>3.5</v>
      </c>
      <c r="AZ704" s="10" t="str">
        <f>IF(K704="","",
IF(AX704="PT",VLOOKUP(K704,Foundation_Calc!$K$79:$R$113,VLOOKUP(AW704,Foundation_Calc!$I$2:$J$8,2,FALSE),0),
IF(AX704="K",VLOOKUP(K704,Foundation_Calc!$K$117:$R$151,VLOOKUP(AW704,Foundation_Calc!$I$2:$J$8,2,FALSE),0),"")))</f>
        <v/>
      </c>
      <c r="BA704" s="495" t="str">
        <f t="shared" si="89"/>
        <v>ü</v>
      </c>
      <c r="BB704" s="495" t="str">
        <f t="shared" si="90"/>
        <v/>
      </c>
      <c r="BC704" s="495" t="str">
        <f t="shared" si="91"/>
        <v/>
      </c>
      <c r="BD704" s="513" t="str">
        <f>IF(AND(L704="",H704=""),"",
IF(H704="",Pole_Calc!A$9,
IF(H704="MP",Pole_Calc!A$10,
IF(H704="AnMP",Pole_Calc!A$11,
IF(H704="A",Pole_Calc!A$12,
IF(H704="S/A",Pole_Calc!A$13,
IF(H704="A/S",Pole_Calc!A$14,"Poner a mano")))))))</f>
        <v>App.7-V11I-P9.5.1.6</v>
      </c>
      <c r="BE704" s="429" t="s">
        <v>118</v>
      </c>
      <c r="BF704" s="289"/>
      <c r="BG704" s="289"/>
      <c r="BH704" s="290"/>
      <c r="BI704" s="289"/>
    </row>
    <row r="705" spans="1:61" ht="15.75" customHeight="1">
      <c r="A705" s="518"/>
      <c r="B705" s="450"/>
      <c r="C705" s="3"/>
      <c r="D705" s="83"/>
      <c r="E705" s="4"/>
      <c r="F705" s="4"/>
      <c r="G705" s="6">
        <v>60</v>
      </c>
      <c r="H705" s="449"/>
      <c r="I705" s="4"/>
      <c r="J705" s="3">
        <f>C704+7.5</f>
        <v>47077.360000000022</v>
      </c>
      <c r="K705" s="449" t="s">
        <v>117</v>
      </c>
      <c r="L705" s="449"/>
      <c r="M705" s="449" t="str">
        <f>IF(L705="","",
IF(AX705="PT",VLOOKUP(L705,Foundation_Calc!$V$79:$X$113,VLOOKUP(AX705,Foundation_Calc!$I$10:$J$13,2,FALSE),0),
IF(AX705="K",VLOOKUP(L705,Foundation_Calc!$V$117:$X$151,VLOOKUP(AX705,Foundation_Calc!$I$10:$J$13,2,FALSE),0),"")))</f>
        <v/>
      </c>
      <c r="N705" s="449"/>
      <c r="O705" s="449"/>
      <c r="P705" s="449"/>
      <c r="Q705" s="4"/>
      <c r="R705" s="6"/>
      <c r="S705" s="6"/>
      <c r="T705" s="4"/>
      <c r="U705" s="4"/>
      <c r="V705" s="4"/>
      <c r="W705" s="9"/>
      <c r="X705" s="9"/>
      <c r="Y705" s="9"/>
      <c r="Z705" s="9"/>
      <c r="AA705" s="9"/>
      <c r="AB705" s="9"/>
      <c r="AC705" s="449" t="str">
        <f t="shared" si="88"/>
        <v/>
      </c>
      <c r="AD705" s="449"/>
      <c r="AE705" s="449"/>
      <c r="AF705" s="4"/>
      <c r="AG705" s="83"/>
      <c r="AH705" s="4"/>
      <c r="AI705" s="4"/>
      <c r="AJ705" s="449"/>
      <c r="AK705" s="449"/>
      <c r="AL705" s="449"/>
      <c r="AM705" s="449"/>
      <c r="AN705" s="10"/>
      <c r="AO705" s="9"/>
      <c r="AP705" s="9"/>
      <c r="AQ705" s="9">
        <f>+FL_2($T$706,$T$704,$G$705,1200,9.28, 1*$F$706)</f>
        <v>-0.46265517199999995</v>
      </c>
      <c r="AR705" s="9"/>
      <c r="AS705" s="9"/>
      <c r="AT705" s="9"/>
      <c r="AU705" s="428"/>
      <c r="AV705" s="428"/>
      <c r="AW705" s="449" t="str">
        <f>IF(C705&gt;0,VLOOKUP(C705,Foundation_Calc!$A$2:$C$13,3,1),
IF(J705&gt;0,VLOOKUP(J705,Foundation_Calc!$A$2:$C$13,3,1),""))</f>
        <v>Multi Soil</v>
      </c>
      <c r="AX705" s="449" t="str">
        <f>IF(C705&gt;0,VLOOKUP(C705,Foundation_Calc!$E$35:$G$65,3,1),
IF(J705&gt;0,VLOOKUP(J705,Foundation_Calc!$E$35:$G$65,3,1),""))</f>
        <v>PT</v>
      </c>
      <c r="AY705" s="10" t="str">
        <f>IF(L705="","",
IF(AX705="PT",VLOOKUP(L705,Foundation_Calc!$K$79:$R$113,VLOOKUP(AW705,Foundation_Calc!$I$2:$J$8,2,FALSE),0),
IF(AX705="K",VLOOKUP(L705,Foundation_Calc!$K$117:$R$151,VLOOKUP(AW705,Foundation_Calc!$I$2:$J$8,2,FALSE),0),"")))</f>
        <v/>
      </c>
      <c r="AZ705" s="10">
        <f>IF(K705="","",
IF(AX705="PT",VLOOKUP(K705,Foundation_Calc!$K$79:$R$113,VLOOKUP(AW705,Foundation_Calc!$I$2:$J$8,2,FALSE),0),
IF(AX705="K",VLOOKUP(K705,Foundation_Calc!$K$117:$R$151,VLOOKUP(AW705,Foundation_Calc!$I$2:$J$8,2,FALSE),0),"")))</f>
        <v>3.9</v>
      </c>
      <c r="BA705" s="495" t="str">
        <f t="shared" si="89"/>
        <v/>
      </c>
      <c r="BB705" s="495" t="str">
        <f t="shared" si="90"/>
        <v>ü</v>
      </c>
      <c r="BC705" s="495" t="str">
        <f t="shared" si="91"/>
        <v/>
      </c>
      <c r="BD705" s="513" t="str">
        <f>IF(AND(L705="",H705=""),"",
IF(H705="",Pole_Calc!A$9,
IF(H705="MP",Pole_Calc!A$10,
IF(H705="AnMP",Pole_Calc!A$11,
IF(H705="A",Pole_Calc!A$12,
IF(H705="S/A",Pole_Calc!A$13,
IF(H705="A/S",Pole_Calc!A$14,"Poner a mano")))))))</f>
        <v/>
      </c>
      <c r="BE705" s="429" t="s">
        <v>118</v>
      </c>
      <c r="BF705" s="290"/>
      <c r="BG705" s="290"/>
      <c r="BH705" s="290"/>
      <c r="BI705" s="290"/>
    </row>
    <row r="706" spans="1:61" ht="15.75" customHeight="1">
      <c r="A706" s="514"/>
      <c r="B706" s="450" t="s">
        <v>1301</v>
      </c>
      <c r="C706" s="3">
        <f>+$C$704+$G$705</f>
        <v>47129.860000000022</v>
      </c>
      <c r="D706" s="83"/>
      <c r="E706" s="4"/>
      <c r="F706" s="4">
        <v>0</v>
      </c>
      <c r="G706" s="6"/>
      <c r="H706" s="449"/>
      <c r="I706" s="4"/>
      <c r="J706" s="3"/>
      <c r="K706" s="449"/>
      <c r="L706" s="449" t="s">
        <v>153</v>
      </c>
      <c r="M706" s="449" t="str">
        <f>IF(L706="","",
IF(AX706="PT",VLOOKUP(L706,Foundation_Calc!$V$79:$X$113,VLOOKUP(AX706,Foundation_Calc!$I$10:$J$13,2,FALSE),0),
IF(AX706="K",VLOOKUP(L706,Foundation_Calc!$V$117:$X$151,VLOOKUP(AX706,Foundation_Calc!$I$10:$J$13,2,FALSE),0),"")))</f>
        <v>C3R</v>
      </c>
      <c r="N706" s="449" t="s">
        <v>124</v>
      </c>
      <c r="O706" s="449"/>
      <c r="P706" s="449"/>
      <c r="Q706" s="4"/>
      <c r="R706" s="6"/>
      <c r="S706" s="6"/>
      <c r="T706" s="4">
        <v>-35</v>
      </c>
      <c r="U706" s="4"/>
      <c r="V706" s="4"/>
      <c r="W706" s="9">
        <v>1.4</v>
      </c>
      <c r="X706" s="9"/>
      <c r="Y706" s="9"/>
      <c r="Z706" s="9"/>
      <c r="AA706" s="9"/>
      <c r="AB706" s="9"/>
      <c r="AC706" s="449" t="str">
        <f t="shared" si="88"/>
        <v>PH</v>
      </c>
      <c r="AD706" s="449"/>
      <c r="AE706" s="449"/>
      <c r="AF706" s="4"/>
      <c r="AG706" s="83"/>
      <c r="AH706" s="4"/>
      <c r="AI706" s="4"/>
      <c r="AJ706" s="449"/>
      <c r="AK706" s="449"/>
      <c r="AL706" s="449"/>
      <c r="AM706" s="449" t="s">
        <v>552</v>
      </c>
      <c r="AN706" s="10">
        <v>5.5</v>
      </c>
      <c r="AO706" s="9"/>
      <c r="AP706" s="9"/>
      <c r="AQ706" s="9"/>
      <c r="AR706" s="9"/>
      <c r="AS706" s="9"/>
      <c r="AT706" s="9">
        <f>+ab($T$706,$T$704,$T$708,$G$705,$G$707, 1*$F$706,1200)</f>
        <v>-8.3829644766031866</v>
      </c>
      <c r="AU706" s="428"/>
      <c r="AV706" s="428"/>
      <c r="AW706" s="449" t="str">
        <f>IF(C706&gt;0,VLOOKUP(C706,Foundation_Calc!$A$2:$C$13,3,1),
IF(J706&gt;0,VLOOKUP(J706,Foundation_Calc!$A$2:$C$13,3,1),""))</f>
        <v>Multi Soil</v>
      </c>
      <c r="AX706" s="449" t="str">
        <f>IF(C706&gt;0,VLOOKUP(C706,Foundation_Calc!$E$35:$G$65,3,1),
IF(J706&gt;0,VLOOKUP(J706,Foundation_Calc!$E$35:$G$65,3,1),""))</f>
        <v>PT</v>
      </c>
      <c r="AY706" s="10">
        <f>IF(L706="","",
IF(AX706="PT",VLOOKUP(L706,Foundation_Calc!$K$79:$R$113,VLOOKUP(AW706,Foundation_Calc!$I$2:$J$8,2,FALSE),0),
IF(AX706="K",VLOOKUP(L706,Foundation_Calc!$K$117:$R$151,VLOOKUP(AW706,Foundation_Calc!$I$2:$J$8,2,FALSE),0),"")))</f>
        <v>3.5</v>
      </c>
      <c r="AZ706" s="10" t="str">
        <f>IF(K706="","",
IF(AX706="PT",VLOOKUP(K706,Foundation_Calc!$K$79:$R$113,VLOOKUP(AW706,Foundation_Calc!$I$2:$J$8,2,FALSE),0),
IF(AX706="K",VLOOKUP(K706,Foundation_Calc!$K$117:$R$151,VLOOKUP(AW706,Foundation_Calc!$I$2:$J$8,2,FALSE),0),"")))</f>
        <v/>
      </c>
      <c r="BA706" s="495" t="str">
        <f t="shared" si="89"/>
        <v>ü</v>
      </c>
      <c r="BB706" s="495" t="str">
        <f t="shared" si="90"/>
        <v/>
      </c>
      <c r="BC706" s="495" t="str">
        <f t="shared" si="91"/>
        <v/>
      </c>
      <c r="BD706" s="513" t="str">
        <f>IF(AND(L706="",H706=""),"",
IF(H706="",Pole_Calc!A$9,
IF(H706="MP",Pole_Calc!A$10,
IF(H706="AnMP",Pole_Calc!A$11,
IF(H706="A",Pole_Calc!A$12,
IF(H706="S/A",Pole_Calc!A$13,
IF(H706="A/S",Pole_Calc!A$14,"Poner a mano")))))))</f>
        <v>App.7-V11I-P9.5.1.1</v>
      </c>
      <c r="BE706" s="429" t="s">
        <v>118</v>
      </c>
      <c r="BF706" s="289"/>
      <c r="BG706" s="289"/>
      <c r="BH706" s="290"/>
      <c r="BI706" s="289"/>
    </row>
    <row r="707" spans="1:61" ht="15.75" customHeight="1">
      <c r="A707" s="514"/>
      <c r="B707" s="450"/>
      <c r="C707" s="3"/>
      <c r="D707" s="83"/>
      <c r="E707" s="4"/>
      <c r="F707" s="4"/>
      <c r="G707" s="6">
        <v>55</v>
      </c>
      <c r="H707" s="449"/>
      <c r="I707" s="4"/>
      <c r="J707" s="3"/>
      <c r="K707" s="449"/>
      <c r="L707" s="449"/>
      <c r="M707" s="449" t="str">
        <f>IF(L707="","",
IF(AX707="PT",VLOOKUP(L707,Foundation_Calc!$V$79:$X$113,VLOOKUP(AX707,Foundation_Calc!$I$10:$J$13,2,FALSE),0),
IF(AX707="K",VLOOKUP(L707,Foundation_Calc!$V$117:$X$151,VLOOKUP(AX707,Foundation_Calc!$I$10:$J$13,2,FALSE),0),"")))</f>
        <v/>
      </c>
      <c r="N707" s="449"/>
      <c r="O707" s="449"/>
      <c r="P707" s="449"/>
      <c r="Q707" s="4"/>
      <c r="R707" s="6"/>
      <c r="S707" s="6"/>
      <c r="T707" s="4"/>
      <c r="U707" s="4"/>
      <c r="V707" s="4"/>
      <c r="W707" s="9"/>
      <c r="X707" s="9"/>
      <c r="Y707" s="9"/>
      <c r="Z707" s="9"/>
      <c r="AA707" s="9"/>
      <c r="AB707" s="9"/>
      <c r="AC707" s="449" t="str">
        <f t="shared" si="88"/>
        <v/>
      </c>
      <c r="AD707" s="449"/>
      <c r="AE707" s="449"/>
      <c r="AF707" s="4"/>
      <c r="AG707" s="83"/>
      <c r="AH707" s="4"/>
      <c r="AI707" s="4"/>
      <c r="AJ707" s="449"/>
      <c r="AK707" s="449"/>
      <c r="AL707" s="449"/>
      <c r="AM707" s="449"/>
      <c r="AN707" s="10"/>
      <c r="AO707" s="9"/>
      <c r="AP707" s="9"/>
      <c r="AQ707" s="9">
        <f>+FL_1($T$708,$T$706,$G$707,1200,9.28, 1*$F$708)</f>
        <v>0.39714735709090909</v>
      </c>
      <c r="AR707" s="9"/>
      <c r="AS707" s="9"/>
      <c r="AT707" s="9"/>
      <c r="AU707" s="428"/>
      <c r="AV707" s="428"/>
      <c r="AW707" s="449" t="str">
        <f>IF(C707&gt;0,VLOOKUP(C707,Foundation_Calc!$A$2:$C$13,3,1),
IF(J707&gt;0,VLOOKUP(J707,Foundation_Calc!$A$2:$C$13,3,1),""))</f>
        <v/>
      </c>
      <c r="AX707" s="449" t="str">
        <f>IF(C707&gt;0,VLOOKUP(C707,Foundation_Calc!$E$35:$G$65,3,1),
IF(J707&gt;0,VLOOKUP(J707,Foundation_Calc!$E$35:$G$65,3,1),""))</f>
        <v/>
      </c>
      <c r="AY707" s="10" t="str">
        <f>IF(L707="","",
IF(AX707="PT",VLOOKUP(L707,Foundation_Calc!$K$79:$R$113,VLOOKUP(AW707,Foundation_Calc!$I$2:$J$8,2,FALSE),0),
IF(AX707="K",VLOOKUP(L707,Foundation_Calc!$K$117:$R$151,VLOOKUP(AW707,Foundation_Calc!$I$2:$J$8,2,FALSE),0),"")))</f>
        <v/>
      </c>
      <c r="AZ707" s="10" t="str">
        <f>IF(K707="","",
IF(AX707="PT",VLOOKUP(K707,Foundation_Calc!$K$79:$R$113,VLOOKUP(AW707,Foundation_Calc!$I$2:$J$8,2,FALSE),0),
IF(AX707="K",VLOOKUP(K707,Foundation_Calc!$K$117:$R$151,VLOOKUP(AW707,Foundation_Calc!$I$2:$J$8,2,FALSE),0),"")))</f>
        <v/>
      </c>
      <c r="BA707" s="495" t="str">
        <f t="shared" si="89"/>
        <v/>
      </c>
      <c r="BB707" s="495" t="str">
        <f t="shared" si="90"/>
        <v/>
      </c>
      <c r="BC707" s="495" t="str">
        <f t="shared" si="91"/>
        <v/>
      </c>
      <c r="BD707" s="513" t="str">
        <f>IF(AND(L707="",H707=""),"",
IF(H707="",Pole_Calc!A$9,
IF(H707="MP",Pole_Calc!A$10,
IF(H707="AnMP",Pole_Calc!A$11,
IF(H707="A",Pole_Calc!A$12,
IF(H707="S/A",Pole_Calc!A$13,
IF(H707="A/S",Pole_Calc!A$14,"Poner a mano")))))))</f>
        <v/>
      </c>
      <c r="BE707" s="429" t="s">
        <v>118</v>
      </c>
      <c r="BF707" s="290"/>
      <c r="BG707" s="290"/>
      <c r="BH707" s="290"/>
      <c r="BI707" s="290"/>
    </row>
    <row r="708" spans="1:61" ht="15.75" customHeight="1">
      <c r="A708" s="514"/>
      <c r="B708" s="450" t="s">
        <v>1302</v>
      </c>
      <c r="C708" s="3">
        <f>+$C$706+$G$707</f>
        <v>47184.860000000022</v>
      </c>
      <c r="D708" s="83"/>
      <c r="E708" s="4"/>
      <c r="F708" s="4">
        <v>0</v>
      </c>
      <c r="G708" s="6"/>
      <c r="H708" s="449"/>
      <c r="I708" s="4"/>
      <c r="J708" s="3"/>
      <c r="K708" s="449"/>
      <c r="L708" s="449" t="s">
        <v>153</v>
      </c>
      <c r="M708" s="449" t="str">
        <f>IF(L708="","",
IF(AX708="PT",VLOOKUP(L708,Foundation_Calc!$V$79:$X$113,VLOOKUP(AX708,Foundation_Calc!$I$10:$J$13,2,FALSE),0),
IF(AX708="K",VLOOKUP(L708,Foundation_Calc!$V$117:$X$151,VLOOKUP(AX708,Foundation_Calc!$I$10:$J$13,2,FALSE),0),"")))</f>
        <v>C3R</v>
      </c>
      <c r="N708" s="449" t="s">
        <v>134</v>
      </c>
      <c r="O708" s="449"/>
      <c r="P708" s="449"/>
      <c r="Q708" s="4"/>
      <c r="R708" s="6"/>
      <c r="S708" s="6"/>
      <c r="T708" s="4">
        <v>35</v>
      </c>
      <c r="U708" s="4"/>
      <c r="V708" s="4"/>
      <c r="W708" s="9">
        <v>1.4</v>
      </c>
      <c r="X708" s="9"/>
      <c r="Y708" s="9"/>
      <c r="Z708" s="9"/>
      <c r="AA708" s="9"/>
      <c r="AB708" s="9"/>
      <c r="AC708" s="449" t="str">
        <f t="shared" si="88"/>
        <v>PHQ</v>
      </c>
      <c r="AD708" s="449"/>
      <c r="AE708" s="449"/>
      <c r="AF708" s="4"/>
      <c r="AG708" s="83"/>
      <c r="AH708" s="4"/>
      <c r="AI708" s="4"/>
      <c r="AJ708" s="449"/>
      <c r="AK708" s="449"/>
      <c r="AL708" s="449"/>
      <c r="AM708" s="449" t="s">
        <v>552</v>
      </c>
      <c r="AN708" s="10">
        <v>5.5</v>
      </c>
      <c r="AO708" s="9"/>
      <c r="AP708" s="9"/>
      <c r="AQ708" s="9"/>
      <c r="AR708" s="9"/>
      <c r="AS708" s="9"/>
      <c r="AT708" s="9">
        <f>+ab($T$708,$T$706,$T$710,$G$707,$G$709, 1*$F$708,1200)</f>
        <v>7.4955682572493121</v>
      </c>
      <c r="AU708" s="428"/>
      <c r="AV708" s="428"/>
      <c r="AW708" s="449" t="str">
        <f>IF(C708&gt;0,VLOOKUP(C708,Foundation_Calc!$A$2:$C$13,3,1),
IF(J708&gt;0,VLOOKUP(J708,Foundation_Calc!$A$2:$C$13,3,1),""))</f>
        <v>Multi Soil</v>
      </c>
      <c r="AX708" s="449" t="str">
        <f>IF(C708&gt;0,VLOOKUP(C708,Foundation_Calc!$E$35:$G$65,3,1),
IF(J708&gt;0,VLOOKUP(J708,Foundation_Calc!$E$35:$G$65,3,1),""))</f>
        <v>PT</v>
      </c>
      <c r="AY708" s="10">
        <f>IF(L708="","",
IF(AX708="PT",VLOOKUP(L708,Foundation_Calc!$K$79:$R$113,VLOOKUP(AW708,Foundation_Calc!$I$2:$J$8,2,FALSE),0),
IF(AX708="K",VLOOKUP(L708,Foundation_Calc!$K$117:$R$151,VLOOKUP(AW708,Foundation_Calc!$I$2:$J$8,2,FALSE),0),"")))</f>
        <v>3.5</v>
      </c>
      <c r="AZ708" s="10" t="str">
        <f>IF(K708="","",
IF(AX708="PT",VLOOKUP(K708,Foundation_Calc!$K$79:$R$113,VLOOKUP(AW708,Foundation_Calc!$I$2:$J$8,2,FALSE),0),
IF(AX708="K",VLOOKUP(K708,Foundation_Calc!$K$117:$R$151,VLOOKUP(AW708,Foundation_Calc!$I$2:$J$8,2,FALSE),0),"")))</f>
        <v/>
      </c>
      <c r="BA708" s="495" t="str">
        <f t="shared" si="89"/>
        <v>ü</v>
      </c>
      <c r="BB708" s="495" t="str">
        <f t="shared" si="90"/>
        <v/>
      </c>
      <c r="BC708" s="495" t="str">
        <f t="shared" si="91"/>
        <v/>
      </c>
      <c r="BD708" s="513" t="str">
        <f>IF(AND(L708="",H708=""),"",
IF(H708="",Pole_Calc!A$9,
IF(H708="MP",Pole_Calc!A$10,
IF(H708="AnMP",Pole_Calc!A$11,
IF(H708="A",Pole_Calc!A$12,
IF(H708="S/A",Pole_Calc!A$13,
IF(H708="A/S",Pole_Calc!A$14,"Poner a mano")))))))</f>
        <v>App.7-V11I-P9.5.1.1</v>
      </c>
      <c r="BE708" s="429" t="s">
        <v>118</v>
      </c>
      <c r="BF708" s="289"/>
      <c r="BG708" s="289"/>
      <c r="BH708" s="290"/>
      <c r="BI708" s="289"/>
    </row>
    <row r="709" spans="1:61" ht="15.75" customHeight="1">
      <c r="A709" s="518"/>
      <c r="B709" s="450"/>
      <c r="C709" s="3"/>
      <c r="D709" s="83"/>
      <c r="E709" s="4"/>
      <c r="F709" s="4"/>
      <c r="G709" s="6">
        <v>55</v>
      </c>
      <c r="H709" s="449"/>
      <c r="I709" s="4"/>
      <c r="J709" s="3"/>
      <c r="K709" s="449"/>
      <c r="L709" s="449"/>
      <c r="M709" s="449" t="str">
        <f>IF(L709="","",
IF(AX709="PT",VLOOKUP(L709,Foundation_Calc!$V$79:$X$113,VLOOKUP(AX709,Foundation_Calc!$I$10:$J$13,2,FALSE),0),
IF(AX709="K",VLOOKUP(L709,Foundation_Calc!$V$117:$X$151,VLOOKUP(AX709,Foundation_Calc!$I$10:$J$13,2,FALSE),0),"")))</f>
        <v/>
      </c>
      <c r="N709" s="449"/>
      <c r="O709" s="561"/>
      <c r="P709" s="449"/>
      <c r="Q709" s="4"/>
      <c r="R709" s="6"/>
      <c r="S709" s="6"/>
      <c r="T709" s="4"/>
      <c r="U709" s="4"/>
      <c r="V709" s="4"/>
      <c r="W709" s="9"/>
      <c r="X709" s="9"/>
      <c r="Y709" s="9"/>
      <c r="Z709" s="9"/>
      <c r="AA709" s="9"/>
      <c r="AB709" s="9"/>
      <c r="AC709" s="449" t="str">
        <f t="shared" si="88"/>
        <v/>
      </c>
      <c r="AD709" s="449"/>
      <c r="AE709" s="449"/>
      <c r="AF709" s="4"/>
      <c r="AG709" s="83"/>
      <c r="AH709" s="4"/>
      <c r="AI709" s="4"/>
      <c r="AJ709" s="449"/>
      <c r="AK709" s="449"/>
      <c r="AL709" s="449"/>
      <c r="AM709" s="449"/>
      <c r="AN709" s="10"/>
      <c r="AO709" s="9"/>
      <c r="AP709" s="9"/>
      <c r="AQ709" s="9">
        <f>+FL_1($T$710,$T$708,$G$709,1200,9.28, 1*$F$710)</f>
        <v>0.39714735709090898</v>
      </c>
      <c r="AR709" s="9"/>
      <c r="AS709" s="9"/>
      <c r="AT709" s="9"/>
      <c r="AU709" s="428"/>
      <c r="AV709" s="428"/>
      <c r="AW709" s="449" t="str">
        <f>IF(C709&gt;0,VLOOKUP(C709,Foundation_Calc!$A$2:$C$13,3,1),
IF(J709&gt;0,VLOOKUP(J709,Foundation_Calc!$A$2:$C$13,3,1),""))</f>
        <v/>
      </c>
      <c r="AX709" s="449" t="str">
        <f>IF(C709&gt;0,VLOOKUP(C709,Foundation_Calc!$E$35:$G$65,3,1),
IF(J709&gt;0,VLOOKUP(J709,Foundation_Calc!$E$35:$G$65,3,1),""))</f>
        <v/>
      </c>
      <c r="AY709" s="10" t="str">
        <f>IF(L709="","",
IF(AX709="PT",VLOOKUP(L709,Foundation_Calc!$K$79:$R$113,VLOOKUP(AW709,Foundation_Calc!$I$2:$J$8,2,FALSE),0),
IF(AX709="K",VLOOKUP(L709,Foundation_Calc!$K$117:$R$151,VLOOKUP(AW709,Foundation_Calc!$I$2:$J$8,2,FALSE),0),"")))</f>
        <v/>
      </c>
      <c r="AZ709" s="10" t="str">
        <f>IF(K709="","",
IF(AX709="PT",VLOOKUP(K709,Foundation_Calc!$K$79:$R$113,VLOOKUP(AW709,Foundation_Calc!$I$2:$J$8,2,FALSE),0),
IF(AX709="K",VLOOKUP(K709,Foundation_Calc!$K$117:$R$151,VLOOKUP(AW709,Foundation_Calc!$I$2:$J$8,2,FALSE),0),"")))</f>
        <v/>
      </c>
      <c r="BA709" s="495" t="str">
        <f t="shared" ref="BA709:BA734" si="92">IF(AY709="","",IF(AY709&gt;0,"ü",""))</f>
        <v/>
      </c>
      <c r="BB709" s="495" t="str">
        <f t="shared" ref="BB709:BB734" si="93">IF(AZ709="","",IF(AZ709&gt;0,"ü",""))</f>
        <v/>
      </c>
      <c r="BC709" s="495" t="str">
        <f t="shared" ref="BC709:BC734" si="94">IF(M709="","",IF(M709="U.S.","ü",IF(M709="U.S. N.D.","ü","")))</f>
        <v/>
      </c>
      <c r="BD709" s="513" t="str">
        <f>IF(AND(L709="",H709=""),"",
IF(H709="",Pole_Calc!A$9,
IF(H709="MP",Pole_Calc!A$10,
IF(H709="AnMP",Pole_Calc!A$11,
IF(H709="A",Pole_Calc!A$12,
IF(H709="S/A",Pole_Calc!A$13,
IF(H709="A/S",Pole_Calc!A$14,"Poner a mano")))))))</f>
        <v/>
      </c>
      <c r="BE709" s="429" t="s">
        <v>118</v>
      </c>
      <c r="BF709" s="290"/>
      <c r="BG709" s="290"/>
      <c r="BH709" s="290"/>
      <c r="BI709" s="290"/>
    </row>
    <row r="710" spans="1:61" ht="15.75" customHeight="1">
      <c r="A710" s="518"/>
      <c r="B710" s="450" t="s">
        <v>1303</v>
      </c>
      <c r="C710" s="3">
        <f>+$C$708+$G$709</f>
        <v>47239.860000000022</v>
      </c>
      <c r="D710" s="83"/>
      <c r="E710" s="4"/>
      <c r="F710" s="4">
        <v>0</v>
      </c>
      <c r="G710" s="6"/>
      <c r="H710" s="449"/>
      <c r="I710" s="4"/>
      <c r="J710" s="3"/>
      <c r="K710" s="449"/>
      <c r="L710" s="449" t="s">
        <v>153</v>
      </c>
      <c r="M710" s="449" t="str">
        <f>IF(L710="","",
IF(AX710="PT",VLOOKUP(L710,Foundation_Calc!$V$79:$X$113,VLOOKUP(AX710,Foundation_Calc!$I$10:$J$13,2,FALSE),0),
IF(AX710="K",VLOOKUP(L710,Foundation_Calc!$V$117:$X$151,VLOOKUP(AX710,Foundation_Calc!$I$10:$J$13,2,FALSE),0),"")))</f>
        <v>C3R</v>
      </c>
      <c r="N710" s="449" t="s">
        <v>124</v>
      </c>
      <c r="O710" s="449"/>
      <c r="P710" s="449"/>
      <c r="Q710" s="4"/>
      <c r="R710" s="6"/>
      <c r="S710" s="6"/>
      <c r="T710" s="4">
        <v>-35</v>
      </c>
      <c r="U710" s="4"/>
      <c r="V710" s="4"/>
      <c r="W710" s="9">
        <v>1.4</v>
      </c>
      <c r="X710" s="9"/>
      <c r="Y710" s="9"/>
      <c r="Z710" s="9"/>
      <c r="AA710" s="9"/>
      <c r="AB710" s="9"/>
      <c r="AC710" s="449" t="str">
        <f t="shared" si="88"/>
        <v>PHQ</v>
      </c>
      <c r="AD710" s="449"/>
      <c r="AE710" s="449"/>
      <c r="AF710" s="4"/>
      <c r="AG710" s="83"/>
      <c r="AH710" s="4"/>
      <c r="AI710" s="4"/>
      <c r="AJ710" s="449"/>
      <c r="AK710" s="449"/>
      <c r="AL710" s="449"/>
      <c r="AM710" s="449" t="s">
        <v>552</v>
      </c>
      <c r="AN710" s="10">
        <v>5.5</v>
      </c>
      <c r="AO710" s="9"/>
      <c r="AP710" s="9"/>
      <c r="AQ710" s="9"/>
      <c r="AR710" s="9"/>
      <c r="AS710" s="9"/>
      <c r="AT710" s="9">
        <f>+ab($T$710,$T$708,$T$712,$G$709,$G$711, 1*$F$710,1200)</f>
        <v>-7.495600280563588</v>
      </c>
      <c r="AU710" s="428"/>
      <c r="AV710" s="428"/>
      <c r="AW710" s="449" t="str">
        <f>IF(C710&gt;0,VLOOKUP(C710,Foundation_Calc!$A$2:$C$13,3,1),
IF(J710&gt;0,VLOOKUP(J710,Foundation_Calc!$A$2:$C$13,3,1),""))</f>
        <v>Multi Soil</v>
      </c>
      <c r="AX710" s="449" t="str">
        <f>IF(C710&gt;0,VLOOKUP(C710,Foundation_Calc!$E$35:$G$65,3,1),
IF(J710&gt;0,VLOOKUP(J710,Foundation_Calc!$E$35:$G$65,3,1),""))</f>
        <v>PT</v>
      </c>
      <c r="AY710" s="10">
        <f>IF(L710="","",
IF(AX710="PT",VLOOKUP(L710,Foundation_Calc!$K$79:$R$113,VLOOKUP(AW710,Foundation_Calc!$I$2:$J$8,2,FALSE),0),
IF(AX710="K",VLOOKUP(L710,Foundation_Calc!$K$117:$R$151,VLOOKUP(AW710,Foundation_Calc!$I$2:$J$8,2,FALSE),0),"")))</f>
        <v>3.5</v>
      </c>
      <c r="AZ710" s="10" t="str">
        <f>IF(K710="","",
IF(AX710="PT",VLOOKUP(K710,Foundation_Calc!$K$79:$R$113,VLOOKUP(AW710,Foundation_Calc!$I$2:$J$8,2,FALSE),0),
IF(AX710="K",VLOOKUP(K710,Foundation_Calc!$K$117:$R$151,VLOOKUP(AW710,Foundation_Calc!$I$2:$J$8,2,FALSE),0),"")))</f>
        <v/>
      </c>
      <c r="BA710" s="495" t="str">
        <f t="shared" si="92"/>
        <v>ü</v>
      </c>
      <c r="BB710" s="495" t="str">
        <f t="shared" si="93"/>
        <v/>
      </c>
      <c r="BC710" s="495" t="str">
        <f t="shared" si="94"/>
        <v/>
      </c>
      <c r="BD710" s="513" t="str">
        <f>IF(AND(L710="",H710=""),"",
IF(H710="",Pole_Calc!A$9,
IF(H710="MP",Pole_Calc!A$10,
IF(H710="AnMP",Pole_Calc!A$11,
IF(H710="A",Pole_Calc!A$12,
IF(H710="S/A",Pole_Calc!A$13,
IF(H710="A/S",Pole_Calc!A$14,"Poner a mano")))))))</f>
        <v>App.7-V11I-P9.5.1.1</v>
      </c>
      <c r="BE710" s="429" t="s">
        <v>118</v>
      </c>
      <c r="BF710" s="289"/>
      <c r="BG710" s="289"/>
      <c r="BH710" s="290"/>
      <c r="BI710" s="289"/>
    </row>
    <row r="711" spans="1:61" ht="15.75" customHeight="1">
      <c r="A711" s="571"/>
      <c r="B711" s="450"/>
      <c r="C711" s="3"/>
      <c r="D711" s="83"/>
      <c r="E711" s="4"/>
      <c r="F711" s="4"/>
      <c r="G711" s="6">
        <v>55</v>
      </c>
      <c r="H711" s="449"/>
      <c r="I711" s="4"/>
      <c r="J711" s="3"/>
      <c r="K711" s="449"/>
      <c r="L711" s="449"/>
      <c r="M711" s="449" t="str">
        <f>IF(L711="","",
IF(AX711="PT",VLOOKUP(L711,Foundation_Calc!$V$79:$X$113,VLOOKUP(AX711,Foundation_Calc!$I$10:$J$13,2,FALSE),0),
IF(AX711="K",VLOOKUP(L711,Foundation_Calc!$V$117:$X$151,VLOOKUP(AX711,Foundation_Calc!$I$10:$J$13,2,FALSE),0),"")))</f>
        <v/>
      </c>
      <c r="N711" s="449"/>
      <c r="O711" s="449"/>
      <c r="P711" s="449"/>
      <c r="Q711" s="4"/>
      <c r="R711" s="6"/>
      <c r="S711" s="6"/>
      <c r="T711" s="4"/>
      <c r="U711" s="4"/>
      <c r="V711" s="4"/>
      <c r="W711" s="9"/>
      <c r="X711" s="9"/>
      <c r="Y711" s="9"/>
      <c r="Z711" s="9"/>
      <c r="AA711" s="9"/>
      <c r="AB711" s="9"/>
      <c r="AC711" s="449" t="str">
        <f t="shared" si="88"/>
        <v/>
      </c>
      <c r="AD711" s="449"/>
      <c r="AE711" s="449"/>
      <c r="AF711" s="4"/>
      <c r="AG711" s="83"/>
      <c r="AH711" s="4"/>
      <c r="AI711" s="4"/>
      <c r="AJ711" s="449"/>
      <c r="AK711" s="449"/>
      <c r="AL711" s="449"/>
      <c r="AM711" s="449"/>
      <c r="AN711" s="10"/>
      <c r="AO711" s="9"/>
      <c r="AP711" s="9"/>
      <c r="AQ711" s="9">
        <f>+FL_2($T$712,$T$710,$G$711,1200,9.28, 1*$F$712)</f>
        <v>-0.39714735709090898</v>
      </c>
      <c r="AR711" s="9"/>
      <c r="AS711" s="9"/>
      <c r="AT711" s="9"/>
      <c r="AU711" s="428"/>
      <c r="AV711" s="428"/>
      <c r="AW711" s="449" t="str">
        <f>IF(C711&gt;0,VLOOKUP(C711,Foundation_Calc!$A$2:$C$13,3,1),
IF(J711&gt;0,VLOOKUP(J711,Foundation_Calc!$A$2:$C$13,3,1),""))</f>
        <v/>
      </c>
      <c r="AX711" s="449" t="str">
        <f>IF(C711&gt;0,VLOOKUP(C711,Foundation_Calc!$E$35:$G$65,3,1),
IF(J711&gt;0,VLOOKUP(J711,Foundation_Calc!$E$35:$G$65,3,1),""))</f>
        <v/>
      </c>
      <c r="AY711" s="10" t="str">
        <f>IF(L711="","",
IF(AX711="PT",VLOOKUP(L711,Foundation_Calc!$K$79:$R$113,VLOOKUP(AW711,Foundation_Calc!$I$2:$J$8,2,FALSE),0),
IF(AX711="K",VLOOKUP(L711,Foundation_Calc!$K$117:$R$151,VLOOKUP(AW711,Foundation_Calc!$I$2:$J$8,2,FALSE),0),"")))</f>
        <v/>
      </c>
      <c r="AZ711" s="10" t="str">
        <f>IF(K711="","",
IF(AX711="PT",VLOOKUP(K711,Foundation_Calc!$K$79:$R$113,VLOOKUP(AW711,Foundation_Calc!$I$2:$J$8,2,FALSE),0),
IF(AX711="K",VLOOKUP(K711,Foundation_Calc!$K$117:$R$151,VLOOKUP(AW711,Foundation_Calc!$I$2:$J$8,2,FALSE),0),"")))</f>
        <v/>
      </c>
      <c r="BA711" s="495" t="str">
        <f t="shared" si="92"/>
        <v/>
      </c>
      <c r="BB711" s="495" t="str">
        <f t="shared" si="93"/>
        <v/>
      </c>
      <c r="BC711" s="495" t="str">
        <f t="shared" si="94"/>
        <v/>
      </c>
      <c r="BD711" s="513" t="str">
        <f>IF(AND(L711="",H711=""),"",
IF(H711="",Pole_Calc!A$9,
IF(H711="MP",Pole_Calc!A$10,
IF(H711="AnMP",Pole_Calc!A$11,
IF(H711="A",Pole_Calc!A$12,
IF(H711="S/A",Pole_Calc!A$13,
IF(H711="A/S",Pole_Calc!A$14,"Poner a mano")))))))</f>
        <v/>
      </c>
      <c r="BE711" s="429" t="s">
        <v>118</v>
      </c>
      <c r="BF711" s="290"/>
      <c r="BG711" s="290"/>
      <c r="BH711" s="290"/>
      <c r="BI711" s="290"/>
    </row>
    <row r="712" spans="1:61" ht="15.75" customHeight="1">
      <c r="A712" s="571"/>
      <c r="B712" s="450" t="s">
        <v>1304</v>
      </c>
      <c r="C712" s="3">
        <f>+$C$710+$G$711</f>
        <v>47294.860000000022</v>
      </c>
      <c r="D712" s="83"/>
      <c r="E712" s="4"/>
      <c r="F712" s="4">
        <v>0</v>
      </c>
      <c r="G712" s="6"/>
      <c r="H712" s="449"/>
      <c r="I712" s="4"/>
      <c r="J712" s="3"/>
      <c r="K712" s="449"/>
      <c r="L712" s="449" t="s">
        <v>153</v>
      </c>
      <c r="M712" s="449" t="str">
        <f>IF(L712="","",
IF(AX712="PT",VLOOKUP(L712,Foundation_Calc!$V$79:$X$113,VLOOKUP(AX712,Foundation_Calc!$I$10:$J$13,2,FALSE),0),
IF(AX712="K",VLOOKUP(L712,Foundation_Calc!$V$117:$X$151,VLOOKUP(AX712,Foundation_Calc!$I$10:$J$13,2,FALSE),0),"")))</f>
        <v>C3R</v>
      </c>
      <c r="N712" s="449" t="s">
        <v>134</v>
      </c>
      <c r="O712" s="449"/>
      <c r="P712" s="449"/>
      <c r="Q712" s="4"/>
      <c r="R712" s="6"/>
      <c r="S712" s="6"/>
      <c r="T712" s="4">
        <v>35</v>
      </c>
      <c r="U712" s="4"/>
      <c r="V712" s="4"/>
      <c r="W712" s="9">
        <v>1.4</v>
      </c>
      <c r="X712" s="9"/>
      <c r="Y712" s="9"/>
      <c r="Z712" s="9"/>
      <c r="AA712" s="9"/>
      <c r="AB712" s="9"/>
      <c r="AC712" s="449" t="str">
        <f t="shared" si="88"/>
        <v>PHQ</v>
      </c>
      <c r="AD712" s="449"/>
      <c r="AE712" s="449"/>
      <c r="AF712" s="4"/>
      <c r="AG712" s="83"/>
      <c r="AH712" s="4"/>
      <c r="AI712" s="4"/>
      <c r="AJ712" s="449"/>
      <c r="AK712" s="449"/>
      <c r="AL712" s="449"/>
      <c r="AM712" s="449" t="s">
        <v>552</v>
      </c>
      <c r="AN712" s="10">
        <v>5.5</v>
      </c>
      <c r="AO712" s="9"/>
      <c r="AP712" s="9"/>
      <c r="AQ712" s="9"/>
      <c r="AR712" s="9"/>
      <c r="AS712" s="9"/>
      <c r="AT712" s="9">
        <f>+ab($T$712,$T$710,$T$714,$G$711,$G$713, 1*$F$712,1200)</f>
        <v>7.4275732076367458</v>
      </c>
      <c r="AU712" s="428"/>
      <c r="AV712" s="428"/>
      <c r="AW712" s="449" t="str">
        <f>IF(C712&gt;0,VLOOKUP(C712,Foundation_Calc!$A$2:$C$13,3,1),
IF(J712&gt;0,VLOOKUP(J712,Foundation_Calc!$A$2:$C$13,3,1),""))</f>
        <v>Multi Soil</v>
      </c>
      <c r="AX712" s="449" t="str">
        <f>IF(C712&gt;0,VLOOKUP(C712,Foundation_Calc!$E$35:$G$65,3,1),
IF(J712&gt;0,VLOOKUP(J712,Foundation_Calc!$E$35:$G$65,3,1),""))</f>
        <v>PT</v>
      </c>
      <c r="AY712" s="10">
        <f>IF(L712="","",
IF(AX712="PT",VLOOKUP(L712,Foundation_Calc!$K$79:$R$113,VLOOKUP(AW712,Foundation_Calc!$I$2:$J$8,2,FALSE),0),
IF(AX712="K",VLOOKUP(L712,Foundation_Calc!$K$117:$R$151,VLOOKUP(AW712,Foundation_Calc!$I$2:$J$8,2,FALSE),0),"")))</f>
        <v>3.5</v>
      </c>
      <c r="AZ712" s="10" t="str">
        <f>IF(K712="","",
IF(AX712="PT",VLOOKUP(K712,Foundation_Calc!$K$79:$R$113,VLOOKUP(AW712,Foundation_Calc!$I$2:$J$8,2,FALSE),0),
IF(AX712="K",VLOOKUP(K712,Foundation_Calc!$K$117:$R$151,VLOOKUP(AW712,Foundation_Calc!$I$2:$J$8,2,FALSE),0),"")))</f>
        <v/>
      </c>
      <c r="BA712" s="495" t="str">
        <f t="shared" si="92"/>
        <v>ü</v>
      </c>
      <c r="BB712" s="495" t="str">
        <f t="shared" si="93"/>
        <v/>
      </c>
      <c r="BC712" s="495" t="str">
        <f t="shared" si="94"/>
        <v/>
      </c>
      <c r="BD712" s="513" t="str">
        <f>IF(AND(L712="",H712=""),"",
IF(H712="",Pole_Calc!A$9,
IF(H712="MP",Pole_Calc!A$10,
IF(H712="AnMP",Pole_Calc!A$11,
IF(H712="A",Pole_Calc!A$12,
IF(H712="S/A",Pole_Calc!A$13,
IF(H712="A/S",Pole_Calc!A$14,"Poner a mano")))))))</f>
        <v>App.7-V11I-P9.5.1.1</v>
      </c>
      <c r="BE712" s="429" t="s">
        <v>118</v>
      </c>
      <c r="BF712" s="289"/>
      <c r="BG712" s="289"/>
      <c r="BH712" s="290"/>
      <c r="BI712" s="289"/>
    </row>
    <row r="713" spans="1:61" ht="15.75" customHeight="1">
      <c r="A713" s="571"/>
      <c r="B713" s="450"/>
      <c r="C713" s="3"/>
      <c r="D713" s="83"/>
      <c r="E713" s="4"/>
      <c r="F713" s="4"/>
      <c r="G713" s="6">
        <v>54</v>
      </c>
      <c r="H713" s="449"/>
      <c r="I713" s="4"/>
      <c r="J713" s="3">
        <f>C714-7.5</f>
        <v>47341.360000000022</v>
      </c>
      <c r="K713" s="449" t="s">
        <v>117</v>
      </c>
      <c r="L713" s="449"/>
      <c r="M713" s="449" t="str">
        <f>IF(L713="","",
IF(AX713="PT",VLOOKUP(L713,Foundation_Calc!$V$79:$X$113,VLOOKUP(AX713,Foundation_Calc!$I$10:$J$13,2,FALSE),0),
IF(AX713="K",VLOOKUP(L713,Foundation_Calc!$V$117:$X$151,VLOOKUP(AX713,Foundation_Calc!$I$10:$J$13,2,FALSE),0),"")))</f>
        <v/>
      </c>
      <c r="N713" s="449"/>
      <c r="O713" s="449"/>
      <c r="P713" s="449"/>
      <c r="Q713" s="4"/>
      <c r="R713" s="6"/>
      <c r="S713" s="6"/>
      <c r="T713" s="4"/>
      <c r="U713" s="4"/>
      <c r="V713" s="4"/>
      <c r="W713" s="9"/>
      <c r="X713" s="9"/>
      <c r="Y713" s="9"/>
      <c r="Z713" s="9"/>
      <c r="AA713" s="9"/>
      <c r="AB713" s="9"/>
      <c r="AC713" s="449" t="str">
        <f t="shared" si="88"/>
        <v/>
      </c>
      <c r="AD713" s="449"/>
      <c r="AE713" s="449"/>
      <c r="AF713" s="4"/>
      <c r="AG713" s="83"/>
      <c r="AH713" s="4"/>
      <c r="AI713" s="4"/>
      <c r="AJ713" s="449"/>
      <c r="AK713" s="449"/>
      <c r="AL713" s="449"/>
      <c r="AM713" s="449"/>
      <c r="AN713" s="10"/>
      <c r="AO713" s="9"/>
      <c r="AP713" s="9"/>
      <c r="AQ713" s="9">
        <f>+FL_2($T$714,$T$712,$G$713,1200,9.28, 1*$F$714)</f>
        <v>-0.39052552059259255</v>
      </c>
      <c r="AR713" s="9"/>
      <c r="AS713" s="9"/>
      <c r="AT713" s="9"/>
      <c r="AU713" s="428"/>
      <c r="AV713" s="428"/>
      <c r="AW713" s="449" t="str">
        <f>IF(C713&gt;0,VLOOKUP(C713,Foundation_Calc!$A$2:$C$13,3,1),
IF(J713&gt;0,VLOOKUP(J713,Foundation_Calc!$A$2:$C$13,3,1),""))</f>
        <v>Multi Soil</v>
      </c>
      <c r="AX713" s="449" t="str">
        <f>IF(C713&gt;0,VLOOKUP(C713,Foundation_Calc!$E$35:$G$65,3,1),
IF(J713&gt;0,VLOOKUP(J713,Foundation_Calc!$E$35:$G$65,3,1),""))</f>
        <v>PT</v>
      </c>
      <c r="AY713" s="10" t="str">
        <f>IF(L713="","",
IF(AX713="PT",VLOOKUP(L713,Foundation_Calc!$K$79:$R$113,VLOOKUP(AW713,Foundation_Calc!$I$2:$J$8,2,FALSE),0),
IF(AX713="K",VLOOKUP(L713,Foundation_Calc!$K$117:$R$151,VLOOKUP(AW713,Foundation_Calc!$I$2:$J$8,2,FALSE),0),"")))</f>
        <v/>
      </c>
      <c r="AZ713" s="10">
        <f>IF(K713="","",
IF(AX713="PT",VLOOKUP(K713,Foundation_Calc!$K$79:$R$113,VLOOKUP(AW713,Foundation_Calc!$I$2:$J$8,2,FALSE),0),
IF(AX713="K",VLOOKUP(K713,Foundation_Calc!$K$117:$R$151,VLOOKUP(AW713,Foundation_Calc!$I$2:$J$8,2,FALSE),0),"")))</f>
        <v>3.9</v>
      </c>
      <c r="BA713" s="495" t="str">
        <f t="shared" si="92"/>
        <v/>
      </c>
      <c r="BB713" s="495" t="str">
        <f t="shared" si="93"/>
        <v>ü</v>
      </c>
      <c r="BC713" s="495" t="str">
        <f t="shared" si="94"/>
        <v/>
      </c>
      <c r="BD713" s="513" t="str">
        <f>IF(AND(L713="",H713=""),"",
IF(H713="",Pole_Calc!A$9,
IF(H713="MP",Pole_Calc!A$10,
IF(H713="AnMP",Pole_Calc!A$11,
IF(H713="A",Pole_Calc!A$12,
IF(H713="S/A",Pole_Calc!A$13,
IF(H713="A/S",Pole_Calc!A$14,"Poner a mano")))))))</f>
        <v/>
      </c>
      <c r="BE713" s="429" t="s">
        <v>118</v>
      </c>
      <c r="BF713" s="290"/>
      <c r="BG713" s="290"/>
      <c r="BH713" s="290"/>
      <c r="BI713" s="290"/>
    </row>
    <row r="714" spans="1:61" ht="15.75" customHeight="1">
      <c r="A714" s="571"/>
      <c r="B714" s="450" t="s">
        <v>1305</v>
      </c>
      <c r="C714" s="3">
        <f>+$C$712+$G$713</f>
        <v>47348.860000000022</v>
      </c>
      <c r="D714" s="83"/>
      <c r="E714" s="4"/>
      <c r="F714" s="4">
        <v>0</v>
      </c>
      <c r="G714" s="6"/>
      <c r="H714" s="449" t="s">
        <v>121</v>
      </c>
      <c r="I714" s="4" t="s">
        <v>122</v>
      </c>
      <c r="J714" s="3"/>
      <c r="K714" s="449"/>
      <c r="L714" s="449" t="s">
        <v>151</v>
      </c>
      <c r="M714" s="449" t="str">
        <f>IF(L714="","",
IF(AX714="PT",VLOOKUP(L714,Foundation_Calc!$V$79:$X$113,VLOOKUP(AX714,Foundation_Calc!$I$10:$J$13,2,FALSE),0),
IF(AX714="K",VLOOKUP(L714,Foundation_Calc!$V$117:$X$151,VLOOKUP(AX714,Foundation_Calc!$I$10:$J$13,2,FALSE),0),"")))</f>
        <v>C4R</v>
      </c>
      <c r="N714" s="449" t="s">
        <v>124</v>
      </c>
      <c r="O714" s="449"/>
      <c r="P714" s="449"/>
      <c r="Q714" s="4"/>
      <c r="R714" s="6"/>
      <c r="S714" s="6"/>
      <c r="T714" s="4">
        <v>-35</v>
      </c>
      <c r="U714" s="4"/>
      <c r="V714" s="4"/>
      <c r="W714" s="9">
        <v>1.4</v>
      </c>
      <c r="X714" s="9"/>
      <c r="Y714" s="9"/>
      <c r="Z714" s="9"/>
      <c r="AA714" s="9"/>
      <c r="AB714" s="9"/>
      <c r="AC714" s="449" t="str">
        <f t="shared" si="88"/>
        <v>PHQ</v>
      </c>
      <c r="AD714" s="449"/>
      <c r="AE714" s="449"/>
      <c r="AF714" s="4"/>
      <c r="AG714" s="83"/>
      <c r="AH714" s="4"/>
      <c r="AI714" s="4"/>
      <c r="AJ714" s="449"/>
      <c r="AK714" s="449"/>
      <c r="AL714" s="449"/>
      <c r="AM714" s="449" t="s">
        <v>552</v>
      </c>
      <c r="AN714" s="10">
        <v>5.5</v>
      </c>
      <c r="AO714" s="9"/>
      <c r="AP714" s="9"/>
      <c r="AQ714" s="9"/>
      <c r="AR714" s="9"/>
      <c r="AS714" s="9"/>
      <c r="AT714" s="9">
        <f>+ab($T$714,$T$712,$U$716,$G$713,$G$715, 1*$F$714,1200)</f>
        <v>-7.4276043699443095</v>
      </c>
      <c r="AU714" s="428"/>
      <c r="AV714" s="428"/>
      <c r="AW714" s="449" t="str">
        <f>IF(C714&gt;0,VLOOKUP(C714,Foundation_Calc!$A$2:$C$13,3,1),
IF(J714&gt;0,VLOOKUP(J714,Foundation_Calc!$A$2:$C$13,3,1),""))</f>
        <v>Multi Soil</v>
      </c>
      <c r="AX714" s="449" t="str">
        <f>IF(C714&gt;0,VLOOKUP(C714,Foundation_Calc!$E$35:$G$65,3,1),
IF(J714&gt;0,VLOOKUP(J714,Foundation_Calc!$E$35:$G$65,3,1),""))</f>
        <v>PT</v>
      </c>
      <c r="AY714" s="10">
        <f>IF(L714="","",
IF(AX714="PT",VLOOKUP(L714,Foundation_Calc!$K$79:$R$113,VLOOKUP(AW714,Foundation_Calc!$I$2:$J$8,2,FALSE),0),
IF(AX714="K",VLOOKUP(L714,Foundation_Calc!$K$117:$R$151,VLOOKUP(AW714,Foundation_Calc!$I$2:$J$8,2,FALSE),0),"")))</f>
        <v>3.5</v>
      </c>
      <c r="AZ714" s="10" t="str">
        <f>IF(K714="","",
IF(AX714="PT",VLOOKUP(K714,Foundation_Calc!$K$79:$R$113,VLOOKUP(AW714,Foundation_Calc!$I$2:$J$8,2,FALSE),0),
IF(AX714="K",VLOOKUP(K714,Foundation_Calc!$K$117:$R$151,VLOOKUP(AW714,Foundation_Calc!$I$2:$J$8,2,FALSE),0),"")))</f>
        <v/>
      </c>
      <c r="BA714" s="495" t="str">
        <f t="shared" si="92"/>
        <v>ü</v>
      </c>
      <c r="BB714" s="495" t="str">
        <f t="shared" si="93"/>
        <v/>
      </c>
      <c r="BC714" s="495" t="str">
        <f t="shared" si="94"/>
        <v/>
      </c>
      <c r="BD714" s="513" t="str">
        <f>IF(AND(L714="",H714=""),"",
IF(H714="",Pole_Calc!A$9,
IF(H714="MP",Pole_Calc!A$10,
IF(H714="AnMP",Pole_Calc!A$11,
IF(H714="A",Pole_Calc!A$12,
IF(H714="S/A",Pole_Calc!A$13,
IF(H714="A/S",Pole_Calc!A$14,"Poner a mano")))))))</f>
        <v>App.7-V11I-P9.5.1.6</v>
      </c>
      <c r="BE714" s="429" t="s">
        <v>118</v>
      </c>
      <c r="BF714" s="289"/>
      <c r="BG714" s="289"/>
      <c r="BH714" s="290"/>
      <c r="BI714" s="289"/>
    </row>
    <row r="715" spans="1:61" ht="15.75" customHeight="1">
      <c r="A715" s="514"/>
      <c r="B715" s="450"/>
      <c r="C715" s="3"/>
      <c r="D715" s="83"/>
      <c r="E715" s="4"/>
      <c r="F715" s="4"/>
      <c r="G715" s="6">
        <v>55</v>
      </c>
      <c r="H715" s="449"/>
      <c r="I715" s="4"/>
      <c r="J715" s="3"/>
      <c r="K715" s="449"/>
      <c r="L715" s="449"/>
      <c r="M715" s="449" t="str">
        <f>IF(L715="","",
IF(AX715="PT",VLOOKUP(L715,Foundation_Calc!$V$79:$X$113,VLOOKUP(AX715,Foundation_Calc!$I$10:$J$13,2,FALSE),0),
IF(AX715="K",VLOOKUP(L715,Foundation_Calc!$V$117:$X$151,VLOOKUP(AX715,Foundation_Calc!$I$10:$J$13,2,FALSE),0),"")))</f>
        <v/>
      </c>
      <c r="N715" s="449"/>
      <c r="O715" s="449"/>
      <c r="P715" s="449"/>
      <c r="Q715" s="4"/>
      <c r="R715" s="6"/>
      <c r="S715" s="6"/>
      <c r="T715" s="4"/>
      <c r="U715" s="4"/>
      <c r="V715" s="4"/>
      <c r="W715" s="9"/>
      <c r="X715" s="9"/>
      <c r="Y715" s="9"/>
      <c r="Z715" s="9"/>
      <c r="AA715" s="9"/>
      <c r="AB715" s="9"/>
      <c r="AC715" s="449" t="str">
        <f t="shared" si="88"/>
        <v/>
      </c>
      <c r="AD715" s="449"/>
      <c r="AE715" s="449"/>
      <c r="AF715" s="4"/>
      <c r="AG715" s="83"/>
      <c r="AH715" s="4"/>
      <c r="AI715" s="4"/>
      <c r="AJ715" s="449"/>
      <c r="AK715" s="449"/>
      <c r="AL715" s="449"/>
      <c r="AM715" s="449"/>
      <c r="AN715" s="10"/>
      <c r="AO715" s="9"/>
      <c r="AP715" s="9"/>
      <c r="AQ715" s="9">
        <f>+FL_1($U$716,$T$714,$G$715,1200,9.28, 1*$F$716)</f>
        <v>0.39714735709090909</v>
      </c>
      <c r="AR715" s="9"/>
      <c r="AS715" s="9"/>
      <c r="AT715" s="9"/>
      <c r="AU715" s="428"/>
      <c r="AV715" s="428"/>
      <c r="AW715" s="449" t="str">
        <f>IF(C715&gt;0,VLOOKUP(C715,Foundation_Calc!$A$2:$C$13,3,1),
IF(J715&gt;0,VLOOKUP(J715,Foundation_Calc!$A$2:$C$13,3,1),""))</f>
        <v/>
      </c>
      <c r="AX715" s="449" t="str">
        <f>IF(C715&gt;0,VLOOKUP(C715,Foundation_Calc!$E$35:$G$65,3,1),
IF(J715&gt;0,VLOOKUP(J715,Foundation_Calc!$E$35:$G$65,3,1),""))</f>
        <v/>
      </c>
      <c r="AY715" s="10" t="str">
        <f>IF(L715="","",
IF(AX715="PT",VLOOKUP(L715,Foundation_Calc!$K$79:$R$113,VLOOKUP(AW715,Foundation_Calc!$I$2:$J$8,2,FALSE),0),
IF(AX715="K",VLOOKUP(L715,Foundation_Calc!$K$117:$R$151,VLOOKUP(AW715,Foundation_Calc!$I$2:$J$8,2,FALSE),0),"")))</f>
        <v/>
      </c>
      <c r="AZ715" s="10" t="str">
        <f>IF(K715="","",
IF(AX715="PT",VLOOKUP(K715,Foundation_Calc!$K$79:$R$113,VLOOKUP(AW715,Foundation_Calc!$I$2:$J$8,2,FALSE),0),
IF(AX715="K",VLOOKUP(K715,Foundation_Calc!$K$117:$R$151,VLOOKUP(AW715,Foundation_Calc!$I$2:$J$8,2,FALSE),0),"")))</f>
        <v/>
      </c>
      <c r="BA715" s="495" t="str">
        <f t="shared" si="92"/>
        <v/>
      </c>
      <c r="BB715" s="495" t="str">
        <f t="shared" si="93"/>
        <v/>
      </c>
      <c r="BC715" s="495" t="str">
        <f t="shared" si="94"/>
        <v/>
      </c>
      <c r="BD715" s="513" t="str">
        <f>IF(AND(L715="",H715=""),"",
IF(H715="",Pole_Calc!A$9,
IF(H715="MP",Pole_Calc!A$10,
IF(H715="AnMP",Pole_Calc!A$11,
IF(H715="A",Pole_Calc!A$12,
IF(H715="S/A",Pole_Calc!A$13,
IF(H715="A/S",Pole_Calc!A$14,"Poner a mano")))))))</f>
        <v/>
      </c>
      <c r="BE715" s="429" t="s">
        <v>118</v>
      </c>
      <c r="BF715" s="290"/>
      <c r="BG715" s="290"/>
      <c r="BH715" s="290"/>
      <c r="BI715" s="290"/>
    </row>
    <row r="716" spans="1:61" ht="15.75" customHeight="1">
      <c r="A716" s="571"/>
      <c r="B716" s="450" t="s">
        <v>1306</v>
      </c>
      <c r="C716" s="3">
        <f>+$C$714+$G$715</f>
        <v>47403.860000000022</v>
      </c>
      <c r="D716" s="83"/>
      <c r="E716" s="4"/>
      <c r="F716" s="4">
        <v>0</v>
      </c>
      <c r="G716" s="6"/>
      <c r="H716" s="449" t="s">
        <v>131</v>
      </c>
      <c r="I716" s="4"/>
      <c r="J716" s="3"/>
      <c r="K716" s="449"/>
      <c r="L716" s="449" t="s">
        <v>158</v>
      </c>
      <c r="M716" s="449" t="str">
        <f>IF(L716="","",
IF(AX716="PT",VLOOKUP(L716,Foundation_Calc!$V$79:$X$113,VLOOKUP(AX716,Foundation_Calc!$I$10:$J$13,2,FALSE),0),
IF(AX716="K",VLOOKUP(L716,Foundation_Calc!$V$117:$X$151,VLOOKUP(AX716,Foundation_Calc!$I$10:$J$13,2,FALSE),0),"")))</f>
        <v>C4R</v>
      </c>
      <c r="N716" s="449" t="s">
        <v>133</v>
      </c>
      <c r="O716" s="449" t="s">
        <v>134</v>
      </c>
      <c r="P716" s="449"/>
      <c r="Q716" s="4"/>
      <c r="R716" s="6"/>
      <c r="S716" s="6"/>
      <c r="T716" s="4">
        <v>55</v>
      </c>
      <c r="U716" s="4">
        <v>35</v>
      </c>
      <c r="V716" s="4"/>
      <c r="W716" s="9">
        <v>1.4</v>
      </c>
      <c r="X716" s="9">
        <v>2.2999999999999998</v>
      </c>
      <c r="Y716" s="9"/>
      <c r="Z716" s="9">
        <v>0.6</v>
      </c>
      <c r="AA716" s="9"/>
      <c r="AB716" s="9"/>
      <c r="AC716" s="449"/>
      <c r="AD716" s="449"/>
      <c r="AE716" s="449"/>
      <c r="AF716" s="4"/>
      <c r="AG716" s="83"/>
      <c r="AH716" s="4"/>
      <c r="AI716" s="4"/>
      <c r="AJ716" s="449"/>
      <c r="AK716" s="449"/>
      <c r="AL716" s="449"/>
      <c r="AM716" s="449" t="s">
        <v>552</v>
      </c>
      <c r="AN716" s="10">
        <v>5.5</v>
      </c>
      <c r="AO716" s="9"/>
      <c r="AP716" s="9"/>
      <c r="AQ716" s="9"/>
      <c r="AR716" s="9"/>
      <c r="AS716" s="9"/>
      <c r="AT716" s="9">
        <f>+ab($U$716,$T$714,$U$718,$G$715,$G$717, 1*$F$716,1200)</f>
        <v>6.91361066702569</v>
      </c>
      <c r="AU716" s="428"/>
      <c r="AV716" s="428"/>
      <c r="AW716" s="449" t="str">
        <f>IF(C716&gt;0,VLOOKUP(C716,Foundation_Calc!$A$2:$C$13,3,1),
IF(J716&gt;0,VLOOKUP(J716,Foundation_Calc!$A$2:$C$13,3,1),""))</f>
        <v>Multi Soil</v>
      </c>
      <c r="AX716" s="449" t="str">
        <f>IF(C716&gt;0,VLOOKUP(C716,Foundation_Calc!$E$35:$G$65,3,1),
IF(J716&gt;0,VLOOKUP(J716,Foundation_Calc!$E$35:$G$65,3,1),""))</f>
        <v>PT</v>
      </c>
      <c r="AY716" s="10">
        <f>IF(L716="","",
IF(AX716="PT",VLOOKUP(L716,Foundation_Calc!$K$79:$R$113,VLOOKUP(AW716,Foundation_Calc!$I$2:$J$8,2,FALSE),0),
IF(AX716="K",VLOOKUP(L716,Foundation_Calc!$K$117:$R$151,VLOOKUP(AW716,Foundation_Calc!$I$2:$J$8,2,FALSE),0),"")))</f>
        <v>3.5</v>
      </c>
      <c r="AZ716" s="10" t="str">
        <f>IF(K716="","",
IF(AX716="PT",VLOOKUP(K716,Foundation_Calc!$K$79:$R$113,VLOOKUP(AW716,Foundation_Calc!$I$2:$J$8,2,FALSE),0),
IF(AX716="K",VLOOKUP(K716,Foundation_Calc!$K$117:$R$151,VLOOKUP(AW716,Foundation_Calc!$I$2:$J$8,2,FALSE),0),"")))</f>
        <v/>
      </c>
      <c r="BA716" s="495" t="str">
        <f t="shared" si="92"/>
        <v>ü</v>
      </c>
      <c r="BB716" s="495" t="str">
        <f t="shared" si="93"/>
        <v/>
      </c>
      <c r="BC716" s="495" t="str">
        <f t="shared" si="94"/>
        <v/>
      </c>
      <c r="BD716" s="513" t="str">
        <f>IF(AND(L716="",H716=""),"",
IF(H716="",Pole_Calc!A$9,
IF(H716="MP",Pole_Calc!A$10,
IF(H716="AnMP",Pole_Calc!A$11,
IF(H716="A",Pole_Calc!A$12,
IF(H716="S/A",Pole_Calc!A$13,
IF(H716="A/S",Pole_Calc!A$14,"Poner a mano")))))))</f>
        <v>App.7-V11I-P9.5.1.5</v>
      </c>
      <c r="BE716" s="429" t="s">
        <v>118</v>
      </c>
      <c r="BF716" s="289"/>
      <c r="BG716" s="289"/>
      <c r="BH716" s="290"/>
      <c r="BI716" s="289"/>
    </row>
    <row r="717" spans="1:61" ht="15.75" customHeight="1">
      <c r="A717" s="514"/>
      <c r="B717" s="450"/>
      <c r="C717" s="3"/>
      <c r="D717" s="83"/>
      <c r="E717" s="4"/>
      <c r="F717" s="4"/>
      <c r="G717" s="6">
        <v>47</v>
      </c>
      <c r="H717" s="449"/>
      <c r="I717" s="4"/>
      <c r="J717" s="3"/>
      <c r="K717" s="449"/>
      <c r="L717" s="449"/>
      <c r="M717" s="449" t="str">
        <f>IF(L717="","",
IF(AX717="PT",VLOOKUP(L717,Foundation_Calc!$V$79:$X$113,VLOOKUP(AX717,Foundation_Calc!$I$10:$J$13,2,FALSE),0),
IF(AX717="K",VLOOKUP(L717,Foundation_Calc!$V$117:$X$151,VLOOKUP(AX717,Foundation_Calc!$I$10:$J$13,2,FALSE),0),"")))</f>
        <v/>
      </c>
      <c r="N717" s="449"/>
      <c r="O717" s="449"/>
      <c r="P717" s="449"/>
      <c r="Q717" s="4"/>
      <c r="R717" s="6"/>
      <c r="S717" s="6"/>
      <c r="T717" s="4"/>
      <c r="U717" s="4"/>
      <c r="V717" s="4"/>
      <c r="W717" s="9"/>
      <c r="X717" s="9"/>
      <c r="Y717" s="9"/>
      <c r="Z717" s="9"/>
      <c r="AA717" s="9"/>
      <c r="AB717" s="9"/>
      <c r="AC717" s="449" t="str">
        <f t="shared" si="88"/>
        <v/>
      </c>
      <c r="AD717" s="449"/>
      <c r="AE717" s="449"/>
      <c r="AF717" s="4"/>
      <c r="AG717" s="83"/>
      <c r="AH717" s="4"/>
      <c r="AI717" s="4"/>
      <c r="AJ717" s="449"/>
      <c r="AK717" s="449"/>
      <c r="AL717" s="449"/>
      <c r="AM717" s="449"/>
      <c r="AN717" s="10"/>
      <c r="AO717" s="9"/>
      <c r="AP717" s="9"/>
      <c r="AQ717" s="9">
        <f>+FL_2($T$718,$T$716,$G$717,1200,9.28, 1*$F$718)</f>
        <v>-0.15695465849645387</v>
      </c>
      <c r="AR717" s="9"/>
      <c r="AS717" s="9"/>
      <c r="AT717" s="9"/>
      <c r="AU717" s="428"/>
      <c r="AV717" s="428"/>
      <c r="AW717" s="449" t="str">
        <f>IF(C717&gt;0,VLOOKUP(C717,Foundation_Calc!$A$2:$C$13,3,1),
IF(J717&gt;0,VLOOKUP(J717,Foundation_Calc!$A$2:$C$13,3,1),""))</f>
        <v/>
      </c>
      <c r="AX717" s="449" t="str">
        <f>IF(C717&gt;0,VLOOKUP(C717,Foundation_Calc!$E$35:$G$65,3,1),
IF(J717&gt;0,VLOOKUP(J717,Foundation_Calc!$E$35:$G$65,3,1),""))</f>
        <v/>
      </c>
      <c r="AY717" s="10" t="str">
        <f>IF(L717="","",
IF(AX717="PT",VLOOKUP(L717,Foundation_Calc!$K$79:$R$113,VLOOKUP(AW717,Foundation_Calc!$I$2:$J$8,2,FALSE),0),
IF(AX717="K",VLOOKUP(L717,Foundation_Calc!$K$117:$R$151,VLOOKUP(AW717,Foundation_Calc!$I$2:$J$8,2,FALSE),0),"")))</f>
        <v/>
      </c>
      <c r="AZ717" s="10" t="str">
        <f>IF(K717="","",
IF(AX717="PT",VLOOKUP(K717,Foundation_Calc!$K$79:$R$113,VLOOKUP(AW717,Foundation_Calc!$I$2:$J$8,2,FALSE),0),
IF(AX717="K",VLOOKUP(K717,Foundation_Calc!$K$117:$R$151,VLOOKUP(AW717,Foundation_Calc!$I$2:$J$8,2,FALSE),0),"")))</f>
        <v/>
      </c>
      <c r="BA717" s="495" t="str">
        <f t="shared" si="92"/>
        <v/>
      </c>
      <c r="BB717" s="495" t="str">
        <f t="shared" si="93"/>
        <v/>
      </c>
      <c r="BC717" s="495" t="str">
        <f t="shared" si="94"/>
        <v/>
      </c>
      <c r="BD717" s="513" t="str">
        <f>IF(AND(L717="",H717=""),"",
IF(H717="",Pole_Calc!A$9,
IF(H717="MP",Pole_Calc!A$10,
IF(H717="AnMP",Pole_Calc!A$11,
IF(H717="A",Pole_Calc!A$12,
IF(H717="S/A",Pole_Calc!A$13,
IF(H717="A/S",Pole_Calc!A$14,"Poner a mano")))))))</f>
        <v/>
      </c>
      <c r="BE717" s="429" t="s">
        <v>118</v>
      </c>
      <c r="BF717" s="290"/>
      <c r="BG717" s="290"/>
      <c r="BH717" s="290"/>
      <c r="BI717" s="290"/>
    </row>
    <row r="718" spans="1:61" ht="15.75" customHeight="1">
      <c r="A718" s="514" t="s">
        <v>607</v>
      </c>
      <c r="B718" s="450" t="s">
        <v>1307</v>
      </c>
      <c r="C718" s="3">
        <f>+$C$716+$G$717-0.26</f>
        <v>47450.60000000002</v>
      </c>
      <c r="D718" s="83"/>
      <c r="E718" s="4"/>
      <c r="F718" s="4">
        <v>0</v>
      </c>
      <c r="G718" s="6"/>
      <c r="H718" s="449" t="s">
        <v>114</v>
      </c>
      <c r="I718" s="4"/>
      <c r="J718" s="3"/>
      <c r="K718" s="449"/>
      <c r="L718" s="449" t="s">
        <v>158</v>
      </c>
      <c r="M718" s="449" t="str">
        <f>IF(L718="","",
IF(AX718="PT",VLOOKUP(L718,Foundation_Calc!$V$79:$X$113,VLOOKUP(AX718,Foundation_Calc!$I$10:$J$13,2,FALSE),0),
IF(AX718="K",VLOOKUP(L718,Foundation_Calc!$V$117:$X$151,VLOOKUP(AX718,Foundation_Calc!$I$10:$J$13,2,FALSE),0),"")))</f>
        <v>C4R</v>
      </c>
      <c r="N718" s="449" t="s">
        <v>124</v>
      </c>
      <c r="O718" s="449" t="s">
        <v>124</v>
      </c>
      <c r="P718" s="449"/>
      <c r="Q718" s="4"/>
      <c r="R718" s="6"/>
      <c r="S718" s="6"/>
      <c r="T718" s="4">
        <v>-15</v>
      </c>
      <c r="U718" s="4">
        <v>-35</v>
      </c>
      <c r="V718" s="4"/>
      <c r="W718" s="9">
        <v>1.4</v>
      </c>
      <c r="X718" s="9">
        <v>2.2999999999999998</v>
      </c>
      <c r="Y718" s="9"/>
      <c r="Z718" s="9">
        <v>0.15</v>
      </c>
      <c r="AA718" s="9"/>
      <c r="AB718" s="9"/>
      <c r="AC718" s="449" t="str">
        <f t="shared" si="88"/>
        <v>PHQ</v>
      </c>
      <c r="AD718" s="449"/>
      <c r="AE718" s="449"/>
      <c r="AF718" s="4"/>
      <c r="AG718" s="83"/>
      <c r="AH718" s="4"/>
      <c r="AI718" s="4"/>
      <c r="AJ718" s="449"/>
      <c r="AK718" s="449"/>
      <c r="AL718" s="449"/>
      <c r="AM718" s="449" t="s">
        <v>552</v>
      </c>
      <c r="AN718" s="10">
        <v>5.5</v>
      </c>
      <c r="AO718" s="9"/>
      <c r="AP718" s="9"/>
      <c r="AQ718" s="9"/>
      <c r="AR718" s="9"/>
      <c r="AS718" s="9"/>
      <c r="AT718" s="9">
        <f>+ab($T$718,$T$716,$T$720,$G$717,$G$719, 1*$F$718,1200)</f>
        <v>-7.4731410959763105</v>
      </c>
      <c r="AU718" s="428"/>
      <c r="AV718" s="428"/>
      <c r="AW718" s="449" t="str">
        <f>IF(C718&gt;0,VLOOKUP(C718,Foundation_Calc!$A$2:$C$13,3,1),
IF(J718&gt;0,VLOOKUP(J718,Foundation_Calc!$A$2:$C$13,3,1),""))</f>
        <v>Multi Soil</v>
      </c>
      <c r="AX718" s="449" t="str">
        <f>IF(C718&gt;0,VLOOKUP(C718,Foundation_Calc!$E$35:$G$65,3,1),
IF(J718&gt;0,VLOOKUP(J718,Foundation_Calc!$E$35:$G$65,3,1),""))</f>
        <v>PT</v>
      </c>
      <c r="AY718" s="10">
        <f>IF(L718="","",
IF(AX718="PT",VLOOKUP(L718,Foundation_Calc!$K$79:$R$113,VLOOKUP(AW718,Foundation_Calc!$I$2:$J$8,2,FALSE),0),
IF(AX718="K",VLOOKUP(L718,Foundation_Calc!$K$117:$R$151,VLOOKUP(AW718,Foundation_Calc!$I$2:$J$8,2,FALSE),0),"")))</f>
        <v>3.5</v>
      </c>
      <c r="AZ718" s="10" t="str">
        <f>IF(K718="","",
IF(AX718="PT",VLOOKUP(K718,Foundation_Calc!$K$79:$R$113,VLOOKUP(AW718,Foundation_Calc!$I$2:$J$8,2,FALSE),0),
IF(AX718="K",VLOOKUP(K718,Foundation_Calc!$K$117:$R$151,VLOOKUP(AW718,Foundation_Calc!$I$2:$J$8,2,FALSE),0),"")))</f>
        <v/>
      </c>
      <c r="BA718" s="495" t="str">
        <f t="shared" si="92"/>
        <v>ü</v>
      </c>
      <c r="BB718" s="495" t="str">
        <f t="shared" si="93"/>
        <v/>
      </c>
      <c r="BC718" s="495" t="str">
        <f t="shared" si="94"/>
        <v/>
      </c>
      <c r="BD718" s="513" t="str">
        <f>IF(AND(L718="",H718=""),"",
IF(H718="",Pole_Calc!A$9,
IF(H718="MP",Pole_Calc!A$10,
IF(H718="AnMP",Pole_Calc!A$11,
IF(H718="A",Pole_Calc!A$12,
IF(H718="S/A",Pole_Calc!A$13,
IF(H718="A/S",Pole_Calc!A$14,"Poner a mano")))))))</f>
        <v>App.7-V11I-P9.5.1.4</v>
      </c>
      <c r="BE718" s="429" t="s">
        <v>118</v>
      </c>
      <c r="BF718" s="289"/>
      <c r="BG718" s="289"/>
      <c r="BH718" s="290"/>
      <c r="BI718" s="289"/>
    </row>
    <row r="719" spans="1:61" ht="15.75" customHeight="1">
      <c r="A719" s="514" t="s">
        <v>609</v>
      </c>
      <c r="B719" s="450"/>
      <c r="C719" s="3"/>
      <c r="D719" s="83"/>
      <c r="E719" s="4"/>
      <c r="F719" s="4"/>
      <c r="G719" s="6">
        <v>47</v>
      </c>
      <c r="H719" s="449"/>
      <c r="I719" s="4"/>
      <c r="J719" s="3"/>
      <c r="K719" s="449"/>
      <c r="L719" s="449"/>
      <c r="M719" s="449" t="str">
        <f>IF(L719="","",
IF(AX719="PT",VLOOKUP(L719,Foundation_Calc!$V$79:$X$113,VLOOKUP(AX719,Foundation_Calc!$I$10:$J$13,2,FALSE),0),
IF(AX719="K",VLOOKUP(L719,Foundation_Calc!$V$117:$X$151,VLOOKUP(AX719,Foundation_Calc!$I$10:$J$13,2,FALSE),0),"")))</f>
        <v/>
      </c>
      <c r="N719" s="449"/>
      <c r="O719" s="449"/>
      <c r="P719" s="449"/>
      <c r="Q719" s="4"/>
      <c r="R719" s="6"/>
      <c r="S719" s="6"/>
      <c r="T719" s="4"/>
      <c r="U719" s="4"/>
      <c r="V719" s="4"/>
      <c r="W719" s="9"/>
      <c r="X719" s="9"/>
      <c r="Y719" s="9"/>
      <c r="Z719" s="9"/>
      <c r="AA719" s="9"/>
      <c r="AB719" s="9"/>
      <c r="AC719" s="449" t="str">
        <f t="shared" si="88"/>
        <v/>
      </c>
      <c r="AD719" s="449"/>
      <c r="AE719" s="449"/>
      <c r="AF719" s="4"/>
      <c r="AG719" s="83"/>
      <c r="AH719" s="4"/>
      <c r="AI719" s="4"/>
      <c r="AJ719" s="449"/>
      <c r="AK719" s="449"/>
      <c r="AL719" s="449"/>
      <c r="AM719" s="449"/>
      <c r="AN719" s="10"/>
      <c r="AO719" s="9"/>
      <c r="AP719" s="9"/>
      <c r="AQ719" s="9">
        <f>+FL_2($T$720,$T$718,$G$719,1200,9.28, 1*$F$720)</f>
        <v>-0.18670910672340432</v>
      </c>
      <c r="AR719" s="9"/>
      <c r="AS719" s="9"/>
      <c r="AT719" s="9"/>
      <c r="AU719" s="428"/>
      <c r="AV719" s="428"/>
      <c r="AW719" s="449" t="str">
        <f>IF(C719&gt;0,VLOOKUP(C719,Foundation_Calc!$A$2:$C$13,3,1),
IF(J719&gt;0,VLOOKUP(J719,Foundation_Calc!$A$2:$C$13,3,1),""))</f>
        <v/>
      </c>
      <c r="AX719" s="449" t="str">
        <f>IF(C719&gt;0,VLOOKUP(C719,Foundation_Calc!$E$35:$G$65,3,1),
IF(J719&gt;0,VLOOKUP(J719,Foundation_Calc!$E$35:$G$65,3,1),""))</f>
        <v/>
      </c>
      <c r="AY719" s="10" t="str">
        <f>IF(L719="","",
IF(AX719="PT",VLOOKUP(L719,Foundation_Calc!$K$79:$R$113,VLOOKUP(AW719,Foundation_Calc!$I$2:$J$8,2,FALSE),0),
IF(AX719="K",VLOOKUP(L719,Foundation_Calc!$K$117:$R$151,VLOOKUP(AW719,Foundation_Calc!$I$2:$J$8,2,FALSE),0),"")))</f>
        <v/>
      </c>
      <c r="AZ719" s="10" t="str">
        <f>IF(K719="","",
IF(AX719="PT",VLOOKUP(K719,Foundation_Calc!$K$79:$R$113,VLOOKUP(AW719,Foundation_Calc!$I$2:$J$8,2,FALSE),0),
IF(AX719="K",VLOOKUP(K719,Foundation_Calc!$K$117:$R$151,VLOOKUP(AW719,Foundation_Calc!$I$2:$J$8,2,FALSE),0),"")))</f>
        <v/>
      </c>
      <c r="BA719" s="495" t="str">
        <f t="shared" si="92"/>
        <v/>
      </c>
      <c r="BB719" s="495" t="str">
        <f t="shared" si="93"/>
        <v/>
      </c>
      <c r="BC719" s="495" t="str">
        <f t="shared" si="94"/>
        <v/>
      </c>
      <c r="BD719" s="513" t="str">
        <f>IF(AND(L719="",H719=""),"",
IF(H719="",Pole_Calc!A$9,
IF(H719="MP",Pole_Calc!A$10,
IF(H719="AnMP",Pole_Calc!A$11,
IF(H719="A",Pole_Calc!A$12,
IF(H719="S/A",Pole_Calc!A$13,
IF(H719="A/S",Pole_Calc!A$14,"Poner a mano")))))))</f>
        <v/>
      </c>
      <c r="BE719" s="429" t="s">
        <v>118</v>
      </c>
      <c r="BF719" s="290"/>
      <c r="BG719" s="290"/>
      <c r="BH719" s="290"/>
      <c r="BI719" s="290"/>
    </row>
    <row r="720" spans="1:61" ht="15.75" customHeight="1">
      <c r="A720" s="571"/>
      <c r="B720" s="450" t="s">
        <v>1308</v>
      </c>
      <c r="C720" s="3">
        <f>+$C$718+$G$719</f>
        <v>47497.60000000002</v>
      </c>
      <c r="D720" s="83"/>
      <c r="E720" s="4"/>
      <c r="F720" s="4">
        <v>0</v>
      </c>
      <c r="G720" s="6"/>
      <c r="H720" s="449" t="s">
        <v>114</v>
      </c>
      <c r="I720" s="4"/>
      <c r="J720" s="3"/>
      <c r="K720" s="449"/>
      <c r="L720" s="449" t="s">
        <v>158</v>
      </c>
      <c r="M720" s="449" t="str">
        <f>IF(L720="","",
IF(AX720="PT",VLOOKUP(L720,Foundation_Calc!$V$79:$X$113,VLOOKUP(AX720,Foundation_Calc!$I$10:$J$13,2,FALSE),0),
IF(AX720="K",VLOOKUP(L720,Foundation_Calc!$V$117:$X$151,VLOOKUP(AX720,Foundation_Calc!$I$10:$J$13,2,FALSE),0),"")))</f>
        <v>C4R</v>
      </c>
      <c r="N720" s="449" t="s">
        <v>134</v>
      </c>
      <c r="O720" s="449" t="s">
        <v>134</v>
      </c>
      <c r="P720" s="449"/>
      <c r="Q720" s="4"/>
      <c r="R720" s="6"/>
      <c r="S720" s="6"/>
      <c r="T720" s="4">
        <v>35</v>
      </c>
      <c r="U720" s="4">
        <v>15</v>
      </c>
      <c r="V720" s="4"/>
      <c r="W720" s="9">
        <v>1.4</v>
      </c>
      <c r="X720" s="9">
        <v>2.2999999999999998</v>
      </c>
      <c r="Y720" s="9"/>
      <c r="Z720" s="9"/>
      <c r="AA720" s="9">
        <v>0.15</v>
      </c>
      <c r="AB720" s="9"/>
      <c r="AC720" s="449" t="str">
        <f t="shared" si="88"/>
        <v>PHQ</v>
      </c>
      <c r="AD720" s="449"/>
      <c r="AE720" s="449"/>
      <c r="AF720" s="4"/>
      <c r="AG720" s="83"/>
      <c r="AH720" s="4"/>
      <c r="AI720" s="4"/>
      <c r="AJ720" s="449"/>
      <c r="AK720" s="449"/>
      <c r="AL720" s="449"/>
      <c r="AM720" s="449" t="s">
        <v>552</v>
      </c>
      <c r="AN720" s="10">
        <v>5.5</v>
      </c>
      <c r="AO720" s="9"/>
      <c r="AP720" s="9"/>
      <c r="AQ720" s="9"/>
      <c r="AR720" s="9"/>
      <c r="AS720" s="9"/>
      <c r="AT720" s="9">
        <f>+ab($T$720,$T$718,$T$722,$G$719,$G$721, 1*$F$720,1200)</f>
        <v>7.4731138933968646</v>
      </c>
      <c r="AU720" s="428"/>
      <c r="AV720" s="428"/>
      <c r="AW720" s="449" t="str">
        <f>IF(C720&gt;0,VLOOKUP(C720,Foundation_Calc!$A$2:$C$13,3,1),
IF(J720&gt;0,VLOOKUP(J720,Foundation_Calc!$A$2:$C$13,3,1),""))</f>
        <v>Multi Soil</v>
      </c>
      <c r="AX720" s="449" t="str">
        <f>IF(C720&gt;0,VLOOKUP(C720,Foundation_Calc!$E$35:$G$65,3,1),
IF(J720&gt;0,VLOOKUP(J720,Foundation_Calc!$E$35:$G$65,3,1),""))</f>
        <v>PT</v>
      </c>
      <c r="AY720" s="10">
        <f>IF(L720="","",
IF(AX720="PT",VLOOKUP(L720,Foundation_Calc!$K$79:$R$113,VLOOKUP(AW720,Foundation_Calc!$I$2:$J$8,2,FALSE),0),
IF(AX720="K",VLOOKUP(L720,Foundation_Calc!$K$117:$R$151,VLOOKUP(AW720,Foundation_Calc!$I$2:$J$8,2,FALSE),0),"")))</f>
        <v>3.5</v>
      </c>
      <c r="AZ720" s="10" t="str">
        <f>IF(K720="","",
IF(AX720="PT",VLOOKUP(K720,Foundation_Calc!$K$79:$R$113,VLOOKUP(AW720,Foundation_Calc!$I$2:$J$8,2,FALSE),0),
IF(AX720="K",VLOOKUP(K720,Foundation_Calc!$K$117:$R$151,VLOOKUP(AW720,Foundation_Calc!$I$2:$J$8,2,FALSE),0),"")))</f>
        <v/>
      </c>
      <c r="BA720" s="495" t="str">
        <f t="shared" si="92"/>
        <v>ü</v>
      </c>
      <c r="BB720" s="495" t="str">
        <f t="shared" si="93"/>
        <v/>
      </c>
      <c r="BC720" s="495" t="str">
        <f t="shared" si="94"/>
        <v/>
      </c>
      <c r="BD720" s="513" t="str">
        <f>IF(AND(L720="",H720=""),"",
IF(H720="",Pole_Calc!A$9,
IF(H720="MP",Pole_Calc!A$10,
IF(H720="AnMP",Pole_Calc!A$11,
IF(H720="A",Pole_Calc!A$12,
IF(H720="S/A",Pole_Calc!A$13,
IF(H720="A/S",Pole_Calc!A$14,"Poner a mano")))))))</f>
        <v>App.7-V11I-P9.5.1.4</v>
      </c>
      <c r="BE720" s="429" t="s">
        <v>118</v>
      </c>
      <c r="BF720" s="289"/>
      <c r="BG720" s="289"/>
      <c r="BH720" s="290"/>
      <c r="BI720" s="289"/>
    </row>
    <row r="721" spans="1:61" ht="15.75" customHeight="1">
      <c r="A721" s="571"/>
      <c r="B721" s="450"/>
      <c r="C721" s="3"/>
      <c r="D721" s="83"/>
      <c r="E721" s="4"/>
      <c r="F721" s="4"/>
      <c r="G721" s="6">
        <v>47</v>
      </c>
      <c r="H721" s="449"/>
      <c r="I721" s="4"/>
      <c r="J721" s="3"/>
      <c r="K721" s="449"/>
      <c r="L721" s="449"/>
      <c r="M721" s="449" t="str">
        <f>IF(L721="","",
IF(AX721="PT",VLOOKUP(L721,Foundation_Calc!$V$79:$X$113,VLOOKUP(AX721,Foundation_Calc!$I$10:$J$13,2,FALSE),0),
IF(AX721="K",VLOOKUP(L721,Foundation_Calc!$V$117:$X$151,VLOOKUP(AX721,Foundation_Calc!$I$10:$J$13,2,FALSE),0),"")))</f>
        <v/>
      </c>
      <c r="N721" s="449"/>
      <c r="O721" s="449"/>
      <c r="P721" s="449"/>
      <c r="Q721" s="4"/>
      <c r="R721" s="6"/>
      <c r="S721" s="6"/>
      <c r="T721" s="4"/>
      <c r="U721" s="4"/>
      <c r="V721" s="4"/>
      <c r="W721" s="9"/>
      <c r="X721" s="9"/>
      <c r="Y721" s="9"/>
      <c r="Z721" s="9"/>
      <c r="AA721" s="9"/>
      <c r="AB721" s="9"/>
      <c r="AC721" s="449" t="str">
        <f t="shared" si="88"/>
        <v/>
      </c>
      <c r="AD721" s="449"/>
      <c r="AE721" s="449"/>
      <c r="AF721" s="4"/>
      <c r="AG721" s="83"/>
      <c r="AH721" s="4"/>
      <c r="AI721" s="4"/>
      <c r="AJ721" s="449"/>
      <c r="AK721" s="449"/>
      <c r="AL721" s="449"/>
      <c r="AM721" s="449"/>
      <c r="AN721" s="10"/>
      <c r="AO721" s="9"/>
      <c r="AP721" s="9"/>
      <c r="AQ721" s="9">
        <f>+FL_2($T$722,$T$720,$G$721,1200,9.28, 1*$F$722)</f>
        <v>-0.35695465849645386</v>
      </c>
      <c r="AR721" s="9"/>
      <c r="AS721" s="9"/>
      <c r="AT721" s="9"/>
      <c r="AU721" s="428"/>
      <c r="AV721" s="428"/>
      <c r="AW721" s="449" t="str">
        <f>IF(C721&gt;0,VLOOKUP(C721,Foundation_Calc!$A$2:$C$13,3,1),
IF(J721&gt;0,VLOOKUP(J721,Foundation_Calc!$A$2:$C$13,3,1),""))</f>
        <v/>
      </c>
      <c r="AX721" s="449" t="str">
        <f>IF(C721&gt;0,VLOOKUP(C721,Foundation_Calc!$E$35:$G$65,3,1),
IF(J721&gt;0,VLOOKUP(J721,Foundation_Calc!$E$35:$G$65,3,1),""))</f>
        <v/>
      </c>
      <c r="AY721" s="10" t="str">
        <f>IF(L721="","",
IF(AX721="PT",VLOOKUP(L721,Foundation_Calc!$K$79:$R$113,VLOOKUP(AW721,Foundation_Calc!$I$2:$J$8,2,FALSE),0),
IF(AX721="K",VLOOKUP(L721,Foundation_Calc!$K$117:$R$151,VLOOKUP(AW721,Foundation_Calc!$I$2:$J$8,2,FALSE),0),"")))</f>
        <v/>
      </c>
      <c r="AZ721" s="10" t="str">
        <f>IF(K721="","",
IF(AX721="PT",VLOOKUP(K721,Foundation_Calc!$K$79:$R$113,VLOOKUP(AW721,Foundation_Calc!$I$2:$J$8,2,FALSE),0),
IF(AX721="K",VLOOKUP(K721,Foundation_Calc!$K$117:$R$151,VLOOKUP(AW721,Foundation_Calc!$I$2:$J$8,2,FALSE),0),"")))</f>
        <v/>
      </c>
      <c r="BA721" s="495" t="str">
        <f t="shared" si="92"/>
        <v/>
      </c>
      <c r="BB721" s="495" t="str">
        <f t="shared" si="93"/>
        <v/>
      </c>
      <c r="BC721" s="495" t="str">
        <f t="shared" si="94"/>
        <v/>
      </c>
      <c r="BD721" s="513" t="str">
        <f>IF(AND(L721="",H721=""),"",
IF(H721="",Pole_Calc!A$9,
IF(H721="MP",Pole_Calc!A$10,
IF(H721="AnMP",Pole_Calc!A$11,
IF(H721="A",Pole_Calc!A$12,
IF(H721="S/A",Pole_Calc!A$13,
IF(H721="A/S",Pole_Calc!A$14,"Poner a mano")))))))</f>
        <v/>
      </c>
      <c r="BE721" s="429" t="s">
        <v>118</v>
      </c>
      <c r="BF721" s="290"/>
      <c r="BG721" s="290"/>
      <c r="BH721" s="290"/>
      <c r="BI721" s="290"/>
    </row>
    <row r="722" spans="1:61" ht="15.75" customHeight="1">
      <c r="A722" s="571"/>
      <c r="B722" s="450" t="s">
        <v>1309</v>
      </c>
      <c r="C722" s="3">
        <f>+$C$720+$G$721</f>
        <v>47544.60000000002</v>
      </c>
      <c r="D722" s="83"/>
      <c r="E722" s="4"/>
      <c r="F722" s="4">
        <v>0</v>
      </c>
      <c r="G722" s="6"/>
      <c r="H722" s="449" t="s">
        <v>131</v>
      </c>
      <c r="I722" s="4"/>
      <c r="J722" s="3"/>
      <c r="K722" s="449"/>
      <c r="L722" s="449" t="s">
        <v>148</v>
      </c>
      <c r="M722" s="449" t="str">
        <f>IF(L722="","",
IF(AX722="PT",VLOOKUP(L722,Foundation_Calc!$V$79:$X$113,VLOOKUP(AX722,Foundation_Calc!$I$10:$J$13,2,FALSE),0),
IF(AX722="K",VLOOKUP(L722,Foundation_Calc!$V$117:$X$151,VLOOKUP(AX722,Foundation_Calc!$I$10:$J$13,2,FALSE),0),"")))</f>
        <v>C4R</v>
      </c>
      <c r="N722" s="449" t="s">
        <v>124</v>
      </c>
      <c r="O722" s="449" t="s">
        <v>133</v>
      </c>
      <c r="P722" s="449"/>
      <c r="Q722" s="4"/>
      <c r="R722" s="6"/>
      <c r="S722" s="6"/>
      <c r="T722" s="4">
        <v>-35</v>
      </c>
      <c r="U722" s="4">
        <v>-55</v>
      </c>
      <c r="V722" s="4"/>
      <c r="W722" s="9">
        <v>1.4</v>
      </c>
      <c r="X722" s="9">
        <v>2.2999999999999998</v>
      </c>
      <c r="Y722" s="9"/>
      <c r="Z722" s="9"/>
      <c r="AA722" s="9">
        <v>0.6</v>
      </c>
      <c r="AB722" s="9"/>
      <c r="AC722" s="449" t="str">
        <f t="shared" si="88"/>
        <v>PHQ</v>
      </c>
      <c r="AD722" s="449"/>
      <c r="AE722" s="449"/>
      <c r="AF722" s="4"/>
      <c r="AG722" s="83"/>
      <c r="AH722" s="4"/>
      <c r="AI722" s="4"/>
      <c r="AJ722" s="449"/>
      <c r="AK722" s="449"/>
      <c r="AL722" s="449"/>
      <c r="AM722" s="449" t="s">
        <v>552</v>
      </c>
      <c r="AN722" s="10">
        <v>5.44</v>
      </c>
      <c r="AO722" s="9"/>
      <c r="AP722" s="9"/>
      <c r="AQ722" s="9"/>
      <c r="AR722" s="9"/>
      <c r="AS722" s="9"/>
      <c r="AT722" s="9">
        <f>+ab($T$722,$T$720,$T$724,$G$721,$G$723, 1*$F$722,1200)</f>
        <v>-6.913635950944566</v>
      </c>
      <c r="AU722" s="428"/>
      <c r="AV722" s="428"/>
      <c r="AW722" s="449" t="str">
        <f>IF(C722&gt;0,VLOOKUP(C722,Foundation_Calc!$A$2:$C$13,3,1),
IF(J722&gt;0,VLOOKUP(J722,Foundation_Calc!$A$2:$C$13,3,1),""))</f>
        <v>Multi Soil</v>
      </c>
      <c r="AX722" s="449" t="str">
        <f>IF(C722&gt;0,VLOOKUP(C722,Foundation_Calc!$E$35:$G$65,3,1),
IF(J722&gt;0,VLOOKUP(J722,Foundation_Calc!$E$35:$G$65,3,1),""))</f>
        <v>PT</v>
      </c>
      <c r="AY722" s="10">
        <f>IF(L722="","",
IF(AX722="PT",VLOOKUP(L722,Foundation_Calc!$K$79:$R$113,VLOOKUP(AW722,Foundation_Calc!$I$2:$J$8,2,FALSE),0),
IF(AX722="K",VLOOKUP(L722,Foundation_Calc!$K$117:$R$151,VLOOKUP(AW722,Foundation_Calc!$I$2:$J$8,2,FALSE),0),"")))</f>
        <v>3.7</v>
      </c>
      <c r="AZ722" s="10" t="str">
        <f>IF(K722="","",
IF(AX722="PT",VLOOKUP(K722,Foundation_Calc!$K$79:$R$113,VLOOKUP(AW722,Foundation_Calc!$I$2:$J$8,2,FALSE),0),
IF(AX722="K",VLOOKUP(K722,Foundation_Calc!$K$117:$R$151,VLOOKUP(AW722,Foundation_Calc!$I$2:$J$8,2,FALSE),0),"")))</f>
        <v/>
      </c>
      <c r="BA722" s="495" t="str">
        <f t="shared" si="92"/>
        <v>ü</v>
      </c>
      <c r="BB722" s="495" t="str">
        <f t="shared" si="93"/>
        <v/>
      </c>
      <c r="BC722" s="495" t="str">
        <f t="shared" si="94"/>
        <v/>
      </c>
      <c r="BD722" s="513" t="str">
        <f>IF(AND(L722="",H722=""),"",
IF(H722="",Pole_Calc!A$9,
IF(H722="MP",Pole_Calc!A$10,
IF(H722="AnMP",Pole_Calc!A$11,
IF(H722="A",Pole_Calc!A$12,
IF(H722="S/A",Pole_Calc!A$13,
IF(H722="A/S",Pole_Calc!A$14,"Poner a mano")))))))</f>
        <v>App.7-V11I-P9.5.1.5</v>
      </c>
      <c r="BE722" s="429" t="s">
        <v>118</v>
      </c>
      <c r="BF722" s="289"/>
      <c r="BG722" s="289"/>
      <c r="BH722" s="290"/>
      <c r="BI722" s="289"/>
    </row>
    <row r="723" spans="1:61" ht="15.75" customHeight="1">
      <c r="A723" s="514"/>
      <c r="B723" s="450"/>
      <c r="C723" s="3"/>
      <c r="D723" s="83"/>
      <c r="E723" s="4"/>
      <c r="F723" s="4"/>
      <c r="G723" s="6">
        <v>55</v>
      </c>
      <c r="H723" s="449"/>
      <c r="I723" s="4">
        <f>SUM(G699:G723)</f>
        <v>700</v>
      </c>
      <c r="J723" s="3"/>
      <c r="K723" s="449"/>
      <c r="L723" s="449"/>
      <c r="M723" s="449" t="str">
        <f>IF(L723="","",
IF(AX723="PT",VLOOKUP(L723,Foundation_Calc!$V$79:$X$113,VLOOKUP(AX723,Foundation_Calc!$I$10:$J$13,2,FALSE),0),
IF(AX723="K",VLOOKUP(L723,Foundation_Calc!$V$117:$X$151,VLOOKUP(AX723,Foundation_Calc!$I$10:$J$13,2,FALSE),0),"")))</f>
        <v/>
      </c>
      <c r="N723" s="449"/>
      <c r="O723" s="449"/>
      <c r="P723" s="449"/>
      <c r="Q723" s="4"/>
      <c r="R723" s="6"/>
      <c r="S723" s="6"/>
      <c r="T723" s="4"/>
      <c r="U723" s="4"/>
      <c r="V723" s="4"/>
      <c r="W723" s="572"/>
      <c r="X723" s="9"/>
      <c r="Y723" s="9"/>
      <c r="Z723" s="9"/>
      <c r="AA723" s="9"/>
      <c r="AB723" s="9"/>
      <c r="AC723" s="449" t="str">
        <f t="shared" si="88"/>
        <v/>
      </c>
      <c r="AD723" s="449"/>
      <c r="AE723" s="449"/>
      <c r="AF723" s="4"/>
      <c r="AG723" s="83"/>
      <c r="AH723" s="4"/>
      <c r="AI723" s="4"/>
      <c r="AJ723" s="449"/>
      <c r="AK723" s="449"/>
      <c r="AL723" s="449"/>
      <c r="AM723" s="449"/>
      <c r="AN723" s="10"/>
      <c r="AO723" s="9"/>
      <c r="AP723" s="9"/>
      <c r="AQ723" s="9">
        <f>+FL_1($T$724,$T$722,$G$723,1200,9.28, 1*$F$724)</f>
        <v>0.39714735709090909</v>
      </c>
      <c r="AR723" s="9"/>
      <c r="AS723" s="9"/>
      <c r="AT723" s="9"/>
      <c r="AU723" s="428"/>
      <c r="AV723" s="428"/>
      <c r="AW723" s="449" t="str">
        <f>IF(C723&gt;0,VLOOKUP(C723,Foundation_Calc!$A$2:$C$13,3,1),
IF(J723&gt;0,VLOOKUP(J723,Foundation_Calc!$A$2:$C$13,3,1),""))</f>
        <v/>
      </c>
      <c r="AX723" s="449" t="str">
        <f>IF(C723&gt;0,VLOOKUP(C723,Foundation_Calc!$E$35:$G$65,3,1),
IF(J723&gt;0,VLOOKUP(J723,Foundation_Calc!$E$35:$G$65,3,1),""))</f>
        <v/>
      </c>
      <c r="AY723" s="10" t="str">
        <f>IF(L723="","",
IF(AX723="PT",VLOOKUP(L723,Foundation_Calc!$K$79:$R$113,VLOOKUP(AW723,Foundation_Calc!$I$2:$J$8,2,FALSE),0),
IF(AX723="K",VLOOKUP(L723,Foundation_Calc!$K$117:$R$151,VLOOKUP(AW723,Foundation_Calc!$I$2:$J$8,2,FALSE),0),"")))</f>
        <v/>
      </c>
      <c r="AZ723" s="10" t="str">
        <f>IF(K723="","",
IF(AX723="PT",VLOOKUP(K723,Foundation_Calc!$K$79:$R$113,VLOOKUP(AW723,Foundation_Calc!$I$2:$J$8,2,FALSE),0),
IF(AX723="K",VLOOKUP(K723,Foundation_Calc!$K$117:$R$151,VLOOKUP(AW723,Foundation_Calc!$I$2:$J$8,2,FALSE),0),"")))</f>
        <v/>
      </c>
      <c r="BA723" s="495" t="str">
        <f t="shared" si="92"/>
        <v/>
      </c>
      <c r="BB723" s="495" t="str">
        <f t="shared" si="93"/>
        <v/>
      </c>
      <c r="BC723" s="495" t="str">
        <f t="shared" si="94"/>
        <v/>
      </c>
      <c r="BD723" s="513" t="str">
        <f>IF(AND(L723="",H723=""),"",
IF(H723="",Pole_Calc!A$9,
IF(H723="MP",Pole_Calc!A$10,
IF(H723="AnMP",Pole_Calc!A$11,
IF(H723="A",Pole_Calc!A$12,
IF(H723="S/A",Pole_Calc!A$13,
IF(H723="A/S",Pole_Calc!A$14,"Poner a mano")))))))</f>
        <v/>
      </c>
      <c r="BE723" s="429" t="s">
        <v>118</v>
      </c>
      <c r="BF723" s="290"/>
      <c r="BG723" s="290"/>
      <c r="BH723" s="290"/>
      <c r="BI723" s="290"/>
    </row>
    <row r="724" spans="1:61" ht="15.75" customHeight="1">
      <c r="A724" s="571"/>
      <c r="B724" s="450" t="s">
        <v>1310</v>
      </c>
      <c r="C724" s="3">
        <f>+$C$722+$G$723</f>
        <v>47599.60000000002</v>
      </c>
      <c r="D724" s="83"/>
      <c r="E724" s="4"/>
      <c r="F724" s="4">
        <v>0</v>
      </c>
      <c r="G724" s="6"/>
      <c r="H724" s="449" t="s">
        <v>121</v>
      </c>
      <c r="I724" s="4" t="s">
        <v>122</v>
      </c>
      <c r="J724" s="3"/>
      <c r="K724" s="449"/>
      <c r="L724" s="449" t="s">
        <v>151</v>
      </c>
      <c r="M724" s="449" t="str">
        <f>IF(L724="","",
IF(AX724="PT",VLOOKUP(L724,Foundation_Calc!$V$79:$X$113,VLOOKUP(AX724,Foundation_Calc!$I$10:$J$13,2,FALSE),0),
IF(AX724="K",VLOOKUP(L724,Foundation_Calc!$V$117:$X$151,VLOOKUP(AX724,Foundation_Calc!$I$10:$J$13,2,FALSE),0),"")))</f>
        <v>C4R</v>
      </c>
      <c r="N724" s="449" t="s">
        <v>134</v>
      </c>
      <c r="O724" s="449"/>
      <c r="P724" s="449"/>
      <c r="Q724" s="4"/>
      <c r="R724" s="6"/>
      <c r="S724" s="6"/>
      <c r="T724" s="4">
        <v>35</v>
      </c>
      <c r="U724" s="4"/>
      <c r="V724" s="4"/>
      <c r="W724" s="572">
        <v>1.2</v>
      </c>
      <c r="X724" s="9"/>
      <c r="Y724" s="9"/>
      <c r="Z724" s="9"/>
      <c r="AA724" s="9"/>
      <c r="AB724" s="9"/>
      <c r="AC724" s="449" t="str">
        <f t="shared" si="88"/>
        <v>PHQ</v>
      </c>
      <c r="AD724" s="449"/>
      <c r="AE724" s="449"/>
      <c r="AF724" s="4"/>
      <c r="AG724" s="83"/>
      <c r="AH724" s="4"/>
      <c r="AI724" s="4"/>
      <c r="AJ724" s="449"/>
      <c r="AK724" s="449"/>
      <c r="AL724" s="449"/>
      <c r="AM724" s="449" t="s">
        <v>552</v>
      </c>
      <c r="AN724" s="10">
        <v>5.33</v>
      </c>
      <c r="AO724" s="9"/>
      <c r="AP724" s="9"/>
      <c r="AQ724" s="9"/>
      <c r="AR724" s="9"/>
      <c r="AS724" s="9"/>
      <c r="AT724" s="9">
        <f>+ab($T$724,$T$722,$T$726,$G$723,$G$725, 1*$F$724,1200)</f>
        <v>7.5765350875039097</v>
      </c>
      <c r="AU724" s="428"/>
      <c r="AV724" s="428"/>
      <c r="AW724" s="449" t="str">
        <f>IF(C724&gt;0,VLOOKUP(C724,Foundation_Calc!$A$2:$C$13,3,1),
IF(J724&gt;0,VLOOKUP(J724,Foundation_Calc!$A$2:$C$13,3,1),""))</f>
        <v>Multi Soil</v>
      </c>
      <c r="AX724" s="449" t="str">
        <f>IF(C724&gt;0,VLOOKUP(C724,Foundation_Calc!$E$35:$G$65,3,1),
IF(J724&gt;0,VLOOKUP(J724,Foundation_Calc!$E$35:$G$65,3,1),""))</f>
        <v>PT</v>
      </c>
      <c r="AY724" s="10">
        <f>IF(L724="","",
IF(AX724="PT",VLOOKUP(L724,Foundation_Calc!$K$79:$R$113,VLOOKUP(AW724,Foundation_Calc!$I$2:$J$8,2,FALSE),0),
IF(AX724="K",VLOOKUP(L724,Foundation_Calc!$K$117:$R$151,VLOOKUP(AW724,Foundation_Calc!$I$2:$J$8,2,FALSE),0),"")))</f>
        <v>3.5</v>
      </c>
      <c r="AZ724" s="10" t="str">
        <f>IF(K724="","",
IF(AX724="PT",VLOOKUP(K724,Foundation_Calc!$K$79:$R$113,VLOOKUP(AW724,Foundation_Calc!$I$2:$J$8,2,FALSE),0),
IF(AX724="K",VLOOKUP(K724,Foundation_Calc!$K$117:$R$151,VLOOKUP(AW724,Foundation_Calc!$I$2:$J$8,2,FALSE),0),"")))</f>
        <v/>
      </c>
      <c r="BA724" s="495" t="str">
        <f t="shared" si="92"/>
        <v>ü</v>
      </c>
      <c r="BB724" s="495" t="str">
        <f t="shared" si="93"/>
        <v/>
      </c>
      <c r="BC724" s="495" t="str">
        <f t="shared" si="94"/>
        <v/>
      </c>
      <c r="BD724" s="513" t="str">
        <f>IF(AND(L724="",H724=""),"",
IF(H724="",Pole_Calc!A$9,
IF(H724="MP",Pole_Calc!A$10,
IF(H724="AnMP",Pole_Calc!A$11,
IF(H724="A",Pole_Calc!A$12,
IF(H724="S/A",Pole_Calc!A$13,
IF(H724="A/S",Pole_Calc!A$14,"Poner a mano")))))))</f>
        <v>App.7-V11I-P9.5.1.6</v>
      </c>
      <c r="BE724" s="429" t="s">
        <v>118</v>
      </c>
      <c r="BF724" s="289"/>
      <c r="BG724" s="289"/>
      <c r="BH724" s="290"/>
      <c r="BI724" s="289"/>
    </row>
    <row r="725" spans="1:61" ht="15.75" customHeight="1">
      <c r="A725" s="514"/>
      <c r="B725" s="450"/>
      <c r="C725" s="3"/>
      <c r="D725" s="83"/>
      <c r="E725" s="4"/>
      <c r="F725" s="4"/>
      <c r="G725" s="6">
        <v>52.2</v>
      </c>
      <c r="H725" s="449"/>
      <c r="I725" s="4"/>
      <c r="J725" s="3">
        <f>C724+7.5</f>
        <v>47607.10000000002</v>
      </c>
      <c r="K725" s="449" t="s">
        <v>117</v>
      </c>
      <c r="L725" s="449"/>
      <c r="M725" s="449" t="str">
        <f>IF(L725="","",
IF(AX725="PT",VLOOKUP(L725,Foundation_Calc!$V$79:$X$113,VLOOKUP(AX725,Foundation_Calc!$I$10:$J$13,2,FALSE),0),
IF(AX725="K",VLOOKUP(L725,Foundation_Calc!$V$117:$X$151,VLOOKUP(AX725,Foundation_Calc!$I$10:$J$13,2,FALSE),0),"")))</f>
        <v/>
      </c>
      <c r="N725" s="449"/>
      <c r="O725" s="449"/>
      <c r="P725" s="449"/>
      <c r="Q725" s="4"/>
      <c r="R725" s="6"/>
      <c r="S725" s="6"/>
      <c r="T725" s="4"/>
      <c r="U725" s="4"/>
      <c r="V725" s="4"/>
      <c r="W725" s="572"/>
      <c r="X725" s="9"/>
      <c r="Y725" s="9"/>
      <c r="Z725" s="9"/>
      <c r="AA725" s="9"/>
      <c r="AB725" s="9"/>
      <c r="AC725" s="449" t="str">
        <f t="shared" si="88"/>
        <v/>
      </c>
      <c r="AD725" s="449"/>
      <c r="AE725" s="449"/>
      <c r="AF725" s="4"/>
      <c r="AG725" s="83"/>
      <c r="AH725" s="4"/>
      <c r="AI725" s="4"/>
      <c r="AJ725" s="449"/>
      <c r="AK725" s="449"/>
      <c r="AL725" s="449"/>
      <c r="AM725" s="449"/>
      <c r="AN725" s="10"/>
      <c r="AO725" s="9"/>
      <c r="AP725" s="9"/>
      <c r="AQ725" s="9">
        <f>+FL_1($T$726,$T$724,$G$725,1200,9.28, 1*$F$728)</f>
        <v>0.35321532341559392</v>
      </c>
      <c r="AR725" s="9"/>
      <c r="AS725" s="9"/>
      <c r="AT725" s="9"/>
      <c r="AU725" s="428"/>
      <c r="AV725" s="428"/>
      <c r="AW725" s="449" t="str">
        <f>IF(C725&gt;0,VLOOKUP(C725,Foundation_Calc!$A$2:$C$13,3,1),
IF(J725&gt;0,VLOOKUP(J725,Foundation_Calc!$A$2:$C$13,3,1),""))</f>
        <v>Multi Soil</v>
      </c>
      <c r="AX725" s="449" t="str">
        <f>IF(C725&gt;0,VLOOKUP(C725,Foundation_Calc!$E$35:$G$65,3,1),
IF(J725&gt;0,VLOOKUP(J725,Foundation_Calc!$E$35:$G$65,3,1),""))</f>
        <v>PT</v>
      </c>
      <c r="AY725" s="10" t="str">
        <f>IF(L725="","",
IF(AX725="PT",VLOOKUP(L725,Foundation_Calc!$K$79:$R$113,VLOOKUP(AW725,Foundation_Calc!$I$2:$J$8,2,FALSE),0),
IF(AX725="K",VLOOKUP(L725,Foundation_Calc!$K$117:$R$151,VLOOKUP(AW725,Foundation_Calc!$I$2:$J$8,2,FALSE),0),"")))</f>
        <v/>
      </c>
      <c r="AZ725" s="10">
        <f>IF(K725="","",
IF(AX725="PT",VLOOKUP(K725,Foundation_Calc!$K$79:$R$113,VLOOKUP(AW725,Foundation_Calc!$I$2:$J$8,2,FALSE),0),
IF(AX725="K",VLOOKUP(K725,Foundation_Calc!$K$117:$R$151,VLOOKUP(AW725,Foundation_Calc!$I$2:$J$8,2,FALSE),0),"")))</f>
        <v>3.9</v>
      </c>
      <c r="BA725" s="495" t="str">
        <f t="shared" si="92"/>
        <v/>
      </c>
      <c r="BB725" s="495" t="str">
        <f t="shared" si="93"/>
        <v>ü</v>
      </c>
      <c r="BC725" s="495" t="str">
        <f t="shared" si="94"/>
        <v/>
      </c>
      <c r="BD725" s="513" t="str">
        <f>IF(AND(L725="",H725=""),"",
IF(H725="",Pole_Calc!A$9,
IF(H725="MP",Pole_Calc!A$10,
IF(H725="AnMP",Pole_Calc!A$11,
IF(H725="A",Pole_Calc!A$12,
IF(H725="S/A",Pole_Calc!A$13,
IF(H725="A/S",Pole_Calc!A$14,"Poner a mano")))))))</f>
        <v/>
      </c>
      <c r="BE725" s="429" t="s">
        <v>118</v>
      </c>
      <c r="BF725" s="290"/>
      <c r="BG725" s="290"/>
      <c r="BH725" s="290"/>
      <c r="BI725" s="290"/>
    </row>
    <row r="726" spans="1:61" ht="15.75" customHeight="1">
      <c r="A726" s="514"/>
      <c r="B726" s="450" t="s">
        <v>1311</v>
      </c>
      <c r="C726" s="3">
        <f>+$C$724+$G$725</f>
        <v>47651.800000000017</v>
      </c>
      <c r="D726" s="83"/>
      <c r="E726" s="4"/>
      <c r="F726" s="4">
        <v>0</v>
      </c>
      <c r="G726" s="6"/>
      <c r="H726" s="449"/>
      <c r="I726" s="4"/>
      <c r="J726" s="3"/>
      <c r="K726" s="449"/>
      <c r="L726" s="449" t="s">
        <v>153</v>
      </c>
      <c r="M726" s="449" t="str">
        <f>IF(L726="","",
IF(AX726="PT",VLOOKUP(L726,Foundation_Calc!$V$79:$X$113,VLOOKUP(AX726,Foundation_Calc!$I$10:$J$13,2,FALSE),0),
IF(AX726="K",VLOOKUP(L726,Foundation_Calc!$V$117:$X$151,VLOOKUP(AX726,Foundation_Calc!$I$10:$J$13,2,FALSE),0),"")))</f>
        <v>C3R</v>
      </c>
      <c r="N726" s="449" t="s">
        <v>124</v>
      </c>
      <c r="O726" s="449"/>
      <c r="P726" s="449"/>
      <c r="Q726" s="4"/>
      <c r="R726" s="6"/>
      <c r="S726" s="6"/>
      <c r="T726" s="4">
        <v>-30</v>
      </c>
      <c r="U726" s="4"/>
      <c r="V726" s="4"/>
      <c r="W726" s="572">
        <v>0.8</v>
      </c>
      <c r="X726" s="9"/>
      <c r="Y726" s="9"/>
      <c r="Z726" s="9"/>
      <c r="AA726" s="9"/>
      <c r="AB726" s="9"/>
      <c r="AC726" s="449" t="str">
        <f t="shared" si="88"/>
        <v>PH</v>
      </c>
      <c r="AD726" s="449"/>
      <c r="AE726" s="449"/>
      <c r="AF726" s="4"/>
      <c r="AG726" s="83"/>
      <c r="AH726" s="4"/>
      <c r="AI726" s="4"/>
      <c r="AJ726" s="449"/>
      <c r="AK726" s="449"/>
      <c r="AL726" s="449"/>
      <c r="AM726" s="449" t="s">
        <v>552</v>
      </c>
      <c r="AN726" s="10">
        <v>5.22</v>
      </c>
      <c r="AO726" s="9"/>
      <c r="AP726" s="9"/>
      <c r="AQ726" s="9"/>
      <c r="AR726" s="9"/>
      <c r="AS726" s="9"/>
      <c r="AT726" s="9">
        <f>+ab($T$726,$T$724,$T$728,$G$725,$G$727, 1*$F$726,1200)</f>
        <v>-8.0979228479959851</v>
      </c>
      <c r="AU726" s="428"/>
      <c r="AV726" s="428"/>
      <c r="AW726" s="449" t="str">
        <f>IF(C726&gt;0,VLOOKUP(C726,Foundation_Calc!$A$2:$C$13,3,1),
IF(J726&gt;0,VLOOKUP(J726,Foundation_Calc!$A$2:$C$13,3,1),""))</f>
        <v>Multi Soil</v>
      </c>
      <c r="AX726" s="449" t="str">
        <f>IF(C726&gt;0,VLOOKUP(C726,Foundation_Calc!$E$35:$G$65,3,1),
IF(J726&gt;0,VLOOKUP(J726,Foundation_Calc!$E$35:$G$65,3,1),""))</f>
        <v>PT</v>
      </c>
      <c r="AY726" s="10">
        <f>IF(L726="","",
IF(AX726="PT",VLOOKUP(L726,Foundation_Calc!$K$79:$R$113,VLOOKUP(AW726,Foundation_Calc!$I$2:$J$8,2,FALSE),0),
IF(AX726="K",VLOOKUP(L726,Foundation_Calc!$K$117:$R$151,VLOOKUP(AW726,Foundation_Calc!$I$2:$J$8,2,FALSE),0),"")))</f>
        <v>3.5</v>
      </c>
      <c r="AZ726" s="10" t="str">
        <f>IF(K726="","",
IF(AX726="PT",VLOOKUP(K726,Foundation_Calc!$K$79:$R$113,VLOOKUP(AW726,Foundation_Calc!$I$2:$J$8,2,FALSE),0),
IF(AX726="K",VLOOKUP(K726,Foundation_Calc!$K$117:$R$151,VLOOKUP(AW726,Foundation_Calc!$I$2:$J$8,2,FALSE),0),"")))</f>
        <v/>
      </c>
      <c r="BA726" s="495" t="str">
        <f t="shared" ref="BA726" si="95">IF(AY726="","",IF(AY726&gt;0,"ü",""))</f>
        <v>ü</v>
      </c>
      <c r="BB726" s="495" t="str">
        <f t="shared" ref="BB726" si="96">IF(AZ726="","",IF(AZ726&gt;0,"ü",""))</f>
        <v/>
      </c>
      <c r="BC726" s="495" t="str">
        <f t="shared" ref="BC726" si="97">IF(M726="","",IF(M726="U.S.","ü",IF(M726="U.S. N.D.","ü","")))</f>
        <v/>
      </c>
      <c r="BD726" s="513" t="str">
        <f>IF(AND(L726="",H726=""),"",
IF(H726="",Pole_Calc!A$9,
IF(H726="MP",Pole_Calc!A$10,
IF(H726="AnMP",Pole_Calc!A$11,
IF(H726="A",Pole_Calc!A$12,
IF(H726="S/A",Pole_Calc!A$13,
IF(H726="A/S",Pole_Calc!A$14,"Poner a mano")))))))</f>
        <v>App.7-V11I-P9.5.1.1</v>
      </c>
      <c r="BE726" s="429" t="s">
        <v>118</v>
      </c>
      <c r="BF726" s="289"/>
      <c r="BG726" s="289"/>
      <c r="BH726" s="290"/>
      <c r="BI726" s="289"/>
    </row>
    <row r="727" spans="1:61" ht="15.75" customHeight="1">
      <c r="A727" s="514"/>
      <c r="B727" s="450"/>
      <c r="C727" s="3"/>
      <c r="D727" s="83"/>
      <c r="E727" s="4"/>
      <c r="F727" s="4"/>
      <c r="G727" s="6">
        <v>45.1</v>
      </c>
      <c r="H727" s="449"/>
      <c r="I727" s="4"/>
      <c r="J727" s="3"/>
      <c r="K727" s="449"/>
      <c r="L727" s="449"/>
      <c r="M727" s="449"/>
      <c r="N727" s="449"/>
      <c r="O727" s="449"/>
      <c r="P727" s="449"/>
      <c r="Q727" s="4"/>
      <c r="R727" s="6"/>
      <c r="S727" s="6"/>
      <c r="T727" s="4"/>
      <c r="U727" s="4"/>
      <c r="V727" s="4"/>
      <c r="W727" s="572"/>
      <c r="X727" s="9"/>
      <c r="Y727" s="9"/>
      <c r="Z727" s="9"/>
      <c r="AA727" s="9"/>
      <c r="AB727" s="9"/>
      <c r="AC727" s="449"/>
      <c r="AD727" s="449"/>
      <c r="AE727" s="449"/>
      <c r="AF727" s="4"/>
      <c r="AG727" s="83"/>
      <c r="AH727" s="4"/>
      <c r="AI727" s="4"/>
      <c r="AJ727" s="449"/>
      <c r="AK727" s="449"/>
      <c r="AL727" s="449"/>
      <c r="AM727" s="449"/>
      <c r="AN727" s="10"/>
      <c r="AO727" s="9"/>
      <c r="AP727" s="9"/>
      <c r="AQ727" s="9">
        <f>+FL_1($T$728,$T$726,$G$727,1200,9.28, 1*$F$728)</f>
        <v>0.20152820275953715</v>
      </c>
      <c r="AR727" s="9"/>
      <c r="AS727" s="9"/>
      <c r="AT727" s="9"/>
      <c r="AU727" s="428"/>
      <c r="AV727" s="428"/>
      <c r="AW727" s="449"/>
      <c r="AX727" s="449"/>
      <c r="AY727" s="10"/>
      <c r="AZ727" s="10"/>
      <c r="BA727" s="495"/>
      <c r="BB727" s="495"/>
      <c r="BC727" s="495"/>
      <c r="BD727" s="513"/>
      <c r="BE727" s="429" t="s">
        <v>118</v>
      </c>
      <c r="BF727" s="290"/>
      <c r="BG727" s="290"/>
      <c r="BH727" s="290"/>
      <c r="BI727" s="290"/>
    </row>
    <row r="728" spans="1:61" ht="15.75" customHeight="1">
      <c r="A728" s="514"/>
      <c r="B728" s="450" t="s">
        <v>1312</v>
      </c>
      <c r="C728" s="3">
        <f>+$C$726+$G$727</f>
        <v>47696.900000000016</v>
      </c>
      <c r="D728" s="83"/>
      <c r="E728" s="4"/>
      <c r="F728" s="4">
        <v>4459.4142259402461</v>
      </c>
      <c r="G728" s="6"/>
      <c r="H728" s="449"/>
      <c r="I728" s="449"/>
      <c r="J728" s="3"/>
      <c r="K728" s="449"/>
      <c r="L728" s="449" t="s">
        <v>153</v>
      </c>
      <c r="M728" s="449" t="str">
        <f>IF(L728="","",
IF(AX728="PT",VLOOKUP(L728,Foundation_Calc!$V$79:$X$113,VLOOKUP(AX728,Foundation_Calc!$I$10:$J$13,2,FALSE),0),
IF(AX728="K",VLOOKUP(L728,Foundation_Calc!$V$117:$X$151,VLOOKUP(AX728,Foundation_Calc!$I$10:$J$13,2,FALSE),0),"")))</f>
        <v>C3R</v>
      </c>
      <c r="N728" s="449" t="s">
        <v>134</v>
      </c>
      <c r="O728" s="449"/>
      <c r="P728" s="449"/>
      <c r="Q728" s="4"/>
      <c r="R728" s="6"/>
      <c r="S728" s="6"/>
      <c r="T728" s="4">
        <v>20</v>
      </c>
      <c r="U728" s="4"/>
      <c r="V728" s="4"/>
      <c r="W728" s="572">
        <v>0.6</v>
      </c>
      <c r="X728" s="9"/>
      <c r="Y728" s="9"/>
      <c r="Z728" s="9"/>
      <c r="AA728" s="9"/>
      <c r="AB728" s="9"/>
      <c r="AC728" s="449" t="str">
        <f t="shared" si="88"/>
        <v>PH</v>
      </c>
      <c r="AD728" s="449"/>
      <c r="AE728" s="449"/>
      <c r="AF728" s="4"/>
      <c r="AG728" s="83"/>
      <c r="AH728" s="4"/>
      <c r="AI728" s="4"/>
      <c r="AJ728" s="449"/>
      <c r="AK728" s="449"/>
      <c r="AL728" s="449"/>
      <c r="AM728" s="449" t="s">
        <v>552</v>
      </c>
      <c r="AN728" s="10">
        <v>5.15</v>
      </c>
      <c r="AO728" s="9"/>
      <c r="AP728" s="9"/>
      <c r="AQ728" s="9"/>
      <c r="AR728" s="9"/>
      <c r="AS728" s="9"/>
      <c r="AT728" s="9">
        <f>+ab($T$728,$T$724,$T$730,$G$725,$G$729, 1*$F$728,1200)</f>
        <v>30.703317531600373</v>
      </c>
      <c r="AU728" s="428"/>
      <c r="AV728" s="428"/>
      <c r="AW728" s="449" t="str">
        <f>IF(C728&gt;0,VLOOKUP(C728,Foundation_Calc!$A$2:$C$13,3,1),
IF(J728&gt;0,VLOOKUP(J728,Foundation_Calc!$A$2:$C$13,3,1),""))</f>
        <v>Multi Soil</v>
      </c>
      <c r="AX728" s="449" t="str">
        <f>IF(C728&gt;0,VLOOKUP(C728,Foundation_Calc!$E$35:$G$65,3,1),
IF(J728&gt;0,VLOOKUP(J728,Foundation_Calc!$E$35:$G$65,3,1),""))</f>
        <v>PT</v>
      </c>
      <c r="AY728" s="10">
        <f>IF(L728="","",
IF(AX728="PT",VLOOKUP(L728,Foundation_Calc!$K$79:$R$113,VLOOKUP(AW728,Foundation_Calc!$I$2:$J$8,2,FALSE),0),
IF(AX728="K",VLOOKUP(L728,Foundation_Calc!$K$117:$R$151,VLOOKUP(AW728,Foundation_Calc!$I$2:$J$8,2,FALSE),0),"")))</f>
        <v>3.5</v>
      </c>
      <c r="AZ728" s="10" t="str">
        <f>IF(K728="","",
IF(AX728="PT",VLOOKUP(K728,Foundation_Calc!$K$79:$R$113,VLOOKUP(AW728,Foundation_Calc!$I$2:$J$8,2,FALSE),0),
IF(AX728="K",VLOOKUP(K728,Foundation_Calc!$K$117:$R$151,VLOOKUP(AW728,Foundation_Calc!$I$2:$J$8,2,FALSE),0),"")))</f>
        <v/>
      </c>
      <c r="BA728" s="495" t="str">
        <f t="shared" si="92"/>
        <v>ü</v>
      </c>
      <c r="BB728" s="495" t="str">
        <f t="shared" si="93"/>
        <v/>
      </c>
      <c r="BC728" s="495" t="str">
        <f t="shared" si="94"/>
        <v/>
      </c>
      <c r="BD728" s="513" t="str">
        <f>IF(AND(L728="",H728=""),"",
IF(H728="",Pole_Calc!A$9,
IF(H728="MP",Pole_Calc!A$10,
IF(H728="AnMP",Pole_Calc!A$11,
IF(H728="A",Pole_Calc!A$12,
IF(H728="S/A",Pole_Calc!A$13,
IF(H728="A/S",Pole_Calc!A$14,"Poner a mano")))))))</f>
        <v>App.7-V11I-P9.5.1.1</v>
      </c>
      <c r="BE728" s="429" t="s">
        <v>118</v>
      </c>
      <c r="BF728" s="289"/>
      <c r="BG728" s="289"/>
      <c r="BH728" s="290"/>
      <c r="BI728" s="289"/>
    </row>
    <row r="729" spans="1:61" ht="15.75" customHeight="1">
      <c r="A729" s="514" t="s">
        <v>199</v>
      </c>
      <c r="B729" s="450"/>
      <c r="C729" s="3"/>
      <c r="D729" s="83"/>
      <c r="E729" s="4"/>
      <c r="F729" s="4"/>
      <c r="G729" s="6">
        <v>44</v>
      </c>
      <c r="H729" s="449"/>
      <c r="I729" s="4"/>
      <c r="J729" s="3"/>
      <c r="K729" s="449"/>
      <c r="L729" s="449"/>
      <c r="M729" s="449" t="str">
        <f>IF(L729="","",
IF(AX729="PT",VLOOKUP(L729,Foundation_Calc!$V$79:$X$113,VLOOKUP(AX729,Foundation_Calc!$I$10:$J$13,2,FALSE),0),
IF(AX729="K",VLOOKUP(L729,Foundation_Calc!$V$117:$X$151,VLOOKUP(AX729,Foundation_Calc!$I$10:$J$13,2,FALSE),0),"")))</f>
        <v/>
      </c>
      <c r="N729" s="449"/>
      <c r="O729" s="449"/>
      <c r="P729" s="449"/>
      <c r="Q729" s="4"/>
      <c r="R729" s="6"/>
      <c r="S729" s="6"/>
      <c r="T729" s="4"/>
      <c r="U729" s="4"/>
      <c r="V729" s="4"/>
      <c r="W729" s="572"/>
      <c r="X729" s="9"/>
      <c r="Y729" s="9"/>
      <c r="Z729" s="9"/>
      <c r="AA729" s="9"/>
      <c r="AB729" s="9"/>
      <c r="AC729" s="449" t="str">
        <f t="shared" ref="AC729:AC789" si="98">IF(OR(AT729&gt;8,AT729&lt;-8),"PH",
IF(OR(AT729&gt;5,AT729&lt;-5),"PHQ",
IF(OR(AT729&gt;1,AT729&lt;-1),
"PHC","")))</f>
        <v/>
      </c>
      <c r="AD729" s="449"/>
      <c r="AE729" s="449"/>
      <c r="AF729" s="4"/>
      <c r="AG729" s="83"/>
      <c r="AH729" s="4"/>
      <c r="AI729" s="4"/>
      <c r="AJ729" s="449"/>
      <c r="AK729" s="449"/>
      <c r="AL729" s="449"/>
      <c r="AM729" s="449"/>
      <c r="AN729" s="10"/>
      <c r="AO729" s="9"/>
      <c r="AP729" s="9"/>
      <c r="AQ729" s="9">
        <f>+FL_1($T$730,$T$728,$G$729,1200,9.28, 1*$F$730)</f>
        <v>0.33545126523622604</v>
      </c>
      <c r="AR729" s="9"/>
      <c r="AS729" s="9"/>
      <c r="AT729" s="9"/>
      <c r="AU729" s="428"/>
      <c r="AV729" s="428"/>
      <c r="AW729" s="449" t="str">
        <f>IF(C729&gt;0,VLOOKUP(C729,Foundation_Calc!$A$2:$C$13,3,1),
IF(J729&gt;0,VLOOKUP(J729,Foundation_Calc!$A$2:$C$13,3,1),""))</f>
        <v/>
      </c>
      <c r="AX729" s="449" t="str">
        <f>IF(C729&gt;0,VLOOKUP(C729,Foundation_Calc!$E$35:$G$65,3,1),
IF(J729&gt;0,VLOOKUP(J729,Foundation_Calc!$E$35:$G$65,3,1),""))</f>
        <v/>
      </c>
      <c r="AY729" s="10" t="str">
        <f>IF(L729="","",
IF(AX729="PT",VLOOKUP(L729,Foundation_Calc!$K$79:$R$113,VLOOKUP(AW729,Foundation_Calc!$I$2:$J$8,2,FALSE),0),
IF(AX729="K",VLOOKUP(L729,Foundation_Calc!$K$117:$R$151,VLOOKUP(AW729,Foundation_Calc!$I$2:$J$8,2,FALSE),0),"")))</f>
        <v/>
      </c>
      <c r="AZ729" s="10" t="str">
        <f>IF(K729="","",
IF(AX729="PT",VLOOKUP(K729,Foundation_Calc!$K$79:$R$113,VLOOKUP(AW729,Foundation_Calc!$I$2:$J$8,2,FALSE),0),
IF(AX729="K",VLOOKUP(K729,Foundation_Calc!$K$117:$R$151,VLOOKUP(AW729,Foundation_Calc!$I$2:$J$8,2,FALSE),0),"")))</f>
        <v/>
      </c>
      <c r="BA729" s="495" t="str">
        <f t="shared" si="92"/>
        <v/>
      </c>
      <c r="BB729" s="495" t="str">
        <f t="shared" si="93"/>
        <v/>
      </c>
      <c r="BC729" s="495" t="str">
        <f t="shared" si="94"/>
        <v/>
      </c>
      <c r="BD729" s="513" t="str">
        <f>IF(AND(L729="",H729=""),"",
IF(H729="",Pole_Calc!A$9,
IF(H729="MP",Pole_Calc!A$10,
IF(H729="AnMP",Pole_Calc!A$11,
IF(H729="A",Pole_Calc!A$12,
IF(H729="S/A",Pole_Calc!A$13,
IF(H729="A/S",Pole_Calc!A$14,"Poner a mano")))))))</f>
        <v/>
      </c>
      <c r="BE729" s="429" t="s">
        <v>118</v>
      </c>
      <c r="BF729" s="290"/>
      <c r="BG729" s="290"/>
      <c r="BH729" s="290"/>
      <c r="BI729" s="290"/>
    </row>
    <row r="730" spans="1:61" ht="15.75" customHeight="1">
      <c r="A730" s="571"/>
      <c r="B730" s="450" t="s">
        <v>1313</v>
      </c>
      <c r="C730" s="3">
        <f>+$C$728+$G$729</f>
        <v>47740.900000000016</v>
      </c>
      <c r="D730" s="83"/>
      <c r="E730" s="4"/>
      <c r="F730" s="4">
        <v>2204.5966444492642</v>
      </c>
      <c r="G730" s="6"/>
      <c r="H730" s="449" t="s">
        <v>168</v>
      </c>
      <c r="I730" s="4"/>
      <c r="J730" s="3"/>
      <c r="K730" s="449"/>
      <c r="L730" s="449" t="s">
        <v>206</v>
      </c>
      <c r="M730" s="449" t="str">
        <f>IF(L730="","",
IF(AX730="PT",VLOOKUP(L730,Foundation_Calc!$V$79:$X$113,VLOOKUP(AX730,Foundation_Calc!$I$10:$J$13,2,FALSE),0),
IF(AX730="K",VLOOKUP(L730,Foundation_Calc!$V$117:$X$151,VLOOKUP(AX730,Foundation_Calc!$I$10:$J$13,2,FALSE),0),"")))</f>
        <v>2C4R</v>
      </c>
      <c r="N730" s="449" t="s">
        <v>134</v>
      </c>
      <c r="O730" s="449"/>
      <c r="P730" s="449"/>
      <c r="Q730" s="4"/>
      <c r="R730" s="6"/>
      <c r="S730" s="6"/>
      <c r="T730" s="4">
        <v>30</v>
      </c>
      <c r="U730" s="4"/>
      <c r="V730" s="4"/>
      <c r="W730" s="572">
        <v>0.6</v>
      </c>
      <c r="X730" s="9"/>
      <c r="Y730" s="9"/>
      <c r="Z730" s="9"/>
      <c r="AA730" s="9"/>
      <c r="AB730" s="9"/>
      <c r="AC730" s="449" t="str">
        <f t="shared" si="98"/>
        <v>PH</v>
      </c>
      <c r="AD730" s="449"/>
      <c r="AE730" s="449"/>
      <c r="AF730" s="4"/>
      <c r="AG730" s="83"/>
      <c r="AH730" s="4"/>
      <c r="AI730" s="4"/>
      <c r="AJ730" s="449"/>
      <c r="AK730" s="449"/>
      <c r="AL730" s="449"/>
      <c r="AM730" s="449" t="s">
        <v>552</v>
      </c>
      <c r="AN730" s="10">
        <v>5.15</v>
      </c>
      <c r="AO730" s="9"/>
      <c r="AP730" s="9"/>
      <c r="AQ730" s="9"/>
      <c r="AR730" s="9"/>
      <c r="AS730" s="9"/>
      <c r="AT730" s="9">
        <f>+ab($T$730,$T$728,$T$732,$G$729,$G$731, 1*$F$730,1200)</f>
        <v>8.1029340281172768</v>
      </c>
      <c r="AU730" s="428"/>
      <c r="AV730" s="428"/>
      <c r="AW730" s="449" t="str">
        <f>IF(C730&gt;0,VLOOKUP(C730,Foundation_Calc!$A$2:$C$13,3,1),
IF(J730&gt;0,VLOOKUP(J730,Foundation_Calc!$A$2:$C$13,3,1),""))</f>
        <v>Multi Soil</v>
      </c>
      <c r="AX730" s="449" t="str">
        <f>IF(C730&gt;0,VLOOKUP(C730,Foundation_Calc!$E$35:$G$65,3,1),
IF(J730&gt;0,VLOOKUP(J730,Foundation_Calc!$E$35:$G$65,3,1),""))</f>
        <v>PT</v>
      </c>
      <c r="AY730" s="10">
        <f>IF(L730="","",
IF(AX730="PT",VLOOKUP(L730,Foundation_Calc!$K$79:$R$113,VLOOKUP(AW730,Foundation_Calc!$I$2:$J$8,2,FALSE),0),
IF(AX730="K",VLOOKUP(L730,Foundation_Calc!$K$117:$R$151,VLOOKUP(AW730,Foundation_Calc!$I$2:$J$8,2,FALSE),0),"")))</f>
        <v>4</v>
      </c>
      <c r="AZ730" s="10" t="str">
        <f>IF(K730="","",
IF(AX730="PT",VLOOKUP(K730,Foundation_Calc!$K$79:$R$113,VLOOKUP(AW730,Foundation_Calc!$I$2:$J$8,2,FALSE),0),
IF(AX730="K",VLOOKUP(K730,Foundation_Calc!$K$117:$R$151,VLOOKUP(AW730,Foundation_Calc!$I$2:$J$8,2,FALSE),0),"")))</f>
        <v/>
      </c>
      <c r="BA730" s="495" t="str">
        <f t="shared" si="92"/>
        <v>ü</v>
      </c>
      <c r="BB730" s="495" t="str">
        <f t="shared" si="93"/>
        <v/>
      </c>
      <c r="BC730" s="495" t="str">
        <f t="shared" si="94"/>
        <v/>
      </c>
      <c r="BD730" s="513" t="str">
        <f>IF(AND(L730="",H730=""),"",
IF(H730="",Pole_Calc!A$9,
IF(H730="MP",Pole_Calc!A$10,
IF(H730="AnMP",Pole_Calc!A$11,
IF(H730="A",Pole_Calc!A$12,
IF(H730="S/A",Pole_Calc!A$13,
IF(H730="A/S",Pole_Calc!A$14,"Poner a mano")))))))</f>
        <v>App.7-V11I-P9.5.1.3</v>
      </c>
      <c r="BE730" s="429" t="s">
        <v>118</v>
      </c>
      <c r="BF730" s="289"/>
      <c r="BG730" s="289"/>
      <c r="BH730" s="290"/>
      <c r="BI730" s="289"/>
    </row>
    <row r="731" spans="1:61" ht="15.75" customHeight="1">
      <c r="A731" s="571"/>
      <c r="B731" s="450"/>
      <c r="C731" s="3"/>
      <c r="D731" s="83"/>
      <c r="E731" s="4"/>
      <c r="F731" s="4"/>
      <c r="G731" s="6">
        <v>49.7</v>
      </c>
      <c r="H731" s="449"/>
      <c r="I731" s="4">
        <f>SUM(G715:G731)</f>
        <v>442</v>
      </c>
      <c r="J731" s="3"/>
      <c r="K731" s="449"/>
      <c r="L731" s="449"/>
      <c r="M731" s="449" t="str">
        <f>IF(L731="","",
IF(AX731="PT",VLOOKUP(L731,Foundation_Calc!$V$79:$X$113,VLOOKUP(AX731,Foundation_Calc!$I$10:$J$13,2,FALSE),0),
IF(AX731="K",VLOOKUP(L731,Foundation_Calc!$V$117:$X$151,VLOOKUP(AX731,Foundation_Calc!$I$10:$J$13,2,FALSE),0),"")))</f>
        <v/>
      </c>
      <c r="N731" s="449"/>
      <c r="O731" s="449"/>
      <c r="P731" s="449"/>
      <c r="Q731" s="4"/>
      <c r="R731" s="6"/>
      <c r="S731" s="6"/>
      <c r="T731" s="4"/>
      <c r="U731" s="4"/>
      <c r="V731" s="4"/>
      <c r="W731" s="572"/>
      <c r="X731" s="9"/>
      <c r="Y731" s="9"/>
      <c r="Z731" s="9"/>
      <c r="AA731" s="9"/>
      <c r="AB731" s="9"/>
      <c r="AC731" s="449" t="str">
        <f t="shared" si="98"/>
        <v/>
      </c>
      <c r="AD731" s="449"/>
      <c r="AE731" s="449"/>
      <c r="AF731" s="4"/>
      <c r="AG731" s="83"/>
      <c r="AH731" s="4"/>
      <c r="AI731" s="4"/>
      <c r="AJ731" s="449"/>
      <c r="AK731" s="449"/>
      <c r="AL731" s="449"/>
      <c r="AM731" s="449"/>
      <c r="AN731" s="10"/>
      <c r="AO731" s="9"/>
      <c r="AP731" s="9"/>
      <c r="AQ731" s="9">
        <f>+FL_1($T$732,$T$730,$G$731,1200,9.28, 1*$F$732)</f>
        <v>0.34578794662163814</v>
      </c>
      <c r="AR731" s="9"/>
      <c r="AS731" s="9"/>
      <c r="AT731" s="9"/>
      <c r="AU731" s="428"/>
      <c r="AV731" s="428"/>
      <c r="AW731" s="449" t="str">
        <f>IF(C731&gt;0,VLOOKUP(C731,Foundation_Calc!$A$2:$C$13,3,1),
IF(J731&gt;0,VLOOKUP(J731,Foundation_Calc!$A$2:$C$13,3,1),""))</f>
        <v/>
      </c>
      <c r="AX731" s="449" t="str">
        <f>IF(C731&gt;0,VLOOKUP(C731,Foundation_Calc!$E$35:$G$65,3,1),
IF(J731&gt;0,VLOOKUP(J731,Foundation_Calc!$E$35:$G$65,3,1),""))</f>
        <v/>
      </c>
      <c r="AY731" s="10" t="str">
        <f>IF(L731="","",
IF(AX731="PT",VLOOKUP(L731,Foundation_Calc!$K$79:$R$113,VLOOKUP(AW731,Foundation_Calc!$I$2:$J$8,2,FALSE),0),
IF(AX731="K",VLOOKUP(L731,Foundation_Calc!$K$117:$R$151,VLOOKUP(AW731,Foundation_Calc!$I$2:$J$8,2,FALSE),0),"")))</f>
        <v/>
      </c>
      <c r="AZ731" s="10" t="str">
        <f>IF(K731="","",
IF(AX731="PT",VLOOKUP(K731,Foundation_Calc!$K$79:$R$113,VLOOKUP(AW731,Foundation_Calc!$I$2:$J$8,2,FALSE),0),
IF(AX731="K",VLOOKUP(K731,Foundation_Calc!$K$117:$R$151,VLOOKUP(AW731,Foundation_Calc!$I$2:$J$8,2,FALSE),0),"")))</f>
        <v/>
      </c>
      <c r="BA731" s="495" t="str">
        <f t="shared" si="92"/>
        <v/>
      </c>
      <c r="BB731" s="495" t="str">
        <f t="shared" si="93"/>
        <v/>
      </c>
      <c r="BC731" s="495" t="str">
        <f t="shared" si="94"/>
        <v/>
      </c>
      <c r="BD731" s="513" t="str">
        <f>IF(AND(L731="",H731=""),"",
IF(H731="",Pole_Calc!A$9,
IF(H731="MP",Pole_Calc!A$10,
IF(H731="AnMP",Pole_Calc!A$11,
IF(H731="A",Pole_Calc!A$12,
IF(H731="S/A",Pole_Calc!A$13,
IF(H731="A/S",Pole_Calc!A$14,"Poner a mano")))))))</f>
        <v/>
      </c>
      <c r="BE731" s="429" t="s">
        <v>118</v>
      </c>
      <c r="BF731" s="290"/>
      <c r="BG731" s="290"/>
      <c r="BH731" s="290"/>
      <c r="BI731" s="290"/>
    </row>
    <row r="732" spans="1:61" ht="15.75" customHeight="1">
      <c r="A732" s="571"/>
      <c r="B732" s="450" t="s">
        <v>1314</v>
      </c>
      <c r="C732" s="3">
        <f>+$C$730+$G$731+0.2</f>
        <v>47790.80000000001</v>
      </c>
      <c r="D732" s="83"/>
      <c r="E732" s="4"/>
      <c r="F732" s="4">
        <v>1600</v>
      </c>
      <c r="G732" s="6"/>
      <c r="H732" s="449" t="s">
        <v>171</v>
      </c>
      <c r="I732" s="4"/>
      <c r="J732" s="3"/>
      <c r="K732" s="449"/>
      <c r="L732" s="449" t="s">
        <v>158</v>
      </c>
      <c r="M732" s="449" t="str">
        <f>IF(L732="","",
IF(AX732="PT",VLOOKUP(L732,Foundation_Calc!$V$79:$X$113,VLOOKUP(AX732,Foundation_Calc!$I$10:$J$13,2,FALSE),0),
IF(AX732="K",VLOOKUP(L732,Foundation_Calc!$V$117:$X$151,VLOOKUP(AX732,Foundation_Calc!$I$10:$J$13,2,FALSE),0),"")))</f>
        <v>C4R</v>
      </c>
      <c r="N732" s="449" t="s">
        <v>134</v>
      </c>
      <c r="O732" s="449"/>
      <c r="P732" s="449"/>
      <c r="Q732" s="4"/>
      <c r="R732" s="6"/>
      <c r="S732" s="6"/>
      <c r="T732" s="4">
        <v>30</v>
      </c>
      <c r="U732" s="4"/>
      <c r="V732" s="4"/>
      <c r="W732" s="572">
        <v>0.8</v>
      </c>
      <c r="X732" s="9"/>
      <c r="Y732" s="9"/>
      <c r="Z732" s="9"/>
      <c r="AA732" s="9"/>
      <c r="AB732" s="9"/>
      <c r="AC732" s="449" t="str">
        <f t="shared" si="98"/>
        <v>PHQ</v>
      </c>
      <c r="AD732" s="449"/>
      <c r="AE732" s="449"/>
      <c r="AF732" s="4"/>
      <c r="AG732" s="83"/>
      <c r="AH732" s="4"/>
      <c r="AI732" s="4"/>
      <c r="AJ732" s="449"/>
      <c r="AK732" s="449"/>
      <c r="AL732" s="449"/>
      <c r="AM732" s="449" t="s">
        <v>552</v>
      </c>
      <c r="AN732" s="10">
        <f>AN730+0.06</f>
        <v>5.21</v>
      </c>
      <c r="AO732" s="9"/>
      <c r="AP732" s="9"/>
      <c r="AQ732" s="9"/>
      <c r="AR732" s="9"/>
      <c r="AS732" s="9"/>
      <c r="AT732" s="9">
        <f>+ab($T$732,$T$730,$T$734,$G$731,$G$733, 1*$F$732,1200)</f>
        <v>6.4567574458635981</v>
      </c>
      <c r="AU732" s="428"/>
      <c r="AV732" s="428"/>
      <c r="AW732" s="449" t="str">
        <f>IF(C732&gt;0,VLOOKUP(C732,Foundation_Calc!$A$2:$C$13,3,1),
IF(J732&gt;0,VLOOKUP(J732,Foundation_Calc!$A$2:$C$13,3,1),""))</f>
        <v>Multi Soil</v>
      </c>
      <c r="AX732" s="449" t="str">
        <f>IF(C732&gt;0,VLOOKUP(C732,Foundation_Calc!$E$35:$G$65,3,1),
IF(J732&gt;0,VLOOKUP(J732,Foundation_Calc!$E$35:$G$65,3,1),""))</f>
        <v>PT</v>
      </c>
      <c r="AY732" s="10">
        <f>IF(L732="","",
IF(AX732="PT",VLOOKUP(L732,Foundation_Calc!$K$79:$R$113,VLOOKUP(AW732,Foundation_Calc!$I$2:$J$8,2,FALSE),0),
IF(AX732="K",VLOOKUP(L732,Foundation_Calc!$K$117:$R$151,VLOOKUP(AW732,Foundation_Calc!$I$2:$J$8,2,FALSE),0),"")))</f>
        <v>3.5</v>
      </c>
      <c r="AZ732" s="10" t="str">
        <f>IF(K732="","",
IF(AX732="PT",VLOOKUP(K732,Foundation_Calc!$K$79:$R$113,VLOOKUP(AW732,Foundation_Calc!$I$2:$J$8,2,FALSE),0),
IF(AX732="K",VLOOKUP(K732,Foundation_Calc!$K$117:$R$151,VLOOKUP(AW732,Foundation_Calc!$I$2:$J$8,2,FALSE),0),"")))</f>
        <v/>
      </c>
      <c r="BA732" s="495" t="str">
        <f t="shared" si="92"/>
        <v>ü</v>
      </c>
      <c r="BB732" s="495" t="str">
        <f t="shared" si="93"/>
        <v/>
      </c>
      <c r="BC732" s="495" t="str">
        <f t="shared" si="94"/>
        <v/>
      </c>
      <c r="BD732" s="513" t="str">
        <f>IF(AND(L732="",H732=""),"",
IF(H732="",Pole_Calc!A$9,
IF(H732="MP",Pole_Calc!A$10,
IF(H732="AnMP",Pole_Calc!A$11,
IF(H732="A",Pole_Calc!A$12,
IF(H732="S/A",Pole_Calc!A$13,
IF(H732="A/S",Pole_Calc!A$14,"Poner a mano")))))))</f>
        <v>App.7-V11I-P9.5.1.2</v>
      </c>
      <c r="BE732" s="429" t="s">
        <v>118</v>
      </c>
      <c r="BF732" s="289"/>
      <c r="BG732" s="289"/>
      <c r="BH732" s="290"/>
      <c r="BI732" s="289"/>
    </row>
    <row r="733" spans="1:61" ht="15.75" customHeight="1">
      <c r="A733" s="514"/>
      <c r="B733" s="450"/>
      <c r="C733" s="3"/>
      <c r="D733" s="83"/>
      <c r="E733" s="4"/>
      <c r="F733" s="4"/>
      <c r="G733" s="6">
        <v>45</v>
      </c>
      <c r="H733" s="449"/>
      <c r="I733" s="4">
        <f>SUM(G733:G749)</f>
        <v>390</v>
      </c>
      <c r="J733" s="3"/>
      <c r="K733" s="449"/>
      <c r="L733" s="449"/>
      <c r="M733" s="449" t="str">
        <f>IF(L733="","",
IF(AX733="PT",VLOOKUP(L733,Foundation_Calc!$V$79:$X$113,VLOOKUP(AX733,Foundation_Calc!$I$10:$J$13,2,FALSE),0),
IF(AX733="K",VLOOKUP(L733,Foundation_Calc!$V$117:$X$151,VLOOKUP(AX733,Foundation_Calc!$I$10:$J$13,2,FALSE),0),"")))</f>
        <v/>
      </c>
      <c r="N733" s="449"/>
      <c r="O733" s="449"/>
      <c r="P733" s="449"/>
      <c r="Q733" s="4"/>
      <c r="R733" s="6"/>
      <c r="S733" s="6"/>
      <c r="T733" s="4"/>
      <c r="U733" s="4"/>
      <c r="V733" s="4"/>
      <c r="W733" s="572"/>
      <c r="X733" s="9"/>
      <c r="Y733" s="9"/>
      <c r="Z733" s="9"/>
      <c r="AA733" s="9"/>
      <c r="AB733" s="9"/>
      <c r="AC733" s="449" t="str">
        <f t="shared" si="98"/>
        <v/>
      </c>
      <c r="AD733" s="449"/>
      <c r="AE733" s="449"/>
      <c r="AF733" s="4"/>
      <c r="AG733" s="83"/>
      <c r="AH733" s="4"/>
      <c r="AI733" s="4"/>
      <c r="AJ733" s="449"/>
      <c r="AK733" s="449"/>
      <c r="AL733" s="449"/>
      <c r="AM733" s="449"/>
      <c r="AN733" s="10"/>
      <c r="AO733" s="9"/>
      <c r="AP733" s="9"/>
      <c r="AQ733" s="9">
        <f>+FL_1($T$734,$T$732,$G$733,1200,9.28, 1*$F$734)</f>
        <v>0.33753905290514191</v>
      </c>
      <c r="AR733" s="9"/>
      <c r="AS733" s="9"/>
      <c r="AT733" s="9"/>
      <c r="AU733" s="428"/>
      <c r="AV733" s="428"/>
      <c r="AW733" s="449" t="str">
        <f>IF(C733&gt;0,VLOOKUP(C733,Foundation_Calc!$A$2:$C$13,3,1),
IF(J733&gt;0,VLOOKUP(J733,Foundation_Calc!$A$2:$C$13,3,1),""))</f>
        <v/>
      </c>
      <c r="AX733" s="449" t="str">
        <f>IF(C733&gt;0,VLOOKUP(C733,Foundation_Calc!$E$35:$G$65,3,1),
IF(J733&gt;0,VLOOKUP(J733,Foundation_Calc!$E$35:$G$65,3,1),""))</f>
        <v/>
      </c>
      <c r="AY733" s="10" t="str">
        <f>IF(L733="","",
IF(AX733="PT",VLOOKUP(L733,Foundation_Calc!$K$79:$R$113,VLOOKUP(AW733,Foundation_Calc!$I$2:$J$8,2,FALSE),0),
IF(AX733="K",VLOOKUP(L733,Foundation_Calc!$K$117:$R$151,VLOOKUP(AW733,Foundation_Calc!$I$2:$J$8,2,FALSE),0),"")))</f>
        <v/>
      </c>
      <c r="AZ733" s="10" t="str">
        <f>IF(K733="","",
IF(AX733="PT",VLOOKUP(K733,Foundation_Calc!$K$79:$R$113,VLOOKUP(AW733,Foundation_Calc!$I$2:$J$8,2,FALSE),0),
IF(AX733="K",VLOOKUP(K733,Foundation_Calc!$K$117:$R$151,VLOOKUP(AW733,Foundation_Calc!$I$2:$J$8,2,FALSE),0),"")))</f>
        <v/>
      </c>
      <c r="BA733" s="495" t="str">
        <f t="shared" si="92"/>
        <v/>
      </c>
      <c r="BB733" s="495" t="str">
        <f t="shared" si="93"/>
        <v/>
      </c>
      <c r="BC733" s="495" t="str">
        <f t="shared" si="94"/>
        <v/>
      </c>
      <c r="BD733" s="513" t="str">
        <f>IF(AND(L733="",H733=""),"",
IF(H733="",Pole_Calc!A$9,
IF(H733="MP",Pole_Calc!A$10,
IF(H733="AnMP",Pole_Calc!A$11,
IF(H733="A",Pole_Calc!A$12,
IF(H733="S/A",Pole_Calc!A$13,
IF(H733="A/S",Pole_Calc!A$14,"Poner a mano")))))))</f>
        <v/>
      </c>
      <c r="BE733" s="429" t="s">
        <v>118</v>
      </c>
      <c r="BF733" s="290"/>
      <c r="BG733" s="290"/>
      <c r="BH733" s="290"/>
      <c r="BI733" s="290"/>
    </row>
    <row r="734" spans="1:61" ht="15.75" customHeight="1">
      <c r="A734" s="518"/>
      <c r="B734" s="450" t="s">
        <v>1315</v>
      </c>
      <c r="C734" s="3">
        <f>+$C$732+$G$733</f>
        <v>47835.80000000001</v>
      </c>
      <c r="D734" s="83"/>
      <c r="E734" s="4"/>
      <c r="F734" s="4">
        <v>1600</v>
      </c>
      <c r="G734" s="6"/>
      <c r="H734" s="449" t="s">
        <v>168</v>
      </c>
      <c r="I734" s="4"/>
      <c r="J734" s="3"/>
      <c r="K734" s="449"/>
      <c r="L734" s="449" t="s">
        <v>158</v>
      </c>
      <c r="M734" s="449" t="str">
        <f>IF(L734="","",
IF(AX734="PT",VLOOKUP(L734,Foundation_Calc!$V$79:$X$113,VLOOKUP(AX734,Foundation_Calc!$I$10:$J$13,2,FALSE),0),
IF(AX734="K",VLOOKUP(L734,Foundation_Calc!$V$117:$X$151,VLOOKUP(AX734,Foundation_Calc!$I$10:$J$13,2,FALSE),0),"")))</f>
        <v>C4RT</v>
      </c>
      <c r="N734" s="449" t="s">
        <v>134</v>
      </c>
      <c r="O734" s="449"/>
      <c r="P734" s="449"/>
      <c r="Q734" s="4"/>
      <c r="R734" s="6"/>
      <c r="S734" s="6"/>
      <c r="T734" s="4">
        <v>30</v>
      </c>
      <c r="U734" s="4"/>
      <c r="V734" s="4"/>
      <c r="W734" s="572">
        <v>1.2</v>
      </c>
      <c r="X734" s="9"/>
      <c r="Y734" s="9"/>
      <c r="Z734" s="9"/>
      <c r="AA734" s="9"/>
      <c r="AB734" s="9"/>
      <c r="AC734" s="449" t="str">
        <f t="shared" si="98"/>
        <v>PHQ</v>
      </c>
      <c r="AD734" s="449"/>
      <c r="AE734" s="449"/>
      <c r="AF734" s="4"/>
      <c r="AG734" s="83"/>
      <c r="AH734" s="4"/>
      <c r="AI734" s="4"/>
      <c r="AJ734" s="449"/>
      <c r="AK734" s="449"/>
      <c r="AL734" s="449"/>
      <c r="AM734" s="449" t="s">
        <v>552</v>
      </c>
      <c r="AN734" s="10">
        <f>AN732+0.11</f>
        <v>5.32</v>
      </c>
      <c r="AO734" s="9"/>
      <c r="AP734" s="9"/>
      <c r="AQ734" s="9"/>
      <c r="AR734" s="9"/>
      <c r="AS734" s="9"/>
      <c r="AT734" s="9">
        <f>+ab($T$734,$T$732,$T$736,$G$733,$G$735, 1*$F$734,1200)</f>
        <v>6.7908717488095478</v>
      </c>
      <c r="AU734" s="428"/>
      <c r="AV734" s="428"/>
      <c r="AW734" s="449" t="str">
        <f>IF(C734&gt;0,VLOOKUP(C734,Foundation_Calc!$A$2:$C$13,3,1),
IF(J734&gt;0,VLOOKUP(J734,Foundation_Calc!$A$2:$C$13,3,1),""))</f>
        <v>Multi Soil</v>
      </c>
      <c r="AX734" s="449" t="str">
        <f>IF(C734&gt;0,VLOOKUP(C734,Foundation_Calc!$E$35:$G$65,3,1),
IF(J734&gt;0,VLOOKUP(J734,Foundation_Calc!$E$35:$G$65,3,1),""))</f>
        <v>K</v>
      </c>
      <c r="AY734" s="10">
        <f>IF(L734="","",
IF(AX734="PT",VLOOKUP(L734,Foundation_Calc!$K$79:$R$113,VLOOKUP(AW734,Foundation_Calc!$I$2:$J$8,2,FALSE),0),
IF(AX734="K",VLOOKUP(L734,Foundation_Calc!$K$117:$R$151,VLOOKUP(AW734,Foundation_Calc!$I$2:$J$8,2,FALSE),0),"")))</f>
        <v>4.2</v>
      </c>
      <c r="AZ734" s="10" t="str">
        <f>IF(K734="","",
IF(AX734="PT",VLOOKUP(K734,Foundation_Calc!$K$79:$R$113,VLOOKUP(AW734,Foundation_Calc!$I$2:$J$8,2,FALSE),0),
IF(AX734="K",VLOOKUP(K734,Foundation_Calc!$K$117:$R$151,VLOOKUP(AW734,Foundation_Calc!$I$2:$J$8,2,FALSE),0),"")))</f>
        <v/>
      </c>
      <c r="BA734" s="495" t="str">
        <f t="shared" si="92"/>
        <v>ü</v>
      </c>
      <c r="BB734" s="495" t="str">
        <f t="shared" si="93"/>
        <v/>
      </c>
      <c r="BC734" s="495" t="str">
        <f t="shared" si="94"/>
        <v/>
      </c>
      <c r="BD734" s="513" t="str">
        <f>IF(AND(L734="",H734=""),"",
IF(H734="",Pole_Calc!A$9,
IF(H734="MP",Pole_Calc!A$10,
IF(H734="AnMP",Pole_Calc!A$11,
IF(H734="A",Pole_Calc!A$12,
IF(H734="S/A",Pole_Calc!A$13,
IF(H734="A/S",Pole_Calc!A$14,"Poner a mano")))))))</f>
        <v>App.7-V11I-P9.5.1.3</v>
      </c>
      <c r="BE734" s="429" t="s">
        <v>118</v>
      </c>
      <c r="BF734" s="289"/>
      <c r="BG734" s="289"/>
      <c r="BH734" s="290"/>
      <c r="BI734" s="289"/>
    </row>
    <row r="735" spans="1:61" ht="15.75" customHeight="1">
      <c r="A735" s="514"/>
      <c r="B735" s="450"/>
      <c r="C735" s="3"/>
      <c r="D735" s="83"/>
      <c r="E735" s="4"/>
      <c r="F735" s="4"/>
      <c r="G735" s="6">
        <v>45</v>
      </c>
      <c r="H735" s="449"/>
      <c r="I735" s="4"/>
      <c r="J735" s="3">
        <f>C734+7.5</f>
        <v>47843.30000000001</v>
      </c>
      <c r="K735" s="449" t="s">
        <v>324</v>
      </c>
      <c r="L735" s="449"/>
      <c r="M735" s="449" t="str">
        <f>IF(L735="","",
IF(AX735="PT",VLOOKUP(L735,Foundation_Calc!$V$79:$X$113,VLOOKUP(AX735,Foundation_Calc!$I$10:$J$13,2,FALSE),0),
IF(AX735="K",VLOOKUP(L735,Foundation_Calc!$V$117:$X$151,VLOOKUP(AX735,Foundation_Calc!$I$10:$J$13,2,FALSE),0),"")))</f>
        <v/>
      </c>
      <c r="N735" s="449"/>
      <c r="O735" s="449"/>
      <c r="P735" s="449"/>
      <c r="Q735" s="4"/>
      <c r="R735" s="6"/>
      <c r="S735" s="6"/>
      <c r="T735" s="4"/>
      <c r="U735" s="4"/>
      <c r="V735" s="4"/>
      <c r="W735" s="9"/>
      <c r="X735" s="9"/>
      <c r="Y735" s="9"/>
      <c r="Z735" s="9"/>
      <c r="AA735" s="9"/>
      <c r="AB735" s="9"/>
      <c r="AC735" s="449" t="str">
        <f t="shared" si="98"/>
        <v/>
      </c>
      <c r="AD735" s="449"/>
      <c r="AE735" s="449"/>
      <c r="AF735" s="4"/>
      <c r="AG735" s="83"/>
      <c r="AH735" s="4"/>
      <c r="AI735" s="4"/>
      <c r="AJ735" s="449"/>
      <c r="AK735" s="449"/>
      <c r="AL735" s="449"/>
      <c r="AM735" s="449"/>
      <c r="AN735" s="10"/>
      <c r="AO735" s="9"/>
      <c r="AP735" s="9"/>
      <c r="AQ735" s="9">
        <f>+FL_1($T$736,$T$734,$G$735,1200,9.28, 1*$F$736)</f>
        <v>0.33753905290514191</v>
      </c>
      <c r="AR735" s="9"/>
      <c r="AS735" s="9"/>
      <c r="AT735" s="9"/>
      <c r="AU735" s="428"/>
      <c r="AV735" s="428"/>
      <c r="AW735" s="449" t="str">
        <f>IF(C735&gt;0,VLOOKUP(C735,Foundation_Calc!$A$2:$C$13,3,1),
IF(J735&gt;0,VLOOKUP(J735,Foundation_Calc!$A$2:$C$13,3,1),""))</f>
        <v>Multi Soil</v>
      </c>
      <c r="AX735" s="449" t="str">
        <f>IF(C735&gt;0,VLOOKUP(C735,Foundation_Calc!$E$35:$G$65,3,1),
IF(J735&gt;0,VLOOKUP(J735,Foundation_Calc!$E$35:$G$65,3,1),""))</f>
        <v>K</v>
      </c>
      <c r="AY735" s="10" t="str">
        <f>IF(L735="","",
IF(AX735="PT",VLOOKUP(L735,Foundation_Calc!$K$79:$R$113,VLOOKUP(AW735,Foundation_Calc!$I$2:$J$8,2,FALSE),0),
IF(AX735="K",VLOOKUP(L735,Foundation_Calc!$K$117:$R$151,VLOOKUP(AW735,Foundation_Calc!$I$2:$J$8,2,FALSE),0),"")))</f>
        <v/>
      </c>
      <c r="AZ735" s="10">
        <f>IF(K735="","",
IF(AX735="PT",VLOOKUP(K735,Foundation_Calc!$K$79:$R$113,VLOOKUP(AW735,Foundation_Calc!$I$2:$J$8,2,FALSE),0),
IF(AX735="K",VLOOKUP(K735,Foundation_Calc!$K$117:$R$151,VLOOKUP(AW735,Foundation_Calc!$I$2:$J$8,2,FALSE),0),"")))</f>
        <v>2.8</v>
      </c>
      <c r="BA735" s="495" t="str">
        <f t="shared" ref="BA735:BA792" si="99">IF(AY735="","",IF(AY735&gt;0,"ü",""))</f>
        <v/>
      </c>
      <c r="BB735" s="495" t="str">
        <f t="shared" ref="BB735:BB792" si="100">IF(AZ735="","",IF(AZ735&gt;0,"ü",""))</f>
        <v>ü</v>
      </c>
      <c r="BC735" s="495" t="str">
        <f t="shared" ref="BC735:BC792" si="101">IF(M735="","",IF(M735="U.S.","ü",IF(M735="U.S. N.D.","ü","")))</f>
        <v/>
      </c>
      <c r="BD735" s="513" t="str">
        <f>IF(AND(L735="",H735=""),"",
IF(H735="",Pole_Calc!A$9,
IF(H735="MP",Pole_Calc!A$10,
IF(H735="AnMP",Pole_Calc!A$11,
IF(H735="A",Pole_Calc!A$12,
IF(H735="S/A",Pole_Calc!A$13,
IF(H735="A/S",Pole_Calc!A$14,"Poner a mano")))))))</f>
        <v/>
      </c>
      <c r="BE735" s="429" t="s">
        <v>118</v>
      </c>
      <c r="BF735" s="290"/>
      <c r="BG735" s="290"/>
      <c r="BH735" s="290"/>
      <c r="BI735" s="290"/>
    </row>
    <row r="736" spans="1:61" ht="15.75" customHeight="1">
      <c r="A736" s="514"/>
      <c r="B736" s="450" t="s">
        <v>1316</v>
      </c>
      <c r="C736" s="3">
        <f>+$C$734+$G$735</f>
        <v>47880.80000000001</v>
      </c>
      <c r="D736" s="83"/>
      <c r="E736" s="4"/>
      <c r="F736" s="4">
        <v>1600</v>
      </c>
      <c r="G736" s="6"/>
      <c r="H736" s="449"/>
      <c r="I736" s="4"/>
      <c r="J736" s="3"/>
      <c r="K736" s="449"/>
      <c r="L736" s="449" t="s">
        <v>158</v>
      </c>
      <c r="M736" s="449" t="str">
        <f>IF(L736="","",
IF(AX736="PT",VLOOKUP(L736,Foundation_Calc!$V$79:$X$113,VLOOKUP(AX736,Foundation_Calc!$I$10:$J$13,2,FALSE),0),
IF(AX736="K",VLOOKUP(L736,Foundation_Calc!$V$117:$X$151,VLOOKUP(AX736,Foundation_Calc!$I$10:$J$13,2,FALSE),0),"")))</f>
        <v>C4RT</v>
      </c>
      <c r="N736" s="449" t="s">
        <v>134</v>
      </c>
      <c r="O736" s="449"/>
      <c r="P736" s="449"/>
      <c r="Q736" s="4"/>
      <c r="R736" s="6"/>
      <c r="S736" s="6"/>
      <c r="T736" s="4">
        <v>30</v>
      </c>
      <c r="U736" s="4"/>
      <c r="V736" s="4"/>
      <c r="W736" s="9">
        <v>1.4</v>
      </c>
      <c r="X736" s="9"/>
      <c r="Y736" s="9"/>
      <c r="Z736" s="9"/>
      <c r="AA736" s="9"/>
      <c r="AB736" s="9"/>
      <c r="AC736" s="449" t="str">
        <f t="shared" si="98"/>
        <v>PHQ</v>
      </c>
      <c r="AD736" s="449"/>
      <c r="AE736" s="449"/>
      <c r="AF736" s="4"/>
      <c r="AG736" s="83"/>
      <c r="AH736" s="4"/>
      <c r="AI736" s="4"/>
      <c r="AJ736" s="449"/>
      <c r="AK736" s="449"/>
      <c r="AL736" s="449"/>
      <c r="AM736" s="449" t="s">
        <v>552</v>
      </c>
      <c r="AN736" s="10">
        <f>AN738-0.07</f>
        <v>5.43</v>
      </c>
      <c r="AO736" s="9"/>
      <c r="AP736" s="9"/>
      <c r="AQ736" s="9"/>
      <c r="AR736" s="9"/>
      <c r="AS736" s="9"/>
      <c r="AT736" s="9">
        <f>+ab($T$736,$T$734,$T$738,$G$735,$G$737, 1*$F$736,1200)</f>
        <v>6.7537006373238899</v>
      </c>
      <c r="AU736" s="428"/>
      <c r="AV736" s="428"/>
      <c r="AW736" s="449" t="str">
        <f>IF(C736&gt;0,VLOOKUP(C736,Foundation_Calc!$A$2:$C$13,3,1),
IF(J736&gt;0,VLOOKUP(J736,Foundation_Calc!$A$2:$C$13,3,1),""))</f>
        <v>Multi Soil</v>
      </c>
      <c r="AX736" s="449" t="str">
        <f>IF(C736&gt;0,VLOOKUP(C736,Foundation_Calc!$E$35:$G$65,3,1),
IF(J736&gt;0,VLOOKUP(J736,Foundation_Calc!$E$35:$G$65,3,1),""))</f>
        <v>K</v>
      </c>
      <c r="AY736" s="10">
        <f>IF(L736="","",
IF(AX736="PT",VLOOKUP(L736,Foundation_Calc!$K$79:$R$113,VLOOKUP(AW736,Foundation_Calc!$I$2:$J$8,2,FALSE),0),
IF(AX736="K",VLOOKUP(L736,Foundation_Calc!$K$117:$R$151,VLOOKUP(AW736,Foundation_Calc!$I$2:$J$8,2,FALSE),0),"")))</f>
        <v>4.2</v>
      </c>
      <c r="AZ736" s="10" t="str">
        <f>IF(K736="","",
IF(AX736="PT",VLOOKUP(K736,Foundation_Calc!$K$79:$R$113,VLOOKUP(AW736,Foundation_Calc!$I$2:$J$8,2,FALSE),0),
IF(AX736="K",VLOOKUP(K736,Foundation_Calc!$K$117:$R$151,VLOOKUP(AW736,Foundation_Calc!$I$2:$J$8,2,FALSE),0),"")))</f>
        <v/>
      </c>
      <c r="BA736" s="495" t="str">
        <f t="shared" si="99"/>
        <v>ü</v>
      </c>
      <c r="BB736" s="495" t="str">
        <f t="shared" si="100"/>
        <v/>
      </c>
      <c r="BC736" s="495" t="str">
        <f t="shared" si="101"/>
        <v/>
      </c>
      <c r="BD736" s="513" t="str">
        <f>IF(AND(L736="",H736=""),"",
IF(H736="",Pole_Calc!A$9,
IF(H736="MP",Pole_Calc!A$10,
IF(H736="AnMP",Pole_Calc!A$11,
IF(H736="A",Pole_Calc!A$12,
IF(H736="S/A",Pole_Calc!A$13,
IF(H736="A/S",Pole_Calc!A$14,"Poner a mano")))))))</f>
        <v>App.7-V11I-P9.5.1.1</v>
      </c>
      <c r="BE736" s="429" t="s">
        <v>118</v>
      </c>
      <c r="BF736" s="289"/>
      <c r="BG736" s="289"/>
      <c r="BH736" s="290"/>
      <c r="BI736" s="289"/>
    </row>
    <row r="737" spans="1:61" ht="15.75" customHeight="1">
      <c r="A737" s="518"/>
      <c r="B737" s="450"/>
      <c r="C737" s="3"/>
      <c r="D737" s="83"/>
      <c r="E737" s="4"/>
      <c r="F737" s="4"/>
      <c r="G737" s="6">
        <v>45.5</v>
      </c>
      <c r="H737" s="449"/>
      <c r="I737" s="4"/>
      <c r="J737" s="3"/>
      <c r="K737" s="449"/>
      <c r="L737" s="449"/>
      <c r="M737" s="449" t="str">
        <f>IF(L737="","",
IF(AX737="PT",VLOOKUP(L737,Foundation_Calc!$V$79:$X$113,VLOOKUP(AX737,Foundation_Calc!$I$10:$J$13,2,FALSE),0),
IF(AX737="K",VLOOKUP(L737,Foundation_Calc!$V$117:$X$151,VLOOKUP(AX737,Foundation_Calc!$I$10:$J$13,2,FALSE),0),"")))</f>
        <v/>
      </c>
      <c r="N737" s="449"/>
      <c r="O737" s="449"/>
      <c r="P737" s="449"/>
      <c r="Q737" s="4"/>
      <c r="R737" s="6"/>
      <c r="S737" s="6"/>
      <c r="T737" s="4"/>
      <c r="U737" s="4"/>
      <c r="V737" s="4"/>
      <c r="W737" s="9"/>
      <c r="X737" s="9"/>
      <c r="Y737" s="9"/>
      <c r="Z737" s="9"/>
      <c r="AA737" s="9"/>
      <c r="AB737" s="9"/>
      <c r="AC737" s="449" t="str">
        <f t="shared" si="98"/>
        <v/>
      </c>
      <c r="AD737" s="449"/>
      <c r="AE737" s="449"/>
      <c r="AF737" s="4"/>
      <c r="AG737" s="83"/>
      <c r="AH737" s="4"/>
      <c r="AI737" s="4"/>
      <c r="AJ737" s="449"/>
      <c r="AK737" s="449"/>
      <c r="AL737" s="449"/>
      <c r="AM737" s="449"/>
      <c r="AN737" s="10"/>
      <c r="AO737" s="9"/>
      <c r="AP737" s="9"/>
      <c r="AQ737" s="9">
        <f>+FL_1($T$738,$T$736,$G$737,1200,9.28, 1*$F$738)</f>
        <v>0.33837770981793447</v>
      </c>
      <c r="AR737" s="9"/>
      <c r="AS737" s="9"/>
      <c r="AT737" s="9"/>
      <c r="AU737" s="428"/>
      <c r="AV737" s="428"/>
      <c r="AW737" s="449" t="str">
        <f>IF(C737&gt;0,VLOOKUP(C737,Foundation_Calc!$A$2:$C$13,3,1),
IF(J737&gt;0,VLOOKUP(J737,Foundation_Calc!$A$2:$C$13,3,1),""))</f>
        <v/>
      </c>
      <c r="AX737" s="449" t="str">
        <f>IF(C737&gt;0,VLOOKUP(C737,Foundation_Calc!$E$35:$G$65,3,1),
IF(J737&gt;0,VLOOKUP(J737,Foundation_Calc!$E$35:$G$65,3,1),""))</f>
        <v/>
      </c>
      <c r="AY737" s="10" t="str">
        <f>IF(L737="","",
IF(AX737="PT",VLOOKUP(L737,Foundation_Calc!$K$79:$R$113,VLOOKUP(AW737,Foundation_Calc!$I$2:$J$8,2,FALSE),0),
IF(AX737="K",VLOOKUP(L737,Foundation_Calc!$K$117:$R$151,VLOOKUP(AW737,Foundation_Calc!$I$2:$J$8,2,FALSE),0),"")))</f>
        <v/>
      </c>
      <c r="AZ737" s="10" t="str">
        <f>IF(K737="","",
IF(AX737="PT",VLOOKUP(K737,Foundation_Calc!$K$79:$R$113,VLOOKUP(AW737,Foundation_Calc!$I$2:$J$8,2,FALSE),0),
IF(AX737="K",VLOOKUP(K737,Foundation_Calc!$K$117:$R$151,VLOOKUP(AW737,Foundation_Calc!$I$2:$J$8,2,FALSE),0),"")))</f>
        <v/>
      </c>
      <c r="BA737" s="495" t="str">
        <f t="shared" si="99"/>
        <v/>
      </c>
      <c r="BB737" s="495" t="str">
        <f t="shared" si="100"/>
        <v/>
      </c>
      <c r="BC737" s="495" t="str">
        <f t="shared" si="101"/>
        <v/>
      </c>
      <c r="BD737" s="513" t="str">
        <f>IF(AND(L737="",H737=""),"",
IF(H737="",Pole_Calc!A$9,
IF(H737="MP",Pole_Calc!A$10,
IF(H737="AnMP",Pole_Calc!A$11,
IF(H737="A",Pole_Calc!A$12,
IF(H737="S/A",Pole_Calc!A$13,
IF(H737="A/S",Pole_Calc!A$14,"Poner a mano")))))))</f>
        <v/>
      </c>
      <c r="BE737" s="429" t="s">
        <v>118</v>
      </c>
      <c r="BF737" s="290"/>
      <c r="BG737" s="290"/>
      <c r="BH737" s="290"/>
      <c r="BI737" s="290"/>
    </row>
    <row r="738" spans="1:61" ht="15.75" customHeight="1">
      <c r="A738" s="514"/>
      <c r="B738" s="450" t="s">
        <v>1317</v>
      </c>
      <c r="C738" s="3">
        <f>+$C$736+$G$737</f>
        <v>47926.30000000001</v>
      </c>
      <c r="D738" s="83"/>
      <c r="E738" s="4"/>
      <c r="F738" s="4">
        <v>1600</v>
      </c>
      <c r="G738" s="6"/>
      <c r="H738" s="449"/>
      <c r="I738" s="4"/>
      <c r="J738" s="3"/>
      <c r="K738" s="449"/>
      <c r="L738" s="449" t="s">
        <v>158</v>
      </c>
      <c r="M738" s="449" t="str">
        <f>IF(L738="","",
IF(AX738="PT",VLOOKUP(L738,Foundation_Calc!$V$79:$X$113,VLOOKUP(AX738,Foundation_Calc!$I$10:$J$13,2,FALSE),0),
IF(AX738="K",VLOOKUP(L738,Foundation_Calc!$V$117:$X$151,VLOOKUP(AX738,Foundation_Calc!$I$10:$J$13,2,FALSE),0),"")))</f>
        <v>C4RT</v>
      </c>
      <c r="N738" s="449" t="s">
        <v>134</v>
      </c>
      <c r="O738" s="449"/>
      <c r="P738" s="449"/>
      <c r="Q738" s="4"/>
      <c r="R738" s="6"/>
      <c r="S738" s="6"/>
      <c r="T738" s="4">
        <v>30</v>
      </c>
      <c r="U738" s="4"/>
      <c r="V738" s="4"/>
      <c r="W738" s="9">
        <v>1.4</v>
      </c>
      <c r="X738" s="9"/>
      <c r="Y738" s="9"/>
      <c r="Z738" s="9"/>
      <c r="AA738" s="9"/>
      <c r="AB738" s="9"/>
      <c r="AC738" s="449" t="str">
        <f t="shared" si="98"/>
        <v>PHQ</v>
      </c>
      <c r="AD738" s="449"/>
      <c r="AE738" s="449"/>
      <c r="AF738" s="4"/>
      <c r="AG738" s="83"/>
      <c r="AH738" s="4"/>
      <c r="AI738" s="4"/>
      <c r="AJ738" s="449"/>
      <c r="AK738" s="449"/>
      <c r="AL738" s="449"/>
      <c r="AM738" s="449" t="s">
        <v>552</v>
      </c>
      <c r="AN738" s="10">
        <v>5.5</v>
      </c>
      <c r="AO738" s="9"/>
      <c r="AP738" s="9"/>
      <c r="AQ738" s="9"/>
      <c r="AR738" s="9"/>
      <c r="AS738" s="9"/>
      <c r="AT738" s="9">
        <f>+ab($T$738,$T$736,$T$740,$G$737,$G$739, 1*$F$738,1200)</f>
        <v>6.4031205236678268</v>
      </c>
      <c r="AU738" s="428"/>
      <c r="AV738" s="428"/>
      <c r="AW738" s="449" t="str">
        <f>IF(C738&gt;0,VLOOKUP(C738,Foundation_Calc!$A$2:$C$13,3,1),
IF(J738&gt;0,VLOOKUP(J738,Foundation_Calc!$A$2:$C$13,3,1),""))</f>
        <v>Multi Soil</v>
      </c>
      <c r="AX738" s="449" t="str">
        <f>IF(C738&gt;0,VLOOKUP(C738,Foundation_Calc!$E$35:$G$65,3,1),
IF(J738&gt;0,VLOOKUP(J738,Foundation_Calc!$E$35:$G$65,3,1),""))</f>
        <v>K</v>
      </c>
      <c r="AY738" s="10">
        <f>IF(L738="","",
IF(AX738="PT",VLOOKUP(L738,Foundation_Calc!$K$79:$R$113,VLOOKUP(AW738,Foundation_Calc!$I$2:$J$8,2,FALSE),0),
IF(AX738="K",VLOOKUP(L738,Foundation_Calc!$K$117:$R$151,VLOOKUP(AW738,Foundation_Calc!$I$2:$J$8,2,FALSE),0),"")))</f>
        <v>4.2</v>
      </c>
      <c r="AZ738" s="10" t="str">
        <f>IF(K738="","",
IF(AX738="PT",VLOOKUP(K738,Foundation_Calc!$K$79:$R$113,VLOOKUP(AW738,Foundation_Calc!$I$2:$J$8,2,FALSE),0),
IF(AX738="K",VLOOKUP(K738,Foundation_Calc!$K$117:$R$151,VLOOKUP(AW738,Foundation_Calc!$I$2:$J$8,2,FALSE),0),"")))</f>
        <v/>
      </c>
      <c r="BA738" s="495" t="str">
        <f t="shared" si="99"/>
        <v>ü</v>
      </c>
      <c r="BB738" s="495" t="str">
        <f t="shared" si="100"/>
        <v/>
      </c>
      <c r="BC738" s="495" t="str">
        <f t="shared" si="101"/>
        <v/>
      </c>
      <c r="BD738" s="513" t="str">
        <f>IF(AND(L738="",H738=""),"",
IF(H738="",Pole_Calc!A$9,
IF(H738="MP",Pole_Calc!A$10,
IF(H738="AnMP",Pole_Calc!A$11,
IF(H738="A",Pole_Calc!A$12,
IF(H738="S/A",Pole_Calc!A$13,
IF(H738="A/S",Pole_Calc!A$14,"Poner a mano")))))))</f>
        <v>App.7-V11I-P9.5.1.1</v>
      </c>
      <c r="BE738" s="429" t="s">
        <v>118</v>
      </c>
      <c r="BF738" s="289"/>
      <c r="BG738" s="289"/>
      <c r="BH738" s="290"/>
      <c r="BI738" s="289"/>
    </row>
    <row r="739" spans="1:61" ht="15.75" customHeight="1">
      <c r="A739" s="514" t="s">
        <v>169</v>
      </c>
      <c r="B739" s="450"/>
      <c r="C739" s="3"/>
      <c r="D739" s="83"/>
      <c r="E739" s="4"/>
      <c r="F739" s="4"/>
      <c r="G739" s="6">
        <v>50</v>
      </c>
      <c r="H739" s="449"/>
      <c r="I739" s="4"/>
      <c r="J739" s="3"/>
      <c r="K739" s="449"/>
      <c r="L739" s="449"/>
      <c r="M739" s="449" t="str">
        <f>IF(L739="","",
IF(AX739="PT",VLOOKUP(L739,Foundation_Calc!$V$79:$X$113,VLOOKUP(AX739,Foundation_Calc!$I$10:$J$13,2,FALSE),0),
IF(AX739="K",VLOOKUP(L739,Foundation_Calc!$V$117:$X$151,VLOOKUP(AX739,Foundation_Calc!$I$10:$J$13,2,FALSE),0),"")))</f>
        <v/>
      </c>
      <c r="N739" s="449"/>
      <c r="O739" s="449"/>
      <c r="P739" s="449"/>
      <c r="Q739" s="4"/>
      <c r="R739" s="6"/>
      <c r="S739" s="6"/>
      <c r="T739" s="4"/>
      <c r="U739" s="4"/>
      <c r="V739" s="4"/>
      <c r="W739" s="9"/>
      <c r="X739" s="9"/>
      <c r="Y739" s="9"/>
      <c r="Z739" s="9"/>
      <c r="AA739" s="9"/>
      <c r="AB739" s="9"/>
      <c r="AC739" s="449" t="str">
        <f t="shared" si="98"/>
        <v/>
      </c>
      <c r="AD739" s="449"/>
      <c r="AE739" s="449"/>
      <c r="AF739" s="4"/>
      <c r="AG739" s="83"/>
      <c r="AH739" s="4"/>
      <c r="AI739" s="4"/>
      <c r="AJ739" s="449"/>
      <c r="AK739" s="449"/>
      <c r="AL739" s="449"/>
      <c r="AM739" s="449"/>
      <c r="AN739" s="10"/>
      <c r="AO739" s="9"/>
      <c r="AP739" s="9"/>
      <c r="AQ739" s="9">
        <f>+FL_1($T$740,$T$738,$G$739,1200,9.28, 1*$F$740)</f>
        <v>0.41964078774041502</v>
      </c>
      <c r="AR739" s="9"/>
      <c r="AS739" s="9"/>
      <c r="AT739" s="9"/>
      <c r="AU739" s="428"/>
      <c r="AV739" s="428"/>
      <c r="AW739" s="449" t="str">
        <f>IF(C739&gt;0,VLOOKUP(C739,Foundation_Calc!$A$2:$C$13,3,1),
IF(J739&gt;0,VLOOKUP(J739,Foundation_Calc!$A$2:$C$13,3,1),""))</f>
        <v/>
      </c>
      <c r="AX739" s="449" t="str">
        <f>IF(C739&gt;0,VLOOKUP(C739,Foundation_Calc!$E$35:$G$65,3,1),
IF(J739&gt;0,VLOOKUP(J739,Foundation_Calc!$E$35:$G$65,3,1),""))</f>
        <v/>
      </c>
      <c r="AY739" s="10" t="str">
        <f>IF(L739="","",
IF(AX739="PT",VLOOKUP(L739,Foundation_Calc!$K$79:$R$113,VLOOKUP(AW739,Foundation_Calc!$I$2:$J$8,2,FALSE),0),
IF(AX739="K",VLOOKUP(L739,Foundation_Calc!$K$117:$R$151,VLOOKUP(AW739,Foundation_Calc!$I$2:$J$8,2,FALSE),0),"")))</f>
        <v/>
      </c>
      <c r="AZ739" s="10" t="str">
        <f>IF(K739="","",
IF(AX739="PT",VLOOKUP(K739,Foundation_Calc!$K$79:$R$113,VLOOKUP(AW739,Foundation_Calc!$I$2:$J$8,2,FALSE),0),
IF(AX739="K",VLOOKUP(K739,Foundation_Calc!$K$117:$R$151,VLOOKUP(AW739,Foundation_Calc!$I$2:$J$8,2,FALSE),0),"")))</f>
        <v/>
      </c>
      <c r="BA739" s="495" t="str">
        <f t="shared" si="99"/>
        <v/>
      </c>
      <c r="BB739" s="495" t="str">
        <f t="shared" si="100"/>
        <v/>
      </c>
      <c r="BC739" s="495" t="str">
        <f t="shared" si="101"/>
        <v/>
      </c>
      <c r="BD739" s="513" t="str">
        <f>IF(AND(L739="",H739=""),"",
IF(H739="",Pole_Calc!A$9,
IF(H739="MP",Pole_Calc!A$10,
IF(H739="AnMP",Pole_Calc!A$11,
IF(H739="A",Pole_Calc!A$12,
IF(H739="S/A",Pole_Calc!A$13,
IF(H739="A/S",Pole_Calc!A$14,"Poner a mano")))))))</f>
        <v/>
      </c>
      <c r="BE739" s="429" t="s">
        <v>118</v>
      </c>
      <c r="BF739" s="290"/>
      <c r="BG739" s="290"/>
      <c r="BH739" s="290"/>
      <c r="BI739" s="290"/>
    </row>
    <row r="740" spans="1:61" ht="15.75" customHeight="1">
      <c r="A740" s="514"/>
      <c r="B740" s="450" t="s">
        <v>1318</v>
      </c>
      <c r="C740" s="3">
        <f>+$C$738+$G$739</f>
        <v>47976.30000000001</v>
      </c>
      <c r="D740" s="83"/>
      <c r="E740" s="4"/>
      <c r="F740" s="4">
        <v>2560.9931918305742</v>
      </c>
      <c r="G740" s="6"/>
      <c r="H740" s="449"/>
      <c r="I740" s="4"/>
      <c r="J740" s="3"/>
      <c r="K740" s="449"/>
      <c r="L740" s="449" t="s">
        <v>158</v>
      </c>
      <c r="M740" s="449" t="str">
        <f>IF(L740="","",
IF(AX740="PT",VLOOKUP(L740,Foundation_Calc!$V$79:$X$113,VLOOKUP(AX740,Foundation_Calc!$I$10:$J$13,2,FALSE),0),
IF(AX740="K",VLOOKUP(L740,Foundation_Calc!$V$117:$X$151,VLOOKUP(AX740,Foundation_Calc!$I$10:$J$13,2,FALSE),0),"")))</f>
        <v>C4RT</v>
      </c>
      <c r="N740" s="449" t="s">
        <v>134</v>
      </c>
      <c r="O740" s="449"/>
      <c r="P740" s="449"/>
      <c r="Q740" s="4"/>
      <c r="R740" s="6"/>
      <c r="S740" s="6"/>
      <c r="T740" s="4">
        <v>30</v>
      </c>
      <c r="U740" s="4"/>
      <c r="V740" s="4"/>
      <c r="W740" s="9">
        <v>1.4</v>
      </c>
      <c r="X740" s="9"/>
      <c r="Y740" s="9"/>
      <c r="Z740" s="9"/>
      <c r="AA740" s="9"/>
      <c r="AB740" s="9"/>
      <c r="AC740" s="449" t="str">
        <f t="shared" si="98"/>
        <v>PHQ</v>
      </c>
      <c r="AD740" s="449"/>
      <c r="AE740" s="449"/>
      <c r="AF740" s="4"/>
      <c r="AG740" s="83"/>
      <c r="AH740" s="4"/>
      <c r="AI740" s="4"/>
      <c r="AJ740" s="449"/>
      <c r="AK740" s="449"/>
      <c r="AL740" s="449"/>
      <c r="AM740" s="449" t="s">
        <v>552</v>
      </c>
      <c r="AN740" s="10">
        <v>5.5</v>
      </c>
      <c r="AO740" s="9"/>
      <c r="AP740" s="9"/>
      <c r="AQ740" s="9"/>
      <c r="AR740" s="9"/>
      <c r="AS740" s="9"/>
      <c r="AT740" s="9">
        <f>+ab($T$740,$T$738,$T$742,$G$739,$G$741, 1*$F$740,1200)</f>
        <v>6.2119586944114848</v>
      </c>
      <c r="AU740" s="428"/>
      <c r="AV740" s="428"/>
      <c r="AW740" s="449" t="str">
        <f>IF(C740&gt;0,VLOOKUP(C740,Foundation_Calc!$A$2:$C$13,3,1),
IF(J740&gt;0,VLOOKUP(J740,Foundation_Calc!$A$2:$C$13,3,1),""))</f>
        <v>Multi Soil</v>
      </c>
      <c r="AX740" s="449" t="str">
        <f>IF(C740&gt;0,VLOOKUP(C740,Foundation_Calc!$E$35:$G$65,3,1),
IF(J740&gt;0,VLOOKUP(J740,Foundation_Calc!$E$35:$G$65,3,1),""))</f>
        <v>K</v>
      </c>
      <c r="AY740" s="10">
        <f>IF(L740="","",
IF(AX740="PT",VLOOKUP(L740,Foundation_Calc!$K$79:$R$113,VLOOKUP(AW740,Foundation_Calc!$I$2:$J$8,2,FALSE),0),
IF(AX740="K",VLOOKUP(L740,Foundation_Calc!$K$117:$R$151,VLOOKUP(AW740,Foundation_Calc!$I$2:$J$8,2,FALSE),0),"")))</f>
        <v>4.2</v>
      </c>
      <c r="AZ740" s="10" t="str">
        <f>IF(K740="","",
IF(AX740="PT",VLOOKUP(K740,Foundation_Calc!$K$79:$R$113,VLOOKUP(AW740,Foundation_Calc!$I$2:$J$8,2,FALSE),0),
IF(AX740="K",VLOOKUP(K740,Foundation_Calc!$K$117:$R$151,VLOOKUP(AW740,Foundation_Calc!$I$2:$J$8,2,FALSE),0),"")))</f>
        <v/>
      </c>
      <c r="BA740" s="495" t="str">
        <f t="shared" si="99"/>
        <v>ü</v>
      </c>
      <c r="BB740" s="495" t="str">
        <f t="shared" si="100"/>
        <v/>
      </c>
      <c r="BC740" s="495" t="str">
        <f t="shared" si="101"/>
        <v/>
      </c>
      <c r="BD740" s="513" t="str">
        <f>IF(AND(L740="",H740=""),"",
IF(H740="",Pole_Calc!A$9,
IF(H740="MP",Pole_Calc!A$10,
IF(H740="AnMP",Pole_Calc!A$11,
IF(H740="A",Pole_Calc!A$12,
IF(H740="S/A",Pole_Calc!A$13,
IF(H740="A/S",Pole_Calc!A$14,"Poner a mano")))))))</f>
        <v>App.7-V11I-P9.5.1.1</v>
      </c>
      <c r="BE740" s="429" t="s">
        <v>118</v>
      </c>
      <c r="BF740" s="289"/>
      <c r="BG740" s="289"/>
      <c r="BH740" s="290"/>
      <c r="BI740" s="289"/>
    </row>
    <row r="741" spans="1:61" ht="15.75" customHeight="1">
      <c r="A741" s="514"/>
      <c r="B741" s="450"/>
      <c r="C741" s="3"/>
      <c r="D741" s="83"/>
      <c r="E741" s="4"/>
      <c r="F741" s="4"/>
      <c r="G741" s="6">
        <v>45</v>
      </c>
      <c r="H741" s="449"/>
      <c r="I741" s="4"/>
      <c r="J741" s="3"/>
      <c r="K741" s="449"/>
      <c r="L741" s="449"/>
      <c r="M741" s="449" t="str">
        <f>IF(L741="","",
IF(AX741="PT",VLOOKUP(L741,Foundation_Calc!$V$79:$X$113,VLOOKUP(AX741,Foundation_Calc!$I$10:$J$13,2,FALSE),0),
IF(AX741="K",VLOOKUP(L741,Foundation_Calc!$V$117:$X$151,VLOOKUP(AX741,Foundation_Calc!$I$10:$J$13,2,FALSE),0),"")))</f>
        <v/>
      </c>
      <c r="N741" s="449"/>
      <c r="O741" s="561"/>
      <c r="P741" s="449"/>
      <c r="Q741" s="4"/>
      <c r="R741" s="6"/>
      <c r="S741" s="6"/>
      <c r="T741" s="4"/>
      <c r="U741" s="4"/>
      <c r="V741" s="4"/>
      <c r="W741" s="9"/>
      <c r="X741" s="9"/>
      <c r="Y741" s="9"/>
      <c r="Z741" s="9"/>
      <c r="AA741" s="9"/>
      <c r="AB741" s="9"/>
      <c r="AC741" s="449" t="str">
        <f t="shared" si="98"/>
        <v/>
      </c>
      <c r="AD741" s="449"/>
      <c r="AE741" s="449"/>
      <c r="AF741" s="4"/>
      <c r="AG741" s="83"/>
      <c r="AH741" s="4"/>
      <c r="AI741" s="4"/>
      <c r="AJ741" s="449"/>
      <c r="AK741" s="449"/>
      <c r="AL741" s="449"/>
      <c r="AM741" s="449"/>
      <c r="AN741" s="10"/>
      <c r="AO741" s="9"/>
      <c r="AP741" s="9"/>
      <c r="AQ741" s="9">
        <f>+FL_1($T$742,$T$740,$G$741,1200,9.28, 1*$F$742)</f>
        <v>0.30225807175314268</v>
      </c>
      <c r="AR741" s="9"/>
      <c r="AS741" s="9"/>
      <c r="AT741" s="9"/>
      <c r="AU741" s="428"/>
      <c r="AV741" s="428"/>
      <c r="AW741" s="449" t="str">
        <f>IF(C741&gt;0,VLOOKUP(C741,Foundation_Calc!$A$2:$C$13,3,1),
IF(J741&gt;0,VLOOKUP(J741,Foundation_Calc!$A$2:$C$13,3,1),""))</f>
        <v/>
      </c>
      <c r="AX741" s="449" t="str">
        <f>IF(C741&gt;0,VLOOKUP(C741,Foundation_Calc!$E$35:$G$65,3,1),
IF(J741&gt;0,VLOOKUP(J741,Foundation_Calc!$E$35:$G$65,3,1),""))</f>
        <v/>
      </c>
      <c r="AY741" s="10" t="str">
        <f>IF(L741="","",
IF(AX741="PT",VLOOKUP(L741,Foundation_Calc!$K$79:$R$113,VLOOKUP(AW741,Foundation_Calc!$I$2:$J$8,2,FALSE),0),
IF(AX741="K",VLOOKUP(L741,Foundation_Calc!$K$117:$R$151,VLOOKUP(AW741,Foundation_Calc!$I$2:$J$8,2,FALSE),0),"")))</f>
        <v/>
      </c>
      <c r="AZ741" s="10" t="str">
        <f>IF(K741="","",
IF(AX741="PT",VLOOKUP(K741,Foundation_Calc!$K$79:$R$113,VLOOKUP(AW741,Foundation_Calc!$I$2:$J$8,2,FALSE),0),
IF(AX741="K",VLOOKUP(K741,Foundation_Calc!$K$117:$R$151,VLOOKUP(AW741,Foundation_Calc!$I$2:$J$8,2,FALSE),0),"")))</f>
        <v/>
      </c>
      <c r="BA741" s="495" t="str">
        <f t="shared" si="99"/>
        <v/>
      </c>
      <c r="BB741" s="495" t="str">
        <f t="shared" si="100"/>
        <v/>
      </c>
      <c r="BC741" s="495" t="str">
        <f t="shared" si="101"/>
        <v/>
      </c>
      <c r="BD741" s="513" t="str">
        <f>IF(AND(L741="",H741=""),"",
IF(H741="",Pole_Calc!A$9,
IF(H741="MP",Pole_Calc!A$10,
IF(H741="AnMP",Pole_Calc!A$11,
IF(H741="A",Pole_Calc!A$12,
IF(H741="S/A",Pole_Calc!A$13,
IF(H741="A/S",Pole_Calc!A$14,"Poner a mano")))))))</f>
        <v/>
      </c>
      <c r="BE741" s="429" t="s">
        <v>118</v>
      </c>
      <c r="BF741" s="290"/>
      <c r="BG741" s="290"/>
      <c r="BH741" s="290"/>
      <c r="BI741" s="290"/>
    </row>
    <row r="742" spans="1:61" ht="15.75" customHeight="1">
      <c r="A742" s="514"/>
      <c r="B742" s="450" t="s">
        <v>1319</v>
      </c>
      <c r="C742" s="3">
        <f>+$C$740+$G$741</f>
        <v>48021.30000000001</v>
      </c>
      <c r="D742" s="83"/>
      <c r="E742" s="4"/>
      <c r="F742" s="4">
        <v>6414.0421263815088</v>
      </c>
      <c r="G742" s="6"/>
      <c r="H742" s="449"/>
      <c r="I742" s="4"/>
      <c r="J742" s="3"/>
      <c r="K742" s="449"/>
      <c r="L742" s="449" t="s">
        <v>153</v>
      </c>
      <c r="M742" s="449" t="str">
        <f>IF(L742="","",
IF(AX742="PT",VLOOKUP(L742,Foundation_Calc!$V$79:$X$113,VLOOKUP(AX742,Foundation_Calc!$I$10:$J$13,2,FALSE),0),
IF(AX742="K",VLOOKUP(L742,Foundation_Calc!$V$117:$X$151,VLOOKUP(AX742,Foundation_Calc!$I$10:$J$13,2,FALSE),0),"")))</f>
        <v>C3RT</v>
      </c>
      <c r="N742" s="449" t="s">
        <v>124</v>
      </c>
      <c r="O742" s="449"/>
      <c r="P742" s="449"/>
      <c r="Q742" s="4"/>
      <c r="R742" s="6"/>
      <c r="S742" s="6"/>
      <c r="T742" s="4">
        <v>-25</v>
      </c>
      <c r="U742" s="4"/>
      <c r="V742" s="4"/>
      <c r="W742" s="9">
        <v>1.4</v>
      </c>
      <c r="X742" s="9"/>
      <c r="Y742" s="9"/>
      <c r="Z742" s="9"/>
      <c r="AA742" s="9"/>
      <c r="AB742" s="9"/>
      <c r="AC742" s="449" t="str">
        <f t="shared" si="98"/>
        <v>PH</v>
      </c>
      <c r="AD742" s="449"/>
      <c r="AE742" s="449"/>
      <c r="AF742" s="4"/>
      <c r="AG742" s="83"/>
      <c r="AH742" s="4"/>
      <c r="AI742" s="4"/>
      <c r="AJ742" s="449"/>
      <c r="AK742" s="449"/>
      <c r="AL742" s="449"/>
      <c r="AM742" s="449" t="s">
        <v>552</v>
      </c>
      <c r="AN742" s="10">
        <v>5.5</v>
      </c>
      <c r="AO742" s="9"/>
      <c r="AP742" s="9"/>
      <c r="AQ742" s="9"/>
      <c r="AR742" s="9"/>
      <c r="AS742" s="9"/>
      <c r="AT742" s="9">
        <f>+ab($T$742,$T$740,$T$744,$G$741,$G$743, 1*$F$742,1200)</f>
        <v>-9.2360837670275071</v>
      </c>
      <c r="AU742" s="428"/>
      <c r="AV742" s="428"/>
      <c r="AW742" s="449" t="str">
        <f>IF(C742&gt;0,VLOOKUP(C742,Foundation_Calc!$A$2:$C$13,3,1),
IF(J742&gt;0,VLOOKUP(J742,Foundation_Calc!$A$2:$C$13,3,1),""))</f>
        <v>Multi Soil</v>
      </c>
      <c r="AX742" s="449" t="str">
        <f>IF(C742&gt;0,VLOOKUP(C742,Foundation_Calc!$E$35:$G$65,3,1),
IF(J742&gt;0,VLOOKUP(J742,Foundation_Calc!$E$35:$G$65,3,1),""))</f>
        <v>K</v>
      </c>
      <c r="AY742" s="10">
        <f>IF(L742="","",
IF(AX742="PT",VLOOKUP(L742,Foundation_Calc!$K$79:$R$113,VLOOKUP(AW742,Foundation_Calc!$I$2:$J$8,2,FALSE),0),
IF(AX742="K",VLOOKUP(L742,Foundation_Calc!$K$117:$R$151,VLOOKUP(AW742,Foundation_Calc!$I$2:$J$8,2,FALSE),0),"")))</f>
        <v>4</v>
      </c>
      <c r="AZ742" s="10" t="str">
        <f>IF(K742="","",
IF(AX742="PT",VLOOKUP(K742,Foundation_Calc!$K$79:$R$113,VLOOKUP(AW742,Foundation_Calc!$I$2:$J$8,2,FALSE),0),
IF(AX742="K",VLOOKUP(K742,Foundation_Calc!$K$117:$R$151,VLOOKUP(AW742,Foundation_Calc!$I$2:$J$8,2,FALSE),0),"")))</f>
        <v/>
      </c>
      <c r="BA742" s="495" t="str">
        <f t="shared" si="99"/>
        <v>ü</v>
      </c>
      <c r="BB742" s="495" t="str">
        <f t="shared" si="100"/>
        <v/>
      </c>
      <c r="BC742" s="495" t="str">
        <f t="shared" si="101"/>
        <v/>
      </c>
      <c r="BD742" s="513" t="str">
        <f>IF(AND(L742="",H742=""),"",
IF(H742="",Pole_Calc!A$9,
IF(H742="MP",Pole_Calc!A$10,
IF(H742="AnMP",Pole_Calc!A$11,
IF(H742="A",Pole_Calc!A$12,
IF(H742="S/A",Pole_Calc!A$13,
IF(H742="A/S",Pole_Calc!A$14,"Poner a mano")))))))</f>
        <v>App.7-V11I-P9.5.1.1</v>
      </c>
      <c r="BE742" s="429" t="s">
        <v>118</v>
      </c>
      <c r="BF742" s="289"/>
      <c r="BG742" s="289"/>
      <c r="BH742" s="290"/>
      <c r="BI742" s="289"/>
    </row>
    <row r="743" spans="1:61" ht="15.75" customHeight="1">
      <c r="A743" s="518"/>
      <c r="B743" s="450"/>
      <c r="C743" s="3"/>
      <c r="D743" s="83"/>
      <c r="E743" s="4"/>
      <c r="F743" s="4"/>
      <c r="G743" s="6">
        <v>40</v>
      </c>
      <c r="H743" s="449"/>
      <c r="I743" s="4"/>
      <c r="J743" s="3">
        <f>C744-7.5</f>
        <v>48053.80000000001</v>
      </c>
      <c r="K743" s="449" t="s">
        <v>315</v>
      </c>
      <c r="L743" s="449"/>
      <c r="M743" s="449" t="str">
        <f>IF(L743="","",
IF(AX743="PT",VLOOKUP(L743,Foundation_Calc!$V$79:$X$113,VLOOKUP(AX743,Foundation_Calc!$I$10:$J$13,2,FALSE),0),
IF(AX743="K",VLOOKUP(L743,Foundation_Calc!$V$117:$X$151,VLOOKUP(AX743,Foundation_Calc!$I$10:$J$13,2,FALSE),0),"")))</f>
        <v/>
      </c>
      <c r="N743" s="449"/>
      <c r="O743" s="449"/>
      <c r="P743" s="449"/>
      <c r="Q743" s="4"/>
      <c r="R743" s="6"/>
      <c r="S743" s="6"/>
      <c r="T743" s="4"/>
      <c r="U743" s="4"/>
      <c r="V743" s="4"/>
      <c r="W743" s="9"/>
      <c r="X743" s="9"/>
      <c r="Y743" s="9"/>
      <c r="Z743" s="9"/>
      <c r="AA743" s="9"/>
      <c r="AB743" s="9"/>
      <c r="AC743" s="449" t="str">
        <f t="shared" si="98"/>
        <v/>
      </c>
      <c r="AD743" s="449"/>
      <c r="AE743" s="449"/>
      <c r="AF743" s="4"/>
      <c r="AG743" s="83"/>
      <c r="AH743" s="4"/>
      <c r="AI743" s="4"/>
      <c r="AJ743" s="449"/>
      <c r="AK743" s="449"/>
      <c r="AL743" s="449"/>
      <c r="AM743" s="449"/>
      <c r="AN743" s="10"/>
      <c r="AO743" s="9"/>
      <c r="AP743" s="9"/>
      <c r="AQ743" s="9">
        <f>+FL_1($T$744,$T$742,$G$743,1200,9.28, 1*$F$744)</f>
        <v>0.35014079999999997</v>
      </c>
      <c r="AR743" s="9"/>
      <c r="AS743" s="9"/>
      <c r="AT743" s="9"/>
      <c r="AU743" s="428"/>
      <c r="AV743" s="428"/>
      <c r="AW743" s="449" t="str">
        <f>IF(C743&gt;0,VLOOKUP(C743,Foundation_Calc!$A$2:$C$13,3,1),
IF(J743&gt;0,VLOOKUP(J743,Foundation_Calc!$A$2:$C$13,3,1),""))</f>
        <v>Multi Soil</v>
      </c>
      <c r="AX743" s="449" t="str">
        <f>IF(C743&gt;0,VLOOKUP(C743,Foundation_Calc!$E$35:$G$65,3,1),
IF(J743&gt;0,VLOOKUP(J743,Foundation_Calc!$E$35:$G$65,3,1),""))</f>
        <v>K</v>
      </c>
      <c r="AY743" s="10" t="str">
        <f>IF(L743="","",
IF(AX743="PT",VLOOKUP(L743,Foundation_Calc!$K$79:$R$113,VLOOKUP(AW743,Foundation_Calc!$I$2:$J$8,2,FALSE),0),
IF(AX743="K",VLOOKUP(L743,Foundation_Calc!$K$117:$R$151,VLOOKUP(AW743,Foundation_Calc!$I$2:$J$8,2,FALSE),0),"")))</f>
        <v/>
      </c>
      <c r="AZ743" s="10">
        <f>IF(K743="","",
IF(AX743="PT",VLOOKUP(K743,Foundation_Calc!$K$79:$R$113,VLOOKUP(AW743,Foundation_Calc!$I$2:$J$8,2,FALSE),0),
IF(AX743="K",VLOOKUP(K743,Foundation_Calc!$K$117:$R$151,VLOOKUP(AW743,Foundation_Calc!$I$2:$J$8,2,FALSE),0),"")))</f>
        <v>3.9</v>
      </c>
      <c r="BA743" s="495" t="str">
        <f t="shared" si="99"/>
        <v/>
      </c>
      <c r="BB743" s="495" t="str">
        <f t="shared" si="100"/>
        <v>ü</v>
      </c>
      <c r="BC743" s="495" t="str">
        <f t="shared" si="101"/>
        <v/>
      </c>
      <c r="BD743" s="513" t="str">
        <f>IF(AND(L743="",H743=""),"",
IF(H743="",Pole_Calc!A$9,
IF(H743="MP",Pole_Calc!A$10,
IF(H743="AnMP",Pole_Calc!A$11,
IF(H743="A",Pole_Calc!A$12,
IF(H743="S/A",Pole_Calc!A$13,
IF(H743="A/S",Pole_Calc!A$14,"Poner a mano")))))))</f>
        <v/>
      </c>
      <c r="BE743" s="429" t="s">
        <v>118</v>
      </c>
      <c r="BF743" s="290"/>
      <c r="BG743" s="290"/>
      <c r="BH743" s="290"/>
      <c r="BI743" s="290"/>
    </row>
    <row r="744" spans="1:61" ht="15.75" customHeight="1">
      <c r="A744" s="514"/>
      <c r="B744" s="450" t="s">
        <v>1320</v>
      </c>
      <c r="C744" s="3">
        <f>+$C$742+$G$743</f>
        <v>48061.30000000001</v>
      </c>
      <c r="D744" s="83"/>
      <c r="E744" s="4"/>
      <c r="F744" s="4">
        <v>0</v>
      </c>
      <c r="G744" s="6"/>
      <c r="H744" s="449" t="s">
        <v>121</v>
      </c>
      <c r="I744" s="4" t="s">
        <v>162</v>
      </c>
      <c r="J744" s="3"/>
      <c r="K744" s="449"/>
      <c r="L744" s="449" t="s">
        <v>151</v>
      </c>
      <c r="M744" s="449" t="str">
        <f>IF(L744="","",
IF(AX744="PT",VLOOKUP(L744,Foundation_Calc!$V$79:$X$113,VLOOKUP(AX744,Foundation_Calc!$I$10:$J$13,2,FALSE),0),
IF(AX744="K",VLOOKUP(L744,Foundation_Calc!$V$117:$X$151,VLOOKUP(AX744,Foundation_Calc!$I$10:$J$13,2,FALSE),0),"")))</f>
        <v>C4RT</v>
      </c>
      <c r="N744" s="449" t="s">
        <v>134</v>
      </c>
      <c r="O744" s="449"/>
      <c r="P744" s="449"/>
      <c r="Q744" s="4"/>
      <c r="R744" s="6"/>
      <c r="S744" s="6"/>
      <c r="T744" s="4">
        <v>35</v>
      </c>
      <c r="U744" s="4"/>
      <c r="V744" s="4"/>
      <c r="W744" s="9">
        <v>1.4</v>
      </c>
      <c r="X744" s="9"/>
      <c r="Y744" s="9"/>
      <c r="Z744" s="9"/>
      <c r="AA744" s="9"/>
      <c r="AB744" s="9"/>
      <c r="AC744" s="449" t="str">
        <f t="shared" si="98"/>
        <v>PHQ</v>
      </c>
      <c r="AD744" s="449"/>
      <c r="AE744" s="449"/>
      <c r="AF744" s="4"/>
      <c r="AG744" s="83"/>
      <c r="AH744" s="4"/>
      <c r="AI744" s="4"/>
      <c r="AJ744" s="449"/>
      <c r="AK744" s="449"/>
      <c r="AL744" s="449"/>
      <c r="AM744" s="449" t="s">
        <v>552</v>
      </c>
      <c r="AN744" s="10">
        <v>5.5</v>
      </c>
      <c r="AO744" s="9"/>
      <c r="AP744" s="9"/>
      <c r="AQ744" s="9"/>
      <c r="AR744" s="9"/>
      <c r="AS744" s="9"/>
      <c r="AT744" s="9">
        <f>+ab($T$744,$T$742,$U$746,$G$743,$G$745, 1*$F$744,1200)</f>
        <v>6.4539389697622758</v>
      </c>
      <c r="AU744" s="428"/>
      <c r="AV744" s="428"/>
      <c r="AW744" s="449" t="str">
        <f>IF(C744&gt;0,VLOOKUP(C744,Foundation_Calc!$A$2:$C$13,3,1),
IF(J744&gt;0,VLOOKUP(J744,Foundation_Calc!$A$2:$C$13,3,1),""))</f>
        <v>Multi Soil</v>
      </c>
      <c r="AX744" s="449" t="str">
        <f>IF(C744&gt;0,VLOOKUP(C744,Foundation_Calc!$E$35:$G$65,3,1),
IF(J744&gt;0,VLOOKUP(J744,Foundation_Calc!$E$35:$G$65,3,1),""))</f>
        <v>K</v>
      </c>
      <c r="AY744" s="10">
        <f>IF(L744="","",
IF(AX744="PT",VLOOKUP(L744,Foundation_Calc!$K$79:$R$113,VLOOKUP(AW744,Foundation_Calc!$I$2:$J$8,2,FALSE),0),
IF(AX744="K",VLOOKUP(L744,Foundation_Calc!$K$117:$R$151,VLOOKUP(AW744,Foundation_Calc!$I$2:$J$8,2,FALSE),0),"")))</f>
        <v>4.2</v>
      </c>
      <c r="AZ744" s="10" t="str">
        <f>IF(K744="","",
IF(AX744="PT",VLOOKUP(K744,Foundation_Calc!$K$79:$R$113,VLOOKUP(AW744,Foundation_Calc!$I$2:$J$8,2,FALSE),0),
IF(AX744="K",VLOOKUP(K744,Foundation_Calc!$K$117:$R$151,VLOOKUP(AW744,Foundation_Calc!$I$2:$J$8,2,FALSE),0),"")))</f>
        <v/>
      </c>
      <c r="BA744" s="495" t="str">
        <f t="shared" si="99"/>
        <v>ü</v>
      </c>
      <c r="BB744" s="495" t="str">
        <f t="shared" si="100"/>
        <v/>
      </c>
      <c r="BC744" s="495" t="str">
        <f t="shared" si="101"/>
        <v/>
      </c>
      <c r="BD744" s="513" t="str">
        <f>IF(AND(L744="",H744=""),"",
IF(H744="",Pole_Calc!A$9,
IF(H744="MP",Pole_Calc!A$10,
IF(H744="AnMP",Pole_Calc!A$11,
IF(H744="A",Pole_Calc!A$12,
IF(H744="S/A",Pole_Calc!A$13,
IF(H744="A/S",Pole_Calc!A$14,"Poner a mano")))))))</f>
        <v>App.7-V11I-P9.5.1.6</v>
      </c>
      <c r="BE744" s="429" t="s">
        <v>118</v>
      </c>
      <c r="BF744" s="289"/>
      <c r="BG744" s="289"/>
      <c r="BH744" s="290"/>
      <c r="BI744" s="289"/>
    </row>
    <row r="745" spans="1:61" ht="15.75" customHeight="1">
      <c r="A745" s="897"/>
      <c r="B745" s="450"/>
      <c r="C745" s="3"/>
      <c r="D745" s="83"/>
      <c r="E745" s="4"/>
      <c r="F745" s="4"/>
      <c r="G745" s="6">
        <v>44.5</v>
      </c>
      <c r="H745" s="449"/>
      <c r="I745" s="4"/>
      <c r="J745" s="3"/>
      <c r="K745" s="449"/>
      <c r="L745" s="449"/>
      <c r="M745" s="449" t="str">
        <f>IF(L745="","",
IF(AX745="PT",VLOOKUP(L745,Foundation_Calc!$V$79:$X$113,VLOOKUP(AX745,Foundation_Calc!$I$10:$J$13,2,FALSE),0),
IF(AX745="K",VLOOKUP(L745,Foundation_Calc!$V$117:$X$151,VLOOKUP(AX745,Foundation_Calc!$I$10:$J$13,2,FALSE),0),"")))</f>
        <v/>
      </c>
      <c r="N745" s="449"/>
      <c r="O745" s="449"/>
      <c r="P745" s="449"/>
      <c r="Q745" s="4"/>
      <c r="R745" s="6"/>
      <c r="S745" s="6"/>
      <c r="T745" s="4"/>
      <c r="U745" s="4"/>
      <c r="V745" s="4"/>
      <c r="W745" s="9"/>
      <c r="X745" s="9"/>
      <c r="Y745" s="9"/>
      <c r="Z745" s="9"/>
      <c r="AA745" s="9"/>
      <c r="AB745" s="9"/>
      <c r="AC745" s="449" t="str">
        <f t="shared" si="98"/>
        <v/>
      </c>
      <c r="AD745" s="449"/>
      <c r="AE745" s="449"/>
      <c r="AF745" s="4"/>
      <c r="AG745" s="83"/>
      <c r="AH745" s="4"/>
      <c r="AI745" s="4"/>
      <c r="AJ745" s="449"/>
      <c r="AK745" s="449"/>
      <c r="AL745" s="449"/>
      <c r="AM745" s="449"/>
      <c r="AN745" s="10"/>
      <c r="AO745" s="9"/>
      <c r="AP745" s="9"/>
      <c r="AQ745" s="9">
        <f>+FL_1($U$746,$T$744,$G$745,1200,9.28, 1*$F$746)</f>
        <v>0.35437043631460663</v>
      </c>
      <c r="AR745" s="9"/>
      <c r="AS745" s="9"/>
      <c r="AT745" s="9"/>
      <c r="AU745" s="428"/>
      <c r="AV745" s="428"/>
      <c r="AW745" s="449" t="str">
        <f>IF(C745&gt;0,VLOOKUP(C745,Foundation_Calc!$A$2:$C$13,3,1),
IF(J745&gt;0,VLOOKUP(J745,Foundation_Calc!$A$2:$C$13,3,1),""))</f>
        <v/>
      </c>
      <c r="AX745" s="449" t="str">
        <f>IF(C745&gt;0,VLOOKUP(C745,Foundation_Calc!$E$35:$G$65,3,1),
IF(J745&gt;0,VLOOKUP(J745,Foundation_Calc!$E$35:$G$65,3,1),""))</f>
        <v/>
      </c>
      <c r="AY745" s="10" t="str">
        <f>IF(L745="","",
IF(AX745="PT",VLOOKUP(L745,Foundation_Calc!$K$79:$R$113,VLOOKUP(AW745,Foundation_Calc!$I$2:$J$8,2,FALSE),0),
IF(AX745="K",VLOOKUP(L745,Foundation_Calc!$K$117:$R$151,VLOOKUP(AW745,Foundation_Calc!$I$2:$J$8,2,FALSE),0),"")))</f>
        <v/>
      </c>
      <c r="AZ745" s="10" t="str">
        <f>IF(K745="","",
IF(AX745="PT",VLOOKUP(K745,Foundation_Calc!$K$79:$R$113,VLOOKUP(AW745,Foundation_Calc!$I$2:$J$8,2,FALSE),0),
IF(AX745="K",VLOOKUP(K745,Foundation_Calc!$K$117:$R$151,VLOOKUP(AW745,Foundation_Calc!$I$2:$J$8,2,FALSE),0),"")))</f>
        <v/>
      </c>
      <c r="BA745" s="495" t="str">
        <f t="shared" si="99"/>
        <v/>
      </c>
      <c r="BB745" s="495" t="str">
        <f t="shared" si="100"/>
        <v/>
      </c>
      <c r="BC745" s="495" t="str">
        <f t="shared" si="101"/>
        <v/>
      </c>
      <c r="BD745" s="513" t="str">
        <f>IF(AND(L745="",H745=""),"",
IF(H745="",Pole_Calc!A$9,
IF(H745="MP",Pole_Calc!A$10,
IF(H745="AnMP",Pole_Calc!A$11,
IF(H745="A",Pole_Calc!A$12,
IF(H745="S/A",Pole_Calc!A$13,
IF(H745="A/S",Pole_Calc!A$14,"Poner a mano")))))))</f>
        <v/>
      </c>
      <c r="BE745" s="429" t="s">
        <v>118</v>
      </c>
      <c r="BF745" s="290"/>
      <c r="BG745" s="290"/>
      <c r="BH745" s="290"/>
      <c r="BI745" s="290"/>
    </row>
    <row r="746" spans="1:61" ht="15.75" customHeight="1">
      <c r="A746" s="897" t="s">
        <v>1321</v>
      </c>
      <c r="B746" s="450" t="s">
        <v>1322</v>
      </c>
      <c r="C746" s="3">
        <f>+$C$744+$G$745</f>
        <v>48105.80000000001</v>
      </c>
      <c r="D746" s="83"/>
      <c r="E746" s="4"/>
      <c r="F746" s="4">
        <v>0</v>
      </c>
      <c r="G746" s="6"/>
      <c r="H746" s="449" t="s">
        <v>131</v>
      </c>
      <c r="I746" s="594" t="s">
        <v>132</v>
      </c>
      <c r="J746" s="3"/>
      <c r="K746" s="449"/>
      <c r="L746" s="449" t="s">
        <v>183</v>
      </c>
      <c r="M746" s="449" t="str">
        <f>IF(L746="","",
IF(AX746="PT",VLOOKUP(L746,Foundation_Calc!$V$79:$X$113,VLOOKUP(AX746,Foundation_Calc!$I$10:$J$13,2,FALSE),0),
IF(AX746="K",VLOOKUP(L746,Foundation_Calc!$V$117:$X$151,VLOOKUP(AX746,Foundation_Calc!$I$10:$J$13,2,FALSE),0),"")))</f>
        <v>2C3RT</v>
      </c>
      <c r="N746" s="449" t="s">
        <v>133</v>
      </c>
      <c r="O746" s="449" t="s">
        <v>124</v>
      </c>
      <c r="P746" s="449"/>
      <c r="Q746" s="4"/>
      <c r="R746" s="6"/>
      <c r="S746" s="6"/>
      <c r="T746" s="4">
        <v>15</v>
      </c>
      <c r="U746" s="4">
        <v>-30</v>
      </c>
      <c r="V746" s="4"/>
      <c r="W746" s="572">
        <v>1.2</v>
      </c>
      <c r="X746" s="572">
        <v>2</v>
      </c>
      <c r="Y746" s="9"/>
      <c r="Z746" s="9">
        <v>0.4</v>
      </c>
      <c r="AA746" s="9"/>
      <c r="AB746" s="9"/>
      <c r="AC746" s="449"/>
      <c r="AD746" s="449"/>
      <c r="AE746" s="449"/>
      <c r="AF746" s="4"/>
      <c r="AG746" s="83"/>
      <c r="AH746" s="4"/>
      <c r="AI746" s="4"/>
      <c r="AJ746" s="596" t="s">
        <v>233</v>
      </c>
      <c r="AK746" s="449"/>
      <c r="AL746" s="449"/>
      <c r="AM746" s="449" t="s">
        <v>552</v>
      </c>
      <c r="AN746" s="10">
        <v>5.5</v>
      </c>
      <c r="AO746" s="9"/>
      <c r="AP746" s="9"/>
      <c r="AQ746" s="9"/>
      <c r="AR746" s="9"/>
      <c r="AS746" s="9"/>
      <c r="AT746" s="9">
        <f>+ab($U$746,$T$744,$U$748,$G$745,$G$747, 1*$F$746,1200)</f>
        <v>-10.486026981889696</v>
      </c>
      <c r="AU746" s="428"/>
      <c r="AV746" s="428"/>
      <c r="AW746" s="449" t="str">
        <f>IF(C746&gt;0,VLOOKUP(C746,Foundation_Calc!$A$2:$C$13,3,1),
IF(J746&gt;0,VLOOKUP(J746,Foundation_Calc!$A$2:$C$13,3,1),""))</f>
        <v>Multi Soil</v>
      </c>
      <c r="AX746" s="449" t="str">
        <f>IF(C746&gt;0,VLOOKUP(C746,Foundation_Calc!$E$35:$G$65,3,1),
IF(J746&gt;0,VLOOKUP(J746,Foundation_Calc!$E$35:$G$65,3,1),""))</f>
        <v>K</v>
      </c>
      <c r="AY746" s="10">
        <f>IF(L746="","",
IF(AX746="PT",VLOOKUP(L746,Foundation_Calc!$K$79:$R$113,VLOOKUP(AW746,Foundation_Calc!$I$2:$J$8,2,FALSE),0),
IF(AX746="K",VLOOKUP(L746,Foundation_Calc!$K$117:$R$151,VLOOKUP(AW746,Foundation_Calc!$I$2:$J$8,2,FALSE),0),"")))</f>
        <v>4.5</v>
      </c>
      <c r="AZ746" s="10" t="str">
        <f>IF(K746="","",
IF(AX746="PT",VLOOKUP(K746,Foundation_Calc!$K$79:$R$113,VLOOKUP(AW746,Foundation_Calc!$I$2:$J$8,2,FALSE),0),
IF(AX746="K",VLOOKUP(K746,Foundation_Calc!$K$117:$R$151,VLOOKUP(AW746,Foundation_Calc!$I$2:$J$8,2,FALSE),0),"")))</f>
        <v/>
      </c>
      <c r="BA746" s="495" t="str">
        <f t="shared" si="99"/>
        <v>ü</v>
      </c>
      <c r="BB746" s="495" t="str">
        <f t="shared" si="100"/>
        <v/>
      </c>
      <c r="BC746" s="495" t="str">
        <f t="shared" si="101"/>
        <v/>
      </c>
      <c r="BD746" s="513" t="str">
        <f>Pole_Calc!A$209</f>
        <v>App.7-V11I-P12.3.1.5</v>
      </c>
      <c r="BE746" s="429" t="s">
        <v>118</v>
      </c>
      <c r="BF746" s="289"/>
      <c r="BG746" s="289"/>
      <c r="BH746" s="290"/>
      <c r="BI746" s="289"/>
    </row>
    <row r="747" spans="1:61" ht="15.75" customHeight="1">
      <c r="A747" s="514" t="s">
        <v>32</v>
      </c>
      <c r="B747" s="450"/>
      <c r="C747" s="3"/>
      <c r="D747" s="83"/>
      <c r="E747" s="4"/>
      <c r="F747" s="4"/>
      <c r="G747" s="6">
        <v>43</v>
      </c>
      <c r="H747" s="449"/>
      <c r="I747" s="4"/>
      <c r="J747" s="3"/>
      <c r="K747" s="449"/>
      <c r="L747" s="449"/>
      <c r="M747" s="449" t="str">
        <f>IF(L747="","",
IF(AX747="PT",VLOOKUP(L747,Foundation_Calc!$V$79:$X$113,VLOOKUP(AX747,Foundation_Calc!$I$10:$J$13,2,FALSE),0),
IF(AX747="K",VLOOKUP(L747,Foundation_Calc!$V$117:$X$151,VLOOKUP(AX747,Foundation_Calc!$I$10:$J$13,2,FALSE),0),"")))</f>
        <v/>
      </c>
      <c r="N747" s="449"/>
      <c r="O747" s="561"/>
      <c r="P747" s="449"/>
      <c r="Q747" s="4"/>
      <c r="R747" s="6"/>
      <c r="S747" s="6"/>
      <c r="T747" s="4"/>
      <c r="U747" s="4"/>
      <c r="V747" s="4"/>
      <c r="W747" s="572"/>
      <c r="X747" s="572"/>
      <c r="Y747" s="9"/>
      <c r="Z747" s="9"/>
      <c r="AA747" s="9"/>
      <c r="AB747" s="9"/>
      <c r="AC747" s="449" t="str">
        <f t="shared" si="98"/>
        <v/>
      </c>
      <c r="AD747" s="449"/>
      <c r="AE747" s="449"/>
      <c r="AF747" s="4"/>
      <c r="AG747" s="83"/>
      <c r="AH747" s="4"/>
      <c r="AI747" s="4"/>
      <c r="AJ747" s="449"/>
      <c r="AK747" s="449"/>
      <c r="AL747" s="449"/>
      <c r="AM747" s="449"/>
      <c r="AN747" s="10"/>
      <c r="AO747" s="9"/>
      <c r="AP747" s="9"/>
      <c r="AQ747" s="9">
        <f>+FL_2($T$748,$U$746,$G$747,1200,9.28, 1*$F$748)</f>
        <v>-0.30462017823255821</v>
      </c>
      <c r="AR747" s="9"/>
      <c r="AS747" s="9"/>
      <c r="AT747" s="9"/>
      <c r="AU747" s="428"/>
      <c r="AV747" s="428"/>
      <c r="AW747" s="449" t="str">
        <f>IF(C747&gt;0,VLOOKUP(C747,Foundation_Calc!$A$2:$C$13,3,1),
IF(J747&gt;0,VLOOKUP(J747,Foundation_Calc!$A$2:$C$13,3,1),""))</f>
        <v/>
      </c>
      <c r="AX747" s="449" t="str">
        <f>IF(C747&gt;0,VLOOKUP(C747,Foundation_Calc!$E$35:$G$65,3,1),
IF(J747&gt;0,VLOOKUP(J747,Foundation_Calc!$E$35:$G$65,3,1),""))</f>
        <v/>
      </c>
      <c r="AY747" s="10" t="str">
        <f>IF(L747="","",
IF(AX747="PT",VLOOKUP(L747,Foundation_Calc!$K$79:$R$113,VLOOKUP(AW747,Foundation_Calc!$I$2:$J$8,2,FALSE),0),
IF(AX747="K",VLOOKUP(L747,Foundation_Calc!$K$117:$R$151,VLOOKUP(AW747,Foundation_Calc!$I$2:$J$8,2,FALSE),0),"")))</f>
        <v/>
      </c>
      <c r="AZ747" s="10" t="str">
        <f>IF(K747="","",
IF(AX747="PT",VLOOKUP(K747,Foundation_Calc!$K$79:$R$113,VLOOKUP(AW747,Foundation_Calc!$I$2:$J$8,2,FALSE),0),
IF(AX747="K",VLOOKUP(K747,Foundation_Calc!$K$117:$R$151,VLOOKUP(AW747,Foundation_Calc!$I$2:$J$8,2,FALSE),0),"")))</f>
        <v/>
      </c>
      <c r="BA747" s="495" t="str">
        <f t="shared" si="99"/>
        <v/>
      </c>
      <c r="BB747" s="495" t="str">
        <f t="shared" si="100"/>
        <v/>
      </c>
      <c r="BC747" s="495" t="str">
        <f t="shared" si="101"/>
        <v/>
      </c>
      <c r="BD747" s="513" t="str">
        <f>IF(AND(L747="",H747=""),"",
IF(H747="",Pole_Calc!A$9,
IF(H747="MP",Pole_Calc!A$10,
IF(H747="AnMP",Pole_Calc!A$11,
IF(H747="A",Pole_Calc!A$12,
IF(H747="S/A",Pole_Calc!A$13,
IF(H747="A/S",Pole_Calc!A$14,"Poner a mano")))))))</f>
        <v/>
      </c>
      <c r="BE747" s="429" t="s">
        <v>118</v>
      </c>
      <c r="BF747" s="290"/>
      <c r="BG747" s="290"/>
      <c r="BH747" s="290"/>
      <c r="BI747" s="290"/>
    </row>
    <row r="748" spans="1:61" ht="15.75" customHeight="1">
      <c r="A748" s="514"/>
      <c r="B748" s="450" t="s">
        <v>1323</v>
      </c>
      <c r="C748" s="3">
        <f>+$C$746+$G$747</f>
        <v>48148.80000000001</v>
      </c>
      <c r="D748" s="83"/>
      <c r="E748" s="4"/>
      <c r="F748" s="4">
        <v>0</v>
      </c>
      <c r="G748" s="6"/>
      <c r="H748" s="449" t="s">
        <v>131</v>
      </c>
      <c r="I748" s="4"/>
      <c r="J748" s="3"/>
      <c r="K748" s="449"/>
      <c r="L748" s="449" t="s">
        <v>183</v>
      </c>
      <c r="M748" s="449" t="str">
        <f>IF(L748="","",
IF(AX748="PT",VLOOKUP(L748,Foundation_Calc!$V$79:$X$113,VLOOKUP(AX748,Foundation_Calc!$I$10:$J$13,2,FALSE),0),
IF(AX748="K",VLOOKUP(L748,Foundation_Calc!$V$117:$X$151,VLOOKUP(AX748,Foundation_Calc!$I$10:$J$13,2,FALSE),0),"")))</f>
        <v>2C3RT</v>
      </c>
      <c r="N748" s="449" t="s">
        <v>134</v>
      </c>
      <c r="O748" s="449" t="s">
        <v>133</v>
      </c>
      <c r="P748" s="449"/>
      <c r="Q748" s="4"/>
      <c r="R748" s="6"/>
      <c r="S748" s="6"/>
      <c r="T748" s="4">
        <v>30</v>
      </c>
      <c r="U748" s="4">
        <v>-15</v>
      </c>
      <c r="V748" s="4"/>
      <c r="W748" s="572">
        <v>1.2</v>
      </c>
      <c r="X748" s="572">
        <v>2</v>
      </c>
      <c r="Y748" s="9"/>
      <c r="Z748" s="9"/>
      <c r="AA748" s="9">
        <v>0.4</v>
      </c>
      <c r="AB748" s="9"/>
      <c r="AC748" s="449" t="str">
        <f t="shared" si="98"/>
        <v>PH</v>
      </c>
      <c r="AD748" s="449"/>
      <c r="AE748" s="449"/>
      <c r="AF748" s="4"/>
      <c r="AG748" s="83"/>
      <c r="AH748" s="4"/>
      <c r="AI748" s="4"/>
      <c r="AJ748" s="449"/>
      <c r="AK748" s="449"/>
      <c r="AL748" s="449"/>
      <c r="AM748" s="449" t="s">
        <v>552</v>
      </c>
      <c r="AN748" s="10">
        <v>5.5</v>
      </c>
      <c r="AO748" s="9"/>
      <c r="AP748" s="9"/>
      <c r="AQ748" s="9"/>
      <c r="AR748" s="9"/>
      <c r="AS748" s="9"/>
      <c r="AT748" s="9">
        <f>+ab($T$748,$T$746,$T$750,$G$747,$G$749, 1*$F$748,1200)</f>
        <v>8.0098178484688702</v>
      </c>
      <c r="AU748" s="428"/>
      <c r="AV748" s="428"/>
      <c r="AW748" s="449" t="str">
        <f>IF(C748&gt;0,VLOOKUP(C748,Foundation_Calc!$A$2:$C$13,3,1),
IF(J748&gt;0,VLOOKUP(J748,Foundation_Calc!$A$2:$C$13,3,1),""))</f>
        <v>Multi Soil</v>
      </c>
      <c r="AX748" s="449" t="str">
        <f>IF(C748&gt;0,VLOOKUP(C748,Foundation_Calc!$E$35:$G$65,3,1),
IF(J748&gt;0,VLOOKUP(J748,Foundation_Calc!$E$35:$G$65,3,1),""))</f>
        <v>K</v>
      </c>
      <c r="AY748" s="10">
        <f>IF(L748="","",
IF(AX748="PT",VLOOKUP(L748,Foundation_Calc!$K$79:$R$113,VLOOKUP(AW748,Foundation_Calc!$I$2:$J$8,2,FALSE),0),
IF(AX748="K",VLOOKUP(L748,Foundation_Calc!$K$117:$R$151,VLOOKUP(AW748,Foundation_Calc!$I$2:$J$8,2,FALSE),0),"")))</f>
        <v>4.5</v>
      </c>
      <c r="AZ748" s="10" t="str">
        <f>IF(K748="","",
IF(AX748="PT",VLOOKUP(K748,Foundation_Calc!$K$79:$R$113,VLOOKUP(AW748,Foundation_Calc!$I$2:$J$8,2,FALSE),0),
IF(AX748="K",VLOOKUP(K748,Foundation_Calc!$K$117:$R$151,VLOOKUP(AW748,Foundation_Calc!$I$2:$J$8,2,FALSE),0),"")))</f>
        <v/>
      </c>
      <c r="BA748" s="495" t="str">
        <f t="shared" si="99"/>
        <v>ü</v>
      </c>
      <c r="BB748" s="495" t="str">
        <f t="shared" si="100"/>
        <v/>
      </c>
      <c r="BC748" s="495" t="str">
        <f t="shared" si="101"/>
        <v/>
      </c>
      <c r="BD748" s="513" t="str">
        <f>IF(AND(L748="",H748=""),"",
IF(H748="",Pole_Calc!A$9,
IF(H748="MP",Pole_Calc!A$10,
IF(H748="AnMP",Pole_Calc!A$11,
IF(H748="A",Pole_Calc!A$12,
IF(H748="S/A",Pole_Calc!A$13,
IF(H748="A/S",Pole_Calc!A$14,"Poner a mano")))))))</f>
        <v>App.7-V11I-P9.5.1.5</v>
      </c>
      <c r="BE748" s="429" t="s">
        <v>118</v>
      </c>
      <c r="BF748" s="289"/>
      <c r="BG748" s="289"/>
      <c r="BH748" s="290"/>
      <c r="BI748" s="289"/>
    </row>
    <row r="749" spans="1:61" ht="15.75" customHeight="1">
      <c r="A749" s="514" t="s">
        <v>32</v>
      </c>
      <c r="B749" s="450"/>
      <c r="C749" s="3"/>
      <c r="D749" s="83"/>
      <c r="E749" s="4"/>
      <c r="F749" s="4"/>
      <c r="G749" s="6">
        <v>32</v>
      </c>
      <c r="H749" s="449"/>
      <c r="I749" s="4"/>
      <c r="J749" s="3"/>
      <c r="K749" s="449"/>
      <c r="L749" s="449"/>
      <c r="M749" s="449" t="str">
        <f>IF(L749="","",
IF(AX749="PT",VLOOKUP(L749,Foundation_Calc!$V$79:$X$113,VLOOKUP(AX749,Foundation_Calc!$I$10:$J$13,2,FALSE),0),
IF(AX749="K",VLOOKUP(L749,Foundation_Calc!$V$117:$X$151,VLOOKUP(AX749,Foundation_Calc!$I$10:$J$13,2,FALSE),0),"")))</f>
        <v/>
      </c>
      <c r="N749" s="449"/>
      <c r="O749" s="449"/>
      <c r="P749" s="449"/>
      <c r="Q749" s="4"/>
      <c r="R749" s="6"/>
      <c r="S749" s="6"/>
      <c r="T749" s="4"/>
      <c r="U749" s="4"/>
      <c r="V749" s="4"/>
      <c r="W749" s="572"/>
      <c r="X749" s="572"/>
      <c r="Y749" s="9"/>
      <c r="Z749" s="9"/>
      <c r="AA749" s="9"/>
      <c r="AB749" s="9"/>
      <c r="AC749" s="449" t="str">
        <f t="shared" si="98"/>
        <v/>
      </c>
      <c r="AD749" s="449"/>
      <c r="AE749" s="449"/>
      <c r="AF749" s="4"/>
      <c r="AG749" s="83"/>
      <c r="AH749" s="4"/>
      <c r="AI749" s="4"/>
      <c r="AJ749" s="449"/>
      <c r="AK749" s="449"/>
      <c r="AL749" s="449"/>
      <c r="AM749" s="449"/>
      <c r="AN749" s="10"/>
      <c r="AO749" s="9"/>
      <c r="AP749" s="9"/>
      <c r="AQ749" s="9">
        <f>+FL_2($T$750,$T$748,$G$749,1200,9.28, 1*$F$750)</f>
        <v>-0.35</v>
      </c>
      <c r="AR749" s="9"/>
      <c r="AS749" s="9"/>
      <c r="AT749" s="9"/>
      <c r="AU749" s="428"/>
      <c r="AV749" s="428"/>
      <c r="AW749" s="449" t="str">
        <f>IF(C749&gt;0,VLOOKUP(C749,Foundation_Calc!$A$2:$C$13,3,1),
IF(J749&gt;0,VLOOKUP(J749,Foundation_Calc!$A$2:$C$13,3,1),""))</f>
        <v/>
      </c>
      <c r="AX749" s="449" t="str">
        <f>IF(C749&gt;0,VLOOKUP(C749,Foundation_Calc!$E$35:$G$65,3,1),
IF(J749&gt;0,VLOOKUP(J749,Foundation_Calc!$E$35:$G$65,3,1),""))</f>
        <v/>
      </c>
      <c r="AY749" s="10" t="str">
        <f>IF(L749="","",
IF(AX749="PT",VLOOKUP(L749,Foundation_Calc!$K$79:$R$113,VLOOKUP(AW749,Foundation_Calc!$I$2:$J$8,2,FALSE),0),
IF(AX749="K",VLOOKUP(L749,Foundation_Calc!$K$117:$R$151,VLOOKUP(AW749,Foundation_Calc!$I$2:$J$8,2,FALSE),0),"")))</f>
        <v/>
      </c>
      <c r="AZ749" s="10" t="str">
        <f>IF(K749="","",
IF(AX749="PT",VLOOKUP(K749,Foundation_Calc!$K$79:$R$113,VLOOKUP(AW749,Foundation_Calc!$I$2:$J$8,2,FALSE),0),
IF(AX749="K",VLOOKUP(K749,Foundation_Calc!$K$117:$R$151,VLOOKUP(AW749,Foundation_Calc!$I$2:$J$8,2,FALSE),0),"")))</f>
        <v/>
      </c>
      <c r="BA749" s="495" t="str">
        <f t="shared" si="99"/>
        <v/>
      </c>
      <c r="BB749" s="495" t="str">
        <f t="shared" si="100"/>
        <v/>
      </c>
      <c r="BC749" s="495" t="str">
        <f t="shared" si="101"/>
        <v/>
      </c>
      <c r="BD749" s="513" t="str">
        <f>IF(AND(L749="",H749=""),"",
IF(H749="",Pole_Calc!A$9,
IF(H749="MP",Pole_Calc!A$10,
IF(H749="AnMP",Pole_Calc!A$11,
IF(H749="A",Pole_Calc!A$12,
IF(H749="S/A",Pole_Calc!A$13,
IF(H749="A/S",Pole_Calc!A$14,"Poner a mano")))))))</f>
        <v/>
      </c>
      <c r="BE749" s="429" t="s">
        <v>118</v>
      </c>
      <c r="BF749" s="290"/>
      <c r="BG749" s="290"/>
      <c r="BH749" s="290"/>
      <c r="BI749" s="290"/>
    </row>
    <row r="750" spans="1:61" ht="15.75" customHeight="1">
      <c r="A750" s="514" t="s">
        <v>32</v>
      </c>
      <c r="B750" s="450" t="s">
        <v>1324</v>
      </c>
      <c r="C750" s="3">
        <f>+$C$748+$G$749-0.85</f>
        <v>48179.950000000012</v>
      </c>
      <c r="D750" s="83"/>
      <c r="E750" s="4"/>
      <c r="F750" s="4">
        <v>0</v>
      </c>
      <c r="G750" s="6"/>
      <c r="H750" s="449" t="s">
        <v>121</v>
      </c>
      <c r="I750" s="4" t="s">
        <v>122</v>
      </c>
      <c r="J750" s="3"/>
      <c r="K750" s="449"/>
      <c r="L750" s="449" t="s">
        <v>151</v>
      </c>
      <c r="M750" s="449" t="str">
        <f>IF(L750="","",
IF(AX750="PT",VLOOKUP(L750,Foundation_Calc!$V$79:$X$113,VLOOKUP(AX750,Foundation_Calc!$I$10:$J$13,2,FALSE),0),
IF(AX750="K",VLOOKUP(L750,Foundation_Calc!$V$117:$X$151,VLOOKUP(AX750,Foundation_Calc!$I$10:$J$13,2,FALSE),0),"")))</f>
        <v>C4RT</v>
      </c>
      <c r="N750" s="449" t="s">
        <v>124</v>
      </c>
      <c r="O750" s="449"/>
      <c r="P750" s="449"/>
      <c r="Q750" s="4"/>
      <c r="R750" s="6"/>
      <c r="S750" s="6"/>
      <c r="T750" s="4">
        <v>-35</v>
      </c>
      <c r="U750" s="4"/>
      <c r="V750" s="4"/>
      <c r="W750" s="572">
        <v>1.2</v>
      </c>
      <c r="X750" s="572"/>
      <c r="Y750" s="9"/>
      <c r="Z750" s="9"/>
      <c r="AA750" s="9"/>
      <c r="AB750" s="9"/>
      <c r="AC750" s="449" t="str">
        <f t="shared" si="98"/>
        <v>PHC</v>
      </c>
      <c r="AD750" s="449"/>
      <c r="AE750" s="449"/>
      <c r="AF750" s="4"/>
      <c r="AG750" s="83"/>
      <c r="AH750" s="4"/>
      <c r="AI750" s="4"/>
      <c r="AJ750" s="449"/>
      <c r="AK750" s="449"/>
      <c r="AL750" s="449"/>
      <c r="AM750" s="449" t="s">
        <v>552</v>
      </c>
      <c r="AN750" s="10">
        <v>5.5</v>
      </c>
      <c r="AO750" s="9"/>
      <c r="AP750" s="9"/>
      <c r="AQ750" s="9"/>
      <c r="AR750" s="9"/>
      <c r="AS750" s="9"/>
      <c r="AT750" s="9">
        <f>+ab($T$750,$T$748,$T$752,$G$749,$G$751, 1*$F$750,1200)</f>
        <v>-4.5681711050060834</v>
      </c>
      <c r="AU750" s="428"/>
      <c r="AV750" s="428"/>
      <c r="AW750" s="449" t="str">
        <f>IF(C750&gt;0,VLOOKUP(C750,Foundation_Calc!$A$2:$C$13,3,1),
IF(J750&gt;0,VLOOKUP(J750,Foundation_Calc!$A$2:$C$13,3,1),""))</f>
        <v>Multi Soil</v>
      </c>
      <c r="AX750" s="449" t="str">
        <f>IF(C750&gt;0,VLOOKUP(C750,Foundation_Calc!$E$35:$G$65,3,1),
IF(J750&gt;0,VLOOKUP(J750,Foundation_Calc!$E$35:$G$65,3,1),""))</f>
        <v>K</v>
      </c>
      <c r="AY750" s="10">
        <f>IF(L750="","",
IF(AX750="PT",VLOOKUP(L750,Foundation_Calc!$K$79:$R$113,VLOOKUP(AW750,Foundation_Calc!$I$2:$J$8,2,FALSE),0),
IF(AX750="K",VLOOKUP(L750,Foundation_Calc!$K$117:$R$151,VLOOKUP(AW750,Foundation_Calc!$I$2:$J$8,2,FALSE),0),"")))</f>
        <v>4.2</v>
      </c>
      <c r="AZ750" s="10" t="str">
        <f>IF(K750="","",
IF(AX750="PT",VLOOKUP(K750,Foundation_Calc!$K$79:$R$113,VLOOKUP(AW750,Foundation_Calc!$I$2:$J$8,2,FALSE),0),
IF(AX750="K",VLOOKUP(K750,Foundation_Calc!$K$117:$R$151,VLOOKUP(AW750,Foundation_Calc!$I$2:$J$8,2,FALSE),0),"")))</f>
        <v/>
      </c>
      <c r="BA750" s="495" t="str">
        <f t="shared" si="99"/>
        <v>ü</v>
      </c>
      <c r="BB750" s="495" t="str">
        <f t="shared" si="100"/>
        <v/>
      </c>
      <c r="BC750" s="495" t="str">
        <f t="shared" si="101"/>
        <v/>
      </c>
      <c r="BD750" s="513" t="str">
        <f>IF(AND(L750="",H750=""),"",
IF(H750="",Pole_Calc!A$9,
IF(H750="MP",Pole_Calc!A$10,
IF(H750="AnMP",Pole_Calc!A$11,
IF(H750="A",Pole_Calc!A$12,
IF(H750="S/A",Pole_Calc!A$13,
IF(H750="A/S",Pole_Calc!A$14,"Poner a mano")))))))</f>
        <v>App.7-V11I-P9.5.1.6</v>
      </c>
      <c r="BE750" s="429" t="s">
        <v>118</v>
      </c>
      <c r="BF750" s="289"/>
      <c r="BG750" s="289"/>
      <c r="BH750" s="290"/>
      <c r="BI750" s="289"/>
    </row>
    <row r="751" spans="1:61" ht="15.75" customHeight="1">
      <c r="A751" s="514" t="s">
        <v>32</v>
      </c>
      <c r="B751" s="450"/>
      <c r="C751" s="3"/>
      <c r="D751" s="83"/>
      <c r="E751" s="4"/>
      <c r="F751" s="4"/>
      <c r="G751" s="6">
        <v>32.4</v>
      </c>
      <c r="H751" s="449"/>
      <c r="I751" s="4"/>
      <c r="J751" s="3">
        <f>C750+7.5</f>
        <v>48187.450000000012</v>
      </c>
      <c r="K751" s="449" t="s">
        <v>315</v>
      </c>
      <c r="L751" s="449"/>
      <c r="M751" s="449" t="str">
        <f>IF(L751="","",
IF(AX751="PT",VLOOKUP(L751,Foundation_Calc!$V$79:$X$113,VLOOKUP(AX751,Foundation_Calc!$I$10:$J$13,2,FALSE),0),
IF(AX751="K",VLOOKUP(L751,Foundation_Calc!$V$117:$X$151,VLOOKUP(AX751,Foundation_Calc!$I$10:$J$13,2,FALSE),0),"")))</f>
        <v/>
      </c>
      <c r="N751" s="449"/>
      <c r="O751" s="449"/>
      <c r="P751" s="449"/>
      <c r="Q751" s="4"/>
      <c r="R751" s="6"/>
      <c r="S751" s="6"/>
      <c r="T751" s="4"/>
      <c r="U751" s="4"/>
      <c r="V751" s="4"/>
      <c r="W751" s="572"/>
      <c r="X751" s="572"/>
      <c r="Y751" s="9"/>
      <c r="Z751" s="9"/>
      <c r="AA751" s="9"/>
      <c r="AB751" s="9"/>
      <c r="AC751" s="449" t="str">
        <f t="shared" si="98"/>
        <v/>
      </c>
      <c r="AD751" s="449"/>
      <c r="AE751" s="449"/>
      <c r="AF751" s="4"/>
      <c r="AG751" s="83"/>
      <c r="AH751" s="4"/>
      <c r="AI751" s="4"/>
      <c r="AJ751" s="449"/>
      <c r="AK751" s="449"/>
      <c r="AL751" s="449"/>
      <c r="AM751" s="449"/>
      <c r="AN751" s="10"/>
      <c r="AO751" s="9"/>
      <c r="AP751" s="9"/>
      <c r="AQ751" s="9">
        <f>+FL_2($T$752,$T$750,$G$751,1200,9.28, 1*$F$752)</f>
        <v>-0.35000000000001918</v>
      </c>
      <c r="AR751" s="9"/>
      <c r="AS751" s="9"/>
      <c r="AT751" s="9"/>
      <c r="AU751" s="428"/>
      <c r="AV751" s="428"/>
      <c r="AW751" s="449" t="str">
        <f>IF(C751&gt;0,VLOOKUP(C751,Foundation_Calc!$A$2:$C$13,3,1),
IF(J751&gt;0,VLOOKUP(J751,Foundation_Calc!$A$2:$C$13,3,1),""))</f>
        <v>Multi Soil</v>
      </c>
      <c r="AX751" s="449" t="str">
        <f>IF(C751&gt;0,VLOOKUP(C751,Foundation_Calc!$E$35:$G$65,3,1),
IF(J751&gt;0,VLOOKUP(J751,Foundation_Calc!$E$35:$G$65,3,1),""))</f>
        <v>K</v>
      </c>
      <c r="AY751" s="10" t="str">
        <f>IF(L751="","",
IF(AX751="PT",VLOOKUP(L751,Foundation_Calc!$K$79:$R$113,VLOOKUP(AW751,Foundation_Calc!$I$2:$J$8,2,FALSE),0),
IF(AX751="K",VLOOKUP(L751,Foundation_Calc!$K$117:$R$151,VLOOKUP(AW751,Foundation_Calc!$I$2:$J$8,2,FALSE),0),"")))</f>
        <v/>
      </c>
      <c r="AZ751" s="10">
        <f>IF(K751="","",
IF(AX751="PT",VLOOKUP(K751,Foundation_Calc!$K$79:$R$113,VLOOKUP(AW751,Foundation_Calc!$I$2:$J$8,2,FALSE),0),
IF(AX751="K",VLOOKUP(K751,Foundation_Calc!$K$117:$R$151,VLOOKUP(AW751,Foundation_Calc!$I$2:$J$8,2,FALSE),0),"")))</f>
        <v>3.9</v>
      </c>
      <c r="BA751" s="495" t="str">
        <f t="shared" si="99"/>
        <v/>
      </c>
      <c r="BB751" s="495" t="str">
        <f t="shared" si="100"/>
        <v>ü</v>
      </c>
      <c r="BC751" s="495" t="str">
        <f t="shared" si="101"/>
        <v/>
      </c>
      <c r="BD751" s="513" t="str">
        <f>IF(AND(L751="",H751=""),"",
IF(H751="",Pole_Calc!A$9,
IF(H751="MP",Pole_Calc!A$10,
IF(H751="AnMP",Pole_Calc!A$11,
IF(H751="A",Pole_Calc!A$12,
IF(H751="S/A",Pole_Calc!A$13,
IF(H751="A/S",Pole_Calc!A$14,"Poner a mano")))))))</f>
        <v/>
      </c>
      <c r="BE751" s="429" t="s">
        <v>118</v>
      </c>
      <c r="BF751" s="290"/>
      <c r="BG751" s="290"/>
      <c r="BH751" s="290"/>
      <c r="BI751" s="290"/>
    </row>
    <row r="752" spans="1:61" ht="15.75" customHeight="1">
      <c r="A752" s="514" t="s">
        <v>32</v>
      </c>
      <c r="B752" s="450" t="s">
        <v>1325</v>
      </c>
      <c r="C752" s="3">
        <f>+$C$750+$G$751</f>
        <v>48212.350000000013</v>
      </c>
      <c r="D752" s="83"/>
      <c r="E752" s="4"/>
      <c r="F752" s="4">
        <v>0</v>
      </c>
      <c r="G752" s="6"/>
      <c r="H752" s="449"/>
      <c r="I752" s="4"/>
      <c r="J752" s="3"/>
      <c r="K752" s="449"/>
      <c r="L752" s="449" t="s">
        <v>153</v>
      </c>
      <c r="M752" s="449" t="str">
        <f>IF(L752="","",
IF(AX752="PT",VLOOKUP(L752,Foundation_Calc!$V$79:$X$113,VLOOKUP(AX752,Foundation_Calc!$I$10:$J$13,2,FALSE),0),
IF(AX752="K",VLOOKUP(L752,Foundation_Calc!$V$117:$X$151,VLOOKUP(AX752,Foundation_Calc!$I$10:$J$13,2,FALSE),0),"")))</f>
        <v>C3RT</v>
      </c>
      <c r="N752" s="449" t="s">
        <v>134</v>
      </c>
      <c r="O752" s="449"/>
      <c r="P752" s="449"/>
      <c r="Q752" s="4"/>
      <c r="R752" s="6"/>
      <c r="S752" s="6"/>
      <c r="T752" s="4">
        <v>35</v>
      </c>
      <c r="U752" s="4"/>
      <c r="V752" s="4"/>
      <c r="W752" s="572">
        <v>1.2</v>
      </c>
      <c r="X752" s="572"/>
      <c r="Y752" s="9"/>
      <c r="Z752" s="9"/>
      <c r="AA752" s="9"/>
      <c r="AB752" s="9"/>
      <c r="AC752" s="449" t="str">
        <f t="shared" si="98"/>
        <v>PHC</v>
      </c>
      <c r="AD752" s="449"/>
      <c r="AE752" s="449"/>
      <c r="AF752" s="4"/>
      <c r="AG752" s="83"/>
      <c r="AH752" s="4"/>
      <c r="AI752" s="4"/>
      <c r="AJ752" s="449"/>
      <c r="AK752" s="449"/>
      <c r="AL752" s="449"/>
      <c r="AM752" s="449" t="s">
        <v>552</v>
      </c>
      <c r="AN752" s="10">
        <v>5.5</v>
      </c>
      <c r="AO752" s="9"/>
      <c r="AP752" s="9"/>
      <c r="AQ752" s="9"/>
      <c r="AR752" s="9"/>
      <c r="AS752" s="9"/>
      <c r="AT752" s="9">
        <f>+ab($T$752,$T$750,$T$754,$G$751,$G$753, 1*$F$752,1200)</f>
        <v>4.7830552735320158</v>
      </c>
      <c r="AU752" s="428"/>
      <c r="AV752" s="428"/>
      <c r="AW752" s="449" t="str">
        <f>IF(C752&gt;0,VLOOKUP(C752,Foundation_Calc!$A$2:$C$13,3,1),
IF(J752&gt;0,VLOOKUP(J752,Foundation_Calc!$A$2:$C$13,3,1),""))</f>
        <v>Multi Soil</v>
      </c>
      <c r="AX752" s="449" t="str">
        <f>IF(C752&gt;0,VLOOKUP(C752,Foundation_Calc!$E$35:$G$65,3,1),
IF(J752&gt;0,VLOOKUP(J752,Foundation_Calc!$E$35:$G$65,3,1),""))</f>
        <v>K</v>
      </c>
      <c r="AY752" s="10">
        <f>IF(L752="","",
IF(AX752="PT",VLOOKUP(L752,Foundation_Calc!$K$79:$R$113,VLOOKUP(AW752,Foundation_Calc!$I$2:$J$8,2,FALSE),0),
IF(AX752="K",VLOOKUP(L752,Foundation_Calc!$K$117:$R$151,VLOOKUP(AW752,Foundation_Calc!$I$2:$J$8,2,FALSE),0),"")))</f>
        <v>4</v>
      </c>
      <c r="AZ752" s="10" t="str">
        <f>IF(K752="","",
IF(AX752="PT",VLOOKUP(K752,Foundation_Calc!$K$79:$R$113,VLOOKUP(AW752,Foundation_Calc!$I$2:$J$8,2,FALSE),0),
IF(AX752="K",VLOOKUP(K752,Foundation_Calc!$K$117:$R$151,VLOOKUP(AW752,Foundation_Calc!$I$2:$J$8,2,FALSE),0),"")))</f>
        <v/>
      </c>
      <c r="BA752" s="495" t="str">
        <f t="shared" si="99"/>
        <v>ü</v>
      </c>
      <c r="BB752" s="495" t="str">
        <f t="shared" si="100"/>
        <v/>
      </c>
      <c r="BC752" s="495" t="str">
        <f t="shared" si="101"/>
        <v/>
      </c>
      <c r="BD752" s="513" t="str">
        <f>IF(AND(L752="",H752=""),"",
IF(H752="",Pole_Calc!A$9,
IF(H752="MP",Pole_Calc!A$10,
IF(H752="AnMP",Pole_Calc!A$11,
IF(H752="A",Pole_Calc!A$12,
IF(H752="S/A",Pole_Calc!A$13,
IF(H752="A/S",Pole_Calc!A$14,"Poner a mano")))))))</f>
        <v>App.7-V11I-P9.5.1.1</v>
      </c>
      <c r="BE752" s="429" t="s">
        <v>118</v>
      </c>
      <c r="BF752" s="289"/>
      <c r="BG752" s="289"/>
      <c r="BH752" s="290"/>
      <c r="BI752" s="289"/>
    </row>
    <row r="753" spans="1:61" ht="15.75" customHeight="1">
      <c r="A753" s="514"/>
      <c r="B753" s="450"/>
      <c r="C753" s="3"/>
      <c r="D753" s="83"/>
      <c r="E753" s="4"/>
      <c r="F753" s="4"/>
      <c r="G753" s="6">
        <v>38</v>
      </c>
      <c r="H753" s="449"/>
      <c r="I753" s="4"/>
      <c r="J753" s="3"/>
      <c r="K753" s="449"/>
      <c r="L753" s="449"/>
      <c r="M753" s="449" t="str">
        <f>IF(L753="","",
IF(AX753="PT",VLOOKUP(L753,Foundation_Calc!$V$79:$X$113,VLOOKUP(AX753,Foundation_Calc!$I$10:$J$13,2,FALSE),0),
IF(AX753="K",VLOOKUP(L753,Foundation_Calc!$V$117:$X$151,VLOOKUP(AX753,Foundation_Calc!$I$10:$J$13,2,FALSE),0),"")))</f>
        <v/>
      </c>
      <c r="N753" s="449"/>
      <c r="O753" s="561"/>
      <c r="P753" s="449"/>
      <c r="Q753" s="4"/>
      <c r="R753" s="6"/>
      <c r="S753" s="6"/>
      <c r="T753" s="4"/>
      <c r="U753" s="4"/>
      <c r="V753" s="4"/>
      <c r="W753" s="572"/>
      <c r="X753" s="572"/>
      <c r="Y753" s="9"/>
      <c r="Z753" s="9"/>
      <c r="AA753" s="9"/>
      <c r="AB753" s="9"/>
      <c r="AC753" s="449" t="str">
        <f t="shared" si="98"/>
        <v/>
      </c>
      <c r="AD753" s="449"/>
      <c r="AE753" s="449"/>
      <c r="AF753" s="4"/>
      <c r="AG753" s="83"/>
      <c r="AH753" s="4"/>
      <c r="AI753" s="4"/>
      <c r="AJ753" s="449"/>
      <c r="AK753" s="449"/>
      <c r="AL753" s="449"/>
      <c r="AM753" s="449"/>
      <c r="AN753" s="10"/>
      <c r="AO753" s="9"/>
      <c r="AP753" s="9"/>
      <c r="AQ753" s="9">
        <f>+FL_1($T$754,$T$752,$G$753,1200,9.28, 1*$F$754)</f>
        <v>0.35000000000000375</v>
      </c>
      <c r="AR753" s="9"/>
      <c r="AS753" s="9"/>
      <c r="AT753" s="9"/>
      <c r="AU753" s="428"/>
      <c r="AV753" s="428"/>
      <c r="AW753" s="449" t="str">
        <f>IF(C753&gt;0,VLOOKUP(C753,Foundation_Calc!$A$2:$C$13,3,1),
IF(J753&gt;0,VLOOKUP(J753,Foundation_Calc!$A$2:$C$13,3,1),""))</f>
        <v/>
      </c>
      <c r="AX753" s="449" t="str">
        <f>IF(C753&gt;0,VLOOKUP(C753,Foundation_Calc!$E$35:$G$65,3,1),
IF(J753&gt;0,VLOOKUP(J753,Foundation_Calc!$E$35:$G$65,3,1),""))</f>
        <v/>
      </c>
      <c r="AY753" s="10" t="str">
        <f>IF(L753="","",
IF(AX753="PT",VLOOKUP(L753,Foundation_Calc!$K$79:$R$113,VLOOKUP(AW753,Foundation_Calc!$I$2:$J$8,2,FALSE),0),
IF(AX753="K",VLOOKUP(L753,Foundation_Calc!$K$117:$R$151,VLOOKUP(AW753,Foundation_Calc!$I$2:$J$8,2,FALSE),0),"")))</f>
        <v/>
      </c>
      <c r="AZ753" s="10" t="str">
        <f>IF(K753="","",
IF(AX753="PT",VLOOKUP(K753,Foundation_Calc!$K$79:$R$113,VLOOKUP(AW753,Foundation_Calc!$I$2:$J$8,2,FALSE),0),
IF(AX753="K",VLOOKUP(K753,Foundation_Calc!$K$117:$R$151,VLOOKUP(AW753,Foundation_Calc!$I$2:$J$8,2,FALSE),0),"")))</f>
        <v/>
      </c>
      <c r="BA753" s="495" t="str">
        <f t="shared" si="99"/>
        <v/>
      </c>
      <c r="BB753" s="495" t="str">
        <f t="shared" si="100"/>
        <v/>
      </c>
      <c r="BC753" s="495" t="str">
        <f t="shared" si="101"/>
        <v/>
      </c>
      <c r="BD753" s="513" t="str">
        <f>IF(AND(L753="",H753=""),"",
IF(H753="",Pole_Calc!A$9,
IF(H753="MP",Pole_Calc!A$10,
IF(H753="AnMP",Pole_Calc!A$11,
IF(H753="A",Pole_Calc!A$12,
IF(H753="S/A",Pole_Calc!A$13,
IF(H753="A/S",Pole_Calc!A$14,"Poner a mano")))))))</f>
        <v/>
      </c>
      <c r="BE753" s="429" t="s">
        <v>118</v>
      </c>
      <c r="BF753" s="290"/>
      <c r="BG753" s="290"/>
      <c r="BH753" s="290"/>
      <c r="BI753" s="290"/>
    </row>
    <row r="754" spans="1:61" ht="15.75" customHeight="1">
      <c r="A754" s="514"/>
      <c r="B754" s="450" t="s">
        <v>1326</v>
      </c>
      <c r="C754" s="3">
        <f>+$C$752+$G$753</f>
        <v>48250.350000000013</v>
      </c>
      <c r="D754" s="83"/>
      <c r="E754" s="4"/>
      <c r="F754" s="4">
        <v>0</v>
      </c>
      <c r="G754" s="6"/>
      <c r="H754" s="449"/>
      <c r="I754" s="4"/>
      <c r="J754" s="3"/>
      <c r="K754" s="449"/>
      <c r="L754" s="449" t="s">
        <v>153</v>
      </c>
      <c r="M754" s="449" t="str">
        <f>IF(L754="","",
IF(AX754="PT",VLOOKUP(L754,Foundation_Calc!$V$79:$X$113,VLOOKUP(AX754,Foundation_Calc!$I$10:$J$13,2,FALSE),0),
IF(AX754="K",VLOOKUP(L754,Foundation_Calc!$V$117:$X$151,VLOOKUP(AX754,Foundation_Calc!$I$10:$J$13,2,FALSE),0),"")))</f>
        <v>C3RT</v>
      </c>
      <c r="N754" s="449" t="s">
        <v>124</v>
      </c>
      <c r="O754" s="449"/>
      <c r="P754" s="449"/>
      <c r="Q754" s="4"/>
      <c r="R754" s="6"/>
      <c r="S754" s="6"/>
      <c r="T754" s="4">
        <v>-35</v>
      </c>
      <c r="U754" s="4"/>
      <c r="V754" s="4"/>
      <c r="W754" s="572">
        <v>1.2</v>
      </c>
      <c r="X754" s="572"/>
      <c r="Y754" s="9"/>
      <c r="Z754" s="9"/>
      <c r="AA754" s="9"/>
      <c r="AB754" s="9"/>
      <c r="AC754" s="449" t="str">
        <f t="shared" si="98"/>
        <v>PHC</v>
      </c>
      <c r="AD754" s="449"/>
      <c r="AE754" s="449"/>
      <c r="AF754" s="4"/>
      <c r="AG754" s="83"/>
      <c r="AH754" s="4"/>
      <c r="AI754" s="4"/>
      <c r="AJ754" s="449"/>
      <c r="AK754" s="449"/>
      <c r="AL754" s="449"/>
      <c r="AM754" s="449" t="s">
        <v>552</v>
      </c>
      <c r="AN754" s="10">
        <v>5.5</v>
      </c>
      <c r="AO754" s="9"/>
      <c r="AP754" s="9"/>
      <c r="AQ754" s="9"/>
      <c r="AR754" s="9"/>
      <c r="AS754" s="9"/>
      <c r="AT754" s="9">
        <f>+ab($T$754,$T$752,$T$756,$G$753,$G$755, 1*$F$754,1200)</f>
        <v>-4.6697516067896911</v>
      </c>
      <c r="AU754" s="428"/>
      <c r="AV754" s="428"/>
      <c r="AW754" s="449" t="str">
        <f>IF(C754&gt;0,VLOOKUP(C754,Foundation_Calc!$A$2:$C$13,3,1),
IF(J754&gt;0,VLOOKUP(J754,Foundation_Calc!$A$2:$C$13,3,1),""))</f>
        <v>Multi Soil</v>
      </c>
      <c r="AX754" s="449" t="str">
        <f>IF(C754&gt;0,VLOOKUP(C754,Foundation_Calc!$E$35:$G$65,3,1),
IF(J754&gt;0,VLOOKUP(J754,Foundation_Calc!$E$35:$G$65,3,1),""))</f>
        <v>K</v>
      </c>
      <c r="AY754" s="10">
        <f>IF(L754="","",
IF(AX754="PT",VLOOKUP(L754,Foundation_Calc!$K$79:$R$113,VLOOKUP(AW754,Foundation_Calc!$I$2:$J$8,2,FALSE),0),
IF(AX754="K",VLOOKUP(L754,Foundation_Calc!$K$117:$R$151,VLOOKUP(AW754,Foundation_Calc!$I$2:$J$8,2,FALSE),0),"")))</f>
        <v>4</v>
      </c>
      <c r="AZ754" s="10" t="str">
        <f>IF(K754="","",
IF(AX754="PT",VLOOKUP(K754,Foundation_Calc!$K$79:$R$113,VLOOKUP(AW754,Foundation_Calc!$I$2:$J$8,2,FALSE),0),
IF(AX754="K",VLOOKUP(K754,Foundation_Calc!$K$117:$R$151,VLOOKUP(AW754,Foundation_Calc!$I$2:$J$8,2,FALSE),0),"")))</f>
        <v/>
      </c>
      <c r="BA754" s="495" t="str">
        <f t="shared" si="99"/>
        <v>ü</v>
      </c>
      <c r="BB754" s="495" t="str">
        <f t="shared" si="100"/>
        <v/>
      </c>
      <c r="BC754" s="495" t="str">
        <f t="shared" si="101"/>
        <v/>
      </c>
      <c r="BD754" s="513" t="str">
        <f>IF(AND(L754="",H754=""),"",
IF(H754="",Pole_Calc!A$9,
IF(H754="MP",Pole_Calc!A$10,
IF(H754="AnMP",Pole_Calc!A$11,
IF(H754="A",Pole_Calc!A$12,
IF(H754="S/A",Pole_Calc!A$13,
IF(H754="A/S",Pole_Calc!A$14,"Poner a mano")))))))</f>
        <v>App.7-V11I-P9.5.1.1</v>
      </c>
      <c r="BE754" s="429" t="s">
        <v>118</v>
      </c>
      <c r="BF754" s="289"/>
      <c r="BG754" s="289"/>
      <c r="BH754" s="290"/>
      <c r="BI754" s="289"/>
    </row>
    <row r="755" spans="1:61" ht="15.75" customHeight="1">
      <c r="A755" s="518"/>
      <c r="B755" s="450"/>
      <c r="C755" s="3"/>
      <c r="D755" s="83"/>
      <c r="E755" s="4"/>
      <c r="F755" s="4"/>
      <c r="G755" s="6">
        <v>31</v>
      </c>
      <c r="H755" s="449"/>
      <c r="I755" s="4"/>
      <c r="J755" s="3"/>
      <c r="K755" s="449"/>
      <c r="L755" s="449"/>
      <c r="M755" s="449" t="str">
        <f>IF(L755="","",
IF(AX755="PT",VLOOKUP(L755,Foundation_Calc!$V$79:$X$113,VLOOKUP(AX755,Foundation_Calc!$I$10:$J$13,2,FALSE),0),
IF(AX755="K",VLOOKUP(L755,Foundation_Calc!$V$117:$X$151,VLOOKUP(AX755,Foundation_Calc!$I$10:$J$13,2,FALSE),0),"")))</f>
        <v/>
      </c>
      <c r="N755" s="449"/>
      <c r="O755" s="449"/>
      <c r="P755" s="449"/>
      <c r="Q755" s="4"/>
      <c r="R755" s="6"/>
      <c r="S755" s="6"/>
      <c r="T755" s="4"/>
      <c r="U755" s="4"/>
      <c r="V755" s="4"/>
      <c r="W755" s="9"/>
      <c r="X755" s="9"/>
      <c r="Y755" s="9"/>
      <c r="Z755" s="9"/>
      <c r="AA755" s="9"/>
      <c r="AB755" s="9"/>
      <c r="AC755" s="449" t="str">
        <f t="shared" si="98"/>
        <v/>
      </c>
      <c r="AD755" s="449"/>
      <c r="AE755" s="449"/>
      <c r="AF755" s="4"/>
      <c r="AG755" s="83"/>
      <c r="AH755" s="4"/>
      <c r="AI755" s="4"/>
      <c r="AJ755" s="449"/>
      <c r="AK755" s="449"/>
      <c r="AL755" s="449"/>
      <c r="AM755" s="449"/>
      <c r="AN755" s="10"/>
      <c r="AO755" s="9"/>
      <c r="AP755" s="9"/>
      <c r="AQ755" s="9">
        <f>+FL_2($T$756,$T$754,$G$755,1200,9.28, 1*$F$756)</f>
        <v>-0.35000000000002168</v>
      </c>
      <c r="AR755" s="9"/>
      <c r="AS755" s="9"/>
      <c r="AT755" s="9"/>
      <c r="AU755" s="428"/>
      <c r="AV755" s="428"/>
      <c r="AW755" s="449" t="str">
        <f>IF(C755&gt;0,VLOOKUP(C755,Foundation_Calc!$A$2:$C$13,3,1),
IF(J755&gt;0,VLOOKUP(J755,Foundation_Calc!$A$2:$C$13,3,1),""))</f>
        <v/>
      </c>
      <c r="AX755" s="449" t="str">
        <f>IF(C755&gt;0,VLOOKUP(C755,Foundation_Calc!$E$35:$G$65,3,1),
IF(J755&gt;0,VLOOKUP(J755,Foundation_Calc!$E$35:$G$65,3,1),""))</f>
        <v/>
      </c>
      <c r="AY755" s="10" t="str">
        <f>IF(L755="","",
IF(AX755="PT",VLOOKUP(L755,Foundation_Calc!$K$79:$R$113,VLOOKUP(AW755,Foundation_Calc!$I$2:$J$8,2,FALSE),0),
IF(AX755="K",VLOOKUP(L755,Foundation_Calc!$K$117:$R$151,VLOOKUP(AW755,Foundation_Calc!$I$2:$J$8,2,FALSE),0),"")))</f>
        <v/>
      </c>
      <c r="AZ755" s="10" t="str">
        <f>IF(K755="","",
IF(AX755="PT",VLOOKUP(K755,Foundation_Calc!$K$79:$R$113,VLOOKUP(AW755,Foundation_Calc!$I$2:$J$8,2,FALSE),0),
IF(AX755="K",VLOOKUP(K755,Foundation_Calc!$K$117:$R$151,VLOOKUP(AW755,Foundation_Calc!$I$2:$J$8,2,FALSE),0),"")))</f>
        <v/>
      </c>
      <c r="BA755" s="495" t="str">
        <f t="shared" si="99"/>
        <v/>
      </c>
      <c r="BB755" s="495" t="str">
        <f t="shared" si="100"/>
        <v/>
      </c>
      <c r="BC755" s="495" t="str">
        <f t="shared" si="101"/>
        <v/>
      </c>
      <c r="BD755" s="513" t="str">
        <f>IF(AND(L755="",H755=""),"",
IF(H755="",Pole_Calc!A$9,
IF(H755="MP",Pole_Calc!A$10,
IF(H755="AnMP",Pole_Calc!A$11,
IF(H755="A",Pole_Calc!A$12,
IF(H755="S/A",Pole_Calc!A$13,
IF(H755="A/S",Pole_Calc!A$14,"Poner a mano")))))))</f>
        <v/>
      </c>
      <c r="BE755" s="429" t="s">
        <v>118</v>
      </c>
      <c r="BF755" s="290"/>
      <c r="BG755" s="290"/>
      <c r="BH755" s="290"/>
      <c r="BI755" s="290"/>
    </row>
    <row r="756" spans="1:61" ht="15.75" customHeight="1">
      <c r="A756" s="514"/>
      <c r="B756" s="450" t="s">
        <v>1327</v>
      </c>
      <c r="C756" s="3">
        <f>+$C$754+$G$755</f>
        <v>48281.350000000013</v>
      </c>
      <c r="D756" s="83"/>
      <c r="E756" s="4"/>
      <c r="F756" s="4">
        <v>0</v>
      </c>
      <c r="G756" s="6"/>
      <c r="H756" s="449"/>
      <c r="I756" s="4"/>
      <c r="J756" s="3"/>
      <c r="K756" s="449"/>
      <c r="L756" s="449" t="s">
        <v>153</v>
      </c>
      <c r="M756" s="449" t="str">
        <f>IF(L756="","",
IF(AX756="PT",VLOOKUP(L756,Foundation_Calc!$V$79:$X$113,VLOOKUP(AX756,Foundation_Calc!$I$10:$J$13,2,FALSE),0),
IF(AX756="K",VLOOKUP(L756,Foundation_Calc!$V$117:$X$151,VLOOKUP(AX756,Foundation_Calc!$I$10:$J$13,2,FALSE),0),"")))</f>
        <v>C3R</v>
      </c>
      <c r="N756" s="449" t="s">
        <v>134</v>
      </c>
      <c r="O756" s="449"/>
      <c r="P756" s="449"/>
      <c r="Q756" s="4"/>
      <c r="R756" s="6"/>
      <c r="S756" s="6"/>
      <c r="T756" s="4">
        <v>35</v>
      </c>
      <c r="U756" s="4"/>
      <c r="V756" s="4"/>
      <c r="W756" s="572">
        <v>1.1000000000000001</v>
      </c>
      <c r="X756" s="9"/>
      <c r="Y756" s="9"/>
      <c r="Z756" s="9"/>
      <c r="AA756" s="9"/>
      <c r="AB756" s="9"/>
      <c r="AC756" s="449" t="str">
        <f t="shared" si="98"/>
        <v>PHC</v>
      </c>
      <c r="AD756" s="449"/>
      <c r="AE756" s="449"/>
      <c r="AF756" s="4"/>
      <c r="AG756" s="83"/>
      <c r="AH756" s="4"/>
      <c r="AI756" s="4"/>
      <c r="AJ756" s="449"/>
      <c r="AK756" s="449"/>
      <c r="AL756" s="449"/>
      <c r="AM756" s="449" t="s">
        <v>552</v>
      </c>
      <c r="AN756" s="10">
        <v>5.5</v>
      </c>
      <c r="AO756" s="9"/>
      <c r="AP756" s="9"/>
      <c r="AQ756" s="9"/>
      <c r="AR756" s="9"/>
      <c r="AS756" s="9"/>
      <c r="AT756" s="9">
        <f>+ab($T$756,$T$754,$T$758,$G$755,$G$757, 1*$F$756,1200)</f>
        <v>4.2138438113446828</v>
      </c>
      <c r="AU756" s="428"/>
      <c r="AV756" s="428"/>
      <c r="AW756" s="449" t="str">
        <f>IF(C756&gt;0,VLOOKUP(C756,Foundation_Calc!$A$2:$C$13,3,1),
IF(J756&gt;0,VLOOKUP(J756,Foundation_Calc!$A$2:$C$13,3,1),""))</f>
        <v>Multi Soil</v>
      </c>
      <c r="AX756" s="449" t="str">
        <f>IF(C756&gt;0,VLOOKUP(C756,Foundation_Calc!$E$35:$G$65,3,1),
IF(J756&gt;0,VLOOKUP(J756,Foundation_Calc!$E$35:$G$65,3,1),""))</f>
        <v>PT</v>
      </c>
      <c r="AY756" s="10">
        <f>IF(L756="","",
IF(AX756="PT",VLOOKUP(L756,Foundation_Calc!$K$79:$R$113,VLOOKUP(AW756,Foundation_Calc!$I$2:$J$8,2,FALSE),0),
IF(AX756="K",VLOOKUP(L756,Foundation_Calc!$K$117:$R$151,VLOOKUP(AW756,Foundation_Calc!$I$2:$J$8,2,FALSE),0),"")))</f>
        <v>3.5</v>
      </c>
      <c r="AZ756" s="10" t="str">
        <f>IF(K756="","",
IF(AX756="PT",VLOOKUP(K756,Foundation_Calc!$K$79:$R$113,VLOOKUP(AW756,Foundation_Calc!$I$2:$J$8,2,FALSE),0),
IF(AX756="K",VLOOKUP(K756,Foundation_Calc!$K$117:$R$151,VLOOKUP(AW756,Foundation_Calc!$I$2:$J$8,2,FALSE),0),"")))</f>
        <v/>
      </c>
      <c r="BA756" s="495" t="str">
        <f t="shared" si="99"/>
        <v>ü</v>
      </c>
      <c r="BB756" s="495" t="str">
        <f t="shared" si="100"/>
        <v/>
      </c>
      <c r="BC756" s="495" t="str">
        <f t="shared" si="101"/>
        <v/>
      </c>
      <c r="BD756" s="513" t="str">
        <f>IF(AND(L756="",H756=""),"",
IF(H756="",Pole_Calc!A$9,
IF(H756="MP",Pole_Calc!A$10,
IF(H756="AnMP",Pole_Calc!A$11,
IF(H756="A",Pole_Calc!A$12,
IF(H756="S/A",Pole_Calc!A$13,
IF(H756="A/S",Pole_Calc!A$14,"Poner a mano")))))))</f>
        <v>App.7-V11I-P9.5.1.1</v>
      </c>
      <c r="BE756" s="429" t="s">
        <v>118</v>
      </c>
      <c r="BF756" s="289"/>
      <c r="BG756" s="289"/>
      <c r="BH756" s="290"/>
      <c r="BI756" s="289"/>
    </row>
    <row r="757" spans="1:61" ht="15.75" customHeight="1">
      <c r="A757" s="514"/>
      <c r="B757" s="450"/>
      <c r="C757" s="3"/>
      <c r="D757" s="83"/>
      <c r="E757" s="4"/>
      <c r="F757" s="4"/>
      <c r="G757" s="6">
        <v>30.6</v>
      </c>
      <c r="H757" s="449"/>
      <c r="I757" s="4" t="s">
        <v>549</v>
      </c>
      <c r="J757" s="3">
        <f>C758-7.5</f>
        <v>48304.450000000012</v>
      </c>
      <c r="K757" s="449" t="s">
        <v>166</v>
      </c>
      <c r="L757" s="449"/>
      <c r="M757" s="449" t="str">
        <f>IF(L757="","",
IF(AX757="PT",VLOOKUP(L757,Foundation_Calc!$V$79:$X$113,VLOOKUP(AX757,Foundation_Calc!$I$10:$J$13,2,FALSE),0),
IF(AX757="K",VLOOKUP(L757,Foundation_Calc!$V$117:$X$151,VLOOKUP(AX757,Foundation_Calc!$I$10:$J$13,2,FALSE),0),"")))</f>
        <v/>
      </c>
      <c r="N757" s="449"/>
      <c r="O757" s="449"/>
      <c r="P757" s="449"/>
      <c r="Q757" s="4"/>
      <c r="R757" s="6"/>
      <c r="S757" s="6"/>
      <c r="T757" s="4"/>
      <c r="U757" s="4"/>
      <c r="V757" s="4"/>
      <c r="W757" s="572"/>
      <c r="X757" s="9"/>
      <c r="Y757" s="9"/>
      <c r="Z757" s="9"/>
      <c r="AA757" s="9"/>
      <c r="AB757" s="9"/>
      <c r="AC757" s="449" t="str">
        <f t="shared" si="98"/>
        <v/>
      </c>
      <c r="AD757" s="449"/>
      <c r="AE757" s="449"/>
      <c r="AF757" s="4"/>
      <c r="AG757" s="83"/>
      <c r="AH757" s="4"/>
      <c r="AI757" s="4"/>
      <c r="AJ757" s="449"/>
      <c r="AK757" s="449"/>
      <c r="AL757" s="449"/>
      <c r="AM757" s="449"/>
      <c r="AN757" s="10"/>
      <c r="AO757" s="9"/>
      <c r="AP757" s="9"/>
      <c r="AQ757" s="9">
        <f>+FL_1($T$758,$T$756,$G$757,1200,9.28, 1*$F$758)</f>
        <v>0.35000000000002179</v>
      </c>
      <c r="AR757" s="9"/>
      <c r="AS757" s="9"/>
      <c r="AT757" s="9"/>
      <c r="AU757" s="428"/>
      <c r="AV757" s="428"/>
      <c r="AW757" s="449" t="str">
        <f>IF(C757&gt;0,VLOOKUP(C757,Foundation_Calc!$A$2:$C$13,3,1),
IF(J757&gt;0,VLOOKUP(J757,Foundation_Calc!$A$2:$C$13,3,1),""))</f>
        <v>Multi Soil</v>
      </c>
      <c r="AX757" s="449" t="str">
        <f>IF(C757&gt;0,VLOOKUP(C757,Foundation_Calc!$E$35:$G$65,3,1),
IF(J757&gt;0,VLOOKUP(J757,Foundation_Calc!$E$35:$G$65,3,1),""))</f>
        <v>PT</v>
      </c>
      <c r="AY757" s="10" t="str">
        <f>IF(L757="","",
IF(AX757="PT",VLOOKUP(L757,Foundation_Calc!$K$79:$R$113,VLOOKUP(AW757,Foundation_Calc!$I$2:$J$8,2,FALSE),0),
IF(AX757="K",VLOOKUP(L757,Foundation_Calc!$K$117:$R$151,VLOOKUP(AW757,Foundation_Calc!$I$2:$J$8,2,FALSE),0),"")))</f>
        <v/>
      </c>
      <c r="AZ757" s="10">
        <f>IF(K757="","",
IF(AX757="PT",VLOOKUP(K757,Foundation_Calc!$K$79:$R$113,VLOOKUP(AW757,Foundation_Calc!$I$2:$J$8,2,FALSE),0),
IF(AX757="K",VLOOKUP(K757,Foundation_Calc!$K$117:$R$151,VLOOKUP(AW757,Foundation_Calc!$I$2:$J$8,2,FALSE),0),"")))</f>
        <v>2.8</v>
      </c>
      <c r="BA757" s="495" t="str">
        <f t="shared" si="99"/>
        <v/>
      </c>
      <c r="BB757" s="495" t="str">
        <f t="shared" si="100"/>
        <v>ü</v>
      </c>
      <c r="BC757" s="495" t="str">
        <f t="shared" si="101"/>
        <v/>
      </c>
      <c r="BD757" s="513" t="str">
        <f>IF(AND(L757="",H757=""),"",
IF(H757="",Pole_Calc!A$9,
IF(H757="MP",Pole_Calc!A$10,
IF(H757="AnMP",Pole_Calc!A$11,
IF(H757="A",Pole_Calc!A$12,
IF(H757="S/A",Pole_Calc!A$13,
IF(H757="A/S",Pole_Calc!A$14,"Poner a mano")))))))</f>
        <v/>
      </c>
      <c r="BE757" s="429" t="s">
        <v>118</v>
      </c>
      <c r="BF757" s="290"/>
      <c r="BG757" s="290"/>
      <c r="BH757" s="290"/>
      <c r="BI757" s="290"/>
    </row>
    <row r="758" spans="1:61" ht="15.75" customHeight="1">
      <c r="A758" s="514"/>
      <c r="B758" s="450" t="s">
        <v>1328</v>
      </c>
      <c r="C758" s="3">
        <f>+$C$756+$G$757</f>
        <v>48311.950000000012</v>
      </c>
      <c r="D758" s="83"/>
      <c r="E758" s="4"/>
      <c r="F758" s="4">
        <v>0</v>
      </c>
      <c r="G758" s="6"/>
      <c r="H758" s="449"/>
      <c r="I758" s="4"/>
      <c r="J758" s="3"/>
      <c r="K758" s="449"/>
      <c r="L758" s="449" t="s">
        <v>183</v>
      </c>
      <c r="M758" s="449" t="str">
        <f>IF(L758="","",
IF(AX758="PT",VLOOKUP(L758,Foundation_Calc!$V$79:$X$113,VLOOKUP(AX758,Foundation_Calc!$I$10:$J$13,2,FALSE),0),
IF(AX758="K",VLOOKUP(L758,Foundation_Calc!$V$117:$X$151,VLOOKUP(AX758,Foundation_Calc!$I$10:$J$13,2,FALSE),0),"")))</f>
        <v>2C3R</v>
      </c>
      <c r="N758" s="449" t="s">
        <v>124</v>
      </c>
      <c r="O758" s="449"/>
      <c r="P758" s="449"/>
      <c r="Q758" s="4"/>
      <c r="R758" s="6"/>
      <c r="S758" s="6"/>
      <c r="T758" s="4">
        <v>-35</v>
      </c>
      <c r="U758" s="4"/>
      <c r="V758" s="4"/>
      <c r="W758" s="572">
        <v>0.9</v>
      </c>
      <c r="X758" s="9"/>
      <c r="Y758" s="9"/>
      <c r="Z758" s="9"/>
      <c r="AA758" s="9"/>
      <c r="AB758" s="9"/>
      <c r="AC758" s="449" t="str">
        <f t="shared" si="98"/>
        <v>PHC</v>
      </c>
      <c r="AD758" s="449"/>
      <c r="AE758" s="449"/>
      <c r="AF758" s="4"/>
      <c r="AG758" s="83"/>
      <c r="AH758" s="4"/>
      <c r="AI758" s="4"/>
      <c r="AJ758" s="449"/>
      <c r="AK758" s="449"/>
      <c r="AL758" s="449"/>
      <c r="AM758" s="449" t="s">
        <v>552</v>
      </c>
      <c r="AN758" s="10">
        <v>5.5</v>
      </c>
      <c r="AO758" s="9"/>
      <c r="AP758" s="9"/>
      <c r="AQ758" s="9"/>
      <c r="AR758" s="9"/>
      <c r="AS758" s="9"/>
      <c r="AT758" s="9">
        <f>+ab($T$758,$T$756,$T$760,$G$757,$G$759, 1*$F$758,1200)</f>
        <v>-4.280049910703779</v>
      </c>
      <c r="AU758" s="428"/>
      <c r="AV758" s="428"/>
      <c r="AW758" s="449" t="str">
        <f>IF(C758&gt;0,VLOOKUP(C758,Foundation_Calc!$A$2:$C$13,3,1),
IF(J758&gt;0,VLOOKUP(J758,Foundation_Calc!$A$2:$C$13,3,1),""))</f>
        <v>Multi Soil</v>
      </c>
      <c r="AX758" s="449" t="str">
        <f>IF(C758&gt;0,VLOOKUP(C758,Foundation_Calc!$E$35:$G$65,3,1),
IF(J758&gt;0,VLOOKUP(J758,Foundation_Calc!$E$35:$G$65,3,1),""))</f>
        <v>PT</v>
      </c>
      <c r="AY758" s="10">
        <f>IF(L758="","",
IF(AX758="PT",VLOOKUP(L758,Foundation_Calc!$K$79:$R$113,VLOOKUP(AW758,Foundation_Calc!$I$2:$J$8,2,FALSE),0),
IF(AX758="K",VLOOKUP(L758,Foundation_Calc!$K$117:$R$151,VLOOKUP(AW758,Foundation_Calc!$I$2:$J$8,2,FALSE),0),"")))</f>
        <v>3.7</v>
      </c>
      <c r="AZ758" s="10" t="str">
        <f>IF(K758="","",
IF(AX758="PT",VLOOKUP(K758,Foundation_Calc!$K$79:$R$113,VLOOKUP(AW758,Foundation_Calc!$I$2:$J$8,2,FALSE),0),
IF(AX758="K",VLOOKUP(K758,Foundation_Calc!$K$117:$R$151,VLOOKUP(AW758,Foundation_Calc!$I$2:$J$8,2,FALSE),0),"")))</f>
        <v/>
      </c>
      <c r="BA758" s="495" t="str">
        <f t="shared" si="99"/>
        <v>ü</v>
      </c>
      <c r="BB758" s="495" t="str">
        <f t="shared" si="100"/>
        <v/>
      </c>
      <c r="BC758" s="495" t="str">
        <f t="shared" si="101"/>
        <v/>
      </c>
      <c r="BD758" s="513" t="str">
        <f>IF(AND(L758="",H758=""),"",
IF(H758="",Pole_Calc!A$9,
IF(H758="MP",Pole_Calc!A$10,
IF(H758="AnMP",Pole_Calc!A$11,
IF(H758="A",Pole_Calc!A$12,
IF(H758="S/A",Pole_Calc!A$13,
IF(H758="A/S",Pole_Calc!A$14,"Poner a mano")))))))</f>
        <v>App.7-V11I-P9.5.1.1</v>
      </c>
      <c r="BE758" s="429" t="s">
        <v>118</v>
      </c>
      <c r="BF758" s="289"/>
      <c r="BG758" s="289"/>
      <c r="BH758" s="290"/>
      <c r="BI758" s="289"/>
    </row>
    <row r="759" spans="1:61" ht="15.75" customHeight="1">
      <c r="A759" s="514" t="s">
        <v>199</v>
      </c>
      <c r="B759" s="450"/>
      <c r="C759" s="3"/>
      <c r="D759" s="83"/>
      <c r="E759" s="4"/>
      <c r="F759" s="4"/>
      <c r="G759" s="6">
        <v>32</v>
      </c>
      <c r="H759" s="449"/>
      <c r="I759" s="4" t="s">
        <v>549</v>
      </c>
      <c r="J759" s="3">
        <f>C758+7.5</f>
        <v>48319.450000000012</v>
      </c>
      <c r="K759" s="449" t="s">
        <v>166</v>
      </c>
      <c r="L759" s="449"/>
      <c r="M759" s="449" t="str">
        <f>IF(L759="","",
IF(AX759="PT",VLOOKUP(L759,Foundation_Calc!$V$79:$X$113,VLOOKUP(AX759,Foundation_Calc!$I$10:$J$13,2,FALSE),0),
IF(AX759="K",VLOOKUP(L759,Foundation_Calc!$V$117:$X$151,VLOOKUP(AX759,Foundation_Calc!$I$10:$J$13,2,FALSE),0),"")))</f>
        <v/>
      </c>
      <c r="N759" s="449"/>
      <c r="O759" s="561"/>
      <c r="P759" s="449"/>
      <c r="Q759" s="4"/>
      <c r="R759" s="6"/>
      <c r="S759" s="6"/>
      <c r="T759" s="4"/>
      <c r="U759" s="4"/>
      <c r="V759" s="4"/>
      <c r="W759" s="572"/>
      <c r="X759" s="9"/>
      <c r="Y759" s="9"/>
      <c r="Z759" s="9"/>
      <c r="AA759" s="9"/>
      <c r="AB759" s="9"/>
      <c r="AC759" s="449" t="str">
        <f t="shared" si="98"/>
        <v/>
      </c>
      <c r="AD759" s="449"/>
      <c r="AE759" s="449"/>
      <c r="AF759" s="4"/>
      <c r="AG759" s="83"/>
      <c r="AH759" s="4"/>
      <c r="AI759" s="4"/>
      <c r="AJ759" s="449"/>
      <c r="AK759" s="449"/>
      <c r="AL759" s="449"/>
      <c r="AM759" s="449"/>
      <c r="AN759" s="10"/>
      <c r="AO759" s="9"/>
      <c r="AP759" s="9"/>
      <c r="AQ759" s="9">
        <f>+FL_2($T$760,$T$758,$G$759,1200,9.28, 1*$F$760)</f>
        <v>-0.35000000000002096</v>
      </c>
      <c r="AR759" s="9"/>
      <c r="AS759" s="9"/>
      <c r="AT759" s="9"/>
      <c r="AU759" s="428"/>
      <c r="AV759" s="428"/>
      <c r="AW759" s="449" t="str">
        <f>IF(C759&gt;0,VLOOKUP(C759,Foundation_Calc!$A$2:$C$13,3,1),
IF(J759&gt;0,VLOOKUP(J759,Foundation_Calc!$A$2:$C$13,3,1),""))</f>
        <v>Multi Soil</v>
      </c>
      <c r="AX759" s="449" t="str">
        <f>IF(C759&gt;0,VLOOKUP(C759,Foundation_Calc!$E$35:$G$65,3,1),
IF(J759&gt;0,VLOOKUP(J759,Foundation_Calc!$E$35:$G$65,3,1),""))</f>
        <v>PT</v>
      </c>
      <c r="AY759" s="10" t="str">
        <f>IF(L759="","",
IF(AX759="PT",VLOOKUP(L759,Foundation_Calc!$K$79:$R$113,VLOOKUP(AW759,Foundation_Calc!$I$2:$J$8,2,FALSE),0),
IF(AX759="K",VLOOKUP(L759,Foundation_Calc!$K$117:$R$151,VLOOKUP(AW759,Foundation_Calc!$I$2:$J$8,2,FALSE),0),"")))</f>
        <v/>
      </c>
      <c r="AZ759" s="10">
        <f>IF(K759="","",
IF(AX759="PT",VLOOKUP(K759,Foundation_Calc!$K$79:$R$113,VLOOKUP(AW759,Foundation_Calc!$I$2:$J$8,2,FALSE),0),
IF(AX759="K",VLOOKUP(K759,Foundation_Calc!$K$117:$R$151,VLOOKUP(AW759,Foundation_Calc!$I$2:$J$8,2,FALSE),0),"")))</f>
        <v>2.8</v>
      </c>
      <c r="BA759" s="495" t="str">
        <f t="shared" si="99"/>
        <v/>
      </c>
      <c r="BB759" s="495" t="str">
        <f t="shared" si="100"/>
        <v>ü</v>
      </c>
      <c r="BC759" s="495" t="str">
        <f t="shared" si="101"/>
        <v/>
      </c>
      <c r="BD759" s="513" t="str">
        <f>IF(AND(L759="",H759=""),"",
IF(H759="",Pole_Calc!A$9,
IF(H759="MP",Pole_Calc!A$10,
IF(H759="AnMP",Pole_Calc!A$11,
IF(H759="A",Pole_Calc!A$12,
IF(H759="S/A",Pole_Calc!A$13,
IF(H759="A/S",Pole_Calc!A$14,"Poner a mano")))))))</f>
        <v/>
      </c>
      <c r="BE759" s="429" t="s">
        <v>118</v>
      </c>
      <c r="BF759" s="290"/>
      <c r="BG759" s="290"/>
      <c r="BH759" s="290"/>
      <c r="BI759" s="290"/>
    </row>
    <row r="760" spans="1:61" ht="15.75" customHeight="1">
      <c r="A760" s="514"/>
      <c r="B760" s="450" t="s">
        <v>1329</v>
      </c>
      <c r="C760" s="3">
        <f>+$C$758+$G$759</f>
        <v>48343.950000000012</v>
      </c>
      <c r="D760" s="83"/>
      <c r="E760" s="4"/>
      <c r="F760" s="4">
        <v>0</v>
      </c>
      <c r="G760" s="6"/>
      <c r="H760" s="449"/>
      <c r="I760" s="4"/>
      <c r="J760" s="3"/>
      <c r="K760" s="449"/>
      <c r="L760" s="449" t="s">
        <v>398</v>
      </c>
      <c r="M760" s="449" t="str">
        <f>IF(L760="","",
IF(AX760="PT",VLOOKUP(L760,Foundation_Calc!$V$79:$X$113,VLOOKUP(AX760,Foundation_Calc!$I$10:$J$13,2,FALSE),0),
IF(AX760="K",VLOOKUP(L760,Foundation_Calc!$V$117:$X$151,VLOOKUP(AX760,Foundation_Calc!$I$10:$J$13,2,FALSE),0),"")))</f>
        <v>C5R</v>
      </c>
      <c r="N760" s="449" t="s">
        <v>134</v>
      </c>
      <c r="O760" s="449"/>
      <c r="P760" s="449"/>
      <c r="Q760" s="4"/>
      <c r="R760" s="6"/>
      <c r="S760" s="6"/>
      <c r="T760" s="4">
        <v>35</v>
      </c>
      <c r="U760" s="4"/>
      <c r="V760" s="4"/>
      <c r="W760" s="572">
        <v>0.9</v>
      </c>
      <c r="X760" s="9"/>
      <c r="Y760" s="9"/>
      <c r="Z760" s="9"/>
      <c r="AA760" s="9"/>
      <c r="AB760" s="9"/>
      <c r="AC760" s="449" t="str">
        <f t="shared" si="98"/>
        <v>PHC</v>
      </c>
      <c r="AD760" s="449"/>
      <c r="AE760" s="449"/>
      <c r="AF760" s="4"/>
      <c r="AG760" s="83"/>
      <c r="AH760" s="4"/>
      <c r="AI760" s="4"/>
      <c r="AJ760" s="449"/>
      <c r="AK760" s="449"/>
      <c r="AL760" s="449"/>
      <c r="AM760" s="449" t="s">
        <v>552</v>
      </c>
      <c r="AN760" s="10">
        <v>5.5</v>
      </c>
      <c r="AO760" s="9"/>
      <c r="AP760" s="9"/>
      <c r="AQ760" s="9"/>
      <c r="AR760" s="9"/>
      <c r="AS760" s="9"/>
      <c r="AT760" s="9">
        <f>+ab($T$760,$T$758,$T$762,$G$759,$G$761, 1*$F$760,1200)</f>
        <v>4.6339905233242948</v>
      </c>
      <c r="AU760" s="428"/>
      <c r="AV760" s="428"/>
      <c r="AW760" s="449" t="str">
        <f>IF(C760&gt;0,VLOOKUP(C760,Foundation_Calc!$A$2:$C$13,3,1),
IF(J760&gt;0,VLOOKUP(J760,Foundation_Calc!$A$2:$C$13,3,1),""))</f>
        <v>Multi Soil</v>
      </c>
      <c r="AX760" s="449" t="str">
        <f>IF(C760&gt;0,VLOOKUP(C760,Foundation_Calc!$E$35:$G$65,3,1),
IF(J760&gt;0,VLOOKUP(J760,Foundation_Calc!$E$35:$G$65,3,1),""))</f>
        <v>PT</v>
      </c>
      <c r="AY760" s="10">
        <f>IF(L760="","",
IF(AX760="PT",VLOOKUP(L760,Foundation_Calc!$K$79:$R$113,VLOOKUP(AW760,Foundation_Calc!$I$2:$J$8,2,FALSE),0),
IF(AX760="K",VLOOKUP(L760,Foundation_Calc!$K$117:$R$151,VLOOKUP(AW760,Foundation_Calc!$I$2:$J$8,2,FALSE),0),"")))</f>
        <v>3.5</v>
      </c>
      <c r="AZ760" s="10" t="str">
        <f>IF(K760="","",
IF(AX760="PT",VLOOKUP(K760,Foundation_Calc!$K$79:$R$113,VLOOKUP(AW760,Foundation_Calc!$I$2:$J$8,2,FALSE),0),
IF(AX760="K",VLOOKUP(K760,Foundation_Calc!$K$117:$R$151,VLOOKUP(AW760,Foundation_Calc!$I$2:$J$8,2,FALSE),0),"")))</f>
        <v/>
      </c>
      <c r="BA760" s="495" t="str">
        <f t="shared" si="99"/>
        <v>ü</v>
      </c>
      <c r="BB760" s="495" t="str">
        <f t="shared" si="100"/>
        <v/>
      </c>
      <c r="BC760" s="495" t="str">
        <f t="shared" si="101"/>
        <v/>
      </c>
      <c r="BD760" s="513" t="str">
        <f>IF(AND(L760="",H760=""),"",
IF(H760="",Pole_Calc!A$9,
IF(H760="MP",Pole_Calc!A$10,
IF(H760="AnMP",Pole_Calc!A$11,
IF(H760="A",Pole_Calc!A$12,
IF(H760="S/A",Pole_Calc!A$13,
IF(H760="A/S",Pole_Calc!A$14,"Poner a mano")))))))</f>
        <v>App.7-V11I-P9.5.1.1</v>
      </c>
      <c r="BE760" s="429" t="s">
        <v>118</v>
      </c>
      <c r="BF760" s="289"/>
      <c r="BG760" s="289"/>
      <c r="BH760" s="290"/>
      <c r="BI760" s="289"/>
    </row>
    <row r="761" spans="1:61" ht="15.75" customHeight="1">
      <c r="A761" s="518" t="s">
        <v>43</v>
      </c>
      <c r="B761" s="450"/>
      <c r="C761" s="3"/>
      <c r="D761" s="83"/>
      <c r="E761" s="4"/>
      <c r="F761" s="4"/>
      <c r="G761" s="6">
        <v>36</v>
      </c>
      <c r="H761" s="449"/>
      <c r="I761" s="4"/>
      <c r="J761" s="3"/>
      <c r="K761" s="449"/>
      <c r="L761" s="449"/>
      <c r="M761" s="449" t="str">
        <f>IF(L761="","",
IF(AX761="PT",VLOOKUP(L761,Foundation_Calc!$V$79:$X$113,VLOOKUP(AX761,Foundation_Calc!$I$10:$J$13,2,FALSE),0),
IF(AX761="K",VLOOKUP(L761,Foundation_Calc!$V$117:$X$151,VLOOKUP(AX761,Foundation_Calc!$I$10:$J$13,2,FALSE),0),"")))</f>
        <v/>
      </c>
      <c r="N761" s="449"/>
      <c r="O761" s="449"/>
      <c r="P761" s="449"/>
      <c r="Q761" s="4"/>
      <c r="R761" s="6"/>
      <c r="S761" s="6"/>
      <c r="T761" s="4"/>
      <c r="U761" s="4"/>
      <c r="V761" s="4"/>
      <c r="W761" s="572"/>
      <c r="X761" s="9"/>
      <c r="Y761" s="9"/>
      <c r="Z761" s="9"/>
      <c r="AA761" s="9"/>
      <c r="AB761" s="9"/>
      <c r="AC761" s="449" t="str">
        <f t="shared" si="98"/>
        <v/>
      </c>
      <c r="AD761" s="449"/>
      <c r="AE761" s="449"/>
      <c r="AF761" s="4"/>
      <c r="AG761" s="83"/>
      <c r="AH761" s="4"/>
      <c r="AI761" s="4"/>
      <c r="AJ761" s="449"/>
      <c r="AK761" s="449"/>
      <c r="AL761" s="449"/>
      <c r="AM761" s="449"/>
      <c r="AN761" s="10"/>
      <c r="AO761" s="9"/>
      <c r="AP761" s="9"/>
      <c r="AQ761" s="9">
        <f>+FL_1($T$762,$T$760,$G$761,1200,9.28, 1*$F$762)</f>
        <v>0.3500000000000078</v>
      </c>
      <c r="AR761" s="9"/>
      <c r="AS761" s="9"/>
      <c r="AT761" s="9"/>
      <c r="AU761" s="428"/>
      <c r="AV761" s="428"/>
      <c r="AW761" s="449" t="str">
        <f>IF(C761&gt;0,VLOOKUP(C761,Foundation_Calc!$A$2:$C$13,3,1),
IF(J761&gt;0,VLOOKUP(J761,Foundation_Calc!$A$2:$C$13,3,1),""))</f>
        <v/>
      </c>
      <c r="AX761" s="449" t="str">
        <f>IF(C761&gt;0,VLOOKUP(C761,Foundation_Calc!$E$35:$G$65,3,1),
IF(J761&gt;0,VLOOKUP(J761,Foundation_Calc!$E$35:$G$65,3,1),""))</f>
        <v/>
      </c>
      <c r="AY761" s="10" t="str">
        <f>IF(L761="","",
IF(AX761="PT",VLOOKUP(L761,Foundation_Calc!$K$79:$R$113,VLOOKUP(AW761,Foundation_Calc!$I$2:$J$8,2,FALSE),0),
IF(AX761="K",VLOOKUP(L761,Foundation_Calc!$K$117:$R$151,VLOOKUP(AW761,Foundation_Calc!$I$2:$J$8,2,FALSE),0),"")))</f>
        <v/>
      </c>
      <c r="AZ761" s="10" t="str">
        <f>IF(K761="","",
IF(AX761="PT",VLOOKUP(K761,Foundation_Calc!$K$79:$R$113,VLOOKUP(AW761,Foundation_Calc!$I$2:$J$8,2,FALSE),0),
IF(AX761="K",VLOOKUP(K761,Foundation_Calc!$K$117:$R$151,VLOOKUP(AW761,Foundation_Calc!$I$2:$J$8,2,FALSE),0),"")))</f>
        <v/>
      </c>
      <c r="BA761" s="495" t="str">
        <f t="shared" si="99"/>
        <v/>
      </c>
      <c r="BB761" s="495" t="str">
        <f t="shared" si="100"/>
        <v/>
      </c>
      <c r="BC761" s="495" t="str">
        <f t="shared" si="101"/>
        <v/>
      </c>
      <c r="BD761" s="513" t="str">
        <f>IF(AND(L761="",H761=""),"",
IF(H761="",Pole_Calc!A$9,
IF(H761="MP",Pole_Calc!A$10,
IF(H761="AnMP",Pole_Calc!A$11,
IF(H761="A",Pole_Calc!A$12,
IF(H761="S/A",Pole_Calc!A$13,
IF(H761="A/S",Pole_Calc!A$14,"Poner a mano")))))))</f>
        <v/>
      </c>
      <c r="BE761" s="429" t="s">
        <v>118</v>
      </c>
      <c r="BF761" s="290"/>
      <c r="BG761" s="290"/>
      <c r="BH761" s="290"/>
      <c r="BI761" s="290"/>
    </row>
    <row r="762" spans="1:61" ht="15.75" customHeight="1">
      <c r="A762" s="514"/>
      <c r="B762" s="450" t="s">
        <v>1330</v>
      </c>
      <c r="C762" s="3">
        <f>+$C$760+$G$761</f>
        <v>48379.950000000012</v>
      </c>
      <c r="D762" s="83"/>
      <c r="E762" s="4"/>
      <c r="F762" s="4">
        <v>0</v>
      </c>
      <c r="G762" s="6"/>
      <c r="H762" s="449"/>
      <c r="I762" s="4"/>
      <c r="J762" s="3"/>
      <c r="K762" s="449"/>
      <c r="L762" s="449" t="s">
        <v>183</v>
      </c>
      <c r="M762" s="449" t="str">
        <f>IF(L762="","",
IF(AX762="PT",VLOOKUP(L762,Foundation_Calc!$V$79:$X$113,VLOOKUP(AX762,Foundation_Calc!$I$10:$J$13,2,FALSE),0),
IF(AX762="K",VLOOKUP(L762,Foundation_Calc!$V$117:$X$151,VLOOKUP(AX762,Foundation_Calc!$I$10:$J$13,2,FALSE),0),"")))</f>
        <v>2C3R</v>
      </c>
      <c r="N762" s="449" t="s">
        <v>124</v>
      </c>
      <c r="O762" s="449"/>
      <c r="P762" s="449"/>
      <c r="Q762" s="4"/>
      <c r="R762" s="6"/>
      <c r="S762" s="6"/>
      <c r="T762" s="4">
        <v>-35</v>
      </c>
      <c r="U762" s="4"/>
      <c r="V762" s="4"/>
      <c r="W762" s="572">
        <v>1.1000000000000001</v>
      </c>
      <c r="X762" s="9"/>
      <c r="Y762" s="9"/>
      <c r="Z762" s="9"/>
      <c r="AA762" s="9"/>
      <c r="AB762" s="9"/>
      <c r="AC762" s="449" t="str">
        <f t="shared" si="98"/>
        <v>PHQ</v>
      </c>
      <c r="AD762" s="449"/>
      <c r="AE762" s="449"/>
      <c r="AF762" s="4"/>
      <c r="AG762" s="83"/>
      <c r="AH762" s="4"/>
      <c r="AI762" s="4"/>
      <c r="AJ762" s="449"/>
      <c r="AK762" s="449"/>
      <c r="AL762" s="449"/>
      <c r="AM762" s="449" t="s">
        <v>552</v>
      </c>
      <c r="AN762" s="10">
        <v>5.5</v>
      </c>
      <c r="AO762" s="9"/>
      <c r="AP762" s="9"/>
      <c r="AQ762" s="9"/>
      <c r="AR762" s="9"/>
      <c r="AS762" s="9"/>
      <c r="AT762" s="9">
        <f>+ab($T$762,$T$760,$T$764,$G$761,$G$763, 1*$F$762,1200)</f>
        <v>-5.3602933664268493</v>
      </c>
      <c r="AU762" s="428"/>
      <c r="AV762" s="428"/>
      <c r="AW762" s="449" t="str">
        <f>IF(C762&gt;0,VLOOKUP(C762,Foundation_Calc!$A$2:$C$13,3,1),
IF(J762&gt;0,VLOOKUP(J762,Foundation_Calc!$A$2:$C$13,3,1),""))</f>
        <v>Multi Soil</v>
      </c>
      <c r="AX762" s="449" t="str">
        <f>IF(C762&gt;0,VLOOKUP(C762,Foundation_Calc!$E$35:$G$65,3,1),
IF(J762&gt;0,VLOOKUP(J762,Foundation_Calc!$E$35:$G$65,3,1),""))</f>
        <v>PT</v>
      </c>
      <c r="AY762" s="10">
        <f>IF(L762="","",
IF(AX762="PT",VLOOKUP(L762,Foundation_Calc!$K$79:$R$113,VLOOKUP(AW762,Foundation_Calc!$I$2:$J$8,2,FALSE),0),
IF(AX762="K",VLOOKUP(L762,Foundation_Calc!$K$117:$R$151,VLOOKUP(AW762,Foundation_Calc!$I$2:$J$8,2,FALSE),0),"")))</f>
        <v>3.7</v>
      </c>
      <c r="AZ762" s="10" t="str">
        <f>IF(K762="","",
IF(AX762="PT",VLOOKUP(K762,Foundation_Calc!$K$79:$R$113,VLOOKUP(AW762,Foundation_Calc!$I$2:$J$8,2,FALSE),0),
IF(AX762="K",VLOOKUP(K762,Foundation_Calc!$K$117:$R$151,VLOOKUP(AW762,Foundation_Calc!$I$2:$J$8,2,FALSE),0),"")))</f>
        <v/>
      </c>
      <c r="BA762" s="495" t="str">
        <f t="shared" si="99"/>
        <v>ü</v>
      </c>
      <c r="BB762" s="495" t="str">
        <f t="shared" si="100"/>
        <v/>
      </c>
      <c r="BC762" s="495" t="str">
        <f t="shared" si="101"/>
        <v/>
      </c>
      <c r="BD762" s="513" t="str">
        <f>IF(AND(L762="",H762=""),"",
IF(H762="",Pole_Calc!A$9,
IF(H762="MP",Pole_Calc!A$10,
IF(H762="AnMP",Pole_Calc!A$11,
IF(H762="A",Pole_Calc!A$12,
IF(H762="S/A",Pole_Calc!A$13,
IF(H762="A/S",Pole_Calc!A$14,"Poner a mano")))))))</f>
        <v>App.7-V11I-P9.5.1.1</v>
      </c>
      <c r="BE762" s="429" t="s">
        <v>118</v>
      </c>
      <c r="BF762" s="289"/>
      <c r="BG762" s="289"/>
      <c r="BH762" s="290"/>
      <c r="BI762" s="289"/>
    </row>
    <row r="763" spans="1:61" ht="15.75" customHeight="1">
      <c r="A763" s="514"/>
      <c r="B763" s="450"/>
      <c r="C763" s="3"/>
      <c r="D763" s="83"/>
      <c r="E763" s="4"/>
      <c r="F763" s="4"/>
      <c r="G763" s="6">
        <v>40</v>
      </c>
      <c r="H763" s="449"/>
      <c r="I763" s="4"/>
      <c r="J763" s="3"/>
      <c r="K763" s="449"/>
      <c r="L763" s="449"/>
      <c r="M763" s="449" t="str">
        <f>IF(L763="","",
IF(AX763="PT",VLOOKUP(L763,Foundation_Calc!$V$79:$X$113,VLOOKUP(AX763,Foundation_Calc!$I$10:$J$13,2,FALSE),0),
IF(AX763="K",VLOOKUP(L763,Foundation_Calc!$V$117:$X$151,VLOOKUP(AX763,Foundation_Calc!$I$10:$J$13,2,FALSE),0),"")))</f>
        <v/>
      </c>
      <c r="N763" s="449"/>
      <c r="O763" s="449"/>
      <c r="P763" s="449"/>
      <c r="Q763" s="4"/>
      <c r="R763" s="6"/>
      <c r="S763" s="6"/>
      <c r="T763" s="4"/>
      <c r="U763" s="4"/>
      <c r="V763" s="4"/>
      <c r="W763" s="9"/>
      <c r="X763" s="9"/>
      <c r="Y763" s="9"/>
      <c r="Z763" s="9"/>
      <c r="AA763" s="9"/>
      <c r="AB763" s="9"/>
      <c r="AC763" s="449" t="str">
        <f t="shared" si="98"/>
        <v/>
      </c>
      <c r="AD763" s="449"/>
      <c r="AE763" s="449"/>
      <c r="AF763" s="4"/>
      <c r="AG763" s="83"/>
      <c r="AH763" s="4"/>
      <c r="AI763" s="4"/>
      <c r="AJ763" s="449"/>
      <c r="AK763" s="449"/>
      <c r="AL763" s="449"/>
      <c r="AM763" s="449"/>
      <c r="AN763" s="10"/>
      <c r="AO763" s="9"/>
      <c r="AP763" s="9"/>
      <c r="AQ763" s="9">
        <f>+FL_2($T$764,$T$762,$G$763,1200,9.28, 1*$F$764)</f>
        <v>-0.35000000000000053</v>
      </c>
      <c r="AR763" s="9"/>
      <c r="AS763" s="9"/>
      <c r="AT763" s="9"/>
      <c r="AU763" s="428"/>
      <c r="AV763" s="428"/>
      <c r="AW763" s="449" t="str">
        <f>IF(C763&gt;0,VLOOKUP(C763,Foundation_Calc!$A$2:$C$13,3,1),
IF(J763&gt;0,VLOOKUP(J763,Foundation_Calc!$A$2:$C$13,3,1),""))</f>
        <v/>
      </c>
      <c r="AX763" s="449" t="str">
        <f>IF(C763&gt;0,VLOOKUP(C763,Foundation_Calc!$E$35:$G$65,3,1),
IF(J763&gt;0,VLOOKUP(J763,Foundation_Calc!$E$35:$G$65,3,1),""))</f>
        <v/>
      </c>
      <c r="AY763" s="10" t="str">
        <f>IF(L763="","",
IF(AX763="PT",VLOOKUP(L763,Foundation_Calc!$K$79:$R$113,VLOOKUP(AW763,Foundation_Calc!$I$2:$J$8,2,FALSE),0),
IF(AX763="K",VLOOKUP(L763,Foundation_Calc!$K$117:$R$151,VLOOKUP(AW763,Foundation_Calc!$I$2:$J$8,2,FALSE),0),"")))</f>
        <v/>
      </c>
      <c r="AZ763" s="10" t="str">
        <f>IF(K763="","",
IF(AX763="PT",VLOOKUP(K763,Foundation_Calc!$K$79:$R$113,VLOOKUP(AW763,Foundation_Calc!$I$2:$J$8,2,FALSE),0),
IF(AX763="K",VLOOKUP(K763,Foundation_Calc!$K$117:$R$151,VLOOKUP(AW763,Foundation_Calc!$I$2:$J$8,2,FALSE),0),"")))</f>
        <v/>
      </c>
      <c r="BA763" s="495" t="str">
        <f t="shared" si="99"/>
        <v/>
      </c>
      <c r="BB763" s="495" t="str">
        <f t="shared" si="100"/>
        <v/>
      </c>
      <c r="BC763" s="495" t="str">
        <f t="shared" si="101"/>
        <v/>
      </c>
      <c r="BD763" s="513" t="str">
        <f>IF(AND(L763="",H763=""),"",
IF(H763="",Pole_Calc!A$9,
IF(H763="MP",Pole_Calc!A$10,
IF(H763="AnMP",Pole_Calc!A$11,
IF(H763="A",Pole_Calc!A$12,
IF(H763="S/A",Pole_Calc!A$13,
IF(H763="A/S",Pole_Calc!A$14,"Poner a mano")))))))</f>
        <v/>
      </c>
      <c r="BE763" s="429" t="s">
        <v>118</v>
      </c>
      <c r="BF763" s="290"/>
      <c r="BG763" s="290"/>
      <c r="BH763" s="290"/>
      <c r="BI763" s="290"/>
    </row>
    <row r="764" spans="1:61" ht="15.75" customHeight="1">
      <c r="A764" s="514"/>
      <c r="B764" s="450" t="s">
        <v>1331</v>
      </c>
      <c r="C764" s="3">
        <f>+$C$762+$G$763</f>
        <v>48419.950000000012</v>
      </c>
      <c r="D764" s="83"/>
      <c r="E764" s="4"/>
      <c r="F764" s="4">
        <v>0</v>
      </c>
      <c r="G764" s="6"/>
      <c r="H764" s="449"/>
      <c r="I764" s="4"/>
      <c r="J764" s="3"/>
      <c r="K764" s="449"/>
      <c r="L764" s="449" t="s">
        <v>151</v>
      </c>
      <c r="M764" s="449" t="str">
        <f>IF(L764="","",
IF(AX764="PT",VLOOKUP(L764,Foundation_Calc!$V$79:$X$113,VLOOKUP(AX764,Foundation_Calc!$I$10:$J$13,2,FALSE),0),
IF(AX764="K",VLOOKUP(L764,Foundation_Calc!$V$117:$X$151,VLOOKUP(AX764,Foundation_Calc!$I$10:$J$13,2,FALSE),0),"")))</f>
        <v>C4R</v>
      </c>
      <c r="N764" s="449" t="s">
        <v>134</v>
      </c>
      <c r="O764" s="449"/>
      <c r="P764" s="449"/>
      <c r="Q764" s="4"/>
      <c r="R764" s="6"/>
      <c r="S764" s="6"/>
      <c r="T764" s="4">
        <v>30</v>
      </c>
      <c r="U764" s="4"/>
      <c r="V764" s="4"/>
      <c r="W764" s="572">
        <v>1.2</v>
      </c>
      <c r="X764" s="9"/>
      <c r="Y764" s="9"/>
      <c r="Z764" s="9"/>
      <c r="AA764" s="9"/>
      <c r="AB764" s="9"/>
      <c r="AC764" s="449" t="str">
        <f t="shared" si="98"/>
        <v>PHQ</v>
      </c>
      <c r="AD764" s="449"/>
      <c r="AE764" s="449"/>
      <c r="AF764" s="4"/>
      <c r="AG764" s="83"/>
      <c r="AH764" s="4"/>
      <c r="AI764" s="4"/>
      <c r="AJ764" s="449"/>
      <c r="AK764" s="449"/>
      <c r="AL764" s="449"/>
      <c r="AM764" s="449" t="s">
        <v>552</v>
      </c>
      <c r="AN764" s="10">
        <v>5.5</v>
      </c>
      <c r="AO764" s="9"/>
      <c r="AP764" s="9"/>
      <c r="AQ764" s="9"/>
      <c r="AR764" s="9"/>
      <c r="AS764" s="9"/>
      <c r="AT764" s="9">
        <f>+ab($T$764,$T$762,$T$766,$G$763,$G$765, 1*$F$764,1200)</f>
        <v>6.708805788043235</v>
      </c>
      <c r="AU764" s="428"/>
      <c r="AV764" s="428"/>
      <c r="AW764" s="449" t="str">
        <f>IF(C764&gt;0,VLOOKUP(C764,Foundation_Calc!$A$2:$C$13,3,1),
IF(J764&gt;0,VLOOKUP(J764,Foundation_Calc!$A$2:$C$13,3,1),""))</f>
        <v>Multi Soil</v>
      </c>
      <c r="AX764" s="449" t="str">
        <f>IF(C764&gt;0,VLOOKUP(C764,Foundation_Calc!$E$35:$G$65,3,1),
IF(J764&gt;0,VLOOKUP(J764,Foundation_Calc!$E$35:$G$65,3,1),""))</f>
        <v>PT</v>
      </c>
      <c r="AY764" s="10">
        <f>IF(L764="","",
IF(AX764="PT",VLOOKUP(L764,Foundation_Calc!$K$79:$R$113,VLOOKUP(AW764,Foundation_Calc!$I$2:$J$8,2,FALSE),0),
IF(AX764="K",VLOOKUP(L764,Foundation_Calc!$K$117:$R$151,VLOOKUP(AW764,Foundation_Calc!$I$2:$J$8,2,FALSE),0),"")))</f>
        <v>3.5</v>
      </c>
      <c r="AZ764" s="10" t="str">
        <f>IF(K764="","",
IF(AX764="PT",VLOOKUP(K764,Foundation_Calc!$K$79:$R$113,VLOOKUP(AW764,Foundation_Calc!$I$2:$J$8,2,FALSE),0),
IF(AX764="K",VLOOKUP(K764,Foundation_Calc!$K$117:$R$151,VLOOKUP(AW764,Foundation_Calc!$I$2:$J$8,2,FALSE),0),"")))</f>
        <v/>
      </c>
      <c r="BA764" s="495" t="str">
        <f t="shared" si="99"/>
        <v>ü</v>
      </c>
      <c r="BB764" s="495" t="str">
        <f t="shared" si="100"/>
        <v/>
      </c>
      <c r="BC764" s="495" t="str">
        <f t="shared" si="101"/>
        <v/>
      </c>
      <c r="BD764" s="513" t="str">
        <f>IF(AND(L764="",H764=""),"",
IF(H764="",Pole_Calc!A$9,
IF(H764="MP",Pole_Calc!A$10,
IF(H764="AnMP",Pole_Calc!A$11,
IF(H764="A",Pole_Calc!A$12,
IF(H764="S/A",Pole_Calc!A$13,
IF(H764="A/S",Pole_Calc!A$14,"Poner a mano")))))))</f>
        <v>App.7-V11I-P9.5.1.1</v>
      </c>
      <c r="BE764" s="429" t="s">
        <v>118</v>
      </c>
      <c r="BF764" s="289"/>
      <c r="BG764" s="289"/>
      <c r="BH764" s="290"/>
      <c r="BI764" s="289"/>
    </row>
    <row r="765" spans="1:61" ht="15.75" customHeight="1">
      <c r="A765" s="514"/>
      <c r="B765" s="450"/>
      <c r="C765" s="3"/>
      <c r="D765" s="83"/>
      <c r="E765" s="4"/>
      <c r="F765" s="4"/>
      <c r="G765" s="6">
        <v>45</v>
      </c>
      <c r="H765" s="449"/>
      <c r="I765" s="4"/>
      <c r="J765" s="3">
        <f>C766-7.5</f>
        <v>48457.450000000012</v>
      </c>
      <c r="K765" s="449" t="s">
        <v>117</v>
      </c>
      <c r="L765" s="449"/>
      <c r="M765" s="449" t="str">
        <f>IF(L765="","",
IF(AX765="PT",VLOOKUP(L765,Foundation_Calc!$V$79:$X$113,VLOOKUP(AX765,Foundation_Calc!$I$10:$J$13,2,FALSE),0),
IF(AX765="K",VLOOKUP(L765,Foundation_Calc!$V$117:$X$151,VLOOKUP(AX765,Foundation_Calc!$I$10:$J$13,2,FALSE),0),"")))</f>
        <v/>
      </c>
      <c r="N765" s="449"/>
      <c r="O765" s="561"/>
      <c r="P765" s="449"/>
      <c r="Q765" s="4"/>
      <c r="R765" s="6"/>
      <c r="S765" s="6"/>
      <c r="T765" s="4"/>
      <c r="U765" s="4"/>
      <c r="V765" s="4"/>
      <c r="W765" s="9"/>
      <c r="X765" s="9"/>
      <c r="Y765" s="9"/>
      <c r="Z765" s="9"/>
      <c r="AA765" s="9"/>
      <c r="AB765" s="9"/>
      <c r="AC765" s="449" t="str">
        <f t="shared" si="98"/>
        <v/>
      </c>
      <c r="AD765" s="449"/>
      <c r="AE765" s="449"/>
      <c r="AF765" s="4"/>
      <c r="AG765" s="83"/>
      <c r="AH765" s="4"/>
      <c r="AI765" s="4"/>
      <c r="AJ765" s="449"/>
      <c r="AK765" s="449"/>
      <c r="AL765" s="449"/>
      <c r="AM765" s="449"/>
      <c r="AN765" s="10"/>
      <c r="AO765" s="9"/>
      <c r="AP765" s="9"/>
      <c r="AQ765" s="9">
        <f>+FL_1($T$766,$T$764,$G$765,1200,9.28, 1*$F$766)</f>
        <v>0.3173336444444444</v>
      </c>
      <c r="AR765" s="9"/>
      <c r="AS765" s="9"/>
      <c r="AT765" s="9"/>
      <c r="AU765" s="428"/>
      <c r="AV765" s="428"/>
      <c r="AW765" s="449" t="str">
        <f>IF(C765&gt;0,VLOOKUP(C765,Foundation_Calc!$A$2:$C$13,3,1),
IF(J765&gt;0,VLOOKUP(J765,Foundation_Calc!$A$2:$C$13,3,1),""))</f>
        <v>Multi Soil</v>
      </c>
      <c r="AX765" s="449" t="str">
        <f>IF(C765&gt;0,VLOOKUP(C765,Foundation_Calc!$E$35:$G$65,3,1),
IF(J765&gt;0,VLOOKUP(J765,Foundation_Calc!$E$35:$G$65,3,1),""))</f>
        <v>PT</v>
      </c>
      <c r="AY765" s="10" t="str">
        <f>IF(L765="","",
IF(AX765="PT",VLOOKUP(L765,Foundation_Calc!$K$79:$R$113,VLOOKUP(AW765,Foundation_Calc!$I$2:$J$8,2,FALSE),0),
IF(AX765="K",VLOOKUP(L765,Foundation_Calc!$K$117:$R$151,VLOOKUP(AW765,Foundation_Calc!$I$2:$J$8,2,FALSE),0),"")))</f>
        <v/>
      </c>
      <c r="AZ765" s="10">
        <f>IF(K765="","",
IF(AX765="PT",VLOOKUP(K765,Foundation_Calc!$K$79:$R$113,VLOOKUP(AW765,Foundation_Calc!$I$2:$J$8,2,FALSE),0),
IF(AX765="K",VLOOKUP(K765,Foundation_Calc!$K$117:$R$151,VLOOKUP(AW765,Foundation_Calc!$I$2:$J$8,2,FALSE),0),"")))</f>
        <v>3.9</v>
      </c>
      <c r="BA765" s="495" t="str">
        <f t="shared" si="99"/>
        <v/>
      </c>
      <c r="BB765" s="495" t="str">
        <f t="shared" si="100"/>
        <v>ü</v>
      </c>
      <c r="BC765" s="495" t="str">
        <f t="shared" si="101"/>
        <v/>
      </c>
      <c r="BD765" s="513" t="str">
        <f>IF(AND(L765="",H765=""),"",
IF(H765="",Pole_Calc!A$9,
IF(H765="MP",Pole_Calc!A$10,
IF(H765="AnMP",Pole_Calc!A$11,
IF(H765="A",Pole_Calc!A$12,
IF(H765="S/A",Pole_Calc!A$13,
IF(H765="A/S",Pole_Calc!A$14,"Poner a mano")))))))</f>
        <v/>
      </c>
      <c r="BE765" s="429" t="s">
        <v>118</v>
      </c>
      <c r="BF765" s="290"/>
      <c r="BG765" s="290"/>
      <c r="BH765" s="290"/>
      <c r="BI765" s="290"/>
    </row>
    <row r="766" spans="1:61" ht="15.75" customHeight="1">
      <c r="A766" s="514"/>
      <c r="B766" s="450" t="s">
        <v>1332</v>
      </c>
      <c r="C766" s="3">
        <f>+$C$764+$G$765</f>
        <v>48464.950000000012</v>
      </c>
      <c r="D766" s="83"/>
      <c r="E766" s="4"/>
      <c r="F766" s="4">
        <v>0</v>
      </c>
      <c r="G766" s="6"/>
      <c r="H766" s="449" t="s">
        <v>121</v>
      </c>
      <c r="I766" s="4" t="s">
        <v>122</v>
      </c>
      <c r="J766" s="3"/>
      <c r="K766" s="449"/>
      <c r="L766" s="449" t="s">
        <v>151</v>
      </c>
      <c r="M766" s="449" t="str">
        <f>IF(L766="","",
IF(AX766="PT",VLOOKUP(L766,Foundation_Calc!$V$79:$X$113,VLOOKUP(AX766,Foundation_Calc!$I$10:$J$13,2,FALSE),0),
IF(AX766="K",VLOOKUP(L766,Foundation_Calc!$V$117:$X$151,VLOOKUP(AX766,Foundation_Calc!$I$10:$J$13,2,FALSE),0),"")))</f>
        <v>C4R</v>
      </c>
      <c r="N766" s="449" t="s">
        <v>124</v>
      </c>
      <c r="O766" s="449"/>
      <c r="P766" s="449"/>
      <c r="Q766" s="4"/>
      <c r="R766" s="6"/>
      <c r="S766" s="6"/>
      <c r="T766" s="4">
        <v>-25</v>
      </c>
      <c r="U766" s="4"/>
      <c r="V766" s="4"/>
      <c r="W766" s="9">
        <v>1.4</v>
      </c>
      <c r="X766" s="9"/>
      <c r="Y766" s="9"/>
      <c r="Z766" s="9"/>
      <c r="AA766" s="9"/>
      <c r="AB766" s="9"/>
      <c r="AC766" s="449" t="str">
        <f t="shared" si="98"/>
        <v>PH</v>
      </c>
      <c r="AD766" s="449"/>
      <c r="AE766" s="449"/>
      <c r="AF766" s="4"/>
      <c r="AG766" s="83"/>
      <c r="AH766" s="4"/>
      <c r="AI766" s="4"/>
      <c r="AJ766" s="449"/>
      <c r="AK766" s="449"/>
      <c r="AL766" s="449"/>
      <c r="AM766" s="449" t="s">
        <v>552</v>
      </c>
      <c r="AN766" s="10">
        <v>5.5</v>
      </c>
      <c r="AO766" s="9"/>
      <c r="AP766" s="9"/>
      <c r="AQ766" s="9"/>
      <c r="AR766" s="9"/>
      <c r="AS766" s="9"/>
      <c r="AT766" s="9">
        <f>+ab($T$766,$T$764,$U$768,$G$765,$G$767, 1*$F$766,1200)</f>
        <v>-9.4038590654026208</v>
      </c>
      <c r="AU766" s="428"/>
      <c r="AV766" s="428"/>
      <c r="AW766" s="449" t="str">
        <f>IF(C766&gt;0,VLOOKUP(C766,Foundation_Calc!$A$2:$C$13,3,1),
IF(J766&gt;0,VLOOKUP(J766,Foundation_Calc!$A$2:$C$13,3,1),""))</f>
        <v>Multi Soil</v>
      </c>
      <c r="AX766" s="449" t="str">
        <f>IF(C766&gt;0,VLOOKUP(C766,Foundation_Calc!$E$35:$G$65,3,1),
IF(J766&gt;0,VLOOKUP(J766,Foundation_Calc!$E$35:$G$65,3,1),""))</f>
        <v>PT</v>
      </c>
      <c r="AY766" s="10">
        <f>IF(L766="","",
IF(AX766="PT",VLOOKUP(L766,Foundation_Calc!$K$79:$R$113,VLOOKUP(AW766,Foundation_Calc!$I$2:$J$8,2,FALSE),0),
IF(AX766="K",VLOOKUP(L766,Foundation_Calc!$K$117:$R$151,VLOOKUP(AW766,Foundation_Calc!$I$2:$J$8,2,FALSE),0),"")))</f>
        <v>3.5</v>
      </c>
      <c r="AZ766" s="10" t="str">
        <f>IF(K766="","",
IF(AX766="PT",VLOOKUP(K766,Foundation_Calc!$K$79:$R$113,VLOOKUP(AW766,Foundation_Calc!$I$2:$J$8,2,FALSE),0),
IF(AX766="K",VLOOKUP(K766,Foundation_Calc!$K$117:$R$151,VLOOKUP(AW766,Foundation_Calc!$I$2:$J$8,2,FALSE),0),"")))</f>
        <v/>
      </c>
      <c r="BA766" s="495" t="str">
        <f t="shared" si="99"/>
        <v>ü</v>
      </c>
      <c r="BB766" s="495" t="str">
        <f t="shared" si="100"/>
        <v/>
      </c>
      <c r="BC766" s="495" t="str">
        <f t="shared" si="101"/>
        <v/>
      </c>
      <c r="BD766" s="513" t="str">
        <f>IF(AND(L766="",H766=""),"",
IF(H766="",Pole_Calc!A$9,
IF(H766="MP",Pole_Calc!A$10,
IF(H766="AnMP",Pole_Calc!A$11,
IF(H766="A",Pole_Calc!A$12,
IF(H766="S/A",Pole_Calc!A$13,
IF(H766="A/S",Pole_Calc!A$14,"Poner a mano")))))))</f>
        <v>App.7-V11I-P9.5.1.6</v>
      </c>
      <c r="BE766" s="429" t="s">
        <v>118</v>
      </c>
      <c r="BF766" s="289"/>
      <c r="BG766" s="289"/>
      <c r="BH766" s="290"/>
      <c r="BI766" s="289"/>
    </row>
    <row r="767" spans="1:61" ht="15.75" customHeight="1">
      <c r="A767" s="518"/>
      <c r="B767" s="450"/>
      <c r="C767" s="3"/>
      <c r="D767" s="83"/>
      <c r="E767" s="4"/>
      <c r="F767" s="4"/>
      <c r="G767" s="6">
        <v>50</v>
      </c>
      <c r="H767" s="449"/>
      <c r="I767" s="4"/>
      <c r="J767" s="3"/>
      <c r="K767" s="449"/>
      <c r="L767" s="449"/>
      <c r="M767" s="449" t="str">
        <f>IF(L767="","",
IF(AX767="PT",VLOOKUP(L767,Foundation_Calc!$V$79:$X$113,VLOOKUP(AX767,Foundation_Calc!$I$10:$J$13,2,FALSE),0),
IF(AX767="K",VLOOKUP(L767,Foundation_Calc!$V$117:$X$151,VLOOKUP(AX767,Foundation_Calc!$I$10:$J$13,2,FALSE),0),"")))</f>
        <v/>
      </c>
      <c r="N767" s="449"/>
      <c r="O767" s="449"/>
      <c r="P767" s="449"/>
      <c r="Q767" s="4"/>
      <c r="R767" s="6"/>
      <c r="S767" s="6"/>
      <c r="T767" s="4"/>
      <c r="U767" s="4"/>
      <c r="V767" s="4"/>
      <c r="W767" s="9"/>
      <c r="X767" s="9"/>
      <c r="Y767" s="9"/>
      <c r="Z767" s="9"/>
      <c r="AA767" s="9"/>
      <c r="AB767" s="9"/>
      <c r="AC767" s="449" t="str">
        <f t="shared" si="98"/>
        <v/>
      </c>
      <c r="AD767" s="449"/>
      <c r="AE767" s="449"/>
      <c r="AF767" s="4"/>
      <c r="AG767" s="83"/>
      <c r="AH767" s="4"/>
      <c r="AI767" s="4"/>
      <c r="AJ767" s="449"/>
      <c r="AK767" s="449"/>
      <c r="AL767" s="449"/>
      <c r="AM767" s="449"/>
      <c r="AN767" s="10"/>
      <c r="AO767" s="9"/>
      <c r="AP767" s="9"/>
      <c r="AQ767" s="9">
        <f>+FL_2($U$768,$T$766,$G$767,1200,9.28, 1*$F$768)</f>
        <v>-0.33304596799999997</v>
      </c>
      <c r="AR767" s="9"/>
      <c r="AS767" s="9"/>
      <c r="AT767" s="9"/>
      <c r="AU767" s="428"/>
      <c r="AV767" s="428"/>
      <c r="AW767" s="449" t="str">
        <f>IF(C767&gt;0,VLOOKUP(C767,Foundation_Calc!$A$2:$C$13,3,1),
IF(J767&gt;0,VLOOKUP(J767,Foundation_Calc!$A$2:$C$13,3,1),""))</f>
        <v/>
      </c>
      <c r="AX767" s="449" t="str">
        <f>IF(C767&gt;0,VLOOKUP(C767,Foundation_Calc!$E$35:$G$65,3,1),
IF(J767&gt;0,VLOOKUP(J767,Foundation_Calc!$E$35:$G$65,3,1),""))</f>
        <v/>
      </c>
      <c r="AY767" s="10" t="str">
        <f>IF(L767="","",
IF(AX767="PT",VLOOKUP(L767,Foundation_Calc!$K$79:$R$113,VLOOKUP(AW767,Foundation_Calc!$I$2:$J$8,2,FALSE),0),
IF(AX767="K",VLOOKUP(L767,Foundation_Calc!$K$117:$R$151,VLOOKUP(AW767,Foundation_Calc!$I$2:$J$8,2,FALSE),0),"")))</f>
        <v/>
      </c>
      <c r="AZ767" s="10" t="str">
        <f>IF(K767="","",
IF(AX767="PT",VLOOKUP(K767,Foundation_Calc!$K$79:$R$113,VLOOKUP(AW767,Foundation_Calc!$I$2:$J$8,2,FALSE),0),
IF(AX767="K",VLOOKUP(K767,Foundation_Calc!$K$117:$R$151,VLOOKUP(AW767,Foundation_Calc!$I$2:$J$8,2,FALSE),0),"")))</f>
        <v/>
      </c>
      <c r="BA767" s="495" t="str">
        <f t="shared" si="99"/>
        <v/>
      </c>
      <c r="BB767" s="495" t="str">
        <f t="shared" si="100"/>
        <v/>
      </c>
      <c r="BC767" s="495" t="str">
        <f t="shared" si="101"/>
        <v/>
      </c>
      <c r="BD767" s="513" t="str">
        <f>IF(AND(L767="",H767=""),"",
IF(H767="",Pole_Calc!A$9,
IF(H767="MP",Pole_Calc!A$10,
IF(H767="AnMP",Pole_Calc!A$11,
IF(H767="A",Pole_Calc!A$12,
IF(H767="S/A",Pole_Calc!A$13,
IF(H767="A/S",Pole_Calc!A$14,"Poner a mano")))))))</f>
        <v/>
      </c>
      <c r="BE767" s="429" t="s">
        <v>118</v>
      </c>
      <c r="BF767" s="290"/>
      <c r="BG767" s="290"/>
      <c r="BH767" s="290"/>
      <c r="BI767" s="290"/>
    </row>
    <row r="768" spans="1:61" ht="15.75" customHeight="1">
      <c r="A768" s="514"/>
      <c r="B768" s="450" t="s">
        <v>1333</v>
      </c>
      <c r="C768" s="3">
        <f>+$C$766+$G$767</f>
        <v>48514.950000000012</v>
      </c>
      <c r="D768" s="83"/>
      <c r="E768" s="4"/>
      <c r="F768" s="4">
        <v>0</v>
      </c>
      <c r="G768" s="6"/>
      <c r="H768" s="449" t="s">
        <v>131</v>
      </c>
      <c r="I768" s="4"/>
      <c r="J768" s="3"/>
      <c r="K768" s="449"/>
      <c r="L768" s="449" t="s">
        <v>183</v>
      </c>
      <c r="M768" s="449" t="str">
        <f>IF(L768="","",
IF(AX768="PT",VLOOKUP(L768,Foundation_Calc!$V$79:$X$113,VLOOKUP(AX768,Foundation_Calc!$I$10:$J$13,2,FALSE),0),
IF(AX768="K",VLOOKUP(L768,Foundation_Calc!$V$117:$X$151,VLOOKUP(AX768,Foundation_Calc!$I$10:$J$13,2,FALSE),0),"")))</f>
        <v>2C3R</v>
      </c>
      <c r="N768" s="449" t="s">
        <v>133</v>
      </c>
      <c r="O768" s="449" t="s">
        <v>134</v>
      </c>
      <c r="P768" s="449"/>
      <c r="Q768" s="4"/>
      <c r="R768" s="6"/>
      <c r="S768" s="6"/>
      <c r="T768" s="4">
        <v>35</v>
      </c>
      <c r="U768" s="4">
        <v>15</v>
      </c>
      <c r="V768" s="4"/>
      <c r="W768" s="9">
        <v>1.4</v>
      </c>
      <c r="X768" s="9">
        <v>2.2999999999999998</v>
      </c>
      <c r="Y768" s="9"/>
      <c r="Z768" s="9">
        <v>0.5</v>
      </c>
      <c r="AA768" s="9"/>
      <c r="AB768" s="9"/>
      <c r="AC768" s="449"/>
      <c r="AD768" s="449"/>
      <c r="AE768" s="449"/>
      <c r="AF768" s="4"/>
      <c r="AG768" s="83"/>
      <c r="AH768" s="4"/>
      <c r="AI768" s="4"/>
      <c r="AJ768" s="449"/>
      <c r="AK768" s="449"/>
      <c r="AL768" s="449"/>
      <c r="AM768" s="449" t="s">
        <v>552</v>
      </c>
      <c r="AN768" s="10">
        <v>5.5</v>
      </c>
      <c r="AO768" s="9"/>
      <c r="AP768" s="9"/>
      <c r="AQ768" s="9"/>
      <c r="AR768" s="9"/>
      <c r="AS768" s="9"/>
      <c r="AT768" s="9">
        <f>+ab($U$768,$T$766,$U$770,$G$767,$G$769, 1*$F$768,1200)</f>
        <v>11.087233034303008</v>
      </c>
      <c r="AU768" s="428"/>
      <c r="AV768" s="428"/>
      <c r="AW768" s="449" t="str">
        <f>IF(C768&gt;0,VLOOKUP(C768,Foundation_Calc!$A$2:$C$13,3,1),
IF(J768&gt;0,VLOOKUP(J768,Foundation_Calc!$A$2:$C$13,3,1),""))</f>
        <v>Multi Soil</v>
      </c>
      <c r="AX768" s="449" t="str">
        <f>IF(C768&gt;0,VLOOKUP(C768,Foundation_Calc!$E$35:$G$65,3,1),
IF(J768&gt;0,VLOOKUP(J768,Foundation_Calc!$E$35:$G$65,3,1),""))</f>
        <v>PT</v>
      </c>
      <c r="AY768" s="10">
        <f>IF(L768="","",
IF(AX768="PT",VLOOKUP(L768,Foundation_Calc!$K$79:$R$113,VLOOKUP(AW768,Foundation_Calc!$I$2:$J$8,2,FALSE),0),
IF(AX768="K",VLOOKUP(L768,Foundation_Calc!$K$117:$R$151,VLOOKUP(AW768,Foundation_Calc!$I$2:$J$8,2,FALSE),0),"")))</f>
        <v>3.7</v>
      </c>
      <c r="AZ768" s="10" t="str">
        <f>IF(K768="","",
IF(AX768="PT",VLOOKUP(K768,Foundation_Calc!$K$79:$R$113,VLOOKUP(AW768,Foundation_Calc!$I$2:$J$8,2,FALSE),0),
IF(AX768="K",VLOOKUP(K768,Foundation_Calc!$K$117:$R$151,VLOOKUP(AW768,Foundation_Calc!$I$2:$J$8,2,FALSE),0),"")))</f>
        <v/>
      </c>
      <c r="BA768" s="495" t="str">
        <f t="shared" si="99"/>
        <v>ü</v>
      </c>
      <c r="BB768" s="495" t="str">
        <f t="shared" si="100"/>
        <v/>
      </c>
      <c r="BC768" s="495" t="str">
        <f t="shared" si="101"/>
        <v/>
      </c>
      <c r="BD768" s="513" t="str">
        <f>IF(AND(L768="",H768=""),"",
IF(H768="",Pole_Calc!A$9,
IF(H768="MP",Pole_Calc!A$10,
IF(H768="AnMP",Pole_Calc!A$11,
IF(H768="A",Pole_Calc!A$12,
IF(H768="S/A",Pole_Calc!A$13,
IF(H768="A/S",Pole_Calc!A$14,"Poner a mano")))))))</f>
        <v>App.7-V11I-P9.5.1.5</v>
      </c>
      <c r="BE768" s="429" t="s">
        <v>118</v>
      </c>
      <c r="BF768" s="289"/>
      <c r="BG768" s="289"/>
      <c r="BH768" s="290"/>
      <c r="BI768" s="289"/>
    </row>
    <row r="769" spans="1:61" ht="15.75" customHeight="1">
      <c r="A769" s="514"/>
      <c r="B769" s="450"/>
      <c r="C769" s="3"/>
      <c r="D769" s="83"/>
      <c r="E769" s="4"/>
      <c r="F769" s="4"/>
      <c r="G769" s="6">
        <v>55</v>
      </c>
      <c r="H769" s="449"/>
      <c r="I769" s="4"/>
      <c r="J769" s="3"/>
      <c r="K769" s="449"/>
      <c r="L769" s="449"/>
      <c r="M769" s="449" t="str">
        <f>IF(L769="","",
IF(AX769="PT",VLOOKUP(L769,Foundation_Calc!$V$79:$X$113,VLOOKUP(AX769,Foundation_Calc!$I$10:$J$13,2,FALSE),0),
IF(AX769="K",VLOOKUP(L769,Foundation_Calc!$V$117:$X$151,VLOOKUP(AX769,Foundation_Calc!$I$10:$J$13,2,FALSE),0),"")))</f>
        <v/>
      </c>
      <c r="N769" s="449"/>
      <c r="O769" s="449"/>
      <c r="P769" s="449"/>
      <c r="Q769" s="4"/>
      <c r="R769" s="6"/>
      <c r="S769" s="6"/>
      <c r="T769" s="4"/>
      <c r="U769" s="4"/>
      <c r="V769" s="4"/>
      <c r="W769" s="9"/>
      <c r="X769" s="9"/>
      <c r="Y769" s="9"/>
      <c r="Z769" s="9"/>
      <c r="AA769" s="9"/>
      <c r="AB769" s="9"/>
      <c r="AC769" s="449" t="str">
        <f t="shared" si="98"/>
        <v/>
      </c>
      <c r="AD769" s="449"/>
      <c r="AE769" s="449"/>
      <c r="AF769" s="4"/>
      <c r="AG769" s="83"/>
      <c r="AH769" s="4"/>
      <c r="AI769" s="4"/>
      <c r="AJ769" s="449"/>
      <c r="AK769" s="449"/>
      <c r="AL769" s="449"/>
      <c r="AM769" s="449"/>
      <c r="AN769" s="10"/>
      <c r="AO769" s="9"/>
      <c r="AP769" s="9"/>
      <c r="AQ769" s="9">
        <f>+FL_1($T$770,$U$768,$G$769,1200,9.28, 1*$F$770)</f>
        <v>0.31165291212121221</v>
      </c>
      <c r="AR769" s="9"/>
      <c r="AS769" s="9"/>
      <c r="AT769" s="9"/>
      <c r="AU769" s="428"/>
      <c r="AV769" s="428"/>
      <c r="AW769" s="449" t="str">
        <f>IF(C769&gt;0,VLOOKUP(C769,Foundation_Calc!$A$2:$C$13,3,1),
IF(J769&gt;0,VLOOKUP(J769,Foundation_Calc!$A$2:$C$13,3,1),""))</f>
        <v/>
      </c>
      <c r="AX769" s="449" t="str">
        <f>IF(C769&gt;0,VLOOKUP(C769,Foundation_Calc!$E$35:$G$65,3,1),
IF(J769&gt;0,VLOOKUP(J769,Foundation_Calc!$E$35:$G$65,3,1),""))</f>
        <v/>
      </c>
      <c r="AY769" s="10" t="str">
        <f>IF(L769="","",
IF(AX769="PT",VLOOKUP(L769,Foundation_Calc!$K$79:$R$113,VLOOKUP(AW769,Foundation_Calc!$I$2:$J$8,2,FALSE),0),
IF(AX769="K",VLOOKUP(L769,Foundation_Calc!$K$117:$R$151,VLOOKUP(AW769,Foundation_Calc!$I$2:$J$8,2,FALSE),0),"")))</f>
        <v/>
      </c>
      <c r="AZ769" s="10" t="str">
        <f>IF(K769="","",
IF(AX769="PT",VLOOKUP(K769,Foundation_Calc!$K$79:$R$113,VLOOKUP(AW769,Foundation_Calc!$I$2:$J$8,2,FALSE),0),
IF(AX769="K",VLOOKUP(K769,Foundation_Calc!$K$117:$R$151,VLOOKUP(AW769,Foundation_Calc!$I$2:$J$8,2,FALSE),0),"")))</f>
        <v/>
      </c>
      <c r="BA769" s="495" t="str">
        <f t="shared" si="99"/>
        <v/>
      </c>
      <c r="BB769" s="495" t="str">
        <f t="shared" si="100"/>
        <v/>
      </c>
      <c r="BC769" s="495" t="str">
        <f t="shared" si="101"/>
        <v/>
      </c>
      <c r="BD769" s="513" t="str">
        <f>IF(AND(L769="",H769=""),"",
IF(H769="",Pole_Calc!A$9,
IF(H769="MP",Pole_Calc!A$10,
IF(H769="AnMP",Pole_Calc!A$11,
IF(H769="A",Pole_Calc!A$12,
IF(H769="S/A",Pole_Calc!A$13,
IF(H769="A/S",Pole_Calc!A$14,"Poner a mano")))))))</f>
        <v/>
      </c>
      <c r="BE769" s="429" t="s">
        <v>118</v>
      </c>
      <c r="BF769" s="290"/>
      <c r="BG769" s="290"/>
      <c r="BH769" s="290"/>
      <c r="BI769" s="290"/>
    </row>
    <row r="770" spans="1:61" ht="15.75" customHeight="1">
      <c r="A770" s="514"/>
      <c r="B770" s="450" t="s">
        <v>1334</v>
      </c>
      <c r="C770" s="3">
        <f>+$C$768+$G$769</f>
        <v>48569.950000000012</v>
      </c>
      <c r="D770" s="83"/>
      <c r="E770" s="4"/>
      <c r="F770" s="4">
        <v>0</v>
      </c>
      <c r="G770" s="6"/>
      <c r="H770" s="449" t="s">
        <v>131</v>
      </c>
      <c r="I770" s="4"/>
      <c r="J770" s="3"/>
      <c r="K770" s="449"/>
      <c r="L770" s="449" t="s">
        <v>158</v>
      </c>
      <c r="M770" s="449" t="str">
        <f>IF(L770="","",
IF(AX770="PT",VLOOKUP(L770,Foundation_Calc!$V$79:$X$113,VLOOKUP(AX770,Foundation_Calc!$I$10:$J$13,2,FALSE),0),
IF(AX770="K",VLOOKUP(L770,Foundation_Calc!$V$117:$X$151,VLOOKUP(AX770,Foundation_Calc!$I$10:$J$13,2,FALSE),0),"")))</f>
        <v>C4R</v>
      </c>
      <c r="N770" s="449" t="s">
        <v>124</v>
      </c>
      <c r="O770" s="449" t="s">
        <v>133</v>
      </c>
      <c r="P770" s="449"/>
      <c r="Q770" s="4"/>
      <c r="R770" s="6"/>
      <c r="S770" s="6"/>
      <c r="T770" s="4">
        <v>-15</v>
      </c>
      <c r="U770" s="4">
        <v>-35</v>
      </c>
      <c r="V770" s="4"/>
      <c r="W770" s="9">
        <v>1.4</v>
      </c>
      <c r="X770" s="9">
        <v>2.2999999999999998</v>
      </c>
      <c r="Y770" s="9"/>
      <c r="Z770" s="9"/>
      <c r="AA770" s="9">
        <v>0.5</v>
      </c>
      <c r="AB770" s="9"/>
      <c r="AC770" s="449" t="str">
        <f t="shared" si="98"/>
        <v>PH</v>
      </c>
      <c r="AD770" s="449"/>
      <c r="AE770" s="449"/>
      <c r="AF770" s="4"/>
      <c r="AG770" s="83"/>
      <c r="AH770" s="4"/>
      <c r="AI770" s="4"/>
      <c r="AJ770" s="449"/>
      <c r="AK770" s="449"/>
      <c r="AL770" s="449"/>
      <c r="AM770" s="449" t="s">
        <v>552</v>
      </c>
      <c r="AN770" s="10">
        <v>5.5</v>
      </c>
      <c r="AO770" s="9"/>
      <c r="AP770" s="9"/>
      <c r="AQ770" s="9"/>
      <c r="AR770" s="9"/>
      <c r="AS770" s="9"/>
      <c r="AT770" s="9">
        <f>+ab($T$770,$T$768,$T$772,$G$769,$G$771, 1*$F$770,1200)</f>
        <v>-11.999285776580535</v>
      </c>
      <c r="AU770" s="428"/>
      <c r="AV770" s="428"/>
      <c r="AW770" s="449" t="str">
        <f>IF(C770&gt;0,VLOOKUP(C770,Foundation_Calc!$A$2:$C$13,3,1),
IF(J770&gt;0,VLOOKUP(J770,Foundation_Calc!$A$2:$C$13,3,1),""))</f>
        <v>Multi Soil</v>
      </c>
      <c r="AX770" s="449" t="str">
        <f>IF(C770&gt;0,VLOOKUP(C770,Foundation_Calc!$E$35:$G$65,3,1),
IF(J770&gt;0,VLOOKUP(J770,Foundation_Calc!$E$35:$G$65,3,1),""))</f>
        <v>PT</v>
      </c>
      <c r="AY770" s="10">
        <f>IF(L770="","",
IF(AX770="PT",VLOOKUP(L770,Foundation_Calc!$K$79:$R$113,VLOOKUP(AW770,Foundation_Calc!$I$2:$J$8,2,FALSE),0),
IF(AX770="K",VLOOKUP(L770,Foundation_Calc!$K$117:$R$151,VLOOKUP(AW770,Foundation_Calc!$I$2:$J$8,2,FALSE),0),"")))</f>
        <v>3.5</v>
      </c>
      <c r="AZ770" s="10" t="str">
        <f>IF(K770="","",
IF(AX770="PT",VLOOKUP(K770,Foundation_Calc!$K$79:$R$113,VLOOKUP(AW770,Foundation_Calc!$I$2:$J$8,2,FALSE),0),
IF(AX770="K",VLOOKUP(K770,Foundation_Calc!$K$117:$R$151,VLOOKUP(AW770,Foundation_Calc!$I$2:$J$8,2,FALSE),0),"")))</f>
        <v/>
      </c>
      <c r="BA770" s="495" t="str">
        <f t="shared" si="99"/>
        <v>ü</v>
      </c>
      <c r="BB770" s="495" t="str">
        <f t="shared" si="100"/>
        <v/>
      </c>
      <c r="BC770" s="495" t="str">
        <f t="shared" si="101"/>
        <v/>
      </c>
      <c r="BD770" s="513" t="str">
        <f>IF(AND(L770="",H770=""),"",
IF(H770="",Pole_Calc!A$9,
IF(H770="MP",Pole_Calc!A$10,
IF(H770="AnMP",Pole_Calc!A$11,
IF(H770="A",Pole_Calc!A$12,
IF(H770="S/A",Pole_Calc!A$13,
IF(H770="A/S",Pole_Calc!A$14,"Poner a mano")))))))</f>
        <v>App.7-V11I-P9.5.1.5</v>
      </c>
      <c r="BE770" s="429" t="s">
        <v>118</v>
      </c>
      <c r="BF770" s="289"/>
      <c r="BG770" s="289"/>
      <c r="BH770" s="290"/>
      <c r="BI770" s="289"/>
    </row>
    <row r="771" spans="1:61" ht="15.75" customHeight="1">
      <c r="A771" s="514"/>
      <c r="B771" s="450"/>
      <c r="C771" s="3"/>
      <c r="D771" s="83"/>
      <c r="E771" s="4"/>
      <c r="F771" s="4"/>
      <c r="G771" s="6">
        <v>60</v>
      </c>
      <c r="H771" s="449"/>
      <c r="I771" s="4">
        <f>SUM(G745:G771)</f>
        <v>569.5</v>
      </c>
      <c r="J771" s="3"/>
      <c r="K771" s="449"/>
      <c r="L771" s="449"/>
      <c r="M771" s="449" t="str">
        <f>IF(L771="","",
IF(AX771="PT",VLOOKUP(L771,Foundation_Calc!$V$79:$X$113,VLOOKUP(AX771,Foundation_Calc!$I$10:$J$13,2,FALSE),0),
IF(AX771="K",VLOOKUP(L771,Foundation_Calc!$V$117:$X$151,VLOOKUP(AX771,Foundation_Calc!$I$10:$J$13,2,FALSE),0),"")))</f>
        <v/>
      </c>
      <c r="N771" s="449"/>
      <c r="O771" s="561"/>
      <c r="P771" s="449"/>
      <c r="Q771" s="4"/>
      <c r="R771" s="6"/>
      <c r="S771" s="6"/>
      <c r="T771" s="4"/>
      <c r="U771" s="4"/>
      <c r="V771" s="4"/>
      <c r="W771" s="9"/>
      <c r="X771" s="9"/>
      <c r="Y771" s="9"/>
      <c r="Z771" s="9"/>
      <c r="AA771" s="9"/>
      <c r="AB771" s="9"/>
      <c r="AC771" s="449" t="str">
        <f t="shared" si="98"/>
        <v/>
      </c>
      <c r="AD771" s="449"/>
      <c r="AE771" s="449"/>
      <c r="AF771" s="4"/>
      <c r="AG771" s="83"/>
      <c r="AH771" s="4"/>
      <c r="AI771" s="4"/>
      <c r="AJ771" s="449"/>
      <c r="AK771" s="449"/>
      <c r="AL771" s="449"/>
      <c r="AM771" s="449"/>
      <c r="AN771" s="10"/>
      <c r="AO771" s="9"/>
      <c r="AP771" s="9"/>
      <c r="AQ771" s="9">
        <f>+FL_1($T$772,$T$770,$G$771,1200,9.28, 1*$F$772)</f>
        <v>0.42673563199999998</v>
      </c>
      <c r="AR771" s="9"/>
      <c r="AS771" s="9"/>
      <c r="AT771" s="9"/>
      <c r="AU771" s="428"/>
      <c r="AV771" s="428"/>
      <c r="AW771" s="449" t="str">
        <f>IF(C771&gt;0,VLOOKUP(C771,Foundation_Calc!$A$2:$C$13,3,1),
IF(J771&gt;0,VLOOKUP(J771,Foundation_Calc!$A$2:$C$13,3,1),""))</f>
        <v/>
      </c>
      <c r="AX771" s="449" t="str">
        <f>IF(C771&gt;0,VLOOKUP(C771,Foundation_Calc!$E$35:$G$65,3,1),
IF(J771&gt;0,VLOOKUP(J771,Foundation_Calc!$E$35:$G$65,3,1),""))</f>
        <v/>
      </c>
      <c r="AY771" s="10" t="str">
        <f>IF(L771="","",
IF(AX771="PT",VLOOKUP(L771,Foundation_Calc!$K$79:$R$113,VLOOKUP(AW771,Foundation_Calc!$I$2:$J$8,2,FALSE),0),
IF(AX771="K",VLOOKUP(L771,Foundation_Calc!$K$117:$R$151,VLOOKUP(AW771,Foundation_Calc!$I$2:$J$8,2,FALSE),0),"")))</f>
        <v/>
      </c>
      <c r="AZ771" s="10" t="str">
        <f>IF(K771="","",
IF(AX771="PT",VLOOKUP(K771,Foundation_Calc!$K$79:$R$113,VLOOKUP(AW771,Foundation_Calc!$I$2:$J$8,2,FALSE),0),
IF(AX771="K",VLOOKUP(K771,Foundation_Calc!$K$117:$R$151,VLOOKUP(AW771,Foundation_Calc!$I$2:$J$8,2,FALSE),0),"")))</f>
        <v/>
      </c>
      <c r="BA771" s="495" t="str">
        <f t="shared" si="99"/>
        <v/>
      </c>
      <c r="BB771" s="495" t="str">
        <f t="shared" si="100"/>
        <v/>
      </c>
      <c r="BC771" s="495" t="str">
        <f t="shared" si="101"/>
        <v/>
      </c>
      <c r="BD771" s="513" t="str">
        <f>IF(AND(L771="",H771=""),"",
IF(H771="",Pole_Calc!A$9,
IF(H771="MP",Pole_Calc!A$10,
IF(H771="AnMP",Pole_Calc!A$11,
IF(H771="A",Pole_Calc!A$12,
IF(H771="S/A",Pole_Calc!A$13,
IF(H771="A/S",Pole_Calc!A$14,"Poner a mano")))))))</f>
        <v/>
      </c>
      <c r="BE771" s="429" t="s">
        <v>118</v>
      </c>
      <c r="BF771" s="290"/>
      <c r="BG771" s="290"/>
      <c r="BH771" s="290"/>
      <c r="BI771" s="290"/>
    </row>
    <row r="772" spans="1:61" ht="15.75" customHeight="1">
      <c r="A772" s="514"/>
      <c r="B772" s="450" t="s">
        <v>1335</v>
      </c>
      <c r="C772" s="3">
        <f>+$C$770+$G$771-0.07</f>
        <v>48629.880000000012</v>
      </c>
      <c r="D772" s="83"/>
      <c r="E772" s="4"/>
      <c r="F772" s="4">
        <v>0</v>
      </c>
      <c r="G772" s="6"/>
      <c r="H772" s="449" t="s">
        <v>121</v>
      </c>
      <c r="I772" s="4" t="s">
        <v>122</v>
      </c>
      <c r="J772" s="3"/>
      <c r="K772" s="449"/>
      <c r="L772" s="449" t="s">
        <v>151</v>
      </c>
      <c r="M772" s="449" t="str">
        <f>IF(L772="","",
IF(AX772="PT",VLOOKUP(L772,Foundation_Calc!$V$79:$X$113,VLOOKUP(AX772,Foundation_Calc!$I$10:$J$13,2,FALSE),0),
IF(AX772="K",VLOOKUP(L772,Foundation_Calc!$V$117:$X$151,VLOOKUP(AX772,Foundation_Calc!$I$10:$J$13,2,FALSE),0),"")))</f>
        <v>C4RT</v>
      </c>
      <c r="N772" s="449" t="s">
        <v>134</v>
      </c>
      <c r="O772" s="449"/>
      <c r="P772" s="449"/>
      <c r="Q772" s="4"/>
      <c r="R772" s="6"/>
      <c r="S772" s="6"/>
      <c r="T772" s="4">
        <v>25</v>
      </c>
      <c r="U772" s="4"/>
      <c r="V772" s="4"/>
      <c r="W772" s="9">
        <v>1.4</v>
      </c>
      <c r="X772" s="9"/>
      <c r="Y772" s="9"/>
      <c r="Z772" s="9"/>
      <c r="AA772" s="9"/>
      <c r="AB772" s="9"/>
      <c r="AC772" s="449" t="str">
        <f t="shared" si="98"/>
        <v>PH</v>
      </c>
      <c r="AD772" s="449"/>
      <c r="AE772" s="449"/>
      <c r="AF772" s="4"/>
      <c r="AG772" s="83"/>
      <c r="AH772" s="4"/>
      <c r="AI772" s="4"/>
      <c r="AJ772" s="449"/>
      <c r="AK772" s="449"/>
      <c r="AL772" s="449"/>
      <c r="AM772" s="449" t="s">
        <v>552</v>
      </c>
      <c r="AN772" s="10">
        <v>5.5</v>
      </c>
      <c r="AO772" s="9"/>
      <c r="AP772" s="9"/>
      <c r="AQ772" s="9"/>
      <c r="AR772" s="9"/>
      <c r="AS772" s="9"/>
      <c r="AT772" s="9">
        <f>+ab($T$772,$T$770,$T$774,$G$771,$G$773, 1*$F$772,1200)</f>
        <v>11.362193980715585</v>
      </c>
      <c r="AU772" s="428"/>
      <c r="AV772" s="428"/>
      <c r="AW772" s="449" t="str">
        <f>IF(C772&gt;0,VLOOKUP(C772,Foundation_Calc!$A$2:$C$13,3,1),
IF(J772&gt;0,VLOOKUP(J772,Foundation_Calc!$A$2:$C$13,3,1),""))</f>
        <v>Multi Soil</v>
      </c>
      <c r="AX772" s="449" t="str">
        <f>IF(C772&gt;0,VLOOKUP(C772,Foundation_Calc!$E$35:$G$65,3,1),
IF(J772&gt;0,VLOOKUP(J772,Foundation_Calc!$E$35:$G$65,3,1),""))</f>
        <v>K</v>
      </c>
      <c r="AY772" s="10">
        <f>IF(L772="","",
IF(AX772="PT",VLOOKUP(L772,Foundation_Calc!$K$79:$R$113,VLOOKUP(AW772,Foundation_Calc!$I$2:$J$8,2,FALSE),0),
IF(AX772="K",VLOOKUP(L772,Foundation_Calc!$K$117:$R$151,VLOOKUP(AW772,Foundation_Calc!$I$2:$J$8,2,FALSE),0),"")))</f>
        <v>4.2</v>
      </c>
      <c r="AZ772" s="10" t="str">
        <f>IF(K772="","",
IF(AX772="PT",VLOOKUP(K772,Foundation_Calc!$K$79:$R$113,VLOOKUP(AW772,Foundation_Calc!$I$2:$J$8,2,FALSE),0),
IF(AX772="K",VLOOKUP(K772,Foundation_Calc!$K$117:$R$151,VLOOKUP(AW772,Foundation_Calc!$I$2:$J$8,2,FALSE),0),"")))</f>
        <v/>
      </c>
      <c r="BA772" s="495" t="str">
        <f t="shared" si="99"/>
        <v>ü</v>
      </c>
      <c r="BB772" s="495" t="str">
        <f t="shared" si="100"/>
        <v/>
      </c>
      <c r="BC772" s="495" t="str">
        <f t="shared" si="101"/>
        <v/>
      </c>
      <c r="BD772" s="513" t="str">
        <f>IF(AND(L772="",H772=""),"",
IF(H772="",Pole_Calc!A$9,
IF(H772="MP",Pole_Calc!A$10,
IF(H772="AnMP",Pole_Calc!A$11,
IF(H772="A",Pole_Calc!A$12,
IF(H772="S/A",Pole_Calc!A$13,
IF(H772="A/S",Pole_Calc!A$14,"Poner a mano")))))))</f>
        <v>App.7-V11I-P9.5.1.6</v>
      </c>
      <c r="BE772" s="429" t="s">
        <v>118</v>
      </c>
      <c r="BF772" s="289"/>
      <c r="BG772" s="289"/>
      <c r="BH772" s="290"/>
      <c r="BI772" s="289"/>
    </row>
    <row r="773" spans="1:61" ht="15.75" customHeight="1">
      <c r="A773" s="518"/>
      <c r="B773" s="450"/>
      <c r="C773" s="3"/>
      <c r="D773" s="83"/>
      <c r="E773" s="4"/>
      <c r="F773" s="4"/>
      <c r="G773" s="6">
        <v>60</v>
      </c>
      <c r="H773" s="449"/>
      <c r="I773" s="4"/>
      <c r="J773" s="3">
        <f>C772+7.5</f>
        <v>48637.380000000012</v>
      </c>
      <c r="K773" s="449" t="s">
        <v>315</v>
      </c>
      <c r="L773" s="449"/>
      <c r="M773" s="449" t="str">
        <f>IF(L773="","",
IF(AX773="PT",VLOOKUP(L773,Foundation_Calc!$V$79:$X$113,VLOOKUP(AX773,Foundation_Calc!$I$10:$J$13,2,FALSE),0),
IF(AX773="K",VLOOKUP(L773,Foundation_Calc!$V$117:$X$151,VLOOKUP(AX773,Foundation_Calc!$I$10:$J$13,2,FALSE),0),"")))</f>
        <v/>
      </c>
      <c r="N773" s="449"/>
      <c r="O773" s="449"/>
      <c r="P773" s="449"/>
      <c r="Q773" s="4"/>
      <c r="R773" s="6"/>
      <c r="S773" s="6"/>
      <c r="T773" s="4"/>
      <c r="U773" s="4"/>
      <c r="V773" s="4"/>
      <c r="W773" s="9"/>
      <c r="X773" s="9"/>
      <c r="Y773" s="9"/>
      <c r="Z773" s="9"/>
      <c r="AA773" s="9"/>
      <c r="AB773" s="9"/>
      <c r="AC773" s="449" t="str">
        <f t="shared" si="98"/>
        <v/>
      </c>
      <c r="AD773" s="449"/>
      <c r="AE773" s="449"/>
      <c r="AF773" s="4"/>
      <c r="AG773" s="83"/>
      <c r="AH773" s="4"/>
      <c r="AI773" s="4"/>
      <c r="AJ773" s="449"/>
      <c r="AK773" s="449"/>
      <c r="AL773" s="449"/>
      <c r="AM773" s="449"/>
      <c r="AN773" s="10"/>
      <c r="AO773" s="9"/>
      <c r="AP773" s="9"/>
      <c r="AQ773" s="9">
        <f>+FL_2($T$774,$T$772,$G$773,1200,9.28, 1*$F$774)</f>
        <v>-0.46265517199999995</v>
      </c>
      <c r="AR773" s="9"/>
      <c r="AS773" s="9"/>
      <c r="AT773" s="9"/>
      <c r="AU773" s="428"/>
      <c r="AV773" s="428"/>
      <c r="AW773" s="449" t="str">
        <f>IF(C773&gt;0,VLOOKUP(C773,Foundation_Calc!$A$2:$C$13,3,1),
IF(J773&gt;0,VLOOKUP(J773,Foundation_Calc!$A$2:$C$13,3,1),""))</f>
        <v>Multi Soil</v>
      </c>
      <c r="AX773" s="449" t="str">
        <f>IF(C773&gt;0,VLOOKUP(C773,Foundation_Calc!$E$35:$G$65,3,1),
IF(J773&gt;0,VLOOKUP(J773,Foundation_Calc!$E$35:$G$65,3,1),""))</f>
        <v>K</v>
      </c>
      <c r="AY773" s="10" t="str">
        <f>IF(L773="","",
IF(AX773="PT",VLOOKUP(L773,Foundation_Calc!$K$79:$R$113,VLOOKUP(AW773,Foundation_Calc!$I$2:$J$8,2,FALSE),0),
IF(AX773="K",VLOOKUP(L773,Foundation_Calc!$K$117:$R$151,VLOOKUP(AW773,Foundation_Calc!$I$2:$J$8,2,FALSE),0),"")))</f>
        <v/>
      </c>
      <c r="AZ773" s="10">
        <f>IF(K773="","",
IF(AX773="PT",VLOOKUP(K773,Foundation_Calc!$K$79:$R$113,VLOOKUP(AW773,Foundation_Calc!$I$2:$J$8,2,FALSE),0),
IF(AX773="K",VLOOKUP(K773,Foundation_Calc!$K$117:$R$151,VLOOKUP(AW773,Foundation_Calc!$I$2:$J$8,2,FALSE),0),"")))</f>
        <v>3.9</v>
      </c>
      <c r="BA773" s="495" t="str">
        <f t="shared" si="99"/>
        <v/>
      </c>
      <c r="BB773" s="495" t="str">
        <f t="shared" si="100"/>
        <v>ü</v>
      </c>
      <c r="BC773" s="495" t="str">
        <f t="shared" si="101"/>
        <v/>
      </c>
      <c r="BD773" s="513" t="str">
        <f>IF(AND(L773="",H773=""),"",
IF(H773="",Pole_Calc!A$9,
IF(H773="MP",Pole_Calc!A$10,
IF(H773="AnMP",Pole_Calc!A$11,
IF(H773="A",Pole_Calc!A$12,
IF(H773="S/A",Pole_Calc!A$13,
IF(H773="A/S",Pole_Calc!A$14,"Poner a mano")))))))</f>
        <v/>
      </c>
      <c r="BE773" s="429" t="s">
        <v>118</v>
      </c>
      <c r="BF773" s="290"/>
      <c r="BG773" s="290"/>
      <c r="BH773" s="290"/>
      <c r="BI773" s="290"/>
    </row>
    <row r="774" spans="1:61" ht="15.75" customHeight="1">
      <c r="A774" s="514"/>
      <c r="B774" s="450" t="s">
        <v>1336</v>
      </c>
      <c r="C774" s="3">
        <f>+$C$772+$G$773</f>
        <v>48689.880000000012</v>
      </c>
      <c r="D774" s="83"/>
      <c r="E774" s="4"/>
      <c r="F774" s="4">
        <v>0</v>
      </c>
      <c r="G774" s="6"/>
      <c r="H774" s="449"/>
      <c r="I774" s="4"/>
      <c r="J774" s="3"/>
      <c r="K774" s="449"/>
      <c r="L774" s="449" t="s">
        <v>153</v>
      </c>
      <c r="M774" s="449" t="str">
        <f>IF(L774="","",
IF(AX774="PT",VLOOKUP(L774,Foundation_Calc!$V$79:$X$113,VLOOKUP(AX774,Foundation_Calc!$I$10:$J$13,2,FALSE),0),
IF(AX774="K",VLOOKUP(L774,Foundation_Calc!$V$117:$X$151,VLOOKUP(AX774,Foundation_Calc!$I$10:$J$13,2,FALSE),0),"")))</f>
        <v>C3RT</v>
      </c>
      <c r="N774" s="449" t="s">
        <v>124</v>
      </c>
      <c r="O774" s="449"/>
      <c r="P774" s="449"/>
      <c r="Q774" s="4"/>
      <c r="R774" s="6"/>
      <c r="S774" s="6"/>
      <c r="T774" s="4">
        <v>-35</v>
      </c>
      <c r="U774" s="4"/>
      <c r="V774" s="4"/>
      <c r="W774" s="9">
        <v>1.4</v>
      </c>
      <c r="X774" s="9"/>
      <c r="Y774" s="9"/>
      <c r="Z774" s="9"/>
      <c r="AA774" s="9"/>
      <c r="AB774" s="9"/>
      <c r="AC774" s="449" t="str">
        <f t="shared" si="98"/>
        <v>PH</v>
      </c>
      <c r="AD774" s="449"/>
      <c r="AE774" s="449"/>
      <c r="AF774" s="4"/>
      <c r="AG774" s="83"/>
      <c r="AH774" s="4"/>
      <c r="AI774" s="4"/>
      <c r="AJ774" s="449"/>
      <c r="AK774" s="449"/>
      <c r="AL774" s="449"/>
      <c r="AM774" s="449" t="s">
        <v>552</v>
      </c>
      <c r="AN774" s="10">
        <v>5.5</v>
      </c>
      <c r="AO774" s="9"/>
      <c r="AP774" s="9"/>
      <c r="AQ774" s="9"/>
      <c r="AR774" s="9"/>
      <c r="AS774" s="9"/>
      <c r="AT774" s="9">
        <f>+ab($T$774,$T$772,$T$776,$G$773,$G$775, 1*$F$774,1200)</f>
        <v>-8.7088168851358567</v>
      </c>
      <c r="AU774" s="428"/>
      <c r="AV774" s="428"/>
      <c r="AW774" s="449" t="str">
        <f>IF(C774&gt;0,VLOOKUP(C774,Foundation_Calc!$A$2:$C$13,3,1),
IF(J774&gt;0,VLOOKUP(J774,Foundation_Calc!$A$2:$C$13,3,1),""))</f>
        <v>Multi Soil</v>
      </c>
      <c r="AX774" s="449" t="str">
        <f>IF(C774&gt;0,VLOOKUP(C774,Foundation_Calc!$E$35:$G$65,3,1),
IF(J774&gt;0,VLOOKUP(J774,Foundation_Calc!$E$35:$G$65,3,1),""))</f>
        <v>K</v>
      </c>
      <c r="AY774" s="10">
        <f>IF(L774="","",
IF(AX774="PT",VLOOKUP(L774,Foundation_Calc!$K$79:$R$113,VLOOKUP(AW774,Foundation_Calc!$I$2:$J$8,2,FALSE),0),
IF(AX774="K",VLOOKUP(L774,Foundation_Calc!$K$117:$R$151,VLOOKUP(AW774,Foundation_Calc!$I$2:$J$8,2,FALSE),0),"")))</f>
        <v>4</v>
      </c>
      <c r="AZ774" s="10" t="str">
        <f>IF(K774="","",
IF(AX774="PT",VLOOKUP(K774,Foundation_Calc!$K$79:$R$113,VLOOKUP(AW774,Foundation_Calc!$I$2:$J$8,2,FALSE),0),
IF(AX774="K",VLOOKUP(K774,Foundation_Calc!$K$117:$R$151,VLOOKUP(AW774,Foundation_Calc!$I$2:$J$8,2,FALSE),0),"")))</f>
        <v/>
      </c>
      <c r="BA774" s="495" t="str">
        <f t="shared" si="99"/>
        <v>ü</v>
      </c>
      <c r="BB774" s="495" t="str">
        <f t="shared" si="100"/>
        <v/>
      </c>
      <c r="BC774" s="495" t="str">
        <f t="shared" si="101"/>
        <v/>
      </c>
      <c r="BD774" s="513" t="str">
        <f>IF(AND(L774="",H774=""),"",
IF(H774="",Pole_Calc!A$9,
IF(H774="MP",Pole_Calc!A$10,
IF(H774="AnMP",Pole_Calc!A$11,
IF(H774="A",Pole_Calc!A$12,
IF(H774="S/A",Pole_Calc!A$13,
IF(H774="A/S",Pole_Calc!A$14,"Poner a mano")))))))</f>
        <v>App.7-V11I-P9.5.1.1</v>
      </c>
      <c r="BE774" s="429" t="s">
        <v>118</v>
      </c>
      <c r="BF774" s="289"/>
      <c r="BG774" s="289"/>
      <c r="BH774" s="290"/>
      <c r="BI774" s="289"/>
    </row>
    <row r="775" spans="1:61" ht="15.75" customHeight="1">
      <c r="A775" s="514"/>
      <c r="B775" s="450"/>
      <c r="C775" s="3"/>
      <c r="D775" s="83"/>
      <c r="E775" s="4"/>
      <c r="F775" s="4"/>
      <c r="G775" s="6">
        <v>59</v>
      </c>
      <c r="H775" s="449"/>
      <c r="I775" s="4"/>
      <c r="J775" s="3"/>
      <c r="K775" s="449"/>
      <c r="L775" s="449"/>
      <c r="M775" s="449" t="str">
        <f>IF(L775="","",
IF(AX775="PT",VLOOKUP(L775,Foundation_Calc!$V$79:$X$113,VLOOKUP(AX775,Foundation_Calc!$I$10:$J$13,2,FALSE),0),
IF(AX775="K",VLOOKUP(L775,Foundation_Calc!$V$117:$X$151,VLOOKUP(AX775,Foundation_Calc!$I$10:$J$13,2,FALSE),0),"")))</f>
        <v/>
      </c>
      <c r="N775" s="449"/>
      <c r="O775" s="449"/>
      <c r="P775" s="449"/>
      <c r="Q775" s="4"/>
      <c r="R775" s="6"/>
      <c r="S775" s="6"/>
      <c r="T775" s="4"/>
      <c r="U775" s="4"/>
      <c r="V775" s="4"/>
      <c r="W775" s="9"/>
      <c r="X775" s="9"/>
      <c r="Y775" s="9"/>
      <c r="Z775" s="9"/>
      <c r="AA775" s="9"/>
      <c r="AB775" s="9"/>
      <c r="AC775" s="449" t="str">
        <f t="shared" si="98"/>
        <v/>
      </c>
      <c r="AD775" s="449"/>
      <c r="AE775" s="449"/>
      <c r="AF775" s="4"/>
      <c r="AG775" s="83"/>
      <c r="AH775" s="4"/>
      <c r="AI775" s="4"/>
      <c r="AJ775" s="449"/>
      <c r="AK775" s="449"/>
      <c r="AL775" s="449"/>
      <c r="AM775" s="449"/>
      <c r="AN775" s="10"/>
      <c r="AO775" s="9"/>
      <c r="AP775" s="9"/>
      <c r="AQ775" s="9">
        <f>+FL_2($T$776,$T$774,$G$775,1200,9.28, 1*$F$776)</f>
        <v>-0.4275079679999999</v>
      </c>
      <c r="AR775" s="9"/>
      <c r="AS775" s="9"/>
      <c r="AT775" s="9"/>
      <c r="AU775" s="428"/>
      <c r="AV775" s="428"/>
      <c r="AW775" s="449" t="str">
        <f>IF(C775&gt;0,VLOOKUP(C775,Foundation_Calc!$A$2:$C$13,3,1),
IF(J775&gt;0,VLOOKUP(J775,Foundation_Calc!$A$2:$C$13,3,1),""))</f>
        <v/>
      </c>
      <c r="AX775" s="449" t="str">
        <f>IF(C775&gt;0,VLOOKUP(C775,Foundation_Calc!$E$35:$G$65,3,1),
IF(J775&gt;0,VLOOKUP(J775,Foundation_Calc!$E$35:$G$65,3,1),""))</f>
        <v/>
      </c>
      <c r="AY775" s="10" t="str">
        <f>IF(L775="","",
IF(AX775="PT",VLOOKUP(L775,Foundation_Calc!$K$79:$R$113,VLOOKUP(AW775,Foundation_Calc!$I$2:$J$8,2,FALSE),0),
IF(AX775="K",VLOOKUP(L775,Foundation_Calc!$K$117:$R$151,VLOOKUP(AW775,Foundation_Calc!$I$2:$J$8,2,FALSE),0),"")))</f>
        <v/>
      </c>
      <c r="AZ775" s="10" t="str">
        <f>IF(K775="","",
IF(AX775="PT",VLOOKUP(K775,Foundation_Calc!$K$79:$R$113,VLOOKUP(AW775,Foundation_Calc!$I$2:$J$8,2,FALSE),0),
IF(AX775="K",VLOOKUP(K775,Foundation_Calc!$K$117:$R$151,VLOOKUP(AW775,Foundation_Calc!$I$2:$J$8,2,FALSE),0),"")))</f>
        <v/>
      </c>
      <c r="BA775" s="495" t="str">
        <f t="shared" si="99"/>
        <v/>
      </c>
      <c r="BB775" s="495" t="str">
        <f t="shared" si="100"/>
        <v/>
      </c>
      <c r="BC775" s="495" t="str">
        <f t="shared" si="101"/>
        <v/>
      </c>
      <c r="BD775" s="513" t="str">
        <f>IF(AND(L775="",H775=""),"",
IF(H775="",Pole_Calc!A$9,
IF(H775="MP",Pole_Calc!A$10,
IF(H775="AnMP",Pole_Calc!A$11,
IF(H775="A",Pole_Calc!A$12,
IF(H775="S/A",Pole_Calc!A$13,
IF(H775="A/S",Pole_Calc!A$14,"Poner a mano")))))))</f>
        <v/>
      </c>
      <c r="BE775" s="429" t="s">
        <v>118</v>
      </c>
      <c r="BF775" s="290"/>
      <c r="BG775" s="290"/>
      <c r="BH775" s="290"/>
      <c r="BI775" s="290"/>
    </row>
    <row r="776" spans="1:61" ht="15.75" customHeight="1">
      <c r="A776" s="514"/>
      <c r="B776" s="450" t="s">
        <v>1337</v>
      </c>
      <c r="C776" s="3">
        <f>+$C$774+$G$775</f>
        <v>48748.880000000012</v>
      </c>
      <c r="D776" s="83"/>
      <c r="E776" s="4"/>
      <c r="F776" s="4">
        <v>0</v>
      </c>
      <c r="G776" s="6"/>
      <c r="H776" s="449"/>
      <c r="I776" s="4"/>
      <c r="J776" s="3"/>
      <c r="K776" s="449"/>
      <c r="L776" s="449" t="s">
        <v>153</v>
      </c>
      <c r="M776" s="449" t="str">
        <f>IF(L776="","",
IF(AX776="PT",VLOOKUP(L776,Foundation_Calc!$V$79:$X$113,VLOOKUP(AX776,Foundation_Calc!$I$10:$J$13,2,FALSE),0),
IF(AX776="K",VLOOKUP(L776,Foundation_Calc!$V$117:$X$151,VLOOKUP(AX776,Foundation_Calc!$I$10:$J$13,2,FALSE),0),"")))</f>
        <v>C3RT</v>
      </c>
      <c r="N776" s="449" t="s">
        <v>134</v>
      </c>
      <c r="O776" s="449"/>
      <c r="P776" s="449"/>
      <c r="Q776" s="4"/>
      <c r="R776" s="6"/>
      <c r="S776" s="6"/>
      <c r="T776" s="4">
        <v>35</v>
      </c>
      <c r="U776" s="4"/>
      <c r="V776" s="4"/>
      <c r="W776" s="9">
        <v>1.4</v>
      </c>
      <c r="X776" s="9"/>
      <c r="Y776" s="9"/>
      <c r="Z776" s="9"/>
      <c r="AA776" s="9"/>
      <c r="AB776" s="9"/>
      <c r="AC776" s="449" t="str">
        <f t="shared" si="98"/>
        <v>PH</v>
      </c>
      <c r="AD776" s="449"/>
      <c r="AE776" s="449"/>
      <c r="AF776" s="4"/>
      <c r="AG776" s="83"/>
      <c r="AH776" s="4"/>
      <c r="AI776" s="4"/>
      <c r="AJ776" s="449"/>
      <c r="AK776" s="449"/>
      <c r="AL776" s="449"/>
      <c r="AM776" s="449" t="s">
        <v>552</v>
      </c>
      <c r="AN776" s="10">
        <v>5.5</v>
      </c>
      <c r="AO776" s="9"/>
      <c r="AP776" s="9"/>
      <c r="AQ776" s="9"/>
      <c r="AR776" s="9"/>
      <c r="AS776" s="9"/>
      <c r="AT776" s="9">
        <f>+ab($T$776,$T$774,$T$778,$G$775,$G$777, 1*$F$776,1200)</f>
        <v>8.0136067828638335</v>
      </c>
      <c r="AU776" s="428"/>
      <c r="AV776" s="428"/>
      <c r="AW776" s="449" t="str">
        <f>IF(C776&gt;0,VLOOKUP(C776,Foundation_Calc!$A$2:$C$13,3,1),
IF(J776&gt;0,VLOOKUP(J776,Foundation_Calc!$A$2:$C$13,3,1),""))</f>
        <v>Multi Soil</v>
      </c>
      <c r="AX776" s="449" t="str">
        <f>IF(C776&gt;0,VLOOKUP(C776,Foundation_Calc!$E$35:$G$65,3,1),
IF(J776&gt;0,VLOOKUP(J776,Foundation_Calc!$E$35:$G$65,3,1),""))</f>
        <v>K</v>
      </c>
      <c r="AY776" s="10">
        <f>IF(L776="","",
IF(AX776="PT",VLOOKUP(L776,Foundation_Calc!$K$79:$R$113,VLOOKUP(AW776,Foundation_Calc!$I$2:$J$8,2,FALSE),0),
IF(AX776="K",VLOOKUP(L776,Foundation_Calc!$K$117:$R$151,VLOOKUP(AW776,Foundation_Calc!$I$2:$J$8,2,FALSE),0),"")))</f>
        <v>4</v>
      </c>
      <c r="AZ776" s="10" t="str">
        <f>IF(K776="","",
IF(AX776="PT",VLOOKUP(K776,Foundation_Calc!$K$79:$R$113,VLOOKUP(AW776,Foundation_Calc!$I$2:$J$8,2,FALSE),0),
IF(AX776="K",VLOOKUP(K776,Foundation_Calc!$K$117:$R$151,VLOOKUP(AW776,Foundation_Calc!$I$2:$J$8,2,FALSE),0),"")))</f>
        <v/>
      </c>
      <c r="BA776" s="495" t="str">
        <f t="shared" si="99"/>
        <v>ü</v>
      </c>
      <c r="BB776" s="495" t="str">
        <f t="shared" si="100"/>
        <v/>
      </c>
      <c r="BC776" s="495" t="str">
        <f t="shared" si="101"/>
        <v/>
      </c>
      <c r="BD776" s="513" t="str">
        <f>IF(AND(L776="",H776=""),"",
IF(H776="",Pole_Calc!A$9,
IF(H776="MP",Pole_Calc!A$10,
IF(H776="AnMP",Pole_Calc!A$11,
IF(H776="A",Pole_Calc!A$12,
IF(H776="S/A",Pole_Calc!A$13,
IF(H776="A/S",Pole_Calc!A$14,"Poner a mano")))))))</f>
        <v>App.7-V11I-P9.5.1.1</v>
      </c>
      <c r="BE776" s="429" t="s">
        <v>118</v>
      </c>
      <c r="BF776" s="289"/>
      <c r="BG776" s="289"/>
      <c r="BH776" s="290"/>
      <c r="BI776" s="289"/>
    </row>
    <row r="777" spans="1:61" ht="15.75" customHeight="1">
      <c r="A777" s="514"/>
      <c r="B777" s="450"/>
      <c r="C777" s="3"/>
      <c r="D777" s="83"/>
      <c r="E777" s="4"/>
      <c r="F777" s="4"/>
      <c r="G777" s="6">
        <v>58.7</v>
      </c>
      <c r="H777" s="449"/>
      <c r="I777" s="4"/>
      <c r="J777" s="3">
        <f>C778-7.5</f>
        <v>48800.080000000009</v>
      </c>
      <c r="K777" s="449" t="s">
        <v>324</v>
      </c>
      <c r="L777" s="449"/>
      <c r="M777" s="449" t="str">
        <f>IF(L777="","",
IF(AX777="PT",VLOOKUP(L777,Foundation_Calc!$V$79:$X$113,VLOOKUP(AX777,Foundation_Calc!$I$10:$J$13,2,FALSE),0),
IF(AX777="K",VLOOKUP(L777,Foundation_Calc!$V$117:$X$151,VLOOKUP(AX777,Foundation_Calc!$I$10:$J$13,2,FALSE),0),"")))</f>
        <v/>
      </c>
      <c r="N777" s="449"/>
      <c r="O777" s="561"/>
      <c r="P777" s="449"/>
      <c r="Q777" s="4"/>
      <c r="R777" s="6"/>
      <c r="S777" s="6"/>
      <c r="T777" s="4"/>
      <c r="U777" s="4"/>
      <c r="V777" s="4"/>
      <c r="W777" s="9"/>
      <c r="X777" s="9"/>
      <c r="Y777" s="9"/>
      <c r="Z777" s="9"/>
      <c r="AA777" s="9"/>
      <c r="AB777" s="9"/>
      <c r="AC777" s="449" t="str">
        <f t="shared" si="98"/>
        <v/>
      </c>
      <c r="AD777" s="449"/>
      <c r="AE777" s="449"/>
      <c r="AF777" s="4"/>
      <c r="AG777" s="83"/>
      <c r="AH777" s="4"/>
      <c r="AI777" s="4"/>
      <c r="AJ777" s="449"/>
      <c r="AK777" s="449"/>
      <c r="AL777" s="449"/>
      <c r="AM777" s="449"/>
      <c r="AN777" s="10"/>
      <c r="AO777" s="9"/>
      <c r="AP777" s="9"/>
      <c r="AQ777" s="9">
        <f>+FL_2($T$778,$T$776,$G$777,1200,9.28, 1*$F$778)</f>
        <v>-0.42502731539579786</v>
      </c>
      <c r="AR777" s="9"/>
      <c r="AS777" s="9"/>
      <c r="AT777" s="9"/>
      <c r="AU777" s="428"/>
      <c r="AV777" s="428"/>
      <c r="AW777" s="449" t="str">
        <f>IF(C777&gt;0,VLOOKUP(C777,Foundation_Calc!$A$2:$C$13,3,1),
IF(J777&gt;0,VLOOKUP(J777,Foundation_Calc!$A$2:$C$13,3,1),""))</f>
        <v>Multi Soil</v>
      </c>
      <c r="AX777" s="449" t="str">
        <f>IF(C777&gt;0,VLOOKUP(C777,Foundation_Calc!$E$35:$G$65,3,1),
IF(J777&gt;0,VLOOKUP(J777,Foundation_Calc!$E$35:$G$65,3,1),""))</f>
        <v>K</v>
      </c>
      <c r="AY777" s="10" t="str">
        <f>IF(L777="","",
IF(AX777="PT",VLOOKUP(L777,Foundation_Calc!$K$79:$R$113,VLOOKUP(AW777,Foundation_Calc!$I$2:$J$8,2,FALSE),0),
IF(AX777="K",VLOOKUP(L777,Foundation_Calc!$K$117:$R$151,VLOOKUP(AW777,Foundation_Calc!$I$2:$J$8,2,FALSE),0),"")))</f>
        <v/>
      </c>
      <c r="AZ777" s="10">
        <f>IF(K777="","",
IF(AX777="PT",VLOOKUP(K777,Foundation_Calc!$K$79:$R$113,VLOOKUP(AW777,Foundation_Calc!$I$2:$J$8,2,FALSE),0),
IF(AX777="K",VLOOKUP(K777,Foundation_Calc!$K$117:$R$151,VLOOKUP(AW777,Foundation_Calc!$I$2:$J$8,2,FALSE),0),"")))</f>
        <v>2.8</v>
      </c>
      <c r="BA777" s="495" t="str">
        <f t="shared" si="99"/>
        <v/>
      </c>
      <c r="BB777" s="495" t="str">
        <f t="shared" si="100"/>
        <v>ü</v>
      </c>
      <c r="BC777" s="495" t="str">
        <f t="shared" si="101"/>
        <v/>
      </c>
      <c r="BD777" s="513" t="str">
        <f>IF(AND(L777="",H777=""),"",
IF(H777="",Pole_Calc!A$9,
IF(H777="MP",Pole_Calc!A$10,
IF(H777="AnMP",Pole_Calc!A$11,
IF(H777="A",Pole_Calc!A$12,
IF(H777="S/A",Pole_Calc!A$13,
IF(H777="A/S",Pole_Calc!A$14,"Poner a mano")))))))</f>
        <v/>
      </c>
      <c r="BE777" s="429" t="s">
        <v>118</v>
      </c>
      <c r="BF777" s="290"/>
      <c r="BG777" s="290"/>
      <c r="BH777" s="290"/>
      <c r="BI777" s="290"/>
    </row>
    <row r="778" spans="1:61" ht="15.75" customHeight="1">
      <c r="A778" s="514"/>
      <c r="B778" s="450" t="s">
        <v>1338</v>
      </c>
      <c r="C778" s="3">
        <f>+$C$776+$G$777</f>
        <v>48807.580000000009</v>
      </c>
      <c r="D778" s="83"/>
      <c r="E778" s="4"/>
      <c r="F778" s="4">
        <v>0</v>
      </c>
      <c r="G778" s="6"/>
      <c r="H778" s="449" t="s">
        <v>168</v>
      </c>
      <c r="I778" s="4"/>
      <c r="J778" s="3"/>
      <c r="K778" s="449"/>
      <c r="L778" s="449" t="s">
        <v>158</v>
      </c>
      <c r="M778" s="449" t="str">
        <f>IF(L778="","",
IF(AX778="PT",VLOOKUP(L778,Foundation_Calc!$V$79:$X$113,VLOOKUP(AX778,Foundation_Calc!$I$10:$J$13,2,FALSE),0),
IF(AX778="K",VLOOKUP(L778,Foundation_Calc!$V$117:$X$151,VLOOKUP(AX778,Foundation_Calc!$I$10:$J$13,2,FALSE),0),"")))</f>
        <v>C4RT</v>
      </c>
      <c r="N778" s="449" t="s">
        <v>124</v>
      </c>
      <c r="O778" s="449"/>
      <c r="P778" s="449"/>
      <c r="Q778" s="4"/>
      <c r="R778" s="6"/>
      <c r="S778" s="6"/>
      <c r="T778" s="4">
        <v>-35</v>
      </c>
      <c r="U778" s="4"/>
      <c r="V778" s="4"/>
      <c r="W778" s="9">
        <v>1.4</v>
      </c>
      <c r="X778" s="9"/>
      <c r="Y778" s="9"/>
      <c r="Z778" s="9"/>
      <c r="AA778" s="9"/>
      <c r="AB778" s="9"/>
      <c r="AC778" s="449" t="str">
        <f t="shared" si="98"/>
        <v>PH</v>
      </c>
      <c r="AD778" s="449"/>
      <c r="AE778" s="449"/>
      <c r="AF778" s="4"/>
      <c r="AG778" s="83"/>
      <c r="AH778" s="4"/>
      <c r="AI778" s="4"/>
      <c r="AJ778" s="449"/>
      <c r="AK778" s="449"/>
      <c r="AL778" s="449"/>
      <c r="AM778" s="449" t="s">
        <v>552</v>
      </c>
      <c r="AN778" s="10">
        <v>5.5</v>
      </c>
      <c r="AO778" s="9"/>
      <c r="AP778" s="9"/>
      <c r="AQ778" s="9"/>
      <c r="AR778" s="9"/>
      <c r="AS778" s="9"/>
      <c r="AT778" s="9">
        <f>+ab($T$778,$T$776,$T$780,$G$777,$G$779, 1*$F$778,1200)</f>
        <v>-8.079931349243644</v>
      </c>
      <c r="AU778" s="428"/>
      <c r="AV778" s="428"/>
      <c r="AW778" s="449" t="str">
        <f>IF(C778&gt;0,VLOOKUP(C778,Foundation_Calc!$A$2:$C$13,3,1),
IF(J778&gt;0,VLOOKUP(J778,Foundation_Calc!$A$2:$C$13,3,1),""))</f>
        <v>Multi Soil</v>
      </c>
      <c r="AX778" s="449" t="str">
        <f>IF(C778&gt;0,VLOOKUP(C778,Foundation_Calc!$E$35:$G$65,3,1),
IF(J778&gt;0,VLOOKUP(J778,Foundation_Calc!$E$35:$G$65,3,1),""))</f>
        <v>K</v>
      </c>
      <c r="AY778" s="10">
        <f>IF(L778="","",
IF(AX778="PT",VLOOKUP(L778,Foundation_Calc!$K$79:$R$113,VLOOKUP(AW778,Foundation_Calc!$I$2:$J$8,2,FALSE),0),
IF(AX778="K",VLOOKUP(L778,Foundation_Calc!$K$117:$R$151,VLOOKUP(AW778,Foundation_Calc!$I$2:$J$8,2,FALSE),0),"")))</f>
        <v>4.2</v>
      </c>
      <c r="AZ778" s="10" t="str">
        <f>IF(K778="","",
IF(AX778="PT",VLOOKUP(K778,Foundation_Calc!$K$79:$R$113,VLOOKUP(AW778,Foundation_Calc!$I$2:$J$8,2,FALSE),0),
IF(AX778="K",VLOOKUP(K778,Foundation_Calc!$K$117:$R$151,VLOOKUP(AW778,Foundation_Calc!$I$2:$J$8,2,FALSE),0),"")))</f>
        <v/>
      </c>
      <c r="BA778" s="495" t="str">
        <f t="shared" si="99"/>
        <v>ü</v>
      </c>
      <c r="BB778" s="495" t="str">
        <f t="shared" si="100"/>
        <v/>
      </c>
      <c r="BC778" s="495" t="str">
        <f t="shared" si="101"/>
        <v/>
      </c>
      <c r="BD778" s="513" t="str">
        <f>IF(AND(L778="",H778=""),"",
IF(H778="",Pole_Calc!A$9,
IF(H778="MP",Pole_Calc!A$10,
IF(H778="AnMP",Pole_Calc!A$11,
IF(H778="A",Pole_Calc!A$12,
IF(H778="S/A",Pole_Calc!A$13,
IF(H778="A/S",Pole_Calc!A$14,"Poner a mano")))))))</f>
        <v>App.7-V11I-P9.5.1.3</v>
      </c>
      <c r="BE778" s="429" t="s">
        <v>118</v>
      </c>
      <c r="BF778" s="289"/>
      <c r="BG778" s="289"/>
      <c r="BH778" s="290"/>
      <c r="BI778" s="289"/>
    </row>
    <row r="779" spans="1:61" ht="15.75" customHeight="1">
      <c r="A779" s="514" t="s">
        <v>169</v>
      </c>
      <c r="B779" s="450"/>
      <c r="C779" s="3"/>
      <c r="D779" s="83"/>
      <c r="E779" s="4"/>
      <c r="F779" s="4"/>
      <c r="G779" s="6">
        <v>60</v>
      </c>
      <c r="H779" s="449"/>
      <c r="I779" s="4">
        <f>SUM(G767:G779)</f>
        <v>402.7</v>
      </c>
      <c r="J779" s="3"/>
      <c r="K779" s="449"/>
      <c r="L779" s="449"/>
      <c r="M779" s="449" t="str">
        <f>IF(L779="","",
IF(AX779="PT",VLOOKUP(L779,Foundation_Calc!$V$79:$X$113,VLOOKUP(AX779,Foundation_Calc!$I$10:$J$13,2,FALSE),0),
IF(AX779="K",VLOOKUP(L779,Foundation_Calc!$V$117:$X$151,VLOOKUP(AX779,Foundation_Calc!$I$10:$J$13,2,FALSE),0),"")))</f>
        <v/>
      </c>
      <c r="N779" s="449"/>
      <c r="O779" s="449"/>
      <c r="P779" s="449"/>
      <c r="Q779" s="4"/>
      <c r="R779" s="6"/>
      <c r="S779" s="6"/>
      <c r="T779" s="4"/>
      <c r="U779" s="4"/>
      <c r="V779" s="4"/>
      <c r="W779" s="9"/>
      <c r="X779" s="9"/>
      <c r="Y779" s="9"/>
      <c r="Z779" s="9"/>
      <c r="AA779" s="9"/>
      <c r="AB779" s="9"/>
      <c r="AC779" s="449" t="str">
        <f t="shared" si="98"/>
        <v/>
      </c>
      <c r="AD779" s="449"/>
      <c r="AE779" s="449"/>
      <c r="AF779" s="4"/>
      <c r="AG779" s="83"/>
      <c r="AH779" s="4"/>
      <c r="AI779" s="4"/>
      <c r="AJ779" s="449"/>
      <c r="AK779" s="449"/>
      <c r="AL779" s="449"/>
      <c r="AM779" s="449"/>
      <c r="AN779" s="10"/>
      <c r="AO779" s="9"/>
      <c r="AP779" s="9"/>
      <c r="AQ779" s="9">
        <f>+FL_1($T$780,$T$778,$G$779,1200,9.28, 1*$F$780)</f>
        <v>0.43600286799999999</v>
      </c>
      <c r="AR779" s="9"/>
      <c r="AS779" s="9"/>
      <c r="AT779" s="9"/>
      <c r="AU779" s="428"/>
      <c r="AV779" s="428"/>
      <c r="AW779" s="449" t="str">
        <f>IF(C779&gt;0,VLOOKUP(C779,Foundation_Calc!$A$2:$C$13,3,1),
IF(J779&gt;0,VLOOKUP(J779,Foundation_Calc!$A$2:$C$13,3,1),""))</f>
        <v/>
      </c>
      <c r="AX779" s="449" t="str">
        <f>IF(C779&gt;0,VLOOKUP(C779,Foundation_Calc!$E$35:$G$65,3,1),
IF(J779&gt;0,VLOOKUP(J779,Foundation_Calc!$E$35:$G$65,3,1),""))</f>
        <v/>
      </c>
      <c r="AY779" s="10" t="str">
        <f>IF(L779="","",
IF(AX779="PT",VLOOKUP(L779,Foundation_Calc!$K$79:$R$113,VLOOKUP(AW779,Foundation_Calc!$I$2:$J$8,2,FALSE),0),
IF(AX779="K",VLOOKUP(L779,Foundation_Calc!$K$117:$R$151,VLOOKUP(AW779,Foundation_Calc!$I$2:$J$8,2,FALSE),0),"")))</f>
        <v/>
      </c>
      <c r="AZ779" s="10" t="str">
        <f>IF(K779="","",
IF(AX779="PT",VLOOKUP(K779,Foundation_Calc!$K$79:$R$113,VLOOKUP(AW779,Foundation_Calc!$I$2:$J$8,2,FALSE),0),
IF(AX779="K",VLOOKUP(K779,Foundation_Calc!$K$117:$R$151,VLOOKUP(AW779,Foundation_Calc!$I$2:$J$8,2,FALSE),0),"")))</f>
        <v/>
      </c>
      <c r="BA779" s="495" t="str">
        <f t="shared" si="99"/>
        <v/>
      </c>
      <c r="BB779" s="495" t="str">
        <f t="shared" si="100"/>
        <v/>
      </c>
      <c r="BC779" s="495" t="str">
        <f t="shared" si="101"/>
        <v/>
      </c>
      <c r="BD779" s="513" t="str">
        <f>IF(AND(L779="",H779=""),"",
IF(H779="",Pole_Calc!A$9,
IF(H779="MP",Pole_Calc!A$10,
IF(H779="AnMP",Pole_Calc!A$11,
IF(H779="A",Pole_Calc!A$12,
IF(H779="S/A",Pole_Calc!A$13,
IF(H779="A/S",Pole_Calc!A$14,"Poner a mano")))))))</f>
        <v/>
      </c>
      <c r="BE779" s="429" t="s">
        <v>118</v>
      </c>
      <c r="BF779" s="290"/>
      <c r="BG779" s="290"/>
      <c r="BH779" s="290"/>
      <c r="BI779" s="290"/>
    </row>
    <row r="780" spans="1:61" ht="15.75" customHeight="1">
      <c r="A780" s="514"/>
      <c r="B780" s="450" t="s">
        <v>1339</v>
      </c>
      <c r="C780" s="3">
        <f>+$C$778+$G$779</f>
        <v>48867.580000000009</v>
      </c>
      <c r="D780" s="83"/>
      <c r="E780" s="4"/>
      <c r="F780" s="4">
        <v>0</v>
      </c>
      <c r="G780" s="6"/>
      <c r="H780" s="449" t="s">
        <v>171</v>
      </c>
      <c r="I780" s="4"/>
      <c r="J780" s="3"/>
      <c r="K780" s="449"/>
      <c r="L780" s="449" t="s">
        <v>153</v>
      </c>
      <c r="M780" s="449" t="s">
        <v>643</v>
      </c>
      <c r="N780" s="449" t="s">
        <v>134</v>
      </c>
      <c r="O780" s="449"/>
      <c r="P780" s="449"/>
      <c r="Q780" s="4"/>
      <c r="R780" s="6"/>
      <c r="S780" s="6"/>
      <c r="T780" s="4">
        <v>35</v>
      </c>
      <c r="U780" s="4"/>
      <c r="V780" s="4"/>
      <c r="W780" s="9">
        <v>1.4</v>
      </c>
      <c r="X780" s="9"/>
      <c r="Y780" s="9"/>
      <c r="Z780" s="9"/>
      <c r="AA780" s="9"/>
      <c r="AB780" s="9"/>
      <c r="AC780" s="449" t="str">
        <f t="shared" si="98"/>
        <v>PH</v>
      </c>
      <c r="AD780" s="449"/>
      <c r="AE780" s="449"/>
      <c r="AF780" s="4"/>
      <c r="AG780" s="83"/>
      <c r="AH780" s="4"/>
      <c r="AI780" s="4"/>
      <c r="AJ780" s="449"/>
      <c r="AK780" s="449"/>
      <c r="AL780" s="449"/>
      <c r="AM780" s="449" t="s">
        <v>552</v>
      </c>
      <c r="AN780" s="10">
        <v>5.5</v>
      </c>
      <c r="AO780" s="9"/>
      <c r="AP780" s="9"/>
      <c r="AQ780" s="9"/>
      <c r="AR780" s="9"/>
      <c r="AS780" s="9"/>
      <c r="AT780" s="9">
        <f>+ab($T$780,$T$778,$T$782,$G$779,$G$781, 1*$F$780,1200)</f>
        <v>8.490212866137723</v>
      </c>
      <c r="AU780" s="428"/>
      <c r="AV780" s="428"/>
      <c r="AW780" s="449" t="str">
        <f>IF(C780&gt;0,VLOOKUP(C780,Foundation_Calc!$A$2:$C$13,3,1),
IF(J780&gt;0,VLOOKUP(J780,Foundation_Calc!$A$2:$C$13,3,1),""))</f>
        <v>Multi Soil</v>
      </c>
      <c r="AX780" s="449" t="str">
        <f>IF(C780&gt;0,VLOOKUP(C780,Foundation_Calc!$E$35:$G$65,3,1),
IF(J780&gt;0,VLOOKUP(J780,Foundation_Calc!$E$35:$G$65,3,1),""))</f>
        <v>K</v>
      </c>
      <c r="AY780" s="10">
        <v>3.5</v>
      </c>
      <c r="AZ780" s="10" t="str">
        <f>IF(K780="","",
IF(AX780="PT",VLOOKUP(K780,Foundation_Calc!$K$79:$R$113,VLOOKUP(AW780,Foundation_Calc!$I$2:$J$8,2,FALSE),0),
IF(AX780="K",VLOOKUP(K780,Foundation_Calc!$K$117:$R$151,VLOOKUP(AW780,Foundation_Calc!$I$2:$J$8,2,FALSE),0),"")))</f>
        <v/>
      </c>
      <c r="BA780" s="495" t="str">
        <f t="shared" ref="BA780" si="102">IF(AY780="","",IF(AY780&gt;0,"ü",""))</f>
        <v>ü</v>
      </c>
      <c r="BB780" s="495" t="str">
        <f t="shared" ref="BB780" si="103">IF(AZ780="","",IF(AZ780&gt;0,"ü",""))</f>
        <v/>
      </c>
      <c r="BC780" s="495" t="str">
        <f t="shared" ref="BC780" si="104">IF(M780="","",IF(M780="U.S.","ü",IF(M780="U.S. N.D.","ü","")))</f>
        <v/>
      </c>
      <c r="BD780" s="513" t="str">
        <f>IF(AND(L780="",H780=""),"",
IF(H780="",Pole_Calc!A$9,
IF(H780="MP",Pole_Calc!A$10,
IF(H780="AnMP",Pole_Calc!A$11,
IF(H780="A",Pole_Calc!A$12,
IF(H780="S/A",Pole_Calc!A$13,
IF(H780="A/S",Pole_Calc!A$14,"Poner a mano")))))))</f>
        <v>App.7-V11I-P9.5.1.2</v>
      </c>
      <c r="BE780" s="429" t="s">
        <v>118</v>
      </c>
      <c r="BF780" s="289"/>
      <c r="BG780" s="289"/>
      <c r="BH780" s="290"/>
      <c r="BI780" s="289"/>
    </row>
    <row r="781" spans="1:61" ht="15.75" customHeight="1">
      <c r="A781" s="514" t="s">
        <v>644</v>
      </c>
      <c r="B781" s="450"/>
      <c r="C781" s="3"/>
      <c r="D781" s="83"/>
      <c r="E781" s="4"/>
      <c r="F781" s="4"/>
      <c r="G781" s="6">
        <v>65</v>
      </c>
      <c r="H781" s="449"/>
      <c r="I781" s="4">
        <f>SUM(G781:G795)-25</f>
        <v>410.5</v>
      </c>
      <c r="J781" s="3"/>
      <c r="K781" s="449"/>
      <c r="L781" s="449"/>
      <c r="M781" s="449" t="str">
        <f>IF(L781="","",
IF(AX781="PT",VLOOKUP(L781,Foundation_Calc!$V$79:$X$113,VLOOKUP(AX781,Foundation_Calc!$I$10:$J$13,2,FALSE),0),
IF(AX781="K",VLOOKUP(L781,Foundation_Calc!$V$117:$X$151,VLOOKUP(AX781,Foundation_Calc!$I$10:$J$13,2,FALSE),0),"")))</f>
        <v/>
      </c>
      <c r="N781" s="449"/>
      <c r="O781" s="449"/>
      <c r="P781" s="449"/>
      <c r="Q781" s="4"/>
      <c r="R781" s="6"/>
      <c r="S781" s="6"/>
      <c r="T781" s="4"/>
      <c r="U781" s="4"/>
      <c r="V781" s="4"/>
      <c r="W781" s="9"/>
      <c r="X781" s="9"/>
      <c r="Y781" s="9"/>
      <c r="Z781" s="9"/>
      <c r="AA781" s="9"/>
      <c r="AB781" s="9"/>
      <c r="AC781" s="449" t="str">
        <f t="shared" si="98"/>
        <v/>
      </c>
      <c r="AD781" s="449"/>
      <c r="AE781" s="449"/>
      <c r="AF781" s="4"/>
      <c r="AG781" s="83"/>
      <c r="AH781" s="4"/>
      <c r="AI781" s="4"/>
      <c r="AJ781" s="449"/>
      <c r="AK781" s="449"/>
      <c r="AL781" s="449"/>
      <c r="AM781" s="449"/>
      <c r="AN781" s="10"/>
      <c r="AO781" s="9"/>
      <c r="AP781" s="9"/>
      <c r="AQ781" s="9">
        <f>+FL_1($T$782,$T$780,$G$781,1200,9.28, 1*$F$782)</f>
        <v>0.48340135661538447</v>
      </c>
      <c r="AR781" s="9"/>
      <c r="AS781" s="9"/>
      <c r="AT781" s="9"/>
      <c r="AU781" s="428"/>
      <c r="AV781" s="428"/>
      <c r="AW781" s="449"/>
      <c r="AX781" s="449"/>
      <c r="AY781" s="10" t="str">
        <f>IF(L781="","",
IF(AX781="PT",VLOOKUP(L781,Foundation_Calc!$K$79:$R$113,VLOOKUP(AW781,Foundation_Calc!$I$2:$J$8,2,FALSE),0),
IF(AX781="K",VLOOKUP(L781,Foundation_Calc!$K$117:$R$151,VLOOKUP(AW781,Foundation_Calc!$I$2:$J$8,2,FALSE),0),"")))</f>
        <v/>
      </c>
      <c r="AZ781" s="10" t="str">
        <f>IF(K781="","",
IF(AX781="PT",VLOOKUP(K781,Foundation_Calc!$K$79:$R$113,VLOOKUP(AW781,Foundation_Calc!$I$2:$J$8,2,FALSE),0),
IF(AX781="K",VLOOKUP(K781,Foundation_Calc!$K$117:$R$151,VLOOKUP(AW781,Foundation_Calc!$I$2:$J$8,2,FALSE),0),"")))</f>
        <v/>
      </c>
      <c r="BA781" s="495" t="str">
        <f t="shared" si="99"/>
        <v/>
      </c>
      <c r="BB781" s="495" t="str">
        <f t="shared" si="100"/>
        <v/>
      </c>
      <c r="BC781" s="495" t="str">
        <f t="shared" si="101"/>
        <v/>
      </c>
      <c r="BD781" s="513" t="str">
        <f>IF(AND(L781="",H781=""),"",
IF(H781="",Pole_Calc!A$9,
IF(H781="MP",Pole_Calc!A$10,
IF(H781="AnMP",Pole_Calc!A$11,
IF(H781="A",Pole_Calc!A$12,
IF(H781="S/A",Pole_Calc!A$13,
IF(H781="A/S",Pole_Calc!A$14,"Poner a mano")))))))</f>
        <v/>
      </c>
      <c r="BE781" s="429" t="s">
        <v>118</v>
      </c>
      <c r="BF781" s="290"/>
      <c r="BG781" s="290"/>
      <c r="BH781" s="290"/>
      <c r="BI781" s="290"/>
    </row>
    <row r="782" spans="1:61" ht="15.75" customHeight="1">
      <c r="A782" s="515"/>
      <c r="B782" s="450" t="s">
        <v>1340</v>
      </c>
      <c r="C782" s="3">
        <f>+$C$780+$G$781</f>
        <v>48932.580000000009</v>
      </c>
      <c r="D782" s="83"/>
      <c r="E782" s="4"/>
      <c r="F782" s="4">
        <v>0</v>
      </c>
      <c r="G782" s="6"/>
      <c r="H782" s="449" t="s">
        <v>168</v>
      </c>
      <c r="I782" s="4"/>
      <c r="J782" s="3"/>
      <c r="K782" s="449"/>
      <c r="L782" s="449" t="s">
        <v>158</v>
      </c>
      <c r="M782" s="449" t="s">
        <v>646</v>
      </c>
      <c r="N782" s="449" t="s">
        <v>124</v>
      </c>
      <c r="O782" s="449"/>
      <c r="P782" s="449"/>
      <c r="Q782" s="4"/>
      <c r="R782" s="6"/>
      <c r="S782" s="6"/>
      <c r="T782" s="4">
        <v>-35</v>
      </c>
      <c r="U782" s="4"/>
      <c r="V782" s="4"/>
      <c r="W782" s="9">
        <v>1.4</v>
      </c>
      <c r="X782" s="9"/>
      <c r="Y782" s="9"/>
      <c r="Z782" s="9"/>
      <c r="AA782" s="9"/>
      <c r="AB782" s="9"/>
      <c r="AC782" s="449" t="str">
        <f t="shared" si="98"/>
        <v>PH</v>
      </c>
      <c r="AD782" s="449"/>
      <c r="AE782" s="449"/>
      <c r="AF782" s="4"/>
      <c r="AG782" s="83"/>
      <c r="AH782" s="4"/>
      <c r="AI782" s="4"/>
      <c r="AJ782" s="449"/>
      <c r="AK782" s="449"/>
      <c r="AL782" s="449"/>
      <c r="AM782" s="449" t="s">
        <v>552</v>
      </c>
      <c r="AN782" s="10">
        <v>5.5</v>
      </c>
      <c r="AO782" s="9"/>
      <c r="AP782" s="9"/>
      <c r="AQ782" s="9"/>
      <c r="AR782" s="9"/>
      <c r="AS782" s="9"/>
      <c r="AT782" s="9">
        <f>+ab($T$782,$T$780,$T$784,$G$781,$G$783, 1*$F$782,1200)</f>
        <v>-8.5977048702308849</v>
      </c>
      <c r="AU782" s="428"/>
      <c r="AV782" s="428"/>
      <c r="AW782" s="449" t="str">
        <f>IF(C782&gt;0,VLOOKUP(C782,Foundation_Calc!$A$2:$C$13,3,1),
IF(J782&gt;0,VLOOKUP(J782,Foundation_Calc!$A$2:$C$13,3,1),""))</f>
        <v>Multi Soil</v>
      </c>
      <c r="AX782" s="449" t="str">
        <f>IF(C782&gt;0,VLOOKUP(C782,Foundation_Calc!$E$35:$G$65,3,1),
IF(J782&gt;0,VLOOKUP(J782,Foundation_Calc!$E$35:$G$65,3,1),""))</f>
        <v>K</v>
      </c>
      <c r="AY782" s="10">
        <v>3.5</v>
      </c>
      <c r="AZ782" s="10" t="str">
        <f>IF(K782="","",
IF(AX782="PT",VLOOKUP(K782,Foundation_Calc!$K$79:$R$113,VLOOKUP(AW782,Foundation_Calc!$I$2:$J$8,2,FALSE),0),
IF(AX782="K",VLOOKUP(K782,Foundation_Calc!$K$117:$R$151,VLOOKUP(AW782,Foundation_Calc!$I$2:$J$8,2,FALSE),0),"")))</f>
        <v/>
      </c>
      <c r="BA782" s="495" t="str">
        <f t="shared" ref="BA782" si="105">IF(AY782="","",IF(AY782&gt;0,"ü",""))</f>
        <v>ü</v>
      </c>
      <c r="BB782" s="495" t="str">
        <f t="shared" ref="BB782" si="106">IF(AZ782="","",IF(AZ782&gt;0,"ü",""))</f>
        <v/>
      </c>
      <c r="BC782" s="495" t="str">
        <f t="shared" ref="BC782" si="107">IF(M782="","",IF(M782="U.S.","ü",IF(M782="U.S. N.D.","ü","")))</f>
        <v/>
      </c>
      <c r="BD782" s="513" t="str">
        <f>IF(AND(L782="",H782=""),"",
IF(H782="",Pole_Calc!A$9,
IF(H782="MP",Pole_Calc!A$10,
IF(H782="AnMP",Pole_Calc!A$11,
IF(H782="A",Pole_Calc!A$12,
IF(H782="S/A",Pole_Calc!A$13,
IF(H782="A/S",Pole_Calc!A$14,"Poner a mano")))))))</f>
        <v>App.7-V11I-P9.5.1.3</v>
      </c>
      <c r="BE782" s="429" t="s">
        <v>118</v>
      </c>
      <c r="BF782" s="289"/>
      <c r="BG782" s="289"/>
      <c r="BH782" s="290"/>
      <c r="BI782" s="289"/>
    </row>
    <row r="783" spans="1:61" ht="15.75" customHeight="1">
      <c r="A783" s="514"/>
      <c r="B783" s="450"/>
      <c r="C783" s="3"/>
      <c r="D783" s="83"/>
      <c r="E783" s="4"/>
      <c r="F783" s="4"/>
      <c r="G783" s="6">
        <v>61.5</v>
      </c>
      <c r="H783" s="449"/>
      <c r="I783" s="4"/>
      <c r="J783" s="3">
        <f>C782+7.5</f>
        <v>48940.080000000009</v>
      </c>
      <c r="K783" s="449" t="s">
        <v>324</v>
      </c>
      <c r="L783" s="449"/>
      <c r="M783" s="449" t="str">
        <f>IF(L783="","",
IF(AX783="PT",VLOOKUP(L783,Foundation_Calc!$V$79:$X$113,VLOOKUP(AX783,Foundation_Calc!$I$10:$J$13,2,FALSE),0),
IF(AX783="K",VLOOKUP(L783,Foundation_Calc!$V$117:$X$151,VLOOKUP(AX783,Foundation_Calc!$I$10:$J$13,2,FALSE),0),"")))</f>
        <v/>
      </c>
      <c r="N783" s="449"/>
      <c r="O783" s="561"/>
      <c r="P783" s="449"/>
      <c r="Q783" s="4"/>
      <c r="R783" s="6"/>
      <c r="S783" s="6"/>
      <c r="T783" s="4"/>
      <c r="U783" s="4"/>
      <c r="V783" s="4"/>
      <c r="W783" s="9"/>
      <c r="X783" s="9"/>
      <c r="Y783" s="9"/>
      <c r="Z783" s="9"/>
      <c r="AA783" s="9"/>
      <c r="AB783" s="9"/>
      <c r="AC783" s="449" t="str">
        <f t="shared" si="98"/>
        <v/>
      </c>
      <c r="AD783" s="449"/>
      <c r="AE783" s="449"/>
      <c r="AF783" s="4"/>
      <c r="AG783" s="83"/>
      <c r="AH783" s="4"/>
      <c r="AI783" s="4"/>
      <c r="AJ783" s="449"/>
      <c r="AK783" s="449"/>
      <c r="AL783" s="449"/>
      <c r="AM783" s="449"/>
      <c r="AN783" s="10"/>
      <c r="AO783" s="9"/>
      <c r="AP783" s="9"/>
      <c r="AQ783" s="9">
        <f>+FL_2($T$784,$T$782,$G$783,1200,9.28, 1*$F$784)</f>
        <v>-0.44937990078048784</v>
      </c>
      <c r="AR783" s="9"/>
      <c r="AS783" s="9"/>
      <c r="AT783" s="9"/>
      <c r="AU783" s="428"/>
      <c r="AV783" s="428"/>
      <c r="AW783" s="449" t="str">
        <f>IF(C783&gt;0,VLOOKUP(C783,Foundation_Calc!$A$2:$C$13,3,1),
IF(J783&gt;0,VLOOKUP(J783,Foundation_Calc!$A$2:$C$13,3,1),""))</f>
        <v>Multi Soil</v>
      </c>
      <c r="AX783" s="449" t="str">
        <f>IF(C783&gt;0,VLOOKUP(C783,Foundation_Calc!$E$35:$G$65,3,1),
IF(J783&gt;0,VLOOKUP(J783,Foundation_Calc!$E$35:$G$65,3,1),""))</f>
        <v>K</v>
      </c>
      <c r="AY783" s="10" t="str">
        <f>IF(L783="","",
IF(AX783="PT",VLOOKUP(L783,Foundation_Calc!$K$79:$R$113,VLOOKUP(AW783,Foundation_Calc!$I$2:$J$8,2,FALSE),0),
IF(AX783="K",VLOOKUP(L783,Foundation_Calc!$K$117:$R$151,VLOOKUP(AW783,Foundation_Calc!$I$2:$J$8,2,FALSE),0),"")))</f>
        <v/>
      </c>
      <c r="AZ783" s="10">
        <f>IF(K783="","",
IF(AX783="PT",VLOOKUP(K783,Foundation_Calc!$K$79:$R$113,VLOOKUP(AW783,Foundation_Calc!$I$2:$J$8,2,FALSE),0),
IF(AX783="K",VLOOKUP(K783,Foundation_Calc!$K$117:$R$151,VLOOKUP(AW783,Foundation_Calc!$I$2:$J$8,2,FALSE),0),"")))</f>
        <v>2.8</v>
      </c>
      <c r="BA783" s="495" t="str">
        <f t="shared" si="99"/>
        <v/>
      </c>
      <c r="BB783" s="495" t="str">
        <f t="shared" si="100"/>
        <v>ü</v>
      </c>
      <c r="BC783" s="495" t="str">
        <f t="shared" si="101"/>
        <v/>
      </c>
      <c r="BD783" s="513" t="str">
        <f>IF(AND(L783="",H783=""),"",
IF(H783="",Pole_Calc!A$9,
IF(H783="MP",Pole_Calc!A$10,
IF(H783="AnMP",Pole_Calc!A$11,
IF(H783="A",Pole_Calc!A$12,
IF(H783="S/A",Pole_Calc!A$13,
IF(H783="A/S",Pole_Calc!A$14,"Poner a mano")))))))</f>
        <v/>
      </c>
      <c r="BE783" s="429" t="s">
        <v>118</v>
      </c>
      <c r="BF783" s="290"/>
      <c r="BG783" s="290"/>
      <c r="BH783" s="290"/>
      <c r="BI783" s="290"/>
    </row>
    <row r="784" spans="1:61" ht="15.75" customHeight="1">
      <c r="A784" s="514"/>
      <c r="B784" s="450" t="s">
        <v>1341</v>
      </c>
      <c r="C784" s="3">
        <f>+$C$782+$G$783</f>
        <v>48994.080000000009</v>
      </c>
      <c r="D784" s="83"/>
      <c r="E784" s="4"/>
      <c r="F784" s="4">
        <v>0</v>
      </c>
      <c r="G784" s="6"/>
      <c r="H784" s="449"/>
      <c r="I784" s="4"/>
      <c r="J784" s="3"/>
      <c r="K784" s="449"/>
      <c r="L784" s="449" t="s">
        <v>153</v>
      </c>
      <c r="M784" s="449" t="str">
        <f>IF(L784="","",
IF(AX784="PT",VLOOKUP(L784,Foundation_Calc!$V$79:$X$113,VLOOKUP(AX784,Foundation_Calc!$I$10:$J$13,2,FALSE),0),
IF(AX784="K",VLOOKUP(L784,Foundation_Calc!$V$117:$X$151,VLOOKUP(AX784,Foundation_Calc!$I$10:$J$13,2,FALSE),0),"")))</f>
        <v>C3RT</v>
      </c>
      <c r="N784" s="449" t="s">
        <v>134</v>
      </c>
      <c r="O784" s="449"/>
      <c r="P784" s="449"/>
      <c r="Q784" s="4"/>
      <c r="R784" s="6"/>
      <c r="S784" s="6"/>
      <c r="T784" s="4">
        <v>35</v>
      </c>
      <c r="U784" s="4"/>
      <c r="V784" s="4"/>
      <c r="W784" s="9">
        <v>1.4</v>
      </c>
      <c r="X784" s="9"/>
      <c r="Y784" s="9"/>
      <c r="Z784" s="9"/>
      <c r="AA784" s="9"/>
      <c r="AB784" s="9"/>
      <c r="AC784" s="449" t="str">
        <f t="shared" si="98"/>
        <v>PH</v>
      </c>
      <c r="AD784" s="449"/>
      <c r="AE784" s="449"/>
      <c r="AF784" s="4"/>
      <c r="AG784" s="83"/>
      <c r="AH784" s="4"/>
      <c r="AI784" s="4"/>
      <c r="AJ784" s="449"/>
      <c r="AK784" s="449"/>
      <c r="AL784" s="449"/>
      <c r="AM784" s="449" t="s">
        <v>552</v>
      </c>
      <c r="AN784" s="10">
        <v>5.5</v>
      </c>
      <c r="AO784" s="9"/>
      <c r="AP784" s="9"/>
      <c r="AQ784" s="9"/>
      <c r="AR784" s="9"/>
      <c r="AS784" s="9"/>
      <c r="AT784" s="9">
        <f>+ab($T$784,$T$782,$T$786,$G$783,$G$785, 1*$F$784,1200)</f>
        <v>8.3358254356818833</v>
      </c>
      <c r="AU784" s="428"/>
      <c r="AV784" s="428"/>
      <c r="AW784" s="449" t="str">
        <f>IF(C784&gt;0,VLOOKUP(C784,Foundation_Calc!$A$2:$C$13,3,1),
IF(J784&gt;0,VLOOKUP(J784,Foundation_Calc!$A$2:$C$13,3,1),""))</f>
        <v>Multi Soil</v>
      </c>
      <c r="AX784" s="449" t="str">
        <f>IF(C784&gt;0,VLOOKUP(C784,Foundation_Calc!$E$35:$G$65,3,1),
IF(J784&gt;0,VLOOKUP(J784,Foundation_Calc!$E$35:$G$65,3,1),""))</f>
        <v>K</v>
      </c>
      <c r="AY784" s="10">
        <f>IF(L784="","",
IF(AX784="PT",VLOOKUP(L784,Foundation_Calc!$K$79:$R$113,VLOOKUP(AW784,Foundation_Calc!$I$2:$J$8,2,FALSE),0),
IF(AX784="K",VLOOKUP(L784,Foundation_Calc!$K$117:$R$151,VLOOKUP(AW784,Foundation_Calc!$I$2:$J$8,2,FALSE),0),"")))</f>
        <v>4</v>
      </c>
      <c r="AZ784" s="10" t="str">
        <f>IF(K784="","",
IF(AX784="PT",VLOOKUP(K784,Foundation_Calc!$K$79:$R$113,VLOOKUP(AW784,Foundation_Calc!$I$2:$J$8,2,FALSE),0),
IF(AX784="K",VLOOKUP(K784,Foundation_Calc!$K$117:$R$151,VLOOKUP(AW784,Foundation_Calc!$I$2:$J$8,2,FALSE),0),"")))</f>
        <v/>
      </c>
      <c r="BA784" s="495" t="str">
        <f t="shared" si="99"/>
        <v>ü</v>
      </c>
      <c r="BB784" s="495" t="str">
        <f t="shared" si="100"/>
        <v/>
      </c>
      <c r="BC784" s="495" t="str">
        <f t="shared" si="101"/>
        <v/>
      </c>
      <c r="BD784" s="513" t="str">
        <f>IF(AND(L784="",H784=""),"",
IF(H784="",Pole_Calc!A$9,
IF(H784="MP",Pole_Calc!A$10,
IF(H784="AnMP",Pole_Calc!A$11,
IF(H784="A",Pole_Calc!A$12,
IF(H784="S/A",Pole_Calc!A$13,
IF(H784="A/S",Pole_Calc!A$14,"Poner a mano")))))))</f>
        <v>App.7-V11I-P9.5.1.1</v>
      </c>
      <c r="BE784" s="429" t="s">
        <v>118</v>
      </c>
      <c r="BF784" s="289"/>
      <c r="BG784" s="289"/>
      <c r="BH784" s="290"/>
      <c r="BI784" s="289"/>
    </row>
    <row r="785" spans="1:61" ht="15.75" customHeight="1">
      <c r="A785" s="514" t="s">
        <v>169</v>
      </c>
      <c r="B785" s="450"/>
      <c r="C785" s="3"/>
      <c r="D785" s="83"/>
      <c r="E785" s="4"/>
      <c r="F785" s="4"/>
      <c r="G785" s="6">
        <v>61</v>
      </c>
      <c r="H785" s="449"/>
      <c r="I785" s="4"/>
      <c r="J785" s="3"/>
      <c r="K785" s="449"/>
      <c r="L785" s="449"/>
      <c r="M785" s="449" t="str">
        <f>IF(L785="","",
IF(AX785="PT",VLOOKUP(L785,Foundation_Calc!$V$79:$X$113,VLOOKUP(AX785,Foundation_Calc!$I$10:$J$13,2,FALSE),0),
IF(AX785="K",VLOOKUP(L785,Foundation_Calc!$V$117:$X$151,VLOOKUP(AX785,Foundation_Calc!$I$10:$J$13,2,FALSE),0),"")))</f>
        <v/>
      </c>
      <c r="N785" s="449"/>
      <c r="O785" s="449"/>
      <c r="P785" s="449"/>
      <c r="Q785" s="4"/>
      <c r="R785" s="6"/>
      <c r="S785" s="6"/>
      <c r="T785" s="4"/>
      <c r="U785" s="4"/>
      <c r="V785" s="4"/>
      <c r="W785" s="9"/>
      <c r="X785" s="9"/>
      <c r="Y785" s="9"/>
      <c r="Z785" s="9"/>
      <c r="AA785" s="9"/>
      <c r="AB785" s="9"/>
      <c r="AC785" s="449" t="str">
        <f t="shared" si="98"/>
        <v/>
      </c>
      <c r="AD785" s="449"/>
      <c r="AE785" s="449"/>
      <c r="AF785" s="4"/>
      <c r="AG785" s="83"/>
      <c r="AH785" s="4"/>
      <c r="AI785" s="4"/>
      <c r="AJ785" s="449"/>
      <c r="AK785" s="449"/>
      <c r="AL785" s="449"/>
      <c r="AM785" s="449"/>
      <c r="AN785" s="10"/>
      <c r="AO785" s="9"/>
      <c r="AP785" s="9"/>
      <c r="AQ785" s="9">
        <f>+FL_1($T$786,$T$784,$G$785,1200,9.28, 1*$F$786)</f>
        <v>0.44483784996721309</v>
      </c>
      <c r="AR785" s="9"/>
      <c r="AS785" s="9"/>
      <c r="AT785" s="9"/>
      <c r="AU785" s="428"/>
      <c r="AV785" s="428"/>
      <c r="AW785" s="449" t="str">
        <f>IF(C785&gt;0,VLOOKUP(C785,Foundation_Calc!$A$2:$C$13,3,1),
IF(J785&gt;0,VLOOKUP(J785,Foundation_Calc!$A$2:$C$13,3,1),""))</f>
        <v/>
      </c>
      <c r="AX785" s="449" t="str">
        <f>IF(C785&gt;0,VLOOKUP(C785,Foundation_Calc!$E$35:$G$65,3,1),
IF(J785&gt;0,VLOOKUP(J785,Foundation_Calc!$E$35:$G$65,3,1),""))</f>
        <v/>
      </c>
      <c r="AY785" s="10" t="str">
        <f>IF(L785="","",
IF(AX785="PT",VLOOKUP(L785,Foundation_Calc!$K$79:$R$113,VLOOKUP(AW785,Foundation_Calc!$I$2:$J$8,2,FALSE),0),
IF(AX785="K",VLOOKUP(L785,Foundation_Calc!$K$117:$R$151,VLOOKUP(AW785,Foundation_Calc!$I$2:$J$8,2,FALSE),0),"")))</f>
        <v/>
      </c>
      <c r="AZ785" s="10" t="str">
        <f>IF(K785="","",
IF(AX785="PT",VLOOKUP(K785,Foundation_Calc!$K$79:$R$113,VLOOKUP(AW785,Foundation_Calc!$I$2:$J$8,2,FALSE),0),
IF(AX785="K",VLOOKUP(K785,Foundation_Calc!$K$117:$R$151,VLOOKUP(AW785,Foundation_Calc!$I$2:$J$8,2,FALSE),0),"")))</f>
        <v/>
      </c>
      <c r="BA785" s="495" t="str">
        <f t="shared" si="99"/>
        <v/>
      </c>
      <c r="BB785" s="495" t="str">
        <f t="shared" si="100"/>
        <v/>
      </c>
      <c r="BC785" s="495" t="str">
        <f t="shared" si="101"/>
        <v/>
      </c>
      <c r="BD785" s="513" t="str">
        <f>IF(AND(L785="",H785=""),"",
IF(H785="",Pole_Calc!A$9,
IF(H785="MP",Pole_Calc!A$10,
IF(H785="AnMP",Pole_Calc!A$11,
IF(H785="A",Pole_Calc!A$12,
IF(H785="S/A",Pole_Calc!A$13,
IF(H785="A/S",Pole_Calc!A$14,"Poner a mano")))))))</f>
        <v/>
      </c>
      <c r="BE785" s="429" t="s">
        <v>118</v>
      </c>
      <c r="BF785" s="290"/>
      <c r="BG785" s="290"/>
      <c r="BH785" s="290"/>
      <c r="BI785" s="290"/>
    </row>
    <row r="786" spans="1:61" ht="15.75" customHeight="1">
      <c r="A786" s="518"/>
      <c r="B786" s="450" t="s">
        <v>1342</v>
      </c>
      <c r="C786" s="3">
        <f>+$C$784+$G$785</f>
        <v>49055.080000000009</v>
      </c>
      <c r="D786" s="83"/>
      <c r="E786" s="4"/>
      <c r="F786" s="4">
        <v>0</v>
      </c>
      <c r="G786" s="6"/>
      <c r="H786" s="449"/>
      <c r="I786" s="4"/>
      <c r="J786" s="3"/>
      <c r="K786" s="449"/>
      <c r="L786" s="449" t="s">
        <v>158</v>
      </c>
      <c r="M786" s="449" t="str">
        <f>IF(L786="","",
IF(AX786="PT",VLOOKUP(L786,Foundation_Calc!$V$79:$X$113,VLOOKUP(AX786,Foundation_Calc!$I$10:$J$13,2,FALSE),0),
IF(AX786="K",VLOOKUP(L786,Foundation_Calc!$V$117:$X$151,VLOOKUP(AX786,Foundation_Calc!$I$10:$J$13,2,FALSE),0),"")))</f>
        <v>C4R</v>
      </c>
      <c r="N786" s="449" t="s">
        <v>124</v>
      </c>
      <c r="O786" s="449"/>
      <c r="P786" s="449"/>
      <c r="Q786" s="4"/>
      <c r="R786" s="6"/>
      <c r="S786" s="6"/>
      <c r="T786" s="4">
        <v>-35</v>
      </c>
      <c r="U786" s="4"/>
      <c r="V786" s="4"/>
      <c r="W786" s="9">
        <v>1.4</v>
      </c>
      <c r="X786" s="9"/>
      <c r="Y786" s="9"/>
      <c r="Z786" s="9"/>
      <c r="AA786" s="9"/>
      <c r="AB786" s="9"/>
      <c r="AC786" s="449" t="str">
        <f t="shared" si="98"/>
        <v>PH</v>
      </c>
      <c r="AD786" s="449"/>
      <c r="AE786" s="449"/>
      <c r="AF786" s="4"/>
      <c r="AG786" s="83"/>
      <c r="AH786" s="4"/>
      <c r="AI786" s="4"/>
      <c r="AJ786" s="449"/>
      <c r="AK786" s="449"/>
      <c r="AL786" s="449"/>
      <c r="AM786" s="449" t="s">
        <v>552</v>
      </c>
      <c r="AN786" s="10">
        <v>5.5</v>
      </c>
      <c r="AO786" s="9"/>
      <c r="AP786" s="9"/>
      <c r="AQ786" s="9"/>
      <c r="AR786" s="9"/>
      <c r="AS786" s="9"/>
      <c r="AT786" s="9">
        <f>+ab($T$786,$T$784,$T$788,$G$785,$G$787, 1*$F$786,1200)</f>
        <v>-8.0247454296750149</v>
      </c>
      <c r="AU786" s="428"/>
      <c r="AV786" s="428"/>
      <c r="AW786" s="449" t="str">
        <f>IF(C786&gt;0,VLOOKUP(C786,Foundation_Calc!$A$2:$C$13,3,1),
IF(J786&gt;0,VLOOKUP(J786,Foundation_Calc!$A$2:$C$13,3,1),""))</f>
        <v>Multi Soil</v>
      </c>
      <c r="AX786" s="449" t="str">
        <f>IF(C786&gt;0,VLOOKUP(C786,Foundation_Calc!$E$35:$G$65,3,1),
IF(J786&gt;0,VLOOKUP(J786,Foundation_Calc!$E$35:$G$65,3,1),""))</f>
        <v>PT</v>
      </c>
      <c r="AY786" s="10">
        <f>IF(L786="","",
IF(AX786="PT",VLOOKUP(L786,Foundation_Calc!$K$79:$R$113,VLOOKUP(AW786,Foundation_Calc!$I$2:$J$8,2,FALSE),0),
IF(AX786="K",VLOOKUP(L786,Foundation_Calc!$K$117:$R$151,VLOOKUP(AW786,Foundation_Calc!$I$2:$J$8,2,FALSE),0),"")))</f>
        <v>3.5</v>
      </c>
      <c r="AZ786" s="10" t="str">
        <f>IF(K786="","",
IF(AX786="PT",VLOOKUP(K786,Foundation_Calc!$K$79:$R$113,VLOOKUP(AW786,Foundation_Calc!$I$2:$J$8,2,FALSE),0),
IF(AX786="K",VLOOKUP(K786,Foundation_Calc!$K$117:$R$151,VLOOKUP(AW786,Foundation_Calc!$I$2:$J$8,2,FALSE),0),"")))</f>
        <v/>
      </c>
      <c r="BA786" s="495" t="str">
        <f t="shared" si="99"/>
        <v>ü</v>
      </c>
      <c r="BB786" s="495" t="str">
        <f t="shared" si="100"/>
        <v/>
      </c>
      <c r="BC786" s="495" t="str">
        <f t="shared" si="101"/>
        <v/>
      </c>
      <c r="BD786" s="513" t="str">
        <f>IF(AND(L786="",H786=""),"",
IF(H786="",Pole_Calc!A$9,
IF(H786="MP",Pole_Calc!A$10,
IF(H786="AnMP",Pole_Calc!A$11,
IF(H786="A",Pole_Calc!A$12,
IF(H786="S/A",Pole_Calc!A$13,
IF(H786="A/S",Pole_Calc!A$14,"Poner a mano")))))))</f>
        <v>App.7-V11I-P9.5.1.1</v>
      </c>
      <c r="BE786" s="429" t="s">
        <v>118</v>
      </c>
      <c r="BF786" s="289"/>
      <c r="BG786" s="289"/>
      <c r="BH786" s="290"/>
      <c r="BI786" s="289"/>
    </row>
    <row r="787" spans="1:61" ht="15.75" customHeight="1">
      <c r="A787" s="571"/>
      <c r="B787" s="450"/>
      <c r="C787" s="3"/>
      <c r="D787" s="83"/>
      <c r="E787" s="4"/>
      <c r="F787" s="4"/>
      <c r="G787" s="6">
        <v>57</v>
      </c>
      <c r="H787" s="449"/>
      <c r="I787" s="4"/>
      <c r="J787" s="3"/>
      <c r="K787" s="449"/>
      <c r="L787" s="449"/>
      <c r="M787" s="449" t="str">
        <f>IF(L787="","",
IF(AX787="PT",VLOOKUP(L787,Foundation_Calc!$V$79:$X$113,VLOOKUP(AX787,Foundation_Calc!$I$10:$J$13,2,FALSE),0),
IF(AX787="K",VLOOKUP(L787,Foundation_Calc!$V$117:$X$151,VLOOKUP(AX787,Foundation_Calc!$I$10:$J$13,2,FALSE),0),"")))</f>
        <v/>
      </c>
      <c r="N787" s="449"/>
      <c r="O787" s="561"/>
      <c r="P787" s="449"/>
      <c r="Q787" s="4"/>
      <c r="R787" s="6"/>
      <c r="S787" s="6"/>
      <c r="T787" s="4"/>
      <c r="U787" s="4"/>
      <c r="V787" s="4"/>
      <c r="W787" s="9"/>
      <c r="X787" s="9"/>
      <c r="Y787" s="9"/>
      <c r="Z787" s="9"/>
      <c r="AA787" s="9"/>
      <c r="AB787" s="9"/>
      <c r="AC787" s="449" t="str">
        <f t="shared" si="98"/>
        <v/>
      </c>
      <c r="AD787" s="449"/>
      <c r="AE787" s="449"/>
      <c r="AF787" s="4"/>
      <c r="AG787" s="83"/>
      <c r="AH787" s="4"/>
      <c r="AI787" s="4"/>
      <c r="AJ787" s="449"/>
      <c r="AK787" s="449"/>
      <c r="AL787" s="449"/>
      <c r="AM787" s="449"/>
      <c r="AN787" s="10"/>
      <c r="AO787" s="9"/>
      <c r="AP787" s="9"/>
      <c r="AQ787" s="9">
        <f>+FL_2($T$788,$T$786,$G$787,1200,9.28, 1*$F$788)</f>
        <v>-0.41158010919298232</v>
      </c>
      <c r="AR787" s="9"/>
      <c r="AS787" s="9"/>
      <c r="AT787" s="9"/>
      <c r="AU787" s="428"/>
      <c r="AV787" s="428"/>
      <c r="AW787" s="449" t="str">
        <f>IF(C787&gt;0,VLOOKUP(C787,Foundation_Calc!$A$2:$C$13,3,1),
IF(J787&gt;0,VLOOKUP(J787,Foundation_Calc!$A$2:$C$13,3,1),""))</f>
        <v/>
      </c>
      <c r="AX787" s="449" t="str">
        <f>IF(C787&gt;0,VLOOKUP(C787,Foundation_Calc!$E$35:$G$65,3,1),
IF(J787&gt;0,VLOOKUP(J787,Foundation_Calc!$E$35:$G$65,3,1),""))</f>
        <v/>
      </c>
      <c r="AY787" s="10" t="str">
        <f>IF(L787="","",
IF(AX787="PT",VLOOKUP(L787,Foundation_Calc!$K$79:$R$113,VLOOKUP(AW787,Foundation_Calc!$I$2:$J$8,2,FALSE),0),
IF(AX787="K",VLOOKUP(L787,Foundation_Calc!$K$117:$R$151,VLOOKUP(AW787,Foundation_Calc!$I$2:$J$8,2,FALSE),0),"")))</f>
        <v/>
      </c>
      <c r="AZ787" s="10" t="str">
        <f>IF(K787="","",
IF(AX787="PT",VLOOKUP(K787,Foundation_Calc!$K$79:$R$113,VLOOKUP(AW787,Foundation_Calc!$I$2:$J$8,2,FALSE),0),
IF(AX787="K",VLOOKUP(K787,Foundation_Calc!$K$117:$R$151,VLOOKUP(AW787,Foundation_Calc!$I$2:$J$8,2,FALSE),0),"")))</f>
        <v/>
      </c>
      <c r="BA787" s="495" t="str">
        <f t="shared" ref="BA787" si="108">IF(AY787="","",IF(AY787&gt;0,"ü",""))</f>
        <v/>
      </c>
      <c r="BB787" s="495" t="str">
        <f t="shared" ref="BB787" si="109">IF(AZ787="","",IF(AZ787&gt;0,"ü",""))</f>
        <v/>
      </c>
      <c r="BC787" s="495" t="str">
        <f t="shared" ref="BC787" si="110">IF(M787="","",IF(M787="U.S.","ü",IF(M787="U.S. N.D.","ü","")))</f>
        <v/>
      </c>
      <c r="BD787" s="513" t="str">
        <f>IF(AND(L787="",H787=""),"",
IF(H787="",Pole_Calc!A$9,
IF(H787="MP",Pole_Calc!A$10,
IF(H787="AnMP",Pole_Calc!A$11,
IF(H787="A",Pole_Calc!A$12,
IF(H787="S/A",Pole_Calc!A$13,
IF(H787="A/S",Pole_Calc!A$14,"Poner a mano")))))))</f>
        <v/>
      </c>
      <c r="BE787" s="429" t="s">
        <v>118</v>
      </c>
      <c r="BF787" s="290"/>
      <c r="BG787" s="290"/>
      <c r="BH787" s="290"/>
      <c r="BI787" s="290"/>
    </row>
    <row r="788" spans="1:61" ht="15.75" customHeight="1">
      <c r="A788" s="514"/>
      <c r="B788" s="450" t="s">
        <v>1343</v>
      </c>
      <c r="C788" s="3">
        <f>+$C$786+$G$787</f>
        <v>49112.080000000009</v>
      </c>
      <c r="D788" s="83"/>
      <c r="E788" s="4"/>
      <c r="F788" s="4">
        <v>0</v>
      </c>
      <c r="G788" s="6"/>
      <c r="H788" s="449"/>
      <c r="I788" s="4"/>
      <c r="J788" s="3"/>
      <c r="K788" s="449"/>
      <c r="L788" s="449" t="s">
        <v>158</v>
      </c>
      <c r="M788" s="449" t="str">
        <f>IF(L788="","",
IF(AX788="PT",VLOOKUP(L788,Foundation_Calc!$V$79:$X$113,VLOOKUP(AX788,Foundation_Calc!$I$10:$J$13,2,FALSE),0),
IF(AX788="K",VLOOKUP(L788,Foundation_Calc!$V$117:$X$151,VLOOKUP(AX788,Foundation_Calc!$I$10:$J$13,2,FALSE),0),"")))</f>
        <v>C4R</v>
      </c>
      <c r="N788" s="449" t="s">
        <v>134</v>
      </c>
      <c r="O788" s="449"/>
      <c r="P788" s="449"/>
      <c r="Q788" s="4"/>
      <c r="R788" s="6"/>
      <c r="S788" s="6"/>
      <c r="T788" s="4">
        <v>35</v>
      </c>
      <c r="U788" s="4"/>
      <c r="V788" s="4"/>
      <c r="W788" s="9">
        <v>1.4</v>
      </c>
      <c r="X788" s="9"/>
      <c r="Y788" s="9"/>
      <c r="Z788" s="9"/>
      <c r="AA788" s="9"/>
      <c r="AB788" s="9"/>
      <c r="AC788" s="449" t="str">
        <f t="shared" si="98"/>
        <v>PHQ</v>
      </c>
      <c r="AD788" s="449"/>
      <c r="AE788" s="449"/>
      <c r="AF788" s="4"/>
      <c r="AG788" s="83"/>
      <c r="AH788" s="4"/>
      <c r="AI788" s="4"/>
      <c r="AJ788" s="449"/>
      <c r="AK788" s="449"/>
      <c r="AL788" s="449"/>
      <c r="AM788" s="449" t="s">
        <v>552</v>
      </c>
      <c r="AN788" s="10">
        <v>5.5</v>
      </c>
      <c r="AO788" s="9"/>
      <c r="AP788" s="9"/>
      <c r="AQ788" s="9"/>
      <c r="AR788" s="9"/>
      <c r="AS788" s="9"/>
      <c r="AT788" s="9">
        <f>+ab($T$788,$T$786,$T$790,$G$787,$G$789, 1*$F$788,1200)</f>
        <v>7.6162130570900786</v>
      </c>
      <c r="AU788" s="428"/>
      <c r="AV788" s="428"/>
      <c r="AW788" s="449" t="str">
        <f>IF(C788&gt;0,VLOOKUP(C788,Foundation_Calc!$A$2:$C$13,3,1),
IF(J788&gt;0,VLOOKUP(J788,Foundation_Calc!$A$2:$C$13,3,1),""))</f>
        <v>Multi Soil</v>
      </c>
      <c r="AX788" s="449" t="str">
        <f>IF(C788&gt;0,VLOOKUP(C788,Foundation_Calc!$E$35:$G$65,3,1),
IF(J788&gt;0,VLOOKUP(J788,Foundation_Calc!$E$35:$G$65,3,1),""))</f>
        <v>PT</v>
      </c>
      <c r="AY788" s="10">
        <f>IF(L788="","",
IF(AX788="PT",VLOOKUP(L788,Foundation_Calc!$K$79:$R$113,VLOOKUP(AW788,Foundation_Calc!$I$2:$J$8,2,FALSE),0),
IF(AX788="K",VLOOKUP(L788,Foundation_Calc!$K$117:$R$151,VLOOKUP(AW788,Foundation_Calc!$I$2:$J$8,2,FALSE),0),"")))</f>
        <v>3.5</v>
      </c>
      <c r="AZ788" s="10" t="str">
        <f>IF(K788="","",
IF(AX788="PT",VLOOKUP(K788,Foundation_Calc!$K$79:$R$113,VLOOKUP(AW788,Foundation_Calc!$I$2:$J$8,2,FALSE),0),
IF(AX788="K",VLOOKUP(K788,Foundation_Calc!$K$117:$R$151,VLOOKUP(AW788,Foundation_Calc!$I$2:$J$8,2,FALSE),0),"")))</f>
        <v/>
      </c>
      <c r="BA788" s="495" t="str">
        <f t="shared" si="99"/>
        <v>ü</v>
      </c>
      <c r="BB788" s="495" t="str">
        <f t="shared" si="100"/>
        <v/>
      </c>
      <c r="BC788" s="495" t="str">
        <f t="shared" si="101"/>
        <v/>
      </c>
      <c r="BD788" s="513" t="str">
        <f>IF(AND(L788="",H788=""),"",
IF(H788="",Pole_Calc!A$9,
IF(H788="MP",Pole_Calc!A$10,
IF(H788="AnMP",Pole_Calc!A$11,
IF(H788="A",Pole_Calc!A$12,
IF(H788="S/A",Pole_Calc!A$13,
IF(H788="A/S",Pole_Calc!A$14,"Poner a mano")))))))</f>
        <v>App.7-V11I-P9.5.1.1</v>
      </c>
      <c r="BE788" s="429" t="s">
        <v>118</v>
      </c>
      <c r="BF788" s="289"/>
      <c r="BG788" s="289"/>
      <c r="BH788" s="290"/>
      <c r="BI788" s="289"/>
    </row>
    <row r="789" spans="1:61" ht="15.75" customHeight="1">
      <c r="A789" s="571"/>
      <c r="B789" s="450"/>
      <c r="C789" s="3"/>
      <c r="D789" s="83"/>
      <c r="E789" s="4"/>
      <c r="F789" s="4"/>
      <c r="G789" s="6">
        <v>47</v>
      </c>
      <c r="H789" s="449"/>
      <c r="I789" s="4"/>
      <c r="J789" s="3">
        <f>C790-7.5</f>
        <v>49151.580000000009</v>
      </c>
      <c r="K789" s="449" t="s">
        <v>117</v>
      </c>
      <c r="L789" s="449"/>
      <c r="M789" s="449" t="str">
        <f>IF(L789="","",
IF(AX789="PT",VLOOKUP(L789,Foundation_Calc!$V$79:$X$113,VLOOKUP(AX789,Foundation_Calc!$I$10:$J$13,2,FALSE),0),
IF(AX789="K",VLOOKUP(L789,Foundation_Calc!$V$117:$X$151,VLOOKUP(AX789,Foundation_Calc!$I$10:$J$13,2,FALSE),0),"")))</f>
        <v/>
      </c>
      <c r="N789" s="449"/>
      <c r="O789" s="449"/>
      <c r="P789" s="449"/>
      <c r="Q789" s="4"/>
      <c r="R789" s="6"/>
      <c r="S789" s="6"/>
      <c r="T789" s="4"/>
      <c r="U789" s="4"/>
      <c r="V789" s="4"/>
      <c r="W789" s="9"/>
      <c r="X789" s="9"/>
      <c r="Y789" s="9"/>
      <c r="Z789" s="9"/>
      <c r="AA789" s="9"/>
      <c r="AB789" s="9"/>
      <c r="AC789" s="449" t="str">
        <f t="shared" si="98"/>
        <v/>
      </c>
      <c r="AD789" s="449"/>
      <c r="AE789" s="449"/>
      <c r="AF789" s="4"/>
      <c r="AG789" s="83"/>
      <c r="AH789" s="4"/>
      <c r="AI789" s="4"/>
      <c r="AJ789" s="449"/>
      <c r="AK789" s="449"/>
      <c r="AL789" s="449"/>
      <c r="AM789" s="449"/>
      <c r="AN789" s="10"/>
      <c r="AO789" s="9"/>
      <c r="AP789" s="9"/>
      <c r="AQ789" s="9">
        <f>+FL_2($T$790,$T$788,$G$789,1200,9.28, 1*$F$790)</f>
        <v>-0.26890498544680846</v>
      </c>
      <c r="AR789" s="9"/>
      <c r="AS789" s="9"/>
      <c r="AT789" s="9"/>
      <c r="AU789" s="428"/>
      <c r="AV789" s="428"/>
      <c r="AW789" s="449" t="str">
        <f>IF(C789&gt;0,VLOOKUP(C789,Foundation_Calc!$A$2:$C$13,3,1),
IF(J789&gt;0,VLOOKUP(J789,Foundation_Calc!$A$2:$C$13,3,1),""))</f>
        <v>Multi Soil</v>
      </c>
      <c r="AX789" s="449" t="str">
        <f>IF(C789&gt;0,VLOOKUP(C789,Foundation_Calc!$E$35:$G$65,3,1),
IF(J789&gt;0,VLOOKUP(J789,Foundation_Calc!$E$35:$G$65,3,1),""))</f>
        <v>PT</v>
      </c>
      <c r="AY789" s="10" t="str">
        <f>IF(L789="","",
IF(AX789="PT",VLOOKUP(L789,Foundation_Calc!$K$79:$R$113,VLOOKUP(AW789,Foundation_Calc!$I$2:$J$8,2,FALSE),0),
IF(AX789="K",VLOOKUP(L789,Foundation_Calc!$K$117:$R$151,VLOOKUP(AW789,Foundation_Calc!$I$2:$J$8,2,FALSE),0),"")))</f>
        <v/>
      </c>
      <c r="AZ789" s="10">
        <f>IF(K789="","",
IF(AX789="PT",VLOOKUP(K789,Foundation_Calc!$K$79:$R$113,VLOOKUP(AW789,Foundation_Calc!$I$2:$J$8,2,FALSE),0),
IF(AX789="K",VLOOKUP(K789,Foundation_Calc!$K$117:$R$151,VLOOKUP(AW789,Foundation_Calc!$I$2:$J$8,2,FALSE),0),"")))</f>
        <v>3.9</v>
      </c>
      <c r="BA789" s="495" t="str">
        <f t="shared" si="99"/>
        <v/>
      </c>
      <c r="BB789" s="495" t="str">
        <f t="shared" si="100"/>
        <v>ü</v>
      </c>
      <c r="BC789" s="495" t="str">
        <f t="shared" si="101"/>
        <v/>
      </c>
      <c r="BD789" s="513" t="str">
        <f>IF(AND(L789="",H789=""),"",
IF(H789="",Pole_Calc!A$9,
IF(H789="MP",Pole_Calc!A$10,
IF(H789="AnMP",Pole_Calc!A$11,
IF(H789="A",Pole_Calc!A$12,
IF(H789="S/A",Pole_Calc!A$13,
IF(H789="A/S",Pole_Calc!A$14,"Poner a mano")))))))</f>
        <v/>
      </c>
      <c r="BE789" s="429" t="s">
        <v>118</v>
      </c>
      <c r="BF789" s="290"/>
      <c r="BG789" s="290"/>
      <c r="BH789" s="290"/>
      <c r="BI789" s="290"/>
    </row>
    <row r="790" spans="1:61" ht="15.75" customHeight="1">
      <c r="A790" s="514"/>
      <c r="B790" s="450" t="s">
        <v>1344</v>
      </c>
      <c r="C790" s="3">
        <f>+$C$788+$G$789</f>
        <v>49159.080000000009</v>
      </c>
      <c r="D790" s="83"/>
      <c r="E790" s="4"/>
      <c r="F790" s="4">
        <v>0</v>
      </c>
      <c r="G790" s="6"/>
      <c r="H790" s="449" t="s">
        <v>121</v>
      </c>
      <c r="I790" s="4" t="s">
        <v>122</v>
      </c>
      <c r="J790" s="3"/>
      <c r="K790" s="449"/>
      <c r="L790" s="449" t="s">
        <v>158</v>
      </c>
      <c r="M790" s="449" t="str">
        <f>IF(L790="","",
IF(AX790="PT",VLOOKUP(L790,Foundation_Calc!$V$79:$X$113,VLOOKUP(AX790,Foundation_Calc!$I$10:$J$13,2,FALSE),0),
IF(AX790="K",VLOOKUP(L790,Foundation_Calc!$V$117:$X$151,VLOOKUP(AX790,Foundation_Calc!$I$10:$J$13,2,FALSE),0),"")))</f>
        <v>C4R</v>
      </c>
      <c r="N790" s="449" t="s">
        <v>124</v>
      </c>
      <c r="O790" s="449"/>
      <c r="P790" s="449"/>
      <c r="Q790" s="4"/>
      <c r="R790" s="6"/>
      <c r="S790" s="6"/>
      <c r="T790" s="4">
        <v>-25</v>
      </c>
      <c r="U790" s="4"/>
      <c r="V790" s="4"/>
      <c r="W790" s="9">
        <v>1.4</v>
      </c>
      <c r="X790" s="9"/>
      <c r="Y790" s="9"/>
      <c r="Z790" s="9"/>
      <c r="AA790" s="9"/>
      <c r="AB790" s="9"/>
      <c r="AC790" s="449" t="str">
        <f t="shared" ref="AC790:AC858" si="111">IF(OR(AT790&gt;8,AT790&lt;-8),"PH",
IF(OR(AT790&gt;5,AT790&lt;-5),"PHQ",
IF(OR(AT790&gt;1,AT790&lt;-1),
"PHC","")))</f>
        <v>PH</v>
      </c>
      <c r="AD790" s="449"/>
      <c r="AE790" s="449"/>
      <c r="AF790" s="4"/>
      <c r="AG790" s="83"/>
      <c r="AH790" s="4"/>
      <c r="AI790" s="4"/>
      <c r="AJ790" s="449"/>
      <c r="AK790" s="449"/>
      <c r="AL790" s="449"/>
      <c r="AM790" s="449" t="s">
        <v>552</v>
      </c>
      <c r="AN790" s="10">
        <v>5.5</v>
      </c>
      <c r="AO790" s="9"/>
      <c r="AP790" s="9"/>
      <c r="AQ790" s="9"/>
      <c r="AR790" s="9"/>
      <c r="AS790" s="9"/>
      <c r="AT790" s="9">
        <f>+ab($T$790,$T$788,$U$792,$G$789,$G$791, 1*$F$790,1200)</f>
        <v>-8.9455719012074706</v>
      </c>
      <c r="AU790" s="428"/>
      <c r="AV790" s="428"/>
      <c r="AW790" s="449" t="str">
        <f>IF(C790&gt;0,VLOOKUP(C790,Foundation_Calc!$A$2:$C$13,3,1),
IF(J790&gt;0,VLOOKUP(J790,Foundation_Calc!$A$2:$C$13,3,1),""))</f>
        <v>Multi Soil</v>
      </c>
      <c r="AX790" s="449" t="str">
        <f>IF(C790&gt;0,VLOOKUP(C790,Foundation_Calc!$E$35:$G$65,3,1),
IF(J790&gt;0,VLOOKUP(J790,Foundation_Calc!$E$35:$G$65,3,1),""))</f>
        <v>PT</v>
      </c>
      <c r="AY790" s="10">
        <f>IF(L790="","",
IF(AX790="PT",VLOOKUP(L790,Foundation_Calc!$K$79:$R$113,VLOOKUP(AW790,Foundation_Calc!$I$2:$J$8,2,FALSE),0),
IF(AX790="K",VLOOKUP(L790,Foundation_Calc!$K$117:$R$151,VLOOKUP(AW790,Foundation_Calc!$I$2:$J$8,2,FALSE),0),"")))</f>
        <v>3.5</v>
      </c>
      <c r="AZ790" s="10" t="str">
        <f>IF(K790="","",
IF(AX790="PT",VLOOKUP(K790,Foundation_Calc!$K$79:$R$113,VLOOKUP(AW790,Foundation_Calc!$I$2:$J$8,2,FALSE),0),
IF(AX790="K",VLOOKUP(K790,Foundation_Calc!$K$117:$R$151,VLOOKUP(AW790,Foundation_Calc!$I$2:$J$8,2,FALSE),0),"")))</f>
        <v/>
      </c>
      <c r="BA790" s="495" t="str">
        <f t="shared" si="99"/>
        <v>ü</v>
      </c>
      <c r="BB790" s="495" t="str">
        <f t="shared" si="100"/>
        <v/>
      </c>
      <c r="BC790" s="495" t="str">
        <f t="shared" si="101"/>
        <v/>
      </c>
      <c r="BD790" s="513" t="str">
        <f>IF(AND(L790="",H790=""),"",
IF(H790="",Pole_Calc!A$9,
IF(H790="MP",Pole_Calc!A$10,
IF(H790="AnMP",Pole_Calc!A$11,
IF(H790="A",Pole_Calc!A$12,
IF(H790="S/A",Pole_Calc!A$13,
IF(H790="A/S",Pole_Calc!A$14,"Poner a mano")))))))</f>
        <v>App.7-V11I-P9.5.1.6</v>
      </c>
      <c r="BE790" s="429" t="s">
        <v>118</v>
      </c>
      <c r="BF790" s="289"/>
      <c r="BG790" s="289"/>
      <c r="BH790" s="290"/>
      <c r="BI790" s="289"/>
    </row>
    <row r="791" spans="1:61" ht="15.75" customHeight="1">
      <c r="A791" s="571"/>
      <c r="B791" s="450"/>
      <c r="C791" s="3"/>
      <c r="D791" s="83"/>
      <c r="E791" s="4"/>
      <c r="F791" s="4"/>
      <c r="G791" s="6">
        <v>47</v>
      </c>
      <c r="H791" s="449"/>
      <c r="I791" s="4"/>
      <c r="J791" s="3"/>
      <c r="K791" s="449"/>
      <c r="L791" s="449"/>
      <c r="M791" s="449" t="str">
        <f>IF(L791="","",
IF(AX791="PT",VLOOKUP(L791,Foundation_Calc!$V$79:$X$113,VLOOKUP(AX791,Foundation_Calc!$I$10:$J$13,2,FALSE),0),
IF(AX791="K",VLOOKUP(L791,Foundation_Calc!$V$117:$X$151,VLOOKUP(AX791,Foundation_Calc!$I$10:$J$13,2,FALSE),0),"")))</f>
        <v/>
      </c>
      <c r="N791" s="449"/>
      <c r="O791" s="561"/>
      <c r="P791" s="449"/>
      <c r="Q791" s="4"/>
      <c r="R791" s="6"/>
      <c r="S791" s="6"/>
      <c r="T791" s="4"/>
      <c r="U791" s="4"/>
      <c r="V791" s="4"/>
      <c r="W791" s="9"/>
      <c r="X791" s="9"/>
      <c r="Y791" s="9"/>
      <c r="Z791" s="9"/>
      <c r="AA791" s="9"/>
      <c r="AB791" s="9"/>
      <c r="AC791" s="449" t="str">
        <f t="shared" si="111"/>
        <v/>
      </c>
      <c r="AD791" s="449"/>
      <c r="AE791" s="449"/>
      <c r="AF791" s="4"/>
      <c r="AG791" s="83"/>
      <c r="AH791" s="4"/>
      <c r="AI791" s="4"/>
      <c r="AJ791" s="449"/>
      <c r="AK791" s="449"/>
      <c r="AL791" s="449"/>
      <c r="AM791" s="449"/>
      <c r="AN791" s="10"/>
      <c r="AO791" s="9"/>
      <c r="AP791" s="9"/>
      <c r="AQ791" s="9">
        <f>+FL_2($U$792,$T$790,$G$791,1200,9.28, 1*$F$792)</f>
        <v>-0.31036702232624114</v>
      </c>
      <c r="AR791" s="9"/>
      <c r="AS791" s="9"/>
      <c r="AT791" s="9"/>
      <c r="AU791" s="428"/>
      <c r="AV791" s="428"/>
      <c r="AW791" s="449" t="str">
        <f>IF(C791&gt;0,VLOOKUP(C791,Foundation_Calc!$A$2:$C$13,3,1),
IF(J791&gt;0,VLOOKUP(J791,Foundation_Calc!$A$2:$C$13,3,1),""))</f>
        <v/>
      </c>
      <c r="AX791" s="449" t="str">
        <f>IF(C791&gt;0,VLOOKUP(C791,Foundation_Calc!$E$35:$G$65,3,1),
IF(J791&gt;0,VLOOKUP(J791,Foundation_Calc!$E$35:$G$65,3,1),""))</f>
        <v/>
      </c>
      <c r="AY791" s="10" t="str">
        <f>IF(L791="","",
IF(AX791="PT",VLOOKUP(L791,Foundation_Calc!$K$79:$R$113,VLOOKUP(AW791,Foundation_Calc!$I$2:$J$8,2,FALSE),0),
IF(AX791="K",VLOOKUP(L791,Foundation_Calc!$K$117:$R$151,VLOOKUP(AW791,Foundation_Calc!$I$2:$J$8,2,FALSE),0),"")))</f>
        <v/>
      </c>
      <c r="AZ791" s="10" t="str">
        <f>IF(K791="","",
IF(AX791="PT",VLOOKUP(K791,Foundation_Calc!$K$79:$R$113,VLOOKUP(AW791,Foundation_Calc!$I$2:$J$8,2,FALSE),0),
IF(AX791="K",VLOOKUP(K791,Foundation_Calc!$K$117:$R$151,VLOOKUP(AW791,Foundation_Calc!$I$2:$J$8,2,FALSE),0),"")))</f>
        <v/>
      </c>
      <c r="BA791" s="495" t="str">
        <f t="shared" si="99"/>
        <v/>
      </c>
      <c r="BB791" s="495" t="str">
        <f t="shared" si="100"/>
        <v/>
      </c>
      <c r="BC791" s="495" t="str">
        <f t="shared" si="101"/>
        <v/>
      </c>
      <c r="BD791" s="513" t="str">
        <f>IF(AND(L791="",H791=""),"",
IF(H791="",Pole_Calc!A$9,
IF(H791="MP",Pole_Calc!A$10,
IF(H791="AnMP",Pole_Calc!A$11,
IF(H791="A",Pole_Calc!A$12,
IF(H791="S/A",Pole_Calc!A$13,
IF(H791="A/S",Pole_Calc!A$14,"Poner a mano")))))))</f>
        <v/>
      </c>
      <c r="BE791" s="429" t="s">
        <v>118</v>
      </c>
      <c r="BF791" s="290"/>
      <c r="BG791" s="290"/>
      <c r="BH791" s="290"/>
      <c r="BI791" s="290"/>
    </row>
    <row r="792" spans="1:61" ht="15.75" customHeight="1">
      <c r="A792" s="571"/>
      <c r="B792" s="450" t="s">
        <v>1345</v>
      </c>
      <c r="C792" s="3">
        <f>+$C$790+$G$791</f>
        <v>49206.080000000009</v>
      </c>
      <c r="D792" s="83"/>
      <c r="E792" s="4"/>
      <c r="F792" s="4">
        <v>0</v>
      </c>
      <c r="G792" s="6"/>
      <c r="H792" s="449" t="s">
        <v>131</v>
      </c>
      <c r="I792" s="4"/>
      <c r="J792" s="3"/>
      <c r="K792" s="449"/>
      <c r="L792" s="449" t="s">
        <v>158</v>
      </c>
      <c r="M792" s="449" t="str">
        <f>IF(L792="","",
IF(AX792="PT",VLOOKUP(L792,Foundation_Calc!$V$79:$X$113,VLOOKUP(AX792,Foundation_Calc!$I$10:$J$13,2,FALSE),0),
IF(AX792="K",VLOOKUP(L792,Foundation_Calc!$V$117:$X$151,VLOOKUP(AX792,Foundation_Calc!$I$10:$J$13,2,FALSE),0),"")))</f>
        <v>C4R</v>
      </c>
      <c r="N792" s="449" t="s">
        <v>133</v>
      </c>
      <c r="O792" s="449" t="s">
        <v>134</v>
      </c>
      <c r="P792" s="449"/>
      <c r="Q792" s="4"/>
      <c r="R792" s="6"/>
      <c r="S792" s="6"/>
      <c r="T792" s="4">
        <v>35</v>
      </c>
      <c r="U792" s="4">
        <v>15</v>
      </c>
      <c r="V792" s="4"/>
      <c r="W792" s="9">
        <v>1.4</v>
      </c>
      <c r="X792" s="9">
        <v>2.2999999999999998</v>
      </c>
      <c r="Y792" s="9"/>
      <c r="Z792" s="9">
        <v>0.45</v>
      </c>
      <c r="AA792" s="9"/>
      <c r="AB792" s="9"/>
      <c r="AC792" s="449" t="str">
        <f t="shared" si="111"/>
        <v>PH</v>
      </c>
      <c r="AD792" s="449"/>
      <c r="AE792" s="449"/>
      <c r="AF792" s="4"/>
      <c r="AG792" s="83"/>
      <c r="AH792" s="4"/>
      <c r="AI792" s="4"/>
      <c r="AJ792" s="449"/>
      <c r="AK792" s="449"/>
      <c r="AL792" s="449"/>
      <c r="AM792" s="449" t="s">
        <v>552</v>
      </c>
      <c r="AN792" s="10">
        <v>5.5</v>
      </c>
      <c r="AO792" s="9"/>
      <c r="AP792" s="9"/>
      <c r="AQ792" s="9"/>
      <c r="AR792" s="9"/>
      <c r="AS792" s="9"/>
      <c r="AT792" s="9">
        <f>+ab($U$792,$T$790,$U$794,$G$791,$G$793, 1*$F$792,1200)</f>
        <v>9.9206905006084174</v>
      </c>
      <c r="AU792" s="428"/>
      <c r="AV792" s="428"/>
      <c r="AW792" s="449" t="str">
        <f>IF(C792&gt;0,VLOOKUP(C792,Foundation_Calc!$A$2:$C$13,3,1),
IF(J792&gt;0,VLOOKUP(J792,Foundation_Calc!$A$2:$C$13,3,1),""))</f>
        <v>Multi Soil</v>
      </c>
      <c r="AX792" s="449" t="str">
        <f>IF(C792&gt;0,VLOOKUP(C792,Foundation_Calc!$E$35:$G$65,3,1),
IF(J792&gt;0,VLOOKUP(J792,Foundation_Calc!$E$35:$G$65,3,1),""))</f>
        <v>PT</v>
      </c>
      <c r="AY792" s="10">
        <f>IF(L792="","",
IF(AX792="PT",VLOOKUP(L792,Foundation_Calc!$K$79:$R$113,VLOOKUP(AW792,Foundation_Calc!$I$2:$J$8,2,FALSE),0),
IF(AX792="K",VLOOKUP(L792,Foundation_Calc!$K$117:$R$151,VLOOKUP(AW792,Foundation_Calc!$I$2:$J$8,2,FALSE),0),"")))</f>
        <v>3.5</v>
      </c>
      <c r="AZ792" s="10" t="str">
        <f>IF(K792="","",
IF(AX792="PT",VLOOKUP(K792,Foundation_Calc!$K$79:$R$113,VLOOKUP(AW792,Foundation_Calc!$I$2:$J$8,2,FALSE),0),
IF(AX792="K",VLOOKUP(K792,Foundation_Calc!$K$117:$R$151,VLOOKUP(AW792,Foundation_Calc!$I$2:$J$8,2,FALSE),0),"")))</f>
        <v/>
      </c>
      <c r="BA792" s="495" t="str">
        <f t="shared" si="99"/>
        <v>ü</v>
      </c>
      <c r="BB792" s="495" t="str">
        <f t="shared" si="100"/>
        <v/>
      </c>
      <c r="BC792" s="495" t="str">
        <f t="shared" si="101"/>
        <v/>
      </c>
      <c r="BD792" s="513" t="str">
        <f>IF(AND(L792="",H792=""),"",
IF(H792="",Pole_Calc!A$9,
IF(H792="MP",Pole_Calc!A$10,
IF(H792="AnMP",Pole_Calc!A$11,
IF(H792="A",Pole_Calc!A$12,
IF(H792="S/A",Pole_Calc!A$13,
IF(H792="A/S",Pole_Calc!A$14,"Poner a mano")))))))</f>
        <v>App.7-V11I-P9.5.1.5</v>
      </c>
      <c r="BE792" s="429" t="s">
        <v>118</v>
      </c>
      <c r="BF792" s="289"/>
      <c r="BG792" s="289"/>
      <c r="BH792" s="290"/>
      <c r="BI792" s="289"/>
    </row>
    <row r="793" spans="1:61" ht="15.75" customHeight="1">
      <c r="A793" s="571"/>
      <c r="B793" s="450"/>
      <c r="C793" s="3"/>
      <c r="D793" s="83"/>
      <c r="E793" s="4"/>
      <c r="F793" s="4"/>
      <c r="G793" s="6">
        <v>47</v>
      </c>
      <c r="H793" s="449"/>
      <c r="I793" s="4"/>
      <c r="J793" s="3"/>
      <c r="K793" s="449"/>
      <c r="L793" s="449"/>
      <c r="M793" s="449" t="str">
        <f>IF(L793="","",
IF(AX793="PT",VLOOKUP(L793,Foundation_Calc!$V$79:$X$113,VLOOKUP(AX793,Foundation_Calc!$I$10:$J$13,2,FALSE),0),
IF(AX793="K",VLOOKUP(L793,Foundation_Calc!$V$117:$X$151,VLOOKUP(AX793,Foundation_Calc!$I$10:$J$13,2,FALSE),0),"")))</f>
        <v/>
      </c>
      <c r="N793" s="449"/>
      <c r="O793" s="449"/>
      <c r="P793" s="449"/>
      <c r="Q793" s="4"/>
      <c r="R793" s="6"/>
      <c r="S793" s="6"/>
      <c r="T793" s="4"/>
      <c r="U793" s="4"/>
      <c r="V793" s="4"/>
      <c r="W793" s="9"/>
      <c r="X793" s="9"/>
      <c r="Y793" s="9"/>
      <c r="Z793" s="9"/>
      <c r="AA793" s="9"/>
      <c r="AB793" s="9"/>
      <c r="AC793" s="449" t="str">
        <f t="shared" si="111"/>
        <v/>
      </c>
      <c r="AD793" s="449"/>
      <c r="AE793" s="449"/>
      <c r="AF793" s="4"/>
      <c r="AG793" s="83"/>
      <c r="AH793" s="4"/>
      <c r="AI793" s="4"/>
      <c r="AJ793" s="449"/>
      <c r="AK793" s="449"/>
      <c r="AL793" s="449"/>
      <c r="AM793" s="449"/>
      <c r="AN793" s="10"/>
      <c r="AO793" s="9"/>
      <c r="AP793" s="9"/>
      <c r="AQ793" s="9">
        <f>+FL_2($T$794,$T$792,$G$793,1200,9.28, 1*$F$794)</f>
        <v>-0.20381049108787813</v>
      </c>
      <c r="AR793" s="9"/>
      <c r="AS793" s="9"/>
      <c r="AT793" s="9"/>
      <c r="AU793" s="428"/>
      <c r="AV793" s="428"/>
      <c r="AW793" s="449" t="str">
        <f>IF(C793&gt;0,VLOOKUP(C793,Foundation_Calc!$A$2:$C$13,3,1),
IF(J793&gt;0,VLOOKUP(J793,Foundation_Calc!$A$2:$C$13,3,1),""))</f>
        <v/>
      </c>
      <c r="AX793" s="449" t="str">
        <f>IF(C793&gt;0,VLOOKUP(C793,Foundation_Calc!$E$35:$G$65,3,1),
IF(J793&gt;0,VLOOKUP(J793,Foundation_Calc!$E$35:$G$65,3,1),""))</f>
        <v/>
      </c>
      <c r="AY793" s="10" t="str">
        <f>IF(L793="","",
IF(AX793="PT",VLOOKUP(L793,Foundation_Calc!$K$79:$R$113,VLOOKUP(AW793,Foundation_Calc!$I$2:$J$8,2,FALSE),0),
IF(AX793="K",VLOOKUP(L793,Foundation_Calc!$K$117:$R$151,VLOOKUP(AW793,Foundation_Calc!$I$2:$J$8,2,FALSE),0),"")))</f>
        <v/>
      </c>
      <c r="AZ793" s="10" t="str">
        <f>IF(K793="","",
IF(AX793="PT",VLOOKUP(K793,Foundation_Calc!$K$79:$R$113,VLOOKUP(AW793,Foundation_Calc!$I$2:$J$8,2,FALSE),0),
IF(AX793="K",VLOOKUP(K793,Foundation_Calc!$K$117:$R$151,VLOOKUP(AW793,Foundation_Calc!$I$2:$J$8,2,FALSE),0),"")))</f>
        <v/>
      </c>
      <c r="BA793" s="495" t="str">
        <f t="shared" ref="BA793:BA866" si="112">IF(AY793="","",IF(AY793&gt;0,"ü",""))</f>
        <v/>
      </c>
      <c r="BB793" s="495" t="str">
        <f t="shared" ref="BB793:BB866" si="113">IF(AZ793="","",IF(AZ793&gt;0,"ü",""))</f>
        <v/>
      </c>
      <c r="BC793" s="495" t="str">
        <f t="shared" ref="BC793:BC866" si="114">IF(M793="","",IF(M793="U.S.","ü",IF(M793="U.S. N.D.","ü","")))</f>
        <v/>
      </c>
      <c r="BD793" s="513" t="str">
        <f>IF(AND(L793="",H793=""),"",
IF(H793="",Pole_Calc!A$9,
IF(H793="MP",Pole_Calc!A$10,
IF(H793="AnMP",Pole_Calc!A$11,
IF(H793="A",Pole_Calc!A$12,
IF(H793="S/A",Pole_Calc!A$13,
IF(H793="A/S",Pole_Calc!A$14,"Poner a mano")))))))</f>
        <v/>
      </c>
      <c r="BE793" s="429" t="s">
        <v>118</v>
      </c>
      <c r="BF793" s="290"/>
      <c r="BG793" s="290"/>
      <c r="BH793" s="290"/>
      <c r="BI793" s="290"/>
    </row>
    <row r="794" spans="1:61" ht="15.75" customHeight="1">
      <c r="A794" s="514"/>
      <c r="B794" s="450" t="s">
        <v>1346</v>
      </c>
      <c r="C794" s="3">
        <f>+$C$792+$G$793</f>
        <v>49253.080000000009</v>
      </c>
      <c r="D794" s="83"/>
      <c r="E794" s="4"/>
      <c r="F794" s="4">
        <v>11186.794019919224</v>
      </c>
      <c r="G794" s="6"/>
      <c r="H794" s="449" t="s">
        <v>131</v>
      </c>
      <c r="I794" s="4"/>
      <c r="J794" s="3"/>
      <c r="K794" s="449"/>
      <c r="L794" s="449" t="s">
        <v>183</v>
      </c>
      <c r="M794" s="449" t="str">
        <f>IF(L794="","",
IF(AX794="PT",VLOOKUP(L794,Foundation_Calc!$V$79:$X$113,VLOOKUP(AX794,Foundation_Calc!$I$10:$J$13,2,FALSE),0),
IF(AX794="K",VLOOKUP(L794,Foundation_Calc!$V$117:$X$151,VLOOKUP(AX794,Foundation_Calc!$I$10:$J$13,2,FALSE),0),"")))</f>
        <v>2C3R</v>
      </c>
      <c r="N794" s="449" t="s">
        <v>124</v>
      </c>
      <c r="O794" s="449" t="s">
        <v>133</v>
      </c>
      <c r="P794" s="449"/>
      <c r="Q794" s="4"/>
      <c r="R794" s="6"/>
      <c r="S794" s="6"/>
      <c r="T794" s="4">
        <v>-15</v>
      </c>
      <c r="U794" s="4">
        <v>-35</v>
      </c>
      <c r="V794" s="4"/>
      <c r="W794" s="9">
        <v>1.4</v>
      </c>
      <c r="X794" s="9">
        <v>2.2999999999999998</v>
      </c>
      <c r="Y794" s="9"/>
      <c r="Z794" s="9"/>
      <c r="AA794" s="9">
        <v>0.45</v>
      </c>
      <c r="AB794" s="9"/>
      <c r="AC794" s="449" t="str">
        <f t="shared" si="111"/>
        <v>PH</v>
      </c>
      <c r="AD794" s="449"/>
      <c r="AE794" s="449"/>
      <c r="AF794" s="4"/>
      <c r="AG794" s="83"/>
      <c r="AH794" s="4"/>
      <c r="AI794" s="4"/>
      <c r="AJ794" s="449"/>
      <c r="AK794" s="449"/>
      <c r="AL794" s="449"/>
      <c r="AM794" s="449" t="s">
        <v>552</v>
      </c>
      <c r="AN794" s="10">
        <v>5.5</v>
      </c>
      <c r="AO794" s="9"/>
      <c r="AP794" s="9"/>
      <c r="AQ794" s="9"/>
      <c r="AR794" s="9"/>
      <c r="AS794" s="9"/>
      <c r="AT794" s="9">
        <f>+ab($T$794,$T$792,$T$796,$G$793,$G$795, 1*$F$794,1200)</f>
        <v>-13.178964035696074</v>
      </c>
      <c r="AU794" s="428"/>
      <c r="AV794" s="428"/>
      <c r="AW794" s="449" t="str">
        <f>IF(C794&gt;0,VLOOKUP(C794,Foundation_Calc!$A$2:$C$13,3,1),
IF(J794&gt;0,VLOOKUP(J794,Foundation_Calc!$A$2:$C$13,3,1),""))</f>
        <v>Multi Soil</v>
      </c>
      <c r="AX794" s="449" t="str">
        <f>IF(C794&gt;0,VLOOKUP(C794,Foundation_Calc!$E$35:$G$65,3,1),
IF(J794&gt;0,VLOOKUP(J794,Foundation_Calc!$E$35:$G$65,3,1),""))</f>
        <v>PT</v>
      </c>
      <c r="AY794" s="10">
        <f>IF(L794="","",
IF(AX794="PT",VLOOKUP(L794,Foundation_Calc!$K$79:$R$113,VLOOKUP(AW794,Foundation_Calc!$I$2:$J$8,2,FALSE),0),
IF(AX794="K",VLOOKUP(L794,Foundation_Calc!$K$117:$R$151,VLOOKUP(AW794,Foundation_Calc!$I$2:$J$8,2,FALSE),0),"")))</f>
        <v>3.7</v>
      </c>
      <c r="AZ794" s="10" t="str">
        <f>IF(K794="","",
IF(AX794="PT",VLOOKUP(K794,Foundation_Calc!$K$79:$R$113,VLOOKUP(AW794,Foundation_Calc!$I$2:$J$8,2,FALSE),0),
IF(AX794="K",VLOOKUP(K794,Foundation_Calc!$K$117:$R$151,VLOOKUP(AW794,Foundation_Calc!$I$2:$J$8,2,FALSE),0),"")))</f>
        <v/>
      </c>
      <c r="BA794" s="495" t="str">
        <f t="shared" si="112"/>
        <v>ü</v>
      </c>
      <c r="BB794" s="495" t="str">
        <f t="shared" si="113"/>
        <v/>
      </c>
      <c r="BC794" s="495" t="str">
        <f t="shared" si="114"/>
        <v/>
      </c>
      <c r="BD794" s="513" t="str">
        <f>IF(AND(L794="",H794=""),"",
IF(H794="",Pole_Calc!A$9,
IF(H794="MP",Pole_Calc!A$10,
IF(H794="AnMP",Pole_Calc!A$11,
IF(H794="A",Pole_Calc!A$12,
IF(H794="S/A",Pole_Calc!A$13,
IF(H794="A/S",Pole_Calc!A$14,"Poner a mano")))))))</f>
        <v>App.7-V11I-P9.5.1.5</v>
      </c>
      <c r="BE794" s="429" t="s">
        <v>118</v>
      </c>
      <c r="BF794" s="289"/>
      <c r="BG794" s="289"/>
      <c r="BH794" s="290"/>
      <c r="BI794" s="289"/>
    </row>
    <row r="795" spans="1:61" ht="15.75" customHeight="1">
      <c r="A795" s="571"/>
      <c r="B795" s="450"/>
      <c r="C795" s="3"/>
      <c r="D795" s="83"/>
      <c r="E795" s="4"/>
      <c r="F795" s="4"/>
      <c r="G795" s="6">
        <v>50</v>
      </c>
      <c r="H795" s="449"/>
      <c r="I795" s="4"/>
      <c r="J795" s="3"/>
      <c r="K795" s="449"/>
      <c r="L795" s="449"/>
      <c r="M795" s="449" t="str">
        <f>IF(L795="","",
IF(AX795="PT",VLOOKUP(L795,Foundation_Calc!$V$79:$X$113,VLOOKUP(AX795,Foundation_Calc!$I$10:$J$13,2,FALSE),0),
IF(AX795="K",VLOOKUP(L795,Foundation_Calc!$V$117:$X$151,VLOOKUP(AX795,Foundation_Calc!$I$10:$J$13,2,FALSE),0),"")))</f>
        <v/>
      </c>
      <c r="N795" s="449"/>
      <c r="O795" s="561"/>
      <c r="P795" s="449"/>
      <c r="Q795" s="4"/>
      <c r="R795" s="6"/>
      <c r="S795" s="6"/>
      <c r="T795" s="4"/>
      <c r="U795" s="4"/>
      <c r="V795" s="4"/>
      <c r="W795" s="9"/>
      <c r="X795" s="9"/>
      <c r="Y795" s="9"/>
      <c r="Z795" s="9"/>
      <c r="AA795" s="9"/>
      <c r="AB795" s="9"/>
      <c r="AC795" s="449" t="str">
        <f t="shared" si="111"/>
        <v/>
      </c>
      <c r="AD795" s="449"/>
      <c r="AE795" s="449"/>
      <c r="AF795" s="4"/>
      <c r="AG795" s="83"/>
      <c r="AH795" s="4"/>
      <c r="AI795" s="4"/>
      <c r="AJ795" s="449"/>
      <c r="AK795" s="449"/>
      <c r="AL795" s="449"/>
      <c r="AM795" s="449"/>
      <c r="AN795" s="10"/>
      <c r="AO795" s="9"/>
      <c r="AP795" s="9"/>
      <c r="AQ795" s="9">
        <f>+FL_2($T$796,$T$794,$G$795,1200,9.28, 1*$F$796)</f>
        <v>-0.36126516085700394</v>
      </c>
      <c r="AR795" s="9"/>
      <c r="AS795" s="9"/>
      <c r="AT795" s="9"/>
      <c r="AU795" s="428"/>
      <c r="AV795" s="428"/>
      <c r="AW795" s="449" t="str">
        <f>IF(C795&gt;0,VLOOKUP(C795,Foundation_Calc!$A$2:$C$13,3,1),
IF(J795&gt;0,VLOOKUP(J795,Foundation_Calc!$A$2:$C$13,3,1),""))</f>
        <v/>
      </c>
      <c r="AX795" s="449" t="str">
        <f>IF(C795&gt;0,VLOOKUP(C795,Foundation_Calc!$E$35:$G$65,3,1),
IF(J795&gt;0,VLOOKUP(J795,Foundation_Calc!$E$35:$G$65,3,1),""))</f>
        <v/>
      </c>
      <c r="AY795" s="10" t="str">
        <f>IF(L795="","",
IF(AX795="PT",VLOOKUP(L795,Foundation_Calc!$K$79:$R$113,VLOOKUP(AW795,Foundation_Calc!$I$2:$J$8,2,FALSE),0),
IF(AX795="K",VLOOKUP(L795,Foundation_Calc!$K$117:$R$151,VLOOKUP(AW795,Foundation_Calc!$I$2:$J$8,2,FALSE),0),"")))</f>
        <v/>
      </c>
      <c r="AZ795" s="10" t="str">
        <f>IF(K795="","",
IF(AX795="PT",VLOOKUP(K795,Foundation_Calc!$K$79:$R$113,VLOOKUP(AW795,Foundation_Calc!$I$2:$J$8,2,FALSE),0),
IF(AX795="K",VLOOKUP(K795,Foundation_Calc!$K$117:$R$151,VLOOKUP(AW795,Foundation_Calc!$I$2:$J$8,2,FALSE),0),"")))</f>
        <v/>
      </c>
      <c r="BA795" s="495" t="str">
        <f t="shared" si="112"/>
        <v/>
      </c>
      <c r="BB795" s="495" t="str">
        <f t="shared" si="113"/>
        <v/>
      </c>
      <c r="BC795" s="495" t="str">
        <f t="shared" si="114"/>
        <v/>
      </c>
      <c r="BD795" s="513" t="str">
        <f>IF(AND(L795="",H795=""),"",
IF(H795="",Pole_Calc!A$9,
IF(H795="MP",Pole_Calc!A$10,
IF(H795="AnMP",Pole_Calc!A$11,
IF(H795="A",Pole_Calc!A$12,
IF(H795="S/A",Pole_Calc!A$13,
IF(H795="A/S",Pole_Calc!A$14,"Poner a mano")))))))</f>
        <v/>
      </c>
      <c r="BE795" s="429" t="s">
        <v>118</v>
      </c>
      <c r="BF795" s="290"/>
      <c r="BG795" s="290"/>
      <c r="BH795" s="290"/>
      <c r="BI795" s="290"/>
    </row>
    <row r="796" spans="1:61" ht="15.75" customHeight="1">
      <c r="A796" s="571"/>
      <c r="B796" s="450" t="s">
        <v>1347</v>
      </c>
      <c r="C796" s="3">
        <f>+$C$794+$G$795-0.13</f>
        <v>49302.950000000012</v>
      </c>
      <c r="D796" s="83"/>
      <c r="E796" s="4"/>
      <c r="F796" s="4">
        <v>2175.5612986587103</v>
      </c>
      <c r="G796" s="6"/>
      <c r="H796" s="449" t="s">
        <v>121</v>
      </c>
      <c r="I796" s="4" t="s">
        <v>122</v>
      </c>
      <c r="J796" s="3"/>
      <c r="K796" s="449"/>
      <c r="L796" s="449" t="s">
        <v>181</v>
      </c>
      <c r="M796" s="449" t="str">
        <f>IF(L796="","",
IF(AX796="PT",VLOOKUP(L796,Foundation_Calc!$V$79:$X$113,VLOOKUP(AX796,Foundation_Calc!$I$10:$J$13,2,FALSE),0),
IF(AX796="K",VLOOKUP(L796,Foundation_Calc!$V$117:$X$151,VLOOKUP(AX796,Foundation_Calc!$I$10:$J$13,2,FALSE),0),"")))</f>
        <v>C5R</v>
      </c>
      <c r="N796" s="449" t="s">
        <v>134</v>
      </c>
      <c r="O796" s="449"/>
      <c r="P796" s="449"/>
      <c r="Q796" s="4"/>
      <c r="R796" s="6"/>
      <c r="S796" s="6"/>
      <c r="T796" s="4">
        <v>25</v>
      </c>
      <c r="U796" s="4"/>
      <c r="V796" s="4"/>
      <c r="W796" s="9">
        <v>1.4</v>
      </c>
      <c r="X796" s="9"/>
      <c r="Y796" s="9"/>
      <c r="Z796" s="9"/>
      <c r="AA796" s="9"/>
      <c r="AB796" s="9"/>
      <c r="AC796" s="449" t="str">
        <f t="shared" si="111"/>
        <v>PHQ</v>
      </c>
      <c r="AD796" s="449"/>
      <c r="AE796" s="449"/>
      <c r="AF796" s="4"/>
      <c r="AG796" s="83"/>
      <c r="AH796" s="4"/>
      <c r="AI796" s="4"/>
      <c r="AJ796" s="449"/>
      <c r="AK796" s="449"/>
      <c r="AL796" s="449"/>
      <c r="AM796" s="449" t="s">
        <v>552</v>
      </c>
      <c r="AN796" s="10">
        <v>5.5</v>
      </c>
      <c r="AO796" s="9"/>
      <c r="AP796" s="9"/>
      <c r="AQ796" s="9"/>
      <c r="AR796" s="9"/>
      <c r="AS796" s="9"/>
      <c r="AT796" s="9">
        <f>+ab($T$796,$T$794,$T$798,$G$795,$G$797, 1*$F$796,1200)</f>
        <v>6.4811856625372153</v>
      </c>
      <c r="AU796" s="428"/>
      <c r="AV796" s="428"/>
      <c r="AW796" s="449" t="str">
        <f>IF(C796&gt;0,VLOOKUP(C796,Foundation_Calc!$A$2:$C$13,3,1),
IF(J796&gt;0,VLOOKUP(J796,Foundation_Calc!$A$2:$C$13,3,1),""))</f>
        <v>Multi Soil</v>
      </c>
      <c r="AX796" s="449" t="str">
        <f>IF(C796&gt;0,VLOOKUP(C796,Foundation_Calc!$E$35:$G$65,3,1),
IF(J796&gt;0,VLOOKUP(J796,Foundation_Calc!$E$35:$G$65,3,1),""))</f>
        <v>PT</v>
      </c>
      <c r="AY796" s="10">
        <f>IF(L796="","",
IF(AX796="PT",VLOOKUP(L796,Foundation_Calc!$K$79:$R$113,VLOOKUP(AW796,Foundation_Calc!$I$2:$J$8,2,FALSE),0),
IF(AX796="K",VLOOKUP(L796,Foundation_Calc!$K$117:$R$151,VLOOKUP(AW796,Foundation_Calc!$I$2:$J$8,2,FALSE),0),"")))</f>
        <v>3.5</v>
      </c>
      <c r="AZ796" s="10" t="str">
        <f>IF(K796="","",
IF(AX796="PT",VLOOKUP(K796,Foundation_Calc!$K$79:$R$113,VLOOKUP(AW796,Foundation_Calc!$I$2:$J$8,2,FALSE),0),
IF(AX796="K",VLOOKUP(K796,Foundation_Calc!$K$117:$R$151,VLOOKUP(AW796,Foundation_Calc!$I$2:$J$8,2,FALSE),0),"")))</f>
        <v/>
      </c>
      <c r="BA796" s="495" t="str">
        <f t="shared" si="112"/>
        <v>ü</v>
      </c>
      <c r="BB796" s="495" t="str">
        <f t="shared" si="113"/>
        <v/>
      </c>
      <c r="BC796" s="495" t="str">
        <f t="shared" si="114"/>
        <v/>
      </c>
      <c r="BD796" s="513" t="str">
        <f>IF(AND(L796="",H796=""),"",
IF(H796="",Pole_Calc!A$9,
IF(H796="MP",Pole_Calc!A$10,
IF(H796="AnMP",Pole_Calc!A$11,
IF(H796="A",Pole_Calc!A$12,
IF(H796="S/A",Pole_Calc!A$13,
IF(H796="A/S",Pole_Calc!A$14,"Poner a mano")))))))</f>
        <v>App.7-V11I-P9.5.1.6</v>
      </c>
      <c r="BE796" s="429" t="s">
        <v>118</v>
      </c>
      <c r="BF796" s="289"/>
      <c r="BG796" s="289"/>
      <c r="BH796" s="290"/>
      <c r="BI796" s="289"/>
    </row>
    <row r="797" spans="1:61" ht="15.75" customHeight="1">
      <c r="A797" s="518"/>
      <c r="B797" s="450"/>
      <c r="C797" s="3"/>
      <c r="D797" s="83"/>
      <c r="E797" s="4"/>
      <c r="F797" s="4"/>
      <c r="G797" s="6">
        <v>48</v>
      </c>
      <c r="H797" s="449"/>
      <c r="I797" s="4"/>
      <c r="J797" s="3">
        <f>C796+7.5</f>
        <v>49310.450000000012</v>
      </c>
      <c r="K797" s="449" t="s">
        <v>117</v>
      </c>
      <c r="L797" s="449"/>
      <c r="M797" s="449" t="str">
        <f>IF(L797="","",
IF(AX797="PT",VLOOKUP(L797,Foundation_Calc!$V$79:$X$113,VLOOKUP(AX797,Foundation_Calc!$I$10:$J$13,2,FALSE),0),
IF(AX797="K",VLOOKUP(L797,Foundation_Calc!$V$117:$X$151,VLOOKUP(AX797,Foundation_Calc!$I$10:$J$13,2,FALSE),0),"")))</f>
        <v/>
      </c>
      <c r="N797" s="449"/>
      <c r="O797" s="449"/>
      <c r="P797" s="449"/>
      <c r="Q797" s="4"/>
      <c r="R797" s="6"/>
      <c r="S797" s="6"/>
      <c r="T797" s="4"/>
      <c r="U797" s="4"/>
      <c r="V797" s="4"/>
      <c r="W797" s="9"/>
      <c r="X797" s="9"/>
      <c r="Y797" s="9"/>
      <c r="Z797" s="9"/>
      <c r="AA797" s="9"/>
      <c r="AB797" s="9"/>
      <c r="AC797" s="449" t="str">
        <f t="shared" si="111"/>
        <v/>
      </c>
      <c r="AD797" s="449"/>
      <c r="AE797" s="449"/>
      <c r="AF797" s="4"/>
      <c r="AG797" s="83"/>
      <c r="AH797" s="4"/>
      <c r="AI797" s="4"/>
      <c r="AJ797" s="449"/>
      <c r="AK797" s="449"/>
      <c r="AL797" s="449"/>
      <c r="AM797" s="449"/>
      <c r="AN797" s="10"/>
      <c r="AO797" s="9"/>
      <c r="AP797" s="9"/>
      <c r="AQ797" s="9">
        <f>+FL_1($T$798,$T$796,$G$797,1200,9.28, 1*$F$798)</f>
        <v>0.3</v>
      </c>
      <c r="AR797" s="9"/>
      <c r="AS797" s="9"/>
      <c r="AT797" s="9"/>
      <c r="AU797" s="428"/>
      <c r="AV797" s="428"/>
      <c r="AW797" s="449" t="str">
        <f>IF(C797&gt;0,VLOOKUP(C797,Foundation_Calc!$A$2:$C$13,3,1),
IF(J797&gt;0,VLOOKUP(J797,Foundation_Calc!$A$2:$C$13,3,1),""))</f>
        <v>Multi Soil</v>
      </c>
      <c r="AX797" s="449" t="str">
        <f>IF(C797&gt;0,VLOOKUP(C797,Foundation_Calc!$E$35:$G$65,3,1),
IF(J797&gt;0,VLOOKUP(J797,Foundation_Calc!$E$35:$G$65,3,1),""))</f>
        <v>PT</v>
      </c>
      <c r="AY797" s="10" t="str">
        <f>IF(L797="","",
IF(AX797="PT",VLOOKUP(L797,Foundation_Calc!$K$79:$R$113,VLOOKUP(AW797,Foundation_Calc!$I$2:$J$8,2,FALSE),0),
IF(AX797="K",VLOOKUP(L797,Foundation_Calc!$K$117:$R$151,VLOOKUP(AW797,Foundation_Calc!$I$2:$J$8,2,FALSE),0),"")))</f>
        <v/>
      </c>
      <c r="AZ797" s="10">
        <f>IF(K797="","",
IF(AX797="PT",VLOOKUP(K797,Foundation_Calc!$K$79:$R$113,VLOOKUP(AW797,Foundation_Calc!$I$2:$J$8,2,FALSE),0),
IF(AX797="K",VLOOKUP(K797,Foundation_Calc!$K$117:$R$151,VLOOKUP(AW797,Foundation_Calc!$I$2:$J$8,2,FALSE),0),"")))</f>
        <v>3.9</v>
      </c>
      <c r="BA797" s="495" t="str">
        <f t="shared" si="112"/>
        <v/>
      </c>
      <c r="BB797" s="495" t="str">
        <f t="shared" si="113"/>
        <v>ü</v>
      </c>
      <c r="BC797" s="495" t="str">
        <f t="shared" si="114"/>
        <v/>
      </c>
      <c r="BD797" s="513" t="str">
        <f>IF(AND(L797="",H797=""),"",
IF(H797="",Pole_Calc!A$9,
IF(H797="MP",Pole_Calc!A$10,
IF(H797="AnMP",Pole_Calc!A$11,
IF(H797="A",Pole_Calc!A$12,
IF(H797="S/A",Pole_Calc!A$13,
IF(H797="A/S",Pole_Calc!A$14,"Poner a mano")))))))</f>
        <v/>
      </c>
      <c r="BE797" s="429" t="s">
        <v>118</v>
      </c>
      <c r="BF797" s="290"/>
      <c r="BG797" s="290"/>
      <c r="BH797" s="290"/>
      <c r="BI797" s="290"/>
    </row>
    <row r="798" spans="1:61" ht="15.75" customHeight="1">
      <c r="A798" s="514"/>
      <c r="B798" s="450" t="s">
        <v>1348</v>
      </c>
      <c r="C798" s="3">
        <f>+$C$796+$G$797</f>
        <v>49350.950000000012</v>
      </c>
      <c r="D798" s="83"/>
      <c r="E798" s="4"/>
      <c r="F798" s="4">
        <v>1225.4480938948038</v>
      </c>
      <c r="G798" s="6"/>
      <c r="H798" s="449"/>
      <c r="I798" s="4"/>
      <c r="J798" s="3"/>
      <c r="K798" s="449"/>
      <c r="L798" s="449" t="s">
        <v>158</v>
      </c>
      <c r="M798" s="449" t="str">
        <f>IF(L798="","",
IF(AX798="PT",VLOOKUP(L798,Foundation_Calc!$V$79:$X$113,VLOOKUP(AX798,Foundation_Calc!$I$10:$J$13,2,FALSE),0),
IF(AX798="K",VLOOKUP(L798,Foundation_Calc!$V$117:$X$151,VLOOKUP(AX798,Foundation_Calc!$I$10:$J$13,2,FALSE),0),"")))</f>
        <v>C4R</v>
      </c>
      <c r="N798" s="449" t="s">
        <v>134</v>
      </c>
      <c r="O798" s="449"/>
      <c r="P798" s="449"/>
      <c r="Q798" s="4"/>
      <c r="R798" s="6"/>
      <c r="S798" s="6"/>
      <c r="T798" s="4">
        <v>30</v>
      </c>
      <c r="U798" s="4"/>
      <c r="V798" s="4"/>
      <c r="W798" s="9">
        <v>1.4</v>
      </c>
      <c r="X798" s="9"/>
      <c r="Y798" s="9"/>
      <c r="Z798" s="9"/>
      <c r="AA798" s="9"/>
      <c r="AB798" s="9"/>
      <c r="AC798" s="449" t="str">
        <f t="shared" si="111"/>
        <v>PHC</v>
      </c>
      <c r="AD798" s="449"/>
      <c r="AE798" s="449"/>
      <c r="AF798" s="4"/>
      <c r="AG798" s="83"/>
      <c r="AH798" s="4"/>
      <c r="AI798" s="4"/>
      <c r="AJ798" s="449"/>
      <c r="AK798" s="449"/>
      <c r="AL798" s="449"/>
      <c r="AM798" s="449" t="s">
        <v>552</v>
      </c>
      <c r="AN798" s="10">
        <v>5.5</v>
      </c>
      <c r="AO798" s="9"/>
      <c r="AP798" s="9"/>
      <c r="AQ798" s="9"/>
      <c r="AR798" s="9"/>
      <c r="AS798" s="9"/>
      <c r="AT798" s="9">
        <f>+ab($T$798,$T$796,$T$800,$G$797,$G$799, 1*$F$798,1200)</f>
        <v>4.8097307397165032</v>
      </c>
      <c r="AU798" s="428"/>
      <c r="AV798" s="428"/>
      <c r="AW798" s="449" t="str">
        <f>IF(C798&gt;0,VLOOKUP(C798,Foundation_Calc!$A$2:$C$13,3,1),
IF(J798&gt;0,VLOOKUP(J798,Foundation_Calc!$A$2:$C$13,3,1),""))</f>
        <v>Multi Soil</v>
      </c>
      <c r="AX798" s="449" t="str">
        <f>IF(C798&gt;0,VLOOKUP(C798,Foundation_Calc!$E$35:$G$65,3,1),
IF(J798&gt;0,VLOOKUP(J798,Foundation_Calc!$E$35:$G$65,3,1),""))</f>
        <v>PT</v>
      </c>
      <c r="AY798" s="10">
        <f>IF(L798="","",
IF(AX798="PT",VLOOKUP(L798,Foundation_Calc!$K$79:$R$113,VLOOKUP(AW798,Foundation_Calc!$I$2:$J$8,2,FALSE),0),
IF(AX798="K",VLOOKUP(L798,Foundation_Calc!$K$117:$R$151,VLOOKUP(AW798,Foundation_Calc!$I$2:$J$8,2,FALSE),0),"")))</f>
        <v>3.5</v>
      </c>
      <c r="AZ798" s="10" t="str">
        <f>IF(K798="","",
IF(AX798="PT",VLOOKUP(K798,Foundation_Calc!$K$79:$R$113,VLOOKUP(AW798,Foundation_Calc!$I$2:$J$8,2,FALSE),0),
IF(AX798="K",VLOOKUP(K798,Foundation_Calc!$K$117:$R$151,VLOOKUP(AW798,Foundation_Calc!$I$2:$J$8,2,FALSE),0),"")))</f>
        <v/>
      </c>
      <c r="BA798" s="495" t="str">
        <f t="shared" si="112"/>
        <v>ü</v>
      </c>
      <c r="BB798" s="495" t="str">
        <f t="shared" si="113"/>
        <v/>
      </c>
      <c r="BC798" s="495" t="str">
        <f t="shared" si="114"/>
        <v/>
      </c>
      <c r="BD798" s="513" t="str">
        <f>IF(AND(L798="",H798=""),"",
IF(H798="",Pole_Calc!A$9,
IF(H798="MP",Pole_Calc!A$10,
IF(H798="AnMP",Pole_Calc!A$11,
IF(H798="A",Pole_Calc!A$12,
IF(H798="S/A",Pole_Calc!A$13,
IF(H798="A/S",Pole_Calc!A$14,"Poner a mano")))))))</f>
        <v>App.7-V11I-P9.5.1.1</v>
      </c>
      <c r="BE798" s="429" t="s">
        <v>118</v>
      </c>
      <c r="BF798" s="289"/>
      <c r="BG798" s="289"/>
      <c r="BH798" s="290"/>
      <c r="BI798" s="289"/>
    </row>
    <row r="799" spans="1:61" ht="15.75" customHeight="1">
      <c r="A799" s="514"/>
      <c r="B799" s="450"/>
      <c r="C799" s="3"/>
      <c r="D799" s="83"/>
      <c r="E799" s="4"/>
      <c r="F799" s="4"/>
      <c r="G799" s="6">
        <v>47</v>
      </c>
      <c r="H799" s="449"/>
      <c r="I799" s="4"/>
      <c r="J799" s="3"/>
      <c r="K799" s="449"/>
      <c r="L799" s="449"/>
      <c r="M799" s="449" t="str">
        <f>IF(L799="","",
IF(AX799="PT",VLOOKUP(L799,Foundation_Calc!$V$79:$X$113,VLOOKUP(AX799,Foundation_Calc!$I$10:$J$13,2,FALSE),0),
IF(AX799="K",VLOOKUP(L799,Foundation_Calc!$V$117:$X$151,VLOOKUP(AX799,Foundation_Calc!$I$10:$J$13,2,FALSE),0),"")))</f>
        <v/>
      </c>
      <c r="N799" s="449"/>
      <c r="O799" s="449"/>
      <c r="P799" s="449"/>
      <c r="Q799" s="4"/>
      <c r="R799" s="6"/>
      <c r="S799" s="6"/>
      <c r="T799" s="4"/>
      <c r="U799" s="4"/>
      <c r="V799" s="4"/>
      <c r="W799" s="9"/>
      <c r="X799" s="9"/>
      <c r="Y799" s="9"/>
      <c r="Z799" s="9"/>
      <c r="AA799" s="9"/>
      <c r="AB799" s="9"/>
      <c r="AC799" s="449" t="str">
        <f t="shared" si="111"/>
        <v/>
      </c>
      <c r="AD799" s="449"/>
      <c r="AE799" s="449"/>
      <c r="AF799" s="4"/>
      <c r="AG799" s="83"/>
      <c r="AH799" s="4"/>
      <c r="AI799" s="4"/>
      <c r="AJ799" s="449"/>
      <c r="AK799" s="449"/>
      <c r="AL799" s="449"/>
      <c r="AM799" s="449"/>
      <c r="AN799" s="10"/>
      <c r="AO799" s="9"/>
      <c r="AP799" s="9"/>
      <c r="AQ799" s="9">
        <f>+FL_1($T$800,$T$798,$G$799,1200,9.28, 1*$F$800)</f>
        <v>0.30002716131385709</v>
      </c>
      <c r="AR799" s="9"/>
      <c r="AS799" s="9"/>
      <c r="AT799" s="9"/>
      <c r="AU799" s="428"/>
      <c r="AV799" s="428"/>
      <c r="AW799" s="449" t="str">
        <f>IF(C799&gt;0,VLOOKUP(C799,Foundation_Calc!$A$2:$C$13,3,1),
IF(J799&gt;0,VLOOKUP(J799,Foundation_Calc!$A$2:$C$13,3,1),""))</f>
        <v/>
      </c>
      <c r="AX799" s="449" t="str">
        <f>IF(C799&gt;0,VLOOKUP(C799,Foundation_Calc!$E$35:$G$65,3,1),
IF(J799&gt;0,VLOOKUP(J799,Foundation_Calc!$E$35:$G$65,3,1),""))</f>
        <v/>
      </c>
      <c r="AY799" s="10" t="str">
        <f>IF(L799="","",
IF(AX799="PT",VLOOKUP(L799,Foundation_Calc!$K$79:$R$113,VLOOKUP(AW799,Foundation_Calc!$I$2:$J$8,2,FALSE),0),
IF(AX799="K",VLOOKUP(L799,Foundation_Calc!$K$117:$R$151,VLOOKUP(AW799,Foundation_Calc!$I$2:$J$8,2,FALSE),0),"")))</f>
        <v/>
      </c>
      <c r="AZ799" s="10" t="str">
        <f>IF(K799="","",
IF(AX799="PT",VLOOKUP(K799,Foundation_Calc!$K$79:$R$113,VLOOKUP(AW799,Foundation_Calc!$I$2:$J$8,2,FALSE),0),
IF(AX799="K",VLOOKUP(K799,Foundation_Calc!$K$117:$R$151,VLOOKUP(AW799,Foundation_Calc!$I$2:$J$8,2,FALSE),0),"")))</f>
        <v/>
      </c>
      <c r="BA799" s="495" t="str">
        <f t="shared" si="112"/>
        <v/>
      </c>
      <c r="BB799" s="495" t="str">
        <f t="shared" si="113"/>
        <v/>
      </c>
      <c r="BC799" s="495" t="str">
        <f t="shared" si="114"/>
        <v/>
      </c>
      <c r="BD799" s="513" t="str">
        <f>IF(AND(L799="",H799=""),"",
IF(H799="",Pole_Calc!A$9,
IF(H799="MP",Pole_Calc!A$10,
IF(H799="AnMP",Pole_Calc!A$11,
IF(H799="A",Pole_Calc!A$12,
IF(H799="S/A",Pole_Calc!A$13,
IF(H799="A/S",Pole_Calc!A$14,"Poner a mano")))))))</f>
        <v/>
      </c>
      <c r="BE799" s="429" t="s">
        <v>118</v>
      </c>
      <c r="BF799" s="290"/>
      <c r="BG799" s="290"/>
      <c r="BH799" s="290"/>
      <c r="BI799" s="290"/>
    </row>
    <row r="800" spans="1:61" ht="15.75" customHeight="1">
      <c r="A800" s="514"/>
      <c r="B800" s="450" t="s">
        <v>1349</v>
      </c>
      <c r="C800" s="3">
        <f>+$C$798+$G$799</f>
        <v>49397.950000000012</v>
      </c>
      <c r="D800" s="83"/>
      <c r="E800" s="4"/>
      <c r="F800" s="4">
        <v>1125</v>
      </c>
      <c r="G800" s="6"/>
      <c r="H800" s="449"/>
      <c r="I800" s="4"/>
      <c r="J800" s="3"/>
      <c r="K800" s="449"/>
      <c r="L800" s="449" t="s">
        <v>158</v>
      </c>
      <c r="M800" s="449" t="str">
        <f>IF(L800="","",
IF(AX800="PT",VLOOKUP(L800,Foundation_Calc!$V$79:$X$113,VLOOKUP(AX800,Foundation_Calc!$I$10:$J$13,2,FALSE),0),
IF(AX800="K",VLOOKUP(L800,Foundation_Calc!$V$117:$X$151,VLOOKUP(AX800,Foundation_Calc!$I$10:$J$13,2,FALSE),0),"")))</f>
        <v>C4R</v>
      </c>
      <c r="N800" s="449" t="s">
        <v>134</v>
      </c>
      <c r="O800" s="449"/>
      <c r="P800" s="449"/>
      <c r="Q800" s="4"/>
      <c r="R800" s="6"/>
      <c r="S800" s="6"/>
      <c r="T800" s="4">
        <v>30</v>
      </c>
      <c r="U800" s="4"/>
      <c r="V800" s="4"/>
      <c r="W800" s="9">
        <v>1.4</v>
      </c>
      <c r="X800" s="9"/>
      <c r="Y800" s="9"/>
      <c r="Z800" s="9"/>
      <c r="AA800" s="9"/>
      <c r="AB800" s="9"/>
      <c r="AC800" s="449" t="str">
        <f t="shared" si="111"/>
        <v>PHC</v>
      </c>
      <c r="AD800" s="449"/>
      <c r="AE800" s="449"/>
      <c r="AF800" s="4"/>
      <c r="AG800" s="83"/>
      <c r="AH800" s="4"/>
      <c r="AI800" s="4"/>
      <c r="AJ800" s="449"/>
      <c r="AK800" s="449"/>
      <c r="AL800" s="449"/>
      <c r="AM800" s="449" t="s">
        <v>552</v>
      </c>
      <c r="AN800" s="10">
        <v>5.5</v>
      </c>
      <c r="AO800" s="9"/>
      <c r="AP800" s="9"/>
      <c r="AQ800" s="9"/>
      <c r="AR800" s="9"/>
      <c r="AS800" s="9"/>
      <c r="AT800" s="9">
        <f>+ab($T$800,$T$798,$T$802,$G$799,$G$801, 1*$F$800,1200)</f>
        <v>4.5833737510343049</v>
      </c>
      <c r="AU800" s="428"/>
      <c r="AV800" s="428"/>
      <c r="AW800" s="449" t="str">
        <f>IF(C800&gt;0,VLOOKUP(C800,Foundation_Calc!$A$2:$C$13,3,1),
IF(J800&gt;0,VLOOKUP(J800,Foundation_Calc!$A$2:$C$13,3,1),""))</f>
        <v>Multi Soil</v>
      </c>
      <c r="AX800" s="449" t="str">
        <f>IF(C800&gt;0,VLOOKUP(C800,Foundation_Calc!$E$35:$G$65,3,1),
IF(J800&gt;0,VLOOKUP(J800,Foundation_Calc!$E$35:$G$65,3,1),""))</f>
        <v>PT</v>
      </c>
      <c r="AY800" s="10">
        <f>IF(L800="","",
IF(AX800="PT",VLOOKUP(L800,Foundation_Calc!$K$79:$R$113,VLOOKUP(AW800,Foundation_Calc!$I$2:$J$8,2,FALSE),0),
IF(AX800="K",VLOOKUP(L800,Foundation_Calc!$K$117:$R$151,VLOOKUP(AW800,Foundation_Calc!$I$2:$J$8,2,FALSE),0),"")))</f>
        <v>3.5</v>
      </c>
      <c r="AZ800" s="10" t="str">
        <f>IF(K800="","",
IF(AX800="PT",VLOOKUP(K800,Foundation_Calc!$K$79:$R$113,VLOOKUP(AW800,Foundation_Calc!$I$2:$J$8,2,FALSE),0),
IF(AX800="K",VLOOKUP(K800,Foundation_Calc!$K$117:$R$151,VLOOKUP(AW800,Foundation_Calc!$I$2:$J$8,2,FALSE),0),"")))</f>
        <v/>
      </c>
      <c r="BA800" s="495" t="str">
        <f t="shared" si="112"/>
        <v>ü</v>
      </c>
      <c r="BB800" s="495" t="str">
        <f t="shared" si="113"/>
        <v/>
      </c>
      <c r="BC800" s="495" t="str">
        <f t="shared" si="114"/>
        <v/>
      </c>
      <c r="BD800" s="513" t="str">
        <f>IF(AND(L800="",H800=""),"",
IF(H800="",Pole_Calc!A$9,
IF(H800="MP",Pole_Calc!A$10,
IF(H800="AnMP",Pole_Calc!A$11,
IF(H800="A",Pole_Calc!A$12,
IF(H800="S/A",Pole_Calc!A$13,
IF(H800="A/S",Pole_Calc!A$14,"Poner a mano")))))))</f>
        <v>App.7-V11I-P9.5.1.1</v>
      </c>
      <c r="BE800" s="429" t="s">
        <v>118</v>
      </c>
      <c r="BF800" s="289"/>
      <c r="BG800" s="289"/>
      <c r="BH800" s="290"/>
      <c r="BI800" s="289"/>
    </row>
    <row r="801" spans="1:61" ht="15.75" customHeight="1">
      <c r="A801" s="514"/>
      <c r="B801" s="450"/>
      <c r="C801" s="3"/>
      <c r="D801" s="83"/>
      <c r="E801" s="4"/>
      <c r="F801" s="4"/>
      <c r="G801" s="6">
        <v>47</v>
      </c>
      <c r="H801" s="449"/>
      <c r="I801" s="4"/>
      <c r="J801" s="3"/>
      <c r="K801" s="449"/>
      <c r="L801" s="449"/>
      <c r="M801" s="449" t="str">
        <f>IF(L801="","",
IF(AX801="PT",VLOOKUP(L801,Foundation_Calc!$V$79:$X$113,VLOOKUP(AX801,Foundation_Calc!$I$10:$J$13,2,FALSE),0),
IF(AX801="K",VLOOKUP(L801,Foundation_Calc!$V$117:$X$151,VLOOKUP(AX801,Foundation_Calc!$I$10:$J$13,2,FALSE),0),"")))</f>
        <v/>
      </c>
      <c r="N801" s="449"/>
      <c r="O801" s="561"/>
      <c r="P801" s="449"/>
      <c r="Q801" s="4"/>
      <c r="R801" s="6"/>
      <c r="S801" s="6"/>
      <c r="T801" s="4"/>
      <c r="U801" s="4"/>
      <c r="V801" s="4"/>
      <c r="W801" s="9"/>
      <c r="X801" s="9"/>
      <c r="Y801" s="9"/>
      <c r="Z801" s="9"/>
      <c r="AA801" s="9"/>
      <c r="AB801" s="9"/>
      <c r="AC801" s="449" t="str">
        <f t="shared" si="111"/>
        <v/>
      </c>
      <c r="AD801" s="449"/>
      <c r="AE801" s="449"/>
      <c r="AF801" s="4"/>
      <c r="AG801" s="83"/>
      <c r="AH801" s="4"/>
      <c r="AI801" s="4"/>
      <c r="AJ801" s="449"/>
      <c r="AK801" s="449"/>
      <c r="AL801" s="449"/>
      <c r="AM801" s="449"/>
      <c r="AN801" s="10"/>
      <c r="AO801" s="9"/>
      <c r="AP801" s="9"/>
      <c r="AQ801" s="9">
        <f>+FL_1($T$802,$T$800,$G$801,1200,9.28, 1*$F$802)</f>
        <v>0.30002716131385709</v>
      </c>
      <c r="AR801" s="9"/>
      <c r="AS801" s="9"/>
      <c r="AT801" s="9"/>
      <c r="AU801" s="428"/>
      <c r="AV801" s="428"/>
      <c r="AW801" s="449" t="str">
        <f>IF(C801&gt;0,VLOOKUP(C801,Foundation_Calc!$A$2:$C$13,3,1),
IF(J801&gt;0,VLOOKUP(J801,Foundation_Calc!$A$2:$C$13,3,1),""))</f>
        <v/>
      </c>
      <c r="AX801" s="449" t="str">
        <f>IF(C801&gt;0,VLOOKUP(C801,Foundation_Calc!$E$35:$G$65,3,1),
IF(J801&gt;0,VLOOKUP(J801,Foundation_Calc!$E$35:$G$65,3,1),""))</f>
        <v/>
      </c>
      <c r="AY801" s="10" t="str">
        <f>IF(L801="","",
IF(AX801="PT",VLOOKUP(L801,Foundation_Calc!$K$79:$R$113,VLOOKUP(AW801,Foundation_Calc!$I$2:$J$8,2,FALSE),0),
IF(AX801="K",VLOOKUP(L801,Foundation_Calc!$K$117:$R$151,VLOOKUP(AW801,Foundation_Calc!$I$2:$J$8,2,FALSE),0),"")))</f>
        <v/>
      </c>
      <c r="AZ801" s="10" t="str">
        <f>IF(K801="","",
IF(AX801="PT",VLOOKUP(K801,Foundation_Calc!$K$79:$R$113,VLOOKUP(AW801,Foundation_Calc!$I$2:$J$8,2,FALSE),0),
IF(AX801="K",VLOOKUP(K801,Foundation_Calc!$K$117:$R$151,VLOOKUP(AW801,Foundation_Calc!$I$2:$J$8,2,FALSE),0),"")))</f>
        <v/>
      </c>
      <c r="BA801" s="495" t="str">
        <f t="shared" si="112"/>
        <v/>
      </c>
      <c r="BB801" s="495" t="str">
        <f t="shared" si="113"/>
        <v/>
      </c>
      <c r="BC801" s="495" t="str">
        <f t="shared" si="114"/>
        <v/>
      </c>
      <c r="BD801" s="513" t="str">
        <f>IF(AND(L801="",H801=""),"",
IF(H801="",Pole_Calc!A$9,
IF(H801="MP",Pole_Calc!A$10,
IF(H801="AnMP",Pole_Calc!A$11,
IF(H801="A",Pole_Calc!A$12,
IF(H801="S/A",Pole_Calc!A$13,
IF(H801="A/S",Pole_Calc!A$14,"Poner a mano")))))))</f>
        <v/>
      </c>
      <c r="BE801" s="429" t="s">
        <v>118</v>
      </c>
      <c r="BF801" s="290"/>
      <c r="BG801" s="290"/>
      <c r="BH801" s="290"/>
      <c r="BI801" s="290"/>
    </row>
    <row r="802" spans="1:61" ht="15.75" customHeight="1">
      <c r="A802" s="514"/>
      <c r="B802" s="450" t="s">
        <v>1350</v>
      </c>
      <c r="C802" s="3">
        <f>+$C$800+$G$801</f>
        <v>49444.950000000012</v>
      </c>
      <c r="D802" s="83"/>
      <c r="E802" s="4"/>
      <c r="F802" s="4">
        <v>1125</v>
      </c>
      <c r="G802" s="6"/>
      <c r="H802" s="449"/>
      <c r="I802" s="4"/>
      <c r="J802" s="3"/>
      <c r="K802" s="449"/>
      <c r="L802" s="449" t="s">
        <v>158</v>
      </c>
      <c r="M802" s="449" t="str">
        <f>IF(L802="","",
IF(AX802="PT",VLOOKUP(L802,Foundation_Calc!$V$79:$X$113,VLOOKUP(AX802,Foundation_Calc!$I$10:$J$13,2,FALSE),0),
IF(AX802="K",VLOOKUP(L802,Foundation_Calc!$V$117:$X$151,VLOOKUP(AX802,Foundation_Calc!$I$10:$J$13,2,FALSE),0),"")))</f>
        <v>C4R</v>
      </c>
      <c r="N802" s="449" t="s">
        <v>134</v>
      </c>
      <c r="O802" s="449"/>
      <c r="P802" s="449"/>
      <c r="Q802" s="4"/>
      <c r="R802" s="6"/>
      <c r="S802" s="6"/>
      <c r="T802" s="4">
        <v>30</v>
      </c>
      <c r="U802" s="4"/>
      <c r="V802" s="4"/>
      <c r="W802" s="9">
        <v>1.4</v>
      </c>
      <c r="X802" s="9"/>
      <c r="Y802" s="9"/>
      <c r="Z802" s="9"/>
      <c r="AA802" s="9"/>
      <c r="AB802" s="9"/>
      <c r="AC802" s="449" t="str">
        <f t="shared" si="111"/>
        <v>PHC</v>
      </c>
      <c r="AD802" s="449"/>
      <c r="AE802" s="449"/>
      <c r="AF802" s="4"/>
      <c r="AG802" s="83"/>
      <c r="AH802" s="4"/>
      <c r="AI802" s="4"/>
      <c r="AJ802" s="449"/>
      <c r="AK802" s="449"/>
      <c r="AL802" s="449"/>
      <c r="AM802" s="449" t="s">
        <v>552</v>
      </c>
      <c r="AN802" s="10">
        <f>AN800-0.07</f>
        <v>5.43</v>
      </c>
      <c r="AO802" s="9"/>
      <c r="AP802" s="9"/>
      <c r="AQ802" s="9"/>
      <c r="AR802" s="9"/>
      <c r="AS802" s="9"/>
      <c r="AT802" s="9">
        <f>+ab($T$802,$T$800,$T$804,$G$801,$G$803, 1*$F$802,1200)</f>
        <v>4.6825739117467622</v>
      </c>
      <c r="AU802" s="428"/>
      <c r="AV802" s="428"/>
      <c r="AW802" s="449" t="str">
        <f>IF(C802&gt;0,VLOOKUP(C802,Foundation_Calc!$A$2:$C$13,3,1),
IF(J802&gt;0,VLOOKUP(J802,Foundation_Calc!$A$2:$C$13,3,1),""))</f>
        <v>Multi Soil</v>
      </c>
      <c r="AX802" s="449" t="str">
        <f>IF(C802&gt;0,VLOOKUP(C802,Foundation_Calc!$E$35:$G$65,3,1),
IF(J802&gt;0,VLOOKUP(J802,Foundation_Calc!$E$35:$G$65,3,1),""))</f>
        <v>PT</v>
      </c>
      <c r="AY802" s="10">
        <f>IF(L802="","",
IF(AX802="PT",VLOOKUP(L802,Foundation_Calc!$K$79:$R$113,VLOOKUP(AW802,Foundation_Calc!$I$2:$J$8,2,FALSE),0),
IF(AX802="K",VLOOKUP(L802,Foundation_Calc!$K$117:$R$151,VLOOKUP(AW802,Foundation_Calc!$I$2:$J$8,2,FALSE),0),"")))</f>
        <v>3.5</v>
      </c>
      <c r="AZ802" s="10" t="str">
        <f>IF(K802="","",
IF(AX802="PT",VLOOKUP(K802,Foundation_Calc!$K$79:$R$113,VLOOKUP(AW802,Foundation_Calc!$I$2:$J$8,2,FALSE),0),
IF(AX802="K",VLOOKUP(K802,Foundation_Calc!$K$117:$R$151,VLOOKUP(AW802,Foundation_Calc!$I$2:$J$8,2,FALSE),0),"")))</f>
        <v/>
      </c>
      <c r="BA802" s="495" t="str">
        <f t="shared" si="112"/>
        <v>ü</v>
      </c>
      <c r="BB802" s="495" t="str">
        <f t="shared" si="113"/>
        <v/>
      </c>
      <c r="BC802" s="495" t="str">
        <f t="shared" si="114"/>
        <v/>
      </c>
      <c r="BD802" s="513" t="str">
        <f>IF(AND(L802="",H802=""),"",
IF(H802="",Pole_Calc!A$9,
IF(H802="MP",Pole_Calc!A$10,
IF(H802="AnMP",Pole_Calc!A$11,
IF(H802="A",Pole_Calc!A$12,
IF(H802="S/A",Pole_Calc!A$13,
IF(H802="A/S",Pole_Calc!A$14,"Poner a mano")))))))</f>
        <v>App.7-V11I-P9.5.1.1</v>
      </c>
      <c r="BE802" s="429" t="s">
        <v>118</v>
      </c>
      <c r="BF802" s="289"/>
      <c r="BG802" s="289"/>
      <c r="BH802" s="290"/>
      <c r="BI802" s="289"/>
    </row>
    <row r="803" spans="1:61" ht="15.75" customHeight="1">
      <c r="A803" s="518"/>
      <c r="B803" s="450"/>
      <c r="C803" s="3"/>
      <c r="D803" s="83"/>
      <c r="E803" s="4"/>
      <c r="F803" s="4"/>
      <c r="G803" s="6">
        <v>45</v>
      </c>
      <c r="H803" s="449"/>
      <c r="I803" s="4"/>
      <c r="J803" s="3">
        <f>C804-7.5</f>
        <v>49482.450000000012</v>
      </c>
      <c r="K803" s="449" t="s">
        <v>166</v>
      </c>
      <c r="L803" s="449"/>
      <c r="M803" s="449" t="str">
        <f>IF(L803="","",
IF(AX803="PT",VLOOKUP(L803,Foundation_Calc!$V$79:$X$113,VLOOKUP(AX803,Foundation_Calc!$I$10:$J$13,2,FALSE),0),
IF(AX803="K",VLOOKUP(L803,Foundation_Calc!$V$117:$X$151,VLOOKUP(AX803,Foundation_Calc!$I$10:$J$13,2,FALSE),0),"")))</f>
        <v/>
      </c>
      <c r="N803" s="449"/>
      <c r="O803" s="449"/>
      <c r="P803" s="449"/>
      <c r="Q803" s="4"/>
      <c r="R803" s="6"/>
      <c r="S803" s="6"/>
      <c r="T803" s="4"/>
      <c r="U803" s="4"/>
      <c r="V803" s="4"/>
      <c r="W803" s="9"/>
      <c r="X803" s="9"/>
      <c r="Y803" s="9"/>
      <c r="Z803" s="9"/>
      <c r="AA803" s="9"/>
      <c r="AB803" s="9"/>
      <c r="AC803" s="449" t="str">
        <f t="shared" si="111"/>
        <v/>
      </c>
      <c r="AD803" s="449"/>
      <c r="AE803" s="449"/>
      <c r="AF803" s="4"/>
      <c r="AG803" s="83"/>
      <c r="AH803" s="4"/>
      <c r="AI803" s="4"/>
      <c r="AJ803" s="449"/>
      <c r="AK803" s="449"/>
      <c r="AL803" s="449"/>
      <c r="AM803" s="449"/>
      <c r="AN803" s="10"/>
      <c r="AO803" s="9"/>
      <c r="AP803" s="9"/>
      <c r="AQ803" s="9">
        <f>+FL_1($T$804,$T$802,$G$803,1200,9.28, 1*$F$804)</f>
        <v>0.30002600576005967</v>
      </c>
      <c r="AR803" s="9"/>
      <c r="AS803" s="9"/>
      <c r="AT803" s="9"/>
      <c r="AU803" s="428"/>
      <c r="AV803" s="428"/>
      <c r="AW803" s="449" t="str">
        <f>IF(C803&gt;0,VLOOKUP(C803,Foundation_Calc!$A$2:$C$13,3,1),
IF(J803&gt;0,VLOOKUP(J803,Foundation_Calc!$A$2:$C$13,3,1),""))</f>
        <v>Multi Soil</v>
      </c>
      <c r="AX803" s="449" t="str">
        <f>IF(C803&gt;0,VLOOKUP(C803,Foundation_Calc!$E$35:$G$65,3,1),
IF(J803&gt;0,VLOOKUP(J803,Foundation_Calc!$E$35:$G$65,3,1),""))</f>
        <v>PT</v>
      </c>
      <c r="AY803" s="10" t="str">
        <f>IF(L803="","",
IF(AX803="PT",VLOOKUP(L803,Foundation_Calc!$K$79:$R$113,VLOOKUP(AW803,Foundation_Calc!$I$2:$J$8,2,FALSE),0),
IF(AX803="K",VLOOKUP(L803,Foundation_Calc!$K$117:$R$151,VLOOKUP(AW803,Foundation_Calc!$I$2:$J$8,2,FALSE),0),"")))</f>
        <v/>
      </c>
      <c r="AZ803" s="10">
        <f>IF(K803="","",
IF(AX803="PT",VLOOKUP(K803,Foundation_Calc!$K$79:$R$113,VLOOKUP(AW803,Foundation_Calc!$I$2:$J$8,2,FALSE),0),
IF(AX803="K",VLOOKUP(K803,Foundation_Calc!$K$117:$R$151,VLOOKUP(AW803,Foundation_Calc!$I$2:$J$8,2,FALSE),0),"")))</f>
        <v>2.8</v>
      </c>
      <c r="BA803" s="495" t="str">
        <f t="shared" si="112"/>
        <v/>
      </c>
      <c r="BB803" s="495" t="str">
        <f t="shared" si="113"/>
        <v>ü</v>
      </c>
      <c r="BC803" s="495" t="str">
        <f t="shared" si="114"/>
        <v/>
      </c>
      <c r="BD803" s="513" t="str">
        <f>IF(AND(L803="",H803=""),"",
IF(H803="",Pole_Calc!A$9,
IF(H803="MP",Pole_Calc!A$10,
IF(H803="AnMP",Pole_Calc!A$11,
IF(H803="A",Pole_Calc!A$12,
IF(H803="S/A",Pole_Calc!A$13,
IF(H803="A/S",Pole_Calc!A$14,"Poner a mano")))))))</f>
        <v/>
      </c>
      <c r="BE803" s="429" t="s">
        <v>118</v>
      </c>
      <c r="BF803" s="290"/>
      <c r="BG803" s="290"/>
      <c r="BH803" s="290"/>
      <c r="BI803" s="290"/>
    </row>
    <row r="804" spans="1:61" ht="15.75" customHeight="1">
      <c r="A804" s="514"/>
      <c r="B804" s="450" t="s">
        <v>1351</v>
      </c>
      <c r="C804" s="3">
        <f>+$C$802+$G$803</f>
        <v>49489.950000000012</v>
      </c>
      <c r="D804" s="83"/>
      <c r="E804" s="4"/>
      <c r="F804" s="4">
        <v>1125</v>
      </c>
      <c r="G804" s="6"/>
      <c r="H804" s="449" t="s">
        <v>168</v>
      </c>
      <c r="I804" s="4"/>
      <c r="J804" s="3"/>
      <c r="K804" s="449"/>
      <c r="L804" s="449" t="s">
        <v>153</v>
      </c>
      <c r="M804" s="449" t="str">
        <f>IF(L804="","",
IF(AX804="PT",VLOOKUP(L804,Foundation_Calc!$V$79:$X$113,VLOOKUP(AX804,Foundation_Calc!$I$10:$J$13,2,FALSE),0),
IF(AX804="K",VLOOKUP(L804,Foundation_Calc!$V$117:$X$151,VLOOKUP(AX804,Foundation_Calc!$I$10:$J$13,2,FALSE),0),"")))</f>
        <v>C3R</v>
      </c>
      <c r="N804" s="449" t="s">
        <v>134</v>
      </c>
      <c r="O804" s="449"/>
      <c r="P804" s="449"/>
      <c r="Q804" s="4"/>
      <c r="R804" s="6"/>
      <c r="S804" s="6"/>
      <c r="T804" s="4">
        <v>30</v>
      </c>
      <c r="U804" s="4"/>
      <c r="V804" s="4"/>
      <c r="W804" s="572">
        <v>1.2</v>
      </c>
      <c r="X804" s="9"/>
      <c r="Y804" s="9"/>
      <c r="Z804" s="9"/>
      <c r="AA804" s="9"/>
      <c r="AB804" s="9"/>
      <c r="AC804" s="449" t="str">
        <f t="shared" si="111"/>
        <v>PHQ</v>
      </c>
      <c r="AD804" s="449"/>
      <c r="AE804" s="449"/>
      <c r="AF804" s="4"/>
      <c r="AG804" s="83"/>
      <c r="AH804" s="4"/>
      <c r="AI804" s="4"/>
      <c r="AJ804" s="449"/>
      <c r="AK804" s="449"/>
      <c r="AL804" s="449"/>
      <c r="AM804" s="449" t="s">
        <v>552</v>
      </c>
      <c r="AN804" s="10">
        <f>AN802-0.12</f>
        <v>5.31</v>
      </c>
      <c r="AO804" s="9"/>
      <c r="AP804" s="9"/>
      <c r="AQ804" s="9"/>
      <c r="AR804" s="9"/>
      <c r="AS804" s="9"/>
      <c r="AT804" s="9">
        <f>+ab($T$804,$T$802,$T$806,$G$803,$G$805, 1*$F$804,1200)</f>
        <v>5.0662665052612832</v>
      </c>
      <c r="AU804" s="428"/>
      <c r="AV804" s="428"/>
      <c r="AW804" s="449" t="str">
        <f>IF(C804&gt;0,VLOOKUP(C804,Foundation_Calc!$A$2:$C$13,3,1),
IF(J804&gt;0,VLOOKUP(J804,Foundation_Calc!$A$2:$C$13,3,1),""))</f>
        <v>Multi Soil</v>
      </c>
      <c r="AX804" s="449" t="str">
        <f>IF(C804&gt;0,VLOOKUP(C804,Foundation_Calc!$E$35:$G$65,3,1),
IF(J804&gt;0,VLOOKUP(J804,Foundation_Calc!$E$35:$G$65,3,1),""))</f>
        <v>PT</v>
      </c>
      <c r="AY804" s="10">
        <f>IF(L804="","",
IF(AX804="PT",VLOOKUP(L804,Foundation_Calc!$K$79:$R$113,VLOOKUP(AW804,Foundation_Calc!$I$2:$J$8,2,FALSE),0),
IF(AX804="K",VLOOKUP(L804,Foundation_Calc!$K$117:$R$151,VLOOKUP(AW804,Foundation_Calc!$I$2:$J$8,2,FALSE),0),"")))</f>
        <v>3.5</v>
      </c>
      <c r="AZ804" s="10" t="str">
        <f>IF(K804="","",
IF(AX804="PT",VLOOKUP(K804,Foundation_Calc!$K$79:$R$113,VLOOKUP(AW804,Foundation_Calc!$I$2:$J$8,2,FALSE),0),
IF(AX804="K",VLOOKUP(K804,Foundation_Calc!$K$117:$R$151,VLOOKUP(AW804,Foundation_Calc!$I$2:$J$8,2,FALSE),0),"")))</f>
        <v/>
      </c>
      <c r="BA804" s="495" t="str">
        <f t="shared" si="112"/>
        <v>ü</v>
      </c>
      <c r="BB804" s="495" t="str">
        <f t="shared" si="113"/>
        <v/>
      </c>
      <c r="BC804" s="495" t="str">
        <f t="shared" si="114"/>
        <v/>
      </c>
      <c r="BD804" s="513" t="str">
        <f>IF(AND(L804="",H804=""),"",
IF(H804="",Pole_Calc!A$9,
IF(H804="MP",Pole_Calc!A$10,
IF(H804="AnMP",Pole_Calc!A$11,
IF(H804="A",Pole_Calc!A$12,
IF(H804="S/A",Pole_Calc!A$13,
IF(H804="A/S",Pole_Calc!A$14,"Poner a mano")))))))</f>
        <v>App.7-V11I-P9.5.1.3</v>
      </c>
      <c r="BE804" s="429" t="s">
        <v>118</v>
      </c>
      <c r="BF804" s="289"/>
      <c r="BG804" s="289"/>
      <c r="BH804" s="290"/>
      <c r="BI804" s="289"/>
    </row>
    <row r="805" spans="1:61" ht="15.75" customHeight="1">
      <c r="A805" s="514"/>
      <c r="B805" s="450"/>
      <c r="C805" s="3"/>
      <c r="D805" s="83"/>
      <c r="E805" s="4"/>
      <c r="F805" s="4"/>
      <c r="G805" s="6">
        <v>40</v>
      </c>
      <c r="H805" s="449"/>
      <c r="I805" s="4">
        <f>SUM(G791:G805)</f>
        <v>371</v>
      </c>
      <c r="J805" s="3"/>
      <c r="K805" s="449"/>
      <c r="L805" s="449"/>
      <c r="M805" s="449" t="str">
        <f>IF(L805="","",
IF(AX805="PT",VLOOKUP(L805,Foundation_Calc!$V$79:$X$113,VLOOKUP(AX805,Foundation_Calc!$I$10:$J$13,2,FALSE),0),
IF(AX805="K",VLOOKUP(L805,Foundation_Calc!$V$117:$X$151,VLOOKUP(AX805,Foundation_Calc!$I$10:$J$13,2,FALSE),0),"")))</f>
        <v/>
      </c>
      <c r="N805" s="449"/>
      <c r="O805" s="449"/>
      <c r="P805" s="449"/>
      <c r="Q805" s="4"/>
      <c r="R805" s="6"/>
      <c r="S805" s="6"/>
      <c r="T805" s="4"/>
      <c r="U805" s="4"/>
      <c r="V805" s="4"/>
      <c r="W805" s="572"/>
      <c r="X805" s="9"/>
      <c r="Y805" s="9"/>
      <c r="Z805" s="9"/>
      <c r="AA805" s="9"/>
      <c r="AB805" s="9"/>
      <c r="AC805" s="449" t="str">
        <f t="shared" si="111"/>
        <v/>
      </c>
      <c r="AD805" s="449"/>
      <c r="AE805" s="449"/>
      <c r="AF805" s="4"/>
      <c r="AG805" s="83"/>
      <c r="AH805" s="4"/>
      <c r="AI805" s="4"/>
      <c r="AJ805" s="449"/>
      <c r="AK805" s="449"/>
      <c r="AL805" s="449"/>
      <c r="AM805" s="449"/>
      <c r="AN805" s="10"/>
      <c r="AO805" s="9"/>
      <c r="AP805" s="9"/>
      <c r="AQ805" s="9">
        <f>+FL_1($T$806,$T$804,$G$805,1200,9.28, 1*$F$806)</f>
        <v>0.3</v>
      </c>
      <c r="AR805" s="9"/>
      <c r="AS805" s="9"/>
      <c r="AT805" s="9"/>
      <c r="AU805" s="428"/>
      <c r="AV805" s="428"/>
      <c r="AW805" s="449" t="str">
        <f>IF(C805&gt;0,VLOOKUP(C805,Foundation_Calc!$A$2:$C$13,3,1),
IF(J805&gt;0,VLOOKUP(J805,Foundation_Calc!$A$2:$C$13,3,1),""))</f>
        <v/>
      </c>
      <c r="AX805" s="449" t="str">
        <f>IF(C805&gt;0,VLOOKUP(C805,Foundation_Calc!$E$35:$G$65,3,1),
IF(J805&gt;0,VLOOKUP(J805,Foundation_Calc!$E$35:$G$65,3,1),""))</f>
        <v/>
      </c>
      <c r="AY805" s="10" t="str">
        <f>IF(L805="","",
IF(AX805="PT",VLOOKUP(L805,Foundation_Calc!$K$79:$R$113,VLOOKUP(AW805,Foundation_Calc!$I$2:$J$8,2,FALSE),0),
IF(AX805="K",VLOOKUP(L805,Foundation_Calc!$K$117:$R$151,VLOOKUP(AW805,Foundation_Calc!$I$2:$J$8,2,FALSE),0),"")))</f>
        <v/>
      </c>
      <c r="AZ805" s="10" t="str">
        <f>IF(K805="","",
IF(AX805="PT",VLOOKUP(K805,Foundation_Calc!$K$79:$R$113,VLOOKUP(AW805,Foundation_Calc!$I$2:$J$8,2,FALSE),0),
IF(AX805="K",VLOOKUP(K805,Foundation_Calc!$K$117:$R$151,VLOOKUP(AW805,Foundation_Calc!$I$2:$J$8,2,FALSE),0),"")))</f>
        <v/>
      </c>
      <c r="BA805" s="495" t="str">
        <f t="shared" si="112"/>
        <v/>
      </c>
      <c r="BB805" s="495" t="str">
        <f t="shared" si="113"/>
        <v/>
      </c>
      <c r="BC805" s="495" t="str">
        <f t="shared" si="114"/>
        <v/>
      </c>
      <c r="BD805" s="513" t="str">
        <f>IF(AND(L805="",H805=""),"",
IF(H805="",Pole_Calc!A$9,
IF(H805="MP",Pole_Calc!A$10,
IF(H805="AnMP",Pole_Calc!A$11,
IF(H805="A",Pole_Calc!A$12,
IF(H805="S/A",Pole_Calc!A$13,
IF(H805="A/S",Pole_Calc!A$14,"Poner a mano")))))))</f>
        <v/>
      </c>
      <c r="BE805" s="429" t="s">
        <v>118</v>
      </c>
      <c r="BF805" s="290"/>
      <c r="BG805" s="290"/>
      <c r="BH805" s="290"/>
      <c r="BI805" s="290"/>
    </row>
    <row r="806" spans="1:61" ht="15.75" customHeight="1">
      <c r="A806" s="514"/>
      <c r="B806" s="450" t="s">
        <v>1352</v>
      </c>
      <c r="C806" s="3">
        <f>+$C$804+$G$805</f>
        <v>49529.950000000012</v>
      </c>
      <c r="D806" s="83"/>
      <c r="E806" s="4"/>
      <c r="F806" s="4">
        <v>1125</v>
      </c>
      <c r="G806" s="6"/>
      <c r="H806" s="449" t="s">
        <v>171</v>
      </c>
      <c r="I806" s="4"/>
      <c r="J806" s="3"/>
      <c r="K806" s="449"/>
      <c r="L806" s="449" t="s">
        <v>158</v>
      </c>
      <c r="M806" s="449" t="str">
        <f>IF(L806="","",
IF(AX806="PT",VLOOKUP(L806,Foundation_Calc!$V$79:$X$113,VLOOKUP(AX806,Foundation_Calc!$I$10:$J$13,2,FALSE),0),
IF(AX806="K",VLOOKUP(L806,Foundation_Calc!$V$117:$X$151,VLOOKUP(AX806,Foundation_Calc!$I$10:$J$13,2,FALSE),0),"")))</f>
        <v>C4R</v>
      </c>
      <c r="N806" s="449" t="s">
        <v>134</v>
      </c>
      <c r="O806" s="449"/>
      <c r="P806" s="449"/>
      <c r="Q806" s="4"/>
      <c r="R806" s="6"/>
      <c r="S806" s="6"/>
      <c r="T806" s="4">
        <v>30</v>
      </c>
      <c r="U806" s="4"/>
      <c r="V806" s="4"/>
      <c r="W806" s="572">
        <v>0.8</v>
      </c>
      <c r="X806" s="9"/>
      <c r="Y806" s="9"/>
      <c r="Z806" s="9"/>
      <c r="AA806" s="9"/>
      <c r="AB806" s="9"/>
      <c r="AC806" s="449" t="str">
        <f t="shared" si="111"/>
        <v>PHQ</v>
      </c>
      <c r="AD806" s="449"/>
      <c r="AE806" s="449"/>
      <c r="AF806" s="4"/>
      <c r="AG806" s="83"/>
      <c r="AH806" s="4"/>
      <c r="AI806" s="4"/>
      <c r="AJ806" s="449"/>
      <c r="AK806" s="449"/>
      <c r="AL806" s="449"/>
      <c r="AM806" s="449" t="s">
        <v>552</v>
      </c>
      <c r="AN806" s="10">
        <f>AN808+0.05</f>
        <v>5.2</v>
      </c>
      <c r="AO806" s="9"/>
      <c r="AP806" s="9"/>
      <c r="AQ806" s="9"/>
      <c r="AR806" s="9"/>
      <c r="AS806" s="9"/>
      <c r="AT806" s="9">
        <f>+ab($T$806,$T$804,$T$808,$G$805,$G$807, 1*$F$806,1200)</f>
        <v>5.7375244864003294</v>
      </c>
      <c r="AU806" s="428"/>
      <c r="AV806" s="428"/>
      <c r="AW806" s="449" t="str">
        <f>IF(C806&gt;0,VLOOKUP(C806,Foundation_Calc!$A$2:$C$13,3,1),
IF(J806&gt;0,VLOOKUP(J806,Foundation_Calc!$A$2:$C$13,3,1),""))</f>
        <v>Multi Soil</v>
      </c>
      <c r="AX806" s="449" t="str">
        <f>IF(C806&gt;0,VLOOKUP(C806,Foundation_Calc!$E$35:$G$65,3,1),
IF(J806&gt;0,VLOOKUP(J806,Foundation_Calc!$E$35:$G$65,3,1),""))</f>
        <v>PT</v>
      </c>
      <c r="AY806" s="10">
        <f>IF(L806="","",
IF(AX806="PT",VLOOKUP(L806,Foundation_Calc!$K$79:$R$113,VLOOKUP(AW806,Foundation_Calc!$I$2:$J$8,2,FALSE),0),
IF(AX806="K",VLOOKUP(L806,Foundation_Calc!$K$117:$R$151,VLOOKUP(AW806,Foundation_Calc!$I$2:$J$8,2,FALSE),0),"")))</f>
        <v>3.5</v>
      </c>
      <c r="AZ806" s="10" t="str">
        <f>IF(K806="","",
IF(AX806="PT",VLOOKUP(K806,Foundation_Calc!$K$79:$R$113,VLOOKUP(AW806,Foundation_Calc!$I$2:$J$8,2,FALSE),0),
IF(AX806="K",VLOOKUP(K806,Foundation_Calc!$K$117:$R$151,VLOOKUP(AW806,Foundation_Calc!$I$2:$J$8,2,FALSE),0),"")))</f>
        <v/>
      </c>
      <c r="BA806" s="495" t="str">
        <f t="shared" si="112"/>
        <v>ü</v>
      </c>
      <c r="BB806" s="495" t="str">
        <f t="shared" si="113"/>
        <v/>
      </c>
      <c r="BC806" s="495" t="str">
        <f t="shared" si="114"/>
        <v/>
      </c>
      <c r="BD806" s="513" t="str">
        <f>IF(AND(L806="",H806=""),"",
IF(H806="",Pole_Calc!A$9,
IF(H806="MP",Pole_Calc!A$10,
IF(H806="AnMP",Pole_Calc!A$11,
IF(H806="A",Pole_Calc!A$12,
IF(H806="S/A",Pole_Calc!A$13,
IF(H806="A/S",Pole_Calc!A$14,"Poner a mano")))))))</f>
        <v>App.7-V11I-P9.5.1.2</v>
      </c>
      <c r="BE806" s="429" t="s">
        <v>118</v>
      </c>
      <c r="BF806" s="289"/>
      <c r="BG806" s="289"/>
      <c r="BH806" s="290"/>
      <c r="BI806" s="289"/>
    </row>
    <row r="807" spans="1:61" ht="15.75" customHeight="1">
      <c r="A807" s="514"/>
      <c r="B807" s="450"/>
      <c r="C807" s="3"/>
      <c r="D807" s="83"/>
      <c r="E807" s="4"/>
      <c r="F807" s="4"/>
      <c r="G807" s="6">
        <v>35</v>
      </c>
      <c r="H807" s="449"/>
      <c r="I807" s="4">
        <f>SUM(G807:G833)-50</f>
        <v>436</v>
      </c>
      <c r="J807" s="3"/>
      <c r="K807" s="449"/>
      <c r="L807" s="449"/>
      <c r="M807" s="449" t="str">
        <f>IF(L807="","",
IF(AX807="PT",VLOOKUP(L807,Foundation_Calc!$V$79:$X$113,VLOOKUP(AX807,Foundation_Calc!$I$10:$J$13,2,FALSE),0),
IF(AX807="K",VLOOKUP(L807,Foundation_Calc!$V$117:$X$151,VLOOKUP(AX807,Foundation_Calc!$I$10:$J$13,2,FALSE),0),"")))</f>
        <v/>
      </c>
      <c r="N807" s="449"/>
      <c r="O807" s="561"/>
      <c r="P807" s="449"/>
      <c r="Q807" s="4"/>
      <c r="R807" s="6"/>
      <c r="S807" s="6"/>
      <c r="T807" s="4"/>
      <c r="U807" s="4"/>
      <c r="V807" s="4"/>
      <c r="W807" s="572"/>
      <c r="X807" s="9"/>
      <c r="Y807" s="9"/>
      <c r="Z807" s="9"/>
      <c r="AA807" s="9"/>
      <c r="AB807" s="9"/>
      <c r="AC807" s="449" t="str">
        <f t="shared" si="111"/>
        <v/>
      </c>
      <c r="AD807" s="449"/>
      <c r="AE807" s="449"/>
      <c r="AF807" s="4"/>
      <c r="AG807" s="83"/>
      <c r="AH807" s="4"/>
      <c r="AI807" s="4"/>
      <c r="AJ807" s="449"/>
      <c r="AK807" s="449"/>
      <c r="AL807" s="449"/>
      <c r="AM807" s="449"/>
      <c r="AN807" s="10"/>
      <c r="AO807" s="9"/>
      <c r="AP807" s="9"/>
      <c r="AQ807" s="9">
        <f>+FL_1($T$808,$T$806,$G$807,1200,9.28, 1*$F$808)</f>
        <v>0.3</v>
      </c>
      <c r="AR807" s="9"/>
      <c r="AS807" s="9"/>
      <c r="AT807" s="9"/>
      <c r="AU807" s="428"/>
      <c r="AV807" s="428"/>
      <c r="AW807" s="449" t="str">
        <f>IF(C807&gt;0,VLOOKUP(C807,Foundation_Calc!$A$2:$C$13,3,1),
IF(J807&gt;0,VLOOKUP(J807,Foundation_Calc!$A$2:$C$13,3,1),""))</f>
        <v/>
      </c>
      <c r="AX807" s="449" t="str">
        <f>IF(C807&gt;0,VLOOKUP(C807,Foundation_Calc!$E$35:$G$65,3,1),
IF(J807&gt;0,VLOOKUP(J807,Foundation_Calc!$E$35:$G$65,3,1),""))</f>
        <v/>
      </c>
      <c r="AY807" s="10" t="str">
        <f>IF(L807="","",
IF(AX807="PT",VLOOKUP(L807,Foundation_Calc!$K$79:$R$113,VLOOKUP(AW807,Foundation_Calc!$I$2:$J$8,2,FALSE),0),
IF(AX807="K",VLOOKUP(L807,Foundation_Calc!$K$117:$R$151,VLOOKUP(AW807,Foundation_Calc!$I$2:$J$8,2,FALSE),0),"")))</f>
        <v/>
      </c>
      <c r="AZ807" s="10" t="str">
        <f>IF(K807="","",
IF(AX807="PT",VLOOKUP(K807,Foundation_Calc!$K$79:$R$113,VLOOKUP(AW807,Foundation_Calc!$I$2:$J$8,2,FALSE),0),
IF(AX807="K",VLOOKUP(K807,Foundation_Calc!$K$117:$R$151,VLOOKUP(AW807,Foundation_Calc!$I$2:$J$8,2,FALSE),0),"")))</f>
        <v/>
      </c>
      <c r="BA807" s="495" t="str">
        <f t="shared" si="112"/>
        <v/>
      </c>
      <c r="BB807" s="495" t="str">
        <f t="shared" si="113"/>
        <v/>
      </c>
      <c r="BC807" s="495" t="str">
        <f t="shared" si="114"/>
        <v/>
      </c>
      <c r="BD807" s="513" t="str">
        <f>IF(AND(L807="",H807=""),"",
IF(H807="",Pole_Calc!A$9,
IF(H807="MP",Pole_Calc!A$10,
IF(H807="AnMP",Pole_Calc!A$11,
IF(H807="A",Pole_Calc!A$12,
IF(H807="S/A",Pole_Calc!A$13,
IF(H807="A/S",Pole_Calc!A$14,"Poner a mano")))))))</f>
        <v/>
      </c>
      <c r="BE807" s="429" t="s">
        <v>118</v>
      </c>
      <c r="BF807" s="290"/>
      <c r="BG807" s="290"/>
      <c r="BH807" s="290"/>
      <c r="BI807" s="290"/>
    </row>
    <row r="808" spans="1:61" ht="15.75" customHeight="1">
      <c r="A808" s="514"/>
      <c r="B808" s="450" t="s">
        <v>1353</v>
      </c>
      <c r="C808" s="3">
        <f>+$C$806+$G$807</f>
        <v>49564.950000000012</v>
      </c>
      <c r="D808" s="83"/>
      <c r="E808" s="4"/>
      <c r="F808" s="4">
        <v>1125</v>
      </c>
      <c r="G808" s="6"/>
      <c r="H808" s="449" t="s">
        <v>168</v>
      </c>
      <c r="I808" s="4"/>
      <c r="J808" s="3"/>
      <c r="K808" s="449"/>
      <c r="L808" s="449" t="s">
        <v>206</v>
      </c>
      <c r="M808" s="449" t="str">
        <f>IF(L808="","",
IF(AX808="PT",VLOOKUP(L808,Foundation_Calc!$V$79:$X$113,VLOOKUP(AX808,Foundation_Calc!$I$10:$J$13,2,FALSE),0),
IF(AX808="K",VLOOKUP(L808,Foundation_Calc!$V$117:$X$151,VLOOKUP(AX808,Foundation_Calc!$I$10:$J$13,2,FALSE),0),"")))</f>
        <v>2C4R</v>
      </c>
      <c r="N808" s="449" t="s">
        <v>134</v>
      </c>
      <c r="O808" s="449"/>
      <c r="P808" s="449"/>
      <c r="Q808" s="4"/>
      <c r="R808" s="6"/>
      <c r="S808" s="6"/>
      <c r="T808" s="4">
        <v>30</v>
      </c>
      <c r="U808" s="4"/>
      <c r="V808" s="4"/>
      <c r="W808" s="572">
        <v>0.6</v>
      </c>
      <c r="X808" s="9"/>
      <c r="Y808" s="9"/>
      <c r="Z808" s="9"/>
      <c r="AA808" s="9"/>
      <c r="AB808" s="9"/>
      <c r="AC808" s="449" t="str">
        <f t="shared" si="111"/>
        <v>PHQ</v>
      </c>
      <c r="AD808" s="449"/>
      <c r="AE808" s="449"/>
      <c r="AF808" s="4"/>
      <c r="AG808" s="83"/>
      <c r="AH808" s="4"/>
      <c r="AI808" s="4"/>
      <c r="AJ808" s="449"/>
      <c r="AK808" s="449"/>
      <c r="AL808" s="449"/>
      <c r="AM808" s="449" t="s">
        <v>552</v>
      </c>
      <c r="AN808" s="10">
        <v>5.15</v>
      </c>
      <c r="AO808" s="9"/>
      <c r="AP808" s="9"/>
      <c r="AQ808" s="9"/>
      <c r="AR808" s="9"/>
      <c r="AS808" s="9"/>
      <c r="AT808" s="9">
        <f>+ab($T$808,$T$806,$T$810,$G$807,$G$809, 1*$F$808,1200)</f>
        <v>6.6129171613800173</v>
      </c>
      <c r="AU808" s="428"/>
      <c r="AV808" s="428"/>
      <c r="AW808" s="449" t="str">
        <f>IF(C808&gt;0,VLOOKUP(C808,Foundation_Calc!$A$2:$C$13,3,1),
IF(J808&gt;0,VLOOKUP(J808,Foundation_Calc!$A$2:$C$13,3,1),""))</f>
        <v>Multi Soil</v>
      </c>
      <c r="AX808" s="449" t="str">
        <f>IF(C808&gt;0,VLOOKUP(C808,Foundation_Calc!$E$35:$G$65,3,1),
IF(J808&gt;0,VLOOKUP(J808,Foundation_Calc!$E$35:$G$65,3,1),""))</f>
        <v>PT</v>
      </c>
      <c r="AY808" s="10">
        <f>IF(L808="","",
IF(AX808="PT",VLOOKUP(L808,Foundation_Calc!$K$79:$R$113,VLOOKUP(AW808,Foundation_Calc!$I$2:$J$8,2,FALSE),0),
IF(AX808="K",VLOOKUP(L808,Foundation_Calc!$K$117:$R$151,VLOOKUP(AW808,Foundation_Calc!$I$2:$J$8,2,FALSE),0),"")))</f>
        <v>4</v>
      </c>
      <c r="AZ808" s="10" t="str">
        <f>IF(K808="","",
IF(AX808="PT",VLOOKUP(K808,Foundation_Calc!$K$79:$R$113,VLOOKUP(AW808,Foundation_Calc!$I$2:$J$8,2,FALSE),0),
IF(AX808="K",VLOOKUP(K808,Foundation_Calc!$K$117:$R$151,VLOOKUP(AW808,Foundation_Calc!$I$2:$J$8,2,FALSE),0),"")))</f>
        <v/>
      </c>
      <c r="BA808" s="495" t="str">
        <f t="shared" si="112"/>
        <v>ü</v>
      </c>
      <c r="BB808" s="495" t="str">
        <f t="shared" si="113"/>
        <v/>
      </c>
      <c r="BC808" s="495" t="str">
        <f t="shared" si="114"/>
        <v/>
      </c>
      <c r="BD808" s="513" t="str">
        <f>IF(AND(L808="",H808=""),"",
IF(H808="",Pole_Calc!A$9,
IF(H808="MP",Pole_Calc!A$10,
IF(H808="AnMP",Pole_Calc!A$11,
IF(H808="A",Pole_Calc!A$12,
IF(H808="S/A",Pole_Calc!A$13,
IF(H808="A/S",Pole_Calc!A$14,"Poner a mano")))))))</f>
        <v>App.7-V11I-P9.5.1.3</v>
      </c>
      <c r="BE808" s="429" t="s">
        <v>118</v>
      </c>
      <c r="BF808" s="289"/>
      <c r="BG808" s="289"/>
      <c r="BH808" s="290"/>
      <c r="BI808" s="289"/>
    </row>
    <row r="809" spans="1:61" ht="15.75" customHeight="1">
      <c r="A809" s="514" t="s">
        <v>469</v>
      </c>
      <c r="B809" s="450"/>
      <c r="C809" s="3"/>
      <c r="D809" s="83"/>
      <c r="E809" s="4"/>
      <c r="F809" s="4"/>
      <c r="G809" s="6">
        <v>30</v>
      </c>
      <c r="H809" s="449"/>
      <c r="I809" s="4"/>
      <c r="J809" s="3"/>
      <c r="K809" s="449"/>
      <c r="L809" s="449"/>
      <c r="M809" s="449" t="str">
        <f>IF(L809="","",
IF(AX809="PT",VLOOKUP(L809,Foundation_Calc!$V$79:$X$113,VLOOKUP(AX809,Foundation_Calc!$I$10:$J$13,2,FALSE),0),
IF(AX809="K",VLOOKUP(L809,Foundation_Calc!$V$117:$X$151,VLOOKUP(AX809,Foundation_Calc!$I$10:$J$13,2,FALSE),0),"")))</f>
        <v/>
      </c>
      <c r="N809" s="449"/>
      <c r="O809" s="449"/>
      <c r="P809" s="449"/>
      <c r="Q809" s="4"/>
      <c r="R809" s="6"/>
      <c r="S809" s="6"/>
      <c r="T809" s="4"/>
      <c r="U809" s="4"/>
      <c r="V809" s="4"/>
      <c r="W809" s="572"/>
      <c r="X809" s="9"/>
      <c r="Y809" s="9"/>
      <c r="Z809" s="9"/>
      <c r="AA809" s="9"/>
      <c r="AB809" s="9"/>
      <c r="AC809" s="449" t="str">
        <f t="shared" si="111"/>
        <v/>
      </c>
      <c r="AD809" s="449"/>
      <c r="AE809" s="449"/>
      <c r="AF809" s="4"/>
      <c r="AG809" s="83"/>
      <c r="AH809" s="4"/>
      <c r="AI809" s="4"/>
      <c r="AJ809" s="449"/>
      <c r="AK809" s="449"/>
      <c r="AL809" s="449"/>
      <c r="AM809" s="449"/>
      <c r="AN809" s="10"/>
      <c r="AO809" s="9"/>
      <c r="AP809" s="9"/>
      <c r="AQ809" s="9">
        <f>+FL_1($T$810,$T$808,$G$809,1200,9.28, 1*$F$810)</f>
        <v>0.30000000000000004</v>
      </c>
      <c r="AR809" s="9"/>
      <c r="AS809" s="9"/>
      <c r="AT809" s="9"/>
      <c r="AU809" s="428"/>
      <c r="AV809" s="428"/>
      <c r="AW809" s="449" t="str">
        <f>IF(C809&gt;0,VLOOKUP(C809,Foundation_Calc!$A$2:$C$13,3,1),
IF(J809&gt;0,VLOOKUP(J809,Foundation_Calc!$A$2:$C$13,3,1),""))</f>
        <v/>
      </c>
      <c r="AX809" s="449" t="str">
        <f>IF(C809&gt;0,VLOOKUP(C809,Foundation_Calc!$E$35:$G$65,3,1),
IF(J809&gt;0,VLOOKUP(J809,Foundation_Calc!$E$35:$G$65,3,1),""))</f>
        <v/>
      </c>
      <c r="AY809" s="10" t="str">
        <f>IF(L809="","",
IF(AX809="PT",VLOOKUP(L809,Foundation_Calc!$K$79:$R$113,VLOOKUP(AW809,Foundation_Calc!$I$2:$J$8,2,FALSE),0),
IF(AX809="K",VLOOKUP(L809,Foundation_Calc!$K$117:$R$151,VLOOKUP(AW809,Foundation_Calc!$I$2:$J$8,2,FALSE),0),"")))</f>
        <v/>
      </c>
      <c r="AZ809" s="10" t="str">
        <f>IF(K809="","",
IF(AX809="PT",VLOOKUP(K809,Foundation_Calc!$K$79:$R$113,VLOOKUP(AW809,Foundation_Calc!$I$2:$J$8,2,FALSE),0),
IF(AX809="K",VLOOKUP(K809,Foundation_Calc!$K$117:$R$151,VLOOKUP(AW809,Foundation_Calc!$I$2:$J$8,2,FALSE),0),"")))</f>
        <v/>
      </c>
      <c r="BA809" s="495" t="str">
        <f t="shared" si="112"/>
        <v/>
      </c>
      <c r="BB809" s="495" t="str">
        <f t="shared" si="113"/>
        <v/>
      </c>
      <c r="BC809" s="495" t="str">
        <f t="shared" si="114"/>
        <v/>
      </c>
      <c r="BD809" s="513" t="str">
        <f>IF(AND(L809="",H809=""),"",
IF(H809="",Pole_Calc!A$9,
IF(H809="MP",Pole_Calc!A$10,
IF(H809="AnMP",Pole_Calc!A$11,
IF(H809="A",Pole_Calc!A$12,
IF(H809="S/A",Pole_Calc!A$13,
IF(H809="A/S",Pole_Calc!A$14,"Poner a mano")))))))</f>
        <v/>
      </c>
      <c r="BE809" s="429" t="s">
        <v>118</v>
      </c>
      <c r="BF809" s="290"/>
      <c r="BG809" s="290"/>
      <c r="BH809" s="290"/>
      <c r="BI809" s="290"/>
    </row>
    <row r="810" spans="1:61" ht="15.75" customHeight="1">
      <c r="A810" s="514"/>
      <c r="B810" s="450" t="s">
        <v>1354</v>
      </c>
      <c r="C810" s="3">
        <f>+$C$808+$G$809</f>
        <v>49594.950000000012</v>
      </c>
      <c r="D810" s="83"/>
      <c r="E810" s="4"/>
      <c r="F810" s="4">
        <v>1125</v>
      </c>
      <c r="G810" s="6"/>
      <c r="H810" s="449"/>
      <c r="I810" s="4"/>
      <c r="J810" s="3"/>
      <c r="K810" s="449"/>
      <c r="L810" s="449" t="s">
        <v>158</v>
      </c>
      <c r="M810" s="449" t="str">
        <f>IF(L810="","",
IF(AX810="PT",VLOOKUP(L810,Foundation_Calc!$V$79:$X$113,VLOOKUP(AX810,Foundation_Calc!$I$10:$J$13,2,FALSE),0),
IF(AX810="K",VLOOKUP(L810,Foundation_Calc!$V$117:$X$151,VLOOKUP(AX810,Foundation_Calc!$I$10:$J$13,2,FALSE),0),"")))</f>
        <v>C4R</v>
      </c>
      <c r="N810" s="449" t="s">
        <v>134</v>
      </c>
      <c r="O810" s="449"/>
      <c r="P810" s="449"/>
      <c r="Q810" s="4"/>
      <c r="R810" s="6"/>
      <c r="S810" s="6"/>
      <c r="T810" s="4">
        <v>30</v>
      </c>
      <c r="U810" s="4"/>
      <c r="V810" s="4"/>
      <c r="W810" s="572">
        <v>0.6</v>
      </c>
      <c r="X810" s="9"/>
      <c r="Y810" s="9"/>
      <c r="Z810" s="9"/>
      <c r="AA810" s="9"/>
      <c r="AB810" s="9"/>
      <c r="AC810" s="449" t="str">
        <f t="shared" si="111"/>
        <v>PHQ</v>
      </c>
      <c r="AD810" s="449"/>
      <c r="AE810" s="449"/>
      <c r="AF810" s="4"/>
      <c r="AG810" s="83"/>
      <c r="AH810" s="4"/>
      <c r="AI810" s="4"/>
      <c r="AJ810" s="449"/>
      <c r="AK810" s="449"/>
      <c r="AL810" s="449"/>
      <c r="AM810" s="449" t="s">
        <v>552</v>
      </c>
      <c r="AN810" s="10">
        <v>5.15</v>
      </c>
      <c r="AO810" s="9"/>
      <c r="AP810" s="9"/>
      <c r="AQ810" s="9"/>
      <c r="AR810" s="9"/>
      <c r="AS810" s="9"/>
      <c r="AT810" s="9">
        <f>+ab($T$810,$T$808,$T$812,$G$809,$G$811, 1*$F$810,1200)</f>
        <v>6.6129171613800173</v>
      </c>
      <c r="AU810" s="428"/>
      <c r="AV810" s="428"/>
      <c r="AW810" s="449" t="str">
        <f>IF(C810&gt;0,VLOOKUP(C810,Foundation_Calc!$A$2:$C$13,3,1),
IF(J810&gt;0,VLOOKUP(J810,Foundation_Calc!$A$2:$C$13,3,1),""))</f>
        <v>Multi Soil</v>
      </c>
      <c r="AX810" s="449" t="str">
        <f>IF(C810&gt;0,VLOOKUP(C810,Foundation_Calc!$E$35:$G$65,3,1),
IF(J810&gt;0,VLOOKUP(J810,Foundation_Calc!$E$35:$G$65,3,1),""))</f>
        <v>PT</v>
      </c>
      <c r="AY810" s="10">
        <f>IF(L810="","",
IF(AX810="PT",VLOOKUP(L810,Foundation_Calc!$K$79:$R$113,VLOOKUP(AW810,Foundation_Calc!$I$2:$J$8,2,FALSE),0),
IF(AX810="K",VLOOKUP(L810,Foundation_Calc!$K$117:$R$151,VLOOKUP(AW810,Foundation_Calc!$I$2:$J$8,2,FALSE),0),"")))</f>
        <v>3.5</v>
      </c>
      <c r="AZ810" s="10" t="str">
        <f>IF(K810="","",
IF(AX810="PT",VLOOKUP(K810,Foundation_Calc!$K$79:$R$113,VLOOKUP(AW810,Foundation_Calc!$I$2:$J$8,2,FALSE),0),
IF(AX810="K",VLOOKUP(K810,Foundation_Calc!$K$117:$R$151,VLOOKUP(AW810,Foundation_Calc!$I$2:$J$8,2,FALSE),0),"")))</f>
        <v/>
      </c>
      <c r="BA810" s="495" t="str">
        <f t="shared" si="112"/>
        <v>ü</v>
      </c>
      <c r="BB810" s="495" t="str">
        <f t="shared" si="113"/>
        <v/>
      </c>
      <c r="BC810" s="495" t="str">
        <f t="shared" si="114"/>
        <v/>
      </c>
      <c r="BD810" s="513" t="str">
        <f>IF(AND(L810="",H810=""),"",
IF(H810="",Pole_Calc!A$9,
IF(H810="MP",Pole_Calc!A$10,
IF(H810="AnMP",Pole_Calc!A$11,
IF(H810="A",Pole_Calc!A$12,
IF(H810="S/A",Pole_Calc!A$13,
IF(H810="A/S",Pole_Calc!A$14,"Poner a mano")))))))</f>
        <v>App.7-V11I-P9.5.1.1</v>
      </c>
      <c r="BE810" s="429" t="s">
        <v>118</v>
      </c>
      <c r="BF810" s="289"/>
      <c r="BG810" s="289"/>
      <c r="BH810" s="290"/>
      <c r="BI810" s="289"/>
    </row>
    <row r="811" spans="1:61" ht="15.75" customHeight="1">
      <c r="A811" s="514"/>
      <c r="B811" s="450"/>
      <c r="C811" s="3"/>
      <c r="D811" s="83"/>
      <c r="E811" s="4"/>
      <c r="F811" s="4"/>
      <c r="G811" s="6">
        <v>35</v>
      </c>
      <c r="H811" s="449"/>
      <c r="I811" s="4"/>
      <c r="J811" s="3"/>
      <c r="K811" s="449"/>
      <c r="L811" s="449"/>
      <c r="M811" s="449" t="str">
        <f>IF(L811="","",
IF(AX811="PT",VLOOKUP(L811,Foundation_Calc!$V$79:$X$113,VLOOKUP(AX811,Foundation_Calc!$I$10:$J$13,2,FALSE),0),
IF(AX811="K",VLOOKUP(L811,Foundation_Calc!$V$117:$X$151,VLOOKUP(AX811,Foundation_Calc!$I$10:$J$13,2,FALSE),0),"")))</f>
        <v/>
      </c>
      <c r="N811" s="449"/>
      <c r="O811" s="449"/>
      <c r="P811" s="449"/>
      <c r="Q811" s="4"/>
      <c r="R811" s="6"/>
      <c r="S811" s="6"/>
      <c r="T811" s="4"/>
      <c r="U811" s="4"/>
      <c r="V811" s="4"/>
      <c r="W811" s="572"/>
      <c r="X811" s="9"/>
      <c r="Y811" s="9"/>
      <c r="Z811" s="9"/>
      <c r="AA811" s="9"/>
      <c r="AB811" s="9"/>
      <c r="AC811" s="449" t="str">
        <f t="shared" si="111"/>
        <v/>
      </c>
      <c r="AD811" s="449"/>
      <c r="AE811" s="449"/>
      <c r="AF811" s="4"/>
      <c r="AG811" s="83"/>
      <c r="AH811" s="4"/>
      <c r="AI811" s="4"/>
      <c r="AJ811" s="449"/>
      <c r="AK811" s="449"/>
      <c r="AL811" s="449"/>
      <c r="AM811" s="449"/>
      <c r="AN811" s="10"/>
      <c r="AO811" s="9"/>
      <c r="AP811" s="9"/>
      <c r="AQ811" s="9">
        <f>+FL_1($T$812,$T$810,$G$811,1200,9.28, 1*$F$812)</f>
        <v>0.3</v>
      </c>
      <c r="AR811" s="9"/>
      <c r="AS811" s="9"/>
      <c r="AT811" s="9"/>
      <c r="AU811" s="428"/>
      <c r="AV811" s="428"/>
      <c r="AW811" s="449" t="str">
        <f>IF(C811&gt;0,VLOOKUP(C811,Foundation_Calc!$A$2:$C$13,3,1),
IF(J811&gt;0,VLOOKUP(J811,Foundation_Calc!$A$2:$C$13,3,1),""))</f>
        <v/>
      </c>
      <c r="AX811" s="449" t="str">
        <f>IF(C811&gt;0,VLOOKUP(C811,Foundation_Calc!$E$35:$G$65,3,1),
IF(J811&gt;0,VLOOKUP(J811,Foundation_Calc!$E$35:$G$65,3,1),""))</f>
        <v/>
      </c>
      <c r="AY811" s="10" t="str">
        <f>IF(L811="","",
IF(AX811="PT",VLOOKUP(L811,Foundation_Calc!$K$79:$R$113,VLOOKUP(AW811,Foundation_Calc!$I$2:$J$8,2,FALSE),0),
IF(AX811="K",VLOOKUP(L811,Foundation_Calc!$K$117:$R$151,VLOOKUP(AW811,Foundation_Calc!$I$2:$J$8,2,FALSE),0),"")))</f>
        <v/>
      </c>
      <c r="AZ811" s="10" t="str">
        <f>IF(K811="","",
IF(AX811="PT",VLOOKUP(K811,Foundation_Calc!$K$79:$R$113,VLOOKUP(AW811,Foundation_Calc!$I$2:$J$8,2,FALSE),0),
IF(AX811="K",VLOOKUP(K811,Foundation_Calc!$K$117:$R$151,VLOOKUP(AW811,Foundation_Calc!$I$2:$J$8,2,FALSE),0),"")))</f>
        <v/>
      </c>
      <c r="BA811" s="495" t="str">
        <f t="shared" si="112"/>
        <v/>
      </c>
      <c r="BB811" s="495" t="str">
        <f t="shared" si="113"/>
        <v/>
      </c>
      <c r="BC811" s="495" t="str">
        <f t="shared" si="114"/>
        <v/>
      </c>
      <c r="BD811" s="513" t="str">
        <f>IF(AND(L811="",H811=""),"",
IF(H811="",Pole_Calc!A$9,
IF(H811="MP",Pole_Calc!A$10,
IF(H811="AnMP",Pole_Calc!A$11,
IF(H811="A",Pole_Calc!A$12,
IF(H811="S/A",Pole_Calc!A$13,
IF(H811="A/S",Pole_Calc!A$14,"Poner a mano")))))))</f>
        <v/>
      </c>
      <c r="BE811" s="429" t="s">
        <v>118</v>
      </c>
      <c r="BF811" s="290"/>
      <c r="BG811" s="290"/>
      <c r="BH811" s="290"/>
      <c r="BI811" s="290"/>
    </row>
    <row r="812" spans="1:61" ht="15.75" customHeight="1">
      <c r="A812" s="514"/>
      <c r="B812" s="450" t="s">
        <v>1355</v>
      </c>
      <c r="C812" s="3">
        <f>+$C$810+$G$811</f>
        <v>49629.950000000012</v>
      </c>
      <c r="D812" s="83"/>
      <c r="E812" s="4"/>
      <c r="F812" s="4">
        <v>1125</v>
      </c>
      <c r="G812" s="6"/>
      <c r="H812" s="449"/>
      <c r="I812" s="4"/>
      <c r="J812" s="3"/>
      <c r="K812" s="449"/>
      <c r="L812" s="449" t="s">
        <v>158</v>
      </c>
      <c r="M812" s="449" t="str">
        <f>IF(L812="","",
IF(AX812="PT",VLOOKUP(L812,Foundation_Calc!$V$79:$X$113,VLOOKUP(AX812,Foundation_Calc!$I$10:$J$13,2,FALSE),0),
IF(AX812="K",VLOOKUP(L812,Foundation_Calc!$V$117:$X$151,VLOOKUP(AX812,Foundation_Calc!$I$10:$J$13,2,FALSE),0),"")))</f>
        <v>C4R</v>
      </c>
      <c r="N812" s="449" t="s">
        <v>134</v>
      </c>
      <c r="O812" s="449"/>
      <c r="P812" s="449"/>
      <c r="Q812" s="4"/>
      <c r="R812" s="6"/>
      <c r="S812" s="6"/>
      <c r="T812" s="4">
        <v>30</v>
      </c>
      <c r="U812" s="4"/>
      <c r="V812" s="4"/>
      <c r="W812" s="572">
        <v>0.8</v>
      </c>
      <c r="X812" s="9"/>
      <c r="Y812" s="9"/>
      <c r="Z812" s="9"/>
      <c r="AA812" s="9"/>
      <c r="AB812" s="9"/>
      <c r="AC812" s="449" t="str">
        <f t="shared" si="111"/>
        <v>PHQ</v>
      </c>
      <c r="AD812" s="449"/>
      <c r="AE812" s="449"/>
      <c r="AF812" s="4"/>
      <c r="AG812" s="83"/>
      <c r="AH812" s="4"/>
      <c r="AI812" s="4"/>
      <c r="AJ812" s="449"/>
      <c r="AK812" s="449"/>
      <c r="AL812" s="449"/>
      <c r="AM812" s="449" t="s">
        <v>552</v>
      </c>
      <c r="AN812" s="10">
        <f>AN810+0.05</f>
        <v>5.2</v>
      </c>
      <c r="AO812" s="9"/>
      <c r="AP812" s="9"/>
      <c r="AQ812" s="9"/>
      <c r="AR812" s="9"/>
      <c r="AS812" s="9"/>
      <c r="AT812" s="9">
        <f>+ab($T$812,$T$810,$T$814,$G$811,$G$813, 1*$F$812,1200)</f>
        <v>5.7375244864003294</v>
      </c>
      <c r="AU812" s="428"/>
      <c r="AV812" s="428"/>
      <c r="AW812" s="449" t="str">
        <f>IF(C812&gt;0,VLOOKUP(C812,Foundation_Calc!$A$2:$C$13,3,1),
IF(J812&gt;0,VLOOKUP(J812,Foundation_Calc!$A$2:$C$13,3,1),""))</f>
        <v>Multi Soil</v>
      </c>
      <c r="AX812" s="449" t="str">
        <f>IF(C812&gt;0,VLOOKUP(C812,Foundation_Calc!$E$35:$G$65,3,1),
IF(J812&gt;0,VLOOKUP(J812,Foundation_Calc!$E$35:$G$65,3,1),""))</f>
        <v>PT</v>
      </c>
      <c r="AY812" s="10">
        <f>IF(L812="","",
IF(AX812="PT",VLOOKUP(L812,Foundation_Calc!$K$79:$R$113,VLOOKUP(AW812,Foundation_Calc!$I$2:$J$8,2,FALSE),0),
IF(AX812="K",VLOOKUP(L812,Foundation_Calc!$K$117:$R$151,VLOOKUP(AW812,Foundation_Calc!$I$2:$J$8,2,FALSE),0),"")))</f>
        <v>3.5</v>
      </c>
      <c r="AZ812" s="10" t="str">
        <f>IF(K812="","",
IF(AX812="PT",VLOOKUP(K812,Foundation_Calc!$K$79:$R$113,VLOOKUP(AW812,Foundation_Calc!$I$2:$J$8,2,FALSE),0),
IF(AX812="K",VLOOKUP(K812,Foundation_Calc!$K$117:$R$151,VLOOKUP(AW812,Foundation_Calc!$I$2:$J$8,2,FALSE),0),"")))</f>
        <v/>
      </c>
      <c r="BA812" s="495" t="str">
        <f t="shared" si="112"/>
        <v>ü</v>
      </c>
      <c r="BB812" s="495" t="str">
        <f t="shared" si="113"/>
        <v/>
      </c>
      <c r="BC812" s="495" t="str">
        <f t="shared" si="114"/>
        <v/>
      </c>
      <c r="BD812" s="513" t="str">
        <f>IF(AND(L812="",H812=""),"",
IF(H812="",Pole_Calc!A$9,
IF(H812="MP",Pole_Calc!A$10,
IF(H812="AnMP",Pole_Calc!A$11,
IF(H812="A",Pole_Calc!A$12,
IF(H812="S/A",Pole_Calc!A$13,
IF(H812="A/S",Pole_Calc!A$14,"Poner a mano")))))))</f>
        <v>App.7-V11I-P9.5.1.1</v>
      </c>
      <c r="BE812" s="429" t="s">
        <v>118</v>
      </c>
      <c r="BF812" s="289"/>
      <c r="BG812" s="289"/>
      <c r="BH812" s="290"/>
      <c r="BI812" s="289"/>
    </row>
    <row r="813" spans="1:61" ht="15.75" customHeight="1">
      <c r="A813" s="514"/>
      <c r="B813" s="450"/>
      <c r="C813" s="3"/>
      <c r="D813" s="83"/>
      <c r="E813" s="4"/>
      <c r="F813" s="4"/>
      <c r="G813" s="6">
        <v>40</v>
      </c>
      <c r="H813" s="449"/>
      <c r="I813" s="4"/>
      <c r="J813" s="3"/>
      <c r="K813" s="449"/>
      <c r="L813" s="449"/>
      <c r="M813" s="449" t="str">
        <f>IF(L813="","",
IF(AX813="PT",VLOOKUP(L813,Foundation_Calc!$V$79:$X$113,VLOOKUP(AX813,Foundation_Calc!$I$10:$J$13,2,FALSE),0),
IF(AX813="K",VLOOKUP(L813,Foundation_Calc!$V$117:$X$151,VLOOKUP(AX813,Foundation_Calc!$I$10:$J$13,2,FALSE),0),"")))</f>
        <v/>
      </c>
      <c r="N813" s="449"/>
      <c r="O813" s="561"/>
      <c r="P813" s="449"/>
      <c r="Q813" s="4"/>
      <c r="R813" s="6"/>
      <c r="S813" s="6"/>
      <c r="T813" s="4"/>
      <c r="U813" s="4"/>
      <c r="V813" s="4"/>
      <c r="W813" s="572"/>
      <c r="X813" s="9"/>
      <c r="Y813" s="9"/>
      <c r="Z813" s="9"/>
      <c r="AA813" s="9"/>
      <c r="AB813" s="9"/>
      <c r="AC813" s="449" t="str">
        <f t="shared" si="111"/>
        <v/>
      </c>
      <c r="AD813" s="449"/>
      <c r="AE813" s="449"/>
      <c r="AF813" s="4"/>
      <c r="AG813" s="83"/>
      <c r="AH813" s="4"/>
      <c r="AI813" s="4"/>
      <c r="AJ813" s="449"/>
      <c r="AK813" s="449"/>
      <c r="AL813" s="449"/>
      <c r="AM813" s="449"/>
      <c r="AN813" s="10"/>
      <c r="AO813" s="9"/>
      <c r="AP813" s="9"/>
      <c r="AQ813" s="9">
        <f>+FL_1($T$814,$T$812,$G$813,1200,9.28, 1*$F$814)</f>
        <v>0.3</v>
      </c>
      <c r="AR813" s="9"/>
      <c r="AS813" s="9"/>
      <c r="AT813" s="9"/>
      <c r="AU813" s="428"/>
      <c r="AV813" s="428"/>
      <c r="AW813" s="449" t="str">
        <f>IF(C813&gt;0,VLOOKUP(C813,Foundation_Calc!$A$2:$C$13,3,1),
IF(J813&gt;0,VLOOKUP(J813,Foundation_Calc!$A$2:$C$13,3,1),""))</f>
        <v/>
      </c>
      <c r="AX813" s="449" t="str">
        <f>IF(C813&gt;0,VLOOKUP(C813,Foundation_Calc!$E$35:$G$65,3,1),
IF(J813&gt;0,VLOOKUP(J813,Foundation_Calc!$E$35:$G$65,3,1),""))</f>
        <v/>
      </c>
      <c r="AY813" s="10" t="str">
        <f>IF(L813="","",
IF(AX813="PT",VLOOKUP(L813,Foundation_Calc!$K$79:$R$113,VLOOKUP(AW813,Foundation_Calc!$I$2:$J$8,2,FALSE),0),
IF(AX813="K",VLOOKUP(L813,Foundation_Calc!$K$117:$R$151,VLOOKUP(AW813,Foundation_Calc!$I$2:$J$8,2,FALSE),0),"")))</f>
        <v/>
      </c>
      <c r="AZ813" s="10" t="str">
        <f>IF(K813="","",
IF(AX813="PT",VLOOKUP(K813,Foundation_Calc!$K$79:$R$113,VLOOKUP(AW813,Foundation_Calc!$I$2:$J$8,2,FALSE),0),
IF(AX813="K",VLOOKUP(K813,Foundation_Calc!$K$117:$R$151,VLOOKUP(AW813,Foundation_Calc!$I$2:$J$8,2,FALSE),0),"")))</f>
        <v/>
      </c>
      <c r="BA813" s="495" t="str">
        <f t="shared" si="112"/>
        <v/>
      </c>
      <c r="BB813" s="495" t="str">
        <f t="shared" si="113"/>
        <v/>
      </c>
      <c r="BC813" s="495" t="str">
        <f t="shared" si="114"/>
        <v/>
      </c>
      <c r="BD813" s="513" t="str">
        <f>IF(AND(L813="",H813=""),"",
IF(H813="",Pole_Calc!A$9,
IF(H813="MP",Pole_Calc!A$10,
IF(H813="AnMP",Pole_Calc!A$11,
IF(H813="A",Pole_Calc!A$12,
IF(H813="S/A",Pole_Calc!A$13,
IF(H813="A/S",Pole_Calc!A$14,"Poner a mano")))))))</f>
        <v/>
      </c>
      <c r="BE813" s="429" t="s">
        <v>118</v>
      </c>
      <c r="BF813" s="290"/>
      <c r="BG813" s="290"/>
      <c r="BH813" s="290"/>
      <c r="BI813" s="290"/>
    </row>
    <row r="814" spans="1:61" ht="15.75" customHeight="1">
      <c r="A814" s="514"/>
      <c r="B814" s="450" t="s">
        <v>1356</v>
      </c>
      <c r="C814" s="3">
        <f>+$C$812+$G$813</f>
        <v>49669.950000000012</v>
      </c>
      <c r="D814" s="83"/>
      <c r="E814" s="4"/>
      <c r="F814" s="4">
        <v>1258.4228720921217</v>
      </c>
      <c r="G814" s="6"/>
      <c r="H814" s="449"/>
      <c r="I814" s="4"/>
      <c r="J814" s="3"/>
      <c r="K814" s="449"/>
      <c r="L814" s="449" t="s">
        <v>158</v>
      </c>
      <c r="M814" s="449" t="str">
        <f>IF(L814="","",
IF(AX814="PT",VLOOKUP(L814,Foundation_Calc!$V$79:$X$113,VLOOKUP(AX814,Foundation_Calc!$I$10:$J$13,2,FALSE),0),
IF(AX814="K",VLOOKUP(L814,Foundation_Calc!$V$117:$X$151,VLOOKUP(AX814,Foundation_Calc!$I$10:$J$13,2,FALSE),0),"")))</f>
        <v>C4R</v>
      </c>
      <c r="N814" s="449" t="s">
        <v>134</v>
      </c>
      <c r="O814" s="449"/>
      <c r="P814" s="449"/>
      <c r="Q814" s="4"/>
      <c r="R814" s="6"/>
      <c r="S814" s="6"/>
      <c r="T814" s="4">
        <v>30</v>
      </c>
      <c r="U814" s="4"/>
      <c r="V814" s="4"/>
      <c r="W814" s="572">
        <v>1.2</v>
      </c>
      <c r="X814" s="9"/>
      <c r="Y814" s="9"/>
      <c r="Z814" s="9"/>
      <c r="AA814" s="9"/>
      <c r="AB814" s="9"/>
      <c r="AC814" s="449" t="str">
        <f t="shared" si="111"/>
        <v>PHQ</v>
      </c>
      <c r="AD814" s="449"/>
      <c r="AE814" s="449"/>
      <c r="AF814" s="4"/>
      <c r="AG814" s="83"/>
      <c r="AH814" s="4"/>
      <c r="AI814" s="4"/>
      <c r="AJ814" s="449"/>
      <c r="AK814" s="449"/>
      <c r="AL814" s="449"/>
      <c r="AM814" s="449" t="s">
        <v>552</v>
      </c>
      <c r="AN814" s="10">
        <f>AN812+0.11</f>
        <v>5.3100000000000005</v>
      </c>
      <c r="AO814" s="9"/>
      <c r="AP814" s="9"/>
      <c r="AQ814" s="9"/>
      <c r="AR814" s="9"/>
      <c r="AS814" s="9"/>
      <c r="AT814" s="9">
        <f>+ab($T$814,$T$812,$T$816,$G$813,$G$815, 1*$F$814,1200)</f>
        <v>5.6634152033128178</v>
      </c>
      <c r="AU814" s="428"/>
      <c r="AV814" s="428"/>
      <c r="AW814" s="449" t="str">
        <f>IF(C814&gt;0,VLOOKUP(C814,Foundation_Calc!$A$2:$C$13,3,1),
IF(J814&gt;0,VLOOKUP(J814,Foundation_Calc!$A$2:$C$13,3,1),""))</f>
        <v>Multi Soil</v>
      </c>
      <c r="AX814" s="449" t="str">
        <f>IF(C814&gt;0,VLOOKUP(C814,Foundation_Calc!$E$35:$G$65,3,1),
IF(J814&gt;0,VLOOKUP(J814,Foundation_Calc!$E$35:$G$65,3,1),""))</f>
        <v>PT</v>
      </c>
      <c r="AY814" s="10">
        <f>IF(L814="","",
IF(AX814="PT",VLOOKUP(L814,Foundation_Calc!$K$79:$R$113,VLOOKUP(AW814,Foundation_Calc!$I$2:$J$8,2,FALSE),0),
IF(AX814="K",VLOOKUP(L814,Foundation_Calc!$K$117:$R$151,VLOOKUP(AW814,Foundation_Calc!$I$2:$J$8,2,FALSE),0),"")))</f>
        <v>3.5</v>
      </c>
      <c r="AZ814" s="10" t="str">
        <f>IF(K814="","",
IF(AX814="PT",VLOOKUP(K814,Foundation_Calc!$K$79:$R$113,VLOOKUP(AW814,Foundation_Calc!$I$2:$J$8,2,FALSE),0),
IF(AX814="K",VLOOKUP(K814,Foundation_Calc!$K$117:$R$151,VLOOKUP(AW814,Foundation_Calc!$I$2:$J$8,2,FALSE),0),"")))</f>
        <v/>
      </c>
      <c r="BA814" s="495" t="str">
        <f t="shared" si="112"/>
        <v>ü</v>
      </c>
      <c r="BB814" s="495" t="str">
        <f t="shared" si="113"/>
        <v/>
      </c>
      <c r="BC814" s="495" t="str">
        <f t="shared" si="114"/>
        <v/>
      </c>
      <c r="BD814" s="513" t="str">
        <f>IF(AND(L814="",H814=""),"",
IF(H814="",Pole_Calc!A$9,
IF(H814="MP",Pole_Calc!A$10,
IF(H814="AnMP",Pole_Calc!A$11,
IF(H814="A",Pole_Calc!A$12,
IF(H814="S/A",Pole_Calc!A$13,
IF(H814="A/S",Pole_Calc!A$14,"Poner a mano")))))))</f>
        <v>App.7-V11I-P9.5.1.1</v>
      </c>
      <c r="BE814" s="429" t="s">
        <v>118</v>
      </c>
      <c r="BF814" s="289"/>
      <c r="BG814" s="289"/>
      <c r="BH814" s="290"/>
      <c r="BI814" s="289"/>
    </row>
    <row r="815" spans="1:61" ht="15.75" customHeight="1">
      <c r="A815" s="646" t="s">
        <v>663</v>
      </c>
      <c r="B815" s="637"/>
      <c r="C815" s="638"/>
      <c r="D815" s="639"/>
      <c r="E815" s="640"/>
      <c r="F815" s="640"/>
      <c r="G815" s="641">
        <v>45</v>
      </c>
      <c r="H815" s="642"/>
      <c r="I815" s="640"/>
      <c r="J815" s="638">
        <f>C816-7.5</f>
        <v>49707.450000000012</v>
      </c>
      <c r="K815" s="642" t="s">
        <v>117</v>
      </c>
      <c r="L815" s="642"/>
      <c r="M815" s="642" t="str">
        <f>IF(L815="","",
IF(AX815="PT",VLOOKUP(L815,Foundation_Calc!$V$79:$X$113,VLOOKUP(AX815,Foundation_Calc!$I$10:$J$13,2,FALSE),0),
IF(AX815="K",VLOOKUP(L815,Foundation_Calc!$V$117:$X$151,VLOOKUP(AX815,Foundation_Calc!$I$10:$J$13,2,FALSE),0),"")))</f>
        <v/>
      </c>
      <c r="N815" s="642"/>
      <c r="O815" s="642"/>
      <c r="P815" s="642"/>
      <c r="Q815" s="640"/>
      <c r="R815" s="641"/>
      <c r="S815" s="641"/>
      <c r="T815" s="640"/>
      <c r="U815" s="640"/>
      <c r="V815" s="640"/>
      <c r="W815" s="643"/>
      <c r="X815" s="643"/>
      <c r="Y815" s="643"/>
      <c r="Z815" s="643"/>
      <c r="AA815" s="643"/>
      <c r="AB815" s="643"/>
      <c r="AC815" s="642" t="str">
        <f t="shared" si="111"/>
        <v/>
      </c>
      <c r="AD815" s="642"/>
      <c r="AE815" s="642"/>
      <c r="AF815" s="640"/>
      <c r="AG815" s="639"/>
      <c r="AH815" s="640"/>
      <c r="AI815" s="640"/>
      <c r="AJ815" s="642"/>
      <c r="AK815" s="642"/>
      <c r="AL815" s="642"/>
      <c r="AM815" s="642"/>
      <c r="AN815" s="644"/>
      <c r="AO815" s="643"/>
      <c r="AP815" s="643"/>
      <c r="AQ815" s="643">
        <f>+FL_1($T$816,$T$814,$G$815,1200,9.28, 1*$F$816)</f>
        <v>0.37917206671131859</v>
      </c>
      <c r="AR815" s="643"/>
      <c r="AS815" s="643"/>
      <c r="AT815" s="643"/>
      <c r="AU815" s="645"/>
      <c r="AV815" s="645"/>
      <c r="AW815" s="642" t="str">
        <f>IF(C815&gt;0,VLOOKUP(C815,Foundation_Calc!$A$2:$C$13,3,1),
IF(J815&gt;0,VLOOKUP(J815,Foundation_Calc!$A$2:$C$13,3,1),""))</f>
        <v>Multi Soil</v>
      </c>
      <c r="AX815" s="642" t="str">
        <f>IF(C815&gt;0,VLOOKUP(C815,Foundation_Calc!$E$35:$G$65,3,1),
IF(J815&gt;0,VLOOKUP(J815,Foundation_Calc!$E$35:$G$65,3,1),""))</f>
        <v>PT</v>
      </c>
      <c r="AY815" s="644" t="str">
        <f>IF(L815="","",
IF(AX815="PT",VLOOKUP(L815,Foundation_Calc!$K$79:$R$113,VLOOKUP(AW815,Foundation_Calc!$I$2:$J$8,2,FALSE),0),
IF(AX815="K",VLOOKUP(L815,Foundation_Calc!$K$117:$R$151,VLOOKUP(AW815,Foundation_Calc!$I$2:$J$8,2,FALSE),0),"")))</f>
        <v/>
      </c>
      <c r="AZ815" s="644">
        <f>IF(K815="","",
IF(AX815="PT",VLOOKUP(K815,Foundation_Calc!$K$79:$R$113,VLOOKUP(AW815,Foundation_Calc!$I$2:$J$8,2,FALSE),0),
IF(AX815="K",VLOOKUP(K815,Foundation_Calc!$K$117:$R$151,VLOOKUP(AW815,Foundation_Calc!$I$2:$J$8,2,FALSE),0),"")))</f>
        <v>3.9</v>
      </c>
      <c r="BA815" s="495" t="str">
        <f t="shared" si="112"/>
        <v/>
      </c>
      <c r="BB815" s="495" t="str">
        <f t="shared" si="113"/>
        <v>ü</v>
      </c>
      <c r="BC815" s="495" t="str">
        <f t="shared" si="114"/>
        <v/>
      </c>
      <c r="BD815" s="513" t="str">
        <f>IF(AND(L815="",H815=""),"",
IF(H815="",Pole_Calc!A$9,
IF(H815="MP",Pole_Calc!A$10,
IF(H815="AnMP",Pole_Calc!A$11,
IF(H815="A",Pole_Calc!A$12,
IF(H815="S/A",Pole_Calc!A$13,
IF(H815="A/S",Pole_Calc!A$14,"Poner a mano")))))))</f>
        <v/>
      </c>
      <c r="BE815" s="429" t="s">
        <v>118</v>
      </c>
      <c r="BF815" s="290"/>
      <c r="BG815" s="290"/>
      <c r="BH815" s="290"/>
      <c r="BI815" s="290"/>
    </row>
    <row r="816" spans="1:61" ht="15.75" customHeight="1">
      <c r="A816" s="571" t="s">
        <v>119</v>
      </c>
      <c r="B816" s="450" t="s">
        <v>1357</v>
      </c>
      <c r="C816" s="3">
        <f>+$C$814+$G$815</f>
        <v>49714.950000000012</v>
      </c>
      <c r="D816" s="83"/>
      <c r="E816" s="4"/>
      <c r="F816" s="4">
        <v>2171.3525713370004</v>
      </c>
      <c r="G816" s="6"/>
      <c r="H816" s="449" t="s">
        <v>121</v>
      </c>
      <c r="I816" s="4" t="s">
        <v>122</v>
      </c>
      <c r="J816" s="3"/>
      <c r="K816" s="449"/>
      <c r="L816" s="449" t="s">
        <v>151</v>
      </c>
      <c r="M816" s="449" t="str">
        <f>IF(L816="","",
IF(AX816="PT",VLOOKUP(L816,Foundation_Calc!$V$79:$X$113,VLOOKUP(AX816,Foundation_Calc!$I$10:$J$13,2,FALSE),0),
IF(AX816="K",VLOOKUP(L816,Foundation_Calc!$V$117:$X$151,VLOOKUP(AX816,Foundation_Calc!$I$10:$J$13,2,FALSE),0),"")))</f>
        <v>C4R</v>
      </c>
      <c r="N816" s="449" t="s">
        <v>134</v>
      </c>
      <c r="O816" s="449"/>
      <c r="P816" s="449"/>
      <c r="Q816" s="4"/>
      <c r="R816" s="6"/>
      <c r="S816" s="6"/>
      <c r="T816" s="4">
        <v>30</v>
      </c>
      <c r="U816" s="4"/>
      <c r="V816" s="4"/>
      <c r="W816" s="9">
        <v>1.4</v>
      </c>
      <c r="X816" s="9"/>
      <c r="Y816" s="9"/>
      <c r="Z816" s="9"/>
      <c r="AA816" s="9"/>
      <c r="AB816" s="9"/>
      <c r="AC816" s="449" t="str">
        <f t="shared" si="111"/>
        <v>PHC</v>
      </c>
      <c r="AD816" s="449"/>
      <c r="AE816" s="449"/>
      <c r="AF816" s="4"/>
      <c r="AG816" s="83"/>
      <c r="AH816" s="4"/>
      <c r="AI816" s="4"/>
      <c r="AJ816" s="449"/>
      <c r="AK816" s="449"/>
      <c r="AL816" s="449"/>
      <c r="AM816" s="449" t="s">
        <v>552</v>
      </c>
      <c r="AN816" s="10">
        <f>AN820-0.08</f>
        <v>5.42</v>
      </c>
      <c r="AO816" s="9"/>
      <c r="AP816" s="9"/>
      <c r="AQ816" s="9"/>
      <c r="AR816" s="9"/>
      <c r="AS816" s="9"/>
      <c r="AT816" s="9">
        <f>+ab($T$816,$T$814,$U$820,$G$815,$G$819, 1*$F$816,1200)</f>
        <v>4.7720237668253072</v>
      </c>
      <c r="AU816" s="428"/>
      <c r="AV816" s="428"/>
      <c r="AW816" s="449" t="str">
        <f>IF(C816&gt;0,VLOOKUP(C816,Foundation_Calc!$A$2:$C$13,3,1),
IF(J816&gt;0,VLOOKUP(J816,Foundation_Calc!$A$2:$C$13,3,1),""))</f>
        <v>Multi Soil</v>
      </c>
      <c r="AX816" s="449" t="str">
        <f>IF(C816&gt;0,VLOOKUP(C816,Foundation_Calc!$E$35:$G$65,3,1),
IF(J816&gt;0,VLOOKUP(J816,Foundation_Calc!$E$35:$G$65,3,1),""))</f>
        <v>PT</v>
      </c>
      <c r="AY816" s="10">
        <f>IF(L816="","",
IF(AX816="PT",VLOOKUP(L816,Foundation_Calc!$K$79:$R$113,VLOOKUP(AW816,Foundation_Calc!$I$2:$J$8,2,FALSE),0),
IF(AX816="K",VLOOKUP(L816,Foundation_Calc!$K$117:$R$151,VLOOKUP(AW816,Foundation_Calc!$I$2:$J$8,2,FALSE),0),"")))</f>
        <v>3.5</v>
      </c>
      <c r="AZ816" s="10" t="str">
        <f>IF(K816="","",
IF(AX816="PT",VLOOKUP(K816,Foundation_Calc!$K$79:$R$113,VLOOKUP(AW816,Foundation_Calc!$I$2:$J$8,2,FALSE),0),
IF(AX816="K",VLOOKUP(K816,Foundation_Calc!$K$117:$R$151,VLOOKUP(AW816,Foundation_Calc!$I$2:$J$8,2,FALSE),0),"")))</f>
        <v/>
      </c>
      <c r="BA816" s="495" t="str">
        <f t="shared" si="112"/>
        <v>ü</v>
      </c>
      <c r="BB816" s="495" t="str">
        <f t="shared" si="113"/>
        <v/>
      </c>
      <c r="BC816" s="495" t="str">
        <f t="shared" si="114"/>
        <v/>
      </c>
      <c r="BD816" s="513" t="str">
        <f>IF(AND(L816="",H816=""),"",
IF(H816="",Pole_Calc!A$9,
IF(H816="MP",Pole_Calc!A$10,
IF(H816="AnMP",Pole_Calc!A$11,
IF(H816="A",Pole_Calc!A$12,
IF(H816="S/A",Pole_Calc!A$13,
IF(H816="A/S",Pole_Calc!A$14,"Poner a mano")))))))</f>
        <v>App.7-V11I-P9.5.1.6</v>
      </c>
      <c r="BE816" s="429" t="s">
        <v>118</v>
      </c>
      <c r="BF816" s="289"/>
      <c r="BG816" s="289"/>
      <c r="BH816" s="290"/>
      <c r="BI816" s="289"/>
    </row>
    <row r="817" spans="1:61" ht="15.75" customHeight="1">
      <c r="A817" s="571" t="s">
        <v>119</v>
      </c>
      <c r="B817" s="450"/>
      <c r="C817" s="3"/>
      <c r="D817" s="83"/>
      <c r="E817" s="4"/>
      <c r="F817" s="4"/>
      <c r="G817" s="6">
        <v>55</v>
      </c>
      <c r="H817" s="449"/>
      <c r="I817" s="4"/>
      <c r="J817" s="3"/>
      <c r="K817" s="449"/>
      <c r="L817" s="449"/>
      <c r="M817" s="449" t="str">
        <f>IF(L817="","",
IF(AX817="PT",VLOOKUP(L817,Foundation_Calc!$V$79:$X$113,VLOOKUP(AX817,Foundation_Calc!$I$10:$J$13,2,FALSE),0),
IF(AX817="K",VLOOKUP(L817,Foundation_Calc!$V$117:$X$151,VLOOKUP(AX817,Foundation_Calc!$I$10:$J$13,2,FALSE),0),"")))</f>
        <v/>
      </c>
      <c r="N817" s="449"/>
      <c r="O817" s="449"/>
      <c r="P817" s="449"/>
      <c r="Q817" s="4"/>
      <c r="R817" s="6"/>
      <c r="S817" s="6"/>
      <c r="T817" s="4"/>
      <c r="U817" s="4"/>
      <c r="V817" s="4"/>
      <c r="W817" s="9"/>
      <c r="X817" s="9"/>
      <c r="Y817" s="9"/>
      <c r="Z817" s="9"/>
      <c r="AA817" s="9"/>
      <c r="AB817" s="9"/>
      <c r="AC817" s="449"/>
      <c r="AD817" s="449"/>
      <c r="AE817" s="449"/>
      <c r="AF817" s="4"/>
      <c r="AG817" s="83"/>
      <c r="AH817" s="4"/>
      <c r="AI817" s="4"/>
      <c r="AJ817" s="449"/>
      <c r="AK817" s="449"/>
      <c r="AL817" s="449"/>
      <c r="AM817" s="449"/>
      <c r="AN817" s="10"/>
      <c r="AO817" s="9"/>
      <c r="AP817" s="9"/>
      <c r="AQ817" s="9"/>
      <c r="AR817" s="9"/>
      <c r="AS817" s="9"/>
      <c r="AT817" s="9"/>
      <c r="AU817" s="428"/>
      <c r="AV817" s="428"/>
      <c r="AW817" s="449" t="str">
        <f>IF(C817&gt;0,VLOOKUP(C817,Foundation_Calc!$A$2:$C$13,3,1),
IF(J817&gt;0,VLOOKUP(J817,Foundation_Calc!$A$2:$C$13,3,1),""))</f>
        <v/>
      </c>
      <c r="AX817" s="449" t="str">
        <f>IF(C817&gt;0,VLOOKUP(C817,Foundation_Calc!$E$35:$G$65,3,1),
IF(J817&gt;0,VLOOKUP(J817,Foundation_Calc!$E$35:$G$65,3,1),""))</f>
        <v/>
      </c>
      <c r="AY817" s="10" t="str">
        <f>IF(L817="","",
IF(AX817="PT",VLOOKUP(L817,Foundation_Calc!$K$79:$R$113,VLOOKUP(AW817,Foundation_Calc!$I$2:$J$8,2,FALSE),0),
IF(AX817="K",VLOOKUP(L817,Foundation_Calc!$K$117:$R$151,VLOOKUP(AW817,Foundation_Calc!$I$2:$J$8,2,FALSE),0),"")))</f>
        <v/>
      </c>
      <c r="AZ817" s="10" t="str">
        <f>IF(K817="","",
IF(AX817="PT",VLOOKUP(K817,Foundation_Calc!$K$79:$R$113,VLOOKUP(AW817,Foundation_Calc!$I$2:$J$8,2,FALSE),0),
IF(AX817="K",VLOOKUP(K817,Foundation_Calc!$K$117:$R$151,VLOOKUP(AW817,Foundation_Calc!$I$2:$J$8,2,FALSE),0),"")))</f>
        <v/>
      </c>
      <c r="BA817" s="495" t="str">
        <f t="shared" ref="BA817:BA835" si="115">IF(AY817="","",IF(AY817&gt;0,"ü",""))</f>
        <v/>
      </c>
      <c r="BB817" s="495" t="str">
        <f t="shared" ref="BB817:BB835" si="116">IF(AZ817="","",IF(AZ817&gt;0,"ü",""))</f>
        <v/>
      </c>
      <c r="BC817" s="495" t="str">
        <f t="shared" ref="BC817:BC835" si="117">IF(M817="","",IF(M817="U.S.","ü",IF(M817="U.S. N.D.","ü","")))</f>
        <v/>
      </c>
      <c r="BD817" s="513" t="str">
        <f>IF(AND(L817="",H817=""),"",
IF(H817="",Pole_Calc!A$9,
IF(H817="MP",Pole_Calc!A$10,
IF(H817="AnMP",Pole_Calc!A$11,
IF(H817="A",Pole_Calc!A$12,
IF(H817="S/A",Pole_Calc!A$13,
IF(H817="A/S",Pole_Calc!A$14,"Poner a mano")))))))</f>
        <v/>
      </c>
      <c r="BE817" s="429" t="s">
        <v>118</v>
      </c>
      <c r="BF817" s="290"/>
      <c r="BG817" s="290"/>
      <c r="BH817" s="290"/>
      <c r="BI817" s="290"/>
    </row>
    <row r="818" spans="1:61" ht="15.75" customHeight="1">
      <c r="A818" s="571" t="s">
        <v>119</v>
      </c>
      <c r="B818" s="450" t="s">
        <v>1358</v>
      </c>
      <c r="C818" s="3">
        <f>+$C$820-$G$819</f>
        <v>49744.950000000012</v>
      </c>
      <c r="D818" s="83"/>
      <c r="E818" s="4"/>
      <c r="F818" s="4"/>
      <c r="G818" s="6"/>
      <c r="H818" s="449"/>
      <c r="I818" s="4"/>
      <c r="J818" s="3"/>
      <c r="K818" s="449"/>
      <c r="L818" s="449" t="s">
        <v>128</v>
      </c>
      <c r="M818" s="449" t="str">
        <f>IF(L818="","",
IF(AX818="PT",VLOOKUP(L818,Foundation_Calc!$V$79:$X$113,VLOOKUP(AX818,Foundation_Calc!$I$10:$J$13,2,FALSE),0),
IF(AX818="K",VLOOKUP(L818,Foundation_Calc!$V$117:$X$151,VLOOKUP(AX818,Foundation_Calc!$I$10:$J$13,2,FALSE),0),"")))</f>
        <v>T-SING FOUND.</v>
      </c>
      <c r="N818" s="449"/>
      <c r="O818" s="449"/>
      <c r="P818" s="449"/>
      <c r="Q818" s="4"/>
      <c r="R818" s="6"/>
      <c r="S818" s="6"/>
      <c r="T818" s="4"/>
      <c r="U818" s="4"/>
      <c r="V818" s="4"/>
      <c r="W818" s="9"/>
      <c r="X818" s="9"/>
      <c r="Y818" s="9"/>
      <c r="Z818" s="9"/>
      <c r="AA818" s="9"/>
      <c r="AB818" s="9"/>
      <c r="AC818" s="449"/>
      <c r="AD818" s="449"/>
      <c r="AE818" s="449"/>
      <c r="AF818" s="4"/>
      <c r="AG818" s="83"/>
      <c r="AH818" s="4"/>
      <c r="AI818" s="4"/>
      <c r="AJ818" s="449"/>
      <c r="AK818" s="449"/>
      <c r="AL818" s="449"/>
      <c r="AM818" s="449"/>
      <c r="AN818" s="10"/>
      <c r="AO818" s="9"/>
      <c r="AP818" s="9"/>
      <c r="AQ818" s="9"/>
      <c r="AR818" s="9"/>
      <c r="AS818" s="9"/>
      <c r="AT818" s="9"/>
      <c r="AU818" s="428"/>
      <c r="AV818" s="428"/>
      <c r="AW818" s="449" t="str">
        <f>IF(C818&gt;0,VLOOKUP(C818,Foundation_Calc!$A$2:$C$13,3,1),
IF(J818&gt;0,VLOOKUP(J818,Foundation_Calc!$A$2:$C$13,3,1),""))</f>
        <v>Multi Soil</v>
      </c>
      <c r="AX818" s="449" t="str">
        <f>IF(C818&gt;0,VLOOKUP(C818,Foundation_Calc!$E$35:$G$65,3,1),
IF(J818&gt;0,VLOOKUP(J818,Foundation_Calc!$E$35:$G$65,3,1),""))</f>
        <v>PT</v>
      </c>
      <c r="AY818" s="10">
        <f>IF(L818="","",
IF(AX818="PT",VLOOKUP(L818,Foundation_Calc!$K$79:$R$113,VLOOKUP(AW818,Foundation_Calc!$I$2:$J$8,2,FALSE),0),
IF(AX818="K",VLOOKUP(L818,Foundation_Calc!$K$117:$R$151,VLOOKUP(AW818,Foundation_Calc!$I$2:$J$8,2,FALSE),0),"")))</f>
        <v>1.2</v>
      </c>
      <c r="AZ818" s="10" t="str">
        <f>IF(K818="","",
IF(AX818="PT",VLOOKUP(K818,Foundation_Calc!$K$79:$R$113,VLOOKUP(AW818,Foundation_Calc!$I$2:$J$8,2,FALSE),0),
IF(AX818="K",VLOOKUP(K818,Foundation_Calc!$K$117:$R$151,VLOOKUP(AW818,Foundation_Calc!$I$2:$J$8,2,FALSE),0),"")))</f>
        <v/>
      </c>
      <c r="BA818" s="495"/>
      <c r="BB818" s="495" t="str">
        <f t="shared" si="116"/>
        <v/>
      </c>
      <c r="BC818" s="495" t="str">
        <f t="shared" si="117"/>
        <v/>
      </c>
      <c r="BD818" s="513"/>
      <c r="BE818" s="429" t="s">
        <v>118</v>
      </c>
      <c r="BF818" s="289"/>
      <c r="BG818" s="289"/>
      <c r="BH818" s="290"/>
      <c r="BI818" s="289"/>
    </row>
    <row r="819" spans="1:61" ht="15.75" customHeight="1">
      <c r="A819" s="571" t="s">
        <v>119</v>
      </c>
      <c r="B819" s="450"/>
      <c r="C819" s="3"/>
      <c r="D819" s="83"/>
      <c r="E819" s="4"/>
      <c r="F819" s="4"/>
      <c r="G819" s="6">
        <v>25</v>
      </c>
      <c r="H819" s="449"/>
      <c r="I819" s="4" t="s">
        <v>549</v>
      </c>
      <c r="J819" s="3">
        <f>C820-7.5</f>
        <v>49762.450000000012</v>
      </c>
      <c r="K819" s="449" t="s">
        <v>166</v>
      </c>
      <c r="L819" s="449"/>
      <c r="M819" s="449" t="str">
        <f>IF(L819="","",
IF(AX819="PT",VLOOKUP(L819,Foundation_Calc!$V$79:$X$113,VLOOKUP(AX819,Foundation_Calc!$I$10:$J$13,2,FALSE),0),
IF(AX819="K",VLOOKUP(L819,Foundation_Calc!$V$117:$X$151,VLOOKUP(AX819,Foundation_Calc!$I$10:$J$13,2,FALSE),0),"")))</f>
        <v/>
      </c>
      <c r="N819" s="449"/>
      <c r="O819" s="449"/>
      <c r="P819" s="449"/>
      <c r="Q819" s="4"/>
      <c r="R819" s="6"/>
      <c r="S819" s="6"/>
      <c r="T819" s="4"/>
      <c r="U819" s="4"/>
      <c r="V819" s="4"/>
      <c r="W819" s="9"/>
      <c r="X819" s="9"/>
      <c r="Y819" s="9"/>
      <c r="Z819" s="9"/>
      <c r="AA819" s="9"/>
      <c r="AB819" s="9"/>
      <c r="AC819" s="449" t="str">
        <f t="shared" si="111"/>
        <v/>
      </c>
      <c r="AD819" s="449"/>
      <c r="AE819" s="449"/>
      <c r="AF819" s="4"/>
      <c r="AG819" s="83"/>
      <c r="AH819" s="4"/>
      <c r="AI819" s="4"/>
      <c r="AJ819" s="449"/>
      <c r="AK819" s="449"/>
      <c r="AL819" s="449"/>
      <c r="AM819" s="449"/>
      <c r="AN819" s="10"/>
      <c r="AO819" s="9"/>
      <c r="AP819" s="9"/>
      <c r="AQ819" s="9">
        <f>+FL_2($U$820,$T$816,$G$819,1200,9.28, 1*$F$820)</f>
        <v>-0.3</v>
      </c>
      <c r="AR819" s="9"/>
      <c r="AS819" s="9"/>
      <c r="AT819" s="9"/>
      <c r="AU819" s="428"/>
      <c r="AV819" s="428"/>
      <c r="AW819" s="449" t="str">
        <f>IF(C819&gt;0,VLOOKUP(C819,Foundation_Calc!$A$2:$C$13,3,1),
IF(J819&gt;0,VLOOKUP(J819,Foundation_Calc!$A$2:$C$13,3,1),""))</f>
        <v>Multi Soil</v>
      </c>
      <c r="AX819" s="449" t="str">
        <f>IF(C819&gt;0,VLOOKUP(C819,Foundation_Calc!$E$35:$G$65,3,1),
IF(J819&gt;0,VLOOKUP(J819,Foundation_Calc!$E$35:$G$65,3,1),""))</f>
        <v>PT</v>
      </c>
      <c r="AY819" s="10" t="str">
        <f>IF(L819="","",
IF(AX819="PT",VLOOKUP(L819,Foundation_Calc!$K$79:$R$113,VLOOKUP(AW819,Foundation_Calc!$I$2:$J$8,2,FALSE),0),
IF(AX819="K",VLOOKUP(L819,Foundation_Calc!$K$117:$R$151,VLOOKUP(AW819,Foundation_Calc!$I$2:$J$8,2,FALSE),0),"")))</f>
        <v/>
      </c>
      <c r="AZ819" s="10">
        <f>IF(K819="","",
IF(AX819="PT",VLOOKUP(K819,Foundation_Calc!$K$79:$R$113,VLOOKUP(AW819,Foundation_Calc!$I$2:$J$8,2,FALSE),0),
IF(AX819="K",VLOOKUP(K819,Foundation_Calc!$K$117:$R$151,VLOOKUP(AW819,Foundation_Calc!$I$2:$J$8,2,FALSE),0),"")))</f>
        <v>2.8</v>
      </c>
      <c r="BA819" s="495" t="str">
        <f t="shared" si="115"/>
        <v/>
      </c>
      <c r="BB819" s="495" t="str">
        <f t="shared" si="116"/>
        <v>ü</v>
      </c>
      <c r="BC819" s="495" t="str">
        <f t="shared" si="117"/>
        <v/>
      </c>
      <c r="BD819" s="513" t="str">
        <f>IF(AND(L819="",H819=""),"",
IF(H819="",Pole_Calc!A$9,
IF(H819="MP",Pole_Calc!A$10,
IF(H819="AnMP",Pole_Calc!A$11,
IF(H819="A",Pole_Calc!A$12,
IF(H819="S/A",Pole_Calc!A$13,
IF(H819="A/S",Pole_Calc!A$14,"Poner a mano")))))))</f>
        <v/>
      </c>
      <c r="BE819" s="429" t="s">
        <v>118</v>
      </c>
      <c r="BF819" s="290"/>
      <c r="BG819" s="290"/>
      <c r="BH819" s="290"/>
      <c r="BI819" s="290"/>
    </row>
    <row r="820" spans="1:61" ht="15.75" customHeight="1">
      <c r="A820" s="636" t="s">
        <v>1359</v>
      </c>
      <c r="B820" s="637" t="s">
        <v>1360</v>
      </c>
      <c r="C820" s="638">
        <f>+$C$816+$G$817</f>
        <v>49769.950000000012</v>
      </c>
      <c r="D820" s="639"/>
      <c r="E820" s="640"/>
      <c r="F820" s="640">
        <v>11196.093100596505</v>
      </c>
      <c r="G820" s="641"/>
      <c r="H820" s="642" t="s">
        <v>131</v>
      </c>
      <c r="I820" s="640" t="s">
        <v>132</v>
      </c>
      <c r="J820" s="638"/>
      <c r="K820" s="642"/>
      <c r="L820" s="642" t="s">
        <v>148</v>
      </c>
      <c r="M820" s="642" t="str">
        <f>IF(L820="","",
IF(AX820="PT",VLOOKUP(L820,Foundation_Calc!$V$79:$X$113,VLOOKUP(AX820,Foundation_Calc!$I$10:$J$13,2,FALSE),0),
IF(AX820="K",VLOOKUP(L820,Foundation_Calc!$V$117:$X$151,VLOOKUP(AX820,Foundation_Calc!$I$10:$J$13,2,FALSE),0),"")))</f>
        <v>C4R</v>
      </c>
      <c r="N820" s="642" t="s">
        <v>133</v>
      </c>
      <c r="O820" s="642" t="s">
        <v>124</v>
      </c>
      <c r="P820" s="642"/>
      <c r="Q820" s="640"/>
      <c r="R820" s="641"/>
      <c r="S820" s="641"/>
      <c r="T820" s="640">
        <v>10</v>
      </c>
      <c r="U820" s="640">
        <v>-30</v>
      </c>
      <c r="V820" s="640"/>
      <c r="W820" s="643">
        <v>1.4</v>
      </c>
      <c r="X820" s="643">
        <v>2.2999999999999998</v>
      </c>
      <c r="Y820" s="643"/>
      <c r="Z820" s="643">
        <v>0.45</v>
      </c>
      <c r="AA820" s="643"/>
      <c r="AB820" s="643"/>
      <c r="AC820" s="642"/>
      <c r="AD820" s="642"/>
      <c r="AE820" s="642"/>
      <c r="AF820" s="640"/>
      <c r="AG820" s="639"/>
      <c r="AH820" s="640"/>
      <c r="AI820" s="640"/>
      <c r="AJ820" s="642" t="s">
        <v>135</v>
      </c>
      <c r="AK820" s="642"/>
      <c r="AL820" s="642"/>
      <c r="AM820" s="642" t="s">
        <v>552</v>
      </c>
      <c r="AN820" s="644">
        <v>5.5</v>
      </c>
      <c r="AO820" s="643"/>
      <c r="AP820" s="643"/>
      <c r="AQ820" s="643"/>
      <c r="AR820" s="643"/>
      <c r="AS820" s="643"/>
      <c r="AT820" s="643">
        <f>+ab($U$820,$T$816,$U$824,$G$819,$G$821, 1*$F$820,1200)</f>
        <v>-7.4049139503572565</v>
      </c>
      <c r="AU820" s="645"/>
      <c r="AV820" s="645"/>
      <c r="AW820" s="642" t="str">
        <f>IF(C820&gt;0,VLOOKUP(C820,Foundation_Calc!$A$2:$C$13,3,1),
IF(J820&gt;0,VLOOKUP(J820,Foundation_Calc!$A$2:$C$13,3,1),""))</f>
        <v>Multi Soil</v>
      </c>
      <c r="AX820" s="642" t="str">
        <f>IF(C820&gt;0,VLOOKUP(C820,Foundation_Calc!$E$35:$G$65,3,1),
IF(J820&gt;0,VLOOKUP(J820,Foundation_Calc!$E$35:$G$65,3,1),""))</f>
        <v>PT</v>
      </c>
      <c r="AY820" s="644">
        <f>IF(L820="","",
IF(AX820="PT",VLOOKUP(L820,Foundation_Calc!$K$79:$R$113,VLOOKUP(AW820,Foundation_Calc!$I$2:$J$8,2,FALSE),0),
IF(AX820="K",VLOOKUP(L820,Foundation_Calc!$K$117:$R$151,VLOOKUP(AW820,Foundation_Calc!$I$2:$J$8,2,FALSE),0),"")))</f>
        <v>3.7</v>
      </c>
      <c r="AZ820" s="644" t="str">
        <f>IF(K820="","",
IF(AX820="PT",VLOOKUP(K820,Foundation_Calc!$K$79:$R$113,VLOOKUP(AW820,Foundation_Calc!$I$2:$J$8,2,FALSE),0),
IF(AX820="K",VLOOKUP(K820,Foundation_Calc!$K$117:$R$151,VLOOKUP(AW820,Foundation_Calc!$I$2:$J$8,2,FALSE),0),"")))</f>
        <v/>
      </c>
      <c r="BA820" s="495" t="str">
        <f t="shared" si="115"/>
        <v>ü</v>
      </c>
      <c r="BB820" s="495" t="str">
        <f t="shared" si="116"/>
        <v/>
      </c>
      <c r="BC820" s="495" t="str">
        <f t="shared" si="117"/>
        <v/>
      </c>
      <c r="BD820" s="513" t="str">
        <f>IF(AND(L820="",H820=""),"",
IF(H820="",Pole_Calc!A$9,
IF(H820="MP",Pole_Calc!A$10,
IF(H820="AnMP",Pole_Calc!A$11,
IF(H820="A",Pole_Calc!A$12,
IF(H820="S/A",Pole_Calc!A$13,
IF(H820="A/S",Pole_Calc!A$14,"Poner a mano")))))))</f>
        <v>App.7-V11I-P9.5.1.5</v>
      </c>
      <c r="BE820" s="429" t="s">
        <v>118</v>
      </c>
      <c r="BF820" s="289"/>
      <c r="BG820" s="289"/>
      <c r="BH820" s="290"/>
      <c r="BI820" s="289"/>
    </row>
    <row r="821" spans="1:61" ht="15.75" customHeight="1">
      <c r="A821" s="571" t="s">
        <v>119</v>
      </c>
      <c r="B821" s="450"/>
      <c r="C821" s="3"/>
      <c r="D821" s="83"/>
      <c r="E821" s="4"/>
      <c r="F821" s="4"/>
      <c r="G821" s="6">
        <v>42</v>
      </c>
      <c r="H821" s="449"/>
      <c r="I821" s="4" t="s">
        <v>549</v>
      </c>
      <c r="J821" s="3">
        <f>C820+7.5</f>
        <v>49777.450000000012</v>
      </c>
      <c r="K821" s="449" t="s">
        <v>166</v>
      </c>
      <c r="L821" s="449"/>
      <c r="M821" s="449" t="str">
        <f>IF(L821="","",
IF(AX821="PT",VLOOKUP(L821,Foundation_Calc!$V$79:$X$113,VLOOKUP(AX821,Foundation_Calc!$I$10:$J$13,2,FALSE),0),
IF(AX821="K",VLOOKUP(L821,Foundation_Calc!$V$117:$X$151,VLOOKUP(AX821,Foundation_Calc!$I$10:$J$13,2,FALSE),0),"")))</f>
        <v/>
      </c>
      <c r="N821" s="449"/>
      <c r="O821" s="561"/>
      <c r="P821" s="449"/>
      <c r="Q821" s="4"/>
      <c r="R821" s="6"/>
      <c r="S821" s="6"/>
      <c r="T821" s="4"/>
      <c r="U821" s="4"/>
      <c r="V821" s="4"/>
      <c r="W821" s="9"/>
      <c r="X821" s="9"/>
      <c r="Y821" s="9"/>
      <c r="Z821" s="9"/>
      <c r="AA821" s="9"/>
      <c r="AB821" s="9"/>
      <c r="AC821" s="449" t="str">
        <f t="shared" si="111"/>
        <v/>
      </c>
      <c r="AD821" s="449"/>
      <c r="AE821" s="449"/>
      <c r="AF821" s="4"/>
      <c r="AG821" s="83"/>
      <c r="AH821" s="4"/>
      <c r="AI821" s="4"/>
      <c r="AJ821" s="449" t="s">
        <v>668</v>
      </c>
      <c r="AK821" s="449"/>
      <c r="AL821" s="449"/>
      <c r="AM821" s="449"/>
      <c r="AN821" s="10"/>
      <c r="AO821" s="9"/>
      <c r="AP821" s="9"/>
      <c r="AQ821" s="9">
        <f>+FL_1($T$824,$U$820,$G$821,1200,9.28, 1*$F$824)</f>
        <v>0.35037719942857143</v>
      </c>
      <c r="AR821" s="9"/>
      <c r="AS821" s="9"/>
      <c r="AT821" s="9"/>
      <c r="AU821" s="428"/>
      <c r="AV821" s="428"/>
      <c r="AW821" s="449" t="str">
        <f>IF(C821&gt;0,VLOOKUP(C821,Foundation_Calc!$A$2:$C$13,3,1),
IF(J821&gt;0,VLOOKUP(J821,Foundation_Calc!$A$2:$C$13,3,1),""))</f>
        <v>Multi Soil</v>
      </c>
      <c r="AX821" s="449" t="str">
        <f>IF(C821&gt;0,VLOOKUP(C821,Foundation_Calc!$E$35:$G$65,3,1),
IF(J821&gt;0,VLOOKUP(J821,Foundation_Calc!$E$35:$G$65,3,1),""))</f>
        <v>PT</v>
      </c>
      <c r="AY821" s="10" t="str">
        <f>IF(L821="","",
IF(AX821="PT",VLOOKUP(L821,Foundation_Calc!$K$79:$R$113,VLOOKUP(AW821,Foundation_Calc!$I$2:$J$8,2,FALSE),0),
IF(AX821="K",VLOOKUP(L821,Foundation_Calc!$K$117:$R$151,VLOOKUP(AW821,Foundation_Calc!$I$2:$J$8,2,FALSE),0),"")))</f>
        <v/>
      </c>
      <c r="AZ821" s="10">
        <f>IF(K821="","",
IF(AX821="PT",VLOOKUP(K821,Foundation_Calc!$K$79:$R$113,VLOOKUP(AW821,Foundation_Calc!$I$2:$J$8,2,FALSE),0),
IF(AX821="K",VLOOKUP(K821,Foundation_Calc!$K$117:$R$151,VLOOKUP(AW821,Foundation_Calc!$I$2:$J$8,2,FALSE),0),"")))</f>
        <v>2.8</v>
      </c>
      <c r="BA821" s="495" t="str">
        <f t="shared" si="115"/>
        <v/>
      </c>
      <c r="BB821" s="495" t="str">
        <f t="shared" si="116"/>
        <v>ü</v>
      </c>
      <c r="BC821" s="495" t="str">
        <f t="shared" si="117"/>
        <v/>
      </c>
      <c r="BD821" s="513" t="str">
        <f>IF(AND(L821="",H821=""),"",
IF(H821="",Pole_Calc!A$9,
IF(H821="MP",Pole_Calc!A$10,
IF(H821="AnMP",Pole_Calc!A$11,
IF(H821="A",Pole_Calc!A$12,
IF(H821="S/A",Pole_Calc!A$13,
IF(H821="A/S",Pole_Calc!A$14,"Poner a mano")))))))</f>
        <v/>
      </c>
      <c r="BE821" s="429" t="s">
        <v>118</v>
      </c>
      <c r="BF821" s="290"/>
      <c r="BG821" s="290"/>
      <c r="BH821" s="290"/>
      <c r="BI821" s="290"/>
    </row>
    <row r="822" spans="1:61" ht="15.75" customHeight="1">
      <c r="A822" s="636" t="s">
        <v>1361</v>
      </c>
      <c r="B822" s="637" t="s">
        <v>1362</v>
      </c>
      <c r="C822" s="638">
        <f>+$C$820+$G$821</f>
        <v>49811.950000000012</v>
      </c>
      <c r="D822" s="639"/>
      <c r="E822" s="640"/>
      <c r="F822" s="640">
        <v>0</v>
      </c>
      <c r="G822" s="641"/>
      <c r="H822" s="642"/>
      <c r="I822" s="640"/>
      <c r="J822" s="638"/>
      <c r="K822" s="642"/>
      <c r="L822" s="642" t="s">
        <v>562</v>
      </c>
      <c r="M822" s="642" t="str">
        <f>IF(L822="","",
IF(AX822="PT",VLOOKUP(L822,Foundation_Calc!$V$79:$X$113,VLOOKUP(AX822,Foundation_Calc!$I$10:$J$13,2,FALSE),0),
IF(AX822="K",VLOOKUP(L822,Foundation_Calc!$V$117:$X$151,VLOOKUP(AX822,Foundation_Calc!$I$10:$J$13,2,FALSE),0),"")))</f>
        <v>C7R</v>
      </c>
      <c r="N822" s="642"/>
      <c r="O822" s="898"/>
      <c r="P822" s="642"/>
      <c r="Q822" s="640"/>
      <c r="R822" s="641"/>
      <c r="S822" s="641"/>
      <c r="T822" s="640"/>
      <c r="U822" s="640"/>
      <c r="V822" s="640"/>
      <c r="W822" s="643"/>
      <c r="X822" s="643"/>
      <c r="Y822" s="643"/>
      <c r="Z822" s="643"/>
      <c r="AA822" s="643"/>
      <c r="AB822" s="643"/>
      <c r="AC822" s="642"/>
      <c r="AD822" s="642"/>
      <c r="AE822" s="642"/>
      <c r="AF822" s="640"/>
      <c r="AG822" s="639"/>
      <c r="AH822" s="640"/>
      <c r="AI822" s="640"/>
      <c r="AJ822" s="642" t="s">
        <v>563</v>
      </c>
      <c r="AK822" s="642"/>
      <c r="AL822" s="642"/>
      <c r="AM822" s="642" t="s">
        <v>552</v>
      </c>
      <c r="AN822" s="644"/>
      <c r="AO822" s="643"/>
      <c r="AP822" s="643"/>
      <c r="AQ822" s="643"/>
      <c r="AR822" s="643"/>
      <c r="AS822" s="643"/>
      <c r="AT822" s="643"/>
      <c r="AU822" s="645"/>
      <c r="AV822" s="645"/>
      <c r="AW822" s="642" t="str">
        <f>IF(C822&gt;0,VLOOKUP(C822,Foundation_Calc!$A$2:$C$13,3,1),
IF(J822&gt;0,VLOOKUP(J822,Foundation_Calc!$A$2:$C$13,3,1),""))</f>
        <v>Multi Soil</v>
      </c>
      <c r="AX822" s="642" t="str">
        <f>IF(C822&gt;0,VLOOKUP(C822,Foundation_Calc!$E$35:$G$65,3,1),
IF(J822&gt;0,VLOOKUP(J822,Foundation_Calc!$E$35:$G$65,3,1),""))</f>
        <v>PT</v>
      </c>
      <c r="AY822" s="644">
        <f>IF(L822="","",
IF(AX822="PT",VLOOKUP(L822,Foundation_Calc!$K$79:$R$113,VLOOKUP(AW822,Foundation_Calc!$I$2:$J$8,2,FALSE),0),
IF(AX822="K",VLOOKUP(L822,Foundation_Calc!$K$117:$R$151,VLOOKUP(AW822,Foundation_Calc!$I$2:$J$8,2,FALSE),0),"")))</f>
        <v>3.7</v>
      </c>
      <c r="AZ822" s="644" t="str">
        <f>IF(K822="","",
IF(AX822="PT",VLOOKUP(K822,Foundation_Calc!$K$79:$R$113,VLOOKUP(AW822,Foundation_Calc!$I$2:$J$8,2,FALSE),0),
IF(AX822="K",VLOOKUP(K822,Foundation_Calc!$K$117:$R$151,VLOOKUP(AW822,Foundation_Calc!$I$2:$J$8,2,FALSE),0),"")))</f>
        <v/>
      </c>
      <c r="BA822" s="495" t="str">
        <f t="shared" si="115"/>
        <v>ü</v>
      </c>
      <c r="BB822" s="495" t="str">
        <f t="shared" si="116"/>
        <v/>
      </c>
      <c r="BC822" s="495" t="str">
        <f t="shared" si="117"/>
        <v/>
      </c>
      <c r="BD822" s="513" t="str">
        <f>Pole_Calc!A$322</f>
        <v>App.8-V08H-10.7.4.1</v>
      </c>
      <c r="BE822" s="429" t="s">
        <v>118</v>
      </c>
      <c r="BF822" s="289"/>
      <c r="BG822" s="289"/>
      <c r="BH822" s="290"/>
      <c r="BI822" s="289"/>
    </row>
    <row r="823" spans="1:61" ht="15.75" customHeight="1">
      <c r="A823" s="571" t="s">
        <v>119</v>
      </c>
      <c r="B823" s="450"/>
      <c r="C823" s="3"/>
      <c r="D823" s="83"/>
      <c r="E823" s="4"/>
      <c r="F823" s="4"/>
      <c r="G823" s="6">
        <v>5</v>
      </c>
      <c r="H823" s="449"/>
      <c r="I823" s="4"/>
      <c r="J823" s="3"/>
      <c r="K823" s="449"/>
      <c r="L823" s="449"/>
      <c r="M823" s="449" t="str">
        <f>IF(L823="","",
IF(AX823="PT",VLOOKUP(L823,Foundation_Calc!$V$79:$X$113,VLOOKUP(AX823,Foundation_Calc!$I$10:$J$13,2,FALSE),0),
IF(AX823="K",VLOOKUP(L823,Foundation_Calc!$V$117:$X$151,VLOOKUP(AX823,Foundation_Calc!$I$10:$J$13,2,FALSE),0),"")))</f>
        <v/>
      </c>
      <c r="N823" s="449"/>
      <c r="O823" s="561"/>
      <c r="P823" s="449"/>
      <c r="Q823" s="4"/>
      <c r="R823" s="6"/>
      <c r="S823" s="6"/>
      <c r="T823" s="4"/>
      <c r="U823" s="4"/>
      <c r="V823" s="4"/>
      <c r="W823" s="9"/>
      <c r="X823" s="9"/>
      <c r="Y823" s="9"/>
      <c r="Z823" s="9"/>
      <c r="AA823" s="9"/>
      <c r="AB823" s="9"/>
      <c r="AC823" s="449"/>
      <c r="AD823" s="449"/>
      <c r="AE823" s="449"/>
      <c r="AF823" s="4"/>
      <c r="AG823" s="83"/>
      <c r="AH823" s="4"/>
      <c r="AI823" s="4"/>
      <c r="AJ823" s="449"/>
      <c r="AK823" s="449"/>
      <c r="AL823" s="449"/>
      <c r="AM823" s="449"/>
      <c r="AN823" s="10"/>
      <c r="AO823" s="9"/>
      <c r="AP823" s="9"/>
      <c r="AQ823" s="9"/>
      <c r="AR823" s="9"/>
      <c r="AS823" s="9"/>
      <c r="AT823" s="9"/>
      <c r="AU823" s="428"/>
      <c r="AV823" s="428"/>
      <c r="AW823" s="449" t="str">
        <f>IF(C823&gt;0,VLOOKUP(C823,Foundation_Calc!$A$2:$C$13,3,1),
IF(J823&gt;0,VLOOKUP(J823,Foundation_Calc!$A$2:$C$13,3,1),""))</f>
        <v/>
      </c>
      <c r="AX823" s="449" t="str">
        <f>IF(C823&gt;0,VLOOKUP(C823,Foundation_Calc!$E$35:$G$65,3,1),
IF(J823&gt;0,VLOOKUP(J823,Foundation_Calc!$E$35:$G$65,3,1),""))</f>
        <v/>
      </c>
      <c r="AY823" s="10" t="str">
        <f>IF(L823="","",
IF(AX823="PT",VLOOKUP(L823,Foundation_Calc!$K$79:$R$113,VLOOKUP(AW823,Foundation_Calc!$I$2:$J$8,2,FALSE),0),
IF(AX823="K",VLOOKUP(L823,Foundation_Calc!$K$117:$R$151,VLOOKUP(AW823,Foundation_Calc!$I$2:$J$8,2,FALSE),0),"")))</f>
        <v/>
      </c>
      <c r="AZ823" s="10" t="str">
        <f>IF(K823="","",
IF(AX823="PT",VLOOKUP(K823,Foundation_Calc!$K$79:$R$113,VLOOKUP(AW823,Foundation_Calc!$I$2:$J$8,2,FALSE),0),
IF(AX823="K",VLOOKUP(K823,Foundation_Calc!$K$117:$R$151,VLOOKUP(AW823,Foundation_Calc!$I$2:$J$8,2,FALSE),0),"")))</f>
        <v/>
      </c>
      <c r="BA823" s="495" t="str">
        <f t="shared" si="115"/>
        <v/>
      </c>
      <c r="BB823" s="495" t="str">
        <f t="shared" si="116"/>
        <v/>
      </c>
      <c r="BC823" s="495" t="str">
        <f t="shared" si="117"/>
        <v/>
      </c>
      <c r="BD823" s="513" t="str">
        <f>IF(AND(L823="",H823=""),"",
IF(H823="",Pole_Calc!A$9,
IF(H823="MP",Pole_Calc!A$10,
IF(H823="AnMP",Pole_Calc!A$11,
IF(H823="A",Pole_Calc!A$12,
IF(H823="S/A",Pole_Calc!A$13,
IF(H823="A/S",Pole_Calc!A$14,"Poner a mano")))))))</f>
        <v/>
      </c>
      <c r="BE823" s="429" t="s">
        <v>118</v>
      </c>
      <c r="BF823" s="290"/>
      <c r="BG823" s="290"/>
      <c r="BH823" s="290"/>
      <c r="BI823" s="290"/>
    </row>
    <row r="824" spans="1:61" ht="15.75" customHeight="1">
      <c r="A824" s="636" t="s">
        <v>1363</v>
      </c>
      <c r="B824" s="637" t="s">
        <v>1364</v>
      </c>
      <c r="C824" s="638">
        <f>+$C$822+$G$823</f>
        <v>49816.950000000012</v>
      </c>
      <c r="D824" s="639"/>
      <c r="E824" s="640"/>
      <c r="F824" s="640">
        <v>0</v>
      </c>
      <c r="G824" s="641"/>
      <c r="H824" s="642" t="s">
        <v>131</v>
      </c>
      <c r="I824" s="640" t="s">
        <v>132</v>
      </c>
      <c r="J824" s="638"/>
      <c r="K824" s="642"/>
      <c r="L824" s="642" t="s">
        <v>158</v>
      </c>
      <c r="M824" s="642" t="str">
        <f>IF(L824="","",
IF(AX824="PT",VLOOKUP(L824,Foundation_Calc!$V$79:$X$113,VLOOKUP(AX824,Foundation_Calc!$I$10:$J$13,2,FALSE),0),
IF(AX824="K",VLOOKUP(L824,Foundation_Calc!$V$117:$X$151,VLOOKUP(AX824,Foundation_Calc!$I$10:$J$13,2,FALSE),0),"")))</f>
        <v>C4R</v>
      </c>
      <c r="N824" s="642" t="s">
        <v>134</v>
      </c>
      <c r="O824" s="642" t="s">
        <v>133</v>
      </c>
      <c r="P824" s="642"/>
      <c r="Q824" s="640"/>
      <c r="R824" s="641"/>
      <c r="S824" s="641"/>
      <c r="T824" s="640">
        <v>35</v>
      </c>
      <c r="U824" s="640">
        <v>-10</v>
      </c>
      <c r="V824" s="640"/>
      <c r="W824" s="643">
        <v>1.4</v>
      </c>
      <c r="X824" s="643">
        <v>2.2999999999999998</v>
      </c>
      <c r="Y824" s="643"/>
      <c r="Z824" s="643"/>
      <c r="AA824" s="643">
        <v>0.45</v>
      </c>
      <c r="AB824" s="643"/>
      <c r="AC824" s="642" t="str">
        <f t="shared" si="111"/>
        <v>PH</v>
      </c>
      <c r="AD824" s="642"/>
      <c r="AE824" s="642"/>
      <c r="AF824" s="640"/>
      <c r="AG824" s="639"/>
      <c r="AH824" s="640"/>
      <c r="AI824" s="640"/>
      <c r="AJ824" s="642" t="s">
        <v>135</v>
      </c>
      <c r="AK824" s="642"/>
      <c r="AL824" s="642"/>
      <c r="AM824" s="642" t="s">
        <v>552</v>
      </c>
      <c r="AN824" s="644">
        <v>5.5</v>
      </c>
      <c r="AO824" s="643"/>
      <c r="AP824" s="643"/>
      <c r="AQ824" s="643"/>
      <c r="AR824" s="643"/>
      <c r="AS824" s="643"/>
      <c r="AT824" s="643">
        <f>+ab($T$824,$T$820,$T$826,$G$821,$G$825, 1*$F$824,1200)</f>
        <v>16.548429696634429</v>
      </c>
      <c r="AU824" s="645"/>
      <c r="AV824" s="645"/>
      <c r="AW824" s="642" t="str">
        <f>IF(C824&gt;0,VLOOKUP(C824,Foundation_Calc!$A$2:$C$13,3,1),
IF(J824&gt;0,VLOOKUP(J824,Foundation_Calc!$A$2:$C$13,3,1),""))</f>
        <v>Multi Soil</v>
      </c>
      <c r="AX824" s="642" t="str">
        <f>IF(C824&gt;0,VLOOKUP(C824,Foundation_Calc!$E$35:$G$65,3,1),
IF(J824&gt;0,VLOOKUP(J824,Foundation_Calc!$E$35:$G$65,3,1),""))</f>
        <v>PT</v>
      </c>
      <c r="AY824" s="644">
        <f>IF(L824="","",
IF(AX824="PT",VLOOKUP(L824,Foundation_Calc!$K$79:$R$113,VLOOKUP(AW824,Foundation_Calc!$I$2:$J$8,2,FALSE),0),
IF(AX824="K",VLOOKUP(L824,Foundation_Calc!$K$117:$R$151,VLOOKUP(AW824,Foundation_Calc!$I$2:$J$8,2,FALSE),0),"")))</f>
        <v>3.5</v>
      </c>
      <c r="AZ824" s="644" t="str">
        <f>IF(K824="","",
IF(AX824="PT",VLOOKUP(K824,Foundation_Calc!$K$79:$R$113,VLOOKUP(AW824,Foundation_Calc!$I$2:$J$8,2,FALSE),0),
IF(AX824="K",VLOOKUP(K824,Foundation_Calc!$K$117:$R$151,VLOOKUP(AW824,Foundation_Calc!$I$2:$J$8,2,FALSE),0),"")))</f>
        <v/>
      </c>
      <c r="BA824" s="495" t="str">
        <f t="shared" si="115"/>
        <v>ü</v>
      </c>
      <c r="BB824" s="495" t="str">
        <f t="shared" si="116"/>
        <v/>
      </c>
      <c r="BC824" s="495" t="str">
        <f t="shared" si="117"/>
        <v/>
      </c>
      <c r="BD824" s="513" t="str">
        <f>IF(AND(L824="",H824=""),"",
IF(H824="",Pole_Calc!A$9,
IF(H824="MP",Pole_Calc!A$10,
IF(H824="AnMP",Pole_Calc!A$11,
IF(H824="A",Pole_Calc!A$12,
IF(H824="S/A",Pole_Calc!A$13,
IF(H824="A/S",Pole_Calc!A$14,"Poner a mano")))))))</f>
        <v>App.7-V11I-P9.5.1.5</v>
      </c>
      <c r="BE824" s="429" t="s">
        <v>118</v>
      </c>
      <c r="BF824" s="289"/>
      <c r="BG824" s="289"/>
      <c r="BH824" s="290"/>
      <c r="BI824" s="289"/>
    </row>
    <row r="825" spans="1:61" ht="15.75" customHeight="1">
      <c r="A825" s="571" t="s">
        <v>119</v>
      </c>
      <c r="B825" s="450"/>
      <c r="C825" s="3"/>
      <c r="D825" s="83"/>
      <c r="E825" s="4"/>
      <c r="F825" s="4"/>
      <c r="G825" s="6">
        <v>47</v>
      </c>
      <c r="H825" s="449"/>
      <c r="I825" s="4"/>
      <c r="J825" s="3"/>
      <c r="K825" s="449"/>
      <c r="L825" s="449"/>
      <c r="M825" s="449" t="str">
        <f>IF(L825="","",
IF(AX825="PT",VLOOKUP(L825,Foundation_Calc!$V$79:$X$113,VLOOKUP(AX825,Foundation_Calc!$I$10:$J$13,2,FALSE),0),
IF(AX825="K",VLOOKUP(L825,Foundation_Calc!$V$117:$X$151,VLOOKUP(AX825,Foundation_Calc!$I$10:$J$13,2,FALSE),0),"")))</f>
        <v/>
      </c>
      <c r="N825" s="449"/>
      <c r="O825" s="449"/>
      <c r="P825" s="449"/>
      <c r="Q825" s="4"/>
      <c r="R825" s="6"/>
      <c r="S825" s="6"/>
      <c r="T825" s="4"/>
      <c r="U825" s="4"/>
      <c r="V825" s="4"/>
      <c r="W825" s="9"/>
      <c r="X825" s="9"/>
      <c r="Y825" s="9"/>
      <c r="Z825" s="9"/>
      <c r="AA825" s="9"/>
      <c r="AB825" s="9"/>
      <c r="AC825" s="449" t="str">
        <f t="shared" si="111"/>
        <v/>
      </c>
      <c r="AD825" s="449"/>
      <c r="AE825" s="449"/>
      <c r="AF825" s="4"/>
      <c r="AG825" s="83"/>
      <c r="AH825" s="4"/>
      <c r="AI825" s="4"/>
      <c r="AJ825" s="449"/>
      <c r="AK825" s="449"/>
      <c r="AL825" s="449"/>
      <c r="AM825" s="449"/>
      <c r="AN825" s="10"/>
      <c r="AO825" s="9"/>
      <c r="AP825" s="9"/>
      <c r="AQ825" s="9">
        <f>+FL_2($T$826,$T$824,$G$825,1200,9.28, 1*$F$826)</f>
        <v>-6.829776680851031E-3</v>
      </c>
      <c r="AR825" s="9"/>
      <c r="AS825" s="9"/>
      <c r="AT825" s="9"/>
      <c r="AU825" s="428"/>
      <c r="AV825" s="428"/>
      <c r="AW825" s="449" t="str">
        <f>IF(C825&gt;0,VLOOKUP(C825,Foundation_Calc!$A$2:$C$13,3,1),
IF(J825&gt;0,VLOOKUP(J825,Foundation_Calc!$A$2:$C$13,3,1),""))</f>
        <v/>
      </c>
      <c r="AX825" s="449" t="str">
        <f>IF(C825&gt;0,VLOOKUP(C825,Foundation_Calc!$E$35:$G$65,3,1),
IF(J825&gt;0,VLOOKUP(J825,Foundation_Calc!$E$35:$G$65,3,1),""))</f>
        <v/>
      </c>
      <c r="AY825" s="10" t="str">
        <f>IF(L825="","",
IF(AX825="PT",VLOOKUP(L825,Foundation_Calc!$K$79:$R$113,VLOOKUP(AW825,Foundation_Calc!$I$2:$J$8,2,FALSE),0),
IF(AX825="K",VLOOKUP(L825,Foundation_Calc!$K$117:$R$151,VLOOKUP(AW825,Foundation_Calc!$I$2:$J$8,2,FALSE),0),"")))</f>
        <v/>
      </c>
      <c r="AZ825" s="10" t="str">
        <f>IF(K825="","",
IF(AX825="PT",VLOOKUP(K825,Foundation_Calc!$K$79:$R$113,VLOOKUP(AW825,Foundation_Calc!$I$2:$J$8,2,FALSE),0),
IF(AX825="K",VLOOKUP(K825,Foundation_Calc!$K$117:$R$151,VLOOKUP(AW825,Foundation_Calc!$I$2:$J$8,2,FALSE),0),"")))</f>
        <v/>
      </c>
      <c r="BA825" s="495" t="str">
        <f t="shared" si="115"/>
        <v/>
      </c>
      <c r="BB825" s="495" t="str">
        <f t="shared" si="116"/>
        <v/>
      </c>
      <c r="BC825" s="495" t="str">
        <f t="shared" si="117"/>
        <v/>
      </c>
      <c r="BD825" s="513" t="str">
        <f>IF(AND(L825="",H825=""),"",
IF(H825="",Pole_Calc!A$9,
IF(H825="MP",Pole_Calc!A$10,
IF(H825="AnMP",Pole_Calc!A$11,
IF(H825="A",Pole_Calc!A$12,
IF(H825="S/A",Pole_Calc!A$13,
IF(H825="A/S",Pole_Calc!A$14,"Poner a mano")))))))</f>
        <v/>
      </c>
      <c r="BE825" s="429" t="s">
        <v>118</v>
      </c>
      <c r="BF825" s="290"/>
      <c r="BG825" s="290"/>
      <c r="BH825" s="290"/>
      <c r="BI825" s="290"/>
    </row>
    <row r="826" spans="1:61" ht="15.75" customHeight="1">
      <c r="A826" s="571" t="s">
        <v>119</v>
      </c>
      <c r="B826" s="450" t="s">
        <v>1365</v>
      </c>
      <c r="C826" s="3">
        <f>+$C$824+$G$825</f>
        <v>49863.950000000012</v>
      </c>
      <c r="D826" s="83"/>
      <c r="E826" s="4"/>
      <c r="F826" s="4">
        <v>0</v>
      </c>
      <c r="G826" s="6"/>
      <c r="H826" s="449" t="s">
        <v>131</v>
      </c>
      <c r="I826" s="4"/>
      <c r="J826" s="3"/>
      <c r="K826" s="449"/>
      <c r="L826" s="449" t="s">
        <v>158</v>
      </c>
      <c r="M826" s="449" t="str">
        <f>IF(L826="","",
IF(AX826="PT",VLOOKUP(L826,Foundation_Calc!$V$79:$X$113,VLOOKUP(AX826,Foundation_Calc!$I$10:$J$13,2,FALSE),0),
IF(AX826="K",VLOOKUP(L826,Foundation_Calc!$V$117:$X$151,VLOOKUP(AX826,Foundation_Calc!$I$10:$J$13,2,FALSE),0),"")))</f>
        <v>C4R</v>
      </c>
      <c r="N826" s="449" t="s">
        <v>133</v>
      </c>
      <c r="O826" s="449" t="s">
        <v>124</v>
      </c>
      <c r="P826" s="449"/>
      <c r="Q826" s="4"/>
      <c r="R826" s="6"/>
      <c r="S826" s="6"/>
      <c r="T826" s="4">
        <v>10</v>
      </c>
      <c r="U826" s="4">
        <v>-35</v>
      </c>
      <c r="V826" s="4"/>
      <c r="W826" s="9">
        <v>1.4</v>
      </c>
      <c r="X826" s="9">
        <v>2.2999999999999998</v>
      </c>
      <c r="Y826" s="9"/>
      <c r="Z826" s="9">
        <v>0.45</v>
      </c>
      <c r="AA826" s="9"/>
      <c r="AB826" s="9"/>
      <c r="AC826" s="449" t="str">
        <f t="shared" si="111"/>
        <v>PH</v>
      </c>
      <c r="AD826" s="449"/>
      <c r="AE826" s="449"/>
      <c r="AF826" s="4"/>
      <c r="AG826" s="83"/>
      <c r="AH826" s="4"/>
      <c r="AI826" s="4"/>
      <c r="AJ826" s="449"/>
      <c r="AK826" s="449"/>
      <c r="AL826" s="449"/>
      <c r="AM826" s="449" t="s">
        <v>552</v>
      </c>
      <c r="AN826" s="10">
        <v>5.5</v>
      </c>
      <c r="AO826" s="9"/>
      <c r="AP826" s="9"/>
      <c r="AQ826" s="9"/>
      <c r="AR826" s="9"/>
      <c r="AS826" s="9"/>
      <c r="AT826" s="9">
        <f>+ab($T$826,$T$824,$T$830,$G$825,$G$829, 1*$F$826,1200)</f>
        <v>-16.548553216927594</v>
      </c>
      <c r="AU826" s="428"/>
      <c r="AV826" s="428"/>
      <c r="AW826" s="449" t="str">
        <f>IF(C826&gt;0,VLOOKUP(C826,Foundation_Calc!$A$2:$C$13,3,1),
IF(J826&gt;0,VLOOKUP(J826,Foundation_Calc!$A$2:$C$13,3,1),""))</f>
        <v>Multi Soil</v>
      </c>
      <c r="AX826" s="449" t="str">
        <f>IF(C826&gt;0,VLOOKUP(C826,Foundation_Calc!$E$35:$G$65,3,1),
IF(J826&gt;0,VLOOKUP(J826,Foundation_Calc!$E$35:$G$65,3,1),""))</f>
        <v>PT</v>
      </c>
      <c r="AY826" s="10">
        <f>IF(L826="","",
IF(AX826="PT",VLOOKUP(L826,Foundation_Calc!$K$79:$R$113,VLOOKUP(AW826,Foundation_Calc!$I$2:$J$8,2,FALSE),0),
IF(AX826="K",VLOOKUP(L826,Foundation_Calc!$K$117:$R$151,VLOOKUP(AW826,Foundation_Calc!$I$2:$J$8,2,FALSE),0),"")))</f>
        <v>3.5</v>
      </c>
      <c r="AZ826" s="10" t="str">
        <f>IF(K826="","",
IF(AX826="PT",VLOOKUP(K826,Foundation_Calc!$K$79:$R$113,VLOOKUP(AW826,Foundation_Calc!$I$2:$J$8,2,FALSE),0),
IF(AX826="K",VLOOKUP(K826,Foundation_Calc!$K$117:$R$151,VLOOKUP(AW826,Foundation_Calc!$I$2:$J$8,2,FALSE),0),"")))</f>
        <v/>
      </c>
      <c r="BA826" s="495" t="str">
        <f t="shared" si="115"/>
        <v>ü</v>
      </c>
      <c r="BB826" s="495" t="str">
        <f t="shared" si="116"/>
        <v/>
      </c>
      <c r="BC826" s="495" t="str">
        <f t="shared" si="117"/>
        <v/>
      </c>
      <c r="BD826" s="513" t="str">
        <f>IF(AND(L826="",H826=""),"",
IF(H826="",Pole_Calc!A$9,
IF(H826="MP",Pole_Calc!A$10,
IF(H826="AnMP",Pole_Calc!A$11,
IF(H826="A",Pole_Calc!A$12,
IF(H826="S/A",Pole_Calc!A$13,
IF(H826="A/S",Pole_Calc!A$14,"Poner a mano")))))))</f>
        <v>App.7-V11I-P9.5.1.5</v>
      </c>
      <c r="BE826" s="429" t="s">
        <v>118</v>
      </c>
      <c r="BF826" s="289"/>
      <c r="BG826" s="289"/>
      <c r="BH826" s="290"/>
      <c r="BI826" s="289"/>
    </row>
    <row r="827" spans="1:61" ht="15.75" customHeight="1">
      <c r="A827" s="571" t="s">
        <v>119</v>
      </c>
      <c r="B827" s="450"/>
      <c r="C827" s="3"/>
      <c r="D827" s="83"/>
      <c r="E827" s="4"/>
      <c r="F827" s="4"/>
      <c r="G827" s="6">
        <v>5</v>
      </c>
      <c r="H827" s="449"/>
      <c r="I827" s="4"/>
      <c r="J827" s="3"/>
      <c r="K827" s="449"/>
      <c r="L827" s="449"/>
      <c r="M827" s="449" t="str">
        <f>IF(L827="","",
IF(AX827="PT",VLOOKUP(L827,Foundation_Calc!$V$79:$X$113,VLOOKUP(AX827,Foundation_Calc!$I$10:$J$13,2,FALSE),0),
IF(AX827="K",VLOOKUP(L827,Foundation_Calc!$V$117:$X$151,VLOOKUP(AX827,Foundation_Calc!$I$10:$J$13,2,FALSE),0),"")))</f>
        <v/>
      </c>
      <c r="N827" s="449"/>
      <c r="O827" s="449"/>
      <c r="P827" s="449"/>
      <c r="Q827" s="4"/>
      <c r="R827" s="6"/>
      <c r="S827" s="6"/>
      <c r="T827" s="4"/>
      <c r="U827" s="4"/>
      <c r="V827" s="4"/>
      <c r="W827" s="9"/>
      <c r="X827" s="9"/>
      <c r="Y827" s="9"/>
      <c r="Z827" s="9"/>
      <c r="AA827" s="9"/>
      <c r="AB827" s="9"/>
      <c r="AC827" s="449"/>
      <c r="AD827" s="449"/>
      <c r="AE827" s="449"/>
      <c r="AF827" s="4"/>
      <c r="AG827" s="83"/>
      <c r="AH827" s="4"/>
      <c r="AI827" s="4"/>
      <c r="AJ827" s="449"/>
      <c r="AK827" s="449"/>
      <c r="AL827" s="449"/>
      <c r="AM827" s="449"/>
      <c r="AN827" s="10"/>
      <c r="AO827" s="9"/>
      <c r="AP827" s="9"/>
      <c r="AQ827" s="9"/>
      <c r="AR827" s="9"/>
      <c r="AS827" s="9"/>
      <c r="AT827" s="9"/>
      <c r="AU827" s="428"/>
      <c r="AV827" s="428"/>
      <c r="AW827" s="449" t="str">
        <f>IF(C827&gt;0,VLOOKUP(C827,Foundation_Calc!$A$2:$C$13,3,1),
IF(J827&gt;0,VLOOKUP(J827,Foundation_Calc!$A$2:$C$13,3,1),""))</f>
        <v/>
      </c>
      <c r="AX827" s="449" t="str">
        <f>IF(C827&gt;0,VLOOKUP(C827,Foundation_Calc!$E$35:$G$65,3,1),
IF(J827&gt;0,VLOOKUP(J827,Foundation_Calc!$E$35:$G$65,3,1),""))</f>
        <v/>
      </c>
      <c r="AY827" s="10" t="str">
        <f>IF(L827="","",
IF(AX827="PT",VLOOKUP(L827,Foundation_Calc!$K$79:$R$113,VLOOKUP(AW827,Foundation_Calc!$I$2:$J$8,2,FALSE),0),
IF(AX827="K",VLOOKUP(L827,Foundation_Calc!$K$117:$R$151,VLOOKUP(AW827,Foundation_Calc!$I$2:$J$8,2,FALSE),0),"")))</f>
        <v/>
      </c>
      <c r="AZ827" s="10" t="str">
        <f>IF(K827="","",
IF(AX827="PT",VLOOKUP(K827,Foundation_Calc!$K$79:$R$113,VLOOKUP(AW827,Foundation_Calc!$I$2:$J$8,2,FALSE),0),
IF(AX827="K",VLOOKUP(K827,Foundation_Calc!$K$117:$R$151,VLOOKUP(AW827,Foundation_Calc!$I$2:$J$8,2,FALSE),0),"")))</f>
        <v/>
      </c>
      <c r="BA827" s="495" t="str">
        <f t="shared" si="115"/>
        <v/>
      </c>
      <c r="BB827" s="495" t="str">
        <f t="shared" si="116"/>
        <v/>
      </c>
      <c r="BC827" s="495" t="str">
        <f t="shared" si="117"/>
        <v/>
      </c>
      <c r="BD827" s="513" t="str">
        <f>IF(AND(L827="",H827=""),"",
IF(H827="",Pole_Calc!A$9,
IF(H827="MP",Pole_Calc!A$10,
IF(H827="AnMP",Pole_Calc!A$11,
IF(H827="A",Pole_Calc!A$12,
IF(H827="S/A",Pole_Calc!A$13,
IF(H827="A/S",Pole_Calc!A$14,"Poner a mano")))))))</f>
        <v/>
      </c>
      <c r="BE827" s="429" t="s">
        <v>118</v>
      </c>
      <c r="BF827" s="290"/>
      <c r="BG827" s="290"/>
      <c r="BH827" s="290"/>
      <c r="BI827" s="290"/>
    </row>
    <row r="828" spans="1:61" ht="15.75" customHeight="1">
      <c r="A828" s="636" t="s">
        <v>1366</v>
      </c>
      <c r="B828" s="637" t="s">
        <v>1367</v>
      </c>
      <c r="C828" s="638">
        <f>+$C$826+$G$827</f>
        <v>49868.950000000012</v>
      </c>
      <c r="D828" s="639"/>
      <c r="E828" s="640"/>
      <c r="F828" s="640">
        <v>0</v>
      </c>
      <c r="G828" s="641"/>
      <c r="H828" s="642"/>
      <c r="I828" s="640"/>
      <c r="J828" s="638"/>
      <c r="K828" s="642"/>
      <c r="L828" s="642" t="s">
        <v>562</v>
      </c>
      <c r="M828" s="642" t="str">
        <f>IF(L828="","",
IF(AX828="PT",VLOOKUP(L828,Foundation_Calc!$V$79:$X$113,VLOOKUP(AX828,Foundation_Calc!$I$10:$J$13,2,FALSE),0),
IF(AX828="K",VLOOKUP(L828,Foundation_Calc!$V$117:$X$151,VLOOKUP(AX828,Foundation_Calc!$I$10:$J$13,2,FALSE),0),"")))</f>
        <v>C7R</v>
      </c>
      <c r="N828" s="642"/>
      <c r="O828" s="642"/>
      <c r="P828" s="642"/>
      <c r="Q828" s="640"/>
      <c r="R828" s="641"/>
      <c r="S828" s="641"/>
      <c r="T828" s="640"/>
      <c r="U828" s="640"/>
      <c r="V828" s="640"/>
      <c r="W828" s="643"/>
      <c r="X828" s="643"/>
      <c r="Y828" s="643"/>
      <c r="Z828" s="643"/>
      <c r="AA828" s="643"/>
      <c r="AB828" s="643"/>
      <c r="AC828" s="642"/>
      <c r="AD828" s="642"/>
      <c r="AE828" s="642"/>
      <c r="AF828" s="640"/>
      <c r="AG828" s="639"/>
      <c r="AH828" s="640"/>
      <c r="AI828" s="640"/>
      <c r="AJ828" s="642" t="s">
        <v>563</v>
      </c>
      <c r="AK828" s="642"/>
      <c r="AL828" s="642"/>
      <c r="AM828" s="642" t="s">
        <v>552</v>
      </c>
      <c r="AN828" s="644"/>
      <c r="AO828" s="643"/>
      <c r="AP828" s="643"/>
      <c r="AQ828" s="643"/>
      <c r="AR828" s="643"/>
      <c r="AS828" s="643"/>
      <c r="AT828" s="643"/>
      <c r="AU828" s="645"/>
      <c r="AV828" s="645"/>
      <c r="AW828" s="642" t="str">
        <f>IF(C828&gt;0,VLOOKUP(C828,Foundation_Calc!$A$2:$C$13,3,1),
IF(J828&gt;0,VLOOKUP(J828,Foundation_Calc!$A$2:$C$13,3,1),""))</f>
        <v>Multi Soil</v>
      </c>
      <c r="AX828" s="642" t="str">
        <f>IF(C828&gt;0,VLOOKUP(C828,Foundation_Calc!$E$35:$G$65,3,1),
IF(J828&gt;0,VLOOKUP(J828,Foundation_Calc!$E$35:$G$65,3,1),""))</f>
        <v>PT</v>
      </c>
      <c r="AY828" s="644">
        <f>IF(L828="","",
IF(AX828="PT",VLOOKUP(L828,Foundation_Calc!$K$79:$R$113,VLOOKUP(AW828,Foundation_Calc!$I$2:$J$8,2,FALSE),0),
IF(AX828="K",VLOOKUP(L828,Foundation_Calc!$K$117:$R$151,VLOOKUP(AW828,Foundation_Calc!$I$2:$J$8,2,FALSE),0),"")))</f>
        <v>3.7</v>
      </c>
      <c r="AZ828" s="644" t="str">
        <f>IF(K828="","",
IF(AX828="PT",VLOOKUP(K828,Foundation_Calc!$K$79:$R$113,VLOOKUP(AW828,Foundation_Calc!$I$2:$J$8,2,FALSE),0),
IF(AX828="K",VLOOKUP(K828,Foundation_Calc!$K$117:$R$151,VLOOKUP(AW828,Foundation_Calc!$I$2:$J$8,2,FALSE),0),"")))</f>
        <v/>
      </c>
      <c r="BA828" s="495" t="str">
        <f t="shared" si="115"/>
        <v>ü</v>
      </c>
      <c r="BB828" s="495" t="str">
        <f t="shared" si="116"/>
        <v/>
      </c>
      <c r="BC828" s="495" t="str">
        <f t="shared" si="117"/>
        <v/>
      </c>
      <c r="BD828" s="513" t="str">
        <f>Pole_Calc!A$322</f>
        <v>App.8-V08H-10.7.4.1</v>
      </c>
      <c r="BE828" s="429" t="s">
        <v>118</v>
      </c>
      <c r="BF828" s="289"/>
      <c r="BG828" s="289"/>
      <c r="BH828" s="290"/>
      <c r="BI828" s="289"/>
    </row>
    <row r="829" spans="1:61" ht="15.75" customHeight="1">
      <c r="A829" s="571" t="s">
        <v>119</v>
      </c>
      <c r="B829" s="450"/>
      <c r="C829" s="3"/>
      <c r="D829" s="83"/>
      <c r="E829" s="4"/>
      <c r="F829" s="4"/>
      <c r="G829" s="6">
        <v>42</v>
      </c>
      <c r="H829" s="449"/>
      <c r="I829" s="4"/>
      <c r="J829" s="3"/>
      <c r="K829" s="449"/>
      <c r="L829" s="449"/>
      <c r="M829" s="449" t="str">
        <f>IF(L829="","",
IF(AX829="PT",VLOOKUP(L829,Foundation_Calc!$V$79:$X$113,VLOOKUP(AX829,Foundation_Calc!$I$10:$J$13,2,FALSE),0),
IF(AX829="K",VLOOKUP(L829,Foundation_Calc!$V$117:$X$151,VLOOKUP(AX829,Foundation_Calc!$I$10:$J$13,2,FALSE),0),"")))</f>
        <v/>
      </c>
      <c r="N829" s="449"/>
      <c r="O829" s="449"/>
      <c r="P829" s="449"/>
      <c r="Q829" s="4"/>
      <c r="R829" s="6"/>
      <c r="S829" s="6"/>
      <c r="T829" s="4"/>
      <c r="U829" s="4"/>
      <c r="V829" s="4"/>
      <c r="W829" s="9"/>
      <c r="X829" s="9"/>
      <c r="Y829" s="9"/>
      <c r="Z829" s="9"/>
      <c r="AA829" s="9"/>
      <c r="AB829" s="9"/>
      <c r="AC829" s="449" t="str">
        <f t="shared" si="111"/>
        <v/>
      </c>
      <c r="AD829" s="449"/>
      <c r="AE829" s="449"/>
      <c r="AF829" s="4"/>
      <c r="AG829" s="83"/>
      <c r="AH829" s="4"/>
      <c r="AI829" s="4"/>
      <c r="AJ829" s="449"/>
      <c r="AK829" s="449"/>
      <c r="AL829" s="449"/>
      <c r="AM829" s="449"/>
      <c r="AN829" s="10"/>
      <c r="AO829" s="9"/>
      <c r="AP829" s="9"/>
      <c r="AQ829" s="9">
        <f>+FL_1($T$830,$T$826,$G$829,1200,9.28, 1*$F$830)</f>
        <v>0.41842786666666665</v>
      </c>
      <c r="AR829" s="9"/>
      <c r="AS829" s="9"/>
      <c r="AT829" s="9"/>
      <c r="AU829" s="428"/>
      <c r="AV829" s="428"/>
      <c r="AW829" s="449" t="str">
        <f>IF(C829&gt;0,VLOOKUP(C829,Foundation_Calc!$A$2:$C$13,3,1),
IF(J829&gt;0,VLOOKUP(J829,Foundation_Calc!$A$2:$C$13,3,1),""))</f>
        <v/>
      </c>
      <c r="AX829" s="449" t="str">
        <f>IF(C829&gt;0,VLOOKUP(C829,Foundation_Calc!$E$35:$G$65,3,1),
IF(J829&gt;0,VLOOKUP(J829,Foundation_Calc!$E$35:$G$65,3,1),""))</f>
        <v/>
      </c>
      <c r="AY829" s="10" t="str">
        <f>IF(L829="","",
IF(AX829="PT",VLOOKUP(L829,Foundation_Calc!$K$79:$R$113,VLOOKUP(AW829,Foundation_Calc!$I$2:$J$8,2,FALSE),0),
IF(AX829="K",VLOOKUP(L829,Foundation_Calc!$K$117:$R$151,VLOOKUP(AW829,Foundation_Calc!$I$2:$J$8,2,FALSE),0),"")))</f>
        <v/>
      </c>
      <c r="AZ829" s="10" t="str">
        <f>IF(K829="","",
IF(AX829="PT",VLOOKUP(K829,Foundation_Calc!$K$79:$R$113,VLOOKUP(AW829,Foundation_Calc!$I$2:$J$8,2,FALSE),0),
IF(AX829="K",VLOOKUP(K829,Foundation_Calc!$K$117:$R$151,VLOOKUP(AW829,Foundation_Calc!$I$2:$J$8,2,FALSE),0),"")))</f>
        <v/>
      </c>
      <c r="BA829" s="495" t="str">
        <f t="shared" si="115"/>
        <v/>
      </c>
      <c r="BB829" s="495" t="str">
        <f t="shared" si="116"/>
        <v/>
      </c>
      <c r="BC829" s="495" t="str">
        <f t="shared" si="117"/>
        <v/>
      </c>
      <c r="BD829" s="513" t="str">
        <f>IF(AND(L829="",H829=""),"",
IF(H829="",Pole_Calc!A$9,
IF(H829="MP",Pole_Calc!A$10,
IF(H829="AnMP",Pole_Calc!A$11,
IF(H829="A",Pole_Calc!A$12,
IF(H829="S/A",Pole_Calc!A$13,
IF(H829="A/S",Pole_Calc!A$14,"Poner a mano")))))))</f>
        <v/>
      </c>
      <c r="BE829" s="429" t="s">
        <v>118</v>
      </c>
      <c r="BF829" s="290"/>
      <c r="BG829" s="290"/>
      <c r="BH829" s="290"/>
      <c r="BI829" s="290"/>
    </row>
    <row r="830" spans="1:61" ht="15.75" customHeight="1">
      <c r="A830" s="636" t="s">
        <v>1368</v>
      </c>
      <c r="B830" s="637" t="s">
        <v>1369</v>
      </c>
      <c r="C830" s="638">
        <f>+$C$828+$G$829</f>
        <v>49910.950000000012</v>
      </c>
      <c r="D830" s="639"/>
      <c r="E830" s="640"/>
      <c r="F830" s="640">
        <v>0</v>
      </c>
      <c r="G830" s="641"/>
      <c r="H830" s="642" t="s">
        <v>131</v>
      </c>
      <c r="I830" s="640" t="s">
        <v>132</v>
      </c>
      <c r="J830" s="638"/>
      <c r="K830" s="642"/>
      <c r="L830" s="642" t="s">
        <v>158</v>
      </c>
      <c r="M830" s="642" t="str">
        <f>IF(L830="","",
IF(AX830="PT",VLOOKUP(L830,Foundation_Calc!$V$79:$X$113,VLOOKUP(AX830,Foundation_Calc!$I$10:$J$13,2,FALSE),0),
IF(AX830="K",VLOOKUP(L830,Foundation_Calc!$V$117:$X$151,VLOOKUP(AX830,Foundation_Calc!$I$10:$J$13,2,FALSE),0),"")))</f>
        <v>C4R</v>
      </c>
      <c r="N830" s="642" t="s">
        <v>134</v>
      </c>
      <c r="O830" s="642" t="s">
        <v>133</v>
      </c>
      <c r="P830" s="642"/>
      <c r="Q830" s="640"/>
      <c r="R830" s="641"/>
      <c r="S830" s="641"/>
      <c r="T830" s="640">
        <v>35</v>
      </c>
      <c r="U830" s="640">
        <v>-10</v>
      </c>
      <c r="V830" s="640"/>
      <c r="W830" s="643">
        <v>1.4</v>
      </c>
      <c r="X830" s="643">
        <v>2.2999999999999998</v>
      </c>
      <c r="Y830" s="643"/>
      <c r="Z830" s="643"/>
      <c r="AA830" s="643">
        <v>0.45</v>
      </c>
      <c r="AB830" s="643"/>
      <c r="AC830" s="642" t="str">
        <f t="shared" si="111"/>
        <v>PHQ</v>
      </c>
      <c r="AD830" s="642"/>
      <c r="AE830" s="642"/>
      <c r="AF830" s="640"/>
      <c r="AG830" s="639"/>
      <c r="AH830" s="640"/>
      <c r="AI830" s="640"/>
      <c r="AJ830" s="642" t="s">
        <v>135</v>
      </c>
      <c r="AK830" s="642"/>
      <c r="AL830" s="642"/>
      <c r="AM830" s="642" t="s">
        <v>552</v>
      </c>
      <c r="AN830" s="644">
        <v>5.5</v>
      </c>
      <c r="AO830" s="643"/>
      <c r="AP830" s="643"/>
      <c r="AQ830" s="643"/>
      <c r="AR830" s="643"/>
      <c r="AS830" s="643"/>
      <c r="AT830" s="643">
        <f>+ab($T$830,$T$826,$T$836,$G$829,$G$831, 1*$F$830,1200)</f>
        <v>7.3533785166321826</v>
      </c>
      <c r="AU830" s="645"/>
      <c r="AV830" s="645"/>
      <c r="AW830" s="642" t="str">
        <f>IF(C830&gt;0,VLOOKUP(C830,Foundation_Calc!$A$2:$C$13,3,1),
IF(J830&gt;0,VLOOKUP(J830,Foundation_Calc!$A$2:$C$13,3,1),""))</f>
        <v>Multi Soil</v>
      </c>
      <c r="AX830" s="642" t="str">
        <f>IF(C830&gt;0,VLOOKUP(C830,Foundation_Calc!$E$35:$G$65,3,1),
IF(J830&gt;0,VLOOKUP(J830,Foundation_Calc!$E$35:$G$65,3,1),""))</f>
        <v>PT</v>
      </c>
      <c r="AY830" s="644">
        <f>IF(L830="","",
IF(AX830="PT",VLOOKUP(L830,Foundation_Calc!$K$79:$R$113,VLOOKUP(AW830,Foundation_Calc!$I$2:$J$8,2,FALSE),0),
IF(AX830="K",VLOOKUP(L830,Foundation_Calc!$K$117:$R$151,VLOOKUP(AW830,Foundation_Calc!$I$2:$J$8,2,FALSE),0),"")))</f>
        <v>3.5</v>
      </c>
      <c r="AZ830" s="644" t="str">
        <f>IF(K830="","",
IF(AX830="PT",VLOOKUP(K830,Foundation_Calc!$K$79:$R$113,VLOOKUP(AW830,Foundation_Calc!$I$2:$J$8,2,FALSE),0),
IF(AX830="K",VLOOKUP(K830,Foundation_Calc!$K$117:$R$151,VLOOKUP(AW830,Foundation_Calc!$I$2:$J$8,2,FALSE),0),"")))</f>
        <v/>
      </c>
      <c r="BA830" s="495" t="str">
        <f t="shared" si="115"/>
        <v>ü</v>
      </c>
      <c r="BB830" s="495" t="str">
        <f t="shared" si="116"/>
        <v/>
      </c>
      <c r="BC830" s="495" t="str">
        <f t="shared" si="117"/>
        <v/>
      </c>
      <c r="BD830" s="513" t="str">
        <f>IF(AND(L830="",H830=""),"",
IF(H830="",Pole_Calc!A$9,
IF(H830="MP",Pole_Calc!A$10,
IF(H830="AnMP",Pole_Calc!A$11,
IF(H830="A",Pole_Calc!A$12,
IF(H830="S/A",Pole_Calc!A$13,
IF(H830="A/S",Pole_Calc!A$14,"Poner a mano")))))))</f>
        <v>App.7-V11I-P9.5.1.5</v>
      </c>
      <c r="BE830" s="429" t="s">
        <v>118</v>
      </c>
      <c r="BF830" s="289"/>
      <c r="BG830" s="289"/>
      <c r="BH830" s="290"/>
      <c r="BI830" s="289"/>
    </row>
    <row r="831" spans="1:61" ht="15.75" customHeight="1">
      <c r="A831" s="571" t="s">
        <v>119</v>
      </c>
      <c r="B831" s="450"/>
      <c r="C831" s="3"/>
      <c r="D831" s="83"/>
      <c r="E831" s="4"/>
      <c r="F831" s="4"/>
      <c r="G831" s="6">
        <v>25</v>
      </c>
      <c r="H831" s="449"/>
      <c r="I831" s="4"/>
      <c r="J831" s="3"/>
      <c r="K831" s="449"/>
      <c r="L831" s="449"/>
      <c r="M831" s="449" t="str">
        <f>IF(L831="","",
IF(AX831="PT",VLOOKUP(L831,Foundation_Calc!$V$79:$X$113,VLOOKUP(AX831,Foundation_Calc!$I$10:$J$13,2,FALSE),0),
IF(AX831="K",VLOOKUP(L831,Foundation_Calc!$V$117:$X$151,VLOOKUP(AX831,Foundation_Calc!$I$10:$J$13,2,FALSE),0),"")))</f>
        <v/>
      </c>
      <c r="N831" s="449"/>
      <c r="O831" s="561"/>
      <c r="P831" s="449"/>
      <c r="Q831" s="4"/>
      <c r="R831" s="6"/>
      <c r="S831" s="6"/>
      <c r="T831" s="4"/>
      <c r="U831" s="4"/>
      <c r="V831" s="4"/>
      <c r="W831" s="9"/>
      <c r="X831" s="9"/>
      <c r="Y831" s="9"/>
      <c r="Z831" s="9"/>
      <c r="AA831" s="9"/>
      <c r="AB831" s="9"/>
      <c r="AC831" s="449" t="str">
        <f t="shared" si="111"/>
        <v/>
      </c>
      <c r="AD831" s="449"/>
      <c r="AE831" s="449"/>
      <c r="AF831" s="4"/>
      <c r="AG831" s="83"/>
      <c r="AH831" s="4"/>
      <c r="AI831" s="4"/>
      <c r="AJ831" s="449" t="s">
        <v>668</v>
      </c>
      <c r="AK831" s="449"/>
      <c r="AL831" s="449"/>
      <c r="AM831" s="449"/>
      <c r="AN831" s="10"/>
      <c r="AO831" s="9"/>
      <c r="AP831" s="9"/>
      <c r="AQ831" s="9">
        <f>+FL_2($T$836,$T$830,$G$831,1200,9.28, 1*$F$836)</f>
        <v>-0.15</v>
      </c>
      <c r="AR831" s="9"/>
      <c r="AS831" s="9"/>
      <c r="AT831" s="9"/>
      <c r="AU831" s="428"/>
      <c r="AV831" s="428"/>
      <c r="AW831" s="449" t="str">
        <f>IF(C831&gt;0,VLOOKUP(C831,Foundation_Calc!$A$2:$C$13,3,1),
IF(J831&gt;0,VLOOKUP(J831,Foundation_Calc!$A$2:$C$13,3,1),""))</f>
        <v/>
      </c>
      <c r="AX831" s="449" t="str">
        <f>IF(C831&gt;0,VLOOKUP(C831,Foundation_Calc!$E$35:$G$65,3,1),
IF(J831&gt;0,VLOOKUP(J831,Foundation_Calc!$E$35:$G$65,3,1),""))</f>
        <v/>
      </c>
      <c r="AY831" s="10" t="str">
        <f>IF(L831="","",
IF(AX831="PT",VLOOKUP(L831,Foundation_Calc!$K$79:$R$113,VLOOKUP(AW831,Foundation_Calc!$I$2:$J$8,2,FALSE),0),
IF(AX831="K",VLOOKUP(L831,Foundation_Calc!$K$117:$R$151,VLOOKUP(AW831,Foundation_Calc!$I$2:$J$8,2,FALSE),0),"")))</f>
        <v/>
      </c>
      <c r="AZ831" s="10" t="str">
        <f>IF(K831="","",
IF(AX831="PT",VLOOKUP(K831,Foundation_Calc!$K$79:$R$113,VLOOKUP(AW831,Foundation_Calc!$I$2:$J$8,2,FALSE),0),
IF(AX831="K",VLOOKUP(K831,Foundation_Calc!$K$117:$R$151,VLOOKUP(AW831,Foundation_Calc!$I$2:$J$8,2,FALSE),0),"")))</f>
        <v/>
      </c>
      <c r="BA831" s="495" t="str">
        <f t="shared" si="115"/>
        <v/>
      </c>
      <c r="BB831" s="495" t="str">
        <f t="shared" si="116"/>
        <v/>
      </c>
      <c r="BC831" s="495" t="str">
        <f t="shared" si="117"/>
        <v/>
      </c>
      <c r="BD831" s="513" t="str">
        <f>IF(AND(L831="",H831=""),"",
IF(H831="",Pole_Calc!A$9,
IF(H831="MP",Pole_Calc!A$10,
IF(H831="AnMP",Pole_Calc!A$11,
IF(H831="A",Pole_Calc!A$12,
IF(H831="S/A",Pole_Calc!A$13,
IF(H831="A/S",Pole_Calc!A$14,"Poner a mano")))))))</f>
        <v/>
      </c>
      <c r="BE831" s="429" t="s">
        <v>118</v>
      </c>
      <c r="BF831" s="290"/>
      <c r="BG831" s="290"/>
      <c r="BH831" s="290"/>
      <c r="BI831" s="290"/>
    </row>
    <row r="832" spans="1:61" ht="15.75" customHeight="1">
      <c r="A832" s="571" t="s">
        <v>119</v>
      </c>
      <c r="B832" s="450" t="s">
        <v>1370</v>
      </c>
      <c r="C832" s="3">
        <f>+$C$830+$G$831</f>
        <v>49935.950000000012</v>
      </c>
      <c r="D832" s="83"/>
      <c r="E832" s="4"/>
      <c r="F832" s="4"/>
      <c r="G832" s="6"/>
      <c r="H832" s="449"/>
      <c r="I832" s="4"/>
      <c r="J832" s="3"/>
      <c r="K832" s="449"/>
      <c r="L832" s="449" t="s">
        <v>128</v>
      </c>
      <c r="M832" s="449" t="str">
        <f>IF(L832="","",
IF(AX832="PT",VLOOKUP(L832,Foundation_Calc!$V$79:$X$113,VLOOKUP(AX832,Foundation_Calc!$I$10:$J$13,2,FALSE),0),
IF(AX832="K",VLOOKUP(L832,Foundation_Calc!$V$117:$X$151,VLOOKUP(AX832,Foundation_Calc!$I$10:$J$13,2,FALSE),0),"")))</f>
        <v>T-SING FOUND.</v>
      </c>
      <c r="N832" s="449"/>
      <c r="O832" s="561"/>
      <c r="P832" s="449"/>
      <c r="Q832" s="4"/>
      <c r="R832" s="6"/>
      <c r="S832" s="6"/>
      <c r="T832" s="4"/>
      <c r="U832" s="4"/>
      <c r="V832" s="4"/>
      <c r="W832" s="9"/>
      <c r="X832" s="9"/>
      <c r="Y832" s="9"/>
      <c r="Z832" s="9"/>
      <c r="AA832" s="9"/>
      <c r="AB832" s="9"/>
      <c r="AC832" s="449"/>
      <c r="AD832" s="449"/>
      <c r="AE832" s="449"/>
      <c r="AF832" s="4"/>
      <c r="AG832" s="83"/>
      <c r="AH832" s="4"/>
      <c r="AI832" s="4"/>
      <c r="AJ832" s="449"/>
      <c r="AK832" s="449"/>
      <c r="AL832" s="449"/>
      <c r="AM832" s="449"/>
      <c r="AN832" s="10"/>
      <c r="AO832" s="9"/>
      <c r="AP832" s="9"/>
      <c r="AQ832" s="9"/>
      <c r="AR832" s="9"/>
      <c r="AS832" s="9"/>
      <c r="AT832" s="9"/>
      <c r="AU832" s="428"/>
      <c r="AV832" s="428"/>
      <c r="AW832" s="449" t="str">
        <f>IF(C832&gt;0,VLOOKUP(C832,Foundation_Calc!$A$2:$C$13,3,1),
IF(J832&gt;0,VLOOKUP(J832,Foundation_Calc!$A$2:$C$13,3,1),""))</f>
        <v>Multi Soil</v>
      </c>
      <c r="AX832" s="449" t="str">
        <f>IF(C832&gt;0,VLOOKUP(C832,Foundation_Calc!$E$35:$G$65,3,1),
IF(J832&gt;0,VLOOKUP(J832,Foundation_Calc!$E$35:$G$65,3,1),""))</f>
        <v>PT</v>
      </c>
      <c r="AY832" s="10">
        <f>IF(L832="","",
IF(AX832="PT",VLOOKUP(L832,Foundation_Calc!$K$79:$R$113,VLOOKUP(AW832,Foundation_Calc!$I$2:$J$8,2,FALSE),0),
IF(AX832="K",VLOOKUP(L832,Foundation_Calc!$K$117:$R$151,VLOOKUP(AW832,Foundation_Calc!$I$2:$J$8,2,FALSE),0),"")))</f>
        <v>1.2</v>
      </c>
      <c r="AZ832" s="10" t="str">
        <f>IF(K832="","",
IF(AX832="PT",VLOOKUP(K832,Foundation_Calc!$K$79:$R$113,VLOOKUP(AW832,Foundation_Calc!$I$2:$J$8,2,FALSE),0),
IF(AX832="K",VLOOKUP(K832,Foundation_Calc!$K$117:$R$151,VLOOKUP(AW832,Foundation_Calc!$I$2:$J$8,2,FALSE),0),"")))</f>
        <v/>
      </c>
      <c r="BA832" s="495"/>
      <c r="BB832" s="495" t="str">
        <f t="shared" si="116"/>
        <v/>
      </c>
      <c r="BC832" s="495" t="str">
        <f t="shared" si="117"/>
        <v/>
      </c>
      <c r="BD832" s="513"/>
      <c r="BE832" s="429" t="s">
        <v>118</v>
      </c>
      <c r="BF832" s="289"/>
      <c r="BG832" s="289"/>
      <c r="BH832" s="290"/>
      <c r="BI832" s="289"/>
    </row>
    <row r="833" spans="1:61" ht="15.75" customHeight="1">
      <c r="A833" s="571" t="s">
        <v>119</v>
      </c>
      <c r="B833" s="450"/>
      <c r="C833" s="3"/>
      <c r="D833" s="83"/>
      <c r="E833" s="4"/>
      <c r="F833" s="4"/>
      <c r="G833" s="6">
        <v>55</v>
      </c>
      <c r="H833" s="449"/>
      <c r="I833" s="4"/>
      <c r="J833" s="3"/>
      <c r="K833" s="449"/>
      <c r="L833" s="449"/>
      <c r="M833" s="449" t="str">
        <f>IF(L833="","",
IF(AX833="PT",VLOOKUP(L833,Foundation_Calc!$V$79:$X$113,VLOOKUP(AX833,Foundation_Calc!$I$10:$J$13,2,FALSE),0),
IF(AX833="K",VLOOKUP(L833,Foundation_Calc!$V$117:$X$151,VLOOKUP(AX833,Foundation_Calc!$I$10:$J$13,2,FALSE),0),"")))</f>
        <v/>
      </c>
      <c r="N833" s="449"/>
      <c r="O833" s="561"/>
      <c r="P833" s="449"/>
      <c r="Q833" s="4"/>
      <c r="R833" s="6"/>
      <c r="S833" s="6"/>
      <c r="T833" s="4"/>
      <c r="U833" s="4"/>
      <c r="V833" s="4"/>
      <c r="W833" s="9"/>
      <c r="X833" s="9"/>
      <c r="Y833" s="9"/>
      <c r="Z833" s="9"/>
      <c r="AA833" s="9"/>
      <c r="AB833" s="9"/>
      <c r="AC833" s="449"/>
      <c r="AD833" s="449"/>
      <c r="AE833" s="449"/>
      <c r="AF833" s="4"/>
      <c r="AG833" s="83"/>
      <c r="AH833" s="4"/>
      <c r="AI833" s="4"/>
      <c r="AJ833" s="449"/>
      <c r="AK833" s="449"/>
      <c r="AL833" s="449"/>
      <c r="AM833" s="449"/>
      <c r="AN833" s="10"/>
      <c r="AO833" s="9"/>
      <c r="AP833" s="9"/>
      <c r="AQ833" s="9"/>
      <c r="AR833" s="9"/>
      <c r="AS833" s="9"/>
      <c r="AT833" s="9"/>
      <c r="AU833" s="428"/>
      <c r="AV833" s="428"/>
      <c r="AW833" s="449" t="str">
        <f>IF(C833&gt;0,VLOOKUP(C833,Foundation_Calc!$A$2:$C$13,3,1),
IF(J833&gt;0,VLOOKUP(J833,Foundation_Calc!$A$2:$C$13,3,1),""))</f>
        <v/>
      </c>
      <c r="AX833" s="449" t="str">
        <f>IF(C833&gt;0,VLOOKUP(C833,Foundation_Calc!$E$35:$G$65,3,1),
IF(J833&gt;0,VLOOKUP(J833,Foundation_Calc!$E$35:$G$65,3,1),""))</f>
        <v/>
      </c>
      <c r="AY833" s="10" t="str">
        <f>IF(L833="","",
IF(AX833="PT",VLOOKUP(L833,Foundation_Calc!$K$79:$R$113,VLOOKUP(AW833,Foundation_Calc!$I$2:$J$8,2,FALSE),0),
IF(AX833="K",VLOOKUP(L833,Foundation_Calc!$K$117:$R$151,VLOOKUP(AW833,Foundation_Calc!$I$2:$J$8,2,FALSE),0),"")))</f>
        <v/>
      </c>
      <c r="AZ833" s="10" t="str">
        <f>IF(K833="","",
IF(AX833="PT",VLOOKUP(K833,Foundation_Calc!$K$79:$R$113,VLOOKUP(AW833,Foundation_Calc!$I$2:$J$8,2,FALSE),0),
IF(AX833="K",VLOOKUP(K833,Foundation_Calc!$K$117:$R$151,VLOOKUP(AW833,Foundation_Calc!$I$2:$J$8,2,FALSE),0),"")))</f>
        <v/>
      </c>
      <c r="BA833" s="495" t="str">
        <f t="shared" si="115"/>
        <v/>
      </c>
      <c r="BB833" s="495" t="str">
        <f t="shared" si="116"/>
        <v/>
      </c>
      <c r="BC833" s="495" t="str">
        <f t="shared" si="117"/>
        <v/>
      </c>
      <c r="BD833" s="513" t="str">
        <f>IF(AND(L833="",H833=""),"",
IF(H833="",Pole_Calc!A$9,
IF(H833="MP",Pole_Calc!A$10,
IF(H833="AnMP",Pole_Calc!A$11,
IF(H833="A",Pole_Calc!A$12,
IF(H833="S/A",Pole_Calc!A$13,
IF(H833="A/S",Pole_Calc!A$14,"Poner a mano")))))))</f>
        <v/>
      </c>
      <c r="BE833" s="429" t="s">
        <v>118</v>
      </c>
      <c r="BF833" s="290"/>
      <c r="BG833" s="290"/>
      <c r="BH833" s="290"/>
      <c r="BI833" s="290"/>
    </row>
    <row r="834" spans="1:61" ht="15.75" customHeight="1">
      <c r="A834" s="571" t="s">
        <v>119</v>
      </c>
      <c r="B834" s="450" t="s">
        <v>1371</v>
      </c>
      <c r="C834" s="3">
        <f>+$C$830+$G$833</f>
        <v>49965.950000000012</v>
      </c>
      <c r="D834" s="83"/>
      <c r="E834" s="4"/>
      <c r="F834" s="4">
        <v>0</v>
      </c>
      <c r="G834" s="6"/>
      <c r="H834" s="449" t="s">
        <v>121</v>
      </c>
      <c r="I834" s="4" t="s">
        <v>122</v>
      </c>
      <c r="J834" s="3"/>
      <c r="K834" s="449"/>
      <c r="L834" s="449" t="s">
        <v>151</v>
      </c>
      <c r="M834" s="449" t="str">
        <f>IF(L834="","",
IF(AX834="PT",VLOOKUP(L834,Foundation_Calc!$V$79:$X$113,VLOOKUP(AX834,Foundation_Calc!$I$10:$J$13,2,FALSE),0),
IF(AX834="K",VLOOKUP(L834,Foundation_Calc!$V$117:$X$151,VLOOKUP(AX834,Foundation_Calc!$I$10:$J$13,2,FALSE),0),"")))</f>
        <v>C4R</v>
      </c>
      <c r="N834" s="449" t="s">
        <v>124</v>
      </c>
      <c r="O834" s="561"/>
      <c r="P834" s="449"/>
      <c r="Q834" s="4"/>
      <c r="R834" s="6"/>
      <c r="S834" s="6"/>
      <c r="T834" s="4">
        <v>-30</v>
      </c>
      <c r="U834" s="4"/>
      <c r="V834" s="4"/>
      <c r="W834" s="9">
        <v>1.4</v>
      </c>
      <c r="X834" s="9"/>
      <c r="Y834" s="9"/>
      <c r="Z834" s="9"/>
      <c r="AA834" s="9"/>
      <c r="AB834" s="9"/>
      <c r="AC834" s="449" t="str">
        <f t="shared" si="111"/>
        <v>PH</v>
      </c>
      <c r="AD834" s="449"/>
      <c r="AE834" s="449"/>
      <c r="AF834" s="4"/>
      <c r="AG834" s="83"/>
      <c r="AH834" s="4"/>
      <c r="AI834" s="4"/>
      <c r="AJ834" s="449"/>
      <c r="AK834" s="449"/>
      <c r="AL834" s="449"/>
      <c r="AM834" s="449" t="s">
        <v>552</v>
      </c>
      <c r="AN834" s="10">
        <v>5.5</v>
      </c>
      <c r="AO834" s="9"/>
      <c r="AP834" s="9"/>
      <c r="AQ834" s="9"/>
      <c r="AR834" s="9"/>
      <c r="AS834" s="9"/>
      <c r="AT834" s="9">
        <f>+ab($T$834,$T$830,$T$836,$G$833,$G$835, 1*$F$834,1200)</f>
        <v>-12.878614408776407</v>
      </c>
      <c r="AU834" s="428"/>
      <c r="AV834" s="428"/>
      <c r="AW834" s="449" t="str">
        <f>IF(C834&gt;0,VLOOKUP(C834,Foundation_Calc!$A$2:$C$13,3,1),
IF(J834&gt;0,VLOOKUP(J834,Foundation_Calc!$A$2:$C$13,3,1),""))</f>
        <v>Multi Soil</v>
      </c>
      <c r="AX834" s="449" t="str">
        <f>IF(C834&gt;0,VLOOKUP(C834,Foundation_Calc!$E$35:$G$65,3,1),
IF(J834&gt;0,VLOOKUP(J834,Foundation_Calc!$E$35:$G$65,3,1),""))</f>
        <v>PT</v>
      </c>
      <c r="AY834" s="10">
        <f>IF(L834="","",
IF(AX834="PT",VLOOKUP(L834,Foundation_Calc!$K$79:$R$113,VLOOKUP(AW834,Foundation_Calc!$I$2:$J$8,2,FALSE),0),
IF(AX834="K",VLOOKUP(L834,Foundation_Calc!$K$117:$R$151,VLOOKUP(AW834,Foundation_Calc!$I$2:$J$8,2,FALSE),0),"")))</f>
        <v>3.5</v>
      </c>
      <c r="AZ834" s="10" t="str">
        <f>IF(K834="","",
IF(AX834="PT",VLOOKUP(K834,Foundation_Calc!$K$79:$R$113,VLOOKUP(AW834,Foundation_Calc!$I$2:$J$8,2,FALSE),0),
IF(AX834="K",VLOOKUP(K834,Foundation_Calc!$K$117:$R$151,VLOOKUP(AW834,Foundation_Calc!$I$2:$J$8,2,FALSE),0),"")))</f>
        <v/>
      </c>
      <c r="BA834" s="495" t="str">
        <f t="shared" si="115"/>
        <v>ü</v>
      </c>
      <c r="BB834" s="495" t="str">
        <f t="shared" si="116"/>
        <v/>
      </c>
      <c r="BC834" s="495" t="str">
        <f t="shared" si="117"/>
        <v/>
      </c>
      <c r="BD834" s="513" t="str">
        <f>IF(AND(L834="",H834=""),"",
IF(H834="",Pole_Calc!A$9,
IF(H834="MP",Pole_Calc!A$10,
IF(H834="AnMP",Pole_Calc!A$11,
IF(H834="A",Pole_Calc!A$12,
IF(H834="S/A",Pole_Calc!A$13,
IF(H834="A/S",Pole_Calc!A$14,"Poner a mano")))))))</f>
        <v>App.7-V11I-P9.5.1.6</v>
      </c>
      <c r="BE834" s="429" t="s">
        <v>118</v>
      </c>
      <c r="BF834" s="289"/>
      <c r="BG834" s="289"/>
      <c r="BH834" s="290"/>
      <c r="BI834" s="289"/>
    </row>
    <row r="835" spans="1:61" ht="15.75" customHeight="1">
      <c r="A835" s="646" t="s">
        <v>663</v>
      </c>
      <c r="B835" s="637"/>
      <c r="C835" s="638"/>
      <c r="D835" s="639"/>
      <c r="E835" s="640"/>
      <c r="F835" s="640"/>
      <c r="G835" s="641">
        <v>53</v>
      </c>
      <c r="H835" s="642"/>
      <c r="I835" s="640"/>
      <c r="J835" s="638">
        <f>C834+7.5</f>
        <v>49973.450000000012</v>
      </c>
      <c r="K835" s="642" t="s">
        <v>117</v>
      </c>
      <c r="L835" s="642"/>
      <c r="M835" s="642"/>
      <c r="N835" s="642"/>
      <c r="O835" s="898"/>
      <c r="P835" s="642"/>
      <c r="Q835" s="640"/>
      <c r="R835" s="641"/>
      <c r="S835" s="641"/>
      <c r="T835" s="640"/>
      <c r="U835" s="640"/>
      <c r="V835" s="640"/>
      <c r="W835" s="643"/>
      <c r="X835" s="643"/>
      <c r="Y835" s="643"/>
      <c r="Z835" s="643"/>
      <c r="AA835" s="643"/>
      <c r="AB835" s="643"/>
      <c r="AC835" s="642"/>
      <c r="AD835" s="642"/>
      <c r="AE835" s="642"/>
      <c r="AF835" s="640"/>
      <c r="AG835" s="639"/>
      <c r="AH835" s="640"/>
      <c r="AI835" s="640"/>
      <c r="AJ835" s="642"/>
      <c r="AK835" s="642"/>
      <c r="AL835" s="642"/>
      <c r="AM835" s="642"/>
      <c r="AN835" s="644"/>
      <c r="AO835" s="643"/>
      <c r="AP835" s="643"/>
      <c r="AQ835" s="643">
        <f>+FL_1($T$836,$T$834,$G$835,1200,9.28, 1*$F$836)</f>
        <v>5.1715525232704417E-2</v>
      </c>
      <c r="AR835" s="643"/>
      <c r="AS835" s="643"/>
      <c r="AT835" s="643"/>
      <c r="AU835" s="645"/>
      <c r="AV835" s="645"/>
      <c r="AW835" s="642" t="str">
        <f>IF(C835&gt;0,VLOOKUP(C835,Foundation_Calc!$A$2:$C$13,3,1),
IF(J835&gt;0,VLOOKUP(J835,Foundation_Calc!$A$2:$C$13,3,1),""))</f>
        <v>Multi Soil</v>
      </c>
      <c r="AX835" s="642" t="str">
        <f>IF(C835&gt;0,VLOOKUP(C835,Foundation_Calc!$E$35:$G$65,3,1),
IF(J835&gt;0,VLOOKUP(J835,Foundation_Calc!$E$35:$G$65,3,1),""))</f>
        <v>PT</v>
      </c>
      <c r="AY835" s="644" t="str">
        <f>IF(L835="","",
IF(AX835="PT",VLOOKUP(L835,Foundation_Calc!$K$79:$R$113,VLOOKUP(AW835,Foundation_Calc!$I$2:$J$8,2,FALSE),0),
IF(AX835="K",VLOOKUP(L835,Foundation_Calc!$K$117:$R$151,VLOOKUP(AW835,Foundation_Calc!$I$2:$J$8,2,FALSE),0),"")))</f>
        <v/>
      </c>
      <c r="AZ835" s="644">
        <f>IF(K835="","",
IF(AX835="PT",VLOOKUP(K835,Foundation_Calc!$K$79:$R$113,VLOOKUP(AW835,Foundation_Calc!$I$2:$J$8,2,FALSE),0),
IF(AX835="K",VLOOKUP(K835,Foundation_Calc!$K$117:$R$151,VLOOKUP(AW835,Foundation_Calc!$I$2:$J$8,2,FALSE),0),"")))</f>
        <v>3.9</v>
      </c>
      <c r="BA835" s="495" t="str">
        <f t="shared" si="115"/>
        <v/>
      </c>
      <c r="BB835" s="495" t="str">
        <f t="shared" si="116"/>
        <v>ü</v>
      </c>
      <c r="BC835" s="495" t="str">
        <f t="shared" si="117"/>
        <v/>
      </c>
      <c r="BD835" s="513" t="str">
        <f>IF(AND(L835="",H835=""),"",
IF(H835="",Pole_Calc!A$9,
IF(H835="MP",Pole_Calc!A$10,
IF(H835="AnMP",Pole_Calc!A$11,
IF(H835="A",Pole_Calc!A$12,
IF(H835="S/A",Pole_Calc!A$13,
IF(H835="A/S",Pole_Calc!A$14,"Poner a mano")))))))</f>
        <v/>
      </c>
      <c r="BE835" s="429" t="s">
        <v>118</v>
      </c>
      <c r="BF835" s="290"/>
      <c r="BG835" s="290"/>
      <c r="BH835" s="290"/>
      <c r="BI835" s="290"/>
    </row>
    <row r="836" spans="1:61" ht="15.75" customHeight="1">
      <c r="A836" s="514"/>
      <c r="B836" s="450" t="s">
        <v>1372</v>
      </c>
      <c r="C836" s="3">
        <f>+$C$834+$G$835</f>
        <v>50018.950000000012</v>
      </c>
      <c r="D836" s="83"/>
      <c r="E836" s="4"/>
      <c r="F836" s="4">
        <v>0</v>
      </c>
      <c r="G836" s="6"/>
      <c r="H836" s="449"/>
      <c r="I836" s="4"/>
      <c r="J836" s="3"/>
      <c r="K836" s="449"/>
      <c r="L836" s="449" t="s">
        <v>153</v>
      </c>
      <c r="M836" s="449" t="str">
        <f>IF(L836="","",
IF(AX836="PT",VLOOKUP(L836,Foundation_Calc!$V$79:$X$113,VLOOKUP(AX836,Foundation_Calc!$I$10:$J$13,2,FALSE),0),
IF(AX836="K",VLOOKUP(L836,Foundation_Calc!$V$117:$X$151,VLOOKUP(AX836,Foundation_Calc!$I$10:$J$13,2,FALSE),0),"")))</f>
        <v>C3RT</v>
      </c>
      <c r="N836" s="449" t="s">
        <v>124</v>
      </c>
      <c r="O836" s="449"/>
      <c r="P836" s="449"/>
      <c r="Q836" s="4"/>
      <c r="R836" s="6"/>
      <c r="S836" s="6"/>
      <c r="T836" s="4">
        <v>-15</v>
      </c>
      <c r="U836" s="4"/>
      <c r="V836" s="4"/>
      <c r="W836" s="9">
        <v>1.4</v>
      </c>
      <c r="X836" s="9"/>
      <c r="Y836" s="9"/>
      <c r="Z836" s="9"/>
      <c r="AA836" s="9"/>
      <c r="AB836" s="9"/>
      <c r="AC836" s="449" t="str">
        <f t="shared" si="111"/>
        <v>PHQ</v>
      </c>
      <c r="AD836" s="449"/>
      <c r="AE836" s="449"/>
      <c r="AF836" s="4"/>
      <c r="AG836" s="83"/>
      <c r="AH836" s="4"/>
      <c r="AI836" s="4"/>
      <c r="AJ836" s="449"/>
      <c r="AK836" s="449"/>
      <c r="AL836" s="449"/>
      <c r="AM836" s="449" t="s">
        <v>552</v>
      </c>
      <c r="AN836" s="10">
        <v>5.5</v>
      </c>
      <c r="AO836" s="9"/>
      <c r="AP836" s="9"/>
      <c r="AQ836" s="9"/>
      <c r="AR836" s="9"/>
      <c r="AS836" s="9"/>
      <c r="AT836" s="9">
        <f>+ab($T$836,$T$830,$T$838,$G$831,$G$837, 1*$F$836,1200)</f>
        <v>-6.4915192857206829</v>
      </c>
      <c r="AU836" s="428"/>
      <c r="AV836" s="428"/>
      <c r="AW836" s="449" t="str">
        <f>IF(C836&gt;0,VLOOKUP(C836,Foundation_Calc!$A$2:$C$13,3,1),
IF(J836&gt;0,VLOOKUP(J836,Foundation_Calc!$A$2:$C$13,3,1),""))</f>
        <v>Multi Soil</v>
      </c>
      <c r="AX836" s="449" t="str">
        <f>IF(C836&gt;0,VLOOKUP(C836,Foundation_Calc!$E$35:$G$65,3,1),
IF(J836&gt;0,VLOOKUP(J836,Foundation_Calc!$E$35:$G$65,3,1),""))</f>
        <v>K</v>
      </c>
      <c r="AY836" s="10">
        <f>IF(L836="","",
IF(AX836="PT",VLOOKUP(L836,Foundation_Calc!$K$79:$R$113,VLOOKUP(AW836,Foundation_Calc!$I$2:$J$8,2,FALSE),0),
IF(AX836="K",VLOOKUP(L836,Foundation_Calc!$K$117:$R$151,VLOOKUP(AW836,Foundation_Calc!$I$2:$J$8,2,FALSE),0),"")))</f>
        <v>4</v>
      </c>
      <c r="AZ836" s="10" t="str">
        <f>IF(K836="","",
IF(AX836="PT",VLOOKUP(K836,Foundation_Calc!$K$79:$R$113,VLOOKUP(AW836,Foundation_Calc!$I$2:$J$8,2,FALSE),0),
IF(AX836="K",VLOOKUP(K836,Foundation_Calc!$K$117:$R$151,VLOOKUP(AW836,Foundation_Calc!$I$2:$J$8,2,FALSE),0),"")))</f>
        <v/>
      </c>
      <c r="BA836" s="495" t="str">
        <f t="shared" si="112"/>
        <v>ü</v>
      </c>
      <c r="BB836" s="495" t="str">
        <f t="shared" si="113"/>
        <v/>
      </c>
      <c r="BC836" s="495" t="str">
        <f t="shared" si="114"/>
        <v/>
      </c>
      <c r="BD836" s="513" t="str">
        <f>IF(AND(L836="",H836=""),"",
IF(H836="",Pole_Calc!A$9,
IF(H836="MP",Pole_Calc!A$10,
IF(H836="AnMP",Pole_Calc!A$11,
IF(H836="A",Pole_Calc!A$12,
IF(H836="S/A",Pole_Calc!A$13,
IF(H836="A/S",Pole_Calc!A$14,"Poner a mano")))))))</f>
        <v>App.7-V11I-P9.5.1.1</v>
      </c>
      <c r="BE836" s="429" t="s">
        <v>118</v>
      </c>
      <c r="BF836" s="289"/>
      <c r="BG836" s="289"/>
      <c r="BH836" s="290"/>
      <c r="BI836" s="289"/>
    </row>
    <row r="837" spans="1:61" ht="15.75" customHeight="1">
      <c r="A837" s="518"/>
      <c r="B837" s="450"/>
      <c r="C837" s="3"/>
      <c r="D837" s="83"/>
      <c r="E837" s="4"/>
      <c r="F837" s="4"/>
      <c r="G837" s="6">
        <v>53</v>
      </c>
      <c r="H837" s="449"/>
      <c r="I837" s="4"/>
      <c r="J837" s="3"/>
      <c r="K837" s="449"/>
      <c r="L837" s="449"/>
      <c r="M837" s="449" t="str">
        <f>IF(L837="","",
IF(AX837="PT",VLOOKUP(L837,Foundation_Calc!$V$79:$X$113,VLOOKUP(AX837,Foundation_Calc!$I$10:$J$13,2,FALSE),0),
IF(AX837="K",VLOOKUP(L837,Foundation_Calc!$V$117:$X$151,VLOOKUP(AX837,Foundation_Calc!$I$10:$J$13,2,FALSE),0),"")))</f>
        <v/>
      </c>
      <c r="N837" s="449"/>
      <c r="O837" s="449"/>
      <c r="P837" s="449"/>
      <c r="Q837" s="4"/>
      <c r="R837" s="6"/>
      <c r="S837" s="6"/>
      <c r="T837" s="4"/>
      <c r="U837" s="4"/>
      <c r="V837" s="4"/>
      <c r="W837" s="9"/>
      <c r="X837" s="9"/>
      <c r="Y837" s="9"/>
      <c r="Z837" s="9"/>
      <c r="AA837" s="9"/>
      <c r="AB837" s="9"/>
      <c r="AC837" s="449" t="str">
        <f t="shared" si="111"/>
        <v/>
      </c>
      <c r="AD837" s="449"/>
      <c r="AE837" s="449"/>
      <c r="AF837" s="4"/>
      <c r="AG837" s="83"/>
      <c r="AH837" s="4"/>
      <c r="AI837" s="4"/>
      <c r="AJ837" s="449"/>
      <c r="AK837" s="449"/>
      <c r="AL837" s="449"/>
      <c r="AM837" s="449"/>
      <c r="AN837" s="10"/>
      <c r="AO837" s="9"/>
      <c r="AP837" s="9"/>
      <c r="AQ837" s="9">
        <f>+FL_1($T$838,$T$836,$G$837,1200,9.28, 1*$F$838)</f>
        <v>0.42907953962264145</v>
      </c>
      <c r="AR837" s="9"/>
      <c r="AS837" s="9"/>
      <c r="AT837" s="9"/>
      <c r="AU837" s="428"/>
      <c r="AV837" s="428"/>
      <c r="AW837" s="449" t="str">
        <f>IF(C837&gt;0,VLOOKUP(C837,Foundation_Calc!$A$2:$C$13,3,1),
IF(J837&gt;0,VLOOKUP(J837,Foundation_Calc!$A$2:$C$13,3,1),""))</f>
        <v/>
      </c>
      <c r="AX837" s="449" t="str">
        <f>IF(C837&gt;0,VLOOKUP(C837,Foundation_Calc!$E$35:$G$65,3,1),
IF(J837&gt;0,VLOOKUP(J837,Foundation_Calc!$E$35:$G$65,3,1),""))</f>
        <v/>
      </c>
      <c r="AY837" s="10" t="str">
        <f>IF(L837="","",
IF(AX837="PT",VLOOKUP(L837,Foundation_Calc!$K$79:$R$113,VLOOKUP(AW837,Foundation_Calc!$I$2:$J$8,2,FALSE),0),
IF(AX837="K",VLOOKUP(L837,Foundation_Calc!$K$117:$R$151,VLOOKUP(AW837,Foundation_Calc!$I$2:$J$8,2,FALSE),0),"")))</f>
        <v/>
      </c>
      <c r="AZ837" s="10" t="str">
        <f>IF(K837="","",
IF(AX837="PT",VLOOKUP(K837,Foundation_Calc!$K$79:$R$113,VLOOKUP(AW837,Foundation_Calc!$I$2:$J$8,2,FALSE),0),
IF(AX837="K",VLOOKUP(K837,Foundation_Calc!$K$117:$R$151,VLOOKUP(AW837,Foundation_Calc!$I$2:$J$8,2,FALSE),0),"")))</f>
        <v/>
      </c>
      <c r="BA837" s="495" t="str">
        <f t="shared" si="112"/>
        <v/>
      </c>
      <c r="BB837" s="495" t="str">
        <f t="shared" si="113"/>
        <v/>
      </c>
      <c r="BC837" s="495" t="str">
        <f t="shared" si="114"/>
        <v/>
      </c>
      <c r="BD837" s="513" t="str">
        <f>IF(AND(L837="",H837=""),"",
IF(H837="",Pole_Calc!A$9,
IF(H837="MP",Pole_Calc!A$10,
IF(H837="AnMP",Pole_Calc!A$11,
IF(H837="A",Pole_Calc!A$12,
IF(H837="S/A",Pole_Calc!A$13,
IF(H837="A/S",Pole_Calc!A$14,"Poner a mano")))))))</f>
        <v/>
      </c>
      <c r="BE837" s="429" t="s">
        <v>118</v>
      </c>
      <c r="BF837" s="290"/>
      <c r="BG837" s="290"/>
      <c r="BH837" s="290"/>
      <c r="BI837" s="290"/>
    </row>
    <row r="838" spans="1:61" ht="15.75" customHeight="1">
      <c r="A838" s="514"/>
      <c r="B838" s="450" t="s">
        <v>1373</v>
      </c>
      <c r="C838" s="3">
        <f>+$C$836+$G$837</f>
        <v>50071.950000000012</v>
      </c>
      <c r="D838" s="83"/>
      <c r="E838" s="4"/>
      <c r="F838" s="4">
        <v>0</v>
      </c>
      <c r="G838" s="6"/>
      <c r="H838" s="449"/>
      <c r="I838" s="4"/>
      <c r="J838" s="3"/>
      <c r="K838" s="449"/>
      <c r="L838" s="449" t="s">
        <v>153</v>
      </c>
      <c r="M838" s="449" t="str">
        <f>IF(L838="","",
IF(AX838="PT",VLOOKUP(L838,Foundation_Calc!$V$79:$X$113,VLOOKUP(AX838,Foundation_Calc!$I$10:$J$13,2,FALSE),0),
IF(AX838="K",VLOOKUP(L838,Foundation_Calc!$V$117:$X$151,VLOOKUP(AX838,Foundation_Calc!$I$10:$J$13,2,FALSE),0),"")))</f>
        <v>C3RT</v>
      </c>
      <c r="N838" s="449" t="s">
        <v>134</v>
      </c>
      <c r="O838" s="449"/>
      <c r="P838" s="449"/>
      <c r="Q838" s="4"/>
      <c r="R838" s="6"/>
      <c r="S838" s="6"/>
      <c r="T838" s="4">
        <v>35</v>
      </c>
      <c r="U838" s="4"/>
      <c r="V838" s="4"/>
      <c r="W838" s="9">
        <v>1.4</v>
      </c>
      <c r="X838" s="9"/>
      <c r="Y838" s="9"/>
      <c r="Z838" s="9"/>
      <c r="AA838" s="9"/>
      <c r="AB838" s="9"/>
      <c r="AC838" s="449" t="str">
        <f t="shared" si="111"/>
        <v>PH</v>
      </c>
      <c r="AD838" s="449"/>
      <c r="AE838" s="449"/>
      <c r="AF838" s="4"/>
      <c r="AG838" s="83"/>
      <c r="AH838" s="4"/>
      <c r="AI838" s="4"/>
      <c r="AJ838" s="449"/>
      <c r="AK838" s="449"/>
      <c r="AL838" s="449"/>
      <c r="AM838" s="449" t="s">
        <v>552</v>
      </c>
      <c r="AN838" s="10">
        <v>5.5</v>
      </c>
      <c r="AO838" s="9"/>
      <c r="AP838" s="9"/>
      <c r="AQ838" s="9"/>
      <c r="AR838" s="9"/>
      <c r="AS838" s="9"/>
      <c r="AT838" s="9">
        <f>+ab($T$838,$T$836,$T$840,$G$837,$G$839, 1*$F$838,1200)</f>
        <v>8.5047738839017004</v>
      </c>
      <c r="AU838" s="428"/>
      <c r="AV838" s="428"/>
      <c r="AW838" s="449" t="str">
        <f>IF(C838&gt;0,VLOOKUP(C838,Foundation_Calc!$A$2:$C$13,3,1),
IF(J838&gt;0,VLOOKUP(J838,Foundation_Calc!$A$2:$C$13,3,1),""))</f>
        <v>Multi Soil</v>
      </c>
      <c r="AX838" s="449" t="str">
        <f>IF(C838&gt;0,VLOOKUP(C838,Foundation_Calc!$E$35:$G$65,3,1),
IF(J838&gt;0,VLOOKUP(J838,Foundation_Calc!$E$35:$G$65,3,1),""))</f>
        <v>K</v>
      </c>
      <c r="AY838" s="10">
        <f>IF(L838="","",
IF(AX838="PT",VLOOKUP(L838,Foundation_Calc!$K$79:$R$113,VLOOKUP(AW838,Foundation_Calc!$I$2:$J$8,2,FALSE),0),
IF(AX838="K",VLOOKUP(L838,Foundation_Calc!$K$117:$R$151,VLOOKUP(AW838,Foundation_Calc!$I$2:$J$8,2,FALSE),0),"")))</f>
        <v>4</v>
      </c>
      <c r="AZ838" s="10" t="str">
        <f>IF(K838="","",
IF(AX838="PT",VLOOKUP(K838,Foundation_Calc!$K$79:$R$113,VLOOKUP(AW838,Foundation_Calc!$I$2:$J$8,2,FALSE),0),
IF(AX838="K",VLOOKUP(K838,Foundation_Calc!$K$117:$R$151,VLOOKUP(AW838,Foundation_Calc!$I$2:$J$8,2,FALSE),0),"")))</f>
        <v/>
      </c>
      <c r="BA838" s="495" t="str">
        <f t="shared" si="112"/>
        <v>ü</v>
      </c>
      <c r="BB838" s="495" t="str">
        <f t="shared" si="113"/>
        <v/>
      </c>
      <c r="BC838" s="495" t="str">
        <f t="shared" si="114"/>
        <v/>
      </c>
      <c r="BD838" s="513" t="str">
        <f>IF(AND(L838="",H838=""),"",
IF(H838="",Pole_Calc!A$9,
IF(H838="MP",Pole_Calc!A$10,
IF(H838="AnMP",Pole_Calc!A$11,
IF(H838="A",Pole_Calc!A$12,
IF(H838="S/A",Pole_Calc!A$13,
IF(H838="A/S",Pole_Calc!A$14,"Poner a mano")))))))</f>
        <v>App.7-V11I-P9.5.1.1</v>
      </c>
      <c r="BE838" s="429" t="s">
        <v>118</v>
      </c>
      <c r="BF838" s="289"/>
      <c r="BG838" s="289"/>
      <c r="BH838" s="290"/>
      <c r="BI838" s="289"/>
    </row>
    <row r="839" spans="1:61" ht="15.75" customHeight="1">
      <c r="A839" s="514"/>
      <c r="B839" s="450"/>
      <c r="C839" s="3"/>
      <c r="D839" s="83"/>
      <c r="E839" s="4"/>
      <c r="F839" s="4"/>
      <c r="G839" s="6">
        <v>54</v>
      </c>
      <c r="H839" s="449"/>
      <c r="I839" s="4"/>
      <c r="J839" s="3">
        <f>C840-7.5</f>
        <v>50116.87000000001</v>
      </c>
      <c r="K839" s="449" t="s">
        <v>324</v>
      </c>
      <c r="L839" s="449"/>
      <c r="M839" s="449" t="str">
        <f>IF(L839="","",
IF(AX839="PT",VLOOKUP(L839,Foundation_Calc!$V$79:$X$113,VLOOKUP(AX839,Foundation_Calc!$I$10:$J$13,2,FALSE),0),
IF(AX839="K",VLOOKUP(L839,Foundation_Calc!$V$117:$X$151,VLOOKUP(AX839,Foundation_Calc!$I$10:$J$13,2,FALSE),0),"")))</f>
        <v/>
      </c>
      <c r="N839" s="449"/>
      <c r="O839" s="449"/>
      <c r="P839" s="449"/>
      <c r="Q839" s="4"/>
      <c r="R839" s="6"/>
      <c r="S839" s="6"/>
      <c r="T839" s="4"/>
      <c r="U839" s="4"/>
      <c r="V839" s="4"/>
      <c r="W839" s="9"/>
      <c r="X839" s="9"/>
      <c r="Y839" s="9"/>
      <c r="Z839" s="9"/>
      <c r="AA839" s="9"/>
      <c r="AB839" s="9"/>
      <c r="AC839" s="449" t="str">
        <f t="shared" si="111"/>
        <v/>
      </c>
      <c r="AD839" s="449"/>
      <c r="AE839" s="449"/>
      <c r="AF839" s="4"/>
      <c r="AG839" s="83"/>
      <c r="AH839" s="4"/>
      <c r="AI839" s="4"/>
      <c r="AJ839" s="449"/>
      <c r="AK839" s="449"/>
      <c r="AL839" s="449"/>
      <c r="AM839" s="449"/>
      <c r="AN839" s="10"/>
      <c r="AO839" s="9"/>
      <c r="AP839" s="9"/>
      <c r="AQ839" s="9">
        <f>+FL_2($T$840,$T$838,$G$839,1200,9.28, 1*$F$840)</f>
        <v>-0.39052552059259255</v>
      </c>
      <c r="AR839" s="9"/>
      <c r="AS839" s="9"/>
      <c r="AT839" s="9"/>
      <c r="AU839" s="428"/>
      <c r="AV839" s="428"/>
      <c r="AW839" s="449" t="str">
        <f>IF(C839&gt;0,VLOOKUP(C839,Foundation_Calc!$A$2:$C$13,3,1),
IF(J839&gt;0,VLOOKUP(J839,Foundation_Calc!$A$2:$C$13,3,1),""))</f>
        <v>Multi Soil</v>
      </c>
      <c r="AX839" s="449" t="str">
        <f>IF(C839&gt;0,VLOOKUP(C839,Foundation_Calc!$E$35:$G$65,3,1),
IF(J839&gt;0,VLOOKUP(J839,Foundation_Calc!$E$35:$G$65,3,1),""))</f>
        <v>K</v>
      </c>
      <c r="AY839" s="10" t="str">
        <f>IF(L839="","",
IF(AX839="PT",VLOOKUP(L839,Foundation_Calc!$K$79:$R$113,VLOOKUP(AW839,Foundation_Calc!$I$2:$J$8,2,FALSE),0),
IF(AX839="K",VLOOKUP(L839,Foundation_Calc!$K$117:$R$151,VLOOKUP(AW839,Foundation_Calc!$I$2:$J$8,2,FALSE),0),"")))</f>
        <v/>
      </c>
      <c r="AZ839" s="10">
        <f>IF(K839="","",
IF(AX839="PT",VLOOKUP(K839,Foundation_Calc!$K$79:$R$113,VLOOKUP(AW839,Foundation_Calc!$I$2:$J$8,2,FALSE),0),
IF(AX839="K",VLOOKUP(K839,Foundation_Calc!$K$117:$R$151,VLOOKUP(AW839,Foundation_Calc!$I$2:$J$8,2,FALSE),0),"")))</f>
        <v>2.8</v>
      </c>
      <c r="BA839" s="495" t="str">
        <f t="shared" si="112"/>
        <v/>
      </c>
      <c r="BB839" s="495" t="str">
        <f t="shared" si="113"/>
        <v>ü</v>
      </c>
      <c r="BC839" s="495" t="str">
        <f t="shared" si="114"/>
        <v/>
      </c>
      <c r="BD839" s="513" t="str">
        <f>IF(AND(L839="",H839=""),"",
IF(H839="",Pole_Calc!A$9,
IF(H839="MP",Pole_Calc!A$10,
IF(H839="AnMP",Pole_Calc!A$11,
IF(H839="A",Pole_Calc!A$12,
IF(H839="S/A",Pole_Calc!A$13,
IF(H839="A/S",Pole_Calc!A$14,"Poner a mano")))))))</f>
        <v/>
      </c>
      <c r="BE839" s="429" t="s">
        <v>118</v>
      </c>
      <c r="BF839" s="290"/>
      <c r="BG839" s="290"/>
      <c r="BH839" s="290"/>
      <c r="BI839" s="290"/>
    </row>
    <row r="840" spans="1:61" ht="15.75" customHeight="1">
      <c r="A840" s="514"/>
      <c r="B840" s="450" t="s">
        <v>1374</v>
      </c>
      <c r="C840" s="3">
        <f>+$C$838+$G$839-1.58</f>
        <v>50124.37000000001</v>
      </c>
      <c r="D840" s="83"/>
      <c r="E840" s="4"/>
      <c r="F840" s="4">
        <v>0</v>
      </c>
      <c r="G840" s="6"/>
      <c r="H840" s="449" t="s">
        <v>168</v>
      </c>
      <c r="I840" s="4"/>
      <c r="J840" s="3"/>
      <c r="K840" s="449"/>
      <c r="L840" s="449" t="s">
        <v>158</v>
      </c>
      <c r="M840" s="449" t="str">
        <f>IF(L840="","",
IF(AX840="PT",VLOOKUP(L840,Foundation_Calc!$V$79:$X$113,VLOOKUP(AX840,Foundation_Calc!$I$10:$J$13,2,FALSE),0),
IF(AX840="K",VLOOKUP(L840,Foundation_Calc!$V$117:$X$151,VLOOKUP(AX840,Foundation_Calc!$I$10:$J$13,2,FALSE),0),"")))</f>
        <v>C4RT</v>
      </c>
      <c r="N840" s="449" t="s">
        <v>124</v>
      </c>
      <c r="O840" s="449"/>
      <c r="P840" s="449"/>
      <c r="Q840" s="4"/>
      <c r="R840" s="6"/>
      <c r="S840" s="6"/>
      <c r="T840" s="4">
        <v>-35</v>
      </c>
      <c r="U840" s="4"/>
      <c r="V840" s="4"/>
      <c r="W840" s="9">
        <v>1.4</v>
      </c>
      <c r="X840" s="9"/>
      <c r="Y840" s="9"/>
      <c r="Z840" s="9"/>
      <c r="AA840" s="9"/>
      <c r="AB840" s="9"/>
      <c r="AC840" s="449" t="str">
        <f t="shared" si="111"/>
        <v>PHQ</v>
      </c>
      <c r="AD840" s="449"/>
      <c r="AE840" s="449"/>
      <c r="AF840" s="4"/>
      <c r="AG840" s="83"/>
      <c r="AH840" s="4"/>
      <c r="AI840" s="4"/>
      <c r="AJ840" s="449"/>
      <c r="AK840" s="449"/>
      <c r="AL840" s="449"/>
      <c r="AM840" s="449" t="s">
        <v>552</v>
      </c>
      <c r="AN840" s="10">
        <v>5.5</v>
      </c>
      <c r="AO840" s="9"/>
      <c r="AP840" s="9"/>
      <c r="AQ840" s="9"/>
      <c r="AR840" s="9"/>
      <c r="AS840" s="9"/>
      <c r="AT840" s="9">
        <f>+ab($T$840,$T$838,$T$842,$G$839,$G$841, 1*$F$840,1200)</f>
        <v>-7.5892296727114639</v>
      </c>
      <c r="AU840" s="428"/>
      <c r="AV840" s="428"/>
      <c r="AW840" s="449" t="str">
        <f>IF(C840&gt;0,VLOOKUP(C840,Foundation_Calc!$A$2:$C$13,3,1),
IF(J840&gt;0,VLOOKUP(J840,Foundation_Calc!$A$2:$C$13,3,1),""))</f>
        <v>Multi Soil</v>
      </c>
      <c r="AX840" s="449" t="str">
        <f>IF(C840&gt;0,VLOOKUP(C840,Foundation_Calc!$E$35:$G$65,3,1),
IF(J840&gt;0,VLOOKUP(J840,Foundation_Calc!$E$35:$G$65,3,1),""))</f>
        <v>K</v>
      </c>
      <c r="AY840" s="10">
        <f>IF(L840="","",
IF(AX840="PT",VLOOKUP(L840,Foundation_Calc!$K$79:$R$113,VLOOKUP(AW840,Foundation_Calc!$I$2:$J$8,2,FALSE),0),
IF(AX840="K",VLOOKUP(L840,Foundation_Calc!$K$117:$R$151,VLOOKUP(AW840,Foundation_Calc!$I$2:$J$8,2,FALSE),0),"")))</f>
        <v>4.2</v>
      </c>
      <c r="AZ840" s="10" t="str">
        <f>IF(K840="","",
IF(AX840="PT",VLOOKUP(K840,Foundation_Calc!$K$79:$R$113,VLOOKUP(AW840,Foundation_Calc!$I$2:$J$8,2,FALSE),0),
IF(AX840="K",VLOOKUP(K840,Foundation_Calc!$K$117:$R$151,VLOOKUP(AW840,Foundation_Calc!$I$2:$J$8,2,FALSE),0),"")))</f>
        <v/>
      </c>
      <c r="BA840" s="495" t="str">
        <f t="shared" si="112"/>
        <v>ü</v>
      </c>
      <c r="BB840" s="495" t="str">
        <f t="shared" si="113"/>
        <v/>
      </c>
      <c r="BC840" s="495" t="str">
        <f t="shared" si="114"/>
        <v/>
      </c>
      <c r="BD840" s="513" t="str">
        <f>IF(AND(L840="",H840=""),"",
IF(H840="",Pole_Calc!A$9,
IF(H840="MP",Pole_Calc!A$10,
IF(H840="AnMP",Pole_Calc!A$11,
IF(H840="A",Pole_Calc!A$12,
IF(H840="S/A",Pole_Calc!A$13,
IF(H840="A/S",Pole_Calc!A$14,"Poner a mano")))))))</f>
        <v>App.7-V11I-P9.5.1.3</v>
      </c>
      <c r="BE840" s="429" t="s">
        <v>118</v>
      </c>
      <c r="BF840" s="289"/>
      <c r="BG840" s="289"/>
      <c r="BH840" s="290"/>
      <c r="BI840" s="289"/>
    </row>
    <row r="841" spans="1:61" ht="15.75" customHeight="1">
      <c r="A841" s="685" t="s">
        <v>681</v>
      </c>
      <c r="B841" s="686"/>
      <c r="C841" s="687"/>
      <c r="D841" s="688"/>
      <c r="E841" s="689"/>
      <c r="F841" s="689"/>
      <c r="G841" s="690">
        <v>57.5</v>
      </c>
      <c r="H841" s="691"/>
      <c r="I841" s="689">
        <f>SUM(G817:G841)-50</f>
        <v>468.5</v>
      </c>
      <c r="J841" s="687"/>
      <c r="K841" s="691"/>
      <c r="L841" s="691"/>
      <c r="M841" s="691" t="str">
        <f>IF(L841="","",
IF(AX841="PT",VLOOKUP(L841,Foundation_Calc!$V$79:$X$113,VLOOKUP(AX841,Foundation_Calc!$I$10:$J$13,2,FALSE),0),
IF(AX841="K",VLOOKUP(L841,Foundation_Calc!$V$117:$X$151,VLOOKUP(AX841,Foundation_Calc!$I$10:$J$13,2,FALSE),0),"")))</f>
        <v/>
      </c>
      <c r="N841" s="691"/>
      <c r="O841" s="744"/>
      <c r="P841" s="691"/>
      <c r="Q841" s="689"/>
      <c r="R841" s="690"/>
      <c r="S841" s="690"/>
      <c r="T841" s="689"/>
      <c r="U841" s="689"/>
      <c r="V841" s="689"/>
      <c r="W841" s="692"/>
      <c r="X841" s="692"/>
      <c r="Y841" s="692"/>
      <c r="Z841" s="692"/>
      <c r="AA841" s="692"/>
      <c r="AB841" s="692"/>
      <c r="AC841" s="691" t="str">
        <f t="shared" si="111"/>
        <v/>
      </c>
      <c r="AD841" s="691"/>
      <c r="AE841" s="691"/>
      <c r="AF841" s="689"/>
      <c r="AG841" s="688"/>
      <c r="AH841" s="689"/>
      <c r="AI841" s="689"/>
      <c r="AJ841" s="691"/>
      <c r="AK841" s="691"/>
      <c r="AL841" s="691"/>
      <c r="AM841" s="691"/>
      <c r="AN841" s="693"/>
      <c r="AO841" s="692"/>
      <c r="AP841" s="692"/>
      <c r="AQ841" s="692">
        <f>+FL_1($T$842,$T$840,$G$841,1200,9.28, 1*$F$842)</f>
        <v>0.4154258193043478</v>
      </c>
      <c r="AR841" s="692"/>
      <c r="AS841" s="692"/>
      <c r="AT841" s="692"/>
      <c r="AU841" s="694"/>
      <c r="AV841" s="694"/>
      <c r="AW841" s="691" t="str">
        <f>IF(C841&gt;0,VLOOKUP(C841,Foundation_Calc!$A$2:$C$13,3,1),
IF(J841&gt;0,VLOOKUP(J841,Foundation_Calc!$A$2:$C$13,3,1),""))</f>
        <v/>
      </c>
      <c r="AX841" s="691" t="str">
        <f>IF(C841&gt;0,VLOOKUP(C841,Foundation_Calc!$E$35:$G$65,3,1),
IF(J841&gt;0,VLOOKUP(J841,Foundation_Calc!$E$35:$G$65,3,1),""))</f>
        <v/>
      </c>
      <c r="AY841" s="693" t="str">
        <f>IF(L841="","",
IF(AX841="PT",VLOOKUP(L841,Foundation_Calc!$K$79:$R$113,VLOOKUP(AW841,Foundation_Calc!$I$2:$J$8,2,FALSE),0),
IF(AX841="K",VLOOKUP(L841,Foundation_Calc!$K$117:$R$151,VLOOKUP(AW841,Foundation_Calc!$I$2:$J$8,2,FALSE),0),"")))</f>
        <v/>
      </c>
      <c r="AZ841" s="693" t="str">
        <f>IF(K841="","",
IF(AX841="PT",VLOOKUP(K841,Foundation_Calc!$K$79:$R$113,VLOOKUP(AW841,Foundation_Calc!$I$2:$J$8,2,FALSE),0),
IF(AX841="K",VLOOKUP(K841,Foundation_Calc!$K$117:$R$151,VLOOKUP(AW841,Foundation_Calc!$I$2:$J$8,2,FALSE),0),"")))</f>
        <v/>
      </c>
      <c r="BA841" s="495" t="str">
        <f t="shared" si="112"/>
        <v/>
      </c>
      <c r="BB841" s="495" t="str">
        <f t="shared" si="113"/>
        <v/>
      </c>
      <c r="BC841" s="495" t="str">
        <f t="shared" si="114"/>
        <v/>
      </c>
      <c r="BD841" s="513" t="str">
        <f>IF(AND(L841="",H841=""),"",
IF(H841="",Pole_Calc!A$9,
IF(H841="MP",Pole_Calc!A$10,
IF(H841="AnMP",Pole_Calc!A$11,
IF(H841="A",Pole_Calc!A$12,
IF(H841="S/A",Pole_Calc!A$13,
IF(H841="A/S",Pole_Calc!A$14,"Poner a mano")))))))</f>
        <v/>
      </c>
      <c r="BE841" s="429" t="s">
        <v>118</v>
      </c>
      <c r="BF841" s="290"/>
      <c r="BG841" s="290"/>
      <c r="BH841" s="290"/>
      <c r="BI841" s="290"/>
    </row>
    <row r="842" spans="1:61" ht="15.75" customHeight="1">
      <c r="A842" s="514"/>
      <c r="B842" s="450" t="s">
        <v>1375</v>
      </c>
      <c r="C842" s="3">
        <f>+$C$840+$G$841</f>
        <v>50181.87000000001</v>
      </c>
      <c r="D842" s="83"/>
      <c r="E842" s="4"/>
      <c r="F842" s="4">
        <v>0</v>
      </c>
      <c r="G842" s="6"/>
      <c r="H842" s="449" t="s">
        <v>171</v>
      </c>
      <c r="I842" s="4"/>
      <c r="J842" s="3"/>
      <c r="K842" s="449"/>
      <c r="L842" s="449" t="s">
        <v>153</v>
      </c>
      <c r="M842" s="449" t="str">
        <f>IF(L842="","",
IF(AX842="PT",VLOOKUP(L842,Foundation_Calc!$V$79:$X$113,VLOOKUP(AX842,Foundation_Calc!$I$10:$J$13,2,FALSE),0),
IF(AX842="K",VLOOKUP(L842,Foundation_Calc!$V$117:$X$151,VLOOKUP(AX842,Foundation_Calc!$I$10:$J$13,2,FALSE),0),"")))</f>
        <v>C3RT</v>
      </c>
      <c r="N842" s="449" t="s">
        <v>134</v>
      </c>
      <c r="O842" s="449"/>
      <c r="P842" s="449"/>
      <c r="Q842" s="4"/>
      <c r="R842" s="6"/>
      <c r="S842" s="6"/>
      <c r="T842" s="4">
        <v>35</v>
      </c>
      <c r="U842" s="4"/>
      <c r="V842" s="4"/>
      <c r="W842" s="9">
        <v>1.4</v>
      </c>
      <c r="X842" s="9"/>
      <c r="Y842" s="9"/>
      <c r="Z842" s="9"/>
      <c r="AA842" s="9"/>
      <c r="AB842" s="9"/>
      <c r="AC842" s="449" t="str">
        <f t="shared" si="111"/>
        <v>PHQ</v>
      </c>
      <c r="AD842" s="449"/>
      <c r="AE842" s="449"/>
      <c r="AF842" s="4"/>
      <c r="AG842" s="83"/>
      <c r="AH842" s="4"/>
      <c r="AI842" s="4"/>
      <c r="AJ842" s="449"/>
      <c r="AK842" s="449"/>
      <c r="AL842" s="449"/>
      <c r="AM842" s="449" t="s">
        <v>552</v>
      </c>
      <c r="AN842" s="10">
        <v>5.5</v>
      </c>
      <c r="AO842" s="9"/>
      <c r="AP842" s="9"/>
      <c r="AQ842" s="9"/>
      <c r="AR842" s="9"/>
      <c r="AS842" s="9"/>
      <c r="AT842" s="9">
        <f>+ab($T$842,$T$840,$T$844,$G$841,$G$843, 1*$F$842,1200)</f>
        <v>7.7298877574624036</v>
      </c>
      <c r="AU842" s="428"/>
      <c r="AV842" s="428"/>
      <c r="AW842" s="449" t="str">
        <f>IF(C842&gt;0,VLOOKUP(C842,Foundation_Calc!$A$2:$C$13,3,1),
IF(J842&gt;0,VLOOKUP(J842,Foundation_Calc!$A$2:$C$13,3,1),""))</f>
        <v>Multi Soil</v>
      </c>
      <c r="AX842" s="449" t="str">
        <f>IF(C842&gt;0,VLOOKUP(C842,Foundation_Calc!$E$35:$G$65,3,1),
IF(J842&gt;0,VLOOKUP(J842,Foundation_Calc!$E$35:$G$65,3,1),""))</f>
        <v>K</v>
      </c>
      <c r="AY842" s="10">
        <f>IF(L842="","",
IF(AX842="PT",VLOOKUP(L842,Foundation_Calc!$K$79:$R$113,VLOOKUP(AW842,Foundation_Calc!$I$2:$J$8,2,FALSE),0),
IF(AX842="K",VLOOKUP(L842,Foundation_Calc!$K$117:$R$151,VLOOKUP(AW842,Foundation_Calc!$I$2:$J$8,2,FALSE),0),"")))</f>
        <v>4</v>
      </c>
      <c r="AZ842" s="10" t="str">
        <f>IF(K842="","",
IF(AX842="PT",VLOOKUP(K842,Foundation_Calc!$K$79:$R$113,VLOOKUP(AW842,Foundation_Calc!$I$2:$J$8,2,FALSE),0),
IF(AX842="K",VLOOKUP(K842,Foundation_Calc!$K$117:$R$151,VLOOKUP(AW842,Foundation_Calc!$I$2:$J$8,2,FALSE),0),"")))</f>
        <v/>
      </c>
      <c r="BA842" s="495" t="str">
        <f t="shared" si="112"/>
        <v>ü</v>
      </c>
      <c r="BB842" s="495" t="str">
        <f t="shared" si="113"/>
        <v/>
      </c>
      <c r="BC842" s="495" t="str">
        <f t="shared" si="114"/>
        <v/>
      </c>
      <c r="BD842" s="513" t="str">
        <f>IF(AND(L842="",H842=""),"",
IF(H842="",Pole_Calc!A$9,
IF(H842="MP",Pole_Calc!A$10,
IF(H842="AnMP",Pole_Calc!A$11,
IF(H842="A",Pole_Calc!A$12,
IF(H842="S/A",Pole_Calc!A$13,
IF(H842="A/S",Pole_Calc!A$14,"Poner a mano")))))))</f>
        <v>App.7-V11I-P9.5.1.2</v>
      </c>
      <c r="BE842" s="429" t="s">
        <v>118</v>
      </c>
      <c r="BF842" s="289"/>
      <c r="BG842" s="289"/>
      <c r="BH842" s="290"/>
      <c r="BI842" s="289"/>
    </row>
    <row r="843" spans="1:61" ht="15.75" customHeight="1">
      <c r="A843" s="685" t="s">
        <v>681</v>
      </c>
      <c r="B843" s="686"/>
      <c r="C843" s="687"/>
      <c r="D843" s="688"/>
      <c r="E843" s="689"/>
      <c r="F843" s="689"/>
      <c r="G843" s="690">
        <v>56</v>
      </c>
      <c r="H843" s="691"/>
      <c r="I843" s="689">
        <f>SUM(G843:G857)</f>
        <v>486</v>
      </c>
      <c r="J843" s="687"/>
      <c r="K843" s="691"/>
      <c r="L843" s="691"/>
      <c r="M843" s="691" t="str">
        <f>IF(L843="","",
IF(AX843="PT",VLOOKUP(L843,Foundation_Calc!$V$79:$X$113,VLOOKUP(AX843,Foundation_Calc!$I$10:$J$13,2,FALSE),0),
IF(AX843="K",VLOOKUP(L843,Foundation_Calc!$V$117:$X$151,VLOOKUP(AX843,Foundation_Calc!$I$10:$J$13,2,FALSE),0),"")))</f>
        <v/>
      </c>
      <c r="N843" s="691"/>
      <c r="O843" s="691"/>
      <c r="P843" s="691"/>
      <c r="Q843" s="689"/>
      <c r="R843" s="690"/>
      <c r="S843" s="690"/>
      <c r="T843" s="689"/>
      <c r="U843" s="689"/>
      <c r="V843" s="689"/>
      <c r="W843" s="692"/>
      <c r="X843" s="692"/>
      <c r="Y843" s="692"/>
      <c r="Z843" s="692"/>
      <c r="AA843" s="692"/>
      <c r="AB843" s="692"/>
      <c r="AC843" s="691" t="str">
        <f t="shared" si="111"/>
        <v/>
      </c>
      <c r="AD843" s="691"/>
      <c r="AE843" s="691"/>
      <c r="AF843" s="689"/>
      <c r="AG843" s="688"/>
      <c r="AH843" s="689"/>
      <c r="AI843" s="689"/>
      <c r="AJ843" s="691"/>
      <c r="AK843" s="691"/>
      <c r="AL843" s="691"/>
      <c r="AM843" s="691"/>
      <c r="AN843" s="693"/>
      <c r="AO843" s="692"/>
      <c r="AP843" s="692"/>
      <c r="AQ843" s="692">
        <f>+FL_1($T$844,$T$842,$G$843,1200,9.28, 1*$F$844)</f>
        <v>0.40417036800000006</v>
      </c>
      <c r="AR843" s="692"/>
      <c r="AS843" s="692"/>
      <c r="AT843" s="692"/>
      <c r="AU843" s="694"/>
      <c r="AV843" s="694"/>
      <c r="AW843" s="691" t="str">
        <f>IF(C843&gt;0,VLOOKUP(C843,Foundation_Calc!$A$2:$C$13,3,1),
IF(J843&gt;0,VLOOKUP(J843,Foundation_Calc!$A$2:$C$13,3,1),""))</f>
        <v/>
      </c>
      <c r="AX843" s="691" t="str">
        <f>IF(C843&gt;0,VLOOKUP(C843,Foundation_Calc!$E$35:$G$65,3,1),
IF(J843&gt;0,VLOOKUP(J843,Foundation_Calc!$E$35:$G$65,3,1),""))</f>
        <v/>
      </c>
      <c r="AY843" s="693" t="str">
        <f>IF(L843="","",
IF(AX843="PT",VLOOKUP(L843,Foundation_Calc!$K$79:$R$113,VLOOKUP(AW843,Foundation_Calc!$I$2:$J$8,2,FALSE),0),
IF(AX843="K",VLOOKUP(L843,Foundation_Calc!$K$117:$R$151,VLOOKUP(AW843,Foundation_Calc!$I$2:$J$8,2,FALSE),0),"")))</f>
        <v/>
      </c>
      <c r="AZ843" s="693" t="str">
        <f>IF(K843="","",
IF(AX843="PT",VLOOKUP(K843,Foundation_Calc!$K$79:$R$113,VLOOKUP(AW843,Foundation_Calc!$I$2:$J$8,2,FALSE),0),
IF(AX843="K",VLOOKUP(K843,Foundation_Calc!$K$117:$R$151,VLOOKUP(AW843,Foundation_Calc!$I$2:$J$8,2,FALSE),0),"")))</f>
        <v/>
      </c>
      <c r="BA843" s="495" t="str">
        <f t="shared" si="112"/>
        <v/>
      </c>
      <c r="BB843" s="495" t="str">
        <f t="shared" si="113"/>
        <v/>
      </c>
      <c r="BC843" s="495" t="str">
        <f t="shared" si="114"/>
        <v/>
      </c>
      <c r="BD843" s="513" t="str">
        <f>IF(AND(L843="",H843=""),"",
IF(H843="",Pole_Calc!A$9,
IF(H843="MP",Pole_Calc!A$10,
IF(H843="AnMP",Pole_Calc!A$11,
IF(H843="A",Pole_Calc!A$12,
IF(H843="S/A",Pole_Calc!A$13,
IF(H843="A/S",Pole_Calc!A$14,"Poner a mano")))))))</f>
        <v/>
      </c>
      <c r="BE843" s="429" t="s">
        <v>118</v>
      </c>
      <c r="BF843" s="290"/>
      <c r="BG843" s="290"/>
      <c r="BH843" s="290"/>
      <c r="BI843" s="290"/>
    </row>
    <row r="844" spans="1:61" ht="15.75" customHeight="1">
      <c r="A844" s="514"/>
      <c r="B844" s="450" t="s">
        <v>1376</v>
      </c>
      <c r="C844" s="3">
        <f>+$C$842+$G$843</f>
        <v>50237.87000000001</v>
      </c>
      <c r="D844" s="83"/>
      <c r="E844" s="4"/>
      <c r="F844" s="4">
        <v>0</v>
      </c>
      <c r="G844" s="6"/>
      <c r="H844" s="449" t="s">
        <v>168</v>
      </c>
      <c r="I844" s="4"/>
      <c r="J844" s="3"/>
      <c r="K844" s="449"/>
      <c r="L844" s="449" t="s">
        <v>158</v>
      </c>
      <c r="M844" s="449" t="str">
        <f>IF(L844="","",
IF(AX844="PT",VLOOKUP(L844,Foundation_Calc!$V$79:$X$113,VLOOKUP(AX844,Foundation_Calc!$I$10:$J$13,2,FALSE),0),
IF(AX844="K",VLOOKUP(L844,Foundation_Calc!$V$117:$X$151,VLOOKUP(AX844,Foundation_Calc!$I$10:$J$13,2,FALSE),0),"")))</f>
        <v>C4RT</v>
      </c>
      <c r="N844" s="449" t="s">
        <v>124</v>
      </c>
      <c r="O844" s="449"/>
      <c r="P844" s="449"/>
      <c r="Q844" s="4"/>
      <c r="R844" s="6"/>
      <c r="S844" s="6"/>
      <c r="T844" s="4">
        <v>-35</v>
      </c>
      <c r="U844" s="4"/>
      <c r="V844" s="4"/>
      <c r="W844" s="9">
        <v>1.4</v>
      </c>
      <c r="X844" s="9"/>
      <c r="Y844" s="9"/>
      <c r="Z844" s="9"/>
      <c r="AA844" s="9"/>
      <c r="AB844" s="9"/>
      <c r="AC844" s="449" t="str">
        <f t="shared" si="111"/>
        <v>PHQ</v>
      </c>
      <c r="AD844" s="449"/>
      <c r="AE844" s="449"/>
      <c r="AF844" s="4"/>
      <c r="AG844" s="83"/>
      <c r="AH844" s="4"/>
      <c r="AI844" s="4"/>
      <c r="AJ844" s="449"/>
      <c r="AK844" s="449"/>
      <c r="AL844" s="449"/>
      <c r="AM844" s="449" t="s">
        <v>552</v>
      </c>
      <c r="AN844" s="10">
        <v>5.5</v>
      </c>
      <c r="AO844" s="9"/>
      <c r="AP844" s="9"/>
      <c r="AQ844" s="9"/>
      <c r="AR844" s="9"/>
      <c r="AS844" s="9"/>
      <c r="AT844" s="9">
        <f>+ab($T$844,$T$842,$T$846,$G$843,$G$845, 1*$F$844,1200)</f>
        <v>-7.8901480542292557</v>
      </c>
      <c r="AU844" s="428"/>
      <c r="AV844" s="428"/>
      <c r="AW844" s="449" t="str">
        <f>IF(C844&gt;0,VLOOKUP(C844,Foundation_Calc!$A$2:$C$13,3,1),
IF(J844&gt;0,VLOOKUP(J844,Foundation_Calc!$A$2:$C$13,3,1),""))</f>
        <v>Multi Soil</v>
      </c>
      <c r="AX844" s="449" t="str">
        <f>IF(C844&gt;0,VLOOKUP(C844,Foundation_Calc!$E$35:$G$65,3,1),
IF(J844&gt;0,VLOOKUP(J844,Foundation_Calc!$E$35:$G$65,3,1),""))</f>
        <v>K</v>
      </c>
      <c r="AY844" s="10">
        <f>IF(L844="","",
IF(AX844="PT",VLOOKUP(L844,Foundation_Calc!$K$79:$R$113,VLOOKUP(AW844,Foundation_Calc!$I$2:$J$8,2,FALSE),0),
IF(AX844="K",VLOOKUP(L844,Foundation_Calc!$K$117:$R$151,VLOOKUP(AW844,Foundation_Calc!$I$2:$J$8,2,FALSE),0),"")))</f>
        <v>4.2</v>
      </c>
      <c r="AZ844" s="10" t="str">
        <f>IF(K844="","",
IF(AX844="PT",VLOOKUP(K844,Foundation_Calc!$K$79:$R$113,VLOOKUP(AW844,Foundation_Calc!$I$2:$J$8,2,FALSE),0),
IF(AX844="K",VLOOKUP(K844,Foundation_Calc!$K$117:$R$151,VLOOKUP(AW844,Foundation_Calc!$I$2:$J$8,2,FALSE),0),"")))</f>
        <v/>
      </c>
      <c r="BA844" s="495" t="str">
        <f t="shared" si="112"/>
        <v>ü</v>
      </c>
      <c r="BB844" s="495" t="str">
        <f t="shared" si="113"/>
        <v/>
      </c>
      <c r="BC844" s="495" t="str">
        <f t="shared" si="114"/>
        <v/>
      </c>
      <c r="BD844" s="513" t="str">
        <f>IF(AND(L844="",H844=""),"",
IF(H844="",Pole_Calc!A$9,
IF(H844="MP",Pole_Calc!A$10,
IF(H844="AnMP",Pole_Calc!A$11,
IF(H844="A",Pole_Calc!A$12,
IF(H844="S/A",Pole_Calc!A$13,
IF(H844="A/S",Pole_Calc!A$14,"Poner a mano")))))))</f>
        <v>App.7-V11I-P9.5.1.3</v>
      </c>
      <c r="BE844" s="429" t="s">
        <v>118</v>
      </c>
      <c r="BF844" s="289"/>
      <c r="BG844" s="289"/>
      <c r="BH844" s="290"/>
      <c r="BI844" s="289"/>
    </row>
    <row r="845" spans="1:61" ht="15.75" customHeight="1">
      <c r="A845" s="514"/>
      <c r="B845" s="450"/>
      <c r="C845" s="3"/>
      <c r="D845" s="83"/>
      <c r="E845" s="4"/>
      <c r="F845" s="4"/>
      <c r="G845" s="6">
        <v>60</v>
      </c>
      <c r="H845" s="449"/>
      <c r="I845" s="4"/>
      <c r="J845" s="3">
        <f>C844+7.5</f>
        <v>50245.37000000001</v>
      </c>
      <c r="K845" s="449" t="s">
        <v>324</v>
      </c>
      <c r="L845" s="449"/>
      <c r="M845" s="449" t="str">
        <f>IF(L845="","",
IF(AX845="PT",VLOOKUP(L845,Foundation_Calc!$V$79:$X$113,VLOOKUP(AX845,Foundation_Calc!$I$10:$J$13,2,FALSE),0),
IF(AX845="K",VLOOKUP(L845,Foundation_Calc!$V$117:$X$151,VLOOKUP(AX845,Foundation_Calc!$I$10:$J$13,2,FALSE),0),"")))</f>
        <v/>
      </c>
      <c r="N845" s="449"/>
      <c r="O845" s="449"/>
      <c r="P845" s="449"/>
      <c r="Q845" s="4"/>
      <c r="R845" s="6"/>
      <c r="S845" s="6"/>
      <c r="T845" s="4"/>
      <c r="U845" s="4"/>
      <c r="V845" s="4"/>
      <c r="W845" s="9"/>
      <c r="X845" s="9"/>
      <c r="Y845" s="9"/>
      <c r="Z845" s="9"/>
      <c r="AA845" s="9"/>
      <c r="AB845" s="9"/>
      <c r="AC845" s="449" t="str">
        <f t="shared" si="111"/>
        <v/>
      </c>
      <c r="AD845" s="449"/>
      <c r="AE845" s="449"/>
      <c r="AF845" s="4"/>
      <c r="AG845" s="83"/>
      <c r="AH845" s="4"/>
      <c r="AI845" s="4"/>
      <c r="AJ845" s="449"/>
      <c r="AK845" s="449"/>
      <c r="AL845" s="449"/>
      <c r="AM845" s="449"/>
      <c r="AN845" s="10"/>
      <c r="AO845" s="9"/>
      <c r="AP845" s="9"/>
      <c r="AQ845" s="9">
        <f>+FL_1($T$846,$T$844,$G$845,1200,9.28, 1*$F$846)</f>
        <v>0.43600286799999999</v>
      </c>
      <c r="AR845" s="9"/>
      <c r="AS845" s="9"/>
      <c r="AT845" s="9"/>
      <c r="AU845" s="428"/>
      <c r="AV845" s="428"/>
      <c r="AW845" s="449" t="str">
        <f>IF(C845&gt;0,VLOOKUP(C845,Foundation_Calc!$A$2:$C$13,3,1),
IF(J845&gt;0,VLOOKUP(J845,Foundation_Calc!$A$2:$C$13,3,1),""))</f>
        <v>Multi Soil</v>
      </c>
      <c r="AX845" s="449" t="str">
        <f>IF(C845&gt;0,VLOOKUP(C845,Foundation_Calc!$E$35:$G$65,3,1),
IF(J845&gt;0,VLOOKUP(J845,Foundation_Calc!$E$35:$G$65,3,1),""))</f>
        <v>K</v>
      </c>
      <c r="AY845" s="10" t="str">
        <f>IF(L845="","",
IF(AX845="PT",VLOOKUP(L845,Foundation_Calc!$K$79:$R$113,VLOOKUP(AW845,Foundation_Calc!$I$2:$J$8,2,FALSE),0),
IF(AX845="K",VLOOKUP(L845,Foundation_Calc!$K$117:$R$151,VLOOKUP(AW845,Foundation_Calc!$I$2:$J$8,2,FALSE),0),"")))</f>
        <v/>
      </c>
      <c r="AZ845" s="10">
        <f>IF(K845="","",
IF(AX845="PT",VLOOKUP(K845,Foundation_Calc!$K$79:$R$113,VLOOKUP(AW845,Foundation_Calc!$I$2:$J$8,2,FALSE),0),
IF(AX845="K",VLOOKUP(K845,Foundation_Calc!$K$117:$R$151,VLOOKUP(AW845,Foundation_Calc!$I$2:$J$8,2,FALSE),0),"")))</f>
        <v>2.8</v>
      </c>
      <c r="BA845" s="495" t="str">
        <f t="shared" si="112"/>
        <v/>
      </c>
      <c r="BB845" s="495" t="str">
        <f t="shared" si="113"/>
        <v>ü</v>
      </c>
      <c r="BC845" s="495" t="str">
        <f t="shared" si="114"/>
        <v/>
      </c>
      <c r="BD845" s="513" t="str">
        <f>IF(AND(L845="",H845=""),"",
IF(H845="",Pole_Calc!A$9,
IF(H845="MP",Pole_Calc!A$10,
IF(H845="AnMP",Pole_Calc!A$11,
IF(H845="A",Pole_Calc!A$12,
IF(H845="S/A",Pole_Calc!A$13,
IF(H845="A/S",Pole_Calc!A$14,"Poner a mano")))))))</f>
        <v/>
      </c>
      <c r="BE845" s="429" t="s">
        <v>118</v>
      </c>
      <c r="BF845" s="290"/>
      <c r="BG845" s="290"/>
      <c r="BH845" s="290"/>
      <c r="BI845" s="290"/>
    </row>
    <row r="846" spans="1:61" ht="15.75" customHeight="1">
      <c r="A846" s="514"/>
      <c r="B846" s="450" t="s">
        <v>1377</v>
      </c>
      <c r="C846" s="3">
        <f>+$C$844+$G$845</f>
        <v>50297.87000000001</v>
      </c>
      <c r="D846" s="83"/>
      <c r="E846" s="4"/>
      <c r="F846" s="4">
        <v>0</v>
      </c>
      <c r="G846" s="6"/>
      <c r="H846" s="449"/>
      <c r="I846" s="4"/>
      <c r="J846" s="3"/>
      <c r="K846" s="449"/>
      <c r="L846" s="449" t="s">
        <v>153</v>
      </c>
      <c r="M846" s="449" t="str">
        <f>IF(L846="","",
IF(AX846="PT",VLOOKUP(L846,Foundation_Calc!$V$79:$X$113,VLOOKUP(AX846,Foundation_Calc!$I$10:$J$13,2,FALSE),0),
IF(AX846="K",VLOOKUP(L846,Foundation_Calc!$V$117:$X$151,VLOOKUP(AX846,Foundation_Calc!$I$10:$J$13,2,FALSE),0),"")))</f>
        <v>C3RT</v>
      </c>
      <c r="N846" s="449" t="s">
        <v>134</v>
      </c>
      <c r="O846" s="449"/>
      <c r="P846" s="449"/>
      <c r="Q846" s="4"/>
      <c r="R846" s="6"/>
      <c r="S846" s="6"/>
      <c r="T846" s="4">
        <v>35</v>
      </c>
      <c r="U846" s="4"/>
      <c r="V846" s="4"/>
      <c r="W846" s="9">
        <v>1.4</v>
      </c>
      <c r="X846" s="9"/>
      <c r="Y846" s="9"/>
      <c r="Z846" s="9"/>
      <c r="AA846" s="9"/>
      <c r="AB846" s="9"/>
      <c r="AC846" s="449" t="str">
        <f t="shared" si="111"/>
        <v>PH</v>
      </c>
      <c r="AD846" s="449"/>
      <c r="AE846" s="449"/>
      <c r="AF846" s="4"/>
      <c r="AG846" s="83"/>
      <c r="AH846" s="4"/>
      <c r="AI846" s="4"/>
      <c r="AJ846" s="449"/>
      <c r="AK846" s="449"/>
      <c r="AL846" s="449"/>
      <c r="AM846" s="449" t="s">
        <v>552</v>
      </c>
      <c r="AN846" s="10">
        <v>5.5</v>
      </c>
      <c r="AO846" s="9"/>
      <c r="AP846" s="9"/>
      <c r="AQ846" s="9"/>
      <c r="AR846" s="9"/>
      <c r="AS846" s="9"/>
      <c r="AT846" s="9">
        <f>+ab($T$846,$T$844,$T$848,$G$845,$G$847, 1*$F$846,1200)</f>
        <v>8.3002133012442592</v>
      </c>
      <c r="AU846" s="428"/>
      <c r="AV846" s="428"/>
      <c r="AW846" s="449" t="str">
        <f>IF(C846&gt;0,VLOOKUP(C846,Foundation_Calc!$A$2:$C$13,3,1),
IF(J846&gt;0,VLOOKUP(J846,Foundation_Calc!$A$2:$C$13,3,1),""))</f>
        <v>Multi Soil</v>
      </c>
      <c r="AX846" s="449" t="str">
        <f>IF(C846&gt;0,VLOOKUP(C846,Foundation_Calc!$E$35:$G$65,3,1),
IF(J846&gt;0,VLOOKUP(J846,Foundation_Calc!$E$35:$G$65,3,1),""))</f>
        <v>K</v>
      </c>
      <c r="AY846" s="10">
        <f>IF(L846="","",
IF(AX846="PT",VLOOKUP(L846,Foundation_Calc!$K$79:$R$113,VLOOKUP(AW846,Foundation_Calc!$I$2:$J$8,2,FALSE),0),
IF(AX846="K",VLOOKUP(L846,Foundation_Calc!$K$117:$R$151,VLOOKUP(AW846,Foundation_Calc!$I$2:$J$8,2,FALSE),0),"")))</f>
        <v>4</v>
      </c>
      <c r="AZ846" s="10" t="str">
        <f>IF(K846="","",
IF(AX846="PT",VLOOKUP(K846,Foundation_Calc!$K$79:$R$113,VLOOKUP(AW846,Foundation_Calc!$I$2:$J$8,2,FALSE),0),
IF(AX846="K",VLOOKUP(K846,Foundation_Calc!$K$117:$R$151,VLOOKUP(AW846,Foundation_Calc!$I$2:$J$8,2,FALSE),0),"")))</f>
        <v/>
      </c>
      <c r="BA846" s="495" t="str">
        <f t="shared" si="112"/>
        <v>ü</v>
      </c>
      <c r="BB846" s="495" t="str">
        <f t="shared" si="113"/>
        <v/>
      </c>
      <c r="BC846" s="495" t="str">
        <f t="shared" si="114"/>
        <v/>
      </c>
      <c r="BD846" s="513" t="str">
        <f>IF(AND(L846="",H846=""),"",
IF(H846="",Pole_Calc!A$9,
IF(H846="MP",Pole_Calc!A$10,
IF(H846="AnMP",Pole_Calc!A$11,
IF(H846="A",Pole_Calc!A$12,
IF(H846="S/A",Pole_Calc!A$13,
IF(H846="A/S",Pole_Calc!A$14,"Poner a mano")))))))</f>
        <v>App.7-V11I-P9.5.1.1</v>
      </c>
      <c r="BE846" s="429" t="s">
        <v>118</v>
      </c>
      <c r="BF846" s="289"/>
      <c r="BG846" s="289"/>
      <c r="BH846" s="290"/>
      <c r="BI846" s="289"/>
    </row>
    <row r="847" spans="1:61" ht="15.75" customHeight="1">
      <c r="A847" s="514"/>
      <c r="B847" s="450"/>
      <c r="C847" s="3"/>
      <c r="D847" s="83"/>
      <c r="E847" s="4"/>
      <c r="F847" s="4"/>
      <c r="G847" s="6">
        <v>62</v>
      </c>
      <c r="H847" s="449"/>
      <c r="I847" s="4"/>
      <c r="J847" s="3"/>
      <c r="K847" s="449"/>
      <c r="L847" s="449"/>
      <c r="M847" s="449" t="str">
        <f>IF(L847="","",
IF(AX847="PT",VLOOKUP(L847,Foundation_Calc!$V$79:$X$113,VLOOKUP(AX847,Foundation_Calc!$I$10:$J$13,2,FALSE),0),
IF(AX847="K",VLOOKUP(L847,Foundation_Calc!$V$117:$X$151,VLOOKUP(AX847,Foundation_Calc!$I$10:$J$13,2,FALSE),0),"")))</f>
        <v/>
      </c>
      <c r="N847" s="449"/>
      <c r="O847" s="561"/>
      <c r="P847" s="449"/>
      <c r="Q847" s="4"/>
      <c r="R847" s="6"/>
      <c r="S847" s="6"/>
      <c r="T847" s="4"/>
      <c r="U847" s="4"/>
      <c r="V847" s="4"/>
      <c r="W847" s="9"/>
      <c r="X847" s="9"/>
      <c r="Y847" s="9"/>
      <c r="Z847" s="9"/>
      <c r="AA847" s="9"/>
      <c r="AB847" s="9"/>
      <c r="AC847" s="449" t="str">
        <f t="shared" si="111"/>
        <v/>
      </c>
      <c r="AD847" s="449"/>
      <c r="AE847" s="449"/>
      <c r="AF847" s="4"/>
      <c r="AG847" s="83"/>
      <c r="AH847" s="4"/>
      <c r="AI847" s="4"/>
      <c r="AJ847" s="449"/>
      <c r="AK847" s="449"/>
      <c r="AL847" s="449"/>
      <c r="AM847" s="449"/>
      <c r="AN847" s="10"/>
      <c r="AO847" s="9"/>
      <c r="AP847" s="9"/>
      <c r="AQ847" s="9">
        <f>+FL_2($T$848,$T$846,$G$847,1200,9.28, 1*$F$848)</f>
        <v>-0.45400350967741931</v>
      </c>
      <c r="AR847" s="9"/>
      <c r="AS847" s="9"/>
      <c r="AT847" s="9"/>
      <c r="AU847" s="428"/>
      <c r="AV847" s="428"/>
      <c r="AW847" s="449" t="str">
        <f>IF(C847&gt;0,VLOOKUP(C847,Foundation_Calc!$A$2:$C$13,3,1),
IF(J847&gt;0,VLOOKUP(J847,Foundation_Calc!$A$2:$C$13,3,1),""))</f>
        <v/>
      </c>
      <c r="AX847" s="449" t="str">
        <f>IF(C847&gt;0,VLOOKUP(C847,Foundation_Calc!$E$35:$G$65,3,1),
IF(J847&gt;0,VLOOKUP(J847,Foundation_Calc!$E$35:$G$65,3,1),""))</f>
        <v/>
      </c>
      <c r="AY847" s="10" t="str">
        <f>IF(L847="","",
IF(AX847="PT",VLOOKUP(L847,Foundation_Calc!$K$79:$R$113,VLOOKUP(AW847,Foundation_Calc!$I$2:$J$8,2,FALSE),0),
IF(AX847="K",VLOOKUP(L847,Foundation_Calc!$K$117:$R$151,VLOOKUP(AW847,Foundation_Calc!$I$2:$J$8,2,FALSE),0),"")))</f>
        <v/>
      </c>
      <c r="AZ847" s="10" t="str">
        <f>IF(K847="","",
IF(AX847="PT",VLOOKUP(K847,Foundation_Calc!$K$79:$R$113,VLOOKUP(AW847,Foundation_Calc!$I$2:$J$8,2,FALSE),0),
IF(AX847="K",VLOOKUP(K847,Foundation_Calc!$K$117:$R$151,VLOOKUP(AW847,Foundation_Calc!$I$2:$J$8,2,FALSE),0),"")))</f>
        <v/>
      </c>
      <c r="BA847" s="495" t="str">
        <f t="shared" si="112"/>
        <v/>
      </c>
      <c r="BB847" s="495" t="str">
        <f t="shared" si="113"/>
        <v/>
      </c>
      <c r="BC847" s="495" t="str">
        <f t="shared" si="114"/>
        <v/>
      </c>
      <c r="BD847" s="513" t="str">
        <f>IF(AND(L847="",H847=""),"",
IF(H847="",Pole_Calc!A$9,
IF(H847="MP",Pole_Calc!A$10,
IF(H847="AnMP",Pole_Calc!A$11,
IF(H847="A",Pole_Calc!A$12,
IF(H847="S/A",Pole_Calc!A$13,
IF(H847="A/S",Pole_Calc!A$14,"Poner a mano")))))))</f>
        <v/>
      </c>
      <c r="BE847" s="429" t="s">
        <v>118</v>
      </c>
      <c r="BF847" s="290"/>
      <c r="BG847" s="290"/>
      <c r="BH847" s="290"/>
      <c r="BI847" s="290"/>
    </row>
    <row r="848" spans="1:61" ht="15.75" customHeight="1">
      <c r="A848" s="514"/>
      <c r="B848" s="450" t="s">
        <v>1378</v>
      </c>
      <c r="C848" s="3">
        <f>+$C$846+$G$847</f>
        <v>50359.87000000001</v>
      </c>
      <c r="D848" s="83"/>
      <c r="E848" s="4"/>
      <c r="F848" s="4">
        <v>0</v>
      </c>
      <c r="G848" s="6"/>
      <c r="H848" s="449"/>
      <c r="I848" s="4"/>
      <c r="J848" s="3"/>
      <c r="K848" s="449"/>
      <c r="L848" s="449" t="s">
        <v>153</v>
      </c>
      <c r="M848" s="449" t="str">
        <f>IF(L848="","",
IF(AX848="PT",VLOOKUP(L848,Foundation_Calc!$V$79:$X$113,VLOOKUP(AX848,Foundation_Calc!$I$10:$J$13,2,FALSE),0),
IF(AX848="K",VLOOKUP(L848,Foundation_Calc!$V$117:$X$151,VLOOKUP(AX848,Foundation_Calc!$I$10:$J$13,2,FALSE),0),"")))</f>
        <v>C3RT</v>
      </c>
      <c r="N848" s="449" t="s">
        <v>124</v>
      </c>
      <c r="O848" s="449"/>
      <c r="P848" s="449"/>
      <c r="Q848" s="4"/>
      <c r="R848" s="6"/>
      <c r="S848" s="6"/>
      <c r="T848" s="4">
        <v>-35</v>
      </c>
      <c r="U848" s="4"/>
      <c r="V848" s="4"/>
      <c r="W848" s="9">
        <v>1.4</v>
      </c>
      <c r="X848" s="9"/>
      <c r="Y848" s="9"/>
      <c r="Z848" s="9"/>
      <c r="AA848" s="9"/>
      <c r="AB848" s="9"/>
      <c r="AC848" s="449" t="str">
        <f t="shared" si="111"/>
        <v>PH</v>
      </c>
      <c r="AD848" s="449"/>
      <c r="AE848" s="449"/>
      <c r="AF848" s="4"/>
      <c r="AG848" s="83"/>
      <c r="AH848" s="4"/>
      <c r="AI848" s="4"/>
      <c r="AJ848" s="449"/>
      <c r="AK848" s="449"/>
      <c r="AL848" s="449"/>
      <c r="AM848" s="449" t="s">
        <v>552</v>
      </c>
      <c r="AN848" s="10">
        <v>5.5</v>
      </c>
      <c r="AO848" s="9"/>
      <c r="AP848" s="9"/>
      <c r="AQ848" s="9"/>
      <c r="AR848" s="9"/>
      <c r="AS848" s="9"/>
      <c r="AT848" s="9">
        <f>+ab($T$848,$T$846,$T$850,$G$847,$G$849, 1*$F$848,1200)</f>
        <v>-8.7443431418580957</v>
      </c>
      <c r="AU848" s="428"/>
      <c r="AV848" s="428"/>
      <c r="AW848" s="449" t="str">
        <f>IF(C848&gt;0,VLOOKUP(C848,Foundation_Calc!$A$2:$C$13,3,1),
IF(J848&gt;0,VLOOKUP(J848,Foundation_Calc!$A$2:$C$13,3,1),""))</f>
        <v>Multi Soil</v>
      </c>
      <c r="AX848" s="449" t="str">
        <f>IF(C848&gt;0,VLOOKUP(C848,Foundation_Calc!$E$35:$G$65,3,1),
IF(J848&gt;0,VLOOKUP(J848,Foundation_Calc!$E$35:$G$65,3,1),""))</f>
        <v>K</v>
      </c>
      <c r="AY848" s="10">
        <f>IF(L848="","",
IF(AX848="PT",VLOOKUP(L848,Foundation_Calc!$K$79:$R$113,VLOOKUP(AW848,Foundation_Calc!$I$2:$J$8,2,FALSE),0),
IF(AX848="K",VLOOKUP(L848,Foundation_Calc!$K$117:$R$151,VLOOKUP(AW848,Foundation_Calc!$I$2:$J$8,2,FALSE),0),"")))</f>
        <v>4</v>
      </c>
      <c r="AZ848" s="10" t="str">
        <f>IF(K848="","",
IF(AX848="PT",VLOOKUP(K848,Foundation_Calc!$K$79:$R$113,VLOOKUP(AW848,Foundation_Calc!$I$2:$J$8,2,FALSE),0),
IF(AX848="K",VLOOKUP(K848,Foundation_Calc!$K$117:$R$151,VLOOKUP(AW848,Foundation_Calc!$I$2:$J$8,2,FALSE),0),"")))</f>
        <v/>
      </c>
      <c r="BA848" s="495" t="str">
        <f t="shared" si="112"/>
        <v>ü</v>
      </c>
      <c r="BB848" s="495" t="str">
        <f t="shared" si="113"/>
        <v/>
      </c>
      <c r="BC848" s="495" t="str">
        <f t="shared" si="114"/>
        <v/>
      </c>
      <c r="BD848" s="513" t="str">
        <f>IF(AND(L848="",H848=""),"",
IF(H848="",Pole_Calc!A$9,
IF(H848="MP",Pole_Calc!A$10,
IF(H848="AnMP",Pole_Calc!A$11,
IF(H848="A",Pole_Calc!A$12,
IF(H848="S/A",Pole_Calc!A$13,
IF(H848="A/S",Pole_Calc!A$14,"Poner a mano")))))))</f>
        <v>App.7-V11I-P9.5.1.1</v>
      </c>
      <c r="BE848" s="429" t="s">
        <v>118</v>
      </c>
      <c r="BF848" s="289"/>
      <c r="BG848" s="289"/>
      <c r="BH848" s="290"/>
      <c r="BI848" s="289"/>
    </row>
    <row r="849" spans="1:61" ht="15.75" customHeight="1">
      <c r="A849" s="518"/>
      <c r="B849" s="450"/>
      <c r="C849" s="3"/>
      <c r="D849" s="83"/>
      <c r="E849" s="4"/>
      <c r="F849" s="4"/>
      <c r="G849" s="6">
        <v>62</v>
      </c>
      <c r="H849" s="449"/>
      <c r="I849" s="4"/>
      <c r="J849" s="3"/>
      <c r="K849" s="449"/>
      <c r="L849" s="449"/>
      <c r="M849" s="449" t="str">
        <f>IF(L849="","",
IF(AX849="PT",VLOOKUP(L849,Foundation_Calc!$V$79:$X$113,VLOOKUP(AX849,Foundation_Calc!$I$10:$J$13,2,FALSE),0),
IF(AX849="K",VLOOKUP(L849,Foundation_Calc!$V$117:$X$151,VLOOKUP(AX849,Foundation_Calc!$I$10:$J$13,2,FALSE),0),"")))</f>
        <v/>
      </c>
      <c r="N849" s="449"/>
      <c r="O849" s="449"/>
      <c r="P849" s="449"/>
      <c r="Q849" s="4"/>
      <c r="R849" s="6"/>
      <c r="S849" s="6"/>
      <c r="T849" s="4"/>
      <c r="U849" s="4"/>
      <c r="V849" s="4"/>
      <c r="W849" s="9"/>
      <c r="X849" s="9"/>
      <c r="Y849" s="9"/>
      <c r="Z849" s="9"/>
      <c r="AA849" s="9"/>
      <c r="AB849" s="9"/>
      <c r="AC849" s="449" t="str">
        <f t="shared" si="111"/>
        <v/>
      </c>
      <c r="AD849" s="449"/>
      <c r="AE849" s="449"/>
      <c r="AF849" s="4"/>
      <c r="AG849" s="83"/>
      <c r="AH849" s="4"/>
      <c r="AI849" s="4"/>
      <c r="AJ849" s="449"/>
      <c r="AK849" s="449"/>
      <c r="AL849" s="449"/>
      <c r="AM849" s="449"/>
      <c r="AN849" s="10"/>
      <c r="AO849" s="9"/>
      <c r="AP849" s="9"/>
      <c r="AQ849" s="9">
        <f>+FL_2($T$850,$T$848,$G$849,1200,9.28, 1*$F$850)</f>
        <v>-0.46765016498924739</v>
      </c>
      <c r="AR849" s="9"/>
      <c r="AS849" s="9"/>
      <c r="AT849" s="9"/>
      <c r="AU849" s="428"/>
      <c r="AV849" s="428"/>
      <c r="AW849" s="449" t="str">
        <f>IF(C849&gt;0,VLOOKUP(C849,Foundation_Calc!$A$2:$C$13,3,1),
IF(J849&gt;0,VLOOKUP(J849,Foundation_Calc!$A$2:$C$13,3,1),""))</f>
        <v/>
      </c>
      <c r="AX849" s="449" t="str">
        <f>IF(C849&gt;0,VLOOKUP(C849,Foundation_Calc!$E$35:$G$65,3,1),
IF(J849&gt;0,VLOOKUP(J849,Foundation_Calc!$E$35:$G$65,3,1),""))</f>
        <v/>
      </c>
      <c r="AY849" s="10" t="str">
        <f>IF(L849="","",
IF(AX849="PT",VLOOKUP(L849,Foundation_Calc!$K$79:$R$113,VLOOKUP(AW849,Foundation_Calc!$I$2:$J$8,2,FALSE),0),
IF(AX849="K",VLOOKUP(L849,Foundation_Calc!$K$117:$R$151,VLOOKUP(AW849,Foundation_Calc!$I$2:$J$8,2,FALSE),0),"")))</f>
        <v/>
      </c>
      <c r="AZ849" s="10" t="str">
        <f>IF(K849="","",
IF(AX849="PT",VLOOKUP(K849,Foundation_Calc!$K$79:$R$113,VLOOKUP(AW849,Foundation_Calc!$I$2:$J$8,2,FALSE),0),
IF(AX849="K",VLOOKUP(K849,Foundation_Calc!$K$117:$R$151,VLOOKUP(AW849,Foundation_Calc!$I$2:$J$8,2,FALSE),0),"")))</f>
        <v/>
      </c>
      <c r="BA849" s="495" t="str">
        <f t="shared" si="112"/>
        <v/>
      </c>
      <c r="BB849" s="495" t="str">
        <f t="shared" si="113"/>
        <v/>
      </c>
      <c r="BC849" s="495" t="str">
        <f t="shared" si="114"/>
        <v/>
      </c>
      <c r="BD849" s="513" t="str">
        <f>IF(AND(L849="",H849=""),"",
IF(H849="",Pole_Calc!A$9,
IF(H849="MP",Pole_Calc!A$10,
IF(H849="AnMP",Pole_Calc!A$11,
IF(H849="A",Pole_Calc!A$12,
IF(H849="S/A",Pole_Calc!A$13,
IF(H849="A/S",Pole_Calc!A$14,"Poner a mano")))))))</f>
        <v/>
      </c>
      <c r="BE849" s="429" t="s">
        <v>118</v>
      </c>
      <c r="BF849" s="290"/>
      <c r="BG849" s="290"/>
      <c r="BH849" s="290"/>
      <c r="BI849" s="290"/>
    </row>
    <row r="850" spans="1:61" ht="15.75" customHeight="1">
      <c r="A850" s="514"/>
      <c r="B850" s="450" t="s">
        <v>1379</v>
      </c>
      <c r="C850" s="3">
        <f>+$C$848+$G$849</f>
        <v>50421.87000000001</v>
      </c>
      <c r="D850" s="83"/>
      <c r="E850" s="4"/>
      <c r="F850" s="4">
        <v>0</v>
      </c>
      <c r="G850" s="6"/>
      <c r="H850" s="449"/>
      <c r="I850" s="4"/>
      <c r="J850" s="3"/>
      <c r="K850" s="449"/>
      <c r="L850" s="449" t="s">
        <v>153</v>
      </c>
      <c r="M850" s="449" t="str">
        <f>IF(L850="","",
IF(AX850="PT",VLOOKUP(L850,Foundation_Calc!$V$79:$X$113,VLOOKUP(AX850,Foundation_Calc!$I$10:$J$13,2,FALSE),0),
IF(AX850="K",VLOOKUP(L850,Foundation_Calc!$V$117:$X$151,VLOOKUP(AX850,Foundation_Calc!$I$10:$J$13,2,FALSE),0),"")))</f>
        <v>C3R</v>
      </c>
      <c r="N850" s="449" t="s">
        <v>134</v>
      </c>
      <c r="O850" s="449"/>
      <c r="P850" s="449"/>
      <c r="Q850" s="4"/>
      <c r="R850" s="6"/>
      <c r="S850" s="6"/>
      <c r="T850" s="4">
        <v>30</v>
      </c>
      <c r="U850" s="4"/>
      <c r="V850" s="4"/>
      <c r="W850" s="9">
        <v>1.4</v>
      </c>
      <c r="X850" s="9"/>
      <c r="Y850" s="9"/>
      <c r="Z850" s="9"/>
      <c r="AA850" s="9"/>
      <c r="AB850" s="9"/>
      <c r="AC850" s="449" t="str">
        <f t="shared" si="111"/>
        <v>PH</v>
      </c>
      <c r="AD850" s="449"/>
      <c r="AE850" s="449"/>
      <c r="AF850" s="4"/>
      <c r="AG850" s="83"/>
      <c r="AH850" s="4"/>
      <c r="AI850" s="4"/>
      <c r="AJ850" s="449"/>
      <c r="AK850" s="449"/>
      <c r="AL850" s="449"/>
      <c r="AM850" s="449" t="s">
        <v>552</v>
      </c>
      <c r="AN850" s="10">
        <v>5.5</v>
      </c>
      <c r="AO850" s="9"/>
      <c r="AP850" s="9"/>
      <c r="AQ850" s="9"/>
      <c r="AR850" s="9"/>
      <c r="AS850" s="9"/>
      <c r="AT850" s="9">
        <f>+ab($T$850,$T$848,$T$852,$G$849,$G$851, 1*$F$850,1200)</f>
        <v>9.8172082785389527</v>
      </c>
      <c r="AU850" s="428"/>
      <c r="AV850" s="428"/>
      <c r="AW850" s="449" t="str">
        <f>IF(C850&gt;0,VLOOKUP(C850,Foundation_Calc!$A$2:$C$13,3,1),
IF(J850&gt;0,VLOOKUP(J850,Foundation_Calc!$A$2:$C$13,3,1),""))</f>
        <v>Multi Soil</v>
      </c>
      <c r="AX850" s="449" t="str">
        <f>IF(C850&gt;0,VLOOKUP(C850,Foundation_Calc!$E$35:$G$65,3,1),
IF(J850&gt;0,VLOOKUP(J850,Foundation_Calc!$E$35:$G$65,3,1),""))</f>
        <v>PT</v>
      </c>
      <c r="AY850" s="10">
        <f>IF(L850="","",
IF(AX850="PT",VLOOKUP(L850,Foundation_Calc!$K$79:$R$113,VLOOKUP(AW850,Foundation_Calc!$I$2:$J$8,2,FALSE),0),
IF(AX850="K",VLOOKUP(L850,Foundation_Calc!$K$117:$R$151,VLOOKUP(AW850,Foundation_Calc!$I$2:$J$8,2,FALSE),0),"")))</f>
        <v>3.5</v>
      </c>
      <c r="AZ850" s="10" t="str">
        <f>IF(K850="","",
IF(AX850="PT",VLOOKUP(K850,Foundation_Calc!$K$79:$R$113,VLOOKUP(AW850,Foundation_Calc!$I$2:$J$8,2,FALSE),0),
IF(AX850="K",VLOOKUP(K850,Foundation_Calc!$K$117:$R$151,VLOOKUP(AW850,Foundation_Calc!$I$2:$J$8,2,FALSE),0),"")))</f>
        <v/>
      </c>
      <c r="BA850" s="495" t="str">
        <f t="shared" si="112"/>
        <v>ü</v>
      </c>
      <c r="BB850" s="495" t="str">
        <f t="shared" si="113"/>
        <v/>
      </c>
      <c r="BC850" s="495" t="str">
        <f t="shared" si="114"/>
        <v/>
      </c>
      <c r="BD850" s="513" t="str">
        <f>IF(AND(L850="",H850=""),"",
IF(H850="",Pole_Calc!A$9,
IF(H850="MP",Pole_Calc!A$10,
IF(H850="AnMP",Pole_Calc!A$11,
IF(H850="A",Pole_Calc!A$12,
IF(H850="S/A",Pole_Calc!A$13,
IF(H850="A/S",Pole_Calc!A$14,"Poner a mano")))))))</f>
        <v>App.7-V11I-P9.5.1.1</v>
      </c>
      <c r="BE850" s="429" t="s">
        <v>118</v>
      </c>
      <c r="BF850" s="289"/>
      <c r="BG850" s="289"/>
      <c r="BH850" s="290"/>
      <c r="BI850" s="289"/>
    </row>
    <row r="851" spans="1:61" ht="15.75" customHeight="1">
      <c r="A851" s="514"/>
      <c r="B851" s="450"/>
      <c r="C851" s="3"/>
      <c r="D851" s="83"/>
      <c r="E851" s="4"/>
      <c r="F851" s="4"/>
      <c r="G851" s="6">
        <v>62</v>
      </c>
      <c r="H851" s="449"/>
      <c r="I851" s="4"/>
      <c r="J851" s="3">
        <f>C852-7.5</f>
        <v>50476.37000000001</v>
      </c>
      <c r="K851" s="449" t="s">
        <v>117</v>
      </c>
      <c r="L851" s="449"/>
      <c r="M851" s="449" t="str">
        <f>IF(L851="","",
IF(AX851="PT",VLOOKUP(L851,Foundation_Calc!$V$79:$X$113,VLOOKUP(AX851,Foundation_Calc!$I$10:$J$13,2,FALSE),0),
IF(AX851="K",VLOOKUP(L851,Foundation_Calc!$V$117:$X$151,VLOOKUP(AX851,Foundation_Calc!$I$10:$J$13,2,FALSE),0),"")))</f>
        <v/>
      </c>
      <c r="N851" s="449"/>
      <c r="O851" s="449"/>
      <c r="P851" s="449"/>
      <c r="Q851" s="4"/>
      <c r="R851" s="6"/>
      <c r="S851" s="6"/>
      <c r="T851" s="4"/>
      <c r="U851" s="4"/>
      <c r="V851" s="4"/>
      <c r="W851" s="9"/>
      <c r="X851" s="9"/>
      <c r="Y851" s="9"/>
      <c r="Z851" s="9"/>
      <c r="AA851" s="9"/>
      <c r="AB851" s="9"/>
      <c r="AC851" s="449" t="str">
        <f t="shared" si="111"/>
        <v/>
      </c>
      <c r="AD851" s="449"/>
      <c r="AE851" s="449"/>
      <c r="AF851" s="4"/>
      <c r="AG851" s="83"/>
      <c r="AH851" s="4"/>
      <c r="AI851" s="4"/>
      <c r="AJ851" s="449"/>
      <c r="AK851" s="449"/>
      <c r="AL851" s="449"/>
      <c r="AM851" s="449"/>
      <c r="AN851" s="10"/>
      <c r="AO851" s="9"/>
      <c r="AP851" s="9"/>
      <c r="AQ851" s="9">
        <f>+FL_1($T$852,$T$850,$G$851,1200,9.28, 1*$F$852)</f>
        <v>0.44746645199999996</v>
      </c>
      <c r="AR851" s="9"/>
      <c r="AS851" s="9"/>
      <c r="AT851" s="9"/>
      <c r="AU851" s="428"/>
      <c r="AV851" s="428"/>
      <c r="AW851" s="449" t="str">
        <f>IF(C851&gt;0,VLOOKUP(C851,Foundation_Calc!$A$2:$C$13,3,1),
IF(J851&gt;0,VLOOKUP(J851,Foundation_Calc!$A$2:$C$13,3,1),""))</f>
        <v>Multi Soil</v>
      </c>
      <c r="AX851" s="449" t="str">
        <f>IF(C851&gt;0,VLOOKUP(C851,Foundation_Calc!$E$35:$G$65,3,1),
IF(J851&gt;0,VLOOKUP(J851,Foundation_Calc!$E$35:$G$65,3,1),""))</f>
        <v>PT</v>
      </c>
      <c r="AY851" s="10" t="str">
        <f>IF(L851="","",
IF(AX851="PT",VLOOKUP(L851,Foundation_Calc!$K$79:$R$113,VLOOKUP(AW851,Foundation_Calc!$I$2:$J$8,2,FALSE),0),
IF(AX851="K",VLOOKUP(L851,Foundation_Calc!$K$117:$R$151,VLOOKUP(AW851,Foundation_Calc!$I$2:$J$8,2,FALSE),0),"")))</f>
        <v/>
      </c>
      <c r="AZ851" s="10">
        <f>IF(K851="","",
IF(AX851="PT",VLOOKUP(K851,Foundation_Calc!$K$79:$R$113,VLOOKUP(AW851,Foundation_Calc!$I$2:$J$8,2,FALSE),0),
IF(AX851="K",VLOOKUP(K851,Foundation_Calc!$K$117:$R$151,VLOOKUP(AW851,Foundation_Calc!$I$2:$J$8,2,FALSE),0),"")))</f>
        <v>3.9</v>
      </c>
      <c r="BA851" s="495" t="str">
        <f t="shared" si="112"/>
        <v/>
      </c>
      <c r="BB851" s="495" t="str">
        <f t="shared" si="113"/>
        <v>ü</v>
      </c>
      <c r="BC851" s="495" t="str">
        <f t="shared" si="114"/>
        <v/>
      </c>
      <c r="BD851" s="513" t="str">
        <f>IF(AND(L851="",H851=""),"",
IF(H851="",Pole_Calc!A$9,
IF(H851="MP",Pole_Calc!A$10,
IF(H851="AnMP",Pole_Calc!A$11,
IF(H851="A",Pole_Calc!A$12,
IF(H851="S/A",Pole_Calc!A$13,
IF(H851="A/S",Pole_Calc!A$14,"Poner a mano")))))))</f>
        <v/>
      </c>
      <c r="BE851" s="429" t="s">
        <v>118</v>
      </c>
      <c r="BF851" s="290"/>
      <c r="BG851" s="290"/>
      <c r="BH851" s="290"/>
      <c r="BI851" s="290"/>
    </row>
    <row r="852" spans="1:61" ht="15.75" customHeight="1">
      <c r="A852" s="514"/>
      <c r="B852" s="450" t="s">
        <v>1380</v>
      </c>
      <c r="C852" s="3">
        <f>+$C$850+$G$851</f>
        <v>50483.87000000001</v>
      </c>
      <c r="D852" s="83"/>
      <c r="E852" s="4"/>
      <c r="F852" s="4">
        <v>0</v>
      </c>
      <c r="G852" s="6"/>
      <c r="H852" s="449" t="s">
        <v>121</v>
      </c>
      <c r="I852" s="4" t="s">
        <v>122</v>
      </c>
      <c r="J852" s="3"/>
      <c r="K852" s="449"/>
      <c r="L852" s="449" t="s">
        <v>151</v>
      </c>
      <c r="M852" s="449" t="str">
        <f>IF(L852="","",
IF(AX852="PT",VLOOKUP(L852,Foundation_Calc!$V$79:$X$113,VLOOKUP(AX852,Foundation_Calc!$I$10:$J$13,2,FALSE),0),
IF(AX852="K",VLOOKUP(L852,Foundation_Calc!$V$117:$X$151,VLOOKUP(AX852,Foundation_Calc!$I$10:$J$13,2,FALSE),0),"")))</f>
        <v>C4R</v>
      </c>
      <c r="N852" s="449" t="s">
        <v>124</v>
      </c>
      <c r="O852" s="449"/>
      <c r="P852" s="449"/>
      <c r="Q852" s="4"/>
      <c r="R852" s="6"/>
      <c r="S852" s="6"/>
      <c r="T852" s="4">
        <v>-25</v>
      </c>
      <c r="U852" s="4"/>
      <c r="V852" s="4"/>
      <c r="W852" s="9">
        <v>1.4</v>
      </c>
      <c r="X852" s="9"/>
      <c r="Y852" s="9"/>
      <c r="Z852" s="9"/>
      <c r="AA852" s="9"/>
      <c r="AB852" s="9"/>
      <c r="AC852" s="449" t="str">
        <f t="shared" si="111"/>
        <v>PH</v>
      </c>
      <c r="AD852" s="449"/>
      <c r="AE852" s="449"/>
      <c r="AF852" s="4"/>
      <c r="AG852" s="83"/>
      <c r="AH852" s="4"/>
      <c r="AI852" s="4"/>
      <c r="AJ852" s="449"/>
      <c r="AK852" s="449"/>
      <c r="AL852" s="449"/>
      <c r="AM852" s="449" t="s">
        <v>552</v>
      </c>
      <c r="AN852" s="10">
        <v>5.5</v>
      </c>
      <c r="AO852" s="9"/>
      <c r="AP852" s="9"/>
      <c r="AQ852" s="9"/>
      <c r="AR852" s="9"/>
      <c r="AS852" s="9"/>
      <c r="AT852" s="9">
        <f>+ab($T$852,$T$850,$U$854,$G$851,$G$853, 1*$F$852,1200)</f>
        <v>-12.329657504196032</v>
      </c>
      <c r="AU852" s="428"/>
      <c r="AV852" s="428"/>
      <c r="AW852" s="449" t="str">
        <f>IF(C852&gt;0,VLOOKUP(C852,Foundation_Calc!$A$2:$C$13,3,1),
IF(J852&gt;0,VLOOKUP(J852,Foundation_Calc!$A$2:$C$13,3,1),""))</f>
        <v>Multi Soil</v>
      </c>
      <c r="AX852" s="449" t="str">
        <f>IF(C852&gt;0,VLOOKUP(C852,Foundation_Calc!$E$35:$G$65,3,1),
IF(J852&gt;0,VLOOKUP(J852,Foundation_Calc!$E$35:$G$65,3,1),""))</f>
        <v>PT</v>
      </c>
      <c r="AY852" s="10">
        <f>IF(L852="","",
IF(AX852="PT",VLOOKUP(L852,Foundation_Calc!$K$79:$R$113,VLOOKUP(AW852,Foundation_Calc!$I$2:$J$8,2,FALSE),0),
IF(AX852="K",VLOOKUP(L852,Foundation_Calc!$K$117:$R$151,VLOOKUP(AW852,Foundation_Calc!$I$2:$J$8,2,FALSE),0),"")))</f>
        <v>3.5</v>
      </c>
      <c r="AZ852" s="10" t="str">
        <f>IF(K852="","",
IF(AX852="PT",VLOOKUP(K852,Foundation_Calc!$K$79:$R$113,VLOOKUP(AW852,Foundation_Calc!$I$2:$J$8,2,FALSE),0),
IF(AX852="K",VLOOKUP(K852,Foundation_Calc!$K$117:$R$151,VLOOKUP(AW852,Foundation_Calc!$I$2:$J$8,2,FALSE),0),"")))</f>
        <v/>
      </c>
      <c r="BA852" s="495" t="str">
        <f t="shared" si="112"/>
        <v>ü</v>
      </c>
      <c r="BB852" s="495" t="str">
        <f t="shared" si="113"/>
        <v/>
      </c>
      <c r="BC852" s="495" t="str">
        <f t="shared" si="114"/>
        <v/>
      </c>
      <c r="BD852" s="513" t="str">
        <f>IF(AND(L852="",H852=""),"",
IF(H852="",Pole_Calc!A$9,
IF(H852="MP",Pole_Calc!A$10,
IF(H852="AnMP",Pole_Calc!A$11,
IF(H852="A",Pole_Calc!A$12,
IF(H852="S/A",Pole_Calc!A$13,
IF(H852="A/S",Pole_Calc!A$14,"Poner a mano")))))))</f>
        <v>App.7-V11I-P9.5.1.6</v>
      </c>
      <c r="BE852" s="429" t="s">
        <v>118</v>
      </c>
      <c r="BF852" s="289"/>
      <c r="BG852" s="289"/>
      <c r="BH852" s="290"/>
      <c r="BI852" s="289"/>
    </row>
    <row r="853" spans="1:61" ht="15.75" customHeight="1">
      <c r="A853" s="514"/>
      <c r="B853" s="450"/>
      <c r="C853" s="3"/>
      <c r="D853" s="83"/>
      <c r="E853" s="4"/>
      <c r="F853" s="4"/>
      <c r="G853" s="6">
        <v>62</v>
      </c>
      <c r="H853" s="449"/>
      <c r="I853" s="4"/>
      <c r="J853" s="3"/>
      <c r="K853" s="449"/>
      <c r="L853" s="449"/>
      <c r="M853" s="449" t="str">
        <f>IF(L853="","",
IF(AX853="PT",VLOOKUP(L853,Foundation_Calc!$V$79:$X$113,VLOOKUP(AX853,Foundation_Calc!$I$10:$J$13,2,FALSE),0),
IF(AX853="K",VLOOKUP(L853,Foundation_Calc!$V$117:$X$151,VLOOKUP(AX853,Foundation_Calc!$I$10:$J$13,2,FALSE),0),"")))</f>
        <v/>
      </c>
      <c r="N853" s="449"/>
      <c r="O853" s="561"/>
      <c r="P853" s="449"/>
      <c r="Q853" s="4"/>
      <c r="R853" s="6"/>
      <c r="S853" s="6"/>
      <c r="T853" s="4"/>
      <c r="U853" s="4"/>
      <c r="V853" s="4"/>
      <c r="W853" s="9"/>
      <c r="X853" s="9"/>
      <c r="Y853" s="9"/>
      <c r="Z853" s="9"/>
      <c r="AA853" s="9"/>
      <c r="AB853" s="9"/>
      <c r="AC853" s="449" t="str">
        <f t="shared" si="111"/>
        <v/>
      </c>
      <c r="AD853" s="449"/>
      <c r="AE853" s="449"/>
      <c r="AF853" s="4"/>
      <c r="AG853" s="83"/>
      <c r="AH853" s="4"/>
      <c r="AI853" s="4"/>
      <c r="AJ853" s="449"/>
      <c r="AK853" s="449"/>
      <c r="AL853" s="449"/>
      <c r="AM853" s="449"/>
      <c r="AN853" s="10"/>
      <c r="AO853" s="9"/>
      <c r="AP853" s="9"/>
      <c r="AQ853" s="9">
        <f>+FL_2($U$854,$T$852,$G$853,1200,9.28, 1*$F$854)</f>
        <v>-0.44849828627956978</v>
      </c>
      <c r="AR853" s="9"/>
      <c r="AS853" s="9"/>
      <c r="AT853" s="9"/>
      <c r="AU853" s="428"/>
      <c r="AV853" s="428"/>
      <c r="AW853" s="449" t="str">
        <f>IF(C853&gt;0,VLOOKUP(C853,Foundation_Calc!$A$2:$C$13,3,1),
IF(J853&gt;0,VLOOKUP(J853,Foundation_Calc!$A$2:$C$13,3,1),""))</f>
        <v/>
      </c>
      <c r="AX853" s="449" t="str">
        <f>IF(C853&gt;0,VLOOKUP(C853,Foundation_Calc!$E$35:$G$65,3,1),
IF(J853&gt;0,VLOOKUP(J853,Foundation_Calc!$E$35:$G$65,3,1),""))</f>
        <v/>
      </c>
      <c r="AY853" s="10" t="str">
        <f>IF(L853="","",
IF(AX853="PT",VLOOKUP(L853,Foundation_Calc!$K$79:$R$113,VLOOKUP(AW853,Foundation_Calc!$I$2:$J$8,2,FALSE),0),
IF(AX853="K",VLOOKUP(L853,Foundation_Calc!$K$117:$R$151,VLOOKUP(AW853,Foundation_Calc!$I$2:$J$8,2,FALSE),0),"")))</f>
        <v/>
      </c>
      <c r="AZ853" s="10" t="str">
        <f>IF(K853="","",
IF(AX853="PT",VLOOKUP(K853,Foundation_Calc!$K$79:$R$113,VLOOKUP(AW853,Foundation_Calc!$I$2:$J$8,2,FALSE),0),
IF(AX853="K",VLOOKUP(K853,Foundation_Calc!$K$117:$R$151,VLOOKUP(AW853,Foundation_Calc!$I$2:$J$8,2,FALSE),0),"")))</f>
        <v/>
      </c>
      <c r="BA853" s="495" t="str">
        <f t="shared" si="112"/>
        <v/>
      </c>
      <c r="BB853" s="495" t="str">
        <f t="shared" si="113"/>
        <v/>
      </c>
      <c r="BC853" s="495" t="str">
        <f t="shared" si="114"/>
        <v/>
      </c>
      <c r="BD853" s="513" t="str">
        <f>IF(AND(L853="",H853=""),"",
IF(H853="",Pole_Calc!A$9,
IF(H853="MP",Pole_Calc!A$10,
IF(H853="AnMP",Pole_Calc!A$11,
IF(H853="A",Pole_Calc!A$12,
IF(H853="S/A",Pole_Calc!A$13,
IF(H853="A/S",Pole_Calc!A$14,"Poner a mano")))))))</f>
        <v/>
      </c>
      <c r="BE853" s="429" t="s">
        <v>118</v>
      </c>
      <c r="BF853" s="290"/>
      <c r="BG853" s="290"/>
      <c r="BH853" s="290"/>
      <c r="BI853" s="290"/>
    </row>
    <row r="854" spans="1:61" ht="15.75" customHeight="1">
      <c r="A854" s="514"/>
      <c r="B854" s="450" t="s">
        <v>1381</v>
      </c>
      <c r="C854" s="3">
        <f>+$C$852+$G$853</f>
        <v>50545.87000000001</v>
      </c>
      <c r="D854" s="83"/>
      <c r="E854" s="4"/>
      <c r="F854" s="4">
        <v>0</v>
      </c>
      <c r="G854" s="6"/>
      <c r="H854" s="449" t="s">
        <v>131</v>
      </c>
      <c r="I854" s="4"/>
      <c r="J854" s="3"/>
      <c r="K854" s="449"/>
      <c r="L854" s="449" t="s">
        <v>158</v>
      </c>
      <c r="M854" s="449" t="str">
        <f>IF(L854="","",
IF(AX854="PT",VLOOKUP(L854,Foundation_Calc!$V$79:$X$113,VLOOKUP(AX854,Foundation_Calc!$I$10:$J$13,2,FALSE),0),
IF(AX854="K",VLOOKUP(L854,Foundation_Calc!$V$117:$X$151,VLOOKUP(AX854,Foundation_Calc!$I$10:$J$13,2,FALSE),0),"")))</f>
        <v>C4R</v>
      </c>
      <c r="N854" s="449" t="s">
        <v>133</v>
      </c>
      <c r="O854" s="449" t="s">
        <v>134</v>
      </c>
      <c r="P854" s="449"/>
      <c r="Q854" s="4"/>
      <c r="R854" s="6"/>
      <c r="S854" s="6"/>
      <c r="T854" s="4">
        <v>35</v>
      </c>
      <c r="U854" s="4">
        <v>15</v>
      </c>
      <c r="V854" s="4"/>
      <c r="W854" s="9">
        <v>1.4</v>
      </c>
      <c r="X854" s="9">
        <v>2.2999999999999998</v>
      </c>
      <c r="Y854" s="9"/>
      <c r="Z854" s="9">
        <v>0.6</v>
      </c>
      <c r="AA854" s="9"/>
      <c r="AB854" s="9"/>
      <c r="AC854" s="449"/>
      <c r="AD854" s="449"/>
      <c r="AE854" s="449"/>
      <c r="AF854" s="4"/>
      <c r="AG854" s="83"/>
      <c r="AH854" s="4"/>
      <c r="AI854" s="4"/>
      <c r="AJ854" s="449"/>
      <c r="AK854" s="449"/>
      <c r="AL854" s="449"/>
      <c r="AM854" s="449" t="s">
        <v>552</v>
      </c>
      <c r="AN854" s="10">
        <v>5.5</v>
      </c>
      <c r="AO854" s="9"/>
      <c r="AP854" s="9"/>
      <c r="AQ854" s="9"/>
      <c r="AR854" s="9"/>
      <c r="AS854" s="9"/>
      <c r="AT854" s="9">
        <f>+ab($U$854,$T$852,$U$856,$G$853,$G$855, 1*$F$854,1200)</f>
        <v>12.991874828382032</v>
      </c>
      <c r="AU854" s="428"/>
      <c r="AV854" s="428"/>
      <c r="AW854" s="449" t="str">
        <f>IF(C854&gt;0,VLOOKUP(C854,Foundation_Calc!$A$2:$C$13,3,1),
IF(J854&gt;0,VLOOKUP(J854,Foundation_Calc!$A$2:$C$13,3,1),""))</f>
        <v>Multi Soil</v>
      </c>
      <c r="AX854" s="449" t="str">
        <f>IF(C854&gt;0,VLOOKUP(C854,Foundation_Calc!$E$35:$G$65,3,1),
IF(J854&gt;0,VLOOKUP(J854,Foundation_Calc!$E$35:$G$65,3,1),""))</f>
        <v>PT</v>
      </c>
      <c r="AY854" s="10">
        <f>IF(L854="","",
IF(AX854="PT",VLOOKUP(L854,Foundation_Calc!$K$79:$R$113,VLOOKUP(AW854,Foundation_Calc!$I$2:$J$8,2,FALSE),0),
IF(AX854="K",VLOOKUP(L854,Foundation_Calc!$K$117:$R$151,VLOOKUP(AW854,Foundation_Calc!$I$2:$J$8,2,FALSE),0),"")))</f>
        <v>3.5</v>
      </c>
      <c r="AZ854" s="10" t="str">
        <f>IF(K854="","",
IF(AX854="PT",VLOOKUP(K854,Foundation_Calc!$K$79:$R$113,VLOOKUP(AW854,Foundation_Calc!$I$2:$J$8,2,FALSE),0),
IF(AX854="K",VLOOKUP(K854,Foundation_Calc!$K$117:$R$151,VLOOKUP(AW854,Foundation_Calc!$I$2:$J$8,2,FALSE),0),"")))</f>
        <v/>
      </c>
      <c r="BA854" s="495" t="str">
        <f t="shared" si="112"/>
        <v>ü</v>
      </c>
      <c r="BB854" s="495" t="str">
        <f t="shared" si="113"/>
        <v/>
      </c>
      <c r="BC854" s="495" t="str">
        <f t="shared" si="114"/>
        <v/>
      </c>
      <c r="BD854" s="513" t="str">
        <f>IF(AND(L854="",H854=""),"",
IF(H854="",Pole_Calc!A$9,
IF(H854="MP",Pole_Calc!A$10,
IF(H854="AnMP",Pole_Calc!A$11,
IF(H854="A",Pole_Calc!A$12,
IF(H854="S/A",Pole_Calc!A$13,
IF(H854="A/S",Pole_Calc!A$14,"Poner a mano")))))))</f>
        <v>App.7-V11I-P9.5.1.5</v>
      </c>
      <c r="BE854" s="429" t="s">
        <v>118</v>
      </c>
      <c r="BF854" s="289"/>
      <c r="BG854" s="289"/>
      <c r="BH854" s="290"/>
      <c r="BI854" s="289"/>
    </row>
    <row r="855" spans="1:61" ht="15.75" customHeight="1">
      <c r="A855" s="518"/>
      <c r="B855" s="450"/>
      <c r="C855" s="3"/>
      <c r="D855" s="83"/>
      <c r="E855" s="4"/>
      <c r="F855" s="4"/>
      <c r="G855" s="6">
        <v>62</v>
      </c>
      <c r="H855" s="449"/>
      <c r="I855" s="4"/>
      <c r="J855" s="3"/>
      <c r="K855" s="449"/>
      <c r="L855" s="449"/>
      <c r="M855" s="449" t="str">
        <f>IF(L855="","",
IF(AX855="PT",VLOOKUP(L855,Foundation_Calc!$V$79:$X$113,VLOOKUP(AX855,Foundation_Calc!$I$10:$J$13,2,FALSE),0),
IF(AX855="K",VLOOKUP(L855,Foundation_Calc!$V$117:$X$151,VLOOKUP(AX855,Foundation_Calc!$I$10:$J$13,2,FALSE),0),"")))</f>
        <v/>
      </c>
      <c r="N855" s="449"/>
      <c r="O855" s="449"/>
      <c r="P855" s="449"/>
      <c r="Q855" s="4"/>
      <c r="R855" s="6"/>
      <c r="S855" s="6"/>
      <c r="T855" s="4"/>
      <c r="U855" s="4"/>
      <c r="V855" s="4"/>
      <c r="W855" s="9"/>
      <c r="X855" s="9"/>
      <c r="Y855" s="9"/>
      <c r="Z855" s="9"/>
      <c r="AA855" s="9"/>
      <c r="AB855" s="9"/>
      <c r="AC855" s="449" t="str">
        <f t="shared" si="111"/>
        <v/>
      </c>
      <c r="AD855" s="449"/>
      <c r="AE855" s="449"/>
      <c r="AF855" s="4"/>
      <c r="AG855" s="83"/>
      <c r="AH855" s="4"/>
      <c r="AI855" s="4"/>
      <c r="AJ855" s="449"/>
      <c r="AK855" s="449"/>
      <c r="AL855" s="449"/>
      <c r="AM855" s="449"/>
      <c r="AN855" s="10"/>
      <c r="AO855" s="9"/>
      <c r="AP855" s="9"/>
      <c r="AQ855" s="9">
        <f>+FL_1($T$856,$U$854,$G$855,1200,9.28, 1*$F$856)</f>
        <v>0.3867244505806452</v>
      </c>
      <c r="AR855" s="9"/>
      <c r="AS855" s="9"/>
      <c r="AT855" s="9"/>
      <c r="AU855" s="428"/>
      <c r="AV855" s="428"/>
      <c r="AW855" s="449" t="str">
        <f>IF(C855&gt;0,VLOOKUP(C855,Foundation_Calc!$A$2:$C$13,3,1),
IF(J855&gt;0,VLOOKUP(J855,Foundation_Calc!$A$2:$C$13,3,1),""))</f>
        <v/>
      </c>
      <c r="AX855" s="449" t="str">
        <f>IF(C855&gt;0,VLOOKUP(C855,Foundation_Calc!$E$35:$G$65,3,1),
IF(J855&gt;0,VLOOKUP(J855,Foundation_Calc!$E$35:$G$65,3,1),""))</f>
        <v/>
      </c>
      <c r="AY855" s="10" t="str">
        <f>IF(L855="","",
IF(AX855="PT",VLOOKUP(L855,Foundation_Calc!$K$79:$R$113,VLOOKUP(AW855,Foundation_Calc!$I$2:$J$8,2,FALSE),0),
IF(AX855="K",VLOOKUP(L855,Foundation_Calc!$K$117:$R$151,VLOOKUP(AW855,Foundation_Calc!$I$2:$J$8,2,FALSE),0),"")))</f>
        <v/>
      </c>
      <c r="AZ855" s="10" t="str">
        <f>IF(K855="","",
IF(AX855="PT",VLOOKUP(K855,Foundation_Calc!$K$79:$R$113,VLOOKUP(AW855,Foundation_Calc!$I$2:$J$8,2,FALSE),0),
IF(AX855="K",VLOOKUP(K855,Foundation_Calc!$K$117:$R$151,VLOOKUP(AW855,Foundation_Calc!$I$2:$J$8,2,FALSE),0),"")))</f>
        <v/>
      </c>
      <c r="BA855" s="495" t="str">
        <f t="shared" si="112"/>
        <v/>
      </c>
      <c r="BB855" s="495" t="str">
        <f t="shared" si="113"/>
        <v/>
      </c>
      <c r="BC855" s="495" t="str">
        <f t="shared" si="114"/>
        <v/>
      </c>
      <c r="BD855" s="513" t="str">
        <f>IF(AND(L855="",H855=""),"",
IF(H855="",Pole_Calc!A$9,
IF(H855="MP",Pole_Calc!A$10,
IF(H855="AnMP",Pole_Calc!A$11,
IF(H855="A",Pole_Calc!A$12,
IF(H855="S/A",Pole_Calc!A$13,
IF(H855="A/S",Pole_Calc!A$14,"Poner a mano")))))))</f>
        <v/>
      </c>
      <c r="BE855" s="429" t="s">
        <v>118</v>
      </c>
      <c r="BF855" s="290"/>
      <c r="BG855" s="290"/>
      <c r="BH855" s="290"/>
      <c r="BI855" s="290"/>
    </row>
    <row r="856" spans="1:61" ht="15.75" customHeight="1">
      <c r="A856" s="514"/>
      <c r="B856" s="450" t="s">
        <v>1382</v>
      </c>
      <c r="C856" s="3">
        <f>+$C$854+$G$855</f>
        <v>50607.87000000001</v>
      </c>
      <c r="D856" s="83"/>
      <c r="E856" s="4"/>
      <c r="F856" s="4">
        <v>0</v>
      </c>
      <c r="G856" s="6"/>
      <c r="H856" s="449" t="s">
        <v>131</v>
      </c>
      <c r="I856" s="4"/>
      <c r="J856" s="3"/>
      <c r="K856" s="449"/>
      <c r="L856" s="449" t="s">
        <v>158</v>
      </c>
      <c r="M856" s="449" t="str">
        <f>IF(L856="","",
IF(AX856="PT",VLOOKUP(L856,Foundation_Calc!$V$79:$X$113,VLOOKUP(AX856,Foundation_Calc!$I$10:$J$13,2,FALSE),0),
IF(AX856="K",VLOOKUP(L856,Foundation_Calc!$V$117:$X$151,VLOOKUP(AX856,Foundation_Calc!$I$10:$J$13,2,FALSE),0),"")))</f>
        <v>C4R</v>
      </c>
      <c r="N856" s="449" t="s">
        <v>124</v>
      </c>
      <c r="O856" s="449" t="s">
        <v>133</v>
      </c>
      <c r="P856" s="449"/>
      <c r="Q856" s="4"/>
      <c r="R856" s="6"/>
      <c r="S856" s="6"/>
      <c r="T856" s="4">
        <v>-15</v>
      </c>
      <c r="U856" s="4">
        <v>-35</v>
      </c>
      <c r="V856" s="4"/>
      <c r="W856" s="9">
        <v>1.4</v>
      </c>
      <c r="X856" s="9">
        <v>2.2999999999999998</v>
      </c>
      <c r="Y856" s="9"/>
      <c r="Z856" s="9"/>
      <c r="AA856" s="9">
        <v>0.6</v>
      </c>
      <c r="AB856" s="9"/>
      <c r="AC856" s="449" t="str">
        <f t="shared" si="111"/>
        <v>PH</v>
      </c>
      <c r="AD856" s="449"/>
      <c r="AE856" s="449"/>
      <c r="AF856" s="4"/>
      <c r="AG856" s="83"/>
      <c r="AH856" s="4"/>
      <c r="AI856" s="4"/>
      <c r="AJ856" s="449"/>
      <c r="AK856" s="449"/>
      <c r="AL856" s="449"/>
      <c r="AM856" s="449" t="s">
        <v>552</v>
      </c>
      <c r="AN856" s="10">
        <f>AN854-0.08</f>
        <v>5.42</v>
      </c>
      <c r="AO856" s="9"/>
      <c r="AP856" s="9"/>
      <c r="AQ856" s="9"/>
      <c r="AR856" s="9"/>
      <c r="AS856" s="9"/>
      <c r="AT856" s="9">
        <f>+ab($T$856,$T$854,$T$858,$G$855,$G$857, 1*$F$856,1200)</f>
        <v>-12.808616576470094</v>
      </c>
      <c r="AU856" s="428"/>
      <c r="AV856" s="428"/>
      <c r="AW856" s="449" t="str">
        <f>IF(C856&gt;0,VLOOKUP(C856,Foundation_Calc!$A$2:$C$13,3,1),
IF(J856&gt;0,VLOOKUP(J856,Foundation_Calc!$A$2:$C$13,3,1),""))</f>
        <v>Multi Soil</v>
      </c>
      <c r="AX856" s="449" t="str">
        <f>IF(C856&gt;0,VLOOKUP(C856,Foundation_Calc!$E$35:$G$65,3,1),
IF(J856&gt;0,VLOOKUP(J856,Foundation_Calc!$E$35:$G$65,3,1),""))</f>
        <v>PT</v>
      </c>
      <c r="AY856" s="10">
        <f>IF(L856="","",
IF(AX856="PT",VLOOKUP(L856,Foundation_Calc!$K$79:$R$113,VLOOKUP(AW856,Foundation_Calc!$I$2:$J$8,2,FALSE),0),
IF(AX856="K",VLOOKUP(L856,Foundation_Calc!$K$117:$R$151,VLOOKUP(AW856,Foundation_Calc!$I$2:$J$8,2,FALSE),0),"")))</f>
        <v>3.5</v>
      </c>
      <c r="AZ856" s="10" t="str">
        <f>IF(K856="","",
IF(AX856="PT",VLOOKUP(K856,Foundation_Calc!$K$79:$R$113,VLOOKUP(AW856,Foundation_Calc!$I$2:$J$8,2,FALSE),0),
IF(AX856="K",VLOOKUP(K856,Foundation_Calc!$K$117:$R$151,VLOOKUP(AW856,Foundation_Calc!$I$2:$J$8,2,FALSE),0),"")))</f>
        <v/>
      </c>
      <c r="BA856" s="495" t="str">
        <f t="shared" si="112"/>
        <v>ü</v>
      </c>
      <c r="BB856" s="495" t="str">
        <f t="shared" si="113"/>
        <v/>
      </c>
      <c r="BC856" s="495" t="str">
        <f t="shared" si="114"/>
        <v/>
      </c>
      <c r="BD856" s="513" t="str">
        <f>IF(AND(L856="",H856=""),"",
IF(H856="",Pole_Calc!A$9,
IF(H856="MP",Pole_Calc!A$10,
IF(H856="AnMP",Pole_Calc!A$11,
IF(H856="A",Pole_Calc!A$12,
IF(H856="S/A",Pole_Calc!A$13,
IF(H856="A/S",Pole_Calc!A$14,"Poner a mano")))))))</f>
        <v>App.7-V11I-P9.5.1.5</v>
      </c>
      <c r="BE856" s="429" t="s">
        <v>118</v>
      </c>
      <c r="BF856" s="289"/>
      <c r="BG856" s="289"/>
      <c r="BH856" s="290"/>
      <c r="BI856" s="289"/>
    </row>
    <row r="857" spans="1:61" ht="15.75" customHeight="1">
      <c r="A857" s="514"/>
      <c r="B857" s="450"/>
      <c r="C857" s="3"/>
      <c r="D857" s="83"/>
      <c r="E857" s="4"/>
      <c r="F857" s="4"/>
      <c r="G857" s="6">
        <v>60</v>
      </c>
      <c r="H857" s="449"/>
      <c r="I857" s="4"/>
      <c r="J857" s="3"/>
      <c r="K857" s="449"/>
      <c r="L857" s="449"/>
      <c r="M857" s="449" t="str">
        <f>IF(L857="","",
IF(AX857="PT",VLOOKUP(L857,Foundation_Calc!$V$79:$X$113,VLOOKUP(AX857,Foundation_Calc!$I$10:$J$13,2,FALSE),0),
IF(AX857="K",VLOOKUP(L857,Foundation_Calc!$V$117:$X$151,VLOOKUP(AX857,Foundation_Calc!$I$10:$J$13,2,FALSE),0),"")))</f>
        <v/>
      </c>
      <c r="N857" s="449"/>
      <c r="O857" s="449"/>
      <c r="P857" s="449"/>
      <c r="Q857" s="4"/>
      <c r="R857" s="6"/>
      <c r="S857" s="6"/>
      <c r="T857" s="4"/>
      <c r="U857" s="4"/>
      <c r="V857" s="4"/>
      <c r="W857" s="9"/>
      <c r="X857" s="9"/>
      <c r="Y857" s="9"/>
      <c r="Z857" s="9"/>
      <c r="AA857" s="9"/>
      <c r="AB857" s="9"/>
      <c r="AC857" s="449" t="str">
        <f t="shared" si="111"/>
        <v/>
      </c>
      <c r="AD857" s="449"/>
      <c r="AE857" s="449"/>
      <c r="AF857" s="4"/>
      <c r="AG857" s="83"/>
      <c r="AH857" s="4"/>
      <c r="AI857" s="4"/>
      <c r="AJ857" s="449"/>
      <c r="AK857" s="449"/>
      <c r="AL857" s="449"/>
      <c r="AM857" s="449"/>
      <c r="AN857" s="10"/>
      <c r="AO857" s="9"/>
      <c r="AP857" s="9"/>
      <c r="AQ857" s="9">
        <f>+FL_1($T$858,$T$856,$G$857,1200,9.28, 1*$F$858)</f>
        <v>0.42673563199999998</v>
      </c>
      <c r="AR857" s="9"/>
      <c r="AS857" s="9"/>
      <c r="AT857" s="9"/>
      <c r="AU857" s="428"/>
      <c r="AV857" s="428"/>
      <c r="AW857" s="449" t="str">
        <f>IF(C857&gt;0,VLOOKUP(C857,Foundation_Calc!$A$2:$C$13,3,1),
IF(J857&gt;0,VLOOKUP(J857,Foundation_Calc!$A$2:$C$13,3,1),""))</f>
        <v/>
      </c>
      <c r="AX857" s="449" t="str">
        <f>IF(C857&gt;0,VLOOKUP(C857,Foundation_Calc!$E$35:$G$65,3,1),
IF(J857&gt;0,VLOOKUP(J857,Foundation_Calc!$E$35:$G$65,3,1),""))</f>
        <v/>
      </c>
      <c r="AY857" s="10" t="str">
        <f>IF(L857="","",
IF(AX857="PT",VLOOKUP(L857,Foundation_Calc!$K$79:$R$113,VLOOKUP(AW857,Foundation_Calc!$I$2:$J$8,2,FALSE),0),
IF(AX857="K",VLOOKUP(L857,Foundation_Calc!$K$117:$R$151,VLOOKUP(AW857,Foundation_Calc!$I$2:$J$8,2,FALSE),0),"")))</f>
        <v/>
      </c>
      <c r="AZ857" s="10" t="str">
        <f>IF(K857="","",
IF(AX857="PT",VLOOKUP(K857,Foundation_Calc!$K$79:$R$113,VLOOKUP(AW857,Foundation_Calc!$I$2:$J$8,2,FALSE),0),
IF(AX857="K",VLOOKUP(K857,Foundation_Calc!$K$117:$R$151,VLOOKUP(AW857,Foundation_Calc!$I$2:$J$8,2,FALSE),0),"")))</f>
        <v/>
      </c>
      <c r="BA857" s="495" t="str">
        <f t="shared" si="112"/>
        <v/>
      </c>
      <c r="BB857" s="495" t="str">
        <f t="shared" si="113"/>
        <v/>
      </c>
      <c r="BC857" s="495" t="str">
        <f t="shared" si="114"/>
        <v/>
      </c>
      <c r="BD857" s="513" t="str">
        <f>IF(AND(L857="",H857=""),"",
IF(H857="",Pole_Calc!A$9,
IF(H857="MP",Pole_Calc!A$10,
IF(H857="AnMP",Pole_Calc!A$11,
IF(H857="A",Pole_Calc!A$12,
IF(H857="S/A",Pole_Calc!A$13,
IF(H857="A/S",Pole_Calc!A$14,"Poner a mano")))))))</f>
        <v/>
      </c>
      <c r="BE857" s="429" t="s">
        <v>118</v>
      </c>
      <c r="BF857" s="290"/>
      <c r="BG857" s="290"/>
      <c r="BH857" s="290"/>
      <c r="BI857" s="290"/>
    </row>
    <row r="858" spans="1:61" ht="15.75" customHeight="1">
      <c r="A858" s="514"/>
      <c r="B858" s="450" t="s">
        <v>1383</v>
      </c>
      <c r="C858" s="3">
        <f>+$C$856+$G$857+0.01</f>
        <v>50667.880000000012</v>
      </c>
      <c r="D858" s="83"/>
      <c r="E858" s="4"/>
      <c r="F858" s="4">
        <v>0</v>
      </c>
      <c r="G858" s="6"/>
      <c r="H858" s="449" t="s">
        <v>121</v>
      </c>
      <c r="I858" s="4" t="s">
        <v>122</v>
      </c>
      <c r="J858" s="3"/>
      <c r="K858" s="449"/>
      <c r="L858" s="449" t="s">
        <v>151</v>
      </c>
      <c r="M858" s="449" t="str">
        <f>IF(L858="","",
IF(AX858="PT",VLOOKUP(L858,Foundation_Calc!$V$79:$X$113,VLOOKUP(AX858,Foundation_Calc!$I$10:$J$13,2,FALSE),0),
IF(AX858="K",VLOOKUP(L858,Foundation_Calc!$V$117:$X$151,VLOOKUP(AX858,Foundation_Calc!$I$10:$J$13,2,FALSE),0),"")))</f>
        <v>C4R</v>
      </c>
      <c r="N858" s="449" t="s">
        <v>134</v>
      </c>
      <c r="O858" s="449"/>
      <c r="P858" s="449"/>
      <c r="Q858" s="4"/>
      <c r="R858" s="6"/>
      <c r="S858" s="6"/>
      <c r="T858" s="4">
        <v>25</v>
      </c>
      <c r="U858" s="4"/>
      <c r="V858" s="4"/>
      <c r="W858" s="572">
        <v>1.2</v>
      </c>
      <c r="X858" s="9"/>
      <c r="Y858" s="9"/>
      <c r="Z858" s="9"/>
      <c r="AA858" s="9"/>
      <c r="AB858" s="9"/>
      <c r="AC858" s="449" t="str">
        <f t="shared" si="111"/>
        <v>PH</v>
      </c>
      <c r="AD858" s="449"/>
      <c r="AE858" s="449"/>
      <c r="AF858" s="4"/>
      <c r="AG858" s="83"/>
      <c r="AH858" s="4"/>
      <c r="AI858" s="4"/>
      <c r="AJ858" s="449"/>
      <c r="AK858" s="449"/>
      <c r="AL858" s="449"/>
      <c r="AM858" s="449" t="s">
        <v>552</v>
      </c>
      <c r="AN858" s="10">
        <f>AN856-0.1</f>
        <v>5.32</v>
      </c>
      <c r="AO858" s="9"/>
      <c r="AP858" s="9"/>
      <c r="AQ858" s="9"/>
      <c r="AR858" s="9"/>
      <c r="AS858" s="9"/>
      <c r="AT858" s="9">
        <f>+ab($T$858,$T$856,$T$860,$G$857,$G$859, 1*$F$858,1200)</f>
        <v>10.7886526660767</v>
      </c>
      <c r="AU858" s="428"/>
      <c r="AV858" s="428"/>
      <c r="AW858" s="449" t="str">
        <f>IF(C858&gt;0,VLOOKUP(C858,Foundation_Calc!$A$2:$C$13,3,1),
IF(J858&gt;0,VLOOKUP(J858,Foundation_Calc!$A$2:$C$13,3,1),""))</f>
        <v>Multi Soil</v>
      </c>
      <c r="AX858" s="449" t="str">
        <f>IF(C858&gt;0,VLOOKUP(C858,Foundation_Calc!$E$35:$G$65,3,1),
IF(J858&gt;0,VLOOKUP(J858,Foundation_Calc!$E$35:$G$65,3,1),""))</f>
        <v>PT</v>
      </c>
      <c r="AY858" s="10">
        <f>IF(L858="","",
IF(AX858="PT",VLOOKUP(L858,Foundation_Calc!$K$79:$R$113,VLOOKUP(AW858,Foundation_Calc!$I$2:$J$8,2,FALSE),0),
IF(AX858="K",VLOOKUP(L858,Foundation_Calc!$K$117:$R$151,VLOOKUP(AW858,Foundation_Calc!$I$2:$J$8,2,FALSE),0),"")))</f>
        <v>3.5</v>
      </c>
      <c r="AZ858" s="10" t="str">
        <f>IF(K858="","",
IF(AX858="PT",VLOOKUP(K858,Foundation_Calc!$K$79:$R$113,VLOOKUP(AW858,Foundation_Calc!$I$2:$J$8,2,FALSE),0),
IF(AX858="K",VLOOKUP(K858,Foundation_Calc!$K$117:$R$151,VLOOKUP(AW858,Foundation_Calc!$I$2:$J$8,2,FALSE),0),"")))</f>
        <v/>
      </c>
      <c r="BA858" s="495" t="str">
        <f t="shared" si="112"/>
        <v>ü</v>
      </c>
      <c r="BB858" s="495" t="str">
        <f t="shared" si="113"/>
        <v/>
      </c>
      <c r="BC858" s="495" t="str">
        <f t="shared" si="114"/>
        <v/>
      </c>
      <c r="BD858" s="513" t="str">
        <f>IF(AND(L858="",H858=""),"",
IF(H858="",Pole_Calc!A$9,
IF(H858="MP",Pole_Calc!A$10,
IF(H858="AnMP",Pole_Calc!A$11,
IF(H858="A",Pole_Calc!A$12,
IF(H858="S/A",Pole_Calc!A$13,
IF(H858="A/S",Pole_Calc!A$14,"Poner a mano")))))))</f>
        <v>App.7-V11I-P9.5.1.6</v>
      </c>
      <c r="BE858" s="429" t="s">
        <v>118</v>
      </c>
      <c r="BF858" s="289"/>
      <c r="BG858" s="289"/>
      <c r="BH858" s="290"/>
      <c r="BI858" s="289"/>
    </row>
    <row r="859" spans="1:61" ht="15.75" customHeight="1">
      <c r="A859" s="514"/>
      <c r="B859" s="450"/>
      <c r="C859" s="3"/>
      <c r="D859" s="83"/>
      <c r="E859" s="4"/>
      <c r="F859" s="4"/>
      <c r="G859" s="6">
        <v>55</v>
      </c>
      <c r="H859" s="449"/>
      <c r="I859" s="4"/>
      <c r="J859" s="3">
        <f>C858+7.5</f>
        <v>50675.380000000012</v>
      </c>
      <c r="K859" s="449" t="s">
        <v>117</v>
      </c>
      <c r="L859" s="449"/>
      <c r="M859" s="449" t="str">
        <f>IF(L859="","",
IF(AX859="PT",VLOOKUP(L859,Foundation_Calc!$V$79:$X$113,VLOOKUP(AX859,Foundation_Calc!$I$10:$J$13,2,FALSE),0),
IF(AX859="K",VLOOKUP(L859,Foundation_Calc!$V$117:$X$151,VLOOKUP(AX859,Foundation_Calc!$I$10:$J$13,2,FALSE),0),"")))</f>
        <v/>
      </c>
      <c r="N859" s="449"/>
      <c r="O859" s="561"/>
      <c r="P859" s="449"/>
      <c r="Q859" s="4"/>
      <c r="R859" s="6"/>
      <c r="S859" s="6"/>
      <c r="T859" s="4"/>
      <c r="U859" s="4"/>
      <c r="V859" s="4"/>
      <c r="W859" s="572"/>
      <c r="X859" s="9"/>
      <c r="Y859" s="9"/>
      <c r="Z859" s="9"/>
      <c r="AA859" s="9"/>
      <c r="AB859" s="9"/>
      <c r="AC859" s="449" t="str">
        <f t="shared" ref="AC859:AC922" si="118">IF(OR(AT859&gt;8,AT859&lt;-8),"PH",
IF(OR(AT859&gt;5,AT859&lt;-5),"PHQ",
IF(OR(AT859&gt;1,AT859&lt;-1),
"PHC","")))</f>
        <v/>
      </c>
      <c r="AD859" s="449"/>
      <c r="AE859" s="449"/>
      <c r="AF859" s="4"/>
      <c r="AG859" s="83"/>
      <c r="AH859" s="4"/>
      <c r="AI859" s="4"/>
      <c r="AJ859" s="449"/>
      <c r="AK859" s="449"/>
      <c r="AL859" s="449"/>
      <c r="AM859" s="449"/>
      <c r="AN859" s="10"/>
      <c r="AO859" s="9"/>
      <c r="AP859" s="9"/>
      <c r="AQ859" s="9">
        <f>+FL_2($T$860,$T$858,$G$859,1200,9.28, 1*$F$860)</f>
        <v>-0.41936166072727271</v>
      </c>
      <c r="AR859" s="9"/>
      <c r="AS859" s="9"/>
      <c r="AT859" s="9"/>
      <c r="AU859" s="428"/>
      <c r="AV859" s="428"/>
      <c r="AW859" s="449" t="str">
        <f>IF(C859&gt;0,VLOOKUP(C859,Foundation_Calc!$A$2:$C$13,3,1),
IF(J859&gt;0,VLOOKUP(J859,Foundation_Calc!$A$2:$C$13,3,1),""))</f>
        <v>Multi Soil</v>
      </c>
      <c r="AX859" s="449" t="str">
        <f>IF(C859&gt;0,VLOOKUP(C859,Foundation_Calc!$E$35:$G$65,3,1),
IF(J859&gt;0,VLOOKUP(J859,Foundation_Calc!$E$35:$G$65,3,1),""))</f>
        <v>PT</v>
      </c>
      <c r="AY859" s="10" t="str">
        <f>IF(L859="","",
IF(AX859="PT",VLOOKUP(L859,Foundation_Calc!$K$79:$R$113,VLOOKUP(AW859,Foundation_Calc!$I$2:$J$8,2,FALSE),0),
IF(AX859="K",VLOOKUP(L859,Foundation_Calc!$K$117:$R$151,VLOOKUP(AW859,Foundation_Calc!$I$2:$J$8,2,FALSE),0),"")))</f>
        <v/>
      </c>
      <c r="AZ859" s="10">
        <f>IF(K859="","",
IF(AX859="PT",VLOOKUP(K859,Foundation_Calc!$K$79:$R$113,VLOOKUP(AW859,Foundation_Calc!$I$2:$J$8,2,FALSE),0),
IF(AX859="K",VLOOKUP(K859,Foundation_Calc!$K$117:$R$151,VLOOKUP(AW859,Foundation_Calc!$I$2:$J$8,2,FALSE),0),"")))</f>
        <v>3.9</v>
      </c>
      <c r="BA859" s="495" t="str">
        <f t="shared" si="112"/>
        <v/>
      </c>
      <c r="BB859" s="495" t="str">
        <f t="shared" si="113"/>
        <v>ü</v>
      </c>
      <c r="BC859" s="495" t="str">
        <f t="shared" si="114"/>
        <v/>
      </c>
      <c r="BD859" s="513" t="str">
        <f>IF(AND(L859="",H859=""),"",
IF(H859="",Pole_Calc!A$9,
IF(H859="MP",Pole_Calc!A$10,
IF(H859="AnMP",Pole_Calc!A$11,
IF(H859="A",Pole_Calc!A$12,
IF(H859="S/A",Pole_Calc!A$13,
IF(H859="A/S",Pole_Calc!A$14,"Poner a mano")))))))</f>
        <v/>
      </c>
      <c r="BE859" s="429" t="s">
        <v>118</v>
      </c>
      <c r="BF859" s="290"/>
      <c r="BG859" s="290"/>
      <c r="BH859" s="290"/>
      <c r="BI859" s="290"/>
    </row>
    <row r="860" spans="1:61" ht="15.75" customHeight="1">
      <c r="A860" s="514"/>
      <c r="B860" s="450" t="s">
        <v>1384</v>
      </c>
      <c r="C860" s="3">
        <f>+$C$858+$G$859</f>
        <v>50722.880000000012</v>
      </c>
      <c r="D860" s="83"/>
      <c r="E860" s="4"/>
      <c r="F860" s="4">
        <v>0</v>
      </c>
      <c r="G860" s="6"/>
      <c r="H860" s="449"/>
      <c r="I860" s="4"/>
      <c r="J860" s="3"/>
      <c r="K860" s="449"/>
      <c r="L860" s="449" t="s">
        <v>153</v>
      </c>
      <c r="M860" s="449" t="str">
        <f>IF(L860="","",
IF(AX860="PT",VLOOKUP(L860,Foundation_Calc!$V$79:$X$113,VLOOKUP(AX860,Foundation_Calc!$I$10:$J$13,2,FALSE),0),
IF(AX860="K",VLOOKUP(L860,Foundation_Calc!$V$117:$X$151,VLOOKUP(AX860,Foundation_Calc!$I$10:$J$13,2,FALSE),0),"")))</f>
        <v>C3R</v>
      </c>
      <c r="N860" s="449" t="s">
        <v>124</v>
      </c>
      <c r="O860" s="449"/>
      <c r="P860" s="449"/>
      <c r="Q860" s="4"/>
      <c r="R860" s="6"/>
      <c r="S860" s="6"/>
      <c r="T860" s="4">
        <v>-35</v>
      </c>
      <c r="U860" s="4"/>
      <c r="V860" s="4"/>
      <c r="W860" s="572">
        <v>0.8</v>
      </c>
      <c r="X860" s="9"/>
      <c r="Y860" s="9"/>
      <c r="Z860" s="9"/>
      <c r="AA860" s="9"/>
      <c r="AB860" s="9"/>
      <c r="AC860" s="449" t="str">
        <f t="shared" si="118"/>
        <v>PHQ</v>
      </c>
      <c r="AD860" s="449"/>
      <c r="AE860" s="449"/>
      <c r="AF860" s="4"/>
      <c r="AG860" s="83"/>
      <c r="AH860" s="4"/>
      <c r="AI860" s="4"/>
      <c r="AJ860" s="449"/>
      <c r="AK860" s="449"/>
      <c r="AL860" s="449"/>
      <c r="AM860" s="449" t="s">
        <v>552</v>
      </c>
      <c r="AN860" s="10">
        <f>AN862+0.07</f>
        <v>5.2200000000000006</v>
      </c>
      <c r="AO860" s="9"/>
      <c r="AP860" s="9"/>
      <c r="AQ860" s="9"/>
      <c r="AR860" s="9"/>
      <c r="AS860" s="9"/>
      <c r="AT860" s="9">
        <f>+ab($T$860,$T$858,$T$862,$G$859,$G$861, 1*$F$860,1200)</f>
        <v>-7.6578098574544606</v>
      </c>
      <c r="AU860" s="428"/>
      <c r="AV860" s="428"/>
      <c r="AW860" s="449" t="str">
        <f>IF(C860&gt;0,VLOOKUP(C860,Foundation_Calc!$A$2:$C$13,3,1),
IF(J860&gt;0,VLOOKUP(J860,Foundation_Calc!$A$2:$C$13,3,1),""))</f>
        <v>Multi Soil</v>
      </c>
      <c r="AX860" s="449" t="str">
        <f>IF(C860&gt;0,VLOOKUP(C860,Foundation_Calc!$E$35:$G$65,3,1),
IF(J860&gt;0,VLOOKUP(J860,Foundation_Calc!$E$35:$G$65,3,1),""))</f>
        <v>PT</v>
      </c>
      <c r="AY860" s="10">
        <f>IF(L860="","",
IF(AX860="PT",VLOOKUP(L860,Foundation_Calc!$K$79:$R$113,VLOOKUP(AW860,Foundation_Calc!$I$2:$J$8,2,FALSE),0),
IF(AX860="K",VLOOKUP(L860,Foundation_Calc!$K$117:$R$151,VLOOKUP(AW860,Foundation_Calc!$I$2:$J$8,2,FALSE),0),"")))</f>
        <v>3.5</v>
      </c>
      <c r="AZ860" s="10" t="str">
        <f>IF(K860="","",
IF(AX860="PT",VLOOKUP(K860,Foundation_Calc!$K$79:$R$113,VLOOKUP(AW860,Foundation_Calc!$I$2:$J$8,2,FALSE),0),
IF(AX860="K",VLOOKUP(K860,Foundation_Calc!$K$117:$R$151,VLOOKUP(AW860,Foundation_Calc!$I$2:$J$8,2,FALSE),0),"")))</f>
        <v/>
      </c>
      <c r="BA860" s="495" t="str">
        <f t="shared" si="112"/>
        <v>ü</v>
      </c>
      <c r="BB860" s="495" t="str">
        <f t="shared" si="113"/>
        <v/>
      </c>
      <c r="BC860" s="495" t="str">
        <f t="shared" si="114"/>
        <v/>
      </c>
      <c r="BD860" s="513" t="str">
        <f>IF(AND(L860="",H860=""),"",
IF(H860="",Pole_Calc!A$9,
IF(H860="MP",Pole_Calc!A$10,
IF(H860="AnMP",Pole_Calc!A$11,
IF(H860="A",Pole_Calc!A$12,
IF(H860="S/A",Pole_Calc!A$13,
IF(H860="A/S",Pole_Calc!A$14,"Poner a mano")))))))</f>
        <v>App.7-V11I-P9.5.1.1</v>
      </c>
      <c r="BE860" s="429" t="s">
        <v>118</v>
      </c>
      <c r="BF860" s="289"/>
      <c r="BG860" s="289"/>
      <c r="BH860" s="290"/>
      <c r="BI860" s="289"/>
    </row>
    <row r="861" spans="1:61" ht="15.75" customHeight="1">
      <c r="A861" s="685" t="s">
        <v>305</v>
      </c>
      <c r="B861" s="686"/>
      <c r="C861" s="687"/>
      <c r="D861" s="688"/>
      <c r="E861" s="689"/>
      <c r="F861" s="689"/>
      <c r="G861" s="690">
        <v>50</v>
      </c>
      <c r="H861" s="691"/>
      <c r="I861" s="689"/>
      <c r="J861" s="687"/>
      <c r="K861" s="691"/>
      <c r="L861" s="691"/>
      <c r="M861" s="691" t="str">
        <f>IF(L861="","",
IF(AX861="PT",VLOOKUP(L861,Foundation_Calc!$V$79:$X$113,VLOOKUP(AX861,Foundation_Calc!$I$10:$J$13,2,FALSE),0),
IF(AX861="K",VLOOKUP(L861,Foundation_Calc!$V$117:$X$151,VLOOKUP(AX861,Foundation_Calc!$I$10:$J$13,2,FALSE),0),"")))</f>
        <v/>
      </c>
      <c r="N861" s="691"/>
      <c r="O861" s="691"/>
      <c r="P861" s="691"/>
      <c r="Q861" s="689"/>
      <c r="R861" s="690"/>
      <c r="S861" s="690"/>
      <c r="T861" s="689"/>
      <c r="U861" s="689"/>
      <c r="V861" s="689"/>
      <c r="W861" s="695"/>
      <c r="X861" s="692"/>
      <c r="Y861" s="692"/>
      <c r="Z861" s="692"/>
      <c r="AA861" s="692"/>
      <c r="AB861" s="692"/>
      <c r="AC861" s="691" t="str">
        <f t="shared" si="118"/>
        <v/>
      </c>
      <c r="AD861" s="691"/>
      <c r="AE861" s="691"/>
      <c r="AF861" s="689"/>
      <c r="AG861" s="688"/>
      <c r="AH861" s="689"/>
      <c r="AI861" s="689"/>
      <c r="AJ861" s="691"/>
      <c r="AK861" s="691"/>
      <c r="AL861" s="691"/>
      <c r="AM861" s="691"/>
      <c r="AN861" s="693"/>
      <c r="AO861" s="692"/>
      <c r="AP861" s="692"/>
      <c r="AQ861" s="692">
        <f>+FL_1($T$862,$T$860,$G$861,1200,9.28, 1*$F$862)</f>
        <v>0.36839079999999996</v>
      </c>
      <c r="AR861" s="692"/>
      <c r="AS861" s="692"/>
      <c r="AT861" s="692"/>
      <c r="AU861" s="694"/>
      <c r="AV861" s="694"/>
      <c r="AW861" s="691" t="str">
        <f>IF(C861&gt;0,VLOOKUP(C861,Foundation_Calc!$A$2:$C$13,3,1),
IF(J861&gt;0,VLOOKUP(J861,Foundation_Calc!$A$2:$C$13,3,1),""))</f>
        <v/>
      </c>
      <c r="AX861" s="691" t="str">
        <f>IF(C861&gt;0,VLOOKUP(C861,Foundation_Calc!$E$35:$G$65,3,1),
IF(J861&gt;0,VLOOKUP(J861,Foundation_Calc!$E$35:$G$65,3,1),""))</f>
        <v/>
      </c>
      <c r="AY861" s="693" t="str">
        <f>IF(L861="","",
IF(AX861="PT",VLOOKUP(L861,Foundation_Calc!$K$79:$R$113,VLOOKUP(AW861,Foundation_Calc!$I$2:$J$8,2,FALSE),0),
IF(AX861="K",VLOOKUP(L861,Foundation_Calc!$K$117:$R$151,VLOOKUP(AW861,Foundation_Calc!$I$2:$J$8,2,FALSE),0),"")))</f>
        <v/>
      </c>
      <c r="AZ861" s="693" t="str">
        <f>IF(K861="","",
IF(AX861="PT",VLOOKUP(K861,Foundation_Calc!$K$79:$R$113,VLOOKUP(AW861,Foundation_Calc!$I$2:$J$8,2,FALSE),0),
IF(AX861="K",VLOOKUP(K861,Foundation_Calc!$K$117:$R$151,VLOOKUP(AW861,Foundation_Calc!$I$2:$J$8,2,FALSE),0),"")))</f>
        <v/>
      </c>
      <c r="BA861" s="495" t="str">
        <f t="shared" si="112"/>
        <v/>
      </c>
      <c r="BB861" s="495" t="str">
        <f t="shared" si="113"/>
        <v/>
      </c>
      <c r="BC861" s="495" t="str">
        <f t="shared" si="114"/>
        <v/>
      </c>
      <c r="BD861" s="513" t="str">
        <f>IF(AND(L861="",H861=""),"",
IF(H861="",Pole_Calc!A$9,
IF(H861="MP",Pole_Calc!A$10,
IF(H861="AnMP",Pole_Calc!A$11,
IF(H861="A",Pole_Calc!A$12,
IF(H861="S/A",Pole_Calc!A$13,
IF(H861="A/S",Pole_Calc!A$14,"Poner a mano")))))))</f>
        <v/>
      </c>
      <c r="BE861" s="429" t="s">
        <v>118</v>
      </c>
      <c r="BF861" s="290"/>
      <c r="BG861" s="290"/>
      <c r="BH861" s="290"/>
      <c r="BI861" s="290"/>
    </row>
    <row r="862" spans="1:61" ht="15.75" customHeight="1">
      <c r="A862" s="514"/>
      <c r="B862" s="450" t="s">
        <v>1385</v>
      </c>
      <c r="C862" s="3">
        <f>+$C$860+$G$861</f>
        <v>50772.880000000012</v>
      </c>
      <c r="D862" s="83"/>
      <c r="E862" s="4"/>
      <c r="F862" s="4">
        <v>0</v>
      </c>
      <c r="G862" s="6"/>
      <c r="H862" s="449"/>
      <c r="I862" s="4"/>
      <c r="J862" s="3"/>
      <c r="K862" s="449"/>
      <c r="L862" s="449" t="s">
        <v>153</v>
      </c>
      <c r="M862" s="449" t="s">
        <v>417</v>
      </c>
      <c r="N862" s="449" t="s">
        <v>134</v>
      </c>
      <c r="O862" s="449"/>
      <c r="P862" s="449"/>
      <c r="Q862" s="4"/>
      <c r="R862" s="6"/>
      <c r="S862" s="6"/>
      <c r="T862" s="4">
        <v>35</v>
      </c>
      <c r="U862" s="4"/>
      <c r="V862" s="4"/>
      <c r="W862" s="572">
        <v>0.6</v>
      </c>
      <c r="X862" s="9"/>
      <c r="Y862" s="9"/>
      <c r="Z862" s="9"/>
      <c r="AA862" s="9"/>
      <c r="AB862" s="9"/>
      <c r="AC862" s="449" t="str">
        <f t="shared" si="118"/>
        <v>PHQ</v>
      </c>
      <c r="AD862" s="449"/>
      <c r="AE862" s="449"/>
      <c r="AF862" s="4"/>
      <c r="AG862" s="83"/>
      <c r="AH862" s="4"/>
      <c r="AI862" s="4"/>
      <c r="AJ862" s="449"/>
      <c r="AK862" s="449"/>
      <c r="AL862" s="449"/>
      <c r="AM862" s="449" t="s">
        <v>552</v>
      </c>
      <c r="AN862" s="10">
        <v>5.15</v>
      </c>
      <c r="AO862" s="9"/>
      <c r="AP862" s="9"/>
      <c r="AQ862" s="9"/>
      <c r="AR862" s="9"/>
      <c r="AS862" s="9"/>
      <c r="AT862" s="9">
        <f>+ab($T$862,$T$860,$T$864,$G$861,$G$863, 1*$F$862,1200)</f>
        <v>6.3892377912929907</v>
      </c>
      <c r="AU862" s="428"/>
      <c r="AV862" s="428"/>
      <c r="AW862" s="449" t="str">
        <f>IF(C862&gt;0,VLOOKUP(C862,Foundation_Calc!$A$2:$C$13,3,1),
IF(J862&gt;0,VLOOKUP(J862,Foundation_Calc!$A$2:$C$13,3,1),""))</f>
        <v>Multi Soil</v>
      </c>
      <c r="AX862" s="449" t="str">
        <f>IF(C862&gt;0,VLOOKUP(C862,Foundation_Calc!$E$35:$G$65,3,1),
IF(J862&gt;0,VLOOKUP(J862,Foundation_Calc!$E$35:$G$65,3,1),""))</f>
        <v>PT</v>
      </c>
      <c r="AY862" s="10">
        <f>IF(L862="","",
IF(AX862="PT",VLOOKUP(L862,Foundation_Calc!$K$79:$R$113,VLOOKUP(AW862,Foundation_Calc!$I$2:$J$8,2,FALSE),0),
IF(AX862="K",VLOOKUP(L862,Foundation_Calc!$K$117:$R$151,VLOOKUP(AW862,Foundation_Calc!$I$2:$J$8,2,FALSE),0),"")))</f>
        <v>3.5</v>
      </c>
      <c r="AZ862" s="10" t="str">
        <f>IF(K862="","",
IF(AX862="PT",VLOOKUP(K862,Foundation_Calc!$K$79:$R$113,VLOOKUP(AW862,Foundation_Calc!$I$2:$J$8,2,FALSE),0),
IF(AX862="K",VLOOKUP(K862,Foundation_Calc!$K$117:$R$151,VLOOKUP(AW862,Foundation_Calc!$I$2:$J$8,2,FALSE),0),"")))</f>
        <v/>
      </c>
      <c r="BA862" s="495" t="str">
        <f t="shared" si="112"/>
        <v>ü</v>
      </c>
      <c r="BB862" s="495" t="str">
        <f t="shared" si="113"/>
        <v/>
      </c>
      <c r="BC862" s="495" t="str">
        <f t="shared" si="114"/>
        <v/>
      </c>
      <c r="BD862" s="513" t="str">
        <f>IF(AND(L862="",H862=""),"",
IF(H862="",Pole_Calc!A$9,
IF(H862="MP",Pole_Calc!A$10,
IF(H862="AnMP",Pole_Calc!A$11,
IF(H862="A",Pole_Calc!A$12,
IF(H862="S/A",Pole_Calc!A$13,
IF(H862="A/S",Pole_Calc!A$14,"Poner a mano")))))))</f>
        <v>App.7-V11I-P9.5.1.1</v>
      </c>
      <c r="BE862" s="429" t="s">
        <v>118</v>
      </c>
      <c r="BF862" s="289"/>
      <c r="BG862" s="289"/>
      <c r="BH862" s="290"/>
      <c r="BI862" s="289"/>
    </row>
    <row r="863" spans="1:61" ht="15.75" customHeight="1">
      <c r="A863" s="514" t="s">
        <v>469</v>
      </c>
      <c r="B863" s="450"/>
      <c r="C863" s="3"/>
      <c r="D863" s="83"/>
      <c r="E863" s="4"/>
      <c r="F863" s="4"/>
      <c r="G863" s="6">
        <v>44</v>
      </c>
      <c r="H863" s="449"/>
      <c r="I863" s="4"/>
      <c r="J863" s="3"/>
      <c r="K863" s="449"/>
      <c r="L863" s="449"/>
      <c r="M863" s="449" t="str">
        <f>IF(L863="","",
IF(AX863="PT",VLOOKUP(L863,Foundation_Calc!$V$79:$X$113,VLOOKUP(AX863,Foundation_Calc!$I$10:$J$13,2,FALSE),0),
IF(AX863="K",VLOOKUP(L863,Foundation_Calc!$V$117:$X$151,VLOOKUP(AX863,Foundation_Calc!$I$10:$J$13,2,FALSE),0),"")))</f>
        <v/>
      </c>
      <c r="N863" s="449"/>
      <c r="O863" s="449"/>
      <c r="P863" s="449"/>
      <c r="Q863" s="4"/>
      <c r="R863" s="6"/>
      <c r="S863" s="6"/>
      <c r="T863" s="4"/>
      <c r="U863" s="4"/>
      <c r="V863" s="4"/>
      <c r="W863" s="572"/>
      <c r="X863" s="9"/>
      <c r="Y863" s="9"/>
      <c r="Z863" s="9"/>
      <c r="AA863" s="9"/>
      <c r="AB863" s="9"/>
      <c r="AC863" s="449" t="str">
        <f t="shared" si="118"/>
        <v/>
      </c>
      <c r="AD863" s="449"/>
      <c r="AE863" s="449"/>
      <c r="AF863" s="4"/>
      <c r="AG863" s="83"/>
      <c r="AH863" s="4"/>
      <c r="AI863" s="4"/>
      <c r="AJ863" s="449"/>
      <c r="AK863" s="449"/>
      <c r="AL863" s="449"/>
      <c r="AM863" s="449"/>
      <c r="AN863" s="10"/>
      <c r="AO863" s="9"/>
      <c r="AP863" s="9"/>
      <c r="AQ863" s="9">
        <f>+FL_2($T$864,$T$862,$G$863,1200,9.28, 1*$F$864)</f>
        <v>-0.35078837199999996</v>
      </c>
      <c r="AR863" s="9"/>
      <c r="AS863" s="9"/>
      <c r="AT863" s="9"/>
      <c r="AU863" s="428"/>
      <c r="AV863" s="428"/>
      <c r="AW863" s="449" t="str">
        <f>IF(C863&gt;0,VLOOKUP(C863,Foundation_Calc!$A$2:$C$13,3,1),
IF(J863&gt;0,VLOOKUP(J863,Foundation_Calc!$A$2:$C$13,3,1),""))</f>
        <v/>
      </c>
      <c r="AX863" s="449" t="str">
        <f>IF(C863&gt;0,VLOOKUP(C863,Foundation_Calc!$E$35:$G$65,3,1),
IF(J863&gt;0,VLOOKUP(J863,Foundation_Calc!$E$35:$G$65,3,1),""))</f>
        <v/>
      </c>
      <c r="AY863" s="10" t="str">
        <f>IF(L863="","",
IF(AX863="PT",VLOOKUP(L863,Foundation_Calc!$K$79:$R$113,VLOOKUP(AW863,Foundation_Calc!$I$2:$J$8,2,FALSE),0),
IF(AX863="K",VLOOKUP(L863,Foundation_Calc!$K$117:$R$151,VLOOKUP(AW863,Foundation_Calc!$I$2:$J$8,2,FALSE),0),"")))</f>
        <v/>
      </c>
      <c r="AZ863" s="10" t="str">
        <f>IF(K863="","",
IF(AX863="PT",VLOOKUP(K863,Foundation_Calc!$K$79:$R$113,VLOOKUP(AW863,Foundation_Calc!$I$2:$J$8,2,FALSE),0),
IF(AX863="K",VLOOKUP(K863,Foundation_Calc!$K$117:$R$151,VLOOKUP(AW863,Foundation_Calc!$I$2:$J$8,2,FALSE),0),"")))</f>
        <v/>
      </c>
      <c r="BA863" s="495" t="str">
        <f t="shared" si="112"/>
        <v/>
      </c>
      <c r="BB863" s="495" t="str">
        <f t="shared" si="113"/>
        <v/>
      </c>
      <c r="BC863" s="495" t="str">
        <f t="shared" si="114"/>
        <v/>
      </c>
      <c r="BD863" s="513" t="str">
        <f>IF(AND(L863="",H863=""),"",
IF(H863="",Pole_Calc!A$9,
IF(H863="MP",Pole_Calc!A$10,
IF(H863="AnMP",Pole_Calc!A$11,
IF(H863="A",Pole_Calc!A$12,
IF(H863="S/A",Pole_Calc!A$13,
IF(H863="A/S",Pole_Calc!A$14,"Poner a mano")))))))</f>
        <v/>
      </c>
      <c r="BE863" s="429" t="s">
        <v>118</v>
      </c>
      <c r="BF863" s="290"/>
      <c r="BG863" s="290"/>
      <c r="BH863" s="290"/>
      <c r="BI863" s="290"/>
    </row>
    <row r="864" spans="1:61" ht="15.75" customHeight="1">
      <c r="A864" s="514"/>
      <c r="B864" s="450" t="s">
        <v>1386</v>
      </c>
      <c r="C864" s="3">
        <f>+$C$862+$G$863</f>
        <v>50816.880000000012</v>
      </c>
      <c r="D864" s="83"/>
      <c r="E864" s="4"/>
      <c r="F864" s="4">
        <v>0</v>
      </c>
      <c r="G864" s="6"/>
      <c r="H864" s="449"/>
      <c r="I864" s="4"/>
      <c r="J864" s="3"/>
      <c r="K864" s="449"/>
      <c r="L864" s="449" t="s">
        <v>153</v>
      </c>
      <c r="M864" s="449" t="str">
        <f>IF(L864="","",
IF(AX864="PT",VLOOKUP(L864,Foundation_Calc!$V$79:$X$113,VLOOKUP(AX864,Foundation_Calc!$I$10:$J$13,2,FALSE),0),
IF(AX864="K",VLOOKUP(L864,Foundation_Calc!$V$117:$X$151,VLOOKUP(AX864,Foundation_Calc!$I$10:$J$13,2,FALSE),0),"")))</f>
        <v>C3R</v>
      </c>
      <c r="N864" s="449" t="s">
        <v>124</v>
      </c>
      <c r="O864" s="449"/>
      <c r="P864" s="449"/>
      <c r="Q864" s="4"/>
      <c r="R864" s="6"/>
      <c r="S864" s="6"/>
      <c r="T864" s="4">
        <v>-35</v>
      </c>
      <c r="U864" s="4"/>
      <c r="V864" s="4"/>
      <c r="W864" s="572">
        <v>0.6</v>
      </c>
      <c r="X864" s="9"/>
      <c r="Y864" s="9"/>
      <c r="Z864" s="9"/>
      <c r="AA864" s="9"/>
      <c r="AB864" s="9"/>
      <c r="AC864" s="449" t="str">
        <f t="shared" si="118"/>
        <v>PHQ</v>
      </c>
      <c r="AD864" s="449"/>
      <c r="AE864" s="449"/>
      <c r="AF864" s="4"/>
      <c r="AG864" s="83"/>
      <c r="AH864" s="4"/>
      <c r="AI864" s="4"/>
      <c r="AJ864" s="449"/>
      <c r="AK864" s="449"/>
      <c r="AL864" s="449"/>
      <c r="AM864" s="449" t="s">
        <v>552</v>
      </c>
      <c r="AN864" s="10">
        <v>5.15</v>
      </c>
      <c r="AO864" s="9"/>
      <c r="AP864" s="9"/>
      <c r="AQ864" s="9"/>
      <c r="AR864" s="9"/>
      <c r="AS864" s="9"/>
      <c r="AT864" s="9">
        <f>+ab($T$864,$T$862,$T$866,$G$863,$G$865, 1*$F$864,1200)</f>
        <v>-5.8054516919546346</v>
      </c>
      <c r="AU864" s="428"/>
      <c r="AV864" s="428"/>
      <c r="AW864" s="449" t="str">
        <f>IF(C864&gt;0,VLOOKUP(C864,Foundation_Calc!$A$2:$C$13,3,1),
IF(J864&gt;0,VLOOKUP(J864,Foundation_Calc!$A$2:$C$13,3,1),""))</f>
        <v>Multi Soil</v>
      </c>
      <c r="AX864" s="449" t="str">
        <f>IF(C864&gt;0,VLOOKUP(C864,Foundation_Calc!$E$35:$G$65,3,1),
IF(J864&gt;0,VLOOKUP(J864,Foundation_Calc!$E$35:$G$65,3,1),""))</f>
        <v>PT</v>
      </c>
      <c r="AY864" s="10">
        <f>IF(L864="","",
IF(AX864="PT",VLOOKUP(L864,Foundation_Calc!$K$79:$R$113,VLOOKUP(AW864,Foundation_Calc!$I$2:$J$8,2,FALSE),0),
IF(AX864="K",VLOOKUP(L864,Foundation_Calc!$K$117:$R$151,VLOOKUP(AW864,Foundation_Calc!$I$2:$J$8,2,FALSE),0),"")))</f>
        <v>3.5</v>
      </c>
      <c r="AZ864" s="10" t="str">
        <f>IF(K864="","",
IF(AX864="PT",VLOOKUP(K864,Foundation_Calc!$K$79:$R$113,VLOOKUP(AW864,Foundation_Calc!$I$2:$J$8,2,FALSE),0),
IF(AX864="K",VLOOKUP(K864,Foundation_Calc!$K$117:$R$151,VLOOKUP(AW864,Foundation_Calc!$I$2:$J$8,2,FALSE),0),"")))</f>
        <v/>
      </c>
      <c r="BA864" s="495" t="str">
        <f t="shared" si="112"/>
        <v>ü</v>
      </c>
      <c r="BB864" s="495" t="str">
        <f t="shared" si="113"/>
        <v/>
      </c>
      <c r="BC864" s="495" t="str">
        <f t="shared" si="114"/>
        <v/>
      </c>
      <c r="BD864" s="513" t="str">
        <f>IF(AND(L864="",H864=""),"",
IF(H864="",Pole_Calc!A$9,
IF(H864="MP",Pole_Calc!A$10,
IF(H864="AnMP",Pole_Calc!A$11,
IF(H864="A",Pole_Calc!A$12,
IF(H864="S/A",Pole_Calc!A$13,
IF(H864="A/S",Pole_Calc!A$14,"Poner a mano")))))))</f>
        <v>App.7-V11I-P9.5.1.1</v>
      </c>
      <c r="BE864" s="429" t="s">
        <v>118</v>
      </c>
      <c r="BF864" s="289"/>
      <c r="BG864" s="289"/>
      <c r="BH864" s="290"/>
      <c r="BI864" s="289"/>
    </row>
    <row r="865" spans="1:61" ht="15.75" customHeight="1">
      <c r="A865" s="514"/>
      <c r="B865" s="450"/>
      <c r="C865" s="3"/>
      <c r="D865" s="83"/>
      <c r="E865" s="4"/>
      <c r="F865" s="4"/>
      <c r="G865" s="6">
        <v>41.1</v>
      </c>
      <c r="H865" s="449"/>
      <c r="I865" s="4"/>
      <c r="J865" s="3"/>
      <c r="K865" s="449"/>
      <c r="L865" s="449"/>
      <c r="M865" s="449" t="str">
        <f>IF(L865="","",
IF(AX865="PT",VLOOKUP(L865,Foundation_Calc!$V$79:$X$113,VLOOKUP(AX865,Foundation_Calc!$I$10:$J$13,2,FALSE),0),
IF(AX865="K",VLOOKUP(L865,Foundation_Calc!$V$117:$X$151,VLOOKUP(AX865,Foundation_Calc!$I$10:$J$13,2,FALSE),0),"")))</f>
        <v/>
      </c>
      <c r="N865" s="449"/>
      <c r="O865" s="561"/>
      <c r="P865" s="449"/>
      <c r="Q865" s="4"/>
      <c r="R865" s="6"/>
      <c r="S865" s="6"/>
      <c r="T865" s="4"/>
      <c r="U865" s="4"/>
      <c r="V865" s="4"/>
      <c r="W865" s="572"/>
      <c r="X865" s="9"/>
      <c r="Y865" s="9"/>
      <c r="Z865" s="9"/>
      <c r="AA865" s="9"/>
      <c r="AB865" s="9"/>
      <c r="AC865" s="449" t="str">
        <f t="shared" si="118"/>
        <v/>
      </c>
      <c r="AD865" s="449"/>
      <c r="AE865" s="449"/>
      <c r="AF865" s="4"/>
      <c r="AG865" s="83"/>
      <c r="AH865" s="4"/>
      <c r="AI865" s="4"/>
      <c r="AJ865" s="449"/>
      <c r="AK865" s="449"/>
      <c r="AL865" s="449"/>
      <c r="AM865" s="449"/>
      <c r="AN865" s="10"/>
      <c r="AO865" s="9"/>
      <c r="AP865" s="9"/>
      <c r="AQ865" s="9">
        <f>+FL_2($T$866,$T$864,$G$865,1200,9.28, 1*$F$866)</f>
        <v>-0.35000000000000031</v>
      </c>
      <c r="AR865" s="9"/>
      <c r="AS865" s="9"/>
      <c r="AT865" s="9"/>
      <c r="AU865" s="428"/>
      <c r="AV865" s="428"/>
      <c r="AW865" s="449" t="str">
        <f>IF(C865&gt;0,VLOOKUP(C865,Foundation_Calc!$A$2:$C$13,3,1),
IF(J865&gt;0,VLOOKUP(J865,Foundation_Calc!$A$2:$C$13,3,1),""))</f>
        <v/>
      </c>
      <c r="AX865" s="449" t="str">
        <f>IF(C865&gt;0,VLOOKUP(C865,Foundation_Calc!$E$35:$G$65,3,1),
IF(J865&gt;0,VLOOKUP(J865,Foundation_Calc!$E$35:$G$65,3,1),""))</f>
        <v/>
      </c>
      <c r="AY865" s="10" t="str">
        <f>IF(L865="","",
IF(AX865="PT",VLOOKUP(L865,Foundation_Calc!$K$79:$R$113,VLOOKUP(AW865,Foundation_Calc!$I$2:$J$8,2,FALSE),0),
IF(AX865="K",VLOOKUP(L865,Foundation_Calc!$K$117:$R$151,VLOOKUP(AW865,Foundation_Calc!$I$2:$J$8,2,FALSE),0),"")))</f>
        <v/>
      </c>
      <c r="AZ865" s="10" t="str">
        <f>IF(K865="","",
IF(AX865="PT",VLOOKUP(K865,Foundation_Calc!$K$79:$R$113,VLOOKUP(AW865,Foundation_Calc!$I$2:$J$8,2,FALSE),0),
IF(AX865="K",VLOOKUP(K865,Foundation_Calc!$K$117:$R$151,VLOOKUP(AW865,Foundation_Calc!$I$2:$J$8,2,FALSE),0),"")))</f>
        <v/>
      </c>
      <c r="BA865" s="495" t="str">
        <f t="shared" si="112"/>
        <v/>
      </c>
      <c r="BB865" s="495" t="str">
        <f t="shared" si="113"/>
        <v/>
      </c>
      <c r="BC865" s="495" t="str">
        <f t="shared" si="114"/>
        <v/>
      </c>
      <c r="BD865" s="513" t="str">
        <f>IF(AND(L865="",H865=""),"",
IF(H865="",Pole_Calc!A$9,
IF(H865="MP",Pole_Calc!A$10,
IF(H865="AnMP",Pole_Calc!A$11,
IF(H865="A",Pole_Calc!A$12,
IF(H865="S/A",Pole_Calc!A$13,
IF(H865="A/S",Pole_Calc!A$14,"Poner a mano")))))))</f>
        <v/>
      </c>
      <c r="BE865" s="429" t="s">
        <v>118</v>
      </c>
      <c r="BF865" s="290"/>
      <c r="BG865" s="290"/>
      <c r="BH865" s="290"/>
      <c r="BI865" s="290"/>
    </row>
    <row r="866" spans="1:61" ht="15.75" customHeight="1">
      <c r="A866" s="514"/>
      <c r="B866" s="450" t="s">
        <v>1387</v>
      </c>
      <c r="C866" s="3">
        <f>+$C$864+$G$865</f>
        <v>50857.98000000001</v>
      </c>
      <c r="D866" s="83"/>
      <c r="E866" s="4"/>
      <c r="F866" s="4">
        <v>0</v>
      </c>
      <c r="G866" s="6"/>
      <c r="H866" s="449"/>
      <c r="I866" s="4"/>
      <c r="J866" s="3"/>
      <c r="K866" s="449"/>
      <c r="L866" s="449" t="s">
        <v>153</v>
      </c>
      <c r="M866" s="449" t="str">
        <f>IF(L866="","",
IF(AX866="PT",VLOOKUP(L866,Foundation_Calc!$V$79:$X$113,VLOOKUP(AX866,Foundation_Calc!$I$10:$J$13,2,FALSE),0),
IF(AX866="K",VLOOKUP(L866,Foundation_Calc!$V$117:$X$151,VLOOKUP(AX866,Foundation_Calc!$I$10:$J$13,2,FALSE),0),"")))</f>
        <v>C3R</v>
      </c>
      <c r="N866" s="449" t="s">
        <v>134</v>
      </c>
      <c r="O866" s="449"/>
      <c r="P866" s="449"/>
      <c r="Q866" s="4"/>
      <c r="R866" s="6"/>
      <c r="S866" s="6"/>
      <c r="T866" s="4">
        <v>35</v>
      </c>
      <c r="U866" s="4"/>
      <c r="V866" s="4"/>
      <c r="W866" s="572">
        <v>0.8</v>
      </c>
      <c r="X866" s="9"/>
      <c r="Y866" s="9"/>
      <c r="Z866" s="9"/>
      <c r="AA866" s="9"/>
      <c r="AB866" s="9"/>
      <c r="AC866" s="449" t="str">
        <f t="shared" si="118"/>
        <v>PHQ</v>
      </c>
      <c r="AD866" s="449"/>
      <c r="AE866" s="449"/>
      <c r="AF866" s="4"/>
      <c r="AG866" s="83"/>
      <c r="AH866" s="4"/>
      <c r="AI866" s="4"/>
      <c r="AJ866" s="449"/>
      <c r="AK866" s="449"/>
      <c r="AL866" s="449"/>
      <c r="AM866" s="449" t="s">
        <v>552</v>
      </c>
      <c r="AN866" s="10">
        <f>AN864+0.06</f>
        <v>5.21</v>
      </c>
      <c r="AO866" s="9"/>
      <c r="AP866" s="9"/>
      <c r="AQ866" s="9"/>
      <c r="AR866" s="9"/>
      <c r="AS866" s="9"/>
      <c r="AT866" s="9">
        <f>+ab($T$866,$T$864,$T$868,$G$865,$G$867, 1*$F$866,1200)</f>
        <v>6.1599237157516855</v>
      </c>
      <c r="AU866" s="428"/>
      <c r="AV866" s="428"/>
      <c r="AW866" s="449" t="str">
        <f>IF(C866&gt;0,VLOOKUP(C866,Foundation_Calc!$A$2:$C$13,3,1),
IF(J866&gt;0,VLOOKUP(J866,Foundation_Calc!$A$2:$C$13,3,1),""))</f>
        <v>Multi Soil</v>
      </c>
      <c r="AX866" s="449" t="str">
        <f>IF(C866&gt;0,VLOOKUP(C866,Foundation_Calc!$E$35:$G$65,3,1),
IF(J866&gt;0,VLOOKUP(J866,Foundation_Calc!$E$35:$G$65,3,1),""))</f>
        <v>PT</v>
      </c>
      <c r="AY866" s="10">
        <f>IF(L866="","",
IF(AX866="PT",VLOOKUP(L866,Foundation_Calc!$K$79:$R$113,VLOOKUP(AW866,Foundation_Calc!$I$2:$J$8,2,FALSE),0),
IF(AX866="K",VLOOKUP(L866,Foundation_Calc!$K$117:$R$151,VLOOKUP(AW866,Foundation_Calc!$I$2:$J$8,2,FALSE),0),"")))</f>
        <v>3.5</v>
      </c>
      <c r="AZ866" s="10" t="str">
        <f>IF(K866="","",
IF(AX866="PT",VLOOKUP(K866,Foundation_Calc!$K$79:$R$113,VLOOKUP(AW866,Foundation_Calc!$I$2:$J$8,2,FALSE),0),
IF(AX866="K",VLOOKUP(K866,Foundation_Calc!$K$117:$R$151,VLOOKUP(AW866,Foundation_Calc!$I$2:$J$8,2,FALSE),0),"")))</f>
        <v/>
      </c>
      <c r="BA866" s="495" t="str">
        <f t="shared" si="112"/>
        <v>ü</v>
      </c>
      <c r="BB866" s="495" t="str">
        <f t="shared" si="113"/>
        <v/>
      </c>
      <c r="BC866" s="495" t="str">
        <f t="shared" si="114"/>
        <v/>
      </c>
      <c r="BD866" s="513" t="str">
        <f>IF(AND(L866="",H866=""),"",
IF(H866="",Pole_Calc!A$9,
IF(H866="MP",Pole_Calc!A$10,
IF(H866="AnMP",Pole_Calc!A$11,
IF(H866="A",Pole_Calc!A$12,
IF(H866="S/A",Pole_Calc!A$13,
IF(H866="A/S",Pole_Calc!A$14,"Poner a mano")))))))</f>
        <v>App.7-V11I-P9.5.1.1</v>
      </c>
      <c r="BE866" s="429" t="s">
        <v>118</v>
      </c>
      <c r="BF866" s="289"/>
      <c r="BG866" s="289"/>
      <c r="BH866" s="290"/>
      <c r="BI866" s="289"/>
    </row>
    <row r="867" spans="1:61" ht="15.75" customHeight="1">
      <c r="A867" s="518"/>
      <c r="B867" s="450"/>
      <c r="C867" s="3"/>
      <c r="D867" s="83"/>
      <c r="E867" s="4"/>
      <c r="F867" s="4"/>
      <c r="G867" s="6">
        <v>50</v>
      </c>
      <c r="H867" s="449"/>
      <c r="I867" s="4"/>
      <c r="J867" s="3"/>
      <c r="K867" s="449"/>
      <c r="L867" s="449"/>
      <c r="M867" s="449" t="str">
        <f>IF(L867="","",
IF(AX867="PT",VLOOKUP(L867,Foundation_Calc!$V$79:$X$113,VLOOKUP(AX867,Foundation_Calc!$I$10:$J$13,2,FALSE),0),
IF(AX867="K",VLOOKUP(L867,Foundation_Calc!$V$117:$X$151,VLOOKUP(AX867,Foundation_Calc!$I$10:$J$13,2,FALSE),0),"")))</f>
        <v/>
      </c>
      <c r="N867" s="449"/>
      <c r="O867" s="449"/>
      <c r="P867" s="449"/>
      <c r="Q867" s="4"/>
      <c r="R867" s="6"/>
      <c r="S867" s="6"/>
      <c r="T867" s="4"/>
      <c r="U867" s="4"/>
      <c r="V867" s="4"/>
      <c r="W867" s="572"/>
      <c r="X867" s="9"/>
      <c r="Y867" s="9"/>
      <c r="Z867" s="9"/>
      <c r="AA867" s="9"/>
      <c r="AB867" s="9"/>
      <c r="AC867" s="449" t="str">
        <f t="shared" si="118"/>
        <v/>
      </c>
      <c r="AD867" s="449"/>
      <c r="AE867" s="449"/>
      <c r="AF867" s="4"/>
      <c r="AG867" s="83"/>
      <c r="AH867" s="4"/>
      <c r="AI867" s="4"/>
      <c r="AJ867" s="449"/>
      <c r="AK867" s="449"/>
      <c r="AL867" s="449"/>
      <c r="AM867" s="449"/>
      <c r="AN867" s="10"/>
      <c r="AO867" s="9"/>
      <c r="AP867" s="9"/>
      <c r="AQ867" s="9">
        <f>+FL_2($T$868,$T$866,$G$867,1200,9.28, 1*$F$868)</f>
        <v>-0.36839079999999996</v>
      </c>
      <c r="AR867" s="9"/>
      <c r="AS867" s="9"/>
      <c r="AT867" s="9"/>
      <c r="AU867" s="428"/>
      <c r="AV867" s="428"/>
      <c r="AW867" s="449" t="str">
        <f>IF(C867&gt;0,VLOOKUP(C867,Foundation_Calc!$A$2:$C$13,3,1),
IF(J867&gt;0,VLOOKUP(J867,Foundation_Calc!$A$2:$C$13,3,1),""))</f>
        <v/>
      </c>
      <c r="AX867" s="449" t="str">
        <f>IF(C867&gt;0,VLOOKUP(C867,Foundation_Calc!$E$35:$G$65,3,1),
IF(J867&gt;0,VLOOKUP(J867,Foundation_Calc!$E$35:$G$65,3,1),""))</f>
        <v/>
      </c>
      <c r="AY867" s="10" t="str">
        <f>IF(L867="","",
IF(AX867="PT",VLOOKUP(L867,Foundation_Calc!$K$79:$R$113,VLOOKUP(AW867,Foundation_Calc!$I$2:$J$8,2,FALSE),0),
IF(AX867="K",VLOOKUP(L867,Foundation_Calc!$K$117:$R$151,VLOOKUP(AW867,Foundation_Calc!$I$2:$J$8,2,FALSE),0),"")))</f>
        <v/>
      </c>
      <c r="AZ867" s="10" t="str">
        <f>IF(K867="","",
IF(AX867="PT",VLOOKUP(K867,Foundation_Calc!$K$79:$R$113,VLOOKUP(AW867,Foundation_Calc!$I$2:$J$8,2,FALSE),0),
IF(AX867="K",VLOOKUP(K867,Foundation_Calc!$K$117:$R$151,VLOOKUP(AW867,Foundation_Calc!$I$2:$J$8,2,FALSE),0),"")))</f>
        <v/>
      </c>
      <c r="BA867" s="495" t="str">
        <f t="shared" ref="BA867:BA930" si="119">IF(AY867="","",IF(AY867&gt;0,"ü",""))</f>
        <v/>
      </c>
      <c r="BB867" s="495" t="str">
        <f t="shared" ref="BB867:BB930" si="120">IF(AZ867="","",IF(AZ867&gt;0,"ü",""))</f>
        <v/>
      </c>
      <c r="BC867" s="495" t="str">
        <f t="shared" ref="BC867:BC930" si="121">IF(M867="","",IF(M867="U.S.","ü",IF(M867="U.S. N.D.","ü","")))</f>
        <v/>
      </c>
      <c r="BD867" s="513" t="str">
        <f>IF(AND(L867="",H867=""),"",
IF(H867="",Pole_Calc!A$9,
IF(H867="MP",Pole_Calc!A$10,
IF(H867="AnMP",Pole_Calc!A$11,
IF(H867="A",Pole_Calc!A$12,
IF(H867="S/A",Pole_Calc!A$13,
IF(H867="A/S",Pole_Calc!A$14,"Poner a mano")))))))</f>
        <v/>
      </c>
      <c r="BE867" s="429" t="s">
        <v>118</v>
      </c>
      <c r="BF867" s="290"/>
      <c r="BG867" s="290"/>
      <c r="BH867" s="290"/>
      <c r="BI867" s="290"/>
    </row>
    <row r="868" spans="1:61" ht="15.75" customHeight="1">
      <c r="A868" s="514"/>
      <c r="B868" s="450" t="s">
        <v>1388</v>
      </c>
      <c r="C868" s="3">
        <f>+$C$866+$G$867</f>
        <v>50907.98000000001</v>
      </c>
      <c r="D868" s="83"/>
      <c r="E868" s="4"/>
      <c r="F868" s="4">
        <v>0</v>
      </c>
      <c r="G868" s="6"/>
      <c r="H868" s="449"/>
      <c r="I868" s="4"/>
      <c r="J868" s="3"/>
      <c r="K868" s="449"/>
      <c r="L868" s="449" t="s">
        <v>153</v>
      </c>
      <c r="M868" s="449" t="str">
        <f>IF(L868="","",
IF(AX868="PT",VLOOKUP(L868,Foundation_Calc!$V$79:$X$113,VLOOKUP(AX868,Foundation_Calc!$I$10:$J$13,2,FALSE),0),
IF(AX868="K",VLOOKUP(L868,Foundation_Calc!$V$117:$X$151,VLOOKUP(AX868,Foundation_Calc!$I$10:$J$13,2,FALSE),0),"")))</f>
        <v>C3R</v>
      </c>
      <c r="N868" s="449" t="s">
        <v>124</v>
      </c>
      <c r="O868" s="449"/>
      <c r="P868" s="449"/>
      <c r="Q868" s="4"/>
      <c r="R868" s="6"/>
      <c r="S868" s="6"/>
      <c r="T868" s="4">
        <v>-35</v>
      </c>
      <c r="U868" s="4"/>
      <c r="V868" s="4"/>
      <c r="W868" s="572">
        <v>1.2</v>
      </c>
      <c r="X868" s="9"/>
      <c r="Y868" s="9"/>
      <c r="Z868" s="9"/>
      <c r="AA868" s="9"/>
      <c r="AB868" s="9"/>
      <c r="AC868" s="449" t="str">
        <f t="shared" si="118"/>
        <v>PHQ</v>
      </c>
      <c r="AD868" s="449"/>
      <c r="AE868" s="449"/>
      <c r="AF868" s="4"/>
      <c r="AG868" s="83"/>
      <c r="AH868" s="4"/>
      <c r="AI868" s="4"/>
      <c r="AJ868" s="449"/>
      <c r="AK868" s="449"/>
      <c r="AL868" s="449"/>
      <c r="AM868" s="449" t="s">
        <v>552</v>
      </c>
      <c r="AN868" s="10">
        <f>AN866+0.1</f>
        <v>5.31</v>
      </c>
      <c r="AO868" s="9"/>
      <c r="AP868" s="9"/>
      <c r="AQ868" s="9"/>
      <c r="AR868" s="9"/>
      <c r="AS868" s="9"/>
      <c r="AT868" s="9">
        <f>+ab($T$868,$T$866,$T$870,$G$867,$G$869, 1*$F$868,1200)</f>
        <v>-7.1424424584170572</v>
      </c>
      <c r="AU868" s="428"/>
      <c r="AV868" s="428"/>
      <c r="AW868" s="449" t="str">
        <f>IF(C868&gt;0,VLOOKUP(C868,Foundation_Calc!$A$2:$C$13,3,1),
IF(J868&gt;0,VLOOKUP(J868,Foundation_Calc!$A$2:$C$13,3,1),""))</f>
        <v>Multi Soil</v>
      </c>
      <c r="AX868" s="449" t="str">
        <f>IF(C868&gt;0,VLOOKUP(C868,Foundation_Calc!$E$35:$G$65,3,1),
IF(J868&gt;0,VLOOKUP(J868,Foundation_Calc!$E$35:$G$65,3,1),""))</f>
        <v>PT</v>
      </c>
      <c r="AY868" s="10">
        <f>IF(L868="","",
IF(AX868="PT",VLOOKUP(L868,Foundation_Calc!$K$79:$R$113,VLOOKUP(AW868,Foundation_Calc!$I$2:$J$8,2,FALSE),0),
IF(AX868="K",VLOOKUP(L868,Foundation_Calc!$K$117:$R$151,VLOOKUP(AW868,Foundation_Calc!$I$2:$J$8,2,FALSE),0),"")))</f>
        <v>3.5</v>
      </c>
      <c r="AZ868" s="10" t="str">
        <f>IF(K868="","",
IF(AX868="PT",VLOOKUP(K868,Foundation_Calc!$K$79:$R$113,VLOOKUP(AW868,Foundation_Calc!$I$2:$J$8,2,FALSE),0),
IF(AX868="K",VLOOKUP(K868,Foundation_Calc!$K$117:$R$151,VLOOKUP(AW868,Foundation_Calc!$I$2:$J$8,2,FALSE),0),"")))</f>
        <v/>
      </c>
      <c r="BA868" s="495" t="str">
        <f t="shared" si="119"/>
        <v>ü</v>
      </c>
      <c r="BB868" s="495" t="str">
        <f t="shared" si="120"/>
        <v/>
      </c>
      <c r="BC868" s="495" t="str">
        <f t="shared" si="121"/>
        <v/>
      </c>
      <c r="BD868" s="513" t="str">
        <f>IF(AND(L868="",H868=""),"",
IF(H868="",Pole_Calc!A$9,
IF(H868="MP",Pole_Calc!A$10,
IF(H868="AnMP",Pole_Calc!A$11,
IF(H868="A",Pole_Calc!A$12,
IF(H868="S/A",Pole_Calc!A$13,
IF(H868="A/S",Pole_Calc!A$14,"Poner a mano")))))))</f>
        <v>App.7-V11I-P9.5.1.1</v>
      </c>
      <c r="BE868" s="429" t="s">
        <v>118</v>
      </c>
      <c r="BF868" s="289"/>
      <c r="BG868" s="289"/>
      <c r="BH868" s="290"/>
      <c r="BI868" s="289"/>
    </row>
    <row r="869" spans="1:61" ht="15.75" customHeight="1">
      <c r="A869" s="514"/>
      <c r="B869" s="450"/>
      <c r="C869" s="3"/>
      <c r="D869" s="83"/>
      <c r="E869" s="4"/>
      <c r="F869" s="4"/>
      <c r="G869" s="6">
        <v>55</v>
      </c>
      <c r="H869" s="449"/>
      <c r="I869" s="4"/>
      <c r="J869" s="3">
        <f>C870-7.5</f>
        <v>50955.48000000001</v>
      </c>
      <c r="K869" s="449" t="s">
        <v>166</v>
      </c>
      <c r="L869" s="449"/>
      <c r="M869" s="449" t="str">
        <f>IF(L869="","",
IF(AX869="PT",VLOOKUP(L869,Foundation_Calc!$V$79:$X$113,VLOOKUP(AX869,Foundation_Calc!$I$10:$J$13,2,FALSE),0),
IF(AX869="K",VLOOKUP(L869,Foundation_Calc!$V$117:$X$151,VLOOKUP(AX869,Foundation_Calc!$I$10:$J$13,2,FALSE),0),"")))</f>
        <v/>
      </c>
      <c r="N869" s="449"/>
      <c r="O869" s="449"/>
      <c r="P869" s="449"/>
      <c r="Q869" s="4"/>
      <c r="R869" s="6"/>
      <c r="S869" s="6"/>
      <c r="T869" s="4"/>
      <c r="U869" s="4"/>
      <c r="V869" s="4"/>
      <c r="W869" s="9"/>
      <c r="X869" s="9"/>
      <c r="Y869" s="9"/>
      <c r="Z869" s="9"/>
      <c r="AA869" s="9"/>
      <c r="AB869" s="9"/>
      <c r="AC869" s="449" t="str">
        <f t="shared" si="118"/>
        <v/>
      </c>
      <c r="AD869" s="449"/>
      <c r="AE869" s="449"/>
      <c r="AF869" s="4"/>
      <c r="AG869" s="83"/>
      <c r="AH869" s="4"/>
      <c r="AI869" s="4"/>
      <c r="AJ869" s="449"/>
      <c r="AK869" s="449"/>
      <c r="AL869" s="449"/>
      <c r="AM869" s="449"/>
      <c r="AN869" s="10"/>
      <c r="AO869" s="9"/>
      <c r="AP869" s="9"/>
      <c r="AQ869" s="9">
        <f>+FL_2($T$870,$T$868,$G$869,1200,9.28, 1*$F$870)</f>
        <v>-0.39714735709090898</v>
      </c>
      <c r="AR869" s="9"/>
      <c r="AS869" s="9"/>
      <c r="AT869" s="9"/>
      <c r="AU869" s="428"/>
      <c r="AV869" s="428"/>
      <c r="AW869" s="449" t="str">
        <f>IF(C869&gt;0,VLOOKUP(C869,Foundation_Calc!$A$2:$C$13,3,1),
IF(J869&gt;0,VLOOKUP(J869,Foundation_Calc!$A$2:$C$13,3,1),""))</f>
        <v>Multi Soil</v>
      </c>
      <c r="AX869" s="449" t="str">
        <f>IF(C869&gt;0,VLOOKUP(C869,Foundation_Calc!$E$35:$G$65,3,1),
IF(J869&gt;0,VLOOKUP(J869,Foundation_Calc!$E$35:$G$65,3,1),""))</f>
        <v>PT</v>
      </c>
      <c r="AY869" s="10" t="str">
        <f>IF(L869="","",
IF(AX869="PT",VLOOKUP(L869,Foundation_Calc!$K$79:$R$113,VLOOKUP(AW869,Foundation_Calc!$I$2:$J$8,2,FALSE),0),
IF(AX869="K",VLOOKUP(L869,Foundation_Calc!$K$117:$R$151,VLOOKUP(AW869,Foundation_Calc!$I$2:$J$8,2,FALSE),0),"")))</f>
        <v/>
      </c>
      <c r="AZ869" s="10">
        <f>IF(K869="","",
IF(AX869="PT",VLOOKUP(K869,Foundation_Calc!$K$79:$R$113,VLOOKUP(AW869,Foundation_Calc!$I$2:$J$8,2,FALSE),0),
IF(AX869="K",VLOOKUP(K869,Foundation_Calc!$K$117:$R$151,VLOOKUP(AW869,Foundation_Calc!$I$2:$J$8,2,FALSE),0),"")))</f>
        <v>2.8</v>
      </c>
      <c r="BA869" s="495" t="str">
        <f t="shared" si="119"/>
        <v/>
      </c>
      <c r="BB869" s="495" t="str">
        <f t="shared" si="120"/>
        <v>ü</v>
      </c>
      <c r="BC869" s="495" t="str">
        <f t="shared" si="121"/>
        <v/>
      </c>
      <c r="BD869" s="513" t="str">
        <f>IF(AND(L869="",H869=""),"",
IF(H869="",Pole_Calc!A$9,
IF(H869="MP",Pole_Calc!A$10,
IF(H869="AnMP",Pole_Calc!A$11,
IF(H869="A",Pole_Calc!A$12,
IF(H869="S/A",Pole_Calc!A$13,
IF(H869="A/S",Pole_Calc!A$14,"Poner a mano")))))))</f>
        <v/>
      </c>
      <c r="BE869" s="429" t="s">
        <v>118</v>
      </c>
      <c r="BF869" s="290"/>
      <c r="BG869" s="290"/>
      <c r="BH869" s="290"/>
      <c r="BI869" s="290"/>
    </row>
    <row r="870" spans="1:61" ht="15.75" customHeight="1">
      <c r="A870" s="514"/>
      <c r="B870" s="450" t="s">
        <v>1389</v>
      </c>
      <c r="C870" s="3">
        <f>+$C$868+$G$869</f>
        <v>50962.98000000001</v>
      </c>
      <c r="D870" s="83"/>
      <c r="E870" s="4"/>
      <c r="F870" s="4">
        <v>0</v>
      </c>
      <c r="G870" s="6"/>
      <c r="H870" s="449" t="s">
        <v>168</v>
      </c>
      <c r="I870" s="4"/>
      <c r="J870" s="3"/>
      <c r="K870" s="449"/>
      <c r="L870" s="449" t="s">
        <v>158</v>
      </c>
      <c r="M870" s="449" t="str">
        <f>IF(L870="","",
IF(AX870="PT",VLOOKUP(L870,Foundation_Calc!$V$79:$X$113,VLOOKUP(AX870,Foundation_Calc!$I$10:$J$13,2,FALSE),0),
IF(AX870="K",VLOOKUP(L870,Foundation_Calc!$V$117:$X$151,VLOOKUP(AX870,Foundation_Calc!$I$10:$J$13,2,FALSE),0),"")))</f>
        <v>C4R</v>
      </c>
      <c r="N870" s="449" t="s">
        <v>134</v>
      </c>
      <c r="O870" s="449"/>
      <c r="P870" s="449"/>
      <c r="Q870" s="4"/>
      <c r="R870" s="6"/>
      <c r="S870" s="6"/>
      <c r="T870" s="4">
        <v>35</v>
      </c>
      <c r="U870" s="4"/>
      <c r="V870" s="4"/>
      <c r="W870" s="9">
        <v>1.4</v>
      </c>
      <c r="X870" s="9"/>
      <c r="Y870" s="9"/>
      <c r="Z870" s="9"/>
      <c r="AA870" s="9"/>
      <c r="AB870" s="9"/>
      <c r="AC870" s="449" t="str">
        <f t="shared" si="118"/>
        <v>PHQ</v>
      </c>
      <c r="AD870" s="449"/>
      <c r="AE870" s="449"/>
      <c r="AF870" s="4"/>
      <c r="AG870" s="83"/>
      <c r="AH870" s="4"/>
      <c r="AI870" s="4"/>
      <c r="AJ870" s="449"/>
      <c r="AK870" s="449"/>
      <c r="AL870" s="449"/>
      <c r="AM870" s="449" t="s">
        <v>552</v>
      </c>
      <c r="AN870" s="10">
        <f>AN872-0.08</f>
        <v>5.42</v>
      </c>
      <c r="AO870" s="9"/>
      <c r="AP870" s="9"/>
      <c r="AQ870" s="9"/>
      <c r="AR870" s="9"/>
      <c r="AS870" s="9"/>
      <c r="AT870" s="9">
        <f>+ab($T$870,$T$868,$T$872,$G$869,$G$871, 1*$F$870,1200)</f>
        <v>7.8175137683875535</v>
      </c>
      <c r="AU870" s="428"/>
      <c r="AV870" s="428"/>
      <c r="AW870" s="449" t="str">
        <f>IF(C870&gt;0,VLOOKUP(C870,Foundation_Calc!$A$2:$C$13,3,1),
IF(J870&gt;0,VLOOKUP(J870,Foundation_Calc!$A$2:$C$13,3,1),""))</f>
        <v>Multi Soil</v>
      </c>
      <c r="AX870" s="449" t="str">
        <f>IF(C870&gt;0,VLOOKUP(C870,Foundation_Calc!$E$35:$G$65,3,1),
IF(J870&gt;0,VLOOKUP(J870,Foundation_Calc!$E$35:$G$65,3,1),""))</f>
        <v>PT</v>
      </c>
      <c r="AY870" s="10">
        <f>IF(L870="","",
IF(AX870="PT",VLOOKUP(L870,Foundation_Calc!$K$79:$R$113,VLOOKUP(AW870,Foundation_Calc!$I$2:$J$8,2,FALSE),0),
IF(AX870="K",VLOOKUP(L870,Foundation_Calc!$K$117:$R$151,VLOOKUP(AW870,Foundation_Calc!$I$2:$J$8,2,FALSE),0),"")))</f>
        <v>3.5</v>
      </c>
      <c r="AZ870" s="10" t="str">
        <f>IF(K870="","",
IF(AX870="PT",VLOOKUP(K870,Foundation_Calc!$K$79:$R$113,VLOOKUP(AW870,Foundation_Calc!$I$2:$J$8,2,FALSE),0),
IF(AX870="K",VLOOKUP(K870,Foundation_Calc!$K$117:$R$151,VLOOKUP(AW870,Foundation_Calc!$I$2:$J$8,2,FALSE),0),"")))</f>
        <v/>
      </c>
      <c r="BA870" s="495" t="str">
        <f t="shared" si="119"/>
        <v>ü</v>
      </c>
      <c r="BB870" s="495" t="str">
        <f t="shared" si="120"/>
        <v/>
      </c>
      <c r="BC870" s="495" t="str">
        <f t="shared" si="121"/>
        <v/>
      </c>
      <c r="BD870" s="513" t="str">
        <f>IF(AND(L870="",H870=""),"",
IF(H870="",Pole_Calc!A$9,
IF(H870="MP",Pole_Calc!A$10,
IF(H870="AnMP",Pole_Calc!A$11,
IF(H870="A",Pole_Calc!A$12,
IF(H870="S/A",Pole_Calc!A$13,
IF(H870="A/S",Pole_Calc!A$14,"Poner a mano")))))))</f>
        <v>App.7-V11I-P9.5.1.3</v>
      </c>
      <c r="BE870" s="429" t="s">
        <v>118</v>
      </c>
      <c r="BF870" s="289"/>
      <c r="BG870" s="289"/>
      <c r="BH870" s="290"/>
      <c r="BI870" s="289"/>
    </row>
    <row r="871" spans="1:61" ht="15.75" customHeight="1">
      <c r="A871" s="514"/>
      <c r="B871" s="450"/>
      <c r="C871" s="3"/>
      <c r="D871" s="83"/>
      <c r="E871" s="4"/>
      <c r="F871" s="4"/>
      <c r="G871" s="6">
        <v>60</v>
      </c>
      <c r="H871" s="449"/>
      <c r="I871" s="4">
        <f>SUM(G853:G871)</f>
        <v>539.1</v>
      </c>
      <c r="J871" s="3"/>
      <c r="K871" s="449"/>
      <c r="L871" s="449"/>
      <c r="M871" s="449" t="str">
        <f>IF(L871="","",
IF(AX871="PT",VLOOKUP(L871,Foundation_Calc!$V$79:$X$113,VLOOKUP(AX871,Foundation_Calc!$I$10:$J$13,2,FALSE),0),
IF(AX871="K",VLOOKUP(L871,Foundation_Calc!$V$117:$X$151,VLOOKUP(AX871,Foundation_Calc!$I$10:$J$13,2,FALSE),0),"")))</f>
        <v/>
      </c>
      <c r="N871" s="449"/>
      <c r="O871" s="561"/>
      <c r="P871" s="449"/>
      <c r="Q871" s="4"/>
      <c r="R871" s="6"/>
      <c r="S871" s="6"/>
      <c r="T871" s="4"/>
      <c r="U871" s="4"/>
      <c r="V871" s="4"/>
      <c r="W871" s="9"/>
      <c r="X871" s="9"/>
      <c r="Y871" s="9"/>
      <c r="Z871" s="9"/>
      <c r="AA871" s="9"/>
      <c r="AB871" s="9"/>
      <c r="AC871" s="449" t="str">
        <f t="shared" si="118"/>
        <v/>
      </c>
      <c r="AD871" s="449"/>
      <c r="AE871" s="449"/>
      <c r="AF871" s="4"/>
      <c r="AG871" s="83"/>
      <c r="AH871" s="4"/>
      <c r="AI871" s="4"/>
      <c r="AJ871" s="449"/>
      <c r="AK871" s="449"/>
      <c r="AL871" s="449"/>
      <c r="AM871" s="449"/>
      <c r="AN871" s="10"/>
      <c r="AO871" s="9"/>
      <c r="AP871" s="9"/>
      <c r="AQ871" s="9">
        <f>+FL_2($T$872,$T$870,$G$871,1200,9.28, 1*$F$872)</f>
        <v>-0.43600286799999999</v>
      </c>
      <c r="AR871" s="9"/>
      <c r="AS871" s="9"/>
      <c r="AT871" s="9"/>
      <c r="AU871" s="428"/>
      <c r="AV871" s="428"/>
      <c r="AW871" s="449" t="str">
        <f>IF(C871&gt;0,VLOOKUP(C871,Foundation_Calc!$A$2:$C$13,3,1),
IF(J871&gt;0,VLOOKUP(J871,Foundation_Calc!$A$2:$C$13,3,1),""))</f>
        <v/>
      </c>
      <c r="AX871" s="449" t="str">
        <f>IF(C871&gt;0,VLOOKUP(C871,Foundation_Calc!$E$35:$G$65,3,1),
IF(J871&gt;0,VLOOKUP(J871,Foundation_Calc!$E$35:$G$65,3,1),""))</f>
        <v/>
      </c>
      <c r="AY871" s="10" t="str">
        <f>IF(L871="","",
IF(AX871="PT",VLOOKUP(L871,Foundation_Calc!$K$79:$R$113,VLOOKUP(AW871,Foundation_Calc!$I$2:$J$8,2,FALSE),0),
IF(AX871="K",VLOOKUP(L871,Foundation_Calc!$K$117:$R$151,VLOOKUP(AW871,Foundation_Calc!$I$2:$J$8,2,FALSE),0),"")))</f>
        <v/>
      </c>
      <c r="AZ871" s="10" t="str">
        <f>IF(K871="","",
IF(AX871="PT",VLOOKUP(K871,Foundation_Calc!$K$79:$R$113,VLOOKUP(AW871,Foundation_Calc!$I$2:$J$8,2,FALSE),0),
IF(AX871="K",VLOOKUP(K871,Foundation_Calc!$K$117:$R$151,VLOOKUP(AW871,Foundation_Calc!$I$2:$J$8,2,FALSE),0),"")))</f>
        <v/>
      </c>
      <c r="BA871" s="495" t="str">
        <f t="shared" ref="BA871:BA893" si="122">IF(AY871="","",IF(AY871&gt;0,"ü",""))</f>
        <v/>
      </c>
      <c r="BB871" s="495" t="str">
        <f t="shared" ref="BB871:BB893" si="123">IF(AZ871="","",IF(AZ871&gt;0,"ü",""))</f>
        <v/>
      </c>
      <c r="BC871" s="495" t="str">
        <f t="shared" ref="BC871:BC893" si="124">IF(M871="","",IF(M871="U.S.","ü",IF(M871="U.S. N.D.","ü","")))</f>
        <v/>
      </c>
      <c r="BD871" s="513" t="str">
        <f>IF(AND(L871="",H871=""),"",
IF(H871="",Pole_Calc!A$9,
IF(H871="MP",Pole_Calc!A$10,
IF(H871="AnMP",Pole_Calc!A$11,
IF(H871="A",Pole_Calc!A$12,
IF(H871="S/A",Pole_Calc!A$13,
IF(H871="A/S",Pole_Calc!A$14,"Poner a mano")))))))</f>
        <v/>
      </c>
      <c r="BE871" s="429" t="s">
        <v>118</v>
      </c>
      <c r="BF871" s="290"/>
      <c r="BG871" s="290"/>
      <c r="BH871" s="290"/>
      <c r="BI871" s="290"/>
    </row>
    <row r="872" spans="1:61" ht="15.75" customHeight="1">
      <c r="A872" s="514"/>
      <c r="B872" s="450" t="s">
        <v>1390</v>
      </c>
      <c r="C872" s="3">
        <f>+$C$870+$G$871</f>
        <v>51022.98000000001</v>
      </c>
      <c r="D872" s="83"/>
      <c r="E872" s="4"/>
      <c r="F872" s="4">
        <v>0</v>
      </c>
      <c r="G872" s="6"/>
      <c r="H872" s="449" t="s">
        <v>171</v>
      </c>
      <c r="I872" s="4"/>
      <c r="J872" s="3"/>
      <c r="K872" s="449"/>
      <c r="L872" s="449" t="s">
        <v>153</v>
      </c>
      <c r="M872" s="449" t="str">
        <f>IF(L872="","",
IF(AX872="PT",VLOOKUP(L872,Foundation_Calc!$V$79:$X$113,VLOOKUP(AX872,Foundation_Calc!$I$10:$J$13,2,FALSE),0),
IF(AX872="K",VLOOKUP(L872,Foundation_Calc!$V$117:$X$151,VLOOKUP(AX872,Foundation_Calc!$I$10:$J$13,2,FALSE),0),"")))</f>
        <v>C3R</v>
      </c>
      <c r="N872" s="449" t="s">
        <v>124</v>
      </c>
      <c r="O872" s="449"/>
      <c r="P872" s="449"/>
      <c r="Q872" s="4"/>
      <c r="R872" s="6"/>
      <c r="S872" s="6"/>
      <c r="T872" s="4">
        <v>-35</v>
      </c>
      <c r="U872" s="4"/>
      <c r="V872" s="4"/>
      <c r="W872" s="9">
        <v>1.4</v>
      </c>
      <c r="X872" s="9"/>
      <c r="Y872" s="9"/>
      <c r="Z872" s="9"/>
      <c r="AA872" s="9"/>
      <c r="AB872" s="9"/>
      <c r="AC872" s="449" t="str">
        <f t="shared" si="118"/>
        <v>PHQ</v>
      </c>
      <c r="AD872" s="449"/>
      <c r="AE872" s="449"/>
      <c r="AF872" s="4"/>
      <c r="AG872" s="83"/>
      <c r="AH872" s="4"/>
      <c r="AI872" s="4"/>
      <c r="AJ872" s="449"/>
      <c r="AK872" s="449"/>
      <c r="AL872" s="449"/>
      <c r="AM872" s="449" t="s">
        <v>552</v>
      </c>
      <c r="AN872" s="10">
        <v>5.5</v>
      </c>
      <c r="AO872" s="9"/>
      <c r="AP872" s="9"/>
      <c r="AQ872" s="9"/>
      <c r="AR872" s="9"/>
      <c r="AS872" s="9"/>
      <c r="AT872" s="9">
        <f>+ab($T$872,$T$870,$T$874,$G$871,$G$873, 1*$F$872,1200)</f>
        <v>-7.8175501667728815</v>
      </c>
      <c r="AU872" s="428"/>
      <c r="AV872" s="428"/>
      <c r="AW872" s="449" t="str">
        <f>IF(C872&gt;0,VLOOKUP(C872,Foundation_Calc!$A$2:$C$13,3,1),
IF(J872&gt;0,VLOOKUP(J872,Foundation_Calc!$A$2:$C$13,3,1),""))</f>
        <v>Multi Soil</v>
      </c>
      <c r="AX872" s="449" t="str">
        <f>IF(C872&gt;0,VLOOKUP(C872,Foundation_Calc!$E$35:$G$65,3,1),
IF(J872&gt;0,VLOOKUP(J872,Foundation_Calc!$E$35:$G$65,3,1),""))</f>
        <v>PT</v>
      </c>
      <c r="AY872" s="10">
        <f>IF(L872="","",
IF(AX872="PT",VLOOKUP(L872,Foundation_Calc!$K$79:$R$113,VLOOKUP(AW872,Foundation_Calc!$I$2:$J$8,2,FALSE),0),
IF(AX872="K",VLOOKUP(L872,Foundation_Calc!$K$117:$R$151,VLOOKUP(AW872,Foundation_Calc!$I$2:$J$8,2,FALSE),0),"")))</f>
        <v>3.5</v>
      </c>
      <c r="AZ872" s="10" t="str">
        <f>IF(K872="","",
IF(AX872="PT",VLOOKUP(K872,Foundation_Calc!$K$79:$R$113,VLOOKUP(AW872,Foundation_Calc!$I$2:$J$8,2,FALSE),0),
IF(AX872="K",VLOOKUP(K872,Foundation_Calc!$K$117:$R$151,VLOOKUP(AW872,Foundation_Calc!$I$2:$J$8,2,FALSE),0),"")))</f>
        <v/>
      </c>
      <c r="BA872" s="495" t="str">
        <f t="shared" si="122"/>
        <v>ü</v>
      </c>
      <c r="BB872" s="495" t="str">
        <f t="shared" si="123"/>
        <v/>
      </c>
      <c r="BC872" s="495" t="str">
        <f t="shared" si="124"/>
        <v/>
      </c>
      <c r="BD872" s="513" t="str">
        <f>IF(AND(L872="",H872=""),"",
IF(H872="",Pole_Calc!A$9,
IF(H872="MP",Pole_Calc!A$10,
IF(H872="AnMP",Pole_Calc!A$11,
IF(H872="A",Pole_Calc!A$12,
IF(H872="S/A",Pole_Calc!A$13,
IF(H872="A/S",Pole_Calc!A$14,"Poner a mano")))))))</f>
        <v>App.7-V11I-P9.5.1.2</v>
      </c>
      <c r="BE872" s="429" t="s">
        <v>118</v>
      </c>
      <c r="BF872" s="289"/>
      <c r="BG872" s="289"/>
      <c r="BH872" s="290"/>
      <c r="BI872" s="289"/>
    </row>
    <row r="873" spans="1:61" ht="15.75" customHeight="1">
      <c r="A873" s="518"/>
      <c r="B873" s="450"/>
      <c r="C873" s="3"/>
      <c r="D873" s="83"/>
      <c r="E873" s="4"/>
      <c r="F873" s="4"/>
      <c r="G873" s="6">
        <v>55</v>
      </c>
      <c r="H873" s="449"/>
      <c r="I873" s="4">
        <f>SUM(G873:G889)</f>
        <v>430</v>
      </c>
      <c r="J873" s="3"/>
      <c r="K873" s="449"/>
      <c r="L873" s="449"/>
      <c r="M873" s="449" t="str">
        <f>IF(L873="","",
IF(AX873="PT",VLOOKUP(L873,Foundation_Calc!$V$79:$X$113,VLOOKUP(AX873,Foundation_Calc!$I$10:$J$13,2,FALSE),0),
IF(AX873="K",VLOOKUP(L873,Foundation_Calc!$V$117:$X$151,VLOOKUP(AX873,Foundation_Calc!$I$10:$J$13,2,FALSE),0),"")))</f>
        <v/>
      </c>
      <c r="N873" s="449"/>
      <c r="O873" s="449"/>
      <c r="P873" s="449"/>
      <c r="Q873" s="4"/>
      <c r="R873" s="6"/>
      <c r="S873" s="6"/>
      <c r="T873" s="4"/>
      <c r="U873" s="4"/>
      <c r="V873" s="4"/>
      <c r="W873" s="9"/>
      <c r="X873" s="9"/>
      <c r="Y873" s="9"/>
      <c r="Z873" s="9"/>
      <c r="AA873" s="9"/>
      <c r="AB873" s="9"/>
      <c r="AC873" s="449" t="str">
        <f t="shared" si="118"/>
        <v/>
      </c>
      <c r="AD873" s="449"/>
      <c r="AE873" s="449"/>
      <c r="AF873" s="4"/>
      <c r="AG873" s="83"/>
      <c r="AH873" s="4"/>
      <c r="AI873" s="4"/>
      <c r="AJ873" s="449"/>
      <c r="AK873" s="449"/>
      <c r="AL873" s="449"/>
      <c r="AM873" s="449"/>
      <c r="AN873" s="10"/>
      <c r="AO873" s="9"/>
      <c r="AP873" s="9"/>
      <c r="AQ873" s="9">
        <f>+FL_1($T$874,$T$872,$G$873,1200,9.28, 1*$F$874)</f>
        <v>0.40135733908016036</v>
      </c>
      <c r="AR873" s="9"/>
      <c r="AS873" s="9"/>
      <c r="AT873" s="9"/>
      <c r="AU873" s="428"/>
      <c r="AV873" s="428"/>
      <c r="AW873" s="449" t="str">
        <f>IF(C873&gt;0,VLOOKUP(C873,Foundation_Calc!$A$2:$C$13,3,1),
IF(J873&gt;0,VLOOKUP(J873,Foundation_Calc!$A$2:$C$13,3,1),""))</f>
        <v/>
      </c>
      <c r="AX873" s="449" t="str">
        <f>IF(C873&gt;0,VLOOKUP(C873,Foundation_Calc!$E$35:$G$65,3,1),
IF(J873&gt;0,VLOOKUP(J873,Foundation_Calc!$E$35:$G$65,3,1),""))</f>
        <v/>
      </c>
      <c r="AY873" s="10" t="str">
        <f>IF(L873="","",
IF(AX873="PT",VLOOKUP(L873,Foundation_Calc!$K$79:$R$113,VLOOKUP(AW873,Foundation_Calc!$I$2:$J$8,2,FALSE),0),
IF(AX873="K",VLOOKUP(L873,Foundation_Calc!$K$117:$R$151,VLOOKUP(AW873,Foundation_Calc!$I$2:$J$8,2,FALSE),0),"")))</f>
        <v/>
      </c>
      <c r="AZ873" s="10" t="str">
        <f>IF(K873="","",
IF(AX873="PT",VLOOKUP(K873,Foundation_Calc!$K$79:$R$113,VLOOKUP(AW873,Foundation_Calc!$I$2:$J$8,2,FALSE),0),
IF(AX873="K",VLOOKUP(K873,Foundation_Calc!$K$117:$R$151,VLOOKUP(AW873,Foundation_Calc!$I$2:$J$8,2,FALSE),0),"")))</f>
        <v/>
      </c>
      <c r="BA873" s="495" t="str">
        <f t="shared" si="122"/>
        <v/>
      </c>
      <c r="BB873" s="495" t="str">
        <f t="shared" si="123"/>
        <v/>
      </c>
      <c r="BC873" s="495" t="str">
        <f t="shared" si="124"/>
        <v/>
      </c>
      <c r="BD873" s="513" t="str">
        <f>IF(AND(L873="",H873=""),"",
IF(H873="",Pole_Calc!A$9,
IF(H873="MP",Pole_Calc!A$10,
IF(H873="AnMP",Pole_Calc!A$11,
IF(H873="A",Pole_Calc!A$12,
IF(H873="S/A",Pole_Calc!A$13,
IF(H873="A/S",Pole_Calc!A$14,"Poner a mano")))))))</f>
        <v/>
      </c>
      <c r="BE873" s="429" t="s">
        <v>118</v>
      </c>
      <c r="BF873" s="290"/>
      <c r="BG873" s="290"/>
      <c r="BH873" s="290"/>
      <c r="BI873" s="290"/>
    </row>
    <row r="874" spans="1:61" ht="15.75" customHeight="1">
      <c r="A874" s="514"/>
      <c r="B874" s="450" t="s">
        <v>1391</v>
      </c>
      <c r="C874" s="3">
        <f>+$C$872+$G$873</f>
        <v>51077.98000000001</v>
      </c>
      <c r="D874" s="83"/>
      <c r="E874" s="4"/>
      <c r="F874" s="4">
        <v>-58345.588234852949</v>
      </c>
      <c r="G874" s="6"/>
      <c r="H874" s="449" t="s">
        <v>168</v>
      </c>
      <c r="I874" s="4"/>
      <c r="J874" s="3"/>
      <c r="K874" s="449"/>
      <c r="L874" s="449" t="s">
        <v>158</v>
      </c>
      <c r="M874" s="449" t="str">
        <f>IF(L874="","",
IF(AX874="PT",VLOOKUP(L874,Foundation_Calc!$V$79:$X$113,VLOOKUP(AX874,Foundation_Calc!$I$10:$J$13,2,FALSE),0),
IF(AX874="K",VLOOKUP(L874,Foundation_Calc!$V$117:$X$151,VLOOKUP(AX874,Foundation_Calc!$I$10:$J$13,2,FALSE),0),"")))</f>
        <v>C4R</v>
      </c>
      <c r="N874" s="449" t="s">
        <v>134</v>
      </c>
      <c r="O874" s="449"/>
      <c r="P874" s="449"/>
      <c r="Q874" s="4"/>
      <c r="R874" s="6"/>
      <c r="S874" s="6"/>
      <c r="T874" s="4">
        <v>35</v>
      </c>
      <c r="U874" s="4"/>
      <c r="V874" s="4"/>
      <c r="W874" s="9">
        <v>1.4</v>
      </c>
      <c r="X874" s="9"/>
      <c r="Y874" s="9"/>
      <c r="Z874" s="9"/>
      <c r="AA874" s="9"/>
      <c r="AB874" s="9"/>
      <c r="AC874" s="449" t="str">
        <f t="shared" si="118"/>
        <v>PHQ</v>
      </c>
      <c r="AD874" s="449"/>
      <c r="AE874" s="449"/>
      <c r="AF874" s="4"/>
      <c r="AG874" s="83"/>
      <c r="AH874" s="4"/>
      <c r="AI874" s="4"/>
      <c r="AJ874" s="449"/>
      <c r="AK874" s="449"/>
      <c r="AL874" s="449"/>
      <c r="AM874" s="449" t="s">
        <v>552</v>
      </c>
      <c r="AN874" s="10">
        <v>5.5</v>
      </c>
      <c r="AO874" s="9"/>
      <c r="AP874" s="9"/>
      <c r="AQ874" s="9"/>
      <c r="AR874" s="9"/>
      <c r="AS874" s="9"/>
      <c r="AT874" s="9">
        <f>+ab($T$874,$T$872,$T$876,$G$873,$G$875, 1*$F$874,1200)</f>
        <v>7.6826714162893275</v>
      </c>
      <c r="AU874" s="428"/>
      <c r="AV874" s="428"/>
      <c r="AW874" s="449" t="str">
        <f>IF(C874&gt;0,VLOOKUP(C874,Foundation_Calc!$A$2:$C$13,3,1),
IF(J874&gt;0,VLOOKUP(J874,Foundation_Calc!$A$2:$C$13,3,1),""))</f>
        <v>Multi Soil</v>
      </c>
      <c r="AX874" s="449" t="str">
        <f>IF(C874&gt;0,VLOOKUP(C874,Foundation_Calc!$E$35:$G$65,3,1),
IF(J874&gt;0,VLOOKUP(J874,Foundation_Calc!$E$35:$G$65,3,1),""))</f>
        <v>PT</v>
      </c>
      <c r="AY874" s="10">
        <f>IF(L874="","",
IF(AX874="PT",VLOOKUP(L874,Foundation_Calc!$K$79:$R$113,VLOOKUP(AW874,Foundation_Calc!$I$2:$J$8,2,FALSE),0),
IF(AX874="K",VLOOKUP(L874,Foundation_Calc!$K$117:$R$151,VLOOKUP(AW874,Foundation_Calc!$I$2:$J$8,2,FALSE),0),"")))</f>
        <v>3.5</v>
      </c>
      <c r="AZ874" s="10" t="str">
        <f>IF(K874="","",
IF(AX874="PT",VLOOKUP(K874,Foundation_Calc!$K$79:$R$113,VLOOKUP(AW874,Foundation_Calc!$I$2:$J$8,2,FALSE),0),
IF(AX874="K",VLOOKUP(K874,Foundation_Calc!$K$117:$R$151,VLOOKUP(AW874,Foundation_Calc!$I$2:$J$8,2,FALSE),0),"")))</f>
        <v/>
      </c>
      <c r="BA874" s="495" t="str">
        <f t="shared" si="122"/>
        <v>ü</v>
      </c>
      <c r="BB874" s="495" t="str">
        <f t="shared" si="123"/>
        <v/>
      </c>
      <c r="BC874" s="495" t="str">
        <f t="shared" si="124"/>
        <v/>
      </c>
      <c r="BD874" s="513" t="str">
        <f>IF(AND(L874="",H874=""),"",
IF(H874="",Pole_Calc!A$9,
IF(H874="MP",Pole_Calc!A$10,
IF(H874="AnMP",Pole_Calc!A$11,
IF(H874="A",Pole_Calc!A$12,
IF(H874="S/A",Pole_Calc!A$13,
IF(H874="A/S",Pole_Calc!A$14,"Poner a mano")))))))</f>
        <v>App.7-V11I-P9.5.1.3</v>
      </c>
      <c r="BE874" s="429" t="s">
        <v>118</v>
      </c>
      <c r="BF874" s="289"/>
      <c r="BG874" s="289"/>
      <c r="BH874" s="290"/>
      <c r="BI874" s="289"/>
    </row>
    <row r="875" spans="1:61" ht="15.75" customHeight="1">
      <c r="A875" s="514"/>
      <c r="B875" s="450"/>
      <c r="C875" s="3"/>
      <c r="D875" s="83"/>
      <c r="E875" s="4"/>
      <c r="F875" s="4"/>
      <c r="G875" s="6">
        <v>50</v>
      </c>
      <c r="H875" s="449"/>
      <c r="I875" s="4"/>
      <c r="J875" s="3">
        <f>C874+7.5</f>
        <v>51085.48000000001</v>
      </c>
      <c r="K875" s="449" t="s">
        <v>166</v>
      </c>
      <c r="L875" s="449"/>
      <c r="M875" s="449" t="str">
        <f>IF(L875="","",
IF(AX875="PT",VLOOKUP(L875,Foundation_Calc!$V$79:$X$113,VLOOKUP(AX875,Foundation_Calc!$I$10:$J$13,2,FALSE),0),
IF(AX875="K",VLOOKUP(L875,Foundation_Calc!$V$117:$X$151,VLOOKUP(AX875,Foundation_Calc!$I$10:$J$13,2,FALSE),0),"")))</f>
        <v/>
      </c>
      <c r="N875" s="449"/>
      <c r="O875" s="449"/>
      <c r="P875" s="449"/>
      <c r="Q875" s="4"/>
      <c r="R875" s="6"/>
      <c r="S875" s="6"/>
      <c r="T875" s="4"/>
      <c r="U875" s="4"/>
      <c r="V875" s="4"/>
      <c r="W875" s="9"/>
      <c r="X875" s="9"/>
      <c r="Y875" s="9"/>
      <c r="Z875" s="9"/>
      <c r="AA875" s="9"/>
      <c r="AB875" s="9"/>
      <c r="AC875" s="449" t="str">
        <f t="shared" si="118"/>
        <v/>
      </c>
      <c r="AD875" s="449"/>
      <c r="AE875" s="449"/>
      <c r="AF875" s="4"/>
      <c r="AG875" s="83"/>
      <c r="AH875" s="4"/>
      <c r="AI875" s="4"/>
      <c r="AJ875" s="449"/>
      <c r="AK875" s="449"/>
      <c r="AL875" s="449"/>
      <c r="AM875" s="449"/>
      <c r="AN875" s="10"/>
      <c r="AO875" s="9"/>
      <c r="AP875" s="9"/>
      <c r="AQ875" s="9">
        <f>+FL_1($T$876,$T$874,$G$875,1200,9.28, 1*$F$876)</f>
        <v>0.47310318304842869</v>
      </c>
      <c r="AR875" s="9"/>
      <c r="AS875" s="9"/>
      <c r="AT875" s="9"/>
      <c r="AU875" s="428"/>
      <c r="AV875" s="428"/>
      <c r="AW875" s="449" t="str">
        <f>IF(C875&gt;0,VLOOKUP(C875,Foundation_Calc!$A$2:$C$13,3,1),
IF(J875&gt;0,VLOOKUP(J875,Foundation_Calc!$A$2:$C$13,3,1),""))</f>
        <v>Multi Soil</v>
      </c>
      <c r="AX875" s="449" t="str">
        <f>IF(C875&gt;0,VLOOKUP(C875,Foundation_Calc!$E$35:$G$65,3,1),
IF(J875&gt;0,VLOOKUP(J875,Foundation_Calc!$E$35:$G$65,3,1),""))</f>
        <v>PT</v>
      </c>
      <c r="AY875" s="10" t="str">
        <f>IF(L875="","",
IF(AX875="PT",VLOOKUP(L875,Foundation_Calc!$K$79:$R$113,VLOOKUP(AW875,Foundation_Calc!$I$2:$J$8,2,FALSE),0),
IF(AX875="K",VLOOKUP(L875,Foundation_Calc!$K$117:$R$151,VLOOKUP(AW875,Foundation_Calc!$I$2:$J$8,2,FALSE),0),"")))</f>
        <v/>
      </c>
      <c r="AZ875" s="10">
        <f>IF(K875="","",
IF(AX875="PT",VLOOKUP(K875,Foundation_Calc!$K$79:$R$113,VLOOKUP(AW875,Foundation_Calc!$I$2:$J$8,2,FALSE),0),
IF(AX875="K",VLOOKUP(K875,Foundation_Calc!$K$117:$R$151,VLOOKUP(AW875,Foundation_Calc!$I$2:$J$8,2,FALSE),0),"")))</f>
        <v>2.8</v>
      </c>
      <c r="BA875" s="495" t="str">
        <f t="shared" si="122"/>
        <v/>
      </c>
      <c r="BB875" s="495" t="str">
        <f t="shared" si="123"/>
        <v>ü</v>
      </c>
      <c r="BC875" s="495" t="str">
        <f t="shared" si="124"/>
        <v/>
      </c>
      <c r="BD875" s="513" t="str">
        <f>IF(AND(L875="",H875=""),"",
IF(H875="",Pole_Calc!A$9,
IF(H875="MP",Pole_Calc!A$10,
IF(H875="AnMP",Pole_Calc!A$11,
IF(H875="A",Pole_Calc!A$12,
IF(H875="S/A",Pole_Calc!A$13,
IF(H875="A/S",Pole_Calc!A$14,"Poner a mano")))))))</f>
        <v/>
      </c>
      <c r="BE875" s="429" t="s">
        <v>118</v>
      </c>
      <c r="BF875" s="290"/>
      <c r="BG875" s="290"/>
      <c r="BH875" s="290"/>
      <c r="BI875" s="290"/>
    </row>
    <row r="876" spans="1:61" ht="15.75" customHeight="1">
      <c r="A876" s="514"/>
      <c r="B876" s="450" t="s">
        <v>1392</v>
      </c>
      <c r="C876" s="3">
        <f>+$C$874+$G$875</f>
        <v>51127.98000000001</v>
      </c>
      <c r="D876" s="83"/>
      <c r="E876" s="4"/>
      <c r="F876" s="4">
        <v>-2287.1829362022427</v>
      </c>
      <c r="G876" s="6"/>
      <c r="H876" s="449"/>
      <c r="I876" s="4"/>
      <c r="J876" s="3"/>
      <c r="K876" s="449"/>
      <c r="L876" s="449" t="s">
        <v>158</v>
      </c>
      <c r="M876" s="449" t="str">
        <f>IF(L876="","",
IF(AX876="PT",VLOOKUP(L876,Foundation_Calc!$V$79:$X$113,VLOOKUP(AX876,Foundation_Calc!$I$10:$J$13,2,FALSE),0),
IF(AX876="K",VLOOKUP(L876,Foundation_Calc!$V$117:$X$151,VLOOKUP(AX876,Foundation_Calc!$I$10:$J$13,2,FALSE),0),"")))</f>
        <v>C4R</v>
      </c>
      <c r="N876" s="449" t="s">
        <v>124</v>
      </c>
      <c r="O876" s="449"/>
      <c r="P876" s="449"/>
      <c r="Q876" s="4"/>
      <c r="R876" s="6"/>
      <c r="S876" s="6"/>
      <c r="T876" s="4">
        <v>-30</v>
      </c>
      <c r="U876" s="4"/>
      <c r="V876" s="4"/>
      <c r="W876" s="9">
        <v>1.4</v>
      </c>
      <c r="X876" s="9"/>
      <c r="Y876" s="9"/>
      <c r="Z876" s="9"/>
      <c r="AA876" s="9"/>
      <c r="AB876" s="9"/>
      <c r="AC876" s="449" t="str">
        <f t="shared" si="118"/>
        <v>PHQ</v>
      </c>
      <c r="AD876" s="449"/>
      <c r="AE876" s="449"/>
      <c r="AF876" s="4"/>
      <c r="AG876" s="83"/>
      <c r="AH876" s="4"/>
      <c r="AI876" s="4"/>
      <c r="AJ876" s="449"/>
      <c r="AK876" s="449"/>
      <c r="AL876" s="449"/>
      <c r="AM876" s="449" t="s">
        <v>552</v>
      </c>
      <c r="AN876" s="10">
        <v>5.5</v>
      </c>
      <c r="AO876" s="9"/>
      <c r="AP876" s="9"/>
      <c r="AQ876" s="9"/>
      <c r="AR876" s="9"/>
      <c r="AS876" s="9"/>
      <c r="AT876" s="9">
        <f>+ab($T$876,$T$874,$T$878,$G$875,$G$877, 1*$F$876,1200)</f>
        <v>-5.5922301981424889</v>
      </c>
      <c r="AU876" s="428"/>
      <c r="AV876" s="428"/>
      <c r="AW876" s="449" t="str">
        <f>IF(C876&gt;0,VLOOKUP(C876,Foundation_Calc!$A$2:$C$13,3,1),
IF(J876&gt;0,VLOOKUP(J876,Foundation_Calc!$A$2:$C$13,3,1),""))</f>
        <v>Multi Soil</v>
      </c>
      <c r="AX876" s="449" t="str">
        <f>IF(C876&gt;0,VLOOKUP(C876,Foundation_Calc!$E$35:$G$65,3,1),
IF(J876&gt;0,VLOOKUP(J876,Foundation_Calc!$E$35:$G$65,3,1),""))</f>
        <v>PT</v>
      </c>
      <c r="AY876" s="10">
        <f>IF(L876="","",
IF(AX876="PT",VLOOKUP(L876,Foundation_Calc!$K$79:$R$113,VLOOKUP(AW876,Foundation_Calc!$I$2:$J$8,2,FALSE),0),
IF(AX876="K",VLOOKUP(L876,Foundation_Calc!$K$117:$R$151,VLOOKUP(AW876,Foundation_Calc!$I$2:$J$8,2,FALSE),0),"")))</f>
        <v>3.5</v>
      </c>
      <c r="AZ876" s="10" t="str">
        <f>IF(K876="","",
IF(AX876="PT",VLOOKUP(K876,Foundation_Calc!$K$79:$R$113,VLOOKUP(AW876,Foundation_Calc!$I$2:$J$8,2,FALSE),0),
IF(AX876="K",VLOOKUP(K876,Foundation_Calc!$K$117:$R$151,VLOOKUP(AW876,Foundation_Calc!$I$2:$J$8,2,FALSE),0),"")))</f>
        <v/>
      </c>
      <c r="BA876" s="495" t="str">
        <f t="shared" si="122"/>
        <v>ü</v>
      </c>
      <c r="BB876" s="495" t="str">
        <f t="shared" si="123"/>
        <v/>
      </c>
      <c r="BC876" s="495" t="str">
        <f t="shared" si="124"/>
        <v/>
      </c>
      <c r="BD876" s="513" t="str">
        <f>IF(AND(L876="",H876=""),"",
IF(H876="",Pole_Calc!A$9,
IF(H876="MP",Pole_Calc!A$10,
IF(H876="AnMP",Pole_Calc!A$11,
IF(H876="A",Pole_Calc!A$12,
IF(H876="S/A",Pole_Calc!A$13,
IF(H876="A/S",Pole_Calc!A$14,"Poner a mano")))))))</f>
        <v>App.7-V11I-P9.5.1.1</v>
      </c>
      <c r="BE876" s="429" t="s">
        <v>118</v>
      </c>
      <c r="BF876" s="289"/>
      <c r="BG876" s="289"/>
      <c r="BH876" s="290"/>
      <c r="BI876" s="289"/>
    </row>
    <row r="877" spans="1:61" ht="15.75" customHeight="1">
      <c r="A877" s="514"/>
      <c r="B877" s="450"/>
      <c r="C877" s="3"/>
      <c r="D877" s="83"/>
      <c r="E877" s="4"/>
      <c r="F877" s="4"/>
      <c r="G877" s="6">
        <v>47</v>
      </c>
      <c r="H877" s="449"/>
      <c r="I877" s="4"/>
      <c r="J877" s="3"/>
      <c r="K877" s="449"/>
      <c r="L877" s="449"/>
      <c r="M877" s="449" t="str">
        <f>IF(L877="","",
IF(AX877="PT",VLOOKUP(L877,Foundation_Calc!$V$79:$X$113,VLOOKUP(AX877,Foundation_Calc!$I$10:$J$13,2,FALSE),0),
IF(AX877="K",VLOOKUP(L877,Foundation_Calc!$V$117:$X$151,VLOOKUP(AX877,Foundation_Calc!$I$10:$J$13,2,FALSE),0),"")))</f>
        <v/>
      </c>
      <c r="N877" s="449"/>
      <c r="O877" s="561"/>
      <c r="P877" s="449"/>
      <c r="Q877" s="4"/>
      <c r="R877" s="6"/>
      <c r="S877" s="6"/>
      <c r="T877" s="4"/>
      <c r="U877" s="4"/>
      <c r="V877" s="4"/>
      <c r="W877" s="9"/>
      <c r="X877" s="9"/>
      <c r="Y877" s="9"/>
      <c r="Z877" s="9"/>
      <c r="AA877" s="9"/>
      <c r="AB877" s="9"/>
      <c r="AC877" s="449" t="str">
        <f t="shared" si="118"/>
        <v/>
      </c>
      <c r="AD877" s="449"/>
      <c r="AE877" s="449"/>
      <c r="AF877" s="4"/>
      <c r="AG877" s="83"/>
      <c r="AH877" s="4"/>
      <c r="AI877" s="4"/>
      <c r="AJ877" s="449"/>
      <c r="AK877" s="449"/>
      <c r="AL877" s="449"/>
      <c r="AM877" s="449"/>
      <c r="AN877" s="10"/>
      <c r="AO877" s="9"/>
      <c r="AP877" s="9"/>
      <c r="AQ877" s="9">
        <f>+FL_2($T$878,$T$876,$G$877,1200,9.28, 1*$F$878)</f>
        <v>-0.30000626798592889</v>
      </c>
      <c r="AR877" s="9"/>
      <c r="AS877" s="9"/>
      <c r="AT877" s="9"/>
      <c r="AU877" s="428"/>
      <c r="AV877" s="428"/>
      <c r="AW877" s="449" t="str">
        <f>IF(C877&gt;0,VLOOKUP(C877,Foundation_Calc!$A$2:$C$13,3,1),
IF(J877&gt;0,VLOOKUP(J877,Foundation_Calc!$A$2:$C$13,3,1),""))</f>
        <v/>
      </c>
      <c r="AX877" s="449" t="str">
        <f>IF(C877&gt;0,VLOOKUP(C877,Foundation_Calc!$E$35:$G$65,3,1),
IF(J877&gt;0,VLOOKUP(J877,Foundation_Calc!$E$35:$G$65,3,1),""))</f>
        <v/>
      </c>
      <c r="AY877" s="10" t="str">
        <f>IF(L877="","",
IF(AX877="PT",VLOOKUP(L877,Foundation_Calc!$K$79:$R$113,VLOOKUP(AW877,Foundation_Calc!$I$2:$J$8,2,FALSE),0),
IF(AX877="K",VLOOKUP(L877,Foundation_Calc!$K$117:$R$151,VLOOKUP(AW877,Foundation_Calc!$I$2:$J$8,2,FALSE),0),"")))</f>
        <v/>
      </c>
      <c r="AZ877" s="10" t="str">
        <f>IF(K877="","",
IF(AX877="PT",VLOOKUP(K877,Foundation_Calc!$K$79:$R$113,VLOOKUP(AW877,Foundation_Calc!$I$2:$J$8,2,FALSE),0),
IF(AX877="K",VLOOKUP(K877,Foundation_Calc!$K$117:$R$151,VLOOKUP(AW877,Foundation_Calc!$I$2:$J$8,2,FALSE),0),"")))</f>
        <v/>
      </c>
      <c r="BA877" s="495" t="str">
        <f t="shared" si="122"/>
        <v/>
      </c>
      <c r="BB877" s="495" t="str">
        <f t="shared" si="123"/>
        <v/>
      </c>
      <c r="BC877" s="495" t="str">
        <f t="shared" si="124"/>
        <v/>
      </c>
      <c r="BD877" s="513" t="str">
        <f>IF(AND(L877="",H877=""),"",
IF(H877="",Pole_Calc!A$9,
IF(H877="MP",Pole_Calc!A$10,
IF(H877="AnMP",Pole_Calc!A$11,
IF(H877="A",Pole_Calc!A$12,
IF(H877="S/A",Pole_Calc!A$13,
IF(H877="A/S",Pole_Calc!A$14,"Poner a mano")))))))</f>
        <v/>
      </c>
      <c r="BE877" s="429" t="s">
        <v>118</v>
      </c>
      <c r="BF877" s="290"/>
      <c r="BG877" s="290"/>
      <c r="BH877" s="290"/>
      <c r="BI877" s="290"/>
    </row>
    <row r="878" spans="1:61" ht="15.75" customHeight="1">
      <c r="A878" s="514"/>
      <c r="B878" s="450" t="s">
        <v>1393</v>
      </c>
      <c r="C878" s="3">
        <f>+$C$876+$G$877</f>
        <v>51174.98000000001</v>
      </c>
      <c r="D878" s="83"/>
      <c r="E878" s="4"/>
      <c r="F878" s="4">
        <v>-1250</v>
      </c>
      <c r="G878" s="6"/>
      <c r="H878" s="449"/>
      <c r="I878" s="4"/>
      <c r="J878" s="3"/>
      <c r="K878" s="449"/>
      <c r="L878" s="449" t="s">
        <v>158</v>
      </c>
      <c r="M878" s="449" t="str">
        <f>IF(L878="","",
IF(AX878="PT",VLOOKUP(L878,Foundation_Calc!$V$79:$X$113,VLOOKUP(AX878,Foundation_Calc!$I$10:$J$13,2,FALSE),0),
IF(AX878="K",VLOOKUP(L878,Foundation_Calc!$V$117:$X$151,VLOOKUP(AX878,Foundation_Calc!$I$10:$J$13,2,FALSE),0),"")))</f>
        <v>C4R</v>
      </c>
      <c r="N878" s="449" t="s">
        <v>124</v>
      </c>
      <c r="O878" s="449"/>
      <c r="P878" s="449"/>
      <c r="Q878" s="4"/>
      <c r="R878" s="6"/>
      <c r="S878" s="6"/>
      <c r="T878" s="4">
        <v>-30</v>
      </c>
      <c r="U878" s="4"/>
      <c r="V878" s="4"/>
      <c r="W878" s="9">
        <v>1.4</v>
      </c>
      <c r="X878" s="9"/>
      <c r="Y878" s="9"/>
      <c r="Z878" s="9"/>
      <c r="AA878" s="9"/>
      <c r="AB878" s="9"/>
      <c r="AC878" s="449" t="str">
        <f t="shared" si="118"/>
        <v>PHQ</v>
      </c>
      <c r="AD878" s="449"/>
      <c r="AE878" s="449"/>
      <c r="AF878" s="4"/>
      <c r="AG878" s="83"/>
      <c r="AH878" s="4"/>
      <c r="AI878" s="4"/>
      <c r="AJ878" s="449"/>
      <c r="AK878" s="449"/>
      <c r="AL878" s="449"/>
      <c r="AM878" s="449" t="s">
        <v>552</v>
      </c>
      <c r="AN878" s="10">
        <v>5.5</v>
      </c>
      <c r="AO878" s="9"/>
      <c r="AP878" s="9"/>
      <c r="AQ878" s="9"/>
      <c r="AR878" s="9"/>
      <c r="AS878" s="9"/>
      <c r="AT878" s="9">
        <f>+ab($T$878,$T$876,$T$880,$G$877,$G$879, 1*$F$878,1200)</f>
        <v>-5.0900949403260363</v>
      </c>
      <c r="AU878" s="428"/>
      <c r="AV878" s="428"/>
      <c r="AW878" s="449" t="str">
        <f>IF(C878&gt;0,VLOOKUP(C878,Foundation_Calc!$A$2:$C$13,3,1),
IF(J878&gt;0,VLOOKUP(J878,Foundation_Calc!$A$2:$C$13,3,1),""))</f>
        <v>Multi Soil</v>
      </c>
      <c r="AX878" s="449" t="str">
        <f>IF(C878&gt;0,VLOOKUP(C878,Foundation_Calc!$E$35:$G$65,3,1),
IF(J878&gt;0,VLOOKUP(J878,Foundation_Calc!$E$35:$G$65,3,1),""))</f>
        <v>PT</v>
      </c>
      <c r="AY878" s="10">
        <f>IF(L878="","",
IF(AX878="PT",VLOOKUP(L878,Foundation_Calc!$K$79:$R$113,VLOOKUP(AW878,Foundation_Calc!$I$2:$J$8,2,FALSE),0),
IF(AX878="K",VLOOKUP(L878,Foundation_Calc!$K$117:$R$151,VLOOKUP(AW878,Foundation_Calc!$I$2:$J$8,2,FALSE),0),"")))</f>
        <v>3.5</v>
      </c>
      <c r="AZ878" s="10" t="str">
        <f>IF(K878="","",
IF(AX878="PT",VLOOKUP(K878,Foundation_Calc!$K$79:$R$113,VLOOKUP(AW878,Foundation_Calc!$I$2:$J$8,2,FALSE),0),
IF(AX878="K",VLOOKUP(K878,Foundation_Calc!$K$117:$R$151,VLOOKUP(AW878,Foundation_Calc!$I$2:$J$8,2,FALSE),0),"")))</f>
        <v/>
      </c>
      <c r="BA878" s="495" t="str">
        <f t="shared" si="122"/>
        <v>ü</v>
      </c>
      <c r="BB878" s="495" t="str">
        <f t="shared" si="123"/>
        <v/>
      </c>
      <c r="BC878" s="495" t="str">
        <f t="shared" si="124"/>
        <v/>
      </c>
      <c r="BD878" s="513" t="str">
        <f>IF(AND(L878="",H878=""),"",
IF(H878="",Pole_Calc!A$9,
IF(H878="MP",Pole_Calc!A$10,
IF(H878="AnMP",Pole_Calc!A$11,
IF(H878="A",Pole_Calc!A$12,
IF(H878="S/A",Pole_Calc!A$13,
IF(H878="A/S",Pole_Calc!A$14,"Poner a mano")))))))</f>
        <v>App.7-V11I-P9.5.1.1</v>
      </c>
      <c r="BE878" s="429" t="s">
        <v>118</v>
      </c>
      <c r="BF878" s="289"/>
      <c r="BG878" s="289"/>
      <c r="BH878" s="290"/>
      <c r="BI878" s="289"/>
    </row>
    <row r="879" spans="1:61" ht="15.75" customHeight="1">
      <c r="A879" s="518"/>
      <c r="B879" s="450"/>
      <c r="C879" s="3"/>
      <c r="D879" s="83"/>
      <c r="E879" s="4"/>
      <c r="F879" s="4"/>
      <c r="G879" s="6">
        <v>47</v>
      </c>
      <c r="H879" s="449"/>
      <c r="I879" s="4"/>
      <c r="J879" s="3"/>
      <c r="K879" s="449"/>
      <c r="L879" s="449"/>
      <c r="M879" s="449" t="str">
        <f>IF(L879="","",
IF(AX879="PT",VLOOKUP(L879,Foundation_Calc!$V$79:$X$113,VLOOKUP(AX879,Foundation_Calc!$I$10:$J$13,2,FALSE),0),
IF(AX879="K",VLOOKUP(L879,Foundation_Calc!$V$117:$X$151,VLOOKUP(AX879,Foundation_Calc!$I$10:$J$13,2,FALSE),0),"")))</f>
        <v/>
      </c>
      <c r="N879" s="449"/>
      <c r="O879" s="449"/>
      <c r="P879" s="449"/>
      <c r="Q879" s="4"/>
      <c r="R879" s="6"/>
      <c r="S879" s="6"/>
      <c r="T879" s="4"/>
      <c r="U879" s="4"/>
      <c r="V879" s="4"/>
      <c r="W879" s="9"/>
      <c r="X879" s="9"/>
      <c r="Y879" s="9"/>
      <c r="Z879" s="9"/>
      <c r="AA879" s="9"/>
      <c r="AB879" s="9"/>
      <c r="AC879" s="449" t="str">
        <f t="shared" si="118"/>
        <v/>
      </c>
      <c r="AD879" s="449"/>
      <c r="AE879" s="449"/>
      <c r="AF879" s="4"/>
      <c r="AG879" s="83"/>
      <c r="AH879" s="4"/>
      <c r="AI879" s="4"/>
      <c r="AJ879" s="449"/>
      <c r="AK879" s="449"/>
      <c r="AL879" s="449"/>
      <c r="AM879" s="449"/>
      <c r="AN879" s="10"/>
      <c r="AO879" s="9"/>
      <c r="AP879" s="9"/>
      <c r="AQ879" s="9">
        <f>+FL_2($T$880,$T$878,$G$879,1200,9.28, 1*$F$880)</f>
        <v>-0.30000626798592889</v>
      </c>
      <c r="AR879" s="9"/>
      <c r="AS879" s="9"/>
      <c r="AT879" s="9"/>
      <c r="AU879" s="428"/>
      <c r="AV879" s="428"/>
      <c r="AW879" s="449" t="str">
        <f>IF(C879&gt;0,VLOOKUP(C879,Foundation_Calc!$A$2:$C$13,3,1),
IF(J879&gt;0,VLOOKUP(J879,Foundation_Calc!$A$2:$C$13,3,1),""))</f>
        <v/>
      </c>
      <c r="AX879" s="449" t="str">
        <f>IF(C879&gt;0,VLOOKUP(C879,Foundation_Calc!$E$35:$G$65,3,1),
IF(J879&gt;0,VLOOKUP(J879,Foundation_Calc!$E$35:$G$65,3,1),""))</f>
        <v/>
      </c>
      <c r="AY879" s="10" t="str">
        <f>IF(L879="","",
IF(AX879="PT",VLOOKUP(L879,Foundation_Calc!$K$79:$R$113,VLOOKUP(AW879,Foundation_Calc!$I$2:$J$8,2,FALSE),0),
IF(AX879="K",VLOOKUP(L879,Foundation_Calc!$K$117:$R$151,VLOOKUP(AW879,Foundation_Calc!$I$2:$J$8,2,FALSE),0),"")))</f>
        <v/>
      </c>
      <c r="AZ879" s="10" t="str">
        <f>IF(K879="","",
IF(AX879="PT",VLOOKUP(K879,Foundation_Calc!$K$79:$R$113,VLOOKUP(AW879,Foundation_Calc!$I$2:$J$8,2,FALSE),0),
IF(AX879="K",VLOOKUP(K879,Foundation_Calc!$K$117:$R$151,VLOOKUP(AW879,Foundation_Calc!$I$2:$J$8,2,FALSE),0),"")))</f>
        <v/>
      </c>
      <c r="BA879" s="495" t="str">
        <f t="shared" si="122"/>
        <v/>
      </c>
      <c r="BB879" s="495" t="str">
        <f t="shared" si="123"/>
        <v/>
      </c>
      <c r="BC879" s="495" t="str">
        <f t="shared" si="124"/>
        <v/>
      </c>
      <c r="BD879" s="513" t="str">
        <f>IF(AND(L879="",H879=""),"",
IF(H879="",Pole_Calc!A$9,
IF(H879="MP",Pole_Calc!A$10,
IF(H879="AnMP",Pole_Calc!A$11,
IF(H879="A",Pole_Calc!A$12,
IF(H879="S/A",Pole_Calc!A$13,
IF(H879="A/S",Pole_Calc!A$14,"Poner a mano")))))))</f>
        <v/>
      </c>
      <c r="BE879" s="429" t="s">
        <v>118</v>
      </c>
      <c r="BF879" s="290"/>
      <c r="BG879" s="290"/>
      <c r="BH879" s="290"/>
      <c r="BI879" s="290"/>
    </row>
    <row r="880" spans="1:61" ht="15.75" customHeight="1">
      <c r="A880" s="514"/>
      <c r="B880" s="450" t="s">
        <v>1394</v>
      </c>
      <c r="C880" s="3">
        <f>+$C$878+$G$879</f>
        <v>51221.98000000001</v>
      </c>
      <c r="D880" s="83"/>
      <c r="E880" s="4"/>
      <c r="F880" s="4">
        <v>-1250</v>
      </c>
      <c r="G880" s="6"/>
      <c r="H880" s="449"/>
      <c r="I880" s="4"/>
      <c r="J880" s="3"/>
      <c r="K880" s="449"/>
      <c r="L880" s="449" t="s">
        <v>158</v>
      </c>
      <c r="M880" s="449" t="str">
        <f>IF(L880="","",
IF(AX880="PT",VLOOKUP(L880,Foundation_Calc!$V$79:$X$113,VLOOKUP(AX880,Foundation_Calc!$I$10:$J$13,2,FALSE),0),
IF(AX880="K",VLOOKUP(L880,Foundation_Calc!$V$117:$X$151,VLOOKUP(AX880,Foundation_Calc!$I$10:$J$13,2,FALSE),0),"")))</f>
        <v>C4R</v>
      </c>
      <c r="N880" s="449" t="s">
        <v>124</v>
      </c>
      <c r="O880" s="449"/>
      <c r="P880" s="449"/>
      <c r="Q880" s="4"/>
      <c r="R880" s="6"/>
      <c r="S880" s="6"/>
      <c r="T880" s="4">
        <v>-30</v>
      </c>
      <c r="U880" s="4"/>
      <c r="V880" s="4"/>
      <c r="W880" s="9">
        <v>1.4</v>
      </c>
      <c r="X880" s="9"/>
      <c r="Y880" s="9"/>
      <c r="Z880" s="9"/>
      <c r="AA880" s="9"/>
      <c r="AB880" s="9"/>
      <c r="AC880" s="449" t="str">
        <f t="shared" si="118"/>
        <v>PHQ</v>
      </c>
      <c r="AD880" s="449"/>
      <c r="AE880" s="449"/>
      <c r="AF880" s="4"/>
      <c r="AG880" s="83"/>
      <c r="AH880" s="4"/>
      <c r="AI880" s="4"/>
      <c r="AJ880" s="449"/>
      <c r="AK880" s="449"/>
      <c r="AL880" s="449"/>
      <c r="AM880" s="449" t="s">
        <v>552</v>
      </c>
      <c r="AN880" s="10">
        <f>AN878-0.07</f>
        <v>5.43</v>
      </c>
      <c r="AO880" s="9"/>
      <c r="AP880" s="9"/>
      <c r="AQ880" s="9"/>
      <c r="AR880" s="9"/>
      <c r="AS880" s="9"/>
      <c r="AT880" s="9">
        <f>+ab($T$880,$T$878,$T$882,$G$879,$G$881, 1*$F$880,1200)</f>
        <v>-5.0900949403260363</v>
      </c>
      <c r="AU880" s="428"/>
      <c r="AV880" s="428"/>
      <c r="AW880" s="449" t="str">
        <f>IF(C880&gt;0,VLOOKUP(C880,Foundation_Calc!$A$2:$C$13,3,1),
IF(J880&gt;0,VLOOKUP(J880,Foundation_Calc!$A$2:$C$13,3,1),""))</f>
        <v>Multi Soil</v>
      </c>
      <c r="AX880" s="449" t="str">
        <f>IF(C880&gt;0,VLOOKUP(C880,Foundation_Calc!$E$35:$G$65,3,1),
IF(J880&gt;0,VLOOKUP(J880,Foundation_Calc!$E$35:$G$65,3,1),""))</f>
        <v>PT</v>
      </c>
      <c r="AY880" s="10">
        <f>IF(L880="","",
IF(AX880="PT",VLOOKUP(L880,Foundation_Calc!$K$79:$R$113,VLOOKUP(AW880,Foundation_Calc!$I$2:$J$8,2,FALSE),0),
IF(AX880="K",VLOOKUP(L880,Foundation_Calc!$K$117:$R$151,VLOOKUP(AW880,Foundation_Calc!$I$2:$J$8,2,FALSE),0),"")))</f>
        <v>3.5</v>
      </c>
      <c r="AZ880" s="10" t="str">
        <f>IF(K880="","",
IF(AX880="PT",VLOOKUP(K880,Foundation_Calc!$K$79:$R$113,VLOOKUP(AW880,Foundation_Calc!$I$2:$J$8,2,FALSE),0),
IF(AX880="K",VLOOKUP(K880,Foundation_Calc!$K$117:$R$151,VLOOKUP(AW880,Foundation_Calc!$I$2:$J$8,2,FALSE),0),"")))</f>
        <v/>
      </c>
      <c r="BA880" s="495" t="str">
        <f t="shared" si="122"/>
        <v>ü</v>
      </c>
      <c r="BB880" s="495" t="str">
        <f t="shared" si="123"/>
        <v/>
      </c>
      <c r="BC880" s="495" t="str">
        <f t="shared" si="124"/>
        <v/>
      </c>
      <c r="BD880" s="513" t="str">
        <f>IF(AND(L880="",H880=""),"",
IF(H880="",Pole_Calc!A$9,
IF(H880="MP",Pole_Calc!A$10,
IF(H880="AnMP",Pole_Calc!A$11,
IF(H880="A",Pole_Calc!A$12,
IF(H880="S/A",Pole_Calc!A$13,
IF(H880="A/S",Pole_Calc!A$14,"Poner a mano")))))))</f>
        <v>App.7-V11I-P9.5.1.1</v>
      </c>
      <c r="BE880" s="429" t="s">
        <v>118</v>
      </c>
      <c r="BF880" s="289"/>
      <c r="BG880" s="289"/>
      <c r="BH880" s="290"/>
      <c r="BI880" s="289"/>
    </row>
    <row r="881" spans="1:61" ht="15.75" customHeight="1">
      <c r="A881" s="514"/>
      <c r="B881" s="450"/>
      <c r="C881" s="3"/>
      <c r="D881" s="83"/>
      <c r="E881" s="4"/>
      <c r="F881" s="4"/>
      <c r="G881" s="6">
        <v>47</v>
      </c>
      <c r="H881" s="449"/>
      <c r="I881" s="4"/>
      <c r="J881" s="3"/>
      <c r="K881" s="449"/>
      <c r="L881" s="449"/>
      <c r="M881" s="449" t="str">
        <f>IF(L881="","",
IF(AX881="PT",VLOOKUP(L881,Foundation_Calc!$V$79:$X$113,VLOOKUP(AX881,Foundation_Calc!$I$10:$J$13,2,FALSE),0),
IF(AX881="K",VLOOKUP(L881,Foundation_Calc!$V$117:$X$151,VLOOKUP(AX881,Foundation_Calc!$I$10:$J$13,2,FALSE),0),"")))</f>
        <v/>
      </c>
      <c r="N881" s="449"/>
      <c r="O881" s="449"/>
      <c r="P881" s="449"/>
      <c r="Q881" s="4"/>
      <c r="R881" s="6"/>
      <c r="S881" s="6"/>
      <c r="T881" s="4"/>
      <c r="U881" s="4"/>
      <c r="V881" s="4"/>
      <c r="W881" s="9"/>
      <c r="X881" s="9"/>
      <c r="Y881" s="9"/>
      <c r="Z881" s="9"/>
      <c r="AA881" s="9"/>
      <c r="AB881" s="9"/>
      <c r="AC881" s="449" t="str">
        <f t="shared" si="118"/>
        <v/>
      </c>
      <c r="AD881" s="449"/>
      <c r="AE881" s="449"/>
      <c r="AF881" s="4"/>
      <c r="AG881" s="83"/>
      <c r="AH881" s="4"/>
      <c r="AI881" s="4"/>
      <c r="AJ881" s="449"/>
      <c r="AK881" s="449"/>
      <c r="AL881" s="449"/>
      <c r="AM881" s="449"/>
      <c r="AN881" s="10"/>
      <c r="AO881" s="9"/>
      <c r="AP881" s="9"/>
      <c r="AQ881" s="9">
        <f>+FL_2($T$882,$T$880,$G$881,1200,9.28, 1*$F$882)</f>
        <v>-0.30000626798592889</v>
      </c>
      <c r="AR881" s="9"/>
      <c r="AS881" s="9"/>
      <c r="AT881" s="9"/>
      <c r="AU881" s="428"/>
      <c r="AV881" s="428"/>
      <c r="AW881" s="449" t="str">
        <f>IF(C881&gt;0,VLOOKUP(C881,Foundation_Calc!$A$2:$C$13,3,1),
IF(J881&gt;0,VLOOKUP(J881,Foundation_Calc!$A$2:$C$13,3,1),""))</f>
        <v/>
      </c>
      <c r="AX881" s="449" t="str">
        <f>IF(C881&gt;0,VLOOKUP(C881,Foundation_Calc!$E$35:$G$65,3,1),
IF(J881&gt;0,VLOOKUP(J881,Foundation_Calc!$E$35:$G$65,3,1),""))</f>
        <v/>
      </c>
      <c r="AY881" s="10" t="str">
        <f>IF(L881="","",
IF(AX881="PT",VLOOKUP(L881,Foundation_Calc!$K$79:$R$113,VLOOKUP(AW881,Foundation_Calc!$I$2:$J$8,2,FALSE),0),
IF(AX881="K",VLOOKUP(L881,Foundation_Calc!$K$117:$R$151,VLOOKUP(AW881,Foundation_Calc!$I$2:$J$8,2,FALSE),0),"")))</f>
        <v/>
      </c>
      <c r="AZ881" s="10" t="str">
        <f>IF(K881="","",
IF(AX881="PT",VLOOKUP(K881,Foundation_Calc!$K$79:$R$113,VLOOKUP(AW881,Foundation_Calc!$I$2:$J$8,2,FALSE),0),
IF(AX881="K",VLOOKUP(K881,Foundation_Calc!$K$117:$R$151,VLOOKUP(AW881,Foundation_Calc!$I$2:$J$8,2,FALSE),0),"")))</f>
        <v/>
      </c>
      <c r="BA881" s="495" t="str">
        <f t="shared" si="122"/>
        <v/>
      </c>
      <c r="BB881" s="495" t="str">
        <f t="shared" si="123"/>
        <v/>
      </c>
      <c r="BC881" s="495" t="str">
        <f t="shared" si="124"/>
        <v/>
      </c>
      <c r="BD881" s="513" t="str">
        <f>IF(AND(L881="",H881=""),"",
IF(H881="",Pole_Calc!A$9,
IF(H881="MP",Pole_Calc!A$10,
IF(H881="AnMP",Pole_Calc!A$11,
IF(H881="A",Pole_Calc!A$12,
IF(H881="S/A",Pole_Calc!A$13,
IF(H881="A/S",Pole_Calc!A$14,"Poner a mano")))))))</f>
        <v/>
      </c>
      <c r="BE881" s="429" t="s">
        <v>118</v>
      </c>
      <c r="BF881" s="290"/>
      <c r="BG881" s="290"/>
      <c r="BH881" s="290"/>
      <c r="BI881" s="290"/>
    </row>
    <row r="882" spans="1:61" ht="15.75" customHeight="1">
      <c r="A882" s="514"/>
      <c r="B882" s="450" t="s">
        <v>1395</v>
      </c>
      <c r="C882" s="3">
        <f>+$C$880+$G$881</f>
        <v>51268.98000000001</v>
      </c>
      <c r="D882" s="83"/>
      <c r="E882" s="4"/>
      <c r="F882" s="4">
        <v>-1250</v>
      </c>
      <c r="G882" s="6"/>
      <c r="H882" s="449"/>
      <c r="I882" s="4"/>
      <c r="J882" s="3"/>
      <c r="K882" s="449"/>
      <c r="L882" s="449" t="s">
        <v>158</v>
      </c>
      <c r="M882" s="449" t="str">
        <f>IF(L882="","",
IF(AX882="PT",VLOOKUP(L882,Foundation_Calc!$V$79:$X$113,VLOOKUP(AX882,Foundation_Calc!$I$10:$J$13,2,FALSE),0),
IF(AX882="K",VLOOKUP(L882,Foundation_Calc!$V$117:$X$151,VLOOKUP(AX882,Foundation_Calc!$I$10:$J$13,2,FALSE),0),"")))</f>
        <v>C4R</v>
      </c>
      <c r="N882" s="449" t="s">
        <v>124</v>
      </c>
      <c r="O882" s="449"/>
      <c r="P882" s="449"/>
      <c r="Q882" s="4"/>
      <c r="R882" s="6"/>
      <c r="S882" s="6"/>
      <c r="T882" s="4">
        <v>-30</v>
      </c>
      <c r="U882" s="4"/>
      <c r="V882" s="4"/>
      <c r="W882" s="9">
        <v>1.4</v>
      </c>
      <c r="X882" s="9"/>
      <c r="Y882" s="9"/>
      <c r="Z882" s="9"/>
      <c r="AA882" s="9"/>
      <c r="AB882" s="9"/>
      <c r="AC882" s="449" t="str">
        <f t="shared" si="118"/>
        <v>PHQ</v>
      </c>
      <c r="AD882" s="449"/>
      <c r="AE882" s="449"/>
      <c r="AF882" s="4"/>
      <c r="AG882" s="83"/>
      <c r="AH882" s="4"/>
      <c r="AI882" s="4"/>
      <c r="AJ882" s="449"/>
      <c r="AK882" s="449"/>
      <c r="AL882" s="449"/>
      <c r="AM882" s="449" t="s">
        <v>552</v>
      </c>
      <c r="AN882" s="10">
        <f>AN880-0.11</f>
        <v>5.3199999999999994</v>
      </c>
      <c r="AO882" s="9"/>
      <c r="AP882" s="9"/>
      <c r="AQ882" s="9"/>
      <c r="AR882" s="9"/>
      <c r="AS882" s="9"/>
      <c r="AT882" s="9">
        <f>+ab($T$882,$T$880,$T$884,$G$881,$G$883, 1*$F$882,1200)</f>
        <v>-5.2001489107794079</v>
      </c>
      <c r="AU882" s="428"/>
      <c r="AV882" s="428"/>
      <c r="AW882" s="449" t="str">
        <f>IF(C882&gt;0,VLOOKUP(C882,Foundation_Calc!$A$2:$C$13,3,1),
IF(J882&gt;0,VLOOKUP(J882,Foundation_Calc!$A$2:$C$13,3,1),""))</f>
        <v>Multi Soil</v>
      </c>
      <c r="AX882" s="449" t="str">
        <f>IF(C882&gt;0,VLOOKUP(C882,Foundation_Calc!$E$35:$G$65,3,1),
IF(J882&gt;0,VLOOKUP(J882,Foundation_Calc!$E$35:$G$65,3,1),""))</f>
        <v>PT</v>
      </c>
      <c r="AY882" s="10">
        <f>IF(L882="","",
IF(AX882="PT",VLOOKUP(L882,Foundation_Calc!$K$79:$R$113,VLOOKUP(AW882,Foundation_Calc!$I$2:$J$8,2,FALSE),0),
IF(AX882="K",VLOOKUP(L882,Foundation_Calc!$K$117:$R$151,VLOOKUP(AW882,Foundation_Calc!$I$2:$J$8,2,FALSE),0),"")))</f>
        <v>3.5</v>
      </c>
      <c r="AZ882" s="10" t="str">
        <f>IF(K882="","",
IF(AX882="PT",VLOOKUP(K882,Foundation_Calc!$K$79:$R$113,VLOOKUP(AW882,Foundation_Calc!$I$2:$J$8,2,FALSE),0),
IF(AX882="K",VLOOKUP(K882,Foundation_Calc!$K$117:$R$151,VLOOKUP(AW882,Foundation_Calc!$I$2:$J$8,2,FALSE),0),"")))</f>
        <v/>
      </c>
      <c r="BA882" s="495" t="str">
        <f t="shared" si="122"/>
        <v>ü</v>
      </c>
      <c r="BB882" s="495" t="str">
        <f t="shared" si="123"/>
        <v/>
      </c>
      <c r="BC882" s="495" t="str">
        <f t="shared" si="124"/>
        <v/>
      </c>
      <c r="BD882" s="513" t="str">
        <f>IF(AND(L882="",H882=""),"",
IF(H882="",Pole_Calc!A$9,
IF(H882="MP",Pole_Calc!A$10,
IF(H882="AnMP",Pole_Calc!A$11,
IF(H882="A",Pole_Calc!A$12,
IF(H882="S/A",Pole_Calc!A$13,
IF(H882="A/S",Pole_Calc!A$14,"Poner a mano")))))))</f>
        <v>App.7-V11I-P9.5.1.1</v>
      </c>
      <c r="BE882" s="429" t="s">
        <v>118</v>
      </c>
      <c r="BF882" s="289"/>
      <c r="BG882" s="289"/>
      <c r="BH882" s="290"/>
      <c r="BI882" s="289"/>
    </row>
    <row r="883" spans="1:61" ht="15.75" customHeight="1">
      <c r="A883" s="514"/>
      <c r="B883" s="450"/>
      <c r="C883" s="3"/>
      <c r="D883" s="83"/>
      <c r="E883" s="4"/>
      <c r="F883" s="4"/>
      <c r="G883" s="6">
        <v>45</v>
      </c>
      <c r="H883" s="449"/>
      <c r="I883" s="4"/>
      <c r="J883" s="3">
        <f>C884-7.5</f>
        <v>51306.48000000001</v>
      </c>
      <c r="K883" s="449" t="s">
        <v>117</v>
      </c>
      <c r="L883" s="449"/>
      <c r="M883" s="449" t="str">
        <f>IF(L883="","",
IF(AX883="PT",VLOOKUP(L883,Foundation_Calc!$V$79:$X$113,VLOOKUP(AX883,Foundation_Calc!$I$10:$J$13,2,FALSE),0),
IF(AX883="K",VLOOKUP(L883,Foundation_Calc!$V$117:$X$151,VLOOKUP(AX883,Foundation_Calc!$I$10:$J$13,2,FALSE),0),"")))</f>
        <v/>
      </c>
      <c r="N883" s="449"/>
      <c r="O883" s="561"/>
      <c r="P883" s="449"/>
      <c r="Q883" s="4"/>
      <c r="R883" s="6"/>
      <c r="S883" s="6"/>
      <c r="T883" s="4"/>
      <c r="U883" s="4"/>
      <c r="V883" s="4"/>
      <c r="W883" s="9"/>
      <c r="X883" s="9"/>
      <c r="Y883" s="9"/>
      <c r="Z883" s="9"/>
      <c r="AA883" s="9"/>
      <c r="AB883" s="9"/>
      <c r="AC883" s="449" t="str">
        <f t="shared" si="118"/>
        <v/>
      </c>
      <c r="AD883" s="449"/>
      <c r="AE883" s="449"/>
      <c r="AF883" s="4"/>
      <c r="AG883" s="83"/>
      <c r="AH883" s="4"/>
      <c r="AI883" s="4"/>
      <c r="AJ883" s="449"/>
      <c r="AK883" s="449"/>
      <c r="AL883" s="449"/>
      <c r="AM883" s="449"/>
      <c r="AN883" s="10"/>
      <c r="AO883" s="9"/>
      <c r="AP883" s="9"/>
      <c r="AQ883" s="9">
        <f>+FL_2($T$884,$T$882,$G$883,1200,9.28, 1*$F$884)</f>
        <v>-0.30000600132041177</v>
      </c>
      <c r="AR883" s="9"/>
      <c r="AS883" s="9"/>
      <c r="AT883" s="9"/>
      <c r="AU883" s="428"/>
      <c r="AV883" s="428"/>
      <c r="AW883" s="449" t="str">
        <f>IF(C883&gt;0,VLOOKUP(C883,Foundation_Calc!$A$2:$C$13,3,1),
IF(J883&gt;0,VLOOKUP(J883,Foundation_Calc!$A$2:$C$13,3,1),""))</f>
        <v>Multi Soil</v>
      </c>
      <c r="AX883" s="449" t="str">
        <f>IF(C883&gt;0,VLOOKUP(C883,Foundation_Calc!$E$35:$G$65,3,1),
IF(J883&gt;0,VLOOKUP(J883,Foundation_Calc!$E$35:$G$65,3,1),""))</f>
        <v>PT</v>
      </c>
      <c r="AY883" s="10" t="str">
        <f>IF(L883="","",
IF(AX883="PT",VLOOKUP(L883,Foundation_Calc!$K$79:$R$113,VLOOKUP(AW883,Foundation_Calc!$I$2:$J$8,2,FALSE),0),
IF(AX883="K",VLOOKUP(L883,Foundation_Calc!$K$117:$R$151,VLOOKUP(AW883,Foundation_Calc!$I$2:$J$8,2,FALSE),0),"")))</f>
        <v/>
      </c>
      <c r="AZ883" s="10">
        <f>IF(K883="","",
IF(AX883="PT",VLOOKUP(K883,Foundation_Calc!$K$79:$R$113,VLOOKUP(AW883,Foundation_Calc!$I$2:$J$8,2,FALSE),0),
IF(AX883="K",VLOOKUP(K883,Foundation_Calc!$K$117:$R$151,VLOOKUP(AW883,Foundation_Calc!$I$2:$J$8,2,FALSE),0),"")))</f>
        <v>3.9</v>
      </c>
      <c r="BA883" s="495" t="str">
        <f t="shared" si="122"/>
        <v/>
      </c>
      <c r="BB883" s="495" t="str">
        <f t="shared" si="123"/>
        <v>ü</v>
      </c>
      <c r="BC883" s="495" t="str">
        <f t="shared" si="124"/>
        <v/>
      </c>
      <c r="BD883" s="513" t="str">
        <f>IF(AND(L883="",H883=""),"",
IF(H883="",Pole_Calc!A$9,
IF(H883="MP",Pole_Calc!A$10,
IF(H883="AnMP",Pole_Calc!A$11,
IF(H883="A",Pole_Calc!A$12,
IF(H883="S/A",Pole_Calc!A$13,
IF(H883="A/S",Pole_Calc!A$14,"Poner a mano")))))))</f>
        <v/>
      </c>
      <c r="BE883" s="429" t="s">
        <v>118</v>
      </c>
      <c r="BF883" s="290"/>
      <c r="BG883" s="290"/>
      <c r="BH883" s="290"/>
      <c r="BI883" s="290"/>
    </row>
    <row r="884" spans="1:61" ht="15.75" customHeight="1">
      <c r="A884" s="514"/>
      <c r="B884" s="450" t="s">
        <v>1396</v>
      </c>
      <c r="C884" s="3">
        <f>+$C$882+$G$883</f>
        <v>51313.98000000001</v>
      </c>
      <c r="D884" s="83"/>
      <c r="E884" s="4"/>
      <c r="F884" s="4">
        <v>-1250</v>
      </c>
      <c r="G884" s="6"/>
      <c r="H884" s="449" t="s">
        <v>121</v>
      </c>
      <c r="I884" s="4" t="s">
        <v>122</v>
      </c>
      <c r="J884" s="3"/>
      <c r="K884" s="449"/>
      <c r="L884" s="449" t="s">
        <v>151</v>
      </c>
      <c r="M884" s="449" t="s">
        <v>396</v>
      </c>
      <c r="N884" s="449" t="s">
        <v>124</v>
      </c>
      <c r="O884" s="449"/>
      <c r="P884" s="449"/>
      <c r="Q884" s="4"/>
      <c r="R884" s="6"/>
      <c r="S884" s="6"/>
      <c r="T884" s="4">
        <v>-30</v>
      </c>
      <c r="U884" s="4"/>
      <c r="V884" s="4"/>
      <c r="W884" s="9">
        <v>1.4</v>
      </c>
      <c r="X884" s="9"/>
      <c r="Y884" s="9"/>
      <c r="Z884" s="9"/>
      <c r="AA884" s="9"/>
      <c r="AB884" s="9"/>
      <c r="AC884" s="449" t="str">
        <f t="shared" si="118"/>
        <v>PHQ</v>
      </c>
      <c r="AD884" s="449"/>
      <c r="AE884" s="449"/>
      <c r="AF884" s="4"/>
      <c r="AG884" s="83"/>
      <c r="AH884" s="4"/>
      <c r="AI884" s="4"/>
      <c r="AJ884" s="449"/>
      <c r="AK884" s="449"/>
      <c r="AL884" s="449"/>
      <c r="AM884" s="449" t="s">
        <v>552</v>
      </c>
      <c r="AN884" s="10">
        <f>AN886+0.06</f>
        <v>5.21</v>
      </c>
      <c r="AO884" s="9"/>
      <c r="AP884" s="9"/>
      <c r="AQ884" s="9"/>
      <c r="AR884" s="9"/>
      <c r="AS884" s="9"/>
      <c r="AT884" s="9">
        <f>+ab($T$884,$T$882,$U$886,$G$883,$G$885, 1*$F$884,1200)</f>
        <v>-5.3150530898554109</v>
      </c>
      <c r="AU884" s="428"/>
      <c r="AV884" s="428"/>
      <c r="AW884" s="449" t="str">
        <f>IF(C884&gt;0,VLOOKUP(C884,Foundation_Calc!$A$2:$C$13,3,1),
IF(J884&gt;0,VLOOKUP(J884,Foundation_Calc!$A$2:$C$13,3,1),""))</f>
        <v>Multi Soil</v>
      </c>
      <c r="AX884" s="449" t="str">
        <f>IF(C884&gt;0,VLOOKUP(C884,Foundation_Calc!$E$35:$G$65,3,1),
IF(J884&gt;0,VLOOKUP(J884,Foundation_Calc!$E$35:$G$65,3,1),""))</f>
        <v>PT</v>
      </c>
      <c r="AY884" s="10">
        <f>IF(L884="","",
IF(AX884="PT",VLOOKUP(L884,Foundation_Calc!$K$79:$R$113,VLOOKUP(AW884,Foundation_Calc!$I$2:$J$8,2,FALSE),0),
IF(AX884="K",VLOOKUP(L884,Foundation_Calc!$K$117:$R$151,VLOOKUP(AW884,Foundation_Calc!$I$2:$J$8,2,FALSE),0),"")))</f>
        <v>3.5</v>
      </c>
      <c r="AZ884" s="10" t="str">
        <f>IF(K884="","",
IF(AX884="PT",VLOOKUP(K884,Foundation_Calc!$K$79:$R$113,VLOOKUP(AW884,Foundation_Calc!$I$2:$J$8,2,FALSE),0),
IF(AX884="K",VLOOKUP(K884,Foundation_Calc!$K$117:$R$151,VLOOKUP(AW884,Foundation_Calc!$I$2:$J$8,2,FALSE),0),"")))</f>
        <v/>
      </c>
      <c r="BA884" s="495" t="str">
        <f t="shared" si="122"/>
        <v>ü</v>
      </c>
      <c r="BB884" s="495" t="str">
        <f t="shared" si="123"/>
        <v/>
      </c>
      <c r="BC884" s="495" t="str">
        <f t="shared" si="124"/>
        <v/>
      </c>
      <c r="BD884" s="513" t="str">
        <f>IF(AND(L884="",H884=""),"",
IF(H884="",Pole_Calc!A$9,
IF(H884="MP",Pole_Calc!A$10,
IF(H884="AnMP",Pole_Calc!A$11,
IF(H884="A",Pole_Calc!A$12,
IF(H884="S/A",Pole_Calc!A$13,
IF(H884="A/S",Pole_Calc!A$14,"Poner a mano")))))))</f>
        <v>App.7-V11I-P9.5.1.6</v>
      </c>
      <c r="BE884" s="429" t="s">
        <v>118</v>
      </c>
      <c r="BF884" s="289"/>
      <c r="BG884" s="289"/>
      <c r="BH884" s="290"/>
      <c r="BI884" s="289"/>
    </row>
    <row r="885" spans="1:61" ht="15.75" customHeight="1">
      <c r="A885" s="518"/>
      <c r="B885" s="450"/>
      <c r="C885" s="3"/>
      <c r="D885" s="83"/>
      <c r="E885" s="4"/>
      <c r="F885" s="4"/>
      <c r="G885" s="6">
        <v>45</v>
      </c>
      <c r="H885" s="449"/>
      <c r="I885" s="4"/>
      <c r="J885" s="3"/>
      <c r="K885" s="449"/>
      <c r="L885" s="449"/>
      <c r="M885" s="449" t="str">
        <f>IF(L885="","",
IF(AX885="PT",VLOOKUP(L885,Foundation_Calc!$V$79:$X$113,VLOOKUP(AX885,Foundation_Calc!$I$10:$J$13,2,FALSE),0),
IF(AX885="K",VLOOKUP(L885,Foundation_Calc!$V$117:$X$151,VLOOKUP(AX885,Foundation_Calc!$I$10:$J$13,2,FALSE),0),"")))</f>
        <v/>
      </c>
      <c r="N885" s="449"/>
      <c r="O885" s="449"/>
      <c r="P885" s="449"/>
      <c r="Q885" s="4"/>
      <c r="R885" s="6"/>
      <c r="S885" s="6"/>
      <c r="T885" s="4"/>
      <c r="U885" s="4"/>
      <c r="V885" s="4"/>
      <c r="W885" s="9"/>
      <c r="X885" s="9"/>
      <c r="Y885" s="9"/>
      <c r="Z885" s="9"/>
      <c r="AA885" s="9"/>
      <c r="AB885" s="9"/>
      <c r="AC885" s="449" t="str">
        <f t="shared" si="118"/>
        <v/>
      </c>
      <c r="AD885" s="449"/>
      <c r="AE885" s="449"/>
      <c r="AF885" s="4"/>
      <c r="AG885" s="83"/>
      <c r="AH885" s="4"/>
      <c r="AI885" s="4"/>
      <c r="AJ885" s="449"/>
      <c r="AK885" s="449"/>
      <c r="AL885" s="449"/>
      <c r="AM885" s="449"/>
      <c r="AN885" s="10"/>
      <c r="AO885" s="9"/>
      <c r="AP885" s="9"/>
      <c r="AQ885" s="9">
        <f>+FL_2($U$886,$T$884,$G$885,1200,9.28, 1*$F$886)</f>
        <v>-0.30000600132041177</v>
      </c>
      <c r="AR885" s="9"/>
      <c r="AS885" s="9"/>
      <c r="AT885" s="9"/>
      <c r="AU885" s="428"/>
      <c r="AV885" s="428"/>
      <c r="AW885" s="449" t="str">
        <f>IF(C885&gt;0,VLOOKUP(C885,Foundation_Calc!$A$2:$C$13,3,1),
IF(J885&gt;0,VLOOKUP(J885,Foundation_Calc!$A$2:$C$13,3,1),""))</f>
        <v/>
      </c>
      <c r="AX885" s="449" t="str">
        <f>IF(C885&gt;0,VLOOKUP(C885,Foundation_Calc!$E$35:$G$65,3,1),
IF(J885&gt;0,VLOOKUP(J885,Foundation_Calc!$E$35:$G$65,3,1),""))</f>
        <v/>
      </c>
      <c r="AY885" s="10" t="str">
        <f>IF(L885="","",
IF(AX885="PT",VLOOKUP(L885,Foundation_Calc!$K$79:$R$113,VLOOKUP(AW885,Foundation_Calc!$I$2:$J$8,2,FALSE),0),
IF(AX885="K",VLOOKUP(L885,Foundation_Calc!$K$117:$R$151,VLOOKUP(AW885,Foundation_Calc!$I$2:$J$8,2,FALSE),0),"")))</f>
        <v/>
      </c>
      <c r="AZ885" s="10" t="str">
        <f>IF(K885="","",
IF(AX885="PT",VLOOKUP(K885,Foundation_Calc!$K$79:$R$113,VLOOKUP(AW885,Foundation_Calc!$I$2:$J$8,2,FALSE),0),
IF(AX885="K",VLOOKUP(K885,Foundation_Calc!$K$117:$R$151,VLOOKUP(AW885,Foundation_Calc!$I$2:$J$8,2,FALSE),0),"")))</f>
        <v/>
      </c>
      <c r="BA885" s="495" t="str">
        <f t="shared" si="122"/>
        <v/>
      </c>
      <c r="BB885" s="495" t="str">
        <f t="shared" si="123"/>
        <v/>
      </c>
      <c r="BC885" s="495" t="str">
        <f t="shared" si="124"/>
        <v/>
      </c>
      <c r="BD885" s="513" t="str">
        <f>IF(AND(L885="",H885=""),"",
IF(H885="",Pole_Calc!A$9,
IF(H885="MP",Pole_Calc!A$10,
IF(H885="AnMP",Pole_Calc!A$11,
IF(H885="A",Pole_Calc!A$12,
IF(H885="S/A",Pole_Calc!A$13,
IF(H885="A/S",Pole_Calc!A$14,"Poner a mano")))))))</f>
        <v/>
      </c>
      <c r="BE885" s="429" t="s">
        <v>118</v>
      </c>
      <c r="BF885" s="290"/>
      <c r="BG885" s="290"/>
      <c r="BH885" s="290"/>
      <c r="BI885" s="290"/>
    </row>
    <row r="886" spans="1:61" ht="15.75" customHeight="1">
      <c r="A886" s="514"/>
      <c r="B886" s="450" t="s">
        <v>1397</v>
      </c>
      <c r="C886" s="3">
        <f>+$C$884+$G$885</f>
        <v>51358.98000000001</v>
      </c>
      <c r="D886" s="83"/>
      <c r="E886" s="4"/>
      <c r="F886" s="4">
        <v>-1250</v>
      </c>
      <c r="G886" s="6"/>
      <c r="H886" s="449" t="s">
        <v>131</v>
      </c>
      <c r="I886" s="4"/>
      <c r="J886" s="3"/>
      <c r="K886" s="449"/>
      <c r="L886" s="449" t="s">
        <v>183</v>
      </c>
      <c r="M886" s="449" t="s">
        <v>409</v>
      </c>
      <c r="N886" s="449" t="s">
        <v>133</v>
      </c>
      <c r="O886" s="449" t="s">
        <v>124</v>
      </c>
      <c r="P886" s="449"/>
      <c r="Q886" s="4"/>
      <c r="R886" s="6"/>
      <c r="S886" s="6"/>
      <c r="T886" s="4">
        <v>15</v>
      </c>
      <c r="U886" s="4">
        <v>-30</v>
      </c>
      <c r="V886" s="4"/>
      <c r="W886" s="9">
        <v>1.4</v>
      </c>
      <c r="X886" s="9">
        <v>2</v>
      </c>
      <c r="Y886" s="9"/>
      <c r="Z886" s="9">
        <v>0.4</v>
      </c>
      <c r="AA886" s="9"/>
      <c r="AB886" s="9"/>
      <c r="AC886" s="449"/>
      <c r="AD886" s="449"/>
      <c r="AE886" s="449"/>
      <c r="AF886" s="4"/>
      <c r="AG886" s="83"/>
      <c r="AH886" s="4"/>
      <c r="AI886" s="4"/>
      <c r="AJ886" s="449"/>
      <c r="AK886" s="449"/>
      <c r="AL886" s="449"/>
      <c r="AM886" s="449" t="s">
        <v>552</v>
      </c>
      <c r="AN886" s="10">
        <v>5.15</v>
      </c>
      <c r="AO886" s="9"/>
      <c r="AP886" s="9"/>
      <c r="AQ886" s="9"/>
      <c r="AR886" s="9"/>
      <c r="AS886" s="9"/>
      <c r="AT886" s="9">
        <f>+ab($U$886,$T$884,$U$888,$G$885,$G$887, 1*$F$886,1200)</f>
        <v>-5.3540653811941823</v>
      </c>
      <c r="AU886" s="428"/>
      <c r="AV886" s="428"/>
      <c r="AW886" s="449" t="str">
        <f>IF(C886&gt;0,VLOOKUP(C886,Foundation_Calc!$A$2:$C$13,3,1),
IF(J886&gt;0,VLOOKUP(J886,Foundation_Calc!$A$2:$C$13,3,1),""))</f>
        <v>Multi Soil</v>
      </c>
      <c r="AX886" s="449" t="str">
        <f>IF(C886&gt;0,VLOOKUP(C886,Foundation_Calc!$E$35:$G$65,3,1),
IF(J886&gt;0,VLOOKUP(J886,Foundation_Calc!$E$35:$G$65,3,1),""))</f>
        <v>PT</v>
      </c>
      <c r="AY886" s="10">
        <f>IF(L886="","",
IF(AX886="PT",VLOOKUP(L886,Foundation_Calc!$K$79:$R$113,VLOOKUP(AW886,Foundation_Calc!$I$2:$J$8,2,FALSE),0),
IF(AX886="K",VLOOKUP(L886,Foundation_Calc!$K$117:$R$151,VLOOKUP(AW886,Foundation_Calc!$I$2:$J$8,2,FALSE),0),"")))</f>
        <v>3.7</v>
      </c>
      <c r="AZ886" s="10" t="str">
        <f>IF(K886="","",
IF(AX886="PT",VLOOKUP(K886,Foundation_Calc!$K$79:$R$113,VLOOKUP(AW886,Foundation_Calc!$I$2:$J$8,2,FALSE),0),
IF(AX886="K",VLOOKUP(K886,Foundation_Calc!$K$117:$R$151,VLOOKUP(AW886,Foundation_Calc!$I$2:$J$8,2,FALSE),0),"")))</f>
        <v/>
      </c>
      <c r="BA886" s="495" t="str">
        <f t="shared" si="122"/>
        <v>ü</v>
      </c>
      <c r="BB886" s="495" t="str">
        <f t="shared" si="123"/>
        <v/>
      </c>
      <c r="BC886" s="495" t="str">
        <f t="shared" si="124"/>
        <v/>
      </c>
      <c r="BD886" s="513" t="str">
        <f>IF(AND(L886="",H886=""),"",
IF(H886="",Pole_Calc!A$9,
IF(H886="MP",Pole_Calc!A$10,
IF(H886="AnMP",Pole_Calc!A$11,
IF(H886="A",Pole_Calc!A$12,
IF(H886="S/A",Pole_Calc!A$13,
IF(H886="A/S",Pole_Calc!A$14,"Poner a mano")))))))</f>
        <v>App.7-V11I-P9.5.1.5</v>
      </c>
      <c r="BE886" s="429" t="s">
        <v>118</v>
      </c>
      <c r="BF886" s="289"/>
      <c r="BG886" s="289"/>
      <c r="BH886" s="290"/>
      <c r="BI886" s="289"/>
    </row>
    <row r="887" spans="1:61" ht="15.75" customHeight="1">
      <c r="A887" s="514"/>
      <c r="B887" s="450"/>
      <c r="C887" s="3"/>
      <c r="D887" s="83"/>
      <c r="E887" s="4"/>
      <c r="F887" s="4"/>
      <c r="G887" s="6">
        <v>47</v>
      </c>
      <c r="H887" s="449"/>
      <c r="I887" s="4"/>
      <c r="J887" s="3"/>
      <c r="K887" s="449"/>
      <c r="L887" s="449"/>
      <c r="M887" s="449" t="str">
        <f>IF(L887="","",
IF(AX887="PT",VLOOKUP(L887,Foundation_Calc!$V$79:$X$113,VLOOKUP(AX887,Foundation_Calc!$I$10:$J$13,2,FALSE),0),
IF(AX887="K",VLOOKUP(L887,Foundation_Calc!$V$117:$X$151,VLOOKUP(AX887,Foundation_Calc!$I$10:$J$13,2,FALSE),0),"")))</f>
        <v/>
      </c>
      <c r="N887" s="449"/>
      <c r="O887" s="449"/>
      <c r="P887" s="449"/>
      <c r="Q887" s="4"/>
      <c r="R887" s="6"/>
      <c r="S887" s="6"/>
      <c r="T887" s="4"/>
      <c r="U887" s="4"/>
      <c r="V887" s="4"/>
      <c r="W887" s="9"/>
      <c r="X887" s="9"/>
      <c r="Y887" s="9"/>
      <c r="Z887" s="9"/>
      <c r="AA887" s="9"/>
      <c r="AB887" s="9"/>
      <c r="AC887" s="449" t="str">
        <f t="shared" si="118"/>
        <v/>
      </c>
      <c r="AD887" s="449"/>
      <c r="AE887" s="449"/>
      <c r="AF887" s="4"/>
      <c r="AG887" s="83"/>
      <c r="AH887" s="4"/>
      <c r="AI887" s="4"/>
      <c r="AJ887" s="449"/>
      <c r="AK887" s="449"/>
      <c r="AL887" s="449"/>
      <c r="AM887" s="449"/>
      <c r="AN887" s="10"/>
      <c r="AO887" s="9"/>
      <c r="AP887" s="9"/>
      <c r="AQ887" s="9">
        <f>+FL_1($T$888,$U$886,$G$887,1200,9.28, 1*$F$888)</f>
        <v>0.35747248876595195</v>
      </c>
      <c r="AR887" s="9"/>
      <c r="AS887" s="9"/>
      <c r="AT887" s="9"/>
      <c r="AU887" s="428"/>
      <c r="AV887" s="428"/>
      <c r="AW887" s="449" t="str">
        <f>IF(C887&gt;0,VLOOKUP(C887,Foundation_Calc!$A$2:$C$13,3,1),
IF(J887&gt;0,VLOOKUP(J887,Foundation_Calc!$A$2:$C$13,3,1),""))</f>
        <v/>
      </c>
      <c r="AX887" s="449" t="str">
        <f>IF(C887&gt;0,VLOOKUP(C887,Foundation_Calc!$E$35:$G$65,3,1),
IF(J887&gt;0,VLOOKUP(J887,Foundation_Calc!$E$35:$G$65,3,1),""))</f>
        <v/>
      </c>
      <c r="AY887" s="10" t="str">
        <f>IF(L887="","",
IF(AX887="PT",VLOOKUP(L887,Foundation_Calc!$K$79:$R$113,VLOOKUP(AW887,Foundation_Calc!$I$2:$J$8,2,FALSE),0),
IF(AX887="K",VLOOKUP(L887,Foundation_Calc!$K$117:$R$151,VLOOKUP(AW887,Foundation_Calc!$I$2:$J$8,2,FALSE),0),"")))</f>
        <v/>
      </c>
      <c r="AZ887" s="10" t="str">
        <f>IF(K887="","",
IF(AX887="PT",VLOOKUP(K887,Foundation_Calc!$K$79:$R$113,VLOOKUP(AW887,Foundation_Calc!$I$2:$J$8,2,FALSE),0),
IF(AX887="K",VLOOKUP(K887,Foundation_Calc!$K$117:$R$151,VLOOKUP(AW887,Foundation_Calc!$I$2:$J$8,2,FALSE),0),"")))</f>
        <v/>
      </c>
      <c r="BA887" s="495" t="str">
        <f t="shared" si="122"/>
        <v/>
      </c>
      <c r="BB887" s="495" t="str">
        <f t="shared" si="123"/>
        <v/>
      </c>
      <c r="BC887" s="495" t="str">
        <f t="shared" si="124"/>
        <v/>
      </c>
      <c r="BD887" s="513" t="str">
        <f>IF(AND(L887="",H887=""),"",
IF(H887="",Pole_Calc!A$9,
IF(H887="MP",Pole_Calc!A$10,
IF(H887="AnMP",Pole_Calc!A$11,
IF(H887="A",Pole_Calc!A$12,
IF(H887="S/A",Pole_Calc!A$13,
IF(H887="A/S",Pole_Calc!A$14,"Poner a mano")))))))</f>
        <v/>
      </c>
      <c r="BE887" s="429" t="s">
        <v>118</v>
      </c>
      <c r="BF887" s="290"/>
      <c r="BG887" s="290"/>
      <c r="BH887" s="290"/>
      <c r="BI887" s="290"/>
    </row>
    <row r="888" spans="1:61" ht="15.75" customHeight="1">
      <c r="A888" s="514" t="s">
        <v>1398</v>
      </c>
      <c r="B888" s="450" t="s">
        <v>1399</v>
      </c>
      <c r="C888" s="3">
        <f>+$C$886+$G$887</f>
        <v>51405.98000000001</v>
      </c>
      <c r="D888" s="83"/>
      <c r="E888" s="4"/>
      <c r="F888" s="4">
        <v>-1250</v>
      </c>
      <c r="G888" s="6"/>
      <c r="H888" s="449" t="s">
        <v>131</v>
      </c>
      <c r="I888" s="4" t="s">
        <v>132</v>
      </c>
      <c r="J888" s="3"/>
      <c r="K888" s="449"/>
      <c r="L888" s="449" t="s">
        <v>183</v>
      </c>
      <c r="M888" s="449" t="s">
        <v>409</v>
      </c>
      <c r="N888" s="449" t="s">
        <v>124</v>
      </c>
      <c r="O888" s="449" t="s">
        <v>133</v>
      </c>
      <c r="P888" s="449"/>
      <c r="Q888" s="4"/>
      <c r="R888" s="6"/>
      <c r="S888" s="6"/>
      <c r="T888" s="4">
        <v>10</v>
      </c>
      <c r="U888" s="4">
        <v>-35</v>
      </c>
      <c r="V888" s="4"/>
      <c r="W888" s="9">
        <v>1.4</v>
      </c>
      <c r="X888" s="9">
        <v>2</v>
      </c>
      <c r="Y888" s="9"/>
      <c r="Z888" s="9"/>
      <c r="AA888" s="9">
        <v>0.4</v>
      </c>
      <c r="AB888" s="9"/>
      <c r="AC888" s="449" t="str">
        <f t="shared" si="118"/>
        <v>PHQ</v>
      </c>
      <c r="AD888" s="449"/>
      <c r="AE888" s="449"/>
      <c r="AF888" s="4"/>
      <c r="AG888" s="83"/>
      <c r="AH888" s="4"/>
      <c r="AI888" s="4"/>
      <c r="AJ888" s="449" t="s">
        <v>233</v>
      </c>
      <c r="AK888" s="449"/>
      <c r="AL888" s="449"/>
      <c r="AM888" s="449" t="s">
        <v>552</v>
      </c>
      <c r="AN888" s="10">
        <v>5.15</v>
      </c>
      <c r="AO888" s="9"/>
      <c r="AP888" s="9"/>
      <c r="AQ888" s="9"/>
      <c r="AR888" s="9"/>
      <c r="AS888" s="9"/>
      <c r="AT888" s="9">
        <f>+ab($T$888,$T$886,$T$890,$G$887,$G$889, 1*$F$888,1200)</f>
        <v>-6.3379471651902026</v>
      </c>
      <c r="AU888" s="428"/>
      <c r="AV888" s="428"/>
      <c r="AW888" s="449" t="str">
        <f>IF(C888&gt;0,VLOOKUP(C888,Foundation_Calc!$A$2:$C$13,3,1),
IF(J888&gt;0,VLOOKUP(J888,Foundation_Calc!$A$2:$C$13,3,1),""))</f>
        <v>Multi Soil</v>
      </c>
      <c r="AX888" s="449" t="str">
        <f>IF(C888&gt;0,VLOOKUP(C888,Foundation_Calc!$E$35:$G$65,3,1),
IF(J888&gt;0,VLOOKUP(J888,Foundation_Calc!$E$35:$G$65,3,1),""))</f>
        <v>PT</v>
      </c>
      <c r="AY888" s="10">
        <f>IF(L888="","",
IF(AX888="PT",VLOOKUP(L888,Foundation_Calc!$K$79:$R$113,VLOOKUP(AW888,Foundation_Calc!$I$2:$J$8,2,FALSE),0),
IF(AX888="K",VLOOKUP(L888,Foundation_Calc!$K$117:$R$151,VLOOKUP(AW888,Foundation_Calc!$I$2:$J$8,2,FALSE),0),"")))</f>
        <v>3.7</v>
      </c>
      <c r="AZ888" s="10" t="str">
        <f>IF(K888="","",
IF(AX888="PT",VLOOKUP(K888,Foundation_Calc!$K$79:$R$113,VLOOKUP(AW888,Foundation_Calc!$I$2:$J$8,2,FALSE),0),
IF(AX888="K",VLOOKUP(K888,Foundation_Calc!$K$117:$R$151,VLOOKUP(AW888,Foundation_Calc!$I$2:$J$8,2,FALSE),0),"")))</f>
        <v/>
      </c>
      <c r="BA888" s="495" t="str">
        <f t="shared" si="122"/>
        <v>ü</v>
      </c>
      <c r="BB888" s="495" t="str">
        <f t="shared" si="123"/>
        <v/>
      </c>
      <c r="BC888" s="495" t="str">
        <f t="shared" si="124"/>
        <v/>
      </c>
      <c r="BD888" s="513" t="str">
        <f>IF(AND(L888="",H888=""),"",
IF(H888="",Pole_Calc!A$9,
IF(H888="MP",Pole_Calc!A$10,
IF(H888="AnMP",Pole_Calc!A$11,
IF(H888="A",Pole_Calc!A$12,
IF(H888="S/A",Pole_Calc!A$13,
IF(H888="A/S",Pole_Calc!A$14,"Poner a mano")))))))</f>
        <v>App.7-V11I-P9.5.1.5</v>
      </c>
      <c r="BE888" s="429" t="s">
        <v>118</v>
      </c>
      <c r="BF888" s="289"/>
      <c r="BG888" s="289"/>
      <c r="BH888" s="290"/>
      <c r="BI888" s="289"/>
    </row>
    <row r="889" spans="1:61" ht="15.75" customHeight="1">
      <c r="A889" s="514"/>
      <c r="B889" s="450"/>
      <c r="C889" s="3"/>
      <c r="D889" s="83"/>
      <c r="E889" s="4"/>
      <c r="F889" s="4"/>
      <c r="G889" s="6">
        <v>47</v>
      </c>
      <c r="H889" s="449"/>
      <c r="I889" s="4"/>
      <c r="J889" s="3"/>
      <c r="K889" s="449"/>
      <c r="L889" s="449"/>
      <c r="M889" s="449" t="str">
        <f>IF(L889="","",
IF(AX889="PT",VLOOKUP(L889,Foundation_Calc!$V$79:$X$113,VLOOKUP(AX889,Foundation_Calc!$I$10:$J$13,2,FALSE),0),
IF(AX889="K",VLOOKUP(L889,Foundation_Calc!$V$117:$X$151,VLOOKUP(AX889,Foundation_Calc!$I$10:$J$13,2,FALSE),0),"")))</f>
        <v/>
      </c>
      <c r="N889" s="449"/>
      <c r="O889" s="561"/>
      <c r="P889" s="449"/>
      <c r="Q889" s="4"/>
      <c r="R889" s="6"/>
      <c r="S889" s="6"/>
      <c r="T889" s="4"/>
      <c r="U889" s="4"/>
      <c r="V889" s="4"/>
      <c r="W889" s="9"/>
      <c r="X889" s="9"/>
      <c r="Y889" s="9"/>
      <c r="Z889" s="9"/>
      <c r="AA889" s="9"/>
      <c r="AB889" s="9"/>
      <c r="AC889" s="449" t="str">
        <f t="shared" si="118"/>
        <v/>
      </c>
      <c r="AD889" s="449"/>
      <c r="AE889" s="449"/>
      <c r="AF889" s="4"/>
      <c r="AG889" s="83"/>
      <c r="AH889" s="4"/>
      <c r="AI889" s="4"/>
      <c r="AJ889" s="449"/>
      <c r="AK889" s="449"/>
      <c r="AL889" s="449"/>
      <c r="AM889" s="449"/>
      <c r="AN889" s="10"/>
      <c r="AO889" s="9"/>
      <c r="AP889" s="9"/>
      <c r="AQ889" s="9">
        <f>+FL_1($T$890,$T$888,$G$889,1200,9.28, 1*$F$890)</f>
        <v>0.31930408944742583</v>
      </c>
      <c r="AR889" s="9"/>
      <c r="AS889" s="9"/>
      <c r="AT889" s="9"/>
      <c r="AU889" s="428"/>
      <c r="AV889" s="428"/>
      <c r="AW889" s="449" t="str">
        <f>IF(C889&gt;0,VLOOKUP(C889,Foundation_Calc!$A$2:$C$13,3,1),
IF(J889&gt;0,VLOOKUP(J889,Foundation_Calc!$A$2:$C$13,3,1),""))</f>
        <v/>
      </c>
      <c r="AX889" s="449" t="str">
        <f>IF(C889&gt;0,VLOOKUP(C889,Foundation_Calc!$E$35:$G$65,3,1),
IF(J889&gt;0,VLOOKUP(J889,Foundation_Calc!$E$35:$G$65,3,1),""))</f>
        <v/>
      </c>
      <c r="AY889" s="10" t="str">
        <f>IF(L889="","",
IF(AX889="PT",VLOOKUP(L889,Foundation_Calc!$K$79:$R$113,VLOOKUP(AW889,Foundation_Calc!$I$2:$J$8,2,FALSE),0),
IF(AX889="K",VLOOKUP(L889,Foundation_Calc!$K$117:$R$151,VLOOKUP(AW889,Foundation_Calc!$I$2:$J$8,2,FALSE),0),"")))</f>
        <v/>
      </c>
      <c r="AZ889" s="10" t="str">
        <f>IF(K889="","",
IF(AX889="PT",VLOOKUP(K889,Foundation_Calc!$K$79:$R$113,VLOOKUP(AW889,Foundation_Calc!$I$2:$J$8,2,FALSE),0),
IF(AX889="K",VLOOKUP(K889,Foundation_Calc!$K$117:$R$151,VLOOKUP(AW889,Foundation_Calc!$I$2:$J$8,2,FALSE),0),"")))</f>
        <v/>
      </c>
      <c r="BA889" s="495" t="str">
        <f t="shared" si="122"/>
        <v/>
      </c>
      <c r="BB889" s="495" t="str">
        <f t="shared" si="123"/>
        <v/>
      </c>
      <c r="BC889" s="495" t="str">
        <f t="shared" si="124"/>
        <v/>
      </c>
      <c r="BD889" s="513" t="str">
        <f>IF(AND(L889="",H889=""),"",
IF(H889="",Pole_Calc!A$9,
IF(H889="MP",Pole_Calc!A$10,
IF(H889="AnMP",Pole_Calc!A$11,
IF(H889="A",Pole_Calc!A$12,
IF(H889="S/A",Pole_Calc!A$13,
IF(H889="A/S",Pole_Calc!A$14,"Poner a mano")))))))</f>
        <v/>
      </c>
      <c r="BE889" s="429" t="s">
        <v>118</v>
      </c>
      <c r="BF889" s="290"/>
      <c r="BG889" s="290"/>
      <c r="BH889" s="290"/>
      <c r="BI889" s="290"/>
    </row>
    <row r="890" spans="1:61" ht="15.75" customHeight="1">
      <c r="A890" s="514"/>
      <c r="B890" s="450" t="s">
        <v>1400</v>
      </c>
      <c r="C890" s="3">
        <f>+$C$888+$G$889-0.38</f>
        <v>51452.600000000013</v>
      </c>
      <c r="D890" s="83"/>
      <c r="E890" s="4"/>
      <c r="F890" s="4">
        <v>-1530.868167203002</v>
      </c>
      <c r="G890" s="6"/>
      <c r="H890" s="449" t="s">
        <v>121</v>
      </c>
      <c r="I890" s="4" t="s">
        <v>122</v>
      </c>
      <c r="J890" s="3"/>
      <c r="K890" s="449"/>
      <c r="L890" s="449" t="s">
        <v>181</v>
      </c>
      <c r="M890" s="449" t="s">
        <v>399</v>
      </c>
      <c r="N890" s="449" t="s">
        <v>124</v>
      </c>
      <c r="O890" s="449"/>
      <c r="P890" s="449"/>
      <c r="Q890" s="4"/>
      <c r="R890" s="6"/>
      <c r="S890" s="6"/>
      <c r="T890" s="4">
        <v>-30</v>
      </c>
      <c r="U890" s="4"/>
      <c r="V890" s="4"/>
      <c r="W890" s="9">
        <v>1.4</v>
      </c>
      <c r="X890" s="9"/>
      <c r="Y890" s="9"/>
      <c r="Z890" s="9"/>
      <c r="AA890" s="9"/>
      <c r="AB890" s="9"/>
      <c r="AC890" s="449" t="str">
        <f t="shared" si="118"/>
        <v>PHC</v>
      </c>
      <c r="AD890" s="449"/>
      <c r="AE890" s="449"/>
      <c r="AF890" s="4"/>
      <c r="AG890" s="83"/>
      <c r="AH890" s="4"/>
      <c r="AI890" s="4"/>
      <c r="AJ890" s="449"/>
      <c r="AK890" s="449"/>
      <c r="AL890" s="449"/>
      <c r="AM890" s="449" t="s">
        <v>552</v>
      </c>
      <c r="AN890" s="10">
        <v>5.15</v>
      </c>
      <c r="AO890" s="9"/>
      <c r="AP890" s="9"/>
      <c r="AQ890" s="9"/>
      <c r="AR890" s="9"/>
      <c r="AS890" s="9"/>
      <c r="AT890" s="9">
        <f>+ab($T$890,$T$888,$T$892,$G$889,$G$891, 1*$F$890,1200)</f>
        <v>-3.60279098374316</v>
      </c>
      <c r="AU890" s="428"/>
      <c r="AV890" s="428"/>
      <c r="AW890" s="449" t="str">
        <f>IF(C890&gt;0,VLOOKUP(C890,Foundation_Calc!$A$2:$C$13,3,1),
IF(J890&gt;0,VLOOKUP(J890,Foundation_Calc!$A$2:$C$13,3,1),""))</f>
        <v>Multi Soil</v>
      </c>
      <c r="AX890" s="449" t="str">
        <f>IF(C890&gt;0,VLOOKUP(C890,Foundation_Calc!$E$35:$G$65,3,1),
IF(J890&gt;0,VLOOKUP(J890,Foundation_Calc!$E$35:$G$65,3,1),""))</f>
        <v>PT</v>
      </c>
      <c r="AY890" s="10">
        <f>IF(L890="","",
IF(AX890="PT",VLOOKUP(L890,Foundation_Calc!$K$79:$R$113,VLOOKUP(AW890,Foundation_Calc!$I$2:$J$8,2,FALSE),0),
IF(AX890="K",VLOOKUP(L890,Foundation_Calc!$K$117:$R$151,VLOOKUP(AW890,Foundation_Calc!$I$2:$J$8,2,FALSE),0),"")))</f>
        <v>3.5</v>
      </c>
      <c r="AZ890" s="10" t="str">
        <f>IF(K890="","",
IF(AX890="PT",VLOOKUP(K890,Foundation_Calc!$K$79:$R$113,VLOOKUP(AW890,Foundation_Calc!$I$2:$J$8,2,FALSE),0),
IF(AX890="K",VLOOKUP(K890,Foundation_Calc!$K$117:$R$151,VLOOKUP(AW890,Foundation_Calc!$I$2:$J$8,2,FALSE),0),"")))</f>
        <v/>
      </c>
      <c r="BA890" s="495" t="str">
        <f t="shared" si="122"/>
        <v>ü</v>
      </c>
      <c r="BB890" s="495" t="str">
        <f t="shared" si="123"/>
        <v/>
      </c>
      <c r="BC890" s="495" t="str">
        <f t="shared" si="124"/>
        <v/>
      </c>
      <c r="BD890" s="513" t="str">
        <f>IF(AND(L890="",H890=""),"",
IF(H890="",Pole_Calc!A$9,
IF(H890="MP",Pole_Calc!A$10,
IF(H890="AnMP",Pole_Calc!A$11,
IF(H890="A",Pole_Calc!A$12,
IF(H890="S/A",Pole_Calc!A$13,
IF(H890="A/S",Pole_Calc!A$14,"Poner a mano")))))))</f>
        <v>App.7-V11I-P9.5.1.6</v>
      </c>
      <c r="BE890" s="429" t="s">
        <v>118</v>
      </c>
      <c r="BF890" s="289"/>
      <c r="BG890" s="289"/>
      <c r="BH890" s="290"/>
      <c r="BI890" s="289"/>
    </row>
    <row r="891" spans="1:61" ht="15.75" customHeight="1">
      <c r="A891" s="518"/>
      <c r="B891" s="450"/>
      <c r="C891" s="3"/>
      <c r="D891" s="83"/>
      <c r="E891" s="4"/>
      <c r="F891" s="4"/>
      <c r="G891" s="6">
        <v>50</v>
      </c>
      <c r="H891" s="449"/>
      <c r="I891" s="4"/>
      <c r="J891" s="3">
        <f>C890+7.5</f>
        <v>51460.100000000013</v>
      </c>
      <c r="K891" s="449" t="s">
        <v>117</v>
      </c>
      <c r="L891" s="449"/>
      <c r="M891" s="449" t="str">
        <f>IF(L891="","",
IF(AX891="PT",VLOOKUP(L891,Foundation_Calc!$V$79:$X$113,VLOOKUP(AX891,Foundation_Calc!$I$10:$J$13,2,FALSE),0),
IF(AX891="K",VLOOKUP(L891,Foundation_Calc!$V$117:$X$151,VLOOKUP(AX891,Foundation_Calc!$I$10:$J$13,2,FALSE),0),"")))</f>
        <v/>
      </c>
      <c r="N891" s="449"/>
      <c r="O891" s="449"/>
      <c r="P891" s="449"/>
      <c r="Q891" s="4"/>
      <c r="R891" s="6"/>
      <c r="S891" s="6"/>
      <c r="T891" s="4"/>
      <c r="U891" s="4"/>
      <c r="V891" s="4"/>
      <c r="W891" s="9"/>
      <c r="X891" s="9"/>
      <c r="Y891" s="9"/>
      <c r="Z891" s="9"/>
      <c r="AA891" s="9"/>
      <c r="AB891" s="9"/>
      <c r="AC891" s="449" t="str">
        <f t="shared" si="118"/>
        <v/>
      </c>
      <c r="AD891" s="449"/>
      <c r="AE891" s="449"/>
      <c r="AF891" s="4"/>
      <c r="AG891" s="83"/>
      <c r="AH891" s="4"/>
      <c r="AI891" s="4"/>
      <c r="AJ891" s="449"/>
      <c r="AK891" s="449"/>
      <c r="AL891" s="449"/>
      <c r="AM891" s="449"/>
      <c r="AN891" s="10"/>
      <c r="AO891" s="9"/>
      <c r="AP891" s="9"/>
      <c r="AQ891" s="9">
        <f>+FL_1($T$892,$T$890,$G$891,1200,9.28, 1*$F$892)</f>
        <v>0.42348074821818932</v>
      </c>
      <c r="AR891" s="9"/>
      <c r="AS891" s="9"/>
      <c r="AT891" s="9"/>
      <c r="AU891" s="428"/>
      <c r="AV891" s="428"/>
      <c r="AW891" s="449" t="str">
        <f>IF(C891&gt;0,VLOOKUP(C891,Foundation_Calc!$A$2:$C$13,3,1),
IF(J891&gt;0,VLOOKUP(J891,Foundation_Calc!$A$2:$C$13,3,1),""))</f>
        <v>Multi Soil</v>
      </c>
      <c r="AX891" s="449" t="str">
        <f>IF(C891&gt;0,VLOOKUP(C891,Foundation_Calc!$E$35:$G$65,3,1),
IF(J891&gt;0,VLOOKUP(J891,Foundation_Calc!$E$35:$G$65,3,1),""))</f>
        <v>PT</v>
      </c>
      <c r="AY891" s="10" t="str">
        <f>IF(L891="","",
IF(AX891="PT",VLOOKUP(L891,Foundation_Calc!$K$79:$R$113,VLOOKUP(AW891,Foundation_Calc!$I$2:$J$8,2,FALSE),0),
IF(AX891="K",VLOOKUP(L891,Foundation_Calc!$K$117:$R$151,VLOOKUP(AW891,Foundation_Calc!$I$2:$J$8,2,FALSE),0),"")))</f>
        <v/>
      </c>
      <c r="AZ891" s="10">
        <f>IF(K891="","",
IF(AX891="PT",VLOOKUP(K891,Foundation_Calc!$K$79:$R$113,VLOOKUP(AW891,Foundation_Calc!$I$2:$J$8,2,FALSE),0),
IF(AX891="K",VLOOKUP(K891,Foundation_Calc!$K$117:$R$151,VLOOKUP(AW891,Foundation_Calc!$I$2:$J$8,2,FALSE),0),"")))</f>
        <v>3.9</v>
      </c>
      <c r="BA891" s="495" t="str">
        <f t="shared" si="122"/>
        <v/>
      </c>
      <c r="BB891" s="495" t="str">
        <f t="shared" si="123"/>
        <v>ü</v>
      </c>
      <c r="BC891" s="495" t="str">
        <f t="shared" si="124"/>
        <v/>
      </c>
      <c r="BD891" s="513" t="str">
        <f>IF(AND(L891="",H891=""),"",
IF(H891="",Pole_Calc!A$9,
IF(H891="MP",Pole_Calc!A$10,
IF(H891="AnMP",Pole_Calc!A$11,
IF(H891="A",Pole_Calc!A$12,
IF(H891="S/A",Pole_Calc!A$13,
IF(H891="A/S",Pole_Calc!A$14,"Poner a mano")))))))</f>
        <v/>
      </c>
      <c r="BE891" s="429" t="s">
        <v>118</v>
      </c>
      <c r="BF891" s="290"/>
      <c r="BG891" s="290"/>
      <c r="BH891" s="290"/>
      <c r="BI891" s="290"/>
    </row>
    <row r="892" spans="1:61" ht="15.75" customHeight="1">
      <c r="A892" s="514"/>
      <c r="B892" s="450" t="s">
        <v>1401</v>
      </c>
      <c r="C892" s="3">
        <f>+$C$890+$G$891</f>
        <v>51502.600000000013</v>
      </c>
      <c r="D892" s="83"/>
      <c r="E892" s="4"/>
      <c r="F892" s="4">
        <v>-4289.1891891925634</v>
      </c>
      <c r="G892" s="6"/>
      <c r="H892" s="449"/>
      <c r="I892" s="4"/>
      <c r="J892" s="3"/>
      <c r="K892" s="449"/>
      <c r="L892" s="449" t="s">
        <v>153</v>
      </c>
      <c r="M892" s="449" t="str">
        <f>IF(L892="","",
IF(AX892="PT",VLOOKUP(L892,Foundation_Calc!$V$79:$X$113,VLOOKUP(AX892,Foundation_Calc!$I$10:$J$13,2,FALSE),0),
IF(AX892="K",VLOOKUP(L892,Foundation_Calc!$V$117:$X$151,VLOOKUP(AX892,Foundation_Calc!$I$10:$J$13,2,FALSE),0),"")))</f>
        <v>C3R</v>
      </c>
      <c r="N892" s="449" t="s">
        <v>134</v>
      </c>
      <c r="O892" s="449"/>
      <c r="P892" s="449"/>
      <c r="Q892" s="4"/>
      <c r="R892" s="6"/>
      <c r="S892" s="6"/>
      <c r="T892" s="4">
        <v>35</v>
      </c>
      <c r="U892" s="4"/>
      <c r="V892" s="4"/>
      <c r="W892" s="9">
        <v>1.4</v>
      </c>
      <c r="X892" s="9"/>
      <c r="Y892" s="9"/>
      <c r="Z892" s="9"/>
      <c r="AA892" s="9"/>
      <c r="AB892" s="9"/>
      <c r="AC892" s="449" t="str">
        <f t="shared" si="118"/>
        <v>PH</v>
      </c>
      <c r="AD892" s="449"/>
      <c r="AE892" s="449"/>
      <c r="AF892" s="4"/>
      <c r="AG892" s="83"/>
      <c r="AH892" s="4"/>
      <c r="AI892" s="4"/>
      <c r="AJ892" s="449"/>
      <c r="AK892" s="449"/>
      <c r="AL892" s="449"/>
      <c r="AM892" s="449" t="s">
        <v>552</v>
      </c>
      <c r="AN892" s="10">
        <v>5.15</v>
      </c>
      <c r="AO892" s="9"/>
      <c r="AP892" s="9"/>
      <c r="AQ892" s="9"/>
      <c r="AR892" s="9"/>
      <c r="AS892" s="9"/>
      <c r="AT892" s="9">
        <f>+ab($T$892,$T$890,$T$894,$G$891,$G$893, 1*$F$892,1200)</f>
        <v>13.945683923376102</v>
      </c>
      <c r="AU892" s="428"/>
      <c r="AV892" s="428"/>
      <c r="AW892" s="449" t="str">
        <f>IF(C892&gt;0,VLOOKUP(C892,Foundation_Calc!$A$2:$C$13,3,1),
IF(J892&gt;0,VLOOKUP(J892,Foundation_Calc!$A$2:$C$13,3,1),""))</f>
        <v>Multi Soil</v>
      </c>
      <c r="AX892" s="449" t="str">
        <f>IF(C892&gt;0,VLOOKUP(C892,Foundation_Calc!$E$35:$G$65,3,1),
IF(J892&gt;0,VLOOKUP(J892,Foundation_Calc!$E$35:$G$65,3,1),""))</f>
        <v>PT</v>
      </c>
      <c r="AY892" s="10">
        <f>IF(L892="","",
IF(AX892="PT",VLOOKUP(L892,Foundation_Calc!$K$79:$R$113,VLOOKUP(AW892,Foundation_Calc!$I$2:$J$8,2,FALSE),0),
IF(AX892="K",VLOOKUP(L892,Foundation_Calc!$K$117:$R$151,VLOOKUP(AW892,Foundation_Calc!$I$2:$J$8,2,FALSE),0),"")))</f>
        <v>3.5</v>
      </c>
      <c r="AZ892" s="10" t="str">
        <f>IF(K892="","",
IF(AX892="PT",VLOOKUP(K892,Foundation_Calc!$K$79:$R$113,VLOOKUP(AW892,Foundation_Calc!$I$2:$J$8,2,FALSE),0),
IF(AX892="K",VLOOKUP(K892,Foundation_Calc!$K$117:$R$151,VLOOKUP(AW892,Foundation_Calc!$I$2:$J$8,2,FALSE),0),"")))</f>
        <v/>
      </c>
      <c r="BA892" s="495" t="str">
        <f t="shared" si="122"/>
        <v>ü</v>
      </c>
      <c r="BB892" s="495" t="str">
        <f t="shared" si="123"/>
        <v/>
      </c>
      <c r="BC892" s="495" t="str">
        <f t="shared" si="124"/>
        <v/>
      </c>
      <c r="BD892" s="513" t="str">
        <f>IF(AND(L892="",H892=""),"",
IF(H892="",Pole_Calc!A$9,
IF(H892="MP",Pole_Calc!A$10,
IF(H892="AnMP",Pole_Calc!A$11,
IF(H892="A",Pole_Calc!A$12,
IF(H892="S/A",Pole_Calc!A$13,
IF(H892="A/S",Pole_Calc!A$14,"Poner a mano")))))))</f>
        <v>App.7-V11I-P9.5.1.1</v>
      </c>
      <c r="BE892" s="429" t="s">
        <v>118</v>
      </c>
      <c r="BF892" s="289"/>
      <c r="BG892" s="289"/>
      <c r="BH892" s="290"/>
      <c r="BI892" s="289"/>
    </row>
    <row r="893" spans="1:61" ht="15.75" customHeight="1">
      <c r="A893" s="685" t="s">
        <v>305</v>
      </c>
      <c r="B893" s="686"/>
      <c r="C893" s="687"/>
      <c r="D893" s="688"/>
      <c r="E893" s="689"/>
      <c r="F893" s="689"/>
      <c r="G893" s="690">
        <v>55</v>
      </c>
      <c r="H893" s="691"/>
      <c r="I893" s="689"/>
      <c r="J893" s="687"/>
      <c r="K893" s="691"/>
      <c r="L893" s="691"/>
      <c r="M893" s="691" t="str">
        <f>IF(L893="","",
IF(AX893="PT",VLOOKUP(L893,Foundation_Calc!$V$79:$X$113,VLOOKUP(AX893,Foundation_Calc!$I$10:$J$13,2,FALSE),0),
IF(AX893="K",VLOOKUP(L893,Foundation_Calc!$V$117:$X$151,VLOOKUP(AX893,Foundation_Calc!$I$10:$J$13,2,FALSE),0),"")))</f>
        <v/>
      </c>
      <c r="N893" s="691"/>
      <c r="O893" s="691"/>
      <c r="P893" s="691"/>
      <c r="Q893" s="689"/>
      <c r="R893" s="690"/>
      <c r="S893" s="690"/>
      <c r="T893" s="689"/>
      <c r="U893" s="689"/>
      <c r="V893" s="689"/>
      <c r="W893" s="692"/>
      <c r="X893" s="692"/>
      <c r="Y893" s="692"/>
      <c r="Z893" s="692"/>
      <c r="AA893" s="692"/>
      <c r="AB893" s="692"/>
      <c r="AC893" s="691" t="str">
        <f t="shared" si="118"/>
        <v/>
      </c>
      <c r="AD893" s="691"/>
      <c r="AE893" s="691"/>
      <c r="AF893" s="689"/>
      <c r="AG893" s="688"/>
      <c r="AH893" s="689"/>
      <c r="AI893" s="689"/>
      <c r="AJ893" s="691"/>
      <c r="AK893" s="691"/>
      <c r="AL893" s="691"/>
      <c r="AM893" s="691"/>
      <c r="AN893" s="693"/>
      <c r="AO893" s="692"/>
      <c r="AP893" s="692"/>
      <c r="AQ893" s="692">
        <f>+FL_1($T$894,$T$892,$G$893,1200,9.28, 1*$F$894)</f>
        <v>0.39714735709090898</v>
      </c>
      <c r="AR893" s="692"/>
      <c r="AS893" s="692"/>
      <c r="AT893" s="692"/>
      <c r="AU893" s="694"/>
      <c r="AV893" s="694"/>
      <c r="AW893" s="691" t="str">
        <f>IF(C893&gt;0,VLOOKUP(C893,Foundation_Calc!$A$2:$C$13,3,1),
IF(J893&gt;0,VLOOKUP(J893,Foundation_Calc!$A$2:$C$13,3,1),""))</f>
        <v/>
      </c>
      <c r="AX893" s="691" t="str">
        <f>IF(C893&gt;0,VLOOKUP(C893,Foundation_Calc!$E$35:$G$65,3,1),
IF(J893&gt;0,VLOOKUP(J893,Foundation_Calc!$E$35:$G$65,3,1),""))</f>
        <v/>
      </c>
      <c r="AY893" s="693" t="str">
        <f>IF(L893="","",
IF(AX893="PT",VLOOKUP(L893,Foundation_Calc!$K$79:$R$113,VLOOKUP(AW893,Foundation_Calc!$I$2:$J$8,2,FALSE),0),
IF(AX893="K",VLOOKUP(L893,Foundation_Calc!$K$117:$R$151,VLOOKUP(AW893,Foundation_Calc!$I$2:$J$8,2,FALSE),0),"")))</f>
        <v/>
      </c>
      <c r="AZ893" s="693" t="str">
        <f>IF(K893="","",
IF(AX893="PT",VLOOKUP(K893,Foundation_Calc!$K$79:$R$113,VLOOKUP(AW893,Foundation_Calc!$I$2:$J$8,2,FALSE),0),
IF(AX893="K",VLOOKUP(K893,Foundation_Calc!$K$117:$R$151,VLOOKUP(AW893,Foundation_Calc!$I$2:$J$8,2,FALSE),0),"")))</f>
        <v/>
      </c>
      <c r="BA893" s="495" t="str">
        <f t="shared" si="122"/>
        <v/>
      </c>
      <c r="BB893" s="495" t="str">
        <f t="shared" si="123"/>
        <v/>
      </c>
      <c r="BC893" s="495" t="str">
        <f t="shared" si="124"/>
        <v/>
      </c>
      <c r="BD893" s="513" t="str">
        <f>IF(AND(L893="",H893=""),"",
IF(H893="",Pole_Calc!A$9,
IF(H893="MP",Pole_Calc!A$10,
IF(H893="AnMP",Pole_Calc!A$11,
IF(H893="A",Pole_Calc!A$12,
IF(H893="S/A",Pole_Calc!A$13,
IF(H893="A/S",Pole_Calc!A$14,"Poner a mano")))))))</f>
        <v/>
      </c>
      <c r="BE893" s="429" t="s">
        <v>118</v>
      </c>
      <c r="BF893" s="290"/>
      <c r="BG893" s="290"/>
      <c r="BH893" s="290"/>
      <c r="BI893" s="290"/>
    </row>
    <row r="894" spans="1:61" ht="15.75" customHeight="1">
      <c r="A894" s="514"/>
      <c r="B894" s="450" t="s">
        <v>1402</v>
      </c>
      <c r="C894" s="3">
        <f>+$C$892+$G$893</f>
        <v>51557.600000000013</v>
      </c>
      <c r="D894" s="83"/>
      <c r="E894" s="4"/>
      <c r="F894" s="4">
        <v>0</v>
      </c>
      <c r="G894" s="6"/>
      <c r="H894" s="449"/>
      <c r="I894" s="4"/>
      <c r="J894" s="3"/>
      <c r="K894" s="449"/>
      <c r="L894" s="449" t="s">
        <v>153</v>
      </c>
      <c r="M894" s="449" t="str">
        <f>IF(L894="","",
IF(AX894="PT",VLOOKUP(L894,Foundation_Calc!$V$79:$X$113,VLOOKUP(AX894,Foundation_Calc!$I$10:$J$13,2,FALSE),0),
IF(AX894="K",VLOOKUP(L894,Foundation_Calc!$V$117:$X$151,VLOOKUP(AX894,Foundation_Calc!$I$10:$J$13,2,FALSE),0),"")))</f>
        <v>C3R</v>
      </c>
      <c r="N894" s="449" t="s">
        <v>124</v>
      </c>
      <c r="O894" s="449"/>
      <c r="P894" s="449"/>
      <c r="Q894" s="4"/>
      <c r="R894" s="6"/>
      <c r="S894" s="6"/>
      <c r="T894" s="4">
        <v>-35</v>
      </c>
      <c r="U894" s="4"/>
      <c r="V894" s="4"/>
      <c r="W894" s="9">
        <v>1.4</v>
      </c>
      <c r="X894" s="9"/>
      <c r="Y894" s="9"/>
      <c r="Z894" s="9"/>
      <c r="AA894" s="9"/>
      <c r="AB894" s="9"/>
      <c r="AC894" s="449" t="str">
        <f t="shared" si="118"/>
        <v>PHQ</v>
      </c>
      <c r="AD894" s="449"/>
      <c r="AE894" s="449"/>
      <c r="AF894" s="4"/>
      <c r="AG894" s="83"/>
      <c r="AH894" s="4"/>
      <c r="AI894" s="4"/>
      <c r="AJ894" s="449"/>
      <c r="AK894" s="449"/>
      <c r="AL894" s="449"/>
      <c r="AM894" s="449" t="s">
        <v>552</v>
      </c>
      <c r="AN894" s="10">
        <v>5.15</v>
      </c>
      <c r="AO894" s="9"/>
      <c r="AP894" s="9"/>
      <c r="AQ894" s="9"/>
      <c r="AR894" s="9"/>
      <c r="AS894" s="9"/>
      <c r="AT894" s="9">
        <f>+ab($T$894,$T$892,$T$896,$G$893,$G$895, 1*$F$894,1200)</f>
        <v>-7.5357976564423028</v>
      </c>
      <c r="AU894" s="428"/>
      <c r="AV894" s="428"/>
      <c r="AW894" s="449" t="str">
        <f>IF(C894&gt;0,VLOOKUP(C894,Foundation_Calc!$A$2:$C$13,3,1),
IF(J894&gt;0,VLOOKUP(J894,Foundation_Calc!$A$2:$C$13,3,1),""))</f>
        <v>Multi Soil</v>
      </c>
      <c r="AX894" s="449" t="str">
        <f>IF(C894&gt;0,VLOOKUP(C894,Foundation_Calc!$E$35:$G$65,3,1),
IF(J894&gt;0,VLOOKUP(J894,Foundation_Calc!$E$35:$G$65,3,1),""))</f>
        <v>PT</v>
      </c>
      <c r="AY894" s="10">
        <f>IF(L894="","",
IF(AX894="PT",VLOOKUP(L894,Foundation_Calc!$K$79:$R$113,VLOOKUP(AW894,Foundation_Calc!$I$2:$J$8,2,FALSE),0),
IF(AX894="K",VLOOKUP(L894,Foundation_Calc!$K$117:$R$151,VLOOKUP(AW894,Foundation_Calc!$I$2:$J$8,2,FALSE),0),"")))</f>
        <v>3.5</v>
      </c>
      <c r="AZ894" s="10" t="str">
        <f>IF(K894="","",
IF(AX894="PT",VLOOKUP(K894,Foundation_Calc!$K$79:$R$113,VLOOKUP(AW894,Foundation_Calc!$I$2:$J$8,2,FALSE),0),
IF(AX894="K",VLOOKUP(K894,Foundation_Calc!$K$117:$R$151,VLOOKUP(AW894,Foundation_Calc!$I$2:$J$8,2,FALSE),0),"")))</f>
        <v/>
      </c>
      <c r="BA894" s="495" t="str">
        <f t="shared" si="119"/>
        <v>ü</v>
      </c>
      <c r="BB894" s="495" t="str">
        <f t="shared" si="120"/>
        <v/>
      </c>
      <c r="BC894" s="495" t="str">
        <f t="shared" si="121"/>
        <v/>
      </c>
      <c r="BD894" s="513" t="str">
        <f>IF(AND(L894="",H894=""),"",
IF(H894="",Pole_Calc!A$9,
IF(H894="MP",Pole_Calc!A$10,
IF(H894="AnMP",Pole_Calc!A$11,
IF(H894="A",Pole_Calc!A$12,
IF(H894="S/A",Pole_Calc!A$13,
IF(H894="A/S",Pole_Calc!A$14,"Poner a mano")))))))</f>
        <v>App.7-V11I-P9.5.1.1</v>
      </c>
      <c r="BE894" s="429" t="s">
        <v>118</v>
      </c>
      <c r="BF894" s="289"/>
      <c r="BG894" s="289"/>
      <c r="BH894" s="290"/>
      <c r="BI894" s="289"/>
    </row>
    <row r="895" spans="1:61" ht="15.75" customHeight="1">
      <c r="A895" s="514"/>
      <c r="B895" s="450"/>
      <c r="C895" s="3"/>
      <c r="D895" s="83"/>
      <c r="E895" s="4"/>
      <c r="F895" s="4"/>
      <c r="G895" s="6">
        <v>55.6</v>
      </c>
      <c r="H895" s="449"/>
      <c r="I895" s="4"/>
      <c r="J895" s="3"/>
      <c r="K895" s="449"/>
      <c r="L895" s="449"/>
      <c r="M895" s="449" t="str">
        <f>IF(L895="","",
IF(AX895="PT",VLOOKUP(L895,Foundation_Calc!$V$79:$X$113,VLOOKUP(AX895,Foundation_Calc!$I$10:$J$13,2,FALSE),0),
IF(AX895="K",VLOOKUP(L895,Foundation_Calc!$V$117:$X$151,VLOOKUP(AX895,Foundation_Calc!$I$10:$J$13,2,FALSE),0),"")))</f>
        <v/>
      </c>
      <c r="N895" s="449"/>
      <c r="O895" s="561"/>
      <c r="P895" s="449"/>
      <c r="Q895" s="4"/>
      <c r="R895" s="6"/>
      <c r="S895" s="6"/>
      <c r="T895" s="4"/>
      <c r="U895" s="4"/>
      <c r="V895" s="4"/>
      <c r="W895" s="9"/>
      <c r="X895" s="9"/>
      <c r="Y895" s="9"/>
      <c r="Z895" s="9"/>
      <c r="AA895" s="9"/>
      <c r="AB895" s="9"/>
      <c r="AC895" s="449" t="str">
        <f t="shared" si="118"/>
        <v/>
      </c>
      <c r="AD895" s="449"/>
      <c r="AE895" s="449"/>
      <c r="AF895" s="4"/>
      <c r="AG895" s="83"/>
      <c r="AH895" s="4"/>
      <c r="AI895" s="4"/>
      <c r="AJ895" s="449"/>
      <c r="AK895" s="449"/>
      <c r="AL895" s="449"/>
      <c r="AM895" s="449"/>
      <c r="AN895" s="10"/>
      <c r="AO895" s="9"/>
      <c r="AP895" s="9"/>
      <c r="AQ895" s="9">
        <f>+FL_1($T$896,$T$894,$G$895,1200,9.28, 1*$F$896)</f>
        <v>0.40131398077697839</v>
      </c>
      <c r="AR895" s="9"/>
      <c r="AS895" s="9"/>
      <c r="AT895" s="9"/>
      <c r="AU895" s="428"/>
      <c r="AV895" s="428"/>
      <c r="AW895" s="449" t="str">
        <f>IF(C895&gt;0,VLOOKUP(C895,Foundation_Calc!$A$2:$C$13,3,1),
IF(J895&gt;0,VLOOKUP(J895,Foundation_Calc!$A$2:$C$13,3,1),""))</f>
        <v/>
      </c>
      <c r="AX895" s="449" t="str">
        <f>IF(C895&gt;0,VLOOKUP(C895,Foundation_Calc!$E$35:$G$65,3,1),
IF(J895&gt;0,VLOOKUP(J895,Foundation_Calc!$E$35:$G$65,3,1),""))</f>
        <v/>
      </c>
      <c r="AY895" s="10" t="str">
        <f>IF(L895="","",
IF(AX895="PT",VLOOKUP(L895,Foundation_Calc!$K$79:$R$113,VLOOKUP(AW895,Foundation_Calc!$I$2:$J$8,2,FALSE),0),
IF(AX895="K",VLOOKUP(L895,Foundation_Calc!$K$117:$R$151,VLOOKUP(AW895,Foundation_Calc!$I$2:$J$8,2,FALSE),0),"")))</f>
        <v/>
      </c>
      <c r="AZ895" s="10" t="str">
        <f>IF(K895="","",
IF(AX895="PT",VLOOKUP(K895,Foundation_Calc!$K$79:$R$113,VLOOKUP(AW895,Foundation_Calc!$I$2:$J$8,2,FALSE),0),
IF(AX895="K",VLOOKUP(K895,Foundation_Calc!$K$117:$R$151,VLOOKUP(AW895,Foundation_Calc!$I$2:$J$8,2,FALSE),0),"")))</f>
        <v/>
      </c>
      <c r="BA895" s="495" t="str">
        <f t="shared" si="119"/>
        <v/>
      </c>
      <c r="BB895" s="495" t="str">
        <f t="shared" si="120"/>
        <v/>
      </c>
      <c r="BC895" s="495" t="str">
        <f t="shared" si="121"/>
        <v/>
      </c>
      <c r="BD895" s="513" t="str">
        <f>IF(AND(L895="",H895=""),"",
IF(H895="",Pole_Calc!A$9,
IF(H895="MP",Pole_Calc!A$10,
IF(H895="AnMP",Pole_Calc!A$11,
IF(H895="A",Pole_Calc!A$12,
IF(H895="S/A",Pole_Calc!A$13,
IF(H895="A/S",Pole_Calc!A$14,"Poner a mano")))))))</f>
        <v/>
      </c>
      <c r="BE895" s="429" t="s">
        <v>118</v>
      </c>
      <c r="BF895" s="290"/>
      <c r="BG895" s="290"/>
      <c r="BH895" s="290"/>
      <c r="BI895" s="290"/>
    </row>
    <row r="896" spans="1:61" ht="15.75" customHeight="1">
      <c r="A896" s="514"/>
      <c r="B896" s="450" t="s">
        <v>1403</v>
      </c>
      <c r="C896" s="3">
        <f>+$C$894+$G$895</f>
        <v>51613.200000000012</v>
      </c>
      <c r="D896" s="83"/>
      <c r="E896" s="4"/>
      <c r="F896" s="4">
        <v>0</v>
      </c>
      <c r="G896" s="6"/>
      <c r="H896" s="449" t="s">
        <v>1404</v>
      </c>
      <c r="I896" s="4" t="s">
        <v>122</v>
      </c>
      <c r="J896" s="3"/>
      <c r="K896" s="449"/>
      <c r="L896" s="449" t="s">
        <v>206</v>
      </c>
      <c r="M896" s="449" t="str">
        <f>IF(L896="","",
IF(AX896="PT",VLOOKUP(L896,Foundation_Calc!$V$79:$X$113,VLOOKUP(AX896,Foundation_Calc!$I$10:$J$13,2,FALSE),0),
IF(AX896="K",VLOOKUP(L896,Foundation_Calc!$V$117:$X$151,VLOOKUP(AX896,Foundation_Calc!$I$10:$J$13,2,FALSE),0),"")))</f>
        <v>2C4R</v>
      </c>
      <c r="N896" s="449" t="s">
        <v>134</v>
      </c>
      <c r="O896" s="554" t="s">
        <v>124</v>
      </c>
      <c r="P896" s="449"/>
      <c r="Q896" s="4"/>
      <c r="R896" s="6"/>
      <c r="S896" s="6"/>
      <c r="T896" s="4">
        <v>35</v>
      </c>
      <c r="U896" s="4">
        <v>20</v>
      </c>
      <c r="V896" s="4"/>
      <c r="W896" s="572">
        <v>1.2</v>
      </c>
      <c r="X896" s="572">
        <v>1.6</v>
      </c>
      <c r="Y896" s="572"/>
      <c r="Z896" s="9"/>
      <c r="AA896" s="9"/>
      <c r="AB896" s="9"/>
      <c r="AC896" s="449" t="str">
        <f t="shared" si="118"/>
        <v>PHQ</v>
      </c>
      <c r="AD896" s="449"/>
      <c r="AE896" s="449"/>
      <c r="AF896" s="4"/>
      <c r="AG896" s="83"/>
      <c r="AH896" s="4"/>
      <c r="AI896" s="4"/>
      <c r="AJ896" s="449"/>
      <c r="AK896" s="449"/>
      <c r="AL896" s="449"/>
      <c r="AM896" s="449" t="s">
        <v>552</v>
      </c>
      <c r="AN896" s="10">
        <v>5.15</v>
      </c>
      <c r="AO896" s="9"/>
      <c r="AP896" s="9"/>
      <c r="AQ896" s="9"/>
      <c r="AR896" s="9"/>
      <c r="AS896" s="9"/>
      <c r="AT896" s="9">
        <f>+ab($T$896,$T$894,$U$898,$G$895,$G$897, 1*$F$896,1200)</f>
        <v>7.3020721096671517</v>
      </c>
      <c r="AU896" s="428"/>
      <c r="AV896" s="428"/>
      <c r="AW896" s="449" t="str">
        <f>IF(C896&gt;0,VLOOKUP(C896,Foundation_Calc!$A$2:$C$13,3,1),
IF(J896&gt;0,VLOOKUP(J896,Foundation_Calc!$A$2:$C$13,3,1),""))</f>
        <v>Multi Soil</v>
      </c>
      <c r="AX896" s="449" t="str">
        <f>IF(C896&gt;0,VLOOKUP(C896,Foundation_Calc!$E$35:$G$65,3,1),
IF(J896&gt;0,VLOOKUP(J896,Foundation_Calc!$E$35:$G$65,3,1),""))</f>
        <v>PT</v>
      </c>
      <c r="AY896" s="10">
        <f>IF(L896="","",
IF(AX896="PT",VLOOKUP(L896,Foundation_Calc!$K$79:$R$113,VLOOKUP(AW896,Foundation_Calc!$I$2:$J$8,2,FALSE),0),
IF(AX896="K",VLOOKUP(L896,Foundation_Calc!$K$117:$R$151,VLOOKUP(AW896,Foundation_Calc!$I$2:$J$8,2,FALSE),0),"")))</f>
        <v>4</v>
      </c>
      <c r="AZ896" s="10" t="str">
        <f>IF(K896="","",
IF(AX896="PT",VLOOKUP(K896,Foundation_Calc!$K$79:$R$113,VLOOKUP(AW896,Foundation_Calc!$I$2:$J$8,2,FALSE),0),
IF(AX896="K",VLOOKUP(K896,Foundation_Calc!$K$117:$R$151,VLOOKUP(AW896,Foundation_Calc!$I$2:$J$8,2,FALSE),0),"")))</f>
        <v/>
      </c>
      <c r="BA896" s="495" t="str">
        <f t="shared" si="119"/>
        <v>ü</v>
      </c>
      <c r="BB896" s="495" t="str">
        <f t="shared" si="120"/>
        <v/>
      </c>
      <c r="BC896" s="495" t="str">
        <f t="shared" si="121"/>
        <v/>
      </c>
      <c r="BD896" s="513" t="str">
        <f>Pole_Calc!A$16</f>
        <v>App.7-V11I-P9.5.1.8</v>
      </c>
      <c r="BE896" s="429" t="s">
        <v>118</v>
      </c>
      <c r="BF896" s="289"/>
      <c r="BG896" s="289"/>
      <c r="BH896" s="290"/>
      <c r="BI896" s="289"/>
    </row>
    <row r="897" spans="1:61" ht="15.75" customHeight="1">
      <c r="A897" s="514" t="s">
        <v>169</v>
      </c>
      <c r="B897" s="450"/>
      <c r="C897" s="3"/>
      <c r="D897" s="83"/>
      <c r="E897" s="4"/>
      <c r="F897" s="4"/>
      <c r="G897" s="6">
        <v>40.6</v>
      </c>
      <c r="H897" s="449"/>
      <c r="I897" s="4">
        <v>240</v>
      </c>
      <c r="J897" s="3"/>
      <c r="K897" s="449"/>
      <c r="L897" s="449"/>
      <c r="M897" s="449" t="str">
        <f>IF(L897="","",
IF(AX897="PT",VLOOKUP(L897,Foundation_Calc!$V$79:$X$113,VLOOKUP(AX897,Foundation_Calc!$I$10:$J$13,2,FALSE),0),
IF(AX897="K",VLOOKUP(L897,Foundation_Calc!$V$117:$X$151,VLOOKUP(AX897,Foundation_Calc!$I$10:$J$13,2,FALSE),0),"")))</f>
        <v/>
      </c>
      <c r="N897" s="449"/>
      <c r="O897" s="449"/>
      <c r="P897" s="449"/>
      <c r="Q897" s="4"/>
      <c r="R897" s="6"/>
      <c r="S897" s="6"/>
      <c r="T897" s="4"/>
      <c r="U897" s="4"/>
      <c r="V897" s="4"/>
      <c r="W897" s="572"/>
      <c r="X897" s="572"/>
      <c r="Y897" s="572"/>
      <c r="Z897" s="9"/>
      <c r="AA897" s="9"/>
      <c r="AB897" s="9"/>
      <c r="AC897" s="449" t="str">
        <f t="shared" si="118"/>
        <v/>
      </c>
      <c r="AD897" s="449"/>
      <c r="AE897" s="449"/>
      <c r="AF897" s="4"/>
      <c r="AG897" s="83"/>
      <c r="AH897" s="4"/>
      <c r="AI897" s="4"/>
      <c r="AJ897" s="449"/>
      <c r="AK897" s="449"/>
      <c r="AL897" s="449"/>
      <c r="AM897" s="449"/>
      <c r="AN897" s="10"/>
      <c r="AO897" s="9"/>
      <c r="AP897" s="9"/>
      <c r="AQ897" s="9">
        <f>+FL_1($U$898,$T$896,$G$897,1200,9.28, 1*$F$898)</f>
        <v>0.35299388014449917</v>
      </c>
      <c r="AR897" s="9"/>
      <c r="AS897" s="9"/>
      <c r="AT897" s="9"/>
      <c r="AU897" s="428"/>
      <c r="AV897" s="428"/>
      <c r="AW897" s="449" t="str">
        <f>IF(C897&gt;0,VLOOKUP(C897,Foundation_Calc!$A$2:$C$13,3,1),
IF(J897&gt;0,VLOOKUP(J897,Foundation_Calc!$A$2:$C$13,3,1),""))</f>
        <v/>
      </c>
      <c r="AX897" s="449" t="str">
        <f>IF(C897&gt;0,VLOOKUP(C897,Foundation_Calc!$E$35:$G$65,3,1),
IF(J897&gt;0,VLOOKUP(J897,Foundation_Calc!$E$35:$G$65,3,1),""))</f>
        <v/>
      </c>
      <c r="AY897" s="10" t="str">
        <f>IF(L897="","",
IF(AX897="PT",VLOOKUP(L897,Foundation_Calc!$K$79:$R$113,VLOOKUP(AW897,Foundation_Calc!$I$2:$J$8,2,FALSE),0),
IF(AX897="K",VLOOKUP(L897,Foundation_Calc!$K$117:$R$151,VLOOKUP(AW897,Foundation_Calc!$I$2:$J$8,2,FALSE),0),"")))</f>
        <v/>
      </c>
      <c r="AZ897" s="10" t="str">
        <f>IF(K897="","",
IF(AX897="PT",VLOOKUP(K897,Foundation_Calc!$K$79:$R$113,VLOOKUP(AW897,Foundation_Calc!$I$2:$J$8,2,FALSE),0),
IF(AX897="K",VLOOKUP(K897,Foundation_Calc!$K$117:$R$151,VLOOKUP(AW897,Foundation_Calc!$I$2:$J$8,2,FALSE),0),"")))</f>
        <v/>
      </c>
      <c r="BA897" s="495" t="str">
        <f t="shared" si="119"/>
        <v/>
      </c>
      <c r="BB897" s="495" t="str">
        <f t="shared" si="120"/>
        <v/>
      </c>
      <c r="BC897" s="495" t="str">
        <f t="shared" si="121"/>
        <v/>
      </c>
      <c r="BD897" s="513" t="str">
        <f>IF(AND(L897="",H897=""),"",
IF(H897="",Pole_Calc!A$9,
IF(H897="MP",Pole_Calc!A$10,
IF(H897="AnMP",Pole_Calc!A$11,
IF(H897="A",Pole_Calc!A$12,
IF(H897="S/A",Pole_Calc!A$13,
IF(H897="A/S",Pole_Calc!A$14,"Poner a mano")))))))</f>
        <v/>
      </c>
      <c r="BE897" s="429" t="s">
        <v>118</v>
      </c>
      <c r="BF897" s="290"/>
      <c r="BG897" s="290"/>
      <c r="BH897" s="290"/>
      <c r="BI897" s="290"/>
    </row>
    <row r="898" spans="1:61" ht="15.75" customHeight="1">
      <c r="A898" s="514"/>
      <c r="B898" s="450" t="s">
        <v>1405</v>
      </c>
      <c r="C898" s="3">
        <f>+$C$896+$G$897</f>
        <v>51653.80000000001</v>
      </c>
      <c r="D898" s="83"/>
      <c r="E898" s="4"/>
      <c r="F898" s="4">
        <v>0</v>
      </c>
      <c r="G898" s="6"/>
      <c r="H898" s="449" t="s">
        <v>1168</v>
      </c>
      <c r="I898" s="4"/>
      <c r="J898" s="3"/>
      <c r="K898" s="449"/>
      <c r="L898" s="449"/>
      <c r="M898" s="449" t="str">
        <f>IF(L898="","",
IF(AX898="PT",VLOOKUP(L898,Foundation_Calc!$V$79:$X$113,VLOOKUP(AX898,Foundation_Calc!$I$10:$J$13,2,FALSE),0),
IF(AX898="K",VLOOKUP(L898,Foundation_Calc!$V$117:$X$151,VLOOKUP(AX898,Foundation_Calc!$I$10:$J$13,2,FALSE),0),"")))</f>
        <v/>
      </c>
      <c r="N898" s="554" t="s">
        <v>133</v>
      </c>
      <c r="O898" s="449" t="s">
        <v>124</v>
      </c>
      <c r="P898" s="554" t="s">
        <v>133</v>
      </c>
      <c r="Q898" s="4"/>
      <c r="R898" s="6"/>
      <c r="S898" s="6"/>
      <c r="T898" s="4">
        <v>40</v>
      </c>
      <c r="U898" s="4">
        <v>-20</v>
      </c>
      <c r="V898" s="4">
        <v>-55</v>
      </c>
      <c r="W898" s="572">
        <v>0.8</v>
      </c>
      <c r="X898" s="572">
        <v>1</v>
      </c>
      <c r="Y898" s="572">
        <v>1.6</v>
      </c>
      <c r="Z898" s="9">
        <v>0.2</v>
      </c>
      <c r="AA898" s="9"/>
      <c r="AB898" s="9">
        <v>0.35</v>
      </c>
      <c r="AC898" s="449"/>
      <c r="AD898" s="449"/>
      <c r="AE898" s="449"/>
      <c r="AF898" s="4"/>
      <c r="AG898" s="83"/>
      <c r="AH898" s="4"/>
      <c r="AI898" s="4"/>
      <c r="AJ898" s="449"/>
      <c r="AK898" s="449" t="s">
        <v>844</v>
      </c>
      <c r="AL898" s="449"/>
      <c r="AM898" s="449"/>
      <c r="AN898" s="10">
        <v>5.15</v>
      </c>
      <c r="AO898" s="9"/>
      <c r="AP898" s="9"/>
      <c r="AQ898" s="9"/>
      <c r="AR898" s="9"/>
      <c r="AS898" s="9"/>
      <c r="AT898" s="9">
        <f>+ab($U$898,$T$896,$U$900,$G$897,$G$899, 1*$F$898,1200)</f>
        <v>-15.945535270261269</v>
      </c>
      <c r="AU898" s="428"/>
      <c r="AV898" s="428"/>
      <c r="AW898" s="449" t="s">
        <v>201</v>
      </c>
      <c r="AX898" s="449" t="s">
        <v>201</v>
      </c>
      <c r="AY898" s="10" t="str">
        <f>IF(L898="","",
IF(AX898="PT",VLOOKUP(L898,Foundation_Calc!$K$79:$R$113,VLOOKUP(AW898,Foundation_Calc!$I$2:$J$8,2,FALSE),0),
IF(AX898="K",VLOOKUP(L898,Foundation_Calc!$K$117:$R$151,VLOOKUP(AW898,Foundation_Calc!$I$2:$J$8,2,FALSE),0),"")))</f>
        <v/>
      </c>
      <c r="AZ898" s="10" t="str">
        <f>IF(K898="","",
IF(AX898="PT",VLOOKUP(K898,Foundation_Calc!$K$79:$R$113,VLOOKUP(AW898,Foundation_Calc!$I$2:$J$8,2,FALSE),0),
IF(AX898="K",VLOOKUP(K898,Foundation_Calc!$K$117:$R$151,VLOOKUP(AW898,Foundation_Calc!$I$2:$J$8,2,FALSE),0),"")))</f>
        <v/>
      </c>
      <c r="BA898" s="495" t="str">
        <f t="shared" si="119"/>
        <v/>
      </c>
      <c r="BB898" s="495" t="str">
        <f t="shared" si="120"/>
        <v/>
      </c>
      <c r="BC898" s="495" t="str">
        <f t="shared" si="121"/>
        <v/>
      </c>
      <c r="BD898" s="513"/>
      <c r="BE898" s="429" t="s">
        <v>118</v>
      </c>
      <c r="BF898" s="289"/>
      <c r="BG898" s="289"/>
      <c r="BH898" s="290"/>
      <c r="BI898" s="289"/>
    </row>
    <row r="899" spans="1:61" ht="15.75" customHeight="1">
      <c r="A899" s="514" t="s">
        <v>169</v>
      </c>
      <c r="B899" s="450"/>
      <c r="C899" s="3"/>
      <c r="D899" s="83"/>
      <c r="E899" s="4"/>
      <c r="F899" s="4"/>
      <c r="G899" s="6">
        <v>27.4</v>
      </c>
      <c r="H899" s="449"/>
      <c r="I899" s="4"/>
      <c r="J899" s="3"/>
      <c r="K899" s="449"/>
      <c r="L899" s="449"/>
      <c r="M899" s="449" t="str">
        <f>IF(L899="","",
IF(AX899="PT",VLOOKUP(L899,Foundation_Calc!$V$79:$X$113,VLOOKUP(AX899,Foundation_Calc!$I$10:$J$13,2,FALSE),0),
IF(AX899="K",VLOOKUP(L899,Foundation_Calc!$V$117:$X$151,VLOOKUP(AX899,Foundation_Calc!$I$10:$J$13,2,FALSE),0),"")))</f>
        <v/>
      </c>
      <c r="N899" s="449"/>
      <c r="O899" s="449"/>
      <c r="P899" s="449"/>
      <c r="Q899" s="4"/>
      <c r="R899" s="6"/>
      <c r="S899" s="6"/>
      <c r="T899" s="4"/>
      <c r="U899" s="4"/>
      <c r="V899" s="4"/>
      <c r="W899" s="572"/>
      <c r="X899" s="572"/>
      <c r="Y899" s="572"/>
      <c r="Z899" s="9"/>
      <c r="AA899" s="9"/>
      <c r="AB899" s="9"/>
      <c r="AC899" s="449" t="str">
        <f t="shared" si="118"/>
        <v/>
      </c>
      <c r="AD899" s="449"/>
      <c r="AE899" s="449"/>
      <c r="AF899" s="4"/>
      <c r="AG899" s="83"/>
      <c r="AH899" s="4"/>
      <c r="AI899" s="4"/>
      <c r="AJ899" s="449"/>
      <c r="AK899" s="449"/>
      <c r="AL899" s="449"/>
      <c r="AM899" s="449"/>
      <c r="AN899" s="10"/>
      <c r="AO899" s="9"/>
      <c r="AP899" s="9"/>
      <c r="AQ899" s="9">
        <f>+FL_1($U$900,$U$898,$G$899,1200,9.28, 1*$F$900)</f>
        <v>-0.15027354265693432</v>
      </c>
      <c r="AR899" s="9"/>
      <c r="AS899" s="9"/>
      <c r="AT899" s="9"/>
      <c r="AU899" s="428"/>
      <c r="AV899" s="428"/>
      <c r="AW899" s="449" t="str">
        <f>IF(C899&gt;0,VLOOKUP(C899,Foundation_Calc!$A$2:$C$13,3,1),
IF(J899&gt;0,VLOOKUP(J899,Foundation_Calc!$A$2:$C$13,3,1),""))</f>
        <v/>
      </c>
      <c r="AX899" s="449"/>
      <c r="AY899" s="10" t="str">
        <f>IF(L899="","",
IF(AX899="PT",VLOOKUP(L899,Foundation_Calc!$K$79:$R$113,VLOOKUP(AW899,Foundation_Calc!$I$2:$J$8,2,FALSE),0),
IF(AX899="K",VLOOKUP(L899,Foundation_Calc!$K$117:$R$151,VLOOKUP(AW899,Foundation_Calc!$I$2:$J$8,2,FALSE),0),"")))</f>
        <v/>
      </c>
      <c r="AZ899" s="10" t="str">
        <f>IF(K899="","",
IF(AX899="PT",VLOOKUP(K899,Foundation_Calc!$K$79:$R$113,VLOOKUP(AW899,Foundation_Calc!$I$2:$J$8,2,FALSE),0),
IF(AX899="K",VLOOKUP(K899,Foundation_Calc!$K$117:$R$151,VLOOKUP(AW899,Foundation_Calc!$I$2:$J$8,2,FALSE),0),"")))</f>
        <v/>
      </c>
      <c r="BA899" s="495" t="str">
        <f t="shared" si="119"/>
        <v/>
      </c>
      <c r="BB899" s="495" t="str">
        <f t="shared" si="120"/>
        <v/>
      </c>
      <c r="BC899" s="495" t="str">
        <f t="shared" si="121"/>
        <v/>
      </c>
      <c r="BD899" s="513" t="str">
        <f>IF(AND(L899="",H899=""),"",
IF(H899="",Pole_Calc!A$9,
IF(H899="MP",Pole_Calc!A$10,
IF(H899="AnMP",Pole_Calc!A$11,
IF(H899="A",Pole_Calc!A$12,
IF(H899="S/A",Pole_Calc!A$13,
IF(H899="A/S",Pole_Calc!A$14,"Poner a mano")))))))</f>
        <v/>
      </c>
      <c r="BE899" s="429" t="s">
        <v>118</v>
      </c>
      <c r="BF899" s="290"/>
      <c r="BG899" s="290"/>
      <c r="BH899" s="290"/>
      <c r="BI899" s="290"/>
    </row>
    <row r="900" spans="1:61" ht="15.75" customHeight="1">
      <c r="A900" s="514"/>
      <c r="B900" s="450" t="s">
        <v>1406</v>
      </c>
      <c r="C900" s="3">
        <f>+$C$898+$G$899</f>
        <v>51681.200000000012</v>
      </c>
      <c r="D900" s="83"/>
      <c r="E900" s="4"/>
      <c r="F900" s="4">
        <v>0</v>
      </c>
      <c r="G900" s="6"/>
      <c r="H900" s="449" t="s">
        <v>238</v>
      </c>
      <c r="I900" s="4"/>
      <c r="J900" s="3"/>
      <c r="K900" s="449"/>
      <c r="L900" s="449" t="s">
        <v>201</v>
      </c>
      <c r="M900" s="449" t="str">
        <f>IF(L900="","",
IF(AX900="PT",VLOOKUP(L900,Foundation_Calc!$V$79:$X$113,VLOOKUP(AX900,Foundation_Calc!$I$10:$J$13,2,FALSE),0),
IF(AX900="K",VLOOKUP(L900,Foundation_Calc!$V$117:$X$151,VLOOKUP(AX900,Foundation_Calc!$I$10:$J$13,2,FALSE),0),"")))</f>
        <v/>
      </c>
      <c r="N900" s="554" t="s">
        <v>134</v>
      </c>
      <c r="O900" s="449" t="s">
        <v>124</v>
      </c>
      <c r="P900" s="449"/>
      <c r="Q900" s="4"/>
      <c r="R900" s="6"/>
      <c r="S900" s="6"/>
      <c r="T900" s="4">
        <v>-5</v>
      </c>
      <c r="U900" s="4">
        <v>-25</v>
      </c>
      <c r="V900" s="4"/>
      <c r="W900" s="572">
        <v>0.8</v>
      </c>
      <c r="X900" s="572">
        <v>0.9</v>
      </c>
      <c r="Y900" s="572"/>
      <c r="Z900" s="9"/>
      <c r="AA900" s="9"/>
      <c r="AB900" s="9"/>
      <c r="AC900" s="449" t="str">
        <f t="shared" si="118"/>
        <v>PH</v>
      </c>
      <c r="AD900" s="449"/>
      <c r="AE900" s="449"/>
      <c r="AF900" s="4"/>
      <c r="AG900" s="83"/>
      <c r="AH900" s="4"/>
      <c r="AI900" s="4"/>
      <c r="AJ900" s="449" t="s">
        <v>239</v>
      </c>
      <c r="AK900" s="449" t="s">
        <v>841</v>
      </c>
      <c r="AL900" s="449"/>
      <c r="AM900" s="449" t="s">
        <v>574</v>
      </c>
      <c r="AN900" s="10">
        <v>5.15</v>
      </c>
      <c r="AO900" s="9"/>
      <c r="AP900" s="9"/>
      <c r="AQ900" s="9"/>
      <c r="AR900" s="9"/>
      <c r="AS900" s="9"/>
      <c r="AT900" s="9">
        <f>+ab($U$900,$U$898,$T$902,$G$899,$G$901, 1*$F$900,1200)</f>
        <v>-12.787882313678987</v>
      </c>
      <c r="AU900" s="428"/>
      <c r="AV900" s="428"/>
      <c r="AW900" s="449" t="s">
        <v>201</v>
      </c>
      <c r="AX900" s="449" t="s">
        <v>201</v>
      </c>
      <c r="AY900" s="10" t="str">
        <f>IF(L900="","",
IF(AX900="PT",VLOOKUP(L900,Foundation_Calc!$K$79:$R$113,VLOOKUP(AW900,Foundation_Calc!$I$2:$J$8,2,FALSE),0),
IF(AX900="K",VLOOKUP(L900,Foundation_Calc!$K$117:$R$151,VLOOKUP(AW900,Foundation_Calc!$I$2:$J$8,2,FALSE),0),"")))</f>
        <v/>
      </c>
      <c r="AZ900" s="10" t="str">
        <f>IF(K900="","",
IF(AX900="PT",VLOOKUP(K900,Foundation_Calc!$K$79:$R$113,VLOOKUP(AW900,Foundation_Calc!$I$2:$J$8,2,FALSE),0),
IF(AX900="K",VLOOKUP(K900,Foundation_Calc!$K$117:$R$151,VLOOKUP(AW900,Foundation_Calc!$I$2:$J$8,2,FALSE),0),"")))</f>
        <v/>
      </c>
      <c r="BA900" s="495" t="str">
        <f t="shared" si="119"/>
        <v/>
      </c>
      <c r="BB900" s="495" t="str">
        <f t="shared" si="120"/>
        <v/>
      </c>
      <c r="BC900" s="495" t="str">
        <f t="shared" si="121"/>
        <v/>
      </c>
      <c r="BD900" s="513"/>
      <c r="BE900" s="429" t="s">
        <v>118</v>
      </c>
      <c r="BF900" s="289"/>
      <c r="BG900" s="289"/>
      <c r="BH900" s="290"/>
      <c r="BI900" s="289"/>
    </row>
    <row r="901" spans="1:61" ht="15.75" customHeight="1">
      <c r="A901" s="514"/>
      <c r="B901" s="450"/>
      <c r="C901" s="3"/>
      <c r="D901" s="83"/>
      <c r="E901" s="4"/>
      <c r="F901" s="4"/>
      <c r="G901" s="6">
        <v>34.799999999999997</v>
      </c>
      <c r="H901" s="449"/>
      <c r="I901" s="4">
        <v>265</v>
      </c>
      <c r="J901" s="3"/>
      <c r="K901" s="449"/>
      <c r="L901" s="449"/>
      <c r="M901" s="449" t="str">
        <f>IF(L901="","",
IF(AX901="PT",VLOOKUP(L901,Foundation_Calc!$V$79:$X$113,VLOOKUP(AX901,Foundation_Calc!$I$10:$J$13,2,FALSE),0),
IF(AX901="K",VLOOKUP(L901,Foundation_Calc!$V$117:$X$151,VLOOKUP(AX901,Foundation_Calc!$I$10:$J$13,2,FALSE),0),"")))</f>
        <v/>
      </c>
      <c r="N901" s="449"/>
      <c r="O901" s="561"/>
      <c r="P901" s="449"/>
      <c r="Q901" s="4"/>
      <c r="R901" s="6"/>
      <c r="S901" s="6"/>
      <c r="T901" s="4"/>
      <c r="U901" s="4"/>
      <c r="V901" s="4"/>
      <c r="W901" s="9"/>
      <c r="X901" s="9"/>
      <c r="Y901" s="9"/>
      <c r="Z901" s="9"/>
      <c r="AA901" s="9"/>
      <c r="AB901" s="9"/>
      <c r="AC901" s="449" t="str">
        <f t="shared" si="118"/>
        <v/>
      </c>
      <c r="AD901" s="449"/>
      <c r="AE901" s="449"/>
      <c r="AF901" s="4"/>
      <c r="AG901" s="83"/>
      <c r="AH901" s="4"/>
      <c r="AI901" s="4"/>
      <c r="AJ901" s="449"/>
      <c r="AK901" s="449"/>
      <c r="AL901" s="449"/>
      <c r="AM901" s="449"/>
      <c r="AN901" s="10"/>
      <c r="AO901" s="9"/>
      <c r="AP901" s="9"/>
      <c r="AQ901" s="9">
        <f>+FL_2($T$902,$U$900,$G$901,1200,9.28, 1*$F$902)</f>
        <v>-0.25017818188505736</v>
      </c>
      <c r="AR901" s="9"/>
      <c r="AS901" s="9"/>
      <c r="AT901" s="9"/>
      <c r="AU901" s="428"/>
      <c r="AV901" s="428"/>
      <c r="AW901" s="449"/>
      <c r="AX901" s="449"/>
      <c r="AY901" s="10" t="str">
        <f>IF(L901="","",
IF(AX901="PT",VLOOKUP(L901,Foundation_Calc!$K$79:$R$113,VLOOKUP(AW901,Foundation_Calc!$I$2:$J$8,2,FALSE),0),
IF(AX901="K",VLOOKUP(L901,Foundation_Calc!$K$117:$R$151,VLOOKUP(AW901,Foundation_Calc!$I$2:$J$8,2,FALSE),0),"")))</f>
        <v/>
      </c>
      <c r="AZ901" s="10" t="str">
        <f>IF(K901="","",
IF(AX901="PT",VLOOKUP(K901,Foundation_Calc!$K$79:$R$113,VLOOKUP(AW901,Foundation_Calc!$I$2:$J$8,2,FALSE),0),
IF(AX901="K",VLOOKUP(K901,Foundation_Calc!$K$117:$R$151,VLOOKUP(AW901,Foundation_Calc!$I$2:$J$8,2,FALSE),0),"")))</f>
        <v/>
      </c>
      <c r="BA901" s="495" t="str">
        <f t="shared" si="119"/>
        <v/>
      </c>
      <c r="BB901" s="495" t="str">
        <f t="shared" si="120"/>
        <v/>
      </c>
      <c r="BC901" s="495" t="str">
        <f t="shared" si="121"/>
        <v/>
      </c>
      <c r="BD901" s="513"/>
      <c r="BE901" s="429" t="s">
        <v>118</v>
      </c>
      <c r="BF901" s="290"/>
      <c r="BG901" s="290"/>
      <c r="BH901" s="290"/>
      <c r="BI901" s="290"/>
    </row>
    <row r="902" spans="1:61" ht="15.75" customHeight="1">
      <c r="A902" s="733"/>
      <c r="B902" s="450" t="s">
        <v>1407</v>
      </c>
      <c r="C902" s="3">
        <f>+$C$900+$G$901</f>
        <v>51716.000000000015</v>
      </c>
      <c r="D902" s="83"/>
      <c r="E902" s="4"/>
      <c r="F902" s="4">
        <v>0</v>
      </c>
      <c r="G902" s="6"/>
      <c r="H902" s="449" t="s">
        <v>284</v>
      </c>
      <c r="I902" s="4" t="s">
        <v>162</v>
      </c>
      <c r="J902" s="3"/>
      <c r="K902" s="449"/>
      <c r="L902" s="449" t="s">
        <v>1408</v>
      </c>
      <c r="M902" s="449" t="str">
        <f>IF(L902="","",
IF(AX902="PT",VLOOKUP(L902,Foundation_Calc!$V$79:$X$113,VLOOKUP(AX902,Foundation_Calc!$I$10:$J$13,2,FALSE),0),
IF(AX902="K",VLOOKUP(L902,Foundation_Calc!$V$117:$X$151,VLOOKUP(AX902,Foundation_Calc!$I$10:$J$13,2,FALSE),0),"")))</f>
        <v>C11R</v>
      </c>
      <c r="N902" s="449" t="s">
        <v>453</v>
      </c>
      <c r="O902" s="449"/>
      <c r="P902" s="449"/>
      <c r="Q902" s="4"/>
      <c r="R902" s="6"/>
      <c r="S902" s="6"/>
      <c r="T902" s="4">
        <v>20</v>
      </c>
      <c r="U902" s="4"/>
      <c r="V902" s="4"/>
      <c r="W902" s="572">
        <v>0.6</v>
      </c>
      <c r="X902" s="9"/>
      <c r="Y902" s="9"/>
      <c r="Z902" s="9"/>
      <c r="AA902" s="9"/>
      <c r="AB902" s="9"/>
      <c r="AC902" s="449" t="str">
        <f t="shared" si="118"/>
        <v>PH</v>
      </c>
      <c r="AD902" s="449"/>
      <c r="AE902" s="449"/>
      <c r="AF902" s="4"/>
      <c r="AG902" s="83"/>
      <c r="AH902" s="4"/>
      <c r="AI902" s="4"/>
      <c r="AJ902" s="449"/>
      <c r="AK902" s="449" t="s">
        <v>344</v>
      </c>
      <c r="AL902" s="449" t="s">
        <v>569</v>
      </c>
      <c r="AM902" s="449" t="s">
        <v>716</v>
      </c>
      <c r="AN902" s="10">
        <v>5.15</v>
      </c>
      <c r="AO902" s="9"/>
      <c r="AP902" s="9"/>
      <c r="AQ902" s="9"/>
      <c r="AR902" s="9"/>
      <c r="AS902" s="9"/>
      <c r="AT902" s="9">
        <f>+ab($T$902,$U$900,$T$904,$G$901,$G$903, 1*$F$902,1200)</f>
        <v>8.5241538807379449</v>
      </c>
      <c r="AU902" s="428"/>
      <c r="AV902" s="428"/>
      <c r="AW902" s="449" t="str">
        <f>IF(C902&gt;0,VLOOKUP(C902,Foundation_Calc!$A$2:$C$13,3,1),
IF(J902&gt;0,VLOOKUP(J902,Foundation_Calc!$A$2:$C$13,3,1),""))</f>
        <v>Multi Soil</v>
      </c>
      <c r="AX902" s="449" t="str">
        <f>IF(C902&gt;0,VLOOKUP(C902,Foundation_Calc!$E$35:$G$65,3,1),
IF(J902&gt;0,VLOOKUP(J902,Foundation_Calc!$E$35:$G$65,3,1),""))</f>
        <v>PT</v>
      </c>
      <c r="AY902" s="10" t="str">
        <f>IF(L902="","",
IF(AX902="PT",VLOOKUP(L902,Foundation_Calc!$K$79:$R$113,VLOOKUP(AW902,Foundation_Calc!$I$2:$J$8,2,FALSE),0),
IF(AX902="K",VLOOKUP(L902,Foundation_Calc!$K$117:$R$151,VLOOKUP(AW902,Foundation_Calc!$I$2:$J$8,2,FALSE),0),"")))</f>
        <v>N.D.</v>
      </c>
      <c r="AZ902" s="10" t="str">
        <f>IF(K902="","",
IF(AX902="PT",VLOOKUP(K902,Foundation_Calc!$K$79:$R$113,VLOOKUP(AW902,Foundation_Calc!$I$2:$J$8,2,FALSE),0),
IF(AX902="K",VLOOKUP(K902,Foundation_Calc!$K$117:$R$151,VLOOKUP(AW902,Foundation_Calc!$I$2:$J$8,2,FALSE),0),"")))</f>
        <v/>
      </c>
      <c r="BA902" s="495" t="str">
        <f t="shared" ref="BA902" si="125">IF(AY902="","",IF(AY902&gt;0,"ü",""))</f>
        <v>ü</v>
      </c>
      <c r="BB902" s="495" t="str">
        <f t="shared" ref="BB902" si="126">IF(AZ902="","",IF(AZ902&gt;0,"ü",""))</f>
        <v/>
      </c>
      <c r="BC902" s="495" t="str">
        <f t="shared" ref="BC902" si="127">IF(M902="","",IF(M902="U.S.","ü",IF(M902="U.S. N.D.","ü","")))</f>
        <v/>
      </c>
      <c r="BD902" s="513" t="str">
        <f>Pole_Calc!A$232</f>
        <v>App.7-V11I-P13.3</v>
      </c>
      <c r="BE902" s="429" t="s">
        <v>118</v>
      </c>
      <c r="BF902" s="289"/>
      <c r="BG902" s="289"/>
      <c r="BH902" s="290"/>
      <c r="BI902" s="289"/>
    </row>
    <row r="903" spans="1:61" ht="15.75" customHeight="1">
      <c r="A903" s="514" t="s">
        <v>199</v>
      </c>
      <c r="B903" s="450"/>
      <c r="C903" s="3"/>
      <c r="D903" s="83"/>
      <c r="E903" s="4"/>
      <c r="F903" s="4"/>
      <c r="G903" s="6">
        <v>47.8</v>
      </c>
      <c r="H903" s="449"/>
      <c r="I903" s="4"/>
      <c r="J903" s="3"/>
      <c r="K903" s="449"/>
      <c r="L903" s="449"/>
      <c r="M903" s="449" t="str">
        <f>IF(L903="","",
IF(AX903="PT",VLOOKUP(L903,Foundation_Calc!$V$79:$X$113,VLOOKUP(AX903,Foundation_Calc!$I$10:$J$13,2,FALSE),0),
IF(AX903="K",VLOOKUP(L903,Foundation_Calc!$V$117:$X$151,VLOOKUP(AX903,Foundation_Calc!$I$10:$J$13,2,FALSE),0),"")))</f>
        <v/>
      </c>
      <c r="N903" s="449"/>
      <c r="O903" s="449"/>
      <c r="P903" s="449"/>
      <c r="Q903" s="4"/>
      <c r="R903" s="6"/>
      <c r="S903" s="6"/>
      <c r="T903" s="4"/>
      <c r="U903" s="4"/>
      <c r="V903" s="4"/>
      <c r="W903" s="9"/>
      <c r="X903" s="9"/>
      <c r="Y903" s="9"/>
      <c r="Z903" s="9"/>
      <c r="AA903" s="9"/>
      <c r="AB903" s="9"/>
      <c r="AC903" s="449" t="str">
        <f t="shared" si="118"/>
        <v/>
      </c>
      <c r="AD903" s="449"/>
      <c r="AE903" s="449"/>
      <c r="AF903" s="4"/>
      <c r="AG903" s="83"/>
      <c r="AH903" s="4"/>
      <c r="AI903" s="4"/>
      <c r="AJ903" s="449"/>
      <c r="AK903" s="449"/>
      <c r="AL903" s="449"/>
      <c r="AM903" s="449"/>
      <c r="AN903" s="10"/>
      <c r="AO903" s="9"/>
      <c r="AP903" s="9"/>
      <c r="AQ903" s="9">
        <f>+FL_2($T$904,-$T$902,$G$903,1200,9.28, 1*$F$904)</f>
        <v>-0.44657530055787997</v>
      </c>
      <c r="AR903" s="9"/>
      <c r="AS903" s="9"/>
      <c r="AT903" s="9"/>
      <c r="AU903" s="428"/>
      <c r="AV903" s="428"/>
      <c r="AW903" s="449"/>
      <c r="AX903" s="449"/>
      <c r="AY903" s="10" t="str">
        <f>IF(L903="","",
IF(AX903="PT",VLOOKUP(L903,Foundation_Calc!$K$79:$R$113,VLOOKUP(AW903,Foundation_Calc!$I$2:$J$8,2,FALSE),0),
IF(AX903="K",VLOOKUP(L903,Foundation_Calc!$K$117:$R$151,VLOOKUP(AW903,Foundation_Calc!$I$2:$J$8,2,FALSE),0),"")))</f>
        <v/>
      </c>
      <c r="AZ903" s="10" t="str">
        <f>IF(K903="","",
IF(AX903="PT",VLOOKUP(K903,Foundation_Calc!$K$79:$R$113,VLOOKUP(AW903,Foundation_Calc!$I$2:$J$8,2,FALSE),0),
IF(AX903="K",VLOOKUP(K903,Foundation_Calc!$K$117:$R$151,VLOOKUP(AW903,Foundation_Calc!$I$2:$J$8,2,FALSE),0),"")))</f>
        <v/>
      </c>
      <c r="BA903" s="495" t="str">
        <f t="shared" si="119"/>
        <v/>
      </c>
      <c r="BB903" s="495" t="str">
        <f t="shared" si="120"/>
        <v/>
      </c>
      <c r="BC903" s="495" t="str">
        <f t="shared" si="121"/>
        <v/>
      </c>
      <c r="BD903" s="513"/>
      <c r="BE903" s="429" t="s">
        <v>118</v>
      </c>
      <c r="BF903" s="290"/>
      <c r="BG903" s="290"/>
      <c r="BH903" s="290"/>
      <c r="BI903" s="290"/>
    </row>
    <row r="904" spans="1:61" ht="15.75" customHeight="1">
      <c r="A904" s="514"/>
      <c r="B904" s="450" t="s">
        <v>1409</v>
      </c>
      <c r="C904" s="3">
        <f>+$C$902+$G$903</f>
        <v>51763.800000000017</v>
      </c>
      <c r="D904" s="83"/>
      <c r="E904" s="4"/>
      <c r="F904" s="4">
        <v>0</v>
      </c>
      <c r="G904" s="6"/>
      <c r="H904" s="449" t="s">
        <v>121</v>
      </c>
      <c r="I904" s="4" t="s">
        <v>122</v>
      </c>
      <c r="J904" s="3"/>
      <c r="K904" s="449"/>
      <c r="L904" s="449" t="s">
        <v>852</v>
      </c>
      <c r="M904" s="449" t="str">
        <f>IF(L904="","",
IF(AX904="PT",VLOOKUP(L904,Foundation_Calc!$V$79:$X$113,VLOOKUP(AX904,Foundation_Calc!$I$10:$J$13,2,FALSE),0),
IF(AX904="K",VLOOKUP(L904,Foundation_Calc!$V$117:$X$151,VLOOKUP(AX904,Foundation_Calc!$I$10:$J$13,2,FALSE),0),"")))</f>
        <v/>
      </c>
      <c r="N904" s="449" t="s">
        <v>343</v>
      </c>
      <c r="O904" s="449"/>
      <c r="P904" s="449"/>
      <c r="Q904" s="4"/>
      <c r="R904" s="6"/>
      <c r="S904" s="6"/>
      <c r="T904" s="4">
        <v>-25</v>
      </c>
      <c r="U904" s="4"/>
      <c r="V904" s="4"/>
      <c r="W904" s="572">
        <v>0.6</v>
      </c>
      <c r="X904" s="572"/>
      <c r="Y904" s="9"/>
      <c r="Z904" s="9"/>
      <c r="AA904" s="9"/>
      <c r="AB904" s="9"/>
      <c r="AC904" s="449" t="str">
        <f t="shared" si="118"/>
        <v>PH</v>
      </c>
      <c r="AD904" s="449"/>
      <c r="AE904" s="449"/>
      <c r="AF904" s="4"/>
      <c r="AG904" s="83"/>
      <c r="AH904" s="4"/>
      <c r="AI904" s="4"/>
      <c r="AJ904" s="449"/>
      <c r="AK904" s="449" t="s">
        <v>451</v>
      </c>
      <c r="AL904" s="449"/>
      <c r="AM904" s="449" t="s">
        <v>574</v>
      </c>
      <c r="AN904" s="10">
        <v>5.15</v>
      </c>
      <c r="AO904" s="9"/>
      <c r="AP904" s="9"/>
      <c r="AQ904" s="9"/>
      <c r="AR904" s="9"/>
      <c r="AS904" s="9"/>
      <c r="AT904" s="9">
        <f>+ab($T$904,$T$902,$U$906,$G$903,$G$905, 1*$F$904,1200)</f>
        <v>-9.7878120431095805</v>
      </c>
      <c r="AU904" s="428"/>
      <c r="AV904" s="428"/>
      <c r="AW904" s="449" t="s">
        <v>201</v>
      </c>
      <c r="AX904" s="449" t="s">
        <v>201</v>
      </c>
      <c r="AY904" s="10" t="str">
        <f>IF(L904="","",
IF(AX904="PT",VLOOKUP(L904,Foundation_Calc!$K$79:$R$113,VLOOKUP(AW904,Foundation_Calc!$I$2:$J$8,2,FALSE),0),
IF(AX904="K",VLOOKUP(L904,Foundation_Calc!$K$117:$R$151,VLOOKUP(AW904,Foundation_Calc!$I$2:$J$8,2,FALSE),0),"")))</f>
        <v/>
      </c>
      <c r="AZ904" s="10" t="str">
        <f>IF(K904="","",
IF(AX904="PT",VLOOKUP(K904,Foundation_Calc!$K$79:$R$113,VLOOKUP(AW904,Foundation_Calc!$I$2:$J$8,2,FALSE),0),
IF(AX904="K",VLOOKUP(K904,Foundation_Calc!$K$117:$R$151,VLOOKUP(AW904,Foundation_Calc!$I$2:$J$8,2,FALSE),0),"")))</f>
        <v/>
      </c>
      <c r="BA904" s="495" t="str">
        <f t="shared" si="119"/>
        <v/>
      </c>
      <c r="BB904" s="495" t="str">
        <f t="shared" si="120"/>
        <v/>
      </c>
      <c r="BC904" s="495" t="str">
        <f t="shared" si="121"/>
        <v/>
      </c>
      <c r="BD904" s="513"/>
      <c r="BE904" s="429" t="s">
        <v>118</v>
      </c>
      <c r="BF904" s="289"/>
      <c r="BG904" s="289"/>
      <c r="BH904" s="290"/>
      <c r="BI904" s="289"/>
    </row>
    <row r="905" spans="1:61" ht="15.75" customHeight="1">
      <c r="A905" s="514"/>
      <c r="B905" s="450"/>
      <c r="C905" s="3"/>
      <c r="D905" s="83"/>
      <c r="E905" s="4"/>
      <c r="F905" s="4"/>
      <c r="G905" s="6">
        <v>40</v>
      </c>
      <c r="H905" s="449"/>
      <c r="I905" s="4"/>
      <c r="J905" s="3"/>
      <c r="K905" s="449"/>
      <c r="L905" s="449"/>
      <c r="M905" s="449" t="str">
        <f>IF(L905="","",
IF(AX905="PT",VLOOKUP(L905,Foundation_Calc!$V$79:$X$113,VLOOKUP(AX905,Foundation_Calc!$I$10:$J$13,2,FALSE),0),
IF(AX905="K",VLOOKUP(L905,Foundation_Calc!$V$117:$X$151,VLOOKUP(AX905,Foundation_Calc!$I$10:$J$13,2,FALSE),0),"")))</f>
        <v/>
      </c>
      <c r="N905" s="449"/>
      <c r="O905" s="449"/>
      <c r="P905" s="449"/>
      <c r="Q905" s="4"/>
      <c r="R905" s="6"/>
      <c r="S905" s="6"/>
      <c r="T905" s="4"/>
      <c r="U905" s="4"/>
      <c r="V905" s="4"/>
      <c r="W905" s="572"/>
      <c r="X905" s="572"/>
      <c r="Y905" s="9"/>
      <c r="Z905" s="9"/>
      <c r="AA905" s="9"/>
      <c r="AB905" s="9"/>
      <c r="AC905" s="449" t="str">
        <f t="shared" si="118"/>
        <v/>
      </c>
      <c r="AD905" s="449"/>
      <c r="AE905" s="449"/>
      <c r="AF905" s="4"/>
      <c r="AG905" s="83"/>
      <c r="AH905" s="4"/>
      <c r="AI905" s="4"/>
      <c r="AJ905" s="449"/>
      <c r="AK905" s="449"/>
      <c r="AL905" s="449"/>
      <c r="AM905" s="449"/>
      <c r="AN905" s="10"/>
      <c r="AO905" s="9"/>
      <c r="AP905" s="9"/>
      <c r="AQ905" s="9">
        <f>+FL_2($U$906,$T$904,$G$905,1200,9.28, 1*$F$906)</f>
        <v>-0.26932183866666659</v>
      </c>
      <c r="AR905" s="9"/>
      <c r="AS905" s="9"/>
      <c r="AT905" s="9"/>
      <c r="AU905" s="428"/>
      <c r="AV905" s="428"/>
      <c r="AW905" s="449" t="str">
        <f>IF(C905&gt;0,VLOOKUP(C905,Foundation_Calc!$A$2:$C$13,3,1),
IF(J905&gt;0,VLOOKUP(J905,Foundation_Calc!$A$2:$C$13,3,1),""))</f>
        <v/>
      </c>
      <c r="AX905" s="449"/>
      <c r="AY905" s="10" t="str">
        <f>IF(L905="","",
IF(AX905="PT",VLOOKUP(L905,Foundation_Calc!$K$79:$R$113,VLOOKUP(AW905,Foundation_Calc!$I$2:$J$8,2,FALSE),0),
IF(AX905="K",VLOOKUP(L905,Foundation_Calc!$K$117:$R$151,VLOOKUP(AW905,Foundation_Calc!$I$2:$J$8,2,FALSE),0),"")))</f>
        <v/>
      </c>
      <c r="AZ905" s="10" t="str">
        <f>IF(K905="","",
IF(AX905="PT",VLOOKUP(K905,Foundation_Calc!$K$79:$R$113,VLOOKUP(AW905,Foundation_Calc!$I$2:$J$8,2,FALSE),0),
IF(AX905="K",VLOOKUP(K905,Foundation_Calc!$K$117:$R$151,VLOOKUP(AW905,Foundation_Calc!$I$2:$J$8,2,FALSE),0),"")))</f>
        <v/>
      </c>
      <c r="BA905" s="495" t="str">
        <f t="shared" si="119"/>
        <v/>
      </c>
      <c r="BB905" s="495" t="str">
        <f t="shared" si="120"/>
        <v/>
      </c>
      <c r="BC905" s="495" t="str">
        <f t="shared" si="121"/>
        <v/>
      </c>
      <c r="BD905" s="513" t="str">
        <f>IF(AND(L905="",H905=""),"",
IF(H905="",Pole_Calc!A$9,
IF(H905="MP",Pole_Calc!A$10,
IF(H905="AnMP",Pole_Calc!A$11,
IF(H905="A",Pole_Calc!A$12,
IF(H905="S/A",Pole_Calc!A$13,
IF(H905="A/S",Pole_Calc!A$14,"Poner a mano")))))))</f>
        <v/>
      </c>
      <c r="BE905" s="429" t="s">
        <v>118</v>
      </c>
      <c r="BF905" s="290"/>
      <c r="BG905" s="290"/>
      <c r="BH905" s="290"/>
      <c r="BI905" s="290"/>
    </row>
    <row r="906" spans="1:61" ht="15.75" customHeight="1">
      <c r="A906" s="514"/>
      <c r="B906" s="450" t="s">
        <v>1410</v>
      </c>
      <c r="C906" s="3">
        <f>+$C$904+$G$905</f>
        <v>51803.800000000017</v>
      </c>
      <c r="D906" s="83"/>
      <c r="E906" s="4"/>
      <c r="F906" s="4">
        <v>0</v>
      </c>
      <c r="G906" s="6"/>
      <c r="H906" s="449" t="s">
        <v>131</v>
      </c>
      <c r="I906" s="4"/>
      <c r="J906" s="3"/>
      <c r="K906" s="449"/>
      <c r="L906" s="449" t="s">
        <v>201</v>
      </c>
      <c r="M906" s="449" t="str">
        <f>IF(L906="","",
IF(AX906="PT",VLOOKUP(L906,Foundation_Calc!$V$79:$X$113,VLOOKUP(AX906,Foundation_Calc!$I$10:$J$13,2,FALSE),0),
IF(AX906="K",VLOOKUP(L906,Foundation_Calc!$V$117:$X$151,VLOOKUP(AX906,Foundation_Calc!$I$10:$J$13,2,FALSE),0),"")))</f>
        <v/>
      </c>
      <c r="N906" s="449" t="s">
        <v>840</v>
      </c>
      <c r="O906" s="449" t="s">
        <v>453</v>
      </c>
      <c r="P906" s="449"/>
      <c r="Q906" s="4"/>
      <c r="R906" s="6"/>
      <c r="S906" s="6"/>
      <c r="T906" s="4">
        <v>35</v>
      </c>
      <c r="U906" s="4">
        <v>15</v>
      </c>
      <c r="V906" s="4"/>
      <c r="W906" s="572">
        <v>0.9</v>
      </c>
      <c r="X906" s="572">
        <v>1.1000000000000001</v>
      </c>
      <c r="Y906" s="9"/>
      <c r="Z906" s="9">
        <v>0.4</v>
      </c>
      <c r="AA906" s="9"/>
      <c r="AB906" s="9"/>
      <c r="AC906" s="449"/>
      <c r="AD906" s="449"/>
      <c r="AE906" s="449"/>
      <c r="AF906" s="4"/>
      <c r="AG906" s="83"/>
      <c r="AH906" s="4"/>
      <c r="AI906" s="4"/>
      <c r="AJ906" s="449"/>
      <c r="AK906" s="449" t="s">
        <v>841</v>
      </c>
      <c r="AL906" s="449"/>
      <c r="AM906" s="449"/>
      <c r="AN906" s="10">
        <v>5.15</v>
      </c>
      <c r="AO906" s="9"/>
      <c r="AP906" s="9"/>
      <c r="AQ906" s="9"/>
      <c r="AR906" s="9"/>
      <c r="AS906" s="9"/>
      <c r="AT906" s="9">
        <f>+ab($U$906,$T$904,$U$908,$G$905,$G$907, 1*$F$906,1200)</f>
        <v>9.014509408034689</v>
      </c>
      <c r="AU906" s="428"/>
      <c r="AV906" s="428"/>
      <c r="AW906" s="449" t="s">
        <v>201</v>
      </c>
      <c r="AX906" s="449" t="s">
        <v>201</v>
      </c>
      <c r="AY906" s="10" t="str">
        <f>IF(L906="","",
IF(AX906="PT",VLOOKUP(L906,Foundation_Calc!$K$79:$R$113,VLOOKUP(AW906,Foundation_Calc!$I$2:$J$8,2,FALSE),0),
IF(AX906="K",VLOOKUP(L906,Foundation_Calc!$K$117:$R$151,VLOOKUP(AW906,Foundation_Calc!$I$2:$J$8,2,FALSE),0),"")))</f>
        <v/>
      </c>
      <c r="AZ906" s="10" t="str">
        <f>IF(K906="","",
IF(AX906="PT",VLOOKUP(K906,Foundation_Calc!$K$79:$R$113,VLOOKUP(AW906,Foundation_Calc!$I$2:$J$8,2,FALSE),0),
IF(AX906="K",VLOOKUP(K906,Foundation_Calc!$K$117:$R$151,VLOOKUP(AW906,Foundation_Calc!$I$2:$J$8,2,FALSE),0),"")))</f>
        <v/>
      </c>
      <c r="BA906" s="495" t="str">
        <f t="shared" si="119"/>
        <v/>
      </c>
      <c r="BB906" s="495" t="str">
        <f t="shared" si="120"/>
        <v/>
      </c>
      <c r="BC906" s="495" t="str">
        <f t="shared" si="121"/>
        <v/>
      </c>
      <c r="BD906" s="513"/>
      <c r="BE906" s="429" t="s">
        <v>118</v>
      </c>
      <c r="BF906" s="289"/>
      <c r="BG906" s="289"/>
      <c r="BH906" s="290"/>
      <c r="BI906" s="289"/>
    </row>
    <row r="907" spans="1:61" ht="15.75" customHeight="1">
      <c r="A907" s="514"/>
      <c r="B907" s="450"/>
      <c r="C907" s="3"/>
      <c r="D907" s="83"/>
      <c r="E907" s="4"/>
      <c r="F907" s="4"/>
      <c r="G907" s="6">
        <v>45</v>
      </c>
      <c r="H907" s="449"/>
      <c r="I907" s="4"/>
      <c r="J907" s="3"/>
      <c r="K907" s="449"/>
      <c r="L907" s="449"/>
      <c r="M907" s="449" t="str">
        <f>IF(L907="","",
IF(AX907="PT",VLOOKUP(L907,Foundation_Calc!$V$79:$X$113,VLOOKUP(AX907,Foundation_Calc!$I$10:$J$13,2,FALSE),0),
IF(AX907="K",VLOOKUP(L907,Foundation_Calc!$V$117:$X$151,VLOOKUP(AX907,Foundation_Calc!$I$10:$J$13,2,FALSE),0),"")))</f>
        <v/>
      </c>
      <c r="N907" s="449"/>
      <c r="O907" s="561"/>
      <c r="P907" s="449"/>
      <c r="Q907" s="4"/>
      <c r="R907" s="6"/>
      <c r="S907" s="6"/>
      <c r="T907" s="4"/>
      <c r="U907" s="4"/>
      <c r="V907" s="4"/>
      <c r="W907" s="572"/>
      <c r="X907" s="572"/>
      <c r="Y907" s="9"/>
      <c r="Z907" s="9"/>
      <c r="AA907" s="9"/>
      <c r="AB907" s="9"/>
      <c r="AC907" s="449" t="str">
        <f t="shared" si="118"/>
        <v/>
      </c>
      <c r="AD907" s="449"/>
      <c r="AE907" s="449"/>
      <c r="AF907" s="4"/>
      <c r="AG907" s="83"/>
      <c r="AH907" s="4"/>
      <c r="AI907" s="4"/>
      <c r="AJ907" s="449"/>
      <c r="AK907" s="449"/>
      <c r="AL907" s="449"/>
      <c r="AM907" s="449"/>
      <c r="AN907" s="10"/>
      <c r="AO907" s="9"/>
      <c r="AP907" s="9"/>
      <c r="AQ907" s="9">
        <f>+FL_1($T$908,$U$906,$G$907,1200,9.28, 1*$F$908)</f>
        <v>0.22448563199999994</v>
      </c>
      <c r="AR907" s="9"/>
      <c r="AS907" s="9"/>
      <c r="AT907" s="9"/>
      <c r="AU907" s="428"/>
      <c r="AV907" s="428"/>
      <c r="AW907" s="449" t="s">
        <v>1411</v>
      </c>
      <c r="AX907" s="449"/>
      <c r="AY907" s="10" t="str">
        <f>IF(L907="","",
IF(AX907="PT",VLOOKUP(L907,Foundation_Calc!$K$79:$R$113,VLOOKUP(AW907,Foundation_Calc!$I$2:$J$8,2,FALSE),0),
IF(AX907="K",VLOOKUP(L907,Foundation_Calc!$K$117:$R$151,VLOOKUP(AW907,Foundation_Calc!$I$2:$J$8,2,FALSE),0),"")))</f>
        <v/>
      </c>
      <c r="AZ907" s="10" t="str">
        <f>IF(K907="","",
IF(AX907="PT",VLOOKUP(K907,Foundation_Calc!$K$79:$R$113,VLOOKUP(AW907,Foundation_Calc!$I$2:$J$8,2,FALSE),0),
IF(AX907="K",VLOOKUP(K907,Foundation_Calc!$K$117:$R$151,VLOOKUP(AW907,Foundation_Calc!$I$2:$J$8,2,FALSE),0),"")))</f>
        <v/>
      </c>
      <c r="BA907" s="495" t="str">
        <f t="shared" si="119"/>
        <v/>
      </c>
      <c r="BB907" s="495" t="str">
        <f t="shared" si="120"/>
        <v/>
      </c>
      <c r="BC907" s="495" t="str">
        <f t="shared" si="121"/>
        <v/>
      </c>
      <c r="BD907" s="513"/>
      <c r="BE907" s="429" t="s">
        <v>118</v>
      </c>
      <c r="BF907" s="290"/>
      <c r="BG907" s="290"/>
      <c r="BH907" s="290"/>
      <c r="BI907" s="290"/>
    </row>
    <row r="908" spans="1:61" ht="15.75" customHeight="1">
      <c r="A908" s="514"/>
      <c r="B908" s="450" t="s">
        <v>1412</v>
      </c>
      <c r="C908" s="3">
        <f>+$C$906+$G$907</f>
        <v>51848.800000000017</v>
      </c>
      <c r="D908" s="83"/>
      <c r="E908" s="4"/>
      <c r="F908" s="4">
        <v>0</v>
      </c>
      <c r="G908" s="6"/>
      <c r="H908" s="449" t="s">
        <v>131</v>
      </c>
      <c r="I908" s="4"/>
      <c r="J908" s="3"/>
      <c r="K908" s="449"/>
      <c r="L908" s="449" t="s">
        <v>201</v>
      </c>
      <c r="M908" s="449" t="str">
        <f>IF(L908="","",
IF(AX908="PT",VLOOKUP(L908,Foundation_Calc!$V$79:$X$113,VLOOKUP(AX908,Foundation_Calc!$I$10:$J$13,2,FALSE),0),
IF(AX908="K",VLOOKUP(L908,Foundation_Calc!$V$117:$X$151,VLOOKUP(AX908,Foundation_Calc!$I$10:$J$13,2,FALSE),0),"")))</f>
        <v/>
      </c>
      <c r="N908" s="449" t="s">
        <v>343</v>
      </c>
      <c r="O908" s="449" t="s">
        <v>840</v>
      </c>
      <c r="P908" s="449"/>
      <c r="Q908" s="4"/>
      <c r="R908" s="6"/>
      <c r="S908" s="6"/>
      <c r="T908" s="4">
        <v>-15</v>
      </c>
      <c r="U908" s="4">
        <v>-35</v>
      </c>
      <c r="V908" s="4"/>
      <c r="W908" s="572">
        <v>1.2</v>
      </c>
      <c r="X908" s="572">
        <v>1.8</v>
      </c>
      <c r="Y908" s="9"/>
      <c r="Z908" s="9"/>
      <c r="AA908" s="9">
        <v>0.4</v>
      </c>
      <c r="AB908" s="9"/>
      <c r="AC908" s="449" t="str">
        <f t="shared" si="118"/>
        <v>PH</v>
      </c>
      <c r="AD908" s="449"/>
      <c r="AE908" s="449"/>
      <c r="AF908" s="4"/>
      <c r="AG908" s="83"/>
      <c r="AH908" s="4"/>
      <c r="AI908" s="4"/>
      <c r="AJ908" s="449"/>
      <c r="AK908" s="449" t="s">
        <v>841</v>
      </c>
      <c r="AL908" s="449"/>
      <c r="AM908" s="449"/>
      <c r="AN908" s="10">
        <v>5.15</v>
      </c>
      <c r="AO908" s="9"/>
      <c r="AP908" s="9"/>
      <c r="AQ908" s="9"/>
      <c r="AR908" s="9"/>
      <c r="AS908" s="9"/>
      <c r="AT908" s="9">
        <f>+ab($T$908,$T$906,$T$910,$G$907,$G$909, 1*$F$908,1200)</f>
        <v>-8.4517231501040602</v>
      </c>
      <c r="AU908" s="428"/>
      <c r="AV908" s="428"/>
      <c r="AW908" s="449" t="s">
        <v>201</v>
      </c>
      <c r="AX908" s="449" t="s">
        <v>201</v>
      </c>
      <c r="AY908" s="10" t="str">
        <f>IF(L908="","",
IF(AX908="PT",VLOOKUP(L908,Foundation_Calc!$K$79:$R$113,VLOOKUP(AW908,Foundation_Calc!$I$2:$J$8,2,FALSE),0),
IF(AX908="K",VLOOKUP(L908,Foundation_Calc!$K$117:$R$151,VLOOKUP(AW908,Foundation_Calc!$I$2:$J$8,2,FALSE),0),"")))</f>
        <v/>
      </c>
      <c r="AZ908" s="10" t="str">
        <f>IF(K908="","",
IF(AX908="PT",VLOOKUP(K908,Foundation_Calc!$K$79:$R$113,VLOOKUP(AW908,Foundation_Calc!$I$2:$J$8,2,FALSE),0),
IF(AX908="K",VLOOKUP(K908,Foundation_Calc!$K$117:$R$151,VLOOKUP(AW908,Foundation_Calc!$I$2:$J$8,2,FALSE),0),"")))</f>
        <v/>
      </c>
      <c r="BA908" s="495" t="str">
        <f t="shared" si="119"/>
        <v/>
      </c>
      <c r="BB908" s="495" t="str">
        <f t="shared" si="120"/>
        <v/>
      </c>
      <c r="BC908" s="495" t="str">
        <f t="shared" si="121"/>
        <v/>
      </c>
      <c r="BD908" s="513"/>
      <c r="BE908" s="429" t="s">
        <v>118</v>
      </c>
      <c r="BF908" s="289"/>
      <c r="BG908" s="289"/>
      <c r="BH908" s="290"/>
      <c r="BI908" s="289"/>
    </row>
    <row r="909" spans="1:61" ht="15.75" customHeight="1">
      <c r="A909" s="518"/>
      <c r="B909" s="450"/>
      <c r="C909" s="3"/>
      <c r="D909" s="83"/>
      <c r="E909" s="4"/>
      <c r="F909" s="4"/>
      <c r="G909" s="6">
        <v>35</v>
      </c>
      <c r="H909" s="449"/>
      <c r="I909" s="4">
        <f>SUM(G885:G909)</f>
        <v>570.20000000000005</v>
      </c>
      <c r="J909" s="3"/>
      <c r="K909" s="449"/>
      <c r="L909" s="449"/>
      <c r="M909" s="449" t="str">
        <f>IF(L909="","",
IF(AX909="PT",VLOOKUP(L909,Foundation_Calc!$V$79:$X$113,VLOOKUP(AX909,Foundation_Calc!$I$10:$J$13,2,FALSE),0),
IF(AX909="K",VLOOKUP(L909,Foundation_Calc!$V$117:$X$151,VLOOKUP(AX909,Foundation_Calc!$I$10:$J$13,2,FALSE),0),"")))</f>
        <v/>
      </c>
      <c r="N909" s="449"/>
      <c r="O909" s="449"/>
      <c r="P909" s="449"/>
      <c r="Q909" s="4"/>
      <c r="R909" s="6"/>
      <c r="S909" s="6"/>
      <c r="T909" s="4"/>
      <c r="U909" s="4"/>
      <c r="V909" s="4"/>
      <c r="W909" s="572"/>
      <c r="X909" s="572"/>
      <c r="Y909" s="9"/>
      <c r="Z909" s="9"/>
      <c r="AA909" s="9"/>
      <c r="AB909" s="9"/>
      <c r="AC909" s="449" t="str">
        <f t="shared" si="118"/>
        <v/>
      </c>
      <c r="AD909" s="449"/>
      <c r="AE909" s="449"/>
      <c r="AF909" s="4"/>
      <c r="AG909" s="83"/>
      <c r="AH909" s="4"/>
      <c r="AI909" s="4"/>
      <c r="AJ909" s="449"/>
      <c r="AK909" s="449"/>
      <c r="AL909" s="449"/>
      <c r="AM909" s="449"/>
      <c r="AN909" s="10"/>
      <c r="AO909" s="9"/>
      <c r="AP909" s="9"/>
      <c r="AQ909" s="9">
        <f>+FL_1($T$910,$T$908,$G$909,1200,9.28, 1*$F$910)</f>
        <v>0.25286423771428573</v>
      </c>
      <c r="AR909" s="9"/>
      <c r="AS909" s="9"/>
      <c r="AT909" s="9"/>
      <c r="AU909" s="428"/>
      <c r="AV909" s="428"/>
      <c r="AW909" s="449" t="s">
        <v>1411</v>
      </c>
      <c r="AX909" s="449"/>
      <c r="AY909" s="10" t="str">
        <f>IF(L909="","",
IF(AX909="PT",VLOOKUP(L909,Foundation_Calc!$K$79:$R$113,VLOOKUP(AW909,Foundation_Calc!$I$2:$J$8,2,FALSE),0),
IF(AX909="K",VLOOKUP(L909,Foundation_Calc!$K$117:$R$151,VLOOKUP(AW909,Foundation_Calc!$I$2:$J$8,2,FALSE),0),"")))</f>
        <v/>
      </c>
      <c r="AZ909" s="10" t="str">
        <f>IF(K909="","",
IF(AX909="PT",VLOOKUP(K909,Foundation_Calc!$K$79:$R$113,VLOOKUP(AW909,Foundation_Calc!$I$2:$J$8,2,FALSE),0),
IF(AX909="K",VLOOKUP(K909,Foundation_Calc!$K$117:$R$151,VLOOKUP(AW909,Foundation_Calc!$I$2:$J$8,2,FALSE),0),"")))</f>
        <v/>
      </c>
      <c r="BA909" s="495" t="str">
        <f t="shared" si="119"/>
        <v/>
      </c>
      <c r="BB909" s="495" t="str">
        <f t="shared" si="120"/>
        <v/>
      </c>
      <c r="BC909" s="495" t="str">
        <f t="shared" si="121"/>
        <v/>
      </c>
      <c r="BD909" s="513"/>
      <c r="BE909" s="429" t="s">
        <v>118</v>
      </c>
      <c r="BF909" s="290"/>
      <c r="BG909" s="290"/>
      <c r="BH909" s="290"/>
      <c r="BI909" s="290"/>
    </row>
    <row r="910" spans="1:61" ht="15.75" customHeight="1">
      <c r="A910" s="514"/>
      <c r="B910" s="450" t="s">
        <v>1413</v>
      </c>
      <c r="C910" s="3">
        <f>+$C$908+$G$909</f>
        <v>51883.800000000017</v>
      </c>
      <c r="D910" s="83"/>
      <c r="E910" s="4"/>
      <c r="F910" s="4">
        <v>0</v>
      </c>
      <c r="G910" s="6"/>
      <c r="H910" s="449" t="s">
        <v>121</v>
      </c>
      <c r="I910" s="4" t="s">
        <v>162</v>
      </c>
      <c r="J910" s="3"/>
      <c r="K910" s="449"/>
      <c r="L910" s="449" t="s">
        <v>852</v>
      </c>
      <c r="M910" s="449" t="str">
        <f>IF(L910="","",
IF(AX910="PT",VLOOKUP(L910,Foundation_Calc!$V$79:$X$113,VLOOKUP(AX910,Foundation_Calc!$I$10:$J$13,2,FALSE),0),
IF(AX910="K",VLOOKUP(L910,Foundation_Calc!$V$117:$X$151,VLOOKUP(AX910,Foundation_Calc!$I$10:$J$13,2,FALSE),0),"")))</f>
        <v/>
      </c>
      <c r="N910" s="449" t="s">
        <v>453</v>
      </c>
      <c r="O910" s="449"/>
      <c r="P910" s="449"/>
      <c r="Q910" s="4"/>
      <c r="R910" s="6"/>
      <c r="S910" s="6"/>
      <c r="T910" s="4">
        <v>25</v>
      </c>
      <c r="U910" s="4"/>
      <c r="V910" s="4"/>
      <c r="W910" s="572">
        <v>1</v>
      </c>
      <c r="X910" s="572"/>
      <c r="Y910" s="9"/>
      <c r="Z910" s="9"/>
      <c r="AA910" s="9"/>
      <c r="AB910" s="9"/>
      <c r="AC910" s="449" t="str">
        <f t="shared" si="118"/>
        <v>PH</v>
      </c>
      <c r="AD910" s="449"/>
      <c r="AE910" s="449"/>
      <c r="AF910" s="4"/>
      <c r="AG910" s="83"/>
      <c r="AH910" s="4"/>
      <c r="AI910" s="4"/>
      <c r="AJ910" s="449"/>
      <c r="AK910" s="449" t="s">
        <v>451</v>
      </c>
      <c r="AL910" s="449"/>
      <c r="AM910" s="449"/>
      <c r="AN910" s="10">
        <f>AN908+0.05</f>
        <v>5.2</v>
      </c>
      <c r="AO910" s="9"/>
      <c r="AP910" s="9"/>
      <c r="AQ910" s="9"/>
      <c r="AR910" s="9"/>
      <c r="AS910" s="9"/>
      <c r="AT910" s="9">
        <f>+ab($T$910,$T$908,$T$912,$G$909,$G$911, 1*$F$910,1200)</f>
        <v>13.78492609766198</v>
      </c>
      <c r="AU910" s="428"/>
      <c r="AV910" s="428"/>
      <c r="AW910" s="449" t="s">
        <v>201</v>
      </c>
      <c r="AX910" s="449" t="s">
        <v>201</v>
      </c>
      <c r="AY910" s="10" t="str">
        <f>IF(L910="","",
IF(AX910="PT",VLOOKUP(L910,Foundation_Calc!$K$79:$R$113,VLOOKUP(AW910,Foundation_Calc!$I$2:$J$8,2,FALSE),0),
IF(AX910="K",VLOOKUP(L910,Foundation_Calc!$K$117:$R$151,VLOOKUP(AW910,Foundation_Calc!$I$2:$J$8,2,FALSE),0),"")))</f>
        <v/>
      </c>
      <c r="AZ910" s="10" t="str">
        <f>IF(K910="","",
IF(AX910="PT",VLOOKUP(K910,Foundation_Calc!$K$79:$R$113,VLOOKUP(AW910,Foundation_Calc!$I$2:$J$8,2,FALSE),0),
IF(AX910="K",VLOOKUP(K910,Foundation_Calc!$K$117:$R$151,VLOOKUP(AW910,Foundation_Calc!$I$2:$J$8,2,FALSE),0),"")))</f>
        <v/>
      </c>
      <c r="BA910" s="495" t="str">
        <f t="shared" si="119"/>
        <v/>
      </c>
      <c r="BB910" s="495" t="str">
        <f t="shared" si="120"/>
        <v/>
      </c>
      <c r="BC910" s="495" t="str">
        <f t="shared" si="121"/>
        <v/>
      </c>
      <c r="BD910" s="513"/>
      <c r="BE910" s="429" t="s">
        <v>118</v>
      </c>
      <c r="BF910" s="289"/>
      <c r="BG910" s="289"/>
      <c r="BH910" s="290"/>
      <c r="BI910" s="289"/>
    </row>
    <row r="911" spans="1:61" ht="15.75" customHeight="1">
      <c r="A911" s="514" t="s">
        <v>430</v>
      </c>
      <c r="B911" s="450"/>
      <c r="C911" s="3"/>
      <c r="D911" s="83"/>
      <c r="E911" s="4"/>
      <c r="F911" s="4"/>
      <c r="G911" s="6">
        <v>45</v>
      </c>
      <c r="H911" s="449"/>
      <c r="I911" s="4"/>
      <c r="J911" s="3"/>
      <c r="K911" s="449"/>
      <c r="L911" s="449"/>
      <c r="M911" s="449" t="str">
        <f>IF(L911="","",
IF(AX911="PT",VLOOKUP(L911,Foundation_Calc!$V$79:$X$113,VLOOKUP(AX911,Foundation_Calc!$I$10:$J$13,2,FALSE),0),
IF(AX911="K",VLOOKUP(L911,Foundation_Calc!$V$117:$X$151,VLOOKUP(AX911,Foundation_Calc!$I$10:$J$13,2,FALSE),0),"")))</f>
        <v/>
      </c>
      <c r="N911" s="449"/>
      <c r="O911" s="449"/>
      <c r="P911" s="449"/>
      <c r="Q911" s="4"/>
      <c r="R911" s="6"/>
      <c r="S911" s="6"/>
      <c r="T911" s="4"/>
      <c r="U911" s="4"/>
      <c r="V911" s="4"/>
      <c r="W911" s="572"/>
      <c r="X911" s="572"/>
      <c r="Y911" s="9"/>
      <c r="Z911" s="9"/>
      <c r="AA911" s="9"/>
      <c r="AB911" s="9"/>
      <c r="AC911" s="449" t="str">
        <f t="shared" si="118"/>
        <v/>
      </c>
      <c r="AD911" s="449"/>
      <c r="AE911" s="449"/>
      <c r="AF911" s="4"/>
      <c r="AG911" s="83"/>
      <c r="AH911" s="4"/>
      <c r="AI911" s="4"/>
      <c r="AJ911" s="449"/>
      <c r="AK911" s="449"/>
      <c r="AL911" s="449"/>
      <c r="AM911" s="449"/>
      <c r="AN911" s="10"/>
      <c r="AO911" s="9"/>
      <c r="AP911" s="9"/>
      <c r="AQ911" s="9">
        <f>+FL_1($T$912,$T$910,$G$911,1200,9.28, 1*$F$912)</f>
        <v>0.39894284311111111</v>
      </c>
      <c r="AR911" s="9"/>
      <c r="AS911" s="9"/>
      <c r="AT911" s="9"/>
      <c r="AU911" s="428"/>
      <c r="AV911" s="428"/>
      <c r="AW911" s="449" t="s">
        <v>1411</v>
      </c>
      <c r="AX911" s="449"/>
      <c r="AY911" s="10" t="str">
        <f>IF(L911="","",
IF(AX911="PT",VLOOKUP(L911,Foundation_Calc!$K$79:$R$113,VLOOKUP(AW911,Foundation_Calc!$I$2:$J$8,2,FALSE),0),
IF(AX911="K",VLOOKUP(L911,Foundation_Calc!$K$117:$R$151,VLOOKUP(AW911,Foundation_Calc!$I$2:$J$8,2,FALSE),0),"")))</f>
        <v/>
      </c>
      <c r="AZ911" s="10" t="str">
        <f>IF(K911="","",
IF(AX911="PT",VLOOKUP(K911,Foundation_Calc!$K$79:$R$113,VLOOKUP(AW911,Foundation_Calc!$I$2:$J$8,2,FALSE),0),
IF(AX911="K",VLOOKUP(K911,Foundation_Calc!$K$117:$R$151,VLOOKUP(AW911,Foundation_Calc!$I$2:$J$8,2,FALSE),0),"")))</f>
        <v/>
      </c>
      <c r="BA911" s="495" t="str">
        <f t="shared" si="119"/>
        <v/>
      </c>
      <c r="BB911" s="495" t="str">
        <f t="shared" si="120"/>
        <v/>
      </c>
      <c r="BC911" s="495" t="str">
        <f t="shared" si="121"/>
        <v/>
      </c>
      <c r="BD911" s="513" t="str">
        <f>IF(AND(L911="",H911=""),"",
IF(H911="",Pole_Calc!A$9,
IF(H911="MP",Pole_Calc!A$10,
IF(H911="AnMP",Pole_Calc!A$11,
IF(H911="A",Pole_Calc!A$12,
IF(H911="S/A",Pole_Calc!A$13,
IF(H911="A/S",Pole_Calc!A$14,"Poner a mano")))))))</f>
        <v/>
      </c>
      <c r="BE911" s="429" t="s">
        <v>118</v>
      </c>
      <c r="BF911" s="290"/>
      <c r="BG911" s="290"/>
      <c r="BH911" s="290"/>
      <c r="BI911" s="290"/>
    </row>
    <row r="912" spans="1:61" ht="15.75" customHeight="1">
      <c r="A912" s="517"/>
      <c r="B912" s="450" t="s">
        <v>1414</v>
      </c>
      <c r="C912" s="3">
        <f>+$C$910+$G$911</f>
        <v>51928.800000000017</v>
      </c>
      <c r="D912" s="83"/>
      <c r="E912" s="4"/>
      <c r="F912" s="4">
        <v>0</v>
      </c>
      <c r="G912" s="6"/>
      <c r="H912" s="449"/>
      <c r="I912" s="4"/>
      <c r="J912" s="3"/>
      <c r="K912" s="449"/>
      <c r="L912" s="449" t="s">
        <v>201</v>
      </c>
      <c r="M912" s="449" t="str">
        <f>IF(L912="","",
IF(AX912="PT",VLOOKUP(L912,Foundation_Calc!$V$79:$X$113,VLOOKUP(AX912,Foundation_Calc!$I$10:$J$13,2,FALSE),0),
IF(AX912="K",VLOOKUP(L912,Foundation_Calc!$V$117:$X$151,VLOOKUP(AX912,Foundation_Calc!$I$10:$J$13,2,FALSE),0),"")))</f>
        <v/>
      </c>
      <c r="N912" s="449" t="s">
        <v>453</v>
      </c>
      <c r="O912" s="449"/>
      <c r="P912" s="449"/>
      <c r="Q912" s="4"/>
      <c r="R912" s="6"/>
      <c r="S912" s="6"/>
      <c r="T912" s="4">
        <v>15</v>
      </c>
      <c r="U912" s="4"/>
      <c r="V912" s="4"/>
      <c r="W912" s="572">
        <v>1</v>
      </c>
      <c r="X912" s="572"/>
      <c r="Y912" s="9"/>
      <c r="Z912" s="9"/>
      <c r="AA912" s="9"/>
      <c r="AB912" s="9"/>
      <c r="AC912" s="449" t="str">
        <f t="shared" si="118"/>
        <v>PH</v>
      </c>
      <c r="AD912" s="449"/>
      <c r="AE912" s="449"/>
      <c r="AF912" s="4"/>
      <c r="AG912" s="83"/>
      <c r="AH912" s="4"/>
      <c r="AI912" s="4"/>
      <c r="AJ912" s="449"/>
      <c r="AK912" s="449" t="s">
        <v>451</v>
      </c>
      <c r="AL912" s="449"/>
      <c r="AM912" s="449" t="s">
        <v>716</v>
      </c>
      <c r="AN912" s="10">
        <f>AN910+0.08</f>
        <v>5.28</v>
      </c>
      <c r="AO912" s="9"/>
      <c r="AP912" s="9"/>
      <c r="AQ912" s="9"/>
      <c r="AR912" s="9"/>
      <c r="AS912" s="9"/>
      <c r="AT912" s="9">
        <f>+ab($T$912,$T$910,$T$914,$G$911,$G$913, 1*$F$912,1200)</f>
        <v>31.162215490910594</v>
      </c>
      <c r="AU912" s="428"/>
      <c r="AV912" s="428"/>
      <c r="AW912" s="449" t="s">
        <v>201</v>
      </c>
      <c r="AX912" s="449" t="s">
        <v>201</v>
      </c>
      <c r="AY912" s="10" t="str">
        <f>IF(L912="","",
IF(AX912="PT",VLOOKUP(L912,Foundation_Calc!$K$79:$R$113,VLOOKUP(AW912,Foundation_Calc!$I$2:$J$8,2,FALSE),0),
IF(AX912="K",VLOOKUP(L912,Foundation_Calc!$K$117:$R$151,VLOOKUP(AW912,Foundation_Calc!$I$2:$J$8,2,FALSE),0),"")))</f>
        <v/>
      </c>
      <c r="AZ912" s="10" t="str">
        <f>IF(K912="","",
IF(AX912="PT",VLOOKUP(K912,Foundation_Calc!$K$79:$R$113,VLOOKUP(AW912,Foundation_Calc!$I$2:$J$8,2,FALSE),0),
IF(AX912="K",VLOOKUP(K912,Foundation_Calc!$K$117:$R$151,VLOOKUP(AW912,Foundation_Calc!$I$2:$J$8,2,FALSE),0),"")))</f>
        <v/>
      </c>
      <c r="BA912" s="495" t="str">
        <f t="shared" si="119"/>
        <v/>
      </c>
      <c r="BB912" s="495" t="str">
        <f t="shared" si="120"/>
        <v/>
      </c>
      <c r="BC912" s="495" t="str">
        <f t="shared" si="121"/>
        <v/>
      </c>
      <c r="BD912" s="513"/>
      <c r="BE912" s="429" t="s">
        <v>118</v>
      </c>
      <c r="BF912" s="289"/>
      <c r="BG912" s="289"/>
      <c r="BH912" s="290"/>
      <c r="BI912" s="289"/>
    </row>
    <row r="913" spans="1:61" ht="15.75" customHeight="1">
      <c r="A913" s="514" t="s">
        <v>438</v>
      </c>
      <c r="B913" s="450"/>
      <c r="C913" s="3"/>
      <c r="D913" s="83"/>
      <c r="E913" s="4"/>
      <c r="F913" s="4"/>
      <c r="G913" s="6">
        <v>45.1</v>
      </c>
      <c r="H913" s="449"/>
      <c r="I913" s="4"/>
      <c r="J913" s="3"/>
      <c r="K913" s="449"/>
      <c r="L913" s="449"/>
      <c r="M913" s="449" t="str">
        <f>IF(L913="","",
IF(AX913="PT",VLOOKUP(L913,Foundation_Calc!$V$79:$X$113,VLOOKUP(AX913,Foundation_Calc!$I$10:$J$13,2,FALSE),0),
IF(AX913="K",VLOOKUP(L913,Foundation_Calc!$V$117:$X$151,VLOOKUP(AX913,Foundation_Calc!$I$10:$J$13,2,FALSE),0),"")))</f>
        <v/>
      </c>
      <c r="N913" s="449"/>
      <c r="O913" s="561"/>
      <c r="P913" s="449"/>
      <c r="Q913" s="4"/>
      <c r="R913" s="6"/>
      <c r="S913" s="6"/>
      <c r="T913" s="4"/>
      <c r="U913" s="4"/>
      <c r="V913" s="4"/>
      <c r="W913" s="9"/>
      <c r="X913" s="9"/>
      <c r="Y913" s="9"/>
      <c r="Z913" s="9"/>
      <c r="AA913" s="9"/>
      <c r="AB913" s="9"/>
      <c r="AC913" s="449" t="str">
        <f t="shared" si="118"/>
        <v/>
      </c>
      <c r="AD913" s="449"/>
      <c r="AE913" s="449"/>
      <c r="AF913" s="4"/>
      <c r="AG913" s="83"/>
      <c r="AH913" s="4"/>
      <c r="AI913" s="4"/>
      <c r="AJ913" s="449"/>
      <c r="AK913" s="449"/>
      <c r="AL913" s="449"/>
      <c r="AM913" s="449"/>
      <c r="AN913" s="10"/>
      <c r="AO913" s="9"/>
      <c r="AP913" s="9"/>
      <c r="AQ913" s="9">
        <f>+FL_2($T$914,$T$912,$G$913,1200,9.28, 1*$F$914)</f>
        <v>-0.26056009079379161</v>
      </c>
      <c r="AR913" s="9"/>
      <c r="AS913" s="9"/>
      <c r="AT913" s="9"/>
      <c r="AU913" s="428"/>
      <c r="AV913" s="428"/>
      <c r="AW913" s="449" t="s">
        <v>1411</v>
      </c>
      <c r="AX913" s="449"/>
      <c r="AY913" s="10" t="str">
        <f>IF(L913="","",
IF(AX913="PT",VLOOKUP(L913,Foundation_Calc!$K$79:$R$113,VLOOKUP(AW913,Foundation_Calc!$I$2:$J$8,2,FALSE),0),
IF(AX913="K",VLOOKUP(L913,Foundation_Calc!$K$117:$R$151,VLOOKUP(AW913,Foundation_Calc!$I$2:$J$8,2,FALSE),0),"")))</f>
        <v/>
      </c>
      <c r="AZ913" s="10" t="str">
        <f>IF(K913="","",
IF(AX913="PT",VLOOKUP(K913,Foundation_Calc!$K$79:$R$113,VLOOKUP(AW913,Foundation_Calc!$I$2:$J$8,2,FALSE),0),
IF(AX913="K",VLOOKUP(K913,Foundation_Calc!$K$117:$R$151,VLOOKUP(AW913,Foundation_Calc!$I$2:$J$8,2,FALSE),0),"")))</f>
        <v/>
      </c>
      <c r="BA913" s="495" t="str">
        <f t="shared" si="119"/>
        <v/>
      </c>
      <c r="BB913" s="495" t="str">
        <f t="shared" si="120"/>
        <v/>
      </c>
      <c r="BC913" s="495" t="str">
        <f t="shared" si="121"/>
        <v/>
      </c>
      <c r="BD913" s="513"/>
      <c r="BE913" s="429" t="s">
        <v>118</v>
      </c>
      <c r="BF913" s="290"/>
      <c r="BG913" s="290"/>
      <c r="BH913" s="290"/>
      <c r="BI913" s="290"/>
    </row>
    <row r="914" spans="1:61" ht="15.75" customHeight="1">
      <c r="A914" s="517" t="s">
        <v>438</v>
      </c>
      <c r="B914" s="450" t="s">
        <v>1415</v>
      </c>
      <c r="C914" s="3">
        <f>+$C$912+$G$913</f>
        <v>51973.900000000016</v>
      </c>
      <c r="D914" s="83"/>
      <c r="E914" s="4"/>
      <c r="F914" s="4">
        <v>0</v>
      </c>
      <c r="G914" s="6"/>
      <c r="H914" s="449"/>
      <c r="I914" s="4"/>
      <c r="J914" s="3"/>
      <c r="K914" s="449"/>
      <c r="L914" s="449" t="s">
        <v>201</v>
      </c>
      <c r="M914" s="449" t="str">
        <f>IF(L914="","",
IF(AX914="PT",VLOOKUP(L914,Foundation_Calc!$V$79:$X$113,VLOOKUP(AX914,Foundation_Calc!$I$10:$J$13,2,FALSE),0),
IF(AX914="K",VLOOKUP(L914,Foundation_Calc!$V$117:$X$151,VLOOKUP(AX914,Foundation_Calc!$I$10:$J$13,2,FALSE),0),"")))</f>
        <v/>
      </c>
      <c r="N914" s="449" t="s">
        <v>343</v>
      </c>
      <c r="O914" s="449"/>
      <c r="P914" s="449"/>
      <c r="Q914" s="4"/>
      <c r="R914" s="6"/>
      <c r="S914" s="6"/>
      <c r="T914" s="4">
        <v>-20</v>
      </c>
      <c r="U914" s="4"/>
      <c r="V914" s="4"/>
      <c r="W914" s="572">
        <v>1.2</v>
      </c>
      <c r="X914" s="9"/>
      <c r="Y914" s="9"/>
      <c r="Z914" s="9"/>
      <c r="AA914" s="9"/>
      <c r="AB914" s="9"/>
      <c r="AC914" s="449" t="str">
        <f t="shared" si="118"/>
        <v>PH</v>
      </c>
      <c r="AD914" s="449"/>
      <c r="AE914" s="449"/>
      <c r="AF914" s="4"/>
      <c r="AG914" s="83"/>
      <c r="AH914" s="4"/>
      <c r="AI914" s="4"/>
      <c r="AJ914" s="449"/>
      <c r="AK914" s="449" t="s">
        <v>451</v>
      </c>
      <c r="AL914" s="449"/>
      <c r="AM914" s="449" t="s">
        <v>716</v>
      </c>
      <c r="AN914" s="10">
        <f>AN912+0.08</f>
        <v>5.36</v>
      </c>
      <c r="AO914" s="9"/>
      <c r="AP914" s="9"/>
      <c r="AQ914" s="9"/>
      <c r="AR914" s="9"/>
      <c r="AS914" s="9"/>
      <c r="AT914" s="9">
        <f>+ab($T$914,$T$912,$T$916,$G$913,$G$915, 1*$F$914,1200)</f>
        <v>-11.105068967354251</v>
      </c>
      <c r="AU914" s="428"/>
      <c r="AV914" s="428"/>
      <c r="AW914" s="449" t="s">
        <v>201</v>
      </c>
      <c r="AX914" s="449" t="s">
        <v>201</v>
      </c>
      <c r="AY914" s="10" t="str">
        <f>IF(L914="","",
IF(AX914="PT",VLOOKUP(L914,Foundation_Calc!$K$79:$R$113,VLOOKUP(AW914,Foundation_Calc!$I$2:$J$8,2,FALSE),0),
IF(AX914="K",VLOOKUP(L914,Foundation_Calc!$K$117:$R$151,VLOOKUP(AW914,Foundation_Calc!$I$2:$J$8,2,FALSE),0),"")))</f>
        <v/>
      </c>
      <c r="AZ914" s="10" t="str">
        <f>IF(K914="","",
IF(AX914="PT",VLOOKUP(K914,Foundation_Calc!$K$79:$R$113,VLOOKUP(AW914,Foundation_Calc!$I$2:$J$8,2,FALSE),0),
IF(AX914="K",VLOOKUP(K914,Foundation_Calc!$K$117:$R$151,VLOOKUP(AW914,Foundation_Calc!$I$2:$J$8,2,FALSE),0),"")))</f>
        <v/>
      </c>
      <c r="BA914" s="495" t="str">
        <f t="shared" si="119"/>
        <v/>
      </c>
      <c r="BB914" s="495" t="str">
        <f t="shared" si="120"/>
        <v/>
      </c>
      <c r="BC914" s="495" t="str">
        <f t="shared" si="121"/>
        <v/>
      </c>
      <c r="BD914" s="513"/>
      <c r="BE914" s="429" t="s">
        <v>118</v>
      </c>
      <c r="BF914" s="289"/>
      <c r="BG914" s="289"/>
      <c r="BH914" s="290"/>
      <c r="BI914" s="289"/>
    </row>
    <row r="915" spans="1:61" ht="15.75" customHeight="1">
      <c r="A915" s="734" t="s">
        <v>438</v>
      </c>
      <c r="B915" s="450"/>
      <c r="C915" s="3"/>
      <c r="D915" s="83"/>
      <c r="E915" s="4"/>
      <c r="F915" s="4"/>
      <c r="G915" s="6">
        <v>43</v>
      </c>
      <c r="H915" s="449"/>
      <c r="I915" s="4"/>
      <c r="J915" s="3"/>
      <c r="K915" s="449"/>
      <c r="L915" s="449"/>
      <c r="M915" s="449" t="str">
        <f>IF(L915="","",
IF(AX915="PT",VLOOKUP(L915,Foundation_Calc!$V$79:$X$113,VLOOKUP(AX915,Foundation_Calc!$I$10:$J$13,2,FALSE),0),
IF(AX915="K",VLOOKUP(L915,Foundation_Calc!$V$117:$X$151,VLOOKUP(AX915,Foundation_Calc!$I$10:$J$13,2,FALSE),0),"")))</f>
        <v/>
      </c>
      <c r="N915" s="449"/>
      <c r="O915" s="449"/>
      <c r="P915" s="449"/>
      <c r="Q915" s="4"/>
      <c r="R915" s="6"/>
      <c r="S915" s="6"/>
      <c r="T915" s="4"/>
      <c r="U915" s="4"/>
      <c r="V915" s="4"/>
      <c r="W915" s="572"/>
      <c r="X915" s="9"/>
      <c r="Y915" s="9"/>
      <c r="Z915" s="9"/>
      <c r="AA915" s="9"/>
      <c r="AB915" s="9"/>
      <c r="AC915" s="449" t="str">
        <f t="shared" si="118"/>
        <v/>
      </c>
      <c r="AD915" s="449"/>
      <c r="AE915" s="449"/>
      <c r="AF915" s="4"/>
      <c r="AG915" s="83"/>
      <c r="AH915" s="4"/>
      <c r="AI915" s="4"/>
      <c r="AJ915" s="449"/>
      <c r="AK915" s="449"/>
      <c r="AL915" s="449"/>
      <c r="AM915" s="449"/>
      <c r="AN915" s="10"/>
      <c r="AO915" s="9"/>
      <c r="AP915" s="9"/>
      <c r="AQ915" s="9">
        <f>+FL_1($T$916,$T$914,$G$915,1200,9.28, 1*$F$916)</f>
        <v>0.23468489541085272</v>
      </c>
      <c r="AR915" s="9"/>
      <c r="AS915" s="9"/>
      <c r="AT915" s="9"/>
      <c r="AU915" s="428"/>
      <c r="AV915" s="428"/>
      <c r="AW915" s="449" t="s">
        <v>1411</v>
      </c>
      <c r="AX915" s="449"/>
      <c r="AY915" s="10" t="str">
        <f>IF(L915="","",
IF(AX915="PT",VLOOKUP(L915,Foundation_Calc!$K$79:$R$113,VLOOKUP(AW915,Foundation_Calc!$I$2:$J$8,2,FALSE),0),
IF(AX915="K",VLOOKUP(L915,Foundation_Calc!$K$117:$R$151,VLOOKUP(AW915,Foundation_Calc!$I$2:$J$8,2,FALSE),0),"")))</f>
        <v/>
      </c>
      <c r="AZ915" s="10" t="str">
        <f>IF(K915="","",
IF(AX915="PT",VLOOKUP(K915,Foundation_Calc!$K$79:$R$113,VLOOKUP(AW915,Foundation_Calc!$I$2:$J$8,2,FALSE),0),
IF(AX915="K",VLOOKUP(K915,Foundation_Calc!$K$117:$R$151,VLOOKUP(AW915,Foundation_Calc!$I$2:$J$8,2,FALSE),0),"")))</f>
        <v/>
      </c>
      <c r="BA915" s="495" t="str">
        <f t="shared" si="119"/>
        <v/>
      </c>
      <c r="BB915" s="495" t="str">
        <f t="shared" si="120"/>
        <v/>
      </c>
      <c r="BC915" s="495" t="str">
        <f t="shared" si="121"/>
        <v/>
      </c>
      <c r="BD915" s="513"/>
      <c r="BE915" s="429" t="s">
        <v>118</v>
      </c>
      <c r="BF915" s="290"/>
      <c r="BG915" s="290"/>
      <c r="BH915" s="290"/>
      <c r="BI915" s="290"/>
    </row>
    <row r="916" spans="1:61" ht="15.75" customHeight="1">
      <c r="A916" s="517" t="s">
        <v>438</v>
      </c>
      <c r="B916" s="450" t="s">
        <v>1416</v>
      </c>
      <c r="C916" s="3">
        <f>+$C$914+$G$915</f>
        <v>52016.900000000016</v>
      </c>
      <c r="D916" s="83"/>
      <c r="E916" s="4"/>
      <c r="F916" s="4">
        <v>0</v>
      </c>
      <c r="G916" s="6"/>
      <c r="H916" s="449"/>
      <c r="I916" s="4"/>
      <c r="J916" s="3"/>
      <c r="K916" s="449"/>
      <c r="L916" s="449" t="s">
        <v>201</v>
      </c>
      <c r="M916" s="449" t="str">
        <f>IF(L916="","",
IF(AX916="PT",VLOOKUP(L916,Foundation_Calc!$V$79:$X$113,VLOOKUP(AX916,Foundation_Calc!$I$10:$J$13,2,FALSE),0),
IF(AX916="K",VLOOKUP(L916,Foundation_Calc!$V$117:$X$151,VLOOKUP(AX916,Foundation_Calc!$I$10:$J$13,2,FALSE),0),"")))</f>
        <v/>
      </c>
      <c r="N916" s="449" t="s">
        <v>453</v>
      </c>
      <c r="O916" s="449"/>
      <c r="P916" s="449"/>
      <c r="Q916" s="4"/>
      <c r="R916" s="6"/>
      <c r="S916" s="6"/>
      <c r="T916" s="4">
        <v>20</v>
      </c>
      <c r="U916" s="4"/>
      <c r="V916" s="4"/>
      <c r="W916" s="572">
        <v>1.2</v>
      </c>
      <c r="X916" s="9"/>
      <c r="Y916" s="9"/>
      <c r="Z916" s="9"/>
      <c r="AA916" s="9"/>
      <c r="AB916" s="9"/>
      <c r="AC916" s="449" t="str">
        <f t="shared" si="118"/>
        <v>PH</v>
      </c>
      <c r="AD916" s="449"/>
      <c r="AE916" s="449"/>
      <c r="AF916" s="4"/>
      <c r="AG916" s="83"/>
      <c r="AH916" s="4"/>
      <c r="AI916" s="4"/>
      <c r="AJ916" s="449"/>
      <c r="AK916" s="449" t="s">
        <v>451</v>
      </c>
      <c r="AL916" s="449"/>
      <c r="AM916" s="449" t="s">
        <v>716</v>
      </c>
      <c r="AN916" s="10">
        <f>AN918-0.06</f>
        <v>5.44</v>
      </c>
      <c r="AO916" s="9"/>
      <c r="AP916" s="9"/>
      <c r="AQ916" s="9"/>
      <c r="AR916" s="9"/>
      <c r="AS916" s="9"/>
      <c r="AT916" s="9">
        <f>+ab($T$916,$T$914,$T$918,$G$915,$G$917, 1*$F$916,1200)</f>
        <v>10.648300052390752</v>
      </c>
      <c r="AU916" s="428"/>
      <c r="AV916" s="428"/>
      <c r="AW916" s="449" t="s">
        <v>201</v>
      </c>
      <c r="AX916" s="449" t="s">
        <v>201</v>
      </c>
      <c r="AY916" s="10" t="str">
        <f>IF(L916="","",
IF(AX916="PT",VLOOKUP(L916,Foundation_Calc!$K$79:$R$113,VLOOKUP(AW916,Foundation_Calc!$I$2:$J$8,2,FALSE),0),
IF(AX916="K",VLOOKUP(L916,Foundation_Calc!$K$117:$R$151,VLOOKUP(AW916,Foundation_Calc!$I$2:$J$8,2,FALSE),0),"")))</f>
        <v/>
      </c>
      <c r="AZ916" s="10" t="str">
        <f>IF(K916="","",
IF(AX916="PT",VLOOKUP(K916,Foundation_Calc!$K$79:$R$113,VLOOKUP(AW916,Foundation_Calc!$I$2:$J$8,2,FALSE),0),
IF(AX916="K",VLOOKUP(K916,Foundation_Calc!$K$117:$R$151,VLOOKUP(AW916,Foundation_Calc!$I$2:$J$8,2,FALSE),0),"")))</f>
        <v/>
      </c>
      <c r="BA916" s="495" t="str">
        <f t="shared" si="119"/>
        <v/>
      </c>
      <c r="BB916" s="495" t="str">
        <f t="shared" si="120"/>
        <v/>
      </c>
      <c r="BC916" s="495" t="str">
        <f t="shared" si="121"/>
        <v/>
      </c>
      <c r="BD916" s="513"/>
      <c r="BE916" s="429" t="s">
        <v>118</v>
      </c>
      <c r="BF916" s="289"/>
      <c r="BG916" s="289"/>
      <c r="BH916" s="290"/>
      <c r="BI916" s="289"/>
    </row>
    <row r="917" spans="1:61" ht="15.75" customHeight="1">
      <c r="A917" s="732" t="s">
        <v>724</v>
      </c>
      <c r="B917" s="722"/>
      <c r="C917" s="723"/>
      <c r="D917" s="724"/>
      <c r="E917" s="725"/>
      <c r="F917" s="725"/>
      <c r="G917" s="726">
        <v>47</v>
      </c>
      <c r="H917" s="727"/>
      <c r="I917" s="725"/>
      <c r="J917" s="723"/>
      <c r="K917" s="727"/>
      <c r="L917" s="727"/>
      <c r="M917" s="727" t="str">
        <f>IF(L917="","",
IF(AX917="PT",VLOOKUP(L917,Foundation_Calc!$V$79:$X$113,VLOOKUP(AX917,Foundation_Calc!$I$10:$J$13,2,FALSE),0),
IF(AX917="K",VLOOKUP(L917,Foundation_Calc!$V$117:$X$151,VLOOKUP(AX917,Foundation_Calc!$I$10:$J$13,2,FALSE),0),"")))</f>
        <v/>
      </c>
      <c r="N917" s="727"/>
      <c r="O917" s="727"/>
      <c r="P917" s="727"/>
      <c r="Q917" s="725"/>
      <c r="R917" s="726"/>
      <c r="S917" s="726"/>
      <c r="T917" s="725"/>
      <c r="U917" s="725"/>
      <c r="V917" s="725"/>
      <c r="W917" s="728"/>
      <c r="X917" s="728"/>
      <c r="Y917" s="728"/>
      <c r="Z917" s="728"/>
      <c r="AA917" s="728"/>
      <c r="AB917" s="728"/>
      <c r="AC917" s="727" t="str">
        <f t="shared" si="118"/>
        <v/>
      </c>
      <c r="AD917" s="727"/>
      <c r="AE917" s="727"/>
      <c r="AF917" s="725"/>
      <c r="AG917" s="724"/>
      <c r="AH917" s="725"/>
      <c r="AI917" s="725"/>
      <c r="AJ917" s="727"/>
      <c r="AK917" s="727"/>
      <c r="AL917" s="727"/>
      <c r="AM917" s="727"/>
      <c r="AN917" s="729"/>
      <c r="AO917" s="728"/>
      <c r="AP917" s="728"/>
      <c r="AQ917" s="728">
        <f>+FL_1($T$918,$T$916,$G$917,1200,9.28, 1*$F$918)</f>
        <v>0.26036702232624115</v>
      </c>
      <c r="AR917" s="728"/>
      <c r="AS917" s="728"/>
      <c r="AT917" s="728"/>
      <c r="AU917" s="730"/>
      <c r="AV917" s="730"/>
      <c r="AW917" s="727" t="s">
        <v>1411</v>
      </c>
      <c r="AX917" s="727"/>
      <c r="AY917" s="729" t="str">
        <f>IF(L917="","",
IF(AX917="PT",VLOOKUP(L917,Foundation_Calc!$K$79:$R$113,VLOOKUP(AW917,Foundation_Calc!$I$2:$J$8,2,FALSE),0),
IF(AX917="K",VLOOKUP(L917,Foundation_Calc!$K$117:$R$151,VLOOKUP(AW917,Foundation_Calc!$I$2:$J$8,2,FALSE),0),"")))</f>
        <v/>
      </c>
      <c r="AZ917" s="729" t="str">
        <f>IF(K917="","",
IF(AX917="PT",VLOOKUP(K917,Foundation_Calc!$K$79:$R$113,VLOOKUP(AW917,Foundation_Calc!$I$2:$J$8,2,FALSE),0),
IF(AX917="K",VLOOKUP(K917,Foundation_Calc!$K$117:$R$151,VLOOKUP(AW917,Foundation_Calc!$I$2:$J$8,2,FALSE),0),"")))</f>
        <v/>
      </c>
      <c r="BA917" s="495" t="str">
        <f t="shared" si="119"/>
        <v/>
      </c>
      <c r="BB917" s="495" t="str">
        <f t="shared" si="120"/>
        <v/>
      </c>
      <c r="BC917" s="495" t="str">
        <f t="shared" si="121"/>
        <v/>
      </c>
      <c r="BD917" s="513"/>
      <c r="BE917" s="429" t="s">
        <v>118</v>
      </c>
      <c r="BF917" s="290"/>
      <c r="BG917" s="290"/>
      <c r="BH917" s="290"/>
      <c r="BI917" s="290"/>
    </row>
    <row r="918" spans="1:61" ht="15.75" customHeight="1">
      <c r="A918" s="518" t="s">
        <v>438</v>
      </c>
      <c r="B918" s="450" t="s">
        <v>1417</v>
      </c>
      <c r="C918" s="3">
        <f>+$C$916+$G$917</f>
        <v>52063.900000000016</v>
      </c>
      <c r="D918" s="83"/>
      <c r="E918" s="4"/>
      <c r="F918" s="4">
        <v>0</v>
      </c>
      <c r="G918" s="6"/>
      <c r="H918" s="449"/>
      <c r="I918" s="4"/>
      <c r="J918" s="3"/>
      <c r="K918" s="449"/>
      <c r="L918" s="449" t="s">
        <v>201</v>
      </c>
      <c r="M918" s="449" t="str">
        <f>IF(L918="","",
IF(AX918="PT",VLOOKUP(L918,Foundation_Calc!$V$79:$X$113,VLOOKUP(AX918,Foundation_Calc!$I$10:$J$13,2,FALSE),0),
IF(AX918="K",VLOOKUP(L918,Foundation_Calc!$V$117:$X$151,VLOOKUP(AX918,Foundation_Calc!$I$10:$J$13,2,FALSE),0),"")))</f>
        <v/>
      </c>
      <c r="N918" s="449" t="s">
        <v>343</v>
      </c>
      <c r="O918" s="449"/>
      <c r="P918" s="449"/>
      <c r="Q918" s="4"/>
      <c r="R918" s="6"/>
      <c r="S918" s="6"/>
      <c r="T918" s="4">
        <v>-20</v>
      </c>
      <c r="U918" s="4"/>
      <c r="V918" s="4"/>
      <c r="W918" s="572">
        <v>1.1000000000000001</v>
      </c>
      <c r="X918" s="9"/>
      <c r="Y918" s="9"/>
      <c r="Z918" s="9"/>
      <c r="AA918" s="9"/>
      <c r="AB918" s="9"/>
      <c r="AC918" s="449" t="str">
        <f t="shared" si="118"/>
        <v>PH</v>
      </c>
      <c r="AD918" s="449"/>
      <c r="AE918" s="449"/>
      <c r="AF918" s="4"/>
      <c r="AG918" s="83"/>
      <c r="AH918" s="4"/>
      <c r="AI918" s="4"/>
      <c r="AJ918" s="449"/>
      <c r="AK918" s="449" t="s">
        <v>451</v>
      </c>
      <c r="AL918" s="449"/>
      <c r="AM918" s="449" t="s">
        <v>716</v>
      </c>
      <c r="AN918" s="10">
        <v>5.5</v>
      </c>
      <c r="AO918" s="9"/>
      <c r="AP918" s="9"/>
      <c r="AQ918" s="9"/>
      <c r="AR918" s="9"/>
      <c r="AS918" s="9"/>
      <c r="AT918" s="9">
        <f>+ab($T$918,$T$916,$T$920,$G$917,$G$919, 1*$F$918,1200)</f>
        <v>-11.931257292461789</v>
      </c>
      <c r="AU918" s="428"/>
      <c r="AV918" s="428"/>
      <c r="AW918" s="449" t="s">
        <v>201</v>
      </c>
      <c r="AX918" s="449" t="s">
        <v>201</v>
      </c>
      <c r="AY918" s="10" t="str">
        <f>IF(L918="","",
IF(AX918="PT",VLOOKUP(L918,Foundation_Calc!$K$79:$R$113,VLOOKUP(AW918,Foundation_Calc!$I$2:$J$8,2,FALSE),0),
IF(AX918="K",VLOOKUP(L918,Foundation_Calc!$K$117:$R$151,VLOOKUP(AW918,Foundation_Calc!$I$2:$J$8,2,FALSE),0),"")))</f>
        <v/>
      </c>
      <c r="AZ918" s="10" t="str">
        <f>IF(K918="","",
IF(AX918="PT",VLOOKUP(K918,Foundation_Calc!$K$79:$R$113,VLOOKUP(AW918,Foundation_Calc!$I$2:$J$8,2,FALSE),0),
IF(AX918="K",VLOOKUP(K918,Foundation_Calc!$K$117:$R$151,VLOOKUP(AW918,Foundation_Calc!$I$2:$J$8,2,FALSE),0),"")))</f>
        <v/>
      </c>
      <c r="BA918" s="495" t="str">
        <f t="shared" si="119"/>
        <v/>
      </c>
      <c r="BB918" s="495" t="str">
        <f t="shared" si="120"/>
        <v/>
      </c>
      <c r="BC918" s="495" t="str">
        <f t="shared" si="121"/>
        <v/>
      </c>
      <c r="BD918" s="513"/>
      <c r="BE918" s="429" t="s">
        <v>118</v>
      </c>
      <c r="BF918" s="289"/>
      <c r="BG918" s="289"/>
      <c r="BH918" s="290"/>
      <c r="BI918" s="289"/>
    </row>
    <row r="919" spans="1:61" ht="15.75" customHeight="1">
      <c r="A919" s="514" t="s">
        <v>413</v>
      </c>
      <c r="B919" s="450"/>
      <c r="C919" s="3"/>
      <c r="D919" s="83"/>
      <c r="E919" s="4"/>
      <c r="F919" s="4"/>
      <c r="G919" s="6">
        <v>54.5</v>
      </c>
      <c r="H919" s="449"/>
      <c r="I919" s="4"/>
      <c r="J919" s="3"/>
      <c r="K919" s="449"/>
      <c r="L919" s="449"/>
      <c r="M919" s="449" t="str">
        <f>IF(L919="","",
IF(AX919="PT",VLOOKUP(L919,Foundation_Calc!$V$79:$X$113,VLOOKUP(AX919,Foundation_Calc!$I$10:$J$13,2,FALSE),0),
IF(AX919="K",VLOOKUP(L919,Foundation_Calc!$V$117:$X$151,VLOOKUP(AX919,Foundation_Calc!$I$10:$J$13,2,FALSE),0),"")))</f>
        <v/>
      </c>
      <c r="N919" s="449"/>
      <c r="O919" s="561"/>
      <c r="P919" s="449"/>
      <c r="Q919" s="4"/>
      <c r="R919" s="6"/>
      <c r="S919" s="6"/>
      <c r="T919" s="4"/>
      <c r="U919" s="4"/>
      <c r="V919" s="4"/>
      <c r="W919" s="572"/>
      <c r="X919" s="9"/>
      <c r="Y919" s="9"/>
      <c r="Z919" s="9"/>
      <c r="AA919" s="9"/>
      <c r="AB919" s="9"/>
      <c r="AC919" s="449" t="str">
        <f t="shared" si="118"/>
        <v/>
      </c>
      <c r="AD919" s="449"/>
      <c r="AE919" s="449"/>
      <c r="AF919" s="4"/>
      <c r="AG919" s="83"/>
      <c r="AH919" s="4"/>
      <c r="AI919" s="4"/>
      <c r="AJ919" s="449"/>
      <c r="AK919" s="449"/>
      <c r="AL919" s="449"/>
      <c r="AM919" s="449"/>
      <c r="AN919" s="10"/>
      <c r="AO919" s="9"/>
      <c r="AP919" s="9"/>
      <c r="AQ919" s="9">
        <f>+FL_1($T$920,$T$918,$G$919,1200,9.28, 1*$F$920)</f>
        <v>0.32195230414678894</v>
      </c>
      <c r="AR919" s="9"/>
      <c r="AS919" s="9"/>
      <c r="AT919" s="9"/>
      <c r="AU919" s="428"/>
      <c r="AV919" s="428"/>
      <c r="AW919" s="449" t="s">
        <v>1411</v>
      </c>
      <c r="AX919" s="449"/>
      <c r="AY919" s="10" t="str">
        <f>IF(L919="","",
IF(AX919="PT",VLOOKUP(L919,Foundation_Calc!$K$79:$R$113,VLOOKUP(AW919,Foundation_Calc!$I$2:$J$8,2,FALSE),0),
IF(AX919="K",VLOOKUP(L919,Foundation_Calc!$K$117:$R$151,VLOOKUP(AW919,Foundation_Calc!$I$2:$J$8,2,FALSE),0),"")))</f>
        <v/>
      </c>
      <c r="AZ919" s="10" t="str">
        <f>IF(K919="","",
IF(AX919="PT",VLOOKUP(K919,Foundation_Calc!$K$79:$R$113,VLOOKUP(AW919,Foundation_Calc!$I$2:$J$8,2,FALSE),0),
IF(AX919="K",VLOOKUP(K919,Foundation_Calc!$K$117:$R$151,VLOOKUP(AW919,Foundation_Calc!$I$2:$J$8,2,FALSE),0),"")))</f>
        <v/>
      </c>
      <c r="BA919" s="495" t="str">
        <f t="shared" si="119"/>
        <v/>
      </c>
      <c r="BB919" s="495" t="str">
        <f t="shared" si="120"/>
        <v/>
      </c>
      <c r="BC919" s="495" t="str">
        <f t="shared" si="121"/>
        <v/>
      </c>
      <c r="BD919" s="513"/>
      <c r="BE919" s="429" t="s">
        <v>118</v>
      </c>
      <c r="BF919" s="290"/>
      <c r="BG919" s="290"/>
      <c r="BH919" s="290"/>
      <c r="BI919" s="290"/>
    </row>
    <row r="920" spans="1:61" ht="15.75" customHeight="1">
      <c r="A920" s="517" t="s">
        <v>438</v>
      </c>
      <c r="B920" s="450" t="s">
        <v>1418</v>
      </c>
      <c r="C920" s="3">
        <f>+$C$918+$G$919</f>
        <v>52118.400000000016</v>
      </c>
      <c r="D920" s="83"/>
      <c r="E920" s="4"/>
      <c r="F920" s="4">
        <v>0</v>
      </c>
      <c r="G920" s="6"/>
      <c r="H920" s="449"/>
      <c r="I920" s="4"/>
      <c r="J920" s="3"/>
      <c r="K920" s="449"/>
      <c r="L920" s="449" t="s">
        <v>201</v>
      </c>
      <c r="M920" s="449" t="str">
        <f>IF(L920="","",
IF(AX920="PT",VLOOKUP(L920,Foundation_Calc!$V$79:$X$113,VLOOKUP(AX920,Foundation_Calc!$I$10:$J$13,2,FALSE),0),
IF(AX920="K",VLOOKUP(L920,Foundation_Calc!$V$117:$X$151,VLOOKUP(AX920,Foundation_Calc!$I$10:$J$13,2,FALSE),0),"")))</f>
        <v/>
      </c>
      <c r="N920" s="449" t="s">
        <v>453</v>
      </c>
      <c r="O920" s="449"/>
      <c r="P920" s="449"/>
      <c r="Q920" s="4"/>
      <c r="R920" s="6"/>
      <c r="S920" s="6"/>
      <c r="T920" s="4">
        <v>20</v>
      </c>
      <c r="U920" s="4"/>
      <c r="V920" s="4"/>
      <c r="W920" s="572">
        <v>0.9</v>
      </c>
      <c r="X920" s="9"/>
      <c r="Y920" s="9"/>
      <c r="Z920" s="9"/>
      <c r="AA920" s="9"/>
      <c r="AB920" s="9"/>
      <c r="AC920" s="449" t="str">
        <f t="shared" si="118"/>
        <v>PH</v>
      </c>
      <c r="AD920" s="449"/>
      <c r="AE920" s="449"/>
      <c r="AF920" s="4"/>
      <c r="AG920" s="83"/>
      <c r="AH920" s="4"/>
      <c r="AI920" s="4"/>
      <c r="AJ920" s="449"/>
      <c r="AK920" s="449" t="s">
        <v>451</v>
      </c>
      <c r="AL920" s="449"/>
      <c r="AM920" s="449" t="s">
        <v>716</v>
      </c>
      <c r="AN920" s="10">
        <v>5.5</v>
      </c>
      <c r="AO920" s="9"/>
      <c r="AP920" s="9"/>
      <c r="AQ920" s="9"/>
      <c r="AR920" s="9"/>
      <c r="AS920" s="9"/>
      <c r="AT920" s="9">
        <f>+ab($T$920,$T$918,$T$922,$G$919,$G$921, 1*$F$920,1200)</f>
        <v>11.660794827536824</v>
      </c>
      <c r="AU920" s="428"/>
      <c r="AV920" s="428"/>
      <c r="AW920" s="449" t="s">
        <v>201</v>
      </c>
      <c r="AX920" s="449" t="s">
        <v>201</v>
      </c>
      <c r="AY920" s="10" t="str">
        <f>IF(L920="","",
IF(AX920="PT",VLOOKUP(L920,Foundation_Calc!$K$79:$R$113,VLOOKUP(AW920,Foundation_Calc!$I$2:$J$8,2,FALSE),0),
IF(AX920="K",VLOOKUP(L920,Foundation_Calc!$K$117:$R$151,VLOOKUP(AW920,Foundation_Calc!$I$2:$J$8,2,FALSE),0),"")))</f>
        <v/>
      </c>
      <c r="AZ920" s="10" t="str">
        <f>IF(K920="","",
IF(AX920="PT",VLOOKUP(K920,Foundation_Calc!$K$79:$R$113,VLOOKUP(AW920,Foundation_Calc!$I$2:$J$8,2,FALSE),0),
IF(AX920="K",VLOOKUP(K920,Foundation_Calc!$K$117:$R$151,VLOOKUP(AW920,Foundation_Calc!$I$2:$J$8,2,FALSE),0),"")))</f>
        <v/>
      </c>
      <c r="BA920" s="495" t="str">
        <f t="shared" si="119"/>
        <v/>
      </c>
      <c r="BB920" s="495" t="str">
        <f t="shared" si="120"/>
        <v/>
      </c>
      <c r="BC920" s="495" t="str">
        <f t="shared" si="121"/>
        <v/>
      </c>
      <c r="BD920" s="513"/>
      <c r="BE920" s="429" t="s">
        <v>118</v>
      </c>
      <c r="BF920" s="289"/>
      <c r="BG920" s="289"/>
      <c r="BH920" s="290"/>
      <c r="BI920" s="289"/>
    </row>
    <row r="921" spans="1:61" ht="15.75" customHeight="1">
      <c r="A921" s="518" t="s">
        <v>430</v>
      </c>
      <c r="B921" s="450"/>
      <c r="C921" s="3"/>
      <c r="D921" s="83"/>
      <c r="E921" s="4"/>
      <c r="F921" s="4"/>
      <c r="G921" s="6">
        <v>45</v>
      </c>
      <c r="H921" s="449"/>
      <c r="I921" s="4"/>
      <c r="J921" s="3"/>
      <c r="K921" s="449"/>
      <c r="L921" s="449"/>
      <c r="M921" s="449" t="str">
        <f>IF(L921="","",
IF(AX921="PT",VLOOKUP(L921,Foundation_Calc!$V$79:$X$113,VLOOKUP(AX921,Foundation_Calc!$I$10:$J$13,2,FALSE),0),
IF(AX921="K",VLOOKUP(L921,Foundation_Calc!$V$117:$X$151,VLOOKUP(AX921,Foundation_Calc!$I$10:$J$13,2,FALSE),0),"")))</f>
        <v/>
      </c>
      <c r="N921" s="449"/>
      <c r="O921" s="449"/>
      <c r="P921" s="449"/>
      <c r="Q921" s="4"/>
      <c r="R921" s="6"/>
      <c r="S921" s="6"/>
      <c r="T921" s="4"/>
      <c r="U921" s="4"/>
      <c r="V921" s="4"/>
      <c r="W921" s="572"/>
      <c r="X921" s="9"/>
      <c r="Y921" s="9"/>
      <c r="Z921" s="9"/>
      <c r="AA921" s="9"/>
      <c r="AB921" s="9"/>
      <c r="AC921" s="449" t="str">
        <f t="shared" si="118"/>
        <v/>
      </c>
      <c r="AD921" s="449"/>
      <c r="AE921" s="449"/>
      <c r="AF921" s="4"/>
      <c r="AG921" s="83"/>
      <c r="AH921" s="4"/>
      <c r="AI921" s="4"/>
      <c r="AJ921" s="449"/>
      <c r="AK921" s="449"/>
      <c r="AL921" s="449"/>
      <c r="AM921" s="449"/>
      <c r="AN921" s="10"/>
      <c r="AO921" s="9"/>
      <c r="AP921" s="9"/>
      <c r="AQ921" s="9">
        <f>+FL_1($T$922,$T$920,$G$921,1200,9.28, 1*$F$922)</f>
        <v>0.24683556133333331</v>
      </c>
      <c r="AR921" s="9"/>
      <c r="AS921" s="9"/>
      <c r="AT921" s="9"/>
      <c r="AU921" s="428"/>
      <c r="AV921" s="428"/>
      <c r="AW921" s="449" t="s">
        <v>1411</v>
      </c>
      <c r="AX921" s="449"/>
      <c r="AY921" s="10" t="str">
        <f>IF(L921="","",
IF(AX921="PT",VLOOKUP(L921,Foundation_Calc!$K$79:$R$113,VLOOKUP(AW921,Foundation_Calc!$I$2:$J$8,2,FALSE),0),
IF(AX921="K",VLOOKUP(L921,Foundation_Calc!$K$117:$R$151,VLOOKUP(AW921,Foundation_Calc!$I$2:$J$8,2,FALSE),0),"")))</f>
        <v/>
      </c>
      <c r="AZ921" s="10" t="str">
        <f>IF(K921="","",
IF(AX921="PT",VLOOKUP(K921,Foundation_Calc!$K$79:$R$113,VLOOKUP(AW921,Foundation_Calc!$I$2:$J$8,2,FALSE),0),
IF(AX921="K",VLOOKUP(K921,Foundation_Calc!$K$117:$R$151,VLOOKUP(AW921,Foundation_Calc!$I$2:$J$8,2,FALSE),0),"")))</f>
        <v/>
      </c>
      <c r="BA921" s="495" t="str">
        <f t="shared" si="119"/>
        <v/>
      </c>
      <c r="BB921" s="495" t="str">
        <f t="shared" si="120"/>
        <v/>
      </c>
      <c r="BC921" s="495" t="str">
        <f t="shared" si="121"/>
        <v/>
      </c>
      <c r="BD921" s="513"/>
      <c r="BE921" s="429" t="s">
        <v>118</v>
      </c>
      <c r="BF921" s="290"/>
      <c r="BG921" s="290"/>
      <c r="BH921" s="290"/>
      <c r="BI921" s="290"/>
    </row>
    <row r="922" spans="1:61" ht="15.75" customHeight="1">
      <c r="A922" s="517" t="s">
        <v>438</v>
      </c>
      <c r="B922" s="450" t="s">
        <v>1419</v>
      </c>
      <c r="C922" s="3">
        <f>+$C$920+$G$921</f>
        <v>52163.400000000016</v>
      </c>
      <c r="D922" s="83"/>
      <c r="E922" s="4"/>
      <c r="F922" s="4">
        <v>0</v>
      </c>
      <c r="G922" s="6"/>
      <c r="H922" s="449"/>
      <c r="I922" s="4"/>
      <c r="J922" s="3"/>
      <c r="K922" s="449"/>
      <c r="L922" s="449" t="s">
        <v>201</v>
      </c>
      <c r="M922" s="449" t="str">
        <f>IF(L922="","",
IF(AX922="PT",VLOOKUP(L922,Foundation_Calc!$V$79:$X$113,VLOOKUP(AX922,Foundation_Calc!$I$10:$J$13,2,FALSE),0),
IF(AX922="K",VLOOKUP(L922,Foundation_Calc!$V$117:$X$151,VLOOKUP(AX922,Foundation_Calc!$I$10:$J$13,2,FALSE),0),"")))</f>
        <v/>
      </c>
      <c r="N922" s="449" t="s">
        <v>343</v>
      </c>
      <c r="O922" s="449"/>
      <c r="P922" s="449"/>
      <c r="Q922" s="4"/>
      <c r="R922" s="6"/>
      <c r="S922" s="6"/>
      <c r="T922" s="4">
        <v>-20</v>
      </c>
      <c r="U922" s="4"/>
      <c r="V922" s="4"/>
      <c r="W922" s="572">
        <v>0.9</v>
      </c>
      <c r="X922" s="9"/>
      <c r="Y922" s="9"/>
      <c r="Z922" s="9"/>
      <c r="AA922" s="9"/>
      <c r="AB922" s="9"/>
      <c r="AC922" s="449" t="str">
        <f t="shared" si="118"/>
        <v>PH</v>
      </c>
      <c r="AD922" s="449"/>
      <c r="AE922" s="449"/>
      <c r="AF922" s="4"/>
      <c r="AG922" s="83"/>
      <c r="AH922" s="4"/>
      <c r="AI922" s="4"/>
      <c r="AJ922" s="449"/>
      <c r="AK922" s="449" t="s">
        <v>451</v>
      </c>
      <c r="AL922" s="449"/>
      <c r="AM922" s="449" t="s">
        <v>716</v>
      </c>
      <c r="AN922" s="10">
        <v>5.5</v>
      </c>
      <c r="AO922" s="9"/>
      <c r="AP922" s="9"/>
      <c r="AQ922" s="9"/>
      <c r="AR922" s="9"/>
      <c r="AS922" s="9"/>
      <c r="AT922" s="9">
        <f>+ab($T$922,$T$920,$T$924,$G$921,$G$923, 1*$F$922,1200)</f>
        <v>-10.668944741495741</v>
      </c>
      <c r="AU922" s="428"/>
      <c r="AV922" s="428"/>
      <c r="AW922" s="449" t="s">
        <v>201</v>
      </c>
      <c r="AX922" s="449" t="s">
        <v>201</v>
      </c>
      <c r="AY922" s="10" t="str">
        <f>IF(L922="","",
IF(AX922="PT",VLOOKUP(L922,Foundation_Calc!$K$79:$R$113,VLOOKUP(AW922,Foundation_Calc!$I$2:$J$8,2,FALSE),0),
IF(AX922="K",VLOOKUP(L922,Foundation_Calc!$K$117:$R$151,VLOOKUP(AW922,Foundation_Calc!$I$2:$J$8,2,FALSE),0),"")))</f>
        <v/>
      </c>
      <c r="AZ922" s="10" t="str">
        <f>IF(K922="","",
IF(AX922="PT",VLOOKUP(K922,Foundation_Calc!$K$79:$R$113,VLOOKUP(AW922,Foundation_Calc!$I$2:$J$8,2,FALSE),0),
IF(AX922="K",VLOOKUP(K922,Foundation_Calc!$K$117:$R$151,VLOOKUP(AW922,Foundation_Calc!$I$2:$J$8,2,FALSE),0),"")))</f>
        <v/>
      </c>
      <c r="BA922" s="495" t="str">
        <f t="shared" si="119"/>
        <v/>
      </c>
      <c r="BB922" s="495" t="str">
        <f t="shared" si="120"/>
        <v/>
      </c>
      <c r="BC922" s="495" t="str">
        <f t="shared" si="121"/>
        <v/>
      </c>
      <c r="BD922" s="513"/>
      <c r="BE922" s="429" t="s">
        <v>118</v>
      </c>
      <c r="BF922" s="289"/>
      <c r="BG922" s="289"/>
      <c r="BH922" s="290"/>
      <c r="BI922" s="289"/>
    </row>
    <row r="923" spans="1:61" ht="15.75" customHeight="1">
      <c r="A923" s="517" t="s">
        <v>438</v>
      </c>
      <c r="B923" s="450"/>
      <c r="C923" s="3"/>
      <c r="D923" s="83"/>
      <c r="E923" s="4"/>
      <c r="F923" s="4"/>
      <c r="G923" s="6">
        <v>45</v>
      </c>
      <c r="H923" s="449"/>
      <c r="I923" s="4"/>
      <c r="J923" s="3"/>
      <c r="K923" s="449"/>
      <c r="L923" s="449"/>
      <c r="M923" s="449" t="str">
        <f>IF(L923="","",
IF(AX923="PT",VLOOKUP(L923,Foundation_Calc!$V$79:$X$113,VLOOKUP(AX923,Foundation_Calc!$I$10:$J$13,2,FALSE),0),
IF(AX923="K",VLOOKUP(L923,Foundation_Calc!$V$117:$X$151,VLOOKUP(AX923,Foundation_Calc!$I$10:$J$13,2,FALSE),0),"")))</f>
        <v/>
      </c>
      <c r="N923" s="449"/>
      <c r="O923" s="449"/>
      <c r="P923" s="449"/>
      <c r="Q923" s="4"/>
      <c r="R923" s="6"/>
      <c r="S923" s="6"/>
      <c r="T923" s="4"/>
      <c r="U923" s="4"/>
      <c r="V923" s="4"/>
      <c r="W923" s="572"/>
      <c r="X923" s="9"/>
      <c r="Y923" s="9"/>
      <c r="Z923" s="9"/>
      <c r="AA923" s="9"/>
      <c r="AB923" s="9"/>
      <c r="AC923" s="449" t="str">
        <f t="shared" ref="AC923:AC986" si="128">IF(OR(AT923&gt;8,AT923&lt;-8),"PH",
IF(OR(AT923&gt;5,AT923&lt;-5),"PHQ",
IF(OR(AT923&gt;1,AT923&lt;-1),
"PHC","")))</f>
        <v/>
      </c>
      <c r="AD923" s="449"/>
      <c r="AE923" s="449"/>
      <c r="AF923" s="4"/>
      <c r="AG923" s="83"/>
      <c r="AH923" s="4"/>
      <c r="AI923" s="4"/>
      <c r="AJ923" s="449"/>
      <c r="AK923" s="449"/>
      <c r="AL923" s="449"/>
      <c r="AM923" s="449"/>
      <c r="AN923" s="10"/>
      <c r="AO923" s="9"/>
      <c r="AP923" s="9"/>
      <c r="AQ923" s="9">
        <f>+FL_1($T$924,$T$922,$G$923,1200,9.28, 1*$F$924)</f>
        <v>0.24683556133333334</v>
      </c>
      <c r="AR923" s="9"/>
      <c r="AS923" s="9"/>
      <c r="AT923" s="9"/>
      <c r="AU923" s="428"/>
      <c r="AV923" s="428"/>
      <c r="AW923" s="449" t="s">
        <v>1411</v>
      </c>
      <c r="AX923" s="449"/>
      <c r="AY923" s="10" t="str">
        <f>IF(L923="","",
IF(AX923="PT",VLOOKUP(L923,Foundation_Calc!$K$79:$R$113,VLOOKUP(AW923,Foundation_Calc!$I$2:$J$8,2,FALSE),0),
IF(AX923="K",VLOOKUP(L923,Foundation_Calc!$K$117:$R$151,VLOOKUP(AW923,Foundation_Calc!$I$2:$J$8,2,FALSE),0),"")))</f>
        <v/>
      </c>
      <c r="AZ923" s="10" t="str">
        <f>IF(K923="","",
IF(AX923="PT",VLOOKUP(K923,Foundation_Calc!$K$79:$R$113,VLOOKUP(AW923,Foundation_Calc!$I$2:$J$8,2,FALSE),0),
IF(AX923="K",VLOOKUP(K923,Foundation_Calc!$K$117:$R$151,VLOOKUP(AW923,Foundation_Calc!$I$2:$J$8,2,FALSE),0),"")))</f>
        <v/>
      </c>
      <c r="BA923" s="495" t="str">
        <f t="shared" si="119"/>
        <v/>
      </c>
      <c r="BB923" s="495" t="str">
        <f t="shared" si="120"/>
        <v/>
      </c>
      <c r="BC923" s="495" t="str">
        <f t="shared" si="121"/>
        <v/>
      </c>
      <c r="BD923" s="513" t="str">
        <f>IF(AND(L923="",H923=""),"",
IF(H923="",Pole_Calc!A$9,
IF(H923="MP",Pole_Calc!A$10,
IF(H923="AnMP",Pole_Calc!A$11,
IF(H923="A",Pole_Calc!A$12,
IF(H923="S/A",Pole_Calc!A$13,
IF(H923="A/S",Pole_Calc!A$14,"Poner a mano")))))))</f>
        <v/>
      </c>
      <c r="BE923" s="429" t="s">
        <v>118</v>
      </c>
      <c r="BF923" s="290"/>
      <c r="BG923" s="290"/>
      <c r="BH923" s="290"/>
      <c r="BI923" s="290"/>
    </row>
    <row r="924" spans="1:61" ht="15.75" customHeight="1">
      <c r="A924" s="517" t="s">
        <v>438</v>
      </c>
      <c r="B924" s="450" t="s">
        <v>1420</v>
      </c>
      <c r="C924" s="3">
        <f>+$C$922+$G$923</f>
        <v>52208.400000000016</v>
      </c>
      <c r="D924" s="83"/>
      <c r="E924" s="4"/>
      <c r="F924" s="4">
        <v>0</v>
      </c>
      <c r="G924" s="6"/>
      <c r="H924" s="449"/>
      <c r="I924" s="4"/>
      <c r="J924" s="3"/>
      <c r="K924" s="449"/>
      <c r="L924" s="449" t="s">
        <v>201</v>
      </c>
      <c r="M924" s="449" t="str">
        <f>IF(L924="","",
IF(AX924="PT",VLOOKUP(L924,Foundation_Calc!$V$79:$X$113,VLOOKUP(AX924,Foundation_Calc!$I$10:$J$13,2,FALSE),0),
IF(AX924="K",VLOOKUP(L924,Foundation_Calc!$V$117:$X$151,VLOOKUP(AX924,Foundation_Calc!$I$10:$J$13,2,FALSE),0),"")))</f>
        <v/>
      </c>
      <c r="N924" s="449" t="s">
        <v>453</v>
      </c>
      <c r="O924" s="449"/>
      <c r="P924" s="449"/>
      <c r="Q924" s="4"/>
      <c r="R924" s="6"/>
      <c r="S924" s="6"/>
      <c r="T924" s="4">
        <v>20</v>
      </c>
      <c r="U924" s="4"/>
      <c r="V924" s="4"/>
      <c r="W924" s="572">
        <v>1.1000000000000001</v>
      </c>
      <c r="X924" s="9"/>
      <c r="Y924" s="9"/>
      <c r="Z924" s="9"/>
      <c r="AA924" s="9"/>
      <c r="AB924" s="9"/>
      <c r="AC924" s="449" t="str">
        <f t="shared" si="128"/>
        <v>PH</v>
      </c>
      <c r="AD924" s="449"/>
      <c r="AE924" s="449"/>
      <c r="AF924" s="4"/>
      <c r="AG924" s="83"/>
      <c r="AH924" s="4"/>
      <c r="AI924" s="4"/>
      <c r="AJ924" s="449"/>
      <c r="AK924" s="449" t="s">
        <v>451</v>
      </c>
      <c r="AL924" s="449"/>
      <c r="AM924" s="449" t="s">
        <v>716</v>
      </c>
      <c r="AN924" s="10">
        <v>5.5</v>
      </c>
      <c r="AO924" s="9"/>
      <c r="AP924" s="9"/>
      <c r="AQ924" s="9"/>
      <c r="AR924" s="9"/>
      <c r="AS924" s="9"/>
      <c r="AT924" s="9">
        <f>+ab($T$924,$T$922,$T$926,$G$923,$G$925, 1*$F$924,1200)</f>
        <v>9.0259053215026128</v>
      </c>
      <c r="AU924" s="428"/>
      <c r="AV924" s="428"/>
      <c r="AW924" s="449" t="s">
        <v>201</v>
      </c>
      <c r="AX924" s="449" t="s">
        <v>201</v>
      </c>
      <c r="AY924" s="10" t="str">
        <f>IF(L924="","",
IF(AX924="PT",VLOOKUP(L924,Foundation_Calc!$K$79:$R$113,VLOOKUP(AW924,Foundation_Calc!$I$2:$J$8,2,FALSE),0),
IF(AX924="K",VLOOKUP(L924,Foundation_Calc!$K$117:$R$151,VLOOKUP(AW924,Foundation_Calc!$I$2:$J$8,2,FALSE),0),"")))</f>
        <v/>
      </c>
      <c r="AZ924" s="10" t="str">
        <f>IF(K924="","",
IF(AX924="PT",VLOOKUP(K924,Foundation_Calc!$K$79:$R$113,VLOOKUP(AW924,Foundation_Calc!$I$2:$J$8,2,FALSE),0),
IF(AX924="K",VLOOKUP(K924,Foundation_Calc!$K$117:$R$151,VLOOKUP(AW924,Foundation_Calc!$I$2:$J$8,2,FALSE),0),"")))</f>
        <v/>
      </c>
      <c r="BA924" s="495" t="str">
        <f t="shared" si="119"/>
        <v/>
      </c>
      <c r="BB924" s="495" t="str">
        <f t="shared" si="120"/>
        <v/>
      </c>
      <c r="BC924" s="495" t="str">
        <f t="shared" si="121"/>
        <v/>
      </c>
      <c r="BD924" s="513"/>
      <c r="BE924" s="429" t="s">
        <v>118</v>
      </c>
      <c r="BF924" s="289"/>
      <c r="BG924" s="289"/>
      <c r="BH924" s="290"/>
      <c r="BI924" s="289"/>
    </row>
    <row r="925" spans="1:61" ht="15.75" customHeight="1">
      <c r="A925" s="517" t="s">
        <v>438</v>
      </c>
      <c r="B925" s="450"/>
      <c r="C925" s="3"/>
      <c r="D925" s="83"/>
      <c r="E925" s="4"/>
      <c r="F925" s="4"/>
      <c r="G925" s="6">
        <v>41</v>
      </c>
      <c r="H925" s="449"/>
      <c r="I925" s="4">
        <f>SUM(G905:G925)</f>
        <v>485.6</v>
      </c>
      <c r="J925" s="3"/>
      <c r="K925" s="449"/>
      <c r="L925" s="449"/>
      <c r="M925" s="449" t="str">
        <f>IF(L925="","",
IF(AX925="PT",VLOOKUP(L925,Foundation_Calc!$V$79:$X$113,VLOOKUP(AX925,Foundation_Calc!$I$10:$J$13,2,FALSE),0),
IF(AX925="K",VLOOKUP(L925,Foundation_Calc!$V$117:$X$151,VLOOKUP(AX925,Foundation_Calc!$I$10:$J$13,2,FALSE),0),"")))</f>
        <v/>
      </c>
      <c r="N925" s="449"/>
      <c r="O925" s="561"/>
      <c r="P925" s="449"/>
      <c r="Q925" s="4"/>
      <c r="R925" s="6"/>
      <c r="S925" s="6"/>
      <c r="T925" s="4"/>
      <c r="U925" s="4"/>
      <c r="V925" s="4"/>
      <c r="W925" s="9"/>
      <c r="X925" s="9"/>
      <c r="Y925" s="9"/>
      <c r="Z925" s="9"/>
      <c r="AA925" s="9"/>
      <c r="AB925" s="9"/>
      <c r="AC925" s="449" t="str">
        <f t="shared" si="128"/>
        <v/>
      </c>
      <c r="AD925" s="449"/>
      <c r="AE925" s="449"/>
      <c r="AF925" s="4"/>
      <c r="AG925" s="83"/>
      <c r="AH925" s="4"/>
      <c r="AI925" s="4"/>
      <c r="AJ925" s="449"/>
      <c r="AK925" s="449" t="s">
        <v>872</v>
      </c>
      <c r="AL925" s="449"/>
      <c r="AM925" s="449"/>
      <c r="AN925" s="10"/>
      <c r="AO925" s="9"/>
      <c r="AP925" s="9"/>
      <c r="AQ925" s="9">
        <f>+FL_2($T$926,$T$924,$G$925,1200,9.28, 1*$F$926)</f>
        <v>-0.30865248517073168</v>
      </c>
      <c r="AR925" s="9"/>
      <c r="AS925" s="9"/>
      <c r="AT925" s="9"/>
      <c r="AU925" s="428"/>
      <c r="AV925" s="428"/>
      <c r="AW925" s="449" t="s">
        <v>1411</v>
      </c>
      <c r="AX925" s="449"/>
      <c r="AY925" s="10" t="str">
        <f>IF(L925="","",
IF(AX925="PT",VLOOKUP(L925,Foundation_Calc!$K$79:$R$113,VLOOKUP(AW925,Foundation_Calc!$I$2:$J$8,2,FALSE),0),
IF(AX925="K",VLOOKUP(L925,Foundation_Calc!$K$117:$R$151,VLOOKUP(AW925,Foundation_Calc!$I$2:$J$8,2,FALSE),0),"")))</f>
        <v/>
      </c>
      <c r="AZ925" s="10" t="str">
        <f>IF(K925="","",
IF(AX925="PT",VLOOKUP(K925,Foundation_Calc!$K$79:$R$113,VLOOKUP(AW925,Foundation_Calc!$I$2:$J$8,2,FALSE),0),
IF(AX925="K",VLOOKUP(K925,Foundation_Calc!$K$117:$R$151,VLOOKUP(AW925,Foundation_Calc!$I$2:$J$8,2,FALSE),0),"")))</f>
        <v/>
      </c>
      <c r="BA925" s="495" t="str">
        <f t="shared" si="119"/>
        <v/>
      </c>
      <c r="BB925" s="495" t="str">
        <f t="shared" si="120"/>
        <v/>
      </c>
      <c r="BC925" s="495" t="str">
        <f t="shared" si="121"/>
        <v/>
      </c>
      <c r="BD925" s="513" t="str">
        <f>IF(AND(L925="",H925=""),"",
IF(H925="",Pole_Calc!A$9,
IF(H925="MP",Pole_Calc!A$10,
IF(H925="AnMP",Pole_Calc!A$11,
IF(H925="A",Pole_Calc!A$12,
IF(H925="S/A",Pole_Calc!A$13,
IF(H925="A/S",Pole_Calc!A$14,"Poner a mano")))))))</f>
        <v/>
      </c>
      <c r="BE925" s="429" t="s">
        <v>118</v>
      </c>
      <c r="BF925" s="290"/>
      <c r="BG925" s="290"/>
      <c r="BH925" s="290"/>
      <c r="BI925" s="290"/>
    </row>
    <row r="926" spans="1:61" ht="15.75" customHeight="1">
      <c r="A926" s="517" t="s">
        <v>438</v>
      </c>
      <c r="B926" s="450" t="s">
        <v>1421</v>
      </c>
      <c r="C926" s="3">
        <f>+$C$924+$G$925</f>
        <v>52249.400000000016</v>
      </c>
      <c r="D926" s="83"/>
      <c r="E926" s="4"/>
      <c r="F926" s="4">
        <v>0</v>
      </c>
      <c r="G926" s="6"/>
      <c r="H926" s="449" t="s">
        <v>171</v>
      </c>
      <c r="I926" s="4"/>
      <c r="J926" s="3"/>
      <c r="K926" s="449"/>
      <c r="L926" s="449" t="s">
        <v>201</v>
      </c>
      <c r="M926" s="449" t="str">
        <f>IF(L926="","",
IF(AX926="PT",VLOOKUP(L926,Foundation_Calc!$V$79:$X$113,VLOOKUP(AX926,Foundation_Calc!$I$10:$J$13,2,FALSE),0),
IF(AX926="K",VLOOKUP(L926,Foundation_Calc!$V$117:$X$151,VLOOKUP(AX926,Foundation_Calc!$I$10:$J$13,2,FALSE),0),"")))</f>
        <v/>
      </c>
      <c r="N926" s="449" t="s">
        <v>343</v>
      </c>
      <c r="O926" s="449"/>
      <c r="P926" s="449"/>
      <c r="Q926" s="4"/>
      <c r="R926" s="6"/>
      <c r="S926" s="6"/>
      <c r="T926" s="4">
        <v>-30</v>
      </c>
      <c r="U926" s="4"/>
      <c r="V926" s="4"/>
      <c r="W926" s="9">
        <v>1.4</v>
      </c>
      <c r="X926" s="9"/>
      <c r="Y926" s="9"/>
      <c r="Z926" s="9"/>
      <c r="AA926" s="9"/>
      <c r="AB926" s="9"/>
      <c r="AC926" s="449" t="str">
        <f t="shared" si="128"/>
        <v>PHQ</v>
      </c>
      <c r="AD926" s="449"/>
      <c r="AE926" s="449"/>
      <c r="AF926" s="4"/>
      <c r="AG926" s="83"/>
      <c r="AH926" s="4"/>
      <c r="AI926" s="4"/>
      <c r="AJ926" s="449"/>
      <c r="AK926" s="449" t="s">
        <v>451</v>
      </c>
      <c r="AL926" s="449"/>
      <c r="AM926" s="449" t="s">
        <v>716</v>
      </c>
      <c r="AN926" s="10">
        <v>5.5</v>
      </c>
      <c r="AO926" s="9"/>
      <c r="AP926" s="9"/>
      <c r="AQ926" s="9"/>
      <c r="AR926" s="9"/>
      <c r="AS926" s="9"/>
      <c r="AT926" s="9">
        <f>+ab($T$926,$T$924,$T$928,$G$925,$G$927, 1*$F$926,1200)</f>
        <v>-7.1227665636083559</v>
      </c>
      <c r="AU926" s="428"/>
      <c r="AV926" s="428"/>
      <c r="AW926" s="449" t="s">
        <v>201</v>
      </c>
      <c r="AX926" s="449" t="s">
        <v>201</v>
      </c>
      <c r="AY926" s="10" t="str">
        <f>IF(L926="","",
IF(AX926="PT",VLOOKUP(L926,Foundation_Calc!$K$79:$R$113,VLOOKUP(AW926,Foundation_Calc!$I$2:$J$8,2,FALSE),0),
IF(AX926="K",VLOOKUP(L926,Foundation_Calc!$K$117:$R$151,VLOOKUP(AW926,Foundation_Calc!$I$2:$J$8,2,FALSE),0),"")))</f>
        <v/>
      </c>
      <c r="AZ926" s="10" t="str">
        <f>IF(K926="","",
IF(AX926="PT",VLOOKUP(K926,Foundation_Calc!$K$79:$R$113,VLOOKUP(AW926,Foundation_Calc!$I$2:$J$8,2,FALSE),0),
IF(AX926="K",VLOOKUP(K926,Foundation_Calc!$K$117:$R$151,VLOOKUP(AW926,Foundation_Calc!$I$2:$J$8,2,FALSE),0),"")))</f>
        <v/>
      </c>
      <c r="BA926" s="495" t="str">
        <f t="shared" si="119"/>
        <v/>
      </c>
      <c r="BB926" s="495" t="str">
        <f t="shared" si="120"/>
        <v/>
      </c>
      <c r="BC926" s="495" t="str">
        <f t="shared" si="121"/>
        <v/>
      </c>
      <c r="BD926" s="513"/>
      <c r="BE926" s="429" t="s">
        <v>118</v>
      </c>
      <c r="BF926" s="289"/>
      <c r="BG926" s="289"/>
      <c r="BH926" s="290"/>
      <c r="BI926" s="289"/>
    </row>
    <row r="927" spans="1:61" ht="15.75" customHeight="1">
      <c r="A927" s="514" t="s">
        <v>438</v>
      </c>
      <c r="B927" s="450"/>
      <c r="C927" s="3"/>
      <c r="D927" s="83"/>
      <c r="E927" s="4"/>
      <c r="F927" s="4"/>
      <c r="G927" s="6">
        <v>44.5</v>
      </c>
      <c r="H927" s="449"/>
      <c r="I927" s="4">
        <f>SUM(G927:G947)</f>
        <v>497.3</v>
      </c>
      <c r="J927" s="3"/>
      <c r="K927" s="449"/>
      <c r="L927" s="449"/>
      <c r="M927" s="449" t="str">
        <f>IF(L927="","",
IF(AX927="PT",VLOOKUP(L927,Foundation_Calc!$V$79:$X$113,VLOOKUP(AX927,Foundation_Calc!$I$10:$J$13,2,FALSE),0),
IF(AX927="K",VLOOKUP(L927,Foundation_Calc!$V$117:$X$151,VLOOKUP(AX927,Foundation_Calc!$I$10:$J$13,2,FALSE),0),"")))</f>
        <v/>
      </c>
      <c r="N927" s="449"/>
      <c r="O927" s="449"/>
      <c r="P927" s="449"/>
      <c r="Q927" s="4"/>
      <c r="R927" s="6"/>
      <c r="S927" s="6"/>
      <c r="T927" s="4"/>
      <c r="U927" s="4"/>
      <c r="V927" s="4"/>
      <c r="W927" s="9"/>
      <c r="X927" s="9"/>
      <c r="Y927" s="9"/>
      <c r="Z927" s="9"/>
      <c r="AA927" s="9"/>
      <c r="AB927" s="9"/>
      <c r="AC927" s="449" t="str">
        <f t="shared" si="128"/>
        <v/>
      </c>
      <c r="AD927" s="449"/>
      <c r="AE927" s="449"/>
      <c r="AF927" s="4"/>
      <c r="AG927" s="83"/>
      <c r="AH927" s="4"/>
      <c r="AI927" s="4"/>
      <c r="AJ927" s="449"/>
      <c r="AK927" s="449"/>
      <c r="AL927" s="449"/>
      <c r="AM927" s="449"/>
      <c r="AN927" s="10"/>
      <c r="AO927" s="9"/>
      <c r="AP927" s="9"/>
      <c r="AQ927" s="9">
        <f>+FL_1($T$928,$T$926,$G$927,1200,9.28, 1*$F$928)</f>
        <v>0.35437043631460668</v>
      </c>
      <c r="AR927" s="9"/>
      <c r="AS927" s="9"/>
      <c r="AT927" s="9"/>
      <c r="AU927" s="428"/>
      <c r="AV927" s="428"/>
      <c r="AW927" s="449" t="s">
        <v>1411</v>
      </c>
      <c r="AX927" s="449"/>
      <c r="AY927" s="10" t="str">
        <f>IF(L927="","",
IF(AX927="PT",VLOOKUP(L927,Foundation_Calc!$K$79:$R$113,VLOOKUP(AW927,Foundation_Calc!$I$2:$J$8,2,FALSE),0),
IF(AX927="K",VLOOKUP(L927,Foundation_Calc!$K$117:$R$151,VLOOKUP(AW927,Foundation_Calc!$I$2:$J$8,2,FALSE),0),"")))</f>
        <v/>
      </c>
      <c r="AZ927" s="10" t="str">
        <f>IF(K927="","",
IF(AX927="PT",VLOOKUP(K927,Foundation_Calc!$K$79:$R$113,VLOOKUP(AW927,Foundation_Calc!$I$2:$J$8,2,FALSE),0),
IF(AX927="K",VLOOKUP(K927,Foundation_Calc!$K$117:$R$151,VLOOKUP(AW927,Foundation_Calc!$I$2:$J$8,2,FALSE),0),"")))</f>
        <v/>
      </c>
      <c r="BA927" s="495" t="str">
        <f t="shared" si="119"/>
        <v/>
      </c>
      <c r="BB927" s="495" t="str">
        <f t="shared" si="120"/>
        <v/>
      </c>
      <c r="BC927" s="495" t="str">
        <f t="shared" si="121"/>
        <v/>
      </c>
      <c r="BD927" s="513" t="str">
        <f>IF(AND(L927="",H927=""),"",
IF(H927="",Pole_Calc!A$9,
IF(H927="MP",Pole_Calc!A$10,
IF(H927="AnMP",Pole_Calc!A$11,
IF(H927="A",Pole_Calc!A$12,
IF(H927="S/A",Pole_Calc!A$13,
IF(H927="A/S",Pole_Calc!A$14,"Poner a mano")))))))</f>
        <v/>
      </c>
      <c r="BE927" s="429" t="s">
        <v>118</v>
      </c>
      <c r="BF927" s="290"/>
      <c r="BG927" s="290"/>
      <c r="BH927" s="290"/>
      <c r="BI927" s="290"/>
    </row>
    <row r="928" spans="1:61" ht="15.75" customHeight="1">
      <c r="A928" s="514"/>
      <c r="B928" s="450" t="s">
        <v>1422</v>
      </c>
      <c r="C928" s="3">
        <f>+$C$926+$G$927</f>
        <v>52293.900000000016</v>
      </c>
      <c r="D928" s="83"/>
      <c r="E928" s="4"/>
      <c r="F928" s="4">
        <v>0</v>
      </c>
      <c r="G928" s="6"/>
      <c r="H928" s="449" t="s">
        <v>168</v>
      </c>
      <c r="I928" s="4"/>
      <c r="J928" s="3"/>
      <c r="K928" s="449"/>
      <c r="L928" s="449" t="s">
        <v>852</v>
      </c>
      <c r="M928" s="449" t="str">
        <f>IF(L928="","",
IF(AX928="PT",VLOOKUP(L928,Foundation_Calc!$V$79:$X$113,VLOOKUP(AX928,Foundation_Calc!$I$10:$J$13,2,FALSE),0),
IF(AX928="K",VLOOKUP(L928,Foundation_Calc!$V$117:$X$151,VLOOKUP(AX928,Foundation_Calc!$I$10:$J$13,2,FALSE),0),"")))</f>
        <v/>
      </c>
      <c r="N928" s="449" t="s">
        <v>453</v>
      </c>
      <c r="O928" s="449"/>
      <c r="P928" s="449"/>
      <c r="Q928" s="4"/>
      <c r="R928" s="6"/>
      <c r="S928" s="6"/>
      <c r="T928" s="4">
        <v>35</v>
      </c>
      <c r="U928" s="4"/>
      <c r="V928" s="4"/>
      <c r="W928" s="9">
        <v>1.4</v>
      </c>
      <c r="X928" s="9"/>
      <c r="Y928" s="9"/>
      <c r="Z928" s="9"/>
      <c r="AA928" s="9"/>
      <c r="AB928" s="9"/>
      <c r="AC928" s="449" t="str">
        <f t="shared" si="128"/>
        <v>PHQ</v>
      </c>
      <c r="AD928" s="449"/>
      <c r="AE928" s="449"/>
      <c r="AF928" s="4"/>
      <c r="AG928" s="83"/>
      <c r="AH928" s="4"/>
      <c r="AI928" s="4"/>
      <c r="AJ928" s="449"/>
      <c r="AK928" s="449" t="s">
        <v>451</v>
      </c>
      <c r="AL928" s="449"/>
      <c r="AM928" s="449"/>
      <c r="AN928" s="10">
        <v>5.5</v>
      </c>
      <c r="AO928" s="9"/>
      <c r="AP928" s="9"/>
      <c r="AQ928" s="9"/>
      <c r="AR928" s="9"/>
      <c r="AS928" s="9"/>
      <c r="AT928" s="9">
        <f>+ab($T$928,$T$926,$T$930,$G$927,$G$929, 1*$F$928,1200)</f>
        <v>5.8736608849181957</v>
      </c>
      <c r="AU928" s="428"/>
      <c r="AV928" s="428"/>
      <c r="AW928" s="449" t="s">
        <v>201</v>
      </c>
      <c r="AX928" s="449" t="s">
        <v>201</v>
      </c>
      <c r="AY928" s="10" t="str">
        <f>IF(L928="","",
IF(AX928="PT",VLOOKUP(L928,Foundation_Calc!$K$79:$R$113,VLOOKUP(AW928,Foundation_Calc!$I$2:$J$8,2,FALSE),0),
IF(AX928="K",VLOOKUP(L928,Foundation_Calc!$K$117:$R$151,VLOOKUP(AW928,Foundation_Calc!$I$2:$J$8,2,FALSE),0),"")))</f>
        <v/>
      </c>
      <c r="AZ928" s="10" t="str">
        <f>IF(K928="","",
IF(AX928="PT",VLOOKUP(K928,Foundation_Calc!$K$79:$R$113,VLOOKUP(AW928,Foundation_Calc!$I$2:$J$8,2,FALSE),0),
IF(AX928="K",VLOOKUP(K928,Foundation_Calc!$K$117:$R$151,VLOOKUP(AW928,Foundation_Calc!$I$2:$J$8,2,FALSE),0),"")))</f>
        <v/>
      </c>
      <c r="BA928" s="495" t="str">
        <f t="shared" si="119"/>
        <v/>
      </c>
      <c r="BB928" s="495" t="str">
        <f t="shared" si="120"/>
        <v/>
      </c>
      <c r="BC928" s="495" t="str">
        <f t="shared" si="121"/>
        <v/>
      </c>
      <c r="BD928" s="513"/>
      <c r="BE928" s="429" t="s">
        <v>118</v>
      </c>
      <c r="BF928" s="289"/>
      <c r="BG928" s="289"/>
      <c r="BH928" s="290"/>
      <c r="BI928" s="289"/>
    </row>
    <row r="929" spans="1:61" ht="15.75" customHeight="1">
      <c r="A929" s="685" t="s">
        <v>305</v>
      </c>
      <c r="B929" s="686"/>
      <c r="C929" s="687"/>
      <c r="D929" s="688"/>
      <c r="E929" s="689"/>
      <c r="F929" s="689"/>
      <c r="G929" s="690">
        <v>39</v>
      </c>
      <c r="H929" s="691"/>
      <c r="I929" s="689" t="s">
        <v>549</v>
      </c>
      <c r="J929" s="687"/>
      <c r="K929" s="691"/>
      <c r="L929" s="691"/>
      <c r="M929" s="691" t="str">
        <f>IF(L929="","",
IF(AX929="PT",VLOOKUP(L929,Foundation_Calc!$V$79:$X$113,VLOOKUP(AX929,Foundation_Calc!$I$10:$J$13,2,FALSE),0),
IF(AX929="K",VLOOKUP(L929,Foundation_Calc!$V$117:$X$151,VLOOKUP(AX929,Foundation_Calc!$I$10:$J$13,2,FALSE),0),"")))</f>
        <v/>
      </c>
      <c r="N929" s="691"/>
      <c r="O929" s="691"/>
      <c r="P929" s="691"/>
      <c r="Q929" s="689"/>
      <c r="R929" s="690"/>
      <c r="S929" s="690"/>
      <c r="T929" s="689"/>
      <c r="U929" s="689"/>
      <c r="V929" s="689"/>
      <c r="W929" s="692"/>
      <c r="X929" s="692"/>
      <c r="Y929" s="692"/>
      <c r="Z929" s="692"/>
      <c r="AA929" s="692"/>
      <c r="AB929" s="692"/>
      <c r="AC929" s="691" t="str">
        <f t="shared" si="128"/>
        <v/>
      </c>
      <c r="AD929" s="691"/>
      <c r="AE929" s="691"/>
      <c r="AF929" s="689"/>
      <c r="AG929" s="688"/>
      <c r="AH929" s="689"/>
      <c r="AI929" s="689"/>
      <c r="AJ929" s="691"/>
      <c r="AK929" s="691"/>
      <c r="AL929" s="691"/>
      <c r="AM929" s="691"/>
      <c r="AN929" s="693"/>
      <c r="AO929" s="692"/>
      <c r="AP929" s="692"/>
      <c r="AQ929" s="692">
        <f>+FL_1($T$930,$T$928,$G$929,1200,9.28, 1*$F$930)</f>
        <v>0.35000000000000225</v>
      </c>
      <c r="AR929" s="692"/>
      <c r="AS929" s="692"/>
      <c r="AT929" s="692"/>
      <c r="AU929" s="694"/>
      <c r="AV929" s="694"/>
      <c r="AW929" s="691" t="str">
        <f>IF(C929&gt;0,VLOOKUP(C929,Foundation_Calc!$A$2:$C$13,3,1),
IF(J929&gt;0,VLOOKUP(J929,Foundation_Calc!$A$2:$C$13,3,1),""))</f>
        <v/>
      </c>
      <c r="AX929" s="691" t="str">
        <f>IF(C929&gt;0,VLOOKUP(C929,Foundation_Calc!$E$35:$G$65,3,1),
IF(J929&gt;0,VLOOKUP(J929,Foundation_Calc!$E$35:$G$65,3,1),""))</f>
        <v/>
      </c>
      <c r="AY929" s="693" t="str">
        <f>IF(L929="","",
IF(AX929="PT",VLOOKUP(L929,Foundation_Calc!$K$79:$R$113,VLOOKUP(AW929,Foundation_Calc!$I$2:$J$8,2,FALSE),0),
IF(AX929="K",VLOOKUP(L929,Foundation_Calc!$K$117:$R$151,VLOOKUP(AW929,Foundation_Calc!$I$2:$J$8,2,FALSE),0),"")))</f>
        <v/>
      </c>
      <c r="AZ929" s="693" t="str">
        <f>IF(K929="","",
IF(AX929="PT",VLOOKUP(K929,Foundation_Calc!$K$79:$R$113,VLOOKUP(AW929,Foundation_Calc!$I$2:$J$8,2,FALSE),0),
IF(AX929="K",VLOOKUP(K929,Foundation_Calc!$K$117:$R$151,VLOOKUP(AW929,Foundation_Calc!$I$2:$J$8,2,FALSE),0),"")))</f>
        <v/>
      </c>
      <c r="BA929" s="495" t="str">
        <f t="shared" si="119"/>
        <v/>
      </c>
      <c r="BB929" s="495" t="str">
        <f t="shared" si="120"/>
        <v/>
      </c>
      <c r="BC929" s="495" t="str">
        <f t="shared" si="121"/>
        <v/>
      </c>
      <c r="BD929" s="513" t="str">
        <f>IF(AND(L929="",H929=""),"",
IF(H929="",Pole_Calc!A$9,
IF(H929="MP",Pole_Calc!A$10,
IF(H929="AnMP",Pole_Calc!A$11,
IF(H929="A",Pole_Calc!A$12,
IF(H929="S/A",Pole_Calc!A$13,
IF(H929="A/S",Pole_Calc!A$14,"Poner a mano")))))))</f>
        <v/>
      </c>
      <c r="BE929" s="429" t="s">
        <v>118</v>
      </c>
      <c r="BF929" s="290"/>
      <c r="BG929" s="290"/>
      <c r="BH929" s="290"/>
      <c r="BI929" s="290"/>
    </row>
    <row r="930" spans="1:61" ht="15.75" customHeight="1">
      <c r="A930" s="514"/>
      <c r="B930" s="450" t="s">
        <v>1423</v>
      </c>
      <c r="C930" s="3">
        <f>+$C$928+$G$929</f>
        <v>52332.900000000016</v>
      </c>
      <c r="D930" s="83"/>
      <c r="E930" s="4"/>
      <c r="F930" s="4">
        <v>0</v>
      </c>
      <c r="G930" s="6"/>
      <c r="H930" s="449" t="s">
        <v>284</v>
      </c>
      <c r="I930" s="4" t="s">
        <v>162</v>
      </c>
      <c r="J930" s="3"/>
      <c r="K930" s="449"/>
      <c r="L930" s="449" t="s">
        <v>206</v>
      </c>
      <c r="M930" s="449" t="str">
        <f>IF(L930="","",
IF(AX930="PT",VLOOKUP(L930,Foundation_Calc!$V$79:$X$113,VLOOKUP(AX930,Foundation_Calc!$I$10:$J$13,2,FALSE),0),
IF(AX930="K",VLOOKUP(L930,Foundation_Calc!$V$117:$X$151,VLOOKUP(AX930,Foundation_Calc!$I$10:$J$13,2,FALSE),0),"")))</f>
        <v>2C4R</v>
      </c>
      <c r="N930" s="449" t="s">
        <v>124</v>
      </c>
      <c r="O930" s="449"/>
      <c r="P930" s="449"/>
      <c r="Q930" s="4"/>
      <c r="R930" s="6"/>
      <c r="S930" s="6"/>
      <c r="T930" s="4">
        <v>-35</v>
      </c>
      <c r="U930" s="4"/>
      <c r="V930" s="4"/>
      <c r="W930" s="9">
        <v>1.4</v>
      </c>
      <c r="X930" s="9"/>
      <c r="Y930" s="9"/>
      <c r="Z930" s="9"/>
      <c r="AA930" s="9"/>
      <c r="AB930" s="9"/>
      <c r="AC930" s="449" t="str">
        <f t="shared" si="128"/>
        <v>PHQ</v>
      </c>
      <c r="AD930" s="449"/>
      <c r="AE930" s="449"/>
      <c r="AF930" s="4"/>
      <c r="AG930" s="83"/>
      <c r="AH930" s="4"/>
      <c r="AI930" s="4"/>
      <c r="AJ930" s="449"/>
      <c r="AK930" s="449"/>
      <c r="AL930" s="449"/>
      <c r="AM930" s="449" t="s">
        <v>552</v>
      </c>
      <c r="AN930" s="10">
        <v>5.5</v>
      </c>
      <c r="AO930" s="9"/>
      <c r="AP930" s="9"/>
      <c r="AQ930" s="9"/>
      <c r="AR930" s="9"/>
      <c r="AS930" s="9"/>
      <c r="AT930" s="9">
        <f>+ab($T$930,$T$928,$U$932,$G$929,$G$931, 1*$F$930,1200)</f>
        <v>-5.2049477485313762</v>
      </c>
      <c r="AU930" s="428"/>
      <c r="AV930" s="428"/>
      <c r="AW930" s="449" t="str">
        <f>IF(C930&gt;0,VLOOKUP(C930,Foundation_Calc!$A$2:$C$13,3,1),
IF(J930&gt;0,VLOOKUP(J930,Foundation_Calc!$A$2:$C$13,3,1),""))</f>
        <v>Multi Soil</v>
      </c>
      <c r="AX930" s="449" t="str">
        <f>IF(C930&gt;0,VLOOKUP(C930,Foundation_Calc!$E$35:$G$65,3,1),
IF(J930&gt;0,VLOOKUP(J930,Foundation_Calc!$E$35:$G$65,3,1),""))</f>
        <v>PT</v>
      </c>
      <c r="AY930" s="10">
        <f>IF(L930="","",
IF(AX930="PT",VLOOKUP(L930,Foundation_Calc!$K$79:$R$113,VLOOKUP(AW930,Foundation_Calc!$I$2:$J$8,2,FALSE),0),
IF(AX930="K",VLOOKUP(L930,Foundation_Calc!$K$117:$R$151,VLOOKUP(AW930,Foundation_Calc!$I$2:$J$8,2,FALSE),0),"")))</f>
        <v>4</v>
      </c>
      <c r="AZ930" s="10" t="str">
        <f>IF(K930="","",
IF(AX930="PT",VLOOKUP(K930,Foundation_Calc!$K$79:$R$113,VLOOKUP(AW930,Foundation_Calc!$I$2:$J$8,2,FALSE),0),
IF(AX930="K",VLOOKUP(K930,Foundation_Calc!$K$117:$R$151,VLOOKUP(AW930,Foundation_Calc!$I$2:$J$8,2,FALSE),0),"")))</f>
        <v/>
      </c>
      <c r="BA930" s="495" t="str">
        <f t="shared" si="119"/>
        <v>ü</v>
      </c>
      <c r="BB930" s="495" t="str">
        <f t="shared" si="120"/>
        <v/>
      </c>
      <c r="BC930" s="495" t="str">
        <f t="shared" si="121"/>
        <v/>
      </c>
      <c r="BD930" s="513" t="str">
        <f>Pole_Calc!A$167</f>
        <v>App.7-V11I-P9.5.15.2</v>
      </c>
      <c r="BE930" s="429" t="s">
        <v>118</v>
      </c>
      <c r="BF930" s="289"/>
      <c r="BG930" s="289"/>
      <c r="BH930" s="290"/>
      <c r="BI930" s="289"/>
    </row>
    <row r="931" spans="1:61" ht="15.75" customHeight="1">
      <c r="A931" s="514"/>
      <c r="B931" s="450"/>
      <c r="C931" s="3"/>
      <c r="D931" s="83"/>
      <c r="E931" s="4"/>
      <c r="F931" s="4"/>
      <c r="G931" s="6">
        <v>37.200000000000003</v>
      </c>
      <c r="H931" s="449"/>
      <c r="I931" s="4"/>
      <c r="J931" s="3"/>
      <c r="K931" s="449"/>
      <c r="L931" s="449"/>
      <c r="M931" s="449" t="str">
        <f>IF(L931="","",
IF(AX931="PT",VLOOKUP(L931,Foundation_Calc!$V$79:$X$113,VLOOKUP(AX931,Foundation_Calc!$I$10:$J$13,2,FALSE),0),
IF(AX931="K",VLOOKUP(L931,Foundation_Calc!$V$117:$X$151,VLOOKUP(AX931,Foundation_Calc!$I$10:$J$13,2,FALSE),0),"")))</f>
        <v/>
      </c>
      <c r="N931" s="449"/>
      <c r="O931" s="561"/>
      <c r="P931" s="449"/>
      <c r="Q931" s="4"/>
      <c r="R931" s="6"/>
      <c r="S931" s="6"/>
      <c r="T931" s="4"/>
      <c r="U931" s="4"/>
      <c r="V931" s="4"/>
      <c r="W931" s="9"/>
      <c r="X931" s="9"/>
      <c r="Y931" s="9"/>
      <c r="Z931" s="9"/>
      <c r="AA931" s="9"/>
      <c r="AB931" s="9"/>
      <c r="AC931" s="449" t="str">
        <f t="shared" si="128"/>
        <v/>
      </c>
      <c r="AD931" s="449"/>
      <c r="AE931" s="449"/>
      <c r="AF931" s="4"/>
      <c r="AG931" s="83"/>
      <c r="AH931" s="4"/>
      <c r="AI931" s="4"/>
      <c r="AJ931" s="449"/>
      <c r="AK931" s="449"/>
      <c r="AL931" s="449"/>
      <c r="AM931" s="449"/>
      <c r="AN931" s="10"/>
      <c r="AO931" s="9"/>
      <c r="AP931" s="9"/>
      <c r="AQ931" s="9">
        <f>+FL_2($U$932,$T$930,$G$931,1200,9.28, 1*$F$932)</f>
        <v>-0.35000000000000525</v>
      </c>
      <c r="AR931" s="9"/>
      <c r="AS931" s="9"/>
      <c r="AT931" s="9"/>
      <c r="AU931" s="428"/>
      <c r="AV931" s="428"/>
      <c r="AW931" s="449" t="str">
        <f>IF(C931&gt;0,VLOOKUP(C931,Foundation_Calc!$A$2:$C$13,3,1),
IF(J931&gt;0,VLOOKUP(J931,Foundation_Calc!$A$2:$C$13,3,1),""))</f>
        <v/>
      </c>
      <c r="AX931" s="449" t="str">
        <f>IF(C931&gt;0,VLOOKUP(C931,Foundation_Calc!$E$35:$G$65,3,1),
IF(J931&gt;0,VLOOKUP(J931,Foundation_Calc!$E$35:$G$65,3,1),""))</f>
        <v/>
      </c>
      <c r="AY931" s="10" t="str">
        <f>IF(L931="","",
IF(AX931="PT",VLOOKUP(L931,Foundation_Calc!$K$79:$R$113,VLOOKUP(AW931,Foundation_Calc!$I$2:$J$8,2,FALSE),0),
IF(AX931="K",VLOOKUP(L931,Foundation_Calc!$K$117:$R$151,VLOOKUP(AW931,Foundation_Calc!$I$2:$J$8,2,FALSE),0),"")))</f>
        <v/>
      </c>
      <c r="AZ931" s="10" t="str">
        <f>IF(K931="","",
IF(AX931="PT",VLOOKUP(K931,Foundation_Calc!$K$79:$R$113,VLOOKUP(AW931,Foundation_Calc!$I$2:$J$8,2,FALSE),0),
IF(AX931="K",VLOOKUP(K931,Foundation_Calc!$K$117:$R$151,VLOOKUP(AW931,Foundation_Calc!$I$2:$J$8,2,FALSE),0),"")))</f>
        <v/>
      </c>
      <c r="BA931" s="495" t="str">
        <f t="shared" ref="BA931:BA994" si="129">IF(AY931="","",IF(AY931&gt;0,"ü",""))</f>
        <v/>
      </c>
      <c r="BB931" s="495" t="str">
        <f t="shared" ref="BB931:BB994" si="130">IF(AZ931="","",IF(AZ931&gt;0,"ü",""))</f>
        <v/>
      </c>
      <c r="BC931" s="495" t="str">
        <f t="shared" ref="BC931:BC994" si="131">IF(M931="","",IF(M931="U.S.","ü",IF(M931="U.S. N.D.","ü","")))</f>
        <v/>
      </c>
      <c r="BD931" s="513" t="str">
        <f>IF(AND(L931="",H931=""),"",
IF(H931="",Pole_Calc!A$9,
IF(H931="MP",Pole_Calc!A$10,
IF(H931="AnMP",Pole_Calc!A$11,
IF(H931="A",Pole_Calc!A$12,
IF(H931="S/A",Pole_Calc!A$13,
IF(H931="A/S",Pole_Calc!A$14,"Poner a mano")))))))</f>
        <v/>
      </c>
      <c r="BE931" s="429" t="s">
        <v>118</v>
      </c>
      <c r="BF931" s="290"/>
      <c r="BG931" s="290"/>
      <c r="BH931" s="290"/>
      <c r="BI931" s="290"/>
    </row>
    <row r="932" spans="1:61" ht="15.75" customHeight="1">
      <c r="A932" s="514"/>
      <c r="B932" s="450" t="s">
        <v>1424</v>
      </c>
      <c r="C932" s="3">
        <f>+$C$930+$G$931</f>
        <v>52370.100000000013</v>
      </c>
      <c r="D932" s="83"/>
      <c r="E932" s="4"/>
      <c r="F932" s="4">
        <v>0</v>
      </c>
      <c r="G932" s="6"/>
      <c r="H932" s="449" t="s">
        <v>131</v>
      </c>
      <c r="I932" s="4"/>
      <c r="J932" s="3"/>
      <c r="K932" s="449"/>
      <c r="L932" s="449" t="s">
        <v>201</v>
      </c>
      <c r="M932" s="449" t="str">
        <f>IF(L932="","",
IF(AX932="PT",VLOOKUP(L932,Foundation_Calc!$V$79:$X$113,VLOOKUP(AX932,Foundation_Calc!$I$10:$J$13,2,FALSE),0),
IF(AX932="K",VLOOKUP(L932,Foundation_Calc!$V$117:$X$151,VLOOKUP(AX932,Foundation_Calc!$I$10:$J$13,2,FALSE),0),"")))</f>
        <v/>
      </c>
      <c r="N932" s="554" t="s">
        <v>840</v>
      </c>
      <c r="O932" s="449" t="s">
        <v>134</v>
      </c>
      <c r="P932" s="449"/>
      <c r="Q932" s="4"/>
      <c r="R932" s="6"/>
      <c r="S932" s="6"/>
      <c r="T932" s="4">
        <v>-55</v>
      </c>
      <c r="U932" s="4">
        <v>35</v>
      </c>
      <c r="V932" s="4"/>
      <c r="W932" s="9">
        <v>2</v>
      </c>
      <c r="X932" s="9">
        <v>1.4</v>
      </c>
      <c r="Y932" s="9"/>
      <c r="Z932" s="9">
        <v>0.6</v>
      </c>
      <c r="AA932" s="9"/>
      <c r="AB932" s="9"/>
      <c r="AC932" s="449"/>
      <c r="AD932" s="449"/>
      <c r="AE932" s="449"/>
      <c r="AF932" s="4"/>
      <c r="AG932" s="83"/>
      <c r="AH932" s="4"/>
      <c r="AI932" s="4"/>
      <c r="AJ932" s="449"/>
      <c r="AK932" s="449" t="s">
        <v>841</v>
      </c>
      <c r="AL932" s="449"/>
      <c r="AM932" s="449" t="s">
        <v>574</v>
      </c>
      <c r="AN932" s="10">
        <v>5.5</v>
      </c>
      <c r="AO932" s="9"/>
      <c r="AP932" s="9"/>
      <c r="AQ932" s="9"/>
      <c r="AR932" s="9"/>
      <c r="AS932" s="9"/>
      <c r="AT932" s="9">
        <f>+ab($U$932,$T$930,$U$934,$G$931,$G$933, 1*$F$932,1200)</f>
        <v>5.9517683738119205</v>
      </c>
      <c r="AU932" s="428"/>
      <c r="AV932" s="428"/>
      <c r="AW932" s="449" t="s">
        <v>201</v>
      </c>
      <c r="AX932" s="449" t="s">
        <v>201</v>
      </c>
      <c r="AY932" s="10" t="str">
        <f>IF(L932="","",
IF(AX932="PT",VLOOKUP(L932,Foundation_Calc!$K$79:$R$113,VLOOKUP(AW932,Foundation_Calc!$I$2:$J$8,2,FALSE),0),
IF(AX932="K",VLOOKUP(L932,Foundation_Calc!$K$117:$R$151,VLOOKUP(AW932,Foundation_Calc!$I$2:$J$8,2,FALSE),0),"")))</f>
        <v/>
      </c>
      <c r="AZ932" s="10" t="str">
        <f>IF(K932="","",
IF(AX932="PT",VLOOKUP(K932,Foundation_Calc!$K$79:$R$113,VLOOKUP(AW932,Foundation_Calc!$I$2:$J$8,2,FALSE),0),
IF(AX932="K",VLOOKUP(K932,Foundation_Calc!$K$117:$R$151,VLOOKUP(AW932,Foundation_Calc!$I$2:$J$8,2,FALSE),0),"")))</f>
        <v/>
      </c>
      <c r="BA932" s="495" t="str">
        <f t="shared" si="129"/>
        <v/>
      </c>
      <c r="BB932" s="495" t="str">
        <f t="shared" si="130"/>
        <v/>
      </c>
      <c r="BC932" s="495" t="str">
        <f t="shared" si="131"/>
        <v/>
      </c>
      <c r="BD932" s="513"/>
      <c r="BE932" s="429" t="s">
        <v>118</v>
      </c>
      <c r="BF932" s="289"/>
      <c r="BG932" s="289"/>
      <c r="BH932" s="290"/>
      <c r="BI932" s="289"/>
    </row>
    <row r="933" spans="1:61" ht="15.75" customHeight="1">
      <c r="A933" s="518"/>
      <c r="B933" s="450"/>
      <c r="C933" s="3"/>
      <c r="D933" s="83"/>
      <c r="E933" s="4"/>
      <c r="F933" s="4"/>
      <c r="G933" s="6">
        <v>52.6</v>
      </c>
      <c r="H933" s="449"/>
      <c r="I933" s="4"/>
      <c r="J933" s="3"/>
      <c r="K933" s="449"/>
      <c r="L933" s="449"/>
      <c r="M933" s="449" t="str">
        <f>IF(L933="","",
IF(AX933="PT",VLOOKUP(L933,Foundation_Calc!$V$79:$X$113,VLOOKUP(AX933,Foundation_Calc!$I$10:$J$13,2,FALSE),0),
IF(AX933="K",VLOOKUP(L933,Foundation_Calc!$V$117:$X$151,VLOOKUP(AX933,Foundation_Calc!$I$10:$J$13,2,FALSE),0),"")))</f>
        <v/>
      </c>
      <c r="N933" s="449"/>
      <c r="O933" s="449"/>
      <c r="P933" s="449"/>
      <c r="Q933" s="4"/>
      <c r="R933" s="6"/>
      <c r="S933" s="6"/>
      <c r="T933" s="4"/>
      <c r="U933" s="4"/>
      <c r="V933" s="4"/>
      <c r="W933" s="9"/>
      <c r="X933" s="9"/>
      <c r="Y933" s="9"/>
      <c r="Z933" s="9"/>
      <c r="AA933" s="9"/>
      <c r="AB933" s="9"/>
      <c r="AC933" s="449" t="str">
        <f t="shared" si="128"/>
        <v/>
      </c>
      <c r="AD933" s="449"/>
      <c r="AE933" s="449"/>
      <c r="AF933" s="4"/>
      <c r="AG933" s="83"/>
      <c r="AH933" s="4"/>
      <c r="AI933" s="4"/>
      <c r="AJ933" s="449"/>
      <c r="AK933" s="449"/>
      <c r="AL933" s="449"/>
      <c r="AM933" s="449"/>
      <c r="AN933" s="10"/>
      <c r="AO933" s="9"/>
      <c r="AP933" s="9"/>
      <c r="AQ933" s="9">
        <f>+FL_2($U$934,$U$932,$G$933,1200,9.28, 1*$F$934)</f>
        <v>-0.38195936625095056</v>
      </c>
      <c r="AR933" s="9"/>
      <c r="AS933" s="9"/>
      <c r="AT933" s="9"/>
      <c r="AU933" s="428"/>
      <c r="AV933" s="428"/>
      <c r="AW933" s="449" t="str">
        <f>IF(C933&gt;0,VLOOKUP(C933,Foundation_Calc!$A$2:$C$13,3,1),
IF(J933&gt;0,VLOOKUP(J933,Foundation_Calc!$A$2:$C$13,3,1),""))</f>
        <v/>
      </c>
      <c r="AX933" s="449" t="str">
        <f>IF(C933&gt;0,VLOOKUP(C933,Foundation_Calc!$E$35:$G$65,3,1),
IF(J933&gt;0,VLOOKUP(J933,Foundation_Calc!$E$35:$G$65,3,1),""))</f>
        <v/>
      </c>
      <c r="AY933" s="10" t="str">
        <f>IF(L933="","",
IF(AX933="PT",VLOOKUP(L933,Foundation_Calc!$K$79:$R$113,VLOOKUP(AW933,Foundation_Calc!$I$2:$J$8,2,FALSE),0),
IF(AX933="K",VLOOKUP(L933,Foundation_Calc!$K$117:$R$151,VLOOKUP(AW933,Foundation_Calc!$I$2:$J$8,2,FALSE),0),"")))</f>
        <v/>
      </c>
      <c r="AZ933" s="10" t="str">
        <f>IF(K933="","",
IF(AX933="PT",VLOOKUP(K933,Foundation_Calc!$K$79:$R$113,VLOOKUP(AW933,Foundation_Calc!$I$2:$J$8,2,FALSE),0),
IF(AX933="K",VLOOKUP(K933,Foundation_Calc!$K$117:$R$151,VLOOKUP(AW933,Foundation_Calc!$I$2:$J$8,2,FALSE),0),"")))</f>
        <v/>
      </c>
      <c r="BA933" s="495" t="str">
        <f t="shared" si="129"/>
        <v/>
      </c>
      <c r="BB933" s="495" t="str">
        <f t="shared" si="130"/>
        <v/>
      </c>
      <c r="BC933" s="495" t="str">
        <f t="shared" si="131"/>
        <v/>
      </c>
      <c r="BD933" s="513" t="str">
        <f>IF(AND(L933="",H933=""),"",
IF(H933="",Pole_Calc!A$9,
IF(H933="MP",Pole_Calc!A$10,
IF(H933="AnMP",Pole_Calc!A$11,
IF(H933="A",Pole_Calc!A$12,
IF(H933="S/A",Pole_Calc!A$13,
IF(H933="A/S",Pole_Calc!A$14,"Poner a mano")))))))</f>
        <v/>
      </c>
      <c r="BE933" s="429" t="s">
        <v>118</v>
      </c>
      <c r="BF933" s="290"/>
      <c r="BG933" s="290"/>
      <c r="BH933" s="290"/>
      <c r="BI933" s="290"/>
    </row>
    <row r="934" spans="1:61" ht="15.75" customHeight="1">
      <c r="A934" s="514"/>
      <c r="B934" s="450" t="s">
        <v>1425</v>
      </c>
      <c r="C934" s="3">
        <f>+$C$932+$G$933</f>
        <v>52422.700000000012</v>
      </c>
      <c r="D934" s="83"/>
      <c r="E934" s="4"/>
      <c r="F934" s="4">
        <v>0</v>
      </c>
      <c r="G934" s="6"/>
      <c r="H934" s="449" t="s">
        <v>1011</v>
      </c>
      <c r="I934" s="4" t="s">
        <v>549</v>
      </c>
      <c r="J934" s="3"/>
      <c r="K934" s="449"/>
      <c r="L934" s="449" t="s">
        <v>206</v>
      </c>
      <c r="M934" s="449" t="str">
        <f>IF(L934="","",
IF(AX934="PT",VLOOKUP(L934,Foundation_Calc!$V$79:$X$113,VLOOKUP(AX934,Foundation_Calc!$I$10:$J$13,2,FALSE),0),
IF(AX934="K",VLOOKUP(L934,Foundation_Calc!$V$117:$X$151,VLOOKUP(AX934,Foundation_Calc!$I$10:$J$13,2,FALSE),0),"")))</f>
        <v>2C4R</v>
      </c>
      <c r="N934" s="554" t="s">
        <v>133</v>
      </c>
      <c r="O934" s="449" t="s">
        <v>124</v>
      </c>
      <c r="P934" s="554" t="s">
        <v>134</v>
      </c>
      <c r="Q934" s="4"/>
      <c r="R934" s="6"/>
      <c r="S934" s="6"/>
      <c r="T934" s="4">
        <v>-55</v>
      </c>
      <c r="U934" s="4">
        <v>-35</v>
      </c>
      <c r="V934" s="4">
        <v>-20</v>
      </c>
      <c r="W934" s="9">
        <v>2</v>
      </c>
      <c r="X934" s="9">
        <v>1.8</v>
      </c>
      <c r="Y934" s="9">
        <v>1.4</v>
      </c>
      <c r="Z934" s="9">
        <v>0.4</v>
      </c>
      <c r="AA934" s="9"/>
      <c r="AB934" s="9"/>
      <c r="AC934" s="449"/>
      <c r="AD934" s="449"/>
      <c r="AE934" s="449"/>
      <c r="AF934" s="4"/>
      <c r="AG934" s="83"/>
      <c r="AH934" s="4"/>
      <c r="AI934" s="4"/>
      <c r="AJ934" s="449" t="s">
        <v>239</v>
      </c>
      <c r="AK934" s="449"/>
      <c r="AL934" s="449"/>
      <c r="AM934" s="449" t="s">
        <v>552</v>
      </c>
      <c r="AN934" s="10">
        <v>5.5</v>
      </c>
      <c r="AO934" s="9"/>
      <c r="AP934" s="9"/>
      <c r="AQ934" s="9"/>
      <c r="AR934" s="9"/>
      <c r="AS934" s="9"/>
      <c r="AT934" s="9">
        <f>+ab($U$934,$U$932,$U$936,$G$933,$G$935, 1*$F$934,1200)</f>
        <v>-6.4827200810196013</v>
      </c>
      <c r="AU934" s="428"/>
      <c r="AV934" s="428"/>
      <c r="AW934" s="449" t="str">
        <f>IF(C934&gt;0,VLOOKUP(C934,Foundation_Calc!$A$2:$C$13,3,1),
IF(J934&gt;0,VLOOKUP(J934,Foundation_Calc!$A$2:$C$13,3,1),""))</f>
        <v>Multi Soil</v>
      </c>
      <c r="AX934" s="449" t="str">
        <f>IF(C934&gt;0,VLOOKUP(C934,Foundation_Calc!$E$35:$G$65,3,1),
IF(J934&gt;0,VLOOKUP(J934,Foundation_Calc!$E$35:$G$65,3,1),""))</f>
        <v>PT</v>
      </c>
      <c r="AY934" s="10">
        <f>IF(L934="","",
IF(AX934="PT",VLOOKUP(L934,Foundation_Calc!$K$79:$R$113,VLOOKUP(AW934,Foundation_Calc!$I$2:$J$8,2,FALSE),0),
IF(AX934="K",VLOOKUP(L934,Foundation_Calc!$K$117:$R$151,VLOOKUP(AW934,Foundation_Calc!$I$2:$J$8,2,FALSE),0),"")))</f>
        <v>4</v>
      </c>
      <c r="AZ934" s="10" t="str">
        <f>IF(K934="","",
IF(AX934="PT",VLOOKUP(K934,Foundation_Calc!$K$79:$R$113,VLOOKUP(AW934,Foundation_Calc!$I$2:$J$8,2,FALSE),0),
IF(AX934="K",VLOOKUP(K934,Foundation_Calc!$K$117:$R$151,VLOOKUP(AW934,Foundation_Calc!$I$2:$J$8,2,FALSE),0),"")))</f>
        <v/>
      </c>
      <c r="BA934" s="495" t="str">
        <f t="shared" si="129"/>
        <v>ü</v>
      </c>
      <c r="BB934" s="495" t="str">
        <f t="shared" si="130"/>
        <v/>
      </c>
      <c r="BC934" s="495" t="str">
        <f t="shared" si="131"/>
        <v/>
      </c>
      <c r="BD934" s="513" t="str">
        <f>Pole_Calc!A$13</f>
        <v>App.7-V11I-P9.5.1.5</v>
      </c>
      <c r="BE934" s="429" t="s">
        <v>118</v>
      </c>
      <c r="BF934" s="289"/>
      <c r="BG934" s="289"/>
      <c r="BH934" s="290"/>
      <c r="BI934" s="289"/>
    </row>
    <row r="935" spans="1:61" ht="15.75" customHeight="1">
      <c r="A935" s="514"/>
      <c r="B935" s="450"/>
      <c r="C935" s="3"/>
      <c r="D935" s="83"/>
      <c r="E935" s="4"/>
      <c r="F935" s="4"/>
      <c r="G935" s="6">
        <v>43.3</v>
      </c>
      <c r="H935" s="449"/>
      <c r="I935" s="4"/>
      <c r="J935" s="3"/>
      <c r="K935" s="449"/>
      <c r="L935" s="449"/>
      <c r="M935" s="449" t="str">
        <f>IF(L935="","",
IF(AX935="PT",VLOOKUP(L935,Foundation_Calc!$V$79:$X$113,VLOOKUP(AX935,Foundation_Calc!$I$10:$J$13,2,FALSE),0),
IF(AX935="K",VLOOKUP(L935,Foundation_Calc!$V$117:$X$151,VLOOKUP(AX935,Foundation_Calc!$I$10:$J$13,2,FALSE),0),"")))</f>
        <v/>
      </c>
      <c r="N935" s="449"/>
      <c r="O935" s="449"/>
      <c r="P935" s="449"/>
      <c r="Q935" s="4"/>
      <c r="R935" s="6"/>
      <c r="S935" s="6"/>
      <c r="T935" s="4"/>
      <c r="U935" s="4"/>
      <c r="V935" s="4"/>
      <c r="W935" s="9"/>
      <c r="X935" s="9"/>
      <c r="Y935" s="9"/>
      <c r="Z935" s="9"/>
      <c r="AA935" s="9"/>
      <c r="AB935" s="9"/>
      <c r="AC935" s="449" t="str">
        <f t="shared" si="128"/>
        <v/>
      </c>
      <c r="AD935" s="449"/>
      <c r="AE935" s="449"/>
      <c r="AF935" s="4"/>
      <c r="AG935" s="83"/>
      <c r="AH935" s="4"/>
      <c r="AI935" s="4"/>
      <c r="AJ935" s="449"/>
      <c r="AK935" s="449"/>
      <c r="AL935" s="449"/>
      <c r="AM935" s="449"/>
      <c r="AN935" s="10"/>
      <c r="AO935" s="9"/>
      <c r="AP935" s="9"/>
      <c r="AQ935" s="9">
        <f>+FL_2($U$936,$U$934,$G$935,1200,9.28, 1*$F$936)</f>
        <v>-0.35021478868360284</v>
      </c>
      <c r="AR935" s="9"/>
      <c r="AS935" s="9"/>
      <c r="AT935" s="9"/>
      <c r="AU935" s="428"/>
      <c r="AV935" s="428"/>
      <c r="AW935" s="449" t="str">
        <f>IF(C935&gt;0,VLOOKUP(C935,Foundation_Calc!$A$2:$C$13,3,1),
IF(J935&gt;0,VLOOKUP(J935,Foundation_Calc!$A$2:$C$13,3,1),""))</f>
        <v/>
      </c>
      <c r="AX935" s="449" t="str">
        <f>IF(C935&gt;0,VLOOKUP(C935,Foundation_Calc!$E$35:$G$65,3,1),
IF(J935&gt;0,VLOOKUP(J935,Foundation_Calc!$E$35:$G$65,3,1),""))</f>
        <v/>
      </c>
      <c r="AY935" s="10" t="str">
        <f>IF(L935="","",
IF(AX935="PT",VLOOKUP(L935,Foundation_Calc!$K$79:$R$113,VLOOKUP(AW935,Foundation_Calc!$I$2:$J$8,2,FALSE),0),
IF(AX935="K",VLOOKUP(L935,Foundation_Calc!$K$117:$R$151,VLOOKUP(AW935,Foundation_Calc!$I$2:$J$8,2,FALSE),0),"")))</f>
        <v/>
      </c>
      <c r="AZ935" s="10" t="str">
        <f>IF(K935="","",
IF(AX935="PT",VLOOKUP(K935,Foundation_Calc!$K$79:$R$113,VLOOKUP(AW935,Foundation_Calc!$I$2:$J$8,2,FALSE),0),
IF(AX935="K",VLOOKUP(K935,Foundation_Calc!$K$117:$R$151,VLOOKUP(AW935,Foundation_Calc!$I$2:$J$8,2,FALSE),0),"")))</f>
        <v/>
      </c>
      <c r="BA935" s="495" t="str">
        <f t="shared" si="129"/>
        <v/>
      </c>
      <c r="BB935" s="495" t="str">
        <f t="shared" si="130"/>
        <v/>
      </c>
      <c r="BC935" s="495" t="str">
        <f t="shared" si="131"/>
        <v/>
      </c>
      <c r="BD935" s="513" t="str">
        <f>IF(AND(L935="",H935=""),"",
IF(H935="",Pole_Calc!A$9,
IF(H935="MP",Pole_Calc!A$10,
IF(H935="AnMP",Pole_Calc!A$11,
IF(H935="A",Pole_Calc!A$12,
IF(H935="S/A",Pole_Calc!A$13,
IF(H935="A/S",Pole_Calc!A$14,"Poner a mano")))))))</f>
        <v/>
      </c>
      <c r="BE935" s="429" t="s">
        <v>118</v>
      </c>
      <c r="BF935" s="290"/>
      <c r="BG935" s="290"/>
      <c r="BH935" s="290"/>
      <c r="BI935" s="290"/>
    </row>
    <row r="936" spans="1:61" ht="15.75" customHeight="1">
      <c r="A936" s="514"/>
      <c r="B936" s="450" t="s">
        <v>1426</v>
      </c>
      <c r="C936" s="3">
        <f>+$C$934+$G$935</f>
        <v>52466.000000000015</v>
      </c>
      <c r="D936" s="83"/>
      <c r="E936" s="4"/>
      <c r="F936" s="4">
        <v>0</v>
      </c>
      <c r="G936" s="6"/>
      <c r="H936" s="449" t="s">
        <v>846</v>
      </c>
      <c r="I936" s="4"/>
      <c r="J936" s="3"/>
      <c r="K936" s="449"/>
      <c r="L936" s="449" t="s">
        <v>206</v>
      </c>
      <c r="M936" s="449" t="str">
        <f>IF(L936="","",
IF(AX936="PT",VLOOKUP(L936,Foundation_Calc!$V$79:$X$113,VLOOKUP(AX936,Foundation_Calc!$I$10:$J$13,2,FALSE),0),
IF(AX936="K",VLOOKUP(L936,Foundation_Calc!$V$117:$X$151,VLOOKUP(AX936,Foundation_Calc!$I$10:$J$13,2,FALSE),0),"")))</f>
        <v>2C4R</v>
      </c>
      <c r="N936" s="554" t="s">
        <v>124</v>
      </c>
      <c r="O936" s="449" t="s">
        <v>134</v>
      </c>
      <c r="P936" s="554" t="s">
        <v>133</v>
      </c>
      <c r="Q936" s="4"/>
      <c r="R936" s="6"/>
      <c r="S936" s="6"/>
      <c r="T936" s="4">
        <v>20</v>
      </c>
      <c r="U936" s="4">
        <v>35</v>
      </c>
      <c r="V936" s="4">
        <v>55</v>
      </c>
      <c r="W936" s="9">
        <v>2</v>
      </c>
      <c r="X936" s="9">
        <v>1.8</v>
      </c>
      <c r="Y936" s="9">
        <v>1.4</v>
      </c>
      <c r="Z936" s="9"/>
      <c r="AA936" s="9"/>
      <c r="AB936" s="9">
        <v>0.4</v>
      </c>
      <c r="AC936" s="449" t="str">
        <f t="shared" si="128"/>
        <v>PHQ</v>
      </c>
      <c r="AD936" s="449"/>
      <c r="AE936" s="449"/>
      <c r="AF936" s="4"/>
      <c r="AG936" s="83"/>
      <c r="AH936" s="4"/>
      <c r="AI936" s="4"/>
      <c r="AJ936" s="449"/>
      <c r="AK936" s="449"/>
      <c r="AL936" s="449"/>
      <c r="AM936" s="449" t="s">
        <v>552</v>
      </c>
      <c r="AN936" s="10">
        <v>5.5</v>
      </c>
      <c r="AO936" s="9"/>
      <c r="AP936" s="9"/>
      <c r="AQ936" s="9"/>
      <c r="AR936" s="9"/>
      <c r="AS936" s="9"/>
      <c r="AT936" s="9">
        <f>+ab($U$936,$U$934,$T$938,$G$935,$G$937, 1*$F$936,1200)</f>
        <v>6.6483242664319269</v>
      </c>
      <c r="AU936" s="428"/>
      <c r="AV936" s="428"/>
      <c r="AW936" s="449" t="str">
        <f>IF(C936&gt;0,VLOOKUP(C936,Foundation_Calc!$A$2:$C$13,3,1),
IF(J936&gt;0,VLOOKUP(J936,Foundation_Calc!$A$2:$C$13,3,1),""))</f>
        <v>Multi Soil</v>
      </c>
      <c r="AX936" s="449" t="str">
        <f>IF(C936&gt;0,VLOOKUP(C936,Foundation_Calc!$E$35:$G$65,3,1),
IF(J936&gt;0,VLOOKUP(J936,Foundation_Calc!$E$35:$G$65,3,1),""))</f>
        <v>PT</v>
      </c>
      <c r="AY936" s="10">
        <f>IF(L936="","",
IF(AX936="PT",VLOOKUP(L936,Foundation_Calc!$K$79:$R$113,VLOOKUP(AW936,Foundation_Calc!$I$2:$J$8,2,FALSE),0),
IF(AX936="K",VLOOKUP(L936,Foundation_Calc!$K$117:$R$151,VLOOKUP(AW936,Foundation_Calc!$I$2:$J$8,2,FALSE),0),"")))</f>
        <v>4</v>
      </c>
      <c r="AZ936" s="10" t="str">
        <f>IF(K936="","",
IF(AX936="PT",VLOOKUP(K936,Foundation_Calc!$K$79:$R$113,VLOOKUP(AW936,Foundation_Calc!$I$2:$J$8,2,FALSE),0),
IF(AX936="K",VLOOKUP(K936,Foundation_Calc!$K$117:$R$151,VLOOKUP(AW936,Foundation_Calc!$I$2:$J$8,2,FALSE),0),"")))</f>
        <v/>
      </c>
      <c r="BA936" s="495" t="str">
        <f t="shared" si="129"/>
        <v>ü</v>
      </c>
      <c r="BB936" s="495" t="str">
        <f t="shared" si="130"/>
        <v/>
      </c>
      <c r="BC936" s="495" t="str">
        <f t="shared" si="131"/>
        <v/>
      </c>
      <c r="BD936" s="513" t="str">
        <f>Pole_Calc!A$13</f>
        <v>App.7-V11I-P9.5.1.5</v>
      </c>
      <c r="BE936" s="429" t="s">
        <v>118</v>
      </c>
      <c r="BF936" s="289"/>
      <c r="BG936" s="289"/>
      <c r="BH936" s="290"/>
      <c r="BI936" s="289"/>
    </row>
    <row r="937" spans="1:61" ht="15.75" customHeight="1">
      <c r="A937" s="514"/>
      <c r="B937" s="450"/>
      <c r="C937" s="3"/>
      <c r="D937" s="83"/>
      <c r="E937" s="4"/>
      <c r="F937" s="4"/>
      <c r="G937" s="6">
        <v>55.7</v>
      </c>
      <c r="H937" s="449"/>
      <c r="I937" s="4">
        <v>280</v>
      </c>
      <c r="J937" s="3"/>
      <c r="K937" s="449"/>
      <c r="L937" s="449"/>
      <c r="M937" s="449" t="str">
        <f>IF(L937="","",
IF(AX937="PT",VLOOKUP(L937,Foundation_Calc!$V$79:$X$113,VLOOKUP(AX937,Foundation_Calc!$I$10:$J$13,2,FALSE),0),
IF(AX937="K",VLOOKUP(L937,Foundation_Calc!$V$117:$X$151,VLOOKUP(AX937,Foundation_Calc!$I$10:$J$13,2,FALSE),0),"")))</f>
        <v/>
      </c>
      <c r="N937" s="449"/>
      <c r="O937" s="561"/>
      <c r="P937" s="449"/>
      <c r="Q937" s="4"/>
      <c r="R937" s="6"/>
      <c r="S937" s="6"/>
      <c r="T937" s="4"/>
      <c r="U937" s="4"/>
      <c r="V937" s="4"/>
      <c r="W937" s="9"/>
      <c r="X937" s="9"/>
      <c r="Y937" s="9"/>
      <c r="Z937" s="9"/>
      <c r="AA937" s="9"/>
      <c r="AB937" s="9"/>
      <c r="AC937" s="449" t="str">
        <f t="shared" si="128"/>
        <v/>
      </c>
      <c r="AD937" s="449"/>
      <c r="AE937" s="449"/>
      <c r="AF937" s="4"/>
      <c r="AG937" s="83"/>
      <c r="AH937" s="4"/>
      <c r="AI937" s="4"/>
      <c r="AJ937" s="449"/>
      <c r="AK937" s="449"/>
      <c r="AL937" s="449"/>
      <c r="AM937" s="449"/>
      <c r="AN937" s="10"/>
      <c r="AO937" s="9"/>
      <c r="AP937" s="9"/>
      <c r="AQ937" s="9">
        <f>+FL_2($T$938,$U$936,$G$937,1200,9.28, 1*$F$938)</f>
        <v>-0.40202223052064628</v>
      </c>
      <c r="AR937" s="9"/>
      <c r="AS937" s="9"/>
      <c r="AT937" s="9"/>
      <c r="AU937" s="428"/>
      <c r="AV937" s="428"/>
      <c r="AW937" s="449" t="str">
        <f>IF(C937&gt;0,VLOOKUP(C937,Foundation_Calc!$A$2:$C$13,3,1),
IF(J937&gt;0,VLOOKUP(J937,Foundation_Calc!$A$2:$C$13,3,1),""))</f>
        <v/>
      </c>
      <c r="AX937" s="449" t="str">
        <f>IF(C937&gt;0,VLOOKUP(C937,Foundation_Calc!$E$35:$G$65,3,1),
IF(J937&gt;0,VLOOKUP(J937,Foundation_Calc!$E$35:$G$65,3,1),""))</f>
        <v/>
      </c>
      <c r="AY937" s="10" t="str">
        <f>IF(L937="","",
IF(AX937="PT",VLOOKUP(L937,Foundation_Calc!$K$79:$R$113,VLOOKUP(AW937,Foundation_Calc!$I$2:$J$8,2,FALSE),0),
IF(AX937="K",VLOOKUP(L937,Foundation_Calc!$K$117:$R$151,VLOOKUP(AW937,Foundation_Calc!$I$2:$J$8,2,FALSE),0),"")))</f>
        <v/>
      </c>
      <c r="AZ937" s="10" t="str">
        <f>IF(K937="","",
IF(AX937="PT",VLOOKUP(K937,Foundation_Calc!$K$79:$R$113,VLOOKUP(AW937,Foundation_Calc!$I$2:$J$8,2,FALSE),0),
IF(AX937="K",VLOOKUP(K937,Foundation_Calc!$K$117:$R$151,VLOOKUP(AW937,Foundation_Calc!$I$2:$J$8,2,FALSE),0),"")))</f>
        <v/>
      </c>
      <c r="BA937" s="495" t="str">
        <f t="shared" si="129"/>
        <v/>
      </c>
      <c r="BB937" s="495" t="str">
        <f t="shared" si="130"/>
        <v/>
      </c>
      <c r="BC937" s="495" t="str">
        <f t="shared" si="131"/>
        <v/>
      </c>
      <c r="BD937" s="513" t="str">
        <f>IF(AND(L937="",H937=""),"",
IF(H937="",Pole_Calc!A$9,
IF(H937="MP",Pole_Calc!A$10,
IF(H937="AnMP",Pole_Calc!A$11,
IF(H937="A",Pole_Calc!A$12,
IF(H937="S/A",Pole_Calc!A$13,
IF(H937="A/S",Pole_Calc!A$14,"Poner a mano")))))))</f>
        <v/>
      </c>
      <c r="BE937" s="429" t="s">
        <v>118</v>
      </c>
      <c r="BF937" s="290"/>
      <c r="BG937" s="290"/>
      <c r="BH937" s="290"/>
      <c r="BI937" s="290"/>
    </row>
    <row r="938" spans="1:61" ht="15.75" customHeight="1">
      <c r="A938" s="514"/>
      <c r="B938" s="450" t="s">
        <v>1427</v>
      </c>
      <c r="C938" s="3">
        <f>+$C$936+$G$937</f>
        <v>52521.700000000012</v>
      </c>
      <c r="D938" s="83"/>
      <c r="E938" s="4"/>
      <c r="F938" s="4">
        <v>0</v>
      </c>
      <c r="G938" s="6"/>
      <c r="H938" s="449" t="s">
        <v>284</v>
      </c>
      <c r="I938" s="4" t="s">
        <v>122</v>
      </c>
      <c r="J938" s="3">
        <f>C938+7.5</f>
        <v>52529.200000000012</v>
      </c>
      <c r="K938" s="449" t="s">
        <v>117</v>
      </c>
      <c r="L938" s="449" t="s">
        <v>151</v>
      </c>
      <c r="M938" s="449" t="str">
        <f>IF(L938="","",
IF(AX938="PT",VLOOKUP(L938,Foundation_Calc!$V$79:$X$113,VLOOKUP(AX938,Foundation_Calc!$I$10:$J$13,2,FALSE),0),
IF(AX938="K",VLOOKUP(L938,Foundation_Calc!$V$117:$X$151,VLOOKUP(AX938,Foundation_Calc!$I$10:$J$13,2,FALSE),0),"")))</f>
        <v>C4R</v>
      </c>
      <c r="N938" s="449" t="s">
        <v>124</v>
      </c>
      <c r="O938" s="449"/>
      <c r="P938" s="449"/>
      <c r="Q938" s="4"/>
      <c r="R938" s="6"/>
      <c r="S938" s="6"/>
      <c r="T938" s="4">
        <v>-35</v>
      </c>
      <c r="U938" s="4"/>
      <c r="V938" s="4"/>
      <c r="W938" s="9">
        <v>1.4</v>
      </c>
      <c r="X938" s="9"/>
      <c r="Y938" s="9"/>
      <c r="Z938" s="9"/>
      <c r="AA938" s="9"/>
      <c r="AB938" s="9"/>
      <c r="AC938" s="449" t="str">
        <f t="shared" si="128"/>
        <v>PHQ</v>
      </c>
      <c r="AD938" s="449"/>
      <c r="AE938" s="449"/>
      <c r="AF938" s="4"/>
      <c r="AG938" s="83"/>
      <c r="AH938" s="4"/>
      <c r="AI938" s="4"/>
      <c r="AJ938" s="449"/>
      <c r="AK938" s="449"/>
      <c r="AL938" s="449"/>
      <c r="AM938" s="449" t="s">
        <v>552</v>
      </c>
      <c r="AN938" s="10">
        <v>5.5</v>
      </c>
      <c r="AO938" s="9"/>
      <c r="AP938" s="9"/>
      <c r="AQ938" s="9"/>
      <c r="AR938" s="9"/>
      <c r="AS938" s="9"/>
      <c r="AT938" s="9">
        <f>+ab($T$938,$U$936,$T$940,$G$937,$G$939, 1*$F$938,1200)</f>
        <v>-7.4629094125142208</v>
      </c>
      <c r="AU938" s="428"/>
      <c r="AV938" s="428"/>
      <c r="AW938" s="449" t="str">
        <f>IF(C938&gt;0,VLOOKUP(C938,Foundation_Calc!$A$2:$C$13,3,1),
IF(J938&gt;0,VLOOKUP(J938,Foundation_Calc!$A$2:$C$13,3,1),""))</f>
        <v>Multi Soil</v>
      </c>
      <c r="AX938" s="449" t="str">
        <f>IF(C938&gt;0,VLOOKUP(C938,Foundation_Calc!$E$35:$G$65,3,1),
IF(J938&gt;0,VLOOKUP(J938,Foundation_Calc!$E$35:$G$65,3,1),""))</f>
        <v>PT</v>
      </c>
      <c r="AY938" s="10">
        <f>IF(L938="","",
IF(AX938="PT",VLOOKUP(L938,Foundation_Calc!$K$79:$R$113,VLOOKUP(AW938,Foundation_Calc!$I$2:$J$8,2,FALSE),0),
IF(AX938="K",VLOOKUP(L938,Foundation_Calc!$K$117:$R$151,VLOOKUP(AW938,Foundation_Calc!$I$2:$J$8,2,FALSE),0),"")))</f>
        <v>3.5</v>
      </c>
      <c r="AZ938" s="10">
        <f>IF(K938="","",
IF(AX938="PT",VLOOKUP(K938,Foundation_Calc!$K$79:$R$113,VLOOKUP(AW938,Foundation_Calc!$I$2:$J$8,2,FALSE),0),
IF(AX938="K",VLOOKUP(K938,Foundation_Calc!$K$117:$R$151,VLOOKUP(AW938,Foundation_Calc!$I$2:$J$8,2,FALSE),0),"")))</f>
        <v>3.9</v>
      </c>
      <c r="BA938" s="495" t="str">
        <f t="shared" si="129"/>
        <v>ü</v>
      </c>
      <c r="BB938" s="495" t="str">
        <f t="shared" si="130"/>
        <v>ü</v>
      </c>
      <c r="BC938" s="495" t="str">
        <f t="shared" si="131"/>
        <v/>
      </c>
      <c r="BD938" s="513" t="str">
        <f>Pole_Calc!A$14</f>
        <v>App.7-V11I-P9.5.1.6</v>
      </c>
      <c r="BE938" s="429" t="s">
        <v>118</v>
      </c>
      <c r="BF938" s="289"/>
      <c r="BG938" s="289"/>
      <c r="BH938" s="290"/>
      <c r="BI938" s="289"/>
    </row>
    <row r="939" spans="1:61" ht="15.75" customHeight="1">
      <c r="A939" s="518"/>
      <c r="B939" s="450"/>
      <c r="C939" s="3"/>
      <c r="D939" s="83"/>
      <c r="E939" s="4"/>
      <c r="F939" s="4"/>
      <c r="G939" s="6">
        <v>50</v>
      </c>
      <c r="H939" s="449"/>
      <c r="I939" s="4"/>
      <c r="J939" s="3">
        <f>C940-7.5</f>
        <v>52564.200000000012</v>
      </c>
      <c r="K939" s="449" t="s">
        <v>117</v>
      </c>
      <c r="L939" s="449"/>
      <c r="M939" s="449" t="str">
        <f>IF(L939="","",
IF(AX939="PT",VLOOKUP(L939,Foundation_Calc!$V$79:$X$113,VLOOKUP(AX939,Foundation_Calc!$I$10:$J$13,2,FALSE),0),
IF(AX939="K",VLOOKUP(L939,Foundation_Calc!$V$117:$X$151,VLOOKUP(AX939,Foundation_Calc!$I$10:$J$13,2,FALSE),0),"")))</f>
        <v/>
      </c>
      <c r="N939" s="449"/>
      <c r="O939" s="449"/>
      <c r="P939" s="449"/>
      <c r="Q939" s="4"/>
      <c r="R939" s="6"/>
      <c r="S939" s="6"/>
      <c r="T939" s="4"/>
      <c r="U939" s="4"/>
      <c r="V939" s="4"/>
      <c r="W939" s="9"/>
      <c r="X939" s="9"/>
      <c r="Y939" s="9"/>
      <c r="Z939" s="9"/>
      <c r="AA939" s="9"/>
      <c r="AB939" s="9"/>
      <c r="AC939" s="449" t="str">
        <f t="shared" si="128"/>
        <v/>
      </c>
      <c r="AD939" s="449"/>
      <c r="AE939" s="449"/>
      <c r="AF939" s="4"/>
      <c r="AG939" s="83"/>
      <c r="AH939" s="4"/>
      <c r="AI939" s="4"/>
      <c r="AJ939" s="449"/>
      <c r="AK939" s="449"/>
      <c r="AL939" s="449"/>
      <c r="AM939" s="449"/>
      <c r="AN939" s="10"/>
      <c r="AO939" s="9"/>
      <c r="AP939" s="9"/>
      <c r="AQ939" s="9">
        <f>+FL_1($T$940,$T$938,$G$939,1200,9.28, 1*$F$940)</f>
        <v>0.3570323245220311</v>
      </c>
      <c r="AR939" s="9"/>
      <c r="AS939" s="9"/>
      <c r="AT939" s="9"/>
      <c r="AU939" s="428"/>
      <c r="AV939" s="428"/>
      <c r="AW939" s="449" t="str">
        <f>IF(C939&gt;0,VLOOKUP(C939,Foundation_Calc!$A$2:$C$13,3,1),
IF(J939&gt;0,VLOOKUP(J939,Foundation_Calc!$A$2:$C$13,3,1),""))</f>
        <v>Multi Soil</v>
      </c>
      <c r="AX939" s="449" t="str">
        <f>IF(C939&gt;0,VLOOKUP(C939,Foundation_Calc!$E$35:$G$65,3,1),
IF(J939&gt;0,VLOOKUP(J939,Foundation_Calc!$E$35:$G$65,3,1),""))</f>
        <v>PT</v>
      </c>
      <c r="AY939" s="10" t="str">
        <f>IF(L939="","",
IF(AX939="PT",VLOOKUP(L939,Foundation_Calc!$K$79:$R$113,VLOOKUP(AW939,Foundation_Calc!$I$2:$J$8,2,FALSE),0),
IF(AX939="K",VLOOKUP(L939,Foundation_Calc!$K$117:$R$151,VLOOKUP(AW939,Foundation_Calc!$I$2:$J$8,2,FALSE),0),"")))</f>
        <v/>
      </c>
      <c r="AZ939" s="10">
        <f>IF(K939="","",
IF(AX939="PT",VLOOKUP(K939,Foundation_Calc!$K$79:$R$113,VLOOKUP(AW939,Foundation_Calc!$I$2:$J$8,2,FALSE),0),
IF(AX939="K",VLOOKUP(K939,Foundation_Calc!$K$117:$R$151,VLOOKUP(AW939,Foundation_Calc!$I$2:$J$8,2,FALSE),0),"")))</f>
        <v>3.9</v>
      </c>
      <c r="BA939" s="495" t="str">
        <f t="shared" si="129"/>
        <v/>
      </c>
      <c r="BB939" s="495" t="str">
        <f t="shared" si="130"/>
        <v>ü</v>
      </c>
      <c r="BC939" s="495" t="str">
        <f t="shared" si="131"/>
        <v/>
      </c>
      <c r="BD939" s="513" t="str">
        <f>IF(AND(L939="",H939=""),"",
IF(H939="",Pole_Calc!A$9,
IF(H939="MP",Pole_Calc!A$10,
IF(H939="AnMP",Pole_Calc!A$11,
IF(H939="A",Pole_Calc!A$12,
IF(H939="S/A",Pole_Calc!A$13,
IF(H939="A/S",Pole_Calc!A$14,"Poner a mano")))))))</f>
        <v/>
      </c>
      <c r="BE939" s="429" t="s">
        <v>118</v>
      </c>
      <c r="BF939" s="290"/>
      <c r="BG939" s="290"/>
      <c r="BH939" s="290"/>
      <c r="BI939" s="290"/>
    </row>
    <row r="940" spans="1:61" ht="15.75" customHeight="1">
      <c r="A940" s="514"/>
      <c r="B940" s="450" t="s">
        <v>1428</v>
      </c>
      <c r="C940" s="3">
        <f>+$C$938+$G$939</f>
        <v>52571.700000000012</v>
      </c>
      <c r="D940" s="83"/>
      <c r="E940" s="4"/>
      <c r="F940" s="4">
        <v>-6281.0073452215756</v>
      </c>
      <c r="G940" s="6"/>
      <c r="H940" s="449" t="s">
        <v>121</v>
      </c>
      <c r="I940" s="4" t="s">
        <v>122</v>
      </c>
      <c r="J940" s="3"/>
      <c r="K940" s="449"/>
      <c r="L940" s="449" t="s">
        <v>151</v>
      </c>
      <c r="M940" s="449" t="str">
        <f>IF(L940="","",
IF(AX940="PT",VLOOKUP(L940,Foundation_Calc!$V$79:$X$113,VLOOKUP(AX940,Foundation_Calc!$I$10:$J$13,2,FALSE),0),
IF(AX940="K",VLOOKUP(L940,Foundation_Calc!$V$117:$X$151,VLOOKUP(AX940,Foundation_Calc!$I$10:$J$13,2,FALSE),0),"")))</f>
        <v>C4R</v>
      </c>
      <c r="N940" s="449" t="s">
        <v>134</v>
      </c>
      <c r="O940" s="449"/>
      <c r="P940" s="449"/>
      <c r="Q940" s="4"/>
      <c r="R940" s="6"/>
      <c r="S940" s="6"/>
      <c r="T940" s="4">
        <v>30</v>
      </c>
      <c r="U940" s="4"/>
      <c r="V940" s="4"/>
      <c r="W940" s="9">
        <v>1.4</v>
      </c>
      <c r="X940" s="9"/>
      <c r="Y940" s="9"/>
      <c r="Z940" s="9"/>
      <c r="AA940" s="9"/>
      <c r="AB940" s="9"/>
      <c r="AC940" s="449" t="str">
        <f t="shared" si="128"/>
        <v>PH</v>
      </c>
      <c r="AD940" s="449"/>
      <c r="AE940" s="449"/>
      <c r="AF940" s="4"/>
      <c r="AG940" s="83"/>
      <c r="AH940" s="4"/>
      <c r="AI940" s="4"/>
      <c r="AJ940" s="449"/>
      <c r="AK940" s="449"/>
      <c r="AL940" s="449"/>
      <c r="AM940" s="449" t="s">
        <v>552</v>
      </c>
      <c r="AN940" s="10">
        <v>5.5</v>
      </c>
      <c r="AO940" s="9"/>
      <c r="AP940" s="9"/>
      <c r="AQ940" s="9"/>
      <c r="AR940" s="9"/>
      <c r="AS940" s="9"/>
      <c r="AT940" s="9">
        <f>+ab($T$940,$T$938,$U$942,$G$939,$G$941, 1*$F$940,1200)</f>
        <v>10.715483527040842</v>
      </c>
      <c r="AU940" s="428"/>
      <c r="AV940" s="428"/>
      <c r="AW940" s="449" t="str">
        <f>IF(C940&gt;0,VLOOKUP(C940,Foundation_Calc!$A$2:$C$13,3,1),
IF(J940&gt;0,VLOOKUP(J940,Foundation_Calc!$A$2:$C$13,3,1),""))</f>
        <v>Multi Soil</v>
      </c>
      <c r="AX940" s="449" t="str">
        <f>IF(C940&gt;0,VLOOKUP(C940,Foundation_Calc!$E$35:$G$65,3,1),
IF(J940&gt;0,VLOOKUP(J940,Foundation_Calc!$E$35:$G$65,3,1),""))</f>
        <v>PT</v>
      </c>
      <c r="AY940" s="10">
        <f>IF(L940="","",
IF(AX940="PT",VLOOKUP(L940,Foundation_Calc!$K$79:$R$113,VLOOKUP(AW940,Foundation_Calc!$I$2:$J$8,2,FALSE),0),
IF(AX940="K",VLOOKUP(L940,Foundation_Calc!$K$117:$R$151,VLOOKUP(AW940,Foundation_Calc!$I$2:$J$8,2,FALSE),0),"")))</f>
        <v>3.5</v>
      </c>
      <c r="AZ940" s="10" t="str">
        <f>IF(K940="","",
IF(AX940="PT",VLOOKUP(K940,Foundation_Calc!$K$79:$R$113,VLOOKUP(AW940,Foundation_Calc!$I$2:$J$8,2,FALSE),0),
IF(AX940="K",VLOOKUP(K940,Foundation_Calc!$K$117:$R$151,VLOOKUP(AW940,Foundation_Calc!$I$2:$J$8,2,FALSE),0),"")))</f>
        <v/>
      </c>
      <c r="BA940" s="495" t="str">
        <f t="shared" si="129"/>
        <v>ü</v>
      </c>
      <c r="BB940" s="495" t="str">
        <f t="shared" si="130"/>
        <v/>
      </c>
      <c r="BC940" s="495" t="str">
        <f t="shared" si="131"/>
        <v/>
      </c>
      <c r="BD940" s="513" t="str">
        <f>IF(AND(L940="",H940=""),"",
IF(H940="",Pole_Calc!A$9,
IF(H940="MP",Pole_Calc!A$10,
IF(H940="AnMP",Pole_Calc!A$11,
IF(H940="A",Pole_Calc!A$12,
IF(H940="S/A",Pole_Calc!A$13,
IF(H940="A/S",Pole_Calc!A$14,"Poner a mano")))))))</f>
        <v>App.7-V11I-P9.5.1.6</v>
      </c>
      <c r="BE940" s="429" t="s">
        <v>118</v>
      </c>
      <c r="BF940" s="289"/>
      <c r="BG940" s="289"/>
      <c r="BH940" s="290"/>
      <c r="BI940" s="289"/>
    </row>
    <row r="941" spans="1:61" ht="15.75" customHeight="1">
      <c r="A941" s="514"/>
      <c r="B941" s="450"/>
      <c r="C941" s="3"/>
      <c r="D941" s="83"/>
      <c r="E941" s="4"/>
      <c r="F941" s="4"/>
      <c r="G941" s="6">
        <v>48</v>
      </c>
      <c r="H941" s="449"/>
      <c r="I941" s="4"/>
      <c r="J941" s="3"/>
      <c r="K941" s="449"/>
      <c r="L941" s="449"/>
      <c r="M941" s="449" t="str">
        <f>IF(L941="","",
IF(AX941="PT",VLOOKUP(L941,Foundation_Calc!$V$79:$X$113,VLOOKUP(AX941,Foundation_Calc!$I$10:$J$13,2,FALSE),0),
IF(AX941="K",VLOOKUP(L941,Foundation_Calc!$V$117:$X$151,VLOOKUP(AX941,Foundation_Calc!$I$10:$J$13,2,FALSE),0),"")))</f>
        <v/>
      </c>
      <c r="N941" s="449"/>
      <c r="O941" s="449"/>
      <c r="P941" s="449"/>
      <c r="Q941" s="4"/>
      <c r="R941" s="6"/>
      <c r="S941" s="6"/>
      <c r="T941" s="4"/>
      <c r="U941" s="4"/>
      <c r="V941" s="4"/>
      <c r="W941" s="9"/>
      <c r="X941" s="9"/>
      <c r="Y941" s="9"/>
      <c r="Z941" s="9"/>
      <c r="AA941" s="9"/>
      <c r="AB941" s="9"/>
      <c r="AC941" s="449" t="str">
        <f t="shared" si="128"/>
        <v/>
      </c>
      <c r="AD941" s="449"/>
      <c r="AE941" s="449"/>
      <c r="AF941" s="4"/>
      <c r="AG941" s="83"/>
      <c r="AH941" s="4"/>
      <c r="AI941" s="4"/>
      <c r="AJ941" s="449"/>
      <c r="AK941" s="449"/>
      <c r="AL941" s="449"/>
      <c r="AM941" s="449"/>
      <c r="AN941" s="10"/>
      <c r="AO941" s="9"/>
      <c r="AP941" s="9"/>
      <c r="AQ941" s="9">
        <f>+FL_1($U$942,$T$940,$G$941,1200,9.28, 1*$F$942)</f>
        <v>0.44263779294259653</v>
      </c>
      <c r="AR941" s="9"/>
      <c r="AS941" s="9"/>
      <c r="AT941" s="9"/>
      <c r="AU941" s="428"/>
      <c r="AV941" s="428"/>
      <c r="AW941" s="449" t="str">
        <f>IF(C941&gt;0,VLOOKUP(C941,Foundation_Calc!$A$2:$C$13,3,1),
IF(J941&gt;0,VLOOKUP(J941,Foundation_Calc!$A$2:$C$13,3,1),""))</f>
        <v/>
      </c>
      <c r="AX941" s="449" t="str">
        <f>IF(C941&gt;0,VLOOKUP(C941,Foundation_Calc!$E$35:$G$65,3,1),
IF(J941&gt;0,VLOOKUP(J941,Foundation_Calc!$E$35:$G$65,3,1),""))</f>
        <v/>
      </c>
      <c r="AY941" s="10" t="str">
        <f>IF(L941="","",
IF(AX941="PT",VLOOKUP(L941,Foundation_Calc!$K$79:$R$113,VLOOKUP(AW941,Foundation_Calc!$I$2:$J$8,2,FALSE),0),
IF(AX941="K",VLOOKUP(L941,Foundation_Calc!$K$117:$R$151,VLOOKUP(AW941,Foundation_Calc!$I$2:$J$8,2,FALSE),0),"")))</f>
        <v/>
      </c>
      <c r="AZ941" s="10" t="str">
        <f>IF(K941="","",
IF(AX941="PT",VLOOKUP(K941,Foundation_Calc!$K$79:$R$113,VLOOKUP(AW941,Foundation_Calc!$I$2:$J$8,2,FALSE),0),
IF(AX941="K",VLOOKUP(K941,Foundation_Calc!$K$117:$R$151,VLOOKUP(AW941,Foundation_Calc!$I$2:$J$8,2,FALSE),0),"")))</f>
        <v/>
      </c>
      <c r="BA941" s="495" t="str">
        <f t="shared" si="129"/>
        <v/>
      </c>
      <c r="BB941" s="495" t="str">
        <f t="shared" si="130"/>
        <v/>
      </c>
      <c r="BC941" s="495" t="str">
        <f t="shared" si="131"/>
        <v/>
      </c>
      <c r="BD941" s="513" t="str">
        <f>IF(AND(L941="",H941=""),"",
IF(H941="",Pole_Calc!A$9,
IF(H941="MP",Pole_Calc!A$10,
IF(H941="AnMP",Pole_Calc!A$11,
IF(H941="A",Pole_Calc!A$12,
IF(H941="S/A",Pole_Calc!A$13,
IF(H941="A/S",Pole_Calc!A$14,"Poner a mano")))))))</f>
        <v/>
      </c>
      <c r="BE941" s="429" t="s">
        <v>118</v>
      </c>
      <c r="BF941" s="290"/>
      <c r="BG941" s="290"/>
      <c r="BH941" s="290"/>
      <c r="BI941" s="290"/>
    </row>
    <row r="942" spans="1:61" ht="15.75" customHeight="1">
      <c r="A942" s="514"/>
      <c r="B942" s="450" t="s">
        <v>1429</v>
      </c>
      <c r="C942" s="3">
        <f>+$C$940+$G$941</f>
        <v>52619.700000000012</v>
      </c>
      <c r="D942" s="83"/>
      <c r="E942" s="4"/>
      <c r="F942" s="4">
        <v>-1785.2072770649893</v>
      </c>
      <c r="G942" s="6"/>
      <c r="H942" s="449" t="s">
        <v>131</v>
      </c>
      <c r="I942" s="4"/>
      <c r="J942" s="3"/>
      <c r="K942" s="449"/>
      <c r="L942" s="449" t="s">
        <v>183</v>
      </c>
      <c r="M942" s="449" t="str">
        <f>IF(L942="","",
IF(AX942="PT",VLOOKUP(L942,Foundation_Calc!$V$79:$X$113,VLOOKUP(AX942,Foundation_Calc!$I$10:$J$13,2,FALSE),0),
IF(AX942="K",VLOOKUP(L942,Foundation_Calc!$V$117:$X$151,VLOOKUP(AX942,Foundation_Calc!$I$10:$J$13,2,FALSE),0),"")))</f>
        <v>2C3R</v>
      </c>
      <c r="N942" s="449" t="s">
        <v>133</v>
      </c>
      <c r="O942" s="449" t="s">
        <v>124</v>
      </c>
      <c r="P942" s="449"/>
      <c r="Q942" s="4"/>
      <c r="R942" s="6"/>
      <c r="S942" s="6"/>
      <c r="T942" s="4">
        <v>15</v>
      </c>
      <c r="U942" s="4">
        <v>-30</v>
      </c>
      <c r="V942" s="4"/>
      <c r="W942" s="9">
        <v>1.4</v>
      </c>
      <c r="X942" s="9">
        <v>2</v>
      </c>
      <c r="Y942" s="9"/>
      <c r="Z942" s="9">
        <v>0.4</v>
      </c>
      <c r="AA942" s="9"/>
      <c r="AB942" s="9"/>
      <c r="AC942" s="449"/>
      <c r="AD942" s="449"/>
      <c r="AE942" s="449"/>
      <c r="AF942" s="4"/>
      <c r="AG942" s="83"/>
      <c r="AH942" s="4"/>
      <c r="AI942" s="4"/>
      <c r="AJ942" s="449"/>
      <c r="AK942" s="449"/>
      <c r="AL942" s="449"/>
      <c r="AM942" s="449" t="s">
        <v>552</v>
      </c>
      <c r="AN942" s="10">
        <v>5.5</v>
      </c>
      <c r="AO942" s="9"/>
      <c r="AP942" s="9"/>
      <c r="AQ942" s="9"/>
      <c r="AR942" s="9"/>
      <c r="AS942" s="9"/>
      <c r="AT942" s="9">
        <f>+ab($U$942,$T$940,$U$944,$G$941,$G$943, 1*$F$942,1200)</f>
        <v>-5.1122371403400617</v>
      </c>
      <c r="AU942" s="428"/>
      <c r="AV942" s="428"/>
      <c r="AW942" s="449" t="str">
        <f>IF(C942&gt;0,VLOOKUP(C942,Foundation_Calc!$A$2:$C$13,3,1),
IF(J942&gt;0,VLOOKUP(J942,Foundation_Calc!$A$2:$C$13,3,1),""))</f>
        <v>Multi Soil</v>
      </c>
      <c r="AX942" s="449" t="str">
        <f>IF(C942&gt;0,VLOOKUP(C942,Foundation_Calc!$E$35:$G$65,3,1),
IF(J942&gt;0,VLOOKUP(J942,Foundation_Calc!$E$35:$G$65,3,1),""))</f>
        <v>PT</v>
      </c>
      <c r="AY942" s="10">
        <f>IF(L942="","",
IF(AX942="PT",VLOOKUP(L942,Foundation_Calc!$K$79:$R$113,VLOOKUP(AW942,Foundation_Calc!$I$2:$J$8,2,FALSE),0),
IF(AX942="K",VLOOKUP(L942,Foundation_Calc!$K$117:$R$151,VLOOKUP(AW942,Foundation_Calc!$I$2:$J$8,2,FALSE),0),"")))</f>
        <v>3.7</v>
      </c>
      <c r="AZ942" s="10" t="str">
        <f>IF(K942="","",
IF(AX942="PT",VLOOKUP(K942,Foundation_Calc!$K$79:$R$113,VLOOKUP(AW942,Foundation_Calc!$I$2:$J$8,2,FALSE),0),
IF(AX942="K",VLOOKUP(K942,Foundation_Calc!$K$117:$R$151,VLOOKUP(AW942,Foundation_Calc!$I$2:$J$8,2,FALSE),0),"")))</f>
        <v/>
      </c>
      <c r="BA942" s="495" t="str">
        <f t="shared" si="129"/>
        <v>ü</v>
      </c>
      <c r="BB942" s="495" t="str">
        <f t="shared" si="130"/>
        <v/>
      </c>
      <c r="BC942" s="495" t="str">
        <f t="shared" si="131"/>
        <v/>
      </c>
      <c r="BD942" s="513" t="str">
        <f>IF(AND(L942="",H942=""),"",
IF(H942="",Pole_Calc!A$9,
IF(H942="MP",Pole_Calc!A$10,
IF(H942="AnMP",Pole_Calc!A$11,
IF(H942="A",Pole_Calc!A$12,
IF(H942="S/A",Pole_Calc!A$13,
IF(H942="A/S",Pole_Calc!A$14,"Poner a mano")))))))</f>
        <v>App.7-V11I-P9.5.1.5</v>
      </c>
      <c r="BE942" s="429" t="s">
        <v>118</v>
      </c>
      <c r="BF942" s="289"/>
      <c r="BG942" s="289"/>
      <c r="BH942" s="290"/>
      <c r="BI942" s="289"/>
    </row>
    <row r="943" spans="1:61" ht="15.75" customHeight="1">
      <c r="A943" s="514" t="s">
        <v>234</v>
      </c>
      <c r="B943" s="450"/>
      <c r="C943" s="3"/>
      <c r="D943" s="83"/>
      <c r="E943" s="4"/>
      <c r="F943" s="4"/>
      <c r="G943" s="6">
        <v>45</v>
      </c>
      <c r="H943" s="449"/>
      <c r="I943" s="4"/>
      <c r="J943" s="3"/>
      <c r="K943" s="449"/>
      <c r="L943" s="449"/>
      <c r="M943" s="449" t="str">
        <f>IF(L943="","",
IF(AX943="PT",VLOOKUP(L943,Foundation_Calc!$V$79:$X$113,VLOOKUP(AX943,Foundation_Calc!$I$10:$J$13,2,FALSE),0),
IF(AX943="K",VLOOKUP(L943,Foundation_Calc!$V$117:$X$151,VLOOKUP(AX943,Foundation_Calc!$I$10:$J$13,2,FALSE),0),"")))</f>
        <v/>
      </c>
      <c r="N943" s="449"/>
      <c r="O943" s="561"/>
      <c r="P943" s="449"/>
      <c r="Q943" s="4"/>
      <c r="R943" s="6"/>
      <c r="S943" s="6"/>
      <c r="T943" s="4"/>
      <c r="U943" s="4"/>
      <c r="V943" s="4"/>
      <c r="W943" s="9"/>
      <c r="X943" s="9"/>
      <c r="Y943" s="9"/>
      <c r="Z943" s="9"/>
      <c r="AA943" s="9"/>
      <c r="AB943" s="9"/>
      <c r="AC943" s="449" t="str">
        <f t="shared" si="128"/>
        <v/>
      </c>
      <c r="AD943" s="449"/>
      <c r="AE943" s="449"/>
      <c r="AF943" s="4"/>
      <c r="AG943" s="83"/>
      <c r="AH943" s="4"/>
      <c r="AI943" s="4"/>
      <c r="AJ943" s="449"/>
      <c r="AK943" s="449"/>
      <c r="AL943" s="449"/>
      <c r="AM943" s="449"/>
      <c r="AN943" s="10"/>
      <c r="AO943" s="9"/>
      <c r="AP943" s="9"/>
      <c r="AQ943" s="9">
        <f>+FL_1($T$944,$U$942,$G$943,1200,9.28, 1*$F$944)</f>
        <v>0.35582223965635207</v>
      </c>
      <c r="AR943" s="9"/>
      <c r="AS943" s="9"/>
      <c r="AT943" s="9"/>
      <c r="AU943" s="428"/>
      <c r="AV943" s="428"/>
      <c r="AW943" s="449" t="str">
        <f>IF(C943&gt;0,VLOOKUP(C943,Foundation_Calc!$A$2:$C$13,3,1),
IF(J943&gt;0,VLOOKUP(J943,Foundation_Calc!$A$2:$C$13,3,1),""))</f>
        <v/>
      </c>
      <c r="AX943" s="449" t="str">
        <f>IF(C943&gt;0,VLOOKUP(C943,Foundation_Calc!$E$35:$G$65,3,1),
IF(J943&gt;0,VLOOKUP(J943,Foundation_Calc!$E$35:$G$65,3,1),""))</f>
        <v/>
      </c>
      <c r="AY943" s="10" t="str">
        <f>IF(L943="","",
IF(AX943="PT",VLOOKUP(L943,Foundation_Calc!$K$79:$R$113,VLOOKUP(AW943,Foundation_Calc!$I$2:$J$8,2,FALSE),0),
IF(AX943="K",VLOOKUP(L943,Foundation_Calc!$K$117:$R$151,VLOOKUP(AW943,Foundation_Calc!$I$2:$J$8,2,FALSE),0),"")))</f>
        <v/>
      </c>
      <c r="AZ943" s="10" t="str">
        <f>IF(K943="","",
IF(AX943="PT",VLOOKUP(K943,Foundation_Calc!$K$79:$R$113,VLOOKUP(AW943,Foundation_Calc!$I$2:$J$8,2,FALSE),0),
IF(AX943="K",VLOOKUP(K943,Foundation_Calc!$K$117:$R$151,VLOOKUP(AW943,Foundation_Calc!$I$2:$J$8,2,FALSE),0),"")))</f>
        <v/>
      </c>
      <c r="BA943" s="495" t="str">
        <f t="shared" si="129"/>
        <v/>
      </c>
      <c r="BB943" s="495" t="str">
        <f t="shared" si="130"/>
        <v/>
      </c>
      <c r="BC943" s="495" t="str">
        <f t="shared" si="131"/>
        <v/>
      </c>
      <c r="BD943" s="513" t="str">
        <f>IF(AND(L943="",H943=""),"",
IF(H943="",Pole_Calc!A$9,
IF(H943="MP",Pole_Calc!A$10,
IF(H943="AnMP",Pole_Calc!A$11,
IF(H943="A",Pole_Calc!A$12,
IF(H943="S/A",Pole_Calc!A$13,
IF(H943="A/S",Pole_Calc!A$14,"Poner a mano")))))))</f>
        <v/>
      </c>
      <c r="BE943" s="429" t="s">
        <v>118</v>
      </c>
      <c r="BF943" s="290"/>
      <c r="BG943" s="290"/>
      <c r="BH943" s="290"/>
      <c r="BI943" s="290"/>
    </row>
    <row r="944" spans="1:61" ht="15.75" customHeight="1">
      <c r="A944" s="514" t="s">
        <v>1430</v>
      </c>
      <c r="B944" s="450" t="s">
        <v>1431</v>
      </c>
      <c r="C944" s="3">
        <f>+$C$942+$G$943</f>
        <v>52664.700000000012</v>
      </c>
      <c r="D944" s="83"/>
      <c r="E944" s="4"/>
      <c r="F944" s="4">
        <v>-1068.3205425663657</v>
      </c>
      <c r="G944" s="6"/>
      <c r="H944" s="449" t="s">
        <v>131</v>
      </c>
      <c r="I944" s="4" t="s">
        <v>132</v>
      </c>
      <c r="J944" s="3"/>
      <c r="K944" s="449"/>
      <c r="L944" s="449" t="s">
        <v>298</v>
      </c>
      <c r="M944" s="449" t="str">
        <f>IF(L944="","",
IF(AX944="PT",VLOOKUP(L944,Foundation_Calc!$V$79:$X$113,VLOOKUP(AX944,Foundation_Calc!$I$10:$J$13,2,FALSE),0),
IF(AX944="K",VLOOKUP(L944,Foundation_Calc!$V$117:$X$151,VLOOKUP(AX944,Foundation_Calc!$I$10:$J$13,2,FALSE),0),"")))</f>
        <v>2C3R</v>
      </c>
      <c r="N944" s="449" t="s">
        <v>124</v>
      </c>
      <c r="O944" s="449" t="s">
        <v>133</v>
      </c>
      <c r="P944" s="449"/>
      <c r="Q944" s="4"/>
      <c r="R944" s="6"/>
      <c r="S944" s="6"/>
      <c r="T944" s="4">
        <v>10</v>
      </c>
      <c r="U944" s="4">
        <v>-35</v>
      </c>
      <c r="V944" s="4"/>
      <c r="W944" s="9">
        <v>1.4</v>
      </c>
      <c r="X944" s="9">
        <v>2</v>
      </c>
      <c r="Y944" s="9"/>
      <c r="Z944" s="9"/>
      <c r="AA944" s="9">
        <v>0.4</v>
      </c>
      <c r="AB944" s="9"/>
      <c r="AC944" s="449" t="str">
        <f t="shared" si="128"/>
        <v>PHQ</v>
      </c>
      <c r="AD944" s="449"/>
      <c r="AE944" s="449"/>
      <c r="AF944" s="4"/>
      <c r="AG944" s="83"/>
      <c r="AH944" s="4"/>
      <c r="AI944" s="4"/>
      <c r="AJ944" s="449" t="s">
        <v>233</v>
      </c>
      <c r="AK944" s="449"/>
      <c r="AL944" s="449"/>
      <c r="AM944" s="449" t="s">
        <v>552</v>
      </c>
      <c r="AN944" s="10">
        <v>5.5</v>
      </c>
      <c r="AO944" s="9"/>
      <c r="AP944" s="9"/>
      <c r="AQ944" s="9"/>
      <c r="AR944" s="9"/>
      <c r="AS944" s="9"/>
      <c r="AT944" s="9">
        <f>+ab($T$944,$T$942,$T$946,$G$943,$G$945, 1*$F$944,1200)</f>
        <v>-6.0489968527335432</v>
      </c>
      <c r="AU944" s="428"/>
      <c r="AV944" s="428"/>
      <c r="AW944" s="449" t="str">
        <f>IF(C944&gt;0,VLOOKUP(C944,Foundation_Calc!$A$2:$C$13,3,1),
IF(J944&gt;0,VLOOKUP(J944,Foundation_Calc!$A$2:$C$13,3,1),""))</f>
        <v>Multi Soil</v>
      </c>
      <c r="AX944" s="449" t="str">
        <f>IF(C944&gt;0,VLOOKUP(C944,Foundation_Calc!$E$35:$G$65,3,1),
IF(J944&gt;0,VLOOKUP(J944,Foundation_Calc!$E$35:$G$65,3,1),""))</f>
        <v>PT</v>
      </c>
      <c r="AY944" s="10">
        <f>IF(L944="","",
IF(AX944="PT",VLOOKUP(L944,Foundation_Calc!$K$79:$R$113,VLOOKUP(AW944,Foundation_Calc!$I$2:$J$8,2,FALSE),0),
IF(AX944="K",VLOOKUP(L944,Foundation_Calc!$K$117:$R$151,VLOOKUP(AW944,Foundation_Calc!$I$2:$J$8,2,FALSE),0),"")))</f>
        <v>4</v>
      </c>
      <c r="AZ944" s="10" t="str">
        <f>IF(K944="","",
IF(AX944="PT",VLOOKUP(K944,Foundation_Calc!$K$79:$R$113,VLOOKUP(AW944,Foundation_Calc!$I$2:$J$8,2,FALSE),0),
IF(AX944="K",VLOOKUP(K944,Foundation_Calc!$K$117:$R$151,VLOOKUP(AW944,Foundation_Calc!$I$2:$J$8,2,FALSE),0),"")))</f>
        <v/>
      </c>
      <c r="BA944" s="495" t="str">
        <f t="shared" si="129"/>
        <v>ü</v>
      </c>
      <c r="BB944" s="495" t="str">
        <f t="shared" si="130"/>
        <v/>
      </c>
      <c r="BC944" s="495" t="str">
        <f t="shared" si="131"/>
        <v/>
      </c>
      <c r="BD944" s="513" t="str">
        <f>IF(AND(L944="",H944=""),"",
IF(H944="",Pole_Calc!A$9,
IF(H944="MP",Pole_Calc!A$10,
IF(H944="AnMP",Pole_Calc!A$11,
IF(H944="A",Pole_Calc!A$12,
IF(H944="S/A",Pole_Calc!A$13,
IF(H944="A/S",Pole_Calc!A$14,"Poner a mano")))))))</f>
        <v>App.7-V11I-P9.5.1.5</v>
      </c>
      <c r="BE944" s="429" t="s">
        <v>118</v>
      </c>
      <c r="BF944" s="289"/>
      <c r="BG944" s="289"/>
      <c r="BH944" s="290"/>
      <c r="BI944" s="289"/>
    </row>
    <row r="945" spans="1:61" ht="15.75" customHeight="1">
      <c r="A945" s="518"/>
      <c r="B945" s="450"/>
      <c r="C945" s="3"/>
      <c r="D945" s="83"/>
      <c r="E945" s="4"/>
      <c r="F945" s="4"/>
      <c r="G945" s="6">
        <v>41</v>
      </c>
      <c r="H945" s="449"/>
      <c r="I945" s="4"/>
      <c r="J945" s="3"/>
      <c r="K945" s="449"/>
      <c r="L945" s="449"/>
      <c r="M945" s="449" t="str">
        <f>IF(L945="","",
IF(AX945="PT",VLOOKUP(L945,Foundation_Calc!$V$79:$X$113,VLOOKUP(AX945,Foundation_Calc!$I$10:$J$13,2,FALSE),0),
IF(AX945="K",VLOOKUP(L945,Foundation_Calc!$V$117:$X$151,VLOOKUP(AX945,Foundation_Calc!$I$10:$J$13,2,FALSE),0),"")))</f>
        <v/>
      </c>
      <c r="N945" s="449"/>
      <c r="O945" s="449"/>
      <c r="P945" s="449"/>
      <c r="Q945" s="4"/>
      <c r="R945" s="6"/>
      <c r="S945" s="6"/>
      <c r="T945" s="4"/>
      <c r="U945" s="4"/>
      <c r="V945" s="4"/>
      <c r="W945" s="9"/>
      <c r="X945" s="9"/>
      <c r="Y945" s="9"/>
      <c r="Z945" s="9"/>
      <c r="AA945" s="9"/>
      <c r="AB945" s="9"/>
      <c r="AC945" s="449" t="str">
        <f t="shared" si="128"/>
        <v/>
      </c>
      <c r="AD945" s="449"/>
      <c r="AE945" s="449"/>
      <c r="AF945" s="4"/>
      <c r="AG945" s="83"/>
      <c r="AH945" s="4"/>
      <c r="AI945" s="4"/>
      <c r="AJ945" s="449"/>
      <c r="AK945" s="449"/>
      <c r="AL945" s="449"/>
      <c r="AM945" s="449"/>
      <c r="AN945" s="10"/>
      <c r="AO945" s="9"/>
      <c r="AP945" s="9"/>
      <c r="AQ945" s="9">
        <f>+FL_1($T$946,$T$944,$G$945,1200,9.28, 1*$F$946)</f>
        <v>0.35438216663716404</v>
      </c>
      <c r="AR945" s="9"/>
      <c r="AS945" s="9"/>
      <c r="AT945" s="9"/>
      <c r="AU945" s="428"/>
      <c r="AV945" s="428"/>
      <c r="AW945" s="449" t="str">
        <f>IF(C945&gt;0,VLOOKUP(C945,Foundation_Calc!$A$2:$C$13,3,1),
IF(J945&gt;0,VLOOKUP(J945,Foundation_Calc!$A$2:$C$13,3,1),""))</f>
        <v/>
      </c>
      <c r="AX945" s="449" t="str">
        <f>IF(C945&gt;0,VLOOKUP(C945,Foundation_Calc!$E$35:$G$65,3,1),
IF(J945&gt;0,VLOOKUP(J945,Foundation_Calc!$E$35:$G$65,3,1),""))</f>
        <v/>
      </c>
      <c r="AY945" s="10" t="str">
        <f>IF(L945="","",
IF(AX945="PT",VLOOKUP(L945,Foundation_Calc!$K$79:$R$113,VLOOKUP(AW945,Foundation_Calc!$I$2:$J$8,2,FALSE),0),
IF(AX945="K",VLOOKUP(L945,Foundation_Calc!$K$117:$R$151,VLOOKUP(AW945,Foundation_Calc!$I$2:$J$8,2,FALSE),0),"")))</f>
        <v/>
      </c>
      <c r="AZ945" s="10" t="str">
        <f>IF(K945="","",
IF(AX945="PT",VLOOKUP(K945,Foundation_Calc!$K$79:$R$113,VLOOKUP(AW945,Foundation_Calc!$I$2:$J$8,2,FALSE),0),
IF(AX945="K",VLOOKUP(K945,Foundation_Calc!$K$117:$R$151,VLOOKUP(AW945,Foundation_Calc!$I$2:$J$8,2,FALSE),0),"")))</f>
        <v/>
      </c>
      <c r="BA945" s="495" t="str">
        <f t="shared" si="129"/>
        <v/>
      </c>
      <c r="BB945" s="495" t="str">
        <f t="shared" si="130"/>
        <v/>
      </c>
      <c r="BC945" s="495" t="str">
        <f t="shared" si="131"/>
        <v/>
      </c>
      <c r="BD945" s="513" t="str">
        <f>IF(AND(L945="",H945=""),"",
IF(H945="",Pole_Calc!A$9,
IF(H945="MP",Pole_Calc!A$10,
IF(H945="AnMP",Pole_Calc!A$11,
IF(H945="A",Pole_Calc!A$12,
IF(H945="S/A",Pole_Calc!A$13,
IF(H945="A/S",Pole_Calc!A$14,"Poner a mano")))))))</f>
        <v/>
      </c>
      <c r="BE945" s="429" t="s">
        <v>118</v>
      </c>
      <c r="BF945" s="290"/>
      <c r="BG945" s="290"/>
      <c r="BH945" s="290"/>
      <c r="BI945" s="290"/>
    </row>
    <row r="946" spans="1:61" ht="15.75" customHeight="1">
      <c r="A946" s="514"/>
      <c r="B946" s="450" t="s">
        <v>1432</v>
      </c>
      <c r="C946" s="3">
        <f>+$C$944+$G$945</f>
        <v>52705.700000000012</v>
      </c>
      <c r="D946" s="83"/>
      <c r="E946" s="4"/>
      <c r="F946" s="4">
        <v>-782.15079053959516</v>
      </c>
      <c r="G946" s="6"/>
      <c r="H946" s="449"/>
      <c r="I946" s="4"/>
      <c r="J946" s="3"/>
      <c r="K946" s="449"/>
      <c r="L946" s="449" t="s">
        <v>201</v>
      </c>
      <c r="M946" s="449" t="str">
        <f>IF(L946="","",
IF(AX946="PT",VLOOKUP(L946,Foundation_Calc!$V$79:$X$113,VLOOKUP(AX946,Foundation_Calc!$I$10:$J$13,2,FALSE),0),
IF(AX946="K",VLOOKUP(L946,Foundation_Calc!$V$117:$X$151,VLOOKUP(AX946,Foundation_Calc!$I$10:$J$13,2,FALSE),0),"")))</f>
        <v/>
      </c>
      <c r="N946" s="449" t="s">
        <v>343</v>
      </c>
      <c r="O946" s="449"/>
      <c r="P946" s="449"/>
      <c r="Q946" s="4"/>
      <c r="R946" s="6"/>
      <c r="S946" s="6"/>
      <c r="T946" s="4">
        <v>-30</v>
      </c>
      <c r="U946" s="4"/>
      <c r="V946" s="4"/>
      <c r="W946" s="9">
        <v>1.4</v>
      </c>
      <c r="X946" s="9"/>
      <c r="Y946" s="9"/>
      <c r="Z946" s="9"/>
      <c r="AA946" s="9"/>
      <c r="AB946" s="9"/>
      <c r="AC946" s="449" t="str">
        <f t="shared" si="128"/>
        <v>PHC</v>
      </c>
      <c r="AD946" s="449"/>
      <c r="AE946" s="449"/>
      <c r="AF946" s="4"/>
      <c r="AG946" s="83"/>
      <c r="AH946" s="4"/>
      <c r="AI946" s="4"/>
      <c r="AJ946" s="449"/>
      <c r="AK946" s="449" t="s">
        <v>451</v>
      </c>
      <c r="AL946" s="449"/>
      <c r="AM946" s="449" t="s">
        <v>716</v>
      </c>
      <c r="AN946" s="10">
        <v>5.5</v>
      </c>
      <c r="AO946" s="9"/>
      <c r="AP946" s="9"/>
      <c r="AQ946" s="9"/>
      <c r="AR946" s="9"/>
      <c r="AS946" s="9"/>
      <c r="AT946" s="9">
        <f>+ab($T$946,$T$944,$T$948,$G$945,$G$947, 1*$F$946,1200)</f>
        <v>-3.0833191113821683</v>
      </c>
      <c r="AU946" s="428"/>
      <c r="AV946" s="428"/>
      <c r="AW946" s="449" t="s">
        <v>201</v>
      </c>
      <c r="AX946" s="449" t="s">
        <v>201</v>
      </c>
      <c r="AY946" s="10" t="str">
        <f>IF(L946="","",
IF(AX946="PT",VLOOKUP(L946,Foundation_Calc!$K$79:$R$113,VLOOKUP(AW946,Foundation_Calc!$I$2:$J$8,2,FALSE),0),
IF(AX946="K",VLOOKUP(L946,Foundation_Calc!$K$117:$R$151,VLOOKUP(AW946,Foundation_Calc!$I$2:$J$8,2,FALSE),0),"")))</f>
        <v/>
      </c>
      <c r="AZ946" s="10" t="str">
        <f>IF(K946="","",
IF(AX946="PT",VLOOKUP(K946,Foundation_Calc!$K$79:$R$113,VLOOKUP(AW946,Foundation_Calc!$I$2:$J$8,2,FALSE),0),
IF(AX946="K",VLOOKUP(K946,Foundation_Calc!$K$117:$R$151,VLOOKUP(AW946,Foundation_Calc!$I$2:$J$8,2,FALSE),0),"")))</f>
        <v/>
      </c>
      <c r="BA946" s="495" t="str">
        <f t="shared" si="129"/>
        <v/>
      </c>
      <c r="BB946" s="495" t="str">
        <f t="shared" si="130"/>
        <v/>
      </c>
      <c r="BC946" s="495" t="str">
        <f t="shared" si="131"/>
        <v/>
      </c>
      <c r="BD946" s="513"/>
      <c r="BE946" s="429" t="s">
        <v>118</v>
      </c>
      <c r="BF946" s="289"/>
      <c r="BG946" s="289"/>
      <c r="BH946" s="290"/>
      <c r="BI946" s="289"/>
    </row>
    <row r="947" spans="1:61" ht="15.75" customHeight="1">
      <c r="A947" s="514"/>
      <c r="B947" s="450"/>
      <c r="C947" s="3"/>
      <c r="D947" s="83"/>
      <c r="E947" s="4"/>
      <c r="F947" s="4"/>
      <c r="G947" s="6">
        <v>41</v>
      </c>
      <c r="H947" s="449"/>
      <c r="I947" s="4"/>
      <c r="J947" s="3"/>
      <c r="K947" s="449"/>
      <c r="L947" s="449"/>
      <c r="M947" s="449" t="str">
        <f>IF(L947="","",
IF(AX947="PT",VLOOKUP(L947,Foundation_Calc!$V$79:$X$113,VLOOKUP(AX947,Foundation_Calc!$I$10:$J$13,2,FALSE),0),
IF(AX947="K",VLOOKUP(L947,Foundation_Calc!$V$117:$X$151,VLOOKUP(AX947,Foundation_Calc!$I$10:$J$13,2,FALSE),0),"")))</f>
        <v/>
      </c>
      <c r="N947" s="449"/>
      <c r="O947" s="449"/>
      <c r="P947" s="449"/>
      <c r="Q947" s="4"/>
      <c r="R947" s="6"/>
      <c r="S947" s="6"/>
      <c r="T947" s="4"/>
      <c r="U947" s="4"/>
      <c r="V947" s="4"/>
      <c r="W947" s="9"/>
      <c r="X947" s="9"/>
      <c r="Y947" s="9"/>
      <c r="Z947" s="9"/>
      <c r="AA947" s="9"/>
      <c r="AB947" s="9"/>
      <c r="AC947" s="449" t="str">
        <f t="shared" si="128"/>
        <v/>
      </c>
      <c r="AD947" s="449"/>
      <c r="AE947" s="449"/>
      <c r="AF947" s="4"/>
      <c r="AG947" s="83"/>
      <c r="AH947" s="4"/>
      <c r="AI947" s="4"/>
      <c r="AJ947" s="449"/>
      <c r="AK947" s="449"/>
      <c r="AL947" s="449"/>
      <c r="AM947" s="449"/>
      <c r="AN947" s="10"/>
      <c r="AO947" s="9"/>
      <c r="AP947" s="9"/>
      <c r="AQ947" s="9">
        <f>+FL_2($T$948,$T$946,$G$947,1200,9.28, 1*$F$948)</f>
        <v>-0.3</v>
      </c>
      <c r="AR947" s="9"/>
      <c r="AS947" s="9"/>
      <c r="AT947" s="9"/>
      <c r="AU947" s="428"/>
      <c r="AV947" s="428"/>
      <c r="AW947" s="449" t="str">
        <f>IF(C947&gt;0,VLOOKUP(C947,Foundation_Calc!$A$2:$C$13,3,1),
IF(J947&gt;0,VLOOKUP(J947,Foundation_Calc!$A$2:$C$13,3,1),""))</f>
        <v/>
      </c>
      <c r="AX947" s="449"/>
      <c r="AY947" s="10" t="str">
        <f>IF(L947="","",
IF(AX947="PT",VLOOKUP(L947,Foundation_Calc!$K$79:$R$113,VLOOKUP(AW947,Foundation_Calc!$I$2:$J$8,2,FALSE),0),
IF(AX947="K",VLOOKUP(L947,Foundation_Calc!$K$117:$R$151,VLOOKUP(AW947,Foundation_Calc!$I$2:$J$8,2,FALSE),0),"")))</f>
        <v/>
      </c>
      <c r="AZ947" s="10" t="str">
        <f>IF(K947="","",
IF(AX947="PT",VLOOKUP(K947,Foundation_Calc!$K$79:$R$113,VLOOKUP(AW947,Foundation_Calc!$I$2:$J$8,2,FALSE),0),
IF(AX947="K",VLOOKUP(K947,Foundation_Calc!$K$117:$R$151,VLOOKUP(AW947,Foundation_Calc!$I$2:$J$8,2,FALSE),0),"")))</f>
        <v/>
      </c>
      <c r="BA947" s="495" t="str">
        <f t="shared" si="129"/>
        <v/>
      </c>
      <c r="BB947" s="495" t="str">
        <f t="shared" si="130"/>
        <v/>
      </c>
      <c r="BC947" s="495" t="str">
        <f t="shared" si="131"/>
        <v/>
      </c>
      <c r="BD947" s="513" t="str">
        <f>IF(AND(L947="",H947=""),"",
IF(H947="",Pole_Calc!A$9,
IF(H947="MP",Pole_Calc!A$10,
IF(H947="AnMP",Pole_Calc!A$11,
IF(H947="A",Pole_Calc!A$12,
IF(H947="S/A",Pole_Calc!A$13,
IF(H947="A/S",Pole_Calc!A$14,"Poner a mano")))))))</f>
        <v/>
      </c>
      <c r="BE947" s="429" t="s">
        <v>118</v>
      </c>
      <c r="BF947" s="290"/>
      <c r="BG947" s="290"/>
      <c r="BH947" s="290"/>
      <c r="BI947" s="290"/>
    </row>
    <row r="948" spans="1:61" ht="15.75" customHeight="1">
      <c r="A948" s="514"/>
      <c r="B948" s="450" t="s">
        <v>1433</v>
      </c>
      <c r="C948" s="3">
        <f>+$C$946+$G$947</f>
        <v>52746.700000000012</v>
      </c>
      <c r="D948" s="83"/>
      <c r="E948" s="4"/>
      <c r="F948" s="4">
        <v>-750</v>
      </c>
      <c r="G948" s="6"/>
      <c r="H948" s="449"/>
      <c r="I948" s="4"/>
      <c r="J948" s="3"/>
      <c r="K948" s="449"/>
      <c r="L948" s="449" t="s">
        <v>201</v>
      </c>
      <c r="M948" s="449" t="str">
        <f>IF(L948="","",
IF(AX948="PT",VLOOKUP(L948,Foundation_Calc!$V$79:$X$113,VLOOKUP(AX948,Foundation_Calc!$I$10:$J$13,2,FALSE),0),
IF(AX948="K",VLOOKUP(L948,Foundation_Calc!$V$117:$X$151,VLOOKUP(AX948,Foundation_Calc!$I$10:$J$13,2,FALSE),0),"")))</f>
        <v/>
      </c>
      <c r="N948" s="449" t="s">
        <v>343</v>
      </c>
      <c r="O948" s="449"/>
      <c r="P948" s="449"/>
      <c r="Q948" s="4"/>
      <c r="R948" s="6"/>
      <c r="S948" s="6"/>
      <c r="T948" s="4">
        <v>-30</v>
      </c>
      <c r="U948" s="4"/>
      <c r="V948" s="4"/>
      <c r="W948" s="9">
        <v>1.4</v>
      </c>
      <c r="X948" s="9"/>
      <c r="Y948" s="9"/>
      <c r="Z948" s="9"/>
      <c r="AA948" s="9"/>
      <c r="AB948" s="9"/>
      <c r="AC948" s="449" t="str">
        <f t="shared" si="128"/>
        <v>PHC</v>
      </c>
      <c r="AD948" s="449"/>
      <c r="AE948" s="449"/>
      <c r="AF948" s="4"/>
      <c r="AG948" s="83"/>
      <c r="AH948" s="4"/>
      <c r="AI948" s="4"/>
      <c r="AJ948" s="449"/>
      <c r="AK948" s="449" t="s">
        <v>451</v>
      </c>
      <c r="AL948" s="449"/>
      <c r="AM948" s="449" t="s">
        <v>716</v>
      </c>
      <c r="AN948" s="10">
        <v>5.5</v>
      </c>
      <c r="AO948" s="9"/>
      <c r="AP948" s="9"/>
      <c r="AQ948" s="9"/>
      <c r="AR948" s="9"/>
      <c r="AS948" s="9"/>
      <c r="AT948" s="9">
        <f>+ab($T$948,$T$946,$T$950,$G$947,$G$949, 1*$F$948,1200)</f>
        <v>-3.5058497590400011</v>
      </c>
      <c r="AU948" s="428"/>
      <c r="AV948" s="428"/>
      <c r="AW948" s="449" t="s">
        <v>201</v>
      </c>
      <c r="AX948" s="449" t="s">
        <v>201</v>
      </c>
      <c r="AY948" s="10" t="str">
        <f>IF(L948="","",
IF(AX948="PT",VLOOKUP(L948,Foundation_Calc!$K$79:$R$113,VLOOKUP(AW948,Foundation_Calc!$I$2:$J$8,2,FALSE),0),
IF(AX948="K",VLOOKUP(L948,Foundation_Calc!$K$117:$R$151,VLOOKUP(AW948,Foundation_Calc!$I$2:$J$8,2,FALSE),0),"")))</f>
        <v/>
      </c>
      <c r="AZ948" s="10" t="str">
        <f>IF(K948="","",
IF(AX948="PT",VLOOKUP(K948,Foundation_Calc!$K$79:$R$113,VLOOKUP(AW948,Foundation_Calc!$I$2:$J$8,2,FALSE),0),
IF(AX948="K",VLOOKUP(K948,Foundation_Calc!$K$117:$R$151,VLOOKUP(AW948,Foundation_Calc!$I$2:$J$8,2,FALSE),0),"")))</f>
        <v/>
      </c>
      <c r="BA948" s="495" t="str">
        <f t="shared" si="129"/>
        <v/>
      </c>
      <c r="BB948" s="495" t="str">
        <f t="shared" si="130"/>
        <v/>
      </c>
      <c r="BC948" s="495" t="str">
        <f t="shared" si="131"/>
        <v/>
      </c>
      <c r="BD948" s="513"/>
      <c r="BE948" s="429" t="s">
        <v>118</v>
      </c>
      <c r="BF948" s="289"/>
      <c r="BG948" s="289"/>
      <c r="BH948" s="290"/>
      <c r="BI948" s="289"/>
    </row>
    <row r="949" spans="1:61" ht="15.75" customHeight="1">
      <c r="A949" s="514"/>
      <c r="B949" s="450"/>
      <c r="C949" s="3"/>
      <c r="D949" s="83"/>
      <c r="E949" s="4"/>
      <c r="F949" s="4"/>
      <c r="G949" s="6">
        <v>41</v>
      </c>
      <c r="H949" s="449"/>
      <c r="I949" s="4"/>
      <c r="J949" s="3"/>
      <c r="K949" s="449"/>
      <c r="L949" s="449"/>
      <c r="M949" s="449" t="str">
        <f>IF(L949="","",
IF(AX949="PT",VLOOKUP(L949,Foundation_Calc!$V$79:$X$113,VLOOKUP(AX949,Foundation_Calc!$I$10:$J$13,2,FALSE),0),
IF(AX949="K",VLOOKUP(L949,Foundation_Calc!$V$117:$X$151,VLOOKUP(AX949,Foundation_Calc!$I$10:$J$13,2,FALSE),0),"")))</f>
        <v/>
      </c>
      <c r="N949" s="449"/>
      <c r="O949" s="561"/>
      <c r="P949" s="449"/>
      <c r="Q949" s="4"/>
      <c r="R949" s="6"/>
      <c r="S949" s="6"/>
      <c r="T949" s="4"/>
      <c r="U949" s="4"/>
      <c r="V949" s="4"/>
      <c r="W949" s="9"/>
      <c r="X949" s="9"/>
      <c r="Y949" s="9"/>
      <c r="Z949" s="9"/>
      <c r="AA949" s="9"/>
      <c r="AB949" s="9"/>
      <c r="AC949" s="449" t="str">
        <f t="shared" si="128"/>
        <v/>
      </c>
      <c r="AD949" s="449"/>
      <c r="AE949" s="449"/>
      <c r="AF949" s="4"/>
      <c r="AG949" s="83"/>
      <c r="AH949" s="4"/>
      <c r="AI949" s="4"/>
      <c r="AJ949" s="449"/>
      <c r="AK949" s="449"/>
      <c r="AL949" s="449"/>
      <c r="AM949" s="449"/>
      <c r="AN949" s="10"/>
      <c r="AO949" s="9"/>
      <c r="AP949" s="9"/>
      <c r="AQ949" s="9">
        <f>+FL_2($T$950,$T$948,$G$949,1200,9.28, 1*$F$950)</f>
        <v>-0.3</v>
      </c>
      <c r="AR949" s="9"/>
      <c r="AS949" s="9"/>
      <c r="AT949" s="9"/>
      <c r="AU949" s="428"/>
      <c r="AV949" s="428"/>
      <c r="AW949" s="449" t="str">
        <f>IF(C949&gt;0,VLOOKUP(C949,Foundation_Calc!$A$2:$C$13,3,1),
IF(J949&gt;0,VLOOKUP(J949,Foundation_Calc!$A$2:$C$13,3,1),""))</f>
        <v/>
      </c>
      <c r="AX949" s="449" t="str">
        <f>IF(C949&gt;0,VLOOKUP(C949,Foundation_Calc!$E$35:$G$65,3,1),
IF(J949&gt;0,VLOOKUP(J949,Foundation_Calc!$E$35:$G$65,3,1),""))</f>
        <v/>
      </c>
      <c r="AY949" s="10" t="str">
        <f>IF(L949="","",
IF(AX949="PT",VLOOKUP(L949,Foundation_Calc!$K$79:$R$113,VLOOKUP(AW949,Foundation_Calc!$I$2:$J$8,2,FALSE),0),
IF(AX949="K",VLOOKUP(L949,Foundation_Calc!$K$117:$R$151,VLOOKUP(AW949,Foundation_Calc!$I$2:$J$8,2,FALSE),0),"")))</f>
        <v/>
      </c>
      <c r="AZ949" s="10" t="str">
        <f>IF(K949="","",
IF(AX949="PT",VLOOKUP(K949,Foundation_Calc!$K$79:$R$113,VLOOKUP(AW949,Foundation_Calc!$I$2:$J$8,2,FALSE),0),
IF(AX949="K",VLOOKUP(K949,Foundation_Calc!$K$117:$R$151,VLOOKUP(AW949,Foundation_Calc!$I$2:$J$8,2,FALSE),0),"")))</f>
        <v/>
      </c>
      <c r="BA949" s="495" t="str">
        <f t="shared" si="129"/>
        <v/>
      </c>
      <c r="BB949" s="495" t="str">
        <f t="shared" si="130"/>
        <v/>
      </c>
      <c r="BC949" s="495" t="str">
        <f t="shared" si="131"/>
        <v/>
      </c>
      <c r="BD949" s="513" t="str">
        <f>IF(AND(L949="",H949=""),"",
IF(H949="",Pole_Calc!A$9,
IF(H949="MP",Pole_Calc!A$10,
IF(H949="AnMP",Pole_Calc!A$11,
IF(H949="A",Pole_Calc!A$12,
IF(H949="S/A",Pole_Calc!A$13,
IF(H949="A/S",Pole_Calc!A$14,"Poner a mano")))))))</f>
        <v/>
      </c>
      <c r="BE949" s="429" t="s">
        <v>118</v>
      </c>
      <c r="BF949" s="290"/>
      <c r="BG949" s="290"/>
      <c r="BH949" s="290"/>
      <c r="BI949" s="290"/>
    </row>
    <row r="950" spans="1:61" ht="15.75" customHeight="1">
      <c r="A950" s="514"/>
      <c r="B950" s="450" t="s">
        <v>1434</v>
      </c>
      <c r="C950" s="3">
        <f>+$C$948+$G$949+2.09</f>
        <v>52789.790000000008</v>
      </c>
      <c r="D950" s="83"/>
      <c r="E950" s="4"/>
      <c r="F950" s="4">
        <v>-750</v>
      </c>
      <c r="G950" s="6"/>
      <c r="H950" s="449"/>
      <c r="I950" s="4" t="s">
        <v>549</v>
      </c>
      <c r="J950" s="3"/>
      <c r="K950" s="449"/>
      <c r="L950" s="449" t="s">
        <v>158</v>
      </c>
      <c r="M950" s="449" t="str">
        <f>IF(L950="","",
IF(AX950="PT",VLOOKUP(L950,Foundation_Calc!$V$79:$X$113,VLOOKUP(AX950,Foundation_Calc!$I$10:$J$13,2,FALSE),0),
IF(AX950="K",VLOOKUP(L950,Foundation_Calc!$V$117:$X$151,VLOOKUP(AX950,Foundation_Calc!$I$10:$J$13,2,FALSE),0),"")))</f>
        <v>C4R</v>
      </c>
      <c r="N950" s="449" t="s">
        <v>124</v>
      </c>
      <c r="O950" s="449"/>
      <c r="P950" s="449"/>
      <c r="Q950" s="4"/>
      <c r="R950" s="6"/>
      <c r="S950" s="6"/>
      <c r="T950" s="4">
        <v>-30</v>
      </c>
      <c r="U950" s="4"/>
      <c r="V950" s="4"/>
      <c r="W950" s="9">
        <v>1.4</v>
      </c>
      <c r="X950" s="9"/>
      <c r="Y950" s="9"/>
      <c r="Z950" s="9"/>
      <c r="AA950" s="9"/>
      <c r="AB950" s="9"/>
      <c r="AC950" s="449" t="str">
        <f t="shared" si="128"/>
        <v>PHC</v>
      </c>
      <c r="AD950" s="449"/>
      <c r="AE950" s="449"/>
      <c r="AF950" s="4"/>
      <c r="AG950" s="83"/>
      <c r="AH950" s="4"/>
      <c r="AI950" s="4"/>
      <c r="AJ950" s="449"/>
      <c r="AK950" s="449"/>
      <c r="AL950" s="449"/>
      <c r="AM950" s="449" t="s">
        <v>552</v>
      </c>
      <c r="AN950" s="10">
        <v>5.5</v>
      </c>
      <c r="AO950" s="9"/>
      <c r="AP950" s="9"/>
      <c r="AQ950" s="9"/>
      <c r="AR950" s="9"/>
      <c r="AS950" s="9"/>
      <c r="AT950" s="9">
        <f>+ab($T$950,$T$948,$T$952,$G$949,$G$951, 1*$F$950,1200)</f>
        <v>-3.5058497590400011</v>
      </c>
      <c r="AU950" s="428"/>
      <c r="AV950" s="428"/>
      <c r="AW950" s="449" t="str">
        <f>IF(C950&gt;0,VLOOKUP(C950,Foundation_Calc!$A$2:$C$13,3,1),
IF(J950&gt;0,VLOOKUP(J950,Foundation_Calc!$A$2:$C$13,3,1),""))</f>
        <v>Multi Soil</v>
      </c>
      <c r="AX950" s="449" t="str">
        <f>IF(C950&gt;0,VLOOKUP(C950,Foundation_Calc!$E$35:$G$65,3,1),
IF(J950&gt;0,VLOOKUP(J950,Foundation_Calc!$E$35:$G$65,3,1),""))</f>
        <v>PT</v>
      </c>
      <c r="AY950" s="10">
        <f>IF(L950="","",
IF(AX950="PT",VLOOKUP(L950,Foundation_Calc!$K$79:$R$113,VLOOKUP(AW950,Foundation_Calc!$I$2:$J$8,2,FALSE),0),
IF(AX950="K",VLOOKUP(L950,Foundation_Calc!$K$117:$R$151,VLOOKUP(AW950,Foundation_Calc!$I$2:$J$8,2,FALSE),0),"")))</f>
        <v>3.5</v>
      </c>
      <c r="AZ950" s="10" t="str">
        <f>IF(K950="","",
IF(AX950="PT",VLOOKUP(K950,Foundation_Calc!$K$79:$R$113,VLOOKUP(AW950,Foundation_Calc!$I$2:$J$8,2,FALSE),0),
IF(AX950="K",VLOOKUP(K950,Foundation_Calc!$K$117:$R$151,VLOOKUP(AW950,Foundation_Calc!$I$2:$J$8,2,FALSE),0),"")))</f>
        <v/>
      </c>
      <c r="BA950" s="495" t="str">
        <f t="shared" si="129"/>
        <v>ü</v>
      </c>
      <c r="BB950" s="495" t="str">
        <f t="shared" si="130"/>
        <v/>
      </c>
      <c r="BC950" s="495" t="str">
        <f t="shared" si="131"/>
        <v/>
      </c>
      <c r="BD950" s="513" t="str">
        <f>IF(AND(L950="",H950=""),"",
IF(H950="",Pole_Calc!A$9,
IF(H950="MP",Pole_Calc!A$10,
IF(H950="AnMP",Pole_Calc!A$11,
IF(H950="A",Pole_Calc!A$12,
IF(H950="S/A",Pole_Calc!A$13,
IF(H950="A/S",Pole_Calc!A$14,"Poner a mano")))))))</f>
        <v>App.7-V11I-P9.5.1.1</v>
      </c>
      <c r="BE950" s="429" t="s">
        <v>118</v>
      </c>
      <c r="BF950" s="289"/>
      <c r="BG950" s="289"/>
      <c r="BH950" s="290"/>
      <c r="BI950" s="289"/>
    </row>
    <row r="951" spans="1:61" ht="15.75" customHeight="1">
      <c r="A951" s="518"/>
      <c r="B951" s="450"/>
      <c r="C951" s="3"/>
      <c r="D951" s="83"/>
      <c r="E951" s="4"/>
      <c r="F951" s="4"/>
      <c r="G951" s="6">
        <v>41</v>
      </c>
      <c r="H951" s="449"/>
      <c r="I951" s="4"/>
      <c r="J951" s="3">
        <f>C950+7.5</f>
        <v>52797.290000000008</v>
      </c>
      <c r="K951" s="449" t="s">
        <v>166</v>
      </c>
      <c r="L951" s="449"/>
      <c r="M951" s="449" t="str">
        <f>IF(L951="","",
IF(AX951="PT",VLOOKUP(L951,Foundation_Calc!$V$79:$X$113,VLOOKUP(AX951,Foundation_Calc!$I$10:$J$13,2,FALSE),0),
IF(AX951="K",VLOOKUP(L951,Foundation_Calc!$V$117:$X$151,VLOOKUP(AX951,Foundation_Calc!$I$10:$J$13,2,FALSE),0),"")))</f>
        <v/>
      </c>
      <c r="N951" s="449"/>
      <c r="O951" s="449"/>
      <c r="P951" s="449"/>
      <c r="Q951" s="4"/>
      <c r="R951" s="6"/>
      <c r="S951" s="6"/>
      <c r="T951" s="4"/>
      <c r="U951" s="4"/>
      <c r="V951" s="4"/>
      <c r="W951" s="9"/>
      <c r="X951" s="9"/>
      <c r="Y951" s="9"/>
      <c r="Z951" s="9"/>
      <c r="AA951" s="9"/>
      <c r="AB951" s="9"/>
      <c r="AC951" s="449" t="str">
        <f t="shared" si="128"/>
        <v/>
      </c>
      <c r="AD951" s="449"/>
      <c r="AE951" s="449"/>
      <c r="AF951" s="4"/>
      <c r="AG951" s="83"/>
      <c r="AH951" s="4"/>
      <c r="AI951" s="4"/>
      <c r="AJ951" s="449"/>
      <c r="AK951" s="449"/>
      <c r="AL951" s="449"/>
      <c r="AM951" s="449"/>
      <c r="AN951" s="10"/>
      <c r="AO951" s="9"/>
      <c r="AP951" s="9"/>
      <c r="AQ951" s="9">
        <f>+FL_2($T$952,$T$950,$G$951,1200,9.28, 1*$F$952)</f>
        <v>-0.3</v>
      </c>
      <c r="AR951" s="9"/>
      <c r="AS951" s="9"/>
      <c r="AT951" s="9"/>
      <c r="AU951" s="428"/>
      <c r="AV951" s="428"/>
      <c r="AW951" s="449" t="str">
        <f>IF(C951&gt;0,VLOOKUP(C951,Foundation_Calc!$A$2:$C$13,3,1),
IF(J951&gt;0,VLOOKUP(J951,Foundation_Calc!$A$2:$C$13,3,1),""))</f>
        <v>Multi Soil</v>
      </c>
      <c r="AX951" s="449" t="str">
        <f>IF(C951&gt;0,VLOOKUP(C951,Foundation_Calc!$E$35:$G$65,3,1),
IF(J951&gt;0,VLOOKUP(J951,Foundation_Calc!$E$35:$G$65,3,1),""))</f>
        <v>PT</v>
      </c>
      <c r="AY951" s="10" t="str">
        <f>IF(L951="","",
IF(AX951="PT",VLOOKUP(L951,Foundation_Calc!$K$79:$R$113,VLOOKUP(AW951,Foundation_Calc!$I$2:$J$8,2,FALSE),0),
IF(AX951="K",VLOOKUP(L951,Foundation_Calc!$K$117:$R$151,VLOOKUP(AW951,Foundation_Calc!$I$2:$J$8,2,FALSE),0),"")))</f>
        <v/>
      </c>
      <c r="AZ951" s="10">
        <f>IF(K951="","",
IF(AX951="PT",VLOOKUP(K951,Foundation_Calc!$K$79:$R$113,VLOOKUP(AW951,Foundation_Calc!$I$2:$J$8,2,FALSE),0),
IF(AX951="K",VLOOKUP(K951,Foundation_Calc!$K$117:$R$151,VLOOKUP(AW951,Foundation_Calc!$I$2:$J$8,2,FALSE),0),"")))</f>
        <v>2.8</v>
      </c>
      <c r="BA951" s="495" t="str">
        <f t="shared" si="129"/>
        <v/>
      </c>
      <c r="BB951" s="495" t="str">
        <f t="shared" si="130"/>
        <v>ü</v>
      </c>
      <c r="BC951" s="495" t="str">
        <f t="shared" si="131"/>
        <v/>
      </c>
      <c r="BD951" s="513" t="str">
        <f>IF(AND(L951="",H951=""),"",
IF(H951="",Pole_Calc!A$9,
IF(H951="MP",Pole_Calc!A$10,
IF(H951="AnMP",Pole_Calc!A$11,
IF(H951="A",Pole_Calc!A$12,
IF(H951="S/A",Pole_Calc!A$13,
IF(H951="A/S",Pole_Calc!A$14,"Poner a mano")))))))</f>
        <v/>
      </c>
      <c r="BE951" s="429" t="s">
        <v>118</v>
      </c>
      <c r="BF951" s="290"/>
      <c r="BG951" s="290"/>
      <c r="BH951" s="290"/>
      <c r="BI951" s="290"/>
    </row>
    <row r="952" spans="1:61" ht="15.75" customHeight="1">
      <c r="A952" s="514"/>
      <c r="B952" s="450" t="s">
        <v>1435</v>
      </c>
      <c r="C952" s="3">
        <f>+$C$950+$G$951</f>
        <v>52830.790000000008</v>
      </c>
      <c r="D952" s="83"/>
      <c r="E952" s="4"/>
      <c r="F952" s="4">
        <v>-750</v>
      </c>
      <c r="G952" s="6"/>
      <c r="H952" s="449"/>
      <c r="I952" s="4"/>
      <c r="J952" s="3"/>
      <c r="K952" s="449"/>
      <c r="L952" s="449" t="s">
        <v>158</v>
      </c>
      <c r="M952" s="449" t="str">
        <f>IF(L952="","",
IF(AX952="PT",VLOOKUP(L952,Foundation_Calc!$V$79:$X$113,VLOOKUP(AX952,Foundation_Calc!$I$10:$J$13,2,FALSE),0),
IF(AX952="K",VLOOKUP(L952,Foundation_Calc!$V$117:$X$151,VLOOKUP(AX952,Foundation_Calc!$I$10:$J$13,2,FALSE),0),"")))</f>
        <v>C4RT</v>
      </c>
      <c r="N952" s="449" t="s">
        <v>124</v>
      </c>
      <c r="O952" s="449"/>
      <c r="P952" s="449"/>
      <c r="Q952" s="4"/>
      <c r="R952" s="6"/>
      <c r="S952" s="6"/>
      <c r="T952" s="4">
        <v>-30</v>
      </c>
      <c r="U952" s="4"/>
      <c r="V952" s="4"/>
      <c r="W952" s="9">
        <v>1.4</v>
      </c>
      <c r="X952" s="9"/>
      <c r="Y952" s="9"/>
      <c r="Z952" s="9"/>
      <c r="AA952" s="9"/>
      <c r="AB952" s="9"/>
      <c r="AC952" s="449" t="str">
        <f t="shared" si="128"/>
        <v>PHC</v>
      </c>
      <c r="AD952" s="449"/>
      <c r="AE952" s="449"/>
      <c r="AF952" s="4"/>
      <c r="AG952" s="83"/>
      <c r="AH952" s="4"/>
      <c r="AI952" s="4"/>
      <c r="AJ952" s="449"/>
      <c r="AK952" s="449"/>
      <c r="AL952" s="449"/>
      <c r="AM952" s="449" t="s">
        <v>552</v>
      </c>
      <c r="AN952" s="10">
        <v>5.5</v>
      </c>
      <c r="AO952" s="9"/>
      <c r="AP952" s="9"/>
      <c r="AQ952" s="9"/>
      <c r="AR952" s="9"/>
      <c r="AS952" s="9"/>
      <c r="AT952" s="9">
        <f>+ab($T$952,$T$950,$T$954,$G$951,$G$953, 1*$F$952,1200)</f>
        <v>-3.6158085667100663</v>
      </c>
      <c r="AU952" s="428"/>
      <c r="AV952" s="428"/>
      <c r="AW952" s="449" t="str">
        <f>IF(C952&gt;0,VLOOKUP(C952,Foundation_Calc!$A$2:$C$13,3,1),
IF(J952&gt;0,VLOOKUP(J952,Foundation_Calc!$A$2:$C$13,3,1),""))</f>
        <v>Multi Soil</v>
      </c>
      <c r="AX952" s="449" t="str">
        <f>IF(C952&gt;0,VLOOKUP(C952,Foundation_Calc!$E$35:$G$65,3,1),
IF(J952&gt;0,VLOOKUP(J952,Foundation_Calc!$E$35:$G$65,3,1),""))</f>
        <v>K</v>
      </c>
      <c r="AY952" s="10">
        <f>IF(L952="","",
IF(AX952="PT",VLOOKUP(L952,Foundation_Calc!$K$79:$R$113,VLOOKUP(AW952,Foundation_Calc!$I$2:$J$8,2,FALSE),0),
IF(AX952="K",VLOOKUP(L952,Foundation_Calc!$K$117:$R$151,VLOOKUP(AW952,Foundation_Calc!$I$2:$J$8,2,FALSE),0),"")))</f>
        <v>4.2</v>
      </c>
      <c r="AZ952" s="10" t="str">
        <f>IF(K952="","",
IF(AX952="PT",VLOOKUP(K952,Foundation_Calc!$K$79:$R$113,VLOOKUP(AW952,Foundation_Calc!$I$2:$J$8,2,FALSE),0),
IF(AX952="K",VLOOKUP(K952,Foundation_Calc!$K$117:$R$151,VLOOKUP(AW952,Foundation_Calc!$I$2:$J$8,2,FALSE),0),"")))</f>
        <v/>
      </c>
      <c r="BA952" s="495" t="str">
        <f t="shared" si="129"/>
        <v>ü</v>
      </c>
      <c r="BB952" s="495" t="str">
        <f t="shared" si="130"/>
        <v/>
      </c>
      <c r="BC952" s="495" t="str">
        <f t="shared" si="131"/>
        <v/>
      </c>
      <c r="BD952" s="513" t="str">
        <f>IF(AND(L952="",H952=""),"",
IF(H952="",Pole_Calc!A$9,
IF(H952="MP",Pole_Calc!A$10,
IF(H952="AnMP",Pole_Calc!A$11,
IF(H952="A",Pole_Calc!A$12,
IF(H952="S/A",Pole_Calc!A$13,
IF(H952="A/S",Pole_Calc!A$14,"Poner a mano")))))))</f>
        <v>App.7-V11I-P9.5.1.1</v>
      </c>
      <c r="BE952" s="429" t="s">
        <v>118</v>
      </c>
      <c r="BF952" s="289"/>
      <c r="BG952" s="289"/>
      <c r="BH952" s="290"/>
      <c r="BI952" s="289"/>
    </row>
    <row r="953" spans="1:61" ht="15.75" customHeight="1">
      <c r="A953" s="514"/>
      <c r="B953" s="450"/>
      <c r="C953" s="3"/>
      <c r="D953" s="83"/>
      <c r="E953" s="4"/>
      <c r="F953" s="4"/>
      <c r="G953" s="6">
        <v>38.5</v>
      </c>
      <c r="H953" s="449"/>
      <c r="I953" s="4"/>
      <c r="J953" s="3">
        <f>C954-7.5</f>
        <v>52861.790000000008</v>
      </c>
      <c r="K953" s="449" t="s">
        <v>324</v>
      </c>
      <c r="L953" s="449"/>
      <c r="M953" s="449" t="str">
        <f>IF(L953="","",
IF(AX953="PT",VLOOKUP(L953,Foundation_Calc!$V$79:$X$113,VLOOKUP(AX953,Foundation_Calc!$I$10:$J$13,2,FALSE),0),
IF(AX953="K",VLOOKUP(L953,Foundation_Calc!$V$117:$X$151,VLOOKUP(AX953,Foundation_Calc!$I$10:$J$13,2,FALSE),0),"")))</f>
        <v/>
      </c>
      <c r="N953" s="449"/>
      <c r="O953" s="449"/>
      <c r="P953" s="449"/>
      <c r="Q953" s="4"/>
      <c r="R953" s="6"/>
      <c r="S953" s="6"/>
      <c r="T953" s="4"/>
      <c r="U953" s="4"/>
      <c r="V953" s="4"/>
      <c r="W953" s="9"/>
      <c r="X953" s="9"/>
      <c r="Y953" s="9"/>
      <c r="Z953" s="9"/>
      <c r="AA953" s="9"/>
      <c r="AB953" s="9"/>
      <c r="AC953" s="449" t="str">
        <f t="shared" si="128"/>
        <v/>
      </c>
      <c r="AD953" s="449"/>
      <c r="AE953" s="449"/>
      <c r="AF953" s="4"/>
      <c r="AG953" s="83"/>
      <c r="AH953" s="4"/>
      <c r="AI953" s="4"/>
      <c r="AJ953" s="449"/>
      <c r="AK953" s="449"/>
      <c r="AL953" s="449"/>
      <c r="AM953" s="449"/>
      <c r="AN953" s="10"/>
      <c r="AO953" s="9"/>
      <c r="AP953" s="9"/>
      <c r="AQ953" s="9">
        <f>+FL_2($T$954,$T$952,$G$953,1200,9.28, 1*$F$954)</f>
        <v>-0.3</v>
      </c>
      <c r="AR953" s="9"/>
      <c r="AS953" s="9"/>
      <c r="AT953" s="9"/>
      <c r="AU953" s="428"/>
      <c r="AV953" s="428"/>
      <c r="AW953" s="449" t="str">
        <f>IF(C953&gt;0,VLOOKUP(C953,Foundation_Calc!$A$2:$C$13,3,1),
IF(J953&gt;0,VLOOKUP(J953,Foundation_Calc!$A$2:$C$13,3,1),""))</f>
        <v>Multi Soil</v>
      </c>
      <c r="AX953" s="449" t="str">
        <f>IF(C953&gt;0,VLOOKUP(C953,Foundation_Calc!$E$35:$G$65,3,1),
IF(J953&gt;0,VLOOKUP(J953,Foundation_Calc!$E$35:$G$65,3,1),""))</f>
        <v>K</v>
      </c>
      <c r="AY953" s="10" t="str">
        <f>IF(L953="","",
IF(AX953="PT",VLOOKUP(L953,Foundation_Calc!$K$79:$R$113,VLOOKUP(AW953,Foundation_Calc!$I$2:$J$8,2,FALSE),0),
IF(AX953="K",VLOOKUP(L953,Foundation_Calc!$K$117:$R$151,VLOOKUP(AW953,Foundation_Calc!$I$2:$J$8,2,FALSE),0),"")))</f>
        <v/>
      </c>
      <c r="AZ953" s="10">
        <f>IF(K953="","",
IF(AX953="PT",VLOOKUP(K953,Foundation_Calc!$K$79:$R$113,VLOOKUP(AW953,Foundation_Calc!$I$2:$J$8,2,FALSE),0),
IF(AX953="K",VLOOKUP(K953,Foundation_Calc!$K$117:$R$151,VLOOKUP(AW953,Foundation_Calc!$I$2:$J$8,2,FALSE),0),"")))</f>
        <v>2.8</v>
      </c>
      <c r="BA953" s="495" t="str">
        <f t="shared" si="129"/>
        <v/>
      </c>
      <c r="BB953" s="495" t="str">
        <f t="shared" si="130"/>
        <v>ü</v>
      </c>
      <c r="BC953" s="495" t="str">
        <f t="shared" si="131"/>
        <v/>
      </c>
      <c r="BD953" s="513" t="str">
        <f>IF(AND(L953="",H953=""),"",
IF(H953="",Pole_Calc!A$9,
IF(H953="MP",Pole_Calc!A$10,
IF(H953="AnMP",Pole_Calc!A$11,
IF(H953="A",Pole_Calc!A$12,
IF(H953="S/A",Pole_Calc!A$13,
IF(H953="A/S",Pole_Calc!A$14,"Poner a mano")))))))</f>
        <v/>
      </c>
      <c r="BE953" s="429" t="s">
        <v>118</v>
      </c>
      <c r="BF953" s="290"/>
      <c r="BG953" s="290"/>
      <c r="BH953" s="290"/>
      <c r="BI953" s="290"/>
    </row>
    <row r="954" spans="1:61" ht="15.75" customHeight="1">
      <c r="A954" s="696" t="s">
        <v>745</v>
      </c>
      <c r="B954" s="697" t="s">
        <v>1436</v>
      </c>
      <c r="C954" s="698">
        <f>+$C$952+$G$953</f>
        <v>52869.290000000008</v>
      </c>
      <c r="D954" s="699"/>
      <c r="E954" s="700"/>
      <c r="F954" s="700">
        <v>-750</v>
      </c>
      <c r="G954" s="701"/>
      <c r="H954" s="702" t="s">
        <v>168</v>
      </c>
      <c r="I954" s="700"/>
      <c r="J954" s="698"/>
      <c r="K954" s="702"/>
      <c r="L954" s="702" t="s">
        <v>398</v>
      </c>
      <c r="M954" s="702" t="str">
        <f>IF(L954="","",
IF(AX954="PT",VLOOKUP(L954,Foundation_Calc!$V$79:$X$113,VLOOKUP(AX954,Foundation_Calc!$I$10:$J$13,2,FALSE),0),
IF(AX954="K",VLOOKUP(L954,Foundation_Calc!$V$117:$X$151,VLOOKUP(AX954,Foundation_Calc!$I$10:$J$13,2,FALSE),0),"")))</f>
        <v>C5RT</v>
      </c>
      <c r="N954" s="702" t="s">
        <v>124</v>
      </c>
      <c r="O954" s="702"/>
      <c r="P954" s="702"/>
      <c r="Q954" s="700"/>
      <c r="R954" s="701"/>
      <c r="S954" s="701"/>
      <c r="T954" s="700">
        <v>-30</v>
      </c>
      <c r="U954" s="700"/>
      <c r="V954" s="700"/>
      <c r="W954" s="703">
        <v>1.4</v>
      </c>
      <c r="X954" s="703"/>
      <c r="Y954" s="703"/>
      <c r="Z954" s="703"/>
      <c r="AA954" s="703"/>
      <c r="AB954" s="703"/>
      <c r="AC954" s="702" t="str">
        <f t="shared" si="128"/>
        <v>PHC</v>
      </c>
      <c r="AD954" s="702"/>
      <c r="AE954" s="702"/>
      <c r="AF954" s="700"/>
      <c r="AG954" s="699"/>
      <c r="AH954" s="700"/>
      <c r="AI954" s="700"/>
      <c r="AJ954" s="702"/>
      <c r="AK954" s="702"/>
      <c r="AL954" s="702"/>
      <c r="AM954" s="702" t="s">
        <v>552</v>
      </c>
      <c r="AN954" s="704">
        <v>5.5</v>
      </c>
      <c r="AO954" s="703"/>
      <c r="AP954" s="703"/>
      <c r="AQ954" s="703"/>
      <c r="AR954" s="703"/>
      <c r="AS954" s="703"/>
      <c r="AT954" s="703">
        <f>+ab($T$954,$T$952,$T$956,$G$953,$G$955, 1*$F$954,1200)</f>
        <v>-3.7328782204313913</v>
      </c>
      <c r="AU954" s="705"/>
      <c r="AV954" s="705"/>
      <c r="AW954" s="702" t="str">
        <f>IF(C954&gt;0,VLOOKUP(C954,Foundation_Calc!$A$2:$C$13,3,1),
IF(J954&gt;0,VLOOKUP(J954,Foundation_Calc!$A$2:$C$13,3,1),""))</f>
        <v>Multi Soil</v>
      </c>
      <c r="AX954" s="702" t="str">
        <f>IF(C954&gt;0,VLOOKUP(C954,Foundation_Calc!$E$35:$G$65,3,1),
IF(J954&gt;0,VLOOKUP(J954,Foundation_Calc!$E$35:$G$65,3,1),""))</f>
        <v>K</v>
      </c>
      <c r="AY954" s="704">
        <f>IF(L954="","",
IF(AX954="PT",VLOOKUP(L954,Foundation_Calc!$K$79:$R$113,VLOOKUP(AW954,Foundation_Calc!$I$2:$J$8,2,FALSE),0),
IF(AX954="K",VLOOKUP(L954,Foundation_Calc!$K$117:$R$151,VLOOKUP(AW954,Foundation_Calc!$I$2:$J$8,2,FALSE),0),"")))</f>
        <v>4</v>
      </c>
      <c r="AZ954" s="704" t="str">
        <f>IF(K954="","",
IF(AX954="PT",VLOOKUP(K954,Foundation_Calc!$K$79:$R$113,VLOOKUP(AW954,Foundation_Calc!$I$2:$J$8,2,FALSE),0),
IF(AX954="K",VLOOKUP(K954,Foundation_Calc!$K$117:$R$151,VLOOKUP(AW954,Foundation_Calc!$I$2:$J$8,2,FALSE),0),"")))</f>
        <v/>
      </c>
      <c r="BA954" s="495" t="str">
        <f t="shared" si="129"/>
        <v>ü</v>
      </c>
      <c r="BB954" s="495" t="str">
        <f t="shared" si="130"/>
        <v/>
      </c>
      <c r="BC954" s="495" t="str">
        <f t="shared" si="131"/>
        <v/>
      </c>
      <c r="BD954" s="513" t="str">
        <f>IF(AND(L954="",H954=""),"",
IF(H954="",Pole_Calc!A$9,
IF(H954="MP",Pole_Calc!A$10,
IF(H954="AnMP",Pole_Calc!A$11,
IF(H954="A",Pole_Calc!A$12,
IF(H954="S/A",Pole_Calc!A$13,
IF(H954="A/S",Pole_Calc!A$14,"Poner a mano")))))))</f>
        <v>App.7-V11I-P9.5.1.3</v>
      </c>
      <c r="BE954" s="429" t="s">
        <v>118</v>
      </c>
      <c r="BF954" s="289"/>
      <c r="BG954" s="289"/>
      <c r="BH954" s="290"/>
      <c r="BI954" s="289"/>
    </row>
    <row r="955" spans="1:61" ht="15.75" customHeight="1">
      <c r="A955" s="514"/>
      <c r="B955" s="450"/>
      <c r="C955" s="3"/>
      <c r="D955" s="83"/>
      <c r="E955" s="4"/>
      <c r="F955" s="4"/>
      <c r="G955" s="6">
        <v>38.5</v>
      </c>
      <c r="H955" s="449"/>
      <c r="I955" s="4">
        <f>SUM(G941:G955)</f>
        <v>334</v>
      </c>
      <c r="J955" s="3"/>
      <c r="K955" s="449"/>
      <c r="L955" s="449"/>
      <c r="M955" s="449" t="str">
        <f>IF(L955="","",
IF(AX955="PT",VLOOKUP(L955,Foundation_Calc!$V$79:$X$113,VLOOKUP(AX955,Foundation_Calc!$I$10:$J$13,2,FALSE),0),
IF(AX955="K",VLOOKUP(L955,Foundation_Calc!$V$117:$X$151,VLOOKUP(AX955,Foundation_Calc!$I$10:$J$13,2,FALSE),0),"")))</f>
        <v/>
      </c>
      <c r="N955" s="449"/>
      <c r="O955" s="561"/>
      <c r="P955" s="449"/>
      <c r="Q955" s="4"/>
      <c r="R955" s="6"/>
      <c r="S955" s="6"/>
      <c r="T955" s="4"/>
      <c r="U955" s="4"/>
      <c r="V955" s="4"/>
      <c r="W955" s="9"/>
      <c r="X955" s="9"/>
      <c r="Y955" s="9"/>
      <c r="Z955" s="9"/>
      <c r="AA955" s="9"/>
      <c r="AB955" s="9"/>
      <c r="AC955" s="449" t="str">
        <f t="shared" si="128"/>
        <v/>
      </c>
      <c r="AD955" s="449"/>
      <c r="AE955" s="449"/>
      <c r="AF955" s="4"/>
      <c r="AG955" s="83"/>
      <c r="AH955" s="4"/>
      <c r="AI955" s="4"/>
      <c r="AJ955" s="449"/>
      <c r="AK955" s="449"/>
      <c r="AL955" s="449"/>
      <c r="AM955" s="449"/>
      <c r="AN955" s="10"/>
      <c r="AO955" s="9"/>
      <c r="AP955" s="9"/>
      <c r="AQ955" s="9">
        <f>+FL_2($T$956,$T$954,$G$955,1200,9.28, 1*$F$956)</f>
        <v>-0.3</v>
      </c>
      <c r="AR955" s="9"/>
      <c r="AS955" s="9"/>
      <c r="AT955" s="9"/>
      <c r="AU955" s="428"/>
      <c r="AV955" s="428"/>
      <c r="AW955" s="449" t="str">
        <f>IF(C955&gt;0,VLOOKUP(C955,Foundation_Calc!$A$2:$C$13,3,1),
IF(J955&gt;0,VLOOKUP(J955,Foundation_Calc!$A$2:$C$13,3,1),""))</f>
        <v/>
      </c>
      <c r="AX955" s="449" t="str">
        <f>IF(C955&gt;0,VLOOKUP(C955,Foundation_Calc!$E$35:$G$65,3,1),
IF(J955&gt;0,VLOOKUP(J955,Foundation_Calc!$E$35:$G$65,3,1),""))</f>
        <v/>
      </c>
      <c r="AY955" s="10" t="str">
        <f>IF(L955="","",
IF(AX955="PT",VLOOKUP(L955,Foundation_Calc!$K$79:$R$113,VLOOKUP(AW955,Foundation_Calc!$I$2:$J$8,2,FALSE),0),
IF(AX955="K",VLOOKUP(L955,Foundation_Calc!$K$117:$R$151,VLOOKUP(AW955,Foundation_Calc!$I$2:$J$8,2,FALSE),0),"")))</f>
        <v/>
      </c>
      <c r="AZ955" s="10" t="str">
        <f>IF(K955="","",
IF(AX955="PT",VLOOKUP(K955,Foundation_Calc!$K$79:$R$113,VLOOKUP(AW955,Foundation_Calc!$I$2:$J$8,2,FALSE),0),
IF(AX955="K",VLOOKUP(K955,Foundation_Calc!$K$117:$R$151,VLOOKUP(AW955,Foundation_Calc!$I$2:$J$8,2,FALSE),0),"")))</f>
        <v/>
      </c>
      <c r="BA955" s="495" t="str">
        <f t="shared" si="129"/>
        <v/>
      </c>
      <c r="BB955" s="495" t="str">
        <f t="shared" si="130"/>
        <v/>
      </c>
      <c r="BC955" s="495" t="str">
        <f t="shared" si="131"/>
        <v/>
      </c>
      <c r="BD955" s="513" t="str">
        <f>IF(AND(L955="",H955=""),"",
IF(H955="",Pole_Calc!A$9,
IF(H955="MP",Pole_Calc!A$10,
IF(H955="AnMP",Pole_Calc!A$11,
IF(H955="A",Pole_Calc!A$12,
IF(H955="S/A",Pole_Calc!A$13,
IF(H955="A/S",Pole_Calc!A$14,"Poner a mano")))))))</f>
        <v/>
      </c>
      <c r="BE955" s="429" t="s">
        <v>118</v>
      </c>
      <c r="BF955" s="290"/>
      <c r="BG955" s="290"/>
      <c r="BH955" s="290"/>
      <c r="BI955" s="290"/>
    </row>
    <row r="956" spans="1:61" ht="15.75" customHeight="1">
      <c r="A956" s="514"/>
      <c r="B956" s="450" t="s">
        <v>1437</v>
      </c>
      <c r="C956" s="3">
        <f>+$C$954+$G$955</f>
        <v>52907.790000000008</v>
      </c>
      <c r="D956" s="83"/>
      <c r="E956" s="4"/>
      <c r="F956" s="4">
        <v>-750</v>
      </c>
      <c r="G956" s="6"/>
      <c r="H956" s="449" t="s">
        <v>171</v>
      </c>
      <c r="I956" s="4"/>
      <c r="J956" s="3"/>
      <c r="K956" s="449"/>
      <c r="L956" s="449" t="s">
        <v>158</v>
      </c>
      <c r="M956" s="449" t="str">
        <f>IF(L956="","",
IF(AX956="PT",VLOOKUP(L956,Foundation_Calc!$V$79:$X$113,VLOOKUP(AX956,Foundation_Calc!$I$10:$J$13,2,FALSE),0),
IF(AX956="K",VLOOKUP(L956,Foundation_Calc!$V$117:$X$151,VLOOKUP(AX956,Foundation_Calc!$I$10:$J$13,2,FALSE),0),"")))</f>
        <v>C4RT</v>
      </c>
      <c r="N956" s="449" t="s">
        <v>124</v>
      </c>
      <c r="O956" s="449"/>
      <c r="P956" s="449"/>
      <c r="Q956" s="4"/>
      <c r="R956" s="6"/>
      <c r="S956" s="6"/>
      <c r="T956" s="4">
        <v>-30</v>
      </c>
      <c r="U956" s="4"/>
      <c r="V956" s="4"/>
      <c r="W956" s="9">
        <v>1.4</v>
      </c>
      <c r="X956" s="9"/>
      <c r="Y956" s="9"/>
      <c r="Z956" s="9"/>
      <c r="AA956" s="9"/>
      <c r="AB956" s="9"/>
      <c r="AC956" s="449" t="str">
        <f t="shared" si="128"/>
        <v>PHC</v>
      </c>
      <c r="AD956" s="449"/>
      <c r="AE956" s="449"/>
      <c r="AF956" s="4"/>
      <c r="AG956" s="83"/>
      <c r="AH956" s="4"/>
      <c r="AI956" s="4"/>
      <c r="AJ956" s="449"/>
      <c r="AK956" s="449"/>
      <c r="AL956" s="449"/>
      <c r="AM956" s="449" t="s">
        <v>552</v>
      </c>
      <c r="AN956" s="10">
        <v>5.5</v>
      </c>
      <c r="AO956" s="9"/>
      <c r="AP956" s="9"/>
      <c r="AQ956" s="9"/>
      <c r="AR956" s="9"/>
      <c r="AS956" s="9"/>
      <c r="AT956" s="9">
        <f>+ab($T$956,$T$954,$T$958,$G$955,$G$957, 1*$F$956,1200)</f>
        <v>-3.8577704578733663</v>
      </c>
      <c r="AU956" s="428"/>
      <c r="AV956" s="428"/>
      <c r="AW956" s="449" t="str">
        <f>IF(C956&gt;0,VLOOKUP(C956,Foundation_Calc!$A$2:$C$13,3,1),
IF(J956&gt;0,VLOOKUP(J956,Foundation_Calc!$A$2:$C$13,3,1),""))</f>
        <v>Multi Soil</v>
      </c>
      <c r="AX956" s="449" t="str">
        <f>IF(C956&gt;0,VLOOKUP(C956,Foundation_Calc!$E$35:$G$65,3,1),
IF(J956&gt;0,VLOOKUP(J956,Foundation_Calc!$E$35:$G$65,3,1),""))</f>
        <v>K</v>
      </c>
      <c r="AY956" s="10">
        <f>IF(L956="","",
IF(AX956="PT",VLOOKUP(L956,Foundation_Calc!$K$79:$R$113,VLOOKUP(AW956,Foundation_Calc!$I$2:$J$8,2,FALSE),0),
IF(AX956="K",VLOOKUP(L956,Foundation_Calc!$K$117:$R$151,VLOOKUP(AW956,Foundation_Calc!$I$2:$J$8,2,FALSE),0),"")))</f>
        <v>4.2</v>
      </c>
      <c r="AZ956" s="10" t="str">
        <f>IF(K956="","",
IF(AX956="PT",VLOOKUP(K956,Foundation_Calc!$K$79:$R$113,VLOOKUP(AW956,Foundation_Calc!$I$2:$J$8,2,FALSE),0),
IF(AX956="K",VLOOKUP(K956,Foundation_Calc!$K$117:$R$151,VLOOKUP(AW956,Foundation_Calc!$I$2:$J$8,2,FALSE),0),"")))</f>
        <v/>
      </c>
      <c r="BA956" s="495" t="str">
        <f t="shared" si="129"/>
        <v>ü</v>
      </c>
      <c r="BB956" s="495" t="str">
        <f t="shared" si="130"/>
        <v/>
      </c>
      <c r="BC956" s="495" t="str">
        <f t="shared" si="131"/>
        <v/>
      </c>
      <c r="BD956" s="513" t="str">
        <f>IF(AND(L956="",H956=""),"",
IF(H956="",Pole_Calc!A$9,
IF(H956="MP",Pole_Calc!A$10,
IF(H956="AnMP",Pole_Calc!A$11,
IF(H956="A",Pole_Calc!A$12,
IF(H956="S/A",Pole_Calc!A$13,
IF(H956="A/S",Pole_Calc!A$14,"Poner a mano")))))))</f>
        <v>App.7-V11I-P9.5.1.2</v>
      </c>
      <c r="BE956" s="429" t="s">
        <v>118</v>
      </c>
      <c r="BF956" s="289"/>
      <c r="BG956" s="289"/>
      <c r="BH956" s="290"/>
      <c r="BI956" s="289"/>
    </row>
    <row r="957" spans="1:61" ht="15.75" customHeight="1">
      <c r="A957" s="518"/>
      <c r="B957" s="450"/>
      <c r="C957" s="3"/>
      <c r="D957" s="83"/>
      <c r="E957" s="4"/>
      <c r="F957" s="4"/>
      <c r="G957" s="6">
        <v>36</v>
      </c>
      <c r="H957" s="449"/>
      <c r="I957" s="4">
        <f>SUM(G957:G973)</f>
        <v>379.1</v>
      </c>
      <c r="J957" s="3"/>
      <c r="K957" s="449"/>
      <c r="L957" s="449"/>
      <c r="M957" s="449" t="str">
        <f>IF(L957="","",
IF(AX957="PT",VLOOKUP(L957,Foundation_Calc!$V$79:$X$113,VLOOKUP(AX957,Foundation_Calc!$I$10:$J$13,2,FALSE),0),
IF(AX957="K",VLOOKUP(L957,Foundation_Calc!$V$117:$X$151,VLOOKUP(AX957,Foundation_Calc!$I$10:$J$13,2,FALSE),0),"")))</f>
        <v/>
      </c>
      <c r="N957" s="449"/>
      <c r="O957" s="449"/>
      <c r="P957" s="449"/>
      <c r="Q957" s="4"/>
      <c r="R957" s="6"/>
      <c r="S957" s="6"/>
      <c r="T957" s="4"/>
      <c r="U957" s="4"/>
      <c r="V957" s="4"/>
      <c r="W957" s="9"/>
      <c r="X957" s="9"/>
      <c r="Y957" s="9"/>
      <c r="Z957" s="9"/>
      <c r="AA957" s="9"/>
      <c r="AB957" s="9"/>
      <c r="AC957" s="449" t="str">
        <f t="shared" si="128"/>
        <v/>
      </c>
      <c r="AD957" s="449"/>
      <c r="AE957" s="449"/>
      <c r="AF957" s="4"/>
      <c r="AG957" s="83"/>
      <c r="AH957" s="4"/>
      <c r="AI957" s="4"/>
      <c r="AJ957" s="449"/>
      <c r="AK957" s="449"/>
      <c r="AL957" s="449"/>
      <c r="AM957" s="449"/>
      <c r="AN957" s="10"/>
      <c r="AO957" s="9"/>
      <c r="AP957" s="9"/>
      <c r="AQ957" s="9">
        <f>+FL_2($T$958,$T$956,$G$957,1200,9.28, 1*$F$958)</f>
        <v>-0.3</v>
      </c>
      <c r="AR957" s="9"/>
      <c r="AS957" s="9"/>
      <c r="AT957" s="9"/>
      <c r="AU957" s="428"/>
      <c r="AV957" s="428"/>
      <c r="AW957" s="449" t="str">
        <f>IF(C957&gt;0,VLOOKUP(C957,Foundation_Calc!$A$2:$C$13,3,1),
IF(J957&gt;0,VLOOKUP(J957,Foundation_Calc!$A$2:$C$13,3,1),""))</f>
        <v/>
      </c>
      <c r="AX957" s="449" t="str">
        <f>IF(C957&gt;0,VLOOKUP(C957,Foundation_Calc!$E$35:$G$65,3,1),
IF(J957&gt;0,VLOOKUP(J957,Foundation_Calc!$E$35:$G$65,3,1),""))</f>
        <v/>
      </c>
      <c r="AY957" s="10" t="str">
        <f>IF(L957="","",
IF(AX957="PT",VLOOKUP(L957,Foundation_Calc!$K$79:$R$113,VLOOKUP(AW957,Foundation_Calc!$I$2:$J$8,2,FALSE),0),
IF(AX957="K",VLOOKUP(L957,Foundation_Calc!$K$117:$R$151,VLOOKUP(AW957,Foundation_Calc!$I$2:$J$8,2,FALSE),0),"")))</f>
        <v/>
      </c>
      <c r="AZ957" s="10" t="str">
        <f>IF(K957="","",
IF(AX957="PT",VLOOKUP(K957,Foundation_Calc!$K$79:$R$113,VLOOKUP(AW957,Foundation_Calc!$I$2:$J$8,2,FALSE),0),
IF(AX957="K",VLOOKUP(K957,Foundation_Calc!$K$117:$R$151,VLOOKUP(AW957,Foundation_Calc!$I$2:$J$8,2,FALSE),0),"")))</f>
        <v/>
      </c>
      <c r="BA957" s="495" t="str">
        <f t="shared" si="129"/>
        <v/>
      </c>
      <c r="BB957" s="495" t="str">
        <f t="shared" si="130"/>
        <v/>
      </c>
      <c r="BC957" s="495" t="str">
        <f t="shared" si="131"/>
        <v/>
      </c>
      <c r="BD957" s="513" t="str">
        <f>IF(AND(L957="",H957=""),"",
IF(H957="",Pole_Calc!A$9,
IF(H957="MP",Pole_Calc!A$10,
IF(H957="AnMP",Pole_Calc!A$11,
IF(H957="A",Pole_Calc!A$12,
IF(H957="S/A",Pole_Calc!A$13,
IF(H957="A/S",Pole_Calc!A$14,"Poner a mano")))))))</f>
        <v/>
      </c>
      <c r="BE957" s="429" t="s">
        <v>118</v>
      </c>
      <c r="BF957" s="290"/>
      <c r="BG957" s="290"/>
      <c r="BH957" s="290"/>
      <c r="BI957" s="290"/>
    </row>
    <row r="958" spans="1:61" ht="15.75" customHeight="1">
      <c r="A958" s="514"/>
      <c r="B958" s="450" t="s">
        <v>1438</v>
      </c>
      <c r="C958" s="3">
        <f>+$C$956+$G$957</f>
        <v>52943.790000000008</v>
      </c>
      <c r="D958" s="83"/>
      <c r="E958" s="4"/>
      <c r="F958" s="4">
        <v>-750</v>
      </c>
      <c r="G958" s="6"/>
      <c r="H958" s="449" t="s">
        <v>168</v>
      </c>
      <c r="I958" s="4"/>
      <c r="J958" s="3"/>
      <c r="K958" s="449"/>
      <c r="L958" s="449" t="s">
        <v>398</v>
      </c>
      <c r="M958" s="449" t="str">
        <f>IF(L958="","",
IF(AX958="PT",VLOOKUP(L958,Foundation_Calc!$V$79:$X$113,VLOOKUP(AX958,Foundation_Calc!$I$10:$J$13,2,FALSE),0),
IF(AX958="K",VLOOKUP(L958,Foundation_Calc!$V$117:$X$151,VLOOKUP(AX958,Foundation_Calc!$I$10:$J$13,2,FALSE),0),"")))</f>
        <v>C5RT</v>
      </c>
      <c r="N958" s="449" t="s">
        <v>124</v>
      </c>
      <c r="O958" s="449"/>
      <c r="P958" s="449"/>
      <c r="Q958" s="4"/>
      <c r="R958" s="6"/>
      <c r="S958" s="6"/>
      <c r="T958" s="4">
        <v>-30</v>
      </c>
      <c r="U958" s="4"/>
      <c r="V958" s="4"/>
      <c r="W958" s="9">
        <v>1.4</v>
      </c>
      <c r="X958" s="9"/>
      <c r="Y958" s="9"/>
      <c r="Z958" s="9"/>
      <c r="AA958" s="9"/>
      <c r="AB958" s="9"/>
      <c r="AC958" s="449" t="str">
        <f t="shared" si="128"/>
        <v>PHC</v>
      </c>
      <c r="AD958" s="449"/>
      <c r="AE958" s="449"/>
      <c r="AF958" s="4"/>
      <c r="AG958" s="83"/>
      <c r="AH958" s="4"/>
      <c r="AI958" s="4"/>
      <c r="AJ958" s="449"/>
      <c r="AK958" s="449"/>
      <c r="AL958" s="449"/>
      <c r="AM958" s="449" t="s">
        <v>552</v>
      </c>
      <c r="AN958" s="10">
        <v>5.5</v>
      </c>
      <c r="AO958" s="9"/>
      <c r="AP958" s="9"/>
      <c r="AQ958" s="9"/>
      <c r="AR958" s="9"/>
      <c r="AS958" s="9"/>
      <c r="AT958" s="9">
        <f>+ab($T$958,$T$956,$T$960,$G$957,$G$959, 1*$F$958,1200)</f>
        <v>-3.7328782204313913</v>
      </c>
      <c r="AU958" s="428"/>
      <c r="AV958" s="428"/>
      <c r="AW958" s="449" t="str">
        <f>IF(C958&gt;0,VLOOKUP(C958,Foundation_Calc!$A$2:$C$13,3,1),
IF(J958&gt;0,VLOOKUP(J958,Foundation_Calc!$A$2:$C$13,3,1),""))</f>
        <v>Multi Soil</v>
      </c>
      <c r="AX958" s="449" t="str">
        <f>IF(C958&gt;0,VLOOKUP(C958,Foundation_Calc!$E$35:$G$65,3,1),
IF(J958&gt;0,VLOOKUP(J958,Foundation_Calc!$E$35:$G$65,3,1),""))</f>
        <v>K</v>
      </c>
      <c r="AY958" s="10">
        <f>IF(L958="","",
IF(AX958="PT",VLOOKUP(L958,Foundation_Calc!$K$79:$R$113,VLOOKUP(AW958,Foundation_Calc!$I$2:$J$8,2,FALSE),0),
IF(AX958="K",VLOOKUP(L958,Foundation_Calc!$K$117:$R$151,VLOOKUP(AW958,Foundation_Calc!$I$2:$J$8,2,FALSE),0),"")))</f>
        <v>4</v>
      </c>
      <c r="AZ958" s="10" t="str">
        <f>IF(K958="","",
IF(AX958="PT",VLOOKUP(K958,Foundation_Calc!$K$79:$R$113,VLOOKUP(AW958,Foundation_Calc!$I$2:$J$8,2,FALSE),0),
IF(AX958="K",VLOOKUP(K958,Foundation_Calc!$K$117:$R$151,VLOOKUP(AW958,Foundation_Calc!$I$2:$J$8,2,FALSE),0),"")))</f>
        <v/>
      </c>
      <c r="BA958" s="495" t="str">
        <f t="shared" si="129"/>
        <v>ü</v>
      </c>
      <c r="BB958" s="495" t="str">
        <f t="shared" si="130"/>
        <v/>
      </c>
      <c r="BC958" s="495" t="str">
        <f t="shared" si="131"/>
        <v/>
      </c>
      <c r="BD958" s="513" t="str">
        <f>IF(AND(L958="",H958=""),"",
IF(H958="",Pole_Calc!A$9,
IF(H958="MP",Pole_Calc!A$10,
IF(H958="AnMP",Pole_Calc!A$11,
IF(H958="A",Pole_Calc!A$12,
IF(H958="S/A",Pole_Calc!A$13,
IF(H958="A/S",Pole_Calc!A$14,"Poner a mano")))))))</f>
        <v>App.7-V11I-P9.5.1.3</v>
      </c>
      <c r="BE958" s="429" t="s">
        <v>118</v>
      </c>
      <c r="BF958" s="289"/>
      <c r="BG958" s="289"/>
      <c r="BH958" s="290"/>
      <c r="BI958" s="289"/>
    </row>
    <row r="959" spans="1:61" ht="15.75" customHeight="1">
      <c r="A959" s="514" t="s">
        <v>169</v>
      </c>
      <c r="B959" s="450"/>
      <c r="C959" s="3"/>
      <c r="D959" s="83"/>
      <c r="E959" s="4"/>
      <c r="F959" s="4"/>
      <c r="G959" s="6">
        <v>41</v>
      </c>
      <c r="H959" s="449"/>
      <c r="I959" s="4"/>
      <c r="J959" s="3">
        <f>C958+7.5</f>
        <v>52951.290000000008</v>
      </c>
      <c r="K959" s="449" t="s">
        <v>324</v>
      </c>
      <c r="L959" s="449"/>
      <c r="M959" s="449" t="str">
        <f>IF(L959="","",
IF(AX959="PT",VLOOKUP(L959,Foundation_Calc!$V$79:$X$113,VLOOKUP(AX959,Foundation_Calc!$I$10:$J$13,2,FALSE),0),
IF(AX959="K",VLOOKUP(L959,Foundation_Calc!$V$117:$X$151,VLOOKUP(AX959,Foundation_Calc!$I$10:$J$13,2,FALSE),0),"")))</f>
        <v/>
      </c>
      <c r="N959" s="449"/>
      <c r="O959" s="449"/>
      <c r="P959" s="449"/>
      <c r="Q959" s="4"/>
      <c r="R959" s="6"/>
      <c r="S959" s="6"/>
      <c r="T959" s="4"/>
      <c r="U959" s="4"/>
      <c r="V959" s="4"/>
      <c r="W959" s="9"/>
      <c r="X959" s="9"/>
      <c r="Y959" s="9"/>
      <c r="Z959" s="9"/>
      <c r="AA959" s="9"/>
      <c r="AB959" s="9"/>
      <c r="AC959" s="449" t="str">
        <f t="shared" si="128"/>
        <v/>
      </c>
      <c r="AD959" s="449"/>
      <c r="AE959" s="449"/>
      <c r="AF959" s="4"/>
      <c r="AG959" s="83"/>
      <c r="AH959" s="4"/>
      <c r="AI959" s="4"/>
      <c r="AJ959" s="449"/>
      <c r="AK959" s="449"/>
      <c r="AL959" s="449"/>
      <c r="AM959" s="449"/>
      <c r="AN959" s="10"/>
      <c r="AO959" s="9"/>
      <c r="AP959" s="9"/>
      <c r="AQ959" s="9">
        <f>+FL_2($T$960,$T$958,$G$959,1200,9.28, 1*$F$960)</f>
        <v>-0.3</v>
      </c>
      <c r="AR959" s="9"/>
      <c r="AS959" s="9"/>
      <c r="AT959" s="9"/>
      <c r="AU959" s="428"/>
      <c r="AV959" s="428"/>
      <c r="AW959" s="449" t="str">
        <f>IF(C959&gt;0,VLOOKUP(C959,Foundation_Calc!$A$2:$C$13,3,1),
IF(J959&gt;0,VLOOKUP(J959,Foundation_Calc!$A$2:$C$13,3,1),""))</f>
        <v>Multi Soil</v>
      </c>
      <c r="AX959" s="449" t="str">
        <f>IF(C959&gt;0,VLOOKUP(C959,Foundation_Calc!$E$35:$G$65,3,1),
IF(J959&gt;0,VLOOKUP(J959,Foundation_Calc!$E$35:$G$65,3,1),""))</f>
        <v>K</v>
      </c>
      <c r="AY959" s="10" t="str">
        <f>IF(L959="","",
IF(AX959="PT",VLOOKUP(L959,Foundation_Calc!$K$79:$R$113,VLOOKUP(AW959,Foundation_Calc!$I$2:$J$8,2,FALSE),0),
IF(AX959="K",VLOOKUP(L959,Foundation_Calc!$K$117:$R$151,VLOOKUP(AW959,Foundation_Calc!$I$2:$J$8,2,FALSE),0),"")))</f>
        <v/>
      </c>
      <c r="AZ959" s="10">
        <f>IF(K959="","",
IF(AX959="PT",VLOOKUP(K959,Foundation_Calc!$K$79:$R$113,VLOOKUP(AW959,Foundation_Calc!$I$2:$J$8,2,FALSE),0),
IF(AX959="K",VLOOKUP(K959,Foundation_Calc!$K$117:$R$151,VLOOKUP(AW959,Foundation_Calc!$I$2:$J$8,2,FALSE),0),"")))</f>
        <v>2.8</v>
      </c>
      <c r="BA959" s="495" t="str">
        <f t="shared" si="129"/>
        <v/>
      </c>
      <c r="BB959" s="495" t="str">
        <f t="shared" si="130"/>
        <v>ü</v>
      </c>
      <c r="BC959" s="495" t="str">
        <f t="shared" si="131"/>
        <v/>
      </c>
      <c r="BD959" s="513" t="str">
        <f>IF(AND(L959="",H959=""),"",
IF(H959="",Pole_Calc!A$9,
IF(H959="MP",Pole_Calc!A$10,
IF(H959="AnMP",Pole_Calc!A$11,
IF(H959="A",Pole_Calc!A$12,
IF(H959="S/A",Pole_Calc!A$13,
IF(H959="A/S",Pole_Calc!A$14,"Poner a mano")))))))</f>
        <v/>
      </c>
      <c r="BE959" s="429" t="s">
        <v>118</v>
      </c>
      <c r="BF959" s="290"/>
      <c r="BG959" s="290"/>
      <c r="BH959" s="290"/>
      <c r="BI959" s="290"/>
    </row>
    <row r="960" spans="1:61" ht="15.75" customHeight="1">
      <c r="A960" s="514"/>
      <c r="B960" s="450" t="s">
        <v>1439</v>
      </c>
      <c r="C960" s="3">
        <f>+$C$958+$G$959</f>
        <v>52984.790000000008</v>
      </c>
      <c r="D960" s="83"/>
      <c r="E960" s="4"/>
      <c r="F960" s="4">
        <v>-750</v>
      </c>
      <c r="G960" s="6"/>
      <c r="H960" s="449"/>
      <c r="I960" s="4"/>
      <c r="J960" s="3"/>
      <c r="K960" s="449"/>
      <c r="L960" s="449" t="s">
        <v>158</v>
      </c>
      <c r="M960" s="449" t="str">
        <f>IF(L960="","",
IF(AX960="PT",VLOOKUP(L960,Foundation_Calc!$V$79:$X$113,VLOOKUP(AX960,Foundation_Calc!$I$10:$J$13,2,FALSE),0),
IF(AX960="K",VLOOKUP(L960,Foundation_Calc!$V$117:$X$151,VLOOKUP(AX960,Foundation_Calc!$I$10:$J$13,2,FALSE),0),"")))</f>
        <v>C4RT</v>
      </c>
      <c r="N960" s="449" t="s">
        <v>124</v>
      </c>
      <c r="O960" s="449"/>
      <c r="P960" s="449"/>
      <c r="Q960" s="4"/>
      <c r="R960" s="6"/>
      <c r="S960" s="6"/>
      <c r="T960" s="4">
        <v>-30</v>
      </c>
      <c r="U960" s="4"/>
      <c r="V960" s="4"/>
      <c r="W960" s="9">
        <v>1.4</v>
      </c>
      <c r="X960" s="9"/>
      <c r="Y960" s="9"/>
      <c r="Z960" s="9"/>
      <c r="AA960" s="9"/>
      <c r="AB960" s="9"/>
      <c r="AC960" s="449" t="str">
        <f t="shared" si="128"/>
        <v>PHC</v>
      </c>
      <c r="AD960" s="449"/>
      <c r="AE960" s="449"/>
      <c r="AF960" s="4"/>
      <c r="AG960" s="83"/>
      <c r="AH960" s="4"/>
      <c r="AI960" s="4"/>
      <c r="AJ960" s="449"/>
      <c r="AK960" s="449"/>
      <c r="AL960" s="449"/>
      <c r="AM960" s="449" t="s">
        <v>552</v>
      </c>
      <c r="AN960" s="10">
        <v>5.5</v>
      </c>
      <c r="AO960" s="9"/>
      <c r="AP960" s="9"/>
      <c r="AQ960" s="9"/>
      <c r="AR960" s="9"/>
      <c r="AS960" s="9"/>
      <c r="AT960" s="9">
        <f>+ab($T$960,$T$958,$T$962,$G$959,$G$961, 1*$F$960,1200)</f>
        <v>-3.7328782204313913</v>
      </c>
      <c r="AU960" s="428"/>
      <c r="AV960" s="428"/>
      <c r="AW960" s="449" t="str">
        <f>IF(C960&gt;0,VLOOKUP(C960,Foundation_Calc!$A$2:$C$13,3,1),
IF(J960&gt;0,VLOOKUP(J960,Foundation_Calc!$A$2:$C$13,3,1),""))</f>
        <v>Multi Soil</v>
      </c>
      <c r="AX960" s="449" t="str">
        <f>IF(C960&gt;0,VLOOKUP(C960,Foundation_Calc!$E$35:$G$65,3,1),
IF(J960&gt;0,VLOOKUP(J960,Foundation_Calc!$E$35:$G$65,3,1),""))</f>
        <v>K</v>
      </c>
      <c r="AY960" s="10">
        <f>IF(L960="","",
IF(AX960="PT",VLOOKUP(L960,Foundation_Calc!$K$79:$R$113,VLOOKUP(AW960,Foundation_Calc!$I$2:$J$8,2,FALSE),0),
IF(AX960="K",VLOOKUP(L960,Foundation_Calc!$K$117:$R$151,VLOOKUP(AW960,Foundation_Calc!$I$2:$J$8,2,FALSE),0),"")))</f>
        <v>4.2</v>
      </c>
      <c r="AZ960" s="10" t="str">
        <f>IF(K960="","",
IF(AX960="PT",VLOOKUP(K960,Foundation_Calc!$K$79:$R$113,VLOOKUP(AW960,Foundation_Calc!$I$2:$J$8,2,FALSE),0),
IF(AX960="K",VLOOKUP(K960,Foundation_Calc!$K$117:$R$151,VLOOKUP(AW960,Foundation_Calc!$I$2:$J$8,2,FALSE),0),"")))</f>
        <v/>
      </c>
      <c r="BA960" s="495" t="str">
        <f t="shared" si="129"/>
        <v>ü</v>
      </c>
      <c r="BB960" s="495" t="str">
        <f t="shared" si="130"/>
        <v/>
      </c>
      <c r="BC960" s="495" t="str">
        <f t="shared" si="131"/>
        <v/>
      </c>
      <c r="BD960" s="513" t="str">
        <f>IF(AND(L960="",H960=""),"",
IF(H960="",Pole_Calc!A$9,
IF(H960="MP",Pole_Calc!A$10,
IF(H960="AnMP",Pole_Calc!A$11,
IF(H960="A",Pole_Calc!A$12,
IF(H960="S/A",Pole_Calc!A$13,
IF(H960="A/S",Pole_Calc!A$14,"Poner a mano")))))))</f>
        <v>App.7-V11I-P9.5.1.1</v>
      </c>
      <c r="BE960" s="429" t="s">
        <v>118</v>
      </c>
      <c r="BF960" s="289"/>
      <c r="BG960" s="289"/>
      <c r="BH960" s="290"/>
      <c r="BI960" s="289"/>
    </row>
    <row r="961" spans="1:61" ht="15.75" customHeight="1">
      <c r="A961" s="514"/>
      <c r="B961" s="450"/>
      <c r="C961" s="3"/>
      <c r="D961" s="83"/>
      <c r="E961" s="4"/>
      <c r="F961" s="4"/>
      <c r="G961" s="6">
        <v>36</v>
      </c>
      <c r="H961" s="449"/>
      <c r="I961" s="4"/>
      <c r="J961" s="3"/>
      <c r="K961" s="449"/>
      <c r="L961" s="449"/>
      <c r="M961" s="449" t="str">
        <f>IF(L961="","",
IF(AX961="PT",VLOOKUP(L961,Foundation_Calc!$V$79:$X$113,VLOOKUP(AX961,Foundation_Calc!$I$10:$J$13,2,FALSE),0),
IF(AX961="K",VLOOKUP(L961,Foundation_Calc!$V$117:$X$151,VLOOKUP(AX961,Foundation_Calc!$I$10:$J$13,2,FALSE),0),"")))</f>
        <v/>
      </c>
      <c r="N961" s="449"/>
      <c r="O961" s="561"/>
      <c r="P961" s="449"/>
      <c r="Q961" s="4"/>
      <c r="R961" s="6"/>
      <c r="S961" s="6"/>
      <c r="T961" s="4"/>
      <c r="U961" s="4"/>
      <c r="V961" s="4"/>
      <c r="W961" s="9"/>
      <c r="X961" s="9"/>
      <c r="Y961" s="9"/>
      <c r="Z961" s="9"/>
      <c r="AA961" s="9"/>
      <c r="AB961" s="9"/>
      <c r="AC961" s="449" t="str">
        <f t="shared" si="128"/>
        <v/>
      </c>
      <c r="AD961" s="449"/>
      <c r="AE961" s="449"/>
      <c r="AF961" s="4"/>
      <c r="AG961" s="83"/>
      <c r="AH961" s="4"/>
      <c r="AI961" s="4"/>
      <c r="AJ961" s="449"/>
      <c r="AK961" s="449"/>
      <c r="AL961" s="449"/>
      <c r="AM961" s="449"/>
      <c r="AN961" s="10"/>
      <c r="AO961" s="9"/>
      <c r="AP961" s="9"/>
      <c r="AQ961" s="9">
        <f>+FL_2($T$962,$T$960,$G$961,1200,9.28, 1*$F$962)</f>
        <v>-0.3</v>
      </c>
      <c r="AR961" s="9"/>
      <c r="AS961" s="9"/>
      <c r="AT961" s="9"/>
      <c r="AU961" s="428"/>
      <c r="AV961" s="428"/>
      <c r="AW961" s="449" t="str">
        <f>IF(C961&gt;0,VLOOKUP(C961,Foundation_Calc!$A$2:$C$13,3,1),
IF(J961&gt;0,VLOOKUP(J961,Foundation_Calc!$A$2:$C$13,3,1),""))</f>
        <v/>
      </c>
      <c r="AX961" s="449" t="str">
        <f>IF(C961&gt;0,VLOOKUP(C961,Foundation_Calc!$E$35:$G$65,3,1),
IF(J961&gt;0,VLOOKUP(J961,Foundation_Calc!$E$35:$G$65,3,1),""))</f>
        <v/>
      </c>
      <c r="AY961" s="10" t="str">
        <f>IF(L961="","",
IF(AX961="PT",VLOOKUP(L961,Foundation_Calc!$K$79:$R$113,VLOOKUP(AW961,Foundation_Calc!$I$2:$J$8,2,FALSE),0),
IF(AX961="K",VLOOKUP(L961,Foundation_Calc!$K$117:$R$151,VLOOKUP(AW961,Foundation_Calc!$I$2:$J$8,2,FALSE),0),"")))</f>
        <v/>
      </c>
      <c r="AZ961" s="10" t="str">
        <f>IF(K961="","",
IF(AX961="PT",VLOOKUP(K961,Foundation_Calc!$K$79:$R$113,VLOOKUP(AW961,Foundation_Calc!$I$2:$J$8,2,FALSE),0),
IF(AX961="K",VLOOKUP(K961,Foundation_Calc!$K$117:$R$151,VLOOKUP(AW961,Foundation_Calc!$I$2:$J$8,2,FALSE),0),"")))</f>
        <v/>
      </c>
      <c r="BA961" s="495" t="str">
        <f t="shared" si="129"/>
        <v/>
      </c>
      <c r="BB961" s="495" t="str">
        <f t="shared" si="130"/>
        <v/>
      </c>
      <c r="BC961" s="495" t="str">
        <f t="shared" si="131"/>
        <v/>
      </c>
      <c r="BD961" s="513" t="str">
        <f>IF(AND(L961="",H961=""),"",
IF(H961="",Pole_Calc!A$9,
IF(H961="MP",Pole_Calc!A$10,
IF(H961="AnMP",Pole_Calc!A$11,
IF(H961="A",Pole_Calc!A$12,
IF(H961="S/A",Pole_Calc!A$13,
IF(H961="A/S",Pole_Calc!A$14,"Poner a mano")))))))</f>
        <v/>
      </c>
      <c r="BE961" s="429" t="s">
        <v>118</v>
      </c>
      <c r="BF961" s="290"/>
      <c r="BG961" s="290"/>
      <c r="BH961" s="290"/>
      <c r="BI961" s="290"/>
    </row>
    <row r="962" spans="1:61" ht="15.75" customHeight="1">
      <c r="A962" s="514"/>
      <c r="B962" s="450" t="s">
        <v>1440</v>
      </c>
      <c r="C962" s="3">
        <f>+$C$960+$G$961</f>
        <v>53020.790000000008</v>
      </c>
      <c r="D962" s="83"/>
      <c r="E962" s="4"/>
      <c r="F962" s="4">
        <v>-750</v>
      </c>
      <c r="G962" s="6"/>
      <c r="H962" s="449"/>
      <c r="I962" s="4"/>
      <c r="J962" s="3"/>
      <c r="K962" s="449"/>
      <c r="L962" s="449" t="s">
        <v>158</v>
      </c>
      <c r="M962" s="449" t="str">
        <f>IF(L962="","",
IF(AX962="PT",VLOOKUP(L962,Foundation_Calc!$V$79:$X$113,VLOOKUP(AX962,Foundation_Calc!$I$10:$J$13,2,FALSE),0),
IF(AX962="K",VLOOKUP(L962,Foundation_Calc!$V$117:$X$151,VLOOKUP(AX962,Foundation_Calc!$I$10:$J$13,2,FALSE),0),"")))</f>
        <v>C4RT</v>
      </c>
      <c r="N962" s="449" t="s">
        <v>124</v>
      </c>
      <c r="O962" s="449"/>
      <c r="P962" s="449"/>
      <c r="Q962" s="4"/>
      <c r="R962" s="6"/>
      <c r="S962" s="6"/>
      <c r="T962" s="4">
        <v>-30</v>
      </c>
      <c r="U962" s="4"/>
      <c r="V962" s="4"/>
      <c r="W962" s="9">
        <v>1.4</v>
      </c>
      <c r="X962" s="9"/>
      <c r="Y962" s="9"/>
      <c r="Z962" s="9"/>
      <c r="AA962" s="9"/>
      <c r="AB962" s="9"/>
      <c r="AC962" s="449" t="str">
        <f t="shared" si="128"/>
        <v>PHC</v>
      </c>
      <c r="AD962" s="449"/>
      <c r="AE962" s="449"/>
      <c r="AF962" s="4"/>
      <c r="AG962" s="83"/>
      <c r="AH962" s="4"/>
      <c r="AI962" s="4"/>
      <c r="AJ962" s="449"/>
      <c r="AK962" s="449"/>
      <c r="AL962" s="449"/>
      <c r="AM962" s="449" t="s">
        <v>552</v>
      </c>
      <c r="AN962" s="10">
        <v>5.5</v>
      </c>
      <c r="AO962" s="9"/>
      <c r="AP962" s="9"/>
      <c r="AQ962" s="9"/>
      <c r="AR962" s="9"/>
      <c r="AS962" s="9"/>
      <c r="AT962" s="9">
        <f>+ab($T$962,$T$960,$T$964,$G$961,$G$963, 1*$F$962,1200)</f>
        <v>-3.7818534237489043</v>
      </c>
      <c r="AU962" s="428"/>
      <c r="AV962" s="428"/>
      <c r="AW962" s="449" t="str">
        <f>IF(C962&gt;0,VLOOKUP(C962,Foundation_Calc!$A$2:$C$13,3,1),
IF(J962&gt;0,VLOOKUP(J962,Foundation_Calc!$A$2:$C$13,3,1),""))</f>
        <v>Multi Soil</v>
      </c>
      <c r="AX962" s="449" t="str">
        <f>IF(C962&gt;0,VLOOKUP(C962,Foundation_Calc!$E$35:$G$65,3,1),
IF(J962&gt;0,VLOOKUP(J962,Foundation_Calc!$E$35:$G$65,3,1),""))</f>
        <v>K</v>
      </c>
      <c r="AY962" s="10">
        <f>IF(L962="","",
IF(AX962="PT",VLOOKUP(L962,Foundation_Calc!$K$79:$R$113,VLOOKUP(AW962,Foundation_Calc!$I$2:$J$8,2,FALSE),0),
IF(AX962="K",VLOOKUP(L962,Foundation_Calc!$K$117:$R$151,VLOOKUP(AW962,Foundation_Calc!$I$2:$J$8,2,FALSE),0),"")))</f>
        <v>4.2</v>
      </c>
      <c r="AZ962" s="10" t="str">
        <f>IF(K962="","",
IF(AX962="PT",VLOOKUP(K962,Foundation_Calc!$K$79:$R$113,VLOOKUP(AW962,Foundation_Calc!$I$2:$J$8,2,FALSE),0),
IF(AX962="K",VLOOKUP(K962,Foundation_Calc!$K$117:$R$151,VLOOKUP(AW962,Foundation_Calc!$I$2:$J$8,2,FALSE),0),"")))</f>
        <v/>
      </c>
      <c r="BA962" s="495" t="str">
        <f t="shared" si="129"/>
        <v>ü</v>
      </c>
      <c r="BB962" s="495" t="str">
        <f t="shared" si="130"/>
        <v/>
      </c>
      <c r="BC962" s="495" t="str">
        <f t="shared" si="131"/>
        <v/>
      </c>
      <c r="BD962" s="513" t="str">
        <f>IF(AND(L962="",H962=""),"",
IF(H962="",Pole_Calc!A$9,
IF(H962="MP",Pole_Calc!A$10,
IF(H962="AnMP",Pole_Calc!A$11,
IF(H962="A",Pole_Calc!A$12,
IF(H962="S/A",Pole_Calc!A$13,
IF(H962="A/S",Pole_Calc!A$14,"Poner a mano")))))))</f>
        <v>App.7-V11I-P9.5.1.1</v>
      </c>
      <c r="BE962" s="429" t="s">
        <v>118</v>
      </c>
      <c r="BF962" s="289"/>
      <c r="BG962" s="289"/>
      <c r="BH962" s="290"/>
      <c r="BI962" s="289"/>
    </row>
    <row r="963" spans="1:61" ht="15.75" customHeight="1">
      <c r="A963" s="518"/>
      <c r="B963" s="450"/>
      <c r="C963" s="3"/>
      <c r="D963" s="83"/>
      <c r="E963" s="4"/>
      <c r="F963" s="4"/>
      <c r="G963" s="6">
        <v>40</v>
      </c>
      <c r="H963" s="449"/>
      <c r="I963" s="4"/>
      <c r="J963" s="3"/>
      <c r="K963" s="449"/>
      <c r="L963" s="449"/>
      <c r="M963" s="449" t="str">
        <f>IF(L963="","",
IF(AX963="PT",VLOOKUP(L963,Foundation_Calc!$V$79:$X$113,VLOOKUP(AX963,Foundation_Calc!$I$10:$J$13,2,FALSE),0),
IF(AX963="K",VLOOKUP(L963,Foundation_Calc!$V$117:$X$151,VLOOKUP(AX963,Foundation_Calc!$I$10:$J$13,2,FALSE),0),"")))</f>
        <v/>
      </c>
      <c r="N963" s="449"/>
      <c r="O963" s="449"/>
      <c r="P963" s="449"/>
      <c r="Q963" s="4"/>
      <c r="R963" s="6"/>
      <c r="S963" s="6"/>
      <c r="T963" s="4"/>
      <c r="U963" s="4"/>
      <c r="V963" s="4"/>
      <c r="W963" s="9"/>
      <c r="X963" s="9"/>
      <c r="Y963" s="9"/>
      <c r="Z963" s="9"/>
      <c r="AA963" s="9"/>
      <c r="AB963" s="9"/>
      <c r="AC963" s="449" t="str">
        <f t="shared" si="128"/>
        <v/>
      </c>
      <c r="AD963" s="449"/>
      <c r="AE963" s="449"/>
      <c r="AF963" s="4"/>
      <c r="AG963" s="83"/>
      <c r="AH963" s="4"/>
      <c r="AI963" s="4"/>
      <c r="AJ963" s="449"/>
      <c r="AK963" s="449"/>
      <c r="AL963" s="449"/>
      <c r="AM963" s="449"/>
      <c r="AN963" s="10"/>
      <c r="AO963" s="9"/>
      <c r="AP963" s="9"/>
      <c r="AQ963" s="9">
        <f>+FL_2($T$964,$T$962,$G$963,1200,9.28, 1*$F$964)</f>
        <v>-0.3</v>
      </c>
      <c r="AR963" s="9"/>
      <c r="AS963" s="9"/>
      <c r="AT963" s="9"/>
      <c r="AU963" s="428"/>
      <c r="AV963" s="428"/>
      <c r="AW963" s="449" t="str">
        <f>IF(C963&gt;0,VLOOKUP(C963,Foundation_Calc!$A$2:$C$13,3,1),
IF(J963&gt;0,VLOOKUP(J963,Foundation_Calc!$A$2:$C$13,3,1),""))</f>
        <v/>
      </c>
      <c r="AX963" s="449" t="str">
        <f>IF(C963&gt;0,VLOOKUP(C963,Foundation_Calc!$E$35:$G$65,3,1),
IF(J963&gt;0,VLOOKUP(J963,Foundation_Calc!$E$35:$G$65,3,1),""))</f>
        <v/>
      </c>
      <c r="AY963" s="10" t="str">
        <f>IF(L963="","",
IF(AX963="PT",VLOOKUP(L963,Foundation_Calc!$K$79:$R$113,VLOOKUP(AW963,Foundation_Calc!$I$2:$J$8,2,FALSE),0),
IF(AX963="K",VLOOKUP(L963,Foundation_Calc!$K$117:$R$151,VLOOKUP(AW963,Foundation_Calc!$I$2:$J$8,2,FALSE),0),"")))</f>
        <v/>
      </c>
      <c r="AZ963" s="10" t="str">
        <f>IF(K963="","",
IF(AX963="PT",VLOOKUP(K963,Foundation_Calc!$K$79:$R$113,VLOOKUP(AW963,Foundation_Calc!$I$2:$J$8,2,FALSE),0),
IF(AX963="K",VLOOKUP(K963,Foundation_Calc!$K$117:$R$151,VLOOKUP(AW963,Foundation_Calc!$I$2:$J$8,2,FALSE),0),"")))</f>
        <v/>
      </c>
      <c r="BA963" s="495" t="str">
        <f t="shared" si="129"/>
        <v/>
      </c>
      <c r="BB963" s="495" t="str">
        <f t="shared" si="130"/>
        <v/>
      </c>
      <c r="BC963" s="495" t="str">
        <f t="shared" si="131"/>
        <v/>
      </c>
      <c r="BD963" s="513" t="str">
        <f>IF(AND(L963="",H963=""),"",
IF(H963="",Pole_Calc!A$9,
IF(H963="MP",Pole_Calc!A$10,
IF(H963="AnMP",Pole_Calc!A$11,
IF(H963="A",Pole_Calc!A$12,
IF(H963="S/A",Pole_Calc!A$13,
IF(H963="A/S",Pole_Calc!A$14,"Poner a mano")))))))</f>
        <v/>
      </c>
      <c r="BE963" s="429" t="s">
        <v>118</v>
      </c>
      <c r="BF963" s="290"/>
      <c r="BG963" s="290"/>
      <c r="BH963" s="290"/>
      <c r="BI963" s="290"/>
    </row>
    <row r="964" spans="1:61" ht="15.75" customHeight="1">
      <c r="A964" s="514"/>
      <c r="B964" s="450" t="s">
        <v>1441</v>
      </c>
      <c r="C964" s="3">
        <f>+$C$962+$G$963</f>
        <v>53060.790000000008</v>
      </c>
      <c r="D964" s="83"/>
      <c r="E964" s="4"/>
      <c r="F964" s="4">
        <v>-750</v>
      </c>
      <c r="G964" s="6"/>
      <c r="H964" s="449"/>
      <c r="I964" s="4"/>
      <c r="J964" s="3"/>
      <c r="K964" s="449"/>
      <c r="L964" s="449" t="s">
        <v>158</v>
      </c>
      <c r="M964" s="449" t="str">
        <f>IF(L964="","",
IF(AX964="PT",VLOOKUP(L964,Foundation_Calc!$V$79:$X$113,VLOOKUP(AX964,Foundation_Calc!$I$10:$J$13,2,FALSE),0),
IF(AX964="K",VLOOKUP(L964,Foundation_Calc!$V$117:$X$151,VLOOKUP(AX964,Foundation_Calc!$I$10:$J$13,2,FALSE),0),"")))</f>
        <v>C4RT</v>
      </c>
      <c r="N964" s="449" t="s">
        <v>124</v>
      </c>
      <c r="O964" s="449"/>
      <c r="P964" s="449"/>
      <c r="Q964" s="4"/>
      <c r="R964" s="6"/>
      <c r="S964" s="6"/>
      <c r="T964" s="4">
        <v>-30</v>
      </c>
      <c r="U964" s="4"/>
      <c r="V964" s="4"/>
      <c r="W964" s="9">
        <v>1.4</v>
      </c>
      <c r="X964" s="9"/>
      <c r="Y964" s="9"/>
      <c r="Z964" s="9"/>
      <c r="AA964" s="9"/>
      <c r="AB964" s="9"/>
      <c r="AC964" s="449" t="str">
        <f t="shared" si="128"/>
        <v>PHC</v>
      </c>
      <c r="AD964" s="449"/>
      <c r="AE964" s="449"/>
      <c r="AF964" s="4"/>
      <c r="AG964" s="83"/>
      <c r="AH964" s="4"/>
      <c r="AI964" s="4"/>
      <c r="AJ964" s="449"/>
      <c r="AK964" s="449"/>
      <c r="AL964" s="449"/>
      <c r="AM964" s="449" t="s">
        <v>552</v>
      </c>
      <c r="AN964" s="10">
        <v>5.5</v>
      </c>
      <c r="AO964" s="9"/>
      <c r="AP964" s="9"/>
      <c r="AQ964" s="9"/>
      <c r="AR964" s="9"/>
      <c r="AS964" s="9"/>
      <c r="AT964" s="9">
        <f>+ab($T$964,$T$962,$T$966,$G$963,$G$965, 1*$F$964,1200)</f>
        <v>-3.5932691577248321</v>
      </c>
      <c r="AU964" s="428"/>
      <c r="AV964" s="428"/>
      <c r="AW964" s="449" t="str">
        <f>IF(C964&gt;0,VLOOKUP(C964,Foundation_Calc!$A$2:$C$13,3,1),
IF(J964&gt;0,VLOOKUP(J964,Foundation_Calc!$A$2:$C$13,3,1),""))</f>
        <v>Multi Soil</v>
      </c>
      <c r="AX964" s="449" t="str">
        <f>IF(C964&gt;0,VLOOKUP(C964,Foundation_Calc!$E$35:$G$65,3,1),
IF(J964&gt;0,VLOOKUP(J964,Foundation_Calc!$E$35:$G$65,3,1),""))</f>
        <v>K</v>
      </c>
      <c r="AY964" s="10">
        <f>IF(L964="","",
IF(AX964="PT",VLOOKUP(L964,Foundation_Calc!$K$79:$R$113,VLOOKUP(AW964,Foundation_Calc!$I$2:$J$8,2,FALSE),0),
IF(AX964="K",VLOOKUP(L964,Foundation_Calc!$K$117:$R$151,VLOOKUP(AW964,Foundation_Calc!$I$2:$J$8,2,FALSE),0),"")))</f>
        <v>4.2</v>
      </c>
      <c r="AZ964" s="10" t="str">
        <f>IF(K964="","",
IF(AX964="PT",VLOOKUP(K964,Foundation_Calc!$K$79:$R$113,VLOOKUP(AW964,Foundation_Calc!$I$2:$J$8,2,FALSE),0),
IF(AX964="K",VLOOKUP(K964,Foundation_Calc!$K$117:$R$151,VLOOKUP(AW964,Foundation_Calc!$I$2:$J$8,2,FALSE),0),"")))</f>
        <v/>
      </c>
      <c r="BA964" s="495" t="str">
        <f t="shared" si="129"/>
        <v>ü</v>
      </c>
      <c r="BB964" s="495" t="str">
        <f t="shared" si="130"/>
        <v/>
      </c>
      <c r="BC964" s="495" t="str">
        <f t="shared" si="131"/>
        <v/>
      </c>
      <c r="BD964" s="513" t="str">
        <f>IF(AND(L964="",H964=""),"",
IF(H964="",Pole_Calc!A$9,
IF(H964="MP",Pole_Calc!A$10,
IF(H964="AnMP",Pole_Calc!A$11,
IF(H964="A",Pole_Calc!A$12,
IF(H964="S/A",Pole_Calc!A$13,
IF(H964="A/S",Pole_Calc!A$14,"Poner a mano")))))))</f>
        <v>App.7-V11I-P9.5.1.1</v>
      </c>
      <c r="BE964" s="429" t="s">
        <v>118</v>
      </c>
      <c r="BF964" s="289"/>
      <c r="BG964" s="289"/>
      <c r="BH964" s="290"/>
      <c r="BI964" s="289"/>
    </row>
    <row r="965" spans="1:61" ht="15.75" customHeight="1">
      <c r="A965" s="514"/>
      <c r="B965" s="450"/>
      <c r="C965" s="3"/>
      <c r="D965" s="83"/>
      <c r="E965" s="4"/>
      <c r="F965" s="4"/>
      <c r="G965" s="6">
        <v>40</v>
      </c>
      <c r="H965" s="449"/>
      <c r="I965" s="4"/>
      <c r="J965" s="3"/>
      <c r="K965" s="449"/>
      <c r="L965" s="449"/>
      <c r="M965" s="449" t="str">
        <f>IF(L965="","",
IF(AX965="PT",VLOOKUP(L965,Foundation_Calc!$V$79:$X$113,VLOOKUP(AX965,Foundation_Calc!$I$10:$J$13,2,FALSE),0),
IF(AX965="K",VLOOKUP(L965,Foundation_Calc!$V$117:$X$151,VLOOKUP(AX965,Foundation_Calc!$I$10:$J$13,2,FALSE),0),"")))</f>
        <v/>
      </c>
      <c r="N965" s="449"/>
      <c r="O965" s="449"/>
      <c r="P965" s="449"/>
      <c r="Q965" s="4"/>
      <c r="R965" s="6"/>
      <c r="S965" s="6"/>
      <c r="T965" s="4"/>
      <c r="U965" s="4"/>
      <c r="V965" s="4"/>
      <c r="W965" s="9"/>
      <c r="X965" s="9"/>
      <c r="Y965" s="9"/>
      <c r="Z965" s="9"/>
      <c r="AA965" s="9"/>
      <c r="AB965" s="9"/>
      <c r="AC965" s="449" t="str">
        <f t="shared" si="128"/>
        <v/>
      </c>
      <c r="AD965" s="449"/>
      <c r="AE965" s="449"/>
      <c r="AF965" s="4"/>
      <c r="AG965" s="83"/>
      <c r="AH965" s="4"/>
      <c r="AI965" s="4"/>
      <c r="AJ965" s="449"/>
      <c r="AK965" s="449"/>
      <c r="AL965" s="449"/>
      <c r="AM965" s="449"/>
      <c r="AN965" s="10"/>
      <c r="AO965" s="9"/>
      <c r="AP965" s="9"/>
      <c r="AQ965" s="9">
        <f>+FL_2($T$966,$T$964,$G$965,1200,9.28, 1*$F$966)</f>
        <v>-0.3</v>
      </c>
      <c r="AR965" s="9"/>
      <c r="AS965" s="9"/>
      <c r="AT965" s="9"/>
      <c r="AU965" s="428"/>
      <c r="AV965" s="428"/>
      <c r="AW965" s="449" t="str">
        <f>IF(C965&gt;0,VLOOKUP(C965,Foundation_Calc!$A$2:$C$13,3,1),
IF(J965&gt;0,VLOOKUP(J965,Foundation_Calc!$A$2:$C$13,3,1),""))</f>
        <v/>
      </c>
      <c r="AX965" s="449" t="str">
        <f>IF(C965&gt;0,VLOOKUP(C965,Foundation_Calc!$E$35:$G$65,3,1),
IF(J965&gt;0,VLOOKUP(J965,Foundation_Calc!$E$35:$G$65,3,1),""))</f>
        <v/>
      </c>
      <c r="AY965" s="10" t="str">
        <f>IF(L965="","",
IF(AX965="PT",VLOOKUP(L965,Foundation_Calc!$K$79:$R$113,VLOOKUP(AW965,Foundation_Calc!$I$2:$J$8,2,FALSE),0),
IF(AX965="K",VLOOKUP(L965,Foundation_Calc!$K$117:$R$151,VLOOKUP(AW965,Foundation_Calc!$I$2:$J$8,2,FALSE),0),"")))</f>
        <v/>
      </c>
      <c r="AZ965" s="10" t="str">
        <f>IF(K965="","",
IF(AX965="PT",VLOOKUP(K965,Foundation_Calc!$K$79:$R$113,VLOOKUP(AW965,Foundation_Calc!$I$2:$J$8,2,FALSE),0),
IF(AX965="K",VLOOKUP(K965,Foundation_Calc!$K$117:$R$151,VLOOKUP(AW965,Foundation_Calc!$I$2:$J$8,2,FALSE),0),"")))</f>
        <v/>
      </c>
      <c r="BA965" s="495" t="str">
        <f t="shared" si="129"/>
        <v/>
      </c>
      <c r="BB965" s="495" t="str">
        <f t="shared" si="130"/>
        <v/>
      </c>
      <c r="BC965" s="495" t="str">
        <f t="shared" si="131"/>
        <v/>
      </c>
      <c r="BD965" s="513" t="str">
        <f>IF(AND(L965="",H965=""),"",
IF(H965="",Pole_Calc!A$9,
IF(H965="MP",Pole_Calc!A$10,
IF(H965="AnMP",Pole_Calc!A$11,
IF(H965="A",Pole_Calc!A$12,
IF(H965="S/A",Pole_Calc!A$13,
IF(H965="A/S",Pole_Calc!A$14,"Poner a mano")))))))</f>
        <v/>
      </c>
      <c r="BE965" s="429" t="s">
        <v>118</v>
      </c>
      <c r="BF965" s="290"/>
      <c r="BG965" s="290"/>
      <c r="BH965" s="290"/>
      <c r="BI965" s="290"/>
    </row>
    <row r="966" spans="1:61" ht="15.75" customHeight="1">
      <c r="A966" s="514"/>
      <c r="B966" s="450" t="s">
        <v>1442</v>
      </c>
      <c r="C966" s="3">
        <f>+$C$964+$G$965</f>
        <v>53100.790000000008</v>
      </c>
      <c r="D966" s="83"/>
      <c r="E966" s="4"/>
      <c r="F966" s="4">
        <v>-823.46952813322434</v>
      </c>
      <c r="G966" s="6"/>
      <c r="H966" s="449"/>
      <c r="I966" s="4"/>
      <c r="J966" s="3"/>
      <c r="K966" s="449"/>
      <c r="L966" s="449" t="s">
        <v>158</v>
      </c>
      <c r="M966" s="449" t="str">
        <f>IF(L966="","",
IF(AX966="PT",VLOOKUP(L966,Foundation_Calc!$V$79:$X$113,VLOOKUP(AX966,Foundation_Calc!$I$10:$J$13,2,FALSE),0),
IF(AX966="K",VLOOKUP(L966,Foundation_Calc!$V$117:$X$151,VLOOKUP(AX966,Foundation_Calc!$I$10:$J$13,2,FALSE),0),"")))</f>
        <v>C4RT</v>
      </c>
      <c r="N966" s="449" t="s">
        <v>124</v>
      </c>
      <c r="O966" s="449"/>
      <c r="P966" s="449"/>
      <c r="Q966" s="4"/>
      <c r="R966" s="6"/>
      <c r="S966" s="6"/>
      <c r="T966" s="4">
        <v>-30</v>
      </c>
      <c r="U966" s="4"/>
      <c r="V966" s="4"/>
      <c r="W966" s="9">
        <v>1.4</v>
      </c>
      <c r="X966" s="9"/>
      <c r="Y966" s="9"/>
      <c r="Z966" s="9"/>
      <c r="AA966" s="9"/>
      <c r="AB966" s="9"/>
      <c r="AC966" s="449" t="str">
        <f t="shared" si="128"/>
        <v>PHC</v>
      </c>
      <c r="AD966" s="449"/>
      <c r="AE966" s="449"/>
      <c r="AF966" s="4"/>
      <c r="AG966" s="83"/>
      <c r="AH966" s="4"/>
      <c r="AI966" s="4"/>
      <c r="AJ966" s="449"/>
      <c r="AK966" s="449"/>
      <c r="AL966" s="449"/>
      <c r="AM966" s="449" t="s">
        <v>552</v>
      </c>
      <c r="AN966" s="10">
        <v>5.5</v>
      </c>
      <c r="AO966" s="9"/>
      <c r="AP966" s="9"/>
      <c r="AQ966" s="9"/>
      <c r="AR966" s="9"/>
      <c r="AS966" s="9"/>
      <c r="AT966" s="9">
        <f>+ab($T$966,$T$964,$T$968,$G$965,$G$967, 1*$F$966,1200)</f>
        <v>-3.9442018918163813</v>
      </c>
      <c r="AU966" s="428"/>
      <c r="AV966" s="428"/>
      <c r="AW966" s="449" t="str">
        <f>IF(C966&gt;0,VLOOKUP(C966,Foundation_Calc!$A$2:$C$13,3,1),
IF(J966&gt;0,VLOOKUP(J966,Foundation_Calc!$A$2:$C$13,3,1),""))</f>
        <v>Multi Soil</v>
      </c>
      <c r="AX966" s="449" t="str">
        <f>IF(C966&gt;0,VLOOKUP(C966,Foundation_Calc!$E$35:$G$65,3,1),
IF(J966&gt;0,VLOOKUP(J966,Foundation_Calc!$E$35:$G$65,3,1),""))</f>
        <v>K</v>
      </c>
      <c r="AY966" s="10">
        <f>IF(L966="","",
IF(AX966="PT",VLOOKUP(L966,Foundation_Calc!$K$79:$R$113,VLOOKUP(AW966,Foundation_Calc!$I$2:$J$8,2,FALSE),0),
IF(AX966="K",VLOOKUP(L966,Foundation_Calc!$K$117:$R$151,VLOOKUP(AW966,Foundation_Calc!$I$2:$J$8,2,FALSE),0),"")))</f>
        <v>4.2</v>
      </c>
      <c r="AZ966" s="10" t="str">
        <f>IF(K966="","",
IF(AX966="PT",VLOOKUP(K966,Foundation_Calc!$K$79:$R$113,VLOOKUP(AW966,Foundation_Calc!$I$2:$J$8,2,FALSE),0),
IF(AX966="K",VLOOKUP(K966,Foundation_Calc!$K$117:$R$151,VLOOKUP(AW966,Foundation_Calc!$I$2:$J$8,2,FALSE),0),"")))</f>
        <v/>
      </c>
      <c r="BA966" s="495" t="str">
        <f t="shared" si="129"/>
        <v>ü</v>
      </c>
      <c r="BB966" s="495" t="str">
        <f t="shared" si="130"/>
        <v/>
      </c>
      <c r="BC966" s="495" t="str">
        <f t="shared" si="131"/>
        <v/>
      </c>
      <c r="BD966" s="513" t="str">
        <f>IF(AND(L966="",H966=""),"",
IF(H966="",Pole_Calc!A$9,
IF(H966="MP",Pole_Calc!A$10,
IF(H966="AnMP",Pole_Calc!A$11,
IF(H966="A",Pole_Calc!A$12,
IF(H966="S/A",Pole_Calc!A$13,
IF(H966="A/S",Pole_Calc!A$14,"Poner a mano")))))))</f>
        <v>App.7-V11I-P9.5.1.1</v>
      </c>
      <c r="BE966" s="429" t="s">
        <v>118</v>
      </c>
      <c r="BF966" s="289"/>
      <c r="BG966" s="289"/>
      <c r="BH966" s="290"/>
      <c r="BI966" s="289"/>
    </row>
    <row r="967" spans="1:61" ht="15.75" customHeight="1">
      <c r="A967" s="514"/>
      <c r="B967" s="450"/>
      <c r="C967" s="3"/>
      <c r="D967" s="83"/>
      <c r="E967" s="4"/>
      <c r="F967" s="4"/>
      <c r="G967" s="6">
        <v>40</v>
      </c>
      <c r="H967" s="449"/>
      <c r="I967" s="4"/>
      <c r="J967" s="3">
        <f>C968-7.5</f>
        <v>53133.290000000008</v>
      </c>
      <c r="K967" s="449" t="s">
        <v>315</v>
      </c>
      <c r="L967" s="449"/>
      <c r="M967" s="449" t="str">
        <f>IF(L967="","",
IF(AX967="PT",VLOOKUP(L967,Foundation_Calc!$V$79:$X$113,VLOOKUP(AX967,Foundation_Calc!$I$10:$J$13,2,FALSE),0),
IF(AX967="K",VLOOKUP(L967,Foundation_Calc!$V$117:$X$151,VLOOKUP(AX967,Foundation_Calc!$I$10:$J$13,2,FALSE),0),"")))</f>
        <v/>
      </c>
      <c r="N967" s="449"/>
      <c r="O967" s="561"/>
      <c r="P967" s="449"/>
      <c r="Q967" s="4"/>
      <c r="R967" s="6"/>
      <c r="S967" s="6"/>
      <c r="T967" s="4"/>
      <c r="U967" s="4"/>
      <c r="V967" s="4"/>
      <c r="W967" s="9"/>
      <c r="X967" s="9"/>
      <c r="Y967" s="9"/>
      <c r="Z967" s="9"/>
      <c r="AA967" s="9"/>
      <c r="AB967" s="9"/>
      <c r="AC967" s="449" t="str">
        <f t="shared" si="128"/>
        <v/>
      </c>
      <c r="AD967" s="449"/>
      <c r="AE967" s="449"/>
      <c r="AF967" s="4"/>
      <c r="AG967" s="83"/>
      <c r="AH967" s="4"/>
      <c r="AI967" s="4"/>
      <c r="AJ967" s="449"/>
      <c r="AK967" s="449"/>
      <c r="AL967" s="449"/>
      <c r="AM967" s="449"/>
      <c r="AN967" s="10"/>
      <c r="AO967" s="9"/>
      <c r="AP967" s="9"/>
      <c r="AQ967" s="9">
        <f>+FL_2($T$968,$T$966,$G$967,1200,9.28, 1*$F$968)</f>
        <v>-0.3</v>
      </c>
      <c r="AR967" s="9"/>
      <c r="AS967" s="9"/>
      <c r="AT967" s="9"/>
      <c r="AU967" s="428"/>
      <c r="AV967" s="428"/>
      <c r="AW967" s="449" t="str">
        <f>IF(C967&gt;0,VLOOKUP(C967,Foundation_Calc!$A$2:$C$13,3,1),
IF(J967&gt;0,VLOOKUP(J967,Foundation_Calc!$A$2:$C$13,3,1),""))</f>
        <v>Multi Soil</v>
      </c>
      <c r="AX967" s="449" t="str">
        <f>IF(C967&gt;0,VLOOKUP(C967,Foundation_Calc!$E$35:$G$65,3,1),
IF(J967&gt;0,VLOOKUP(J967,Foundation_Calc!$E$35:$G$65,3,1),""))</f>
        <v>K</v>
      </c>
      <c r="AY967" s="10" t="str">
        <f>IF(L967="","",
IF(AX967="PT",VLOOKUP(L967,Foundation_Calc!$K$79:$R$113,VLOOKUP(AW967,Foundation_Calc!$I$2:$J$8,2,FALSE),0),
IF(AX967="K",VLOOKUP(L967,Foundation_Calc!$K$117:$R$151,VLOOKUP(AW967,Foundation_Calc!$I$2:$J$8,2,FALSE),0),"")))</f>
        <v/>
      </c>
      <c r="AZ967" s="10">
        <f>IF(K967="","",
IF(AX967="PT",VLOOKUP(K967,Foundation_Calc!$K$79:$R$113,VLOOKUP(AW967,Foundation_Calc!$I$2:$J$8,2,FALSE),0),
IF(AX967="K",VLOOKUP(K967,Foundation_Calc!$K$117:$R$151,VLOOKUP(AW967,Foundation_Calc!$I$2:$J$8,2,FALSE),0),"")))</f>
        <v>3.9</v>
      </c>
      <c r="BA967" s="495" t="str">
        <f t="shared" si="129"/>
        <v/>
      </c>
      <c r="BB967" s="495" t="str">
        <f t="shared" si="130"/>
        <v>ü</v>
      </c>
      <c r="BC967" s="495" t="str">
        <f t="shared" si="131"/>
        <v/>
      </c>
      <c r="BD967" s="513" t="str">
        <f>IF(AND(L967="",H967=""),"",
IF(H967="",Pole_Calc!A$9,
IF(H967="MP",Pole_Calc!A$10,
IF(H967="AnMP",Pole_Calc!A$11,
IF(H967="A",Pole_Calc!A$12,
IF(H967="S/A",Pole_Calc!A$13,
IF(H967="A/S",Pole_Calc!A$14,"Poner a mano")))))))</f>
        <v/>
      </c>
      <c r="BE967" s="429" t="s">
        <v>118</v>
      </c>
      <c r="BF967" s="290"/>
      <c r="BG967" s="290"/>
      <c r="BH967" s="290"/>
      <c r="BI967" s="290"/>
    </row>
    <row r="968" spans="1:61" ht="15.75" customHeight="1">
      <c r="A968" s="514"/>
      <c r="B968" s="450" t="s">
        <v>1443</v>
      </c>
      <c r="C968" s="3">
        <f>+$C$966+$G$967</f>
        <v>53140.790000000008</v>
      </c>
      <c r="D968" s="83"/>
      <c r="E968" s="4"/>
      <c r="F968" s="4">
        <v>-1136.0409944962159</v>
      </c>
      <c r="G968" s="6"/>
      <c r="H968" s="449" t="s">
        <v>121</v>
      </c>
      <c r="I968" s="4" t="s">
        <v>122</v>
      </c>
      <c r="J968" s="3"/>
      <c r="K968" s="449"/>
      <c r="L968" s="449" t="s">
        <v>181</v>
      </c>
      <c r="M968" s="449" t="str">
        <f>IF(L968="","",
IF(AX968="PT",VLOOKUP(L968,Foundation_Calc!$V$79:$X$113,VLOOKUP(AX968,Foundation_Calc!$I$10:$J$13,2,FALSE),0),
IF(AX968="K",VLOOKUP(L968,Foundation_Calc!$V$117:$X$151,VLOOKUP(AX968,Foundation_Calc!$I$10:$J$13,2,FALSE),0),"")))</f>
        <v>C5RT</v>
      </c>
      <c r="N968" s="449" t="s">
        <v>124</v>
      </c>
      <c r="O968" s="449"/>
      <c r="P968" s="449"/>
      <c r="Q968" s="4"/>
      <c r="R968" s="6"/>
      <c r="S968" s="6"/>
      <c r="T968" s="4">
        <v>-30</v>
      </c>
      <c r="U968" s="4"/>
      <c r="V968" s="4"/>
      <c r="W968" s="9">
        <v>1.4</v>
      </c>
      <c r="X968" s="9"/>
      <c r="Y968" s="9"/>
      <c r="Z968" s="9"/>
      <c r="AA968" s="9"/>
      <c r="AB968" s="9"/>
      <c r="AC968" s="449" t="str">
        <f t="shared" si="128"/>
        <v>PHQ</v>
      </c>
      <c r="AD968" s="449"/>
      <c r="AE968" s="449"/>
      <c r="AF968" s="4"/>
      <c r="AG968" s="83"/>
      <c r="AH968" s="4"/>
      <c r="AI968" s="4"/>
      <c r="AJ968" s="449"/>
      <c r="AK968" s="449"/>
      <c r="AL968" s="449"/>
      <c r="AM968" s="449" t="s">
        <v>552</v>
      </c>
      <c r="AN968" s="10">
        <v>5.5</v>
      </c>
      <c r="AO968" s="9"/>
      <c r="AP968" s="9"/>
      <c r="AQ968" s="9"/>
      <c r="AR968" s="9"/>
      <c r="AS968" s="9"/>
      <c r="AT968" s="9">
        <f>+ab($T$968,$T$966,$U$970,$G$967,$G$969, 1*$F$968,1200)</f>
        <v>-5.056550397216399</v>
      </c>
      <c r="AU968" s="428"/>
      <c r="AV968" s="428"/>
      <c r="AW968" s="449" t="str">
        <f>IF(C968&gt;0,VLOOKUP(C968,Foundation_Calc!$A$2:$C$13,3,1),
IF(J968&gt;0,VLOOKUP(J968,Foundation_Calc!$A$2:$C$13,3,1),""))</f>
        <v>Multi Soil</v>
      </c>
      <c r="AX968" s="449" t="str">
        <f>IF(C968&gt;0,VLOOKUP(C968,Foundation_Calc!$E$35:$G$65,3,1),
IF(J968&gt;0,VLOOKUP(J968,Foundation_Calc!$E$35:$G$65,3,1),""))</f>
        <v>K</v>
      </c>
      <c r="AY968" s="10">
        <f>IF(L968="","",
IF(AX968="PT",VLOOKUP(L968,Foundation_Calc!$K$79:$R$113,VLOOKUP(AW968,Foundation_Calc!$I$2:$J$8,2,FALSE),0),
IF(AX968="K",VLOOKUP(L968,Foundation_Calc!$K$117:$R$151,VLOOKUP(AW968,Foundation_Calc!$I$2:$J$8,2,FALSE),0),"")))</f>
        <v>4</v>
      </c>
      <c r="AZ968" s="10" t="str">
        <f>IF(K968="","",
IF(AX968="PT",VLOOKUP(K968,Foundation_Calc!$K$79:$R$113,VLOOKUP(AW968,Foundation_Calc!$I$2:$J$8,2,FALSE),0),
IF(AX968="K",VLOOKUP(K968,Foundation_Calc!$K$117:$R$151,VLOOKUP(AW968,Foundation_Calc!$I$2:$J$8,2,FALSE),0),"")))</f>
        <v/>
      </c>
      <c r="BA968" s="495" t="str">
        <f t="shared" si="129"/>
        <v>ü</v>
      </c>
      <c r="BB968" s="495" t="str">
        <f t="shared" si="130"/>
        <v/>
      </c>
      <c r="BC968" s="495" t="str">
        <f t="shared" si="131"/>
        <v/>
      </c>
      <c r="BD968" s="513" t="str">
        <f>IF(AND(L968="",H968=""),"",
IF(H968="",Pole_Calc!A$9,
IF(H968="MP",Pole_Calc!A$10,
IF(H968="AnMP",Pole_Calc!A$11,
IF(H968="A",Pole_Calc!A$12,
IF(H968="S/A",Pole_Calc!A$13,
IF(H968="A/S",Pole_Calc!A$14,"Poner a mano")))))))</f>
        <v>App.7-V11I-P9.5.1.6</v>
      </c>
      <c r="BE968" s="429" t="s">
        <v>118</v>
      </c>
      <c r="BF968" s="289"/>
      <c r="BG968" s="289"/>
      <c r="BH968" s="290"/>
      <c r="BI968" s="289"/>
    </row>
    <row r="969" spans="1:61" ht="15.75" customHeight="1">
      <c r="A969" s="518"/>
      <c r="B969" s="450"/>
      <c r="C969" s="3"/>
      <c r="D969" s="83"/>
      <c r="E969" s="4"/>
      <c r="F969" s="4"/>
      <c r="G969" s="6">
        <v>46</v>
      </c>
      <c r="H969" s="449"/>
      <c r="I969" s="4"/>
      <c r="J969" s="3"/>
      <c r="K969" s="449"/>
      <c r="L969" s="449"/>
      <c r="M969" s="449" t="str">
        <f>IF(L969="","",
IF(AX969="PT",VLOOKUP(L969,Foundation_Calc!$V$79:$X$113,VLOOKUP(AX969,Foundation_Calc!$I$10:$J$13,2,FALSE),0),
IF(AX969="K",VLOOKUP(L969,Foundation_Calc!$V$117:$X$151,VLOOKUP(AX969,Foundation_Calc!$I$10:$J$13,2,FALSE),0),"")))</f>
        <v/>
      </c>
      <c r="N969" s="449"/>
      <c r="O969" s="449"/>
      <c r="P969" s="449"/>
      <c r="Q969" s="4"/>
      <c r="R969" s="6"/>
      <c r="S969" s="6"/>
      <c r="T969" s="4"/>
      <c r="U969" s="4"/>
      <c r="V969" s="4"/>
      <c r="W969" s="9"/>
      <c r="X969" s="9"/>
      <c r="Y969" s="9"/>
      <c r="Z969" s="9"/>
      <c r="AA969" s="9"/>
      <c r="AB969" s="9"/>
      <c r="AC969" s="449" t="str">
        <f t="shared" si="128"/>
        <v/>
      </c>
      <c r="AD969" s="449"/>
      <c r="AE969" s="449"/>
      <c r="AF969" s="4"/>
      <c r="AG969" s="83"/>
      <c r="AH969" s="4"/>
      <c r="AI969" s="4"/>
      <c r="AJ969" s="449"/>
      <c r="AK969" s="449"/>
      <c r="AL969" s="449"/>
      <c r="AM969" s="449"/>
      <c r="AN969" s="10"/>
      <c r="AO969" s="9"/>
      <c r="AP969" s="9"/>
      <c r="AQ969" s="9">
        <f>+FL_2($U$970,$T$968,$G$969,1200,9.28, 1*$F$970)</f>
        <v>-0.37334848887223548</v>
      </c>
      <c r="AR969" s="9"/>
      <c r="AS969" s="9"/>
      <c r="AT969" s="9"/>
      <c r="AU969" s="428"/>
      <c r="AV969" s="428"/>
      <c r="AW969" s="449" t="str">
        <f>IF(C969&gt;0,VLOOKUP(C969,Foundation_Calc!$A$2:$C$13,3,1),
IF(J969&gt;0,VLOOKUP(J969,Foundation_Calc!$A$2:$C$13,3,1),""))</f>
        <v/>
      </c>
      <c r="AX969" s="449" t="str">
        <f>IF(C969&gt;0,VLOOKUP(C969,Foundation_Calc!$E$35:$G$65,3,1),
IF(J969&gt;0,VLOOKUP(J969,Foundation_Calc!$E$35:$G$65,3,1),""))</f>
        <v/>
      </c>
      <c r="AY969" s="10" t="str">
        <f>IF(L969="","",
IF(AX969="PT",VLOOKUP(L969,Foundation_Calc!$K$79:$R$113,VLOOKUP(AW969,Foundation_Calc!$I$2:$J$8,2,FALSE),0),
IF(AX969="K",VLOOKUP(L969,Foundation_Calc!$K$117:$R$151,VLOOKUP(AW969,Foundation_Calc!$I$2:$J$8,2,FALSE),0),"")))</f>
        <v/>
      </c>
      <c r="AZ969" s="10" t="str">
        <f>IF(K969="","",
IF(AX969="PT",VLOOKUP(K969,Foundation_Calc!$K$79:$R$113,VLOOKUP(AW969,Foundation_Calc!$I$2:$J$8,2,FALSE),0),
IF(AX969="K",VLOOKUP(K969,Foundation_Calc!$K$117:$R$151,VLOOKUP(AW969,Foundation_Calc!$I$2:$J$8,2,FALSE),0),"")))</f>
        <v/>
      </c>
      <c r="BA969" s="495" t="str">
        <f t="shared" si="129"/>
        <v/>
      </c>
      <c r="BB969" s="495" t="str">
        <f t="shared" si="130"/>
        <v/>
      </c>
      <c r="BC969" s="495" t="str">
        <f t="shared" si="131"/>
        <v/>
      </c>
      <c r="BD969" s="513" t="str">
        <f>IF(AND(L969="",H969=""),"",
IF(H969="",Pole_Calc!A$9,
IF(H969="MP",Pole_Calc!A$10,
IF(H969="AnMP",Pole_Calc!A$11,
IF(H969="A",Pole_Calc!A$12,
IF(H969="S/A",Pole_Calc!A$13,
IF(H969="A/S",Pole_Calc!A$14,"Poner a mano")))))))</f>
        <v/>
      </c>
      <c r="BE969" s="429" t="s">
        <v>118</v>
      </c>
      <c r="BF969" s="290"/>
      <c r="BG969" s="290"/>
      <c r="BH969" s="290"/>
      <c r="BI969" s="290"/>
    </row>
    <row r="970" spans="1:61" ht="15.75" customHeight="1">
      <c r="A970" s="514"/>
      <c r="B970" s="450" t="s">
        <v>1444</v>
      </c>
      <c r="C970" s="3">
        <f>+$C$968+$G$969</f>
        <v>53186.790000000008</v>
      </c>
      <c r="D970" s="83"/>
      <c r="E970" s="4"/>
      <c r="F970" s="4">
        <v>-2016.0996968679681</v>
      </c>
      <c r="G970" s="6"/>
      <c r="H970" s="449" t="s">
        <v>131</v>
      </c>
      <c r="I970" s="4"/>
      <c r="J970" s="3"/>
      <c r="K970" s="449"/>
      <c r="L970" s="449" t="s">
        <v>183</v>
      </c>
      <c r="M970" s="449" t="str">
        <f>IF(L970="","",
IF(AX970="PT",VLOOKUP(L970,Foundation_Calc!$V$79:$X$113,VLOOKUP(AX970,Foundation_Calc!$I$10:$J$13,2,FALSE),0),
IF(AX970="K",VLOOKUP(L970,Foundation_Calc!$V$117:$X$151,VLOOKUP(AX970,Foundation_Calc!$I$10:$J$13,2,FALSE),0),"")))</f>
        <v>2C3RT</v>
      </c>
      <c r="N970" s="449" t="s">
        <v>133</v>
      </c>
      <c r="O970" s="449" t="s">
        <v>124</v>
      </c>
      <c r="P970" s="449"/>
      <c r="Q970" s="4"/>
      <c r="R970" s="6"/>
      <c r="S970" s="6"/>
      <c r="T970" s="4">
        <v>-10</v>
      </c>
      <c r="U970" s="4">
        <v>-30</v>
      </c>
      <c r="V970" s="4"/>
      <c r="W970" s="9">
        <v>1.4</v>
      </c>
      <c r="X970" s="9">
        <v>2.2999999999999998</v>
      </c>
      <c r="Y970" s="9"/>
      <c r="Z970" s="9">
        <v>0.45</v>
      </c>
      <c r="AA970" s="9"/>
      <c r="AB970" s="9"/>
      <c r="AC970" s="449"/>
      <c r="AD970" s="449"/>
      <c r="AE970" s="449"/>
      <c r="AF970" s="4"/>
      <c r="AG970" s="83"/>
      <c r="AH970" s="4"/>
      <c r="AI970" s="4"/>
      <c r="AJ970" s="449"/>
      <c r="AK970" s="449"/>
      <c r="AL970" s="449"/>
      <c r="AM970" s="449" t="s">
        <v>552</v>
      </c>
      <c r="AN970" s="10">
        <v>5.5</v>
      </c>
      <c r="AO970" s="9"/>
      <c r="AP970" s="9"/>
      <c r="AQ970" s="9"/>
      <c r="AR970" s="9"/>
      <c r="AS970" s="9"/>
      <c r="AT970" s="9">
        <f>+ab($U$970,$T$968,$U$972,$G$969,$G$971, 1*$F$970,1200)</f>
        <v>-6.0106303362064528</v>
      </c>
      <c r="AU970" s="428"/>
      <c r="AV970" s="428"/>
      <c r="AW970" s="449" t="str">
        <f>IF(C970&gt;0,VLOOKUP(C970,Foundation_Calc!$A$2:$C$13,3,1),
IF(J970&gt;0,VLOOKUP(J970,Foundation_Calc!$A$2:$C$13,3,1),""))</f>
        <v>Multi Soil</v>
      </c>
      <c r="AX970" s="449" t="str">
        <f>IF(C970&gt;0,VLOOKUP(C970,Foundation_Calc!$E$35:$G$65,3,1),
IF(J970&gt;0,VLOOKUP(J970,Foundation_Calc!$E$35:$G$65,3,1),""))</f>
        <v>K</v>
      </c>
      <c r="AY970" s="10">
        <f>IF(L970="","",
IF(AX970="PT",VLOOKUP(L970,Foundation_Calc!$K$79:$R$113,VLOOKUP(AW970,Foundation_Calc!$I$2:$J$8,2,FALSE),0),
IF(AX970="K",VLOOKUP(L970,Foundation_Calc!$K$117:$R$151,VLOOKUP(AW970,Foundation_Calc!$I$2:$J$8,2,FALSE),0),"")))</f>
        <v>4.5</v>
      </c>
      <c r="AZ970" s="10" t="str">
        <f>IF(K970="","",
IF(AX970="PT",VLOOKUP(K970,Foundation_Calc!$K$79:$R$113,VLOOKUP(AW970,Foundation_Calc!$I$2:$J$8,2,FALSE),0),
IF(AX970="K",VLOOKUP(K970,Foundation_Calc!$K$117:$R$151,VLOOKUP(AW970,Foundation_Calc!$I$2:$J$8,2,FALSE),0),"")))</f>
        <v/>
      </c>
      <c r="BA970" s="495" t="str">
        <f t="shared" si="129"/>
        <v>ü</v>
      </c>
      <c r="BB970" s="495" t="str">
        <f t="shared" si="130"/>
        <v/>
      </c>
      <c r="BC970" s="495" t="str">
        <f t="shared" si="131"/>
        <v/>
      </c>
      <c r="BD970" s="513" t="str">
        <f>IF(AND(L970="",H970=""),"",
IF(H970="",Pole_Calc!A$9,
IF(H970="MP",Pole_Calc!A$10,
IF(H970="AnMP",Pole_Calc!A$11,
IF(H970="A",Pole_Calc!A$12,
IF(H970="S/A",Pole_Calc!A$13,
IF(H970="A/S",Pole_Calc!A$14,"Poner a mano")))))))</f>
        <v>App.7-V11I-P9.5.1.5</v>
      </c>
      <c r="BE970" s="429" t="s">
        <v>118</v>
      </c>
      <c r="BF970" s="289"/>
      <c r="BG970" s="289"/>
      <c r="BH970" s="290"/>
      <c r="BI970" s="289"/>
    </row>
    <row r="971" spans="1:61" ht="15.75" customHeight="1">
      <c r="A971" s="514"/>
      <c r="B971" s="450"/>
      <c r="C971" s="3"/>
      <c r="D971" s="83"/>
      <c r="E971" s="4"/>
      <c r="F971" s="4"/>
      <c r="G971" s="6">
        <v>50</v>
      </c>
      <c r="H971" s="449"/>
      <c r="I971" s="4"/>
      <c r="J971" s="3"/>
      <c r="K971" s="449"/>
      <c r="L971" s="449"/>
      <c r="M971" s="449" t="str">
        <f>IF(L971="","",
IF(AX971="PT",VLOOKUP(L971,Foundation_Calc!$V$79:$X$113,VLOOKUP(AX971,Foundation_Calc!$I$10:$J$13,2,FALSE),0),
IF(AX971="K",VLOOKUP(L971,Foundation_Calc!$V$117:$X$151,VLOOKUP(AX971,Foundation_Calc!$I$10:$J$13,2,FALSE),0),"")))</f>
        <v/>
      </c>
      <c r="N971" s="449"/>
      <c r="O971" s="449"/>
      <c r="P971" s="449"/>
      <c r="Q971" s="4"/>
      <c r="R971" s="6"/>
      <c r="S971" s="6"/>
      <c r="T971" s="4"/>
      <c r="U971" s="4"/>
      <c r="V971" s="4"/>
      <c r="W971" s="9"/>
      <c r="X971" s="9"/>
      <c r="Y971" s="9"/>
      <c r="Z971" s="9"/>
      <c r="AA971" s="9"/>
      <c r="AB971" s="9"/>
      <c r="AC971" s="449" t="str">
        <f t="shared" si="128"/>
        <v/>
      </c>
      <c r="AD971" s="449"/>
      <c r="AE971" s="449"/>
      <c r="AF971" s="4"/>
      <c r="AG971" s="83"/>
      <c r="AH971" s="4"/>
      <c r="AI971" s="4"/>
      <c r="AJ971" s="449"/>
      <c r="AK971" s="449"/>
      <c r="AL971" s="449"/>
      <c r="AM971" s="449"/>
      <c r="AN971" s="10"/>
      <c r="AO971" s="9"/>
      <c r="AP971" s="9"/>
      <c r="AQ971" s="9">
        <f>+FL_1($T$972,$U$970,$G$971,1200,9.28, 1*$F$972)</f>
        <v>0.35068996340790004</v>
      </c>
      <c r="AR971" s="9"/>
      <c r="AS971" s="9"/>
      <c r="AT971" s="9"/>
      <c r="AU971" s="428"/>
      <c r="AV971" s="428"/>
      <c r="AW971" s="449" t="str">
        <f>IF(C971&gt;0,VLOOKUP(C971,Foundation_Calc!$A$2:$C$13,3,1),
IF(J971&gt;0,VLOOKUP(J971,Foundation_Calc!$A$2:$C$13,3,1),""))</f>
        <v/>
      </c>
      <c r="AX971" s="449" t="str">
        <f>IF(C971&gt;0,VLOOKUP(C971,Foundation_Calc!$E$35:$G$65,3,1),
IF(J971&gt;0,VLOOKUP(J971,Foundation_Calc!$E$35:$G$65,3,1),""))</f>
        <v/>
      </c>
      <c r="AY971" s="10" t="str">
        <f>IF(L971="","",
IF(AX971="PT",VLOOKUP(L971,Foundation_Calc!$K$79:$R$113,VLOOKUP(AW971,Foundation_Calc!$I$2:$J$8,2,FALSE),0),
IF(AX971="K",VLOOKUP(L971,Foundation_Calc!$K$117:$R$151,VLOOKUP(AW971,Foundation_Calc!$I$2:$J$8,2,FALSE),0),"")))</f>
        <v/>
      </c>
      <c r="AZ971" s="10" t="str">
        <f>IF(K971="","",
IF(AX971="PT",VLOOKUP(K971,Foundation_Calc!$K$79:$R$113,VLOOKUP(AW971,Foundation_Calc!$I$2:$J$8,2,FALSE),0),
IF(AX971="K",VLOOKUP(K971,Foundation_Calc!$K$117:$R$151,VLOOKUP(AW971,Foundation_Calc!$I$2:$J$8,2,FALSE),0),"")))</f>
        <v/>
      </c>
      <c r="BA971" s="495" t="str">
        <f t="shared" si="129"/>
        <v/>
      </c>
      <c r="BB971" s="495" t="str">
        <f t="shared" si="130"/>
        <v/>
      </c>
      <c r="BC971" s="495" t="str">
        <f t="shared" si="131"/>
        <v/>
      </c>
      <c r="BD971" s="513" t="str">
        <f>IF(AND(L971="",H971=""),"",
IF(H971="",Pole_Calc!A$9,
IF(H971="MP",Pole_Calc!A$10,
IF(H971="AnMP",Pole_Calc!A$11,
IF(H971="A",Pole_Calc!A$12,
IF(H971="S/A",Pole_Calc!A$13,
IF(H971="A/S",Pole_Calc!A$14,"Poner a mano")))))))</f>
        <v/>
      </c>
      <c r="BE971" s="429" t="s">
        <v>118</v>
      </c>
      <c r="BF971" s="290"/>
      <c r="BG971" s="290"/>
      <c r="BH971" s="290"/>
      <c r="BI971" s="290"/>
    </row>
    <row r="972" spans="1:61" ht="15.75" customHeight="1">
      <c r="A972" s="514"/>
      <c r="B972" s="450" t="s">
        <v>1445</v>
      </c>
      <c r="C972" s="3">
        <f>+$C$970+$G$971</f>
        <v>53236.790000000008</v>
      </c>
      <c r="D972" s="83"/>
      <c r="E972" s="4"/>
      <c r="F972" s="4">
        <v>-12762.899786793847</v>
      </c>
      <c r="G972" s="6"/>
      <c r="H972" s="449" t="s">
        <v>131</v>
      </c>
      <c r="I972" s="4"/>
      <c r="J972" s="3"/>
      <c r="K972" s="449"/>
      <c r="L972" s="449" t="s">
        <v>183</v>
      </c>
      <c r="M972" s="449" t="str">
        <f>IF(L972="","",
IF(AX972="PT",VLOOKUP(L972,Foundation_Calc!$V$79:$X$113,VLOOKUP(AX972,Foundation_Calc!$I$10:$J$13,2,FALSE),0),
IF(AX972="K",VLOOKUP(L972,Foundation_Calc!$V$117:$X$151,VLOOKUP(AX972,Foundation_Calc!$I$10:$J$13,2,FALSE),0),"")))</f>
        <v>2C3R</v>
      </c>
      <c r="N972" s="449" t="s">
        <v>134</v>
      </c>
      <c r="O972" s="449" t="s">
        <v>133</v>
      </c>
      <c r="P972" s="449"/>
      <c r="Q972" s="4"/>
      <c r="R972" s="6"/>
      <c r="S972" s="6"/>
      <c r="T972" s="4">
        <v>30</v>
      </c>
      <c r="U972" s="4">
        <v>10</v>
      </c>
      <c r="V972" s="4"/>
      <c r="W972" s="9">
        <v>1.4</v>
      </c>
      <c r="X972" s="9">
        <v>2.2999999999999998</v>
      </c>
      <c r="Y972" s="9"/>
      <c r="Z972" s="9"/>
      <c r="AA972" s="9">
        <v>0.45</v>
      </c>
      <c r="AB972" s="9"/>
      <c r="AC972" s="449" t="str">
        <f t="shared" si="128"/>
        <v>PH</v>
      </c>
      <c r="AD972" s="449"/>
      <c r="AE972" s="449"/>
      <c r="AF972" s="4"/>
      <c r="AG972" s="83"/>
      <c r="AH972" s="4"/>
      <c r="AI972" s="4"/>
      <c r="AJ972" s="449"/>
      <c r="AK972" s="449"/>
      <c r="AL972" s="449"/>
      <c r="AM972" s="449" t="s">
        <v>552</v>
      </c>
      <c r="AN972" s="10">
        <v>5.5</v>
      </c>
      <c r="AO972" s="9"/>
      <c r="AP972" s="9"/>
      <c r="AQ972" s="9"/>
      <c r="AR972" s="9"/>
      <c r="AS972" s="9"/>
      <c r="AT972" s="9">
        <f>+ab($T$972,$T$970,$T$974,$G$971,$G$973, 1*$F$972,1200)</f>
        <v>11.111599816724441</v>
      </c>
      <c r="AU972" s="428"/>
      <c r="AV972" s="428"/>
      <c r="AW972" s="449" t="str">
        <f>IF(C972&gt;0,VLOOKUP(C972,Foundation_Calc!$A$2:$C$13,3,1),
IF(J972&gt;0,VLOOKUP(J972,Foundation_Calc!$A$2:$C$13,3,1),""))</f>
        <v>Multi Soil</v>
      </c>
      <c r="AX972" s="449" t="str">
        <f>IF(C972&gt;0,VLOOKUP(C972,Foundation_Calc!$E$35:$G$65,3,1),
IF(J972&gt;0,VLOOKUP(J972,Foundation_Calc!$E$35:$G$65,3,1),""))</f>
        <v>PT</v>
      </c>
      <c r="AY972" s="10">
        <f>IF(L972="","",
IF(AX972="PT",VLOOKUP(L972,Foundation_Calc!$K$79:$R$113,VLOOKUP(AW972,Foundation_Calc!$I$2:$J$8,2,FALSE),0),
IF(AX972="K",VLOOKUP(L972,Foundation_Calc!$K$117:$R$151,VLOOKUP(AW972,Foundation_Calc!$I$2:$J$8,2,FALSE),0),"")))</f>
        <v>3.7</v>
      </c>
      <c r="AZ972" s="10" t="str">
        <f>IF(K972="","",
IF(AX972="PT",VLOOKUP(K972,Foundation_Calc!$K$79:$R$113,VLOOKUP(AW972,Foundation_Calc!$I$2:$J$8,2,FALSE),0),
IF(AX972="K",VLOOKUP(K972,Foundation_Calc!$K$117:$R$151,VLOOKUP(AW972,Foundation_Calc!$I$2:$J$8,2,FALSE),0),"")))</f>
        <v/>
      </c>
      <c r="BA972" s="495" t="str">
        <f t="shared" si="129"/>
        <v>ü</v>
      </c>
      <c r="BB972" s="495" t="str">
        <f t="shared" si="130"/>
        <v/>
      </c>
      <c r="BC972" s="495" t="str">
        <f t="shared" si="131"/>
        <v/>
      </c>
      <c r="BD972" s="513" t="str">
        <f>IF(AND(L972="",H972=""),"",
IF(H972="",Pole_Calc!A$9,
IF(H972="MP",Pole_Calc!A$10,
IF(H972="AnMP",Pole_Calc!A$11,
IF(H972="A",Pole_Calc!A$12,
IF(H972="S/A",Pole_Calc!A$13,
IF(H972="A/S",Pole_Calc!A$14,"Poner a mano")))))))</f>
        <v>App.7-V11I-P9.5.1.5</v>
      </c>
      <c r="BE972" s="429" t="s">
        <v>118</v>
      </c>
      <c r="BF972" s="289"/>
      <c r="BG972" s="289"/>
      <c r="BH972" s="290"/>
      <c r="BI972" s="289"/>
    </row>
    <row r="973" spans="1:61" ht="15.75" customHeight="1">
      <c r="A973" s="514"/>
      <c r="B973" s="450"/>
      <c r="C973" s="3"/>
      <c r="D973" s="83"/>
      <c r="E973" s="4"/>
      <c r="F973" s="4"/>
      <c r="G973" s="6">
        <v>50.1</v>
      </c>
      <c r="H973" s="449"/>
      <c r="I973" s="4"/>
      <c r="J973" s="3"/>
      <c r="K973" s="449"/>
      <c r="L973" s="449"/>
      <c r="M973" s="449" t="str">
        <f>IF(L973="","",
IF(AX973="PT",VLOOKUP(L973,Foundation_Calc!$V$79:$X$113,VLOOKUP(AX973,Foundation_Calc!$I$10:$J$13,2,FALSE),0),
IF(AX973="K",VLOOKUP(L973,Foundation_Calc!$V$117:$X$151,VLOOKUP(AX973,Foundation_Calc!$I$10:$J$13,2,FALSE),0),"")))</f>
        <v/>
      </c>
      <c r="N973" s="449"/>
      <c r="O973" s="561"/>
      <c r="P973" s="449"/>
      <c r="Q973" s="4"/>
      <c r="R973" s="6"/>
      <c r="S973" s="6"/>
      <c r="T973" s="4"/>
      <c r="U973" s="4"/>
      <c r="V973" s="4"/>
      <c r="W973" s="9"/>
      <c r="X973" s="9"/>
      <c r="Y973" s="9"/>
      <c r="Z973" s="9"/>
      <c r="AA973" s="9"/>
      <c r="AB973" s="9"/>
      <c r="AC973" s="449" t="str">
        <f t="shared" si="128"/>
        <v/>
      </c>
      <c r="AD973" s="449"/>
      <c r="AE973" s="449"/>
      <c r="AF973" s="4"/>
      <c r="AG973" s="83"/>
      <c r="AH973" s="4"/>
      <c r="AI973" s="4"/>
      <c r="AJ973" s="449"/>
      <c r="AK973" s="449"/>
      <c r="AL973" s="449"/>
      <c r="AM973" s="449"/>
      <c r="AN973" s="10"/>
      <c r="AO973" s="9"/>
      <c r="AP973" s="9"/>
      <c r="AQ973" s="9">
        <f>+FL_2($T$974,$T$972,$G$973,1200,9.28, 1*$F$974)</f>
        <v>-0.37646577615169657</v>
      </c>
      <c r="AR973" s="9"/>
      <c r="AS973" s="9"/>
      <c r="AT973" s="9"/>
      <c r="AU973" s="428"/>
      <c r="AV973" s="428"/>
      <c r="AW973" s="449" t="str">
        <f>IF(C973&gt;0,VLOOKUP(C973,Foundation_Calc!$A$2:$C$13,3,1),
IF(J973&gt;0,VLOOKUP(J973,Foundation_Calc!$A$2:$C$13,3,1),""))</f>
        <v/>
      </c>
      <c r="AX973" s="449" t="str">
        <f>IF(C973&gt;0,VLOOKUP(C973,Foundation_Calc!$E$35:$G$65,3,1),
IF(J973&gt;0,VLOOKUP(J973,Foundation_Calc!$E$35:$G$65,3,1),""))</f>
        <v/>
      </c>
      <c r="AY973" s="10" t="str">
        <f>IF(L973="","",
IF(AX973="PT",VLOOKUP(L973,Foundation_Calc!$K$79:$R$113,VLOOKUP(AW973,Foundation_Calc!$I$2:$J$8,2,FALSE),0),
IF(AX973="K",VLOOKUP(L973,Foundation_Calc!$K$117:$R$151,VLOOKUP(AW973,Foundation_Calc!$I$2:$J$8,2,FALSE),0),"")))</f>
        <v/>
      </c>
      <c r="AZ973" s="10" t="str">
        <f>IF(K973="","",
IF(AX973="PT",VLOOKUP(K973,Foundation_Calc!$K$79:$R$113,VLOOKUP(AW973,Foundation_Calc!$I$2:$J$8,2,FALSE),0),
IF(AX973="K",VLOOKUP(K973,Foundation_Calc!$K$117:$R$151,VLOOKUP(AW973,Foundation_Calc!$I$2:$J$8,2,FALSE),0),"")))</f>
        <v/>
      </c>
      <c r="BA973" s="495" t="str">
        <f t="shared" si="129"/>
        <v/>
      </c>
      <c r="BB973" s="495" t="str">
        <f t="shared" si="130"/>
        <v/>
      </c>
      <c r="BC973" s="495" t="str">
        <f t="shared" si="131"/>
        <v/>
      </c>
      <c r="BD973" s="513" t="str">
        <f>IF(AND(L973="",H973=""),"",
IF(H973="",Pole_Calc!A$9,
IF(H973="MP",Pole_Calc!A$10,
IF(H973="AnMP",Pole_Calc!A$11,
IF(H973="A",Pole_Calc!A$12,
IF(H973="S/A",Pole_Calc!A$13,
IF(H973="A/S",Pole_Calc!A$14,"Poner a mano")))))))</f>
        <v/>
      </c>
      <c r="BE973" s="429" t="s">
        <v>118</v>
      </c>
      <c r="BF973" s="290"/>
      <c r="BG973" s="290"/>
      <c r="BH973" s="290"/>
      <c r="BI973" s="290"/>
    </row>
    <row r="974" spans="1:61" ht="15.75" customHeight="1">
      <c r="A974" s="514"/>
      <c r="B974" s="450" t="s">
        <v>1446</v>
      </c>
      <c r="C974" s="3">
        <f>+$C$972+$G$973-1.56</f>
        <v>53285.330000000009</v>
      </c>
      <c r="D974" s="83"/>
      <c r="E974" s="4"/>
      <c r="F974" s="4">
        <v>0</v>
      </c>
      <c r="G974" s="6"/>
      <c r="H974" s="449" t="s">
        <v>121</v>
      </c>
      <c r="I974" s="4" t="s">
        <v>122</v>
      </c>
      <c r="J974" s="3"/>
      <c r="K974" s="449"/>
      <c r="L974" s="449" t="s">
        <v>151</v>
      </c>
      <c r="M974" s="449" t="str">
        <f>IF(L974="","",
IF(AX974="PT",VLOOKUP(L974,Foundation_Calc!$V$79:$X$113,VLOOKUP(AX974,Foundation_Calc!$I$10:$J$13,2,FALSE),0),
IF(AX974="K",VLOOKUP(L974,Foundation_Calc!$V$117:$X$151,VLOOKUP(AX974,Foundation_Calc!$I$10:$J$13,2,FALSE),0),"")))</f>
        <v>C4R</v>
      </c>
      <c r="N974" s="449" t="s">
        <v>124</v>
      </c>
      <c r="O974" s="449"/>
      <c r="P974" s="449"/>
      <c r="Q974" s="4"/>
      <c r="R974" s="6"/>
      <c r="S974" s="6"/>
      <c r="T974" s="4">
        <v>-35</v>
      </c>
      <c r="U974" s="4"/>
      <c r="V974" s="4"/>
      <c r="W974" s="9">
        <v>1.4</v>
      </c>
      <c r="X974" s="9"/>
      <c r="Y974" s="9"/>
      <c r="Z974" s="9"/>
      <c r="AA974" s="9"/>
      <c r="AB974" s="9"/>
      <c r="AC974" s="449" t="str">
        <f t="shared" si="128"/>
        <v>PHQ</v>
      </c>
      <c r="AD974" s="449"/>
      <c r="AE974" s="449"/>
      <c r="AF974" s="4"/>
      <c r="AG974" s="83"/>
      <c r="AH974" s="4"/>
      <c r="AI974" s="4"/>
      <c r="AJ974" s="449"/>
      <c r="AK974" s="449"/>
      <c r="AL974" s="449"/>
      <c r="AM974" s="449" t="s">
        <v>552</v>
      </c>
      <c r="AN974" s="10">
        <v>5.5</v>
      </c>
      <c r="AO974" s="9"/>
      <c r="AP974" s="9"/>
      <c r="AQ974" s="9"/>
      <c r="AR974" s="9"/>
      <c r="AS974" s="9"/>
      <c r="AT974" s="9">
        <f>+ab($T$974,$T$972,$T$976,$G$973,$G$975, 1*$F$974,1200)</f>
        <v>-7.0777629397219766</v>
      </c>
      <c r="AU974" s="428"/>
      <c r="AV974" s="428"/>
      <c r="AW974" s="449" t="str">
        <f>IF(C974&gt;0,VLOOKUP(C974,Foundation_Calc!$A$2:$C$13,3,1),
IF(J974&gt;0,VLOOKUP(J974,Foundation_Calc!$A$2:$C$13,3,1),""))</f>
        <v>Multi Soil</v>
      </c>
      <c r="AX974" s="449" t="str">
        <f>IF(C974&gt;0,VLOOKUP(C974,Foundation_Calc!$E$35:$G$65,3,1),
IF(J974&gt;0,VLOOKUP(J974,Foundation_Calc!$E$35:$G$65,3,1),""))</f>
        <v>PT</v>
      </c>
      <c r="AY974" s="10">
        <f>IF(L974="","",
IF(AX974="PT",VLOOKUP(L974,Foundation_Calc!$K$79:$R$113,VLOOKUP(AW974,Foundation_Calc!$I$2:$J$8,2,FALSE),0),
IF(AX974="K",VLOOKUP(L974,Foundation_Calc!$K$117:$R$151,VLOOKUP(AW974,Foundation_Calc!$I$2:$J$8,2,FALSE),0),"")))</f>
        <v>3.5</v>
      </c>
      <c r="AZ974" s="10" t="str">
        <f>IF(K974="","",
IF(AX974="PT",VLOOKUP(K974,Foundation_Calc!$K$79:$R$113,VLOOKUP(AW974,Foundation_Calc!$I$2:$J$8,2,FALSE),0),
IF(AX974="K",VLOOKUP(K974,Foundation_Calc!$K$117:$R$151,VLOOKUP(AW974,Foundation_Calc!$I$2:$J$8,2,FALSE),0),"")))</f>
        <v/>
      </c>
      <c r="BA974" s="495" t="str">
        <f t="shared" si="129"/>
        <v>ü</v>
      </c>
      <c r="BB974" s="495" t="str">
        <f t="shared" si="130"/>
        <v/>
      </c>
      <c r="BC974" s="495" t="str">
        <f t="shared" si="131"/>
        <v/>
      </c>
      <c r="BD974" s="513" t="str">
        <f>IF(AND(L974="",H974=""),"",
IF(H974="",Pole_Calc!A$9,
IF(H974="MP",Pole_Calc!A$10,
IF(H974="AnMP",Pole_Calc!A$11,
IF(H974="A",Pole_Calc!A$12,
IF(H974="S/A",Pole_Calc!A$13,
IF(H974="A/S",Pole_Calc!A$14,"Poner a mano")))))))</f>
        <v>App.7-V11I-P9.5.1.6</v>
      </c>
      <c r="BE974" s="429" t="s">
        <v>118</v>
      </c>
      <c r="BF974" s="289"/>
      <c r="BG974" s="289"/>
      <c r="BH974" s="290"/>
      <c r="BI974" s="289"/>
    </row>
    <row r="975" spans="1:61" ht="15.75" customHeight="1">
      <c r="A975" s="696" t="s">
        <v>757</v>
      </c>
      <c r="B975" s="747"/>
      <c r="C975" s="748"/>
      <c r="D975" s="749"/>
      <c r="E975" s="750"/>
      <c r="F975" s="750"/>
      <c r="G975" s="701">
        <v>50</v>
      </c>
      <c r="H975" s="702"/>
      <c r="I975" s="700"/>
      <c r="J975" s="698">
        <f>C974+7.5</f>
        <v>53292.830000000009</v>
      </c>
      <c r="K975" s="702" t="s">
        <v>117</v>
      </c>
      <c r="L975" s="752"/>
      <c r="M975" s="752" t="str">
        <f>IF(L975="","",
IF(AX975="PT",VLOOKUP(L975,Foundation_Calc!$V$79:$X$113,VLOOKUP(AX975,Foundation_Calc!$I$10:$J$13,2,FALSE),0),
IF(AX975="K",VLOOKUP(L975,Foundation_Calc!$V$117:$X$151,VLOOKUP(AX975,Foundation_Calc!$I$10:$J$13,2,FALSE),0),"")))</f>
        <v/>
      </c>
      <c r="N975" s="752"/>
      <c r="O975" s="752"/>
      <c r="P975" s="752"/>
      <c r="Q975" s="750"/>
      <c r="R975" s="751"/>
      <c r="S975" s="751"/>
      <c r="T975" s="750"/>
      <c r="U975" s="750"/>
      <c r="V975" s="750"/>
      <c r="W975" s="707"/>
      <c r="X975" s="707"/>
      <c r="Y975" s="707"/>
      <c r="Z975" s="707"/>
      <c r="AA975" s="707"/>
      <c r="AB975" s="707"/>
      <c r="AC975" s="752" t="str">
        <f t="shared" si="128"/>
        <v/>
      </c>
      <c r="AD975" s="752"/>
      <c r="AE975" s="752"/>
      <c r="AF975" s="750"/>
      <c r="AG975" s="749"/>
      <c r="AH975" s="750"/>
      <c r="AI975" s="750"/>
      <c r="AJ975" s="752"/>
      <c r="AK975" s="752"/>
      <c r="AL975" s="752"/>
      <c r="AM975" s="752"/>
      <c r="AN975" s="753"/>
      <c r="AO975" s="707"/>
      <c r="AP975" s="707"/>
      <c r="AQ975" s="707">
        <f>+FL_1($T$976,$T$974,$G$975,1200,9.28, 1*$F$976)</f>
        <v>0.36839079999999996</v>
      </c>
      <c r="AR975" s="707"/>
      <c r="AS975" s="707"/>
      <c r="AT975" s="707"/>
      <c r="AU975" s="754"/>
      <c r="AV975" s="754"/>
      <c r="AW975" s="702" t="str">
        <f>IF(C975&gt;0,VLOOKUP(C975,Foundation_Calc!$A$2:$C$13,3,1),
IF(J975&gt;0,VLOOKUP(J975,Foundation_Calc!$A$2:$C$13,3,1),""))</f>
        <v>Multi Soil</v>
      </c>
      <c r="AX975" s="702" t="str">
        <f>IF(C975&gt;0,VLOOKUP(C975,Foundation_Calc!$E$35:$G$65,3,1),
IF(J975&gt;0,VLOOKUP(J975,Foundation_Calc!$E$35:$G$65,3,1),""))</f>
        <v>PT</v>
      </c>
      <c r="AY975" s="753" t="str">
        <f>IF(L975="","",
IF(AX975="PT",VLOOKUP(L975,Foundation_Calc!$K$79:$R$113,VLOOKUP(AW975,Foundation_Calc!$I$2:$J$8,2,FALSE),0),
IF(AX975="K",VLOOKUP(L975,Foundation_Calc!$K$117:$R$151,VLOOKUP(AW975,Foundation_Calc!$I$2:$J$8,2,FALSE),0),"")))</f>
        <v/>
      </c>
      <c r="AZ975" s="704">
        <f>IF(K975="","",
IF(AX975="PT",VLOOKUP(K975,Foundation_Calc!$K$79:$R$113,VLOOKUP(AW975,Foundation_Calc!$I$2:$J$8,2,FALSE),0),
IF(AX975="K",VLOOKUP(K975,Foundation_Calc!$K$117:$R$151,VLOOKUP(AW975,Foundation_Calc!$I$2:$J$8,2,FALSE),0),"")))</f>
        <v>3.9</v>
      </c>
      <c r="BA975" s="495" t="str">
        <f t="shared" si="129"/>
        <v/>
      </c>
      <c r="BB975" s="495" t="str">
        <f t="shared" si="130"/>
        <v>ü</v>
      </c>
      <c r="BC975" s="495" t="str">
        <f t="shared" si="131"/>
        <v/>
      </c>
      <c r="BD975" s="513" t="str">
        <f>IF(AND(L975="",H975=""),"",
IF(H975="",Pole_Calc!A$9,
IF(H975="MP",Pole_Calc!A$10,
IF(H975="AnMP",Pole_Calc!A$11,
IF(H975="A",Pole_Calc!A$12,
IF(H975="S/A",Pole_Calc!A$13,
IF(H975="A/S",Pole_Calc!A$14,"Poner a mano")))))))</f>
        <v/>
      </c>
      <c r="BE975" s="429" t="s">
        <v>118</v>
      </c>
      <c r="BF975" s="290"/>
      <c r="BG975" s="290"/>
      <c r="BH975" s="290"/>
      <c r="BI975" s="290"/>
    </row>
    <row r="976" spans="1:61" ht="15.75" customHeight="1">
      <c r="A976" s="514"/>
      <c r="B976" s="450" t="s">
        <v>1447</v>
      </c>
      <c r="C976" s="3">
        <f>+$C$974+$G$975</f>
        <v>53335.330000000009</v>
      </c>
      <c r="D976" s="83"/>
      <c r="E976" s="4"/>
      <c r="F976" s="4">
        <v>0</v>
      </c>
      <c r="G976" s="6"/>
      <c r="H976" s="449"/>
      <c r="I976" s="4"/>
      <c r="J976" s="3"/>
      <c r="K976" s="449"/>
      <c r="L976" s="449" t="s">
        <v>153</v>
      </c>
      <c r="M976" s="449" t="str">
        <f>IF(L976="","",
IF(AX976="PT",VLOOKUP(L976,Foundation_Calc!$V$79:$X$113,VLOOKUP(AX976,Foundation_Calc!$I$10:$J$13,2,FALSE),0),
IF(AX976="K",VLOOKUP(L976,Foundation_Calc!$V$117:$X$151,VLOOKUP(AX976,Foundation_Calc!$I$10:$J$13,2,FALSE),0),"")))</f>
        <v>C3R</v>
      </c>
      <c r="N976" s="449" t="s">
        <v>134</v>
      </c>
      <c r="O976" s="449"/>
      <c r="P976" s="449"/>
      <c r="Q976" s="4"/>
      <c r="R976" s="6"/>
      <c r="S976" s="6"/>
      <c r="T976" s="4">
        <v>35</v>
      </c>
      <c r="U976" s="4"/>
      <c r="V976" s="4"/>
      <c r="W976" s="9">
        <v>1.4</v>
      </c>
      <c r="X976" s="9"/>
      <c r="Y976" s="9"/>
      <c r="Z976" s="9"/>
      <c r="AA976" s="9"/>
      <c r="AB976" s="9"/>
      <c r="AC976" s="449" t="str">
        <f t="shared" si="128"/>
        <v>PHQ</v>
      </c>
      <c r="AD976" s="449"/>
      <c r="AE976" s="449"/>
      <c r="AF976" s="4"/>
      <c r="AG976" s="83"/>
      <c r="AH976" s="4"/>
      <c r="AI976" s="4"/>
      <c r="AJ976" s="449"/>
      <c r="AK976" s="449"/>
      <c r="AL976" s="449"/>
      <c r="AM976" s="449" t="s">
        <v>552</v>
      </c>
      <c r="AN976" s="10">
        <v>5.5</v>
      </c>
      <c r="AO976" s="9"/>
      <c r="AP976" s="9"/>
      <c r="AQ976" s="9"/>
      <c r="AR976" s="9"/>
      <c r="AS976" s="9"/>
      <c r="AT976" s="9">
        <f>+ab($T$976,$T$974,$T$978,$G$975,$G$977, 1*$F$976,1200)</f>
        <v>7.3208449304475929</v>
      </c>
      <c r="AU976" s="428"/>
      <c r="AV976" s="428"/>
      <c r="AW976" s="449" t="str">
        <f>IF(C976&gt;0,VLOOKUP(C976,Foundation_Calc!$A$2:$C$13,3,1),
IF(J976&gt;0,VLOOKUP(J976,Foundation_Calc!$A$2:$C$13,3,1),""))</f>
        <v>Multi Soil</v>
      </c>
      <c r="AX976" s="449" t="str">
        <f>IF(C976&gt;0,VLOOKUP(C976,Foundation_Calc!$E$35:$G$65,3,1),
IF(J976&gt;0,VLOOKUP(J976,Foundation_Calc!$E$35:$G$65,3,1),""))</f>
        <v>PT</v>
      </c>
      <c r="AY976" s="10">
        <f>IF(L976="","",
IF(AX976="PT",VLOOKUP(L976,Foundation_Calc!$K$79:$R$113,VLOOKUP(AW976,Foundation_Calc!$I$2:$J$8,2,FALSE),0),
IF(AX976="K",VLOOKUP(L976,Foundation_Calc!$K$117:$R$151,VLOOKUP(AW976,Foundation_Calc!$I$2:$J$8,2,FALSE),0),"")))</f>
        <v>3.5</v>
      </c>
      <c r="AZ976" s="10" t="str">
        <f>IF(K976="","",
IF(AX976="PT",VLOOKUP(K976,Foundation_Calc!$K$79:$R$113,VLOOKUP(AW976,Foundation_Calc!$I$2:$J$8,2,FALSE),0),
IF(AX976="K",VLOOKUP(K976,Foundation_Calc!$K$117:$R$151,VLOOKUP(AW976,Foundation_Calc!$I$2:$J$8,2,FALSE),0),"")))</f>
        <v/>
      </c>
      <c r="BA976" s="495" t="str">
        <f t="shared" si="129"/>
        <v>ü</v>
      </c>
      <c r="BB976" s="495" t="str">
        <f t="shared" si="130"/>
        <v/>
      </c>
      <c r="BC976" s="495" t="str">
        <f t="shared" si="131"/>
        <v/>
      </c>
      <c r="BD976" s="513" t="str">
        <f>IF(AND(L976="",H976=""),"",
IF(H976="",Pole_Calc!A$9,
IF(H976="MP",Pole_Calc!A$10,
IF(H976="AnMP",Pole_Calc!A$11,
IF(H976="A",Pole_Calc!A$12,
IF(H976="S/A",Pole_Calc!A$13,
IF(H976="A/S",Pole_Calc!A$14,"Poner a mano")))))))</f>
        <v>App.7-V11I-P9.5.1.1</v>
      </c>
      <c r="BE976" s="429" t="s">
        <v>118</v>
      </c>
      <c r="BF976" s="289"/>
      <c r="BG976" s="289"/>
      <c r="BH976" s="290"/>
      <c r="BI976" s="289"/>
    </row>
    <row r="977" spans="1:61" ht="15.75" customHeight="1">
      <c r="A977" s="514" t="s">
        <v>169</v>
      </c>
      <c r="B977" s="450"/>
      <c r="C977" s="3"/>
      <c r="D977" s="83"/>
      <c r="E977" s="4"/>
      <c r="F977" s="4"/>
      <c r="G977" s="6">
        <v>58</v>
      </c>
      <c r="H977" s="449"/>
      <c r="I977" s="4"/>
      <c r="J977" s="3"/>
      <c r="K977" s="449"/>
      <c r="L977" s="449"/>
      <c r="M977" s="449" t="str">
        <f>IF(L977="","",
IF(AX977="PT",VLOOKUP(L977,Foundation_Calc!$V$79:$X$113,VLOOKUP(AX977,Foundation_Calc!$I$10:$J$13,2,FALSE),0),
IF(AX977="K",VLOOKUP(L977,Foundation_Calc!$V$117:$X$151,VLOOKUP(AX977,Foundation_Calc!$I$10:$J$13,2,FALSE),0),"")))</f>
        <v/>
      </c>
      <c r="N977" s="449"/>
      <c r="O977" s="449"/>
      <c r="P977" s="449"/>
      <c r="Q977" s="4"/>
      <c r="R977" s="6"/>
      <c r="S977" s="6"/>
      <c r="T977" s="4"/>
      <c r="U977" s="4"/>
      <c r="V977" s="4"/>
      <c r="W977" s="9"/>
      <c r="X977" s="9"/>
      <c r="Y977" s="9"/>
      <c r="Z977" s="9"/>
      <c r="AA977" s="9"/>
      <c r="AB977" s="9"/>
      <c r="AC977" s="449" t="str">
        <f t="shared" si="128"/>
        <v/>
      </c>
      <c r="AD977" s="449"/>
      <c r="AE977" s="449"/>
      <c r="AF977" s="4"/>
      <c r="AG977" s="83"/>
      <c r="AH977" s="4"/>
      <c r="AI977" s="4"/>
      <c r="AJ977" s="449"/>
      <c r="AK977" s="449"/>
      <c r="AL977" s="449"/>
      <c r="AM977" s="449"/>
      <c r="AN977" s="10"/>
      <c r="AO977" s="9"/>
      <c r="AP977" s="9"/>
      <c r="AQ977" s="9">
        <f>+FL_2($T$978,$T$976,$G$977,1200,9.28, 1*$F$978)</f>
        <v>-0.41936333972413792</v>
      </c>
      <c r="AR977" s="9"/>
      <c r="AS977" s="9"/>
      <c r="AT977" s="9"/>
      <c r="AU977" s="428"/>
      <c r="AV977" s="428"/>
      <c r="AW977" s="449" t="str">
        <f>IF(C977&gt;0,VLOOKUP(C977,Foundation_Calc!$A$2:$C$13,3,1),
IF(J977&gt;0,VLOOKUP(J977,Foundation_Calc!$A$2:$C$13,3,1),""))</f>
        <v/>
      </c>
      <c r="AX977" s="449" t="str">
        <f>IF(C977&gt;0,VLOOKUP(C977,Foundation_Calc!$E$35:$G$65,3,1),
IF(J977&gt;0,VLOOKUP(J977,Foundation_Calc!$E$35:$G$65,3,1),""))</f>
        <v/>
      </c>
      <c r="AY977" s="10" t="str">
        <f>IF(L977="","",
IF(AX977="PT",VLOOKUP(L977,Foundation_Calc!$K$79:$R$113,VLOOKUP(AW977,Foundation_Calc!$I$2:$J$8,2,FALSE),0),
IF(AX977="K",VLOOKUP(L977,Foundation_Calc!$K$117:$R$151,VLOOKUP(AW977,Foundation_Calc!$I$2:$J$8,2,FALSE),0),"")))</f>
        <v/>
      </c>
      <c r="AZ977" s="10" t="str">
        <f>IF(K977="","",
IF(AX977="PT",VLOOKUP(K977,Foundation_Calc!$K$79:$R$113,VLOOKUP(AW977,Foundation_Calc!$I$2:$J$8,2,FALSE),0),
IF(AX977="K",VLOOKUP(K977,Foundation_Calc!$K$117:$R$151,VLOOKUP(AW977,Foundation_Calc!$I$2:$J$8,2,FALSE),0),"")))</f>
        <v/>
      </c>
      <c r="BA977" s="495" t="str">
        <f t="shared" si="129"/>
        <v/>
      </c>
      <c r="BB977" s="495" t="str">
        <f t="shared" si="130"/>
        <v/>
      </c>
      <c r="BC977" s="495" t="str">
        <f t="shared" si="131"/>
        <v/>
      </c>
      <c r="BD977" s="513" t="str">
        <f>IF(AND(L977="",H977=""),"",
IF(H977="",Pole_Calc!A$9,
IF(H977="MP",Pole_Calc!A$10,
IF(H977="AnMP",Pole_Calc!A$11,
IF(H977="A",Pole_Calc!A$12,
IF(H977="S/A",Pole_Calc!A$13,
IF(H977="A/S",Pole_Calc!A$14,"Poner a mano")))))))</f>
        <v/>
      </c>
      <c r="BE977" s="429" t="s">
        <v>118</v>
      </c>
      <c r="BF977" s="290"/>
      <c r="BG977" s="290"/>
      <c r="BH977" s="290"/>
      <c r="BI977" s="290"/>
    </row>
    <row r="978" spans="1:61" ht="15.75" customHeight="1">
      <c r="A978" s="514"/>
      <c r="B978" s="450" t="s">
        <v>1448</v>
      </c>
      <c r="C978" s="3">
        <f>+$C$976+$G$977</f>
        <v>53393.330000000009</v>
      </c>
      <c r="D978" s="83"/>
      <c r="E978" s="4"/>
      <c r="F978" s="4">
        <v>0</v>
      </c>
      <c r="G978" s="6"/>
      <c r="H978" s="449"/>
      <c r="I978" s="4"/>
      <c r="J978" s="3"/>
      <c r="K978" s="449"/>
      <c r="L978" s="449" t="s">
        <v>153</v>
      </c>
      <c r="M978" s="449" t="str">
        <f>IF(L978="","",
IF(AX978="PT",VLOOKUP(L978,Foundation_Calc!$V$79:$X$113,VLOOKUP(AX978,Foundation_Calc!$I$10:$J$13,2,FALSE),0),
IF(AX978="K",VLOOKUP(L978,Foundation_Calc!$V$117:$X$151,VLOOKUP(AX978,Foundation_Calc!$I$10:$J$13,2,FALSE),0),"")))</f>
        <v>C3R</v>
      </c>
      <c r="N978" s="449" t="s">
        <v>124</v>
      </c>
      <c r="O978" s="449"/>
      <c r="P978" s="449"/>
      <c r="Q978" s="4"/>
      <c r="R978" s="6"/>
      <c r="S978" s="6"/>
      <c r="T978" s="4">
        <v>-35</v>
      </c>
      <c r="U978" s="4"/>
      <c r="V978" s="4"/>
      <c r="W978" s="9">
        <v>1.4</v>
      </c>
      <c r="X978" s="9"/>
      <c r="Y978" s="9"/>
      <c r="Z978" s="9"/>
      <c r="AA978" s="9"/>
      <c r="AB978" s="9"/>
      <c r="AC978" s="449" t="str">
        <f t="shared" si="128"/>
        <v>PH</v>
      </c>
      <c r="AD978" s="449"/>
      <c r="AE978" s="449"/>
      <c r="AF978" s="4"/>
      <c r="AG978" s="83"/>
      <c r="AH978" s="4"/>
      <c r="AI978" s="4"/>
      <c r="AJ978" s="449"/>
      <c r="AK978" s="449"/>
      <c r="AL978" s="449"/>
      <c r="AM978" s="449" t="s">
        <v>552</v>
      </c>
      <c r="AN978" s="10">
        <v>5.5</v>
      </c>
      <c r="AO978" s="9"/>
      <c r="AP978" s="9"/>
      <c r="AQ978" s="9"/>
      <c r="AR978" s="9"/>
      <c r="AS978" s="9"/>
      <c r="AT978" s="9">
        <f>+ab($T$978,$T$976,$T$980,$G$977,$G$979, 1*$F$978,1200)</f>
        <v>-8.0315789917579181</v>
      </c>
      <c r="AU978" s="428"/>
      <c r="AV978" s="428"/>
      <c r="AW978" s="449" t="str">
        <f>IF(C978&gt;0,VLOOKUP(C978,Foundation_Calc!$A$2:$C$13,3,1),
IF(J978&gt;0,VLOOKUP(J978,Foundation_Calc!$A$2:$C$13,3,1),""))</f>
        <v>Multi Soil</v>
      </c>
      <c r="AX978" s="449" t="str">
        <f>IF(C978&gt;0,VLOOKUP(C978,Foundation_Calc!$E$35:$G$65,3,1),
IF(J978&gt;0,VLOOKUP(J978,Foundation_Calc!$E$35:$G$65,3,1),""))</f>
        <v>PT</v>
      </c>
      <c r="AY978" s="10">
        <f>IF(L978="","",
IF(AX978="PT",VLOOKUP(L978,Foundation_Calc!$K$79:$R$113,VLOOKUP(AW978,Foundation_Calc!$I$2:$J$8,2,FALSE),0),
IF(AX978="K",VLOOKUP(L978,Foundation_Calc!$K$117:$R$151,VLOOKUP(AW978,Foundation_Calc!$I$2:$J$8,2,FALSE),0),"")))</f>
        <v>3.5</v>
      </c>
      <c r="AZ978" s="10" t="str">
        <f>IF(K978="","",
IF(AX978="PT",VLOOKUP(K978,Foundation_Calc!$K$79:$R$113,VLOOKUP(AW978,Foundation_Calc!$I$2:$J$8,2,FALSE),0),
IF(AX978="K",VLOOKUP(K978,Foundation_Calc!$K$117:$R$151,VLOOKUP(AW978,Foundation_Calc!$I$2:$J$8,2,FALSE),0),"")))</f>
        <v/>
      </c>
      <c r="BA978" s="495" t="str">
        <f t="shared" si="129"/>
        <v>ü</v>
      </c>
      <c r="BB978" s="495" t="str">
        <f t="shared" si="130"/>
        <v/>
      </c>
      <c r="BC978" s="495" t="str">
        <f t="shared" si="131"/>
        <v/>
      </c>
      <c r="BD978" s="513" t="str">
        <f>IF(AND(L978="",H978=""),"",
IF(H978="",Pole_Calc!A$9,
IF(H978="MP",Pole_Calc!A$10,
IF(H978="AnMP",Pole_Calc!A$11,
IF(H978="A",Pole_Calc!A$12,
IF(H978="S/A",Pole_Calc!A$13,
IF(H978="A/S",Pole_Calc!A$14,"Poner a mano")))))))</f>
        <v>App.7-V11I-P9.5.1.1</v>
      </c>
      <c r="BE978" s="429" t="s">
        <v>118</v>
      </c>
      <c r="BF978" s="289"/>
      <c r="BG978" s="289"/>
      <c r="BH978" s="290"/>
      <c r="BI978" s="289"/>
    </row>
    <row r="979" spans="1:61" ht="15.75" customHeight="1">
      <c r="A979" s="514"/>
      <c r="B979" s="450"/>
      <c r="C979" s="3"/>
      <c r="D979" s="83"/>
      <c r="E979" s="4"/>
      <c r="F979" s="4"/>
      <c r="G979" s="6">
        <v>60</v>
      </c>
      <c r="H979" s="449"/>
      <c r="I979" s="4"/>
      <c r="J979" s="3"/>
      <c r="K979" s="449"/>
      <c r="L979" s="449"/>
      <c r="M979" s="449" t="str">
        <f>IF(L979="","",
IF(AX979="PT",VLOOKUP(L979,Foundation_Calc!$V$79:$X$113,VLOOKUP(AX979,Foundation_Calc!$I$10:$J$13,2,FALSE),0),
IF(AX979="K",VLOOKUP(L979,Foundation_Calc!$V$117:$X$151,VLOOKUP(AX979,Foundation_Calc!$I$10:$J$13,2,FALSE),0),"")))</f>
        <v/>
      </c>
      <c r="N979" s="449"/>
      <c r="O979" s="561"/>
      <c r="P979" s="449"/>
      <c r="Q979" s="4"/>
      <c r="R979" s="6"/>
      <c r="S979" s="6"/>
      <c r="T979" s="4"/>
      <c r="U979" s="4"/>
      <c r="V979" s="4"/>
      <c r="W979" s="9"/>
      <c r="X979" s="9"/>
      <c r="Y979" s="9"/>
      <c r="Z979" s="9"/>
      <c r="AA979" s="9"/>
      <c r="AB979" s="9"/>
      <c r="AC979" s="449" t="str">
        <f t="shared" si="128"/>
        <v/>
      </c>
      <c r="AD979" s="449"/>
      <c r="AE979" s="449"/>
      <c r="AF979" s="4"/>
      <c r="AG979" s="83"/>
      <c r="AH979" s="4"/>
      <c r="AI979" s="4"/>
      <c r="AJ979" s="449"/>
      <c r="AK979" s="449"/>
      <c r="AL979" s="449"/>
      <c r="AM979" s="449"/>
      <c r="AN979" s="10"/>
      <c r="AO979" s="9"/>
      <c r="AP979" s="9"/>
      <c r="AQ979" s="9">
        <f>+FL_1($T$980,$T$978,$G$979,1200,9.28, 1*$F$980)</f>
        <v>0.43600286799999999</v>
      </c>
      <c r="AR979" s="9"/>
      <c r="AS979" s="9"/>
      <c r="AT979" s="9"/>
      <c r="AU979" s="428"/>
      <c r="AV979" s="428"/>
      <c r="AW979" s="449" t="str">
        <f>IF(C979&gt;0,VLOOKUP(C979,Foundation_Calc!$A$2:$C$13,3,1),
IF(J979&gt;0,VLOOKUP(J979,Foundation_Calc!$A$2:$C$13,3,1),""))</f>
        <v/>
      </c>
      <c r="AX979" s="449" t="str">
        <f>IF(C979&gt;0,VLOOKUP(C979,Foundation_Calc!$E$35:$G$65,3,1),
IF(J979&gt;0,VLOOKUP(J979,Foundation_Calc!$E$35:$G$65,3,1),""))</f>
        <v/>
      </c>
      <c r="AY979" s="10" t="str">
        <f>IF(L979="","",
IF(AX979="PT",VLOOKUP(L979,Foundation_Calc!$K$79:$R$113,VLOOKUP(AW979,Foundation_Calc!$I$2:$J$8,2,FALSE),0),
IF(AX979="K",VLOOKUP(L979,Foundation_Calc!$K$117:$R$151,VLOOKUP(AW979,Foundation_Calc!$I$2:$J$8,2,FALSE),0),"")))</f>
        <v/>
      </c>
      <c r="AZ979" s="10" t="str">
        <f>IF(K979="","",
IF(AX979="PT",VLOOKUP(K979,Foundation_Calc!$K$79:$R$113,VLOOKUP(AW979,Foundation_Calc!$I$2:$J$8,2,FALSE),0),
IF(AX979="K",VLOOKUP(K979,Foundation_Calc!$K$117:$R$151,VLOOKUP(AW979,Foundation_Calc!$I$2:$J$8,2,FALSE),0),"")))</f>
        <v/>
      </c>
      <c r="BA979" s="495" t="str">
        <f t="shared" si="129"/>
        <v/>
      </c>
      <c r="BB979" s="495" t="str">
        <f t="shared" si="130"/>
        <v/>
      </c>
      <c r="BC979" s="495" t="str">
        <f t="shared" si="131"/>
        <v/>
      </c>
      <c r="BD979" s="513" t="str">
        <f>IF(AND(L979="",H979=""),"",
IF(H979="",Pole_Calc!A$9,
IF(H979="MP",Pole_Calc!A$10,
IF(H979="AnMP",Pole_Calc!A$11,
IF(H979="A",Pole_Calc!A$12,
IF(H979="S/A",Pole_Calc!A$13,
IF(H979="A/S",Pole_Calc!A$14,"Poner a mano")))))))</f>
        <v/>
      </c>
      <c r="BE979" s="429" t="s">
        <v>118</v>
      </c>
      <c r="BF979" s="290"/>
      <c r="BG979" s="290"/>
      <c r="BH979" s="290"/>
      <c r="BI979" s="290"/>
    </row>
    <row r="980" spans="1:61" ht="15.75" customHeight="1">
      <c r="A980" s="514"/>
      <c r="B980" s="450" t="s">
        <v>1449</v>
      </c>
      <c r="C980" s="3">
        <f>+$C$978+$G$979</f>
        <v>53453.330000000009</v>
      </c>
      <c r="D980" s="83"/>
      <c r="E980" s="4"/>
      <c r="F980" s="4">
        <v>0</v>
      </c>
      <c r="G980" s="6"/>
      <c r="H980" s="449"/>
      <c r="I980" s="4"/>
      <c r="J980" s="3"/>
      <c r="K980" s="449"/>
      <c r="L980" s="449" t="s">
        <v>153</v>
      </c>
      <c r="M980" s="449" t="str">
        <f>IF(L980="","",
IF(AX980="PT",VLOOKUP(L980,Foundation_Calc!$V$79:$X$113,VLOOKUP(AX980,Foundation_Calc!$I$10:$J$13,2,FALSE),0),
IF(AX980="K",VLOOKUP(L980,Foundation_Calc!$V$117:$X$151,VLOOKUP(AX980,Foundation_Calc!$I$10:$J$13,2,FALSE),0),"")))</f>
        <v>C3R</v>
      </c>
      <c r="N980" s="449" t="s">
        <v>134</v>
      </c>
      <c r="O980" s="449"/>
      <c r="P980" s="449"/>
      <c r="Q980" s="4"/>
      <c r="R980" s="6"/>
      <c r="S980" s="6"/>
      <c r="T980" s="4">
        <v>35</v>
      </c>
      <c r="U980" s="4"/>
      <c r="V980" s="4"/>
      <c r="W980" s="9">
        <v>1.4</v>
      </c>
      <c r="X980" s="9"/>
      <c r="Y980" s="9"/>
      <c r="Z980" s="9"/>
      <c r="AA980" s="9"/>
      <c r="AB980" s="9"/>
      <c r="AC980" s="449" t="str">
        <f t="shared" si="128"/>
        <v>PH</v>
      </c>
      <c r="AD980" s="449"/>
      <c r="AE980" s="449"/>
      <c r="AF980" s="4"/>
      <c r="AG980" s="83"/>
      <c r="AH980" s="4"/>
      <c r="AI980" s="4"/>
      <c r="AJ980" s="449"/>
      <c r="AK980" s="449"/>
      <c r="AL980" s="449"/>
      <c r="AM980" s="449" t="s">
        <v>552</v>
      </c>
      <c r="AN980" s="10">
        <v>5.5</v>
      </c>
      <c r="AO980" s="9"/>
      <c r="AP980" s="9"/>
      <c r="AQ980" s="9"/>
      <c r="AR980" s="9"/>
      <c r="AS980" s="9"/>
      <c r="AT980" s="9">
        <f>+ab($T$980,$T$978,$T$982,$G$979,$G$981, 1*$F$980,1200)</f>
        <v>8.1681606014296726</v>
      </c>
      <c r="AU980" s="428"/>
      <c r="AV980" s="428"/>
      <c r="AW980" s="449" t="str">
        <f>IF(C980&gt;0,VLOOKUP(C980,Foundation_Calc!$A$2:$C$13,3,1),
IF(J980&gt;0,VLOOKUP(J980,Foundation_Calc!$A$2:$C$13,3,1),""))</f>
        <v>Multi Soil</v>
      </c>
      <c r="AX980" s="449" t="str">
        <f>IF(C980&gt;0,VLOOKUP(C980,Foundation_Calc!$E$35:$G$65,3,1),
IF(J980&gt;0,VLOOKUP(J980,Foundation_Calc!$E$35:$G$65,3,1),""))</f>
        <v>PT</v>
      </c>
      <c r="AY980" s="10">
        <f>IF(L980="","",
IF(AX980="PT",VLOOKUP(L980,Foundation_Calc!$K$79:$R$113,VLOOKUP(AW980,Foundation_Calc!$I$2:$J$8,2,FALSE),0),
IF(AX980="K",VLOOKUP(L980,Foundation_Calc!$K$117:$R$151,VLOOKUP(AW980,Foundation_Calc!$I$2:$J$8,2,FALSE),0),"")))</f>
        <v>3.5</v>
      </c>
      <c r="AZ980" s="10" t="str">
        <f>IF(K980="","",
IF(AX980="PT",VLOOKUP(K980,Foundation_Calc!$K$79:$R$113,VLOOKUP(AW980,Foundation_Calc!$I$2:$J$8,2,FALSE),0),
IF(AX980="K",VLOOKUP(K980,Foundation_Calc!$K$117:$R$151,VLOOKUP(AW980,Foundation_Calc!$I$2:$J$8,2,FALSE),0),"")))</f>
        <v/>
      </c>
      <c r="BA980" s="495" t="str">
        <f t="shared" si="129"/>
        <v>ü</v>
      </c>
      <c r="BB980" s="495" t="str">
        <f t="shared" si="130"/>
        <v/>
      </c>
      <c r="BC980" s="495" t="str">
        <f t="shared" si="131"/>
        <v/>
      </c>
      <c r="BD980" s="513" t="str">
        <f>IF(AND(L980="",H980=""),"",
IF(H980="",Pole_Calc!A$9,
IF(H980="MP",Pole_Calc!A$10,
IF(H980="AnMP",Pole_Calc!A$11,
IF(H980="A",Pole_Calc!A$12,
IF(H980="S/A",Pole_Calc!A$13,
IF(H980="A/S",Pole_Calc!A$14,"Poner a mano")))))))</f>
        <v>App.7-V11I-P9.5.1.1</v>
      </c>
      <c r="BE980" s="429" t="s">
        <v>118</v>
      </c>
      <c r="BF980" s="289"/>
      <c r="BG980" s="289"/>
      <c r="BH980" s="290"/>
      <c r="BI980" s="289"/>
    </row>
    <row r="981" spans="1:61" ht="15.75" customHeight="1">
      <c r="A981" s="518"/>
      <c r="B981" s="450"/>
      <c r="C981" s="3"/>
      <c r="D981" s="83"/>
      <c r="E981" s="4"/>
      <c r="F981" s="4"/>
      <c r="G981" s="6">
        <v>60</v>
      </c>
      <c r="H981" s="449"/>
      <c r="I981" s="4"/>
      <c r="J981" s="3"/>
      <c r="K981" s="449"/>
      <c r="L981" s="449"/>
      <c r="M981" s="449" t="str">
        <f>IF(L981="","",
IF(AX981="PT",VLOOKUP(L981,Foundation_Calc!$V$79:$X$113,VLOOKUP(AX981,Foundation_Calc!$I$10:$J$13,2,FALSE),0),
IF(AX981="K",VLOOKUP(L981,Foundation_Calc!$V$117:$X$151,VLOOKUP(AX981,Foundation_Calc!$I$10:$J$13,2,FALSE),0),"")))</f>
        <v/>
      </c>
      <c r="N981" s="449"/>
      <c r="O981" s="449"/>
      <c r="P981" s="449"/>
      <c r="Q981" s="4"/>
      <c r="R981" s="6"/>
      <c r="S981" s="6"/>
      <c r="T981" s="4"/>
      <c r="U981" s="4"/>
      <c r="V981" s="4"/>
      <c r="W981" s="9"/>
      <c r="X981" s="9"/>
      <c r="Y981" s="9"/>
      <c r="Z981" s="9"/>
      <c r="AA981" s="9"/>
      <c r="AB981" s="9"/>
      <c r="AC981" s="449" t="str">
        <f t="shared" si="128"/>
        <v/>
      </c>
      <c r="AD981" s="449"/>
      <c r="AE981" s="449"/>
      <c r="AF981" s="4"/>
      <c r="AG981" s="83"/>
      <c r="AH981" s="4"/>
      <c r="AI981" s="4"/>
      <c r="AJ981" s="449"/>
      <c r="AK981" s="449"/>
      <c r="AL981" s="449"/>
      <c r="AM981" s="449"/>
      <c r="AN981" s="10"/>
      <c r="AO981" s="9"/>
      <c r="AP981" s="9"/>
      <c r="AQ981" s="9">
        <f>+FL_2($T$982,$T$980,$G$981,1200,9.28, 1*$F$982)</f>
        <v>-0.43600286799999999</v>
      </c>
      <c r="AR981" s="9"/>
      <c r="AS981" s="9"/>
      <c r="AT981" s="9"/>
      <c r="AU981" s="428"/>
      <c r="AV981" s="428"/>
      <c r="AW981" s="449" t="str">
        <f>IF(C981&gt;0,VLOOKUP(C981,Foundation_Calc!$A$2:$C$13,3,1),
IF(J981&gt;0,VLOOKUP(J981,Foundation_Calc!$A$2:$C$13,3,1),""))</f>
        <v/>
      </c>
      <c r="AX981" s="449" t="str">
        <f>IF(C981&gt;0,VLOOKUP(C981,Foundation_Calc!$E$35:$G$65,3,1),
IF(J981&gt;0,VLOOKUP(J981,Foundation_Calc!$E$35:$G$65,3,1),""))</f>
        <v/>
      </c>
      <c r="AY981" s="10" t="str">
        <f>IF(L981="","",
IF(AX981="PT",VLOOKUP(L981,Foundation_Calc!$K$79:$R$113,VLOOKUP(AW981,Foundation_Calc!$I$2:$J$8,2,FALSE),0),
IF(AX981="K",VLOOKUP(L981,Foundation_Calc!$K$117:$R$151,VLOOKUP(AW981,Foundation_Calc!$I$2:$J$8,2,FALSE),0),"")))</f>
        <v/>
      </c>
      <c r="AZ981" s="10" t="str">
        <f>IF(K981="","",
IF(AX981="PT",VLOOKUP(K981,Foundation_Calc!$K$79:$R$113,VLOOKUP(AW981,Foundation_Calc!$I$2:$J$8,2,FALSE),0),
IF(AX981="K",VLOOKUP(K981,Foundation_Calc!$K$117:$R$151,VLOOKUP(AW981,Foundation_Calc!$I$2:$J$8,2,FALSE),0),"")))</f>
        <v/>
      </c>
      <c r="BA981" s="495" t="str">
        <f t="shared" si="129"/>
        <v/>
      </c>
      <c r="BB981" s="495" t="str">
        <f t="shared" si="130"/>
        <v/>
      </c>
      <c r="BC981" s="495" t="str">
        <f t="shared" si="131"/>
        <v/>
      </c>
      <c r="BD981" s="513" t="str">
        <f>IF(AND(L981="",H981=""),"",
IF(H981="",Pole_Calc!A$9,
IF(H981="MP",Pole_Calc!A$10,
IF(H981="AnMP",Pole_Calc!A$11,
IF(H981="A",Pole_Calc!A$12,
IF(H981="S/A",Pole_Calc!A$13,
IF(H981="A/S",Pole_Calc!A$14,"Poner a mano")))))))</f>
        <v/>
      </c>
      <c r="BE981" s="429" t="s">
        <v>118</v>
      </c>
      <c r="BF981" s="290"/>
      <c r="BG981" s="290"/>
      <c r="BH981" s="290"/>
      <c r="BI981" s="290"/>
    </row>
    <row r="982" spans="1:61" ht="15.75" customHeight="1">
      <c r="A982" s="514"/>
      <c r="B982" s="450" t="s">
        <v>1450</v>
      </c>
      <c r="C982" s="3">
        <f>+$C$980+$G$981</f>
        <v>53513.330000000009</v>
      </c>
      <c r="D982" s="83"/>
      <c r="E982" s="4"/>
      <c r="F982" s="4">
        <v>0</v>
      </c>
      <c r="G982" s="6"/>
      <c r="H982" s="449"/>
      <c r="I982" s="4"/>
      <c r="J982" s="3"/>
      <c r="K982" s="449"/>
      <c r="L982" s="449" t="s">
        <v>153</v>
      </c>
      <c r="M982" s="449" t="str">
        <f>IF(L982="","",
IF(AX982="PT",VLOOKUP(L982,Foundation_Calc!$V$79:$X$113,VLOOKUP(AX982,Foundation_Calc!$I$10:$J$13,2,FALSE),0),
IF(AX982="K",VLOOKUP(L982,Foundation_Calc!$V$117:$X$151,VLOOKUP(AX982,Foundation_Calc!$I$10:$J$13,2,FALSE),0),"")))</f>
        <v>C3R</v>
      </c>
      <c r="N982" s="449" t="s">
        <v>124</v>
      </c>
      <c r="O982" s="449"/>
      <c r="P982" s="449"/>
      <c r="Q982" s="4"/>
      <c r="R982" s="6"/>
      <c r="S982" s="6"/>
      <c r="T982" s="4">
        <v>-35</v>
      </c>
      <c r="U982" s="4"/>
      <c r="V982" s="4"/>
      <c r="W982" s="9">
        <v>1.4</v>
      </c>
      <c r="X982" s="9"/>
      <c r="Y982" s="9"/>
      <c r="Z982" s="9"/>
      <c r="AA982" s="9"/>
      <c r="AB982" s="9"/>
      <c r="AC982" s="449" t="str">
        <f t="shared" si="128"/>
        <v>PH</v>
      </c>
      <c r="AD982" s="449"/>
      <c r="AE982" s="449"/>
      <c r="AF982" s="4"/>
      <c r="AG982" s="83"/>
      <c r="AH982" s="4"/>
      <c r="AI982" s="4"/>
      <c r="AJ982" s="449"/>
      <c r="AK982" s="449"/>
      <c r="AL982" s="449"/>
      <c r="AM982" s="449" t="s">
        <v>552</v>
      </c>
      <c r="AN982" s="10">
        <v>5.5</v>
      </c>
      <c r="AO982" s="9"/>
      <c r="AP982" s="9"/>
      <c r="AQ982" s="9"/>
      <c r="AR982" s="9"/>
      <c r="AS982" s="9"/>
      <c r="AT982" s="9">
        <f>+ab($T$982,$T$980,$T$984,$G$981,$G$983, 1*$F$982,1200)</f>
        <v>-8.300256796512933</v>
      </c>
      <c r="AU982" s="428"/>
      <c r="AV982" s="428"/>
      <c r="AW982" s="449" t="str">
        <f>IF(C982&gt;0,VLOOKUP(C982,Foundation_Calc!$A$2:$C$13,3,1),
IF(J982&gt;0,VLOOKUP(J982,Foundation_Calc!$A$2:$C$13,3,1),""))</f>
        <v>Multi Soil</v>
      </c>
      <c r="AX982" s="449" t="str">
        <f>IF(C982&gt;0,VLOOKUP(C982,Foundation_Calc!$E$35:$G$65,3,1),
IF(J982&gt;0,VLOOKUP(J982,Foundation_Calc!$E$35:$G$65,3,1),""))</f>
        <v>PT</v>
      </c>
      <c r="AY982" s="10">
        <f>IF(L982="","",
IF(AX982="PT",VLOOKUP(L982,Foundation_Calc!$K$79:$R$113,VLOOKUP(AW982,Foundation_Calc!$I$2:$J$8,2,FALSE),0),
IF(AX982="K",VLOOKUP(L982,Foundation_Calc!$K$117:$R$151,VLOOKUP(AW982,Foundation_Calc!$I$2:$J$8,2,FALSE),0),"")))</f>
        <v>3.5</v>
      </c>
      <c r="AZ982" s="10" t="str">
        <f>IF(K982="","",
IF(AX982="PT",VLOOKUP(K982,Foundation_Calc!$K$79:$R$113,VLOOKUP(AW982,Foundation_Calc!$I$2:$J$8,2,FALSE),0),
IF(AX982="K",VLOOKUP(K982,Foundation_Calc!$K$117:$R$151,VLOOKUP(AW982,Foundation_Calc!$I$2:$J$8,2,FALSE),0),"")))</f>
        <v/>
      </c>
      <c r="BA982" s="495" t="str">
        <f t="shared" si="129"/>
        <v>ü</v>
      </c>
      <c r="BB982" s="495" t="str">
        <f t="shared" si="130"/>
        <v/>
      </c>
      <c r="BC982" s="495" t="str">
        <f t="shared" si="131"/>
        <v/>
      </c>
      <c r="BD982" s="513" t="str">
        <f>IF(AND(L982="",H982=""),"",
IF(H982="",Pole_Calc!A$9,
IF(H982="MP",Pole_Calc!A$10,
IF(H982="AnMP",Pole_Calc!A$11,
IF(H982="A",Pole_Calc!A$12,
IF(H982="S/A",Pole_Calc!A$13,
IF(H982="A/S",Pole_Calc!A$14,"Poner a mano")))))))</f>
        <v>App.7-V11I-P9.5.1.1</v>
      </c>
      <c r="BE982" s="429" t="s">
        <v>118</v>
      </c>
      <c r="BF982" s="289"/>
      <c r="BG982" s="289"/>
      <c r="BH982" s="290"/>
      <c r="BI982" s="289"/>
    </row>
    <row r="983" spans="1:61" ht="15.75" customHeight="1">
      <c r="A983" s="514"/>
      <c r="B983" s="450"/>
      <c r="C983" s="3"/>
      <c r="D983" s="83"/>
      <c r="E983" s="4"/>
      <c r="F983" s="4"/>
      <c r="G983" s="6">
        <v>62</v>
      </c>
      <c r="H983" s="449"/>
      <c r="I983" s="4"/>
      <c r="J983" s="3"/>
      <c r="K983" s="449"/>
      <c r="L983" s="449"/>
      <c r="M983" s="449" t="str">
        <f>IF(L983="","",
IF(AX983="PT",VLOOKUP(L983,Foundation_Calc!$V$79:$X$113,VLOOKUP(AX983,Foundation_Calc!$I$10:$J$13,2,FALSE),0),
IF(AX983="K",VLOOKUP(L983,Foundation_Calc!$V$117:$X$151,VLOOKUP(AX983,Foundation_Calc!$I$10:$J$13,2,FALSE),0),"")))</f>
        <v/>
      </c>
      <c r="N983" s="449"/>
      <c r="O983" s="449"/>
      <c r="P983" s="449"/>
      <c r="Q983" s="4"/>
      <c r="R983" s="6"/>
      <c r="S983" s="6"/>
      <c r="T983" s="4"/>
      <c r="U983" s="4"/>
      <c r="V983" s="4"/>
      <c r="W983" s="9"/>
      <c r="X983" s="9"/>
      <c r="Y983" s="9"/>
      <c r="Z983" s="9"/>
      <c r="AA983" s="9"/>
      <c r="AB983" s="9"/>
      <c r="AC983" s="449" t="str">
        <f t="shared" si="128"/>
        <v/>
      </c>
      <c r="AD983" s="449"/>
      <c r="AE983" s="449"/>
      <c r="AF983" s="4"/>
      <c r="AG983" s="83"/>
      <c r="AH983" s="4"/>
      <c r="AI983" s="4"/>
      <c r="AJ983" s="449"/>
      <c r="AK983" s="449"/>
      <c r="AL983" s="449"/>
      <c r="AM983" s="449"/>
      <c r="AN983" s="10"/>
      <c r="AO983" s="9"/>
      <c r="AP983" s="9"/>
      <c r="AQ983" s="9">
        <f>+FL_1($T$984,$T$982,$G$983,1200,9.28, 1*$F$984)</f>
        <v>0.45400350967741931</v>
      </c>
      <c r="AR983" s="9"/>
      <c r="AS983" s="9"/>
      <c r="AT983" s="9"/>
      <c r="AU983" s="428"/>
      <c r="AV983" s="428"/>
      <c r="AW983" s="449" t="str">
        <f>IF(C983&gt;0,VLOOKUP(C983,Foundation_Calc!$A$2:$C$13,3,1),
IF(J983&gt;0,VLOOKUP(J983,Foundation_Calc!$A$2:$C$13,3,1),""))</f>
        <v/>
      </c>
      <c r="AX983" s="449" t="str">
        <f>IF(C983&gt;0,VLOOKUP(C983,Foundation_Calc!$E$35:$G$65,3,1),
IF(J983&gt;0,VLOOKUP(J983,Foundation_Calc!$E$35:$G$65,3,1),""))</f>
        <v/>
      </c>
      <c r="AY983" s="10" t="str">
        <f>IF(L983="","",
IF(AX983="PT",VLOOKUP(L983,Foundation_Calc!$K$79:$R$113,VLOOKUP(AW983,Foundation_Calc!$I$2:$J$8,2,FALSE),0),
IF(AX983="K",VLOOKUP(L983,Foundation_Calc!$K$117:$R$151,VLOOKUP(AW983,Foundation_Calc!$I$2:$J$8,2,FALSE),0),"")))</f>
        <v/>
      </c>
      <c r="AZ983" s="10" t="str">
        <f>IF(K983="","",
IF(AX983="PT",VLOOKUP(K983,Foundation_Calc!$K$79:$R$113,VLOOKUP(AW983,Foundation_Calc!$I$2:$J$8,2,FALSE),0),
IF(AX983="K",VLOOKUP(K983,Foundation_Calc!$K$117:$R$151,VLOOKUP(AW983,Foundation_Calc!$I$2:$J$8,2,FALSE),0),"")))</f>
        <v/>
      </c>
      <c r="BA983" s="495" t="str">
        <f t="shared" si="129"/>
        <v/>
      </c>
      <c r="BB983" s="495" t="str">
        <f t="shared" si="130"/>
        <v/>
      </c>
      <c r="BC983" s="495" t="str">
        <f t="shared" si="131"/>
        <v/>
      </c>
      <c r="BD983" s="513" t="str">
        <f>IF(AND(L983="",H983=""),"",
IF(H983="",Pole_Calc!A$9,
IF(H983="MP",Pole_Calc!A$10,
IF(H983="AnMP",Pole_Calc!A$11,
IF(H983="A",Pole_Calc!A$12,
IF(H983="S/A",Pole_Calc!A$13,
IF(H983="A/S",Pole_Calc!A$14,"Poner a mano")))))))</f>
        <v/>
      </c>
      <c r="BE983" s="429" t="s">
        <v>118</v>
      </c>
      <c r="BF983" s="290"/>
      <c r="BG983" s="290"/>
      <c r="BH983" s="290"/>
      <c r="BI983" s="290"/>
    </row>
    <row r="984" spans="1:61" ht="15.75" customHeight="1">
      <c r="A984" s="514"/>
      <c r="B984" s="450" t="s">
        <v>1451</v>
      </c>
      <c r="C984" s="3">
        <f>+$C$982+$G$983</f>
        <v>53575.330000000009</v>
      </c>
      <c r="D984" s="83"/>
      <c r="E984" s="4"/>
      <c r="F984" s="4">
        <v>0</v>
      </c>
      <c r="G984" s="6"/>
      <c r="H984" s="449"/>
      <c r="I984" s="4"/>
      <c r="J984" s="3"/>
      <c r="K984" s="449"/>
      <c r="L984" s="449" t="s">
        <v>153</v>
      </c>
      <c r="M984" s="449" t="str">
        <f>IF(L984="","",
IF(AX984="PT",VLOOKUP(L984,Foundation_Calc!$V$79:$X$113,VLOOKUP(AX984,Foundation_Calc!$I$10:$J$13,2,FALSE),0),
IF(AX984="K",VLOOKUP(L984,Foundation_Calc!$V$117:$X$151,VLOOKUP(AX984,Foundation_Calc!$I$10:$J$13,2,FALSE),0),"")))</f>
        <v>C3R</v>
      </c>
      <c r="N984" s="449" t="s">
        <v>134</v>
      </c>
      <c r="O984" s="449"/>
      <c r="P984" s="449"/>
      <c r="Q984" s="4"/>
      <c r="R984" s="6"/>
      <c r="S984" s="6"/>
      <c r="T984" s="4">
        <v>35</v>
      </c>
      <c r="U984" s="4"/>
      <c r="V984" s="4"/>
      <c r="W984" s="9">
        <v>1.4</v>
      </c>
      <c r="X984" s="9"/>
      <c r="Y984" s="9"/>
      <c r="Z984" s="9"/>
      <c r="AA984" s="9"/>
      <c r="AB984" s="9"/>
      <c r="AC984" s="449" t="str">
        <f t="shared" si="128"/>
        <v>PH</v>
      </c>
      <c r="AD984" s="449"/>
      <c r="AE984" s="449"/>
      <c r="AF984" s="4"/>
      <c r="AG984" s="83"/>
      <c r="AH984" s="4"/>
      <c r="AI984" s="4"/>
      <c r="AJ984" s="449"/>
      <c r="AK984" s="449"/>
      <c r="AL984" s="449"/>
      <c r="AM984" s="449" t="s">
        <v>552</v>
      </c>
      <c r="AN984" s="10">
        <v>5.5</v>
      </c>
      <c r="AO984" s="9"/>
      <c r="AP984" s="9"/>
      <c r="AQ984" s="9"/>
      <c r="AR984" s="9"/>
      <c r="AS984" s="9"/>
      <c r="AT984" s="9">
        <f>+ab($T$984,$T$982,$T$986,$G$983,$G$985, 1*$F$984,1200)</f>
        <v>8.4365744899000195</v>
      </c>
      <c r="AU984" s="428"/>
      <c r="AV984" s="428"/>
      <c r="AW984" s="449" t="str">
        <f>IF(C984&gt;0,VLOOKUP(C984,Foundation_Calc!$A$2:$C$13,3,1),
IF(J984&gt;0,VLOOKUP(J984,Foundation_Calc!$A$2:$C$13,3,1),""))</f>
        <v>Multi Soil</v>
      </c>
      <c r="AX984" s="449" t="str">
        <f>IF(C984&gt;0,VLOOKUP(C984,Foundation_Calc!$E$35:$G$65,3,1),
IF(J984&gt;0,VLOOKUP(J984,Foundation_Calc!$E$35:$G$65,3,1),""))</f>
        <v>PT</v>
      </c>
      <c r="AY984" s="10">
        <f>IF(L984="","",
IF(AX984="PT",VLOOKUP(L984,Foundation_Calc!$K$79:$R$113,VLOOKUP(AW984,Foundation_Calc!$I$2:$J$8,2,FALSE),0),
IF(AX984="K",VLOOKUP(L984,Foundation_Calc!$K$117:$R$151,VLOOKUP(AW984,Foundation_Calc!$I$2:$J$8,2,FALSE),0),"")))</f>
        <v>3.5</v>
      </c>
      <c r="AZ984" s="10" t="str">
        <f>IF(K984="","",
IF(AX984="PT",VLOOKUP(K984,Foundation_Calc!$K$79:$R$113,VLOOKUP(AW984,Foundation_Calc!$I$2:$J$8,2,FALSE),0),
IF(AX984="K",VLOOKUP(K984,Foundation_Calc!$K$117:$R$151,VLOOKUP(AW984,Foundation_Calc!$I$2:$J$8,2,FALSE),0),"")))</f>
        <v/>
      </c>
      <c r="BA984" s="495" t="str">
        <f t="shared" si="129"/>
        <v>ü</v>
      </c>
      <c r="BB984" s="495" t="str">
        <f t="shared" si="130"/>
        <v/>
      </c>
      <c r="BC984" s="495" t="str">
        <f t="shared" si="131"/>
        <v/>
      </c>
      <c r="BD984" s="513" t="str">
        <f>IF(AND(L984="",H984=""),"",
IF(H984="",Pole_Calc!A$9,
IF(H984="MP",Pole_Calc!A$10,
IF(H984="AnMP",Pole_Calc!A$11,
IF(H984="A",Pole_Calc!A$12,
IF(H984="S/A",Pole_Calc!A$13,
IF(H984="A/S",Pole_Calc!A$14,"Poner a mano")))))))</f>
        <v>App.7-V11I-P9.5.1.1</v>
      </c>
      <c r="BE984" s="429" t="s">
        <v>118</v>
      </c>
      <c r="BF984" s="289"/>
      <c r="BG984" s="289"/>
      <c r="BH984" s="290"/>
      <c r="BI984" s="289"/>
    </row>
    <row r="985" spans="1:61" ht="15.75" customHeight="1">
      <c r="A985" s="514"/>
      <c r="B985" s="450"/>
      <c r="C985" s="3"/>
      <c r="D985" s="83"/>
      <c r="E985" s="4"/>
      <c r="F985" s="4"/>
      <c r="G985" s="6">
        <v>62</v>
      </c>
      <c r="H985" s="449"/>
      <c r="I985" s="4"/>
      <c r="J985" s="3"/>
      <c r="K985" s="449"/>
      <c r="L985" s="449"/>
      <c r="M985" s="449" t="str">
        <f>IF(L985="","",
IF(AX985="PT",VLOOKUP(L985,Foundation_Calc!$V$79:$X$113,VLOOKUP(AX985,Foundation_Calc!$I$10:$J$13,2,FALSE),0),
IF(AX985="K",VLOOKUP(L985,Foundation_Calc!$V$117:$X$151,VLOOKUP(AX985,Foundation_Calc!$I$10:$J$13,2,FALSE),0),"")))</f>
        <v/>
      </c>
      <c r="N985" s="449"/>
      <c r="O985" s="561"/>
      <c r="P985" s="449"/>
      <c r="Q985" s="4"/>
      <c r="R985" s="6"/>
      <c r="S985" s="6"/>
      <c r="T985" s="4"/>
      <c r="U985" s="4"/>
      <c r="V985" s="4"/>
      <c r="W985" s="9"/>
      <c r="X985" s="9"/>
      <c r="Y985" s="9"/>
      <c r="Z985" s="9"/>
      <c r="AA985" s="9"/>
      <c r="AB985" s="9"/>
      <c r="AC985" s="449" t="str">
        <f t="shared" si="128"/>
        <v/>
      </c>
      <c r="AD985" s="449"/>
      <c r="AE985" s="449"/>
      <c r="AF985" s="4"/>
      <c r="AG985" s="83"/>
      <c r="AH985" s="4"/>
      <c r="AI985" s="4"/>
      <c r="AJ985" s="449"/>
      <c r="AK985" s="449"/>
      <c r="AL985" s="449"/>
      <c r="AM985" s="449"/>
      <c r="AN985" s="10"/>
      <c r="AO985" s="9"/>
      <c r="AP985" s="9"/>
      <c r="AQ985" s="9">
        <f>+FL_2($T$986,$T$984,$G$985,1200,9.28, 1*$F$986)</f>
        <v>-0.45400350967741931</v>
      </c>
      <c r="AR985" s="9"/>
      <c r="AS985" s="9"/>
      <c r="AT985" s="9"/>
      <c r="AU985" s="428"/>
      <c r="AV985" s="428"/>
      <c r="AW985" s="449" t="str">
        <f>IF(C985&gt;0,VLOOKUP(C985,Foundation_Calc!$A$2:$C$13,3,1),
IF(J985&gt;0,VLOOKUP(J985,Foundation_Calc!$A$2:$C$13,3,1),""))</f>
        <v/>
      </c>
      <c r="AX985" s="449" t="str">
        <f>IF(C985&gt;0,VLOOKUP(C985,Foundation_Calc!$E$35:$G$65,3,1),
IF(J985&gt;0,VLOOKUP(J985,Foundation_Calc!$E$35:$G$65,3,1),""))</f>
        <v/>
      </c>
      <c r="AY985" s="10" t="str">
        <f>IF(L985="","",
IF(AX985="PT",VLOOKUP(L985,Foundation_Calc!$K$79:$R$113,VLOOKUP(AW985,Foundation_Calc!$I$2:$J$8,2,FALSE),0),
IF(AX985="K",VLOOKUP(L985,Foundation_Calc!$K$117:$R$151,VLOOKUP(AW985,Foundation_Calc!$I$2:$J$8,2,FALSE),0),"")))</f>
        <v/>
      </c>
      <c r="AZ985" s="10" t="str">
        <f>IF(K985="","",
IF(AX985="PT",VLOOKUP(K985,Foundation_Calc!$K$79:$R$113,VLOOKUP(AW985,Foundation_Calc!$I$2:$J$8,2,FALSE),0),
IF(AX985="K",VLOOKUP(K985,Foundation_Calc!$K$117:$R$151,VLOOKUP(AW985,Foundation_Calc!$I$2:$J$8,2,FALSE),0),"")))</f>
        <v/>
      </c>
      <c r="BA985" s="495" t="str">
        <f t="shared" si="129"/>
        <v/>
      </c>
      <c r="BB985" s="495" t="str">
        <f t="shared" si="130"/>
        <v/>
      </c>
      <c r="BC985" s="495" t="str">
        <f t="shared" si="131"/>
        <v/>
      </c>
      <c r="BD985" s="513" t="str">
        <f>IF(AND(L985="",H985=""),"",
IF(H985="",Pole_Calc!A$9,
IF(H985="MP",Pole_Calc!A$10,
IF(H985="AnMP",Pole_Calc!A$11,
IF(H985="A",Pole_Calc!A$12,
IF(H985="S/A",Pole_Calc!A$13,
IF(H985="A/S",Pole_Calc!A$14,"Poner a mano")))))))</f>
        <v/>
      </c>
      <c r="BE985" s="429" t="s">
        <v>118</v>
      </c>
      <c r="BF985" s="290"/>
      <c r="BG985" s="290"/>
      <c r="BH985" s="290"/>
      <c r="BI985" s="290"/>
    </row>
    <row r="986" spans="1:61" ht="15.75" customHeight="1">
      <c r="A986" s="514"/>
      <c r="B986" s="450" t="s">
        <v>1452</v>
      </c>
      <c r="C986" s="3">
        <f>+$C$984+$G$985</f>
        <v>53637.330000000009</v>
      </c>
      <c r="D986" s="83"/>
      <c r="E986" s="4"/>
      <c r="F986" s="4">
        <v>0</v>
      </c>
      <c r="G986" s="6"/>
      <c r="H986" s="449"/>
      <c r="I986" s="4"/>
      <c r="J986" s="3"/>
      <c r="K986" s="449"/>
      <c r="L986" s="449" t="s">
        <v>153</v>
      </c>
      <c r="M986" s="449" t="str">
        <f>IF(L986="","",
IF(AX986="PT",VLOOKUP(L986,Foundation_Calc!$V$79:$X$113,VLOOKUP(AX986,Foundation_Calc!$I$10:$J$13,2,FALSE),0),
IF(AX986="K",VLOOKUP(L986,Foundation_Calc!$V$117:$X$151,VLOOKUP(AX986,Foundation_Calc!$I$10:$J$13,2,FALSE),0),"")))</f>
        <v>C3R</v>
      </c>
      <c r="N986" s="449" t="s">
        <v>124</v>
      </c>
      <c r="O986" s="449"/>
      <c r="P986" s="449"/>
      <c r="Q986" s="4"/>
      <c r="R986" s="6"/>
      <c r="S986" s="6"/>
      <c r="T986" s="4">
        <v>-35</v>
      </c>
      <c r="U986" s="4"/>
      <c r="V986" s="4"/>
      <c r="W986" s="9">
        <v>1.4</v>
      </c>
      <c r="X986" s="9"/>
      <c r="Y986" s="9"/>
      <c r="Z986" s="9"/>
      <c r="AA986" s="9"/>
      <c r="AB986" s="9"/>
      <c r="AC986" s="449" t="str">
        <f t="shared" si="128"/>
        <v>PH</v>
      </c>
      <c r="AD986" s="449"/>
      <c r="AE986" s="449"/>
      <c r="AF986" s="4"/>
      <c r="AG986" s="83"/>
      <c r="AH986" s="4"/>
      <c r="AI986" s="4"/>
      <c r="AJ986" s="449"/>
      <c r="AK986" s="449"/>
      <c r="AL986" s="449"/>
      <c r="AM986" s="449" t="s">
        <v>552</v>
      </c>
      <c r="AN986" s="10">
        <v>5.5</v>
      </c>
      <c r="AO986" s="9"/>
      <c r="AP986" s="9"/>
      <c r="AQ986" s="9"/>
      <c r="AR986" s="9"/>
      <c r="AS986" s="9"/>
      <c r="AT986" s="9">
        <f>+ab($T$986,$T$984,$T$988,$G$985,$G$987, 1*$F$986,1200)</f>
        <v>-8.4366201521118445</v>
      </c>
      <c r="AU986" s="428"/>
      <c r="AV986" s="428"/>
      <c r="AW986" s="449" t="str">
        <f>IF(C986&gt;0,VLOOKUP(C986,Foundation_Calc!$A$2:$C$13,3,1),
IF(J986&gt;0,VLOOKUP(J986,Foundation_Calc!$A$2:$C$13,3,1),""))</f>
        <v>Multi Soil</v>
      </c>
      <c r="AX986" s="449" t="str">
        <f>IF(C986&gt;0,VLOOKUP(C986,Foundation_Calc!$E$35:$G$65,3,1),
IF(J986&gt;0,VLOOKUP(J986,Foundation_Calc!$E$35:$G$65,3,1),""))</f>
        <v>PT</v>
      </c>
      <c r="AY986" s="10">
        <f>IF(L986="","",
IF(AX986="PT",VLOOKUP(L986,Foundation_Calc!$K$79:$R$113,VLOOKUP(AW986,Foundation_Calc!$I$2:$J$8,2,FALSE),0),
IF(AX986="K",VLOOKUP(L986,Foundation_Calc!$K$117:$R$151,VLOOKUP(AW986,Foundation_Calc!$I$2:$J$8,2,FALSE),0),"")))</f>
        <v>3.5</v>
      </c>
      <c r="AZ986" s="10" t="str">
        <f>IF(K986="","",
IF(AX986="PT",VLOOKUP(K986,Foundation_Calc!$K$79:$R$113,VLOOKUP(AW986,Foundation_Calc!$I$2:$J$8,2,FALSE),0),
IF(AX986="K",VLOOKUP(K986,Foundation_Calc!$K$117:$R$151,VLOOKUP(AW986,Foundation_Calc!$I$2:$J$8,2,FALSE),0),"")))</f>
        <v/>
      </c>
      <c r="BA986" s="495" t="str">
        <f t="shared" si="129"/>
        <v>ü</v>
      </c>
      <c r="BB986" s="495" t="str">
        <f t="shared" si="130"/>
        <v/>
      </c>
      <c r="BC986" s="495" t="str">
        <f t="shared" si="131"/>
        <v/>
      </c>
      <c r="BD986" s="513" t="str">
        <f>IF(AND(L986="",H986=""),"",
IF(H986="",Pole_Calc!A$9,
IF(H986="MP",Pole_Calc!A$10,
IF(H986="AnMP",Pole_Calc!A$11,
IF(H986="A",Pole_Calc!A$12,
IF(H986="S/A",Pole_Calc!A$13,
IF(H986="A/S",Pole_Calc!A$14,"Poner a mano")))))))</f>
        <v>App.7-V11I-P9.5.1.1</v>
      </c>
      <c r="BE986" s="429" t="s">
        <v>118</v>
      </c>
      <c r="BF986" s="289"/>
      <c r="BG986" s="289"/>
      <c r="BH986" s="290"/>
      <c r="BI986" s="289"/>
    </row>
    <row r="987" spans="1:61" ht="15.75" customHeight="1">
      <c r="A987" s="518"/>
      <c r="B987" s="450"/>
      <c r="C987" s="3"/>
      <c r="D987" s="83"/>
      <c r="E987" s="4"/>
      <c r="F987" s="4"/>
      <c r="G987" s="6">
        <v>62</v>
      </c>
      <c r="H987" s="449"/>
      <c r="I987" s="4"/>
      <c r="J987" s="3">
        <f>C988-7.5</f>
        <v>53691.830000000009</v>
      </c>
      <c r="K987" s="449" t="s">
        <v>166</v>
      </c>
      <c r="L987" s="449"/>
      <c r="M987" s="449" t="str">
        <f>IF(L987="","",
IF(AX987="PT",VLOOKUP(L987,Foundation_Calc!$V$79:$X$113,VLOOKUP(AX987,Foundation_Calc!$I$10:$J$13,2,FALSE),0),
IF(AX987="K",VLOOKUP(L987,Foundation_Calc!$V$117:$X$151,VLOOKUP(AX987,Foundation_Calc!$I$10:$J$13,2,FALSE),0),"")))</f>
        <v/>
      </c>
      <c r="N987" s="449"/>
      <c r="O987" s="449"/>
      <c r="P987" s="449"/>
      <c r="Q987" s="4"/>
      <c r="R987" s="6"/>
      <c r="S987" s="6"/>
      <c r="T987" s="4"/>
      <c r="U987" s="4"/>
      <c r="V987" s="4"/>
      <c r="W987" s="9"/>
      <c r="X987" s="9"/>
      <c r="Y987" s="9"/>
      <c r="Z987" s="9"/>
      <c r="AA987" s="9"/>
      <c r="AB987" s="9"/>
      <c r="AC987" s="449" t="str">
        <f t="shared" ref="AC987:AC1050" si="132">IF(OR(AT987&gt;8,AT987&lt;-8),"PH",
IF(OR(AT987&gt;5,AT987&lt;-5),"PHQ",
IF(OR(AT987&gt;1,AT987&lt;-1),
"PHC","")))</f>
        <v/>
      </c>
      <c r="AD987" s="449"/>
      <c r="AE987" s="449"/>
      <c r="AF987" s="4"/>
      <c r="AG987" s="83"/>
      <c r="AH987" s="4"/>
      <c r="AI987" s="4"/>
      <c r="AJ987" s="449"/>
      <c r="AK987" s="449"/>
      <c r="AL987" s="449"/>
      <c r="AM987" s="449"/>
      <c r="AN987" s="10"/>
      <c r="AO987" s="9"/>
      <c r="AP987" s="9"/>
      <c r="AQ987" s="9">
        <f>+FL_1($T$988,$T$986,$G$987,1200,9.28, 1*$F$988)</f>
        <v>0.45400350967741931</v>
      </c>
      <c r="AR987" s="9"/>
      <c r="AS987" s="9"/>
      <c r="AT987" s="9"/>
      <c r="AU987" s="428"/>
      <c r="AV987" s="428"/>
      <c r="AW987" s="449" t="str">
        <f>IF(C987&gt;0,VLOOKUP(C987,Foundation_Calc!$A$2:$C$13,3,1),
IF(J987&gt;0,VLOOKUP(J987,Foundation_Calc!$A$2:$C$13,3,1),""))</f>
        <v>Multi Soil</v>
      </c>
      <c r="AX987" s="449" t="str">
        <f>IF(C987&gt;0,VLOOKUP(C987,Foundation_Calc!$E$35:$G$65,3,1),
IF(J987&gt;0,VLOOKUP(J987,Foundation_Calc!$E$35:$G$65,3,1),""))</f>
        <v>PT</v>
      </c>
      <c r="AY987" s="10" t="str">
        <f>IF(L987="","",
IF(AX987="PT",VLOOKUP(L987,Foundation_Calc!$K$79:$R$113,VLOOKUP(AW987,Foundation_Calc!$I$2:$J$8,2,FALSE),0),
IF(AX987="K",VLOOKUP(L987,Foundation_Calc!$K$117:$R$151,VLOOKUP(AW987,Foundation_Calc!$I$2:$J$8,2,FALSE),0),"")))</f>
        <v/>
      </c>
      <c r="AZ987" s="10">
        <f>IF(K987="","",
IF(AX987="PT",VLOOKUP(K987,Foundation_Calc!$K$79:$R$113,VLOOKUP(AW987,Foundation_Calc!$I$2:$J$8,2,FALSE),0),
IF(AX987="K",VLOOKUP(K987,Foundation_Calc!$K$117:$R$151,VLOOKUP(AW987,Foundation_Calc!$I$2:$J$8,2,FALSE),0),"")))</f>
        <v>2.8</v>
      </c>
      <c r="BA987" s="495" t="str">
        <f t="shared" si="129"/>
        <v/>
      </c>
      <c r="BB987" s="495" t="str">
        <f t="shared" si="130"/>
        <v>ü</v>
      </c>
      <c r="BC987" s="495" t="str">
        <f t="shared" si="131"/>
        <v/>
      </c>
      <c r="BD987" s="513" t="str">
        <f>IF(AND(L987="",H987=""),"",
IF(H987="",Pole_Calc!A$9,
IF(H987="MP",Pole_Calc!A$10,
IF(H987="AnMP",Pole_Calc!A$11,
IF(H987="A",Pole_Calc!A$12,
IF(H987="S/A",Pole_Calc!A$13,
IF(H987="A/S",Pole_Calc!A$14,"Poner a mano")))))))</f>
        <v/>
      </c>
      <c r="BE987" s="429" t="s">
        <v>118</v>
      </c>
      <c r="BF987" s="290"/>
      <c r="BG987" s="290"/>
      <c r="BH987" s="290"/>
      <c r="BI987" s="290"/>
    </row>
    <row r="988" spans="1:61" ht="15.75" customHeight="1">
      <c r="A988" s="514"/>
      <c r="B988" s="450" t="s">
        <v>1453</v>
      </c>
      <c r="C988" s="3">
        <f>+$C$986+$G$987</f>
        <v>53699.330000000009</v>
      </c>
      <c r="D988" s="83"/>
      <c r="E988" s="4"/>
      <c r="F988" s="4">
        <v>0</v>
      </c>
      <c r="G988" s="6"/>
      <c r="H988" s="449" t="s">
        <v>168</v>
      </c>
      <c r="I988" s="4"/>
      <c r="J988" s="3"/>
      <c r="K988" s="449"/>
      <c r="L988" s="449" t="s">
        <v>158</v>
      </c>
      <c r="M988" s="449" t="str">
        <f>IF(L988="","",
IF(AX988="PT",VLOOKUP(L988,Foundation_Calc!$V$79:$X$113,VLOOKUP(AX988,Foundation_Calc!$I$10:$J$13,2,FALSE),0),
IF(AX988="K",VLOOKUP(L988,Foundation_Calc!$V$117:$X$151,VLOOKUP(AX988,Foundation_Calc!$I$10:$J$13,2,FALSE),0),"")))</f>
        <v>C4R</v>
      </c>
      <c r="N988" s="449" t="s">
        <v>134</v>
      </c>
      <c r="O988" s="449"/>
      <c r="P988" s="449"/>
      <c r="Q988" s="4"/>
      <c r="R988" s="6"/>
      <c r="S988" s="6"/>
      <c r="T988" s="4">
        <v>35</v>
      </c>
      <c r="U988" s="4"/>
      <c r="V988" s="4"/>
      <c r="W988" s="9">
        <v>1.4</v>
      </c>
      <c r="X988" s="9"/>
      <c r="Y988" s="9"/>
      <c r="Z988" s="9"/>
      <c r="AA988" s="9"/>
      <c r="AB988" s="9"/>
      <c r="AC988" s="449" t="str">
        <f t="shared" si="132"/>
        <v>PH</v>
      </c>
      <c r="AD988" s="449"/>
      <c r="AE988" s="449"/>
      <c r="AF988" s="4"/>
      <c r="AG988" s="83"/>
      <c r="AH988" s="4"/>
      <c r="AI988" s="4"/>
      <c r="AJ988" s="449"/>
      <c r="AK988" s="449"/>
      <c r="AL988" s="449"/>
      <c r="AM988" s="449" t="s">
        <v>552</v>
      </c>
      <c r="AN988" s="10">
        <v>5.5</v>
      </c>
      <c r="AO988" s="9"/>
      <c r="AP988" s="9"/>
      <c r="AQ988" s="9"/>
      <c r="AR988" s="9"/>
      <c r="AS988" s="9"/>
      <c r="AT988" s="9">
        <f>+ab($T$988,$T$986,$T$990,$G$987,$G$989, 1*$F$988,1200)</f>
        <v>8.4365744899000195</v>
      </c>
      <c r="AU988" s="428"/>
      <c r="AV988" s="428"/>
      <c r="AW988" s="449" t="str">
        <f>IF(C988&gt;0,VLOOKUP(C988,Foundation_Calc!$A$2:$C$13,3,1),
IF(J988&gt;0,VLOOKUP(J988,Foundation_Calc!$A$2:$C$13,3,1),""))</f>
        <v>Multi Soil</v>
      </c>
      <c r="AX988" s="449" t="str">
        <f>IF(C988&gt;0,VLOOKUP(C988,Foundation_Calc!$E$35:$G$65,3,1),
IF(J988&gt;0,VLOOKUP(J988,Foundation_Calc!$E$35:$G$65,3,1),""))</f>
        <v>PT</v>
      </c>
      <c r="AY988" s="10">
        <f>IF(L988="","",
IF(AX988="PT",VLOOKUP(L988,Foundation_Calc!$K$79:$R$113,VLOOKUP(AW988,Foundation_Calc!$I$2:$J$8,2,FALSE),0),
IF(AX988="K",VLOOKUP(L988,Foundation_Calc!$K$117:$R$151,VLOOKUP(AW988,Foundation_Calc!$I$2:$J$8,2,FALSE),0),"")))</f>
        <v>3.5</v>
      </c>
      <c r="AZ988" s="10" t="str">
        <f>IF(K988="","",
IF(AX988="PT",VLOOKUP(K988,Foundation_Calc!$K$79:$R$113,VLOOKUP(AW988,Foundation_Calc!$I$2:$J$8,2,FALSE),0),
IF(AX988="K",VLOOKUP(K988,Foundation_Calc!$K$117:$R$151,VLOOKUP(AW988,Foundation_Calc!$I$2:$J$8,2,FALSE),0),"")))</f>
        <v/>
      </c>
      <c r="BA988" s="495" t="str">
        <f t="shared" si="129"/>
        <v>ü</v>
      </c>
      <c r="BB988" s="495" t="str">
        <f t="shared" si="130"/>
        <v/>
      </c>
      <c r="BC988" s="495" t="str">
        <f t="shared" si="131"/>
        <v/>
      </c>
      <c r="BD988" s="513" t="str">
        <f>IF(AND(L988="",H988=""),"",
IF(H988="",Pole_Calc!A$9,
IF(H988="MP",Pole_Calc!A$10,
IF(H988="AnMP",Pole_Calc!A$11,
IF(H988="A",Pole_Calc!A$12,
IF(H988="S/A",Pole_Calc!A$13,
IF(H988="A/S",Pole_Calc!A$14,"Poner a mano")))))))</f>
        <v>App.7-V11I-P9.5.1.3</v>
      </c>
      <c r="BE988" s="429" t="s">
        <v>118</v>
      </c>
      <c r="BF988" s="289"/>
      <c r="BG988" s="289"/>
      <c r="BH988" s="290"/>
      <c r="BI988" s="289"/>
    </row>
    <row r="989" spans="1:61" ht="15.75" customHeight="1">
      <c r="A989" s="514"/>
      <c r="B989" s="450"/>
      <c r="C989" s="3"/>
      <c r="D989" s="83"/>
      <c r="E989" s="4"/>
      <c r="F989" s="4"/>
      <c r="G989" s="6">
        <v>62</v>
      </c>
      <c r="H989" s="449"/>
      <c r="I989" s="4">
        <f>SUM(G969:G989)</f>
        <v>622.1</v>
      </c>
      <c r="J989" s="3"/>
      <c r="K989" s="449"/>
      <c r="L989" s="449"/>
      <c r="M989" s="449" t="str">
        <f>IF(L989="","",
IF(AX989="PT",VLOOKUP(L989,Foundation_Calc!$V$79:$X$113,VLOOKUP(AX989,Foundation_Calc!$I$10:$J$13,2,FALSE),0),
IF(AX989="K",VLOOKUP(L989,Foundation_Calc!$V$117:$X$151,VLOOKUP(AX989,Foundation_Calc!$I$10:$J$13,2,FALSE),0),"")))</f>
        <v/>
      </c>
      <c r="N989" s="449"/>
      <c r="O989" s="449"/>
      <c r="P989" s="449"/>
      <c r="Q989" s="4"/>
      <c r="R989" s="6"/>
      <c r="S989" s="6"/>
      <c r="T989" s="4"/>
      <c r="U989" s="4"/>
      <c r="V989" s="4"/>
      <c r="W989" s="9"/>
      <c r="X989" s="9"/>
      <c r="Y989" s="9"/>
      <c r="Z989" s="9"/>
      <c r="AA989" s="9"/>
      <c r="AB989" s="9"/>
      <c r="AC989" s="449" t="str">
        <f t="shared" si="132"/>
        <v/>
      </c>
      <c r="AD989" s="449"/>
      <c r="AE989" s="449"/>
      <c r="AF989" s="4"/>
      <c r="AG989" s="83"/>
      <c r="AH989" s="4"/>
      <c r="AI989" s="4"/>
      <c r="AJ989" s="449"/>
      <c r="AK989" s="449"/>
      <c r="AL989" s="449"/>
      <c r="AM989" s="449"/>
      <c r="AN989" s="10"/>
      <c r="AO989" s="9"/>
      <c r="AP989" s="9"/>
      <c r="AQ989" s="9">
        <f>+FL_2($T$990,$T$988,$G$989,1200,9.28, 1*$F$990)</f>
        <v>-0.45400350967741931</v>
      </c>
      <c r="AR989" s="9"/>
      <c r="AS989" s="9"/>
      <c r="AT989" s="9"/>
      <c r="AU989" s="428"/>
      <c r="AV989" s="428"/>
      <c r="AW989" s="449" t="str">
        <f>IF(C989&gt;0,VLOOKUP(C989,Foundation_Calc!$A$2:$C$13,3,1),
IF(J989&gt;0,VLOOKUP(J989,Foundation_Calc!$A$2:$C$13,3,1),""))</f>
        <v/>
      </c>
      <c r="AX989" s="449" t="str">
        <f>IF(C989&gt;0,VLOOKUP(C989,Foundation_Calc!$E$35:$G$65,3,1),
IF(J989&gt;0,VLOOKUP(J989,Foundation_Calc!$E$35:$G$65,3,1),""))</f>
        <v/>
      </c>
      <c r="AY989" s="10" t="str">
        <f>IF(L989="","",
IF(AX989="PT",VLOOKUP(L989,Foundation_Calc!$K$79:$R$113,VLOOKUP(AW989,Foundation_Calc!$I$2:$J$8,2,FALSE),0),
IF(AX989="K",VLOOKUP(L989,Foundation_Calc!$K$117:$R$151,VLOOKUP(AW989,Foundation_Calc!$I$2:$J$8,2,FALSE),0),"")))</f>
        <v/>
      </c>
      <c r="AZ989" s="10" t="str">
        <f>IF(K989="","",
IF(AX989="PT",VLOOKUP(K989,Foundation_Calc!$K$79:$R$113,VLOOKUP(AW989,Foundation_Calc!$I$2:$J$8,2,FALSE),0),
IF(AX989="K",VLOOKUP(K989,Foundation_Calc!$K$117:$R$151,VLOOKUP(AW989,Foundation_Calc!$I$2:$J$8,2,FALSE),0),"")))</f>
        <v/>
      </c>
      <c r="BA989" s="495" t="str">
        <f t="shared" si="129"/>
        <v/>
      </c>
      <c r="BB989" s="495" t="str">
        <f t="shared" si="130"/>
        <v/>
      </c>
      <c r="BC989" s="495" t="str">
        <f t="shared" si="131"/>
        <v/>
      </c>
      <c r="BD989" s="513" t="str">
        <f>IF(AND(L989="",H989=""),"",
IF(H989="",Pole_Calc!A$9,
IF(H989="MP",Pole_Calc!A$10,
IF(H989="AnMP",Pole_Calc!A$11,
IF(H989="A",Pole_Calc!A$12,
IF(H989="S/A",Pole_Calc!A$13,
IF(H989="A/S",Pole_Calc!A$14,"Poner a mano")))))))</f>
        <v/>
      </c>
      <c r="BE989" s="429" t="s">
        <v>118</v>
      </c>
      <c r="BF989" s="290"/>
      <c r="BG989" s="290"/>
      <c r="BH989" s="290"/>
      <c r="BI989" s="290"/>
    </row>
    <row r="990" spans="1:61" ht="15.75" customHeight="1">
      <c r="A990" s="514"/>
      <c r="B990" s="450" t="s">
        <v>1454</v>
      </c>
      <c r="C990" s="3">
        <f>+$C$988+$G$989</f>
        <v>53761.330000000009</v>
      </c>
      <c r="D990" s="83"/>
      <c r="E990" s="4"/>
      <c r="F990" s="4">
        <v>0</v>
      </c>
      <c r="G990" s="6"/>
      <c r="H990" s="449" t="s">
        <v>171</v>
      </c>
      <c r="I990" s="4"/>
      <c r="J990" s="3"/>
      <c r="K990" s="449"/>
      <c r="L990" s="449" t="s">
        <v>153</v>
      </c>
      <c r="M990" s="449" t="str">
        <f>IF(L990="","",
IF(AX990="PT",VLOOKUP(L990,Foundation_Calc!$V$79:$X$113,VLOOKUP(AX990,Foundation_Calc!$I$10:$J$13,2,FALSE),0),
IF(AX990="K",VLOOKUP(L990,Foundation_Calc!$V$117:$X$151,VLOOKUP(AX990,Foundation_Calc!$I$10:$J$13,2,FALSE),0),"")))</f>
        <v>C3R</v>
      </c>
      <c r="N990" s="449" t="s">
        <v>124</v>
      </c>
      <c r="O990" s="449"/>
      <c r="P990" s="449"/>
      <c r="Q990" s="4"/>
      <c r="R990" s="6"/>
      <c r="S990" s="6"/>
      <c r="T990" s="4">
        <v>-35</v>
      </c>
      <c r="U990" s="4"/>
      <c r="V990" s="4"/>
      <c r="W990" s="9">
        <v>1.4</v>
      </c>
      <c r="X990" s="9"/>
      <c r="Y990" s="9"/>
      <c r="Z990" s="9"/>
      <c r="AA990" s="9"/>
      <c r="AB990" s="9"/>
      <c r="AC990" s="449" t="str">
        <f t="shared" si="132"/>
        <v>PH</v>
      </c>
      <c r="AD990" s="449"/>
      <c r="AE990" s="449"/>
      <c r="AF990" s="4"/>
      <c r="AG990" s="83"/>
      <c r="AH990" s="4"/>
      <c r="AI990" s="4"/>
      <c r="AJ990" s="449"/>
      <c r="AK990" s="449"/>
      <c r="AL990" s="449"/>
      <c r="AM990" s="449" t="s">
        <v>552</v>
      </c>
      <c r="AN990" s="10">
        <v>5.5</v>
      </c>
      <c r="AO990" s="9"/>
      <c r="AP990" s="9"/>
      <c r="AQ990" s="9"/>
      <c r="AR990" s="9"/>
      <c r="AS990" s="9"/>
      <c r="AT990" s="9">
        <f>+ab($T$990,$T$988,$T$992,$G$989,$G$991, 1*$F$990,1200)</f>
        <v>-8.300256796512933</v>
      </c>
      <c r="AU990" s="428"/>
      <c r="AV990" s="428"/>
      <c r="AW990" s="449" t="str">
        <f>IF(C990&gt;0,VLOOKUP(C990,Foundation_Calc!$A$2:$C$13,3,1),
IF(J990&gt;0,VLOOKUP(J990,Foundation_Calc!$A$2:$C$13,3,1),""))</f>
        <v>Multi Soil</v>
      </c>
      <c r="AX990" s="449" t="str">
        <f>IF(C990&gt;0,VLOOKUP(C990,Foundation_Calc!$E$35:$G$65,3,1),
IF(J990&gt;0,VLOOKUP(J990,Foundation_Calc!$E$35:$G$65,3,1),""))</f>
        <v>PT</v>
      </c>
      <c r="AY990" s="10">
        <f>IF(L990="","",
IF(AX990="PT",VLOOKUP(L990,Foundation_Calc!$K$79:$R$113,VLOOKUP(AW990,Foundation_Calc!$I$2:$J$8,2,FALSE),0),
IF(AX990="K",VLOOKUP(L990,Foundation_Calc!$K$117:$R$151,VLOOKUP(AW990,Foundation_Calc!$I$2:$J$8,2,FALSE),0),"")))</f>
        <v>3.5</v>
      </c>
      <c r="AZ990" s="10" t="str">
        <f>IF(K990="","",
IF(AX990="PT",VLOOKUP(K990,Foundation_Calc!$K$79:$R$113,VLOOKUP(AW990,Foundation_Calc!$I$2:$J$8,2,FALSE),0),
IF(AX990="K",VLOOKUP(K990,Foundation_Calc!$K$117:$R$151,VLOOKUP(AW990,Foundation_Calc!$I$2:$J$8,2,FALSE),0),"")))</f>
        <v/>
      </c>
      <c r="BA990" s="495" t="str">
        <f t="shared" si="129"/>
        <v>ü</v>
      </c>
      <c r="BB990" s="495" t="str">
        <f t="shared" si="130"/>
        <v/>
      </c>
      <c r="BC990" s="495" t="str">
        <f t="shared" si="131"/>
        <v/>
      </c>
      <c r="BD990" s="513" t="str">
        <f>IF(AND(L990="",H990=""),"",
IF(H990="",Pole_Calc!A$9,
IF(H990="MP",Pole_Calc!A$10,
IF(H990="AnMP",Pole_Calc!A$11,
IF(H990="A",Pole_Calc!A$12,
IF(H990="S/A",Pole_Calc!A$13,
IF(H990="A/S",Pole_Calc!A$14,"Poner a mano")))))))</f>
        <v>App.7-V11I-P9.5.1.2</v>
      </c>
      <c r="BE990" s="429" t="s">
        <v>118</v>
      </c>
      <c r="BF990" s="289"/>
      <c r="BG990" s="289"/>
      <c r="BH990" s="290"/>
      <c r="BI990" s="289"/>
    </row>
    <row r="991" spans="1:61" ht="15.75" customHeight="1">
      <c r="A991" s="514"/>
      <c r="B991" s="450"/>
      <c r="C991" s="3"/>
      <c r="D991" s="83"/>
      <c r="E991" s="4"/>
      <c r="F991" s="4"/>
      <c r="G991" s="6">
        <v>60</v>
      </c>
      <c r="H991" s="449"/>
      <c r="I991" s="4">
        <f>SUM(G991:G1011)</f>
        <v>609</v>
      </c>
      <c r="J991" s="3"/>
      <c r="K991" s="449"/>
      <c r="L991" s="449"/>
      <c r="M991" s="449" t="str">
        <f>IF(L991="","",
IF(AX991="PT",VLOOKUP(L991,Foundation_Calc!$V$79:$X$113,VLOOKUP(AX991,Foundation_Calc!$I$10:$J$13,2,FALSE),0),
IF(AX991="K",VLOOKUP(L991,Foundation_Calc!$V$117:$X$151,VLOOKUP(AX991,Foundation_Calc!$I$10:$J$13,2,FALSE),0),"")))</f>
        <v/>
      </c>
      <c r="N991" s="449"/>
      <c r="O991" s="561"/>
      <c r="P991" s="449"/>
      <c r="Q991" s="4"/>
      <c r="R991" s="6"/>
      <c r="S991" s="6"/>
      <c r="T991" s="4"/>
      <c r="U991" s="4"/>
      <c r="V991" s="4"/>
      <c r="W991" s="9"/>
      <c r="X991" s="9"/>
      <c r="Y991" s="9"/>
      <c r="Z991" s="9"/>
      <c r="AA991" s="9"/>
      <c r="AB991" s="9"/>
      <c r="AC991" s="449" t="str">
        <f t="shared" si="132"/>
        <v/>
      </c>
      <c r="AD991" s="449"/>
      <c r="AE991" s="449"/>
      <c r="AF991" s="4"/>
      <c r="AG991" s="83"/>
      <c r="AH991" s="4"/>
      <c r="AI991" s="4"/>
      <c r="AJ991" s="449"/>
      <c r="AK991" s="449"/>
      <c r="AL991" s="449"/>
      <c r="AM991" s="449"/>
      <c r="AN991" s="10"/>
      <c r="AO991" s="9"/>
      <c r="AP991" s="9"/>
      <c r="AQ991" s="9">
        <f>+FL_1($T$992,$T$990,$G$991,1200,9.28, 1*$F$992)</f>
        <v>0.43600286799999999</v>
      </c>
      <c r="AR991" s="9"/>
      <c r="AS991" s="9"/>
      <c r="AT991" s="9"/>
      <c r="AU991" s="428"/>
      <c r="AV991" s="428"/>
      <c r="AW991" s="449" t="str">
        <f>IF(C991&gt;0,VLOOKUP(C991,Foundation_Calc!$A$2:$C$13,3,1),
IF(J991&gt;0,VLOOKUP(J991,Foundation_Calc!$A$2:$C$13,3,1),""))</f>
        <v/>
      </c>
      <c r="AX991" s="449" t="str">
        <f>IF(C991&gt;0,VLOOKUP(C991,Foundation_Calc!$E$35:$G$65,3,1),
IF(J991&gt;0,VLOOKUP(J991,Foundation_Calc!$E$35:$G$65,3,1),""))</f>
        <v/>
      </c>
      <c r="AY991" s="10" t="str">
        <f>IF(L991="","",
IF(AX991="PT",VLOOKUP(L991,Foundation_Calc!$K$79:$R$113,VLOOKUP(AW991,Foundation_Calc!$I$2:$J$8,2,FALSE),0),
IF(AX991="K",VLOOKUP(L991,Foundation_Calc!$K$117:$R$151,VLOOKUP(AW991,Foundation_Calc!$I$2:$J$8,2,FALSE),0),"")))</f>
        <v/>
      </c>
      <c r="AZ991" s="10" t="str">
        <f>IF(K991="","",
IF(AX991="PT",VLOOKUP(K991,Foundation_Calc!$K$79:$R$113,VLOOKUP(AW991,Foundation_Calc!$I$2:$J$8,2,FALSE),0),
IF(AX991="K",VLOOKUP(K991,Foundation_Calc!$K$117:$R$151,VLOOKUP(AW991,Foundation_Calc!$I$2:$J$8,2,FALSE),0),"")))</f>
        <v/>
      </c>
      <c r="BA991" s="495" t="str">
        <f t="shared" si="129"/>
        <v/>
      </c>
      <c r="BB991" s="495" t="str">
        <f t="shared" si="130"/>
        <v/>
      </c>
      <c r="BC991" s="495" t="str">
        <f t="shared" si="131"/>
        <v/>
      </c>
      <c r="BD991" s="513" t="str">
        <f>IF(AND(L991="",H991=""),"",
IF(H991="",Pole_Calc!A$9,
IF(H991="MP",Pole_Calc!A$10,
IF(H991="AnMP",Pole_Calc!A$11,
IF(H991="A",Pole_Calc!A$12,
IF(H991="S/A",Pole_Calc!A$13,
IF(H991="A/S",Pole_Calc!A$14,"Poner a mano")))))))</f>
        <v/>
      </c>
      <c r="BE991" s="429" t="s">
        <v>118</v>
      </c>
      <c r="BF991" s="290"/>
      <c r="BG991" s="290"/>
      <c r="BH991" s="290"/>
      <c r="BI991" s="290"/>
    </row>
    <row r="992" spans="1:61" ht="15.75" customHeight="1">
      <c r="A992" s="514"/>
      <c r="B992" s="450" t="s">
        <v>1455</v>
      </c>
      <c r="C992" s="3">
        <f>+$C$990+$G$991</f>
        <v>53821.330000000009</v>
      </c>
      <c r="D992" s="83"/>
      <c r="E992" s="4"/>
      <c r="F992" s="4">
        <v>0</v>
      </c>
      <c r="G992" s="6"/>
      <c r="H992" s="449" t="s">
        <v>168</v>
      </c>
      <c r="I992" s="4"/>
      <c r="J992" s="3"/>
      <c r="K992" s="449"/>
      <c r="L992" s="449" t="s">
        <v>158</v>
      </c>
      <c r="M992" s="449" t="str">
        <f>IF(L992="","",
IF(AX992="PT",VLOOKUP(L992,Foundation_Calc!$V$79:$X$113,VLOOKUP(AX992,Foundation_Calc!$I$10:$J$13,2,FALSE),0),
IF(AX992="K",VLOOKUP(L992,Foundation_Calc!$V$117:$X$151,VLOOKUP(AX992,Foundation_Calc!$I$10:$J$13,2,FALSE),0),"")))</f>
        <v>C4RT</v>
      </c>
      <c r="N992" s="449" t="s">
        <v>134</v>
      </c>
      <c r="O992" s="449"/>
      <c r="P992" s="449"/>
      <c r="Q992" s="4"/>
      <c r="R992" s="6"/>
      <c r="S992" s="6"/>
      <c r="T992" s="4">
        <v>35</v>
      </c>
      <c r="U992" s="4"/>
      <c r="V992" s="4"/>
      <c r="W992" s="9">
        <v>1.4</v>
      </c>
      <c r="X992" s="9"/>
      <c r="Y992" s="9"/>
      <c r="Z992" s="9"/>
      <c r="AA992" s="9"/>
      <c r="AB992" s="9"/>
      <c r="AC992" s="449" t="str">
        <f t="shared" si="132"/>
        <v>PHQ</v>
      </c>
      <c r="AD992" s="449"/>
      <c r="AE992" s="449"/>
      <c r="AF992" s="4"/>
      <c r="AG992" s="83"/>
      <c r="AH992" s="4"/>
      <c r="AI992" s="4"/>
      <c r="AJ992" s="449"/>
      <c r="AK992" s="449"/>
      <c r="AL992" s="449"/>
      <c r="AM992" s="449" t="s">
        <v>552</v>
      </c>
      <c r="AN992" s="10">
        <v>5.5</v>
      </c>
      <c r="AO992" s="9"/>
      <c r="AP992" s="9"/>
      <c r="AQ992" s="9"/>
      <c r="AR992" s="9"/>
      <c r="AS992" s="9"/>
      <c r="AT992" s="9">
        <f>+ab($T$992,$T$990,$T$994,$G$991,$G$993, 1*$F$992,1200)</f>
        <v>7.8175137683875535</v>
      </c>
      <c r="AU992" s="428"/>
      <c r="AV992" s="428"/>
      <c r="AW992" s="449" t="str">
        <f>IF(C992&gt;0,VLOOKUP(C992,Foundation_Calc!$A$2:$C$13,3,1),
IF(J992&gt;0,VLOOKUP(J992,Foundation_Calc!$A$2:$C$13,3,1),""))</f>
        <v>Multi Soil</v>
      </c>
      <c r="AX992" s="449" t="str">
        <f>IF(C992&gt;0,VLOOKUP(C992,Foundation_Calc!$E$35:$G$65,3,1),
IF(J992&gt;0,VLOOKUP(J992,Foundation_Calc!$E$35:$G$65,3,1),""))</f>
        <v>K</v>
      </c>
      <c r="AY992" s="10">
        <f>IF(L992="","",
IF(AX992="PT",VLOOKUP(L992,Foundation_Calc!$K$79:$R$113,VLOOKUP(AW992,Foundation_Calc!$I$2:$J$8,2,FALSE),0),
IF(AX992="K",VLOOKUP(L992,Foundation_Calc!$K$117:$R$151,VLOOKUP(AW992,Foundation_Calc!$I$2:$J$8,2,FALSE),0),"")))</f>
        <v>4.2</v>
      </c>
      <c r="AZ992" s="10" t="str">
        <f>IF(K992="","",
IF(AX992="PT",VLOOKUP(K992,Foundation_Calc!$K$79:$R$113,VLOOKUP(AW992,Foundation_Calc!$I$2:$J$8,2,FALSE),0),
IF(AX992="K",VLOOKUP(K992,Foundation_Calc!$K$117:$R$151,VLOOKUP(AW992,Foundation_Calc!$I$2:$J$8,2,FALSE),0),"")))</f>
        <v/>
      </c>
      <c r="BA992" s="495" t="str">
        <f t="shared" si="129"/>
        <v>ü</v>
      </c>
      <c r="BB992" s="495" t="str">
        <f t="shared" si="130"/>
        <v/>
      </c>
      <c r="BC992" s="495" t="str">
        <f t="shared" si="131"/>
        <v/>
      </c>
      <c r="BD992" s="513" t="str">
        <f>IF(AND(L992="",H992=""),"",
IF(H992="",Pole_Calc!A$9,
IF(H992="MP",Pole_Calc!A$10,
IF(H992="AnMP",Pole_Calc!A$11,
IF(H992="A",Pole_Calc!A$12,
IF(H992="S/A",Pole_Calc!A$13,
IF(H992="A/S",Pole_Calc!A$14,"Poner a mano")))))))</f>
        <v>App.7-V11I-P9.5.1.3</v>
      </c>
      <c r="BE992" s="429" t="s">
        <v>118</v>
      </c>
      <c r="BF992" s="289"/>
      <c r="BG992" s="289"/>
      <c r="BH992" s="290"/>
      <c r="BI992" s="289"/>
    </row>
    <row r="993" spans="1:61" ht="15.75" customHeight="1">
      <c r="A993" s="518"/>
      <c r="B993" s="450"/>
      <c r="C993" s="3"/>
      <c r="D993" s="83"/>
      <c r="E993" s="4"/>
      <c r="F993" s="4"/>
      <c r="G993" s="6">
        <v>55</v>
      </c>
      <c r="H993" s="449"/>
      <c r="I993" s="4"/>
      <c r="J993" s="3">
        <f>C992+7.5</f>
        <v>53828.830000000009</v>
      </c>
      <c r="K993" s="449" t="s">
        <v>324</v>
      </c>
      <c r="L993" s="449"/>
      <c r="M993" s="449" t="str">
        <f>IF(L993="","",
IF(AX993="PT",VLOOKUP(L993,Foundation_Calc!$V$79:$X$113,VLOOKUP(AX993,Foundation_Calc!$I$10:$J$13,2,FALSE),0),
IF(AX993="K",VLOOKUP(L993,Foundation_Calc!$V$117:$X$151,VLOOKUP(AX993,Foundation_Calc!$I$10:$J$13,2,FALSE),0),"")))</f>
        <v/>
      </c>
      <c r="N993" s="449"/>
      <c r="O993" s="449"/>
      <c r="P993" s="449"/>
      <c r="Q993" s="4"/>
      <c r="R993" s="6"/>
      <c r="S993" s="6"/>
      <c r="T993" s="4"/>
      <c r="U993" s="4"/>
      <c r="V993" s="4"/>
      <c r="W993" s="9"/>
      <c r="X993" s="9"/>
      <c r="Y993" s="9"/>
      <c r="Z993" s="9"/>
      <c r="AA993" s="9"/>
      <c r="AB993" s="9"/>
      <c r="AC993" s="449" t="str">
        <f t="shared" si="132"/>
        <v/>
      </c>
      <c r="AD993" s="449"/>
      <c r="AE993" s="449"/>
      <c r="AF993" s="4"/>
      <c r="AG993" s="83"/>
      <c r="AH993" s="4"/>
      <c r="AI993" s="4"/>
      <c r="AJ993" s="449"/>
      <c r="AK993" s="449"/>
      <c r="AL993" s="449"/>
      <c r="AM993" s="449"/>
      <c r="AN993" s="10"/>
      <c r="AO993" s="9"/>
      <c r="AP993" s="9"/>
      <c r="AQ993" s="9">
        <f>+FL_1($T$994,$T$992,$G$993,1200,9.28, 1*$F$994)</f>
        <v>0.39714735709090898</v>
      </c>
      <c r="AR993" s="9"/>
      <c r="AS993" s="9"/>
      <c r="AT993" s="9"/>
      <c r="AU993" s="428"/>
      <c r="AV993" s="428"/>
      <c r="AW993" s="449" t="str">
        <f>IF(C993&gt;0,VLOOKUP(C993,Foundation_Calc!$A$2:$C$13,3,1),
IF(J993&gt;0,VLOOKUP(J993,Foundation_Calc!$A$2:$C$13,3,1),""))</f>
        <v>Multi Soil</v>
      </c>
      <c r="AX993" s="449" t="str">
        <f>IF(C993&gt;0,VLOOKUP(C993,Foundation_Calc!$E$35:$G$65,3,1),
IF(J993&gt;0,VLOOKUP(J993,Foundation_Calc!$E$35:$G$65,3,1),""))</f>
        <v>K</v>
      </c>
      <c r="AY993" s="10" t="str">
        <f>IF(L993="","",
IF(AX993="PT",VLOOKUP(L993,Foundation_Calc!$K$79:$R$113,VLOOKUP(AW993,Foundation_Calc!$I$2:$J$8,2,FALSE),0),
IF(AX993="K",VLOOKUP(L993,Foundation_Calc!$K$117:$R$151,VLOOKUP(AW993,Foundation_Calc!$I$2:$J$8,2,FALSE),0),"")))</f>
        <v/>
      </c>
      <c r="AZ993" s="10">
        <f>IF(K993="","",
IF(AX993="PT",VLOOKUP(K993,Foundation_Calc!$K$79:$R$113,VLOOKUP(AW993,Foundation_Calc!$I$2:$J$8,2,FALSE),0),
IF(AX993="K",VLOOKUP(K993,Foundation_Calc!$K$117:$R$151,VLOOKUP(AW993,Foundation_Calc!$I$2:$J$8,2,FALSE),0),"")))</f>
        <v>2.8</v>
      </c>
      <c r="BA993" s="495" t="str">
        <f t="shared" si="129"/>
        <v/>
      </c>
      <c r="BB993" s="495" t="str">
        <f t="shared" si="130"/>
        <v>ü</v>
      </c>
      <c r="BC993" s="495" t="str">
        <f t="shared" si="131"/>
        <v/>
      </c>
      <c r="BD993" s="513" t="str">
        <f>IF(AND(L993="",H993=""),"",
IF(H993="",Pole_Calc!A$9,
IF(H993="MP",Pole_Calc!A$10,
IF(H993="AnMP",Pole_Calc!A$11,
IF(H993="A",Pole_Calc!A$12,
IF(H993="S/A",Pole_Calc!A$13,
IF(H993="A/S",Pole_Calc!A$14,"Poner a mano")))))))</f>
        <v/>
      </c>
      <c r="BE993" s="429" t="s">
        <v>118</v>
      </c>
      <c r="BF993" s="290"/>
      <c r="BG993" s="290"/>
      <c r="BH993" s="290"/>
      <c r="BI993" s="290"/>
    </row>
    <row r="994" spans="1:61" ht="15.75" customHeight="1">
      <c r="A994" s="514"/>
      <c r="B994" s="450" t="s">
        <v>1456</v>
      </c>
      <c r="C994" s="3">
        <f>+$C$992+$G$993</f>
        <v>53876.330000000009</v>
      </c>
      <c r="D994" s="83"/>
      <c r="E994" s="4"/>
      <c r="F994" s="4">
        <v>0</v>
      </c>
      <c r="G994" s="6"/>
      <c r="H994" s="449"/>
      <c r="I994" s="4"/>
      <c r="J994" s="3"/>
      <c r="K994" s="449"/>
      <c r="L994" s="449" t="s">
        <v>153</v>
      </c>
      <c r="M994" s="449" t="str">
        <f>IF(L994="","",
IF(AX994="PT",VLOOKUP(L994,Foundation_Calc!$V$79:$X$113,VLOOKUP(AX994,Foundation_Calc!$I$10:$J$13,2,FALSE),0),
IF(AX994="K",VLOOKUP(L994,Foundation_Calc!$V$117:$X$151,VLOOKUP(AX994,Foundation_Calc!$I$10:$J$13,2,FALSE),0),"")))</f>
        <v>C3RT</v>
      </c>
      <c r="N994" s="449" t="s">
        <v>124</v>
      </c>
      <c r="O994" s="449"/>
      <c r="P994" s="449"/>
      <c r="Q994" s="4"/>
      <c r="R994" s="6"/>
      <c r="S994" s="6"/>
      <c r="T994" s="4">
        <v>-35</v>
      </c>
      <c r="U994" s="4"/>
      <c r="V994" s="4"/>
      <c r="W994" s="9">
        <v>1.4</v>
      </c>
      <c r="X994" s="9"/>
      <c r="Y994" s="9"/>
      <c r="Z994" s="9"/>
      <c r="AA994" s="9"/>
      <c r="AB994" s="9"/>
      <c r="AC994" s="449" t="str">
        <f t="shared" si="132"/>
        <v>PHQ</v>
      </c>
      <c r="AD994" s="449"/>
      <c r="AE994" s="449"/>
      <c r="AF994" s="4"/>
      <c r="AG994" s="83"/>
      <c r="AH994" s="4"/>
      <c r="AI994" s="4"/>
      <c r="AJ994" s="449"/>
      <c r="AK994" s="449"/>
      <c r="AL994" s="449"/>
      <c r="AM994" s="449" t="s">
        <v>552</v>
      </c>
      <c r="AN994" s="10">
        <v>5.5</v>
      </c>
      <c r="AO994" s="9"/>
      <c r="AP994" s="9"/>
      <c r="AQ994" s="9"/>
      <c r="AR994" s="9"/>
      <c r="AS994" s="9"/>
      <c r="AT994" s="9">
        <f>+ab($T$994,$T$992,$T$996,$G$993,$G$995, 1*$F$994,1200)</f>
        <v>-7.495600280563588</v>
      </c>
      <c r="AU994" s="428"/>
      <c r="AV994" s="428"/>
      <c r="AW994" s="449" t="str">
        <f>IF(C994&gt;0,VLOOKUP(C994,Foundation_Calc!$A$2:$C$13,3,1),
IF(J994&gt;0,VLOOKUP(J994,Foundation_Calc!$A$2:$C$13,3,1),""))</f>
        <v>Multi Soil</v>
      </c>
      <c r="AX994" s="449" t="str">
        <f>IF(C994&gt;0,VLOOKUP(C994,Foundation_Calc!$E$35:$G$65,3,1),
IF(J994&gt;0,VLOOKUP(J994,Foundation_Calc!$E$35:$G$65,3,1),""))</f>
        <v>K</v>
      </c>
      <c r="AY994" s="10">
        <f>IF(L994="","",
IF(AX994="PT",VLOOKUP(L994,Foundation_Calc!$K$79:$R$113,VLOOKUP(AW994,Foundation_Calc!$I$2:$J$8,2,FALSE),0),
IF(AX994="K",VLOOKUP(L994,Foundation_Calc!$K$117:$R$151,VLOOKUP(AW994,Foundation_Calc!$I$2:$J$8,2,FALSE),0),"")))</f>
        <v>4</v>
      </c>
      <c r="AZ994" s="10" t="str">
        <f>IF(K994="","",
IF(AX994="PT",VLOOKUP(K994,Foundation_Calc!$K$79:$R$113,VLOOKUP(AW994,Foundation_Calc!$I$2:$J$8,2,FALSE),0),
IF(AX994="K",VLOOKUP(K994,Foundation_Calc!$K$117:$R$151,VLOOKUP(AW994,Foundation_Calc!$I$2:$J$8,2,FALSE),0),"")))</f>
        <v/>
      </c>
      <c r="BA994" s="495" t="str">
        <f t="shared" si="129"/>
        <v>ü</v>
      </c>
      <c r="BB994" s="495" t="str">
        <f t="shared" si="130"/>
        <v/>
      </c>
      <c r="BC994" s="495" t="str">
        <f t="shared" si="131"/>
        <v/>
      </c>
      <c r="BD994" s="513" t="str">
        <f>IF(AND(L994="",H994=""),"",
IF(H994="",Pole_Calc!A$9,
IF(H994="MP",Pole_Calc!A$10,
IF(H994="AnMP",Pole_Calc!A$11,
IF(H994="A",Pole_Calc!A$12,
IF(H994="S/A",Pole_Calc!A$13,
IF(H994="A/S",Pole_Calc!A$14,"Poner a mano")))))))</f>
        <v>App.7-V11I-P9.5.1.1</v>
      </c>
      <c r="BE994" s="429" t="s">
        <v>118</v>
      </c>
      <c r="BF994" s="289"/>
      <c r="BG994" s="289"/>
      <c r="BH994" s="290"/>
      <c r="BI994" s="289"/>
    </row>
    <row r="995" spans="1:61" ht="15.75" customHeight="1">
      <c r="A995" s="514"/>
      <c r="B995" s="450"/>
      <c r="C995" s="3"/>
      <c r="D995" s="83"/>
      <c r="E995" s="4"/>
      <c r="F995" s="4"/>
      <c r="G995" s="6">
        <v>55</v>
      </c>
      <c r="H995" s="449"/>
      <c r="I995" s="4"/>
      <c r="J995" s="3"/>
      <c r="K995" s="449"/>
      <c r="L995" s="449"/>
      <c r="M995" s="449" t="str">
        <f>IF(L995="","",
IF(AX995="PT",VLOOKUP(L995,Foundation_Calc!$V$79:$X$113,VLOOKUP(AX995,Foundation_Calc!$I$10:$J$13,2,FALSE),0),
IF(AX995="K",VLOOKUP(L995,Foundation_Calc!$V$117:$X$151,VLOOKUP(AX995,Foundation_Calc!$I$10:$J$13,2,FALSE),0),"")))</f>
        <v/>
      </c>
      <c r="N995" s="449"/>
      <c r="O995" s="449"/>
      <c r="P995" s="449"/>
      <c r="Q995" s="4"/>
      <c r="R995" s="6"/>
      <c r="S995" s="6"/>
      <c r="T995" s="4"/>
      <c r="U995" s="4"/>
      <c r="V995" s="4"/>
      <c r="W995" s="9"/>
      <c r="X995" s="9"/>
      <c r="Y995" s="9"/>
      <c r="Z995" s="9"/>
      <c r="AA995" s="9"/>
      <c r="AB995" s="9"/>
      <c r="AC995" s="449" t="str">
        <f t="shared" si="132"/>
        <v/>
      </c>
      <c r="AD995" s="449"/>
      <c r="AE995" s="449"/>
      <c r="AF995" s="4"/>
      <c r="AG995" s="83"/>
      <c r="AH995" s="4"/>
      <c r="AI995" s="4"/>
      <c r="AJ995" s="449"/>
      <c r="AK995" s="449"/>
      <c r="AL995" s="449"/>
      <c r="AM995" s="449"/>
      <c r="AN995" s="10"/>
      <c r="AO995" s="9"/>
      <c r="AP995" s="9"/>
      <c r="AQ995" s="9">
        <f>+FL_2($T$996,$T$994,$G$995,1200,9.28, 1*$F$996)</f>
        <v>-0.39714735709090898</v>
      </c>
      <c r="AR995" s="9"/>
      <c r="AS995" s="9"/>
      <c r="AT995" s="9"/>
      <c r="AU995" s="428"/>
      <c r="AV995" s="428"/>
      <c r="AW995" s="449" t="str">
        <f>IF(C995&gt;0,VLOOKUP(C995,Foundation_Calc!$A$2:$C$13,3,1),
IF(J995&gt;0,VLOOKUP(J995,Foundation_Calc!$A$2:$C$13,3,1),""))</f>
        <v/>
      </c>
      <c r="AX995" s="449" t="str">
        <f>IF(C995&gt;0,VLOOKUP(C995,Foundation_Calc!$E$35:$G$65,3,1),
IF(J995&gt;0,VLOOKUP(J995,Foundation_Calc!$E$35:$G$65,3,1),""))</f>
        <v/>
      </c>
      <c r="AY995" s="10" t="str">
        <f>IF(L995="","",
IF(AX995="PT",VLOOKUP(L995,Foundation_Calc!$K$79:$R$113,VLOOKUP(AW995,Foundation_Calc!$I$2:$J$8,2,FALSE),0),
IF(AX995="K",VLOOKUP(L995,Foundation_Calc!$K$117:$R$151,VLOOKUP(AW995,Foundation_Calc!$I$2:$J$8,2,FALSE),0),"")))</f>
        <v/>
      </c>
      <c r="AZ995" s="10" t="str">
        <f>IF(K995="","",
IF(AX995="PT",VLOOKUP(K995,Foundation_Calc!$K$79:$R$113,VLOOKUP(AW995,Foundation_Calc!$I$2:$J$8,2,FALSE),0),
IF(AX995="K",VLOOKUP(K995,Foundation_Calc!$K$117:$R$151,VLOOKUP(AW995,Foundation_Calc!$I$2:$J$8,2,FALSE),0),"")))</f>
        <v/>
      </c>
      <c r="BA995" s="495" t="str">
        <f t="shared" ref="BA995:BA1058" si="133">IF(AY995="","",IF(AY995&gt;0,"ü",""))</f>
        <v/>
      </c>
      <c r="BB995" s="495" t="str">
        <f t="shared" ref="BB995:BB1058" si="134">IF(AZ995="","",IF(AZ995&gt;0,"ü",""))</f>
        <v/>
      </c>
      <c r="BC995" s="495" t="str">
        <f t="shared" ref="BC995:BC1058" si="135">IF(M995="","",IF(M995="U.S.","ü",IF(M995="U.S. N.D.","ü","")))</f>
        <v/>
      </c>
      <c r="BD995" s="513" t="str">
        <f>IF(AND(L995="",H995=""),"",
IF(H995="",Pole_Calc!A$9,
IF(H995="MP",Pole_Calc!A$10,
IF(H995="AnMP",Pole_Calc!A$11,
IF(H995="A",Pole_Calc!A$12,
IF(H995="S/A",Pole_Calc!A$13,
IF(H995="A/S",Pole_Calc!A$14,"Poner a mano")))))))</f>
        <v/>
      </c>
      <c r="BE995" s="429" t="s">
        <v>118</v>
      </c>
      <c r="BF995" s="290"/>
      <c r="BG995" s="290"/>
      <c r="BH995" s="290"/>
      <c r="BI995" s="290"/>
    </row>
    <row r="996" spans="1:61" ht="15.75" customHeight="1">
      <c r="A996" s="514"/>
      <c r="B996" s="450" t="s">
        <v>1457</v>
      </c>
      <c r="C996" s="3">
        <f>+$C$994+$G$995</f>
        <v>53931.330000000009</v>
      </c>
      <c r="D996" s="83"/>
      <c r="E996" s="4"/>
      <c r="F996" s="4">
        <v>0</v>
      </c>
      <c r="G996" s="6"/>
      <c r="H996" s="449"/>
      <c r="I996" s="4"/>
      <c r="J996" s="3"/>
      <c r="K996" s="449"/>
      <c r="L996" s="449" t="s">
        <v>153</v>
      </c>
      <c r="M996" s="449" t="str">
        <f>IF(L996="","",
IF(AX996="PT",VLOOKUP(L996,Foundation_Calc!$V$79:$X$113,VLOOKUP(AX996,Foundation_Calc!$I$10:$J$13,2,FALSE),0),
IF(AX996="K",VLOOKUP(L996,Foundation_Calc!$V$117:$X$151,VLOOKUP(AX996,Foundation_Calc!$I$10:$J$13,2,FALSE),0),"")))</f>
        <v>C3RT</v>
      </c>
      <c r="N996" s="449" t="s">
        <v>134</v>
      </c>
      <c r="O996" s="449"/>
      <c r="P996" s="449"/>
      <c r="Q996" s="4"/>
      <c r="R996" s="6"/>
      <c r="S996" s="6"/>
      <c r="T996" s="4">
        <v>35</v>
      </c>
      <c r="U996" s="4"/>
      <c r="V996" s="4"/>
      <c r="W996" s="9">
        <v>1.4</v>
      </c>
      <c r="X996" s="9"/>
      <c r="Y996" s="9"/>
      <c r="Z996" s="9"/>
      <c r="AA996" s="9"/>
      <c r="AB996" s="9"/>
      <c r="AC996" s="449" t="str">
        <f t="shared" si="132"/>
        <v>PHQ</v>
      </c>
      <c r="AD996" s="449"/>
      <c r="AE996" s="449"/>
      <c r="AF996" s="4"/>
      <c r="AG996" s="83"/>
      <c r="AH996" s="4"/>
      <c r="AI996" s="4"/>
      <c r="AJ996" s="449"/>
      <c r="AK996" s="449"/>
      <c r="AL996" s="449"/>
      <c r="AM996" s="449" t="s">
        <v>552</v>
      </c>
      <c r="AN996" s="10">
        <v>5.5</v>
      </c>
      <c r="AO996" s="9"/>
      <c r="AP996" s="9"/>
      <c r="AQ996" s="9"/>
      <c r="AR996" s="9"/>
      <c r="AS996" s="9"/>
      <c r="AT996" s="9">
        <f>+ab($T$996,$T$994,$T$998,$G$995,$G$997, 1*$F$996,1200)</f>
        <v>7.4955682572493121</v>
      </c>
      <c r="AU996" s="428"/>
      <c r="AV996" s="428"/>
      <c r="AW996" s="449" t="str">
        <f>IF(C996&gt;0,VLOOKUP(C996,Foundation_Calc!$A$2:$C$13,3,1),
IF(J996&gt;0,VLOOKUP(J996,Foundation_Calc!$A$2:$C$13,3,1),""))</f>
        <v>Multi Soil</v>
      </c>
      <c r="AX996" s="449" t="str">
        <f>IF(C996&gt;0,VLOOKUP(C996,Foundation_Calc!$E$35:$G$65,3,1),
IF(J996&gt;0,VLOOKUP(J996,Foundation_Calc!$E$35:$G$65,3,1),""))</f>
        <v>K</v>
      </c>
      <c r="AY996" s="10">
        <f>IF(L996="","",
IF(AX996="PT",VLOOKUP(L996,Foundation_Calc!$K$79:$R$113,VLOOKUP(AW996,Foundation_Calc!$I$2:$J$8,2,FALSE),0),
IF(AX996="K",VLOOKUP(L996,Foundation_Calc!$K$117:$R$151,VLOOKUP(AW996,Foundation_Calc!$I$2:$J$8,2,FALSE),0),"")))</f>
        <v>4</v>
      </c>
      <c r="AZ996" s="10" t="str">
        <f>IF(K996="","",
IF(AX996="PT",VLOOKUP(K996,Foundation_Calc!$K$79:$R$113,VLOOKUP(AW996,Foundation_Calc!$I$2:$J$8,2,FALSE),0),
IF(AX996="K",VLOOKUP(K996,Foundation_Calc!$K$117:$R$151,VLOOKUP(AW996,Foundation_Calc!$I$2:$J$8,2,FALSE),0),"")))</f>
        <v/>
      </c>
      <c r="BA996" s="495" t="str">
        <f t="shared" si="133"/>
        <v>ü</v>
      </c>
      <c r="BB996" s="495" t="str">
        <f t="shared" si="134"/>
        <v/>
      </c>
      <c r="BC996" s="495" t="str">
        <f t="shared" si="135"/>
        <v/>
      </c>
      <c r="BD996" s="513" t="str">
        <f>IF(AND(L996="",H996=""),"",
IF(H996="",Pole_Calc!A$9,
IF(H996="MP",Pole_Calc!A$10,
IF(H996="AnMP",Pole_Calc!A$11,
IF(H996="A",Pole_Calc!A$12,
IF(H996="S/A",Pole_Calc!A$13,
IF(H996="A/S",Pole_Calc!A$14,"Poner a mano")))))))</f>
        <v>App.7-V11I-P9.5.1.1</v>
      </c>
      <c r="BE996" s="429" t="s">
        <v>118</v>
      </c>
      <c r="BF996" s="289"/>
      <c r="BG996" s="289"/>
      <c r="BH996" s="290"/>
      <c r="BI996" s="289"/>
    </row>
    <row r="997" spans="1:61" ht="15.75" customHeight="1">
      <c r="A997" s="514"/>
      <c r="B997" s="450"/>
      <c r="C997" s="3"/>
      <c r="D997" s="83"/>
      <c r="E997" s="4"/>
      <c r="F997" s="4"/>
      <c r="G997" s="6">
        <v>55</v>
      </c>
      <c r="H997" s="449"/>
      <c r="I997" s="4"/>
      <c r="J997" s="3"/>
      <c r="K997" s="449"/>
      <c r="L997" s="449"/>
      <c r="M997" s="449" t="str">
        <f>IF(L997="","",
IF(AX997="PT",VLOOKUP(L997,Foundation_Calc!$V$79:$X$113,VLOOKUP(AX997,Foundation_Calc!$I$10:$J$13,2,FALSE),0),
IF(AX997="K",VLOOKUP(L997,Foundation_Calc!$V$117:$X$151,VLOOKUP(AX997,Foundation_Calc!$I$10:$J$13,2,FALSE),0),"")))</f>
        <v/>
      </c>
      <c r="N997" s="449"/>
      <c r="O997" s="561"/>
      <c r="P997" s="449"/>
      <c r="Q997" s="4"/>
      <c r="R997" s="6"/>
      <c r="S997" s="6"/>
      <c r="T997" s="4"/>
      <c r="U997" s="4"/>
      <c r="V997" s="4"/>
      <c r="W997" s="9"/>
      <c r="X997" s="9"/>
      <c r="Y997" s="9"/>
      <c r="Z997" s="9"/>
      <c r="AA997" s="9"/>
      <c r="AB997" s="9"/>
      <c r="AC997" s="449" t="str">
        <f t="shared" si="132"/>
        <v/>
      </c>
      <c r="AD997" s="449"/>
      <c r="AE997" s="449"/>
      <c r="AF997" s="4"/>
      <c r="AG997" s="83"/>
      <c r="AH997" s="4"/>
      <c r="AI997" s="4"/>
      <c r="AJ997" s="449"/>
      <c r="AK997" s="449"/>
      <c r="AL997" s="449"/>
      <c r="AM997" s="449"/>
      <c r="AN997" s="10"/>
      <c r="AO997" s="9"/>
      <c r="AP997" s="9"/>
      <c r="AQ997" s="9">
        <f>+FL_1($T$998,$T$996,$G$997,1200,9.28, 1*$F$998)</f>
        <v>0.39714735709090898</v>
      </c>
      <c r="AR997" s="9"/>
      <c r="AS997" s="9"/>
      <c r="AT997" s="9"/>
      <c r="AU997" s="428"/>
      <c r="AV997" s="428"/>
      <c r="AW997" s="449" t="str">
        <f>IF(C997&gt;0,VLOOKUP(C997,Foundation_Calc!$A$2:$C$13,3,1),
IF(J997&gt;0,VLOOKUP(J997,Foundation_Calc!$A$2:$C$13,3,1),""))</f>
        <v/>
      </c>
      <c r="AX997" s="449" t="str">
        <f>IF(C997&gt;0,VLOOKUP(C997,Foundation_Calc!$E$35:$G$65,3,1),
IF(J997&gt;0,VLOOKUP(J997,Foundation_Calc!$E$35:$G$65,3,1),""))</f>
        <v/>
      </c>
      <c r="AY997" s="10" t="str">
        <f>IF(L997="","",
IF(AX997="PT",VLOOKUP(L997,Foundation_Calc!$K$79:$R$113,VLOOKUP(AW997,Foundation_Calc!$I$2:$J$8,2,FALSE),0),
IF(AX997="K",VLOOKUP(L997,Foundation_Calc!$K$117:$R$151,VLOOKUP(AW997,Foundation_Calc!$I$2:$J$8,2,FALSE),0),"")))</f>
        <v/>
      </c>
      <c r="AZ997" s="10" t="str">
        <f>IF(K997="","",
IF(AX997="PT",VLOOKUP(K997,Foundation_Calc!$K$79:$R$113,VLOOKUP(AW997,Foundation_Calc!$I$2:$J$8,2,FALSE),0),
IF(AX997="K",VLOOKUP(K997,Foundation_Calc!$K$117:$R$151,VLOOKUP(AW997,Foundation_Calc!$I$2:$J$8,2,FALSE),0),"")))</f>
        <v/>
      </c>
      <c r="BA997" s="495" t="str">
        <f t="shared" si="133"/>
        <v/>
      </c>
      <c r="BB997" s="495" t="str">
        <f t="shared" si="134"/>
        <v/>
      </c>
      <c r="BC997" s="495" t="str">
        <f t="shared" si="135"/>
        <v/>
      </c>
      <c r="BD997" s="513" t="str">
        <f>IF(AND(L997="",H997=""),"",
IF(H997="",Pole_Calc!A$9,
IF(H997="MP",Pole_Calc!A$10,
IF(H997="AnMP",Pole_Calc!A$11,
IF(H997="A",Pole_Calc!A$12,
IF(H997="S/A",Pole_Calc!A$13,
IF(H997="A/S",Pole_Calc!A$14,"Poner a mano")))))))</f>
        <v/>
      </c>
      <c r="BE997" s="429" t="s">
        <v>118</v>
      </c>
      <c r="BF997" s="290"/>
      <c r="BG997" s="290"/>
      <c r="BH997" s="290"/>
      <c r="BI997" s="290"/>
    </row>
    <row r="998" spans="1:61" ht="15.75" customHeight="1">
      <c r="A998" s="514"/>
      <c r="B998" s="450" t="s">
        <v>1458</v>
      </c>
      <c r="C998" s="3">
        <f>+$C$996+$G$997</f>
        <v>53986.330000000009</v>
      </c>
      <c r="D998" s="83"/>
      <c r="E998" s="4"/>
      <c r="F998" s="4">
        <v>0</v>
      </c>
      <c r="G998" s="6"/>
      <c r="H998" s="449"/>
      <c r="I998" s="4"/>
      <c r="J998" s="3"/>
      <c r="K998" s="449"/>
      <c r="L998" s="449" t="s">
        <v>153</v>
      </c>
      <c r="M998" s="449" t="str">
        <f>IF(L998="","",
IF(AX998="PT",VLOOKUP(L998,Foundation_Calc!$V$79:$X$113,VLOOKUP(AX998,Foundation_Calc!$I$10:$J$13,2,FALSE),0),
IF(AX998="K",VLOOKUP(L998,Foundation_Calc!$V$117:$X$151,VLOOKUP(AX998,Foundation_Calc!$I$10:$J$13,2,FALSE),0),"")))</f>
        <v>C3RT</v>
      </c>
      <c r="N998" s="449" t="s">
        <v>124</v>
      </c>
      <c r="O998" s="449"/>
      <c r="P998" s="449"/>
      <c r="Q998" s="4"/>
      <c r="R998" s="6"/>
      <c r="S998" s="6"/>
      <c r="T998" s="4">
        <v>-35</v>
      </c>
      <c r="U998" s="4"/>
      <c r="V998" s="4"/>
      <c r="W998" s="9">
        <v>1.4</v>
      </c>
      <c r="X998" s="9"/>
      <c r="Y998" s="9"/>
      <c r="Z998" s="9"/>
      <c r="AA998" s="9"/>
      <c r="AB998" s="9"/>
      <c r="AC998" s="449" t="str">
        <f t="shared" si="132"/>
        <v>PHQ</v>
      </c>
      <c r="AD998" s="449"/>
      <c r="AE998" s="449"/>
      <c r="AF998" s="4"/>
      <c r="AG998" s="83"/>
      <c r="AH998" s="4"/>
      <c r="AI998" s="4"/>
      <c r="AJ998" s="449"/>
      <c r="AK998" s="449"/>
      <c r="AL998" s="449"/>
      <c r="AM998" s="449" t="s">
        <v>552</v>
      </c>
      <c r="AN998" s="10">
        <v>5.5</v>
      </c>
      <c r="AO998" s="9"/>
      <c r="AP998" s="9"/>
      <c r="AQ998" s="9"/>
      <c r="AR998" s="9"/>
      <c r="AS998" s="9"/>
      <c r="AT998" s="9">
        <f>+ab($T$998,$T$996,$T$1000,$G$997,$G$999, 1*$F$998,1200)</f>
        <v>-7.8175501667728815</v>
      </c>
      <c r="AU998" s="428"/>
      <c r="AV998" s="428"/>
      <c r="AW998" s="449" t="str">
        <f>IF(C998&gt;0,VLOOKUP(C998,Foundation_Calc!$A$2:$C$13,3,1),
IF(J998&gt;0,VLOOKUP(J998,Foundation_Calc!$A$2:$C$13,3,1),""))</f>
        <v>Multi Soil</v>
      </c>
      <c r="AX998" s="449" t="str">
        <f>IF(C998&gt;0,VLOOKUP(C998,Foundation_Calc!$E$35:$G$65,3,1),
IF(J998&gt;0,VLOOKUP(J998,Foundation_Calc!$E$35:$G$65,3,1),""))</f>
        <v>K</v>
      </c>
      <c r="AY998" s="10">
        <f>IF(L998="","",
IF(AX998="PT",VLOOKUP(L998,Foundation_Calc!$K$79:$R$113,VLOOKUP(AW998,Foundation_Calc!$I$2:$J$8,2,FALSE),0),
IF(AX998="K",VLOOKUP(L998,Foundation_Calc!$K$117:$R$151,VLOOKUP(AW998,Foundation_Calc!$I$2:$J$8,2,FALSE),0),"")))</f>
        <v>4</v>
      </c>
      <c r="AZ998" s="10" t="str">
        <f>IF(K998="","",
IF(AX998="PT",VLOOKUP(K998,Foundation_Calc!$K$79:$R$113,VLOOKUP(AW998,Foundation_Calc!$I$2:$J$8,2,FALSE),0),
IF(AX998="K",VLOOKUP(K998,Foundation_Calc!$K$117:$R$151,VLOOKUP(AW998,Foundation_Calc!$I$2:$J$8,2,FALSE),0),"")))</f>
        <v/>
      </c>
      <c r="BA998" s="495" t="str">
        <f t="shared" si="133"/>
        <v>ü</v>
      </c>
      <c r="BB998" s="495" t="str">
        <f t="shared" si="134"/>
        <v/>
      </c>
      <c r="BC998" s="495" t="str">
        <f t="shared" si="135"/>
        <v/>
      </c>
      <c r="BD998" s="513" t="str">
        <f>IF(AND(L998="",H998=""),"",
IF(H998="",Pole_Calc!A$9,
IF(H998="MP",Pole_Calc!A$10,
IF(H998="AnMP",Pole_Calc!A$11,
IF(H998="A",Pole_Calc!A$12,
IF(H998="S/A",Pole_Calc!A$13,
IF(H998="A/S",Pole_Calc!A$14,"Poner a mano")))))))</f>
        <v>App.7-V11I-P9.5.1.1</v>
      </c>
      <c r="BE998" s="429" t="s">
        <v>118</v>
      </c>
      <c r="BF998" s="289"/>
      <c r="BG998" s="289"/>
      <c r="BH998" s="290"/>
      <c r="BI998" s="289"/>
    </row>
    <row r="999" spans="1:61" ht="15.75" customHeight="1">
      <c r="A999" s="518"/>
      <c r="B999" s="450"/>
      <c r="C999" s="3"/>
      <c r="D999" s="83"/>
      <c r="E999" s="4"/>
      <c r="F999" s="4"/>
      <c r="G999" s="6">
        <v>60</v>
      </c>
      <c r="H999" s="449"/>
      <c r="I999" s="4"/>
      <c r="J999" s="3"/>
      <c r="K999" s="449"/>
      <c r="L999" s="449"/>
      <c r="M999" s="449" t="str">
        <f>IF(L999="","",
IF(AX999="PT",VLOOKUP(L999,Foundation_Calc!$V$79:$X$113,VLOOKUP(AX999,Foundation_Calc!$I$10:$J$13,2,FALSE),0),
IF(AX999="K",VLOOKUP(L999,Foundation_Calc!$V$117:$X$151,VLOOKUP(AX999,Foundation_Calc!$I$10:$J$13,2,FALSE),0),"")))</f>
        <v/>
      </c>
      <c r="N999" s="449"/>
      <c r="O999" s="449"/>
      <c r="P999" s="449"/>
      <c r="Q999" s="4"/>
      <c r="R999" s="6"/>
      <c r="S999" s="6"/>
      <c r="T999" s="4"/>
      <c r="U999" s="4"/>
      <c r="V999" s="4"/>
      <c r="W999" s="9"/>
      <c r="X999" s="9"/>
      <c r="Y999" s="9"/>
      <c r="Z999" s="9"/>
      <c r="AA999" s="9"/>
      <c r="AB999" s="9"/>
      <c r="AC999" s="449" t="str">
        <f t="shared" si="132"/>
        <v/>
      </c>
      <c r="AD999" s="449"/>
      <c r="AE999" s="449"/>
      <c r="AF999" s="4"/>
      <c r="AG999" s="83"/>
      <c r="AH999" s="4"/>
      <c r="AI999" s="4"/>
      <c r="AJ999" s="449"/>
      <c r="AK999" s="449"/>
      <c r="AL999" s="449"/>
      <c r="AM999" s="449"/>
      <c r="AN999" s="10"/>
      <c r="AO999" s="9"/>
      <c r="AP999" s="9"/>
      <c r="AQ999" s="9">
        <f>+FL_1($T$1000,$T$998,$G$999,1200,9.28, 1*$F$1000)</f>
        <v>0.43600286799999999</v>
      </c>
      <c r="AR999" s="9"/>
      <c r="AS999" s="9"/>
      <c r="AT999" s="9"/>
      <c r="AU999" s="428"/>
      <c r="AV999" s="428"/>
      <c r="AW999" s="449" t="str">
        <f>IF(C999&gt;0,VLOOKUP(C999,Foundation_Calc!$A$2:$C$13,3,1),
IF(J999&gt;0,VLOOKUP(J999,Foundation_Calc!$A$2:$C$13,3,1),""))</f>
        <v/>
      </c>
      <c r="AX999" s="449" t="str">
        <f>IF(C999&gt;0,VLOOKUP(C999,Foundation_Calc!$E$35:$G$65,3,1),
IF(J999&gt;0,VLOOKUP(J999,Foundation_Calc!$E$35:$G$65,3,1),""))</f>
        <v/>
      </c>
      <c r="AY999" s="10" t="str">
        <f>IF(L999="","",
IF(AX999="PT",VLOOKUP(L999,Foundation_Calc!$K$79:$R$113,VLOOKUP(AW999,Foundation_Calc!$I$2:$J$8,2,FALSE),0),
IF(AX999="K",VLOOKUP(L999,Foundation_Calc!$K$117:$R$151,VLOOKUP(AW999,Foundation_Calc!$I$2:$J$8,2,FALSE),0),"")))</f>
        <v/>
      </c>
      <c r="AZ999" s="10" t="str">
        <f>IF(K999="","",
IF(AX999="PT",VLOOKUP(K999,Foundation_Calc!$K$79:$R$113,VLOOKUP(AW999,Foundation_Calc!$I$2:$J$8,2,FALSE),0),
IF(AX999="K",VLOOKUP(K999,Foundation_Calc!$K$117:$R$151,VLOOKUP(AW999,Foundation_Calc!$I$2:$J$8,2,FALSE),0),"")))</f>
        <v/>
      </c>
      <c r="BA999" s="495" t="str">
        <f t="shared" si="133"/>
        <v/>
      </c>
      <c r="BB999" s="495" t="str">
        <f t="shared" si="134"/>
        <v/>
      </c>
      <c r="BC999" s="495" t="str">
        <f t="shared" si="135"/>
        <v/>
      </c>
      <c r="BD999" s="513" t="str">
        <f>IF(AND(L999="",H999=""),"",
IF(H999="",Pole_Calc!A$9,
IF(H999="MP",Pole_Calc!A$10,
IF(H999="AnMP",Pole_Calc!A$11,
IF(H999="A",Pole_Calc!A$12,
IF(H999="S/A",Pole_Calc!A$13,
IF(H999="A/S",Pole_Calc!A$14,"Poner a mano")))))))</f>
        <v/>
      </c>
      <c r="BE999" s="429" t="s">
        <v>118</v>
      </c>
      <c r="BF999" s="290"/>
      <c r="BG999" s="290"/>
      <c r="BH999" s="290"/>
      <c r="BI999" s="290"/>
    </row>
    <row r="1000" spans="1:61" ht="15.75" customHeight="1">
      <c r="A1000" s="514"/>
      <c r="B1000" s="450" t="s">
        <v>1459</v>
      </c>
      <c r="C1000" s="3">
        <f>+$C$998+$G$999</f>
        <v>54046.330000000009</v>
      </c>
      <c r="D1000" s="83"/>
      <c r="E1000" s="4"/>
      <c r="F1000" s="4">
        <v>0</v>
      </c>
      <c r="G1000" s="6"/>
      <c r="H1000" s="449"/>
      <c r="I1000" s="4"/>
      <c r="J1000" s="3"/>
      <c r="K1000" s="449"/>
      <c r="L1000" s="449" t="s">
        <v>153</v>
      </c>
      <c r="M1000" s="449" t="str">
        <f>IF(L1000="","",
IF(AX1000="PT",VLOOKUP(L1000,Foundation_Calc!$V$79:$X$113,VLOOKUP(AX1000,Foundation_Calc!$I$10:$J$13,2,FALSE),0),
IF(AX1000="K",VLOOKUP(L1000,Foundation_Calc!$V$117:$X$151,VLOOKUP(AX1000,Foundation_Calc!$I$10:$J$13,2,FALSE),0),"")))</f>
        <v>C3RT</v>
      </c>
      <c r="N1000" s="449" t="s">
        <v>134</v>
      </c>
      <c r="O1000" s="449"/>
      <c r="P1000" s="449"/>
      <c r="Q1000" s="4"/>
      <c r="R1000" s="6"/>
      <c r="S1000" s="6"/>
      <c r="T1000" s="4">
        <v>35</v>
      </c>
      <c r="U1000" s="4"/>
      <c r="V1000" s="4"/>
      <c r="W1000" s="9">
        <v>1.4</v>
      </c>
      <c r="X1000" s="9"/>
      <c r="Y1000" s="9"/>
      <c r="Z1000" s="9"/>
      <c r="AA1000" s="9"/>
      <c r="AB1000" s="9"/>
      <c r="AC1000" s="449" t="str">
        <f t="shared" si="132"/>
        <v>PH</v>
      </c>
      <c r="AD1000" s="449"/>
      <c r="AE1000" s="449"/>
      <c r="AF1000" s="4"/>
      <c r="AG1000" s="83"/>
      <c r="AH1000" s="4"/>
      <c r="AI1000" s="4"/>
      <c r="AJ1000" s="449"/>
      <c r="AK1000" s="449"/>
      <c r="AL1000" s="449"/>
      <c r="AM1000" s="449" t="s">
        <v>552</v>
      </c>
      <c r="AN1000" s="10">
        <v>5.5</v>
      </c>
      <c r="AO1000" s="9"/>
      <c r="AP1000" s="9"/>
      <c r="AQ1000" s="9"/>
      <c r="AR1000" s="9"/>
      <c r="AS1000" s="9"/>
      <c r="AT1000" s="9">
        <f>+ab($T$1000,$T$998,$T$1002,$G$999,$G$1001, 1*$F$1000,1200)</f>
        <v>8.1681606014296726</v>
      </c>
      <c r="AU1000" s="428"/>
      <c r="AV1000" s="428"/>
      <c r="AW1000" s="449" t="str">
        <f>IF(C1000&gt;0,VLOOKUP(C1000,Foundation_Calc!$A$2:$C$13,3,1),
IF(J1000&gt;0,VLOOKUP(J1000,Foundation_Calc!$A$2:$C$13,3,1),""))</f>
        <v>Multi Soil</v>
      </c>
      <c r="AX1000" s="449" t="str">
        <f>IF(C1000&gt;0,VLOOKUP(C1000,Foundation_Calc!$E$35:$G$65,3,1),
IF(J1000&gt;0,VLOOKUP(J1000,Foundation_Calc!$E$35:$G$65,3,1),""))</f>
        <v>K</v>
      </c>
      <c r="AY1000" s="10">
        <f>IF(L1000="","",
IF(AX1000="PT",VLOOKUP(L1000,Foundation_Calc!$K$79:$R$113,VLOOKUP(AW1000,Foundation_Calc!$I$2:$J$8,2,FALSE),0),
IF(AX1000="K",VLOOKUP(L1000,Foundation_Calc!$K$117:$R$151,VLOOKUP(AW1000,Foundation_Calc!$I$2:$J$8,2,FALSE),0),"")))</f>
        <v>4</v>
      </c>
      <c r="AZ1000" s="10" t="str">
        <f>IF(K1000="","",
IF(AX1000="PT",VLOOKUP(K1000,Foundation_Calc!$K$79:$R$113,VLOOKUP(AW1000,Foundation_Calc!$I$2:$J$8,2,FALSE),0),
IF(AX1000="K",VLOOKUP(K1000,Foundation_Calc!$K$117:$R$151,VLOOKUP(AW1000,Foundation_Calc!$I$2:$J$8,2,FALSE),0),"")))</f>
        <v/>
      </c>
      <c r="BA1000" s="495" t="str">
        <f t="shared" si="133"/>
        <v>ü</v>
      </c>
      <c r="BB1000" s="495" t="str">
        <f t="shared" si="134"/>
        <v/>
      </c>
      <c r="BC1000" s="495" t="str">
        <f t="shared" si="135"/>
        <v/>
      </c>
      <c r="BD1000" s="513" t="str">
        <f>IF(AND(L1000="",H1000=""),"",
IF(H1000="",Pole_Calc!A$9,
IF(H1000="MP",Pole_Calc!A$10,
IF(H1000="AnMP",Pole_Calc!A$11,
IF(H1000="A",Pole_Calc!A$12,
IF(H1000="S/A",Pole_Calc!A$13,
IF(H1000="A/S",Pole_Calc!A$14,"Poner a mano")))))))</f>
        <v>App.7-V11I-P9.5.1.1</v>
      </c>
      <c r="BE1000" s="429" t="s">
        <v>118</v>
      </c>
      <c r="BF1000" s="289"/>
      <c r="BG1000" s="289"/>
      <c r="BH1000" s="290"/>
      <c r="BI1000" s="289"/>
    </row>
    <row r="1001" spans="1:61" ht="15.75" customHeight="1">
      <c r="A1001" s="514"/>
      <c r="B1001" s="450"/>
      <c r="C1001" s="3"/>
      <c r="D1001" s="83"/>
      <c r="E1001" s="4"/>
      <c r="F1001" s="4"/>
      <c r="G1001" s="6">
        <v>60</v>
      </c>
      <c r="H1001" s="449"/>
      <c r="I1001" s="4"/>
      <c r="J1001" s="3"/>
      <c r="K1001" s="449"/>
      <c r="L1001" s="449"/>
      <c r="M1001" s="449" t="str">
        <f>IF(L1001="","",
IF(AX1001="PT",VLOOKUP(L1001,Foundation_Calc!$V$79:$X$113,VLOOKUP(AX1001,Foundation_Calc!$I$10:$J$13,2,FALSE),0),
IF(AX1001="K",VLOOKUP(L1001,Foundation_Calc!$V$117:$X$151,VLOOKUP(AX1001,Foundation_Calc!$I$10:$J$13,2,FALSE),0),"")))</f>
        <v/>
      </c>
      <c r="N1001" s="449"/>
      <c r="O1001" s="449"/>
      <c r="P1001" s="449"/>
      <c r="Q1001" s="4"/>
      <c r="R1001" s="6"/>
      <c r="S1001" s="6"/>
      <c r="T1001" s="4"/>
      <c r="U1001" s="4"/>
      <c r="V1001" s="4"/>
      <c r="W1001" s="9"/>
      <c r="X1001" s="9"/>
      <c r="Y1001" s="9"/>
      <c r="Z1001" s="9"/>
      <c r="AA1001" s="9"/>
      <c r="AB1001" s="9"/>
      <c r="AC1001" s="449" t="str">
        <f t="shared" si="132"/>
        <v/>
      </c>
      <c r="AD1001" s="449"/>
      <c r="AE1001" s="449"/>
      <c r="AF1001" s="4"/>
      <c r="AG1001" s="83"/>
      <c r="AH1001" s="4"/>
      <c r="AI1001" s="4"/>
      <c r="AJ1001" s="449"/>
      <c r="AK1001" s="449"/>
      <c r="AL1001" s="449"/>
      <c r="AM1001" s="449"/>
      <c r="AN1001" s="10"/>
      <c r="AO1001" s="9"/>
      <c r="AP1001" s="9"/>
      <c r="AQ1001" s="9">
        <f>+FL_2($T$1002,$T$1000,$G$1001,1200,9.28, 1*$F$1002)</f>
        <v>-0.43600286799999999</v>
      </c>
      <c r="AR1001" s="9"/>
      <c r="AS1001" s="9"/>
      <c r="AT1001" s="9"/>
      <c r="AU1001" s="428"/>
      <c r="AV1001" s="428"/>
      <c r="AW1001" s="449" t="str">
        <f>IF(C1001&gt;0,VLOOKUP(C1001,Foundation_Calc!$A$2:$C$13,3,1),
IF(J1001&gt;0,VLOOKUP(J1001,Foundation_Calc!$A$2:$C$13,3,1),""))</f>
        <v/>
      </c>
      <c r="AX1001" s="449" t="str">
        <f>IF(C1001&gt;0,VLOOKUP(C1001,Foundation_Calc!$E$35:$G$65,3,1),
IF(J1001&gt;0,VLOOKUP(J1001,Foundation_Calc!$E$35:$G$65,3,1),""))</f>
        <v/>
      </c>
      <c r="AY1001" s="10" t="str">
        <f>IF(L1001="","",
IF(AX1001="PT",VLOOKUP(L1001,Foundation_Calc!$K$79:$R$113,VLOOKUP(AW1001,Foundation_Calc!$I$2:$J$8,2,FALSE),0),
IF(AX1001="K",VLOOKUP(L1001,Foundation_Calc!$K$117:$R$151,VLOOKUP(AW1001,Foundation_Calc!$I$2:$J$8,2,FALSE),0),"")))</f>
        <v/>
      </c>
      <c r="AZ1001" s="10" t="str">
        <f>IF(K1001="","",
IF(AX1001="PT",VLOOKUP(K1001,Foundation_Calc!$K$79:$R$113,VLOOKUP(AW1001,Foundation_Calc!$I$2:$J$8,2,FALSE),0),
IF(AX1001="K",VLOOKUP(K1001,Foundation_Calc!$K$117:$R$151,VLOOKUP(AW1001,Foundation_Calc!$I$2:$J$8,2,FALSE),0),"")))</f>
        <v/>
      </c>
      <c r="BA1001" s="495" t="str">
        <f t="shared" si="133"/>
        <v/>
      </c>
      <c r="BB1001" s="495" t="str">
        <f t="shared" si="134"/>
        <v/>
      </c>
      <c r="BC1001" s="495" t="str">
        <f t="shared" si="135"/>
        <v/>
      </c>
      <c r="BD1001" s="513" t="str">
        <f>IF(AND(L1001="",H1001=""),"",
IF(H1001="",Pole_Calc!A$9,
IF(H1001="MP",Pole_Calc!A$10,
IF(H1001="AnMP",Pole_Calc!A$11,
IF(H1001="A",Pole_Calc!A$12,
IF(H1001="S/A",Pole_Calc!A$13,
IF(H1001="A/S",Pole_Calc!A$14,"Poner a mano")))))))</f>
        <v/>
      </c>
      <c r="BE1001" s="429" t="s">
        <v>118</v>
      </c>
      <c r="BF1001" s="290"/>
      <c r="BG1001" s="290"/>
      <c r="BH1001" s="290"/>
      <c r="BI1001" s="290"/>
    </row>
    <row r="1002" spans="1:61" ht="15.75" customHeight="1">
      <c r="A1002" s="514"/>
      <c r="B1002" s="450" t="s">
        <v>1460</v>
      </c>
      <c r="C1002" s="3">
        <f>+$C$1000+$G$1001</f>
        <v>54106.330000000009</v>
      </c>
      <c r="D1002" s="83"/>
      <c r="E1002" s="4"/>
      <c r="F1002" s="4">
        <v>0</v>
      </c>
      <c r="G1002" s="6"/>
      <c r="H1002" s="449"/>
      <c r="I1002" s="4"/>
      <c r="J1002" s="3"/>
      <c r="K1002" s="449"/>
      <c r="L1002" s="449" t="s">
        <v>153</v>
      </c>
      <c r="M1002" s="449" t="str">
        <f>IF(L1002="","",
IF(AX1002="PT",VLOOKUP(L1002,Foundation_Calc!$V$79:$X$113,VLOOKUP(AX1002,Foundation_Calc!$I$10:$J$13,2,FALSE),0),
IF(AX1002="K",VLOOKUP(L1002,Foundation_Calc!$V$117:$X$151,VLOOKUP(AX1002,Foundation_Calc!$I$10:$J$13,2,FALSE),0),"")))</f>
        <v>C3RT</v>
      </c>
      <c r="N1002" s="449" t="s">
        <v>124</v>
      </c>
      <c r="O1002" s="449"/>
      <c r="P1002" s="449"/>
      <c r="Q1002" s="4"/>
      <c r="R1002" s="6"/>
      <c r="S1002" s="6"/>
      <c r="T1002" s="4">
        <v>-35</v>
      </c>
      <c r="U1002" s="4"/>
      <c r="V1002" s="4"/>
      <c r="W1002" s="9">
        <v>1.4</v>
      </c>
      <c r="X1002" s="9"/>
      <c r="Y1002" s="9"/>
      <c r="Z1002" s="9"/>
      <c r="AA1002" s="9"/>
      <c r="AB1002" s="9"/>
      <c r="AC1002" s="449" t="str">
        <f t="shared" si="132"/>
        <v>PH</v>
      </c>
      <c r="AD1002" s="449"/>
      <c r="AE1002" s="449"/>
      <c r="AF1002" s="4"/>
      <c r="AG1002" s="83"/>
      <c r="AH1002" s="4"/>
      <c r="AI1002" s="4"/>
      <c r="AJ1002" s="449"/>
      <c r="AK1002" s="449"/>
      <c r="AL1002" s="449"/>
      <c r="AM1002" s="449" t="s">
        <v>552</v>
      </c>
      <c r="AN1002" s="10">
        <v>5.5</v>
      </c>
      <c r="AO1002" s="9"/>
      <c r="AP1002" s="9"/>
      <c r="AQ1002" s="9"/>
      <c r="AR1002" s="9"/>
      <c r="AS1002" s="9"/>
      <c r="AT1002" s="9">
        <f>+ab($T$1002,$T$1000,$T$1004,$G$1001,$G$1003, 1*$F$1002,1200)</f>
        <v>-8.1162073500296401</v>
      </c>
      <c r="AU1002" s="428"/>
      <c r="AV1002" s="428"/>
      <c r="AW1002" s="449" t="str">
        <f>IF(C1002&gt;0,VLOOKUP(C1002,Foundation_Calc!$A$2:$C$13,3,1),
IF(J1002&gt;0,VLOOKUP(J1002,Foundation_Calc!$A$2:$C$13,3,1),""))</f>
        <v>Multi Soil</v>
      </c>
      <c r="AX1002" s="449" t="str">
        <f>IF(C1002&gt;0,VLOOKUP(C1002,Foundation_Calc!$E$35:$G$65,3,1),
IF(J1002&gt;0,VLOOKUP(J1002,Foundation_Calc!$E$35:$G$65,3,1),""))</f>
        <v>K</v>
      </c>
      <c r="AY1002" s="10">
        <f>IF(L1002="","",
IF(AX1002="PT",VLOOKUP(L1002,Foundation_Calc!$K$79:$R$113,VLOOKUP(AW1002,Foundation_Calc!$I$2:$J$8,2,FALSE),0),
IF(AX1002="K",VLOOKUP(L1002,Foundation_Calc!$K$117:$R$151,VLOOKUP(AW1002,Foundation_Calc!$I$2:$J$8,2,FALSE),0),"")))</f>
        <v>4</v>
      </c>
      <c r="AZ1002" s="10" t="str">
        <f>IF(K1002="","",
IF(AX1002="PT",VLOOKUP(K1002,Foundation_Calc!$K$79:$R$113,VLOOKUP(AW1002,Foundation_Calc!$I$2:$J$8,2,FALSE),0),
IF(AX1002="K",VLOOKUP(K1002,Foundation_Calc!$K$117:$R$151,VLOOKUP(AW1002,Foundation_Calc!$I$2:$J$8,2,FALSE),0),"")))</f>
        <v/>
      </c>
      <c r="BA1002" s="495" t="str">
        <f t="shared" si="133"/>
        <v>ü</v>
      </c>
      <c r="BB1002" s="495" t="str">
        <f t="shared" si="134"/>
        <v/>
      </c>
      <c r="BC1002" s="495" t="str">
        <f t="shared" si="135"/>
        <v/>
      </c>
      <c r="BD1002" s="513" t="str">
        <f>IF(AND(L1002="",H1002=""),"",
IF(H1002="",Pole_Calc!A$9,
IF(H1002="MP",Pole_Calc!A$10,
IF(H1002="AnMP",Pole_Calc!A$11,
IF(H1002="A",Pole_Calc!A$12,
IF(H1002="S/A",Pole_Calc!A$13,
IF(H1002="A/S",Pole_Calc!A$14,"Poner a mano")))))))</f>
        <v>App.7-V11I-P9.5.1.1</v>
      </c>
      <c r="BE1002" s="429" t="s">
        <v>118</v>
      </c>
      <c r="BF1002" s="289"/>
      <c r="BG1002" s="289"/>
      <c r="BH1002" s="290"/>
      <c r="BI1002" s="289"/>
    </row>
    <row r="1003" spans="1:61" ht="15.75" customHeight="1">
      <c r="A1003" s="514" t="s">
        <v>169</v>
      </c>
      <c r="B1003" s="450"/>
      <c r="C1003" s="3"/>
      <c r="D1003" s="83"/>
      <c r="E1003" s="4"/>
      <c r="F1003" s="4"/>
      <c r="G1003" s="6">
        <v>55</v>
      </c>
      <c r="H1003" s="449"/>
      <c r="I1003" s="4"/>
      <c r="J1003" s="3"/>
      <c r="K1003" s="449"/>
      <c r="L1003" s="449"/>
      <c r="M1003" s="449" t="str">
        <f>IF(L1003="","",
IF(AX1003="PT",VLOOKUP(L1003,Foundation_Calc!$V$79:$X$113,VLOOKUP(AX1003,Foundation_Calc!$I$10:$J$13,2,FALSE),0),
IF(AX1003="K",VLOOKUP(L1003,Foundation_Calc!$V$117:$X$151,VLOOKUP(AX1003,Foundation_Calc!$I$10:$J$13,2,FALSE),0),"")))</f>
        <v/>
      </c>
      <c r="N1003" s="449"/>
      <c r="O1003" s="561"/>
      <c r="P1003" s="449"/>
      <c r="Q1003" s="4"/>
      <c r="R1003" s="6"/>
      <c r="S1003" s="6"/>
      <c r="T1003" s="4"/>
      <c r="U1003" s="4"/>
      <c r="V1003" s="4"/>
      <c r="W1003" s="9"/>
      <c r="X1003" s="9"/>
      <c r="Y1003" s="9"/>
      <c r="Z1003" s="9"/>
      <c r="AA1003" s="9"/>
      <c r="AB1003" s="9"/>
      <c r="AC1003" s="449" t="str">
        <f t="shared" si="132"/>
        <v/>
      </c>
      <c r="AD1003" s="449"/>
      <c r="AE1003" s="449"/>
      <c r="AF1003" s="4"/>
      <c r="AG1003" s="83"/>
      <c r="AH1003" s="4"/>
      <c r="AI1003" s="4"/>
      <c r="AJ1003" s="449"/>
      <c r="AK1003" s="449"/>
      <c r="AL1003" s="449"/>
      <c r="AM1003" s="449"/>
      <c r="AN1003" s="10"/>
      <c r="AO1003" s="9"/>
      <c r="AP1003" s="9"/>
      <c r="AQ1003" s="9">
        <f>+FL_2($T$1004,$T$1002,$G$1003,1200,9.28, 1*$F$1004)</f>
        <v>-0.3905320556596894</v>
      </c>
      <c r="AR1003" s="9"/>
      <c r="AS1003" s="9"/>
      <c r="AT1003" s="9"/>
      <c r="AU1003" s="428"/>
      <c r="AV1003" s="428"/>
      <c r="AW1003" s="449" t="str">
        <f>IF(C1003&gt;0,VLOOKUP(C1003,Foundation_Calc!$A$2:$C$13,3,1),
IF(J1003&gt;0,VLOOKUP(J1003,Foundation_Calc!$A$2:$C$13,3,1),""))</f>
        <v/>
      </c>
      <c r="AX1003" s="449" t="str">
        <f>IF(C1003&gt;0,VLOOKUP(C1003,Foundation_Calc!$E$35:$G$65,3,1),
IF(J1003&gt;0,VLOOKUP(J1003,Foundation_Calc!$E$35:$G$65,3,1),""))</f>
        <v/>
      </c>
      <c r="AY1003" s="10" t="str">
        <f>IF(L1003="","",
IF(AX1003="PT",VLOOKUP(L1003,Foundation_Calc!$K$79:$R$113,VLOOKUP(AW1003,Foundation_Calc!$I$2:$J$8,2,FALSE),0),
IF(AX1003="K",VLOOKUP(L1003,Foundation_Calc!$K$117:$R$151,VLOOKUP(AW1003,Foundation_Calc!$I$2:$J$8,2,FALSE),0),"")))</f>
        <v/>
      </c>
      <c r="AZ1003" s="10" t="str">
        <f>IF(K1003="","",
IF(AX1003="PT",VLOOKUP(K1003,Foundation_Calc!$K$79:$R$113,VLOOKUP(AW1003,Foundation_Calc!$I$2:$J$8,2,FALSE),0),
IF(AX1003="K",VLOOKUP(K1003,Foundation_Calc!$K$117:$R$151,VLOOKUP(AW1003,Foundation_Calc!$I$2:$J$8,2,FALSE),0),"")))</f>
        <v/>
      </c>
      <c r="BA1003" s="495" t="str">
        <f t="shared" si="133"/>
        <v/>
      </c>
      <c r="BB1003" s="495" t="str">
        <f t="shared" si="134"/>
        <v/>
      </c>
      <c r="BC1003" s="495" t="str">
        <f t="shared" si="135"/>
        <v/>
      </c>
      <c r="BD1003" s="513" t="str">
        <f>IF(AND(L1003="",H1003=""),"",
IF(H1003="",Pole_Calc!A$9,
IF(H1003="MP",Pole_Calc!A$10,
IF(H1003="AnMP",Pole_Calc!A$11,
IF(H1003="A",Pole_Calc!A$12,
IF(H1003="S/A",Pole_Calc!A$13,
IF(H1003="A/S",Pole_Calc!A$14,"Poner a mano")))))))</f>
        <v/>
      </c>
      <c r="BE1003" s="429" t="s">
        <v>118</v>
      </c>
      <c r="BF1003" s="290"/>
      <c r="BG1003" s="290"/>
      <c r="BH1003" s="290"/>
      <c r="BI1003" s="290"/>
    </row>
    <row r="1004" spans="1:61" ht="15.75" customHeight="1">
      <c r="A1004" s="514"/>
      <c r="B1004" s="450" t="s">
        <v>1461</v>
      </c>
      <c r="C1004" s="3">
        <f>+$C$1002+$G$1003</f>
        <v>54161.330000000009</v>
      </c>
      <c r="D1004" s="83"/>
      <c r="E1004" s="4"/>
      <c r="F1004" s="4">
        <v>-14542.417484385353</v>
      </c>
      <c r="G1004" s="6"/>
      <c r="H1004" s="449"/>
      <c r="I1004" s="4"/>
      <c r="J1004" s="3"/>
      <c r="K1004" s="449"/>
      <c r="L1004" s="449" t="s">
        <v>153</v>
      </c>
      <c r="M1004" s="449" t="str">
        <f>IF(L1004="","",
IF(AX1004="PT",VLOOKUP(L1004,Foundation_Calc!$V$79:$X$113,VLOOKUP(AX1004,Foundation_Calc!$I$10:$J$13,2,FALSE),0),
IF(AX1004="K",VLOOKUP(L1004,Foundation_Calc!$V$117:$X$151,VLOOKUP(AX1004,Foundation_Calc!$I$10:$J$13,2,FALSE),0),"")))</f>
        <v>C3RT</v>
      </c>
      <c r="N1004" s="449" t="s">
        <v>134</v>
      </c>
      <c r="O1004" s="449"/>
      <c r="P1004" s="449"/>
      <c r="Q1004" s="4"/>
      <c r="R1004" s="6"/>
      <c r="S1004" s="6"/>
      <c r="T1004" s="4">
        <v>30</v>
      </c>
      <c r="U1004" s="4"/>
      <c r="V1004" s="4"/>
      <c r="W1004" s="9">
        <v>1.4</v>
      </c>
      <c r="X1004" s="9"/>
      <c r="Y1004" s="9"/>
      <c r="Z1004" s="9"/>
      <c r="AA1004" s="9"/>
      <c r="AB1004" s="9"/>
      <c r="AC1004" s="449" t="str">
        <f t="shared" si="132"/>
        <v>PH</v>
      </c>
      <c r="AD1004" s="449"/>
      <c r="AE1004" s="449"/>
      <c r="AF1004" s="4"/>
      <c r="AG1004" s="83"/>
      <c r="AH1004" s="4"/>
      <c r="AI1004" s="4"/>
      <c r="AJ1004" s="449"/>
      <c r="AK1004" s="449"/>
      <c r="AL1004" s="449"/>
      <c r="AM1004" s="449" t="s">
        <v>552</v>
      </c>
      <c r="AN1004" s="10">
        <v>5.5</v>
      </c>
      <c r="AO1004" s="9"/>
      <c r="AP1004" s="9"/>
      <c r="AQ1004" s="9"/>
      <c r="AR1004" s="9"/>
      <c r="AS1004" s="9"/>
      <c r="AT1004" s="9">
        <f>+ab($T$1004,$T$1002,$T$1006,$G$1003,$G$1005, 1*$F$1004,1200)</f>
        <v>10.422390136072044</v>
      </c>
      <c r="AU1004" s="428"/>
      <c r="AV1004" s="428"/>
      <c r="AW1004" s="449" t="str">
        <f>IF(C1004&gt;0,VLOOKUP(C1004,Foundation_Calc!$A$2:$C$13,3,1),
IF(J1004&gt;0,VLOOKUP(J1004,Foundation_Calc!$A$2:$C$13,3,1),""))</f>
        <v>Multi Soil</v>
      </c>
      <c r="AX1004" s="449" t="str">
        <f>IF(C1004&gt;0,VLOOKUP(C1004,Foundation_Calc!$E$35:$G$65,3,1),
IF(J1004&gt;0,VLOOKUP(J1004,Foundation_Calc!$E$35:$G$65,3,1),""))</f>
        <v>K</v>
      </c>
      <c r="AY1004" s="10">
        <f>IF(L1004="","",
IF(AX1004="PT",VLOOKUP(L1004,Foundation_Calc!$K$79:$R$113,VLOOKUP(AW1004,Foundation_Calc!$I$2:$J$8,2,FALSE),0),
IF(AX1004="K",VLOOKUP(L1004,Foundation_Calc!$K$117:$R$151,VLOOKUP(AW1004,Foundation_Calc!$I$2:$J$8,2,FALSE),0),"")))</f>
        <v>4</v>
      </c>
      <c r="AZ1004" s="10" t="str">
        <f>IF(K1004="","",
IF(AX1004="PT",VLOOKUP(K1004,Foundation_Calc!$K$79:$R$113,VLOOKUP(AW1004,Foundation_Calc!$I$2:$J$8,2,FALSE),0),
IF(AX1004="K",VLOOKUP(K1004,Foundation_Calc!$K$117:$R$151,VLOOKUP(AW1004,Foundation_Calc!$I$2:$J$8,2,FALSE),0),"")))</f>
        <v/>
      </c>
      <c r="BA1004" s="495" t="str">
        <f t="shared" si="133"/>
        <v>ü</v>
      </c>
      <c r="BB1004" s="495" t="str">
        <f t="shared" si="134"/>
        <v/>
      </c>
      <c r="BC1004" s="495" t="str">
        <f t="shared" si="135"/>
        <v/>
      </c>
      <c r="BD1004" s="513" t="str">
        <f>IF(AND(L1004="",H1004=""),"",
IF(H1004="",Pole_Calc!A$9,
IF(H1004="MP",Pole_Calc!A$10,
IF(H1004="AnMP",Pole_Calc!A$11,
IF(H1004="A",Pole_Calc!A$12,
IF(H1004="S/A",Pole_Calc!A$13,
IF(H1004="A/S",Pole_Calc!A$14,"Poner a mano")))))))</f>
        <v>App.7-V11I-P9.5.1.1</v>
      </c>
      <c r="BE1004" s="429" t="s">
        <v>118</v>
      </c>
      <c r="BF1004" s="289"/>
      <c r="BG1004" s="289"/>
      <c r="BH1004" s="290"/>
      <c r="BI1004" s="289"/>
    </row>
    <row r="1005" spans="1:61" ht="15.75" customHeight="1">
      <c r="A1005" s="518"/>
      <c r="B1005" s="450"/>
      <c r="C1005" s="3"/>
      <c r="D1005" s="83"/>
      <c r="E1005" s="4"/>
      <c r="F1005" s="4"/>
      <c r="G1005" s="6">
        <v>50</v>
      </c>
      <c r="H1005" s="449"/>
      <c r="I1005" s="4"/>
      <c r="J1005" s="3">
        <f>C1006-7.5</f>
        <v>54203.830000000009</v>
      </c>
      <c r="K1005" s="449" t="s">
        <v>315</v>
      </c>
      <c r="L1005" s="449"/>
      <c r="M1005" s="449" t="str">
        <f>IF(L1005="","",
IF(AX1005="PT",VLOOKUP(L1005,Foundation_Calc!$V$79:$X$113,VLOOKUP(AX1005,Foundation_Calc!$I$10:$J$13,2,FALSE),0),
IF(AX1005="K",VLOOKUP(L1005,Foundation_Calc!$V$117:$X$151,VLOOKUP(AX1005,Foundation_Calc!$I$10:$J$13,2,FALSE),0),"")))</f>
        <v/>
      </c>
      <c r="N1005" s="449"/>
      <c r="O1005" s="449"/>
      <c r="P1005" s="449"/>
      <c r="Q1005" s="4"/>
      <c r="R1005" s="6"/>
      <c r="S1005" s="6"/>
      <c r="T1005" s="4"/>
      <c r="U1005" s="4"/>
      <c r="V1005" s="4"/>
      <c r="W1005" s="9"/>
      <c r="X1005" s="9"/>
      <c r="Y1005" s="9"/>
      <c r="Z1005" s="9"/>
      <c r="AA1005" s="9"/>
      <c r="AB1005" s="9"/>
      <c r="AC1005" s="449" t="str">
        <f t="shared" si="132"/>
        <v/>
      </c>
      <c r="AD1005" s="449"/>
      <c r="AE1005" s="449"/>
      <c r="AF1005" s="4"/>
      <c r="AG1005" s="83"/>
      <c r="AH1005" s="4"/>
      <c r="AI1005" s="4"/>
      <c r="AJ1005" s="449"/>
      <c r="AK1005" s="449"/>
      <c r="AL1005" s="449"/>
      <c r="AM1005" s="449"/>
      <c r="AN1005" s="10"/>
      <c r="AO1005" s="9"/>
      <c r="AP1005" s="9"/>
      <c r="AQ1005" s="9">
        <f>+FL_1($T$1006,$T$1004,$G$1005,1200,9.28, 1*$F$1006)</f>
        <v>0.41130772279530559</v>
      </c>
      <c r="AR1005" s="9"/>
      <c r="AS1005" s="9"/>
      <c r="AT1005" s="9"/>
      <c r="AU1005" s="428"/>
      <c r="AV1005" s="428"/>
      <c r="AW1005" s="449" t="str">
        <f>IF(C1005&gt;0,VLOOKUP(C1005,Foundation_Calc!$A$2:$C$13,3,1),
IF(J1005&gt;0,VLOOKUP(J1005,Foundation_Calc!$A$2:$C$13,3,1),""))</f>
        <v>Multi Soil</v>
      </c>
      <c r="AX1005" s="449" t="str">
        <f>IF(C1005&gt;0,VLOOKUP(C1005,Foundation_Calc!$E$35:$G$65,3,1),
IF(J1005&gt;0,VLOOKUP(J1005,Foundation_Calc!$E$35:$G$65,3,1),""))</f>
        <v>K</v>
      </c>
      <c r="AY1005" s="10" t="str">
        <f>IF(L1005="","",
IF(AX1005="PT",VLOOKUP(L1005,Foundation_Calc!$K$79:$R$113,VLOOKUP(AW1005,Foundation_Calc!$I$2:$J$8,2,FALSE),0),
IF(AX1005="K",VLOOKUP(L1005,Foundation_Calc!$K$117:$R$151,VLOOKUP(AW1005,Foundation_Calc!$I$2:$J$8,2,FALSE),0),"")))</f>
        <v/>
      </c>
      <c r="AZ1005" s="10">
        <f>IF(K1005="","",
IF(AX1005="PT",VLOOKUP(K1005,Foundation_Calc!$K$79:$R$113,VLOOKUP(AW1005,Foundation_Calc!$I$2:$J$8,2,FALSE),0),
IF(AX1005="K",VLOOKUP(K1005,Foundation_Calc!$K$117:$R$151,VLOOKUP(AW1005,Foundation_Calc!$I$2:$J$8,2,FALSE),0),"")))</f>
        <v>3.9</v>
      </c>
      <c r="BA1005" s="495" t="str">
        <f t="shared" si="133"/>
        <v/>
      </c>
      <c r="BB1005" s="495" t="str">
        <f t="shared" si="134"/>
        <v>ü</v>
      </c>
      <c r="BC1005" s="495" t="str">
        <f t="shared" si="135"/>
        <v/>
      </c>
      <c r="BD1005" s="513" t="str">
        <f>IF(AND(L1005="",H1005=""),"",
IF(H1005="",Pole_Calc!A$9,
IF(H1005="MP",Pole_Calc!A$10,
IF(H1005="AnMP",Pole_Calc!A$11,
IF(H1005="A",Pole_Calc!A$12,
IF(H1005="S/A",Pole_Calc!A$13,
IF(H1005="A/S",Pole_Calc!A$14,"Poner a mano")))))))</f>
        <v/>
      </c>
      <c r="BE1005" s="429" t="s">
        <v>118</v>
      </c>
      <c r="BF1005" s="290"/>
      <c r="BG1005" s="290"/>
      <c r="BH1005" s="290"/>
      <c r="BI1005" s="290"/>
    </row>
    <row r="1006" spans="1:61" ht="15.75" customHeight="1">
      <c r="A1006" s="514"/>
      <c r="B1006" s="450" t="s">
        <v>1462</v>
      </c>
      <c r="C1006" s="3">
        <f>+$C$1004+$G$1005</f>
        <v>54211.330000000009</v>
      </c>
      <c r="D1006" s="83"/>
      <c r="E1006" s="4"/>
      <c r="F1006" s="4">
        <v>-4502.0850593755194</v>
      </c>
      <c r="G1006" s="6"/>
      <c r="H1006" s="449" t="s">
        <v>121</v>
      </c>
      <c r="I1006" s="4" t="s">
        <v>122</v>
      </c>
      <c r="J1006" s="3"/>
      <c r="K1006" s="449"/>
      <c r="L1006" s="449" t="s">
        <v>151</v>
      </c>
      <c r="M1006" s="449" t="str">
        <f>IF(L1006="","",
IF(AX1006="PT",VLOOKUP(L1006,Foundation_Calc!$V$79:$X$113,VLOOKUP(AX1006,Foundation_Calc!$I$10:$J$13,2,FALSE),0),
IF(AX1006="K",VLOOKUP(L1006,Foundation_Calc!$V$117:$X$151,VLOOKUP(AX1006,Foundation_Calc!$I$10:$J$13,2,FALSE),0),"")))</f>
        <v>C4RT</v>
      </c>
      <c r="N1006" s="449" t="s">
        <v>124</v>
      </c>
      <c r="O1006" s="449"/>
      <c r="P1006" s="449"/>
      <c r="Q1006" s="4"/>
      <c r="R1006" s="6"/>
      <c r="S1006" s="6"/>
      <c r="T1006" s="4">
        <v>-20</v>
      </c>
      <c r="U1006" s="4"/>
      <c r="V1006" s="4"/>
      <c r="W1006" s="9">
        <v>1.4</v>
      </c>
      <c r="X1006" s="9"/>
      <c r="Y1006" s="9"/>
      <c r="Z1006" s="9"/>
      <c r="AA1006" s="9"/>
      <c r="AB1006" s="9"/>
      <c r="AC1006" s="449" t="str">
        <f t="shared" si="132"/>
        <v>PH</v>
      </c>
      <c r="AD1006" s="449"/>
      <c r="AE1006" s="449"/>
      <c r="AF1006" s="4"/>
      <c r="AG1006" s="83"/>
      <c r="AH1006" s="4"/>
      <c r="AI1006" s="4"/>
      <c r="AJ1006" s="449"/>
      <c r="AK1006" s="449"/>
      <c r="AL1006" s="449"/>
      <c r="AM1006" s="449" t="s">
        <v>552</v>
      </c>
      <c r="AN1006" s="10">
        <v>5.5</v>
      </c>
      <c r="AO1006" s="9"/>
      <c r="AP1006" s="9"/>
      <c r="AQ1006" s="9"/>
      <c r="AR1006" s="9"/>
      <c r="AS1006" s="9"/>
      <c r="AT1006" s="9">
        <f>+ab($T$1006,$T$1004,$U$1008,$G$1005,$G$1007, 1*$F$1006,1200)</f>
        <v>-9.7199689892657855</v>
      </c>
      <c r="AU1006" s="428"/>
      <c r="AV1006" s="428"/>
      <c r="AW1006" s="449" t="str">
        <f>IF(C1006&gt;0,VLOOKUP(C1006,Foundation_Calc!$A$2:$C$13,3,1),
IF(J1006&gt;0,VLOOKUP(J1006,Foundation_Calc!$A$2:$C$13,3,1),""))</f>
        <v>Multi Soil</v>
      </c>
      <c r="AX1006" s="449" t="str">
        <f>IF(C1006&gt;0,VLOOKUP(C1006,Foundation_Calc!$E$35:$G$65,3,1),
IF(J1006&gt;0,VLOOKUP(J1006,Foundation_Calc!$E$35:$G$65,3,1),""))</f>
        <v>K</v>
      </c>
      <c r="AY1006" s="10">
        <f>IF(L1006="","",
IF(AX1006="PT",VLOOKUP(L1006,Foundation_Calc!$K$79:$R$113,VLOOKUP(AW1006,Foundation_Calc!$I$2:$J$8,2,FALSE),0),
IF(AX1006="K",VLOOKUP(L1006,Foundation_Calc!$K$117:$R$151,VLOOKUP(AW1006,Foundation_Calc!$I$2:$J$8,2,FALSE),0),"")))</f>
        <v>4.2</v>
      </c>
      <c r="AZ1006" s="10" t="str">
        <f>IF(K1006="","",
IF(AX1006="PT",VLOOKUP(K1006,Foundation_Calc!$K$79:$R$113,VLOOKUP(AW1006,Foundation_Calc!$I$2:$J$8,2,FALSE),0),
IF(AX1006="K",VLOOKUP(K1006,Foundation_Calc!$K$117:$R$151,VLOOKUP(AW1006,Foundation_Calc!$I$2:$J$8,2,FALSE),0),"")))</f>
        <v/>
      </c>
      <c r="BA1006" s="495" t="str">
        <f t="shared" si="133"/>
        <v>ü</v>
      </c>
      <c r="BB1006" s="495" t="str">
        <f t="shared" si="134"/>
        <v/>
      </c>
      <c r="BC1006" s="495" t="str">
        <f t="shared" si="135"/>
        <v/>
      </c>
      <c r="BD1006" s="513" t="str">
        <f>IF(AND(L1006="",H1006=""),"",
IF(H1006="",Pole_Calc!A$9,
IF(H1006="MP",Pole_Calc!A$10,
IF(H1006="AnMP",Pole_Calc!A$11,
IF(H1006="A",Pole_Calc!A$12,
IF(H1006="S/A",Pole_Calc!A$13,
IF(H1006="A/S",Pole_Calc!A$14,"Poner a mano")))))))</f>
        <v>App.7-V11I-P9.5.1.6</v>
      </c>
      <c r="BE1006" s="429" t="s">
        <v>118</v>
      </c>
      <c r="BF1006" s="289"/>
      <c r="BG1006" s="289"/>
      <c r="BH1006" s="290"/>
      <c r="BI1006" s="289"/>
    </row>
    <row r="1007" spans="1:61" ht="15.75" customHeight="1">
      <c r="A1007" s="514"/>
      <c r="B1007" s="450"/>
      <c r="C1007" s="3"/>
      <c r="D1007" s="83"/>
      <c r="E1007" s="4"/>
      <c r="F1007" s="4"/>
      <c r="G1007" s="6">
        <v>53</v>
      </c>
      <c r="H1007" s="449"/>
      <c r="I1007" s="4" t="s">
        <v>549</v>
      </c>
      <c r="J1007" s="3">
        <f>C1008-7.5</f>
        <v>54256.830000000009</v>
      </c>
      <c r="K1007" s="449" t="s">
        <v>324</v>
      </c>
      <c r="L1007" s="449"/>
      <c r="M1007" s="449" t="str">
        <f>IF(L1007="","",
IF(AX1007="PT",VLOOKUP(L1007,Foundation_Calc!$V$79:$X$113,VLOOKUP(AX1007,Foundation_Calc!$I$10:$J$13,2,FALSE),0),
IF(AX1007="K",VLOOKUP(L1007,Foundation_Calc!$V$117:$X$151,VLOOKUP(AX1007,Foundation_Calc!$I$10:$J$13,2,FALSE),0),"")))</f>
        <v/>
      </c>
      <c r="N1007" s="449"/>
      <c r="O1007" s="449"/>
      <c r="P1007" s="449"/>
      <c r="Q1007" s="4"/>
      <c r="R1007" s="6"/>
      <c r="S1007" s="6"/>
      <c r="T1007" s="4"/>
      <c r="U1007" s="4"/>
      <c r="V1007" s="4"/>
      <c r="W1007" s="9"/>
      <c r="X1007" s="9"/>
      <c r="Y1007" s="9"/>
      <c r="Z1007" s="9"/>
      <c r="AA1007" s="9"/>
      <c r="AB1007" s="9"/>
      <c r="AC1007" s="449" t="str">
        <f t="shared" si="132"/>
        <v/>
      </c>
      <c r="AD1007" s="449"/>
      <c r="AE1007" s="449"/>
      <c r="AF1007" s="4"/>
      <c r="AG1007" s="83"/>
      <c r="AH1007" s="4"/>
      <c r="AI1007" s="4"/>
      <c r="AJ1007" s="449"/>
      <c r="AK1007" s="449"/>
      <c r="AL1007" s="449"/>
      <c r="AM1007" s="449"/>
      <c r="AN1007" s="10"/>
      <c r="AO1007" s="9"/>
      <c r="AP1007" s="9"/>
      <c r="AQ1007" s="9">
        <f>+FL_2($U$1008,$T$1006,$G$1007,1200,9.28, 1*$F$1008)</f>
        <v>-0.39104402927198112</v>
      </c>
      <c r="AR1007" s="9"/>
      <c r="AS1007" s="9"/>
      <c r="AT1007" s="9"/>
      <c r="AU1007" s="428"/>
      <c r="AV1007" s="428"/>
      <c r="AW1007" s="449" t="str">
        <f>IF(C1007&gt;0,VLOOKUP(C1007,Foundation_Calc!$A$2:$C$13,3,1),
IF(J1007&gt;0,VLOOKUP(J1007,Foundation_Calc!$A$2:$C$13,3,1),""))</f>
        <v>Multi Soil</v>
      </c>
      <c r="AX1007" s="449" t="str">
        <f>IF(C1007&gt;0,VLOOKUP(C1007,Foundation_Calc!$E$35:$G$65,3,1),
IF(J1007&gt;0,VLOOKUP(J1007,Foundation_Calc!$E$35:$G$65,3,1),""))</f>
        <v>K</v>
      </c>
      <c r="AY1007" s="10" t="str">
        <f>IF(L1007="","",
IF(AX1007="PT",VLOOKUP(L1007,Foundation_Calc!$K$79:$R$113,VLOOKUP(AW1007,Foundation_Calc!$I$2:$J$8,2,FALSE),0),
IF(AX1007="K",VLOOKUP(L1007,Foundation_Calc!$K$117:$R$151,VLOOKUP(AW1007,Foundation_Calc!$I$2:$J$8,2,FALSE),0),"")))</f>
        <v/>
      </c>
      <c r="AZ1007" s="10">
        <f>IF(K1007="","",
IF(AX1007="PT",VLOOKUP(K1007,Foundation_Calc!$K$79:$R$113,VLOOKUP(AW1007,Foundation_Calc!$I$2:$J$8,2,FALSE),0),
IF(AX1007="K",VLOOKUP(K1007,Foundation_Calc!$K$117:$R$151,VLOOKUP(AW1007,Foundation_Calc!$I$2:$J$8,2,FALSE),0),"")))</f>
        <v>2.8</v>
      </c>
      <c r="BA1007" s="495" t="str">
        <f t="shared" si="133"/>
        <v/>
      </c>
      <c r="BB1007" s="495" t="str">
        <f t="shared" si="134"/>
        <v>ü</v>
      </c>
      <c r="BC1007" s="495" t="str">
        <f t="shared" si="135"/>
        <v/>
      </c>
      <c r="BD1007" s="513" t="str">
        <f>IF(AND(L1007="",H1007=""),"",
IF(H1007="",Pole_Calc!A$9,
IF(H1007="MP",Pole_Calc!A$10,
IF(H1007="AnMP",Pole_Calc!A$11,
IF(H1007="A",Pole_Calc!A$12,
IF(H1007="S/A",Pole_Calc!A$13,
IF(H1007="A/S",Pole_Calc!A$14,"Poner a mano")))))))</f>
        <v/>
      </c>
      <c r="BE1007" s="429" t="s">
        <v>118</v>
      </c>
      <c r="BF1007" s="290"/>
      <c r="BG1007" s="290"/>
      <c r="BH1007" s="290"/>
      <c r="BI1007" s="290"/>
    </row>
    <row r="1008" spans="1:61" ht="15.75" customHeight="1">
      <c r="A1008" s="514"/>
      <c r="B1008" s="450" t="s">
        <v>1463</v>
      </c>
      <c r="C1008" s="3">
        <f>+$C$1006+$G$1007</f>
        <v>54264.330000000009</v>
      </c>
      <c r="D1008" s="83"/>
      <c r="E1008" s="4"/>
      <c r="F1008" s="4">
        <v>-2599.5933662891534</v>
      </c>
      <c r="G1008" s="6"/>
      <c r="H1008" s="449" t="s">
        <v>131</v>
      </c>
      <c r="I1008" s="4"/>
      <c r="J1008" s="3"/>
      <c r="K1008" s="449"/>
      <c r="L1008" s="449" t="s">
        <v>183</v>
      </c>
      <c r="M1008" s="449" t="str">
        <f>IF(L1008="","",
IF(AX1008="PT",VLOOKUP(L1008,Foundation_Calc!$V$79:$X$113,VLOOKUP(AX1008,Foundation_Calc!$I$10:$J$13,2,FALSE),0),
IF(AX1008="K",VLOOKUP(L1008,Foundation_Calc!$V$117:$X$151,VLOOKUP(AX1008,Foundation_Calc!$I$10:$J$13,2,FALSE),0),"")))</f>
        <v>2C3RT</v>
      </c>
      <c r="N1008" s="449" t="s">
        <v>133</v>
      </c>
      <c r="O1008" s="449" t="s">
        <v>124</v>
      </c>
      <c r="P1008" s="449"/>
      <c r="Q1008" s="4"/>
      <c r="R1008" s="6"/>
      <c r="S1008" s="6"/>
      <c r="T1008" s="4">
        <v>-10</v>
      </c>
      <c r="U1008" s="4">
        <v>-30</v>
      </c>
      <c r="V1008" s="4"/>
      <c r="W1008" s="9">
        <v>1.4</v>
      </c>
      <c r="X1008" s="9">
        <v>2.2999999999999998</v>
      </c>
      <c r="Y1008" s="9"/>
      <c r="Z1008" s="9">
        <v>0.5</v>
      </c>
      <c r="AA1008" s="9"/>
      <c r="AB1008" s="9"/>
      <c r="AC1008" s="449"/>
      <c r="AD1008" s="449"/>
      <c r="AE1008" s="449"/>
      <c r="AF1008" s="4"/>
      <c r="AG1008" s="83"/>
      <c r="AH1008" s="4"/>
      <c r="AI1008" s="4"/>
      <c r="AJ1008" s="449"/>
      <c r="AK1008" s="449"/>
      <c r="AL1008" s="449"/>
      <c r="AM1008" s="449" t="s">
        <v>552</v>
      </c>
      <c r="AN1008" s="10">
        <v>5.5</v>
      </c>
      <c r="AO1008" s="9"/>
      <c r="AP1008" s="9"/>
      <c r="AQ1008" s="9"/>
      <c r="AR1008" s="9"/>
      <c r="AS1008" s="9"/>
      <c r="AT1008" s="9">
        <f>+ab($U$1008,$T$1006,$U$1010,$G$1007,$G$1009, 1*$F$1008,1200)</f>
        <v>-8.5508123694518083</v>
      </c>
      <c r="AU1008" s="428"/>
      <c r="AV1008" s="428"/>
      <c r="AW1008" s="449" t="str">
        <f>IF(C1008&gt;0,VLOOKUP(C1008,Foundation_Calc!$A$2:$C$13,3,1),
IF(J1008&gt;0,VLOOKUP(J1008,Foundation_Calc!$A$2:$C$13,3,1),""))</f>
        <v>Multi Soil</v>
      </c>
      <c r="AX1008" s="449" t="str">
        <f>IF(C1008&gt;0,VLOOKUP(C1008,Foundation_Calc!$E$35:$G$65,3,1),
IF(J1008&gt;0,VLOOKUP(J1008,Foundation_Calc!$E$35:$G$65,3,1),""))</f>
        <v>K</v>
      </c>
      <c r="AY1008" s="10">
        <f>IF(L1008="","",
IF(AX1008="PT",VLOOKUP(L1008,Foundation_Calc!$K$79:$R$113,VLOOKUP(AW1008,Foundation_Calc!$I$2:$J$8,2,FALSE),0),
IF(AX1008="K",VLOOKUP(L1008,Foundation_Calc!$K$117:$R$151,VLOOKUP(AW1008,Foundation_Calc!$I$2:$J$8,2,FALSE),0),"")))</f>
        <v>4.5</v>
      </c>
      <c r="AZ1008" s="10" t="str">
        <f>IF(K1008="","",
IF(AX1008="PT",VLOOKUP(K1008,Foundation_Calc!$K$79:$R$113,VLOOKUP(AW1008,Foundation_Calc!$I$2:$J$8,2,FALSE),0),
IF(AX1008="K",VLOOKUP(K1008,Foundation_Calc!$K$117:$R$151,VLOOKUP(AW1008,Foundation_Calc!$I$2:$J$8,2,FALSE),0),"")))</f>
        <v/>
      </c>
      <c r="BA1008" s="495" t="str">
        <f t="shared" si="133"/>
        <v>ü</v>
      </c>
      <c r="BB1008" s="495" t="str">
        <f t="shared" si="134"/>
        <v/>
      </c>
      <c r="BC1008" s="495" t="str">
        <f t="shared" si="135"/>
        <v/>
      </c>
      <c r="BD1008" s="513" t="str">
        <f>IF(AND(L1008="",H1008=""),"",
IF(H1008="",Pole_Calc!A$9,
IF(H1008="MP",Pole_Calc!A$10,
IF(H1008="AnMP",Pole_Calc!A$11,
IF(H1008="A",Pole_Calc!A$12,
IF(H1008="S/A",Pole_Calc!A$13,
IF(H1008="A/S",Pole_Calc!A$14,"Poner a mano")))))))</f>
        <v>App.7-V11I-P9.5.1.5</v>
      </c>
      <c r="BE1008" s="429" t="s">
        <v>118</v>
      </c>
      <c r="BF1008" s="289"/>
      <c r="BG1008" s="289"/>
      <c r="BH1008" s="290"/>
      <c r="BI1008" s="289"/>
    </row>
    <row r="1009" spans="1:61" ht="15.75" customHeight="1">
      <c r="A1009" s="514"/>
      <c r="B1009" s="450"/>
      <c r="C1009" s="3"/>
      <c r="D1009" s="83"/>
      <c r="E1009" s="4"/>
      <c r="F1009" s="4"/>
      <c r="G1009" s="6">
        <v>53</v>
      </c>
      <c r="H1009" s="449"/>
      <c r="I1009" s="4" t="s">
        <v>549</v>
      </c>
      <c r="J1009" s="3">
        <f>C1008+7.5</f>
        <v>54271.830000000009</v>
      </c>
      <c r="K1009" s="449" t="s">
        <v>324</v>
      </c>
      <c r="L1009" s="449"/>
      <c r="M1009" s="449" t="str">
        <f>IF(L1009="","",
IF(AX1009="PT",VLOOKUP(L1009,Foundation_Calc!$V$79:$X$113,VLOOKUP(AX1009,Foundation_Calc!$I$10:$J$13,2,FALSE),0),
IF(AX1009="K",VLOOKUP(L1009,Foundation_Calc!$V$117:$X$151,VLOOKUP(AX1009,Foundation_Calc!$I$10:$J$13,2,FALSE),0),"")))</f>
        <v/>
      </c>
      <c r="N1009" s="449"/>
      <c r="O1009" s="561"/>
      <c r="P1009" s="449"/>
      <c r="Q1009" s="4"/>
      <c r="R1009" s="6"/>
      <c r="S1009" s="6"/>
      <c r="T1009" s="4"/>
      <c r="U1009" s="4"/>
      <c r="V1009" s="4"/>
      <c r="W1009" s="9"/>
      <c r="X1009" s="9"/>
      <c r="Y1009" s="9"/>
      <c r="Z1009" s="9"/>
      <c r="AA1009" s="9"/>
      <c r="AB1009" s="9"/>
      <c r="AC1009" s="449" t="str">
        <f t="shared" si="132"/>
        <v/>
      </c>
      <c r="AD1009" s="449"/>
      <c r="AE1009" s="449"/>
      <c r="AF1009" s="4"/>
      <c r="AG1009" s="83"/>
      <c r="AH1009" s="4"/>
      <c r="AI1009" s="4"/>
      <c r="AJ1009" s="449"/>
      <c r="AK1009" s="449"/>
      <c r="AL1009" s="449"/>
      <c r="AM1009" s="449"/>
      <c r="AN1009" s="10"/>
      <c r="AO1009" s="9"/>
      <c r="AP1009" s="9"/>
      <c r="AQ1009" s="9">
        <f>+FL_2($T$1010,$U$1008,$G$1009,1200,9.28, 1*$F$1010)</f>
        <v>-0.33990092705233277</v>
      </c>
      <c r="AR1009" s="9"/>
      <c r="AS1009" s="9"/>
      <c r="AT1009" s="9"/>
      <c r="AU1009" s="428"/>
      <c r="AV1009" s="428"/>
      <c r="AW1009" s="449" t="str">
        <f>IF(C1009&gt;0,VLOOKUP(C1009,Foundation_Calc!$A$2:$C$13,3,1),
IF(J1009&gt;0,VLOOKUP(J1009,Foundation_Calc!$A$2:$C$13,3,1),""))</f>
        <v>Multi Soil</v>
      </c>
      <c r="AX1009" s="449" t="str">
        <f>IF(C1009&gt;0,VLOOKUP(C1009,Foundation_Calc!$E$35:$G$65,3,1),
IF(J1009&gt;0,VLOOKUP(J1009,Foundation_Calc!$E$35:$G$65,3,1),""))</f>
        <v>K</v>
      </c>
      <c r="AY1009" s="10" t="str">
        <f>IF(L1009="","",
IF(AX1009="PT",VLOOKUP(L1009,Foundation_Calc!$K$79:$R$113,VLOOKUP(AW1009,Foundation_Calc!$I$2:$J$8,2,FALSE),0),
IF(AX1009="K",VLOOKUP(L1009,Foundation_Calc!$K$117:$R$151,VLOOKUP(AW1009,Foundation_Calc!$I$2:$J$8,2,FALSE),0),"")))</f>
        <v/>
      </c>
      <c r="AZ1009" s="10">
        <f>IF(K1009="","",
IF(AX1009="PT",VLOOKUP(K1009,Foundation_Calc!$K$79:$R$113,VLOOKUP(AW1009,Foundation_Calc!$I$2:$J$8,2,FALSE),0),
IF(AX1009="K",VLOOKUP(K1009,Foundation_Calc!$K$117:$R$151,VLOOKUP(AW1009,Foundation_Calc!$I$2:$J$8,2,FALSE),0),"")))</f>
        <v>2.8</v>
      </c>
      <c r="BA1009" s="495" t="str">
        <f t="shared" si="133"/>
        <v/>
      </c>
      <c r="BB1009" s="495" t="str">
        <f t="shared" si="134"/>
        <v>ü</v>
      </c>
      <c r="BC1009" s="495" t="str">
        <f t="shared" si="135"/>
        <v/>
      </c>
      <c r="BD1009" s="513" t="str">
        <f>IF(AND(L1009="",H1009=""),"",
IF(H1009="",Pole_Calc!A$9,
IF(H1009="MP",Pole_Calc!A$10,
IF(H1009="AnMP",Pole_Calc!A$11,
IF(H1009="A",Pole_Calc!A$12,
IF(H1009="S/A",Pole_Calc!A$13,
IF(H1009="A/S",Pole_Calc!A$14,"Poner a mano")))))))</f>
        <v/>
      </c>
      <c r="BE1009" s="429" t="s">
        <v>118</v>
      </c>
      <c r="BF1009" s="290"/>
      <c r="BG1009" s="290"/>
      <c r="BH1009" s="290"/>
      <c r="BI1009" s="290"/>
    </row>
    <row r="1010" spans="1:61" ht="15.75" customHeight="1">
      <c r="A1010" s="514"/>
      <c r="B1010" s="450" t="s">
        <v>1464</v>
      </c>
      <c r="C1010" s="3">
        <f>+$C$1008+$G$1009+0.3</f>
        <v>54317.630000000012</v>
      </c>
      <c r="D1010" s="83"/>
      <c r="E1010" s="4"/>
      <c r="F1010" s="4">
        <v>-2300</v>
      </c>
      <c r="G1010" s="6"/>
      <c r="H1010" s="449" t="s">
        <v>131</v>
      </c>
      <c r="I1010" s="4"/>
      <c r="J1010" s="3"/>
      <c r="K1010" s="449"/>
      <c r="L1010" s="449" t="s">
        <v>183</v>
      </c>
      <c r="M1010" s="449" t="str">
        <f>IF(L1010="","",
IF(AX1010="PT",VLOOKUP(L1010,Foundation_Calc!$V$79:$X$113,VLOOKUP(AX1010,Foundation_Calc!$I$10:$J$13,2,FALSE),0),
IF(AX1010="K",VLOOKUP(L1010,Foundation_Calc!$V$117:$X$151,VLOOKUP(AX1010,Foundation_Calc!$I$10:$J$13,2,FALSE),0),"")))</f>
        <v>2C3RT</v>
      </c>
      <c r="N1010" s="449" t="s">
        <v>124</v>
      </c>
      <c r="O1010" s="449" t="s">
        <v>133</v>
      </c>
      <c r="P1010" s="449"/>
      <c r="Q1010" s="4"/>
      <c r="R1010" s="6"/>
      <c r="S1010" s="6"/>
      <c r="T1010" s="4">
        <v>-10</v>
      </c>
      <c r="U1010" s="4">
        <v>-30</v>
      </c>
      <c r="V1010" s="4"/>
      <c r="W1010" s="9">
        <v>1.4</v>
      </c>
      <c r="X1010" s="9">
        <v>2.2999999999999998</v>
      </c>
      <c r="Y1010" s="9"/>
      <c r="Z1010" s="9"/>
      <c r="AA1010" s="9">
        <v>0.5</v>
      </c>
      <c r="AB1010" s="9"/>
      <c r="AC1010" s="449" t="str">
        <f t="shared" si="132"/>
        <v>PH</v>
      </c>
      <c r="AD1010" s="449"/>
      <c r="AE1010" s="449"/>
      <c r="AF1010" s="4"/>
      <c r="AG1010" s="83"/>
      <c r="AH1010" s="4"/>
      <c r="AI1010" s="4"/>
      <c r="AJ1010" s="449"/>
      <c r="AK1010" s="449"/>
      <c r="AL1010" s="449"/>
      <c r="AM1010" s="449" t="s">
        <v>552</v>
      </c>
      <c r="AN1010" s="10">
        <v>5.5</v>
      </c>
      <c r="AO1010" s="9"/>
      <c r="AP1010" s="9"/>
      <c r="AQ1010" s="9"/>
      <c r="AR1010" s="9"/>
      <c r="AS1010" s="9"/>
      <c r="AT1010" s="9">
        <f>+ab($T$1010,$T$1008,$T$1012,$G$1009,$G$1011, 1*$F$1010,1200)</f>
        <v>-9.8596678651562701</v>
      </c>
      <c r="AU1010" s="428"/>
      <c r="AV1010" s="428"/>
      <c r="AW1010" s="449" t="str">
        <f>IF(C1010&gt;0,VLOOKUP(C1010,Foundation_Calc!$A$2:$C$13,3,1),
IF(J1010&gt;0,VLOOKUP(J1010,Foundation_Calc!$A$2:$C$13,3,1),""))</f>
        <v>Multi Soil</v>
      </c>
      <c r="AX1010" s="449" t="str">
        <f>IF(C1010&gt;0,VLOOKUP(C1010,Foundation_Calc!$E$35:$G$65,3,1),
IF(J1010&gt;0,VLOOKUP(J1010,Foundation_Calc!$E$35:$G$65,3,1),""))</f>
        <v>K</v>
      </c>
      <c r="AY1010" s="10">
        <f>IF(L1010="","",
IF(AX1010="PT",VLOOKUP(L1010,Foundation_Calc!$K$79:$R$113,VLOOKUP(AW1010,Foundation_Calc!$I$2:$J$8,2,FALSE),0),
IF(AX1010="K",VLOOKUP(L1010,Foundation_Calc!$K$117:$R$151,VLOOKUP(AW1010,Foundation_Calc!$I$2:$J$8,2,FALSE),0),"")))</f>
        <v>4.5</v>
      </c>
      <c r="AZ1010" s="10" t="str">
        <f>IF(K1010="","",
IF(AX1010="PT",VLOOKUP(K1010,Foundation_Calc!$K$79:$R$113,VLOOKUP(AW1010,Foundation_Calc!$I$2:$J$8,2,FALSE),0),
IF(AX1010="K",VLOOKUP(K1010,Foundation_Calc!$K$117:$R$151,VLOOKUP(AW1010,Foundation_Calc!$I$2:$J$8,2,FALSE),0),"")))</f>
        <v/>
      </c>
      <c r="BA1010" s="495" t="str">
        <f t="shared" si="133"/>
        <v>ü</v>
      </c>
      <c r="BB1010" s="495" t="str">
        <f t="shared" si="134"/>
        <v/>
      </c>
      <c r="BC1010" s="495" t="str">
        <f t="shared" si="135"/>
        <v/>
      </c>
      <c r="BD1010" s="513" t="str">
        <f>IF(AND(L1010="",H1010=""),"",
IF(H1010="",Pole_Calc!A$9,
IF(H1010="MP",Pole_Calc!A$10,
IF(H1010="AnMP",Pole_Calc!A$11,
IF(H1010="A",Pole_Calc!A$12,
IF(H1010="S/A",Pole_Calc!A$13,
IF(H1010="A/S",Pole_Calc!A$14,"Poner a mano")))))))</f>
        <v>App.7-V11I-P9.5.1.5</v>
      </c>
      <c r="BE1010" s="429" t="s">
        <v>118</v>
      </c>
      <c r="BF1010" s="289"/>
      <c r="BG1010" s="289"/>
      <c r="BH1010" s="290"/>
      <c r="BI1010" s="289"/>
    </row>
    <row r="1011" spans="1:61" ht="15.75" customHeight="1">
      <c r="A1011" s="518"/>
      <c r="B1011" s="450"/>
      <c r="C1011" s="3"/>
      <c r="D1011" s="83"/>
      <c r="E1011" s="4"/>
      <c r="F1011" s="4"/>
      <c r="G1011" s="6">
        <v>53</v>
      </c>
      <c r="H1011" s="449"/>
      <c r="I1011" s="4"/>
      <c r="J1011" s="3"/>
      <c r="K1011" s="449"/>
      <c r="L1011" s="449"/>
      <c r="M1011" s="449" t="str">
        <f>IF(L1011="","",
IF(AX1011="PT",VLOOKUP(L1011,Foundation_Calc!$V$79:$X$113,VLOOKUP(AX1011,Foundation_Calc!$I$10:$J$13,2,FALSE),0),
IF(AX1011="K",VLOOKUP(L1011,Foundation_Calc!$V$117:$X$151,VLOOKUP(AX1011,Foundation_Calc!$I$10:$J$13,2,FALSE),0),"")))</f>
        <v/>
      </c>
      <c r="N1011" s="449"/>
      <c r="O1011" s="449"/>
      <c r="P1011" s="449"/>
      <c r="Q1011" s="4"/>
      <c r="R1011" s="6"/>
      <c r="S1011" s="6"/>
      <c r="T1011" s="4"/>
      <c r="U1011" s="4"/>
      <c r="V1011" s="4"/>
      <c r="W1011" s="9"/>
      <c r="X1011" s="9"/>
      <c r="Y1011" s="9"/>
      <c r="Z1011" s="9"/>
      <c r="AA1011" s="9"/>
      <c r="AB1011" s="9"/>
      <c r="AC1011" s="449" t="str">
        <f t="shared" si="132"/>
        <v/>
      </c>
      <c r="AD1011" s="449"/>
      <c r="AE1011" s="449"/>
      <c r="AF1011" s="4"/>
      <c r="AG1011" s="83"/>
      <c r="AH1011" s="4"/>
      <c r="AI1011" s="4"/>
      <c r="AJ1011" s="449"/>
      <c r="AK1011" s="449"/>
      <c r="AL1011" s="449"/>
      <c r="AM1011" s="449"/>
      <c r="AN1011" s="10"/>
      <c r="AO1011" s="9"/>
      <c r="AP1011" s="9"/>
      <c r="AQ1011" s="9">
        <f>+FL_2($T$1012,$T$1010,$G$1011,1200,9.28, 1*$F$1012)</f>
        <v>-0.33990092705233665</v>
      </c>
      <c r="AR1011" s="9"/>
      <c r="AS1011" s="9"/>
      <c r="AT1011" s="9"/>
      <c r="AU1011" s="428"/>
      <c r="AV1011" s="428"/>
      <c r="AW1011" s="449" t="str">
        <f>IF(C1011&gt;0,VLOOKUP(C1011,Foundation_Calc!$A$2:$C$13,3,1),
IF(J1011&gt;0,VLOOKUP(J1011,Foundation_Calc!$A$2:$C$13,3,1),""))</f>
        <v/>
      </c>
      <c r="AX1011" s="449" t="str">
        <f>IF(C1011&gt;0,VLOOKUP(C1011,Foundation_Calc!$E$35:$G$65,3,1),
IF(J1011&gt;0,VLOOKUP(J1011,Foundation_Calc!$E$35:$G$65,3,1),""))</f>
        <v/>
      </c>
      <c r="AY1011" s="10" t="str">
        <f>IF(L1011="","",
IF(AX1011="PT",VLOOKUP(L1011,Foundation_Calc!$K$79:$R$113,VLOOKUP(AW1011,Foundation_Calc!$I$2:$J$8,2,FALSE),0),
IF(AX1011="K",VLOOKUP(L1011,Foundation_Calc!$K$117:$R$151,VLOOKUP(AW1011,Foundation_Calc!$I$2:$J$8,2,FALSE),0),"")))</f>
        <v/>
      </c>
      <c r="AZ1011" s="10" t="str">
        <f>IF(K1011="","",
IF(AX1011="PT",VLOOKUP(K1011,Foundation_Calc!$K$79:$R$113,VLOOKUP(AW1011,Foundation_Calc!$I$2:$J$8,2,FALSE),0),
IF(AX1011="K",VLOOKUP(K1011,Foundation_Calc!$K$117:$R$151,VLOOKUP(AW1011,Foundation_Calc!$I$2:$J$8,2,FALSE),0),"")))</f>
        <v/>
      </c>
      <c r="BA1011" s="495" t="str">
        <f t="shared" si="133"/>
        <v/>
      </c>
      <c r="BB1011" s="495" t="str">
        <f t="shared" si="134"/>
        <v/>
      </c>
      <c r="BC1011" s="495" t="str">
        <f t="shared" si="135"/>
        <v/>
      </c>
      <c r="BD1011" s="513" t="str">
        <f>IF(AND(L1011="",H1011=""),"",
IF(H1011="",Pole_Calc!A$9,
IF(H1011="MP",Pole_Calc!A$10,
IF(H1011="AnMP",Pole_Calc!A$11,
IF(H1011="A",Pole_Calc!A$12,
IF(H1011="S/A",Pole_Calc!A$13,
IF(H1011="A/S",Pole_Calc!A$14,"Poner a mano")))))))</f>
        <v/>
      </c>
      <c r="BE1011" s="429" t="s">
        <v>118</v>
      </c>
      <c r="BF1011" s="290"/>
      <c r="BG1011" s="290"/>
      <c r="BH1011" s="290"/>
      <c r="BI1011" s="290"/>
    </row>
    <row r="1012" spans="1:61" ht="15.75" customHeight="1">
      <c r="A1012" s="514"/>
      <c r="B1012" s="450" t="s">
        <v>1465</v>
      </c>
      <c r="C1012" s="3">
        <f>+$C$1010+$G$1011</f>
        <v>54370.630000000012</v>
      </c>
      <c r="D1012" s="83"/>
      <c r="E1012" s="4"/>
      <c r="F1012" s="4">
        <v>-2300</v>
      </c>
      <c r="G1012" s="6"/>
      <c r="H1012" s="449" t="s">
        <v>121</v>
      </c>
      <c r="I1012" s="4" t="s">
        <v>122</v>
      </c>
      <c r="J1012" s="3"/>
      <c r="K1012" s="449"/>
      <c r="L1012" s="449" t="s">
        <v>181</v>
      </c>
      <c r="M1012" s="449" t="str">
        <f>IF(L1012="","",
IF(AX1012="PT",VLOOKUP(L1012,Foundation_Calc!$V$79:$X$113,VLOOKUP(AX1012,Foundation_Calc!$I$10:$J$13,2,FALSE),0),
IF(AX1012="K",VLOOKUP(L1012,Foundation_Calc!$V$117:$X$151,VLOOKUP(AX1012,Foundation_Calc!$I$10:$J$13,2,FALSE),0),"")))</f>
        <v>C5RT</v>
      </c>
      <c r="N1012" s="449" t="s">
        <v>124</v>
      </c>
      <c r="O1012" s="449"/>
      <c r="P1012" s="449"/>
      <c r="Q1012" s="4"/>
      <c r="R1012" s="6"/>
      <c r="S1012" s="6"/>
      <c r="T1012" s="4">
        <v>-30</v>
      </c>
      <c r="U1012" s="4"/>
      <c r="V1012" s="4"/>
      <c r="W1012" s="9">
        <v>1.4</v>
      </c>
      <c r="X1012" s="9"/>
      <c r="Y1012" s="9"/>
      <c r="Z1012" s="9"/>
      <c r="AA1012" s="9"/>
      <c r="AB1012" s="9"/>
      <c r="AC1012" s="449" t="str">
        <f t="shared" si="132"/>
        <v>PHQ</v>
      </c>
      <c r="AD1012" s="449"/>
      <c r="AE1012" s="449"/>
      <c r="AF1012" s="4"/>
      <c r="AG1012" s="83"/>
      <c r="AH1012" s="4"/>
      <c r="AI1012" s="4"/>
      <c r="AJ1012" s="449"/>
      <c r="AK1012" s="449"/>
      <c r="AL1012" s="449"/>
      <c r="AM1012" s="449" t="s">
        <v>552</v>
      </c>
      <c r="AN1012" s="10">
        <v>5.5</v>
      </c>
      <c r="AO1012" s="9"/>
      <c r="AP1012" s="9"/>
      <c r="AQ1012" s="9"/>
      <c r="AR1012" s="9"/>
      <c r="AS1012" s="9"/>
      <c r="AT1012" s="9">
        <f>+ab($T$1012,$T$1010,$T$1014,$G$1011,$G$1013, 1*$F$1012,1200)</f>
        <v>-7.1187596438940739</v>
      </c>
      <c r="AU1012" s="428"/>
      <c r="AV1012" s="428"/>
      <c r="AW1012" s="449" t="str">
        <f>IF(C1012&gt;0,VLOOKUP(C1012,Foundation_Calc!$A$2:$C$13,3,1),
IF(J1012&gt;0,VLOOKUP(J1012,Foundation_Calc!$A$2:$C$13,3,1),""))</f>
        <v>Multi Soil</v>
      </c>
      <c r="AX1012" s="449" t="str">
        <f>IF(C1012&gt;0,VLOOKUP(C1012,Foundation_Calc!$E$35:$G$65,3,1),
IF(J1012&gt;0,VLOOKUP(J1012,Foundation_Calc!$E$35:$G$65,3,1),""))</f>
        <v>K</v>
      </c>
      <c r="AY1012" s="10">
        <f>IF(L1012="","",
IF(AX1012="PT",VLOOKUP(L1012,Foundation_Calc!$K$79:$R$113,VLOOKUP(AW1012,Foundation_Calc!$I$2:$J$8,2,FALSE),0),
IF(AX1012="K",VLOOKUP(L1012,Foundation_Calc!$K$117:$R$151,VLOOKUP(AW1012,Foundation_Calc!$I$2:$J$8,2,FALSE),0),"")))</f>
        <v>4</v>
      </c>
      <c r="AZ1012" s="10" t="str">
        <f>IF(K1012="","",
IF(AX1012="PT",VLOOKUP(K1012,Foundation_Calc!$K$79:$R$113,VLOOKUP(AW1012,Foundation_Calc!$I$2:$J$8,2,FALSE),0),
IF(AX1012="K",VLOOKUP(K1012,Foundation_Calc!$K$117:$R$151,VLOOKUP(AW1012,Foundation_Calc!$I$2:$J$8,2,FALSE),0),"")))</f>
        <v/>
      </c>
      <c r="BA1012" s="495" t="str">
        <f t="shared" si="133"/>
        <v>ü</v>
      </c>
      <c r="BB1012" s="495" t="str">
        <f t="shared" si="134"/>
        <v/>
      </c>
      <c r="BC1012" s="495" t="str">
        <f t="shared" si="135"/>
        <v/>
      </c>
      <c r="BD1012" s="513" t="str">
        <f>IF(AND(L1012="",H1012=""),"",
IF(H1012="",Pole_Calc!A$9,
IF(H1012="MP",Pole_Calc!A$10,
IF(H1012="AnMP",Pole_Calc!A$11,
IF(H1012="A",Pole_Calc!A$12,
IF(H1012="S/A",Pole_Calc!A$13,
IF(H1012="A/S",Pole_Calc!A$14,"Poner a mano")))))))</f>
        <v>App.7-V11I-P9.5.1.6</v>
      </c>
      <c r="BE1012" s="429" t="s">
        <v>118</v>
      </c>
      <c r="BF1012" s="289"/>
      <c r="BG1012" s="289"/>
      <c r="BH1012" s="290"/>
      <c r="BI1012" s="289"/>
    </row>
    <row r="1013" spans="1:61" ht="15.75" customHeight="1">
      <c r="A1013" s="514"/>
      <c r="B1013" s="450"/>
      <c r="C1013" s="3"/>
      <c r="D1013" s="83"/>
      <c r="E1013" s="4"/>
      <c r="F1013" s="4"/>
      <c r="G1013" s="6">
        <v>53</v>
      </c>
      <c r="H1013" s="449"/>
      <c r="I1013" s="4"/>
      <c r="J1013" s="3">
        <f>C1012+7.5</f>
        <v>54378.130000000012</v>
      </c>
      <c r="K1013" s="449" t="s">
        <v>315</v>
      </c>
      <c r="L1013" s="449"/>
      <c r="M1013" s="449" t="str">
        <f>IF(L1013="","",
IF(AX1013="PT",VLOOKUP(L1013,Foundation_Calc!$V$79:$X$113,VLOOKUP(AX1013,Foundation_Calc!$I$10:$J$13,2,FALSE),0),
IF(AX1013="K",VLOOKUP(L1013,Foundation_Calc!$V$117:$X$151,VLOOKUP(AX1013,Foundation_Calc!$I$10:$J$13,2,FALSE),0),"")))</f>
        <v/>
      </c>
      <c r="N1013" s="449"/>
      <c r="O1013" s="449"/>
      <c r="P1013" s="449"/>
      <c r="Q1013" s="4"/>
      <c r="R1013" s="6"/>
      <c r="S1013" s="6"/>
      <c r="T1013" s="4"/>
      <c r="U1013" s="4"/>
      <c r="V1013" s="4"/>
      <c r="W1013" s="9"/>
      <c r="X1013" s="9"/>
      <c r="Y1013" s="9"/>
      <c r="Z1013" s="9"/>
      <c r="AA1013" s="9"/>
      <c r="AB1013" s="9"/>
      <c r="AC1013" s="449" t="str">
        <f t="shared" si="132"/>
        <v/>
      </c>
      <c r="AD1013" s="449"/>
      <c r="AE1013" s="449"/>
      <c r="AF1013" s="4"/>
      <c r="AG1013" s="83"/>
      <c r="AH1013" s="4"/>
      <c r="AI1013" s="4"/>
      <c r="AJ1013" s="449"/>
      <c r="AK1013" s="449"/>
      <c r="AL1013" s="449"/>
      <c r="AM1013" s="449"/>
      <c r="AN1013" s="10"/>
      <c r="AO1013" s="9"/>
      <c r="AP1013" s="9"/>
      <c r="AQ1013" s="9">
        <f>+FL_2($T$1014,$T$1012,$G$1013,1200,9.28, 1*$F$1014)</f>
        <v>-0.41886855632932174</v>
      </c>
      <c r="AR1013" s="9"/>
      <c r="AS1013" s="9"/>
      <c r="AT1013" s="9"/>
      <c r="AU1013" s="428"/>
      <c r="AV1013" s="428"/>
      <c r="AW1013" s="449" t="str">
        <f>IF(C1013&gt;0,VLOOKUP(C1013,Foundation_Calc!$A$2:$C$13,3,1),
IF(J1013&gt;0,VLOOKUP(J1013,Foundation_Calc!$A$2:$C$13,3,1),""))</f>
        <v>Multi Soil</v>
      </c>
      <c r="AX1013" s="449" t="str">
        <f>IF(C1013&gt;0,VLOOKUP(C1013,Foundation_Calc!$E$35:$G$65,3,1),
IF(J1013&gt;0,VLOOKUP(J1013,Foundation_Calc!$E$35:$G$65,3,1),""))</f>
        <v>K</v>
      </c>
      <c r="AY1013" s="10" t="str">
        <f>IF(L1013="","",
IF(AX1013="PT",VLOOKUP(L1013,Foundation_Calc!$K$79:$R$113,VLOOKUP(AW1013,Foundation_Calc!$I$2:$J$8,2,FALSE),0),
IF(AX1013="K",VLOOKUP(L1013,Foundation_Calc!$K$117:$R$151,VLOOKUP(AW1013,Foundation_Calc!$I$2:$J$8,2,FALSE),0),"")))</f>
        <v/>
      </c>
      <c r="AZ1013" s="10">
        <f>IF(K1013="","",
IF(AX1013="PT",VLOOKUP(K1013,Foundation_Calc!$K$79:$R$113,VLOOKUP(AW1013,Foundation_Calc!$I$2:$J$8,2,FALSE),0),
IF(AX1013="K",VLOOKUP(K1013,Foundation_Calc!$K$117:$R$151,VLOOKUP(AW1013,Foundation_Calc!$I$2:$J$8,2,FALSE),0),"")))</f>
        <v>3.9</v>
      </c>
      <c r="BA1013" s="495" t="str">
        <f t="shared" si="133"/>
        <v/>
      </c>
      <c r="BB1013" s="495" t="str">
        <f t="shared" si="134"/>
        <v>ü</v>
      </c>
      <c r="BC1013" s="495" t="str">
        <f t="shared" si="135"/>
        <v/>
      </c>
      <c r="BD1013" s="513" t="str">
        <f>IF(AND(L1013="",H1013=""),"",
IF(H1013="",Pole_Calc!A$9,
IF(H1013="MP",Pole_Calc!A$10,
IF(H1013="AnMP",Pole_Calc!A$11,
IF(H1013="A",Pole_Calc!A$12,
IF(H1013="S/A",Pole_Calc!A$13,
IF(H1013="A/S",Pole_Calc!A$14,"Poner a mano")))))))</f>
        <v/>
      </c>
      <c r="BE1013" s="429" t="s">
        <v>118</v>
      </c>
      <c r="BF1013" s="290"/>
      <c r="BG1013" s="290"/>
      <c r="BH1013" s="290"/>
      <c r="BI1013" s="290"/>
    </row>
    <row r="1014" spans="1:61" ht="15.75" customHeight="1">
      <c r="A1014" s="514"/>
      <c r="B1014" s="450" t="s">
        <v>1466</v>
      </c>
      <c r="C1014" s="3">
        <f>+$C$1012+$G$1013</f>
        <v>54423.630000000012</v>
      </c>
      <c r="D1014" s="83"/>
      <c r="E1014" s="4"/>
      <c r="F1014" s="4">
        <v>-2300</v>
      </c>
      <c r="G1014" s="6"/>
      <c r="H1014" s="449"/>
      <c r="I1014" s="4"/>
      <c r="J1014" s="3"/>
      <c r="K1014" s="449"/>
      <c r="L1014" s="449" t="s">
        <v>158</v>
      </c>
      <c r="M1014" s="449" t="str">
        <f>IF(L1014="","",
IF(AX1014="PT",VLOOKUP(L1014,Foundation_Calc!$V$79:$X$113,VLOOKUP(AX1014,Foundation_Calc!$I$10:$J$13,2,FALSE),0),
IF(AX1014="K",VLOOKUP(L1014,Foundation_Calc!$V$117:$X$151,VLOOKUP(AX1014,Foundation_Calc!$I$10:$J$13,2,FALSE),0),"")))</f>
        <v>C4RT</v>
      </c>
      <c r="N1014" s="449" t="s">
        <v>124</v>
      </c>
      <c r="O1014" s="449"/>
      <c r="P1014" s="449"/>
      <c r="Q1014" s="4"/>
      <c r="R1014" s="6"/>
      <c r="S1014" s="6"/>
      <c r="T1014" s="4">
        <v>-30</v>
      </c>
      <c r="U1014" s="4"/>
      <c r="V1014" s="4"/>
      <c r="W1014" s="9">
        <v>1.4</v>
      </c>
      <c r="X1014" s="9"/>
      <c r="Y1014" s="9"/>
      <c r="Z1014" s="9"/>
      <c r="AA1014" s="9"/>
      <c r="AB1014" s="9"/>
      <c r="AC1014" s="449" t="str">
        <f t="shared" si="132"/>
        <v>PH</v>
      </c>
      <c r="AD1014" s="449"/>
      <c r="AE1014" s="449"/>
      <c r="AF1014" s="4"/>
      <c r="AG1014" s="83"/>
      <c r="AH1014" s="4"/>
      <c r="AI1014" s="4"/>
      <c r="AJ1014" s="449"/>
      <c r="AK1014" s="449"/>
      <c r="AL1014" s="449"/>
      <c r="AM1014" s="449" t="s">
        <v>552</v>
      </c>
      <c r="AN1014" s="10">
        <v>5.5</v>
      </c>
      <c r="AO1014" s="9"/>
      <c r="AP1014" s="9"/>
      <c r="AQ1014" s="9"/>
      <c r="AR1014" s="9"/>
      <c r="AS1014" s="9"/>
      <c r="AT1014" s="9">
        <f>+ab($T$1014,$T$1012,$T$1016,$G$1013,$G$1015, 1*$F$1014,1200)</f>
        <v>-8.2695134397950589</v>
      </c>
      <c r="AU1014" s="428"/>
      <c r="AV1014" s="428"/>
      <c r="AW1014" s="449" t="str">
        <f>IF(C1014&gt;0,VLOOKUP(C1014,Foundation_Calc!$A$2:$C$13,3,1),
IF(J1014&gt;0,VLOOKUP(J1014,Foundation_Calc!$A$2:$C$13,3,1),""))</f>
        <v>Multi Soil</v>
      </c>
      <c r="AX1014" s="449" t="str">
        <f>IF(C1014&gt;0,VLOOKUP(C1014,Foundation_Calc!$E$35:$G$65,3,1),
IF(J1014&gt;0,VLOOKUP(J1014,Foundation_Calc!$E$35:$G$65,3,1),""))</f>
        <v>K</v>
      </c>
      <c r="AY1014" s="10">
        <f>IF(L1014="","",
IF(AX1014="PT",VLOOKUP(L1014,Foundation_Calc!$K$79:$R$113,VLOOKUP(AW1014,Foundation_Calc!$I$2:$J$8,2,FALSE),0),
IF(AX1014="K",VLOOKUP(L1014,Foundation_Calc!$K$117:$R$151,VLOOKUP(AW1014,Foundation_Calc!$I$2:$J$8,2,FALSE),0),"")))</f>
        <v>4.2</v>
      </c>
      <c r="AZ1014" s="10" t="str">
        <f>IF(K1014="","",
IF(AX1014="PT",VLOOKUP(K1014,Foundation_Calc!$K$79:$R$113,VLOOKUP(AW1014,Foundation_Calc!$I$2:$J$8,2,FALSE),0),
IF(AX1014="K",VLOOKUP(K1014,Foundation_Calc!$K$117:$R$151,VLOOKUP(AW1014,Foundation_Calc!$I$2:$J$8,2,FALSE),0),"")))</f>
        <v/>
      </c>
      <c r="BA1014" s="495" t="str">
        <f t="shared" si="133"/>
        <v>ü</v>
      </c>
      <c r="BB1014" s="495" t="str">
        <f t="shared" si="134"/>
        <v/>
      </c>
      <c r="BC1014" s="495" t="str">
        <f t="shared" si="135"/>
        <v/>
      </c>
      <c r="BD1014" s="513" t="str">
        <f>IF(AND(L1014="",H1014=""),"",
IF(H1014="",Pole_Calc!A$9,
IF(H1014="MP",Pole_Calc!A$10,
IF(H1014="AnMP",Pole_Calc!A$11,
IF(H1014="A",Pole_Calc!A$12,
IF(H1014="S/A",Pole_Calc!A$13,
IF(H1014="A/S",Pole_Calc!A$14,"Poner a mano")))))))</f>
        <v>App.7-V11I-P9.5.1.1</v>
      </c>
      <c r="BE1014" s="429" t="s">
        <v>118</v>
      </c>
      <c r="BF1014" s="289"/>
      <c r="BG1014" s="289"/>
      <c r="BH1014" s="290"/>
      <c r="BI1014" s="289"/>
    </row>
    <row r="1015" spans="1:61" ht="15.75" customHeight="1">
      <c r="A1015" s="514"/>
      <c r="B1015" s="450"/>
      <c r="C1015" s="3"/>
      <c r="D1015" s="83"/>
      <c r="E1015" s="4"/>
      <c r="F1015" s="4"/>
      <c r="G1015" s="6">
        <v>53</v>
      </c>
      <c r="H1015" s="449"/>
      <c r="I1015" s="4"/>
      <c r="J1015" s="3"/>
      <c r="K1015" s="449"/>
      <c r="L1015" s="449"/>
      <c r="M1015" s="449" t="str">
        <f>IF(L1015="","",
IF(AX1015="PT",VLOOKUP(L1015,Foundation_Calc!$V$79:$X$113,VLOOKUP(AX1015,Foundation_Calc!$I$10:$J$13,2,FALSE),0),
IF(AX1015="K",VLOOKUP(L1015,Foundation_Calc!$V$117:$X$151,VLOOKUP(AX1015,Foundation_Calc!$I$10:$J$13,2,FALSE),0),"")))</f>
        <v/>
      </c>
      <c r="N1015" s="449"/>
      <c r="O1015" s="561"/>
      <c r="P1015" s="449"/>
      <c r="Q1015" s="4"/>
      <c r="R1015" s="6"/>
      <c r="S1015" s="6"/>
      <c r="T1015" s="4"/>
      <c r="U1015" s="4"/>
      <c r="V1015" s="4"/>
      <c r="W1015" s="9"/>
      <c r="X1015" s="9"/>
      <c r="Y1015" s="9"/>
      <c r="Z1015" s="9"/>
      <c r="AA1015" s="9"/>
      <c r="AB1015" s="9"/>
      <c r="AC1015" s="449" t="str">
        <f t="shared" si="132"/>
        <v/>
      </c>
      <c r="AD1015" s="449"/>
      <c r="AE1015" s="449"/>
      <c r="AF1015" s="4"/>
      <c r="AG1015" s="83"/>
      <c r="AH1015" s="4"/>
      <c r="AI1015" s="4"/>
      <c r="AJ1015" s="449"/>
      <c r="AK1015" s="449"/>
      <c r="AL1015" s="449"/>
      <c r="AM1015" s="449"/>
      <c r="AN1015" s="10"/>
      <c r="AO1015" s="9"/>
      <c r="AP1015" s="9"/>
      <c r="AQ1015" s="9">
        <f>+FL_2($T$1016,$T$1014,$G$1015,1200,9.28, 1*$F$1016)</f>
        <v>-0.41886855632932174</v>
      </c>
      <c r="AR1015" s="9"/>
      <c r="AS1015" s="9"/>
      <c r="AT1015" s="9"/>
      <c r="AU1015" s="428"/>
      <c r="AV1015" s="428"/>
      <c r="AW1015" s="449" t="str">
        <f>IF(C1015&gt;0,VLOOKUP(C1015,Foundation_Calc!$A$2:$C$13,3,1),
IF(J1015&gt;0,VLOOKUP(J1015,Foundation_Calc!$A$2:$C$13,3,1),""))</f>
        <v/>
      </c>
      <c r="AX1015" s="449" t="str">
        <f>IF(C1015&gt;0,VLOOKUP(C1015,Foundation_Calc!$E$35:$G$65,3,1),
IF(J1015&gt;0,VLOOKUP(J1015,Foundation_Calc!$E$35:$G$65,3,1),""))</f>
        <v/>
      </c>
      <c r="AY1015" s="10" t="str">
        <f>IF(L1015="","",
IF(AX1015="PT",VLOOKUP(L1015,Foundation_Calc!$K$79:$R$113,VLOOKUP(AW1015,Foundation_Calc!$I$2:$J$8,2,FALSE),0),
IF(AX1015="K",VLOOKUP(L1015,Foundation_Calc!$K$117:$R$151,VLOOKUP(AW1015,Foundation_Calc!$I$2:$J$8,2,FALSE),0),"")))</f>
        <v/>
      </c>
      <c r="AZ1015" s="10" t="str">
        <f>IF(K1015="","",
IF(AX1015="PT",VLOOKUP(K1015,Foundation_Calc!$K$79:$R$113,VLOOKUP(AW1015,Foundation_Calc!$I$2:$J$8,2,FALSE),0),
IF(AX1015="K",VLOOKUP(K1015,Foundation_Calc!$K$117:$R$151,VLOOKUP(AW1015,Foundation_Calc!$I$2:$J$8,2,FALSE),0),"")))</f>
        <v/>
      </c>
      <c r="BA1015" s="495" t="str">
        <f t="shared" si="133"/>
        <v/>
      </c>
      <c r="BB1015" s="495" t="str">
        <f t="shared" si="134"/>
        <v/>
      </c>
      <c r="BC1015" s="495" t="str">
        <f t="shared" si="135"/>
        <v/>
      </c>
      <c r="BD1015" s="513" t="str">
        <f>IF(AND(L1015="",H1015=""),"",
IF(H1015="",Pole_Calc!A$9,
IF(H1015="MP",Pole_Calc!A$10,
IF(H1015="AnMP",Pole_Calc!A$11,
IF(H1015="A",Pole_Calc!A$12,
IF(H1015="S/A",Pole_Calc!A$13,
IF(H1015="A/S",Pole_Calc!A$14,"Poner a mano")))))))</f>
        <v/>
      </c>
      <c r="BE1015" s="429" t="s">
        <v>118</v>
      </c>
      <c r="BF1015" s="290"/>
      <c r="BG1015" s="290"/>
      <c r="BH1015" s="290"/>
      <c r="BI1015" s="290"/>
    </row>
    <row r="1016" spans="1:61" ht="15.75" customHeight="1">
      <c r="A1016" s="514"/>
      <c r="B1016" s="450" t="s">
        <v>1467</v>
      </c>
      <c r="C1016" s="3">
        <f>+$C$1014+$G$1015</f>
        <v>54476.630000000012</v>
      </c>
      <c r="D1016" s="83"/>
      <c r="E1016" s="4"/>
      <c r="F1016" s="4">
        <v>-2300</v>
      </c>
      <c r="G1016" s="6"/>
      <c r="H1016" s="449"/>
      <c r="I1016" s="4"/>
      <c r="J1016" s="3"/>
      <c r="K1016" s="449"/>
      <c r="L1016" s="449" t="s">
        <v>158</v>
      </c>
      <c r="M1016" s="449" t="str">
        <f>IF(L1016="","",
IF(AX1016="PT",VLOOKUP(L1016,Foundation_Calc!$V$79:$X$113,VLOOKUP(AX1016,Foundation_Calc!$I$10:$J$13,2,FALSE),0),
IF(AX1016="K",VLOOKUP(L1016,Foundation_Calc!$V$117:$X$151,VLOOKUP(AX1016,Foundation_Calc!$I$10:$J$13,2,FALSE),0),"")))</f>
        <v>C4RT</v>
      </c>
      <c r="N1016" s="449" t="s">
        <v>124</v>
      </c>
      <c r="O1016" s="449"/>
      <c r="P1016" s="449"/>
      <c r="Q1016" s="4"/>
      <c r="R1016" s="6"/>
      <c r="S1016" s="6"/>
      <c r="T1016" s="4">
        <v>-30</v>
      </c>
      <c r="U1016" s="4"/>
      <c r="V1016" s="4"/>
      <c r="W1016" s="9">
        <v>1.4</v>
      </c>
      <c r="X1016" s="9"/>
      <c r="Y1016" s="9"/>
      <c r="Z1016" s="9"/>
      <c r="AA1016" s="9"/>
      <c r="AB1016" s="9"/>
      <c r="AC1016" s="449" t="str">
        <f t="shared" si="132"/>
        <v>PH</v>
      </c>
      <c r="AD1016" s="449"/>
      <c r="AE1016" s="449"/>
      <c r="AF1016" s="4"/>
      <c r="AG1016" s="83"/>
      <c r="AH1016" s="4"/>
      <c r="AI1016" s="4"/>
      <c r="AJ1016" s="449"/>
      <c r="AK1016" s="449"/>
      <c r="AL1016" s="449"/>
      <c r="AM1016" s="449" t="s">
        <v>552</v>
      </c>
      <c r="AN1016" s="10">
        <v>5.5</v>
      </c>
      <c r="AO1016" s="9"/>
      <c r="AP1016" s="9"/>
      <c r="AQ1016" s="9"/>
      <c r="AR1016" s="9"/>
      <c r="AS1016" s="9"/>
      <c r="AT1016" s="9">
        <f>+ab($T$1016,$T$1014,$T$1018,$G$1015,$G$1017, 1*$F$1016,1200)</f>
        <v>-8.2695134397950589</v>
      </c>
      <c r="AU1016" s="428"/>
      <c r="AV1016" s="428"/>
      <c r="AW1016" s="449" t="str">
        <f>IF(C1016&gt;0,VLOOKUP(C1016,Foundation_Calc!$A$2:$C$13,3,1),
IF(J1016&gt;0,VLOOKUP(J1016,Foundation_Calc!$A$2:$C$13,3,1),""))</f>
        <v>Multi Soil</v>
      </c>
      <c r="AX1016" s="449" t="str">
        <f>IF(C1016&gt;0,VLOOKUP(C1016,Foundation_Calc!$E$35:$G$65,3,1),
IF(J1016&gt;0,VLOOKUP(J1016,Foundation_Calc!$E$35:$G$65,3,1),""))</f>
        <v>K</v>
      </c>
      <c r="AY1016" s="10">
        <f>IF(L1016="","",
IF(AX1016="PT",VLOOKUP(L1016,Foundation_Calc!$K$79:$R$113,VLOOKUP(AW1016,Foundation_Calc!$I$2:$J$8,2,FALSE),0),
IF(AX1016="K",VLOOKUP(L1016,Foundation_Calc!$K$117:$R$151,VLOOKUP(AW1016,Foundation_Calc!$I$2:$J$8,2,FALSE),0),"")))</f>
        <v>4.2</v>
      </c>
      <c r="AZ1016" s="10" t="str">
        <f>IF(K1016="","",
IF(AX1016="PT",VLOOKUP(K1016,Foundation_Calc!$K$79:$R$113,VLOOKUP(AW1016,Foundation_Calc!$I$2:$J$8,2,FALSE),0),
IF(AX1016="K",VLOOKUP(K1016,Foundation_Calc!$K$117:$R$151,VLOOKUP(AW1016,Foundation_Calc!$I$2:$J$8,2,FALSE),0),"")))</f>
        <v/>
      </c>
      <c r="BA1016" s="495" t="str">
        <f t="shared" si="133"/>
        <v>ü</v>
      </c>
      <c r="BB1016" s="495" t="str">
        <f t="shared" si="134"/>
        <v/>
      </c>
      <c r="BC1016" s="495" t="str">
        <f t="shared" si="135"/>
        <v/>
      </c>
      <c r="BD1016" s="513" t="str">
        <f>IF(AND(L1016="",H1016=""),"",
IF(H1016="",Pole_Calc!A$9,
IF(H1016="MP",Pole_Calc!A$10,
IF(H1016="AnMP",Pole_Calc!A$11,
IF(H1016="A",Pole_Calc!A$12,
IF(H1016="S/A",Pole_Calc!A$13,
IF(H1016="A/S",Pole_Calc!A$14,"Poner a mano")))))))</f>
        <v>App.7-V11I-P9.5.1.1</v>
      </c>
      <c r="BE1016" s="429" t="s">
        <v>118</v>
      </c>
      <c r="BF1016" s="289"/>
      <c r="BG1016" s="289"/>
      <c r="BH1016" s="290"/>
      <c r="BI1016" s="289"/>
    </row>
    <row r="1017" spans="1:61" ht="15.75" customHeight="1">
      <c r="A1017" s="518"/>
      <c r="B1017" s="450"/>
      <c r="C1017" s="3"/>
      <c r="D1017" s="83"/>
      <c r="E1017" s="4"/>
      <c r="F1017" s="4"/>
      <c r="G1017" s="6">
        <v>53</v>
      </c>
      <c r="H1017" s="449"/>
      <c r="I1017" s="4"/>
      <c r="J1017" s="3"/>
      <c r="K1017" s="449"/>
      <c r="L1017" s="449"/>
      <c r="M1017" s="449" t="str">
        <f>IF(L1017="","",
IF(AX1017="PT",VLOOKUP(L1017,Foundation_Calc!$V$79:$X$113,VLOOKUP(AX1017,Foundation_Calc!$I$10:$J$13,2,FALSE),0),
IF(AX1017="K",VLOOKUP(L1017,Foundation_Calc!$V$117:$X$151,VLOOKUP(AX1017,Foundation_Calc!$I$10:$J$13,2,FALSE),0),"")))</f>
        <v/>
      </c>
      <c r="N1017" s="449"/>
      <c r="O1017" s="449"/>
      <c r="P1017" s="449"/>
      <c r="Q1017" s="4"/>
      <c r="R1017" s="6"/>
      <c r="S1017" s="6"/>
      <c r="T1017" s="4"/>
      <c r="U1017" s="4"/>
      <c r="V1017" s="4"/>
      <c r="W1017" s="9"/>
      <c r="X1017" s="9"/>
      <c r="Y1017" s="9"/>
      <c r="Z1017" s="9"/>
      <c r="AA1017" s="9"/>
      <c r="AB1017" s="9"/>
      <c r="AC1017" s="449" t="str">
        <f t="shared" si="132"/>
        <v/>
      </c>
      <c r="AD1017" s="449"/>
      <c r="AE1017" s="449"/>
      <c r="AF1017" s="4"/>
      <c r="AG1017" s="83"/>
      <c r="AH1017" s="4"/>
      <c r="AI1017" s="4"/>
      <c r="AJ1017" s="449"/>
      <c r="AK1017" s="449"/>
      <c r="AL1017" s="449"/>
      <c r="AM1017" s="449"/>
      <c r="AN1017" s="10"/>
      <c r="AO1017" s="9"/>
      <c r="AP1017" s="9"/>
      <c r="AQ1017" s="9">
        <f>+FL_2($T$1018,$T$1016,$G$1017,1200,9.28, 1*$F$1018)</f>
        <v>-0.41886855632932174</v>
      </c>
      <c r="AR1017" s="9"/>
      <c r="AS1017" s="9"/>
      <c r="AT1017" s="9"/>
      <c r="AU1017" s="428"/>
      <c r="AV1017" s="428"/>
      <c r="AW1017" s="449" t="str">
        <f>IF(C1017&gt;0,VLOOKUP(C1017,Foundation_Calc!$A$2:$C$13,3,1),
IF(J1017&gt;0,VLOOKUP(J1017,Foundation_Calc!$A$2:$C$13,3,1),""))</f>
        <v/>
      </c>
      <c r="AX1017" s="449" t="str">
        <f>IF(C1017&gt;0,VLOOKUP(C1017,Foundation_Calc!$E$35:$G$65,3,1),
IF(J1017&gt;0,VLOOKUP(J1017,Foundation_Calc!$E$35:$G$65,3,1),""))</f>
        <v/>
      </c>
      <c r="AY1017" s="10" t="str">
        <f>IF(L1017="","",
IF(AX1017="PT",VLOOKUP(L1017,Foundation_Calc!$K$79:$R$113,VLOOKUP(AW1017,Foundation_Calc!$I$2:$J$8,2,FALSE),0),
IF(AX1017="K",VLOOKUP(L1017,Foundation_Calc!$K$117:$R$151,VLOOKUP(AW1017,Foundation_Calc!$I$2:$J$8,2,FALSE),0),"")))</f>
        <v/>
      </c>
      <c r="AZ1017" s="10" t="str">
        <f>IF(K1017="","",
IF(AX1017="PT",VLOOKUP(K1017,Foundation_Calc!$K$79:$R$113,VLOOKUP(AW1017,Foundation_Calc!$I$2:$J$8,2,FALSE),0),
IF(AX1017="K",VLOOKUP(K1017,Foundation_Calc!$K$117:$R$151,VLOOKUP(AW1017,Foundation_Calc!$I$2:$J$8,2,FALSE),0),"")))</f>
        <v/>
      </c>
      <c r="BA1017" s="495" t="str">
        <f t="shared" si="133"/>
        <v/>
      </c>
      <c r="BB1017" s="495" t="str">
        <f t="shared" si="134"/>
        <v/>
      </c>
      <c r="BC1017" s="495" t="str">
        <f t="shared" si="135"/>
        <v/>
      </c>
      <c r="BD1017" s="513" t="str">
        <f>IF(AND(L1017="",H1017=""),"",
IF(H1017="",Pole_Calc!A$9,
IF(H1017="MP",Pole_Calc!A$10,
IF(H1017="AnMP",Pole_Calc!A$11,
IF(H1017="A",Pole_Calc!A$12,
IF(H1017="S/A",Pole_Calc!A$13,
IF(H1017="A/S",Pole_Calc!A$14,"Poner a mano")))))))</f>
        <v/>
      </c>
      <c r="BE1017" s="429" t="s">
        <v>118</v>
      </c>
      <c r="BF1017" s="290"/>
      <c r="BG1017" s="290"/>
      <c r="BH1017" s="290"/>
      <c r="BI1017" s="290"/>
    </row>
    <row r="1018" spans="1:61" ht="15.75" customHeight="1">
      <c r="A1018" s="514"/>
      <c r="B1018" s="450" t="s">
        <v>1468</v>
      </c>
      <c r="C1018" s="3">
        <f>+$C$1016+$G$1017</f>
        <v>54529.630000000012</v>
      </c>
      <c r="D1018" s="83"/>
      <c r="E1018" s="4"/>
      <c r="F1018" s="4">
        <v>-2300</v>
      </c>
      <c r="G1018" s="6"/>
      <c r="H1018" s="449"/>
      <c r="I1018" s="4"/>
      <c r="J1018" s="3"/>
      <c r="K1018" s="449"/>
      <c r="L1018" s="449" t="s">
        <v>158</v>
      </c>
      <c r="M1018" s="449" t="str">
        <f>IF(L1018="","",
IF(AX1018="PT",VLOOKUP(L1018,Foundation_Calc!$V$79:$X$113,VLOOKUP(AX1018,Foundation_Calc!$I$10:$J$13,2,FALSE),0),
IF(AX1018="K",VLOOKUP(L1018,Foundation_Calc!$V$117:$X$151,VLOOKUP(AX1018,Foundation_Calc!$I$10:$J$13,2,FALSE),0),"")))</f>
        <v>C4RT</v>
      </c>
      <c r="N1018" s="449" t="s">
        <v>124</v>
      </c>
      <c r="O1018" s="449"/>
      <c r="P1018" s="449"/>
      <c r="Q1018" s="4"/>
      <c r="R1018" s="6"/>
      <c r="S1018" s="6"/>
      <c r="T1018" s="4">
        <v>-30</v>
      </c>
      <c r="U1018" s="4"/>
      <c r="V1018" s="4"/>
      <c r="W1018" s="9">
        <v>1.4</v>
      </c>
      <c r="X1018" s="9"/>
      <c r="Y1018" s="9"/>
      <c r="Z1018" s="9"/>
      <c r="AA1018" s="9"/>
      <c r="AB1018" s="9"/>
      <c r="AC1018" s="449" t="str">
        <f t="shared" si="132"/>
        <v>PH</v>
      </c>
      <c r="AD1018" s="449"/>
      <c r="AE1018" s="449"/>
      <c r="AF1018" s="4"/>
      <c r="AG1018" s="83"/>
      <c r="AH1018" s="4"/>
      <c r="AI1018" s="4"/>
      <c r="AJ1018" s="449"/>
      <c r="AK1018" s="449"/>
      <c r="AL1018" s="449"/>
      <c r="AM1018" s="449" t="s">
        <v>552</v>
      </c>
      <c r="AN1018" s="10">
        <v>5.5</v>
      </c>
      <c r="AO1018" s="9"/>
      <c r="AP1018" s="9"/>
      <c r="AQ1018" s="9"/>
      <c r="AR1018" s="9"/>
      <c r="AS1018" s="9"/>
      <c r="AT1018" s="9">
        <f>+ab($T$1018,$T$1016,$T$1020,$G$1017,$G$1019, 1*$F$1018,1200)</f>
        <v>-8.2695134397950589</v>
      </c>
      <c r="AU1018" s="428"/>
      <c r="AV1018" s="428"/>
      <c r="AW1018" s="449" t="str">
        <f>IF(C1018&gt;0,VLOOKUP(C1018,Foundation_Calc!$A$2:$C$13,3,1),
IF(J1018&gt;0,VLOOKUP(J1018,Foundation_Calc!$A$2:$C$13,3,1),""))</f>
        <v>Multi Soil</v>
      </c>
      <c r="AX1018" s="449" t="str">
        <f>IF(C1018&gt;0,VLOOKUP(C1018,Foundation_Calc!$E$35:$G$65,3,1),
IF(J1018&gt;0,VLOOKUP(J1018,Foundation_Calc!$E$35:$G$65,3,1),""))</f>
        <v>K</v>
      </c>
      <c r="AY1018" s="10">
        <f>IF(L1018="","",
IF(AX1018="PT",VLOOKUP(L1018,Foundation_Calc!$K$79:$R$113,VLOOKUP(AW1018,Foundation_Calc!$I$2:$J$8,2,FALSE),0),
IF(AX1018="K",VLOOKUP(L1018,Foundation_Calc!$K$117:$R$151,VLOOKUP(AW1018,Foundation_Calc!$I$2:$J$8,2,FALSE),0),"")))</f>
        <v>4.2</v>
      </c>
      <c r="AZ1018" s="10" t="str">
        <f>IF(K1018="","",
IF(AX1018="PT",VLOOKUP(K1018,Foundation_Calc!$K$79:$R$113,VLOOKUP(AW1018,Foundation_Calc!$I$2:$J$8,2,FALSE),0),
IF(AX1018="K",VLOOKUP(K1018,Foundation_Calc!$K$117:$R$151,VLOOKUP(AW1018,Foundation_Calc!$I$2:$J$8,2,FALSE),0),"")))</f>
        <v/>
      </c>
      <c r="BA1018" s="495" t="str">
        <f t="shared" si="133"/>
        <v>ü</v>
      </c>
      <c r="BB1018" s="495" t="str">
        <f t="shared" si="134"/>
        <v/>
      </c>
      <c r="BC1018" s="495" t="str">
        <f t="shared" si="135"/>
        <v/>
      </c>
      <c r="BD1018" s="513" t="str">
        <f>IF(AND(L1018="",H1018=""),"",
IF(H1018="",Pole_Calc!A$9,
IF(H1018="MP",Pole_Calc!A$10,
IF(H1018="AnMP",Pole_Calc!A$11,
IF(H1018="A",Pole_Calc!A$12,
IF(H1018="S/A",Pole_Calc!A$13,
IF(H1018="A/S",Pole_Calc!A$14,"Poner a mano")))))))</f>
        <v>App.7-V11I-P9.5.1.1</v>
      </c>
      <c r="BE1018" s="429" t="s">
        <v>118</v>
      </c>
      <c r="BF1018" s="289"/>
      <c r="BG1018" s="289"/>
      <c r="BH1018" s="290"/>
      <c r="BI1018" s="289"/>
    </row>
    <row r="1019" spans="1:61" ht="15.75" customHeight="1">
      <c r="A1019" s="514"/>
      <c r="B1019" s="450"/>
      <c r="C1019" s="3"/>
      <c r="D1019" s="83"/>
      <c r="E1019" s="4"/>
      <c r="F1019" s="4"/>
      <c r="G1019" s="6">
        <v>53</v>
      </c>
      <c r="H1019" s="449"/>
      <c r="I1019" s="4"/>
      <c r="J1019" s="3"/>
      <c r="K1019" s="449"/>
      <c r="L1019" s="449"/>
      <c r="M1019" s="449" t="str">
        <f>IF(L1019="","",
IF(AX1019="PT",VLOOKUP(L1019,Foundation_Calc!$V$79:$X$113,VLOOKUP(AX1019,Foundation_Calc!$I$10:$J$13,2,FALSE),0),
IF(AX1019="K",VLOOKUP(L1019,Foundation_Calc!$V$117:$X$151,VLOOKUP(AX1019,Foundation_Calc!$I$10:$J$13,2,FALSE),0),"")))</f>
        <v/>
      </c>
      <c r="N1019" s="449"/>
      <c r="O1019" s="449"/>
      <c r="P1019" s="449"/>
      <c r="Q1019" s="4"/>
      <c r="R1019" s="6"/>
      <c r="S1019" s="6"/>
      <c r="T1019" s="4"/>
      <c r="U1019" s="4"/>
      <c r="V1019" s="4"/>
      <c r="W1019" s="9"/>
      <c r="X1019" s="9"/>
      <c r="Y1019" s="9"/>
      <c r="Z1019" s="9"/>
      <c r="AA1019" s="9"/>
      <c r="AB1019" s="9"/>
      <c r="AC1019" s="449" t="str">
        <f t="shared" si="132"/>
        <v/>
      </c>
      <c r="AD1019" s="449"/>
      <c r="AE1019" s="449"/>
      <c r="AF1019" s="4"/>
      <c r="AG1019" s="83"/>
      <c r="AH1019" s="4"/>
      <c r="AI1019" s="4"/>
      <c r="AJ1019" s="449"/>
      <c r="AK1019" s="449"/>
      <c r="AL1019" s="449"/>
      <c r="AM1019" s="449"/>
      <c r="AN1019" s="10"/>
      <c r="AO1019" s="9"/>
      <c r="AP1019" s="9"/>
      <c r="AQ1019" s="9">
        <f>+FL_2($T$1020,$T$1018,$G$1019,1200,9.28, 1*$F$1020)</f>
        <v>-0.43112192494512391</v>
      </c>
      <c r="AR1019" s="9"/>
      <c r="AS1019" s="9"/>
      <c r="AT1019" s="9"/>
      <c r="AU1019" s="428"/>
      <c r="AV1019" s="428"/>
      <c r="AW1019" s="449" t="str">
        <f>IF(C1019&gt;0,VLOOKUP(C1019,Foundation_Calc!$A$2:$C$13,3,1),
IF(J1019&gt;0,VLOOKUP(J1019,Foundation_Calc!$A$2:$C$13,3,1),""))</f>
        <v/>
      </c>
      <c r="AX1019" s="449" t="str">
        <f>IF(C1019&gt;0,VLOOKUP(C1019,Foundation_Calc!$E$35:$G$65,3,1),
IF(J1019&gt;0,VLOOKUP(J1019,Foundation_Calc!$E$35:$G$65,3,1),""))</f>
        <v/>
      </c>
      <c r="AY1019" s="10" t="str">
        <f>IF(L1019="","",
IF(AX1019="PT",VLOOKUP(L1019,Foundation_Calc!$K$79:$R$113,VLOOKUP(AW1019,Foundation_Calc!$I$2:$J$8,2,FALSE),0),
IF(AX1019="K",VLOOKUP(L1019,Foundation_Calc!$K$117:$R$151,VLOOKUP(AW1019,Foundation_Calc!$I$2:$J$8,2,FALSE),0),"")))</f>
        <v/>
      </c>
      <c r="AZ1019" s="10" t="str">
        <f>IF(K1019="","",
IF(AX1019="PT",VLOOKUP(K1019,Foundation_Calc!$K$79:$R$113,VLOOKUP(AW1019,Foundation_Calc!$I$2:$J$8,2,FALSE),0),
IF(AX1019="K",VLOOKUP(K1019,Foundation_Calc!$K$117:$R$151,VLOOKUP(AW1019,Foundation_Calc!$I$2:$J$8,2,FALSE),0),"")))</f>
        <v/>
      </c>
      <c r="BA1019" s="495" t="str">
        <f t="shared" si="133"/>
        <v/>
      </c>
      <c r="BB1019" s="495" t="str">
        <f t="shared" si="134"/>
        <v/>
      </c>
      <c r="BC1019" s="495" t="str">
        <f t="shared" si="135"/>
        <v/>
      </c>
      <c r="BD1019" s="513" t="str">
        <f>IF(AND(L1019="",H1019=""),"",
IF(H1019="",Pole_Calc!A$9,
IF(H1019="MP",Pole_Calc!A$10,
IF(H1019="AnMP",Pole_Calc!A$11,
IF(H1019="A",Pole_Calc!A$12,
IF(H1019="S/A",Pole_Calc!A$13,
IF(H1019="A/S",Pole_Calc!A$14,"Poner a mano")))))))</f>
        <v/>
      </c>
      <c r="BE1019" s="429" t="s">
        <v>118</v>
      </c>
      <c r="BF1019" s="290"/>
      <c r="BG1019" s="290"/>
      <c r="BH1019" s="290"/>
      <c r="BI1019" s="290"/>
    </row>
    <row r="1020" spans="1:61" ht="15.75" customHeight="1">
      <c r="A1020" s="514"/>
      <c r="B1020" s="450" t="s">
        <v>1469</v>
      </c>
      <c r="C1020" s="3">
        <f>+$C$1018+$G$1019</f>
        <v>54582.630000000012</v>
      </c>
      <c r="D1020" s="83"/>
      <c r="E1020" s="4"/>
      <c r="F1020" s="4">
        <v>-2500.6979598099765</v>
      </c>
      <c r="G1020" s="6"/>
      <c r="H1020" s="449"/>
      <c r="I1020" s="4"/>
      <c r="J1020" s="3"/>
      <c r="K1020" s="449"/>
      <c r="L1020" s="449" t="s">
        <v>158</v>
      </c>
      <c r="M1020" s="449" t="str">
        <f>IF(L1020="","",
IF(AX1020="PT",VLOOKUP(L1020,Foundation_Calc!$V$79:$X$113,VLOOKUP(AX1020,Foundation_Calc!$I$10:$J$13,2,FALSE),0),
IF(AX1020="K",VLOOKUP(L1020,Foundation_Calc!$V$117:$X$151,VLOOKUP(AX1020,Foundation_Calc!$I$10:$J$13,2,FALSE),0),"")))</f>
        <v>C4RT</v>
      </c>
      <c r="N1020" s="449" t="s">
        <v>124</v>
      </c>
      <c r="O1020" s="449"/>
      <c r="P1020" s="449"/>
      <c r="Q1020" s="4"/>
      <c r="R1020" s="6"/>
      <c r="S1020" s="6"/>
      <c r="T1020" s="4">
        <v>-30</v>
      </c>
      <c r="U1020" s="4"/>
      <c r="V1020" s="4"/>
      <c r="W1020" s="9">
        <v>1.4</v>
      </c>
      <c r="X1020" s="9"/>
      <c r="Y1020" s="9"/>
      <c r="Z1020" s="9"/>
      <c r="AA1020" s="9"/>
      <c r="AB1020" s="9"/>
      <c r="AC1020" s="449" t="str">
        <f t="shared" si="132"/>
        <v>PH</v>
      </c>
      <c r="AD1020" s="449"/>
      <c r="AE1020" s="449"/>
      <c r="AF1020" s="4"/>
      <c r="AG1020" s="83"/>
      <c r="AH1020" s="4"/>
      <c r="AI1020" s="4"/>
      <c r="AJ1020" s="449"/>
      <c r="AK1020" s="449"/>
      <c r="AL1020" s="449"/>
      <c r="AM1020" s="449" t="s">
        <v>552</v>
      </c>
      <c r="AN1020" s="10">
        <v>5.5</v>
      </c>
      <c r="AO1020" s="9"/>
      <c r="AP1020" s="9"/>
      <c r="AQ1020" s="9"/>
      <c r="AR1020" s="9"/>
      <c r="AS1020" s="9"/>
      <c r="AT1020" s="9">
        <f>+ab($T$1020,$T$1018,$T$1022,$G$1019,$G$1021, 1*$F$1020,1200)</f>
        <v>-8.2562994930958382</v>
      </c>
      <c r="AU1020" s="428"/>
      <c r="AV1020" s="428"/>
      <c r="AW1020" s="449" t="str">
        <f>IF(C1020&gt;0,VLOOKUP(C1020,Foundation_Calc!$A$2:$C$13,3,1),
IF(J1020&gt;0,VLOOKUP(J1020,Foundation_Calc!$A$2:$C$13,3,1),""))</f>
        <v>Multi Soil</v>
      </c>
      <c r="AX1020" s="449" t="str">
        <f>IF(C1020&gt;0,VLOOKUP(C1020,Foundation_Calc!$E$35:$G$65,3,1),
IF(J1020&gt;0,VLOOKUP(J1020,Foundation_Calc!$E$35:$G$65,3,1),""))</f>
        <v>K</v>
      </c>
      <c r="AY1020" s="10">
        <f>IF(L1020="","",
IF(AX1020="PT",VLOOKUP(L1020,Foundation_Calc!$K$79:$R$113,VLOOKUP(AW1020,Foundation_Calc!$I$2:$J$8,2,FALSE),0),
IF(AX1020="K",VLOOKUP(L1020,Foundation_Calc!$K$117:$R$151,VLOOKUP(AW1020,Foundation_Calc!$I$2:$J$8,2,FALSE),0),"")))</f>
        <v>4.2</v>
      </c>
      <c r="AZ1020" s="10" t="str">
        <f>IF(K1020="","",
IF(AX1020="PT",VLOOKUP(K1020,Foundation_Calc!$K$79:$R$113,VLOOKUP(AW1020,Foundation_Calc!$I$2:$J$8,2,FALSE),0),
IF(AX1020="K",VLOOKUP(K1020,Foundation_Calc!$K$117:$R$151,VLOOKUP(AW1020,Foundation_Calc!$I$2:$J$8,2,FALSE),0),"")))</f>
        <v/>
      </c>
      <c r="BA1020" s="495" t="str">
        <f t="shared" si="133"/>
        <v>ü</v>
      </c>
      <c r="BB1020" s="495" t="str">
        <f t="shared" si="134"/>
        <v/>
      </c>
      <c r="BC1020" s="495" t="str">
        <f t="shared" si="135"/>
        <v/>
      </c>
      <c r="BD1020" s="513" t="str">
        <f>IF(AND(L1020="",H1020=""),"",
IF(H1020="",Pole_Calc!A$9,
IF(H1020="MP",Pole_Calc!A$10,
IF(H1020="AnMP",Pole_Calc!A$11,
IF(H1020="A",Pole_Calc!A$12,
IF(H1020="S/A",Pole_Calc!A$13,
IF(H1020="A/S",Pole_Calc!A$14,"Poner a mano")))))))</f>
        <v>App.7-V11I-P9.5.1.1</v>
      </c>
      <c r="BE1020" s="429" t="s">
        <v>118</v>
      </c>
      <c r="BF1020" s="289"/>
      <c r="BG1020" s="289"/>
      <c r="BH1020" s="290"/>
      <c r="BI1020" s="289"/>
    </row>
    <row r="1021" spans="1:61" ht="15.75" customHeight="1">
      <c r="A1021" s="514"/>
      <c r="B1021" s="450"/>
      <c r="C1021" s="3"/>
      <c r="D1021" s="83"/>
      <c r="E1021" s="4"/>
      <c r="F1021" s="4"/>
      <c r="G1021" s="6">
        <v>53</v>
      </c>
      <c r="H1021" s="449"/>
      <c r="I1021" s="4"/>
      <c r="J1021" s="3"/>
      <c r="K1021" s="449"/>
      <c r="L1021" s="449"/>
      <c r="M1021" s="449" t="str">
        <f>IF(L1021="","",
IF(AX1021="PT",VLOOKUP(L1021,Foundation_Calc!$V$79:$X$113,VLOOKUP(AX1021,Foundation_Calc!$I$10:$J$13,2,FALSE),0),
IF(AX1021="K",VLOOKUP(L1021,Foundation_Calc!$V$117:$X$151,VLOOKUP(AX1021,Foundation_Calc!$I$10:$J$13,2,FALSE),0),"")))</f>
        <v/>
      </c>
      <c r="N1021" s="449"/>
      <c r="O1021" s="561"/>
      <c r="P1021" s="449"/>
      <c r="Q1021" s="4"/>
      <c r="R1021" s="6"/>
      <c r="S1021" s="6"/>
      <c r="T1021" s="4"/>
      <c r="U1021" s="4"/>
      <c r="V1021" s="4"/>
      <c r="W1021" s="9"/>
      <c r="X1021" s="9"/>
      <c r="Y1021" s="9"/>
      <c r="Z1021" s="9"/>
      <c r="AA1021" s="9"/>
      <c r="AB1021" s="9"/>
      <c r="AC1021" s="449" t="str">
        <f t="shared" si="132"/>
        <v/>
      </c>
      <c r="AD1021" s="449"/>
      <c r="AE1021" s="449"/>
      <c r="AF1021" s="4"/>
      <c r="AG1021" s="83"/>
      <c r="AH1021" s="4"/>
      <c r="AI1021" s="4"/>
      <c r="AJ1021" s="449"/>
      <c r="AK1021" s="449"/>
      <c r="AL1021" s="449"/>
      <c r="AM1021" s="449"/>
      <c r="AN1021" s="10"/>
      <c r="AO1021" s="9"/>
      <c r="AP1021" s="9"/>
      <c r="AQ1021" s="9">
        <f>+FL_2($T$1022,$T$1020,$G$1021,1200,9.28, 1*$F$1022)</f>
        <v>-0.44152350732566614</v>
      </c>
      <c r="AR1021" s="9"/>
      <c r="AS1021" s="9"/>
      <c r="AT1021" s="9"/>
      <c r="AU1021" s="428"/>
      <c r="AV1021" s="428"/>
      <c r="AW1021" s="449" t="str">
        <f>IF(C1021&gt;0,VLOOKUP(C1021,Foundation_Calc!$A$2:$C$13,3,1),
IF(J1021&gt;0,VLOOKUP(J1021,Foundation_Calc!$A$2:$C$13,3,1),""))</f>
        <v/>
      </c>
      <c r="AX1021" s="449" t="str">
        <f>IF(C1021&gt;0,VLOOKUP(C1021,Foundation_Calc!$E$35:$G$65,3,1),
IF(J1021&gt;0,VLOOKUP(J1021,Foundation_Calc!$E$35:$G$65,3,1),""))</f>
        <v/>
      </c>
      <c r="AY1021" s="10" t="str">
        <f>IF(L1021="","",
IF(AX1021="PT",VLOOKUP(L1021,Foundation_Calc!$K$79:$R$113,VLOOKUP(AW1021,Foundation_Calc!$I$2:$J$8,2,FALSE),0),
IF(AX1021="K",VLOOKUP(L1021,Foundation_Calc!$K$117:$R$151,VLOOKUP(AW1021,Foundation_Calc!$I$2:$J$8,2,FALSE),0),"")))</f>
        <v/>
      </c>
      <c r="AZ1021" s="10" t="str">
        <f>IF(K1021="","",
IF(AX1021="PT",VLOOKUP(K1021,Foundation_Calc!$K$79:$R$113,VLOOKUP(AW1021,Foundation_Calc!$I$2:$J$8,2,FALSE),0),
IF(AX1021="K",VLOOKUP(K1021,Foundation_Calc!$K$117:$R$151,VLOOKUP(AW1021,Foundation_Calc!$I$2:$J$8,2,FALSE),0),"")))</f>
        <v/>
      </c>
      <c r="BA1021" s="495" t="str">
        <f t="shared" si="133"/>
        <v/>
      </c>
      <c r="BB1021" s="495" t="str">
        <f t="shared" si="134"/>
        <v/>
      </c>
      <c r="BC1021" s="495" t="str">
        <f t="shared" si="135"/>
        <v/>
      </c>
      <c r="BD1021" s="513" t="str">
        <f>IF(AND(L1021="",H1021=""),"",
IF(H1021="",Pole_Calc!A$9,
IF(H1021="MP",Pole_Calc!A$10,
IF(H1021="AnMP",Pole_Calc!A$11,
IF(H1021="A",Pole_Calc!A$12,
IF(H1021="S/A",Pole_Calc!A$13,
IF(H1021="A/S",Pole_Calc!A$14,"Poner a mano")))))))</f>
        <v/>
      </c>
      <c r="BE1021" s="429" t="s">
        <v>118</v>
      </c>
      <c r="BF1021" s="290"/>
      <c r="BG1021" s="290"/>
      <c r="BH1021" s="290"/>
      <c r="BI1021" s="290"/>
    </row>
    <row r="1022" spans="1:61" ht="15.75" customHeight="1">
      <c r="A1022" s="514"/>
      <c r="B1022" s="450" t="s">
        <v>1470</v>
      </c>
      <c r="C1022" s="3">
        <f>+$C$1020+$G$1021</f>
        <v>54635.630000000012</v>
      </c>
      <c r="D1022" s="83"/>
      <c r="E1022" s="4"/>
      <c r="F1022" s="4">
        <v>-4213.5047815978505</v>
      </c>
      <c r="G1022" s="6"/>
      <c r="H1022" s="449"/>
      <c r="I1022" s="4"/>
      <c r="J1022" s="3"/>
      <c r="K1022" s="449"/>
      <c r="L1022" s="449" t="s">
        <v>153</v>
      </c>
      <c r="M1022" s="449" t="str">
        <f>IF(L1022="","",
IF(AX1022="PT",VLOOKUP(L1022,Foundation_Calc!$V$79:$X$113,VLOOKUP(AX1022,Foundation_Calc!$I$10:$J$13,2,FALSE),0),
IF(AX1022="K",VLOOKUP(L1022,Foundation_Calc!$V$117:$X$151,VLOOKUP(AX1022,Foundation_Calc!$I$10:$J$13,2,FALSE),0),"")))</f>
        <v>C3RT</v>
      </c>
      <c r="N1022" s="449" t="s">
        <v>124</v>
      </c>
      <c r="O1022" s="449"/>
      <c r="P1022" s="449"/>
      <c r="Q1022" s="4"/>
      <c r="R1022" s="6"/>
      <c r="S1022" s="6"/>
      <c r="T1022" s="4">
        <v>-20</v>
      </c>
      <c r="U1022" s="4"/>
      <c r="V1022" s="4"/>
      <c r="W1022" s="9">
        <v>1.4</v>
      </c>
      <c r="X1022" s="9"/>
      <c r="Y1022" s="9"/>
      <c r="Z1022" s="9"/>
      <c r="AA1022" s="9"/>
      <c r="AB1022" s="9"/>
      <c r="AC1022" s="449" t="str">
        <f t="shared" si="132"/>
        <v>PH</v>
      </c>
      <c r="AD1022" s="449"/>
      <c r="AE1022" s="449"/>
      <c r="AF1022" s="4"/>
      <c r="AG1022" s="83"/>
      <c r="AH1022" s="4"/>
      <c r="AI1022" s="4"/>
      <c r="AJ1022" s="449"/>
      <c r="AK1022" s="449"/>
      <c r="AL1022" s="449"/>
      <c r="AM1022" s="449" t="s">
        <v>552</v>
      </c>
      <c r="AN1022" s="10">
        <v>5.5</v>
      </c>
      <c r="AO1022" s="9"/>
      <c r="AP1022" s="9"/>
      <c r="AQ1022" s="9"/>
      <c r="AR1022" s="9"/>
      <c r="AS1022" s="9"/>
      <c r="AT1022" s="9">
        <f>+ab($T$1022,$T$1020,$T$1024,$G$1021,$G$1023, 1*$F$1022,1200)</f>
        <v>-9.4970800187100348</v>
      </c>
      <c r="AU1022" s="428"/>
      <c r="AV1022" s="428"/>
      <c r="AW1022" s="449" t="str">
        <f>IF(C1022&gt;0,VLOOKUP(C1022,Foundation_Calc!$A$2:$C$13,3,1),
IF(J1022&gt;0,VLOOKUP(J1022,Foundation_Calc!$A$2:$C$13,3,1),""))</f>
        <v>Multi Soil</v>
      </c>
      <c r="AX1022" s="449" t="str">
        <f>IF(C1022&gt;0,VLOOKUP(C1022,Foundation_Calc!$E$35:$G$65,3,1),
IF(J1022&gt;0,VLOOKUP(J1022,Foundation_Calc!$E$35:$G$65,3,1),""))</f>
        <v>K</v>
      </c>
      <c r="AY1022" s="10">
        <f>IF(L1022="","",
IF(AX1022="PT",VLOOKUP(L1022,Foundation_Calc!$K$79:$R$113,VLOOKUP(AW1022,Foundation_Calc!$I$2:$J$8,2,FALSE),0),
IF(AX1022="K",VLOOKUP(L1022,Foundation_Calc!$K$117:$R$151,VLOOKUP(AW1022,Foundation_Calc!$I$2:$J$8,2,FALSE),0),"")))</f>
        <v>4</v>
      </c>
      <c r="AZ1022" s="10" t="str">
        <f>IF(K1022="","",
IF(AX1022="PT",VLOOKUP(K1022,Foundation_Calc!$K$79:$R$113,VLOOKUP(AW1022,Foundation_Calc!$I$2:$J$8,2,FALSE),0),
IF(AX1022="K",VLOOKUP(K1022,Foundation_Calc!$K$117:$R$151,VLOOKUP(AW1022,Foundation_Calc!$I$2:$J$8,2,FALSE),0),"")))</f>
        <v/>
      </c>
      <c r="BA1022" s="495" t="str">
        <f t="shared" si="133"/>
        <v>ü</v>
      </c>
      <c r="BB1022" s="495" t="str">
        <f t="shared" si="134"/>
        <v/>
      </c>
      <c r="BC1022" s="495" t="str">
        <f t="shared" si="135"/>
        <v/>
      </c>
      <c r="BD1022" s="513" t="str">
        <f>IF(AND(L1022="",H1022=""),"",
IF(H1022="",Pole_Calc!A$9,
IF(H1022="MP",Pole_Calc!A$10,
IF(H1022="AnMP",Pole_Calc!A$11,
IF(H1022="A",Pole_Calc!A$12,
IF(H1022="S/A",Pole_Calc!A$13,
IF(H1022="A/S",Pole_Calc!A$14,"Poner a mano")))))))</f>
        <v>App.7-V11I-P9.5.1.1</v>
      </c>
      <c r="BE1022" s="429" t="s">
        <v>118</v>
      </c>
      <c r="BF1022" s="289"/>
      <c r="BG1022" s="289"/>
      <c r="BH1022" s="290"/>
      <c r="BI1022" s="289"/>
    </row>
    <row r="1023" spans="1:61" ht="15.75" customHeight="1">
      <c r="A1023" s="518"/>
      <c r="B1023" s="450"/>
      <c r="C1023" s="3"/>
      <c r="D1023" s="83"/>
      <c r="E1023" s="4"/>
      <c r="F1023" s="4"/>
      <c r="G1023" s="6">
        <v>55</v>
      </c>
      <c r="H1023" s="449"/>
      <c r="I1023" s="4"/>
      <c r="J1023" s="3"/>
      <c r="K1023" s="449"/>
      <c r="L1023" s="449"/>
      <c r="M1023" s="449" t="str">
        <f>IF(L1023="","",
IF(AX1023="PT",VLOOKUP(L1023,Foundation_Calc!$V$79:$X$113,VLOOKUP(AX1023,Foundation_Calc!$I$10:$J$13,2,FALSE),0),
IF(AX1023="K",VLOOKUP(L1023,Foundation_Calc!$V$117:$X$151,VLOOKUP(AX1023,Foundation_Calc!$I$10:$J$13,2,FALSE),0),"")))</f>
        <v/>
      </c>
      <c r="N1023" s="449"/>
      <c r="O1023" s="449"/>
      <c r="P1023" s="449"/>
      <c r="Q1023" s="4"/>
      <c r="R1023" s="6"/>
      <c r="S1023" s="6"/>
      <c r="T1023" s="4"/>
      <c r="U1023" s="4"/>
      <c r="V1023" s="4"/>
      <c r="W1023" s="9"/>
      <c r="X1023" s="9"/>
      <c r="Y1023" s="9"/>
      <c r="Z1023" s="9"/>
      <c r="AA1023" s="9"/>
      <c r="AB1023" s="9"/>
      <c r="AC1023" s="449" t="str">
        <f t="shared" si="132"/>
        <v/>
      </c>
      <c r="AD1023" s="449"/>
      <c r="AE1023" s="449"/>
      <c r="AF1023" s="4"/>
      <c r="AG1023" s="83"/>
      <c r="AH1023" s="4"/>
      <c r="AI1023" s="4"/>
      <c r="AJ1023" s="449"/>
      <c r="AK1023" s="449"/>
      <c r="AL1023" s="449"/>
      <c r="AM1023" s="449"/>
      <c r="AN1023" s="10"/>
      <c r="AO1023" s="9"/>
      <c r="AP1023" s="9"/>
      <c r="AQ1023" s="9">
        <f>+FL_1($T$1024,$T$1022,$G$1023,1200,9.28, 1*$F$1024)</f>
        <v>0.41744965190937106</v>
      </c>
      <c r="AR1023" s="9"/>
      <c r="AS1023" s="9"/>
      <c r="AT1023" s="9"/>
      <c r="AU1023" s="428"/>
      <c r="AV1023" s="428"/>
      <c r="AW1023" s="449" t="str">
        <f>IF(C1023&gt;0,VLOOKUP(C1023,Foundation_Calc!$A$2:$C$13,3,1),
IF(J1023&gt;0,VLOOKUP(J1023,Foundation_Calc!$A$2:$C$13,3,1),""))</f>
        <v/>
      </c>
      <c r="AX1023" s="449" t="str">
        <f>IF(C1023&gt;0,VLOOKUP(C1023,Foundation_Calc!$E$35:$G$65,3,1),
IF(J1023&gt;0,VLOOKUP(J1023,Foundation_Calc!$E$35:$G$65,3,1),""))</f>
        <v/>
      </c>
      <c r="AY1023" s="10" t="str">
        <f>IF(L1023="","",
IF(AX1023="PT",VLOOKUP(L1023,Foundation_Calc!$K$79:$R$113,VLOOKUP(AW1023,Foundation_Calc!$I$2:$J$8,2,FALSE),0),
IF(AX1023="K",VLOOKUP(L1023,Foundation_Calc!$K$117:$R$151,VLOOKUP(AW1023,Foundation_Calc!$I$2:$J$8,2,FALSE),0),"")))</f>
        <v/>
      </c>
      <c r="AZ1023" s="10" t="str">
        <f>IF(K1023="","",
IF(AX1023="PT",VLOOKUP(K1023,Foundation_Calc!$K$79:$R$113,VLOOKUP(AW1023,Foundation_Calc!$I$2:$J$8,2,FALSE),0),
IF(AX1023="K",VLOOKUP(K1023,Foundation_Calc!$K$117:$R$151,VLOOKUP(AW1023,Foundation_Calc!$I$2:$J$8,2,FALSE),0),"")))</f>
        <v/>
      </c>
      <c r="BA1023" s="495" t="str">
        <f t="shared" si="133"/>
        <v/>
      </c>
      <c r="BB1023" s="495" t="str">
        <f t="shared" si="134"/>
        <v/>
      </c>
      <c r="BC1023" s="495" t="str">
        <f t="shared" si="135"/>
        <v/>
      </c>
      <c r="BD1023" s="513" t="str">
        <f>IF(AND(L1023="",H1023=""),"",
IF(H1023="",Pole_Calc!A$9,
IF(H1023="MP",Pole_Calc!A$10,
IF(H1023="AnMP",Pole_Calc!A$11,
IF(H1023="A",Pole_Calc!A$12,
IF(H1023="S/A",Pole_Calc!A$13,
IF(H1023="A/S",Pole_Calc!A$14,"Poner a mano")))))))</f>
        <v/>
      </c>
      <c r="BE1023" s="429" t="s">
        <v>118</v>
      </c>
      <c r="BF1023" s="290"/>
      <c r="BG1023" s="290"/>
      <c r="BH1023" s="290"/>
      <c r="BI1023" s="290"/>
    </row>
    <row r="1024" spans="1:61" ht="15.75" customHeight="1">
      <c r="A1024" s="514"/>
      <c r="B1024" s="450" t="s">
        <v>1471</v>
      </c>
      <c r="C1024" s="3">
        <f>+$C$1022+$G$1023</f>
        <v>54690.630000000012</v>
      </c>
      <c r="D1024" s="83"/>
      <c r="E1024" s="4"/>
      <c r="F1024" s="4">
        <v>-14568.409294018953</v>
      </c>
      <c r="G1024" s="6"/>
      <c r="H1024" s="449"/>
      <c r="I1024" s="4"/>
      <c r="J1024" s="3"/>
      <c r="K1024" s="449"/>
      <c r="L1024" s="449" t="s">
        <v>153</v>
      </c>
      <c r="M1024" s="449" t="str">
        <f>IF(L1024="","",
IF(AX1024="PT",VLOOKUP(L1024,Foundation_Calc!$V$79:$X$113,VLOOKUP(AX1024,Foundation_Calc!$I$10:$J$13,2,FALSE),0),
IF(AX1024="K",VLOOKUP(L1024,Foundation_Calc!$V$117:$X$151,VLOOKUP(AX1024,Foundation_Calc!$I$10:$J$13,2,FALSE),0),"")))</f>
        <v>C3RT</v>
      </c>
      <c r="N1024" s="449" t="s">
        <v>134</v>
      </c>
      <c r="O1024" s="449"/>
      <c r="P1024" s="449"/>
      <c r="Q1024" s="4"/>
      <c r="R1024" s="6"/>
      <c r="S1024" s="6"/>
      <c r="T1024" s="4">
        <v>30</v>
      </c>
      <c r="U1024" s="4"/>
      <c r="V1024" s="4"/>
      <c r="W1024" s="9">
        <v>1.4</v>
      </c>
      <c r="X1024" s="9"/>
      <c r="Y1024" s="9"/>
      <c r="Z1024" s="9"/>
      <c r="AA1024" s="9"/>
      <c r="AB1024" s="9"/>
      <c r="AC1024" s="449" t="str">
        <f t="shared" si="132"/>
        <v>PH</v>
      </c>
      <c r="AD1024" s="449"/>
      <c r="AE1024" s="449"/>
      <c r="AF1024" s="4"/>
      <c r="AG1024" s="83"/>
      <c r="AH1024" s="4"/>
      <c r="AI1024" s="4"/>
      <c r="AJ1024" s="449"/>
      <c r="AK1024" s="449"/>
      <c r="AL1024" s="449"/>
      <c r="AM1024" s="449" t="s">
        <v>552</v>
      </c>
      <c r="AN1024" s="10">
        <v>5.5</v>
      </c>
      <c r="AO1024" s="9"/>
      <c r="AP1024" s="9"/>
      <c r="AQ1024" s="9"/>
      <c r="AR1024" s="9"/>
      <c r="AS1024" s="9"/>
      <c r="AT1024" s="9">
        <f>+ab($T$1024,$T$1022,$T$1026,$G$1023,$G$1025, 1*$F$1024,1200)</f>
        <v>11.838881121330244</v>
      </c>
      <c r="AU1024" s="428"/>
      <c r="AV1024" s="428"/>
      <c r="AW1024" s="449" t="str">
        <f>IF(C1024&gt;0,VLOOKUP(C1024,Foundation_Calc!$A$2:$C$13,3,1),
IF(J1024&gt;0,VLOOKUP(J1024,Foundation_Calc!$A$2:$C$13,3,1),""))</f>
        <v>Multi Soil</v>
      </c>
      <c r="AX1024" s="449" t="str">
        <f>IF(C1024&gt;0,VLOOKUP(C1024,Foundation_Calc!$E$35:$G$65,3,1),
IF(J1024&gt;0,VLOOKUP(J1024,Foundation_Calc!$E$35:$G$65,3,1),""))</f>
        <v>K</v>
      </c>
      <c r="AY1024" s="10">
        <f>IF(L1024="","",
IF(AX1024="PT",VLOOKUP(L1024,Foundation_Calc!$K$79:$R$113,VLOOKUP(AW1024,Foundation_Calc!$I$2:$J$8,2,FALSE),0),
IF(AX1024="K",VLOOKUP(L1024,Foundation_Calc!$K$117:$R$151,VLOOKUP(AW1024,Foundation_Calc!$I$2:$J$8,2,FALSE),0),"")))</f>
        <v>4</v>
      </c>
      <c r="AZ1024" s="10" t="str">
        <f>IF(K1024="","",
IF(AX1024="PT",VLOOKUP(K1024,Foundation_Calc!$K$79:$R$113,VLOOKUP(AW1024,Foundation_Calc!$I$2:$J$8,2,FALSE),0),
IF(AX1024="K",VLOOKUP(K1024,Foundation_Calc!$K$117:$R$151,VLOOKUP(AW1024,Foundation_Calc!$I$2:$J$8,2,FALSE),0),"")))</f>
        <v/>
      </c>
      <c r="BA1024" s="495" t="str">
        <f t="shared" si="133"/>
        <v>ü</v>
      </c>
      <c r="BB1024" s="495" t="str">
        <f t="shared" si="134"/>
        <v/>
      </c>
      <c r="BC1024" s="495" t="str">
        <f t="shared" si="135"/>
        <v/>
      </c>
      <c r="BD1024" s="513" t="str">
        <f>IF(AND(L1024="",H1024=""),"",
IF(H1024="",Pole_Calc!A$9,
IF(H1024="MP",Pole_Calc!A$10,
IF(H1024="AnMP",Pole_Calc!A$11,
IF(H1024="A",Pole_Calc!A$12,
IF(H1024="S/A",Pole_Calc!A$13,
IF(H1024="A/S",Pole_Calc!A$14,"Poner a mano")))))))</f>
        <v>App.7-V11I-P9.5.1.1</v>
      </c>
      <c r="BE1024" s="429" t="s">
        <v>118</v>
      </c>
      <c r="BF1024" s="289"/>
      <c r="BG1024" s="289"/>
      <c r="BH1024" s="290"/>
      <c r="BI1024" s="289"/>
    </row>
    <row r="1025" spans="1:61" ht="15.75" customHeight="1">
      <c r="A1025" s="514"/>
      <c r="B1025" s="450"/>
      <c r="C1025" s="3"/>
      <c r="D1025" s="83"/>
      <c r="E1025" s="4"/>
      <c r="F1025" s="4"/>
      <c r="G1025" s="6">
        <v>60</v>
      </c>
      <c r="H1025" s="449"/>
      <c r="I1025" s="4"/>
      <c r="J1025" s="3"/>
      <c r="K1025" s="449"/>
      <c r="L1025" s="449"/>
      <c r="M1025" s="449" t="str">
        <f>IF(L1025="","",
IF(AX1025="PT",VLOOKUP(L1025,Foundation_Calc!$V$79:$X$113,VLOOKUP(AX1025,Foundation_Calc!$I$10:$J$13,2,FALSE),0),
IF(AX1025="K",VLOOKUP(L1025,Foundation_Calc!$V$117:$X$151,VLOOKUP(AX1025,Foundation_Calc!$I$10:$J$13,2,FALSE),0),"")))</f>
        <v/>
      </c>
      <c r="N1025" s="449"/>
      <c r="O1025" s="449"/>
      <c r="P1025" s="449"/>
      <c r="Q1025" s="4"/>
      <c r="R1025" s="6"/>
      <c r="S1025" s="6"/>
      <c r="T1025" s="4"/>
      <c r="U1025" s="4"/>
      <c r="V1025" s="4"/>
      <c r="W1025" s="9"/>
      <c r="X1025" s="9"/>
      <c r="Y1025" s="9"/>
      <c r="Z1025" s="9"/>
      <c r="AA1025" s="9"/>
      <c r="AB1025" s="9"/>
      <c r="AC1025" s="449" t="str">
        <f t="shared" si="132"/>
        <v/>
      </c>
      <c r="AD1025" s="449"/>
      <c r="AE1025" s="449"/>
      <c r="AF1025" s="4"/>
      <c r="AG1025" s="83"/>
      <c r="AH1025" s="4"/>
      <c r="AI1025" s="4"/>
      <c r="AJ1025" s="449"/>
      <c r="AK1025" s="449"/>
      <c r="AL1025" s="449"/>
      <c r="AM1025" s="449"/>
      <c r="AN1025" s="10"/>
      <c r="AO1025" s="9"/>
      <c r="AP1025" s="9"/>
      <c r="AQ1025" s="9">
        <f>+FL_2($T$1026,$T$1024,$G$1025,1200,9.28, 1*$F$1026)</f>
        <v>-0.44888002799999999</v>
      </c>
      <c r="AR1025" s="9"/>
      <c r="AS1025" s="9"/>
      <c r="AT1025" s="9"/>
      <c r="AU1025" s="428"/>
      <c r="AV1025" s="428"/>
      <c r="AW1025" s="449" t="str">
        <f>IF(C1025&gt;0,VLOOKUP(C1025,Foundation_Calc!$A$2:$C$13,3,1),
IF(J1025&gt;0,VLOOKUP(J1025,Foundation_Calc!$A$2:$C$13,3,1),""))</f>
        <v/>
      </c>
      <c r="AX1025" s="449" t="str">
        <f>IF(C1025&gt;0,VLOOKUP(C1025,Foundation_Calc!$E$35:$G$65,3,1),
IF(J1025&gt;0,VLOOKUP(J1025,Foundation_Calc!$E$35:$G$65,3,1),""))</f>
        <v/>
      </c>
      <c r="AY1025" s="10" t="str">
        <f>IF(L1025="","",
IF(AX1025="PT",VLOOKUP(L1025,Foundation_Calc!$K$79:$R$113,VLOOKUP(AW1025,Foundation_Calc!$I$2:$J$8,2,FALSE),0),
IF(AX1025="K",VLOOKUP(L1025,Foundation_Calc!$K$117:$R$151,VLOOKUP(AW1025,Foundation_Calc!$I$2:$J$8,2,FALSE),0),"")))</f>
        <v/>
      </c>
      <c r="AZ1025" s="10" t="str">
        <f>IF(K1025="","",
IF(AX1025="PT",VLOOKUP(K1025,Foundation_Calc!$K$79:$R$113,VLOOKUP(AW1025,Foundation_Calc!$I$2:$J$8,2,FALSE),0),
IF(AX1025="K",VLOOKUP(K1025,Foundation_Calc!$K$117:$R$151,VLOOKUP(AW1025,Foundation_Calc!$I$2:$J$8,2,FALSE),0),"")))</f>
        <v/>
      </c>
      <c r="BA1025" s="495" t="str">
        <f t="shared" si="133"/>
        <v/>
      </c>
      <c r="BB1025" s="495" t="str">
        <f t="shared" si="134"/>
        <v/>
      </c>
      <c r="BC1025" s="495" t="str">
        <f t="shared" si="135"/>
        <v/>
      </c>
      <c r="BD1025" s="513" t="str">
        <f>IF(AND(L1025="",H1025=""),"",
IF(H1025="",Pole_Calc!A$9,
IF(H1025="MP",Pole_Calc!A$10,
IF(H1025="AnMP",Pole_Calc!A$11,
IF(H1025="A",Pole_Calc!A$12,
IF(H1025="S/A",Pole_Calc!A$13,
IF(H1025="A/S",Pole_Calc!A$14,"Poner a mano")))))))</f>
        <v/>
      </c>
      <c r="BE1025" s="429" t="s">
        <v>118</v>
      </c>
      <c r="BF1025" s="290"/>
      <c r="BG1025" s="290"/>
      <c r="BH1025" s="290"/>
      <c r="BI1025" s="290"/>
    </row>
    <row r="1026" spans="1:61" ht="15.75" customHeight="1">
      <c r="A1026" s="514"/>
      <c r="B1026" s="450" t="s">
        <v>1472</v>
      </c>
      <c r="C1026" s="3">
        <f>+$C$1024+$G$1025</f>
        <v>54750.630000000012</v>
      </c>
      <c r="D1026" s="83"/>
      <c r="E1026" s="4"/>
      <c r="F1026" s="4">
        <v>0</v>
      </c>
      <c r="G1026" s="6"/>
      <c r="H1026" s="449"/>
      <c r="I1026" s="4"/>
      <c r="J1026" s="3"/>
      <c r="K1026" s="449"/>
      <c r="L1026" s="449" t="s">
        <v>153</v>
      </c>
      <c r="M1026" s="449" t="str">
        <f>IF(L1026="","",
IF(AX1026="PT",VLOOKUP(L1026,Foundation_Calc!$V$79:$X$113,VLOOKUP(AX1026,Foundation_Calc!$I$10:$J$13,2,FALSE),0),
IF(AX1026="K",VLOOKUP(L1026,Foundation_Calc!$V$117:$X$151,VLOOKUP(AX1026,Foundation_Calc!$I$10:$J$13,2,FALSE),0),"")))</f>
        <v>C3R</v>
      </c>
      <c r="N1026" s="449" t="s">
        <v>124</v>
      </c>
      <c r="O1026" s="449"/>
      <c r="P1026" s="449"/>
      <c r="Q1026" s="4"/>
      <c r="R1026" s="6"/>
      <c r="S1026" s="6"/>
      <c r="T1026" s="4">
        <v>-35</v>
      </c>
      <c r="U1026" s="4"/>
      <c r="V1026" s="4"/>
      <c r="W1026" s="9">
        <v>1.4</v>
      </c>
      <c r="X1026" s="9"/>
      <c r="Y1026" s="9"/>
      <c r="Z1026" s="9"/>
      <c r="AA1026" s="9"/>
      <c r="AB1026" s="9"/>
      <c r="AC1026" s="449" t="str">
        <f t="shared" si="132"/>
        <v>PH</v>
      </c>
      <c r="AD1026" s="449"/>
      <c r="AE1026" s="449"/>
      <c r="AF1026" s="4"/>
      <c r="AG1026" s="83"/>
      <c r="AH1026" s="4"/>
      <c r="AI1026" s="4"/>
      <c r="AJ1026" s="449"/>
      <c r="AK1026" s="449"/>
      <c r="AL1026" s="449"/>
      <c r="AM1026" s="449" t="s">
        <v>552</v>
      </c>
      <c r="AN1026" s="10">
        <v>5.5</v>
      </c>
      <c r="AO1026" s="9"/>
      <c r="AP1026" s="9"/>
      <c r="AQ1026" s="9"/>
      <c r="AR1026" s="9"/>
      <c r="AS1026" s="9"/>
      <c r="AT1026" s="9">
        <f>+ab($T$1026,$T$1024,$T$1028,$G$1025,$G$1027, 1*$F$1026,1200)</f>
        <v>-8.6083033211149758</v>
      </c>
      <c r="AU1026" s="428"/>
      <c r="AV1026" s="428"/>
      <c r="AW1026" s="449" t="str">
        <f>IF(C1026&gt;0,VLOOKUP(C1026,Foundation_Calc!$A$2:$C$13,3,1),
IF(J1026&gt;0,VLOOKUP(J1026,Foundation_Calc!$A$2:$C$13,3,1),""))</f>
        <v>Multi Soil</v>
      </c>
      <c r="AX1026" s="449" t="str">
        <f>IF(C1026&gt;0,VLOOKUP(C1026,Foundation_Calc!$E$35:$G$65,3,1),
IF(J1026&gt;0,VLOOKUP(J1026,Foundation_Calc!$E$35:$G$65,3,1),""))</f>
        <v>PT</v>
      </c>
      <c r="AY1026" s="10">
        <f>IF(L1026="","",
IF(AX1026="PT",VLOOKUP(L1026,Foundation_Calc!$K$79:$R$113,VLOOKUP(AW1026,Foundation_Calc!$I$2:$J$8,2,FALSE),0),
IF(AX1026="K",VLOOKUP(L1026,Foundation_Calc!$K$117:$R$151,VLOOKUP(AW1026,Foundation_Calc!$I$2:$J$8,2,FALSE),0),"")))</f>
        <v>3.5</v>
      </c>
      <c r="AZ1026" s="10" t="str">
        <f>IF(K1026="","",
IF(AX1026="PT",VLOOKUP(K1026,Foundation_Calc!$K$79:$R$113,VLOOKUP(AW1026,Foundation_Calc!$I$2:$J$8,2,FALSE),0),
IF(AX1026="K",VLOOKUP(K1026,Foundation_Calc!$K$117:$R$151,VLOOKUP(AW1026,Foundation_Calc!$I$2:$J$8,2,FALSE),0),"")))</f>
        <v/>
      </c>
      <c r="BA1026" s="495" t="str">
        <f t="shared" si="133"/>
        <v>ü</v>
      </c>
      <c r="BB1026" s="495" t="str">
        <f t="shared" si="134"/>
        <v/>
      </c>
      <c r="BC1026" s="495" t="str">
        <f t="shared" si="135"/>
        <v/>
      </c>
      <c r="BD1026" s="513" t="str">
        <f>IF(AND(L1026="",H1026=""),"",
IF(H1026="",Pole_Calc!A$9,
IF(H1026="MP",Pole_Calc!A$10,
IF(H1026="AnMP",Pole_Calc!A$11,
IF(H1026="A",Pole_Calc!A$12,
IF(H1026="S/A",Pole_Calc!A$13,
IF(H1026="A/S",Pole_Calc!A$14,"Poner a mano")))))))</f>
        <v>App.7-V11I-P9.5.1.1</v>
      </c>
      <c r="BE1026" s="429" t="s">
        <v>118</v>
      </c>
      <c r="BF1026" s="289"/>
      <c r="BG1026" s="289"/>
      <c r="BH1026" s="290"/>
      <c r="BI1026" s="289"/>
    </row>
    <row r="1027" spans="1:61" ht="15.75" customHeight="1">
      <c r="A1027" s="685" t="s">
        <v>305</v>
      </c>
      <c r="B1027" s="686"/>
      <c r="C1027" s="687"/>
      <c r="D1027" s="688"/>
      <c r="E1027" s="689"/>
      <c r="F1027" s="689"/>
      <c r="G1027" s="690">
        <v>62</v>
      </c>
      <c r="H1027" s="691"/>
      <c r="I1027" s="689"/>
      <c r="J1027" s="687">
        <f>C1028-7.5</f>
        <v>54805.130000000012</v>
      </c>
      <c r="K1027" s="691" t="s">
        <v>166</v>
      </c>
      <c r="L1027" s="691"/>
      <c r="M1027" s="691" t="str">
        <f>IF(L1027="","",
IF(AX1027="PT",VLOOKUP(L1027,Foundation_Calc!$V$79:$X$113,VLOOKUP(AX1027,Foundation_Calc!$I$10:$J$13,2,FALSE),0),
IF(AX1027="K",VLOOKUP(L1027,Foundation_Calc!$V$117:$X$151,VLOOKUP(AX1027,Foundation_Calc!$I$10:$J$13,2,FALSE),0),"")))</f>
        <v/>
      </c>
      <c r="N1027" s="691"/>
      <c r="O1027" s="744"/>
      <c r="P1027" s="691"/>
      <c r="Q1027" s="689"/>
      <c r="R1027" s="690"/>
      <c r="S1027" s="690"/>
      <c r="T1027" s="689"/>
      <c r="U1027" s="689"/>
      <c r="V1027" s="689"/>
      <c r="W1027" s="692"/>
      <c r="X1027" s="692"/>
      <c r="Y1027" s="692"/>
      <c r="Z1027" s="692"/>
      <c r="AA1027" s="692"/>
      <c r="AB1027" s="692"/>
      <c r="AC1027" s="691" t="str">
        <f t="shared" si="132"/>
        <v/>
      </c>
      <c r="AD1027" s="691"/>
      <c r="AE1027" s="691"/>
      <c r="AF1027" s="689"/>
      <c r="AG1027" s="688"/>
      <c r="AH1027" s="689"/>
      <c r="AI1027" s="689"/>
      <c r="AJ1027" s="691"/>
      <c r="AK1027" s="691"/>
      <c r="AL1027" s="691"/>
      <c r="AM1027" s="691"/>
      <c r="AN1027" s="693"/>
      <c r="AO1027" s="692"/>
      <c r="AP1027" s="692"/>
      <c r="AQ1027" s="692">
        <f>+FL_1($T$1028,$T$1026,$G$1027,1200,9.28, 1*$F$1028)</f>
        <v>0.45400350967741931</v>
      </c>
      <c r="AR1027" s="692"/>
      <c r="AS1027" s="692"/>
      <c r="AT1027" s="692"/>
      <c r="AU1027" s="694"/>
      <c r="AV1027" s="694"/>
      <c r="AW1027" s="691" t="str">
        <f>IF(C1027&gt;0,VLOOKUP(C1027,Foundation_Calc!$A$2:$C$13,3,1),
IF(J1027&gt;0,VLOOKUP(J1027,Foundation_Calc!$A$2:$C$13,3,1),""))</f>
        <v>Multi Soil</v>
      </c>
      <c r="AX1027" s="691" t="str">
        <f>IF(C1027&gt;0,VLOOKUP(C1027,Foundation_Calc!$E$35:$G$65,3,1),
IF(J1027&gt;0,VLOOKUP(J1027,Foundation_Calc!$E$35:$G$65,3,1),""))</f>
        <v>PT</v>
      </c>
      <c r="AY1027" s="693" t="str">
        <f>IF(L1027="","",
IF(AX1027="PT",VLOOKUP(L1027,Foundation_Calc!$K$79:$R$113,VLOOKUP(AW1027,Foundation_Calc!$I$2:$J$8,2,FALSE),0),
IF(AX1027="K",VLOOKUP(L1027,Foundation_Calc!$K$117:$R$151,VLOOKUP(AW1027,Foundation_Calc!$I$2:$J$8,2,FALSE),0),"")))</f>
        <v/>
      </c>
      <c r="AZ1027" s="693">
        <f>IF(K1027="","",
IF(AX1027="PT",VLOOKUP(K1027,Foundation_Calc!$K$79:$R$113,VLOOKUP(AW1027,Foundation_Calc!$I$2:$J$8,2,FALSE),0),
IF(AX1027="K",VLOOKUP(K1027,Foundation_Calc!$K$117:$R$151,VLOOKUP(AW1027,Foundation_Calc!$I$2:$J$8,2,FALSE),0),"")))</f>
        <v>2.8</v>
      </c>
      <c r="BA1027" s="495" t="str">
        <f t="shared" si="133"/>
        <v/>
      </c>
      <c r="BB1027" s="495" t="str">
        <f t="shared" si="134"/>
        <v>ü</v>
      </c>
      <c r="BC1027" s="495" t="str">
        <f t="shared" si="135"/>
        <v/>
      </c>
      <c r="BD1027" s="513" t="str">
        <f>IF(AND(L1027="",H1027=""),"",
IF(H1027="",Pole_Calc!A$9,
IF(H1027="MP",Pole_Calc!A$10,
IF(H1027="AnMP",Pole_Calc!A$11,
IF(H1027="A",Pole_Calc!A$12,
IF(H1027="S/A",Pole_Calc!A$13,
IF(H1027="A/S",Pole_Calc!A$14,"Poner a mano")))))))</f>
        <v/>
      </c>
      <c r="BE1027" s="429" t="s">
        <v>118</v>
      </c>
      <c r="BF1027" s="290"/>
      <c r="BG1027" s="290"/>
      <c r="BH1027" s="290"/>
      <c r="BI1027" s="290"/>
    </row>
    <row r="1028" spans="1:61" ht="15.75" customHeight="1">
      <c r="A1028" s="514"/>
      <c r="B1028" s="450" t="s">
        <v>1473</v>
      </c>
      <c r="C1028" s="3">
        <f>+$C$1026+$G$1027</f>
        <v>54812.630000000012</v>
      </c>
      <c r="D1028" s="83"/>
      <c r="E1028" s="4"/>
      <c r="F1028" s="4">
        <v>0</v>
      </c>
      <c r="G1028" s="6"/>
      <c r="H1028" s="449" t="s">
        <v>168</v>
      </c>
      <c r="I1028" s="4"/>
      <c r="J1028" s="3"/>
      <c r="K1028" s="449"/>
      <c r="L1028" s="449" t="s">
        <v>158</v>
      </c>
      <c r="M1028" s="449" t="str">
        <f>IF(L1028="","",
IF(AX1028="PT",VLOOKUP(L1028,Foundation_Calc!$V$79:$X$113,VLOOKUP(AX1028,Foundation_Calc!$I$10:$J$13,2,FALSE),0),
IF(AX1028="K",VLOOKUP(L1028,Foundation_Calc!$V$117:$X$151,VLOOKUP(AX1028,Foundation_Calc!$I$10:$J$13,2,FALSE),0),"")))</f>
        <v>C4R</v>
      </c>
      <c r="N1028" s="449" t="s">
        <v>134</v>
      </c>
      <c r="O1028" s="449"/>
      <c r="P1028" s="449"/>
      <c r="Q1028" s="4"/>
      <c r="R1028" s="6"/>
      <c r="S1028" s="6"/>
      <c r="T1028" s="4">
        <v>35</v>
      </c>
      <c r="U1028" s="4"/>
      <c r="V1028" s="4"/>
      <c r="W1028" s="9">
        <v>1.4</v>
      </c>
      <c r="X1028" s="9"/>
      <c r="Y1028" s="9"/>
      <c r="Z1028" s="9"/>
      <c r="AA1028" s="9"/>
      <c r="AB1028" s="9"/>
      <c r="AC1028" s="449" t="str">
        <f t="shared" si="132"/>
        <v>PH</v>
      </c>
      <c r="AD1028" s="449"/>
      <c r="AE1028" s="449"/>
      <c r="AF1028" s="4"/>
      <c r="AG1028" s="83"/>
      <c r="AH1028" s="4"/>
      <c r="AI1028" s="4"/>
      <c r="AJ1028" s="449"/>
      <c r="AK1028" s="449"/>
      <c r="AL1028" s="449"/>
      <c r="AM1028" s="449" t="s">
        <v>552</v>
      </c>
      <c r="AN1028" s="10">
        <v>5.5</v>
      </c>
      <c r="AO1028" s="9"/>
      <c r="AP1028" s="9"/>
      <c r="AQ1028" s="9"/>
      <c r="AR1028" s="9"/>
      <c r="AS1028" s="9"/>
      <c r="AT1028" s="9">
        <f>+ab($T$1028,$T$1026,$T$1030,$G$1027,$G$1029, 1*$F$1028,1200)</f>
        <v>8.4365744899000195</v>
      </c>
      <c r="AU1028" s="428"/>
      <c r="AV1028" s="428"/>
      <c r="AW1028" s="449" t="str">
        <f>IF(C1028&gt;0,VLOOKUP(C1028,Foundation_Calc!$A$2:$C$13,3,1),
IF(J1028&gt;0,VLOOKUP(J1028,Foundation_Calc!$A$2:$C$13,3,1),""))</f>
        <v>Multi Soil</v>
      </c>
      <c r="AX1028" s="449" t="str">
        <f>IF(C1028&gt;0,VLOOKUP(C1028,Foundation_Calc!$E$35:$G$65,3,1),
IF(J1028&gt;0,VLOOKUP(J1028,Foundation_Calc!$E$35:$G$65,3,1),""))</f>
        <v>PT</v>
      </c>
      <c r="AY1028" s="10">
        <f>IF(L1028="","",
IF(AX1028="PT",VLOOKUP(L1028,Foundation_Calc!$K$79:$R$113,VLOOKUP(AW1028,Foundation_Calc!$I$2:$J$8,2,FALSE),0),
IF(AX1028="K",VLOOKUP(L1028,Foundation_Calc!$K$117:$R$151,VLOOKUP(AW1028,Foundation_Calc!$I$2:$J$8,2,FALSE),0),"")))</f>
        <v>3.5</v>
      </c>
      <c r="AZ1028" s="10" t="str">
        <f>IF(K1028="","",
IF(AX1028="PT",VLOOKUP(K1028,Foundation_Calc!$K$79:$R$113,VLOOKUP(AW1028,Foundation_Calc!$I$2:$J$8,2,FALSE),0),
IF(AX1028="K",VLOOKUP(K1028,Foundation_Calc!$K$117:$R$151,VLOOKUP(AW1028,Foundation_Calc!$I$2:$J$8,2,FALSE),0),"")))</f>
        <v/>
      </c>
      <c r="BA1028" s="495" t="str">
        <f t="shared" si="133"/>
        <v>ü</v>
      </c>
      <c r="BB1028" s="495" t="str">
        <f t="shared" si="134"/>
        <v/>
      </c>
      <c r="BC1028" s="495" t="str">
        <f t="shared" si="135"/>
        <v/>
      </c>
      <c r="BD1028" s="513" t="str">
        <f>IF(AND(L1028="",H1028=""),"",
IF(H1028="",Pole_Calc!A$9,
IF(H1028="MP",Pole_Calc!A$10,
IF(H1028="AnMP",Pole_Calc!A$11,
IF(H1028="A",Pole_Calc!A$12,
IF(H1028="S/A",Pole_Calc!A$13,
IF(H1028="A/S",Pole_Calc!A$14,"Poner a mano")))))))</f>
        <v>App.7-V11I-P9.5.1.3</v>
      </c>
      <c r="BE1028" s="429" t="s">
        <v>118</v>
      </c>
      <c r="BF1028" s="289"/>
      <c r="BG1028" s="289"/>
      <c r="BH1028" s="290"/>
      <c r="BI1028" s="289"/>
    </row>
    <row r="1029" spans="1:61" ht="15.75" customHeight="1">
      <c r="A1029" s="518"/>
      <c r="B1029" s="450"/>
      <c r="C1029" s="3"/>
      <c r="D1029" s="83"/>
      <c r="E1029" s="4"/>
      <c r="F1029" s="4"/>
      <c r="G1029" s="6">
        <v>62</v>
      </c>
      <c r="H1029" s="449"/>
      <c r="I1029" s="4">
        <f>SUM(G1007:G1029)</f>
        <v>663</v>
      </c>
      <c r="J1029" s="3"/>
      <c r="K1029" s="449"/>
      <c r="L1029" s="449"/>
      <c r="M1029" s="449" t="str">
        <f>IF(L1029="","",
IF(AX1029="PT",VLOOKUP(L1029,Foundation_Calc!$V$79:$X$113,VLOOKUP(AX1029,Foundation_Calc!$I$10:$J$13,2,FALSE),0),
IF(AX1029="K",VLOOKUP(L1029,Foundation_Calc!$V$117:$X$151,VLOOKUP(AX1029,Foundation_Calc!$I$10:$J$13,2,FALSE),0),"")))</f>
        <v/>
      </c>
      <c r="N1029" s="449"/>
      <c r="O1029" s="449"/>
      <c r="P1029" s="449"/>
      <c r="Q1029" s="4"/>
      <c r="R1029" s="6"/>
      <c r="S1029" s="6"/>
      <c r="T1029" s="4"/>
      <c r="U1029" s="4"/>
      <c r="V1029" s="4"/>
      <c r="W1029" s="9"/>
      <c r="X1029" s="9"/>
      <c r="Y1029" s="9"/>
      <c r="Z1029" s="9"/>
      <c r="AA1029" s="9"/>
      <c r="AB1029" s="9"/>
      <c r="AC1029" s="449" t="str">
        <f t="shared" si="132"/>
        <v/>
      </c>
      <c r="AD1029" s="449"/>
      <c r="AE1029" s="449"/>
      <c r="AF1029" s="4"/>
      <c r="AG1029" s="83"/>
      <c r="AH1029" s="4"/>
      <c r="AI1029" s="4"/>
      <c r="AJ1029" s="449"/>
      <c r="AK1029" s="449"/>
      <c r="AL1029" s="449"/>
      <c r="AM1029" s="449"/>
      <c r="AN1029" s="10"/>
      <c r="AO1029" s="9"/>
      <c r="AP1029" s="9"/>
      <c r="AQ1029" s="9">
        <f>+FL_2($T$1030,$T$1028,$G$1029,1200,9.28, 1*$F$1030)</f>
        <v>-0.45400350967741931</v>
      </c>
      <c r="AR1029" s="9"/>
      <c r="AS1029" s="9"/>
      <c r="AT1029" s="9"/>
      <c r="AU1029" s="428"/>
      <c r="AV1029" s="428"/>
      <c r="AW1029" s="449" t="str">
        <f>IF(C1029&gt;0,VLOOKUP(C1029,Foundation_Calc!$A$2:$C$13,3,1),
IF(J1029&gt;0,VLOOKUP(J1029,Foundation_Calc!$A$2:$C$13,3,1),""))</f>
        <v/>
      </c>
      <c r="AX1029" s="449" t="str">
        <f>IF(C1029&gt;0,VLOOKUP(C1029,Foundation_Calc!$E$35:$G$65,3,1),
IF(J1029&gt;0,VLOOKUP(J1029,Foundation_Calc!$E$35:$G$65,3,1),""))</f>
        <v/>
      </c>
      <c r="AY1029" s="10" t="str">
        <f>IF(L1029="","",
IF(AX1029="PT",VLOOKUP(L1029,Foundation_Calc!$K$79:$R$113,VLOOKUP(AW1029,Foundation_Calc!$I$2:$J$8,2,FALSE),0),
IF(AX1029="K",VLOOKUP(L1029,Foundation_Calc!$K$117:$R$151,VLOOKUP(AW1029,Foundation_Calc!$I$2:$J$8,2,FALSE),0),"")))</f>
        <v/>
      </c>
      <c r="AZ1029" s="10" t="str">
        <f>IF(K1029="","",
IF(AX1029="PT",VLOOKUP(K1029,Foundation_Calc!$K$79:$R$113,VLOOKUP(AW1029,Foundation_Calc!$I$2:$J$8,2,FALSE),0),
IF(AX1029="K",VLOOKUP(K1029,Foundation_Calc!$K$117:$R$151,VLOOKUP(AW1029,Foundation_Calc!$I$2:$J$8,2,FALSE),0),"")))</f>
        <v/>
      </c>
      <c r="BA1029" s="495" t="str">
        <f t="shared" si="133"/>
        <v/>
      </c>
      <c r="BB1029" s="495" t="str">
        <f t="shared" si="134"/>
        <v/>
      </c>
      <c r="BC1029" s="495" t="str">
        <f t="shared" si="135"/>
        <v/>
      </c>
      <c r="BD1029" s="513" t="str">
        <f>IF(AND(L1029="",H1029=""),"",
IF(H1029="",Pole_Calc!A$9,
IF(H1029="MP",Pole_Calc!A$10,
IF(H1029="AnMP",Pole_Calc!A$11,
IF(H1029="A",Pole_Calc!A$12,
IF(H1029="S/A",Pole_Calc!A$13,
IF(H1029="A/S",Pole_Calc!A$14,"Poner a mano")))))))</f>
        <v/>
      </c>
      <c r="BE1029" s="429" t="s">
        <v>118</v>
      </c>
      <c r="BF1029" s="290"/>
      <c r="BG1029" s="290"/>
      <c r="BH1029" s="290"/>
      <c r="BI1029" s="290"/>
    </row>
    <row r="1030" spans="1:61" ht="15.75" customHeight="1">
      <c r="A1030" s="514"/>
      <c r="B1030" s="450" t="s">
        <v>1474</v>
      </c>
      <c r="C1030" s="3">
        <f>+$C$1028+$G$1029</f>
        <v>54874.630000000012</v>
      </c>
      <c r="D1030" s="83"/>
      <c r="E1030" s="4"/>
      <c r="F1030" s="4">
        <v>0</v>
      </c>
      <c r="G1030" s="6"/>
      <c r="H1030" s="449" t="s">
        <v>171</v>
      </c>
      <c r="I1030" s="4"/>
      <c r="J1030" s="3"/>
      <c r="K1030" s="449"/>
      <c r="L1030" s="449" t="s">
        <v>153</v>
      </c>
      <c r="M1030" s="449" t="str">
        <f>IF(L1030="","",
IF(AX1030="PT",VLOOKUP(L1030,Foundation_Calc!$V$79:$X$113,VLOOKUP(AX1030,Foundation_Calc!$I$10:$J$13,2,FALSE),0),
IF(AX1030="K",VLOOKUP(L1030,Foundation_Calc!$V$117:$X$151,VLOOKUP(AX1030,Foundation_Calc!$I$10:$J$13,2,FALSE),0),"")))</f>
        <v>C3R</v>
      </c>
      <c r="N1030" s="449" t="s">
        <v>124</v>
      </c>
      <c r="O1030" s="449"/>
      <c r="P1030" s="449"/>
      <c r="Q1030" s="4"/>
      <c r="R1030" s="6"/>
      <c r="S1030" s="6"/>
      <c r="T1030" s="4">
        <v>-35</v>
      </c>
      <c r="U1030" s="4"/>
      <c r="V1030" s="4"/>
      <c r="W1030" s="9">
        <v>1.4</v>
      </c>
      <c r="X1030" s="9"/>
      <c r="Y1030" s="9"/>
      <c r="Z1030" s="9"/>
      <c r="AA1030" s="9"/>
      <c r="AB1030" s="9"/>
      <c r="AC1030" s="449" t="str">
        <f t="shared" si="132"/>
        <v>PH</v>
      </c>
      <c r="AD1030" s="449"/>
      <c r="AE1030" s="449"/>
      <c r="AF1030" s="4"/>
      <c r="AG1030" s="83"/>
      <c r="AH1030" s="4"/>
      <c r="AI1030" s="4"/>
      <c r="AJ1030" s="449"/>
      <c r="AK1030" s="449"/>
      <c r="AL1030" s="449"/>
      <c r="AM1030" s="449" t="s">
        <v>552</v>
      </c>
      <c r="AN1030" s="10">
        <v>5.5</v>
      </c>
      <c r="AO1030" s="9"/>
      <c r="AP1030" s="9"/>
      <c r="AQ1030" s="9"/>
      <c r="AR1030" s="9"/>
      <c r="AS1030" s="9"/>
      <c r="AT1030" s="9">
        <f>+ab($T$1030,$T$1028,$T$1032,$G$1029,$G$1031, 1*$F$1030,1200)</f>
        <v>-8.4366201521118445</v>
      </c>
      <c r="AU1030" s="428"/>
      <c r="AV1030" s="428"/>
      <c r="AW1030" s="449" t="str">
        <f>IF(C1030&gt;0,VLOOKUP(C1030,Foundation_Calc!$A$2:$C$13,3,1),
IF(J1030&gt;0,VLOOKUP(J1030,Foundation_Calc!$A$2:$C$13,3,1),""))</f>
        <v>Multi Soil</v>
      </c>
      <c r="AX1030" s="449" t="str">
        <f>IF(C1030&gt;0,VLOOKUP(C1030,Foundation_Calc!$E$35:$G$65,3,1),
IF(J1030&gt;0,VLOOKUP(J1030,Foundation_Calc!$E$35:$G$65,3,1),""))</f>
        <v>PT</v>
      </c>
      <c r="AY1030" s="10">
        <f>IF(L1030="","",
IF(AX1030="PT",VLOOKUP(L1030,Foundation_Calc!$K$79:$R$113,VLOOKUP(AW1030,Foundation_Calc!$I$2:$J$8,2,FALSE),0),
IF(AX1030="K",VLOOKUP(L1030,Foundation_Calc!$K$117:$R$151,VLOOKUP(AW1030,Foundation_Calc!$I$2:$J$8,2,FALSE),0),"")))</f>
        <v>3.5</v>
      </c>
      <c r="AZ1030" s="10" t="str">
        <f>IF(K1030="","",
IF(AX1030="PT",VLOOKUP(K1030,Foundation_Calc!$K$79:$R$113,VLOOKUP(AW1030,Foundation_Calc!$I$2:$J$8,2,FALSE),0),
IF(AX1030="K",VLOOKUP(K1030,Foundation_Calc!$K$117:$R$151,VLOOKUP(AW1030,Foundation_Calc!$I$2:$J$8,2,FALSE),0),"")))</f>
        <v/>
      </c>
      <c r="BA1030" s="495" t="str">
        <f t="shared" si="133"/>
        <v>ü</v>
      </c>
      <c r="BB1030" s="495" t="str">
        <f t="shared" si="134"/>
        <v/>
      </c>
      <c r="BC1030" s="495" t="str">
        <f t="shared" si="135"/>
        <v/>
      </c>
      <c r="BD1030" s="513" t="str">
        <f>IF(AND(L1030="",H1030=""),"",
IF(H1030="",Pole_Calc!A$9,
IF(H1030="MP",Pole_Calc!A$10,
IF(H1030="AnMP",Pole_Calc!A$11,
IF(H1030="A",Pole_Calc!A$12,
IF(H1030="S/A",Pole_Calc!A$13,
IF(H1030="A/S",Pole_Calc!A$14,"Poner a mano")))))))</f>
        <v>App.7-V11I-P9.5.1.2</v>
      </c>
      <c r="BE1030" s="429" t="s">
        <v>118</v>
      </c>
      <c r="BF1030" s="289"/>
      <c r="BG1030" s="289"/>
      <c r="BH1030" s="290"/>
      <c r="BI1030" s="289"/>
    </row>
    <row r="1031" spans="1:61" ht="15.75" customHeight="1">
      <c r="A1031" s="514"/>
      <c r="B1031" s="450"/>
      <c r="C1031" s="3"/>
      <c r="D1031" s="83"/>
      <c r="E1031" s="4"/>
      <c r="F1031" s="4"/>
      <c r="G1031" s="6">
        <v>62</v>
      </c>
      <c r="H1031" s="449"/>
      <c r="I1031" s="4">
        <f>SUM(G1031:G1051)</f>
        <v>680</v>
      </c>
      <c r="J1031" s="3"/>
      <c r="K1031" s="449"/>
      <c r="L1031" s="449"/>
      <c r="M1031" s="449" t="str">
        <f>IF(L1031="","",
IF(AX1031="PT",VLOOKUP(L1031,Foundation_Calc!$V$79:$X$113,VLOOKUP(AX1031,Foundation_Calc!$I$10:$J$13,2,FALSE),0),
IF(AX1031="K",VLOOKUP(L1031,Foundation_Calc!$V$117:$X$151,VLOOKUP(AX1031,Foundation_Calc!$I$10:$J$13,2,FALSE),0),"")))</f>
        <v/>
      </c>
      <c r="N1031" s="449"/>
      <c r="O1031" s="449"/>
      <c r="P1031" s="449"/>
      <c r="Q1031" s="4"/>
      <c r="R1031" s="6"/>
      <c r="S1031" s="6"/>
      <c r="T1031" s="4"/>
      <c r="U1031" s="4"/>
      <c r="V1031" s="4"/>
      <c r="W1031" s="9"/>
      <c r="X1031" s="9"/>
      <c r="Y1031" s="9"/>
      <c r="Z1031" s="9"/>
      <c r="AA1031" s="9"/>
      <c r="AB1031" s="9"/>
      <c r="AC1031" s="449" t="str">
        <f t="shared" si="132"/>
        <v/>
      </c>
      <c r="AD1031" s="449"/>
      <c r="AE1031" s="449"/>
      <c r="AF1031" s="4"/>
      <c r="AG1031" s="83"/>
      <c r="AH1031" s="4"/>
      <c r="AI1031" s="4"/>
      <c r="AJ1031" s="449"/>
      <c r="AK1031" s="449"/>
      <c r="AL1031" s="449"/>
      <c r="AM1031" s="449"/>
      <c r="AN1031" s="10"/>
      <c r="AO1031" s="9"/>
      <c r="AP1031" s="9"/>
      <c r="AQ1031" s="9">
        <f>+FL_1($T$1032,$T$1030,$G$1031,1200,9.28, 1*$F$1032)</f>
        <v>0.45400350967741931</v>
      </c>
      <c r="AR1031" s="9"/>
      <c r="AS1031" s="9"/>
      <c r="AT1031" s="9"/>
      <c r="AU1031" s="428"/>
      <c r="AV1031" s="428"/>
      <c r="AW1031" s="449" t="str">
        <f>IF(C1031&gt;0,VLOOKUP(C1031,Foundation_Calc!$A$2:$C$13,3,1),
IF(J1031&gt;0,VLOOKUP(J1031,Foundation_Calc!$A$2:$C$13,3,1),""))</f>
        <v/>
      </c>
      <c r="AX1031" s="449" t="str">
        <f>IF(C1031&gt;0,VLOOKUP(C1031,Foundation_Calc!$E$35:$G$65,3,1),
IF(J1031&gt;0,VLOOKUP(J1031,Foundation_Calc!$E$35:$G$65,3,1),""))</f>
        <v/>
      </c>
      <c r="AY1031" s="10" t="str">
        <f>IF(L1031="","",
IF(AX1031="PT",VLOOKUP(L1031,Foundation_Calc!$K$79:$R$113,VLOOKUP(AW1031,Foundation_Calc!$I$2:$J$8,2,FALSE),0),
IF(AX1031="K",VLOOKUP(L1031,Foundation_Calc!$K$117:$R$151,VLOOKUP(AW1031,Foundation_Calc!$I$2:$J$8,2,FALSE),0),"")))</f>
        <v/>
      </c>
      <c r="AZ1031" s="10" t="str">
        <f>IF(K1031="","",
IF(AX1031="PT",VLOOKUP(K1031,Foundation_Calc!$K$79:$R$113,VLOOKUP(AW1031,Foundation_Calc!$I$2:$J$8,2,FALSE),0),
IF(AX1031="K",VLOOKUP(K1031,Foundation_Calc!$K$117:$R$151,VLOOKUP(AW1031,Foundation_Calc!$I$2:$J$8,2,FALSE),0),"")))</f>
        <v/>
      </c>
      <c r="BA1031" s="495" t="str">
        <f t="shared" si="133"/>
        <v/>
      </c>
      <c r="BB1031" s="495" t="str">
        <f t="shared" si="134"/>
        <v/>
      </c>
      <c r="BC1031" s="495" t="str">
        <f t="shared" si="135"/>
        <v/>
      </c>
      <c r="BD1031" s="513" t="str">
        <f>IF(AND(L1031="",H1031=""),"",
IF(H1031="",Pole_Calc!A$9,
IF(H1031="MP",Pole_Calc!A$10,
IF(H1031="AnMP",Pole_Calc!A$11,
IF(H1031="A",Pole_Calc!A$12,
IF(H1031="S/A",Pole_Calc!A$13,
IF(H1031="A/S",Pole_Calc!A$14,"Poner a mano")))))))</f>
        <v/>
      </c>
      <c r="BE1031" s="429" t="s">
        <v>118</v>
      </c>
      <c r="BF1031" s="290"/>
      <c r="BG1031" s="290"/>
      <c r="BH1031" s="290"/>
      <c r="BI1031" s="290"/>
    </row>
    <row r="1032" spans="1:61" ht="15.75" customHeight="1">
      <c r="A1032" s="514"/>
      <c r="B1032" s="450" t="s">
        <v>1475</v>
      </c>
      <c r="C1032" s="3">
        <f>+$C$1030+$G$1031</f>
        <v>54936.630000000012</v>
      </c>
      <c r="D1032" s="83"/>
      <c r="E1032" s="4"/>
      <c r="F1032" s="4">
        <v>0</v>
      </c>
      <c r="G1032" s="6"/>
      <c r="H1032" s="449" t="s">
        <v>168</v>
      </c>
      <c r="I1032" s="4"/>
      <c r="J1032" s="3"/>
      <c r="K1032" s="449"/>
      <c r="L1032" s="449" t="s">
        <v>158</v>
      </c>
      <c r="M1032" s="449" t="str">
        <f>IF(L1032="","",
IF(AX1032="PT",VLOOKUP(L1032,Foundation_Calc!$V$79:$X$113,VLOOKUP(AX1032,Foundation_Calc!$I$10:$J$13,2,FALSE),0),
IF(AX1032="K",VLOOKUP(L1032,Foundation_Calc!$V$117:$X$151,VLOOKUP(AX1032,Foundation_Calc!$I$10:$J$13,2,FALSE),0),"")))</f>
        <v>C4R</v>
      </c>
      <c r="N1032" s="449" t="s">
        <v>134</v>
      </c>
      <c r="O1032" s="449"/>
      <c r="P1032" s="449"/>
      <c r="Q1032" s="4"/>
      <c r="R1032" s="6"/>
      <c r="S1032" s="6"/>
      <c r="T1032" s="4">
        <v>35</v>
      </c>
      <c r="U1032" s="4"/>
      <c r="V1032" s="4"/>
      <c r="W1032" s="9">
        <v>1.4</v>
      </c>
      <c r="X1032" s="9"/>
      <c r="Y1032" s="9"/>
      <c r="Z1032" s="9"/>
      <c r="AA1032" s="9"/>
      <c r="AB1032" s="9"/>
      <c r="AC1032" s="449" t="str">
        <f t="shared" si="132"/>
        <v>PH</v>
      </c>
      <c r="AD1032" s="449"/>
      <c r="AE1032" s="449"/>
      <c r="AF1032" s="4"/>
      <c r="AG1032" s="83"/>
      <c r="AH1032" s="4"/>
      <c r="AI1032" s="4"/>
      <c r="AJ1032" s="449"/>
      <c r="AK1032" s="449"/>
      <c r="AL1032" s="449"/>
      <c r="AM1032" s="449" t="s">
        <v>552</v>
      </c>
      <c r="AN1032" s="10">
        <v>5.5</v>
      </c>
      <c r="AO1032" s="9"/>
      <c r="AP1032" s="9"/>
      <c r="AQ1032" s="9"/>
      <c r="AR1032" s="9"/>
      <c r="AS1032" s="9"/>
      <c r="AT1032" s="9">
        <f>+ab($T$1032,$T$1030,$T$1034,$G$1031,$G$1033, 1*$F$1032,1200)</f>
        <v>8.4365744899000195</v>
      </c>
      <c r="AU1032" s="428"/>
      <c r="AV1032" s="428"/>
      <c r="AW1032" s="449" t="str">
        <f>IF(C1032&gt;0,VLOOKUP(C1032,Foundation_Calc!$A$2:$C$13,3,1),
IF(J1032&gt;0,VLOOKUP(J1032,Foundation_Calc!$A$2:$C$13,3,1),""))</f>
        <v>Multi Soil</v>
      </c>
      <c r="AX1032" s="449" t="str">
        <f>IF(C1032&gt;0,VLOOKUP(C1032,Foundation_Calc!$E$35:$G$65,3,1),
IF(J1032&gt;0,VLOOKUP(J1032,Foundation_Calc!$E$35:$G$65,3,1),""))</f>
        <v>PT</v>
      </c>
      <c r="AY1032" s="10">
        <f>IF(L1032="","",
IF(AX1032="PT",VLOOKUP(L1032,Foundation_Calc!$K$79:$R$113,VLOOKUP(AW1032,Foundation_Calc!$I$2:$J$8,2,FALSE),0),
IF(AX1032="K",VLOOKUP(L1032,Foundation_Calc!$K$117:$R$151,VLOOKUP(AW1032,Foundation_Calc!$I$2:$J$8,2,FALSE),0),"")))</f>
        <v>3.5</v>
      </c>
      <c r="AZ1032" s="10" t="str">
        <f>IF(K1032="","",
IF(AX1032="PT",VLOOKUP(K1032,Foundation_Calc!$K$79:$R$113,VLOOKUP(AW1032,Foundation_Calc!$I$2:$J$8,2,FALSE),0),
IF(AX1032="K",VLOOKUP(K1032,Foundation_Calc!$K$117:$R$151,VLOOKUP(AW1032,Foundation_Calc!$I$2:$J$8,2,FALSE),0),"")))</f>
        <v/>
      </c>
      <c r="BA1032" s="495" t="str">
        <f t="shared" si="133"/>
        <v>ü</v>
      </c>
      <c r="BB1032" s="495" t="str">
        <f t="shared" si="134"/>
        <v/>
      </c>
      <c r="BC1032" s="495" t="str">
        <f t="shared" si="135"/>
        <v/>
      </c>
      <c r="BD1032" s="513" t="str">
        <f>IF(AND(L1032="",H1032=""),"",
IF(H1032="",Pole_Calc!A$9,
IF(H1032="MP",Pole_Calc!A$10,
IF(H1032="AnMP",Pole_Calc!A$11,
IF(H1032="A",Pole_Calc!A$12,
IF(H1032="S/A",Pole_Calc!A$13,
IF(H1032="A/S",Pole_Calc!A$14,"Poner a mano")))))))</f>
        <v>App.7-V11I-P9.5.1.3</v>
      </c>
      <c r="BE1032" s="429" t="s">
        <v>118</v>
      </c>
      <c r="BF1032" s="289"/>
      <c r="BG1032" s="289"/>
      <c r="BH1032" s="290"/>
      <c r="BI1032" s="289"/>
    </row>
    <row r="1033" spans="1:61" ht="15.75" customHeight="1">
      <c r="A1033" s="514"/>
      <c r="B1033" s="450"/>
      <c r="C1033" s="3"/>
      <c r="D1033" s="83"/>
      <c r="E1033" s="4"/>
      <c r="F1033" s="4"/>
      <c r="G1033" s="6">
        <v>62</v>
      </c>
      <c r="H1033" s="449"/>
      <c r="I1033" s="4"/>
      <c r="J1033" s="3">
        <f>C1032+7.5</f>
        <v>54944.130000000012</v>
      </c>
      <c r="K1033" s="449" t="s">
        <v>166</v>
      </c>
      <c r="L1033" s="449"/>
      <c r="M1033" s="449" t="str">
        <f>IF(L1033="","",
IF(AX1033="PT",VLOOKUP(L1033,Foundation_Calc!$V$79:$X$113,VLOOKUP(AX1033,Foundation_Calc!$I$10:$J$13,2,FALSE),0),
IF(AX1033="K",VLOOKUP(L1033,Foundation_Calc!$V$117:$X$151,VLOOKUP(AX1033,Foundation_Calc!$I$10:$J$13,2,FALSE),0),"")))</f>
        <v/>
      </c>
      <c r="N1033" s="449"/>
      <c r="O1033" s="561"/>
      <c r="P1033" s="449"/>
      <c r="Q1033" s="4"/>
      <c r="R1033" s="6"/>
      <c r="S1033" s="6"/>
      <c r="T1033" s="4"/>
      <c r="U1033" s="4"/>
      <c r="V1033" s="4"/>
      <c r="W1033" s="9"/>
      <c r="X1033" s="9"/>
      <c r="Y1033" s="9"/>
      <c r="Z1033" s="9"/>
      <c r="AA1033" s="9"/>
      <c r="AB1033" s="9"/>
      <c r="AC1033" s="449" t="str">
        <f t="shared" si="132"/>
        <v/>
      </c>
      <c r="AD1033" s="449"/>
      <c r="AE1033" s="449"/>
      <c r="AF1033" s="4"/>
      <c r="AG1033" s="83"/>
      <c r="AH1033" s="4"/>
      <c r="AI1033" s="4"/>
      <c r="AJ1033" s="449"/>
      <c r="AK1033" s="449"/>
      <c r="AL1033" s="449"/>
      <c r="AM1033" s="449"/>
      <c r="AN1033" s="10"/>
      <c r="AO1033" s="9"/>
      <c r="AP1033" s="9"/>
      <c r="AQ1033" s="9">
        <f>+FL_2($T$1034,$T$1032,$G$1033,1200,9.28, 1*$F$1034)</f>
        <v>-0.45400350967741931</v>
      </c>
      <c r="AR1033" s="9"/>
      <c r="AS1033" s="9"/>
      <c r="AT1033" s="9"/>
      <c r="AU1033" s="428"/>
      <c r="AV1033" s="428"/>
      <c r="AW1033" s="449" t="str">
        <f>IF(C1033&gt;0,VLOOKUP(C1033,Foundation_Calc!$A$2:$C$13,3,1),
IF(J1033&gt;0,VLOOKUP(J1033,Foundation_Calc!$A$2:$C$13,3,1),""))</f>
        <v>Multi Soil</v>
      </c>
      <c r="AX1033" s="449" t="str">
        <f>IF(C1033&gt;0,VLOOKUP(C1033,Foundation_Calc!$E$35:$G$65,3,1),
IF(J1033&gt;0,VLOOKUP(J1033,Foundation_Calc!$E$35:$G$65,3,1),""))</f>
        <v>PT</v>
      </c>
      <c r="AY1033" s="10" t="str">
        <f>IF(L1033="","",
IF(AX1033="PT",VLOOKUP(L1033,Foundation_Calc!$K$79:$R$113,VLOOKUP(AW1033,Foundation_Calc!$I$2:$J$8,2,FALSE),0),
IF(AX1033="K",VLOOKUP(L1033,Foundation_Calc!$K$117:$R$151,VLOOKUP(AW1033,Foundation_Calc!$I$2:$J$8,2,FALSE),0),"")))</f>
        <v/>
      </c>
      <c r="AZ1033" s="10">
        <f>IF(K1033="","",
IF(AX1033="PT",VLOOKUP(K1033,Foundation_Calc!$K$79:$R$113,VLOOKUP(AW1033,Foundation_Calc!$I$2:$J$8,2,FALSE),0),
IF(AX1033="K",VLOOKUP(K1033,Foundation_Calc!$K$117:$R$151,VLOOKUP(AW1033,Foundation_Calc!$I$2:$J$8,2,FALSE),0),"")))</f>
        <v>2.8</v>
      </c>
      <c r="BA1033" s="495" t="str">
        <f t="shared" si="133"/>
        <v/>
      </c>
      <c r="BB1033" s="495" t="str">
        <f t="shared" si="134"/>
        <v>ü</v>
      </c>
      <c r="BC1033" s="495" t="str">
        <f t="shared" si="135"/>
        <v/>
      </c>
      <c r="BD1033" s="513" t="str">
        <f>IF(AND(L1033="",H1033=""),"",
IF(H1033="",Pole_Calc!A$9,
IF(H1033="MP",Pole_Calc!A$10,
IF(H1033="AnMP",Pole_Calc!A$11,
IF(H1033="A",Pole_Calc!A$12,
IF(H1033="S/A",Pole_Calc!A$13,
IF(H1033="A/S",Pole_Calc!A$14,"Poner a mano")))))))</f>
        <v/>
      </c>
      <c r="BE1033" s="429" t="s">
        <v>118</v>
      </c>
      <c r="BF1033" s="290"/>
      <c r="BG1033" s="290"/>
      <c r="BH1033" s="290"/>
      <c r="BI1033" s="290"/>
    </row>
    <row r="1034" spans="1:61" ht="15.75" customHeight="1">
      <c r="A1034" s="514"/>
      <c r="B1034" s="450" t="s">
        <v>1476</v>
      </c>
      <c r="C1034" s="3">
        <f>+$C$1032+$G$1033</f>
        <v>54998.630000000012</v>
      </c>
      <c r="D1034" s="83"/>
      <c r="E1034" s="4"/>
      <c r="F1034" s="4">
        <v>0</v>
      </c>
      <c r="G1034" s="6"/>
      <c r="H1034" s="449"/>
      <c r="I1034" s="4"/>
      <c r="J1034" s="3"/>
      <c r="K1034" s="449"/>
      <c r="L1034" s="449" t="s">
        <v>153</v>
      </c>
      <c r="M1034" s="449" t="str">
        <f>IF(L1034="","",
IF(AX1034="PT",VLOOKUP(L1034,Foundation_Calc!$V$79:$X$113,VLOOKUP(AX1034,Foundation_Calc!$I$10:$J$13,2,FALSE),0),
IF(AX1034="K",VLOOKUP(L1034,Foundation_Calc!$V$117:$X$151,VLOOKUP(AX1034,Foundation_Calc!$I$10:$J$13,2,FALSE),0),"")))</f>
        <v>C3R</v>
      </c>
      <c r="N1034" s="449" t="s">
        <v>124</v>
      </c>
      <c r="O1034" s="449"/>
      <c r="P1034" s="449"/>
      <c r="Q1034" s="4"/>
      <c r="R1034" s="6"/>
      <c r="S1034" s="6"/>
      <c r="T1034" s="4">
        <v>-35</v>
      </c>
      <c r="U1034" s="4"/>
      <c r="V1034" s="4"/>
      <c r="W1034" s="9">
        <v>1.4</v>
      </c>
      <c r="X1034" s="9"/>
      <c r="Y1034" s="9"/>
      <c r="Z1034" s="9"/>
      <c r="AA1034" s="9"/>
      <c r="AB1034" s="9"/>
      <c r="AC1034" s="449" t="str">
        <f t="shared" si="132"/>
        <v>PH</v>
      </c>
      <c r="AD1034" s="449"/>
      <c r="AE1034" s="449"/>
      <c r="AF1034" s="4"/>
      <c r="AG1034" s="83"/>
      <c r="AH1034" s="4"/>
      <c r="AI1034" s="4"/>
      <c r="AJ1034" s="449"/>
      <c r="AK1034" s="449"/>
      <c r="AL1034" s="449"/>
      <c r="AM1034" s="449" t="s">
        <v>552</v>
      </c>
      <c r="AN1034" s="10">
        <v>5.5</v>
      </c>
      <c r="AO1034" s="9"/>
      <c r="AP1034" s="9"/>
      <c r="AQ1034" s="9"/>
      <c r="AR1034" s="9"/>
      <c r="AS1034" s="9"/>
      <c r="AT1034" s="9">
        <f>+ab($T$1034,$T$1032,$T$1036,$G$1033,$G$1035, 1*$F$1034,1200)</f>
        <v>-8.4366201521118445</v>
      </c>
      <c r="AU1034" s="428"/>
      <c r="AV1034" s="428"/>
      <c r="AW1034" s="449" t="str">
        <f>IF(C1034&gt;0,VLOOKUP(C1034,Foundation_Calc!$A$2:$C$13,3,1),
IF(J1034&gt;0,VLOOKUP(J1034,Foundation_Calc!$A$2:$C$13,3,1),""))</f>
        <v>Multi Soil</v>
      </c>
      <c r="AX1034" s="449" t="str">
        <f>IF(C1034&gt;0,VLOOKUP(C1034,Foundation_Calc!$E$35:$G$65,3,1),
IF(J1034&gt;0,VLOOKUP(J1034,Foundation_Calc!$E$35:$G$65,3,1),""))</f>
        <v>PT</v>
      </c>
      <c r="AY1034" s="10">
        <f>IF(L1034="","",
IF(AX1034="PT",VLOOKUP(L1034,Foundation_Calc!$K$79:$R$113,VLOOKUP(AW1034,Foundation_Calc!$I$2:$J$8,2,FALSE),0),
IF(AX1034="K",VLOOKUP(L1034,Foundation_Calc!$K$117:$R$151,VLOOKUP(AW1034,Foundation_Calc!$I$2:$J$8,2,FALSE),0),"")))</f>
        <v>3.5</v>
      </c>
      <c r="AZ1034" s="10" t="str">
        <f>IF(K1034="","",
IF(AX1034="PT",VLOOKUP(K1034,Foundation_Calc!$K$79:$R$113,VLOOKUP(AW1034,Foundation_Calc!$I$2:$J$8,2,FALSE),0),
IF(AX1034="K",VLOOKUP(K1034,Foundation_Calc!$K$117:$R$151,VLOOKUP(AW1034,Foundation_Calc!$I$2:$J$8,2,FALSE),0),"")))</f>
        <v/>
      </c>
      <c r="BA1034" s="495" t="str">
        <f t="shared" si="133"/>
        <v>ü</v>
      </c>
      <c r="BB1034" s="495" t="str">
        <f t="shared" si="134"/>
        <v/>
      </c>
      <c r="BC1034" s="495" t="str">
        <f t="shared" si="135"/>
        <v/>
      </c>
      <c r="BD1034" s="513" t="str">
        <f>IF(AND(L1034="",H1034=""),"",
IF(H1034="",Pole_Calc!A$9,
IF(H1034="MP",Pole_Calc!A$10,
IF(H1034="AnMP",Pole_Calc!A$11,
IF(H1034="A",Pole_Calc!A$12,
IF(H1034="S/A",Pole_Calc!A$13,
IF(H1034="A/S",Pole_Calc!A$14,"Poner a mano")))))))</f>
        <v>App.7-V11I-P9.5.1.1</v>
      </c>
      <c r="BE1034" s="429" t="s">
        <v>118</v>
      </c>
      <c r="BF1034" s="289"/>
      <c r="BG1034" s="289"/>
      <c r="BH1034" s="290"/>
      <c r="BI1034" s="289"/>
    </row>
    <row r="1035" spans="1:61" ht="15.75" customHeight="1">
      <c r="A1035" s="518"/>
      <c r="B1035" s="450"/>
      <c r="C1035" s="3"/>
      <c r="D1035" s="83"/>
      <c r="E1035" s="4"/>
      <c r="F1035" s="4"/>
      <c r="G1035" s="6">
        <v>62</v>
      </c>
      <c r="H1035" s="449"/>
      <c r="I1035" s="4"/>
      <c r="J1035" s="3"/>
      <c r="K1035" s="449"/>
      <c r="L1035" s="449"/>
      <c r="M1035" s="449" t="str">
        <f>IF(L1035="","",
IF(AX1035="PT",VLOOKUP(L1035,Foundation_Calc!$V$79:$X$113,VLOOKUP(AX1035,Foundation_Calc!$I$10:$J$13,2,FALSE),0),
IF(AX1035="K",VLOOKUP(L1035,Foundation_Calc!$V$117:$X$151,VLOOKUP(AX1035,Foundation_Calc!$I$10:$J$13,2,FALSE),0),"")))</f>
        <v/>
      </c>
      <c r="N1035" s="449"/>
      <c r="O1035" s="449"/>
      <c r="P1035" s="449"/>
      <c r="Q1035" s="4"/>
      <c r="R1035" s="6"/>
      <c r="S1035" s="6"/>
      <c r="T1035" s="4"/>
      <c r="U1035" s="4"/>
      <c r="V1035" s="4"/>
      <c r="W1035" s="9"/>
      <c r="X1035" s="9"/>
      <c r="Y1035" s="9"/>
      <c r="Z1035" s="9"/>
      <c r="AA1035" s="9"/>
      <c r="AB1035" s="9"/>
      <c r="AC1035" s="449" t="str">
        <f t="shared" si="132"/>
        <v/>
      </c>
      <c r="AD1035" s="449"/>
      <c r="AE1035" s="449"/>
      <c r="AF1035" s="4"/>
      <c r="AG1035" s="83"/>
      <c r="AH1035" s="4"/>
      <c r="AI1035" s="4"/>
      <c r="AJ1035" s="449"/>
      <c r="AK1035" s="449"/>
      <c r="AL1035" s="449"/>
      <c r="AM1035" s="449"/>
      <c r="AN1035" s="10"/>
      <c r="AO1035" s="9"/>
      <c r="AP1035" s="9"/>
      <c r="AQ1035" s="9">
        <f>+FL_1($T$1036,$T$1034,$G$1035,1200,9.28, 1*$F$1036)</f>
        <v>0.45400350967741931</v>
      </c>
      <c r="AR1035" s="9"/>
      <c r="AS1035" s="9"/>
      <c r="AT1035" s="9"/>
      <c r="AU1035" s="428"/>
      <c r="AV1035" s="428"/>
      <c r="AW1035" s="449" t="str">
        <f>IF(C1035&gt;0,VLOOKUP(C1035,Foundation_Calc!$A$2:$C$13,3,1),
IF(J1035&gt;0,VLOOKUP(J1035,Foundation_Calc!$A$2:$C$13,3,1),""))</f>
        <v/>
      </c>
      <c r="AX1035" s="449" t="str">
        <f>IF(C1035&gt;0,VLOOKUP(C1035,Foundation_Calc!$E$35:$G$65,3,1),
IF(J1035&gt;0,VLOOKUP(J1035,Foundation_Calc!$E$35:$G$65,3,1),""))</f>
        <v/>
      </c>
      <c r="AY1035" s="10" t="str">
        <f>IF(L1035="","",
IF(AX1035="PT",VLOOKUP(L1035,Foundation_Calc!$K$79:$R$113,VLOOKUP(AW1035,Foundation_Calc!$I$2:$J$8,2,FALSE),0),
IF(AX1035="K",VLOOKUP(L1035,Foundation_Calc!$K$117:$R$151,VLOOKUP(AW1035,Foundation_Calc!$I$2:$J$8,2,FALSE),0),"")))</f>
        <v/>
      </c>
      <c r="AZ1035" s="10" t="str">
        <f>IF(K1035="","",
IF(AX1035="PT",VLOOKUP(K1035,Foundation_Calc!$K$79:$R$113,VLOOKUP(AW1035,Foundation_Calc!$I$2:$J$8,2,FALSE),0),
IF(AX1035="K",VLOOKUP(K1035,Foundation_Calc!$K$117:$R$151,VLOOKUP(AW1035,Foundation_Calc!$I$2:$J$8,2,FALSE),0),"")))</f>
        <v/>
      </c>
      <c r="BA1035" s="495" t="str">
        <f t="shared" si="133"/>
        <v/>
      </c>
      <c r="BB1035" s="495" t="str">
        <f t="shared" si="134"/>
        <v/>
      </c>
      <c r="BC1035" s="495" t="str">
        <f t="shared" si="135"/>
        <v/>
      </c>
      <c r="BD1035" s="513" t="str">
        <f>IF(AND(L1035="",H1035=""),"",
IF(H1035="",Pole_Calc!A$9,
IF(H1035="MP",Pole_Calc!A$10,
IF(H1035="AnMP",Pole_Calc!A$11,
IF(H1035="A",Pole_Calc!A$12,
IF(H1035="S/A",Pole_Calc!A$13,
IF(H1035="A/S",Pole_Calc!A$14,"Poner a mano")))))))</f>
        <v/>
      </c>
      <c r="BE1035" s="429" t="s">
        <v>118</v>
      </c>
      <c r="BF1035" s="290"/>
      <c r="BG1035" s="290"/>
      <c r="BH1035" s="290"/>
      <c r="BI1035" s="290"/>
    </row>
    <row r="1036" spans="1:61" ht="15.75" customHeight="1">
      <c r="A1036" s="514"/>
      <c r="B1036" s="450" t="s">
        <v>1477</v>
      </c>
      <c r="C1036" s="3">
        <f>+$C$1034+$G$1035</f>
        <v>55060.630000000012</v>
      </c>
      <c r="D1036" s="83"/>
      <c r="E1036" s="4"/>
      <c r="F1036" s="4">
        <v>0</v>
      </c>
      <c r="G1036" s="6"/>
      <c r="H1036" s="449"/>
      <c r="I1036" s="4"/>
      <c r="J1036" s="3"/>
      <c r="K1036" s="449"/>
      <c r="L1036" s="449" t="s">
        <v>153</v>
      </c>
      <c r="M1036" s="449" t="str">
        <f>IF(L1036="","",
IF(AX1036="PT",VLOOKUP(L1036,Foundation_Calc!$V$79:$X$113,VLOOKUP(AX1036,Foundation_Calc!$I$10:$J$13,2,FALSE),0),
IF(AX1036="K",VLOOKUP(L1036,Foundation_Calc!$V$117:$X$151,VLOOKUP(AX1036,Foundation_Calc!$I$10:$J$13,2,FALSE),0),"")))</f>
        <v>C3R</v>
      </c>
      <c r="N1036" s="449" t="s">
        <v>134</v>
      </c>
      <c r="O1036" s="449"/>
      <c r="P1036" s="449"/>
      <c r="Q1036" s="4"/>
      <c r="R1036" s="6"/>
      <c r="S1036" s="6"/>
      <c r="T1036" s="4">
        <v>35</v>
      </c>
      <c r="U1036" s="4"/>
      <c r="V1036" s="4"/>
      <c r="W1036" s="9">
        <v>1.4</v>
      </c>
      <c r="X1036" s="9"/>
      <c r="Y1036" s="9"/>
      <c r="Z1036" s="9"/>
      <c r="AA1036" s="9"/>
      <c r="AB1036" s="9"/>
      <c r="AC1036" s="449" t="str">
        <f t="shared" si="132"/>
        <v>PH</v>
      </c>
      <c r="AD1036" s="449"/>
      <c r="AE1036" s="449"/>
      <c r="AF1036" s="4"/>
      <c r="AG1036" s="83"/>
      <c r="AH1036" s="4"/>
      <c r="AI1036" s="4"/>
      <c r="AJ1036" s="449"/>
      <c r="AK1036" s="449"/>
      <c r="AL1036" s="449"/>
      <c r="AM1036" s="449" t="s">
        <v>552</v>
      </c>
      <c r="AN1036" s="10">
        <v>5.5</v>
      </c>
      <c r="AO1036" s="9"/>
      <c r="AP1036" s="9"/>
      <c r="AQ1036" s="9"/>
      <c r="AR1036" s="9"/>
      <c r="AS1036" s="9"/>
      <c r="AT1036" s="9">
        <f>+ab($T$1036,$T$1034,$T$1038,$G$1035,$G$1037, 1*$F$1036,1200)</f>
        <v>8.4365744899000195</v>
      </c>
      <c r="AU1036" s="428"/>
      <c r="AV1036" s="428"/>
      <c r="AW1036" s="449" t="str">
        <f>IF(C1036&gt;0,VLOOKUP(C1036,Foundation_Calc!$A$2:$C$13,3,1),
IF(J1036&gt;0,VLOOKUP(J1036,Foundation_Calc!$A$2:$C$13,3,1),""))</f>
        <v>Multi Soil</v>
      </c>
      <c r="AX1036" s="449" t="str">
        <f>IF(C1036&gt;0,VLOOKUP(C1036,Foundation_Calc!$E$35:$G$65,3,1),
IF(J1036&gt;0,VLOOKUP(J1036,Foundation_Calc!$E$35:$G$65,3,1),""))</f>
        <v>PT</v>
      </c>
      <c r="AY1036" s="10">
        <f>IF(L1036="","",
IF(AX1036="PT",VLOOKUP(L1036,Foundation_Calc!$K$79:$R$113,VLOOKUP(AW1036,Foundation_Calc!$I$2:$J$8,2,FALSE),0),
IF(AX1036="K",VLOOKUP(L1036,Foundation_Calc!$K$117:$R$151,VLOOKUP(AW1036,Foundation_Calc!$I$2:$J$8,2,FALSE),0),"")))</f>
        <v>3.5</v>
      </c>
      <c r="AZ1036" s="10" t="str">
        <f>IF(K1036="","",
IF(AX1036="PT",VLOOKUP(K1036,Foundation_Calc!$K$79:$R$113,VLOOKUP(AW1036,Foundation_Calc!$I$2:$J$8,2,FALSE),0),
IF(AX1036="K",VLOOKUP(K1036,Foundation_Calc!$K$117:$R$151,VLOOKUP(AW1036,Foundation_Calc!$I$2:$J$8,2,FALSE),0),"")))</f>
        <v/>
      </c>
      <c r="BA1036" s="495" t="str">
        <f t="shared" si="133"/>
        <v>ü</v>
      </c>
      <c r="BB1036" s="495" t="str">
        <f t="shared" si="134"/>
        <v/>
      </c>
      <c r="BC1036" s="495" t="str">
        <f t="shared" si="135"/>
        <v/>
      </c>
      <c r="BD1036" s="513" t="str">
        <f>IF(AND(L1036="",H1036=""),"",
IF(H1036="",Pole_Calc!A$9,
IF(H1036="MP",Pole_Calc!A$10,
IF(H1036="AnMP",Pole_Calc!A$11,
IF(H1036="A",Pole_Calc!A$12,
IF(H1036="S/A",Pole_Calc!A$13,
IF(H1036="A/S",Pole_Calc!A$14,"Poner a mano")))))))</f>
        <v>App.7-V11I-P9.5.1.1</v>
      </c>
      <c r="BE1036" s="429" t="s">
        <v>118</v>
      </c>
      <c r="BF1036" s="289"/>
      <c r="BG1036" s="289"/>
      <c r="BH1036" s="290"/>
      <c r="BI1036" s="289"/>
    </row>
    <row r="1037" spans="1:61" ht="15.75" customHeight="1">
      <c r="A1037" s="514"/>
      <c r="B1037" s="450"/>
      <c r="C1037" s="3"/>
      <c r="D1037" s="83"/>
      <c r="E1037" s="4"/>
      <c r="F1037" s="4"/>
      <c r="G1037" s="6">
        <v>62</v>
      </c>
      <c r="H1037" s="449"/>
      <c r="I1037" s="4"/>
      <c r="J1037" s="3"/>
      <c r="K1037" s="449"/>
      <c r="L1037" s="449"/>
      <c r="M1037" s="449" t="str">
        <f>IF(L1037="","",
IF(AX1037="PT",VLOOKUP(L1037,Foundation_Calc!$V$79:$X$113,VLOOKUP(AX1037,Foundation_Calc!$I$10:$J$13,2,FALSE),0),
IF(AX1037="K",VLOOKUP(L1037,Foundation_Calc!$V$117:$X$151,VLOOKUP(AX1037,Foundation_Calc!$I$10:$J$13,2,FALSE),0),"")))</f>
        <v/>
      </c>
      <c r="N1037" s="449"/>
      <c r="O1037" s="449"/>
      <c r="P1037" s="449"/>
      <c r="Q1037" s="4"/>
      <c r="R1037" s="6"/>
      <c r="S1037" s="6"/>
      <c r="T1037" s="4"/>
      <c r="U1037" s="4"/>
      <c r="V1037" s="4"/>
      <c r="W1037" s="9"/>
      <c r="X1037" s="9"/>
      <c r="Y1037" s="9"/>
      <c r="Z1037" s="9"/>
      <c r="AA1037" s="9"/>
      <c r="AB1037" s="9"/>
      <c r="AC1037" s="449" t="str">
        <f t="shared" si="132"/>
        <v/>
      </c>
      <c r="AD1037" s="449"/>
      <c r="AE1037" s="449"/>
      <c r="AF1037" s="4"/>
      <c r="AG1037" s="83"/>
      <c r="AH1037" s="4"/>
      <c r="AI1037" s="4"/>
      <c r="AJ1037" s="449"/>
      <c r="AK1037" s="449"/>
      <c r="AL1037" s="449"/>
      <c r="AM1037" s="449"/>
      <c r="AN1037" s="10"/>
      <c r="AO1037" s="9"/>
      <c r="AP1037" s="9"/>
      <c r="AQ1037" s="9">
        <f>+FL_2($T$1038,$T$1036,$G$1037,1200,9.28, 1*$F$1038)</f>
        <v>-0.45400350967741931</v>
      </c>
      <c r="AR1037" s="9"/>
      <c r="AS1037" s="9"/>
      <c r="AT1037" s="9"/>
      <c r="AU1037" s="428"/>
      <c r="AV1037" s="428"/>
      <c r="AW1037" s="449" t="str">
        <f>IF(C1037&gt;0,VLOOKUP(C1037,Foundation_Calc!$A$2:$C$13,3,1),
IF(J1037&gt;0,VLOOKUP(J1037,Foundation_Calc!$A$2:$C$13,3,1),""))</f>
        <v/>
      </c>
      <c r="AX1037" s="449" t="str">
        <f>IF(C1037&gt;0,VLOOKUP(C1037,Foundation_Calc!$E$35:$G$65,3,1),
IF(J1037&gt;0,VLOOKUP(J1037,Foundation_Calc!$E$35:$G$65,3,1),""))</f>
        <v/>
      </c>
      <c r="AY1037" s="10" t="str">
        <f>IF(L1037="","",
IF(AX1037="PT",VLOOKUP(L1037,Foundation_Calc!$K$79:$R$113,VLOOKUP(AW1037,Foundation_Calc!$I$2:$J$8,2,FALSE),0),
IF(AX1037="K",VLOOKUP(L1037,Foundation_Calc!$K$117:$R$151,VLOOKUP(AW1037,Foundation_Calc!$I$2:$J$8,2,FALSE),0),"")))</f>
        <v/>
      </c>
      <c r="AZ1037" s="10" t="str">
        <f>IF(K1037="","",
IF(AX1037="PT",VLOOKUP(K1037,Foundation_Calc!$K$79:$R$113,VLOOKUP(AW1037,Foundation_Calc!$I$2:$J$8,2,FALSE),0),
IF(AX1037="K",VLOOKUP(K1037,Foundation_Calc!$K$117:$R$151,VLOOKUP(AW1037,Foundation_Calc!$I$2:$J$8,2,FALSE),0),"")))</f>
        <v/>
      </c>
      <c r="BA1037" s="495" t="str">
        <f t="shared" si="133"/>
        <v/>
      </c>
      <c r="BB1037" s="495" t="str">
        <f t="shared" si="134"/>
        <v/>
      </c>
      <c r="BC1037" s="495" t="str">
        <f t="shared" si="135"/>
        <v/>
      </c>
      <c r="BD1037" s="513" t="str">
        <f>IF(AND(L1037="",H1037=""),"",
IF(H1037="",Pole_Calc!A$9,
IF(H1037="MP",Pole_Calc!A$10,
IF(H1037="AnMP",Pole_Calc!A$11,
IF(H1037="A",Pole_Calc!A$12,
IF(H1037="S/A",Pole_Calc!A$13,
IF(H1037="A/S",Pole_Calc!A$14,"Poner a mano")))))))</f>
        <v/>
      </c>
      <c r="BE1037" s="429" t="s">
        <v>118</v>
      </c>
      <c r="BF1037" s="290"/>
      <c r="BG1037" s="290"/>
      <c r="BH1037" s="290"/>
      <c r="BI1037" s="290"/>
    </row>
    <row r="1038" spans="1:61" ht="15.75" customHeight="1">
      <c r="A1038" s="514"/>
      <c r="B1038" s="450" t="s">
        <v>1478</v>
      </c>
      <c r="C1038" s="3">
        <f>+$C$1036+$G$1037</f>
        <v>55122.630000000012</v>
      </c>
      <c r="D1038" s="83"/>
      <c r="E1038" s="4"/>
      <c r="F1038" s="4">
        <v>0</v>
      </c>
      <c r="G1038" s="6"/>
      <c r="H1038" s="449"/>
      <c r="I1038" s="4"/>
      <c r="J1038" s="3"/>
      <c r="K1038" s="449"/>
      <c r="L1038" s="449" t="s">
        <v>153</v>
      </c>
      <c r="M1038" s="449" t="str">
        <f>IF(L1038="","",
IF(AX1038="PT",VLOOKUP(L1038,Foundation_Calc!$V$79:$X$113,VLOOKUP(AX1038,Foundation_Calc!$I$10:$J$13,2,FALSE),0),
IF(AX1038="K",VLOOKUP(L1038,Foundation_Calc!$V$117:$X$151,VLOOKUP(AX1038,Foundation_Calc!$I$10:$J$13,2,FALSE),0),"")))</f>
        <v>C3R</v>
      </c>
      <c r="N1038" s="449" t="s">
        <v>124</v>
      </c>
      <c r="O1038" s="449"/>
      <c r="P1038" s="449"/>
      <c r="Q1038" s="4"/>
      <c r="R1038" s="6"/>
      <c r="S1038" s="6"/>
      <c r="T1038" s="4">
        <v>-35</v>
      </c>
      <c r="U1038" s="4"/>
      <c r="V1038" s="4"/>
      <c r="W1038" s="9">
        <v>1.4</v>
      </c>
      <c r="X1038" s="9"/>
      <c r="Y1038" s="9"/>
      <c r="Z1038" s="9"/>
      <c r="AA1038" s="9"/>
      <c r="AB1038" s="9"/>
      <c r="AC1038" s="449" t="str">
        <f t="shared" si="132"/>
        <v>PH</v>
      </c>
      <c r="AD1038" s="449"/>
      <c r="AE1038" s="449"/>
      <c r="AF1038" s="4"/>
      <c r="AG1038" s="83"/>
      <c r="AH1038" s="4"/>
      <c r="AI1038" s="4"/>
      <c r="AJ1038" s="449"/>
      <c r="AK1038" s="449"/>
      <c r="AL1038" s="449"/>
      <c r="AM1038" s="449" t="s">
        <v>552</v>
      </c>
      <c r="AN1038" s="10">
        <v>5.5</v>
      </c>
      <c r="AO1038" s="9"/>
      <c r="AP1038" s="9"/>
      <c r="AQ1038" s="9"/>
      <c r="AR1038" s="9"/>
      <c r="AS1038" s="9"/>
      <c r="AT1038" s="9">
        <f>+ab($T$1038,$T$1036,$T$1040,$G$1037,$G$1039, 1*$F$1038,1200)</f>
        <v>-8.4366201521118445</v>
      </c>
      <c r="AU1038" s="428"/>
      <c r="AV1038" s="428"/>
      <c r="AW1038" s="449" t="str">
        <f>IF(C1038&gt;0,VLOOKUP(C1038,Foundation_Calc!$A$2:$C$13,3,1),
IF(J1038&gt;0,VLOOKUP(J1038,Foundation_Calc!$A$2:$C$13,3,1),""))</f>
        <v>Multi Soil</v>
      </c>
      <c r="AX1038" s="449" t="str">
        <f>IF(C1038&gt;0,VLOOKUP(C1038,Foundation_Calc!$E$35:$G$65,3,1),
IF(J1038&gt;0,VLOOKUP(J1038,Foundation_Calc!$E$35:$G$65,3,1),""))</f>
        <v>PT</v>
      </c>
      <c r="AY1038" s="10">
        <f>IF(L1038="","",
IF(AX1038="PT",VLOOKUP(L1038,Foundation_Calc!$K$79:$R$113,VLOOKUP(AW1038,Foundation_Calc!$I$2:$J$8,2,FALSE),0),
IF(AX1038="K",VLOOKUP(L1038,Foundation_Calc!$K$117:$R$151,VLOOKUP(AW1038,Foundation_Calc!$I$2:$J$8,2,FALSE),0),"")))</f>
        <v>3.5</v>
      </c>
      <c r="AZ1038" s="10" t="str">
        <f>IF(K1038="","",
IF(AX1038="PT",VLOOKUP(K1038,Foundation_Calc!$K$79:$R$113,VLOOKUP(AW1038,Foundation_Calc!$I$2:$J$8,2,FALSE),0),
IF(AX1038="K",VLOOKUP(K1038,Foundation_Calc!$K$117:$R$151,VLOOKUP(AW1038,Foundation_Calc!$I$2:$J$8,2,FALSE),0),"")))</f>
        <v/>
      </c>
      <c r="BA1038" s="495" t="str">
        <f t="shared" si="133"/>
        <v>ü</v>
      </c>
      <c r="BB1038" s="495" t="str">
        <f t="shared" si="134"/>
        <v/>
      </c>
      <c r="BC1038" s="495" t="str">
        <f t="shared" si="135"/>
        <v/>
      </c>
      <c r="BD1038" s="513" t="str">
        <f>IF(AND(L1038="",H1038=""),"",
IF(H1038="",Pole_Calc!A$9,
IF(H1038="MP",Pole_Calc!A$10,
IF(H1038="AnMP",Pole_Calc!A$11,
IF(H1038="A",Pole_Calc!A$12,
IF(H1038="S/A",Pole_Calc!A$13,
IF(H1038="A/S",Pole_Calc!A$14,"Poner a mano")))))))</f>
        <v>App.7-V11I-P9.5.1.1</v>
      </c>
      <c r="BE1038" s="429" t="s">
        <v>118</v>
      </c>
      <c r="BF1038" s="289"/>
      <c r="BG1038" s="289"/>
      <c r="BH1038" s="290"/>
      <c r="BI1038" s="289"/>
    </row>
    <row r="1039" spans="1:61" ht="15.75" customHeight="1">
      <c r="A1039" s="514"/>
      <c r="B1039" s="450"/>
      <c r="C1039" s="3"/>
      <c r="D1039" s="83"/>
      <c r="E1039" s="4"/>
      <c r="F1039" s="4"/>
      <c r="G1039" s="6">
        <v>62</v>
      </c>
      <c r="H1039" s="449"/>
      <c r="I1039" s="4"/>
      <c r="J1039" s="3"/>
      <c r="K1039" s="449"/>
      <c r="L1039" s="449"/>
      <c r="M1039" s="449" t="str">
        <f>IF(L1039="","",
IF(AX1039="PT",VLOOKUP(L1039,Foundation_Calc!$V$79:$X$113,VLOOKUP(AX1039,Foundation_Calc!$I$10:$J$13,2,FALSE),0),
IF(AX1039="K",VLOOKUP(L1039,Foundation_Calc!$V$117:$X$151,VLOOKUP(AX1039,Foundation_Calc!$I$10:$J$13,2,FALSE),0),"")))</f>
        <v/>
      </c>
      <c r="N1039" s="449"/>
      <c r="O1039" s="561"/>
      <c r="P1039" s="449"/>
      <c r="Q1039" s="4"/>
      <c r="R1039" s="6"/>
      <c r="S1039" s="6"/>
      <c r="T1039" s="4"/>
      <c r="U1039" s="4"/>
      <c r="V1039" s="4"/>
      <c r="W1039" s="9"/>
      <c r="X1039" s="9"/>
      <c r="Y1039" s="9"/>
      <c r="Z1039" s="9"/>
      <c r="AA1039" s="9"/>
      <c r="AB1039" s="9"/>
      <c r="AC1039" s="449" t="str">
        <f t="shared" si="132"/>
        <v/>
      </c>
      <c r="AD1039" s="449"/>
      <c r="AE1039" s="449"/>
      <c r="AF1039" s="4"/>
      <c r="AG1039" s="83"/>
      <c r="AH1039" s="4"/>
      <c r="AI1039" s="4"/>
      <c r="AJ1039" s="449"/>
      <c r="AK1039" s="449"/>
      <c r="AL1039" s="449"/>
      <c r="AM1039" s="449"/>
      <c r="AN1039" s="10"/>
      <c r="AO1039" s="9"/>
      <c r="AP1039" s="9"/>
      <c r="AQ1039" s="9">
        <f>+FL_1($T$1040,$T$1038,$G$1039,1200,9.28, 1*$F$1040)</f>
        <v>0.45400350967741931</v>
      </c>
      <c r="AR1039" s="9"/>
      <c r="AS1039" s="9"/>
      <c r="AT1039" s="9"/>
      <c r="AU1039" s="428"/>
      <c r="AV1039" s="428"/>
      <c r="AW1039" s="449" t="str">
        <f>IF(C1039&gt;0,VLOOKUP(C1039,Foundation_Calc!$A$2:$C$13,3,1),
IF(J1039&gt;0,VLOOKUP(J1039,Foundation_Calc!$A$2:$C$13,3,1),""))</f>
        <v/>
      </c>
      <c r="AX1039" s="449" t="str">
        <f>IF(C1039&gt;0,VLOOKUP(C1039,Foundation_Calc!$E$35:$G$65,3,1),
IF(J1039&gt;0,VLOOKUP(J1039,Foundation_Calc!$E$35:$G$65,3,1),""))</f>
        <v/>
      </c>
      <c r="AY1039" s="10" t="str">
        <f>IF(L1039="","",
IF(AX1039="PT",VLOOKUP(L1039,Foundation_Calc!$K$79:$R$113,VLOOKUP(AW1039,Foundation_Calc!$I$2:$J$8,2,FALSE),0),
IF(AX1039="K",VLOOKUP(L1039,Foundation_Calc!$K$117:$R$151,VLOOKUP(AW1039,Foundation_Calc!$I$2:$J$8,2,FALSE),0),"")))</f>
        <v/>
      </c>
      <c r="AZ1039" s="10" t="str">
        <f>IF(K1039="","",
IF(AX1039="PT",VLOOKUP(K1039,Foundation_Calc!$K$79:$R$113,VLOOKUP(AW1039,Foundation_Calc!$I$2:$J$8,2,FALSE),0),
IF(AX1039="K",VLOOKUP(K1039,Foundation_Calc!$K$117:$R$151,VLOOKUP(AW1039,Foundation_Calc!$I$2:$J$8,2,FALSE),0),"")))</f>
        <v/>
      </c>
      <c r="BA1039" s="495" t="str">
        <f t="shared" si="133"/>
        <v/>
      </c>
      <c r="BB1039" s="495" t="str">
        <f t="shared" si="134"/>
        <v/>
      </c>
      <c r="BC1039" s="495" t="str">
        <f t="shared" si="135"/>
        <v/>
      </c>
      <c r="BD1039" s="513" t="str">
        <f>IF(AND(L1039="",H1039=""),"",
IF(H1039="",Pole_Calc!A$9,
IF(H1039="MP",Pole_Calc!A$10,
IF(H1039="AnMP",Pole_Calc!A$11,
IF(H1039="A",Pole_Calc!A$12,
IF(H1039="S/A",Pole_Calc!A$13,
IF(H1039="A/S",Pole_Calc!A$14,"Poner a mano")))))))</f>
        <v/>
      </c>
      <c r="BE1039" s="429" t="s">
        <v>118</v>
      </c>
      <c r="BF1039" s="290"/>
      <c r="BG1039" s="290"/>
      <c r="BH1039" s="290"/>
      <c r="BI1039" s="290"/>
    </row>
    <row r="1040" spans="1:61" ht="15.75" customHeight="1">
      <c r="A1040" s="514"/>
      <c r="B1040" s="450" t="s">
        <v>1479</v>
      </c>
      <c r="C1040" s="3">
        <f>+$C$1038+$G$1039</f>
        <v>55184.630000000012</v>
      </c>
      <c r="D1040" s="83"/>
      <c r="E1040" s="4"/>
      <c r="F1040" s="4">
        <v>0</v>
      </c>
      <c r="G1040" s="6"/>
      <c r="H1040" s="449"/>
      <c r="I1040" s="4"/>
      <c r="J1040" s="3"/>
      <c r="K1040" s="449"/>
      <c r="L1040" s="449" t="s">
        <v>153</v>
      </c>
      <c r="M1040" s="449" t="str">
        <f>IF(L1040="","",
IF(AX1040="PT",VLOOKUP(L1040,Foundation_Calc!$V$79:$X$113,VLOOKUP(AX1040,Foundation_Calc!$I$10:$J$13,2,FALSE),0),
IF(AX1040="K",VLOOKUP(L1040,Foundation_Calc!$V$117:$X$151,VLOOKUP(AX1040,Foundation_Calc!$I$10:$J$13,2,FALSE),0),"")))</f>
        <v>C3R</v>
      </c>
      <c r="N1040" s="449" t="s">
        <v>134</v>
      </c>
      <c r="O1040" s="449"/>
      <c r="P1040" s="449"/>
      <c r="Q1040" s="4"/>
      <c r="R1040" s="6"/>
      <c r="S1040" s="6"/>
      <c r="T1040" s="4">
        <v>35</v>
      </c>
      <c r="U1040" s="4"/>
      <c r="V1040" s="4"/>
      <c r="W1040" s="9">
        <v>1.4</v>
      </c>
      <c r="X1040" s="9"/>
      <c r="Y1040" s="9"/>
      <c r="Z1040" s="9"/>
      <c r="AA1040" s="9"/>
      <c r="AB1040" s="9"/>
      <c r="AC1040" s="449" t="str">
        <f t="shared" si="132"/>
        <v>PH</v>
      </c>
      <c r="AD1040" s="449"/>
      <c r="AE1040" s="449"/>
      <c r="AF1040" s="4"/>
      <c r="AG1040" s="83"/>
      <c r="AH1040" s="4"/>
      <c r="AI1040" s="4"/>
      <c r="AJ1040" s="449"/>
      <c r="AK1040" s="449"/>
      <c r="AL1040" s="449"/>
      <c r="AM1040" s="449" t="s">
        <v>552</v>
      </c>
      <c r="AN1040" s="10">
        <v>5.5</v>
      </c>
      <c r="AO1040" s="9"/>
      <c r="AP1040" s="9"/>
      <c r="AQ1040" s="9"/>
      <c r="AR1040" s="9"/>
      <c r="AS1040" s="9"/>
      <c r="AT1040" s="9">
        <f>+ab($T$1040,$T$1038,$T$1042,$G$1039,$G$1041, 1*$F$1040,1200)</f>
        <v>8.4365744899000195</v>
      </c>
      <c r="AU1040" s="428"/>
      <c r="AV1040" s="428"/>
      <c r="AW1040" s="449" t="str">
        <f>IF(C1040&gt;0,VLOOKUP(C1040,Foundation_Calc!$A$2:$C$13,3,1),
IF(J1040&gt;0,VLOOKUP(J1040,Foundation_Calc!$A$2:$C$13,3,1),""))</f>
        <v>Multi Soil</v>
      </c>
      <c r="AX1040" s="449" t="str">
        <f>IF(C1040&gt;0,VLOOKUP(C1040,Foundation_Calc!$E$35:$G$65,3,1),
IF(J1040&gt;0,VLOOKUP(J1040,Foundation_Calc!$E$35:$G$65,3,1),""))</f>
        <v>PT</v>
      </c>
      <c r="AY1040" s="10">
        <f>IF(L1040="","",
IF(AX1040="PT",VLOOKUP(L1040,Foundation_Calc!$K$79:$R$113,VLOOKUP(AW1040,Foundation_Calc!$I$2:$J$8,2,FALSE),0),
IF(AX1040="K",VLOOKUP(L1040,Foundation_Calc!$K$117:$R$151,VLOOKUP(AW1040,Foundation_Calc!$I$2:$J$8,2,FALSE),0),"")))</f>
        <v>3.5</v>
      </c>
      <c r="AZ1040" s="10" t="str">
        <f>IF(K1040="","",
IF(AX1040="PT",VLOOKUP(K1040,Foundation_Calc!$K$79:$R$113,VLOOKUP(AW1040,Foundation_Calc!$I$2:$J$8,2,FALSE),0),
IF(AX1040="K",VLOOKUP(K1040,Foundation_Calc!$K$117:$R$151,VLOOKUP(AW1040,Foundation_Calc!$I$2:$J$8,2,FALSE),0),"")))</f>
        <v/>
      </c>
      <c r="BA1040" s="495" t="str">
        <f t="shared" si="133"/>
        <v>ü</v>
      </c>
      <c r="BB1040" s="495" t="str">
        <f t="shared" si="134"/>
        <v/>
      </c>
      <c r="BC1040" s="495" t="str">
        <f t="shared" si="135"/>
        <v/>
      </c>
      <c r="BD1040" s="513" t="str">
        <f>IF(AND(L1040="",H1040=""),"",
IF(H1040="",Pole_Calc!A$9,
IF(H1040="MP",Pole_Calc!A$10,
IF(H1040="AnMP",Pole_Calc!A$11,
IF(H1040="A",Pole_Calc!A$12,
IF(H1040="S/A",Pole_Calc!A$13,
IF(H1040="A/S",Pole_Calc!A$14,"Poner a mano")))))))</f>
        <v>App.7-V11I-P9.5.1.1</v>
      </c>
      <c r="BE1040" s="429" t="s">
        <v>118</v>
      </c>
      <c r="BF1040" s="289"/>
      <c r="BG1040" s="289"/>
      <c r="BH1040" s="290"/>
      <c r="BI1040" s="289"/>
    </row>
    <row r="1041" spans="1:61" ht="15.75" customHeight="1">
      <c r="A1041" s="518"/>
      <c r="B1041" s="450"/>
      <c r="C1041" s="3"/>
      <c r="D1041" s="83"/>
      <c r="E1041" s="4"/>
      <c r="F1041" s="4"/>
      <c r="G1041" s="6">
        <v>62</v>
      </c>
      <c r="H1041" s="449"/>
      <c r="I1041" s="4"/>
      <c r="J1041" s="3"/>
      <c r="K1041" s="449"/>
      <c r="L1041" s="449"/>
      <c r="M1041" s="449" t="str">
        <f>IF(L1041="","",
IF(AX1041="PT",VLOOKUP(L1041,Foundation_Calc!$V$79:$X$113,VLOOKUP(AX1041,Foundation_Calc!$I$10:$J$13,2,FALSE),0),
IF(AX1041="K",VLOOKUP(L1041,Foundation_Calc!$V$117:$X$151,VLOOKUP(AX1041,Foundation_Calc!$I$10:$J$13,2,FALSE),0),"")))</f>
        <v/>
      </c>
      <c r="N1041" s="449"/>
      <c r="O1041" s="449"/>
      <c r="P1041" s="449"/>
      <c r="Q1041" s="4"/>
      <c r="R1041" s="6"/>
      <c r="S1041" s="6"/>
      <c r="T1041" s="4"/>
      <c r="U1041" s="4"/>
      <c r="V1041" s="4"/>
      <c r="W1041" s="9"/>
      <c r="X1041" s="9"/>
      <c r="Y1041" s="9"/>
      <c r="Z1041" s="9"/>
      <c r="AA1041" s="9"/>
      <c r="AB1041" s="9"/>
      <c r="AC1041" s="449" t="str">
        <f t="shared" si="132"/>
        <v/>
      </c>
      <c r="AD1041" s="449"/>
      <c r="AE1041" s="449"/>
      <c r="AF1041" s="4"/>
      <c r="AG1041" s="83"/>
      <c r="AH1041" s="4"/>
      <c r="AI1041" s="4"/>
      <c r="AJ1041" s="449"/>
      <c r="AK1041" s="449"/>
      <c r="AL1041" s="449"/>
      <c r="AM1041" s="449"/>
      <c r="AN1041" s="10"/>
      <c r="AO1041" s="9"/>
      <c r="AP1041" s="9"/>
      <c r="AQ1041" s="9">
        <f>+FL_2($T$1042,$T$1040,$G$1041,1200,9.28, 1*$F$1042)</f>
        <v>-0.45400350967741931</v>
      </c>
      <c r="AR1041" s="9"/>
      <c r="AS1041" s="9"/>
      <c r="AT1041" s="9"/>
      <c r="AU1041" s="428"/>
      <c r="AV1041" s="428"/>
      <c r="AW1041" s="449" t="str">
        <f>IF(C1041&gt;0,VLOOKUP(C1041,Foundation_Calc!$A$2:$C$13,3,1),
IF(J1041&gt;0,VLOOKUP(J1041,Foundation_Calc!$A$2:$C$13,3,1),""))</f>
        <v/>
      </c>
      <c r="AX1041" s="449" t="str">
        <f>IF(C1041&gt;0,VLOOKUP(C1041,Foundation_Calc!$E$35:$G$65,3,1),
IF(J1041&gt;0,VLOOKUP(J1041,Foundation_Calc!$E$35:$G$65,3,1),""))</f>
        <v/>
      </c>
      <c r="AY1041" s="10" t="str">
        <f>IF(L1041="","",
IF(AX1041="PT",VLOOKUP(L1041,Foundation_Calc!$K$79:$R$113,VLOOKUP(AW1041,Foundation_Calc!$I$2:$J$8,2,FALSE),0),
IF(AX1041="K",VLOOKUP(L1041,Foundation_Calc!$K$117:$R$151,VLOOKUP(AW1041,Foundation_Calc!$I$2:$J$8,2,FALSE),0),"")))</f>
        <v/>
      </c>
      <c r="AZ1041" s="10" t="str">
        <f>IF(K1041="","",
IF(AX1041="PT",VLOOKUP(K1041,Foundation_Calc!$K$79:$R$113,VLOOKUP(AW1041,Foundation_Calc!$I$2:$J$8,2,FALSE),0),
IF(AX1041="K",VLOOKUP(K1041,Foundation_Calc!$K$117:$R$151,VLOOKUP(AW1041,Foundation_Calc!$I$2:$J$8,2,FALSE),0),"")))</f>
        <v/>
      </c>
      <c r="BA1041" s="495" t="str">
        <f t="shared" si="133"/>
        <v/>
      </c>
      <c r="BB1041" s="495" t="str">
        <f t="shared" si="134"/>
        <v/>
      </c>
      <c r="BC1041" s="495" t="str">
        <f t="shared" si="135"/>
        <v/>
      </c>
      <c r="BD1041" s="513" t="str">
        <f>IF(AND(L1041="",H1041=""),"",
IF(H1041="",Pole_Calc!A$9,
IF(H1041="MP",Pole_Calc!A$10,
IF(H1041="AnMP",Pole_Calc!A$11,
IF(H1041="A",Pole_Calc!A$12,
IF(H1041="S/A",Pole_Calc!A$13,
IF(H1041="A/S",Pole_Calc!A$14,"Poner a mano")))))))</f>
        <v/>
      </c>
      <c r="BE1041" s="429" t="s">
        <v>118</v>
      </c>
      <c r="BF1041" s="290"/>
      <c r="BG1041" s="290"/>
      <c r="BH1041" s="290"/>
      <c r="BI1041" s="290"/>
    </row>
    <row r="1042" spans="1:61" ht="15.75" customHeight="1">
      <c r="A1042" s="514"/>
      <c r="B1042" s="450" t="s">
        <v>1480</v>
      </c>
      <c r="C1042" s="3">
        <f>+$C$1040+$G$1041</f>
        <v>55246.630000000012</v>
      </c>
      <c r="D1042" s="83"/>
      <c r="E1042" s="4"/>
      <c r="F1042" s="4">
        <v>0</v>
      </c>
      <c r="G1042" s="6"/>
      <c r="H1042" s="449"/>
      <c r="I1042" s="4"/>
      <c r="J1042" s="3"/>
      <c r="K1042" s="449"/>
      <c r="L1042" s="449" t="s">
        <v>153</v>
      </c>
      <c r="M1042" s="449" t="str">
        <f>IF(L1042="","",
IF(AX1042="PT",VLOOKUP(L1042,Foundation_Calc!$V$79:$X$113,VLOOKUP(AX1042,Foundation_Calc!$I$10:$J$13,2,FALSE),0),
IF(AX1042="K",VLOOKUP(L1042,Foundation_Calc!$V$117:$X$151,VLOOKUP(AX1042,Foundation_Calc!$I$10:$J$13,2,FALSE),0),"")))</f>
        <v>C3R</v>
      </c>
      <c r="N1042" s="449" t="s">
        <v>124</v>
      </c>
      <c r="O1042" s="449"/>
      <c r="P1042" s="449"/>
      <c r="Q1042" s="4"/>
      <c r="R1042" s="6"/>
      <c r="S1042" s="6"/>
      <c r="T1042" s="4">
        <v>-35</v>
      </c>
      <c r="U1042" s="4"/>
      <c r="V1042" s="4"/>
      <c r="W1042" s="9">
        <v>1.4</v>
      </c>
      <c r="X1042" s="9"/>
      <c r="Y1042" s="9"/>
      <c r="Z1042" s="9"/>
      <c r="AA1042" s="9"/>
      <c r="AB1042" s="9"/>
      <c r="AC1042" s="449" t="str">
        <f t="shared" si="132"/>
        <v>PH</v>
      </c>
      <c r="AD1042" s="449"/>
      <c r="AE1042" s="449"/>
      <c r="AF1042" s="4"/>
      <c r="AG1042" s="83"/>
      <c r="AH1042" s="4"/>
      <c r="AI1042" s="4"/>
      <c r="AJ1042" s="449"/>
      <c r="AK1042" s="449"/>
      <c r="AL1042" s="449"/>
      <c r="AM1042" s="449" t="s">
        <v>552</v>
      </c>
      <c r="AN1042" s="10">
        <v>5.5</v>
      </c>
      <c r="AO1042" s="9"/>
      <c r="AP1042" s="9"/>
      <c r="AQ1042" s="9"/>
      <c r="AR1042" s="9"/>
      <c r="AS1042" s="9"/>
      <c r="AT1042" s="9">
        <f>+ab($T$1042,$T$1040,$T$1044,$G$1041,$G$1043, 1*$F$1042,1200)</f>
        <v>-8.7443431418580957</v>
      </c>
      <c r="AU1042" s="428"/>
      <c r="AV1042" s="428"/>
      <c r="AW1042" s="449" t="str">
        <f>IF(C1042&gt;0,VLOOKUP(C1042,Foundation_Calc!$A$2:$C$13,3,1),
IF(J1042&gt;0,VLOOKUP(J1042,Foundation_Calc!$A$2:$C$13,3,1),""))</f>
        <v>Multi Soil</v>
      </c>
      <c r="AX1042" s="449" t="str">
        <f>IF(C1042&gt;0,VLOOKUP(C1042,Foundation_Calc!$E$35:$G$65,3,1),
IF(J1042&gt;0,VLOOKUP(J1042,Foundation_Calc!$E$35:$G$65,3,1),""))</f>
        <v>PT</v>
      </c>
      <c r="AY1042" s="10">
        <f>IF(L1042="","",
IF(AX1042="PT",VLOOKUP(L1042,Foundation_Calc!$K$79:$R$113,VLOOKUP(AW1042,Foundation_Calc!$I$2:$J$8,2,FALSE),0),
IF(AX1042="K",VLOOKUP(L1042,Foundation_Calc!$K$117:$R$151,VLOOKUP(AW1042,Foundation_Calc!$I$2:$J$8,2,FALSE),0),"")))</f>
        <v>3.5</v>
      </c>
      <c r="AZ1042" s="10" t="str">
        <f>IF(K1042="","",
IF(AX1042="PT",VLOOKUP(K1042,Foundation_Calc!$K$79:$R$113,VLOOKUP(AW1042,Foundation_Calc!$I$2:$J$8,2,FALSE),0),
IF(AX1042="K",VLOOKUP(K1042,Foundation_Calc!$K$117:$R$151,VLOOKUP(AW1042,Foundation_Calc!$I$2:$J$8,2,FALSE),0),"")))</f>
        <v/>
      </c>
      <c r="BA1042" s="495" t="str">
        <f t="shared" si="133"/>
        <v>ü</v>
      </c>
      <c r="BB1042" s="495" t="str">
        <f t="shared" si="134"/>
        <v/>
      </c>
      <c r="BC1042" s="495" t="str">
        <f t="shared" si="135"/>
        <v/>
      </c>
      <c r="BD1042" s="513" t="str">
        <f>IF(AND(L1042="",H1042=""),"",
IF(H1042="",Pole_Calc!A$9,
IF(H1042="MP",Pole_Calc!A$10,
IF(H1042="AnMP",Pole_Calc!A$11,
IF(H1042="A",Pole_Calc!A$12,
IF(H1042="S/A",Pole_Calc!A$13,
IF(H1042="A/S",Pole_Calc!A$14,"Poner a mano")))))))</f>
        <v>App.7-V11I-P9.5.1.1</v>
      </c>
      <c r="BE1042" s="429" t="s">
        <v>118</v>
      </c>
      <c r="BF1042" s="289"/>
      <c r="BG1042" s="289"/>
      <c r="BH1042" s="290"/>
      <c r="BI1042" s="289"/>
    </row>
    <row r="1043" spans="1:61" ht="15.75" customHeight="1">
      <c r="A1043" s="514"/>
      <c r="B1043" s="450"/>
      <c r="C1043" s="3"/>
      <c r="D1043" s="83"/>
      <c r="E1043" s="4"/>
      <c r="F1043" s="4"/>
      <c r="G1043" s="6">
        <v>62</v>
      </c>
      <c r="H1043" s="449"/>
      <c r="I1043" s="4"/>
      <c r="J1043" s="3"/>
      <c r="K1043" s="449"/>
      <c r="L1043" s="449"/>
      <c r="M1043" s="449" t="str">
        <f>IF(L1043="","",
IF(AX1043="PT",VLOOKUP(L1043,Foundation_Calc!$V$79:$X$113,VLOOKUP(AX1043,Foundation_Calc!$I$10:$J$13,2,FALSE),0),
IF(AX1043="K",VLOOKUP(L1043,Foundation_Calc!$V$117:$X$151,VLOOKUP(AX1043,Foundation_Calc!$I$10:$J$13,2,FALSE),0),"")))</f>
        <v/>
      </c>
      <c r="N1043" s="449"/>
      <c r="O1043" s="449"/>
      <c r="P1043" s="449"/>
      <c r="Q1043" s="4"/>
      <c r="R1043" s="6"/>
      <c r="S1043" s="6"/>
      <c r="T1043" s="4"/>
      <c r="U1043" s="4"/>
      <c r="V1043" s="4"/>
      <c r="W1043" s="9"/>
      <c r="X1043" s="9"/>
      <c r="Y1043" s="9"/>
      <c r="Z1043" s="9"/>
      <c r="AA1043" s="9"/>
      <c r="AB1043" s="9"/>
      <c r="AC1043" s="449" t="str">
        <f t="shared" si="132"/>
        <v/>
      </c>
      <c r="AD1043" s="449"/>
      <c r="AE1043" s="449"/>
      <c r="AF1043" s="4"/>
      <c r="AG1043" s="83"/>
      <c r="AH1043" s="4"/>
      <c r="AI1043" s="4"/>
      <c r="AJ1043" s="449"/>
      <c r="AK1043" s="449"/>
      <c r="AL1043" s="449"/>
      <c r="AM1043" s="449"/>
      <c r="AN1043" s="10"/>
      <c r="AO1043" s="9"/>
      <c r="AP1043" s="9"/>
      <c r="AQ1043" s="9">
        <f>+FL_2($T$1044,$T$1042,$G$1043,1200,9.28, 1*$F$1044)</f>
        <v>-0.46765016498924739</v>
      </c>
      <c r="AR1043" s="9"/>
      <c r="AS1043" s="9"/>
      <c r="AT1043" s="9"/>
      <c r="AU1043" s="428"/>
      <c r="AV1043" s="428"/>
      <c r="AW1043" s="449" t="str">
        <f>IF(C1043&gt;0,VLOOKUP(C1043,Foundation_Calc!$A$2:$C$13,3,1),
IF(J1043&gt;0,VLOOKUP(J1043,Foundation_Calc!$A$2:$C$13,3,1),""))</f>
        <v/>
      </c>
      <c r="AX1043" s="449" t="str">
        <f>IF(C1043&gt;0,VLOOKUP(C1043,Foundation_Calc!$E$35:$G$65,3,1),
IF(J1043&gt;0,VLOOKUP(J1043,Foundation_Calc!$E$35:$G$65,3,1),""))</f>
        <v/>
      </c>
      <c r="AY1043" s="10" t="str">
        <f>IF(L1043="","",
IF(AX1043="PT",VLOOKUP(L1043,Foundation_Calc!$K$79:$R$113,VLOOKUP(AW1043,Foundation_Calc!$I$2:$J$8,2,FALSE),0),
IF(AX1043="K",VLOOKUP(L1043,Foundation_Calc!$K$117:$R$151,VLOOKUP(AW1043,Foundation_Calc!$I$2:$J$8,2,FALSE),0),"")))</f>
        <v/>
      </c>
      <c r="AZ1043" s="10" t="str">
        <f>IF(K1043="","",
IF(AX1043="PT",VLOOKUP(K1043,Foundation_Calc!$K$79:$R$113,VLOOKUP(AW1043,Foundation_Calc!$I$2:$J$8,2,FALSE),0),
IF(AX1043="K",VLOOKUP(K1043,Foundation_Calc!$K$117:$R$151,VLOOKUP(AW1043,Foundation_Calc!$I$2:$J$8,2,FALSE),0),"")))</f>
        <v/>
      </c>
      <c r="BA1043" s="495" t="str">
        <f t="shared" si="133"/>
        <v/>
      </c>
      <c r="BB1043" s="495" t="str">
        <f t="shared" si="134"/>
        <v/>
      </c>
      <c r="BC1043" s="495" t="str">
        <f t="shared" si="135"/>
        <v/>
      </c>
      <c r="BD1043" s="513" t="str">
        <f>IF(AND(L1043="",H1043=""),"",
IF(H1043="",Pole_Calc!A$9,
IF(H1043="MP",Pole_Calc!A$10,
IF(H1043="AnMP",Pole_Calc!A$11,
IF(H1043="A",Pole_Calc!A$12,
IF(H1043="S/A",Pole_Calc!A$13,
IF(H1043="A/S",Pole_Calc!A$14,"Poner a mano")))))))</f>
        <v/>
      </c>
      <c r="BE1043" s="429" t="s">
        <v>118</v>
      </c>
      <c r="BF1043" s="290"/>
      <c r="BG1043" s="290"/>
      <c r="BH1043" s="290"/>
      <c r="BI1043" s="290"/>
    </row>
    <row r="1044" spans="1:61" ht="15.75" customHeight="1">
      <c r="A1044" s="514"/>
      <c r="B1044" s="450" t="s">
        <v>1481</v>
      </c>
      <c r="C1044" s="3">
        <f>+$C$1042+$G$1043</f>
        <v>55308.630000000012</v>
      </c>
      <c r="D1044" s="83"/>
      <c r="E1044" s="4"/>
      <c r="F1044" s="4">
        <v>0</v>
      </c>
      <c r="G1044" s="6"/>
      <c r="H1044" s="449"/>
      <c r="I1044" s="4"/>
      <c r="J1044" s="3"/>
      <c r="K1044" s="449"/>
      <c r="L1044" s="449" t="s">
        <v>153</v>
      </c>
      <c r="M1044" s="449" t="str">
        <f>IF(L1044="","",
IF(AX1044="PT",VLOOKUP(L1044,Foundation_Calc!$V$79:$X$113,VLOOKUP(AX1044,Foundation_Calc!$I$10:$J$13,2,FALSE),0),
IF(AX1044="K",VLOOKUP(L1044,Foundation_Calc!$V$117:$X$151,VLOOKUP(AX1044,Foundation_Calc!$I$10:$J$13,2,FALSE),0),"")))</f>
        <v>C3R</v>
      </c>
      <c r="N1044" s="449" t="s">
        <v>134</v>
      </c>
      <c r="O1044" s="449"/>
      <c r="P1044" s="449"/>
      <c r="Q1044" s="4"/>
      <c r="R1044" s="6"/>
      <c r="S1044" s="6"/>
      <c r="T1044" s="4">
        <v>30</v>
      </c>
      <c r="U1044" s="4"/>
      <c r="V1044" s="4"/>
      <c r="W1044" s="9">
        <v>1.4</v>
      </c>
      <c r="X1044" s="9"/>
      <c r="Y1044" s="9"/>
      <c r="Z1044" s="9"/>
      <c r="AA1044" s="9"/>
      <c r="AB1044" s="9"/>
      <c r="AC1044" s="449" t="str">
        <f t="shared" si="132"/>
        <v>PH</v>
      </c>
      <c r="AD1044" s="449"/>
      <c r="AE1044" s="449"/>
      <c r="AF1044" s="4"/>
      <c r="AG1044" s="83"/>
      <c r="AH1044" s="4"/>
      <c r="AI1044" s="4"/>
      <c r="AJ1044" s="449"/>
      <c r="AK1044" s="449"/>
      <c r="AL1044" s="449"/>
      <c r="AM1044" s="449" t="s">
        <v>552</v>
      </c>
      <c r="AN1044" s="10">
        <v>5.5</v>
      </c>
      <c r="AO1044" s="9"/>
      <c r="AP1044" s="9"/>
      <c r="AQ1044" s="9"/>
      <c r="AR1044" s="9"/>
      <c r="AS1044" s="9"/>
      <c r="AT1044" s="9">
        <f>+ab($T$1044,$T$1042,$T$1046,$G$1043,$G$1045, 1*$F$1044,1200)</f>
        <v>9.8172082785389527</v>
      </c>
      <c r="AU1044" s="428"/>
      <c r="AV1044" s="428"/>
      <c r="AW1044" s="449" t="str">
        <f>IF(C1044&gt;0,VLOOKUP(C1044,Foundation_Calc!$A$2:$C$13,3,1),
IF(J1044&gt;0,VLOOKUP(J1044,Foundation_Calc!$A$2:$C$13,3,1),""))</f>
        <v>Multi Soil</v>
      </c>
      <c r="AX1044" s="449" t="str">
        <f>IF(C1044&gt;0,VLOOKUP(C1044,Foundation_Calc!$E$35:$G$65,3,1),
IF(J1044&gt;0,VLOOKUP(J1044,Foundation_Calc!$E$35:$G$65,3,1),""))</f>
        <v>PT</v>
      </c>
      <c r="AY1044" s="10">
        <f>IF(L1044="","",
IF(AX1044="PT",VLOOKUP(L1044,Foundation_Calc!$K$79:$R$113,VLOOKUP(AW1044,Foundation_Calc!$I$2:$J$8,2,FALSE),0),
IF(AX1044="K",VLOOKUP(L1044,Foundation_Calc!$K$117:$R$151,VLOOKUP(AW1044,Foundation_Calc!$I$2:$J$8,2,FALSE),0),"")))</f>
        <v>3.5</v>
      </c>
      <c r="AZ1044" s="10" t="str">
        <f>IF(K1044="","",
IF(AX1044="PT",VLOOKUP(K1044,Foundation_Calc!$K$79:$R$113,VLOOKUP(AW1044,Foundation_Calc!$I$2:$J$8,2,FALSE),0),
IF(AX1044="K",VLOOKUP(K1044,Foundation_Calc!$K$117:$R$151,VLOOKUP(AW1044,Foundation_Calc!$I$2:$J$8,2,FALSE),0),"")))</f>
        <v/>
      </c>
      <c r="BA1044" s="495" t="str">
        <f t="shared" si="133"/>
        <v>ü</v>
      </c>
      <c r="BB1044" s="495" t="str">
        <f t="shared" si="134"/>
        <v/>
      </c>
      <c r="BC1044" s="495" t="str">
        <f t="shared" si="135"/>
        <v/>
      </c>
      <c r="BD1044" s="513" t="str">
        <f>IF(AND(L1044="",H1044=""),"",
IF(H1044="",Pole_Calc!A$9,
IF(H1044="MP",Pole_Calc!A$10,
IF(H1044="AnMP",Pole_Calc!A$11,
IF(H1044="A",Pole_Calc!A$12,
IF(H1044="S/A",Pole_Calc!A$13,
IF(H1044="A/S",Pole_Calc!A$14,"Poner a mano")))))))</f>
        <v>App.7-V11I-P9.5.1.1</v>
      </c>
      <c r="BE1044" s="429" t="s">
        <v>118</v>
      </c>
      <c r="BF1044" s="289"/>
      <c r="BG1044" s="289"/>
      <c r="BH1044" s="290"/>
      <c r="BI1044" s="289"/>
    </row>
    <row r="1045" spans="1:61" ht="15.75" customHeight="1">
      <c r="A1045" s="514"/>
      <c r="B1045" s="450"/>
      <c r="C1045" s="3"/>
      <c r="D1045" s="83"/>
      <c r="E1045" s="4"/>
      <c r="F1045" s="4"/>
      <c r="G1045" s="6">
        <v>62</v>
      </c>
      <c r="H1045" s="449"/>
      <c r="I1045" s="4"/>
      <c r="J1045" s="3">
        <f>C1046-7.5</f>
        <v>55363.130000000012</v>
      </c>
      <c r="K1045" s="449" t="s">
        <v>117</v>
      </c>
      <c r="L1045" s="449"/>
      <c r="M1045" s="449" t="str">
        <f>IF(L1045="","",
IF(AX1045="PT",VLOOKUP(L1045,Foundation_Calc!$V$79:$X$113,VLOOKUP(AX1045,Foundation_Calc!$I$10:$J$13,2,FALSE),0),
IF(AX1045="K",VLOOKUP(L1045,Foundation_Calc!$V$117:$X$151,VLOOKUP(AX1045,Foundation_Calc!$I$10:$J$13,2,FALSE),0),"")))</f>
        <v/>
      </c>
      <c r="N1045" s="449"/>
      <c r="O1045" s="561"/>
      <c r="P1045" s="449"/>
      <c r="Q1045" s="4"/>
      <c r="R1045" s="6"/>
      <c r="S1045" s="6"/>
      <c r="T1045" s="4"/>
      <c r="U1045" s="4"/>
      <c r="V1045" s="4"/>
      <c r="W1045" s="9"/>
      <c r="X1045" s="9"/>
      <c r="Y1045" s="9"/>
      <c r="Z1045" s="9"/>
      <c r="AA1045" s="9"/>
      <c r="AB1045" s="9"/>
      <c r="AC1045" s="449" t="str">
        <f t="shared" si="132"/>
        <v/>
      </c>
      <c r="AD1045" s="449"/>
      <c r="AE1045" s="449"/>
      <c r="AF1045" s="4"/>
      <c r="AG1045" s="83"/>
      <c r="AH1045" s="4"/>
      <c r="AI1045" s="4"/>
      <c r="AJ1045" s="449"/>
      <c r="AK1045" s="449"/>
      <c r="AL1045" s="449"/>
      <c r="AM1045" s="449"/>
      <c r="AN1045" s="10"/>
      <c r="AO1045" s="9"/>
      <c r="AP1045" s="9"/>
      <c r="AQ1045" s="9">
        <f>+FL_1($T$1046,$T$1044,$G$1045,1200,9.28, 1*$F$1046)</f>
        <v>0.44746645199999996</v>
      </c>
      <c r="AR1045" s="9"/>
      <c r="AS1045" s="9"/>
      <c r="AT1045" s="9"/>
      <c r="AU1045" s="428"/>
      <c r="AV1045" s="428"/>
      <c r="AW1045" s="449" t="str">
        <f>IF(C1045&gt;0,VLOOKUP(C1045,Foundation_Calc!$A$2:$C$13,3,1),
IF(J1045&gt;0,VLOOKUP(J1045,Foundation_Calc!$A$2:$C$13,3,1),""))</f>
        <v>Multi Soil</v>
      </c>
      <c r="AX1045" s="449" t="str">
        <f>IF(C1045&gt;0,VLOOKUP(C1045,Foundation_Calc!$E$35:$G$65,3,1),
IF(J1045&gt;0,VLOOKUP(J1045,Foundation_Calc!$E$35:$G$65,3,1),""))</f>
        <v>PT</v>
      </c>
      <c r="AY1045" s="10" t="str">
        <f>IF(L1045="","",
IF(AX1045="PT",VLOOKUP(L1045,Foundation_Calc!$K$79:$R$113,VLOOKUP(AW1045,Foundation_Calc!$I$2:$J$8,2,FALSE),0),
IF(AX1045="K",VLOOKUP(L1045,Foundation_Calc!$K$117:$R$151,VLOOKUP(AW1045,Foundation_Calc!$I$2:$J$8,2,FALSE),0),"")))</f>
        <v/>
      </c>
      <c r="AZ1045" s="10">
        <f>IF(K1045="","",
IF(AX1045="PT",VLOOKUP(K1045,Foundation_Calc!$K$79:$R$113,VLOOKUP(AW1045,Foundation_Calc!$I$2:$J$8,2,FALSE),0),
IF(AX1045="K",VLOOKUP(K1045,Foundation_Calc!$K$117:$R$151,VLOOKUP(AW1045,Foundation_Calc!$I$2:$J$8,2,FALSE),0),"")))</f>
        <v>3.9</v>
      </c>
      <c r="BA1045" s="495" t="str">
        <f t="shared" si="133"/>
        <v/>
      </c>
      <c r="BB1045" s="495" t="str">
        <f t="shared" si="134"/>
        <v>ü</v>
      </c>
      <c r="BC1045" s="495" t="str">
        <f t="shared" si="135"/>
        <v/>
      </c>
      <c r="BD1045" s="513" t="str">
        <f>IF(AND(L1045="",H1045=""),"",
IF(H1045="",Pole_Calc!A$9,
IF(H1045="MP",Pole_Calc!A$10,
IF(H1045="AnMP",Pole_Calc!A$11,
IF(H1045="A",Pole_Calc!A$12,
IF(H1045="S/A",Pole_Calc!A$13,
IF(H1045="A/S",Pole_Calc!A$14,"Poner a mano")))))))</f>
        <v/>
      </c>
      <c r="BE1045" s="429" t="s">
        <v>118</v>
      </c>
      <c r="BF1045" s="290"/>
      <c r="BG1045" s="290"/>
      <c r="BH1045" s="290"/>
      <c r="BI1045" s="290"/>
    </row>
    <row r="1046" spans="1:61" ht="15.75" customHeight="1">
      <c r="A1046" s="514"/>
      <c r="B1046" s="450" t="s">
        <v>1482</v>
      </c>
      <c r="C1046" s="3">
        <f>+$C$1044+$G$1045</f>
        <v>55370.630000000012</v>
      </c>
      <c r="D1046" s="83"/>
      <c r="E1046" s="4"/>
      <c r="F1046" s="4">
        <v>0</v>
      </c>
      <c r="G1046" s="6"/>
      <c r="H1046" s="449" t="s">
        <v>121</v>
      </c>
      <c r="I1046" s="4" t="s">
        <v>122</v>
      </c>
      <c r="J1046" s="3"/>
      <c r="K1046" s="449"/>
      <c r="L1046" s="449" t="s">
        <v>151</v>
      </c>
      <c r="M1046" s="449" t="str">
        <f>IF(L1046="","",
IF(AX1046="PT",VLOOKUP(L1046,Foundation_Calc!$V$79:$X$113,VLOOKUP(AX1046,Foundation_Calc!$I$10:$J$13,2,FALSE),0),
IF(AX1046="K",VLOOKUP(L1046,Foundation_Calc!$V$117:$X$151,VLOOKUP(AX1046,Foundation_Calc!$I$10:$J$13,2,FALSE),0),"")))</f>
        <v>C4R</v>
      </c>
      <c r="N1046" s="449" t="s">
        <v>124</v>
      </c>
      <c r="O1046" s="449"/>
      <c r="P1046" s="449"/>
      <c r="Q1046" s="4"/>
      <c r="R1046" s="6"/>
      <c r="S1046" s="6"/>
      <c r="T1046" s="4">
        <v>-25</v>
      </c>
      <c r="U1046" s="4"/>
      <c r="V1046" s="4"/>
      <c r="W1046" s="9">
        <v>1.4</v>
      </c>
      <c r="X1046" s="9"/>
      <c r="Y1046" s="9"/>
      <c r="Z1046" s="9"/>
      <c r="AA1046" s="9"/>
      <c r="AB1046" s="9"/>
      <c r="AC1046" s="449" t="str">
        <f t="shared" si="132"/>
        <v>PH</v>
      </c>
      <c r="AD1046" s="449"/>
      <c r="AE1046" s="449"/>
      <c r="AF1046" s="4"/>
      <c r="AG1046" s="83"/>
      <c r="AH1046" s="4"/>
      <c r="AI1046" s="4"/>
      <c r="AJ1046" s="449"/>
      <c r="AK1046" s="449"/>
      <c r="AL1046" s="449"/>
      <c r="AM1046" s="449" t="s">
        <v>552</v>
      </c>
      <c r="AN1046" s="10">
        <v>5.5</v>
      </c>
      <c r="AO1046" s="9"/>
      <c r="AP1046" s="9"/>
      <c r="AQ1046" s="9"/>
      <c r="AR1046" s="9"/>
      <c r="AS1046" s="9"/>
      <c r="AT1046" s="9">
        <f>+ab($T$1046,$T$1044,$U$1048,$G$1045,$G$1047, 1*$F$1046,1200)</f>
        <v>-12.329657504196032</v>
      </c>
      <c r="AU1046" s="428"/>
      <c r="AV1046" s="428"/>
      <c r="AW1046" s="449" t="str">
        <f>IF(C1046&gt;0,VLOOKUP(C1046,Foundation_Calc!$A$2:$C$13,3,1),
IF(J1046&gt;0,VLOOKUP(J1046,Foundation_Calc!$A$2:$C$13,3,1),""))</f>
        <v>Multi Soil</v>
      </c>
      <c r="AX1046" s="449" t="str">
        <f>IF(C1046&gt;0,VLOOKUP(C1046,Foundation_Calc!$E$35:$G$65,3,1),
IF(J1046&gt;0,VLOOKUP(J1046,Foundation_Calc!$E$35:$G$65,3,1),""))</f>
        <v>PT</v>
      </c>
      <c r="AY1046" s="10">
        <f>IF(L1046="","",
IF(AX1046="PT",VLOOKUP(L1046,Foundation_Calc!$K$79:$R$113,VLOOKUP(AW1046,Foundation_Calc!$I$2:$J$8,2,FALSE),0),
IF(AX1046="K",VLOOKUP(L1046,Foundation_Calc!$K$117:$R$151,VLOOKUP(AW1046,Foundation_Calc!$I$2:$J$8,2,FALSE),0),"")))</f>
        <v>3.5</v>
      </c>
      <c r="AZ1046" s="10" t="str">
        <f>IF(K1046="","",
IF(AX1046="PT",VLOOKUP(K1046,Foundation_Calc!$K$79:$R$113,VLOOKUP(AW1046,Foundation_Calc!$I$2:$J$8,2,FALSE),0),
IF(AX1046="K",VLOOKUP(K1046,Foundation_Calc!$K$117:$R$151,VLOOKUP(AW1046,Foundation_Calc!$I$2:$J$8,2,FALSE),0),"")))</f>
        <v/>
      </c>
      <c r="BA1046" s="495" t="str">
        <f t="shared" si="133"/>
        <v>ü</v>
      </c>
      <c r="BB1046" s="495" t="str">
        <f t="shared" si="134"/>
        <v/>
      </c>
      <c r="BC1046" s="495" t="str">
        <f t="shared" si="135"/>
        <v/>
      </c>
      <c r="BD1046" s="513" t="str">
        <f>IF(AND(L1046="",H1046=""),"",
IF(H1046="",Pole_Calc!A$9,
IF(H1046="MP",Pole_Calc!A$10,
IF(H1046="AnMP",Pole_Calc!A$11,
IF(H1046="A",Pole_Calc!A$12,
IF(H1046="S/A",Pole_Calc!A$13,
IF(H1046="A/S",Pole_Calc!A$14,"Poner a mano")))))))</f>
        <v>App.7-V11I-P9.5.1.6</v>
      </c>
      <c r="BE1046" s="429" t="s">
        <v>118</v>
      </c>
      <c r="BF1046" s="289"/>
      <c r="BG1046" s="289"/>
      <c r="BH1046" s="290"/>
      <c r="BI1046" s="289"/>
    </row>
    <row r="1047" spans="1:61" ht="15.75" customHeight="1">
      <c r="A1047" s="518"/>
      <c r="B1047" s="450"/>
      <c r="C1047" s="3"/>
      <c r="D1047" s="83"/>
      <c r="E1047" s="4"/>
      <c r="F1047" s="4"/>
      <c r="G1047" s="6">
        <v>62</v>
      </c>
      <c r="H1047" s="449"/>
      <c r="I1047" s="4"/>
      <c r="J1047" s="3"/>
      <c r="K1047" s="449"/>
      <c r="L1047" s="449"/>
      <c r="M1047" s="449" t="str">
        <f>IF(L1047="","",
IF(AX1047="PT",VLOOKUP(L1047,Foundation_Calc!$V$79:$X$113,VLOOKUP(AX1047,Foundation_Calc!$I$10:$J$13,2,FALSE),0),
IF(AX1047="K",VLOOKUP(L1047,Foundation_Calc!$V$117:$X$151,VLOOKUP(AX1047,Foundation_Calc!$I$10:$J$13,2,FALSE),0),"")))</f>
        <v/>
      </c>
      <c r="N1047" s="449"/>
      <c r="O1047" s="449"/>
      <c r="P1047" s="449"/>
      <c r="Q1047" s="4"/>
      <c r="R1047" s="6"/>
      <c r="S1047" s="6"/>
      <c r="T1047" s="4"/>
      <c r="U1047" s="4"/>
      <c r="V1047" s="4"/>
      <c r="W1047" s="9"/>
      <c r="X1047" s="9"/>
      <c r="Y1047" s="9"/>
      <c r="Z1047" s="9"/>
      <c r="AA1047" s="9"/>
      <c r="AB1047" s="9"/>
      <c r="AC1047" s="449" t="str">
        <f t="shared" si="132"/>
        <v/>
      </c>
      <c r="AD1047" s="449"/>
      <c r="AE1047" s="449"/>
      <c r="AF1047" s="4"/>
      <c r="AG1047" s="83"/>
      <c r="AH1047" s="4"/>
      <c r="AI1047" s="4"/>
      <c r="AJ1047" s="449"/>
      <c r="AK1047" s="449"/>
      <c r="AL1047" s="449"/>
      <c r="AM1047" s="449"/>
      <c r="AN1047" s="10"/>
      <c r="AO1047" s="9"/>
      <c r="AP1047" s="9"/>
      <c r="AQ1047" s="9">
        <f>+FL_2($U$1048,$T$1046,$G$1047,1200,9.28, 1*$F$1048)</f>
        <v>-0.44849828627956978</v>
      </c>
      <c r="AR1047" s="9"/>
      <c r="AS1047" s="9"/>
      <c r="AT1047" s="9"/>
      <c r="AU1047" s="428"/>
      <c r="AV1047" s="428"/>
      <c r="AW1047" s="449" t="str">
        <f>IF(C1047&gt;0,VLOOKUP(C1047,Foundation_Calc!$A$2:$C$13,3,1),
IF(J1047&gt;0,VLOOKUP(J1047,Foundation_Calc!$A$2:$C$13,3,1),""))</f>
        <v/>
      </c>
      <c r="AX1047" s="449" t="str">
        <f>IF(C1047&gt;0,VLOOKUP(C1047,Foundation_Calc!$E$35:$G$65,3,1),
IF(J1047&gt;0,VLOOKUP(J1047,Foundation_Calc!$E$35:$G$65,3,1),""))</f>
        <v/>
      </c>
      <c r="AY1047" s="10" t="str">
        <f>IF(L1047="","",
IF(AX1047="PT",VLOOKUP(L1047,Foundation_Calc!$K$79:$R$113,VLOOKUP(AW1047,Foundation_Calc!$I$2:$J$8,2,FALSE),0),
IF(AX1047="K",VLOOKUP(L1047,Foundation_Calc!$K$117:$R$151,VLOOKUP(AW1047,Foundation_Calc!$I$2:$J$8,2,FALSE),0),"")))</f>
        <v/>
      </c>
      <c r="AZ1047" s="10" t="str">
        <f>IF(K1047="","",
IF(AX1047="PT",VLOOKUP(K1047,Foundation_Calc!$K$79:$R$113,VLOOKUP(AW1047,Foundation_Calc!$I$2:$J$8,2,FALSE),0),
IF(AX1047="K",VLOOKUP(K1047,Foundation_Calc!$K$117:$R$151,VLOOKUP(AW1047,Foundation_Calc!$I$2:$J$8,2,FALSE),0),"")))</f>
        <v/>
      </c>
      <c r="BA1047" s="495" t="str">
        <f t="shared" si="133"/>
        <v/>
      </c>
      <c r="BB1047" s="495" t="str">
        <f t="shared" si="134"/>
        <v/>
      </c>
      <c r="BC1047" s="495" t="str">
        <f t="shared" si="135"/>
        <v/>
      </c>
      <c r="BD1047" s="513" t="str">
        <f>IF(AND(L1047="",H1047=""),"",
IF(H1047="",Pole_Calc!A$9,
IF(H1047="MP",Pole_Calc!A$10,
IF(H1047="AnMP",Pole_Calc!A$11,
IF(H1047="A",Pole_Calc!A$12,
IF(H1047="S/A",Pole_Calc!A$13,
IF(H1047="A/S",Pole_Calc!A$14,"Poner a mano")))))))</f>
        <v/>
      </c>
      <c r="BE1047" s="429" t="s">
        <v>118</v>
      </c>
      <c r="BF1047" s="290"/>
      <c r="BG1047" s="290"/>
      <c r="BH1047" s="290"/>
      <c r="BI1047" s="290"/>
    </row>
    <row r="1048" spans="1:61" ht="15.75" customHeight="1">
      <c r="A1048" s="514"/>
      <c r="B1048" s="450" t="s">
        <v>1483</v>
      </c>
      <c r="C1048" s="3">
        <f>+$C$1046+$G$1047</f>
        <v>55432.630000000012</v>
      </c>
      <c r="D1048" s="83"/>
      <c r="E1048" s="4"/>
      <c r="F1048" s="4">
        <v>0</v>
      </c>
      <c r="G1048" s="6"/>
      <c r="H1048" s="449" t="s">
        <v>131</v>
      </c>
      <c r="I1048" s="4"/>
      <c r="J1048" s="3"/>
      <c r="K1048" s="449"/>
      <c r="L1048" s="449" t="s">
        <v>158</v>
      </c>
      <c r="M1048" s="449" t="str">
        <f>IF(L1048="","",
IF(AX1048="PT",VLOOKUP(L1048,Foundation_Calc!$V$79:$X$113,VLOOKUP(AX1048,Foundation_Calc!$I$10:$J$13,2,FALSE),0),
IF(AX1048="K",VLOOKUP(L1048,Foundation_Calc!$V$117:$X$151,VLOOKUP(AX1048,Foundation_Calc!$I$10:$J$13,2,FALSE),0),"")))</f>
        <v>C4R</v>
      </c>
      <c r="N1048" s="449" t="s">
        <v>133</v>
      </c>
      <c r="O1048" s="449" t="s">
        <v>134</v>
      </c>
      <c r="P1048" s="449"/>
      <c r="Q1048" s="4"/>
      <c r="R1048" s="6"/>
      <c r="S1048" s="6"/>
      <c r="T1048" s="4">
        <v>35</v>
      </c>
      <c r="U1048" s="4">
        <v>15</v>
      </c>
      <c r="V1048" s="4"/>
      <c r="W1048" s="9">
        <v>1.4</v>
      </c>
      <c r="X1048" s="9">
        <v>2.2999999999999998</v>
      </c>
      <c r="Y1048" s="9"/>
      <c r="Z1048" s="9">
        <v>0.6</v>
      </c>
      <c r="AA1048" s="9"/>
      <c r="AB1048" s="9"/>
      <c r="AC1048" s="449"/>
      <c r="AD1048" s="449"/>
      <c r="AE1048" s="449"/>
      <c r="AF1048" s="4"/>
      <c r="AG1048" s="83"/>
      <c r="AH1048" s="4"/>
      <c r="AI1048" s="4"/>
      <c r="AJ1048" s="449"/>
      <c r="AK1048" s="449"/>
      <c r="AL1048" s="449"/>
      <c r="AM1048" s="449" t="s">
        <v>552</v>
      </c>
      <c r="AN1048" s="10">
        <v>5.5</v>
      </c>
      <c r="AO1048" s="9"/>
      <c r="AP1048" s="9"/>
      <c r="AQ1048" s="9"/>
      <c r="AR1048" s="9"/>
      <c r="AS1048" s="9"/>
      <c r="AT1048" s="9">
        <f>+ab($U$1048,$T$1046,$U$1050,$G$1047,$G$1049, 1*$F$1048,1200)</f>
        <v>12.991874828382032</v>
      </c>
      <c r="AU1048" s="428"/>
      <c r="AV1048" s="428"/>
      <c r="AW1048" s="449" t="str">
        <f>IF(C1048&gt;0,VLOOKUP(C1048,Foundation_Calc!$A$2:$C$13,3,1),
IF(J1048&gt;0,VLOOKUP(J1048,Foundation_Calc!$A$2:$C$13,3,1),""))</f>
        <v>Multi Soil</v>
      </c>
      <c r="AX1048" s="449" t="str">
        <f>IF(C1048&gt;0,VLOOKUP(C1048,Foundation_Calc!$E$35:$G$65,3,1),
IF(J1048&gt;0,VLOOKUP(J1048,Foundation_Calc!$E$35:$G$65,3,1),""))</f>
        <v>PT</v>
      </c>
      <c r="AY1048" s="10">
        <f>IF(L1048="","",
IF(AX1048="PT",VLOOKUP(L1048,Foundation_Calc!$K$79:$R$113,VLOOKUP(AW1048,Foundation_Calc!$I$2:$J$8,2,FALSE),0),
IF(AX1048="K",VLOOKUP(L1048,Foundation_Calc!$K$117:$R$151,VLOOKUP(AW1048,Foundation_Calc!$I$2:$J$8,2,FALSE),0),"")))</f>
        <v>3.5</v>
      </c>
      <c r="AZ1048" s="10" t="str">
        <f>IF(K1048="","",
IF(AX1048="PT",VLOOKUP(K1048,Foundation_Calc!$K$79:$R$113,VLOOKUP(AW1048,Foundation_Calc!$I$2:$J$8,2,FALSE),0),
IF(AX1048="K",VLOOKUP(K1048,Foundation_Calc!$K$117:$R$151,VLOOKUP(AW1048,Foundation_Calc!$I$2:$J$8,2,FALSE),0),"")))</f>
        <v/>
      </c>
      <c r="BA1048" s="495" t="str">
        <f t="shared" si="133"/>
        <v>ü</v>
      </c>
      <c r="BB1048" s="495" t="str">
        <f t="shared" si="134"/>
        <v/>
      </c>
      <c r="BC1048" s="495" t="str">
        <f t="shared" si="135"/>
        <v/>
      </c>
      <c r="BD1048" s="513" t="str">
        <f>IF(AND(L1048="",H1048=""),"",
IF(H1048="",Pole_Calc!A$9,
IF(H1048="MP",Pole_Calc!A$10,
IF(H1048="AnMP",Pole_Calc!A$11,
IF(H1048="A",Pole_Calc!A$12,
IF(H1048="S/A",Pole_Calc!A$13,
IF(H1048="A/S",Pole_Calc!A$14,"Poner a mano")))))))</f>
        <v>App.7-V11I-P9.5.1.5</v>
      </c>
      <c r="BE1048" s="429" t="s">
        <v>118</v>
      </c>
      <c r="BF1048" s="289"/>
      <c r="BG1048" s="289"/>
      <c r="BH1048" s="290"/>
      <c r="BI1048" s="289"/>
    </row>
    <row r="1049" spans="1:61" ht="15.75" customHeight="1">
      <c r="A1049" s="514"/>
      <c r="B1049" s="450"/>
      <c r="C1049" s="3"/>
      <c r="D1049" s="83"/>
      <c r="E1049" s="4"/>
      <c r="F1049" s="4"/>
      <c r="G1049" s="6">
        <v>62</v>
      </c>
      <c r="H1049" s="449"/>
      <c r="I1049" s="4"/>
      <c r="J1049" s="3"/>
      <c r="K1049" s="449"/>
      <c r="L1049" s="449"/>
      <c r="M1049" s="449" t="str">
        <f>IF(L1049="","",
IF(AX1049="PT",VLOOKUP(L1049,Foundation_Calc!$V$79:$X$113,VLOOKUP(AX1049,Foundation_Calc!$I$10:$J$13,2,FALSE),0),
IF(AX1049="K",VLOOKUP(L1049,Foundation_Calc!$V$117:$X$151,VLOOKUP(AX1049,Foundation_Calc!$I$10:$J$13,2,FALSE),0),"")))</f>
        <v/>
      </c>
      <c r="N1049" s="449"/>
      <c r="O1049" s="449"/>
      <c r="P1049" s="449"/>
      <c r="Q1049" s="4"/>
      <c r="R1049" s="6"/>
      <c r="S1049" s="6"/>
      <c r="T1049" s="4"/>
      <c r="U1049" s="4"/>
      <c r="V1049" s="4"/>
      <c r="W1049" s="9"/>
      <c r="X1049" s="9"/>
      <c r="Y1049" s="9"/>
      <c r="Z1049" s="9"/>
      <c r="AA1049" s="9"/>
      <c r="AB1049" s="9"/>
      <c r="AC1049" s="449" t="str">
        <f t="shared" si="132"/>
        <v/>
      </c>
      <c r="AD1049" s="449"/>
      <c r="AE1049" s="449"/>
      <c r="AF1049" s="4"/>
      <c r="AG1049" s="83"/>
      <c r="AH1049" s="4"/>
      <c r="AI1049" s="4"/>
      <c r="AJ1049" s="449"/>
      <c r="AK1049" s="449"/>
      <c r="AL1049" s="449"/>
      <c r="AM1049" s="449"/>
      <c r="AN1049" s="10"/>
      <c r="AO1049" s="9"/>
      <c r="AP1049" s="9"/>
      <c r="AQ1049" s="9">
        <f>+FL_1($T$1050,$U$1048,$G$1049,1200,9.28, 1*$F$1050)</f>
        <v>0.3867244505806452</v>
      </c>
      <c r="AR1049" s="9"/>
      <c r="AS1049" s="9"/>
      <c r="AT1049" s="9"/>
      <c r="AU1049" s="428"/>
      <c r="AV1049" s="428"/>
      <c r="AW1049" s="449" t="str">
        <f>IF(C1049&gt;0,VLOOKUP(C1049,Foundation_Calc!$A$2:$C$13,3,1),
IF(J1049&gt;0,VLOOKUP(J1049,Foundation_Calc!$A$2:$C$13,3,1),""))</f>
        <v/>
      </c>
      <c r="AX1049" s="449" t="str">
        <f>IF(C1049&gt;0,VLOOKUP(C1049,Foundation_Calc!$E$35:$G$65,3,1),
IF(J1049&gt;0,VLOOKUP(J1049,Foundation_Calc!$E$35:$G$65,3,1),""))</f>
        <v/>
      </c>
      <c r="AY1049" s="10" t="str">
        <f>IF(L1049="","",
IF(AX1049="PT",VLOOKUP(L1049,Foundation_Calc!$K$79:$R$113,VLOOKUP(AW1049,Foundation_Calc!$I$2:$J$8,2,FALSE),0),
IF(AX1049="K",VLOOKUP(L1049,Foundation_Calc!$K$117:$R$151,VLOOKUP(AW1049,Foundation_Calc!$I$2:$J$8,2,FALSE),0),"")))</f>
        <v/>
      </c>
      <c r="AZ1049" s="10" t="str">
        <f>IF(K1049="","",
IF(AX1049="PT",VLOOKUP(K1049,Foundation_Calc!$K$79:$R$113,VLOOKUP(AW1049,Foundation_Calc!$I$2:$J$8,2,FALSE),0),
IF(AX1049="K",VLOOKUP(K1049,Foundation_Calc!$K$117:$R$151,VLOOKUP(AW1049,Foundation_Calc!$I$2:$J$8,2,FALSE),0),"")))</f>
        <v/>
      </c>
      <c r="BA1049" s="495" t="str">
        <f t="shared" si="133"/>
        <v/>
      </c>
      <c r="BB1049" s="495" t="str">
        <f t="shared" si="134"/>
        <v/>
      </c>
      <c r="BC1049" s="495" t="str">
        <f t="shared" si="135"/>
        <v/>
      </c>
      <c r="BD1049" s="513" t="str">
        <f>IF(AND(L1049="",H1049=""),"",
IF(H1049="",Pole_Calc!A$9,
IF(H1049="MP",Pole_Calc!A$10,
IF(H1049="AnMP",Pole_Calc!A$11,
IF(H1049="A",Pole_Calc!A$12,
IF(H1049="S/A",Pole_Calc!A$13,
IF(H1049="A/S",Pole_Calc!A$14,"Poner a mano")))))))</f>
        <v/>
      </c>
      <c r="BE1049" s="429" t="s">
        <v>118</v>
      </c>
      <c r="BF1049" s="290"/>
      <c r="BG1049" s="290"/>
      <c r="BH1049" s="290"/>
      <c r="BI1049" s="290"/>
    </row>
    <row r="1050" spans="1:61" ht="15.75" customHeight="1">
      <c r="A1050" s="514"/>
      <c r="B1050" s="450" t="s">
        <v>1484</v>
      </c>
      <c r="C1050" s="3">
        <f>+$C$1048+$G$1049</f>
        <v>55494.630000000012</v>
      </c>
      <c r="D1050" s="83"/>
      <c r="E1050" s="4"/>
      <c r="F1050" s="4">
        <v>0</v>
      </c>
      <c r="G1050" s="6"/>
      <c r="H1050" s="449" t="s">
        <v>131</v>
      </c>
      <c r="I1050" s="4"/>
      <c r="J1050" s="3"/>
      <c r="K1050" s="449"/>
      <c r="L1050" s="449" t="s">
        <v>158</v>
      </c>
      <c r="M1050" s="449" t="str">
        <f>IF(L1050="","",
IF(AX1050="PT",VLOOKUP(L1050,Foundation_Calc!$V$79:$X$113,VLOOKUP(AX1050,Foundation_Calc!$I$10:$J$13,2,FALSE),0),
IF(AX1050="K",VLOOKUP(L1050,Foundation_Calc!$V$117:$X$151,VLOOKUP(AX1050,Foundation_Calc!$I$10:$J$13,2,FALSE),0),"")))</f>
        <v>C4R</v>
      </c>
      <c r="N1050" s="449" t="s">
        <v>124</v>
      </c>
      <c r="O1050" s="449" t="s">
        <v>133</v>
      </c>
      <c r="P1050" s="449"/>
      <c r="Q1050" s="4"/>
      <c r="R1050" s="6"/>
      <c r="S1050" s="6"/>
      <c r="T1050" s="4">
        <v>-15</v>
      </c>
      <c r="U1050" s="4">
        <v>-35</v>
      </c>
      <c r="V1050" s="4"/>
      <c r="W1050" s="9">
        <v>1.4</v>
      </c>
      <c r="X1050" s="9">
        <v>2.2999999999999998</v>
      </c>
      <c r="Y1050" s="9"/>
      <c r="Z1050" s="9"/>
      <c r="AA1050" s="9">
        <v>0.6</v>
      </c>
      <c r="AB1050" s="9"/>
      <c r="AC1050" s="449" t="str">
        <f t="shared" si="132"/>
        <v>PH</v>
      </c>
      <c r="AD1050" s="449"/>
      <c r="AE1050" s="449"/>
      <c r="AF1050" s="4"/>
      <c r="AG1050" s="83"/>
      <c r="AH1050" s="4"/>
      <c r="AI1050" s="4"/>
      <c r="AJ1050" s="449"/>
      <c r="AK1050" s="449"/>
      <c r="AL1050" s="449"/>
      <c r="AM1050" s="449" t="s">
        <v>552</v>
      </c>
      <c r="AN1050" s="10">
        <v>5.5</v>
      </c>
      <c r="AO1050" s="9"/>
      <c r="AP1050" s="9"/>
      <c r="AQ1050" s="9"/>
      <c r="AR1050" s="9"/>
      <c r="AS1050" s="9"/>
      <c r="AT1050" s="9">
        <f>+ab($T$1050,$T$1048,$T$1052,$G$1049,$G$1051, 1*$F$1050,1200)</f>
        <v>-12.808616576470094</v>
      </c>
      <c r="AU1050" s="428"/>
      <c r="AV1050" s="428"/>
      <c r="AW1050" s="449" t="str">
        <f>IF(C1050&gt;0,VLOOKUP(C1050,Foundation_Calc!$A$2:$C$13,3,1),
IF(J1050&gt;0,VLOOKUP(J1050,Foundation_Calc!$A$2:$C$13,3,1),""))</f>
        <v>Multi Soil</v>
      </c>
      <c r="AX1050" s="449" t="str">
        <f>IF(C1050&gt;0,VLOOKUP(C1050,Foundation_Calc!$E$35:$G$65,3,1),
IF(J1050&gt;0,VLOOKUP(J1050,Foundation_Calc!$E$35:$G$65,3,1),""))</f>
        <v>PT</v>
      </c>
      <c r="AY1050" s="10">
        <f>IF(L1050="","",
IF(AX1050="PT",VLOOKUP(L1050,Foundation_Calc!$K$79:$R$113,VLOOKUP(AW1050,Foundation_Calc!$I$2:$J$8,2,FALSE),0),
IF(AX1050="K",VLOOKUP(L1050,Foundation_Calc!$K$117:$R$151,VLOOKUP(AW1050,Foundation_Calc!$I$2:$J$8,2,FALSE),0),"")))</f>
        <v>3.5</v>
      </c>
      <c r="AZ1050" s="10" t="str">
        <f>IF(K1050="","",
IF(AX1050="PT",VLOOKUP(K1050,Foundation_Calc!$K$79:$R$113,VLOOKUP(AW1050,Foundation_Calc!$I$2:$J$8,2,FALSE),0),
IF(AX1050="K",VLOOKUP(K1050,Foundation_Calc!$K$117:$R$151,VLOOKUP(AW1050,Foundation_Calc!$I$2:$J$8,2,FALSE),0),"")))</f>
        <v/>
      </c>
      <c r="BA1050" s="495" t="str">
        <f t="shared" si="133"/>
        <v>ü</v>
      </c>
      <c r="BB1050" s="495" t="str">
        <f t="shared" si="134"/>
        <v/>
      </c>
      <c r="BC1050" s="495" t="str">
        <f t="shared" si="135"/>
        <v/>
      </c>
      <c r="BD1050" s="513" t="str">
        <f>IF(AND(L1050="",H1050=""),"",
IF(H1050="",Pole_Calc!A$9,
IF(H1050="MP",Pole_Calc!A$10,
IF(H1050="AnMP",Pole_Calc!A$11,
IF(H1050="A",Pole_Calc!A$12,
IF(H1050="S/A",Pole_Calc!A$13,
IF(H1050="A/S",Pole_Calc!A$14,"Poner a mano")))))))</f>
        <v>App.7-V11I-P9.5.1.5</v>
      </c>
      <c r="BE1050" s="429" t="s">
        <v>118</v>
      </c>
      <c r="BF1050" s="289"/>
      <c r="BG1050" s="289"/>
      <c r="BH1050" s="290"/>
      <c r="BI1050" s="289"/>
    </row>
    <row r="1051" spans="1:61" ht="15.75" customHeight="1">
      <c r="A1051" s="514" t="s">
        <v>169</v>
      </c>
      <c r="B1051" s="450"/>
      <c r="C1051" s="3"/>
      <c r="D1051" s="83"/>
      <c r="E1051" s="4"/>
      <c r="F1051" s="4"/>
      <c r="G1051" s="6">
        <v>60</v>
      </c>
      <c r="H1051" s="449"/>
      <c r="I1051" s="4"/>
      <c r="J1051" s="3"/>
      <c r="K1051" s="449"/>
      <c r="L1051" s="449"/>
      <c r="M1051" s="449" t="str">
        <f>IF(L1051="","",
IF(AX1051="PT",VLOOKUP(L1051,Foundation_Calc!$V$79:$X$113,VLOOKUP(AX1051,Foundation_Calc!$I$10:$J$13,2,FALSE),0),
IF(AX1051="K",VLOOKUP(L1051,Foundation_Calc!$V$117:$X$151,VLOOKUP(AX1051,Foundation_Calc!$I$10:$J$13,2,FALSE),0),"")))</f>
        <v/>
      </c>
      <c r="N1051" s="449"/>
      <c r="O1051" s="561"/>
      <c r="P1051" s="449"/>
      <c r="Q1051" s="4"/>
      <c r="R1051" s="6"/>
      <c r="S1051" s="6"/>
      <c r="T1051" s="4"/>
      <c r="U1051" s="4"/>
      <c r="V1051" s="4"/>
      <c r="W1051" s="9"/>
      <c r="X1051" s="9"/>
      <c r="Y1051" s="9"/>
      <c r="Z1051" s="9"/>
      <c r="AA1051" s="9"/>
      <c r="AB1051" s="9"/>
      <c r="AC1051" s="449" t="str">
        <f t="shared" ref="AC1051:AC1114" si="136">IF(OR(AT1051&gt;8,AT1051&lt;-8),"PH",
IF(OR(AT1051&gt;5,AT1051&lt;-5),"PHQ",
IF(OR(AT1051&gt;1,AT1051&lt;-1),
"PHC","")))</f>
        <v/>
      </c>
      <c r="AD1051" s="449"/>
      <c r="AE1051" s="449"/>
      <c r="AF1051" s="4"/>
      <c r="AG1051" s="83"/>
      <c r="AH1051" s="4"/>
      <c r="AI1051" s="4"/>
      <c r="AJ1051" s="449"/>
      <c r="AK1051" s="449"/>
      <c r="AL1051" s="449"/>
      <c r="AM1051" s="449"/>
      <c r="AN1051" s="10"/>
      <c r="AO1051" s="9"/>
      <c r="AP1051" s="9"/>
      <c r="AQ1051" s="9">
        <f>+FL_1($T$1052,$T$1050,$G$1051,1200,9.28, 1*$F$1052)</f>
        <v>0.42673563199999998</v>
      </c>
      <c r="AR1051" s="9"/>
      <c r="AS1051" s="9"/>
      <c r="AT1051" s="9"/>
      <c r="AU1051" s="428"/>
      <c r="AV1051" s="428"/>
      <c r="AW1051" s="449" t="str">
        <f>IF(C1051&gt;0,VLOOKUP(C1051,Foundation_Calc!$A$2:$C$13,3,1),
IF(J1051&gt;0,VLOOKUP(J1051,Foundation_Calc!$A$2:$C$13,3,1),""))</f>
        <v/>
      </c>
      <c r="AX1051" s="449" t="str">
        <f>IF(C1051&gt;0,VLOOKUP(C1051,Foundation_Calc!$E$35:$G$65,3,1),
IF(J1051&gt;0,VLOOKUP(J1051,Foundation_Calc!$E$35:$G$65,3,1),""))</f>
        <v/>
      </c>
      <c r="AY1051" s="10" t="str">
        <f>IF(L1051="","",
IF(AX1051="PT",VLOOKUP(L1051,Foundation_Calc!$K$79:$R$113,VLOOKUP(AW1051,Foundation_Calc!$I$2:$J$8,2,FALSE),0),
IF(AX1051="K",VLOOKUP(L1051,Foundation_Calc!$K$117:$R$151,VLOOKUP(AW1051,Foundation_Calc!$I$2:$J$8,2,FALSE),0),"")))</f>
        <v/>
      </c>
      <c r="AZ1051" s="10" t="str">
        <f>IF(K1051="","",
IF(AX1051="PT",VLOOKUP(K1051,Foundation_Calc!$K$79:$R$113,VLOOKUP(AW1051,Foundation_Calc!$I$2:$J$8,2,FALSE),0),
IF(AX1051="K",VLOOKUP(K1051,Foundation_Calc!$K$117:$R$151,VLOOKUP(AW1051,Foundation_Calc!$I$2:$J$8,2,FALSE),0),"")))</f>
        <v/>
      </c>
      <c r="BA1051" s="495" t="str">
        <f t="shared" si="133"/>
        <v/>
      </c>
      <c r="BB1051" s="495" t="str">
        <f t="shared" si="134"/>
        <v/>
      </c>
      <c r="BC1051" s="495" t="str">
        <f t="shared" si="135"/>
        <v/>
      </c>
      <c r="BD1051" s="513" t="str">
        <f>IF(AND(L1051="",H1051=""),"",
IF(H1051="",Pole_Calc!A$9,
IF(H1051="MP",Pole_Calc!A$10,
IF(H1051="AnMP",Pole_Calc!A$11,
IF(H1051="A",Pole_Calc!A$12,
IF(H1051="S/A",Pole_Calc!A$13,
IF(H1051="A/S",Pole_Calc!A$14,"Poner a mano")))))))</f>
        <v/>
      </c>
      <c r="BE1051" s="429" t="s">
        <v>118</v>
      </c>
      <c r="BF1051" s="290"/>
      <c r="BG1051" s="290"/>
      <c r="BH1051" s="290"/>
      <c r="BI1051" s="290"/>
    </row>
    <row r="1052" spans="1:61" ht="15.75" customHeight="1">
      <c r="A1052" s="514"/>
      <c r="B1052" s="450" t="s">
        <v>1485</v>
      </c>
      <c r="C1052" s="3">
        <f>+$C$1050+$G$1051+0.49</f>
        <v>55555.12000000001</v>
      </c>
      <c r="D1052" s="83"/>
      <c r="E1052" s="4"/>
      <c r="F1052" s="4">
        <v>0</v>
      </c>
      <c r="G1052" s="6"/>
      <c r="H1052" s="449" t="s">
        <v>121</v>
      </c>
      <c r="I1052" s="4" t="s">
        <v>122</v>
      </c>
      <c r="J1052" s="3"/>
      <c r="K1052" s="449"/>
      <c r="L1052" s="449" t="s">
        <v>151</v>
      </c>
      <c r="M1052" s="449" t="str">
        <f>IF(L1052="","",
IF(AX1052="PT",VLOOKUP(L1052,Foundation_Calc!$V$79:$X$113,VLOOKUP(AX1052,Foundation_Calc!$I$10:$J$13,2,FALSE),0),
IF(AX1052="K",VLOOKUP(L1052,Foundation_Calc!$V$117:$X$151,VLOOKUP(AX1052,Foundation_Calc!$I$10:$J$13,2,FALSE),0),"")))</f>
        <v>C4R</v>
      </c>
      <c r="N1052" s="449" t="s">
        <v>134</v>
      </c>
      <c r="O1052" s="449"/>
      <c r="P1052" s="449"/>
      <c r="Q1052" s="4"/>
      <c r="R1052" s="6"/>
      <c r="S1052" s="6"/>
      <c r="T1052" s="4">
        <v>25</v>
      </c>
      <c r="U1052" s="4"/>
      <c r="V1052" s="4"/>
      <c r="W1052" s="9">
        <v>1.4</v>
      </c>
      <c r="X1052" s="9"/>
      <c r="Y1052" s="9"/>
      <c r="Z1052" s="9"/>
      <c r="AA1052" s="9"/>
      <c r="AB1052" s="9"/>
      <c r="AC1052" s="449" t="str">
        <f t="shared" si="136"/>
        <v>PH</v>
      </c>
      <c r="AD1052" s="449"/>
      <c r="AE1052" s="449"/>
      <c r="AF1052" s="4"/>
      <c r="AG1052" s="83"/>
      <c r="AH1052" s="4"/>
      <c r="AI1052" s="4"/>
      <c r="AJ1052" s="449"/>
      <c r="AK1052" s="449"/>
      <c r="AL1052" s="449"/>
      <c r="AM1052" s="449" t="s">
        <v>552</v>
      </c>
      <c r="AN1052" s="10">
        <v>5.5</v>
      </c>
      <c r="AO1052" s="9"/>
      <c r="AP1052" s="9"/>
      <c r="AQ1052" s="9"/>
      <c r="AR1052" s="9"/>
      <c r="AS1052" s="9"/>
      <c r="AT1052" s="9">
        <f>+ab($T$1052,$T$1050,$T$1054,$G$1051,$G$1053, 1*$F$1052,1200)</f>
        <v>10.7886526660767</v>
      </c>
      <c r="AU1052" s="428"/>
      <c r="AV1052" s="428"/>
      <c r="AW1052" s="449" t="str">
        <f>IF(C1052&gt;0,VLOOKUP(C1052,Foundation_Calc!$A$2:$C$13,3,1),
IF(J1052&gt;0,VLOOKUP(J1052,Foundation_Calc!$A$2:$C$13,3,1),""))</f>
        <v>Multi Soil</v>
      </c>
      <c r="AX1052" s="449" t="str">
        <f>IF(C1052&gt;0,VLOOKUP(C1052,Foundation_Calc!$E$35:$G$65,3,1),
IF(J1052&gt;0,VLOOKUP(J1052,Foundation_Calc!$E$35:$G$65,3,1),""))</f>
        <v>PT</v>
      </c>
      <c r="AY1052" s="10">
        <f>IF(L1052="","",
IF(AX1052="PT",VLOOKUP(L1052,Foundation_Calc!$K$79:$R$113,VLOOKUP(AW1052,Foundation_Calc!$I$2:$J$8,2,FALSE),0),
IF(AX1052="K",VLOOKUP(L1052,Foundation_Calc!$K$117:$R$151,VLOOKUP(AW1052,Foundation_Calc!$I$2:$J$8,2,FALSE),0),"")))</f>
        <v>3.5</v>
      </c>
      <c r="AZ1052" s="10" t="str">
        <f>IF(K1052="","",
IF(AX1052="PT",VLOOKUP(K1052,Foundation_Calc!$K$79:$R$113,VLOOKUP(AW1052,Foundation_Calc!$I$2:$J$8,2,FALSE),0),
IF(AX1052="K",VLOOKUP(K1052,Foundation_Calc!$K$117:$R$151,VLOOKUP(AW1052,Foundation_Calc!$I$2:$J$8,2,FALSE),0),"")))</f>
        <v/>
      </c>
      <c r="BA1052" s="495" t="str">
        <f t="shared" si="133"/>
        <v>ü</v>
      </c>
      <c r="BB1052" s="495" t="str">
        <f t="shared" si="134"/>
        <v/>
      </c>
      <c r="BC1052" s="495" t="str">
        <f t="shared" si="135"/>
        <v/>
      </c>
      <c r="BD1052" s="513" t="str">
        <f>IF(AND(L1052="",H1052=""),"",
IF(H1052="",Pole_Calc!A$9,
IF(H1052="MP",Pole_Calc!A$10,
IF(H1052="AnMP",Pole_Calc!A$11,
IF(H1052="A",Pole_Calc!A$12,
IF(H1052="S/A",Pole_Calc!A$13,
IF(H1052="A/S",Pole_Calc!A$14,"Poner a mano")))))))</f>
        <v>App.7-V11I-P9.5.1.6</v>
      </c>
      <c r="BE1052" s="429" t="s">
        <v>118</v>
      </c>
      <c r="BF1052" s="289"/>
      <c r="BG1052" s="289"/>
      <c r="BH1052" s="290"/>
      <c r="BI1052" s="289"/>
    </row>
    <row r="1053" spans="1:61" ht="15.75" customHeight="1">
      <c r="A1053" s="518"/>
      <c r="B1053" s="450"/>
      <c r="C1053" s="3"/>
      <c r="D1053" s="83"/>
      <c r="E1053" s="4"/>
      <c r="F1053" s="4"/>
      <c r="G1053" s="6">
        <v>55</v>
      </c>
      <c r="H1053" s="449"/>
      <c r="I1053" s="4"/>
      <c r="J1053" s="3">
        <f>C1052+7.5</f>
        <v>55562.62000000001</v>
      </c>
      <c r="K1053" s="449" t="s">
        <v>117</v>
      </c>
      <c r="L1053" s="449"/>
      <c r="M1053" s="449" t="str">
        <f>IF(L1053="","",
IF(AX1053="PT",VLOOKUP(L1053,Foundation_Calc!$V$79:$X$113,VLOOKUP(AX1053,Foundation_Calc!$I$10:$J$13,2,FALSE),0),
IF(AX1053="K",VLOOKUP(L1053,Foundation_Calc!$V$117:$X$151,VLOOKUP(AX1053,Foundation_Calc!$I$10:$J$13,2,FALSE),0),"")))</f>
        <v/>
      </c>
      <c r="N1053" s="449"/>
      <c r="O1053" s="449"/>
      <c r="P1053" s="449"/>
      <c r="Q1053" s="4"/>
      <c r="R1053" s="6"/>
      <c r="S1053" s="6"/>
      <c r="T1053" s="4"/>
      <c r="U1053" s="4"/>
      <c r="V1053" s="4"/>
      <c r="W1053" s="9"/>
      <c r="X1053" s="9"/>
      <c r="Y1053" s="9"/>
      <c r="Z1053" s="9"/>
      <c r="AA1053" s="9"/>
      <c r="AB1053" s="9"/>
      <c r="AC1053" s="449" t="str">
        <f t="shared" si="136"/>
        <v/>
      </c>
      <c r="AD1053" s="449"/>
      <c r="AE1053" s="449"/>
      <c r="AF1053" s="4"/>
      <c r="AG1053" s="83"/>
      <c r="AH1053" s="4"/>
      <c r="AI1053" s="4"/>
      <c r="AJ1053" s="449"/>
      <c r="AK1053" s="449"/>
      <c r="AL1053" s="449"/>
      <c r="AM1053" s="449"/>
      <c r="AN1053" s="10"/>
      <c r="AO1053" s="9"/>
      <c r="AP1053" s="9"/>
      <c r="AQ1053" s="9">
        <f>+FL_2($T$1054,$T$1052,$G$1053,1200,9.28, 1*$F$1054)</f>
        <v>-0.41936166072727271</v>
      </c>
      <c r="AR1053" s="9"/>
      <c r="AS1053" s="9"/>
      <c r="AT1053" s="9"/>
      <c r="AU1053" s="428"/>
      <c r="AV1053" s="428"/>
      <c r="AW1053" s="449" t="str">
        <f>IF(C1053&gt;0,VLOOKUP(C1053,Foundation_Calc!$A$2:$C$13,3,1),
IF(J1053&gt;0,VLOOKUP(J1053,Foundation_Calc!$A$2:$C$13,3,1),""))</f>
        <v>Multi Soil</v>
      </c>
      <c r="AX1053" s="449" t="str">
        <f>IF(C1053&gt;0,VLOOKUP(C1053,Foundation_Calc!$E$35:$G$65,3,1),
IF(J1053&gt;0,VLOOKUP(J1053,Foundation_Calc!$E$35:$G$65,3,1),""))</f>
        <v>PT</v>
      </c>
      <c r="AY1053" s="10" t="str">
        <f>IF(L1053="","",
IF(AX1053="PT",VLOOKUP(L1053,Foundation_Calc!$K$79:$R$113,VLOOKUP(AW1053,Foundation_Calc!$I$2:$J$8,2,FALSE),0),
IF(AX1053="K",VLOOKUP(L1053,Foundation_Calc!$K$117:$R$151,VLOOKUP(AW1053,Foundation_Calc!$I$2:$J$8,2,FALSE),0),"")))</f>
        <v/>
      </c>
      <c r="AZ1053" s="10">
        <f>IF(K1053="","",
IF(AX1053="PT",VLOOKUP(K1053,Foundation_Calc!$K$79:$R$113,VLOOKUP(AW1053,Foundation_Calc!$I$2:$J$8,2,FALSE),0),
IF(AX1053="K",VLOOKUP(K1053,Foundation_Calc!$K$117:$R$151,VLOOKUP(AW1053,Foundation_Calc!$I$2:$J$8,2,FALSE),0),"")))</f>
        <v>3.9</v>
      </c>
      <c r="BA1053" s="495" t="str">
        <f t="shared" si="133"/>
        <v/>
      </c>
      <c r="BB1053" s="495" t="str">
        <f t="shared" si="134"/>
        <v>ü</v>
      </c>
      <c r="BC1053" s="495" t="str">
        <f t="shared" si="135"/>
        <v/>
      </c>
      <c r="BD1053" s="513" t="str">
        <f>IF(AND(L1053="",H1053=""),"",
IF(H1053="",Pole_Calc!A$9,
IF(H1053="MP",Pole_Calc!A$10,
IF(H1053="AnMP",Pole_Calc!A$11,
IF(H1053="A",Pole_Calc!A$12,
IF(H1053="S/A",Pole_Calc!A$13,
IF(H1053="A/S",Pole_Calc!A$14,"Poner a mano")))))))</f>
        <v/>
      </c>
      <c r="BE1053" s="429" t="s">
        <v>118</v>
      </c>
      <c r="BF1053" s="290"/>
      <c r="BG1053" s="290"/>
      <c r="BH1053" s="290"/>
      <c r="BI1053" s="290"/>
    </row>
    <row r="1054" spans="1:61" ht="15.75" customHeight="1">
      <c r="A1054" s="514"/>
      <c r="B1054" s="450" t="s">
        <v>1486</v>
      </c>
      <c r="C1054" s="3">
        <f>+$C$1052+$G$1053</f>
        <v>55610.12000000001</v>
      </c>
      <c r="D1054" s="83"/>
      <c r="E1054" s="4"/>
      <c r="F1054" s="4">
        <v>0</v>
      </c>
      <c r="G1054" s="6"/>
      <c r="H1054" s="449"/>
      <c r="I1054" s="4"/>
      <c r="J1054" s="3"/>
      <c r="K1054" s="449"/>
      <c r="L1054" s="449" t="s">
        <v>153</v>
      </c>
      <c r="M1054" s="449" t="str">
        <f>IF(L1054="","",
IF(AX1054="PT",VLOOKUP(L1054,Foundation_Calc!$V$79:$X$113,VLOOKUP(AX1054,Foundation_Calc!$I$10:$J$13,2,FALSE),0),
IF(AX1054="K",VLOOKUP(L1054,Foundation_Calc!$V$117:$X$151,VLOOKUP(AX1054,Foundation_Calc!$I$10:$J$13,2,FALSE),0),"")))</f>
        <v>C3R</v>
      </c>
      <c r="N1054" s="449" t="s">
        <v>124</v>
      </c>
      <c r="O1054" s="449"/>
      <c r="P1054" s="449"/>
      <c r="Q1054" s="4"/>
      <c r="R1054" s="6"/>
      <c r="S1054" s="6"/>
      <c r="T1054" s="4">
        <v>-35</v>
      </c>
      <c r="U1054" s="4"/>
      <c r="V1054" s="4"/>
      <c r="W1054" s="9">
        <v>1.4</v>
      </c>
      <c r="X1054" s="9"/>
      <c r="Y1054" s="9"/>
      <c r="Z1054" s="9"/>
      <c r="AA1054" s="9"/>
      <c r="AB1054" s="9"/>
      <c r="AC1054" s="449" t="str">
        <f t="shared" si="136"/>
        <v>PH</v>
      </c>
      <c r="AD1054" s="449"/>
      <c r="AE1054" s="449"/>
      <c r="AF1054" s="4"/>
      <c r="AG1054" s="83"/>
      <c r="AH1054" s="4"/>
      <c r="AI1054" s="4"/>
      <c r="AJ1054" s="449"/>
      <c r="AK1054" s="449"/>
      <c r="AL1054" s="449"/>
      <c r="AM1054" s="449" t="s">
        <v>552</v>
      </c>
      <c r="AN1054" s="10">
        <v>5.5</v>
      </c>
      <c r="AO1054" s="9"/>
      <c r="AP1054" s="9"/>
      <c r="AQ1054" s="9"/>
      <c r="AR1054" s="9"/>
      <c r="AS1054" s="9"/>
      <c r="AT1054" s="9">
        <f>+ab($T$1054,$T$1052,$T$1056,$G$1053,$G$1055, 1*$F$1054,1200)</f>
        <v>-8.0648660649544208</v>
      </c>
      <c r="AU1054" s="428"/>
      <c r="AV1054" s="428"/>
      <c r="AW1054" s="449" t="str">
        <f>IF(C1054&gt;0,VLOOKUP(C1054,Foundation_Calc!$A$2:$C$13,3,1),
IF(J1054&gt;0,VLOOKUP(J1054,Foundation_Calc!$A$2:$C$13,3,1),""))</f>
        <v>Multi Soil</v>
      </c>
      <c r="AX1054" s="449" t="str">
        <f>IF(C1054&gt;0,VLOOKUP(C1054,Foundation_Calc!$E$35:$G$65,3,1),
IF(J1054&gt;0,VLOOKUP(J1054,Foundation_Calc!$E$35:$G$65,3,1),""))</f>
        <v>PT</v>
      </c>
      <c r="AY1054" s="10">
        <f>IF(L1054="","",
IF(AX1054="PT",VLOOKUP(L1054,Foundation_Calc!$K$79:$R$113,VLOOKUP(AW1054,Foundation_Calc!$I$2:$J$8,2,FALSE),0),
IF(AX1054="K",VLOOKUP(L1054,Foundation_Calc!$K$117:$R$151,VLOOKUP(AW1054,Foundation_Calc!$I$2:$J$8,2,FALSE),0),"")))</f>
        <v>3.5</v>
      </c>
      <c r="AZ1054" s="10" t="str">
        <f>IF(K1054="","",
IF(AX1054="PT",VLOOKUP(K1054,Foundation_Calc!$K$79:$R$113,VLOOKUP(AW1054,Foundation_Calc!$I$2:$J$8,2,FALSE),0),
IF(AX1054="K",VLOOKUP(K1054,Foundation_Calc!$K$117:$R$151,VLOOKUP(AW1054,Foundation_Calc!$I$2:$J$8,2,FALSE),0),"")))</f>
        <v/>
      </c>
      <c r="BA1054" s="495" t="str">
        <f t="shared" si="133"/>
        <v>ü</v>
      </c>
      <c r="BB1054" s="495" t="str">
        <f t="shared" si="134"/>
        <v/>
      </c>
      <c r="BC1054" s="495" t="str">
        <f t="shared" si="135"/>
        <v/>
      </c>
      <c r="BD1054" s="513" t="str">
        <f>IF(AND(L1054="",H1054=""),"",
IF(H1054="",Pole_Calc!A$9,
IF(H1054="MP",Pole_Calc!A$10,
IF(H1054="AnMP",Pole_Calc!A$11,
IF(H1054="A",Pole_Calc!A$12,
IF(H1054="S/A",Pole_Calc!A$13,
IF(H1054="A/S",Pole_Calc!A$14,"Poner a mano")))))))</f>
        <v>App.7-V11I-P9.5.1.1</v>
      </c>
      <c r="BE1054" s="429" t="s">
        <v>118</v>
      </c>
      <c r="BF1054" s="289"/>
      <c r="BG1054" s="289"/>
      <c r="BH1054" s="290"/>
      <c r="BI1054" s="289"/>
    </row>
    <row r="1055" spans="1:61" ht="15.75" customHeight="1">
      <c r="A1055" s="514"/>
      <c r="B1055" s="450"/>
      <c r="C1055" s="3"/>
      <c r="D1055" s="83"/>
      <c r="E1055" s="4"/>
      <c r="F1055" s="4"/>
      <c r="G1055" s="6">
        <v>55</v>
      </c>
      <c r="H1055" s="449"/>
      <c r="I1055" s="4"/>
      <c r="J1055" s="3"/>
      <c r="K1055" s="449"/>
      <c r="L1055" s="449"/>
      <c r="M1055" s="449" t="str">
        <f>IF(L1055="","",
IF(AX1055="PT",VLOOKUP(L1055,Foundation_Calc!$V$79:$X$113,VLOOKUP(AX1055,Foundation_Calc!$I$10:$J$13,2,FALSE),0),
IF(AX1055="K",VLOOKUP(L1055,Foundation_Calc!$V$117:$X$151,VLOOKUP(AX1055,Foundation_Calc!$I$10:$J$13,2,FALSE),0),"")))</f>
        <v/>
      </c>
      <c r="N1055" s="449"/>
      <c r="O1055" s="449"/>
      <c r="P1055" s="449"/>
      <c r="Q1055" s="4"/>
      <c r="R1055" s="6"/>
      <c r="S1055" s="6"/>
      <c r="T1055" s="4"/>
      <c r="U1055" s="4"/>
      <c r="V1055" s="4"/>
      <c r="W1055" s="9"/>
      <c r="X1055" s="9"/>
      <c r="Y1055" s="9"/>
      <c r="Z1055" s="9"/>
      <c r="AA1055" s="9"/>
      <c r="AB1055" s="9"/>
      <c r="AC1055" s="449" t="str">
        <f t="shared" si="136"/>
        <v/>
      </c>
      <c r="AD1055" s="449"/>
      <c r="AE1055" s="449"/>
      <c r="AF1055" s="4"/>
      <c r="AG1055" s="83"/>
      <c r="AH1055" s="4"/>
      <c r="AI1055" s="4"/>
      <c r="AJ1055" s="449"/>
      <c r="AK1055" s="449"/>
      <c r="AL1055" s="449"/>
      <c r="AM1055" s="449"/>
      <c r="AN1055" s="10"/>
      <c r="AO1055" s="9"/>
      <c r="AP1055" s="9"/>
      <c r="AQ1055" s="9">
        <f>+FL_2($T$1056,$T$1054,$G$1055,1200,9.28, 1*$F$1056)</f>
        <v>-0.39714735709090898</v>
      </c>
      <c r="AR1055" s="9"/>
      <c r="AS1055" s="9"/>
      <c r="AT1055" s="9"/>
      <c r="AU1055" s="428"/>
      <c r="AV1055" s="428"/>
      <c r="AW1055" s="449" t="str">
        <f>IF(C1055&gt;0,VLOOKUP(C1055,Foundation_Calc!$A$2:$C$13,3,1),
IF(J1055&gt;0,VLOOKUP(J1055,Foundation_Calc!$A$2:$C$13,3,1),""))</f>
        <v/>
      </c>
      <c r="AX1055" s="449" t="str">
        <f>IF(C1055&gt;0,VLOOKUP(C1055,Foundation_Calc!$E$35:$G$65,3,1),
IF(J1055&gt;0,VLOOKUP(J1055,Foundation_Calc!$E$35:$G$65,3,1),""))</f>
        <v/>
      </c>
      <c r="AY1055" s="10" t="str">
        <f>IF(L1055="","",
IF(AX1055="PT",VLOOKUP(L1055,Foundation_Calc!$K$79:$R$113,VLOOKUP(AW1055,Foundation_Calc!$I$2:$J$8,2,FALSE),0),
IF(AX1055="K",VLOOKUP(L1055,Foundation_Calc!$K$117:$R$151,VLOOKUP(AW1055,Foundation_Calc!$I$2:$J$8,2,FALSE),0),"")))</f>
        <v/>
      </c>
      <c r="AZ1055" s="10" t="str">
        <f>IF(K1055="","",
IF(AX1055="PT",VLOOKUP(K1055,Foundation_Calc!$K$79:$R$113,VLOOKUP(AW1055,Foundation_Calc!$I$2:$J$8,2,FALSE),0),
IF(AX1055="K",VLOOKUP(K1055,Foundation_Calc!$K$117:$R$151,VLOOKUP(AW1055,Foundation_Calc!$I$2:$J$8,2,FALSE),0),"")))</f>
        <v/>
      </c>
      <c r="BA1055" s="495" t="str">
        <f t="shared" si="133"/>
        <v/>
      </c>
      <c r="BB1055" s="495" t="str">
        <f t="shared" si="134"/>
        <v/>
      </c>
      <c r="BC1055" s="495" t="str">
        <f t="shared" si="135"/>
        <v/>
      </c>
      <c r="BD1055" s="513" t="str">
        <f>IF(AND(L1055="",H1055=""),"",
IF(H1055="",Pole_Calc!A$9,
IF(H1055="MP",Pole_Calc!A$10,
IF(H1055="AnMP",Pole_Calc!A$11,
IF(H1055="A",Pole_Calc!A$12,
IF(H1055="S/A",Pole_Calc!A$13,
IF(H1055="A/S",Pole_Calc!A$14,"Poner a mano")))))))</f>
        <v/>
      </c>
      <c r="BE1055" s="429" t="s">
        <v>118</v>
      </c>
      <c r="BF1055" s="290"/>
      <c r="BG1055" s="290"/>
      <c r="BH1055" s="290"/>
      <c r="BI1055" s="290"/>
    </row>
    <row r="1056" spans="1:61" ht="15.75" customHeight="1">
      <c r="A1056" s="514"/>
      <c r="B1056" s="450" t="s">
        <v>1487</v>
      </c>
      <c r="C1056" s="3">
        <f>+$C$1054+$G$1055</f>
        <v>55665.12000000001</v>
      </c>
      <c r="D1056" s="83"/>
      <c r="E1056" s="4"/>
      <c r="F1056" s="4">
        <v>0</v>
      </c>
      <c r="G1056" s="6"/>
      <c r="H1056" s="449"/>
      <c r="I1056" s="4"/>
      <c r="J1056" s="3"/>
      <c r="K1056" s="449"/>
      <c r="L1056" s="449" t="s">
        <v>153</v>
      </c>
      <c r="M1056" s="449" t="str">
        <f>IF(L1056="","",
IF(AX1056="PT",VLOOKUP(L1056,Foundation_Calc!$V$79:$X$113,VLOOKUP(AX1056,Foundation_Calc!$I$10:$J$13,2,FALSE),0),
IF(AX1056="K",VLOOKUP(L1056,Foundation_Calc!$V$117:$X$151,VLOOKUP(AX1056,Foundation_Calc!$I$10:$J$13,2,FALSE),0),"")))</f>
        <v>C3R</v>
      </c>
      <c r="N1056" s="449" t="s">
        <v>134</v>
      </c>
      <c r="O1056" s="449"/>
      <c r="P1056" s="449"/>
      <c r="Q1056" s="4"/>
      <c r="R1056" s="6"/>
      <c r="S1056" s="6"/>
      <c r="T1056" s="4">
        <v>35</v>
      </c>
      <c r="U1056" s="4"/>
      <c r="V1056" s="4"/>
      <c r="W1056" s="9">
        <v>1.4</v>
      </c>
      <c r="X1056" s="9"/>
      <c r="Y1056" s="9"/>
      <c r="Z1056" s="9"/>
      <c r="AA1056" s="9"/>
      <c r="AB1056" s="9"/>
      <c r="AC1056" s="449" t="str">
        <f t="shared" si="136"/>
        <v>PHQ</v>
      </c>
      <c r="AD1056" s="449"/>
      <c r="AE1056" s="449"/>
      <c r="AF1056" s="4"/>
      <c r="AG1056" s="83"/>
      <c r="AH1056" s="4"/>
      <c r="AI1056" s="4"/>
      <c r="AJ1056" s="449"/>
      <c r="AK1056" s="449"/>
      <c r="AL1056" s="449"/>
      <c r="AM1056" s="449" t="s">
        <v>552</v>
      </c>
      <c r="AN1056" s="10">
        <v>5.5</v>
      </c>
      <c r="AO1056" s="9"/>
      <c r="AP1056" s="9"/>
      <c r="AQ1056" s="9"/>
      <c r="AR1056" s="9"/>
      <c r="AS1056" s="9"/>
      <c r="AT1056" s="9">
        <f>+ab($T$1056,$T$1054,$T$1058,$G$1055,$G$1057, 1*$F$1056,1200)</f>
        <v>7.4955682572493121</v>
      </c>
      <c r="AU1056" s="428"/>
      <c r="AV1056" s="428"/>
      <c r="AW1056" s="449" t="str">
        <f>IF(C1056&gt;0,VLOOKUP(C1056,Foundation_Calc!$A$2:$C$13,3,1),
IF(J1056&gt;0,VLOOKUP(J1056,Foundation_Calc!$A$2:$C$13,3,1),""))</f>
        <v>Multi Soil</v>
      </c>
      <c r="AX1056" s="449" t="str">
        <f>IF(C1056&gt;0,VLOOKUP(C1056,Foundation_Calc!$E$35:$G$65,3,1),
IF(J1056&gt;0,VLOOKUP(J1056,Foundation_Calc!$E$35:$G$65,3,1),""))</f>
        <v>PT</v>
      </c>
      <c r="AY1056" s="10">
        <f>IF(L1056="","",
IF(AX1056="PT",VLOOKUP(L1056,Foundation_Calc!$K$79:$R$113,VLOOKUP(AW1056,Foundation_Calc!$I$2:$J$8,2,FALSE),0),
IF(AX1056="K",VLOOKUP(L1056,Foundation_Calc!$K$117:$R$151,VLOOKUP(AW1056,Foundation_Calc!$I$2:$J$8,2,FALSE),0),"")))</f>
        <v>3.5</v>
      </c>
      <c r="AZ1056" s="10" t="str">
        <f>IF(K1056="","",
IF(AX1056="PT",VLOOKUP(K1056,Foundation_Calc!$K$79:$R$113,VLOOKUP(AW1056,Foundation_Calc!$I$2:$J$8,2,FALSE),0),
IF(AX1056="K",VLOOKUP(K1056,Foundation_Calc!$K$117:$R$151,VLOOKUP(AW1056,Foundation_Calc!$I$2:$J$8,2,FALSE),0),"")))</f>
        <v/>
      </c>
      <c r="BA1056" s="495" t="str">
        <f t="shared" si="133"/>
        <v>ü</v>
      </c>
      <c r="BB1056" s="495" t="str">
        <f t="shared" si="134"/>
        <v/>
      </c>
      <c r="BC1056" s="495" t="str">
        <f t="shared" si="135"/>
        <v/>
      </c>
      <c r="BD1056" s="513" t="str">
        <f>IF(AND(L1056="",H1056=""),"",
IF(H1056="",Pole_Calc!A$9,
IF(H1056="MP",Pole_Calc!A$10,
IF(H1056="AnMP",Pole_Calc!A$11,
IF(H1056="A",Pole_Calc!A$12,
IF(H1056="S/A",Pole_Calc!A$13,
IF(H1056="A/S",Pole_Calc!A$14,"Poner a mano")))))))</f>
        <v>App.7-V11I-P9.5.1.1</v>
      </c>
      <c r="BE1056" s="429" t="s">
        <v>118</v>
      </c>
      <c r="BF1056" s="289"/>
      <c r="BG1056" s="289"/>
      <c r="BH1056" s="290"/>
      <c r="BI1056" s="289"/>
    </row>
    <row r="1057" spans="1:61" ht="15.75" customHeight="1">
      <c r="A1057" s="514"/>
      <c r="B1057" s="450"/>
      <c r="C1057" s="3"/>
      <c r="D1057" s="83"/>
      <c r="E1057" s="4"/>
      <c r="F1057" s="4"/>
      <c r="G1057" s="6">
        <v>55</v>
      </c>
      <c r="H1057" s="449"/>
      <c r="I1057" s="4"/>
      <c r="J1057" s="3"/>
      <c r="K1057" s="449"/>
      <c r="L1057" s="449"/>
      <c r="M1057" s="449" t="str">
        <f>IF(L1057="","",
IF(AX1057="PT",VLOOKUP(L1057,Foundation_Calc!$V$79:$X$113,VLOOKUP(AX1057,Foundation_Calc!$I$10:$J$13,2,FALSE),0),
IF(AX1057="K",VLOOKUP(L1057,Foundation_Calc!$V$117:$X$151,VLOOKUP(AX1057,Foundation_Calc!$I$10:$J$13,2,FALSE),0),"")))</f>
        <v/>
      </c>
      <c r="N1057" s="449"/>
      <c r="O1057" s="561"/>
      <c r="P1057" s="449"/>
      <c r="Q1057" s="4"/>
      <c r="R1057" s="6"/>
      <c r="S1057" s="6"/>
      <c r="T1057" s="4"/>
      <c r="U1057" s="4"/>
      <c r="V1057" s="4"/>
      <c r="W1057" s="9"/>
      <c r="X1057" s="9"/>
      <c r="Y1057" s="9"/>
      <c r="Z1057" s="9"/>
      <c r="AA1057" s="9"/>
      <c r="AB1057" s="9"/>
      <c r="AC1057" s="449" t="str">
        <f t="shared" si="136"/>
        <v/>
      </c>
      <c r="AD1057" s="449"/>
      <c r="AE1057" s="449"/>
      <c r="AF1057" s="4"/>
      <c r="AG1057" s="83"/>
      <c r="AH1057" s="4"/>
      <c r="AI1057" s="4"/>
      <c r="AJ1057" s="449"/>
      <c r="AK1057" s="449"/>
      <c r="AL1057" s="449"/>
      <c r="AM1057" s="449"/>
      <c r="AN1057" s="10"/>
      <c r="AO1057" s="9"/>
      <c r="AP1057" s="9"/>
      <c r="AQ1057" s="9">
        <f>+FL_1($T$1058,$T$1056,$G$1057,1200,9.28, 1*$F$1058)</f>
        <v>0.39714735709090898</v>
      </c>
      <c r="AR1057" s="9"/>
      <c r="AS1057" s="9"/>
      <c r="AT1057" s="9"/>
      <c r="AU1057" s="428"/>
      <c r="AV1057" s="428"/>
      <c r="AW1057" s="449" t="str">
        <f>IF(C1057&gt;0,VLOOKUP(C1057,Foundation_Calc!$A$2:$C$13,3,1),
IF(J1057&gt;0,VLOOKUP(J1057,Foundation_Calc!$A$2:$C$13,3,1),""))</f>
        <v/>
      </c>
      <c r="AX1057" s="449" t="str">
        <f>IF(C1057&gt;0,VLOOKUP(C1057,Foundation_Calc!$E$35:$G$65,3,1),
IF(J1057&gt;0,VLOOKUP(J1057,Foundation_Calc!$E$35:$G$65,3,1),""))</f>
        <v/>
      </c>
      <c r="AY1057" s="10" t="str">
        <f>IF(L1057="","",
IF(AX1057="PT",VLOOKUP(L1057,Foundation_Calc!$K$79:$R$113,VLOOKUP(AW1057,Foundation_Calc!$I$2:$J$8,2,FALSE),0),
IF(AX1057="K",VLOOKUP(L1057,Foundation_Calc!$K$117:$R$151,VLOOKUP(AW1057,Foundation_Calc!$I$2:$J$8,2,FALSE),0),"")))</f>
        <v/>
      </c>
      <c r="AZ1057" s="10" t="str">
        <f>IF(K1057="","",
IF(AX1057="PT",VLOOKUP(K1057,Foundation_Calc!$K$79:$R$113,VLOOKUP(AW1057,Foundation_Calc!$I$2:$J$8,2,FALSE),0),
IF(AX1057="K",VLOOKUP(K1057,Foundation_Calc!$K$117:$R$151,VLOOKUP(AW1057,Foundation_Calc!$I$2:$J$8,2,FALSE),0),"")))</f>
        <v/>
      </c>
      <c r="BA1057" s="495" t="str">
        <f t="shared" si="133"/>
        <v/>
      </c>
      <c r="BB1057" s="495" t="str">
        <f t="shared" si="134"/>
        <v/>
      </c>
      <c r="BC1057" s="495" t="str">
        <f t="shared" si="135"/>
        <v/>
      </c>
      <c r="BD1057" s="513" t="str">
        <f>IF(AND(L1057="",H1057=""),"",
IF(H1057="",Pole_Calc!A$9,
IF(H1057="MP",Pole_Calc!A$10,
IF(H1057="AnMP",Pole_Calc!A$11,
IF(H1057="A",Pole_Calc!A$12,
IF(H1057="S/A",Pole_Calc!A$13,
IF(H1057="A/S",Pole_Calc!A$14,"Poner a mano")))))))</f>
        <v/>
      </c>
      <c r="BE1057" s="429" t="s">
        <v>118</v>
      </c>
      <c r="BF1057" s="290"/>
      <c r="BG1057" s="290"/>
      <c r="BH1057" s="290"/>
      <c r="BI1057" s="290"/>
    </row>
    <row r="1058" spans="1:61" ht="15.75" customHeight="1">
      <c r="A1058" s="514"/>
      <c r="B1058" s="450" t="s">
        <v>1488</v>
      </c>
      <c r="C1058" s="3">
        <f>+$C$1056+$G$1057</f>
        <v>55720.12000000001</v>
      </c>
      <c r="D1058" s="83"/>
      <c r="E1058" s="4"/>
      <c r="F1058" s="4">
        <v>0</v>
      </c>
      <c r="G1058" s="6"/>
      <c r="H1058" s="449"/>
      <c r="I1058" s="4"/>
      <c r="J1058" s="3"/>
      <c r="K1058" s="449"/>
      <c r="L1058" s="449" t="s">
        <v>153</v>
      </c>
      <c r="M1058" s="449" t="str">
        <f>IF(L1058="","",
IF(AX1058="PT",VLOOKUP(L1058,Foundation_Calc!$V$79:$X$113,VLOOKUP(AX1058,Foundation_Calc!$I$10:$J$13,2,FALSE),0),
IF(AX1058="K",VLOOKUP(L1058,Foundation_Calc!$V$117:$X$151,VLOOKUP(AX1058,Foundation_Calc!$I$10:$J$13,2,FALSE),0),"")))</f>
        <v>C3R</v>
      </c>
      <c r="N1058" s="449" t="s">
        <v>124</v>
      </c>
      <c r="O1058" s="449"/>
      <c r="P1058" s="449"/>
      <c r="Q1058" s="4"/>
      <c r="R1058" s="6"/>
      <c r="S1058" s="6"/>
      <c r="T1058" s="4">
        <v>-35</v>
      </c>
      <c r="U1058" s="4"/>
      <c r="V1058" s="4"/>
      <c r="W1058" s="9">
        <v>1.4</v>
      </c>
      <c r="X1058" s="9"/>
      <c r="Y1058" s="9"/>
      <c r="Z1058" s="9"/>
      <c r="AA1058" s="9"/>
      <c r="AB1058" s="9"/>
      <c r="AC1058" s="449" t="str">
        <f t="shared" si="136"/>
        <v>PHQ</v>
      </c>
      <c r="AD1058" s="449"/>
      <c r="AE1058" s="449"/>
      <c r="AF1058" s="4"/>
      <c r="AG1058" s="83"/>
      <c r="AH1058" s="4"/>
      <c r="AI1058" s="4"/>
      <c r="AJ1058" s="449"/>
      <c r="AK1058" s="449"/>
      <c r="AL1058" s="449"/>
      <c r="AM1058" s="449" t="s">
        <v>552</v>
      </c>
      <c r="AN1058" s="10">
        <v>5.5</v>
      </c>
      <c r="AO1058" s="9"/>
      <c r="AP1058" s="9"/>
      <c r="AQ1058" s="9"/>
      <c r="AR1058" s="9"/>
      <c r="AS1058" s="9"/>
      <c r="AT1058" s="9">
        <f>+ab($T$1058,$T$1056,$T$1060,$G$1057,$G$1059, 1*$F$1058,1200)</f>
        <v>-7.495600280563588</v>
      </c>
      <c r="AU1058" s="428"/>
      <c r="AV1058" s="428"/>
      <c r="AW1058" s="449" t="str">
        <f>IF(C1058&gt;0,VLOOKUP(C1058,Foundation_Calc!$A$2:$C$13,3,1),
IF(J1058&gt;0,VLOOKUP(J1058,Foundation_Calc!$A$2:$C$13,3,1),""))</f>
        <v>Multi Soil</v>
      </c>
      <c r="AX1058" s="449" t="str">
        <f>IF(C1058&gt;0,VLOOKUP(C1058,Foundation_Calc!$E$35:$G$65,3,1),
IF(J1058&gt;0,VLOOKUP(J1058,Foundation_Calc!$E$35:$G$65,3,1),""))</f>
        <v>PT</v>
      </c>
      <c r="AY1058" s="10">
        <f>IF(L1058="","",
IF(AX1058="PT",VLOOKUP(L1058,Foundation_Calc!$K$79:$R$113,VLOOKUP(AW1058,Foundation_Calc!$I$2:$J$8,2,FALSE),0),
IF(AX1058="K",VLOOKUP(L1058,Foundation_Calc!$K$117:$R$151,VLOOKUP(AW1058,Foundation_Calc!$I$2:$J$8,2,FALSE),0),"")))</f>
        <v>3.5</v>
      </c>
      <c r="AZ1058" s="10" t="str">
        <f>IF(K1058="","",
IF(AX1058="PT",VLOOKUP(K1058,Foundation_Calc!$K$79:$R$113,VLOOKUP(AW1058,Foundation_Calc!$I$2:$J$8,2,FALSE),0),
IF(AX1058="K",VLOOKUP(K1058,Foundation_Calc!$K$117:$R$151,VLOOKUP(AW1058,Foundation_Calc!$I$2:$J$8,2,FALSE),0),"")))</f>
        <v/>
      </c>
      <c r="BA1058" s="495" t="str">
        <f t="shared" si="133"/>
        <v>ü</v>
      </c>
      <c r="BB1058" s="495" t="str">
        <f t="shared" si="134"/>
        <v/>
      </c>
      <c r="BC1058" s="495" t="str">
        <f t="shared" si="135"/>
        <v/>
      </c>
      <c r="BD1058" s="513" t="str">
        <f>IF(AND(L1058="",H1058=""),"",
IF(H1058="",Pole_Calc!A$9,
IF(H1058="MP",Pole_Calc!A$10,
IF(H1058="AnMP",Pole_Calc!A$11,
IF(H1058="A",Pole_Calc!A$12,
IF(H1058="S/A",Pole_Calc!A$13,
IF(H1058="A/S",Pole_Calc!A$14,"Poner a mano")))))))</f>
        <v>App.7-V11I-P9.5.1.1</v>
      </c>
      <c r="BE1058" s="429" t="s">
        <v>118</v>
      </c>
      <c r="BF1058" s="289"/>
      <c r="BG1058" s="289"/>
      <c r="BH1058" s="290"/>
      <c r="BI1058" s="289"/>
    </row>
    <row r="1059" spans="1:61" ht="15.75" customHeight="1">
      <c r="A1059" s="518"/>
      <c r="B1059" s="450"/>
      <c r="C1059" s="3"/>
      <c r="D1059" s="83"/>
      <c r="E1059" s="4"/>
      <c r="F1059" s="4"/>
      <c r="G1059" s="6">
        <v>55</v>
      </c>
      <c r="H1059" s="449"/>
      <c r="I1059" s="4"/>
      <c r="J1059" s="3"/>
      <c r="K1059" s="449"/>
      <c r="L1059" s="449"/>
      <c r="M1059" s="449" t="str">
        <f>IF(L1059="","",
IF(AX1059="PT",VLOOKUP(L1059,Foundation_Calc!$V$79:$X$113,VLOOKUP(AX1059,Foundation_Calc!$I$10:$J$13,2,FALSE),0),
IF(AX1059="K",VLOOKUP(L1059,Foundation_Calc!$V$117:$X$151,VLOOKUP(AX1059,Foundation_Calc!$I$10:$J$13,2,FALSE),0),"")))</f>
        <v/>
      </c>
      <c r="N1059" s="449"/>
      <c r="O1059" s="449"/>
      <c r="P1059" s="449"/>
      <c r="Q1059" s="4"/>
      <c r="R1059" s="6"/>
      <c r="S1059" s="6"/>
      <c r="T1059" s="4"/>
      <c r="U1059" s="4"/>
      <c r="V1059" s="4"/>
      <c r="W1059" s="9"/>
      <c r="X1059" s="9"/>
      <c r="Y1059" s="9"/>
      <c r="Z1059" s="9"/>
      <c r="AA1059" s="9"/>
      <c r="AB1059" s="9"/>
      <c r="AC1059" s="449" t="str">
        <f t="shared" si="136"/>
        <v/>
      </c>
      <c r="AD1059" s="449"/>
      <c r="AE1059" s="449"/>
      <c r="AF1059" s="4"/>
      <c r="AG1059" s="83"/>
      <c r="AH1059" s="4"/>
      <c r="AI1059" s="4"/>
      <c r="AJ1059" s="449"/>
      <c r="AK1059" s="449"/>
      <c r="AL1059" s="449"/>
      <c r="AM1059" s="449"/>
      <c r="AN1059" s="10"/>
      <c r="AO1059" s="9"/>
      <c r="AP1059" s="9"/>
      <c r="AQ1059" s="9">
        <f>+FL_2($T$1060,$T$1058,$G$1059,1200,9.28, 1*$F$1060)</f>
        <v>-0.39714735709090898</v>
      </c>
      <c r="AR1059" s="9"/>
      <c r="AS1059" s="9"/>
      <c r="AT1059" s="9"/>
      <c r="AU1059" s="428"/>
      <c r="AV1059" s="428"/>
      <c r="AW1059" s="449" t="str">
        <f>IF(C1059&gt;0,VLOOKUP(C1059,Foundation_Calc!$A$2:$C$13,3,1),
IF(J1059&gt;0,VLOOKUP(J1059,Foundation_Calc!$A$2:$C$13,3,1),""))</f>
        <v/>
      </c>
      <c r="AX1059" s="449" t="str">
        <f>IF(C1059&gt;0,VLOOKUP(C1059,Foundation_Calc!$E$35:$G$65,3,1),
IF(J1059&gt;0,VLOOKUP(J1059,Foundation_Calc!$E$35:$G$65,3,1),""))</f>
        <v/>
      </c>
      <c r="AY1059" s="10" t="str">
        <f>IF(L1059="","",
IF(AX1059="PT",VLOOKUP(L1059,Foundation_Calc!$K$79:$R$113,VLOOKUP(AW1059,Foundation_Calc!$I$2:$J$8,2,FALSE),0),
IF(AX1059="K",VLOOKUP(L1059,Foundation_Calc!$K$117:$R$151,VLOOKUP(AW1059,Foundation_Calc!$I$2:$J$8,2,FALSE),0),"")))</f>
        <v/>
      </c>
      <c r="AZ1059" s="10" t="str">
        <f>IF(K1059="","",
IF(AX1059="PT",VLOOKUP(K1059,Foundation_Calc!$K$79:$R$113,VLOOKUP(AW1059,Foundation_Calc!$I$2:$J$8,2,FALSE),0),
IF(AX1059="K",VLOOKUP(K1059,Foundation_Calc!$K$117:$R$151,VLOOKUP(AW1059,Foundation_Calc!$I$2:$J$8,2,FALSE),0),"")))</f>
        <v/>
      </c>
      <c r="BA1059" s="495" t="str">
        <f t="shared" ref="BA1059:BA1122" si="137">IF(AY1059="","",IF(AY1059&gt;0,"ü",""))</f>
        <v/>
      </c>
      <c r="BB1059" s="495" t="str">
        <f t="shared" ref="BB1059:BB1122" si="138">IF(AZ1059="","",IF(AZ1059&gt;0,"ü",""))</f>
        <v/>
      </c>
      <c r="BC1059" s="495" t="str">
        <f t="shared" ref="BC1059:BC1122" si="139">IF(M1059="","",IF(M1059="U.S.","ü",IF(M1059="U.S. N.D.","ü","")))</f>
        <v/>
      </c>
      <c r="BD1059" s="513" t="str">
        <f>IF(AND(L1059="",H1059=""),"",
IF(H1059="",Pole_Calc!A$9,
IF(H1059="MP",Pole_Calc!A$10,
IF(H1059="AnMP",Pole_Calc!A$11,
IF(H1059="A",Pole_Calc!A$12,
IF(H1059="S/A",Pole_Calc!A$13,
IF(H1059="A/S",Pole_Calc!A$14,"Poner a mano")))))))</f>
        <v/>
      </c>
      <c r="BE1059" s="429" t="s">
        <v>118</v>
      </c>
      <c r="BF1059" s="290"/>
      <c r="BG1059" s="290"/>
      <c r="BH1059" s="290"/>
      <c r="BI1059" s="290"/>
    </row>
    <row r="1060" spans="1:61" ht="15.75" customHeight="1">
      <c r="A1060" s="514"/>
      <c r="B1060" s="450" t="s">
        <v>1489</v>
      </c>
      <c r="C1060" s="3">
        <f>+$C$1058+$G$1059</f>
        <v>55775.12000000001</v>
      </c>
      <c r="D1060" s="83"/>
      <c r="E1060" s="4"/>
      <c r="F1060" s="4">
        <v>0</v>
      </c>
      <c r="G1060" s="6"/>
      <c r="H1060" s="449"/>
      <c r="I1060" s="4"/>
      <c r="J1060" s="3"/>
      <c r="K1060" s="449"/>
      <c r="L1060" s="449" t="s">
        <v>153</v>
      </c>
      <c r="M1060" s="449" t="str">
        <f>IF(L1060="","",
IF(AX1060="PT",VLOOKUP(L1060,Foundation_Calc!$V$79:$X$113,VLOOKUP(AX1060,Foundation_Calc!$I$10:$J$13,2,FALSE),0),
IF(AX1060="K",VLOOKUP(L1060,Foundation_Calc!$V$117:$X$151,VLOOKUP(AX1060,Foundation_Calc!$I$10:$J$13,2,FALSE),0),"")))</f>
        <v>C3R</v>
      </c>
      <c r="N1060" s="449" t="s">
        <v>134</v>
      </c>
      <c r="O1060" s="449"/>
      <c r="P1060" s="449"/>
      <c r="Q1060" s="4"/>
      <c r="R1060" s="6"/>
      <c r="S1060" s="6"/>
      <c r="T1060" s="4">
        <v>35</v>
      </c>
      <c r="U1060" s="4"/>
      <c r="V1060" s="4"/>
      <c r="W1060" s="9">
        <v>1.4</v>
      </c>
      <c r="X1060" s="9"/>
      <c r="Y1060" s="9"/>
      <c r="Z1060" s="9"/>
      <c r="AA1060" s="9"/>
      <c r="AB1060" s="9"/>
      <c r="AC1060" s="449" t="str">
        <f t="shared" si="136"/>
        <v>PHQ</v>
      </c>
      <c r="AD1060" s="449"/>
      <c r="AE1060" s="449"/>
      <c r="AF1060" s="4"/>
      <c r="AG1060" s="83"/>
      <c r="AH1060" s="4"/>
      <c r="AI1060" s="4"/>
      <c r="AJ1060" s="449"/>
      <c r="AK1060" s="449"/>
      <c r="AL1060" s="449"/>
      <c r="AM1060" s="449" t="s">
        <v>552</v>
      </c>
      <c r="AN1060" s="10">
        <v>5.5</v>
      </c>
      <c r="AO1060" s="9"/>
      <c r="AP1060" s="9"/>
      <c r="AQ1060" s="9"/>
      <c r="AR1060" s="9"/>
      <c r="AS1060" s="9"/>
      <c r="AT1060" s="9">
        <f>+ab($T$1060,$T$1058,$T$1062,$G$1059,$G$1061, 1*$F$1060,1200)</f>
        <v>7.8175137683875535</v>
      </c>
      <c r="AU1060" s="428"/>
      <c r="AV1060" s="428"/>
      <c r="AW1060" s="449" t="str">
        <f>IF(C1060&gt;0,VLOOKUP(C1060,Foundation_Calc!$A$2:$C$13,3,1),
IF(J1060&gt;0,VLOOKUP(J1060,Foundation_Calc!$A$2:$C$13,3,1),""))</f>
        <v>Multi Soil</v>
      </c>
      <c r="AX1060" s="449" t="str">
        <f>IF(C1060&gt;0,VLOOKUP(C1060,Foundation_Calc!$E$35:$G$65,3,1),
IF(J1060&gt;0,VLOOKUP(J1060,Foundation_Calc!$E$35:$G$65,3,1),""))</f>
        <v>PT</v>
      </c>
      <c r="AY1060" s="10">
        <f>IF(L1060="","",
IF(AX1060="PT",VLOOKUP(L1060,Foundation_Calc!$K$79:$R$113,VLOOKUP(AW1060,Foundation_Calc!$I$2:$J$8,2,FALSE),0),
IF(AX1060="K",VLOOKUP(L1060,Foundation_Calc!$K$117:$R$151,VLOOKUP(AW1060,Foundation_Calc!$I$2:$J$8,2,FALSE),0),"")))</f>
        <v>3.5</v>
      </c>
      <c r="AZ1060" s="10" t="str">
        <f>IF(K1060="","",
IF(AX1060="PT",VLOOKUP(K1060,Foundation_Calc!$K$79:$R$113,VLOOKUP(AW1060,Foundation_Calc!$I$2:$J$8,2,FALSE),0),
IF(AX1060="K",VLOOKUP(K1060,Foundation_Calc!$K$117:$R$151,VLOOKUP(AW1060,Foundation_Calc!$I$2:$J$8,2,FALSE),0),"")))</f>
        <v/>
      </c>
      <c r="BA1060" s="495" t="str">
        <f t="shared" si="137"/>
        <v>ü</v>
      </c>
      <c r="BB1060" s="495" t="str">
        <f t="shared" si="138"/>
        <v/>
      </c>
      <c r="BC1060" s="495" t="str">
        <f t="shared" si="139"/>
        <v/>
      </c>
      <c r="BD1060" s="513" t="str">
        <f>IF(AND(L1060="",H1060=""),"",
IF(H1060="",Pole_Calc!A$9,
IF(H1060="MP",Pole_Calc!A$10,
IF(H1060="AnMP",Pole_Calc!A$11,
IF(H1060="A",Pole_Calc!A$12,
IF(H1060="S/A",Pole_Calc!A$13,
IF(H1060="A/S",Pole_Calc!A$14,"Poner a mano")))))))</f>
        <v>App.7-V11I-P9.5.1.1</v>
      </c>
      <c r="BE1060" s="429" t="s">
        <v>118</v>
      </c>
      <c r="BF1060" s="289"/>
      <c r="BG1060" s="289"/>
      <c r="BH1060" s="290"/>
      <c r="BI1060" s="289"/>
    </row>
    <row r="1061" spans="1:61" ht="15.75" customHeight="1">
      <c r="A1061" s="514"/>
      <c r="B1061" s="450"/>
      <c r="C1061" s="3"/>
      <c r="D1061" s="83"/>
      <c r="E1061" s="4"/>
      <c r="F1061" s="4"/>
      <c r="G1061" s="6">
        <v>60</v>
      </c>
      <c r="H1061" s="449"/>
      <c r="I1061" s="4"/>
      <c r="J1061" s="3"/>
      <c r="K1061" s="449"/>
      <c r="L1061" s="449"/>
      <c r="M1061" s="449" t="str">
        <f>IF(L1061="","",
IF(AX1061="PT",VLOOKUP(L1061,Foundation_Calc!$V$79:$X$113,VLOOKUP(AX1061,Foundation_Calc!$I$10:$J$13,2,FALSE),0),
IF(AX1061="K",VLOOKUP(L1061,Foundation_Calc!$V$117:$X$151,VLOOKUP(AX1061,Foundation_Calc!$I$10:$J$13,2,FALSE),0),"")))</f>
        <v/>
      </c>
      <c r="N1061" s="449"/>
      <c r="O1061" s="449"/>
      <c r="P1061" s="449"/>
      <c r="Q1061" s="4"/>
      <c r="R1061" s="6"/>
      <c r="S1061" s="6"/>
      <c r="T1061" s="4"/>
      <c r="U1061" s="4"/>
      <c r="V1061" s="4"/>
      <c r="W1061" s="9"/>
      <c r="X1061" s="9"/>
      <c r="Y1061" s="9"/>
      <c r="Z1061" s="9"/>
      <c r="AA1061" s="9"/>
      <c r="AB1061" s="9"/>
      <c r="AC1061" s="449" t="str">
        <f t="shared" si="136"/>
        <v/>
      </c>
      <c r="AD1061" s="449"/>
      <c r="AE1061" s="449"/>
      <c r="AF1061" s="4"/>
      <c r="AG1061" s="83"/>
      <c r="AH1061" s="4"/>
      <c r="AI1061" s="4"/>
      <c r="AJ1061" s="449"/>
      <c r="AK1061" s="449"/>
      <c r="AL1061" s="449"/>
      <c r="AM1061" s="449"/>
      <c r="AN1061" s="10"/>
      <c r="AO1061" s="9"/>
      <c r="AP1061" s="9"/>
      <c r="AQ1061" s="9">
        <f>+FL_2($T$1062,$T$1060,$G$1061,1200,9.28, 1*$F$1062)</f>
        <v>-0.43600286799999999</v>
      </c>
      <c r="AR1061" s="9"/>
      <c r="AS1061" s="9"/>
      <c r="AT1061" s="9"/>
      <c r="AU1061" s="428"/>
      <c r="AV1061" s="428"/>
      <c r="AW1061" s="449" t="str">
        <f>IF(C1061&gt;0,VLOOKUP(C1061,Foundation_Calc!$A$2:$C$13,3,1),
IF(J1061&gt;0,VLOOKUP(J1061,Foundation_Calc!$A$2:$C$13,3,1),""))</f>
        <v/>
      </c>
      <c r="AX1061" s="449" t="str">
        <f>IF(C1061&gt;0,VLOOKUP(C1061,Foundation_Calc!$E$35:$G$65,3,1),
IF(J1061&gt;0,VLOOKUP(J1061,Foundation_Calc!$E$35:$G$65,3,1),""))</f>
        <v/>
      </c>
      <c r="AY1061" s="10" t="str">
        <f>IF(L1061="","",
IF(AX1061="PT",VLOOKUP(L1061,Foundation_Calc!$K$79:$R$113,VLOOKUP(AW1061,Foundation_Calc!$I$2:$J$8,2,FALSE),0),
IF(AX1061="K",VLOOKUP(L1061,Foundation_Calc!$K$117:$R$151,VLOOKUP(AW1061,Foundation_Calc!$I$2:$J$8,2,FALSE),0),"")))</f>
        <v/>
      </c>
      <c r="AZ1061" s="10" t="str">
        <f>IF(K1061="","",
IF(AX1061="PT",VLOOKUP(K1061,Foundation_Calc!$K$79:$R$113,VLOOKUP(AW1061,Foundation_Calc!$I$2:$J$8,2,FALSE),0),
IF(AX1061="K",VLOOKUP(K1061,Foundation_Calc!$K$117:$R$151,VLOOKUP(AW1061,Foundation_Calc!$I$2:$J$8,2,FALSE),0),"")))</f>
        <v/>
      </c>
      <c r="BA1061" s="495" t="str">
        <f t="shared" si="137"/>
        <v/>
      </c>
      <c r="BB1061" s="495" t="str">
        <f t="shared" si="138"/>
        <v/>
      </c>
      <c r="BC1061" s="495" t="str">
        <f t="shared" si="139"/>
        <v/>
      </c>
      <c r="BD1061" s="513" t="str">
        <f>IF(AND(L1061="",H1061=""),"",
IF(H1061="",Pole_Calc!A$9,
IF(H1061="MP",Pole_Calc!A$10,
IF(H1061="AnMP",Pole_Calc!A$11,
IF(H1061="A",Pole_Calc!A$12,
IF(H1061="S/A",Pole_Calc!A$13,
IF(H1061="A/S",Pole_Calc!A$14,"Poner a mano")))))))</f>
        <v/>
      </c>
      <c r="BE1061" s="429" t="s">
        <v>118</v>
      </c>
      <c r="BF1061" s="290"/>
      <c r="BG1061" s="290"/>
      <c r="BH1061" s="290"/>
      <c r="BI1061" s="290"/>
    </row>
    <row r="1062" spans="1:61" ht="15.75" customHeight="1">
      <c r="A1062" s="514"/>
      <c r="B1062" s="450" t="s">
        <v>1490</v>
      </c>
      <c r="C1062" s="3">
        <f>+$C$1060+$G$1061</f>
        <v>55835.12000000001</v>
      </c>
      <c r="D1062" s="83"/>
      <c r="E1062" s="4"/>
      <c r="F1062" s="4">
        <v>0</v>
      </c>
      <c r="G1062" s="6"/>
      <c r="H1062" s="449"/>
      <c r="I1062" s="4"/>
      <c r="J1062" s="3"/>
      <c r="K1062" s="449"/>
      <c r="L1062" s="449" t="s">
        <v>153</v>
      </c>
      <c r="M1062" s="449" t="str">
        <f>IF(L1062="","",
IF(AX1062="PT",VLOOKUP(L1062,Foundation_Calc!$V$79:$X$113,VLOOKUP(AX1062,Foundation_Calc!$I$10:$J$13,2,FALSE),0),
IF(AX1062="K",VLOOKUP(L1062,Foundation_Calc!$V$117:$X$151,VLOOKUP(AX1062,Foundation_Calc!$I$10:$J$13,2,FALSE),0),"")))</f>
        <v>C3R</v>
      </c>
      <c r="N1062" s="449" t="s">
        <v>124</v>
      </c>
      <c r="O1062" s="449"/>
      <c r="P1062" s="449"/>
      <c r="Q1062" s="4"/>
      <c r="R1062" s="6"/>
      <c r="S1062" s="6"/>
      <c r="T1062" s="4">
        <v>-35</v>
      </c>
      <c r="U1062" s="4"/>
      <c r="V1062" s="4"/>
      <c r="W1062" s="9">
        <v>1.4</v>
      </c>
      <c r="X1062" s="9"/>
      <c r="Y1062" s="9"/>
      <c r="Z1062" s="9"/>
      <c r="AA1062" s="9"/>
      <c r="AB1062" s="9"/>
      <c r="AC1062" s="449" t="str">
        <f t="shared" si="136"/>
        <v>PH</v>
      </c>
      <c r="AD1062" s="449"/>
      <c r="AE1062" s="449"/>
      <c r="AF1062" s="4"/>
      <c r="AG1062" s="83"/>
      <c r="AH1062" s="4"/>
      <c r="AI1062" s="4"/>
      <c r="AJ1062" s="449"/>
      <c r="AK1062" s="449"/>
      <c r="AL1062" s="449"/>
      <c r="AM1062" s="449" t="s">
        <v>552</v>
      </c>
      <c r="AN1062" s="10">
        <v>5.5</v>
      </c>
      <c r="AO1062" s="9"/>
      <c r="AP1062" s="9"/>
      <c r="AQ1062" s="9"/>
      <c r="AR1062" s="9"/>
      <c r="AS1062" s="9"/>
      <c r="AT1062" s="9">
        <f>+ab($T$1062,$T$1060,$T$1064,$G$1061,$G$1063, 1*$F$1062,1200)</f>
        <v>-8.300256796512933</v>
      </c>
      <c r="AU1062" s="428"/>
      <c r="AV1062" s="428"/>
      <c r="AW1062" s="449" t="str">
        <f>IF(C1062&gt;0,VLOOKUP(C1062,Foundation_Calc!$A$2:$C$13,3,1),
IF(J1062&gt;0,VLOOKUP(J1062,Foundation_Calc!$A$2:$C$13,3,1),""))</f>
        <v>Multi Soil</v>
      </c>
      <c r="AX1062" s="449" t="str">
        <f>IF(C1062&gt;0,VLOOKUP(C1062,Foundation_Calc!$E$35:$G$65,3,1),
IF(J1062&gt;0,VLOOKUP(J1062,Foundation_Calc!$E$35:$G$65,3,1),""))</f>
        <v>PT</v>
      </c>
      <c r="AY1062" s="10">
        <f>IF(L1062="","",
IF(AX1062="PT",VLOOKUP(L1062,Foundation_Calc!$K$79:$R$113,VLOOKUP(AW1062,Foundation_Calc!$I$2:$J$8,2,FALSE),0),
IF(AX1062="K",VLOOKUP(L1062,Foundation_Calc!$K$117:$R$151,VLOOKUP(AW1062,Foundation_Calc!$I$2:$J$8,2,FALSE),0),"")))</f>
        <v>3.5</v>
      </c>
      <c r="AZ1062" s="10" t="str">
        <f>IF(K1062="","",
IF(AX1062="PT",VLOOKUP(K1062,Foundation_Calc!$K$79:$R$113,VLOOKUP(AW1062,Foundation_Calc!$I$2:$J$8,2,FALSE),0),
IF(AX1062="K",VLOOKUP(K1062,Foundation_Calc!$K$117:$R$151,VLOOKUP(AW1062,Foundation_Calc!$I$2:$J$8,2,FALSE),0),"")))</f>
        <v/>
      </c>
      <c r="BA1062" s="495" t="str">
        <f t="shared" si="137"/>
        <v>ü</v>
      </c>
      <c r="BB1062" s="495" t="str">
        <f t="shared" si="138"/>
        <v/>
      </c>
      <c r="BC1062" s="495" t="str">
        <f t="shared" si="139"/>
        <v/>
      </c>
      <c r="BD1062" s="513" t="str">
        <f>IF(AND(L1062="",H1062=""),"",
IF(H1062="",Pole_Calc!A$9,
IF(H1062="MP",Pole_Calc!A$10,
IF(H1062="AnMP",Pole_Calc!A$11,
IF(H1062="A",Pole_Calc!A$12,
IF(H1062="S/A",Pole_Calc!A$13,
IF(H1062="A/S",Pole_Calc!A$14,"Poner a mano")))))))</f>
        <v>App.7-V11I-P9.5.1.1</v>
      </c>
      <c r="BE1062" s="429" t="s">
        <v>118</v>
      </c>
      <c r="BF1062" s="289"/>
      <c r="BG1062" s="289"/>
      <c r="BH1062" s="290"/>
      <c r="BI1062" s="289"/>
    </row>
    <row r="1063" spans="1:61" ht="15.75" customHeight="1">
      <c r="A1063" s="659" t="s">
        <v>178</v>
      </c>
      <c r="B1063" s="660"/>
      <c r="C1063" s="661"/>
      <c r="D1063" s="662"/>
      <c r="E1063" s="663"/>
      <c r="F1063" s="663"/>
      <c r="G1063" s="664">
        <v>62</v>
      </c>
      <c r="H1063" s="665"/>
      <c r="I1063" s="663"/>
      <c r="J1063" s="661"/>
      <c r="K1063" s="665"/>
      <c r="L1063" s="665"/>
      <c r="M1063" s="665" t="str">
        <f>IF(L1063="","",
IF(AX1063="PT",VLOOKUP(L1063,Foundation_Calc!$V$79:$X$113,VLOOKUP(AX1063,Foundation_Calc!$I$10:$J$13,2,FALSE),0),
IF(AX1063="K",VLOOKUP(L1063,Foundation_Calc!$V$117:$X$151,VLOOKUP(AX1063,Foundation_Calc!$I$10:$J$13,2,FALSE),0),"")))</f>
        <v/>
      </c>
      <c r="N1063" s="665"/>
      <c r="O1063" s="755"/>
      <c r="P1063" s="665"/>
      <c r="Q1063" s="663"/>
      <c r="R1063" s="664"/>
      <c r="S1063" s="664"/>
      <c r="T1063" s="663"/>
      <c r="U1063" s="663"/>
      <c r="V1063" s="663"/>
      <c r="W1063" s="666"/>
      <c r="X1063" s="666"/>
      <c r="Y1063" s="666"/>
      <c r="Z1063" s="666"/>
      <c r="AA1063" s="666"/>
      <c r="AB1063" s="666"/>
      <c r="AC1063" s="665" t="str">
        <f t="shared" si="136"/>
        <v/>
      </c>
      <c r="AD1063" s="665"/>
      <c r="AE1063" s="665"/>
      <c r="AF1063" s="663"/>
      <c r="AG1063" s="662"/>
      <c r="AH1063" s="663"/>
      <c r="AI1063" s="663"/>
      <c r="AJ1063" s="665"/>
      <c r="AK1063" s="665"/>
      <c r="AL1063" s="665"/>
      <c r="AM1063" s="665"/>
      <c r="AN1063" s="667"/>
      <c r="AO1063" s="666"/>
      <c r="AP1063" s="666"/>
      <c r="AQ1063" s="666">
        <f>+FL_1($T$1064,$T$1062,$G$1063,1200,9.28, 1*$F$1064)</f>
        <v>0.45400350967741931</v>
      </c>
      <c r="AR1063" s="666"/>
      <c r="AS1063" s="666"/>
      <c r="AT1063" s="666"/>
      <c r="AU1063" s="668"/>
      <c r="AV1063" s="668"/>
      <c r="AW1063" s="665" t="str">
        <f>IF(C1063&gt;0,VLOOKUP(C1063,Foundation_Calc!$A$2:$C$13,3,1),
IF(J1063&gt;0,VLOOKUP(J1063,Foundation_Calc!$A$2:$C$13,3,1),""))</f>
        <v/>
      </c>
      <c r="AX1063" s="665" t="str">
        <f>IF(C1063&gt;0,VLOOKUP(C1063,Foundation_Calc!$E$35:$G$65,3,1),
IF(J1063&gt;0,VLOOKUP(J1063,Foundation_Calc!$E$35:$G$65,3,1),""))</f>
        <v/>
      </c>
      <c r="AY1063" s="667" t="str">
        <f>IF(L1063="","",
IF(AX1063="PT",VLOOKUP(L1063,Foundation_Calc!$K$79:$R$113,VLOOKUP(AW1063,Foundation_Calc!$I$2:$J$8,2,FALSE),0),
IF(AX1063="K",VLOOKUP(L1063,Foundation_Calc!$K$117:$R$151,VLOOKUP(AW1063,Foundation_Calc!$I$2:$J$8,2,FALSE),0),"")))</f>
        <v/>
      </c>
      <c r="AZ1063" s="667" t="str">
        <f>IF(K1063="","",
IF(AX1063="PT",VLOOKUP(K1063,Foundation_Calc!$K$79:$R$113,VLOOKUP(AW1063,Foundation_Calc!$I$2:$J$8,2,FALSE),0),
IF(AX1063="K",VLOOKUP(K1063,Foundation_Calc!$K$117:$R$151,VLOOKUP(AW1063,Foundation_Calc!$I$2:$J$8,2,FALSE),0),"")))</f>
        <v/>
      </c>
      <c r="BA1063" s="495" t="str">
        <f t="shared" si="137"/>
        <v/>
      </c>
      <c r="BB1063" s="495" t="str">
        <f t="shared" si="138"/>
        <v/>
      </c>
      <c r="BC1063" s="495" t="str">
        <f t="shared" si="139"/>
        <v/>
      </c>
      <c r="BD1063" s="513" t="str">
        <f>IF(AND(L1063="",H1063=""),"",
IF(H1063="",Pole_Calc!A$9,
IF(H1063="MP",Pole_Calc!A$10,
IF(H1063="AnMP",Pole_Calc!A$11,
IF(H1063="A",Pole_Calc!A$12,
IF(H1063="S/A",Pole_Calc!A$13,
IF(H1063="A/S",Pole_Calc!A$14,"Poner a mano")))))))</f>
        <v/>
      </c>
      <c r="BE1063" s="429" t="s">
        <v>118</v>
      </c>
      <c r="BF1063" s="290"/>
      <c r="BG1063" s="290"/>
      <c r="BH1063" s="290"/>
      <c r="BI1063" s="290"/>
    </row>
    <row r="1064" spans="1:61" ht="15.75" customHeight="1">
      <c r="A1064" s="514"/>
      <c r="B1064" s="450" t="s">
        <v>1491</v>
      </c>
      <c r="C1064" s="3">
        <f>+$C$1062+$G$1063</f>
        <v>55897.12000000001</v>
      </c>
      <c r="D1064" s="83"/>
      <c r="E1064" s="4"/>
      <c r="F1064" s="4">
        <v>0</v>
      </c>
      <c r="G1064" s="6"/>
      <c r="H1064" s="449"/>
      <c r="I1064" s="4"/>
      <c r="J1064" s="3"/>
      <c r="K1064" s="449"/>
      <c r="L1064" s="449" t="s">
        <v>153</v>
      </c>
      <c r="M1064" s="449" t="str">
        <f>IF(L1064="","",
IF(AX1064="PT",VLOOKUP(L1064,Foundation_Calc!$V$79:$X$113,VLOOKUP(AX1064,Foundation_Calc!$I$10:$J$13,2,FALSE),0),
IF(AX1064="K",VLOOKUP(L1064,Foundation_Calc!$V$117:$X$151,VLOOKUP(AX1064,Foundation_Calc!$I$10:$J$13,2,FALSE),0),"")))</f>
        <v>C3R</v>
      </c>
      <c r="N1064" s="449" t="s">
        <v>134</v>
      </c>
      <c r="O1064" s="449"/>
      <c r="P1064" s="449"/>
      <c r="Q1064" s="4"/>
      <c r="R1064" s="6"/>
      <c r="S1064" s="6"/>
      <c r="T1064" s="4">
        <v>35</v>
      </c>
      <c r="U1064" s="4"/>
      <c r="V1064" s="4"/>
      <c r="W1064" s="9">
        <v>1.4</v>
      </c>
      <c r="X1064" s="9"/>
      <c r="Y1064" s="9"/>
      <c r="Z1064" s="9"/>
      <c r="AA1064" s="9"/>
      <c r="AB1064" s="9"/>
      <c r="AC1064" s="449" t="str">
        <f t="shared" si="136"/>
        <v>PH</v>
      </c>
      <c r="AD1064" s="449"/>
      <c r="AE1064" s="449"/>
      <c r="AF1064" s="4"/>
      <c r="AG1064" s="83"/>
      <c r="AH1064" s="4"/>
      <c r="AI1064" s="4"/>
      <c r="AJ1064" s="449"/>
      <c r="AK1064" s="449"/>
      <c r="AL1064" s="449"/>
      <c r="AM1064" s="449" t="s">
        <v>552</v>
      </c>
      <c r="AN1064" s="10">
        <v>5.5</v>
      </c>
      <c r="AO1064" s="9"/>
      <c r="AP1064" s="9"/>
      <c r="AQ1064" s="9"/>
      <c r="AR1064" s="9"/>
      <c r="AS1064" s="9"/>
      <c r="AT1064" s="9">
        <f>+ab($T$1064,$T$1062,$T$1066,$G$1063,$G$1065, 1*$F$1064,1200)</f>
        <v>8.4365744899000195</v>
      </c>
      <c r="AU1064" s="428"/>
      <c r="AV1064" s="428"/>
      <c r="AW1064" s="449" t="str">
        <f>IF(C1064&gt;0,VLOOKUP(C1064,Foundation_Calc!$A$2:$C$13,3,1),
IF(J1064&gt;0,VLOOKUP(J1064,Foundation_Calc!$A$2:$C$13,3,1),""))</f>
        <v>Multi Soil</v>
      </c>
      <c r="AX1064" s="449" t="str">
        <f>IF(C1064&gt;0,VLOOKUP(C1064,Foundation_Calc!$E$35:$G$65,3,1),
IF(J1064&gt;0,VLOOKUP(J1064,Foundation_Calc!$E$35:$G$65,3,1),""))</f>
        <v>PT</v>
      </c>
      <c r="AY1064" s="10">
        <f>IF(L1064="","",
IF(AX1064="PT",VLOOKUP(L1064,Foundation_Calc!$K$79:$R$113,VLOOKUP(AW1064,Foundation_Calc!$I$2:$J$8,2,FALSE),0),
IF(AX1064="K",VLOOKUP(L1064,Foundation_Calc!$K$117:$R$151,VLOOKUP(AW1064,Foundation_Calc!$I$2:$J$8,2,FALSE),0),"")))</f>
        <v>3.5</v>
      </c>
      <c r="AZ1064" s="10" t="str">
        <f>IF(K1064="","",
IF(AX1064="PT",VLOOKUP(K1064,Foundation_Calc!$K$79:$R$113,VLOOKUP(AW1064,Foundation_Calc!$I$2:$J$8,2,FALSE),0),
IF(AX1064="K",VLOOKUP(K1064,Foundation_Calc!$K$117:$R$151,VLOOKUP(AW1064,Foundation_Calc!$I$2:$J$8,2,FALSE),0),"")))</f>
        <v/>
      </c>
      <c r="BA1064" s="495" t="str">
        <f t="shared" si="137"/>
        <v>ü</v>
      </c>
      <c r="BB1064" s="495" t="str">
        <f t="shared" si="138"/>
        <v/>
      </c>
      <c r="BC1064" s="495" t="str">
        <f t="shared" si="139"/>
        <v/>
      </c>
      <c r="BD1064" s="513" t="str">
        <f>IF(AND(L1064="",H1064=""),"",
IF(H1064="",Pole_Calc!A$9,
IF(H1064="MP",Pole_Calc!A$10,
IF(H1064="AnMP",Pole_Calc!A$11,
IF(H1064="A",Pole_Calc!A$12,
IF(H1064="S/A",Pole_Calc!A$13,
IF(H1064="A/S",Pole_Calc!A$14,"Poner a mano")))))))</f>
        <v>App.7-V11I-P9.5.1.1</v>
      </c>
      <c r="BE1064" s="429" t="s">
        <v>118</v>
      </c>
      <c r="BF1064" s="289"/>
      <c r="BG1064" s="289"/>
      <c r="BH1064" s="290"/>
      <c r="BI1064" s="289"/>
    </row>
    <row r="1065" spans="1:61" ht="15.75" customHeight="1">
      <c r="A1065" s="518"/>
      <c r="B1065" s="450"/>
      <c r="C1065" s="3"/>
      <c r="D1065" s="83"/>
      <c r="E1065" s="4"/>
      <c r="F1065" s="4"/>
      <c r="G1065" s="6">
        <v>62</v>
      </c>
      <c r="H1065" s="449"/>
      <c r="I1065" s="4"/>
      <c r="J1065" s="3">
        <f>C1066-7.5</f>
        <v>55951.62000000001</v>
      </c>
      <c r="K1065" s="449" t="s">
        <v>166</v>
      </c>
      <c r="L1065" s="449"/>
      <c r="M1065" s="449" t="str">
        <f>IF(L1065="","",
IF(AX1065="PT",VLOOKUP(L1065,Foundation_Calc!$V$79:$X$113,VLOOKUP(AX1065,Foundation_Calc!$I$10:$J$13,2,FALSE),0),
IF(AX1065="K",VLOOKUP(L1065,Foundation_Calc!$V$117:$X$151,VLOOKUP(AX1065,Foundation_Calc!$I$10:$J$13,2,FALSE),0),"")))</f>
        <v/>
      </c>
      <c r="N1065" s="449"/>
      <c r="O1065" s="449"/>
      <c r="P1065" s="449"/>
      <c r="Q1065" s="4"/>
      <c r="R1065" s="6"/>
      <c r="S1065" s="6"/>
      <c r="T1065" s="4"/>
      <c r="U1065" s="4"/>
      <c r="V1065" s="4"/>
      <c r="W1065" s="9"/>
      <c r="X1065" s="9"/>
      <c r="Y1065" s="9"/>
      <c r="Z1065" s="9"/>
      <c r="AA1065" s="9"/>
      <c r="AB1065" s="9"/>
      <c r="AC1065" s="449" t="str">
        <f t="shared" si="136"/>
        <v/>
      </c>
      <c r="AD1065" s="449"/>
      <c r="AE1065" s="449"/>
      <c r="AF1065" s="4"/>
      <c r="AG1065" s="83"/>
      <c r="AH1065" s="4"/>
      <c r="AI1065" s="4"/>
      <c r="AJ1065" s="449"/>
      <c r="AK1065" s="449"/>
      <c r="AL1065" s="449"/>
      <c r="AM1065" s="449"/>
      <c r="AN1065" s="10"/>
      <c r="AO1065" s="9"/>
      <c r="AP1065" s="9"/>
      <c r="AQ1065" s="9">
        <f>+FL_2($T$1066,$T$1064,$G$1065,1200,9.28, 1*$F$1066)</f>
        <v>-0.45400350967741931</v>
      </c>
      <c r="AR1065" s="9"/>
      <c r="AS1065" s="9"/>
      <c r="AT1065" s="9"/>
      <c r="AU1065" s="428"/>
      <c r="AV1065" s="428"/>
      <c r="AW1065" s="449" t="str">
        <f>IF(C1065&gt;0,VLOOKUP(C1065,Foundation_Calc!$A$2:$C$13,3,1),
IF(J1065&gt;0,VLOOKUP(J1065,Foundation_Calc!$A$2:$C$13,3,1),""))</f>
        <v>Multi Soil</v>
      </c>
      <c r="AX1065" s="449" t="str">
        <f>IF(C1065&gt;0,VLOOKUP(C1065,Foundation_Calc!$E$35:$G$65,3,1),
IF(J1065&gt;0,VLOOKUP(J1065,Foundation_Calc!$E$35:$G$65,3,1),""))</f>
        <v>PT</v>
      </c>
      <c r="AY1065" s="10" t="str">
        <f>IF(L1065="","",
IF(AX1065="PT",VLOOKUP(L1065,Foundation_Calc!$K$79:$R$113,VLOOKUP(AW1065,Foundation_Calc!$I$2:$J$8,2,FALSE),0),
IF(AX1065="K",VLOOKUP(L1065,Foundation_Calc!$K$117:$R$151,VLOOKUP(AW1065,Foundation_Calc!$I$2:$J$8,2,FALSE),0),"")))</f>
        <v/>
      </c>
      <c r="AZ1065" s="10">
        <f>IF(K1065="","",
IF(AX1065="PT",VLOOKUP(K1065,Foundation_Calc!$K$79:$R$113,VLOOKUP(AW1065,Foundation_Calc!$I$2:$J$8,2,FALSE),0),
IF(AX1065="K",VLOOKUP(K1065,Foundation_Calc!$K$117:$R$151,VLOOKUP(AW1065,Foundation_Calc!$I$2:$J$8,2,FALSE),0),"")))</f>
        <v>2.8</v>
      </c>
      <c r="BA1065" s="495" t="str">
        <f t="shared" si="137"/>
        <v/>
      </c>
      <c r="BB1065" s="495" t="str">
        <f t="shared" si="138"/>
        <v>ü</v>
      </c>
      <c r="BC1065" s="495" t="str">
        <f t="shared" si="139"/>
        <v/>
      </c>
      <c r="BD1065" s="513" t="str">
        <f>IF(AND(L1065="",H1065=""),"",
IF(H1065="",Pole_Calc!A$9,
IF(H1065="MP",Pole_Calc!A$10,
IF(H1065="AnMP",Pole_Calc!A$11,
IF(H1065="A",Pole_Calc!A$12,
IF(H1065="S/A",Pole_Calc!A$13,
IF(H1065="A/S",Pole_Calc!A$14,"Poner a mano")))))))</f>
        <v/>
      </c>
      <c r="BE1065" s="429" t="s">
        <v>118</v>
      </c>
      <c r="BF1065" s="290"/>
      <c r="BG1065" s="290"/>
      <c r="BH1065" s="290"/>
      <c r="BI1065" s="290"/>
    </row>
    <row r="1066" spans="1:61" ht="15.75" customHeight="1">
      <c r="A1066" s="514"/>
      <c r="B1066" s="450" t="s">
        <v>1492</v>
      </c>
      <c r="C1066" s="3">
        <f>+$C$1064+$G$1065</f>
        <v>55959.12000000001</v>
      </c>
      <c r="D1066" s="83"/>
      <c r="E1066" s="4"/>
      <c r="F1066" s="4">
        <v>0</v>
      </c>
      <c r="G1066" s="6"/>
      <c r="H1066" s="449" t="s">
        <v>168</v>
      </c>
      <c r="I1066" s="4"/>
      <c r="J1066" s="3"/>
      <c r="K1066" s="449"/>
      <c r="L1066" s="449" t="s">
        <v>158</v>
      </c>
      <c r="M1066" s="449" t="str">
        <f>IF(L1066="","",
IF(AX1066="PT",VLOOKUP(L1066,Foundation_Calc!$V$79:$X$113,VLOOKUP(AX1066,Foundation_Calc!$I$10:$J$13,2,FALSE),0),
IF(AX1066="K",VLOOKUP(L1066,Foundation_Calc!$V$117:$X$151,VLOOKUP(AX1066,Foundation_Calc!$I$10:$J$13,2,FALSE),0),"")))</f>
        <v>C4R</v>
      </c>
      <c r="N1066" s="449" t="s">
        <v>124</v>
      </c>
      <c r="O1066" s="449"/>
      <c r="P1066" s="449"/>
      <c r="Q1066" s="4"/>
      <c r="R1066" s="6"/>
      <c r="S1066" s="6"/>
      <c r="T1066" s="4">
        <v>-35</v>
      </c>
      <c r="U1066" s="4"/>
      <c r="V1066" s="4"/>
      <c r="W1066" s="9">
        <v>1.4</v>
      </c>
      <c r="X1066" s="9"/>
      <c r="Y1066" s="9"/>
      <c r="Z1066" s="9"/>
      <c r="AA1066" s="9"/>
      <c r="AB1066" s="9"/>
      <c r="AC1066" s="449" t="str">
        <f t="shared" si="136"/>
        <v>PH</v>
      </c>
      <c r="AD1066" s="449"/>
      <c r="AE1066" s="449"/>
      <c r="AF1066" s="4"/>
      <c r="AG1066" s="83"/>
      <c r="AH1066" s="4"/>
      <c r="AI1066" s="4"/>
      <c r="AJ1066" s="449"/>
      <c r="AK1066" s="449"/>
      <c r="AL1066" s="449"/>
      <c r="AM1066" s="449" t="s">
        <v>552</v>
      </c>
      <c r="AN1066" s="10">
        <v>5.5</v>
      </c>
      <c r="AO1066" s="9"/>
      <c r="AP1066" s="9"/>
      <c r="AQ1066" s="9"/>
      <c r="AR1066" s="9"/>
      <c r="AS1066" s="9"/>
      <c r="AT1066" s="9">
        <f>+ab($T$1066,$T$1064,$T$1068,$G$1065,$G$1067, 1*$F$1066,1200)</f>
        <v>-8.4366201521118445</v>
      </c>
      <c r="AU1066" s="428"/>
      <c r="AV1066" s="428"/>
      <c r="AW1066" s="449" t="str">
        <f>IF(C1066&gt;0,VLOOKUP(C1066,Foundation_Calc!$A$2:$C$13,3,1),
IF(J1066&gt;0,VLOOKUP(J1066,Foundation_Calc!$A$2:$C$13,3,1),""))</f>
        <v>Multi Soil</v>
      </c>
      <c r="AX1066" s="449" t="str">
        <f>IF(C1066&gt;0,VLOOKUP(C1066,Foundation_Calc!$E$35:$G$65,3,1),
IF(J1066&gt;0,VLOOKUP(J1066,Foundation_Calc!$E$35:$G$65,3,1),""))</f>
        <v>PT</v>
      </c>
      <c r="AY1066" s="10">
        <f>IF(L1066="","",
IF(AX1066="PT",VLOOKUP(L1066,Foundation_Calc!$K$79:$R$113,VLOOKUP(AW1066,Foundation_Calc!$I$2:$J$8,2,FALSE),0),
IF(AX1066="K",VLOOKUP(L1066,Foundation_Calc!$K$117:$R$151,VLOOKUP(AW1066,Foundation_Calc!$I$2:$J$8,2,FALSE),0),"")))</f>
        <v>3.5</v>
      </c>
      <c r="AZ1066" s="10" t="str">
        <f>IF(K1066="","",
IF(AX1066="PT",VLOOKUP(K1066,Foundation_Calc!$K$79:$R$113,VLOOKUP(AW1066,Foundation_Calc!$I$2:$J$8,2,FALSE),0),
IF(AX1066="K",VLOOKUP(K1066,Foundation_Calc!$K$117:$R$151,VLOOKUP(AW1066,Foundation_Calc!$I$2:$J$8,2,FALSE),0),"")))</f>
        <v/>
      </c>
      <c r="BA1066" s="495" t="str">
        <f t="shared" si="137"/>
        <v>ü</v>
      </c>
      <c r="BB1066" s="495" t="str">
        <f t="shared" si="138"/>
        <v/>
      </c>
      <c r="BC1066" s="495" t="str">
        <f t="shared" si="139"/>
        <v/>
      </c>
      <c r="BD1066" s="513" t="str">
        <f>IF(AND(L1066="",H1066=""),"",
IF(H1066="",Pole_Calc!A$9,
IF(H1066="MP",Pole_Calc!A$10,
IF(H1066="AnMP",Pole_Calc!A$11,
IF(H1066="A",Pole_Calc!A$12,
IF(H1066="S/A",Pole_Calc!A$13,
IF(H1066="A/S",Pole_Calc!A$14,"Poner a mano")))))))</f>
        <v>App.7-V11I-P9.5.1.3</v>
      </c>
      <c r="BE1066" s="429" t="s">
        <v>118</v>
      </c>
      <c r="BF1066" s="289"/>
      <c r="BG1066" s="289"/>
      <c r="BH1066" s="290"/>
      <c r="BI1066" s="289"/>
    </row>
    <row r="1067" spans="1:61" ht="15.75" customHeight="1">
      <c r="A1067" s="514"/>
      <c r="B1067" s="450"/>
      <c r="C1067" s="3"/>
      <c r="D1067" s="83"/>
      <c r="E1067" s="4"/>
      <c r="F1067" s="4"/>
      <c r="G1067" s="6">
        <v>62</v>
      </c>
      <c r="H1067" s="449"/>
      <c r="I1067" s="4">
        <f>SUM(G1047:G1067)</f>
        <v>650</v>
      </c>
      <c r="J1067" s="3"/>
      <c r="K1067" s="449"/>
      <c r="L1067" s="449"/>
      <c r="M1067" s="449" t="str">
        <f>IF(L1067="","",
IF(AX1067="PT",VLOOKUP(L1067,Foundation_Calc!$V$79:$X$113,VLOOKUP(AX1067,Foundation_Calc!$I$10:$J$13,2,FALSE),0),
IF(AX1067="K",VLOOKUP(L1067,Foundation_Calc!$V$117:$X$151,VLOOKUP(AX1067,Foundation_Calc!$I$10:$J$13,2,FALSE),0),"")))</f>
        <v/>
      </c>
      <c r="N1067" s="449"/>
      <c r="O1067" s="449"/>
      <c r="P1067" s="449"/>
      <c r="Q1067" s="4"/>
      <c r="R1067" s="6"/>
      <c r="S1067" s="6"/>
      <c r="T1067" s="4"/>
      <c r="U1067" s="4"/>
      <c r="V1067" s="4"/>
      <c r="W1067" s="9"/>
      <c r="X1067" s="9"/>
      <c r="Y1067" s="9"/>
      <c r="Z1067" s="9"/>
      <c r="AA1067" s="9"/>
      <c r="AB1067" s="9"/>
      <c r="AC1067" s="449" t="str">
        <f t="shared" si="136"/>
        <v/>
      </c>
      <c r="AD1067" s="449"/>
      <c r="AE1067" s="449"/>
      <c r="AF1067" s="4"/>
      <c r="AG1067" s="83"/>
      <c r="AH1067" s="4"/>
      <c r="AI1067" s="4"/>
      <c r="AJ1067" s="449"/>
      <c r="AK1067" s="449"/>
      <c r="AL1067" s="449"/>
      <c r="AM1067" s="449"/>
      <c r="AN1067" s="10"/>
      <c r="AO1067" s="9"/>
      <c r="AP1067" s="9"/>
      <c r="AQ1067" s="9">
        <f>+FL_1($T$1068,$T$1066,$G$1067,1200,9.28, 1*$F$1068)</f>
        <v>0.45400350967741931</v>
      </c>
      <c r="AR1067" s="9"/>
      <c r="AS1067" s="9"/>
      <c r="AT1067" s="9"/>
      <c r="AU1067" s="428"/>
      <c r="AV1067" s="428"/>
      <c r="AW1067" s="449" t="str">
        <f>IF(C1067&gt;0,VLOOKUP(C1067,Foundation_Calc!$A$2:$C$13,3,1),
IF(J1067&gt;0,VLOOKUP(J1067,Foundation_Calc!$A$2:$C$13,3,1),""))</f>
        <v/>
      </c>
      <c r="AX1067" s="449" t="str">
        <f>IF(C1067&gt;0,VLOOKUP(C1067,Foundation_Calc!$E$35:$G$65,3,1),
IF(J1067&gt;0,VLOOKUP(J1067,Foundation_Calc!$E$35:$G$65,3,1),""))</f>
        <v/>
      </c>
      <c r="AY1067" s="10" t="str">
        <f>IF(L1067="","",
IF(AX1067="PT",VLOOKUP(L1067,Foundation_Calc!$K$79:$R$113,VLOOKUP(AW1067,Foundation_Calc!$I$2:$J$8,2,FALSE),0),
IF(AX1067="K",VLOOKUP(L1067,Foundation_Calc!$K$117:$R$151,VLOOKUP(AW1067,Foundation_Calc!$I$2:$J$8,2,FALSE),0),"")))</f>
        <v/>
      </c>
      <c r="AZ1067" s="10" t="str">
        <f>IF(K1067="","",
IF(AX1067="PT",VLOOKUP(K1067,Foundation_Calc!$K$79:$R$113,VLOOKUP(AW1067,Foundation_Calc!$I$2:$J$8,2,FALSE),0),
IF(AX1067="K",VLOOKUP(K1067,Foundation_Calc!$K$117:$R$151,VLOOKUP(AW1067,Foundation_Calc!$I$2:$J$8,2,FALSE),0),"")))</f>
        <v/>
      </c>
      <c r="BA1067" s="495" t="str">
        <f t="shared" si="137"/>
        <v/>
      </c>
      <c r="BB1067" s="495" t="str">
        <f t="shared" si="138"/>
        <v/>
      </c>
      <c r="BC1067" s="495" t="str">
        <f t="shared" si="139"/>
        <v/>
      </c>
      <c r="BD1067" s="513" t="str">
        <f>IF(AND(L1067="",H1067=""),"",
IF(H1067="",Pole_Calc!A$9,
IF(H1067="MP",Pole_Calc!A$10,
IF(H1067="AnMP",Pole_Calc!A$11,
IF(H1067="A",Pole_Calc!A$12,
IF(H1067="S/A",Pole_Calc!A$13,
IF(H1067="A/S",Pole_Calc!A$14,"Poner a mano")))))))</f>
        <v/>
      </c>
      <c r="BE1067" s="429" t="s">
        <v>118</v>
      </c>
      <c r="BF1067" s="290"/>
      <c r="BG1067" s="290"/>
      <c r="BH1067" s="290"/>
      <c r="BI1067" s="290"/>
    </row>
    <row r="1068" spans="1:61" ht="15.75" customHeight="1">
      <c r="A1068" s="514"/>
      <c r="B1068" s="450" t="s">
        <v>1493</v>
      </c>
      <c r="C1068" s="3">
        <f>+$C$1066+$G$1067</f>
        <v>56021.12000000001</v>
      </c>
      <c r="D1068" s="83"/>
      <c r="E1068" s="4"/>
      <c r="F1068" s="4">
        <v>0</v>
      </c>
      <c r="G1068" s="6"/>
      <c r="H1068" s="449" t="s">
        <v>171</v>
      </c>
      <c r="I1068" s="4"/>
      <c r="J1068" s="3"/>
      <c r="K1068" s="449"/>
      <c r="L1068" s="449" t="s">
        <v>153</v>
      </c>
      <c r="M1068" s="449" t="str">
        <f>IF(L1068="","",
IF(AX1068="PT",VLOOKUP(L1068,Foundation_Calc!$V$79:$X$113,VLOOKUP(AX1068,Foundation_Calc!$I$10:$J$13,2,FALSE),0),
IF(AX1068="K",VLOOKUP(L1068,Foundation_Calc!$V$117:$X$151,VLOOKUP(AX1068,Foundation_Calc!$I$10:$J$13,2,FALSE),0),"")))</f>
        <v>C3R</v>
      </c>
      <c r="N1068" s="449" t="s">
        <v>134</v>
      </c>
      <c r="O1068" s="449"/>
      <c r="P1068" s="449"/>
      <c r="Q1068" s="4"/>
      <c r="R1068" s="6"/>
      <c r="S1068" s="6"/>
      <c r="T1068" s="4">
        <v>35</v>
      </c>
      <c r="U1068" s="4"/>
      <c r="V1068" s="4"/>
      <c r="W1068" s="9">
        <v>1.4</v>
      </c>
      <c r="X1068" s="9"/>
      <c r="Y1068" s="9"/>
      <c r="Z1068" s="9"/>
      <c r="AA1068" s="9"/>
      <c r="AB1068" s="9"/>
      <c r="AC1068" s="449" t="str">
        <f t="shared" si="136"/>
        <v>PH</v>
      </c>
      <c r="AD1068" s="449"/>
      <c r="AE1068" s="449"/>
      <c r="AF1068" s="4"/>
      <c r="AG1068" s="83"/>
      <c r="AH1068" s="4"/>
      <c r="AI1068" s="4"/>
      <c r="AJ1068" s="449"/>
      <c r="AK1068" s="449"/>
      <c r="AL1068" s="449"/>
      <c r="AM1068" s="449" t="s">
        <v>552</v>
      </c>
      <c r="AN1068" s="10">
        <v>5.5</v>
      </c>
      <c r="AO1068" s="9"/>
      <c r="AP1068" s="9"/>
      <c r="AQ1068" s="9"/>
      <c r="AR1068" s="9"/>
      <c r="AS1068" s="9"/>
      <c r="AT1068" s="9">
        <f>+ab($T$1068,$T$1066,$T$1070,$G$1067,$G$1069, 1*$F$1068,1200)</f>
        <v>8.4365744899000195</v>
      </c>
      <c r="AU1068" s="428"/>
      <c r="AV1068" s="428"/>
      <c r="AW1068" s="449" t="str">
        <f>IF(C1068&gt;0,VLOOKUP(C1068,Foundation_Calc!$A$2:$C$13,3,1),
IF(J1068&gt;0,VLOOKUP(J1068,Foundation_Calc!$A$2:$C$13,3,1),""))</f>
        <v>Multi Soil</v>
      </c>
      <c r="AX1068" s="449" t="str">
        <f>IF(C1068&gt;0,VLOOKUP(C1068,Foundation_Calc!$E$35:$G$65,3,1),
IF(J1068&gt;0,VLOOKUP(J1068,Foundation_Calc!$E$35:$G$65,3,1),""))</f>
        <v>PT</v>
      </c>
      <c r="AY1068" s="10">
        <f>IF(L1068="","",
IF(AX1068="PT",VLOOKUP(L1068,Foundation_Calc!$K$79:$R$113,VLOOKUP(AW1068,Foundation_Calc!$I$2:$J$8,2,FALSE),0),
IF(AX1068="K",VLOOKUP(L1068,Foundation_Calc!$K$117:$R$151,VLOOKUP(AW1068,Foundation_Calc!$I$2:$J$8,2,FALSE),0),"")))</f>
        <v>3.5</v>
      </c>
      <c r="AZ1068" s="10" t="str">
        <f>IF(K1068="","",
IF(AX1068="PT",VLOOKUP(K1068,Foundation_Calc!$K$79:$R$113,VLOOKUP(AW1068,Foundation_Calc!$I$2:$J$8,2,FALSE),0),
IF(AX1068="K",VLOOKUP(K1068,Foundation_Calc!$K$117:$R$151,VLOOKUP(AW1068,Foundation_Calc!$I$2:$J$8,2,FALSE),0),"")))</f>
        <v/>
      </c>
      <c r="BA1068" s="495" t="str">
        <f t="shared" si="137"/>
        <v>ü</v>
      </c>
      <c r="BB1068" s="495" t="str">
        <f t="shared" si="138"/>
        <v/>
      </c>
      <c r="BC1068" s="495" t="str">
        <f t="shared" si="139"/>
        <v/>
      </c>
      <c r="BD1068" s="513" t="str">
        <f>IF(AND(L1068="",H1068=""),"",
IF(H1068="",Pole_Calc!A$9,
IF(H1068="MP",Pole_Calc!A$10,
IF(H1068="AnMP",Pole_Calc!A$11,
IF(H1068="A",Pole_Calc!A$12,
IF(H1068="S/A",Pole_Calc!A$13,
IF(H1068="A/S",Pole_Calc!A$14,"Poner a mano")))))))</f>
        <v>App.7-V11I-P9.5.1.2</v>
      </c>
      <c r="BE1068" s="429" t="s">
        <v>118</v>
      </c>
      <c r="BF1068" s="289"/>
      <c r="BG1068" s="289"/>
      <c r="BH1068" s="290"/>
      <c r="BI1068" s="289"/>
    </row>
    <row r="1069" spans="1:61" ht="15.75" customHeight="1">
      <c r="A1069" s="514"/>
      <c r="B1069" s="450"/>
      <c r="C1069" s="3"/>
      <c r="D1069" s="83"/>
      <c r="E1069" s="4"/>
      <c r="F1069" s="4"/>
      <c r="G1069" s="6">
        <v>62</v>
      </c>
      <c r="H1069" s="449"/>
      <c r="I1069" s="4">
        <f>SUM(G1069:G1089)</f>
        <v>682</v>
      </c>
      <c r="J1069" s="3"/>
      <c r="K1069" s="449"/>
      <c r="L1069" s="449"/>
      <c r="M1069" s="449" t="str">
        <f>IF(L1069="","",
IF(AX1069="PT",VLOOKUP(L1069,Foundation_Calc!$V$79:$X$113,VLOOKUP(AX1069,Foundation_Calc!$I$10:$J$13,2,FALSE),0),
IF(AX1069="K",VLOOKUP(L1069,Foundation_Calc!$V$117:$X$151,VLOOKUP(AX1069,Foundation_Calc!$I$10:$J$13,2,FALSE),0),"")))</f>
        <v/>
      </c>
      <c r="N1069" s="449"/>
      <c r="O1069" s="561"/>
      <c r="P1069" s="449"/>
      <c r="Q1069" s="4"/>
      <c r="R1069" s="6"/>
      <c r="S1069" s="6"/>
      <c r="T1069" s="4"/>
      <c r="U1069" s="4"/>
      <c r="V1069" s="4"/>
      <c r="W1069" s="9"/>
      <c r="X1069" s="9"/>
      <c r="Y1069" s="9"/>
      <c r="Z1069" s="9"/>
      <c r="AA1069" s="9"/>
      <c r="AB1069" s="9"/>
      <c r="AC1069" s="449" t="str">
        <f t="shared" si="136"/>
        <v/>
      </c>
      <c r="AD1069" s="449"/>
      <c r="AE1069" s="449"/>
      <c r="AF1069" s="4"/>
      <c r="AG1069" s="83"/>
      <c r="AH1069" s="4"/>
      <c r="AI1069" s="4"/>
      <c r="AJ1069" s="449"/>
      <c r="AK1069" s="449"/>
      <c r="AL1069" s="449"/>
      <c r="AM1069" s="449"/>
      <c r="AN1069" s="10"/>
      <c r="AO1069" s="9"/>
      <c r="AP1069" s="9"/>
      <c r="AQ1069" s="9">
        <f>+FL_2($T$1070,$T$1068,$G$1069,1200,9.28, 1*$F$1070)</f>
        <v>-0.45400350967741931</v>
      </c>
      <c r="AR1069" s="9"/>
      <c r="AS1069" s="9"/>
      <c r="AT1069" s="9"/>
      <c r="AU1069" s="428"/>
      <c r="AV1069" s="428"/>
      <c r="AW1069" s="449" t="str">
        <f>IF(C1069&gt;0,VLOOKUP(C1069,Foundation_Calc!$A$2:$C$13,3,1),
IF(J1069&gt;0,VLOOKUP(J1069,Foundation_Calc!$A$2:$C$13,3,1),""))</f>
        <v/>
      </c>
      <c r="AX1069" s="449" t="str">
        <f>IF(C1069&gt;0,VLOOKUP(C1069,Foundation_Calc!$E$35:$G$65,3,1),
IF(J1069&gt;0,VLOOKUP(J1069,Foundation_Calc!$E$35:$G$65,3,1),""))</f>
        <v/>
      </c>
      <c r="AY1069" s="10" t="str">
        <f>IF(L1069="","",
IF(AX1069="PT",VLOOKUP(L1069,Foundation_Calc!$K$79:$R$113,VLOOKUP(AW1069,Foundation_Calc!$I$2:$J$8,2,FALSE),0),
IF(AX1069="K",VLOOKUP(L1069,Foundation_Calc!$K$117:$R$151,VLOOKUP(AW1069,Foundation_Calc!$I$2:$J$8,2,FALSE),0),"")))</f>
        <v/>
      </c>
      <c r="AZ1069" s="10" t="str">
        <f>IF(K1069="","",
IF(AX1069="PT",VLOOKUP(K1069,Foundation_Calc!$K$79:$R$113,VLOOKUP(AW1069,Foundation_Calc!$I$2:$J$8,2,FALSE),0),
IF(AX1069="K",VLOOKUP(K1069,Foundation_Calc!$K$117:$R$151,VLOOKUP(AW1069,Foundation_Calc!$I$2:$J$8,2,FALSE),0),"")))</f>
        <v/>
      </c>
      <c r="BA1069" s="495" t="str">
        <f t="shared" si="137"/>
        <v/>
      </c>
      <c r="BB1069" s="495" t="str">
        <f t="shared" si="138"/>
        <v/>
      </c>
      <c r="BC1069" s="495" t="str">
        <f t="shared" si="139"/>
        <v/>
      </c>
      <c r="BD1069" s="513" t="str">
        <f>IF(AND(L1069="",H1069=""),"",
IF(H1069="",Pole_Calc!A$9,
IF(H1069="MP",Pole_Calc!A$10,
IF(H1069="AnMP",Pole_Calc!A$11,
IF(H1069="A",Pole_Calc!A$12,
IF(H1069="S/A",Pole_Calc!A$13,
IF(H1069="A/S",Pole_Calc!A$14,"Poner a mano")))))))</f>
        <v/>
      </c>
      <c r="BE1069" s="429" t="s">
        <v>118</v>
      </c>
      <c r="BF1069" s="290"/>
      <c r="BG1069" s="290"/>
      <c r="BH1069" s="290"/>
      <c r="BI1069" s="290"/>
    </row>
    <row r="1070" spans="1:61" ht="15.75" customHeight="1">
      <c r="A1070" s="514"/>
      <c r="B1070" s="450" t="s">
        <v>1494</v>
      </c>
      <c r="C1070" s="3">
        <f>+$C$1068+$G$1069</f>
        <v>56083.12000000001</v>
      </c>
      <c r="D1070" s="83"/>
      <c r="E1070" s="4"/>
      <c r="F1070" s="4">
        <v>0</v>
      </c>
      <c r="G1070" s="6"/>
      <c r="H1070" s="449" t="s">
        <v>168</v>
      </c>
      <c r="I1070" s="4"/>
      <c r="J1070" s="3"/>
      <c r="K1070" s="449"/>
      <c r="L1070" s="449" t="s">
        <v>158</v>
      </c>
      <c r="M1070" s="449" t="str">
        <f>IF(L1070="","",
IF(AX1070="PT",VLOOKUP(L1070,Foundation_Calc!$V$79:$X$113,VLOOKUP(AX1070,Foundation_Calc!$I$10:$J$13,2,FALSE),0),
IF(AX1070="K",VLOOKUP(L1070,Foundation_Calc!$V$117:$X$151,VLOOKUP(AX1070,Foundation_Calc!$I$10:$J$13,2,FALSE),0),"")))</f>
        <v>C4R</v>
      </c>
      <c r="N1070" s="449" t="s">
        <v>124</v>
      </c>
      <c r="O1070" s="449"/>
      <c r="P1070" s="449"/>
      <c r="Q1070" s="4"/>
      <c r="R1070" s="6"/>
      <c r="S1070" s="6"/>
      <c r="T1070" s="4">
        <v>-35</v>
      </c>
      <c r="U1070" s="4"/>
      <c r="V1070" s="4"/>
      <c r="W1070" s="9">
        <v>1.4</v>
      </c>
      <c r="X1070" s="9"/>
      <c r="Y1070" s="9"/>
      <c r="Z1070" s="9"/>
      <c r="AA1070" s="9"/>
      <c r="AB1070" s="9"/>
      <c r="AC1070" s="449" t="str">
        <f t="shared" si="136"/>
        <v>PH</v>
      </c>
      <c r="AD1070" s="449"/>
      <c r="AE1070" s="449"/>
      <c r="AF1070" s="4"/>
      <c r="AG1070" s="83"/>
      <c r="AH1070" s="4"/>
      <c r="AI1070" s="4"/>
      <c r="AJ1070" s="449"/>
      <c r="AK1070" s="449"/>
      <c r="AL1070" s="449"/>
      <c r="AM1070" s="449" t="s">
        <v>552</v>
      </c>
      <c r="AN1070" s="10">
        <v>5.5</v>
      </c>
      <c r="AO1070" s="9"/>
      <c r="AP1070" s="9"/>
      <c r="AQ1070" s="9"/>
      <c r="AR1070" s="9"/>
      <c r="AS1070" s="9"/>
      <c r="AT1070" s="9">
        <f>+ab($T$1070,$T$1068,$T$1072,$G$1069,$G$1071, 1*$F$1070,1200)</f>
        <v>-8.4366201521118445</v>
      </c>
      <c r="AU1070" s="428"/>
      <c r="AV1070" s="428"/>
      <c r="AW1070" s="449" t="str">
        <f>IF(C1070&gt;0,VLOOKUP(C1070,Foundation_Calc!$A$2:$C$13,3,1),
IF(J1070&gt;0,VLOOKUP(J1070,Foundation_Calc!$A$2:$C$13,3,1),""))</f>
        <v>Multi Soil</v>
      </c>
      <c r="AX1070" s="449" t="str">
        <f>IF(C1070&gt;0,VLOOKUP(C1070,Foundation_Calc!$E$35:$G$65,3,1),
IF(J1070&gt;0,VLOOKUP(J1070,Foundation_Calc!$E$35:$G$65,3,1),""))</f>
        <v>PT</v>
      </c>
      <c r="AY1070" s="10">
        <f>IF(L1070="","",
IF(AX1070="PT",VLOOKUP(L1070,Foundation_Calc!$K$79:$R$113,VLOOKUP(AW1070,Foundation_Calc!$I$2:$J$8,2,FALSE),0),
IF(AX1070="K",VLOOKUP(L1070,Foundation_Calc!$K$117:$R$151,VLOOKUP(AW1070,Foundation_Calc!$I$2:$J$8,2,FALSE),0),"")))</f>
        <v>3.5</v>
      </c>
      <c r="AZ1070" s="10" t="str">
        <f>IF(K1070="","",
IF(AX1070="PT",VLOOKUP(K1070,Foundation_Calc!$K$79:$R$113,VLOOKUP(AW1070,Foundation_Calc!$I$2:$J$8,2,FALSE),0),
IF(AX1070="K",VLOOKUP(K1070,Foundation_Calc!$K$117:$R$151,VLOOKUP(AW1070,Foundation_Calc!$I$2:$J$8,2,FALSE),0),"")))</f>
        <v/>
      </c>
      <c r="BA1070" s="495" t="str">
        <f t="shared" si="137"/>
        <v>ü</v>
      </c>
      <c r="BB1070" s="495" t="str">
        <f t="shared" si="138"/>
        <v/>
      </c>
      <c r="BC1070" s="495" t="str">
        <f t="shared" si="139"/>
        <v/>
      </c>
      <c r="BD1070" s="513" t="str">
        <f>IF(AND(L1070="",H1070=""),"",
IF(H1070="",Pole_Calc!A$9,
IF(H1070="MP",Pole_Calc!A$10,
IF(H1070="AnMP",Pole_Calc!A$11,
IF(H1070="A",Pole_Calc!A$12,
IF(H1070="S/A",Pole_Calc!A$13,
IF(H1070="A/S",Pole_Calc!A$14,"Poner a mano")))))))</f>
        <v>App.7-V11I-P9.5.1.3</v>
      </c>
      <c r="BE1070" s="429" t="s">
        <v>118</v>
      </c>
      <c r="BF1070" s="289"/>
      <c r="BG1070" s="289"/>
      <c r="BH1070" s="290"/>
      <c r="BI1070" s="289"/>
    </row>
    <row r="1071" spans="1:61" ht="15.75" customHeight="1">
      <c r="A1071" s="518"/>
      <c r="B1071" s="450"/>
      <c r="C1071" s="3"/>
      <c r="D1071" s="83"/>
      <c r="E1071" s="4"/>
      <c r="F1071" s="4"/>
      <c r="G1071" s="6">
        <v>62</v>
      </c>
      <c r="H1071" s="449"/>
      <c r="I1071" s="4"/>
      <c r="J1071" s="3">
        <f>C1070+7.5</f>
        <v>56090.62000000001</v>
      </c>
      <c r="K1071" s="449" t="s">
        <v>166</v>
      </c>
      <c r="L1071" s="449"/>
      <c r="M1071" s="449" t="str">
        <f>IF(L1071="","",
IF(AX1071="PT",VLOOKUP(L1071,Foundation_Calc!$V$79:$X$113,VLOOKUP(AX1071,Foundation_Calc!$I$10:$J$13,2,FALSE),0),
IF(AX1071="K",VLOOKUP(L1071,Foundation_Calc!$V$117:$X$151,VLOOKUP(AX1071,Foundation_Calc!$I$10:$J$13,2,FALSE),0),"")))</f>
        <v/>
      </c>
      <c r="N1071" s="449"/>
      <c r="O1071" s="449"/>
      <c r="P1071" s="449"/>
      <c r="Q1071" s="4"/>
      <c r="R1071" s="6"/>
      <c r="S1071" s="6"/>
      <c r="T1071" s="4"/>
      <c r="U1071" s="4"/>
      <c r="V1071" s="4"/>
      <c r="W1071" s="9"/>
      <c r="X1071" s="9"/>
      <c r="Y1071" s="9"/>
      <c r="Z1071" s="9"/>
      <c r="AA1071" s="9"/>
      <c r="AB1071" s="9"/>
      <c r="AC1071" s="449" t="str">
        <f t="shared" si="136"/>
        <v/>
      </c>
      <c r="AD1071" s="449"/>
      <c r="AE1071" s="449"/>
      <c r="AF1071" s="4"/>
      <c r="AG1071" s="83"/>
      <c r="AH1071" s="4"/>
      <c r="AI1071" s="4"/>
      <c r="AJ1071" s="449"/>
      <c r="AK1071" s="449"/>
      <c r="AL1071" s="449"/>
      <c r="AM1071" s="449"/>
      <c r="AN1071" s="10"/>
      <c r="AO1071" s="9"/>
      <c r="AP1071" s="9"/>
      <c r="AQ1071" s="9">
        <f>+FL_1($T$1072,$T$1070,$G$1071,1200,9.28, 1*$F$1072)</f>
        <v>0.45400350967741931</v>
      </c>
      <c r="AR1071" s="9"/>
      <c r="AS1071" s="9"/>
      <c r="AT1071" s="9"/>
      <c r="AU1071" s="428"/>
      <c r="AV1071" s="428"/>
      <c r="AW1071" s="449" t="str">
        <f>IF(C1071&gt;0,VLOOKUP(C1071,Foundation_Calc!$A$2:$C$13,3,1),
IF(J1071&gt;0,VLOOKUP(J1071,Foundation_Calc!$A$2:$C$13,3,1),""))</f>
        <v>Multi Soil</v>
      </c>
      <c r="AX1071" s="449" t="str">
        <f>IF(C1071&gt;0,VLOOKUP(C1071,Foundation_Calc!$E$35:$G$65,3,1),
IF(J1071&gt;0,VLOOKUP(J1071,Foundation_Calc!$E$35:$G$65,3,1),""))</f>
        <v>PT</v>
      </c>
      <c r="AY1071" s="10" t="str">
        <f>IF(L1071="","",
IF(AX1071="PT",VLOOKUP(L1071,Foundation_Calc!$K$79:$R$113,VLOOKUP(AW1071,Foundation_Calc!$I$2:$J$8,2,FALSE),0),
IF(AX1071="K",VLOOKUP(L1071,Foundation_Calc!$K$117:$R$151,VLOOKUP(AW1071,Foundation_Calc!$I$2:$J$8,2,FALSE),0),"")))</f>
        <v/>
      </c>
      <c r="AZ1071" s="10">
        <f>IF(K1071="","",
IF(AX1071="PT",VLOOKUP(K1071,Foundation_Calc!$K$79:$R$113,VLOOKUP(AW1071,Foundation_Calc!$I$2:$J$8,2,FALSE),0),
IF(AX1071="K",VLOOKUP(K1071,Foundation_Calc!$K$117:$R$151,VLOOKUP(AW1071,Foundation_Calc!$I$2:$J$8,2,FALSE),0),"")))</f>
        <v>2.8</v>
      </c>
      <c r="BA1071" s="495" t="str">
        <f t="shared" si="137"/>
        <v/>
      </c>
      <c r="BB1071" s="495" t="str">
        <f t="shared" si="138"/>
        <v>ü</v>
      </c>
      <c r="BC1071" s="495" t="str">
        <f t="shared" si="139"/>
        <v/>
      </c>
      <c r="BD1071" s="513" t="str">
        <f>IF(AND(L1071="",H1071=""),"",
IF(H1071="",Pole_Calc!A$9,
IF(H1071="MP",Pole_Calc!A$10,
IF(H1071="AnMP",Pole_Calc!A$11,
IF(H1071="A",Pole_Calc!A$12,
IF(H1071="S/A",Pole_Calc!A$13,
IF(H1071="A/S",Pole_Calc!A$14,"Poner a mano")))))))</f>
        <v/>
      </c>
      <c r="BE1071" s="429" t="s">
        <v>118</v>
      </c>
      <c r="BF1071" s="290"/>
      <c r="BG1071" s="290"/>
      <c r="BH1071" s="290"/>
      <c r="BI1071" s="290"/>
    </row>
    <row r="1072" spans="1:61" ht="15.75" customHeight="1">
      <c r="A1072" s="514"/>
      <c r="B1072" s="450" t="s">
        <v>1495</v>
      </c>
      <c r="C1072" s="3">
        <f>+$C$1070+$G$1071</f>
        <v>56145.12000000001</v>
      </c>
      <c r="D1072" s="83"/>
      <c r="E1072" s="4"/>
      <c r="F1072" s="4">
        <v>0</v>
      </c>
      <c r="G1072" s="6"/>
      <c r="H1072" s="449"/>
      <c r="I1072" s="4"/>
      <c r="J1072" s="3"/>
      <c r="K1072" s="449"/>
      <c r="L1072" s="449" t="s">
        <v>153</v>
      </c>
      <c r="M1072" s="449" t="str">
        <f>IF(L1072="","",
IF(AX1072="PT",VLOOKUP(L1072,Foundation_Calc!$V$79:$X$113,VLOOKUP(AX1072,Foundation_Calc!$I$10:$J$13,2,FALSE),0),
IF(AX1072="K",VLOOKUP(L1072,Foundation_Calc!$V$117:$X$151,VLOOKUP(AX1072,Foundation_Calc!$I$10:$J$13,2,FALSE),0),"")))</f>
        <v>C3R</v>
      </c>
      <c r="N1072" s="449" t="s">
        <v>134</v>
      </c>
      <c r="O1072" s="449"/>
      <c r="P1072" s="449"/>
      <c r="Q1072" s="4"/>
      <c r="R1072" s="6"/>
      <c r="S1072" s="6"/>
      <c r="T1072" s="4">
        <v>35</v>
      </c>
      <c r="U1072" s="4"/>
      <c r="V1072" s="4"/>
      <c r="W1072" s="9">
        <v>1.4</v>
      </c>
      <c r="X1072" s="9"/>
      <c r="Y1072" s="9"/>
      <c r="Z1072" s="9"/>
      <c r="AA1072" s="9"/>
      <c r="AB1072" s="9"/>
      <c r="AC1072" s="449" t="str">
        <f t="shared" si="136"/>
        <v>PH</v>
      </c>
      <c r="AD1072" s="449"/>
      <c r="AE1072" s="449"/>
      <c r="AF1072" s="4"/>
      <c r="AG1072" s="83"/>
      <c r="AH1072" s="4"/>
      <c r="AI1072" s="4"/>
      <c r="AJ1072" s="449"/>
      <c r="AK1072" s="449"/>
      <c r="AL1072" s="449"/>
      <c r="AM1072" s="449" t="s">
        <v>552</v>
      </c>
      <c r="AN1072" s="10">
        <v>5.5</v>
      </c>
      <c r="AO1072" s="9"/>
      <c r="AP1072" s="9"/>
      <c r="AQ1072" s="9"/>
      <c r="AR1072" s="9"/>
      <c r="AS1072" s="9"/>
      <c r="AT1072" s="9">
        <f>+ab($T$1072,$T$1070,$T$1074,$G$1071,$G$1073, 1*$F$1072,1200)</f>
        <v>8.4365744899000195</v>
      </c>
      <c r="AU1072" s="428"/>
      <c r="AV1072" s="428"/>
      <c r="AW1072" s="449" t="str">
        <f>IF(C1072&gt;0,VLOOKUP(C1072,Foundation_Calc!$A$2:$C$13,3,1),
IF(J1072&gt;0,VLOOKUP(J1072,Foundation_Calc!$A$2:$C$13,3,1),""))</f>
        <v>Multi Soil</v>
      </c>
      <c r="AX1072" s="449" t="str">
        <f>IF(C1072&gt;0,VLOOKUP(C1072,Foundation_Calc!$E$35:$G$65,3,1),
IF(J1072&gt;0,VLOOKUP(J1072,Foundation_Calc!$E$35:$G$65,3,1),""))</f>
        <v>PT</v>
      </c>
      <c r="AY1072" s="10">
        <f>IF(L1072="","",
IF(AX1072="PT",VLOOKUP(L1072,Foundation_Calc!$K$79:$R$113,VLOOKUP(AW1072,Foundation_Calc!$I$2:$J$8,2,FALSE),0),
IF(AX1072="K",VLOOKUP(L1072,Foundation_Calc!$K$117:$R$151,VLOOKUP(AW1072,Foundation_Calc!$I$2:$J$8,2,FALSE),0),"")))</f>
        <v>3.5</v>
      </c>
      <c r="AZ1072" s="10" t="str">
        <f>IF(K1072="","",
IF(AX1072="PT",VLOOKUP(K1072,Foundation_Calc!$K$79:$R$113,VLOOKUP(AW1072,Foundation_Calc!$I$2:$J$8,2,FALSE),0),
IF(AX1072="K",VLOOKUP(K1072,Foundation_Calc!$K$117:$R$151,VLOOKUP(AW1072,Foundation_Calc!$I$2:$J$8,2,FALSE),0),"")))</f>
        <v/>
      </c>
      <c r="BA1072" s="495" t="str">
        <f t="shared" si="137"/>
        <v>ü</v>
      </c>
      <c r="BB1072" s="495" t="str">
        <f t="shared" si="138"/>
        <v/>
      </c>
      <c r="BC1072" s="495" t="str">
        <f t="shared" si="139"/>
        <v/>
      </c>
      <c r="BD1072" s="513" t="str">
        <f>IF(AND(L1072="",H1072=""),"",
IF(H1072="",Pole_Calc!A$9,
IF(H1072="MP",Pole_Calc!A$10,
IF(H1072="AnMP",Pole_Calc!A$11,
IF(H1072="A",Pole_Calc!A$12,
IF(H1072="S/A",Pole_Calc!A$13,
IF(H1072="A/S",Pole_Calc!A$14,"Poner a mano")))))))</f>
        <v>App.7-V11I-P9.5.1.1</v>
      </c>
      <c r="BE1072" s="429" t="s">
        <v>118</v>
      </c>
      <c r="BF1072" s="289"/>
      <c r="BG1072" s="289"/>
      <c r="BH1072" s="290"/>
      <c r="BI1072" s="289"/>
    </row>
    <row r="1073" spans="1:61" ht="15.75" customHeight="1">
      <c r="A1073" s="514"/>
      <c r="B1073" s="450"/>
      <c r="C1073" s="3"/>
      <c r="D1073" s="83"/>
      <c r="E1073" s="4"/>
      <c r="F1073" s="4"/>
      <c r="G1073" s="6">
        <v>62</v>
      </c>
      <c r="H1073" s="449"/>
      <c r="I1073" s="4"/>
      <c r="J1073" s="3"/>
      <c r="K1073" s="449"/>
      <c r="L1073" s="449"/>
      <c r="M1073" s="449" t="str">
        <f>IF(L1073="","",
IF(AX1073="PT",VLOOKUP(L1073,Foundation_Calc!$V$79:$X$113,VLOOKUP(AX1073,Foundation_Calc!$I$10:$J$13,2,FALSE),0),
IF(AX1073="K",VLOOKUP(L1073,Foundation_Calc!$V$117:$X$151,VLOOKUP(AX1073,Foundation_Calc!$I$10:$J$13,2,FALSE),0),"")))</f>
        <v/>
      </c>
      <c r="N1073" s="449"/>
      <c r="O1073" s="449"/>
      <c r="P1073" s="449"/>
      <c r="Q1073" s="4"/>
      <c r="R1073" s="6"/>
      <c r="S1073" s="6"/>
      <c r="T1073" s="4"/>
      <c r="U1073" s="4"/>
      <c r="V1073" s="4"/>
      <c r="W1073" s="9"/>
      <c r="X1073" s="9"/>
      <c r="Y1073" s="9"/>
      <c r="Z1073" s="9"/>
      <c r="AA1073" s="9"/>
      <c r="AB1073" s="9"/>
      <c r="AC1073" s="449" t="str">
        <f t="shared" si="136"/>
        <v/>
      </c>
      <c r="AD1073" s="449"/>
      <c r="AE1073" s="449"/>
      <c r="AF1073" s="4"/>
      <c r="AG1073" s="83"/>
      <c r="AH1073" s="4"/>
      <c r="AI1073" s="4"/>
      <c r="AJ1073" s="449"/>
      <c r="AK1073" s="449"/>
      <c r="AL1073" s="449"/>
      <c r="AM1073" s="449"/>
      <c r="AN1073" s="10"/>
      <c r="AO1073" s="9"/>
      <c r="AP1073" s="9"/>
      <c r="AQ1073" s="9">
        <f>+FL_2($T$1074,$T$1072,$G$1073,1200,9.28, 1*$F$1074)</f>
        <v>-0.45400350967741931</v>
      </c>
      <c r="AR1073" s="9"/>
      <c r="AS1073" s="9"/>
      <c r="AT1073" s="9"/>
      <c r="AU1073" s="428"/>
      <c r="AV1073" s="428"/>
      <c r="AW1073" s="449" t="str">
        <f>IF(C1073&gt;0,VLOOKUP(C1073,Foundation_Calc!$A$2:$C$13,3,1),
IF(J1073&gt;0,VLOOKUP(J1073,Foundation_Calc!$A$2:$C$13,3,1),""))</f>
        <v/>
      </c>
      <c r="AX1073" s="449" t="str">
        <f>IF(C1073&gt;0,VLOOKUP(C1073,Foundation_Calc!$E$35:$G$65,3,1),
IF(J1073&gt;0,VLOOKUP(J1073,Foundation_Calc!$E$35:$G$65,3,1),""))</f>
        <v/>
      </c>
      <c r="AY1073" s="10" t="str">
        <f>IF(L1073="","",
IF(AX1073="PT",VLOOKUP(L1073,Foundation_Calc!$K$79:$R$113,VLOOKUP(AW1073,Foundation_Calc!$I$2:$J$8,2,FALSE),0),
IF(AX1073="K",VLOOKUP(L1073,Foundation_Calc!$K$117:$R$151,VLOOKUP(AW1073,Foundation_Calc!$I$2:$J$8,2,FALSE),0),"")))</f>
        <v/>
      </c>
      <c r="AZ1073" s="10" t="str">
        <f>IF(K1073="","",
IF(AX1073="PT",VLOOKUP(K1073,Foundation_Calc!$K$79:$R$113,VLOOKUP(AW1073,Foundation_Calc!$I$2:$J$8,2,FALSE),0),
IF(AX1073="K",VLOOKUP(K1073,Foundation_Calc!$K$117:$R$151,VLOOKUP(AW1073,Foundation_Calc!$I$2:$J$8,2,FALSE),0),"")))</f>
        <v/>
      </c>
      <c r="BA1073" s="495" t="str">
        <f t="shared" si="137"/>
        <v/>
      </c>
      <c r="BB1073" s="495" t="str">
        <f t="shared" si="138"/>
        <v/>
      </c>
      <c r="BC1073" s="495" t="str">
        <f t="shared" si="139"/>
        <v/>
      </c>
      <c r="BD1073" s="513" t="str">
        <f>IF(AND(L1073="",H1073=""),"",
IF(H1073="",Pole_Calc!A$9,
IF(H1073="MP",Pole_Calc!A$10,
IF(H1073="AnMP",Pole_Calc!A$11,
IF(H1073="A",Pole_Calc!A$12,
IF(H1073="S/A",Pole_Calc!A$13,
IF(H1073="A/S",Pole_Calc!A$14,"Poner a mano")))))))</f>
        <v/>
      </c>
      <c r="BE1073" s="429" t="s">
        <v>118</v>
      </c>
      <c r="BF1073" s="290"/>
      <c r="BG1073" s="290"/>
      <c r="BH1073" s="290"/>
      <c r="BI1073" s="290"/>
    </row>
    <row r="1074" spans="1:61" ht="15.75" customHeight="1">
      <c r="A1074" s="514"/>
      <c r="B1074" s="450" t="s">
        <v>1496</v>
      </c>
      <c r="C1074" s="3">
        <f>+$C$1072+$G$1073</f>
        <v>56207.12000000001</v>
      </c>
      <c r="D1074" s="83"/>
      <c r="E1074" s="4"/>
      <c r="F1074" s="4">
        <v>0</v>
      </c>
      <c r="G1074" s="6"/>
      <c r="H1074" s="449"/>
      <c r="I1074" s="4"/>
      <c r="J1074" s="3"/>
      <c r="K1074" s="449"/>
      <c r="L1074" s="449" t="s">
        <v>153</v>
      </c>
      <c r="M1074" s="449" t="str">
        <f>IF(L1074="","",
IF(AX1074="PT",VLOOKUP(L1074,Foundation_Calc!$V$79:$X$113,VLOOKUP(AX1074,Foundation_Calc!$I$10:$J$13,2,FALSE),0),
IF(AX1074="K",VLOOKUP(L1074,Foundation_Calc!$V$117:$X$151,VLOOKUP(AX1074,Foundation_Calc!$I$10:$J$13,2,FALSE),0),"")))</f>
        <v>C3R</v>
      </c>
      <c r="N1074" s="449" t="s">
        <v>124</v>
      </c>
      <c r="O1074" s="449"/>
      <c r="P1074" s="449"/>
      <c r="Q1074" s="4"/>
      <c r="R1074" s="6"/>
      <c r="S1074" s="6"/>
      <c r="T1074" s="4">
        <v>-35</v>
      </c>
      <c r="U1074" s="4"/>
      <c r="V1074" s="4"/>
      <c r="W1074" s="9">
        <v>1.4</v>
      </c>
      <c r="X1074" s="9"/>
      <c r="Y1074" s="9"/>
      <c r="Z1074" s="9"/>
      <c r="AA1074" s="9"/>
      <c r="AB1074" s="9"/>
      <c r="AC1074" s="449" t="str">
        <f t="shared" si="136"/>
        <v>PH</v>
      </c>
      <c r="AD1074" s="449"/>
      <c r="AE1074" s="449"/>
      <c r="AF1074" s="4"/>
      <c r="AG1074" s="83"/>
      <c r="AH1074" s="4"/>
      <c r="AI1074" s="4"/>
      <c r="AJ1074" s="449"/>
      <c r="AK1074" s="449"/>
      <c r="AL1074" s="449"/>
      <c r="AM1074" s="449" t="s">
        <v>552</v>
      </c>
      <c r="AN1074" s="10">
        <v>5.5</v>
      </c>
      <c r="AO1074" s="9"/>
      <c r="AP1074" s="9"/>
      <c r="AQ1074" s="9"/>
      <c r="AR1074" s="9"/>
      <c r="AS1074" s="9"/>
      <c r="AT1074" s="9">
        <f>+ab($T$1074,$T$1072,$T$1076,$G$1073,$G$1075, 1*$F$1074,1200)</f>
        <v>-8.4366201521118445</v>
      </c>
      <c r="AU1074" s="428"/>
      <c r="AV1074" s="428"/>
      <c r="AW1074" s="449" t="str">
        <f>IF(C1074&gt;0,VLOOKUP(C1074,Foundation_Calc!$A$2:$C$13,3,1),
IF(J1074&gt;0,VLOOKUP(J1074,Foundation_Calc!$A$2:$C$13,3,1),""))</f>
        <v>Multi Soil</v>
      </c>
      <c r="AX1074" s="449" t="str">
        <f>IF(C1074&gt;0,VLOOKUP(C1074,Foundation_Calc!$E$35:$G$65,3,1),
IF(J1074&gt;0,VLOOKUP(J1074,Foundation_Calc!$E$35:$G$65,3,1),""))</f>
        <v>PT</v>
      </c>
      <c r="AY1074" s="10">
        <f>IF(L1074="","",
IF(AX1074="PT",VLOOKUP(L1074,Foundation_Calc!$K$79:$R$113,VLOOKUP(AW1074,Foundation_Calc!$I$2:$J$8,2,FALSE),0),
IF(AX1074="K",VLOOKUP(L1074,Foundation_Calc!$K$117:$R$151,VLOOKUP(AW1074,Foundation_Calc!$I$2:$J$8,2,FALSE),0),"")))</f>
        <v>3.5</v>
      </c>
      <c r="AZ1074" s="10" t="str">
        <f>IF(K1074="","",
IF(AX1074="PT",VLOOKUP(K1074,Foundation_Calc!$K$79:$R$113,VLOOKUP(AW1074,Foundation_Calc!$I$2:$J$8,2,FALSE),0),
IF(AX1074="K",VLOOKUP(K1074,Foundation_Calc!$K$117:$R$151,VLOOKUP(AW1074,Foundation_Calc!$I$2:$J$8,2,FALSE),0),"")))</f>
        <v/>
      </c>
      <c r="BA1074" s="495" t="str">
        <f t="shared" si="137"/>
        <v>ü</v>
      </c>
      <c r="BB1074" s="495" t="str">
        <f t="shared" si="138"/>
        <v/>
      </c>
      <c r="BC1074" s="495" t="str">
        <f t="shared" si="139"/>
        <v/>
      </c>
      <c r="BD1074" s="513" t="str">
        <f>IF(AND(L1074="",H1074=""),"",
IF(H1074="",Pole_Calc!A$9,
IF(H1074="MP",Pole_Calc!A$10,
IF(H1074="AnMP",Pole_Calc!A$11,
IF(H1074="A",Pole_Calc!A$12,
IF(H1074="S/A",Pole_Calc!A$13,
IF(H1074="A/S",Pole_Calc!A$14,"Poner a mano")))))))</f>
        <v>App.7-V11I-P9.5.1.1</v>
      </c>
      <c r="BE1074" s="429" t="s">
        <v>118</v>
      </c>
      <c r="BF1074" s="289"/>
      <c r="BG1074" s="289"/>
      <c r="BH1074" s="290"/>
      <c r="BI1074" s="289"/>
    </row>
    <row r="1075" spans="1:61" ht="15.75" customHeight="1">
      <c r="A1075" s="514"/>
      <c r="B1075" s="450"/>
      <c r="C1075" s="3"/>
      <c r="D1075" s="83"/>
      <c r="E1075" s="4"/>
      <c r="F1075" s="4"/>
      <c r="G1075" s="6">
        <v>62</v>
      </c>
      <c r="H1075" s="449"/>
      <c r="I1075" s="4"/>
      <c r="J1075" s="3"/>
      <c r="K1075" s="449"/>
      <c r="L1075" s="449"/>
      <c r="M1075" s="449" t="str">
        <f>IF(L1075="","",
IF(AX1075="PT",VLOOKUP(L1075,Foundation_Calc!$V$79:$X$113,VLOOKUP(AX1075,Foundation_Calc!$I$10:$J$13,2,FALSE),0),
IF(AX1075="K",VLOOKUP(L1075,Foundation_Calc!$V$117:$X$151,VLOOKUP(AX1075,Foundation_Calc!$I$10:$J$13,2,FALSE),0),"")))</f>
        <v/>
      </c>
      <c r="N1075" s="449"/>
      <c r="O1075" s="561"/>
      <c r="P1075" s="449"/>
      <c r="Q1075" s="4"/>
      <c r="R1075" s="6"/>
      <c r="S1075" s="6"/>
      <c r="T1075" s="4"/>
      <c r="U1075" s="4"/>
      <c r="V1075" s="4"/>
      <c r="W1075" s="9"/>
      <c r="X1075" s="9"/>
      <c r="Y1075" s="9"/>
      <c r="Z1075" s="9"/>
      <c r="AA1075" s="9"/>
      <c r="AB1075" s="9"/>
      <c r="AC1075" s="449" t="str">
        <f t="shared" si="136"/>
        <v/>
      </c>
      <c r="AD1075" s="449"/>
      <c r="AE1075" s="449"/>
      <c r="AF1075" s="4"/>
      <c r="AG1075" s="83"/>
      <c r="AH1075" s="4"/>
      <c r="AI1075" s="4"/>
      <c r="AJ1075" s="449"/>
      <c r="AK1075" s="449"/>
      <c r="AL1075" s="449"/>
      <c r="AM1075" s="449"/>
      <c r="AN1075" s="10"/>
      <c r="AO1075" s="9"/>
      <c r="AP1075" s="9"/>
      <c r="AQ1075" s="9">
        <f>+FL_1($T$1076,$T$1074,$G$1075,1200,9.28, 1*$F$1076)</f>
        <v>0.45400350967741931</v>
      </c>
      <c r="AR1075" s="9"/>
      <c r="AS1075" s="9"/>
      <c r="AT1075" s="9"/>
      <c r="AU1075" s="428"/>
      <c r="AV1075" s="428"/>
      <c r="AW1075" s="449" t="str">
        <f>IF(C1075&gt;0,VLOOKUP(C1075,Foundation_Calc!$A$2:$C$13,3,1),
IF(J1075&gt;0,VLOOKUP(J1075,Foundation_Calc!$A$2:$C$13,3,1),""))</f>
        <v/>
      </c>
      <c r="AX1075" s="449" t="str">
        <f>IF(C1075&gt;0,VLOOKUP(C1075,Foundation_Calc!$E$35:$G$65,3,1),
IF(J1075&gt;0,VLOOKUP(J1075,Foundation_Calc!$E$35:$G$65,3,1),""))</f>
        <v/>
      </c>
      <c r="AY1075" s="10" t="str">
        <f>IF(L1075="","",
IF(AX1075="PT",VLOOKUP(L1075,Foundation_Calc!$K$79:$R$113,VLOOKUP(AW1075,Foundation_Calc!$I$2:$J$8,2,FALSE),0),
IF(AX1075="K",VLOOKUP(L1075,Foundation_Calc!$K$117:$R$151,VLOOKUP(AW1075,Foundation_Calc!$I$2:$J$8,2,FALSE),0),"")))</f>
        <v/>
      </c>
      <c r="AZ1075" s="10" t="str">
        <f>IF(K1075="","",
IF(AX1075="PT",VLOOKUP(K1075,Foundation_Calc!$K$79:$R$113,VLOOKUP(AW1075,Foundation_Calc!$I$2:$J$8,2,FALSE),0),
IF(AX1075="K",VLOOKUP(K1075,Foundation_Calc!$K$117:$R$151,VLOOKUP(AW1075,Foundation_Calc!$I$2:$J$8,2,FALSE),0),"")))</f>
        <v/>
      </c>
      <c r="BA1075" s="495" t="str">
        <f t="shared" si="137"/>
        <v/>
      </c>
      <c r="BB1075" s="495" t="str">
        <f t="shared" si="138"/>
        <v/>
      </c>
      <c r="BC1075" s="495" t="str">
        <f t="shared" si="139"/>
        <v/>
      </c>
      <c r="BD1075" s="513" t="str">
        <f>IF(AND(L1075="",H1075=""),"",
IF(H1075="",Pole_Calc!A$9,
IF(H1075="MP",Pole_Calc!A$10,
IF(H1075="AnMP",Pole_Calc!A$11,
IF(H1075="A",Pole_Calc!A$12,
IF(H1075="S/A",Pole_Calc!A$13,
IF(H1075="A/S",Pole_Calc!A$14,"Poner a mano")))))))</f>
        <v/>
      </c>
      <c r="BE1075" s="429" t="s">
        <v>118</v>
      </c>
      <c r="BF1075" s="290"/>
      <c r="BG1075" s="290"/>
      <c r="BH1075" s="290"/>
      <c r="BI1075" s="290"/>
    </row>
    <row r="1076" spans="1:61" ht="15.75" customHeight="1">
      <c r="A1076" s="514"/>
      <c r="B1076" s="450" t="s">
        <v>1497</v>
      </c>
      <c r="C1076" s="3">
        <f>+$C$1074+$G$1075</f>
        <v>56269.12000000001</v>
      </c>
      <c r="D1076" s="83"/>
      <c r="E1076" s="4"/>
      <c r="F1076" s="4">
        <v>0</v>
      </c>
      <c r="G1076" s="6"/>
      <c r="H1076" s="449"/>
      <c r="I1076" s="4"/>
      <c r="J1076" s="3"/>
      <c r="K1076" s="449"/>
      <c r="L1076" s="449" t="s">
        <v>153</v>
      </c>
      <c r="M1076" s="449" t="str">
        <f>IF(L1076="","",
IF(AX1076="PT",VLOOKUP(L1076,Foundation_Calc!$V$79:$X$113,VLOOKUP(AX1076,Foundation_Calc!$I$10:$J$13,2,FALSE),0),
IF(AX1076="K",VLOOKUP(L1076,Foundation_Calc!$V$117:$X$151,VLOOKUP(AX1076,Foundation_Calc!$I$10:$J$13,2,FALSE),0),"")))</f>
        <v>C3R</v>
      </c>
      <c r="N1076" s="449" t="s">
        <v>134</v>
      </c>
      <c r="O1076" s="449"/>
      <c r="P1076" s="449"/>
      <c r="Q1076" s="4"/>
      <c r="R1076" s="6"/>
      <c r="S1076" s="6"/>
      <c r="T1076" s="4">
        <v>35</v>
      </c>
      <c r="U1076" s="4"/>
      <c r="V1076" s="4"/>
      <c r="W1076" s="9">
        <v>1.4</v>
      </c>
      <c r="X1076" s="9"/>
      <c r="Y1076" s="9"/>
      <c r="Z1076" s="9"/>
      <c r="AA1076" s="9"/>
      <c r="AB1076" s="9"/>
      <c r="AC1076" s="449" t="str">
        <f t="shared" si="136"/>
        <v>PH</v>
      </c>
      <c r="AD1076" s="449"/>
      <c r="AE1076" s="449"/>
      <c r="AF1076" s="4"/>
      <c r="AG1076" s="83"/>
      <c r="AH1076" s="4"/>
      <c r="AI1076" s="4"/>
      <c r="AJ1076" s="449"/>
      <c r="AK1076" s="449"/>
      <c r="AL1076" s="449"/>
      <c r="AM1076" s="449" t="s">
        <v>552</v>
      </c>
      <c r="AN1076" s="10">
        <v>5.5</v>
      </c>
      <c r="AO1076" s="9"/>
      <c r="AP1076" s="9"/>
      <c r="AQ1076" s="9"/>
      <c r="AR1076" s="9"/>
      <c r="AS1076" s="9"/>
      <c r="AT1076" s="9">
        <f>+ab($T$1076,$T$1074,$T$1078,$G$1075,$G$1077, 1*$F$1076,1200)</f>
        <v>8.4365744899000195</v>
      </c>
      <c r="AU1076" s="428"/>
      <c r="AV1076" s="428"/>
      <c r="AW1076" s="449" t="str">
        <f>IF(C1076&gt;0,VLOOKUP(C1076,Foundation_Calc!$A$2:$C$13,3,1),
IF(J1076&gt;0,VLOOKUP(J1076,Foundation_Calc!$A$2:$C$13,3,1),""))</f>
        <v>Multi Soil</v>
      </c>
      <c r="AX1076" s="449" t="str">
        <f>IF(C1076&gt;0,VLOOKUP(C1076,Foundation_Calc!$E$35:$G$65,3,1),
IF(J1076&gt;0,VLOOKUP(J1076,Foundation_Calc!$E$35:$G$65,3,1),""))</f>
        <v>PT</v>
      </c>
      <c r="AY1076" s="10">
        <f>IF(L1076="","",
IF(AX1076="PT",VLOOKUP(L1076,Foundation_Calc!$K$79:$R$113,VLOOKUP(AW1076,Foundation_Calc!$I$2:$J$8,2,FALSE),0),
IF(AX1076="K",VLOOKUP(L1076,Foundation_Calc!$K$117:$R$151,VLOOKUP(AW1076,Foundation_Calc!$I$2:$J$8,2,FALSE),0),"")))</f>
        <v>3.5</v>
      </c>
      <c r="AZ1076" s="10" t="str">
        <f>IF(K1076="","",
IF(AX1076="PT",VLOOKUP(K1076,Foundation_Calc!$K$79:$R$113,VLOOKUP(AW1076,Foundation_Calc!$I$2:$J$8,2,FALSE),0),
IF(AX1076="K",VLOOKUP(K1076,Foundation_Calc!$K$117:$R$151,VLOOKUP(AW1076,Foundation_Calc!$I$2:$J$8,2,FALSE),0),"")))</f>
        <v/>
      </c>
      <c r="BA1076" s="495" t="str">
        <f t="shared" si="137"/>
        <v>ü</v>
      </c>
      <c r="BB1076" s="495" t="str">
        <f t="shared" si="138"/>
        <v/>
      </c>
      <c r="BC1076" s="495" t="str">
        <f t="shared" si="139"/>
        <v/>
      </c>
      <c r="BD1076" s="513" t="str">
        <f>IF(AND(L1076="",H1076=""),"",
IF(H1076="",Pole_Calc!A$9,
IF(H1076="MP",Pole_Calc!A$10,
IF(H1076="AnMP",Pole_Calc!A$11,
IF(H1076="A",Pole_Calc!A$12,
IF(H1076="S/A",Pole_Calc!A$13,
IF(H1076="A/S",Pole_Calc!A$14,"Poner a mano")))))))</f>
        <v>App.7-V11I-P9.5.1.1</v>
      </c>
      <c r="BE1076" s="429" t="s">
        <v>118</v>
      </c>
      <c r="BF1076" s="289"/>
      <c r="BG1076" s="289"/>
      <c r="BH1076" s="290"/>
      <c r="BI1076" s="289"/>
    </row>
    <row r="1077" spans="1:61" ht="15.75" customHeight="1">
      <c r="A1077" s="518"/>
      <c r="B1077" s="450"/>
      <c r="C1077" s="3"/>
      <c r="D1077" s="83"/>
      <c r="E1077" s="4"/>
      <c r="F1077" s="4"/>
      <c r="G1077" s="6">
        <v>62</v>
      </c>
      <c r="H1077" s="449"/>
      <c r="I1077" s="4"/>
      <c r="J1077" s="3"/>
      <c r="K1077" s="449"/>
      <c r="L1077" s="449"/>
      <c r="M1077" s="449" t="str">
        <f>IF(L1077="","",
IF(AX1077="PT",VLOOKUP(L1077,Foundation_Calc!$V$79:$X$113,VLOOKUP(AX1077,Foundation_Calc!$I$10:$J$13,2,FALSE),0),
IF(AX1077="K",VLOOKUP(L1077,Foundation_Calc!$V$117:$X$151,VLOOKUP(AX1077,Foundation_Calc!$I$10:$J$13,2,FALSE),0),"")))</f>
        <v/>
      </c>
      <c r="N1077" s="449"/>
      <c r="O1077" s="449"/>
      <c r="P1077" s="449"/>
      <c r="Q1077" s="4"/>
      <c r="R1077" s="6"/>
      <c r="S1077" s="6"/>
      <c r="T1077" s="4"/>
      <c r="U1077" s="4"/>
      <c r="V1077" s="4"/>
      <c r="W1077" s="9"/>
      <c r="X1077" s="9"/>
      <c r="Y1077" s="9"/>
      <c r="Z1077" s="9"/>
      <c r="AA1077" s="9"/>
      <c r="AB1077" s="9"/>
      <c r="AC1077" s="449" t="str">
        <f t="shared" si="136"/>
        <v/>
      </c>
      <c r="AD1077" s="449"/>
      <c r="AE1077" s="449"/>
      <c r="AF1077" s="4"/>
      <c r="AG1077" s="83"/>
      <c r="AH1077" s="4"/>
      <c r="AI1077" s="4"/>
      <c r="AJ1077" s="449"/>
      <c r="AK1077" s="449"/>
      <c r="AL1077" s="449"/>
      <c r="AM1077" s="449"/>
      <c r="AN1077" s="10"/>
      <c r="AO1077" s="9"/>
      <c r="AP1077" s="9"/>
      <c r="AQ1077" s="9">
        <f>+FL_2($T$1078,$T$1076,$G$1077,1200,9.28, 1*$F$1078)</f>
        <v>-0.45400350967741931</v>
      </c>
      <c r="AR1077" s="9"/>
      <c r="AS1077" s="9"/>
      <c r="AT1077" s="9"/>
      <c r="AU1077" s="428"/>
      <c r="AV1077" s="428"/>
      <c r="AW1077" s="449" t="str">
        <f>IF(C1077&gt;0,VLOOKUP(C1077,Foundation_Calc!$A$2:$C$13,3,1),
IF(J1077&gt;0,VLOOKUP(J1077,Foundation_Calc!$A$2:$C$13,3,1),""))</f>
        <v/>
      </c>
      <c r="AX1077" s="449" t="str">
        <f>IF(C1077&gt;0,VLOOKUP(C1077,Foundation_Calc!$E$35:$G$65,3,1),
IF(J1077&gt;0,VLOOKUP(J1077,Foundation_Calc!$E$35:$G$65,3,1),""))</f>
        <v/>
      </c>
      <c r="AY1077" s="10" t="str">
        <f>IF(L1077="","",
IF(AX1077="PT",VLOOKUP(L1077,Foundation_Calc!$K$79:$R$113,VLOOKUP(AW1077,Foundation_Calc!$I$2:$J$8,2,FALSE),0),
IF(AX1077="K",VLOOKUP(L1077,Foundation_Calc!$K$117:$R$151,VLOOKUP(AW1077,Foundation_Calc!$I$2:$J$8,2,FALSE),0),"")))</f>
        <v/>
      </c>
      <c r="AZ1077" s="10" t="str">
        <f>IF(K1077="","",
IF(AX1077="PT",VLOOKUP(K1077,Foundation_Calc!$K$79:$R$113,VLOOKUP(AW1077,Foundation_Calc!$I$2:$J$8,2,FALSE),0),
IF(AX1077="K",VLOOKUP(K1077,Foundation_Calc!$K$117:$R$151,VLOOKUP(AW1077,Foundation_Calc!$I$2:$J$8,2,FALSE),0),"")))</f>
        <v/>
      </c>
      <c r="BA1077" s="495" t="str">
        <f t="shared" si="137"/>
        <v/>
      </c>
      <c r="BB1077" s="495" t="str">
        <f t="shared" si="138"/>
        <v/>
      </c>
      <c r="BC1077" s="495" t="str">
        <f t="shared" si="139"/>
        <v/>
      </c>
      <c r="BD1077" s="513" t="str">
        <f>IF(AND(L1077="",H1077=""),"",
IF(H1077="",Pole_Calc!A$9,
IF(H1077="MP",Pole_Calc!A$10,
IF(H1077="AnMP",Pole_Calc!A$11,
IF(H1077="A",Pole_Calc!A$12,
IF(H1077="S/A",Pole_Calc!A$13,
IF(H1077="A/S",Pole_Calc!A$14,"Poner a mano")))))))</f>
        <v/>
      </c>
      <c r="BE1077" s="429" t="s">
        <v>118</v>
      </c>
      <c r="BF1077" s="290"/>
      <c r="BG1077" s="290"/>
      <c r="BH1077" s="290"/>
      <c r="BI1077" s="290"/>
    </row>
    <row r="1078" spans="1:61" ht="15.75" customHeight="1">
      <c r="A1078" s="514"/>
      <c r="B1078" s="450" t="s">
        <v>1498</v>
      </c>
      <c r="C1078" s="3">
        <f>+$C$1076+$G$1077</f>
        <v>56331.12000000001</v>
      </c>
      <c r="D1078" s="83"/>
      <c r="E1078" s="4"/>
      <c r="F1078" s="4">
        <v>0</v>
      </c>
      <c r="G1078" s="6"/>
      <c r="H1078" s="449"/>
      <c r="I1078" s="4"/>
      <c r="J1078" s="3"/>
      <c r="K1078" s="449"/>
      <c r="L1078" s="449" t="s">
        <v>153</v>
      </c>
      <c r="M1078" s="449" t="str">
        <f>IF(L1078="","",
IF(AX1078="PT",VLOOKUP(L1078,Foundation_Calc!$V$79:$X$113,VLOOKUP(AX1078,Foundation_Calc!$I$10:$J$13,2,FALSE),0),
IF(AX1078="K",VLOOKUP(L1078,Foundation_Calc!$V$117:$X$151,VLOOKUP(AX1078,Foundation_Calc!$I$10:$J$13,2,FALSE),0),"")))</f>
        <v>C3R</v>
      </c>
      <c r="N1078" s="449" t="s">
        <v>124</v>
      </c>
      <c r="O1078" s="449"/>
      <c r="P1078" s="449"/>
      <c r="Q1078" s="4"/>
      <c r="R1078" s="6"/>
      <c r="S1078" s="6"/>
      <c r="T1078" s="4">
        <v>-35</v>
      </c>
      <c r="U1078" s="4"/>
      <c r="V1078" s="4"/>
      <c r="W1078" s="9">
        <v>1.4</v>
      </c>
      <c r="X1078" s="9"/>
      <c r="Y1078" s="9"/>
      <c r="Z1078" s="9"/>
      <c r="AA1078" s="9"/>
      <c r="AB1078" s="9"/>
      <c r="AC1078" s="449" t="str">
        <f t="shared" si="136"/>
        <v>PH</v>
      </c>
      <c r="AD1078" s="449"/>
      <c r="AE1078" s="449"/>
      <c r="AF1078" s="4"/>
      <c r="AG1078" s="83"/>
      <c r="AH1078" s="4"/>
      <c r="AI1078" s="4"/>
      <c r="AJ1078" s="449"/>
      <c r="AK1078" s="449"/>
      <c r="AL1078" s="449"/>
      <c r="AM1078" s="449" t="s">
        <v>552</v>
      </c>
      <c r="AN1078" s="10">
        <v>5.5</v>
      </c>
      <c r="AO1078" s="9"/>
      <c r="AP1078" s="9"/>
      <c r="AQ1078" s="9"/>
      <c r="AR1078" s="9"/>
      <c r="AS1078" s="9"/>
      <c r="AT1078" s="9">
        <f>+ab($T$1078,$T$1076,$T$1080,$G$1077,$G$1079, 1*$F$1078,1200)</f>
        <v>-8.4366201521118445</v>
      </c>
      <c r="AU1078" s="428"/>
      <c r="AV1078" s="428"/>
      <c r="AW1078" s="449" t="str">
        <f>IF(C1078&gt;0,VLOOKUP(C1078,Foundation_Calc!$A$2:$C$13,3,1),
IF(J1078&gt;0,VLOOKUP(J1078,Foundation_Calc!$A$2:$C$13,3,1),""))</f>
        <v>Multi Soil</v>
      </c>
      <c r="AX1078" s="449" t="str">
        <f>IF(C1078&gt;0,VLOOKUP(C1078,Foundation_Calc!$E$35:$G$65,3,1),
IF(J1078&gt;0,VLOOKUP(J1078,Foundation_Calc!$E$35:$G$65,3,1),""))</f>
        <v>PT</v>
      </c>
      <c r="AY1078" s="10">
        <f>IF(L1078="","",
IF(AX1078="PT",VLOOKUP(L1078,Foundation_Calc!$K$79:$R$113,VLOOKUP(AW1078,Foundation_Calc!$I$2:$J$8,2,FALSE),0),
IF(AX1078="K",VLOOKUP(L1078,Foundation_Calc!$K$117:$R$151,VLOOKUP(AW1078,Foundation_Calc!$I$2:$J$8,2,FALSE),0),"")))</f>
        <v>3.5</v>
      </c>
      <c r="AZ1078" s="10" t="str">
        <f>IF(K1078="","",
IF(AX1078="PT",VLOOKUP(K1078,Foundation_Calc!$K$79:$R$113,VLOOKUP(AW1078,Foundation_Calc!$I$2:$J$8,2,FALSE),0),
IF(AX1078="K",VLOOKUP(K1078,Foundation_Calc!$K$117:$R$151,VLOOKUP(AW1078,Foundation_Calc!$I$2:$J$8,2,FALSE),0),"")))</f>
        <v/>
      </c>
      <c r="BA1078" s="495" t="str">
        <f t="shared" si="137"/>
        <v>ü</v>
      </c>
      <c r="BB1078" s="495" t="str">
        <f t="shared" si="138"/>
        <v/>
      </c>
      <c r="BC1078" s="495" t="str">
        <f t="shared" si="139"/>
        <v/>
      </c>
      <c r="BD1078" s="513" t="str">
        <f>IF(AND(L1078="",H1078=""),"",
IF(H1078="",Pole_Calc!A$9,
IF(H1078="MP",Pole_Calc!A$10,
IF(H1078="AnMP",Pole_Calc!A$11,
IF(H1078="A",Pole_Calc!A$12,
IF(H1078="S/A",Pole_Calc!A$13,
IF(H1078="A/S",Pole_Calc!A$14,"Poner a mano")))))))</f>
        <v>App.7-V11I-P9.5.1.1</v>
      </c>
      <c r="BE1078" s="429" t="s">
        <v>118</v>
      </c>
      <c r="BF1078" s="289"/>
      <c r="BG1078" s="289"/>
      <c r="BH1078" s="290"/>
      <c r="BI1078" s="289"/>
    </row>
    <row r="1079" spans="1:61" ht="15.75" customHeight="1">
      <c r="A1079" s="514"/>
      <c r="B1079" s="450"/>
      <c r="C1079" s="3"/>
      <c r="D1079" s="83"/>
      <c r="E1079" s="4"/>
      <c r="F1079" s="4"/>
      <c r="G1079" s="6">
        <v>62</v>
      </c>
      <c r="H1079" s="449"/>
      <c r="I1079" s="4"/>
      <c r="J1079" s="3"/>
      <c r="K1079" s="449"/>
      <c r="L1079" s="449"/>
      <c r="M1079" s="449" t="str">
        <f>IF(L1079="","",
IF(AX1079="PT",VLOOKUP(L1079,Foundation_Calc!$V$79:$X$113,VLOOKUP(AX1079,Foundation_Calc!$I$10:$J$13,2,FALSE),0),
IF(AX1079="K",VLOOKUP(L1079,Foundation_Calc!$V$117:$X$151,VLOOKUP(AX1079,Foundation_Calc!$I$10:$J$13,2,FALSE),0),"")))</f>
        <v/>
      </c>
      <c r="N1079" s="449"/>
      <c r="O1079" s="449"/>
      <c r="P1079" s="449"/>
      <c r="Q1079" s="4"/>
      <c r="R1079" s="6"/>
      <c r="S1079" s="6"/>
      <c r="T1079" s="4"/>
      <c r="U1079" s="4"/>
      <c r="V1079" s="4"/>
      <c r="W1079" s="9"/>
      <c r="X1079" s="9"/>
      <c r="Y1079" s="9"/>
      <c r="Z1079" s="9"/>
      <c r="AA1079" s="9"/>
      <c r="AB1079" s="9"/>
      <c r="AC1079" s="449" t="str">
        <f t="shared" si="136"/>
        <v/>
      </c>
      <c r="AD1079" s="449"/>
      <c r="AE1079" s="449"/>
      <c r="AF1079" s="4"/>
      <c r="AG1079" s="83"/>
      <c r="AH1079" s="4"/>
      <c r="AI1079" s="4"/>
      <c r="AJ1079" s="449"/>
      <c r="AK1079" s="449"/>
      <c r="AL1079" s="449"/>
      <c r="AM1079" s="449"/>
      <c r="AN1079" s="10"/>
      <c r="AO1079" s="9"/>
      <c r="AP1079" s="9"/>
      <c r="AQ1079" s="9">
        <f>+FL_1($T$1080,$T$1078,$G$1079,1200,9.28, 1*$F$1080)</f>
        <v>0.45400350967741931</v>
      </c>
      <c r="AR1079" s="9"/>
      <c r="AS1079" s="9"/>
      <c r="AT1079" s="9"/>
      <c r="AU1079" s="428"/>
      <c r="AV1079" s="428"/>
      <c r="AW1079" s="449" t="str">
        <f>IF(C1079&gt;0,VLOOKUP(C1079,Foundation_Calc!$A$2:$C$13,3,1),
IF(J1079&gt;0,VLOOKUP(J1079,Foundation_Calc!$A$2:$C$13,3,1),""))</f>
        <v/>
      </c>
      <c r="AX1079" s="449" t="str">
        <f>IF(C1079&gt;0,VLOOKUP(C1079,Foundation_Calc!$E$35:$G$65,3,1),
IF(J1079&gt;0,VLOOKUP(J1079,Foundation_Calc!$E$35:$G$65,3,1),""))</f>
        <v/>
      </c>
      <c r="AY1079" s="10" t="str">
        <f>IF(L1079="","",
IF(AX1079="PT",VLOOKUP(L1079,Foundation_Calc!$K$79:$R$113,VLOOKUP(AW1079,Foundation_Calc!$I$2:$J$8,2,FALSE),0),
IF(AX1079="K",VLOOKUP(L1079,Foundation_Calc!$K$117:$R$151,VLOOKUP(AW1079,Foundation_Calc!$I$2:$J$8,2,FALSE),0),"")))</f>
        <v/>
      </c>
      <c r="AZ1079" s="10" t="str">
        <f>IF(K1079="","",
IF(AX1079="PT",VLOOKUP(K1079,Foundation_Calc!$K$79:$R$113,VLOOKUP(AW1079,Foundation_Calc!$I$2:$J$8,2,FALSE),0),
IF(AX1079="K",VLOOKUP(K1079,Foundation_Calc!$K$117:$R$151,VLOOKUP(AW1079,Foundation_Calc!$I$2:$J$8,2,FALSE),0),"")))</f>
        <v/>
      </c>
      <c r="BA1079" s="495" t="str">
        <f t="shared" si="137"/>
        <v/>
      </c>
      <c r="BB1079" s="495" t="str">
        <f t="shared" si="138"/>
        <v/>
      </c>
      <c r="BC1079" s="495" t="str">
        <f t="shared" si="139"/>
        <v/>
      </c>
      <c r="BD1079" s="513" t="str">
        <f>IF(AND(L1079="",H1079=""),"",
IF(H1079="",Pole_Calc!A$9,
IF(H1079="MP",Pole_Calc!A$10,
IF(H1079="AnMP",Pole_Calc!A$11,
IF(H1079="A",Pole_Calc!A$12,
IF(H1079="S/A",Pole_Calc!A$13,
IF(H1079="A/S",Pole_Calc!A$14,"Poner a mano")))))))</f>
        <v/>
      </c>
      <c r="BE1079" s="429" t="s">
        <v>118</v>
      </c>
      <c r="BF1079" s="290"/>
      <c r="BG1079" s="290"/>
      <c r="BH1079" s="290"/>
      <c r="BI1079" s="290"/>
    </row>
    <row r="1080" spans="1:61" ht="15.75" customHeight="1">
      <c r="A1080" s="514"/>
      <c r="B1080" s="450" t="s">
        <v>1499</v>
      </c>
      <c r="C1080" s="3">
        <f>+$C$1078+$G$1079</f>
        <v>56393.12000000001</v>
      </c>
      <c r="D1080" s="83"/>
      <c r="E1080" s="4"/>
      <c r="F1080" s="4">
        <v>0</v>
      </c>
      <c r="G1080" s="6"/>
      <c r="H1080" s="449"/>
      <c r="I1080" s="4"/>
      <c r="J1080" s="3"/>
      <c r="K1080" s="449"/>
      <c r="L1080" s="449" t="s">
        <v>153</v>
      </c>
      <c r="M1080" s="449" t="str">
        <f>IF(L1080="","",
IF(AX1080="PT",VLOOKUP(L1080,Foundation_Calc!$V$79:$X$113,VLOOKUP(AX1080,Foundation_Calc!$I$10:$J$13,2,FALSE),0),
IF(AX1080="K",VLOOKUP(L1080,Foundation_Calc!$V$117:$X$151,VLOOKUP(AX1080,Foundation_Calc!$I$10:$J$13,2,FALSE),0),"")))</f>
        <v>C3R</v>
      </c>
      <c r="N1080" s="449" t="s">
        <v>134</v>
      </c>
      <c r="O1080" s="449"/>
      <c r="P1080" s="449"/>
      <c r="Q1080" s="4"/>
      <c r="R1080" s="6"/>
      <c r="S1080" s="6"/>
      <c r="T1080" s="4">
        <v>35</v>
      </c>
      <c r="U1080" s="4"/>
      <c r="V1080" s="4"/>
      <c r="W1080" s="9">
        <v>1.4</v>
      </c>
      <c r="X1080" s="9"/>
      <c r="Y1080" s="9"/>
      <c r="Z1080" s="9"/>
      <c r="AA1080" s="9"/>
      <c r="AB1080" s="9"/>
      <c r="AC1080" s="449" t="str">
        <f t="shared" si="136"/>
        <v>PH</v>
      </c>
      <c r="AD1080" s="449"/>
      <c r="AE1080" s="449"/>
      <c r="AF1080" s="4"/>
      <c r="AG1080" s="83"/>
      <c r="AH1080" s="4"/>
      <c r="AI1080" s="4"/>
      <c r="AJ1080" s="449"/>
      <c r="AK1080" s="449"/>
      <c r="AL1080" s="449"/>
      <c r="AM1080" s="449" t="s">
        <v>552</v>
      </c>
      <c r="AN1080" s="10">
        <v>5.5</v>
      </c>
      <c r="AO1080" s="9"/>
      <c r="AP1080" s="9"/>
      <c r="AQ1080" s="9"/>
      <c r="AR1080" s="9"/>
      <c r="AS1080" s="9"/>
      <c r="AT1080" s="9">
        <f>+ab($T$1080,$T$1078,$T$1082,$G$1079,$G$1081, 1*$F$1080,1200)</f>
        <v>8.4365744899000195</v>
      </c>
      <c r="AU1080" s="428"/>
      <c r="AV1080" s="428"/>
      <c r="AW1080" s="449" t="str">
        <f>IF(C1080&gt;0,VLOOKUP(C1080,Foundation_Calc!$A$2:$C$13,3,1),
IF(J1080&gt;0,VLOOKUP(J1080,Foundation_Calc!$A$2:$C$13,3,1),""))</f>
        <v>Multi Soil</v>
      </c>
      <c r="AX1080" s="449" t="str">
        <f>IF(C1080&gt;0,VLOOKUP(C1080,Foundation_Calc!$E$35:$G$65,3,1),
IF(J1080&gt;0,VLOOKUP(J1080,Foundation_Calc!$E$35:$G$65,3,1),""))</f>
        <v>PT</v>
      </c>
      <c r="AY1080" s="10">
        <f>IF(L1080="","",
IF(AX1080="PT",VLOOKUP(L1080,Foundation_Calc!$K$79:$R$113,VLOOKUP(AW1080,Foundation_Calc!$I$2:$J$8,2,FALSE),0),
IF(AX1080="K",VLOOKUP(L1080,Foundation_Calc!$K$117:$R$151,VLOOKUP(AW1080,Foundation_Calc!$I$2:$J$8,2,FALSE),0),"")))</f>
        <v>3.5</v>
      </c>
      <c r="AZ1080" s="10" t="str">
        <f>IF(K1080="","",
IF(AX1080="PT",VLOOKUP(K1080,Foundation_Calc!$K$79:$R$113,VLOOKUP(AW1080,Foundation_Calc!$I$2:$J$8,2,FALSE),0),
IF(AX1080="K",VLOOKUP(K1080,Foundation_Calc!$K$117:$R$151,VLOOKUP(AW1080,Foundation_Calc!$I$2:$J$8,2,FALSE),0),"")))</f>
        <v/>
      </c>
      <c r="BA1080" s="495" t="str">
        <f t="shared" si="137"/>
        <v>ü</v>
      </c>
      <c r="BB1080" s="495" t="str">
        <f t="shared" si="138"/>
        <v/>
      </c>
      <c r="BC1080" s="495" t="str">
        <f t="shared" si="139"/>
        <v/>
      </c>
      <c r="BD1080" s="513" t="str">
        <f>IF(AND(L1080="",H1080=""),"",
IF(H1080="",Pole_Calc!A$9,
IF(H1080="MP",Pole_Calc!A$10,
IF(H1080="AnMP",Pole_Calc!A$11,
IF(H1080="A",Pole_Calc!A$12,
IF(H1080="S/A",Pole_Calc!A$13,
IF(H1080="A/S",Pole_Calc!A$14,"Poner a mano")))))))</f>
        <v>App.7-V11I-P9.5.1.1</v>
      </c>
      <c r="BE1080" s="429" t="s">
        <v>118</v>
      </c>
      <c r="BF1080" s="289"/>
      <c r="BG1080" s="289"/>
      <c r="BH1080" s="290"/>
      <c r="BI1080" s="289"/>
    </row>
    <row r="1081" spans="1:61" ht="15.75" customHeight="1">
      <c r="A1081" s="514"/>
      <c r="B1081" s="450"/>
      <c r="C1081" s="3"/>
      <c r="D1081" s="83"/>
      <c r="E1081" s="4"/>
      <c r="F1081" s="4"/>
      <c r="G1081" s="6">
        <v>62</v>
      </c>
      <c r="H1081" s="449"/>
      <c r="I1081" s="4"/>
      <c r="J1081" s="3"/>
      <c r="K1081" s="449"/>
      <c r="L1081" s="449"/>
      <c r="M1081" s="449" t="str">
        <f>IF(L1081="","",
IF(AX1081="PT",VLOOKUP(L1081,Foundation_Calc!$V$79:$X$113,VLOOKUP(AX1081,Foundation_Calc!$I$10:$J$13,2,FALSE),0),
IF(AX1081="K",VLOOKUP(L1081,Foundation_Calc!$V$117:$X$151,VLOOKUP(AX1081,Foundation_Calc!$I$10:$J$13,2,FALSE),0),"")))</f>
        <v/>
      </c>
      <c r="N1081" s="449"/>
      <c r="O1081" s="561"/>
      <c r="P1081" s="449"/>
      <c r="Q1081" s="4"/>
      <c r="R1081" s="6"/>
      <c r="S1081" s="6"/>
      <c r="T1081" s="4"/>
      <c r="U1081" s="4"/>
      <c r="V1081" s="4"/>
      <c r="W1081" s="9"/>
      <c r="X1081" s="9"/>
      <c r="Y1081" s="9"/>
      <c r="Z1081" s="9"/>
      <c r="AA1081" s="9"/>
      <c r="AB1081" s="9"/>
      <c r="AC1081" s="449" t="str">
        <f t="shared" si="136"/>
        <v/>
      </c>
      <c r="AD1081" s="449"/>
      <c r="AE1081" s="449"/>
      <c r="AF1081" s="4"/>
      <c r="AG1081" s="83"/>
      <c r="AH1081" s="4"/>
      <c r="AI1081" s="4"/>
      <c r="AJ1081" s="449"/>
      <c r="AK1081" s="449"/>
      <c r="AL1081" s="449"/>
      <c r="AM1081" s="449"/>
      <c r="AN1081" s="10"/>
      <c r="AO1081" s="9"/>
      <c r="AP1081" s="9"/>
      <c r="AQ1081" s="9">
        <f>+FL_2($T$1082,$T$1080,$G$1081,1200,9.28, 1*$F$1082)</f>
        <v>-0.45400350967741931</v>
      </c>
      <c r="AR1081" s="9"/>
      <c r="AS1081" s="9"/>
      <c r="AT1081" s="9"/>
      <c r="AU1081" s="428"/>
      <c r="AV1081" s="428"/>
      <c r="AW1081" s="449" t="str">
        <f>IF(C1081&gt;0,VLOOKUP(C1081,Foundation_Calc!$A$2:$C$13,3,1),
IF(J1081&gt;0,VLOOKUP(J1081,Foundation_Calc!$A$2:$C$13,3,1),""))</f>
        <v/>
      </c>
      <c r="AX1081" s="449" t="str">
        <f>IF(C1081&gt;0,VLOOKUP(C1081,Foundation_Calc!$E$35:$G$65,3,1),
IF(J1081&gt;0,VLOOKUP(J1081,Foundation_Calc!$E$35:$G$65,3,1),""))</f>
        <v/>
      </c>
      <c r="AY1081" s="10" t="str">
        <f>IF(L1081="","",
IF(AX1081="PT",VLOOKUP(L1081,Foundation_Calc!$K$79:$R$113,VLOOKUP(AW1081,Foundation_Calc!$I$2:$J$8,2,FALSE),0),
IF(AX1081="K",VLOOKUP(L1081,Foundation_Calc!$K$117:$R$151,VLOOKUP(AW1081,Foundation_Calc!$I$2:$J$8,2,FALSE),0),"")))</f>
        <v/>
      </c>
      <c r="AZ1081" s="10" t="str">
        <f>IF(K1081="","",
IF(AX1081="PT",VLOOKUP(K1081,Foundation_Calc!$K$79:$R$113,VLOOKUP(AW1081,Foundation_Calc!$I$2:$J$8,2,FALSE),0),
IF(AX1081="K",VLOOKUP(K1081,Foundation_Calc!$K$117:$R$151,VLOOKUP(AW1081,Foundation_Calc!$I$2:$J$8,2,FALSE),0),"")))</f>
        <v/>
      </c>
      <c r="BA1081" s="495" t="str">
        <f t="shared" si="137"/>
        <v/>
      </c>
      <c r="BB1081" s="495" t="str">
        <f t="shared" si="138"/>
        <v/>
      </c>
      <c r="BC1081" s="495" t="str">
        <f t="shared" si="139"/>
        <v/>
      </c>
      <c r="BD1081" s="513" t="str">
        <f>IF(AND(L1081="",H1081=""),"",
IF(H1081="",Pole_Calc!A$9,
IF(H1081="MP",Pole_Calc!A$10,
IF(H1081="AnMP",Pole_Calc!A$11,
IF(H1081="A",Pole_Calc!A$12,
IF(H1081="S/A",Pole_Calc!A$13,
IF(H1081="A/S",Pole_Calc!A$14,"Poner a mano")))))))</f>
        <v/>
      </c>
      <c r="BE1081" s="429" t="s">
        <v>118</v>
      </c>
      <c r="BF1081" s="290"/>
      <c r="BG1081" s="290"/>
      <c r="BH1081" s="290"/>
      <c r="BI1081" s="290"/>
    </row>
    <row r="1082" spans="1:61" ht="15.75" customHeight="1">
      <c r="A1082" s="514"/>
      <c r="B1082" s="450" t="s">
        <v>1500</v>
      </c>
      <c r="C1082" s="3">
        <f>+$C$1080+$G$1081</f>
        <v>56455.12000000001</v>
      </c>
      <c r="D1082" s="83"/>
      <c r="E1082" s="4"/>
      <c r="F1082" s="4">
        <v>0</v>
      </c>
      <c r="G1082" s="6"/>
      <c r="H1082" s="449"/>
      <c r="I1082" s="4"/>
      <c r="J1082" s="3"/>
      <c r="K1082" s="449"/>
      <c r="L1082" s="449" t="s">
        <v>153</v>
      </c>
      <c r="M1082" s="449" t="str">
        <f>IF(L1082="","",
IF(AX1082="PT",VLOOKUP(L1082,Foundation_Calc!$V$79:$X$113,VLOOKUP(AX1082,Foundation_Calc!$I$10:$J$13,2,FALSE),0),
IF(AX1082="K",VLOOKUP(L1082,Foundation_Calc!$V$117:$X$151,VLOOKUP(AX1082,Foundation_Calc!$I$10:$J$13,2,FALSE),0),"")))</f>
        <v>C3R</v>
      </c>
      <c r="N1082" s="449" t="s">
        <v>124</v>
      </c>
      <c r="O1082" s="449"/>
      <c r="P1082" s="449"/>
      <c r="Q1082" s="4"/>
      <c r="R1082" s="6"/>
      <c r="S1082" s="6"/>
      <c r="T1082" s="4">
        <v>-35</v>
      </c>
      <c r="U1082" s="4"/>
      <c r="V1082" s="4"/>
      <c r="W1082" s="9">
        <v>1.4</v>
      </c>
      <c r="X1082" s="9"/>
      <c r="Y1082" s="9"/>
      <c r="Z1082" s="9"/>
      <c r="AA1082" s="9"/>
      <c r="AB1082" s="9"/>
      <c r="AC1082" s="449" t="str">
        <f t="shared" si="136"/>
        <v>PH</v>
      </c>
      <c r="AD1082" s="449"/>
      <c r="AE1082" s="449"/>
      <c r="AF1082" s="4"/>
      <c r="AG1082" s="83"/>
      <c r="AH1082" s="4"/>
      <c r="AI1082" s="4"/>
      <c r="AJ1082" s="449"/>
      <c r="AK1082" s="449"/>
      <c r="AL1082" s="449"/>
      <c r="AM1082" s="449" t="s">
        <v>552</v>
      </c>
      <c r="AN1082" s="10">
        <v>5.5</v>
      </c>
      <c r="AO1082" s="9"/>
      <c r="AP1082" s="9"/>
      <c r="AQ1082" s="9"/>
      <c r="AR1082" s="9"/>
      <c r="AS1082" s="9"/>
      <c r="AT1082" s="9">
        <f>+ab($T$1082,$T$1080,$T$1084,$G$1081,$G$1083, 1*$F$1082,1200)</f>
        <v>-8.4366201521118445</v>
      </c>
      <c r="AU1082" s="428"/>
      <c r="AV1082" s="428"/>
      <c r="AW1082" s="449" t="str">
        <f>IF(C1082&gt;0,VLOOKUP(C1082,Foundation_Calc!$A$2:$C$13,3,1),
IF(J1082&gt;0,VLOOKUP(J1082,Foundation_Calc!$A$2:$C$13,3,1),""))</f>
        <v>Multi Soil</v>
      </c>
      <c r="AX1082" s="449" t="str">
        <f>IF(C1082&gt;0,VLOOKUP(C1082,Foundation_Calc!$E$35:$G$65,3,1),
IF(J1082&gt;0,VLOOKUP(J1082,Foundation_Calc!$E$35:$G$65,3,1),""))</f>
        <v>PT</v>
      </c>
      <c r="AY1082" s="10">
        <f>IF(L1082="","",
IF(AX1082="PT",VLOOKUP(L1082,Foundation_Calc!$K$79:$R$113,VLOOKUP(AW1082,Foundation_Calc!$I$2:$J$8,2,FALSE),0),
IF(AX1082="K",VLOOKUP(L1082,Foundation_Calc!$K$117:$R$151,VLOOKUP(AW1082,Foundation_Calc!$I$2:$J$8,2,FALSE),0),"")))</f>
        <v>3.5</v>
      </c>
      <c r="AZ1082" s="10" t="str">
        <f>IF(K1082="","",
IF(AX1082="PT",VLOOKUP(K1082,Foundation_Calc!$K$79:$R$113,VLOOKUP(AW1082,Foundation_Calc!$I$2:$J$8,2,FALSE),0),
IF(AX1082="K",VLOOKUP(K1082,Foundation_Calc!$K$117:$R$151,VLOOKUP(AW1082,Foundation_Calc!$I$2:$J$8,2,FALSE),0),"")))</f>
        <v/>
      </c>
      <c r="BA1082" s="495" t="str">
        <f t="shared" si="137"/>
        <v>ü</v>
      </c>
      <c r="BB1082" s="495" t="str">
        <f t="shared" si="138"/>
        <v/>
      </c>
      <c r="BC1082" s="495" t="str">
        <f t="shared" si="139"/>
        <v/>
      </c>
      <c r="BD1082" s="513" t="str">
        <f>IF(AND(L1082="",H1082=""),"",
IF(H1082="",Pole_Calc!A$9,
IF(H1082="MP",Pole_Calc!A$10,
IF(H1082="AnMP",Pole_Calc!A$11,
IF(H1082="A",Pole_Calc!A$12,
IF(H1082="S/A",Pole_Calc!A$13,
IF(H1082="A/S",Pole_Calc!A$14,"Poner a mano")))))))</f>
        <v>App.7-V11I-P9.5.1.1</v>
      </c>
      <c r="BE1082" s="429" t="s">
        <v>118</v>
      </c>
      <c r="BF1082" s="289"/>
      <c r="BG1082" s="289"/>
      <c r="BH1082" s="290"/>
      <c r="BI1082" s="289"/>
    </row>
    <row r="1083" spans="1:61" ht="15.75" customHeight="1">
      <c r="A1083" s="518"/>
      <c r="B1083" s="450"/>
      <c r="C1083" s="3"/>
      <c r="D1083" s="83"/>
      <c r="E1083" s="4"/>
      <c r="F1083" s="4"/>
      <c r="G1083" s="6">
        <v>62</v>
      </c>
      <c r="H1083" s="449"/>
      <c r="I1083" s="4"/>
      <c r="J1083" s="3">
        <f>C1084-7.5</f>
        <v>56509.62000000001</v>
      </c>
      <c r="K1083" s="449" t="s">
        <v>117</v>
      </c>
      <c r="L1083" s="449"/>
      <c r="M1083" s="449" t="str">
        <f>IF(L1083="","",
IF(AX1083="PT",VLOOKUP(L1083,Foundation_Calc!$V$79:$X$113,VLOOKUP(AX1083,Foundation_Calc!$I$10:$J$13,2,FALSE),0),
IF(AX1083="K",VLOOKUP(L1083,Foundation_Calc!$V$117:$X$151,VLOOKUP(AX1083,Foundation_Calc!$I$10:$J$13,2,FALSE),0),"")))</f>
        <v/>
      </c>
      <c r="N1083" s="449"/>
      <c r="O1083" s="449"/>
      <c r="P1083" s="449"/>
      <c r="Q1083" s="4"/>
      <c r="R1083" s="6"/>
      <c r="S1083" s="6"/>
      <c r="T1083" s="4"/>
      <c r="U1083" s="4"/>
      <c r="V1083" s="4"/>
      <c r="W1083" s="9"/>
      <c r="X1083" s="9"/>
      <c r="Y1083" s="9"/>
      <c r="Z1083" s="9"/>
      <c r="AA1083" s="9"/>
      <c r="AB1083" s="9"/>
      <c r="AC1083" s="449" t="str">
        <f t="shared" si="136"/>
        <v/>
      </c>
      <c r="AD1083" s="449"/>
      <c r="AE1083" s="449"/>
      <c r="AF1083" s="4"/>
      <c r="AG1083" s="83"/>
      <c r="AH1083" s="4"/>
      <c r="AI1083" s="4"/>
      <c r="AJ1083" s="449"/>
      <c r="AK1083" s="449"/>
      <c r="AL1083" s="449"/>
      <c r="AM1083" s="449"/>
      <c r="AN1083" s="10"/>
      <c r="AO1083" s="9"/>
      <c r="AP1083" s="9"/>
      <c r="AQ1083" s="9">
        <f>+FL_1($T$1084,$T$1082,$G$1083,1200,9.28, 1*$F$1084)</f>
        <v>0.45400350967741931</v>
      </c>
      <c r="AR1083" s="9"/>
      <c r="AS1083" s="9"/>
      <c r="AT1083" s="9"/>
      <c r="AU1083" s="428"/>
      <c r="AV1083" s="428"/>
      <c r="AW1083" s="449" t="str">
        <f>IF(C1083&gt;0,VLOOKUP(C1083,Foundation_Calc!$A$2:$C$13,3,1),
IF(J1083&gt;0,VLOOKUP(J1083,Foundation_Calc!$A$2:$C$13,3,1),""))</f>
        <v>Multi Soil</v>
      </c>
      <c r="AX1083" s="449" t="str">
        <f>IF(C1083&gt;0,VLOOKUP(C1083,Foundation_Calc!$E$35:$G$65,3,1),
IF(J1083&gt;0,VLOOKUP(J1083,Foundation_Calc!$E$35:$G$65,3,1),""))</f>
        <v>PT</v>
      </c>
      <c r="AY1083" s="10" t="str">
        <f>IF(L1083="","",
IF(AX1083="PT",VLOOKUP(L1083,Foundation_Calc!$K$79:$R$113,VLOOKUP(AW1083,Foundation_Calc!$I$2:$J$8,2,FALSE),0),
IF(AX1083="K",VLOOKUP(L1083,Foundation_Calc!$K$117:$R$151,VLOOKUP(AW1083,Foundation_Calc!$I$2:$J$8,2,FALSE),0),"")))</f>
        <v/>
      </c>
      <c r="AZ1083" s="10">
        <f>IF(K1083="","",
IF(AX1083="PT",VLOOKUP(K1083,Foundation_Calc!$K$79:$R$113,VLOOKUP(AW1083,Foundation_Calc!$I$2:$J$8,2,FALSE),0),
IF(AX1083="K",VLOOKUP(K1083,Foundation_Calc!$K$117:$R$151,VLOOKUP(AW1083,Foundation_Calc!$I$2:$J$8,2,FALSE),0),"")))</f>
        <v>3.9</v>
      </c>
      <c r="BA1083" s="495" t="str">
        <f t="shared" si="137"/>
        <v/>
      </c>
      <c r="BB1083" s="495" t="str">
        <f t="shared" si="138"/>
        <v>ü</v>
      </c>
      <c r="BC1083" s="495" t="str">
        <f t="shared" si="139"/>
        <v/>
      </c>
      <c r="BD1083" s="513" t="str">
        <f>IF(AND(L1083="",H1083=""),"",
IF(H1083="",Pole_Calc!A$9,
IF(H1083="MP",Pole_Calc!A$10,
IF(H1083="AnMP",Pole_Calc!A$11,
IF(H1083="A",Pole_Calc!A$12,
IF(H1083="S/A",Pole_Calc!A$13,
IF(H1083="A/S",Pole_Calc!A$14,"Poner a mano")))))))</f>
        <v/>
      </c>
      <c r="BE1083" s="429" t="s">
        <v>118</v>
      </c>
      <c r="BF1083" s="290"/>
      <c r="BG1083" s="290"/>
      <c r="BH1083" s="290"/>
      <c r="BI1083" s="290"/>
    </row>
    <row r="1084" spans="1:61" ht="15.75" customHeight="1">
      <c r="A1084" s="514"/>
      <c r="B1084" s="450" t="s">
        <v>1501</v>
      </c>
      <c r="C1084" s="3">
        <f>+$C$1082+$G$1083</f>
        <v>56517.12000000001</v>
      </c>
      <c r="D1084" s="83"/>
      <c r="E1084" s="4"/>
      <c r="F1084" s="4">
        <v>0</v>
      </c>
      <c r="G1084" s="6"/>
      <c r="H1084" s="449" t="s">
        <v>121</v>
      </c>
      <c r="I1084" s="4" t="s">
        <v>122</v>
      </c>
      <c r="J1084" s="3"/>
      <c r="K1084" s="449"/>
      <c r="L1084" s="449" t="s">
        <v>151</v>
      </c>
      <c r="M1084" s="449" t="str">
        <f>IF(L1084="","",
IF(AX1084="PT",VLOOKUP(L1084,Foundation_Calc!$V$79:$X$113,VLOOKUP(AX1084,Foundation_Calc!$I$10:$J$13,2,FALSE),0),
IF(AX1084="K",VLOOKUP(L1084,Foundation_Calc!$V$117:$X$151,VLOOKUP(AX1084,Foundation_Calc!$I$10:$J$13,2,FALSE),0),"")))</f>
        <v>C4R</v>
      </c>
      <c r="N1084" s="449" t="s">
        <v>134</v>
      </c>
      <c r="O1084" s="449"/>
      <c r="P1084" s="449"/>
      <c r="Q1084" s="4"/>
      <c r="R1084" s="6"/>
      <c r="S1084" s="6"/>
      <c r="T1084" s="4">
        <v>35</v>
      </c>
      <c r="U1084" s="4"/>
      <c r="V1084" s="4"/>
      <c r="W1084" s="9">
        <v>1.4</v>
      </c>
      <c r="X1084" s="9"/>
      <c r="Y1084" s="9"/>
      <c r="Z1084" s="9"/>
      <c r="AA1084" s="9"/>
      <c r="AB1084" s="9"/>
      <c r="AC1084" s="449" t="str">
        <f t="shared" si="136"/>
        <v>PH</v>
      </c>
      <c r="AD1084" s="449"/>
      <c r="AE1084" s="449"/>
      <c r="AF1084" s="4"/>
      <c r="AG1084" s="83"/>
      <c r="AH1084" s="4"/>
      <c r="AI1084" s="4"/>
      <c r="AJ1084" s="449"/>
      <c r="AK1084" s="449"/>
      <c r="AL1084" s="449"/>
      <c r="AM1084" s="449" t="s">
        <v>552</v>
      </c>
      <c r="AN1084" s="10">
        <v>5.5</v>
      </c>
      <c r="AO1084" s="9"/>
      <c r="AP1084" s="9"/>
      <c r="AQ1084" s="9"/>
      <c r="AR1084" s="9"/>
      <c r="AS1084" s="9"/>
      <c r="AT1084" s="9">
        <f>+ab($T$1084,$T$1082,$U$1086,$G$1083,$G$1085, 1*$F$1084,1200)</f>
        <v>8.4365744899000195</v>
      </c>
      <c r="AU1084" s="428"/>
      <c r="AV1084" s="428"/>
      <c r="AW1084" s="449" t="str">
        <f>IF(C1084&gt;0,VLOOKUP(C1084,Foundation_Calc!$A$2:$C$13,3,1),
IF(J1084&gt;0,VLOOKUP(J1084,Foundation_Calc!$A$2:$C$13,3,1),""))</f>
        <v>Multi Soil</v>
      </c>
      <c r="AX1084" s="449" t="str">
        <f>IF(C1084&gt;0,VLOOKUP(C1084,Foundation_Calc!$E$35:$G$65,3,1),
IF(J1084&gt;0,VLOOKUP(J1084,Foundation_Calc!$E$35:$G$65,3,1),""))</f>
        <v>PT</v>
      </c>
      <c r="AY1084" s="10">
        <f>IF(L1084="","",
IF(AX1084="PT",VLOOKUP(L1084,Foundation_Calc!$K$79:$R$113,VLOOKUP(AW1084,Foundation_Calc!$I$2:$J$8,2,FALSE),0),
IF(AX1084="K",VLOOKUP(L1084,Foundation_Calc!$K$117:$R$151,VLOOKUP(AW1084,Foundation_Calc!$I$2:$J$8,2,FALSE),0),"")))</f>
        <v>3.5</v>
      </c>
      <c r="AZ1084" s="10" t="str">
        <f>IF(K1084="","",
IF(AX1084="PT",VLOOKUP(K1084,Foundation_Calc!$K$79:$R$113,VLOOKUP(AW1084,Foundation_Calc!$I$2:$J$8,2,FALSE),0),
IF(AX1084="K",VLOOKUP(K1084,Foundation_Calc!$K$117:$R$151,VLOOKUP(AW1084,Foundation_Calc!$I$2:$J$8,2,FALSE),0),"")))</f>
        <v/>
      </c>
      <c r="BA1084" s="495" t="str">
        <f t="shared" si="137"/>
        <v>ü</v>
      </c>
      <c r="BB1084" s="495" t="str">
        <f t="shared" si="138"/>
        <v/>
      </c>
      <c r="BC1084" s="495" t="str">
        <f t="shared" si="139"/>
        <v/>
      </c>
      <c r="BD1084" s="513" t="str">
        <f>IF(AND(L1084="",H1084=""),"",
IF(H1084="",Pole_Calc!A$9,
IF(H1084="MP",Pole_Calc!A$10,
IF(H1084="AnMP",Pole_Calc!A$11,
IF(H1084="A",Pole_Calc!A$12,
IF(H1084="S/A",Pole_Calc!A$13,
IF(H1084="A/S",Pole_Calc!A$14,"Poner a mano")))))))</f>
        <v>App.7-V11I-P9.5.1.6</v>
      </c>
      <c r="BE1084" s="429" t="s">
        <v>118</v>
      </c>
      <c r="BF1084" s="289"/>
      <c r="BG1084" s="289"/>
      <c r="BH1084" s="290"/>
      <c r="BI1084" s="289"/>
    </row>
    <row r="1085" spans="1:61" ht="15.75" customHeight="1">
      <c r="A1085" s="514"/>
      <c r="B1085" s="450"/>
      <c r="C1085" s="3"/>
      <c r="D1085" s="83"/>
      <c r="E1085" s="4"/>
      <c r="F1085" s="4"/>
      <c r="G1085" s="6">
        <v>62</v>
      </c>
      <c r="H1085" s="449"/>
      <c r="I1085" s="4"/>
      <c r="J1085" s="3"/>
      <c r="K1085" s="449"/>
      <c r="L1085" s="449"/>
      <c r="M1085" s="449" t="str">
        <f>IF(L1085="","",
IF(AX1085="PT",VLOOKUP(L1085,Foundation_Calc!$V$79:$X$113,VLOOKUP(AX1085,Foundation_Calc!$I$10:$J$13,2,FALSE),0),
IF(AX1085="K",VLOOKUP(L1085,Foundation_Calc!$V$117:$X$151,VLOOKUP(AX1085,Foundation_Calc!$I$10:$J$13,2,FALSE),0),"")))</f>
        <v/>
      </c>
      <c r="N1085" s="449"/>
      <c r="O1085" s="449"/>
      <c r="P1085" s="449"/>
      <c r="Q1085" s="4"/>
      <c r="R1085" s="6"/>
      <c r="S1085" s="6"/>
      <c r="T1085" s="4"/>
      <c r="U1085" s="4"/>
      <c r="V1085" s="4"/>
      <c r="W1085" s="9"/>
      <c r="X1085" s="9"/>
      <c r="Y1085" s="9"/>
      <c r="Z1085" s="9"/>
      <c r="AA1085" s="9"/>
      <c r="AB1085" s="9"/>
      <c r="AC1085" s="449" t="str">
        <f t="shared" si="136"/>
        <v/>
      </c>
      <c r="AD1085" s="449"/>
      <c r="AE1085" s="449"/>
      <c r="AF1085" s="4"/>
      <c r="AG1085" s="83"/>
      <c r="AH1085" s="4"/>
      <c r="AI1085" s="4"/>
      <c r="AJ1085" s="449"/>
      <c r="AK1085" s="449"/>
      <c r="AL1085" s="449"/>
      <c r="AM1085" s="449"/>
      <c r="AN1085" s="10"/>
      <c r="AO1085" s="9"/>
      <c r="AP1085" s="9"/>
      <c r="AQ1085" s="9">
        <f>+FL_2($U$1086,$T$1084,$G$1085,1200,9.28, 1*$F$1086)</f>
        <v>-0.45400350967741931</v>
      </c>
      <c r="AR1085" s="9"/>
      <c r="AS1085" s="9"/>
      <c r="AT1085" s="9"/>
      <c r="AU1085" s="428"/>
      <c r="AV1085" s="428"/>
      <c r="AW1085" s="449" t="str">
        <f>IF(C1085&gt;0,VLOOKUP(C1085,Foundation_Calc!$A$2:$C$13,3,1),
IF(J1085&gt;0,VLOOKUP(J1085,Foundation_Calc!$A$2:$C$13,3,1),""))</f>
        <v/>
      </c>
      <c r="AX1085" s="449" t="str">
        <f>IF(C1085&gt;0,VLOOKUP(C1085,Foundation_Calc!$E$35:$G$65,3,1),
IF(J1085&gt;0,VLOOKUP(J1085,Foundation_Calc!$E$35:$G$65,3,1),""))</f>
        <v/>
      </c>
      <c r="AY1085" s="10" t="str">
        <f>IF(L1085="","",
IF(AX1085="PT",VLOOKUP(L1085,Foundation_Calc!$K$79:$R$113,VLOOKUP(AW1085,Foundation_Calc!$I$2:$J$8,2,FALSE),0),
IF(AX1085="K",VLOOKUP(L1085,Foundation_Calc!$K$117:$R$151,VLOOKUP(AW1085,Foundation_Calc!$I$2:$J$8,2,FALSE),0),"")))</f>
        <v/>
      </c>
      <c r="AZ1085" s="10" t="str">
        <f>IF(K1085="","",
IF(AX1085="PT",VLOOKUP(K1085,Foundation_Calc!$K$79:$R$113,VLOOKUP(AW1085,Foundation_Calc!$I$2:$J$8,2,FALSE),0),
IF(AX1085="K",VLOOKUP(K1085,Foundation_Calc!$K$117:$R$151,VLOOKUP(AW1085,Foundation_Calc!$I$2:$J$8,2,FALSE),0),"")))</f>
        <v/>
      </c>
      <c r="BA1085" s="495" t="str">
        <f t="shared" si="137"/>
        <v/>
      </c>
      <c r="BB1085" s="495" t="str">
        <f t="shared" si="138"/>
        <v/>
      </c>
      <c r="BC1085" s="495" t="str">
        <f t="shared" si="139"/>
        <v/>
      </c>
      <c r="BD1085" s="513" t="str">
        <f>IF(AND(L1085="",H1085=""),"",
IF(H1085="",Pole_Calc!A$9,
IF(H1085="MP",Pole_Calc!A$10,
IF(H1085="AnMP",Pole_Calc!A$11,
IF(H1085="A",Pole_Calc!A$12,
IF(H1085="S/A",Pole_Calc!A$13,
IF(H1085="A/S",Pole_Calc!A$14,"Poner a mano")))))))</f>
        <v/>
      </c>
      <c r="BE1085" s="429" t="s">
        <v>118</v>
      </c>
      <c r="BF1085" s="290"/>
      <c r="BG1085" s="290"/>
      <c r="BH1085" s="290"/>
      <c r="BI1085" s="290"/>
    </row>
    <row r="1086" spans="1:61" ht="15.75" customHeight="1">
      <c r="A1086" s="514"/>
      <c r="B1086" s="450" t="s">
        <v>1502</v>
      </c>
      <c r="C1086" s="3">
        <f>+$C$1084+$G$1085</f>
        <v>56579.12000000001</v>
      </c>
      <c r="D1086" s="83"/>
      <c r="E1086" s="4"/>
      <c r="F1086" s="4">
        <v>0</v>
      </c>
      <c r="G1086" s="6"/>
      <c r="H1086" s="449" t="s">
        <v>131</v>
      </c>
      <c r="I1086" s="4"/>
      <c r="J1086" s="3"/>
      <c r="K1086" s="449"/>
      <c r="L1086" s="449" t="s">
        <v>158</v>
      </c>
      <c r="M1086" s="449" t="str">
        <f>IF(L1086="","",
IF(AX1086="PT",VLOOKUP(L1086,Foundation_Calc!$V$79:$X$113,VLOOKUP(AX1086,Foundation_Calc!$I$10:$J$13,2,FALSE),0),
IF(AX1086="K",VLOOKUP(L1086,Foundation_Calc!$V$117:$X$151,VLOOKUP(AX1086,Foundation_Calc!$I$10:$J$13,2,FALSE),0),"")))</f>
        <v>C4R</v>
      </c>
      <c r="N1086" s="449" t="s">
        <v>133</v>
      </c>
      <c r="O1086" s="449" t="s">
        <v>124</v>
      </c>
      <c r="P1086" s="449"/>
      <c r="Q1086" s="4"/>
      <c r="R1086" s="6"/>
      <c r="S1086" s="6"/>
      <c r="T1086" s="4">
        <v>-15</v>
      </c>
      <c r="U1086" s="4">
        <v>-35</v>
      </c>
      <c r="V1086" s="4"/>
      <c r="W1086" s="9">
        <v>1.4</v>
      </c>
      <c r="X1086" s="9">
        <v>2.2999999999999998</v>
      </c>
      <c r="Y1086" s="9"/>
      <c r="Z1086" s="9">
        <v>0.6</v>
      </c>
      <c r="AA1086" s="9"/>
      <c r="AB1086" s="9"/>
      <c r="AC1086" s="449"/>
      <c r="AD1086" s="449"/>
      <c r="AE1086" s="449"/>
      <c r="AF1086" s="4"/>
      <c r="AG1086" s="83"/>
      <c r="AH1086" s="4"/>
      <c r="AI1086" s="4"/>
      <c r="AJ1086" s="449"/>
      <c r="AK1086" s="449"/>
      <c r="AL1086" s="449"/>
      <c r="AM1086" s="449" t="s">
        <v>552</v>
      </c>
      <c r="AN1086" s="10">
        <v>5.5</v>
      </c>
      <c r="AO1086" s="9"/>
      <c r="AP1086" s="9"/>
      <c r="AQ1086" s="9"/>
      <c r="AR1086" s="9"/>
      <c r="AS1086" s="9"/>
      <c r="AT1086" s="9">
        <f>+ab($U$1086,$T$1084,$U$1088,$G$1085,$G$1087, 1*$F$1086,1200)</f>
        <v>-9.817269950503789</v>
      </c>
      <c r="AU1086" s="428"/>
      <c r="AV1086" s="428"/>
      <c r="AW1086" s="449" t="str">
        <f>IF(C1086&gt;0,VLOOKUP(C1086,Foundation_Calc!$A$2:$C$13,3,1),
IF(J1086&gt;0,VLOOKUP(J1086,Foundation_Calc!$A$2:$C$13,3,1),""))</f>
        <v>Multi Soil</v>
      </c>
      <c r="AX1086" s="449" t="str">
        <f>IF(C1086&gt;0,VLOOKUP(C1086,Foundation_Calc!$E$35:$G$65,3,1),
IF(J1086&gt;0,VLOOKUP(J1086,Foundation_Calc!$E$35:$G$65,3,1),""))</f>
        <v>PT</v>
      </c>
      <c r="AY1086" s="10">
        <f>IF(L1086="","",
IF(AX1086="PT",VLOOKUP(L1086,Foundation_Calc!$K$79:$R$113,VLOOKUP(AW1086,Foundation_Calc!$I$2:$J$8,2,FALSE),0),
IF(AX1086="K",VLOOKUP(L1086,Foundation_Calc!$K$117:$R$151,VLOOKUP(AW1086,Foundation_Calc!$I$2:$J$8,2,FALSE),0),"")))</f>
        <v>3.5</v>
      </c>
      <c r="AZ1086" s="10" t="str">
        <f>IF(K1086="","",
IF(AX1086="PT",VLOOKUP(K1086,Foundation_Calc!$K$79:$R$113,VLOOKUP(AW1086,Foundation_Calc!$I$2:$J$8,2,FALSE),0),
IF(AX1086="K",VLOOKUP(K1086,Foundation_Calc!$K$117:$R$151,VLOOKUP(AW1086,Foundation_Calc!$I$2:$J$8,2,FALSE),0),"")))</f>
        <v/>
      </c>
      <c r="BA1086" s="495" t="str">
        <f t="shared" si="137"/>
        <v>ü</v>
      </c>
      <c r="BB1086" s="495" t="str">
        <f t="shared" si="138"/>
        <v/>
      </c>
      <c r="BC1086" s="495" t="str">
        <f t="shared" si="139"/>
        <v/>
      </c>
      <c r="BD1086" s="513" t="str">
        <f>IF(AND(L1086="",H1086=""),"",
IF(H1086="",Pole_Calc!A$9,
IF(H1086="MP",Pole_Calc!A$10,
IF(H1086="AnMP",Pole_Calc!A$11,
IF(H1086="A",Pole_Calc!A$12,
IF(H1086="S/A",Pole_Calc!A$13,
IF(H1086="A/S",Pole_Calc!A$14,"Poner a mano")))))))</f>
        <v>App.7-V11I-P9.5.1.5</v>
      </c>
      <c r="BE1086" s="429" t="s">
        <v>118</v>
      </c>
      <c r="BF1086" s="289"/>
      <c r="BG1086" s="289"/>
      <c r="BH1086" s="290"/>
      <c r="BI1086" s="289"/>
    </row>
    <row r="1087" spans="1:61" ht="15.75" customHeight="1">
      <c r="A1087" s="514"/>
      <c r="B1087" s="450"/>
      <c r="C1087" s="3"/>
      <c r="D1087" s="83"/>
      <c r="E1087" s="4"/>
      <c r="F1087" s="4"/>
      <c r="G1087" s="6">
        <v>62</v>
      </c>
      <c r="H1087" s="449"/>
      <c r="I1087" s="4" t="s">
        <v>549</v>
      </c>
      <c r="J1087" s="3">
        <f>C1088-7.5</f>
        <v>56633.62000000001</v>
      </c>
      <c r="K1087" s="449" t="s">
        <v>166</v>
      </c>
      <c r="L1087" s="449"/>
      <c r="M1087" s="449" t="str">
        <f>IF(L1087="","",
IF(AX1087="PT",VLOOKUP(L1087,Foundation_Calc!$V$79:$X$113,VLOOKUP(AX1087,Foundation_Calc!$I$10:$J$13,2,FALSE),0),
IF(AX1087="K",VLOOKUP(L1087,Foundation_Calc!$V$117:$X$151,VLOOKUP(AX1087,Foundation_Calc!$I$10:$J$13,2,FALSE),0),"")))</f>
        <v/>
      </c>
      <c r="N1087" s="449"/>
      <c r="O1087" s="561"/>
      <c r="P1087" s="449"/>
      <c r="Q1087" s="4"/>
      <c r="R1087" s="6"/>
      <c r="S1087" s="6"/>
      <c r="T1087" s="4"/>
      <c r="U1087" s="4"/>
      <c r="V1087" s="4"/>
      <c r="W1087" s="9"/>
      <c r="X1087" s="9"/>
      <c r="Y1087" s="9"/>
      <c r="Z1087" s="9"/>
      <c r="AA1087" s="9"/>
      <c r="AB1087" s="9"/>
      <c r="AC1087" s="449" t="str">
        <f t="shared" si="136"/>
        <v/>
      </c>
      <c r="AD1087" s="449"/>
      <c r="AE1087" s="449"/>
      <c r="AF1087" s="4"/>
      <c r="AG1087" s="83"/>
      <c r="AH1087" s="4"/>
      <c r="AI1087" s="4"/>
      <c r="AJ1087" s="449"/>
      <c r="AK1087" s="449"/>
      <c r="AL1087" s="449"/>
      <c r="AM1087" s="449"/>
      <c r="AN1087" s="10"/>
      <c r="AO1087" s="9"/>
      <c r="AP1087" s="9"/>
      <c r="AQ1087" s="9">
        <f>+FL_1($T$1088,$U$1086,$G$1087,1200,9.28, 1*$F$1088)</f>
        <v>0.45400350967741931</v>
      </c>
      <c r="AR1087" s="9"/>
      <c r="AS1087" s="9"/>
      <c r="AT1087" s="9"/>
      <c r="AU1087" s="428"/>
      <c r="AV1087" s="428"/>
      <c r="AW1087" s="449" t="str">
        <f>IF(C1087&gt;0,VLOOKUP(C1087,Foundation_Calc!$A$2:$C$13,3,1),
IF(J1087&gt;0,VLOOKUP(J1087,Foundation_Calc!$A$2:$C$13,3,1),""))</f>
        <v>Multi Soil</v>
      </c>
      <c r="AX1087" s="449" t="str">
        <f>IF(C1087&gt;0,VLOOKUP(C1087,Foundation_Calc!$E$35:$G$65,3,1),
IF(J1087&gt;0,VLOOKUP(J1087,Foundation_Calc!$E$35:$G$65,3,1),""))</f>
        <v>PT</v>
      </c>
      <c r="AY1087" s="10" t="str">
        <f>IF(L1087="","",
IF(AX1087="PT",VLOOKUP(L1087,Foundation_Calc!$K$79:$R$113,VLOOKUP(AW1087,Foundation_Calc!$I$2:$J$8,2,FALSE),0),
IF(AX1087="K",VLOOKUP(L1087,Foundation_Calc!$K$117:$R$151,VLOOKUP(AW1087,Foundation_Calc!$I$2:$J$8,2,FALSE),0),"")))</f>
        <v/>
      </c>
      <c r="AZ1087" s="10">
        <f>IF(K1087="","",
IF(AX1087="PT",VLOOKUP(K1087,Foundation_Calc!$K$79:$R$113,VLOOKUP(AW1087,Foundation_Calc!$I$2:$J$8,2,FALSE),0),
IF(AX1087="K",VLOOKUP(K1087,Foundation_Calc!$K$117:$R$151,VLOOKUP(AW1087,Foundation_Calc!$I$2:$J$8,2,FALSE),0),"")))</f>
        <v>2.8</v>
      </c>
      <c r="BA1087" s="495" t="str">
        <f t="shared" si="137"/>
        <v/>
      </c>
      <c r="BB1087" s="495" t="str">
        <f t="shared" si="138"/>
        <v>ü</v>
      </c>
      <c r="BC1087" s="495" t="str">
        <f t="shared" si="139"/>
        <v/>
      </c>
      <c r="BD1087" s="513" t="str">
        <f>IF(AND(L1087="",H1087=""),"",
IF(H1087="",Pole_Calc!A$9,
IF(H1087="MP",Pole_Calc!A$10,
IF(H1087="AnMP",Pole_Calc!A$11,
IF(H1087="A",Pole_Calc!A$12,
IF(H1087="S/A",Pole_Calc!A$13,
IF(H1087="A/S",Pole_Calc!A$14,"Poner a mano")))))))</f>
        <v/>
      </c>
      <c r="BE1087" s="429" t="s">
        <v>118</v>
      </c>
      <c r="BF1087" s="290"/>
      <c r="BG1087" s="290"/>
      <c r="BH1087" s="290"/>
      <c r="BI1087" s="290"/>
    </row>
    <row r="1088" spans="1:61" ht="15.75" customHeight="1">
      <c r="A1088" s="514"/>
      <c r="B1088" s="450" t="s">
        <v>1503</v>
      </c>
      <c r="C1088" s="3">
        <f>+$C$1086+$G$1087</f>
        <v>56641.12000000001</v>
      </c>
      <c r="D1088" s="83"/>
      <c r="E1088" s="4"/>
      <c r="F1088" s="4">
        <v>0</v>
      </c>
      <c r="G1088" s="6"/>
      <c r="H1088" s="449" t="s">
        <v>131</v>
      </c>
      <c r="I1088" s="4"/>
      <c r="J1088" s="3"/>
      <c r="K1088" s="449"/>
      <c r="L1088" s="449" t="s">
        <v>158</v>
      </c>
      <c r="M1088" s="449" t="str">
        <f>IF(L1088="","",
IF(AX1088="PT",VLOOKUP(L1088,Foundation_Calc!$V$79:$X$113,VLOOKUP(AX1088,Foundation_Calc!$I$10:$J$13,2,FALSE),0),
IF(AX1088="K",VLOOKUP(L1088,Foundation_Calc!$V$117:$X$151,VLOOKUP(AX1088,Foundation_Calc!$I$10:$J$13,2,FALSE),0),"")))</f>
        <v>C4R</v>
      </c>
      <c r="N1088" s="449" t="s">
        <v>134</v>
      </c>
      <c r="O1088" s="449" t="s">
        <v>133</v>
      </c>
      <c r="P1088" s="449"/>
      <c r="Q1088" s="4"/>
      <c r="R1088" s="6"/>
      <c r="S1088" s="6"/>
      <c r="T1088" s="4">
        <v>35</v>
      </c>
      <c r="U1088" s="4">
        <v>15</v>
      </c>
      <c r="V1088" s="4"/>
      <c r="W1088" s="9">
        <v>1.4</v>
      </c>
      <c r="X1088" s="9">
        <v>2.2999999999999998</v>
      </c>
      <c r="Y1088" s="9"/>
      <c r="Z1088" s="9"/>
      <c r="AA1088" s="9">
        <v>0.6</v>
      </c>
      <c r="AB1088" s="9"/>
      <c r="AC1088" s="449" t="str">
        <f t="shared" si="136"/>
        <v>PH</v>
      </c>
      <c r="AD1088" s="449"/>
      <c r="AE1088" s="449"/>
      <c r="AF1088" s="4"/>
      <c r="AG1088" s="83"/>
      <c r="AH1088" s="4"/>
      <c r="AI1088" s="4"/>
      <c r="AJ1088" s="449"/>
      <c r="AK1088" s="449"/>
      <c r="AL1088" s="449"/>
      <c r="AM1088" s="449" t="s">
        <v>126</v>
      </c>
      <c r="AN1088" s="10">
        <v>5.5</v>
      </c>
      <c r="AO1088" s="9"/>
      <c r="AP1088" s="9"/>
      <c r="AQ1088" s="9"/>
      <c r="AR1088" s="9"/>
      <c r="AS1088" s="9"/>
      <c r="AT1088" s="9">
        <f>+ab($T$1088,$T$1086,$T$1090,$G$1087,$G$1089, 1*$F$1088,1200)</f>
        <v>9.8172082785389527</v>
      </c>
      <c r="AU1088" s="428"/>
      <c r="AV1088" s="428"/>
      <c r="AW1088" s="449" t="str">
        <f>IF(C1088&gt;0,VLOOKUP(C1088,Foundation_Calc!$A$2:$C$13,3,1),
IF(J1088&gt;0,VLOOKUP(J1088,Foundation_Calc!$A$2:$C$13,3,1),""))</f>
        <v>Multi Soil</v>
      </c>
      <c r="AX1088" s="449" t="str">
        <f>IF(C1088&gt;0,VLOOKUP(C1088,Foundation_Calc!$E$35:$G$65,3,1),
IF(J1088&gt;0,VLOOKUP(J1088,Foundation_Calc!$E$35:$G$65,3,1),""))</f>
        <v>PT</v>
      </c>
      <c r="AY1088" s="10">
        <f>IF(L1088="","",
IF(AX1088="PT",VLOOKUP(L1088,Foundation_Calc!$K$79:$R$113,VLOOKUP(AW1088,Foundation_Calc!$I$2:$J$8,2,FALSE),0),
IF(AX1088="K",VLOOKUP(L1088,Foundation_Calc!$K$117:$R$151,VLOOKUP(AW1088,Foundation_Calc!$I$2:$J$8,2,FALSE),0),"")))</f>
        <v>3.5</v>
      </c>
      <c r="AZ1088" s="10" t="str">
        <f>IF(K1088="","",
IF(AX1088="PT",VLOOKUP(K1088,Foundation_Calc!$K$79:$R$113,VLOOKUP(AW1088,Foundation_Calc!$I$2:$J$8,2,FALSE),0),
IF(AX1088="K",VLOOKUP(K1088,Foundation_Calc!$K$117:$R$151,VLOOKUP(AW1088,Foundation_Calc!$I$2:$J$8,2,FALSE),0),"")))</f>
        <v/>
      </c>
      <c r="BA1088" s="495" t="str">
        <f t="shared" si="137"/>
        <v>ü</v>
      </c>
      <c r="BB1088" s="495" t="str">
        <f t="shared" si="138"/>
        <v/>
      </c>
      <c r="BC1088" s="495" t="str">
        <f t="shared" si="139"/>
        <v/>
      </c>
      <c r="BD1088" s="513" t="str">
        <f>IF(AND(L1088="",H1088=""),"",
IF(H1088="",Pole_Calc!A$9,
IF(H1088="MP",Pole_Calc!A$10,
IF(H1088="AnMP",Pole_Calc!A$11,
IF(H1088="A",Pole_Calc!A$12,
IF(H1088="S/A",Pole_Calc!A$13,
IF(H1088="A/S",Pole_Calc!A$14,"Poner a mano")))))))</f>
        <v>App.7-V11I-P9.5.1.5</v>
      </c>
      <c r="BE1088" s="429" t="s">
        <v>118</v>
      </c>
      <c r="BF1088" s="289"/>
      <c r="BG1088" s="289"/>
      <c r="BH1088" s="290"/>
      <c r="BI1088" s="289"/>
    </row>
    <row r="1089" spans="1:61" ht="15.75" customHeight="1">
      <c r="A1089" s="518"/>
      <c r="B1089" s="450"/>
      <c r="C1089" s="3"/>
      <c r="D1089" s="83"/>
      <c r="E1089" s="4"/>
      <c r="F1089" s="4"/>
      <c r="G1089" s="6">
        <v>62</v>
      </c>
      <c r="H1089" s="449"/>
      <c r="I1089" s="4" t="s">
        <v>549</v>
      </c>
      <c r="J1089" s="3">
        <f>C1088+7.5</f>
        <v>56648.62000000001</v>
      </c>
      <c r="K1089" s="449" t="s">
        <v>166</v>
      </c>
      <c r="L1089" s="449"/>
      <c r="M1089" s="449" t="str">
        <f>IF(L1089="","",
IF(AX1089="PT",VLOOKUP(L1089,Foundation_Calc!$V$79:$X$113,VLOOKUP(AX1089,Foundation_Calc!$I$10:$J$13,2,FALSE),0),
IF(AX1089="K",VLOOKUP(L1089,Foundation_Calc!$V$117:$X$151,VLOOKUP(AX1089,Foundation_Calc!$I$10:$J$13,2,FALSE),0),"")))</f>
        <v/>
      </c>
      <c r="N1089" s="449"/>
      <c r="O1089" s="449"/>
      <c r="P1089" s="449"/>
      <c r="Q1089" s="4"/>
      <c r="R1089" s="6"/>
      <c r="S1089" s="6"/>
      <c r="T1089" s="4"/>
      <c r="U1089" s="4"/>
      <c r="V1089" s="4"/>
      <c r="W1089" s="9"/>
      <c r="X1089" s="9"/>
      <c r="Y1089" s="9"/>
      <c r="Z1089" s="9"/>
      <c r="AA1089" s="9"/>
      <c r="AB1089" s="9"/>
      <c r="AC1089" s="449" t="str">
        <f t="shared" si="136"/>
        <v/>
      </c>
      <c r="AD1089" s="449"/>
      <c r="AE1089" s="449"/>
      <c r="AF1089" s="4"/>
      <c r="AG1089" s="83"/>
      <c r="AH1089" s="4"/>
      <c r="AI1089" s="4"/>
      <c r="AJ1089" s="449"/>
      <c r="AK1089" s="449"/>
      <c r="AL1089" s="449"/>
      <c r="AM1089" s="449"/>
      <c r="AN1089" s="10"/>
      <c r="AO1089" s="9"/>
      <c r="AP1089" s="9"/>
      <c r="AQ1089" s="9">
        <f>+FL_2($T$1090,$T$1088,$G$1089,1200,9.28, 1*$F$1090)</f>
        <v>-0.45400350967741931</v>
      </c>
      <c r="AR1089" s="9"/>
      <c r="AS1089" s="9"/>
      <c r="AT1089" s="9"/>
      <c r="AU1089" s="428"/>
      <c r="AV1089" s="428"/>
      <c r="AW1089" s="449" t="str">
        <f>IF(C1089&gt;0,VLOOKUP(C1089,Foundation_Calc!$A$2:$C$13,3,1),
IF(J1089&gt;0,VLOOKUP(J1089,Foundation_Calc!$A$2:$C$13,3,1),""))</f>
        <v>Multi Soil</v>
      </c>
      <c r="AX1089" s="449" t="str">
        <f>IF(C1089&gt;0,VLOOKUP(C1089,Foundation_Calc!$E$35:$G$65,3,1),
IF(J1089&gt;0,VLOOKUP(J1089,Foundation_Calc!$E$35:$G$65,3,1),""))</f>
        <v>PT</v>
      </c>
      <c r="AY1089" s="10" t="str">
        <f>IF(L1089="","",
IF(AX1089="PT",VLOOKUP(L1089,Foundation_Calc!$K$79:$R$113,VLOOKUP(AW1089,Foundation_Calc!$I$2:$J$8,2,FALSE),0),
IF(AX1089="K",VLOOKUP(L1089,Foundation_Calc!$K$117:$R$151,VLOOKUP(AW1089,Foundation_Calc!$I$2:$J$8,2,FALSE),0),"")))</f>
        <v/>
      </c>
      <c r="AZ1089" s="10">
        <f>IF(K1089="","",
IF(AX1089="PT",VLOOKUP(K1089,Foundation_Calc!$K$79:$R$113,VLOOKUP(AW1089,Foundation_Calc!$I$2:$J$8,2,FALSE),0),
IF(AX1089="K",VLOOKUP(K1089,Foundation_Calc!$K$117:$R$151,VLOOKUP(AW1089,Foundation_Calc!$I$2:$J$8,2,FALSE),0),"")))</f>
        <v>2.8</v>
      </c>
      <c r="BA1089" s="495" t="str">
        <f t="shared" si="137"/>
        <v/>
      </c>
      <c r="BB1089" s="495" t="str">
        <f t="shared" si="138"/>
        <v>ü</v>
      </c>
      <c r="BC1089" s="495" t="str">
        <f t="shared" si="139"/>
        <v/>
      </c>
      <c r="BD1089" s="513" t="str">
        <f>IF(AND(L1089="",H1089=""),"",
IF(H1089="",Pole_Calc!A$9,
IF(H1089="MP",Pole_Calc!A$10,
IF(H1089="AnMP",Pole_Calc!A$11,
IF(H1089="A",Pole_Calc!A$12,
IF(H1089="S/A",Pole_Calc!A$13,
IF(H1089="A/S",Pole_Calc!A$14,"Poner a mano")))))))</f>
        <v/>
      </c>
      <c r="BE1089" s="429" t="s">
        <v>118</v>
      </c>
      <c r="BF1089" s="290"/>
      <c r="BG1089" s="290"/>
      <c r="BH1089" s="290"/>
      <c r="BI1089" s="290"/>
    </row>
    <row r="1090" spans="1:61" ht="15.75" customHeight="1">
      <c r="A1090" s="514"/>
      <c r="B1090" s="450" t="s">
        <v>1504</v>
      </c>
      <c r="C1090" s="3">
        <f>+$C$1088+$G$1089</f>
        <v>56703.12000000001</v>
      </c>
      <c r="D1090" s="83"/>
      <c r="E1090" s="4"/>
      <c r="F1090" s="4">
        <v>0</v>
      </c>
      <c r="G1090" s="6"/>
      <c r="H1090" s="449" t="s">
        <v>121</v>
      </c>
      <c r="I1090" s="4" t="s">
        <v>122</v>
      </c>
      <c r="J1090" s="3"/>
      <c r="K1090" s="449"/>
      <c r="L1090" s="449" t="s">
        <v>151</v>
      </c>
      <c r="M1090" s="449" t="str">
        <f>IF(L1090="","",
IF(AX1090="PT",VLOOKUP(L1090,Foundation_Calc!$V$79:$X$113,VLOOKUP(AX1090,Foundation_Calc!$I$10:$J$13,2,FALSE),0),
IF(AX1090="K",VLOOKUP(L1090,Foundation_Calc!$V$117:$X$151,VLOOKUP(AX1090,Foundation_Calc!$I$10:$J$13,2,FALSE),0),"")))</f>
        <v>C4R</v>
      </c>
      <c r="N1090" s="449" t="s">
        <v>124</v>
      </c>
      <c r="O1090" s="449"/>
      <c r="P1090" s="449"/>
      <c r="Q1090" s="4"/>
      <c r="R1090" s="6"/>
      <c r="S1090" s="6"/>
      <c r="T1090" s="4">
        <v>-35</v>
      </c>
      <c r="U1090" s="4"/>
      <c r="V1090" s="4"/>
      <c r="W1090" s="9">
        <v>1.4</v>
      </c>
      <c r="X1090" s="9"/>
      <c r="Y1090" s="9"/>
      <c r="Z1090" s="9"/>
      <c r="AA1090" s="9"/>
      <c r="AB1090" s="9"/>
      <c r="AC1090" s="449" t="str">
        <f t="shared" si="136"/>
        <v>PH</v>
      </c>
      <c r="AD1090" s="449"/>
      <c r="AE1090" s="449"/>
      <c r="AF1090" s="4"/>
      <c r="AG1090" s="83"/>
      <c r="AH1090" s="4"/>
      <c r="AI1090" s="4"/>
      <c r="AJ1090" s="449"/>
      <c r="AK1090" s="449"/>
      <c r="AL1090" s="449"/>
      <c r="AM1090" s="449" t="s">
        <v>126</v>
      </c>
      <c r="AN1090" s="10">
        <v>5.5</v>
      </c>
      <c r="AO1090" s="9"/>
      <c r="AP1090" s="9"/>
      <c r="AQ1090" s="9"/>
      <c r="AR1090" s="9"/>
      <c r="AS1090" s="9"/>
      <c r="AT1090" s="9">
        <f>+ab($T$1090,$T$1088,$T$1092,$G$1089,$G$1091, 1*$F$1090,1200)</f>
        <v>-8.4366201521118445</v>
      </c>
      <c r="AU1090" s="428"/>
      <c r="AV1090" s="428"/>
      <c r="AW1090" s="449" t="str">
        <f>IF(C1090&gt;0,VLOOKUP(C1090,Foundation_Calc!$A$2:$C$13,3,1),
IF(J1090&gt;0,VLOOKUP(J1090,Foundation_Calc!$A$2:$C$13,3,1),""))</f>
        <v>Multi Soil</v>
      </c>
      <c r="AX1090" s="449" t="str">
        <f>IF(C1090&gt;0,VLOOKUP(C1090,Foundation_Calc!$E$35:$G$65,3,1),
IF(J1090&gt;0,VLOOKUP(J1090,Foundation_Calc!$E$35:$G$65,3,1),""))</f>
        <v>PT</v>
      </c>
      <c r="AY1090" s="10">
        <f>IF(L1090="","",
IF(AX1090="PT",VLOOKUP(L1090,Foundation_Calc!$K$79:$R$113,VLOOKUP(AW1090,Foundation_Calc!$I$2:$J$8,2,FALSE),0),
IF(AX1090="K",VLOOKUP(L1090,Foundation_Calc!$K$117:$R$151,VLOOKUP(AW1090,Foundation_Calc!$I$2:$J$8,2,FALSE),0),"")))</f>
        <v>3.5</v>
      </c>
      <c r="AZ1090" s="10" t="str">
        <f>IF(K1090="","",
IF(AX1090="PT",VLOOKUP(K1090,Foundation_Calc!$K$79:$R$113,VLOOKUP(AW1090,Foundation_Calc!$I$2:$J$8,2,FALSE),0),
IF(AX1090="K",VLOOKUP(K1090,Foundation_Calc!$K$117:$R$151,VLOOKUP(AW1090,Foundation_Calc!$I$2:$J$8,2,FALSE),0),"")))</f>
        <v/>
      </c>
      <c r="BA1090" s="495" t="str">
        <f t="shared" si="137"/>
        <v>ü</v>
      </c>
      <c r="BB1090" s="495" t="str">
        <f t="shared" si="138"/>
        <v/>
      </c>
      <c r="BC1090" s="495" t="str">
        <f t="shared" si="139"/>
        <v/>
      </c>
      <c r="BD1090" s="513" t="str">
        <f>IF(AND(L1090="",H1090=""),"",
IF(H1090="",Pole_Calc!A$9,
IF(H1090="MP",Pole_Calc!A$10,
IF(H1090="AnMP",Pole_Calc!A$11,
IF(H1090="A",Pole_Calc!A$12,
IF(H1090="S/A",Pole_Calc!A$13,
IF(H1090="A/S",Pole_Calc!A$14,"Poner a mano")))))))</f>
        <v>App.7-V11I-P9.5.1.6</v>
      </c>
      <c r="BE1090" s="429" t="s">
        <v>118</v>
      </c>
      <c r="BF1090" s="289"/>
      <c r="BG1090" s="289"/>
      <c r="BH1090" s="290"/>
      <c r="BI1090" s="289"/>
    </row>
    <row r="1091" spans="1:61" ht="15.75" customHeight="1">
      <c r="A1091" s="514"/>
      <c r="B1091" s="450"/>
      <c r="C1091" s="3"/>
      <c r="D1091" s="83"/>
      <c r="E1091" s="4"/>
      <c r="F1091" s="4"/>
      <c r="G1091" s="6">
        <v>62</v>
      </c>
      <c r="H1091" s="449"/>
      <c r="I1091" s="4"/>
      <c r="J1091" s="3">
        <f>C1090+7.5</f>
        <v>56710.62000000001</v>
      </c>
      <c r="K1091" s="449" t="s">
        <v>117</v>
      </c>
      <c r="L1091" s="449"/>
      <c r="M1091" s="449" t="str">
        <f>IF(L1091="","",
IF(AX1091="PT",VLOOKUP(L1091,Foundation_Calc!$V$79:$X$113,VLOOKUP(AX1091,Foundation_Calc!$I$10:$J$13,2,FALSE),0),
IF(AX1091="K",VLOOKUP(L1091,Foundation_Calc!$V$117:$X$151,VLOOKUP(AX1091,Foundation_Calc!$I$10:$J$13,2,FALSE),0),"")))</f>
        <v/>
      </c>
      <c r="N1091" s="449"/>
      <c r="O1091" s="449"/>
      <c r="P1091" s="449"/>
      <c r="Q1091" s="4"/>
      <c r="R1091" s="6"/>
      <c r="S1091" s="6"/>
      <c r="T1091" s="4"/>
      <c r="U1091" s="4"/>
      <c r="V1091" s="4"/>
      <c r="W1091" s="9"/>
      <c r="X1091" s="9"/>
      <c r="Y1091" s="9"/>
      <c r="Z1091" s="9"/>
      <c r="AA1091" s="9"/>
      <c r="AB1091" s="9"/>
      <c r="AC1091" s="449" t="str">
        <f t="shared" si="136"/>
        <v/>
      </c>
      <c r="AD1091" s="449"/>
      <c r="AE1091" s="449"/>
      <c r="AF1091" s="4"/>
      <c r="AG1091" s="83"/>
      <c r="AH1091" s="4"/>
      <c r="AI1091" s="4"/>
      <c r="AJ1091" s="449"/>
      <c r="AK1091" s="449"/>
      <c r="AL1091" s="449"/>
      <c r="AM1091" s="449"/>
      <c r="AN1091" s="10"/>
      <c r="AO1091" s="9"/>
      <c r="AP1091" s="9"/>
      <c r="AQ1091" s="9">
        <f>+FL_1($T$1092,$T$1090,$G$1091,1200,9.28, 1*$F$1092)</f>
        <v>0.45400350967741931</v>
      </c>
      <c r="AR1091" s="9"/>
      <c r="AS1091" s="9"/>
      <c r="AT1091" s="9"/>
      <c r="AU1091" s="428"/>
      <c r="AV1091" s="428"/>
      <c r="AW1091" s="449" t="str">
        <f>IF(C1091&gt;0,VLOOKUP(C1091,Foundation_Calc!$A$2:$C$13,3,1),
IF(J1091&gt;0,VLOOKUP(J1091,Foundation_Calc!$A$2:$C$13,3,1),""))</f>
        <v>Multi Soil</v>
      </c>
      <c r="AX1091" s="449" t="str">
        <f>IF(C1091&gt;0,VLOOKUP(C1091,Foundation_Calc!$E$35:$G$65,3,1),
IF(J1091&gt;0,VLOOKUP(J1091,Foundation_Calc!$E$35:$G$65,3,1),""))</f>
        <v>PT</v>
      </c>
      <c r="AY1091" s="10" t="str">
        <f>IF(L1091="","",
IF(AX1091="PT",VLOOKUP(L1091,Foundation_Calc!$K$79:$R$113,VLOOKUP(AW1091,Foundation_Calc!$I$2:$J$8,2,FALSE),0),
IF(AX1091="K",VLOOKUP(L1091,Foundation_Calc!$K$117:$R$151,VLOOKUP(AW1091,Foundation_Calc!$I$2:$J$8,2,FALSE),0),"")))</f>
        <v/>
      </c>
      <c r="AZ1091" s="10">
        <f>IF(K1091="","",
IF(AX1091="PT",VLOOKUP(K1091,Foundation_Calc!$K$79:$R$113,VLOOKUP(AW1091,Foundation_Calc!$I$2:$J$8,2,FALSE),0),
IF(AX1091="K",VLOOKUP(K1091,Foundation_Calc!$K$117:$R$151,VLOOKUP(AW1091,Foundation_Calc!$I$2:$J$8,2,FALSE),0),"")))</f>
        <v>3.9</v>
      </c>
      <c r="BA1091" s="495" t="str">
        <f t="shared" si="137"/>
        <v/>
      </c>
      <c r="BB1091" s="495" t="str">
        <f t="shared" si="138"/>
        <v>ü</v>
      </c>
      <c r="BC1091" s="495" t="str">
        <f t="shared" si="139"/>
        <v/>
      </c>
      <c r="BD1091" s="513" t="str">
        <f>IF(AND(L1091="",H1091=""),"",
IF(H1091="",Pole_Calc!A$9,
IF(H1091="MP",Pole_Calc!A$10,
IF(H1091="AnMP",Pole_Calc!A$11,
IF(H1091="A",Pole_Calc!A$12,
IF(H1091="S/A",Pole_Calc!A$13,
IF(H1091="A/S",Pole_Calc!A$14,"Poner a mano")))))))</f>
        <v/>
      </c>
      <c r="BE1091" s="429" t="s">
        <v>118</v>
      </c>
      <c r="BF1091" s="290"/>
      <c r="BG1091" s="290"/>
      <c r="BH1091" s="290"/>
      <c r="BI1091" s="290"/>
    </row>
    <row r="1092" spans="1:61" ht="15.75" customHeight="1">
      <c r="A1092" s="514"/>
      <c r="B1092" s="450" t="s">
        <v>1505</v>
      </c>
      <c r="C1092" s="3">
        <f>+$C$1090+$G$1091</f>
        <v>56765.12000000001</v>
      </c>
      <c r="D1092" s="83"/>
      <c r="E1092" s="4"/>
      <c r="F1092" s="4">
        <v>0</v>
      </c>
      <c r="G1092" s="6"/>
      <c r="H1092" s="449"/>
      <c r="I1092" s="4"/>
      <c r="J1092" s="3"/>
      <c r="K1092" s="449"/>
      <c r="L1092" s="449" t="s">
        <v>153</v>
      </c>
      <c r="M1092" s="449" t="str">
        <f>IF(L1092="","",
IF(AX1092="PT",VLOOKUP(L1092,Foundation_Calc!$V$79:$X$113,VLOOKUP(AX1092,Foundation_Calc!$I$10:$J$13,2,FALSE),0),
IF(AX1092="K",VLOOKUP(L1092,Foundation_Calc!$V$117:$X$151,VLOOKUP(AX1092,Foundation_Calc!$I$10:$J$13,2,FALSE),0),"")))</f>
        <v>C3R</v>
      </c>
      <c r="N1092" s="449" t="s">
        <v>134</v>
      </c>
      <c r="O1092" s="449"/>
      <c r="P1092" s="449"/>
      <c r="Q1092" s="4"/>
      <c r="R1092" s="6"/>
      <c r="S1092" s="6"/>
      <c r="T1092" s="4">
        <v>35</v>
      </c>
      <c r="U1092" s="4"/>
      <c r="V1092" s="4"/>
      <c r="W1092" s="9">
        <v>1.4</v>
      </c>
      <c r="X1092" s="9"/>
      <c r="Y1092" s="9"/>
      <c r="Z1092" s="9"/>
      <c r="AA1092" s="9"/>
      <c r="AB1092" s="9"/>
      <c r="AC1092" s="449" t="str">
        <f t="shared" si="136"/>
        <v>PH</v>
      </c>
      <c r="AD1092" s="449"/>
      <c r="AE1092" s="449"/>
      <c r="AF1092" s="4"/>
      <c r="AG1092" s="83"/>
      <c r="AH1092" s="4"/>
      <c r="AI1092" s="4"/>
      <c r="AJ1092" s="449"/>
      <c r="AK1092" s="449"/>
      <c r="AL1092" s="449"/>
      <c r="AM1092" s="449" t="s">
        <v>126</v>
      </c>
      <c r="AN1092" s="10">
        <v>5.5</v>
      </c>
      <c r="AO1092" s="9"/>
      <c r="AP1092" s="9"/>
      <c r="AQ1092" s="9"/>
      <c r="AR1092" s="9"/>
      <c r="AS1092" s="9"/>
      <c r="AT1092" s="9">
        <f>+ab($T$1092,$T$1090,$T$1094,$G$1091,$G$1093, 1*$F$1092,1200)</f>
        <v>8.3002133012442592</v>
      </c>
      <c r="AU1092" s="428"/>
      <c r="AV1092" s="428"/>
      <c r="AW1092" s="449" t="str">
        <f>IF(C1092&gt;0,VLOOKUP(C1092,Foundation_Calc!$A$2:$C$13,3,1),
IF(J1092&gt;0,VLOOKUP(J1092,Foundation_Calc!$A$2:$C$13,3,1),""))</f>
        <v>Multi Soil</v>
      </c>
      <c r="AX1092" s="449" t="str">
        <f>IF(C1092&gt;0,VLOOKUP(C1092,Foundation_Calc!$E$35:$G$65,3,1),
IF(J1092&gt;0,VLOOKUP(J1092,Foundation_Calc!$E$35:$G$65,3,1),""))</f>
        <v>PT</v>
      </c>
      <c r="AY1092" s="10">
        <f>IF(L1092="","",
IF(AX1092="PT",VLOOKUP(L1092,Foundation_Calc!$K$79:$R$113,VLOOKUP(AW1092,Foundation_Calc!$I$2:$J$8,2,FALSE),0),
IF(AX1092="K",VLOOKUP(L1092,Foundation_Calc!$K$117:$R$151,VLOOKUP(AW1092,Foundation_Calc!$I$2:$J$8,2,FALSE),0),"")))</f>
        <v>3.5</v>
      </c>
      <c r="AZ1092" s="10" t="str">
        <f>IF(K1092="","",
IF(AX1092="PT",VLOOKUP(K1092,Foundation_Calc!$K$79:$R$113,VLOOKUP(AW1092,Foundation_Calc!$I$2:$J$8,2,FALSE),0),
IF(AX1092="K",VLOOKUP(K1092,Foundation_Calc!$K$117:$R$151,VLOOKUP(AW1092,Foundation_Calc!$I$2:$J$8,2,FALSE),0),"")))</f>
        <v/>
      </c>
      <c r="BA1092" s="495" t="str">
        <f t="shared" si="137"/>
        <v>ü</v>
      </c>
      <c r="BB1092" s="495" t="str">
        <f t="shared" si="138"/>
        <v/>
      </c>
      <c r="BC1092" s="495" t="str">
        <f t="shared" si="139"/>
        <v/>
      </c>
      <c r="BD1092" s="513" t="str">
        <f>IF(AND(L1092="",H1092=""),"",
IF(H1092="",Pole_Calc!A$9,
IF(H1092="MP",Pole_Calc!A$10,
IF(H1092="AnMP",Pole_Calc!A$11,
IF(H1092="A",Pole_Calc!A$12,
IF(H1092="S/A",Pole_Calc!A$13,
IF(H1092="A/S",Pole_Calc!A$14,"Poner a mano")))))))</f>
        <v>App.7-V11I-P9.5.1.1</v>
      </c>
      <c r="BE1092" s="429" t="s">
        <v>118</v>
      </c>
      <c r="BF1092" s="289"/>
      <c r="BG1092" s="289"/>
      <c r="BH1092" s="290"/>
      <c r="BI1092" s="289"/>
    </row>
    <row r="1093" spans="1:61" ht="15.75" customHeight="1">
      <c r="A1093" s="514"/>
      <c r="B1093" s="450"/>
      <c r="C1093" s="3"/>
      <c r="D1093" s="83"/>
      <c r="E1093" s="4"/>
      <c r="F1093" s="4"/>
      <c r="G1093" s="6">
        <v>60</v>
      </c>
      <c r="H1093" s="449"/>
      <c r="I1093" s="4"/>
      <c r="J1093" s="3"/>
      <c r="K1093" s="449"/>
      <c r="L1093" s="449"/>
      <c r="M1093" s="449" t="str">
        <f>IF(L1093="","",
IF(AX1093="PT",VLOOKUP(L1093,Foundation_Calc!$V$79:$X$113,VLOOKUP(AX1093,Foundation_Calc!$I$10:$J$13,2,FALSE),0),
IF(AX1093="K",VLOOKUP(L1093,Foundation_Calc!$V$117:$X$151,VLOOKUP(AX1093,Foundation_Calc!$I$10:$J$13,2,FALSE),0),"")))</f>
        <v/>
      </c>
      <c r="N1093" s="449"/>
      <c r="O1093" s="561"/>
      <c r="P1093" s="449"/>
      <c r="Q1093" s="4"/>
      <c r="R1093" s="6"/>
      <c r="S1093" s="6"/>
      <c r="T1093" s="4"/>
      <c r="U1093" s="4"/>
      <c r="V1093" s="4"/>
      <c r="W1093" s="9"/>
      <c r="X1093" s="9"/>
      <c r="Y1093" s="9"/>
      <c r="Z1093" s="9"/>
      <c r="AA1093" s="9"/>
      <c r="AB1093" s="9"/>
      <c r="AC1093" s="449" t="str">
        <f t="shared" si="136"/>
        <v/>
      </c>
      <c r="AD1093" s="449"/>
      <c r="AE1093" s="449"/>
      <c r="AF1093" s="4"/>
      <c r="AG1093" s="83"/>
      <c r="AH1093" s="4"/>
      <c r="AI1093" s="4"/>
      <c r="AJ1093" s="449"/>
      <c r="AK1093" s="449"/>
      <c r="AL1093" s="449"/>
      <c r="AM1093" s="449"/>
      <c r="AN1093" s="10"/>
      <c r="AO1093" s="9"/>
      <c r="AP1093" s="9"/>
      <c r="AQ1093" s="9">
        <f>+FL_2($T$1094,$T$1092,$G$1093,1200,9.28, 1*$F$1094)</f>
        <v>-0.43600286799999999</v>
      </c>
      <c r="AR1093" s="9"/>
      <c r="AS1093" s="9"/>
      <c r="AT1093" s="9"/>
      <c r="AU1093" s="428"/>
      <c r="AV1093" s="428"/>
      <c r="AW1093" s="449" t="str">
        <f>IF(C1093&gt;0,VLOOKUP(C1093,Foundation_Calc!$A$2:$C$13,3,1),
IF(J1093&gt;0,VLOOKUP(J1093,Foundation_Calc!$A$2:$C$13,3,1),""))</f>
        <v/>
      </c>
      <c r="AX1093" s="449" t="str">
        <f>IF(C1093&gt;0,VLOOKUP(C1093,Foundation_Calc!$E$35:$G$65,3,1),
IF(J1093&gt;0,VLOOKUP(J1093,Foundation_Calc!$E$35:$G$65,3,1),""))</f>
        <v/>
      </c>
      <c r="AY1093" s="10" t="str">
        <f>IF(L1093="","",
IF(AX1093="PT",VLOOKUP(L1093,Foundation_Calc!$K$79:$R$113,VLOOKUP(AW1093,Foundation_Calc!$I$2:$J$8,2,FALSE),0),
IF(AX1093="K",VLOOKUP(L1093,Foundation_Calc!$K$117:$R$151,VLOOKUP(AW1093,Foundation_Calc!$I$2:$J$8,2,FALSE),0),"")))</f>
        <v/>
      </c>
      <c r="AZ1093" s="10" t="str">
        <f>IF(K1093="","",
IF(AX1093="PT",VLOOKUP(K1093,Foundation_Calc!$K$79:$R$113,VLOOKUP(AW1093,Foundation_Calc!$I$2:$J$8,2,FALSE),0),
IF(AX1093="K",VLOOKUP(K1093,Foundation_Calc!$K$117:$R$151,VLOOKUP(AW1093,Foundation_Calc!$I$2:$J$8,2,FALSE),0),"")))</f>
        <v/>
      </c>
      <c r="BA1093" s="495" t="str">
        <f t="shared" si="137"/>
        <v/>
      </c>
      <c r="BB1093" s="495" t="str">
        <f t="shared" si="138"/>
        <v/>
      </c>
      <c r="BC1093" s="495" t="str">
        <f t="shared" si="139"/>
        <v/>
      </c>
      <c r="BD1093" s="513" t="str">
        <f>IF(AND(L1093="",H1093=""),"",
IF(H1093="",Pole_Calc!A$9,
IF(H1093="MP",Pole_Calc!A$10,
IF(H1093="AnMP",Pole_Calc!A$11,
IF(H1093="A",Pole_Calc!A$12,
IF(H1093="S/A",Pole_Calc!A$13,
IF(H1093="A/S",Pole_Calc!A$14,"Poner a mano")))))))</f>
        <v/>
      </c>
      <c r="BE1093" s="429" t="s">
        <v>118</v>
      </c>
      <c r="BF1093" s="290"/>
      <c r="BG1093" s="290"/>
      <c r="BH1093" s="290"/>
      <c r="BI1093" s="290"/>
    </row>
    <row r="1094" spans="1:61" ht="15.75" customHeight="1">
      <c r="A1094" s="514"/>
      <c r="B1094" s="450" t="s">
        <v>1506</v>
      </c>
      <c r="C1094" s="3">
        <f>+$C$1092+$G$1093</f>
        <v>56825.12000000001</v>
      </c>
      <c r="D1094" s="83"/>
      <c r="E1094" s="4"/>
      <c r="F1094" s="4">
        <v>0</v>
      </c>
      <c r="G1094" s="6"/>
      <c r="H1094" s="449"/>
      <c r="I1094" s="4"/>
      <c r="J1094" s="3"/>
      <c r="K1094" s="449"/>
      <c r="L1094" s="449" t="s">
        <v>153</v>
      </c>
      <c r="M1094" s="449" t="str">
        <f>IF(L1094="","",
IF(AX1094="PT",VLOOKUP(L1094,Foundation_Calc!$V$79:$X$113,VLOOKUP(AX1094,Foundation_Calc!$I$10:$J$13,2,FALSE),0),
IF(AX1094="K",VLOOKUP(L1094,Foundation_Calc!$V$117:$X$151,VLOOKUP(AX1094,Foundation_Calc!$I$10:$J$13,2,FALSE),0),"")))</f>
        <v>C3R</v>
      </c>
      <c r="N1094" s="449" t="s">
        <v>124</v>
      </c>
      <c r="O1094" s="449"/>
      <c r="P1094" s="449"/>
      <c r="Q1094" s="4"/>
      <c r="R1094" s="6"/>
      <c r="S1094" s="6"/>
      <c r="T1094" s="4">
        <v>-35</v>
      </c>
      <c r="U1094" s="4"/>
      <c r="V1094" s="4"/>
      <c r="W1094" s="9">
        <v>1.4</v>
      </c>
      <c r="X1094" s="9"/>
      <c r="Y1094" s="9"/>
      <c r="Z1094" s="9"/>
      <c r="AA1094" s="9"/>
      <c r="AB1094" s="9"/>
      <c r="AC1094" s="449" t="str">
        <f t="shared" si="136"/>
        <v>PHQ</v>
      </c>
      <c r="AD1094" s="449"/>
      <c r="AE1094" s="449"/>
      <c r="AF1094" s="4"/>
      <c r="AG1094" s="83"/>
      <c r="AH1094" s="4"/>
      <c r="AI1094" s="4"/>
      <c r="AJ1094" s="449"/>
      <c r="AK1094" s="449"/>
      <c r="AL1094" s="449"/>
      <c r="AM1094" s="449" t="s">
        <v>126</v>
      </c>
      <c r="AN1094" s="10">
        <v>5.5</v>
      </c>
      <c r="AO1094" s="9"/>
      <c r="AP1094" s="9"/>
      <c r="AQ1094" s="9"/>
      <c r="AR1094" s="9"/>
      <c r="AS1094" s="9"/>
      <c r="AT1094" s="9">
        <f>+ab($T$1094,$T$1092,$T$1096,$G$1093,$G$1095, 1*$F$1094,1200)</f>
        <v>-7.8175501667728815</v>
      </c>
      <c r="AU1094" s="428"/>
      <c r="AV1094" s="428"/>
      <c r="AW1094" s="449" t="str">
        <f>IF(C1094&gt;0,VLOOKUP(C1094,Foundation_Calc!$A$2:$C$13,3,1),
IF(J1094&gt;0,VLOOKUP(J1094,Foundation_Calc!$A$2:$C$13,3,1),""))</f>
        <v>Multi Soil</v>
      </c>
      <c r="AX1094" s="449" t="str">
        <f>IF(C1094&gt;0,VLOOKUP(C1094,Foundation_Calc!$E$35:$G$65,3,1),
IF(J1094&gt;0,VLOOKUP(J1094,Foundation_Calc!$E$35:$G$65,3,1),""))</f>
        <v>PT</v>
      </c>
      <c r="AY1094" s="10">
        <f>IF(L1094="","",
IF(AX1094="PT",VLOOKUP(L1094,Foundation_Calc!$K$79:$R$113,VLOOKUP(AW1094,Foundation_Calc!$I$2:$J$8,2,FALSE),0),
IF(AX1094="K",VLOOKUP(L1094,Foundation_Calc!$K$117:$R$151,VLOOKUP(AW1094,Foundation_Calc!$I$2:$J$8,2,FALSE),0),"")))</f>
        <v>3.5</v>
      </c>
      <c r="AZ1094" s="10" t="str">
        <f>IF(K1094="","",
IF(AX1094="PT",VLOOKUP(K1094,Foundation_Calc!$K$79:$R$113,VLOOKUP(AW1094,Foundation_Calc!$I$2:$J$8,2,FALSE),0),
IF(AX1094="K",VLOOKUP(K1094,Foundation_Calc!$K$117:$R$151,VLOOKUP(AW1094,Foundation_Calc!$I$2:$J$8,2,FALSE),0),"")))</f>
        <v/>
      </c>
      <c r="BA1094" s="495" t="str">
        <f t="shared" si="137"/>
        <v>ü</v>
      </c>
      <c r="BB1094" s="495" t="str">
        <f t="shared" si="138"/>
        <v/>
      </c>
      <c r="BC1094" s="495" t="str">
        <f t="shared" si="139"/>
        <v/>
      </c>
      <c r="BD1094" s="513" t="str">
        <f>IF(AND(L1094="",H1094=""),"",
IF(H1094="",Pole_Calc!A$9,
IF(H1094="MP",Pole_Calc!A$10,
IF(H1094="AnMP",Pole_Calc!A$11,
IF(H1094="A",Pole_Calc!A$12,
IF(H1094="S/A",Pole_Calc!A$13,
IF(H1094="A/S",Pole_Calc!A$14,"Poner a mano")))))))</f>
        <v>App.7-V11I-P9.5.1.1</v>
      </c>
      <c r="BE1094" s="429" t="s">
        <v>118</v>
      </c>
      <c r="BF1094" s="289"/>
      <c r="BG1094" s="289"/>
      <c r="BH1094" s="290"/>
      <c r="BI1094" s="289"/>
    </row>
    <row r="1095" spans="1:61" ht="15.75" customHeight="1">
      <c r="A1095" s="518"/>
      <c r="B1095" s="450"/>
      <c r="C1095" s="3"/>
      <c r="D1095" s="83"/>
      <c r="E1095" s="4"/>
      <c r="F1095" s="4"/>
      <c r="G1095" s="6">
        <v>55</v>
      </c>
      <c r="H1095" s="449"/>
      <c r="I1095" s="4"/>
      <c r="J1095" s="3"/>
      <c r="K1095" s="449"/>
      <c r="L1095" s="449"/>
      <c r="M1095" s="449" t="str">
        <f>IF(L1095="","",
IF(AX1095="PT",VLOOKUP(L1095,Foundation_Calc!$V$79:$X$113,VLOOKUP(AX1095,Foundation_Calc!$I$10:$J$13,2,FALSE),0),
IF(AX1095="K",VLOOKUP(L1095,Foundation_Calc!$V$117:$X$151,VLOOKUP(AX1095,Foundation_Calc!$I$10:$J$13,2,FALSE),0),"")))</f>
        <v/>
      </c>
      <c r="N1095" s="449"/>
      <c r="O1095" s="449"/>
      <c r="P1095" s="449"/>
      <c r="Q1095" s="4"/>
      <c r="R1095" s="6"/>
      <c r="S1095" s="6"/>
      <c r="T1095" s="4"/>
      <c r="U1095" s="4"/>
      <c r="V1095" s="4"/>
      <c r="W1095" s="9"/>
      <c r="X1095" s="9"/>
      <c r="Y1095" s="9"/>
      <c r="Z1095" s="9"/>
      <c r="AA1095" s="9"/>
      <c r="AB1095" s="9"/>
      <c r="AC1095" s="449" t="str">
        <f t="shared" si="136"/>
        <v/>
      </c>
      <c r="AD1095" s="449"/>
      <c r="AE1095" s="449"/>
      <c r="AF1095" s="4"/>
      <c r="AG1095" s="83"/>
      <c r="AH1095" s="4"/>
      <c r="AI1095" s="4"/>
      <c r="AJ1095" s="449"/>
      <c r="AK1095" s="449"/>
      <c r="AL1095" s="449"/>
      <c r="AM1095" s="449"/>
      <c r="AN1095" s="10"/>
      <c r="AO1095" s="9"/>
      <c r="AP1095" s="9"/>
      <c r="AQ1095" s="9">
        <f>+FL_2($T$1096,$T$1094,$G$1095,1200,9.28, 1*$F$1096)</f>
        <v>-0.39714735709090898</v>
      </c>
      <c r="AR1095" s="9"/>
      <c r="AS1095" s="9"/>
      <c r="AT1095" s="9"/>
      <c r="AU1095" s="428"/>
      <c r="AV1095" s="428"/>
      <c r="AW1095" s="449" t="str">
        <f>IF(C1095&gt;0,VLOOKUP(C1095,Foundation_Calc!$A$2:$C$13,3,1),
IF(J1095&gt;0,VLOOKUP(J1095,Foundation_Calc!$A$2:$C$13,3,1),""))</f>
        <v/>
      </c>
      <c r="AX1095" s="449" t="str">
        <f>IF(C1095&gt;0,VLOOKUP(C1095,Foundation_Calc!$E$35:$G$65,3,1),
IF(J1095&gt;0,VLOOKUP(J1095,Foundation_Calc!$E$35:$G$65,3,1),""))</f>
        <v/>
      </c>
      <c r="AY1095" s="10" t="str">
        <f>IF(L1095="","",
IF(AX1095="PT",VLOOKUP(L1095,Foundation_Calc!$K$79:$R$113,VLOOKUP(AW1095,Foundation_Calc!$I$2:$J$8,2,FALSE),0),
IF(AX1095="K",VLOOKUP(L1095,Foundation_Calc!$K$117:$R$151,VLOOKUP(AW1095,Foundation_Calc!$I$2:$J$8,2,FALSE),0),"")))</f>
        <v/>
      </c>
      <c r="AZ1095" s="10" t="str">
        <f>IF(K1095="","",
IF(AX1095="PT",VLOOKUP(K1095,Foundation_Calc!$K$79:$R$113,VLOOKUP(AW1095,Foundation_Calc!$I$2:$J$8,2,FALSE),0),
IF(AX1095="K",VLOOKUP(K1095,Foundation_Calc!$K$117:$R$151,VLOOKUP(AW1095,Foundation_Calc!$I$2:$J$8,2,FALSE),0),"")))</f>
        <v/>
      </c>
      <c r="BA1095" s="495" t="str">
        <f t="shared" si="137"/>
        <v/>
      </c>
      <c r="BB1095" s="495" t="str">
        <f t="shared" si="138"/>
        <v/>
      </c>
      <c r="BC1095" s="495" t="str">
        <f t="shared" si="139"/>
        <v/>
      </c>
      <c r="BD1095" s="513" t="str">
        <f>IF(AND(L1095="",H1095=""),"",
IF(H1095="",Pole_Calc!A$9,
IF(H1095="MP",Pole_Calc!A$10,
IF(H1095="AnMP",Pole_Calc!A$11,
IF(H1095="A",Pole_Calc!A$12,
IF(H1095="S/A",Pole_Calc!A$13,
IF(H1095="A/S",Pole_Calc!A$14,"Poner a mano")))))))</f>
        <v/>
      </c>
      <c r="BE1095" s="429" t="s">
        <v>118</v>
      </c>
      <c r="BF1095" s="290"/>
      <c r="BG1095" s="290"/>
      <c r="BH1095" s="290"/>
      <c r="BI1095" s="290"/>
    </row>
    <row r="1096" spans="1:61" ht="15.75" customHeight="1">
      <c r="A1096" s="514"/>
      <c r="B1096" s="450" t="s">
        <v>1507</v>
      </c>
      <c r="C1096" s="3">
        <f>+$C$1094+$G$1095</f>
        <v>56880.12000000001</v>
      </c>
      <c r="D1096" s="83"/>
      <c r="E1096" s="4"/>
      <c r="F1096" s="4">
        <v>0</v>
      </c>
      <c r="G1096" s="6"/>
      <c r="H1096" s="449"/>
      <c r="I1096" s="4"/>
      <c r="J1096" s="3"/>
      <c r="K1096" s="449"/>
      <c r="L1096" s="449" t="s">
        <v>153</v>
      </c>
      <c r="M1096" s="449" t="str">
        <f>IF(L1096="","",
IF(AX1096="PT",VLOOKUP(L1096,Foundation_Calc!$V$79:$X$113,VLOOKUP(AX1096,Foundation_Calc!$I$10:$J$13,2,FALSE),0),
IF(AX1096="K",VLOOKUP(L1096,Foundation_Calc!$V$117:$X$151,VLOOKUP(AX1096,Foundation_Calc!$I$10:$J$13,2,FALSE),0),"")))</f>
        <v>C3R</v>
      </c>
      <c r="N1096" s="449" t="s">
        <v>134</v>
      </c>
      <c r="O1096" s="449"/>
      <c r="P1096" s="449"/>
      <c r="Q1096" s="4"/>
      <c r="R1096" s="6"/>
      <c r="S1096" s="6"/>
      <c r="T1096" s="4">
        <v>35</v>
      </c>
      <c r="U1096" s="4"/>
      <c r="V1096" s="4"/>
      <c r="W1096" s="9">
        <v>1.4</v>
      </c>
      <c r="X1096" s="9"/>
      <c r="Y1096" s="9"/>
      <c r="Z1096" s="9"/>
      <c r="AA1096" s="9"/>
      <c r="AB1096" s="9"/>
      <c r="AC1096" s="449" t="str">
        <f t="shared" si="136"/>
        <v>PHQ</v>
      </c>
      <c r="AD1096" s="449"/>
      <c r="AE1096" s="449"/>
      <c r="AF1096" s="4"/>
      <c r="AG1096" s="83"/>
      <c r="AH1096" s="4"/>
      <c r="AI1096" s="4"/>
      <c r="AJ1096" s="449"/>
      <c r="AK1096" s="449"/>
      <c r="AL1096" s="449"/>
      <c r="AM1096" s="449" t="s">
        <v>126</v>
      </c>
      <c r="AN1096" s="10">
        <v>5.5</v>
      </c>
      <c r="AO1096" s="9"/>
      <c r="AP1096" s="9"/>
      <c r="AQ1096" s="9"/>
      <c r="AR1096" s="9"/>
      <c r="AS1096" s="9"/>
      <c r="AT1096" s="9">
        <f>+ab($T$1096,$T$1094,$T$1098,$G$1095,$G$1097, 1*$F$1096,1200)</f>
        <v>7.9285433370840535</v>
      </c>
      <c r="AU1096" s="428"/>
      <c r="AV1096" s="428"/>
      <c r="AW1096" s="449" t="str">
        <f>IF(C1096&gt;0,VLOOKUP(C1096,Foundation_Calc!$A$2:$C$13,3,1),
IF(J1096&gt;0,VLOOKUP(J1096,Foundation_Calc!$A$2:$C$13,3,1),""))</f>
        <v>Multi Soil</v>
      </c>
      <c r="AX1096" s="449" t="str">
        <f>IF(C1096&gt;0,VLOOKUP(C1096,Foundation_Calc!$E$35:$G$65,3,1),
IF(J1096&gt;0,VLOOKUP(J1096,Foundation_Calc!$E$35:$G$65,3,1),""))</f>
        <v>PT</v>
      </c>
      <c r="AY1096" s="10">
        <f>IF(L1096="","",
IF(AX1096="PT",VLOOKUP(L1096,Foundation_Calc!$K$79:$R$113,VLOOKUP(AW1096,Foundation_Calc!$I$2:$J$8,2,FALSE),0),
IF(AX1096="K",VLOOKUP(L1096,Foundation_Calc!$K$117:$R$151,VLOOKUP(AW1096,Foundation_Calc!$I$2:$J$8,2,FALSE),0),"")))</f>
        <v>3.5</v>
      </c>
      <c r="AZ1096" s="10" t="str">
        <f>IF(K1096="","",
IF(AX1096="PT",VLOOKUP(K1096,Foundation_Calc!$K$79:$R$113,VLOOKUP(AW1096,Foundation_Calc!$I$2:$J$8,2,FALSE),0),
IF(AX1096="K",VLOOKUP(K1096,Foundation_Calc!$K$117:$R$151,VLOOKUP(AW1096,Foundation_Calc!$I$2:$J$8,2,FALSE),0),"")))</f>
        <v/>
      </c>
      <c r="BA1096" s="495" t="str">
        <f t="shared" si="137"/>
        <v>ü</v>
      </c>
      <c r="BB1096" s="495" t="str">
        <f t="shared" si="138"/>
        <v/>
      </c>
      <c r="BC1096" s="495" t="str">
        <f t="shared" si="139"/>
        <v/>
      </c>
      <c r="BD1096" s="513" t="str">
        <f>IF(AND(L1096="",H1096=""),"",
IF(H1096="",Pole_Calc!A$9,
IF(H1096="MP",Pole_Calc!A$10,
IF(H1096="AnMP",Pole_Calc!A$11,
IF(H1096="A",Pole_Calc!A$12,
IF(H1096="S/A",Pole_Calc!A$13,
IF(H1096="A/S",Pole_Calc!A$14,"Poner a mano")))))))</f>
        <v>App.7-V11I-P9.5.1.1</v>
      </c>
      <c r="BE1096" s="429" t="s">
        <v>118</v>
      </c>
      <c r="BF1096" s="289"/>
      <c r="BG1096" s="289"/>
      <c r="BH1096" s="290"/>
      <c r="BI1096" s="289"/>
    </row>
    <row r="1097" spans="1:61" ht="15.75" customHeight="1">
      <c r="A1097" s="514"/>
      <c r="B1097" s="450"/>
      <c r="C1097" s="3"/>
      <c r="D1097" s="83"/>
      <c r="E1097" s="4"/>
      <c r="F1097" s="4"/>
      <c r="G1097" s="6">
        <v>53</v>
      </c>
      <c r="H1097" s="449"/>
      <c r="I1097" s="4"/>
      <c r="J1097" s="3"/>
      <c r="K1097" s="449"/>
      <c r="L1097" s="449"/>
      <c r="M1097" s="449" t="str">
        <f>IF(L1097="","",
IF(AX1097="PT",VLOOKUP(L1097,Foundation_Calc!$V$79:$X$113,VLOOKUP(AX1097,Foundation_Calc!$I$10:$J$13,2,FALSE),0),
IF(AX1097="K",VLOOKUP(L1097,Foundation_Calc!$V$117:$X$151,VLOOKUP(AX1097,Foundation_Calc!$I$10:$J$13,2,FALSE),0),"")))</f>
        <v/>
      </c>
      <c r="N1097" s="449"/>
      <c r="O1097" s="449"/>
      <c r="P1097" s="449"/>
      <c r="Q1097" s="4"/>
      <c r="R1097" s="6"/>
      <c r="S1097" s="6"/>
      <c r="T1097" s="4"/>
      <c r="U1097" s="4"/>
      <c r="V1097" s="4"/>
      <c r="W1097" s="9"/>
      <c r="X1097" s="9"/>
      <c r="Y1097" s="9"/>
      <c r="Z1097" s="9"/>
      <c r="AA1097" s="9"/>
      <c r="AB1097" s="9"/>
      <c r="AC1097" s="449" t="str">
        <f t="shared" si="136"/>
        <v/>
      </c>
      <c r="AD1097" s="449"/>
      <c r="AE1097" s="449"/>
      <c r="AF1097" s="4"/>
      <c r="AG1097" s="83"/>
      <c r="AH1097" s="4"/>
      <c r="AI1097" s="4"/>
      <c r="AJ1097" s="449"/>
      <c r="AK1097" s="449"/>
      <c r="AL1097" s="449"/>
      <c r="AM1097" s="449"/>
      <c r="AN1097" s="10"/>
      <c r="AO1097" s="9"/>
      <c r="AP1097" s="9"/>
      <c r="AQ1097" s="9">
        <f>+FL_1($T$1098,$T$1096,$G$1097,1200,9.28, 1*$F$1098)</f>
        <v>0.43528242360366731</v>
      </c>
      <c r="AR1097" s="9"/>
      <c r="AS1097" s="9"/>
      <c r="AT1097" s="9"/>
      <c r="AU1097" s="428"/>
      <c r="AV1097" s="428"/>
      <c r="AW1097" s="449" t="str">
        <f>IF(C1097&gt;0,VLOOKUP(C1097,Foundation_Calc!$A$2:$C$13,3,1),
IF(J1097&gt;0,VLOOKUP(J1097,Foundation_Calc!$A$2:$C$13,3,1),""))</f>
        <v/>
      </c>
      <c r="AX1097" s="449" t="str">
        <f>IF(C1097&gt;0,VLOOKUP(C1097,Foundation_Calc!$E$35:$G$65,3,1),
IF(J1097&gt;0,VLOOKUP(J1097,Foundation_Calc!$E$35:$G$65,3,1),""))</f>
        <v/>
      </c>
      <c r="AY1097" s="10" t="str">
        <f>IF(L1097="","",
IF(AX1097="PT",VLOOKUP(L1097,Foundation_Calc!$K$79:$R$113,VLOOKUP(AW1097,Foundation_Calc!$I$2:$J$8,2,FALSE),0),
IF(AX1097="K",VLOOKUP(L1097,Foundation_Calc!$K$117:$R$151,VLOOKUP(AW1097,Foundation_Calc!$I$2:$J$8,2,FALSE),0),"")))</f>
        <v/>
      </c>
      <c r="AZ1097" s="10" t="str">
        <f>IF(K1097="","",
IF(AX1097="PT",VLOOKUP(K1097,Foundation_Calc!$K$79:$R$113,VLOOKUP(AW1097,Foundation_Calc!$I$2:$J$8,2,FALSE),0),
IF(AX1097="K",VLOOKUP(K1097,Foundation_Calc!$K$117:$R$151,VLOOKUP(AW1097,Foundation_Calc!$I$2:$J$8,2,FALSE),0),"")))</f>
        <v/>
      </c>
      <c r="BA1097" s="495" t="str">
        <f t="shared" si="137"/>
        <v/>
      </c>
      <c r="BB1097" s="495" t="str">
        <f t="shared" si="138"/>
        <v/>
      </c>
      <c r="BC1097" s="495" t="str">
        <f t="shared" si="139"/>
        <v/>
      </c>
      <c r="BD1097" s="513" t="str">
        <f>IF(AND(L1097="",H1097=""),"",
IF(H1097="",Pole_Calc!A$9,
IF(H1097="MP",Pole_Calc!A$10,
IF(H1097="AnMP",Pole_Calc!A$11,
IF(H1097="A",Pole_Calc!A$12,
IF(H1097="S/A",Pole_Calc!A$13,
IF(H1097="A/S",Pole_Calc!A$14,"Poner a mano")))))))</f>
        <v/>
      </c>
      <c r="BE1097" s="429" t="s">
        <v>118</v>
      </c>
      <c r="BF1097" s="290"/>
      <c r="BG1097" s="290"/>
      <c r="BH1097" s="290"/>
      <c r="BI1097" s="290"/>
    </row>
    <row r="1098" spans="1:61" ht="15.75" customHeight="1">
      <c r="A1098" s="514"/>
      <c r="B1098" s="450" t="s">
        <v>1508</v>
      </c>
      <c r="C1098" s="3">
        <f>+$C$1096+$G$1097</f>
        <v>56933.12000000001</v>
      </c>
      <c r="D1098" s="83"/>
      <c r="E1098" s="4"/>
      <c r="F1098" s="4">
        <v>-8364.3150333497488</v>
      </c>
      <c r="G1098" s="6"/>
      <c r="H1098" s="449"/>
      <c r="I1098" s="4"/>
      <c r="J1098" s="3"/>
      <c r="K1098" s="449"/>
      <c r="L1098" s="449" t="s">
        <v>153</v>
      </c>
      <c r="M1098" s="449" t="str">
        <f>IF(L1098="","",
IF(AX1098="PT",VLOOKUP(L1098,Foundation_Calc!$V$79:$X$113,VLOOKUP(AX1098,Foundation_Calc!$I$10:$J$13,2,FALSE),0),
IF(AX1098="K",VLOOKUP(L1098,Foundation_Calc!$V$117:$X$151,VLOOKUP(AX1098,Foundation_Calc!$I$10:$J$13,2,FALSE),0),"")))</f>
        <v>C3R</v>
      </c>
      <c r="N1098" s="449" t="s">
        <v>124</v>
      </c>
      <c r="O1098" s="449"/>
      <c r="P1098" s="449"/>
      <c r="Q1098" s="4"/>
      <c r="R1098" s="6"/>
      <c r="S1098" s="6"/>
      <c r="T1098" s="4">
        <v>-25</v>
      </c>
      <c r="U1098" s="4"/>
      <c r="V1098" s="4"/>
      <c r="W1098" s="9">
        <v>1.4</v>
      </c>
      <c r="X1098" s="9"/>
      <c r="Y1098" s="9"/>
      <c r="Z1098" s="9"/>
      <c r="AA1098" s="9"/>
      <c r="AB1098" s="9"/>
      <c r="AC1098" s="449" t="str">
        <f t="shared" si="136"/>
        <v>PH</v>
      </c>
      <c r="AD1098" s="449"/>
      <c r="AE1098" s="449"/>
      <c r="AF1098" s="4"/>
      <c r="AG1098" s="83"/>
      <c r="AH1098" s="4"/>
      <c r="AI1098" s="4"/>
      <c r="AJ1098" s="449"/>
      <c r="AK1098" s="449"/>
      <c r="AL1098" s="449"/>
      <c r="AM1098" s="449" t="s">
        <v>126</v>
      </c>
      <c r="AN1098" s="10">
        <v>5.5</v>
      </c>
      <c r="AO1098" s="9"/>
      <c r="AP1098" s="9"/>
      <c r="AQ1098" s="9"/>
      <c r="AR1098" s="9"/>
      <c r="AS1098" s="9"/>
      <c r="AT1098" s="9">
        <f>+ab($T$1098,$T$1096,$T$1100,$G$1097,$G$1099, 1*$F$1098,1200)</f>
        <v>-10.207112114393992</v>
      </c>
      <c r="AU1098" s="428"/>
      <c r="AV1098" s="428"/>
      <c r="AW1098" s="449" t="str">
        <f>IF(C1098&gt;0,VLOOKUP(C1098,Foundation_Calc!$A$2:$C$13,3,1),
IF(J1098&gt;0,VLOOKUP(J1098,Foundation_Calc!$A$2:$C$13,3,1),""))</f>
        <v>Multi Soil</v>
      </c>
      <c r="AX1098" s="449" t="str">
        <f>IF(C1098&gt;0,VLOOKUP(C1098,Foundation_Calc!$E$35:$G$65,3,1),
IF(J1098&gt;0,VLOOKUP(J1098,Foundation_Calc!$E$35:$G$65,3,1),""))</f>
        <v>PT</v>
      </c>
      <c r="AY1098" s="10">
        <f>IF(L1098="","",
IF(AX1098="PT",VLOOKUP(L1098,Foundation_Calc!$K$79:$R$113,VLOOKUP(AW1098,Foundation_Calc!$I$2:$J$8,2,FALSE),0),
IF(AX1098="K",VLOOKUP(L1098,Foundation_Calc!$K$117:$R$151,VLOOKUP(AW1098,Foundation_Calc!$I$2:$J$8,2,FALSE),0),"")))</f>
        <v>3.5</v>
      </c>
      <c r="AZ1098" s="10" t="str">
        <f>IF(K1098="","",
IF(AX1098="PT",VLOOKUP(K1098,Foundation_Calc!$K$79:$R$113,VLOOKUP(AW1098,Foundation_Calc!$I$2:$J$8,2,FALSE),0),
IF(AX1098="K",VLOOKUP(K1098,Foundation_Calc!$K$117:$R$151,VLOOKUP(AW1098,Foundation_Calc!$I$2:$J$8,2,FALSE),0),"")))</f>
        <v/>
      </c>
      <c r="BA1098" s="495" t="str">
        <f t="shared" si="137"/>
        <v>ü</v>
      </c>
      <c r="BB1098" s="495" t="str">
        <f t="shared" si="138"/>
        <v/>
      </c>
      <c r="BC1098" s="495" t="str">
        <f t="shared" si="139"/>
        <v/>
      </c>
      <c r="BD1098" s="513" t="str">
        <f>IF(AND(L1098="",H1098=""),"",
IF(H1098="",Pole_Calc!A$9,
IF(H1098="MP",Pole_Calc!A$10,
IF(H1098="AnMP",Pole_Calc!A$11,
IF(H1098="A",Pole_Calc!A$12,
IF(H1098="S/A",Pole_Calc!A$13,
IF(H1098="A/S",Pole_Calc!A$14,"Poner a mano")))))))</f>
        <v>App.7-V11I-P9.5.1.1</v>
      </c>
      <c r="BE1098" s="429" t="s">
        <v>118</v>
      </c>
      <c r="BF1098" s="289"/>
      <c r="BG1098" s="289"/>
      <c r="BH1098" s="290"/>
      <c r="BI1098" s="289"/>
    </row>
    <row r="1099" spans="1:61" ht="15.75" customHeight="1">
      <c r="A1099" s="514"/>
      <c r="B1099" s="450"/>
      <c r="C1099" s="3"/>
      <c r="D1099" s="83"/>
      <c r="E1099" s="4"/>
      <c r="F1099" s="4"/>
      <c r="G1099" s="6">
        <v>53</v>
      </c>
      <c r="H1099" s="449"/>
      <c r="I1099" s="4"/>
      <c r="J1099" s="3"/>
      <c r="K1099" s="449"/>
      <c r="L1099" s="449"/>
      <c r="M1099" s="449" t="str">
        <f>IF(L1099="","",
IF(AX1099="PT",VLOOKUP(L1099,Foundation_Calc!$V$79:$X$113,VLOOKUP(AX1099,Foundation_Calc!$I$10:$J$13,2,FALSE),0),
IF(AX1099="K",VLOOKUP(L1099,Foundation_Calc!$V$117:$X$151,VLOOKUP(AX1099,Foundation_Calc!$I$10:$J$13,2,FALSE),0),"")))</f>
        <v/>
      </c>
      <c r="N1099" s="449"/>
      <c r="O1099" s="561"/>
      <c r="P1099" s="449"/>
      <c r="Q1099" s="4"/>
      <c r="R1099" s="6"/>
      <c r="S1099" s="6"/>
      <c r="T1099" s="4"/>
      <c r="U1099" s="4"/>
      <c r="V1099" s="4"/>
      <c r="W1099" s="9"/>
      <c r="X1099" s="9"/>
      <c r="Y1099" s="9"/>
      <c r="Z1099" s="9"/>
      <c r="AA1099" s="9"/>
      <c r="AB1099" s="9"/>
      <c r="AC1099" s="449" t="str">
        <f t="shared" si="136"/>
        <v/>
      </c>
      <c r="AD1099" s="449"/>
      <c r="AE1099" s="449"/>
      <c r="AF1099" s="4"/>
      <c r="AG1099" s="83"/>
      <c r="AH1099" s="4"/>
      <c r="AI1099" s="4"/>
      <c r="AJ1099" s="449"/>
      <c r="AK1099" s="449"/>
      <c r="AL1099" s="449"/>
      <c r="AM1099" s="449"/>
      <c r="AN1099" s="10"/>
      <c r="AO1099" s="9"/>
      <c r="AP1099" s="9"/>
      <c r="AQ1099" s="9">
        <f>+FL_2($T$1100,$T$1098,$G$1099,1200,9.28, 1*$F$1100)</f>
        <v>-0.39838470684185556</v>
      </c>
      <c r="AR1099" s="9"/>
      <c r="AS1099" s="9"/>
      <c r="AT1099" s="9"/>
      <c r="AU1099" s="428"/>
      <c r="AV1099" s="428"/>
      <c r="AW1099" s="449" t="str">
        <f>IF(C1099&gt;0,VLOOKUP(C1099,Foundation_Calc!$A$2:$C$13,3,1),
IF(J1099&gt;0,VLOOKUP(J1099,Foundation_Calc!$A$2:$C$13,3,1),""))</f>
        <v/>
      </c>
      <c r="AX1099" s="449" t="str">
        <f>IF(C1099&gt;0,VLOOKUP(C1099,Foundation_Calc!$E$35:$G$65,3,1),
IF(J1099&gt;0,VLOOKUP(J1099,Foundation_Calc!$E$35:$G$65,3,1),""))</f>
        <v/>
      </c>
      <c r="AY1099" s="10" t="str">
        <f>IF(L1099="","",
IF(AX1099="PT",VLOOKUP(L1099,Foundation_Calc!$K$79:$R$113,VLOOKUP(AW1099,Foundation_Calc!$I$2:$J$8,2,FALSE),0),
IF(AX1099="K",VLOOKUP(L1099,Foundation_Calc!$K$117:$R$151,VLOOKUP(AW1099,Foundation_Calc!$I$2:$J$8,2,FALSE),0),"")))</f>
        <v/>
      </c>
      <c r="AZ1099" s="10" t="str">
        <f>IF(K1099="","",
IF(AX1099="PT",VLOOKUP(K1099,Foundation_Calc!$K$79:$R$113,VLOOKUP(AW1099,Foundation_Calc!$I$2:$J$8,2,FALSE),0),
IF(AX1099="K",VLOOKUP(K1099,Foundation_Calc!$K$117:$R$151,VLOOKUP(AW1099,Foundation_Calc!$I$2:$J$8,2,FALSE),0),"")))</f>
        <v/>
      </c>
      <c r="BA1099" s="495" t="str">
        <f t="shared" si="137"/>
        <v/>
      </c>
      <c r="BB1099" s="495" t="str">
        <f t="shared" si="138"/>
        <v/>
      </c>
      <c r="BC1099" s="495" t="str">
        <f t="shared" si="139"/>
        <v/>
      </c>
      <c r="BD1099" s="513" t="str">
        <f>IF(AND(L1099="",H1099=""),"",
IF(H1099="",Pole_Calc!A$9,
IF(H1099="MP",Pole_Calc!A$10,
IF(H1099="AnMP",Pole_Calc!A$11,
IF(H1099="A",Pole_Calc!A$12,
IF(H1099="S/A",Pole_Calc!A$13,
IF(H1099="A/S",Pole_Calc!A$14,"Poner a mano")))))))</f>
        <v/>
      </c>
      <c r="BE1099" s="429" t="s">
        <v>118</v>
      </c>
      <c r="BF1099" s="290"/>
      <c r="BG1099" s="290"/>
      <c r="BH1099" s="290"/>
      <c r="BI1099" s="290"/>
    </row>
    <row r="1100" spans="1:61" ht="15.75" customHeight="1">
      <c r="A1100" s="514"/>
      <c r="B1100" s="450" t="s">
        <v>1509</v>
      </c>
      <c r="C1100" s="3">
        <f>+$C$1098+$G$1099</f>
        <v>56986.12000000001</v>
      </c>
      <c r="D1100" s="83"/>
      <c r="E1100" s="4"/>
      <c r="F1100" s="4">
        <v>-3544.6944988039645</v>
      </c>
      <c r="G1100" s="6"/>
      <c r="H1100" s="449"/>
      <c r="I1100" s="4"/>
      <c r="J1100" s="3"/>
      <c r="K1100" s="449"/>
      <c r="L1100" s="449" t="s">
        <v>153</v>
      </c>
      <c r="M1100" s="449" t="str">
        <f>IF(L1100="","",
IF(AX1100="PT",VLOOKUP(L1100,Foundation_Calc!$V$79:$X$113,VLOOKUP(AX1100,Foundation_Calc!$I$10:$J$13,2,FALSE),0),
IF(AX1100="K",VLOOKUP(L1100,Foundation_Calc!$V$117:$X$151,VLOOKUP(AX1100,Foundation_Calc!$I$10:$J$13,2,FALSE),0),"")))</f>
        <v>C3R</v>
      </c>
      <c r="N1100" s="449" t="s">
        <v>124</v>
      </c>
      <c r="O1100" s="449"/>
      <c r="P1100" s="449"/>
      <c r="Q1100" s="4"/>
      <c r="R1100" s="6"/>
      <c r="S1100" s="6"/>
      <c r="T1100" s="4">
        <v>-20</v>
      </c>
      <c r="U1100" s="4"/>
      <c r="V1100" s="4"/>
      <c r="W1100" s="9">
        <v>1.4</v>
      </c>
      <c r="X1100" s="9"/>
      <c r="Y1100" s="9"/>
      <c r="Z1100" s="9"/>
      <c r="AA1100" s="9"/>
      <c r="AB1100" s="9"/>
      <c r="AC1100" s="449" t="str">
        <f t="shared" si="136"/>
        <v>PH</v>
      </c>
      <c r="AD1100" s="449"/>
      <c r="AE1100" s="449"/>
      <c r="AF1100" s="4"/>
      <c r="AG1100" s="83"/>
      <c r="AH1100" s="4"/>
      <c r="AI1100" s="4"/>
      <c r="AJ1100" s="449"/>
      <c r="AK1100" s="449"/>
      <c r="AL1100" s="449"/>
      <c r="AM1100" s="449" t="s">
        <v>126</v>
      </c>
      <c r="AN1100" s="10">
        <v>5.5</v>
      </c>
      <c r="AO1100" s="9"/>
      <c r="AP1100" s="9"/>
      <c r="AQ1100" s="9"/>
      <c r="AR1100" s="9"/>
      <c r="AS1100" s="9"/>
      <c r="AT1100" s="9">
        <f>+ab($T$1100,$T$1098,$T$1102,$G$1099,$G$1101, 1*$F$1100,1200)</f>
        <v>-15.445138547270288</v>
      </c>
      <c r="AU1100" s="428"/>
      <c r="AV1100" s="428"/>
      <c r="AW1100" s="449" t="str">
        <f>IF(C1100&gt;0,VLOOKUP(C1100,Foundation_Calc!$A$2:$C$13,3,1),
IF(J1100&gt;0,VLOOKUP(J1100,Foundation_Calc!$A$2:$C$13,3,1),""))</f>
        <v>Multi Soil</v>
      </c>
      <c r="AX1100" s="449" t="str">
        <f>IF(C1100&gt;0,VLOOKUP(C1100,Foundation_Calc!$E$35:$G$65,3,1),
IF(J1100&gt;0,VLOOKUP(J1100,Foundation_Calc!$E$35:$G$65,3,1),""))</f>
        <v>PT</v>
      </c>
      <c r="AY1100" s="10">
        <f>IF(L1100="","",
IF(AX1100="PT",VLOOKUP(L1100,Foundation_Calc!$K$79:$R$113,VLOOKUP(AW1100,Foundation_Calc!$I$2:$J$8,2,FALSE),0),
IF(AX1100="K",VLOOKUP(L1100,Foundation_Calc!$K$117:$R$151,VLOOKUP(AW1100,Foundation_Calc!$I$2:$J$8,2,FALSE),0),"")))</f>
        <v>3.5</v>
      </c>
      <c r="AZ1100" s="10" t="str">
        <f>IF(K1100="","",
IF(AX1100="PT",VLOOKUP(K1100,Foundation_Calc!$K$79:$R$113,VLOOKUP(AW1100,Foundation_Calc!$I$2:$J$8,2,FALSE),0),
IF(AX1100="K",VLOOKUP(K1100,Foundation_Calc!$K$117:$R$151,VLOOKUP(AW1100,Foundation_Calc!$I$2:$J$8,2,FALSE),0),"")))</f>
        <v/>
      </c>
      <c r="BA1100" s="495" t="str">
        <f t="shared" si="137"/>
        <v>ü</v>
      </c>
      <c r="BB1100" s="495" t="str">
        <f t="shared" si="138"/>
        <v/>
      </c>
      <c r="BC1100" s="495" t="str">
        <f t="shared" si="139"/>
        <v/>
      </c>
      <c r="BD1100" s="513" t="str">
        <f>IF(AND(L1100="",H1100=""),"",
IF(H1100="",Pole_Calc!A$9,
IF(H1100="MP",Pole_Calc!A$10,
IF(H1100="AnMP",Pole_Calc!A$11,
IF(H1100="A",Pole_Calc!A$12,
IF(H1100="S/A",Pole_Calc!A$13,
IF(H1100="A/S",Pole_Calc!A$14,"Poner a mano")))))))</f>
        <v>App.7-V11I-P9.5.1.1</v>
      </c>
      <c r="BE1100" s="429" t="s">
        <v>118</v>
      </c>
      <c r="BF1100" s="289"/>
      <c r="BG1100" s="289"/>
      <c r="BH1100" s="290"/>
      <c r="BI1100" s="289"/>
    </row>
    <row r="1101" spans="1:61" ht="15.75" customHeight="1">
      <c r="A1101" s="518"/>
      <c r="B1101" s="450"/>
      <c r="C1101" s="3"/>
      <c r="D1101" s="83"/>
      <c r="E1101" s="4"/>
      <c r="F1101" s="4"/>
      <c r="G1101" s="6">
        <v>53</v>
      </c>
      <c r="H1101" s="449"/>
      <c r="I1101" s="4"/>
      <c r="J1101" s="3"/>
      <c r="K1101" s="449"/>
      <c r="L1101" s="449"/>
      <c r="M1101" s="449" t="str">
        <f>IF(L1101="","",
IF(AX1101="PT",VLOOKUP(L1101,Foundation_Calc!$V$79:$X$113,VLOOKUP(AX1101,Foundation_Calc!$I$10:$J$13,2,FALSE),0),
IF(AX1101="K",VLOOKUP(L1101,Foundation_Calc!$V$117:$X$151,VLOOKUP(AX1101,Foundation_Calc!$I$10:$J$13,2,FALSE),0),"")))</f>
        <v/>
      </c>
      <c r="N1101" s="449"/>
      <c r="O1101" s="449"/>
      <c r="P1101" s="449"/>
      <c r="Q1101" s="4"/>
      <c r="R1101" s="6"/>
      <c r="S1101" s="6"/>
      <c r="T1101" s="4"/>
      <c r="U1101" s="4"/>
      <c r="V1101" s="4"/>
      <c r="W1101" s="9"/>
      <c r="X1101" s="9"/>
      <c r="Y1101" s="9"/>
      <c r="Z1101" s="9"/>
      <c r="AA1101" s="9"/>
      <c r="AB1101" s="9"/>
      <c r="AC1101" s="449" t="str">
        <f t="shared" si="136"/>
        <v/>
      </c>
      <c r="AD1101" s="449"/>
      <c r="AE1101" s="449"/>
      <c r="AF1101" s="4"/>
      <c r="AG1101" s="83"/>
      <c r="AH1101" s="4"/>
      <c r="AI1101" s="4"/>
      <c r="AJ1101" s="449"/>
      <c r="AK1101" s="449"/>
      <c r="AL1101" s="449"/>
      <c r="AM1101" s="449"/>
      <c r="AN1101" s="10"/>
      <c r="AO1101" s="9"/>
      <c r="AP1101" s="9"/>
      <c r="AQ1101" s="9">
        <f>+FL_1($T$1102,$T$1100,$G$1101,1200,9.28, 1*$F$1102)</f>
        <v>0.17567810269428097</v>
      </c>
      <c r="AR1101" s="9"/>
      <c r="AS1101" s="9"/>
      <c r="AT1101" s="9"/>
      <c r="AU1101" s="428"/>
      <c r="AV1101" s="428"/>
      <c r="AW1101" s="449" t="str">
        <f>IF(C1101&gt;0,VLOOKUP(C1101,Foundation_Calc!$A$2:$C$13,3,1),
IF(J1101&gt;0,VLOOKUP(J1101,Foundation_Calc!$A$2:$C$13,3,1),""))</f>
        <v/>
      </c>
      <c r="AX1101" s="449" t="str">
        <f>IF(C1101&gt;0,VLOOKUP(C1101,Foundation_Calc!$E$35:$G$65,3,1),
IF(J1101&gt;0,VLOOKUP(J1101,Foundation_Calc!$E$35:$G$65,3,1),""))</f>
        <v/>
      </c>
      <c r="AY1101" s="10" t="str">
        <f>IF(L1101="","",
IF(AX1101="PT",VLOOKUP(L1101,Foundation_Calc!$K$79:$R$113,VLOOKUP(AW1101,Foundation_Calc!$I$2:$J$8,2,FALSE),0),
IF(AX1101="K",VLOOKUP(L1101,Foundation_Calc!$K$117:$R$151,VLOOKUP(AW1101,Foundation_Calc!$I$2:$J$8,2,FALSE),0),"")))</f>
        <v/>
      </c>
      <c r="AZ1101" s="10" t="str">
        <f>IF(K1101="","",
IF(AX1101="PT",VLOOKUP(K1101,Foundation_Calc!$K$79:$R$113,VLOOKUP(AW1101,Foundation_Calc!$I$2:$J$8,2,FALSE),0),
IF(AX1101="K",VLOOKUP(K1101,Foundation_Calc!$K$117:$R$151,VLOOKUP(AW1101,Foundation_Calc!$I$2:$J$8,2,FALSE),0),"")))</f>
        <v/>
      </c>
      <c r="BA1101" s="495" t="str">
        <f t="shared" si="137"/>
        <v/>
      </c>
      <c r="BB1101" s="495" t="str">
        <f t="shared" si="138"/>
        <v/>
      </c>
      <c r="BC1101" s="495" t="str">
        <f t="shared" si="139"/>
        <v/>
      </c>
      <c r="BD1101" s="513" t="str">
        <f>IF(AND(L1101="",H1101=""),"",
IF(H1101="",Pole_Calc!A$9,
IF(H1101="MP",Pole_Calc!A$10,
IF(H1101="AnMP",Pole_Calc!A$11,
IF(H1101="A",Pole_Calc!A$12,
IF(H1101="S/A",Pole_Calc!A$13,
IF(H1101="A/S",Pole_Calc!A$14,"Poner a mano")))))))</f>
        <v/>
      </c>
      <c r="BE1101" s="429" t="s">
        <v>118</v>
      </c>
      <c r="BF1101" s="290"/>
      <c r="BG1101" s="290"/>
      <c r="BH1101" s="290"/>
      <c r="BI1101" s="290"/>
    </row>
    <row r="1102" spans="1:61" ht="15.75" customHeight="1">
      <c r="A1102" s="514"/>
      <c r="B1102" s="450" t="s">
        <v>1510</v>
      </c>
      <c r="C1102" s="3">
        <f>+$C$1100+$G$1101</f>
        <v>57039.12000000001</v>
      </c>
      <c r="D1102" s="83"/>
      <c r="E1102" s="4"/>
      <c r="F1102" s="4">
        <v>-2300</v>
      </c>
      <c r="G1102" s="6"/>
      <c r="H1102" s="449"/>
      <c r="I1102" s="4"/>
      <c r="J1102" s="3"/>
      <c r="K1102" s="449"/>
      <c r="L1102" s="449" t="s">
        <v>158</v>
      </c>
      <c r="M1102" s="449" t="str">
        <f>IF(L1102="","",
IF(AX1102="PT",VLOOKUP(L1102,Foundation_Calc!$V$79:$X$113,VLOOKUP(AX1102,Foundation_Calc!$I$10:$J$13,2,FALSE),0),
IF(AX1102="K",VLOOKUP(L1102,Foundation_Calc!$V$117:$X$151,VLOOKUP(AX1102,Foundation_Calc!$I$10:$J$13,2,FALSE),0),"")))</f>
        <v>C4R</v>
      </c>
      <c r="N1102" s="449" t="s">
        <v>124</v>
      </c>
      <c r="O1102" s="449"/>
      <c r="P1102" s="449"/>
      <c r="Q1102" s="4"/>
      <c r="R1102" s="6"/>
      <c r="S1102" s="6"/>
      <c r="T1102" s="4">
        <v>-30</v>
      </c>
      <c r="U1102" s="4"/>
      <c r="V1102" s="4"/>
      <c r="W1102" s="9">
        <v>1.4</v>
      </c>
      <c r="X1102" s="9"/>
      <c r="Y1102" s="9"/>
      <c r="Z1102" s="9"/>
      <c r="AA1102" s="9"/>
      <c r="AB1102" s="9"/>
      <c r="AC1102" s="449" t="str">
        <f t="shared" si="136"/>
        <v>PHQ</v>
      </c>
      <c r="AD1102" s="449"/>
      <c r="AE1102" s="449"/>
      <c r="AF1102" s="4"/>
      <c r="AG1102" s="83"/>
      <c r="AH1102" s="4"/>
      <c r="AI1102" s="4"/>
      <c r="AJ1102" s="449"/>
      <c r="AK1102" s="449"/>
      <c r="AL1102" s="449"/>
      <c r="AM1102" s="449" t="s">
        <v>126</v>
      </c>
      <c r="AN1102" s="10">
        <v>5.5</v>
      </c>
      <c r="AO1102" s="9"/>
      <c r="AP1102" s="9"/>
      <c r="AQ1102" s="9"/>
      <c r="AR1102" s="9"/>
      <c r="AS1102" s="9"/>
      <c r="AT1102" s="9">
        <f>+ab($T$1102,$T$1100,$T$1104,$G$1101,$G$1103, 1*$F$1102,1200)</f>
        <v>-7.1187596438940739</v>
      </c>
      <c r="AU1102" s="428"/>
      <c r="AV1102" s="428"/>
      <c r="AW1102" s="449" t="str">
        <f>IF(C1102&gt;0,VLOOKUP(C1102,Foundation_Calc!$A$2:$C$13,3,1),
IF(J1102&gt;0,VLOOKUP(J1102,Foundation_Calc!$A$2:$C$13,3,1),""))</f>
        <v>Multi Soil</v>
      </c>
      <c r="AX1102" s="449" t="str">
        <f>IF(C1102&gt;0,VLOOKUP(C1102,Foundation_Calc!$E$35:$G$65,3,1),
IF(J1102&gt;0,VLOOKUP(J1102,Foundation_Calc!$E$35:$G$65,3,1),""))</f>
        <v>PT</v>
      </c>
      <c r="AY1102" s="10">
        <f>IF(L1102="","",
IF(AX1102="PT",VLOOKUP(L1102,Foundation_Calc!$K$79:$R$113,VLOOKUP(AW1102,Foundation_Calc!$I$2:$J$8,2,FALSE),0),
IF(AX1102="K",VLOOKUP(L1102,Foundation_Calc!$K$117:$R$151,VLOOKUP(AW1102,Foundation_Calc!$I$2:$J$8,2,FALSE),0),"")))</f>
        <v>3.5</v>
      </c>
      <c r="AZ1102" s="10" t="str">
        <f>IF(K1102="","",
IF(AX1102="PT",VLOOKUP(K1102,Foundation_Calc!$K$79:$R$113,VLOOKUP(AW1102,Foundation_Calc!$I$2:$J$8,2,FALSE),0),
IF(AX1102="K",VLOOKUP(K1102,Foundation_Calc!$K$117:$R$151,VLOOKUP(AW1102,Foundation_Calc!$I$2:$J$8,2,FALSE),0),"")))</f>
        <v/>
      </c>
      <c r="BA1102" s="495" t="str">
        <f t="shared" si="137"/>
        <v>ü</v>
      </c>
      <c r="BB1102" s="495" t="str">
        <f t="shared" si="138"/>
        <v/>
      </c>
      <c r="BC1102" s="495" t="str">
        <f t="shared" si="139"/>
        <v/>
      </c>
      <c r="BD1102" s="513" t="str">
        <f>IF(AND(L1102="",H1102=""),"",
IF(H1102="",Pole_Calc!A$9,
IF(H1102="MP",Pole_Calc!A$10,
IF(H1102="AnMP",Pole_Calc!A$11,
IF(H1102="A",Pole_Calc!A$12,
IF(H1102="S/A",Pole_Calc!A$13,
IF(H1102="A/S",Pole_Calc!A$14,"Poner a mano")))))))</f>
        <v>App.7-V11I-P9.5.1.1</v>
      </c>
      <c r="BE1102" s="429" t="s">
        <v>118</v>
      </c>
      <c r="BF1102" s="289"/>
      <c r="BG1102" s="289"/>
      <c r="BH1102" s="290"/>
      <c r="BI1102" s="289"/>
    </row>
    <row r="1103" spans="1:61" ht="15.75" customHeight="1">
      <c r="A1103" s="514"/>
      <c r="B1103" s="450"/>
      <c r="C1103" s="3"/>
      <c r="D1103" s="83"/>
      <c r="E1103" s="4"/>
      <c r="F1103" s="4"/>
      <c r="G1103" s="6">
        <v>53</v>
      </c>
      <c r="H1103" s="449"/>
      <c r="I1103" s="4"/>
      <c r="J1103" s="3">
        <f>C1104-7.5</f>
        <v>57084.62000000001</v>
      </c>
      <c r="K1103" s="449" t="s">
        <v>166</v>
      </c>
      <c r="L1103" s="449"/>
      <c r="M1103" s="449" t="str">
        <f>IF(L1103="","",
IF(AX1103="PT",VLOOKUP(L1103,Foundation_Calc!$V$79:$X$113,VLOOKUP(AX1103,Foundation_Calc!$I$10:$J$13,2,FALSE),0),
IF(AX1103="K",VLOOKUP(L1103,Foundation_Calc!$V$117:$X$151,VLOOKUP(AX1103,Foundation_Calc!$I$10:$J$13,2,FALSE),0),"")))</f>
        <v/>
      </c>
      <c r="N1103" s="449"/>
      <c r="O1103" s="449"/>
      <c r="P1103" s="449"/>
      <c r="Q1103" s="4"/>
      <c r="R1103" s="6"/>
      <c r="S1103" s="6"/>
      <c r="T1103" s="4"/>
      <c r="U1103" s="4"/>
      <c r="V1103" s="4"/>
      <c r="W1103" s="9"/>
      <c r="X1103" s="9"/>
      <c r="Y1103" s="9"/>
      <c r="Z1103" s="9"/>
      <c r="AA1103" s="9"/>
      <c r="AB1103" s="9"/>
      <c r="AC1103" s="449" t="str">
        <f t="shared" si="136"/>
        <v/>
      </c>
      <c r="AD1103" s="449"/>
      <c r="AE1103" s="449"/>
      <c r="AF1103" s="4"/>
      <c r="AG1103" s="83"/>
      <c r="AH1103" s="4"/>
      <c r="AI1103" s="4"/>
      <c r="AJ1103" s="449"/>
      <c r="AK1103" s="449"/>
      <c r="AL1103" s="449"/>
      <c r="AM1103" s="449"/>
      <c r="AN1103" s="10"/>
      <c r="AO1103" s="9"/>
      <c r="AP1103" s="9"/>
      <c r="AQ1103" s="9">
        <f>+FL_1($T$1104,$T$1102,$G$1103,1200,9.28, 1*$F$1104)</f>
        <v>0.13811870450656472</v>
      </c>
      <c r="AR1103" s="9"/>
      <c r="AS1103" s="9"/>
      <c r="AT1103" s="9"/>
      <c r="AU1103" s="428"/>
      <c r="AV1103" s="428"/>
      <c r="AW1103" s="449" t="str">
        <f>IF(C1103&gt;0,VLOOKUP(C1103,Foundation_Calc!$A$2:$C$13,3,1),
IF(J1103&gt;0,VLOOKUP(J1103,Foundation_Calc!$A$2:$C$13,3,1),""))</f>
        <v>Multi Soil</v>
      </c>
      <c r="AX1103" s="449" t="str">
        <f>IF(C1103&gt;0,VLOOKUP(C1103,Foundation_Calc!$E$35:$G$65,3,1),
IF(J1103&gt;0,VLOOKUP(J1103,Foundation_Calc!$E$35:$G$65,3,1),""))</f>
        <v>PT</v>
      </c>
      <c r="AY1103" s="10" t="str">
        <f>IF(L1103="","",
IF(AX1103="PT",VLOOKUP(L1103,Foundation_Calc!$K$79:$R$113,VLOOKUP(AW1103,Foundation_Calc!$I$2:$J$8,2,FALSE),0),
IF(AX1103="K",VLOOKUP(L1103,Foundation_Calc!$K$117:$R$151,VLOOKUP(AW1103,Foundation_Calc!$I$2:$J$8,2,FALSE),0),"")))</f>
        <v/>
      </c>
      <c r="AZ1103" s="10">
        <f>IF(K1103="","",
IF(AX1103="PT",VLOOKUP(K1103,Foundation_Calc!$K$79:$R$113,VLOOKUP(AW1103,Foundation_Calc!$I$2:$J$8,2,FALSE),0),
IF(AX1103="K",VLOOKUP(K1103,Foundation_Calc!$K$117:$R$151,VLOOKUP(AW1103,Foundation_Calc!$I$2:$J$8,2,FALSE),0),"")))</f>
        <v>2.8</v>
      </c>
      <c r="BA1103" s="495" t="str">
        <f t="shared" si="137"/>
        <v/>
      </c>
      <c r="BB1103" s="495" t="str">
        <f t="shared" si="138"/>
        <v>ü</v>
      </c>
      <c r="BC1103" s="495" t="str">
        <f t="shared" si="139"/>
        <v/>
      </c>
      <c r="BD1103" s="513" t="str">
        <f>IF(AND(L1103="",H1103=""),"",
IF(H1103="",Pole_Calc!A$9,
IF(H1103="MP",Pole_Calc!A$10,
IF(H1103="AnMP",Pole_Calc!A$11,
IF(H1103="A",Pole_Calc!A$12,
IF(H1103="S/A",Pole_Calc!A$13,
IF(H1103="A/S",Pole_Calc!A$14,"Poner a mano")))))))</f>
        <v/>
      </c>
      <c r="BE1103" s="429" t="s">
        <v>118</v>
      </c>
      <c r="BF1103" s="290"/>
      <c r="BG1103" s="290"/>
      <c r="BH1103" s="290"/>
      <c r="BI1103" s="290"/>
    </row>
    <row r="1104" spans="1:61" ht="15.75" customHeight="1">
      <c r="A1104" s="514"/>
      <c r="B1104" s="450" t="s">
        <v>1511</v>
      </c>
      <c r="C1104" s="3">
        <f>+$C$1102+$G$1103</f>
        <v>57092.12000000001</v>
      </c>
      <c r="D1104" s="83"/>
      <c r="E1104" s="4"/>
      <c r="F1104" s="4">
        <v>-3054.248243559719</v>
      </c>
      <c r="G1104" s="6"/>
      <c r="H1104" s="449" t="s">
        <v>168</v>
      </c>
      <c r="I1104" s="4"/>
      <c r="J1104" s="3"/>
      <c r="K1104" s="449"/>
      <c r="L1104" s="449" t="s">
        <v>158</v>
      </c>
      <c r="M1104" s="449" t="str">
        <f>IF(L1104="","",
IF(AX1104="PT",VLOOKUP(L1104,Foundation_Calc!$V$79:$X$113,VLOOKUP(AX1104,Foundation_Calc!$I$10:$J$13,2,FALSE),0),
IF(AX1104="K",VLOOKUP(L1104,Foundation_Calc!$V$117:$X$151,VLOOKUP(AX1104,Foundation_Calc!$I$10:$J$13,2,FALSE),0),"")))</f>
        <v>C4R</v>
      </c>
      <c r="N1104" s="449" t="s">
        <v>124</v>
      </c>
      <c r="O1104" s="449"/>
      <c r="P1104" s="449"/>
      <c r="Q1104" s="4"/>
      <c r="R1104" s="6"/>
      <c r="S1104" s="6"/>
      <c r="T1104" s="4">
        <v>-20</v>
      </c>
      <c r="U1104" s="4"/>
      <c r="V1104" s="4"/>
      <c r="W1104" s="9">
        <v>1.4</v>
      </c>
      <c r="X1104" s="9"/>
      <c r="Y1104" s="9"/>
      <c r="Z1104" s="9"/>
      <c r="AA1104" s="9"/>
      <c r="AB1104" s="9"/>
      <c r="AC1104" s="449" t="str">
        <f t="shared" si="136"/>
        <v>PH</v>
      </c>
      <c r="AD1104" s="449"/>
      <c r="AE1104" s="449"/>
      <c r="AF1104" s="4"/>
      <c r="AG1104" s="83"/>
      <c r="AH1104" s="4"/>
      <c r="AI1104" s="4"/>
      <c r="AJ1104" s="449"/>
      <c r="AK1104" s="449"/>
      <c r="AL1104" s="449"/>
      <c r="AM1104" s="449" t="s">
        <v>126</v>
      </c>
      <c r="AN1104" s="10">
        <v>5.5</v>
      </c>
      <c r="AO1104" s="9"/>
      <c r="AP1104" s="9"/>
      <c r="AQ1104" s="9"/>
      <c r="AR1104" s="9"/>
      <c r="AS1104" s="9"/>
      <c r="AT1104" s="9">
        <f>+ab($T$1104,$T$1102,$T$1106,$G$1103,$G$1105, 1*$F$1104,1200)</f>
        <v>-13.854757877367515</v>
      </c>
      <c r="AU1104" s="428"/>
      <c r="AV1104" s="428"/>
      <c r="AW1104" s="449" t="str">
        <f>IF(C1104&gt;0,VLOOKUP(C1104,Foundation_Calc!$A$2:$C$13,3,1),
IF(J1104&gt;0,VLOOKUP(J1104,Foundation_Calc!$A$2:$C$13,3,1),""))</f>
        <v>Multi Soil</v>
      </c>
      <c r="AX1104" s="449" t="str">
        <f>IF(C1104&gt;0,VLOOKUP(C1104,Foundation_Calc!$E$35:$G$65,3,1),
IF(J1104&gt;0,VLOOKUP(J1104,Foundation_Calc!$E$35:$G$65,3,1),""))</f>
        <v>PT</v>
      </c>
      <c r="AY1104" s="10">
        <f>IF(L1104="","",
IF(AX1104="PT",VLOOKUP(L1104,Foundation_Calc!$K$79:$R$113,VLOOKUP(AW1104,Foundation_Calc!$I$2:$J$8,2,FALSE),0),
IF(AX1104="K",VLOOKUP(L1104,Foundation_Calc!$K$117:$R$151,VLOOKUP(AW1104,Foundation_Calc!$I$2:$J$8,2,FALSE),0),"")))</f>
        <v>3.5</v>
      </c>
      <c r="AZ1104" s="10" t="str">
        <f>IF(K1104="","",
IF(AX1104="PT",VLOOKUP(K1104,Foundation_Calc!$K$79:$R$113,VLOOKUP(AW1104,Foundation_Calc!$I$2:$J$8,2,FALSE),0),
IF(AX1104="K",VLOOKUP(K1104,Foundation_Calc!$K$117:$R$151,VLOOKUP(AW1104,Foundation_Calc!$I$2:$J$8,2,FALSE),0),"")))</f>
        <v/>
      </c>
      <c r="BA1104" s="495" t="str">
        <f t="shared" si="137"/>
        <v>ü</v>
      </c>
      <c r="BB1104" s="495" t="str">
        <f t="shared" si="138"/>
        <v/>
      </c>
      <c r="BC1104" s="495" t="str">
        <f t="shared" si="139"/>
        <v/>
      </c>
      <c r="BD1104" s="513" t="str">
        <f>IF(AND(L1104="",H1104=""),"",
IF(H1104="",Pole_Calc!A$9,
IF(H1104="MP",Pole_Calc!A$10,
IF(H1104="AnMP",Pole_Calc!A$11,
IF(H1104="A",Pole_Calc!A$12,
IF(H1104="S/A",Pole_Calc!A$13,
IF(H1104="A/S",Pole_Calc!A$14,"Poner a mano")))))))</f>
        <v>App.7-V11I-P9.5.1.3</v>
      </c>
      <c r="BE1104" s="429" t="s">
        <v>118</v>
      </c>
      <c r="BF1104" s="289"/>
      <c r="BG1104" s="289"/>
      <c r="BH1104" s="290"/>
      <c r="BI1104" s="289"/>
    </row>
    <row r="1105" spans="1:61" ht="15.75" customHeight="1">
      <c r="A1105" s="514"/>
      <c r="B1105" s="450"/>
      <c r="C1105" s="3"/>
      <c r="D1105" s="83"/>
      <c r="E1105" s="4"/>
      <c r="F1105" s="4"/>
      <c r="G1105" s="6">
        <v>53</v>
      </c>
      <c r="H1105" s="449"/>
      <c r="I1105" s="4">
        <f>SUM(G1085:G1105)</f>
        <v>628</v>
      </c>
      <c r="J1105" s="3"/>
      <c r="K1105" s="449"/>
      <c r="L1105" s="449"/>
      <c r="M1105" s="449" t="str">
        <f>IF(L1105="","",
IF(AX1105="PT",VLOOKUP(L1105,Foundation_Calc!$V$79:$X$113,VLOOKUP(AX1105,Foundation_Calc!$I$10:$J$13,2,FALSE),0),
IF(AX1105="K",VLOOKUP(L1105,Foundation_Calc!$V$117:$X$151,VLOOKUP(AX1105,Foundation_Calc!$I$10:$J$13,2,FALSE),0),"")))</f>
        <v/>
      </c>
      <c r="N1105" s="449"/>
      <c r="O1105" s="561"/>
      <c r="P1105" s="449"/>
      <c r="Q1105" s="4"/>
      <c r="R1105" s="6"/>
      <c r="S1105" s="6"/>
      <c r="T1105" s="4"/>
      <c r="U1105" s="4"/>
      <c r="V1105" s="4"/>
      <c r="W1105" s="9"/>
      <c r="X1105" s="9"/>
      <c r="Y1105" s="9"/>
      <c r="Z1105" s="9"/>
      <c r="AA1105" s="9"/>
      <c r="AB1105" s="9"/>
      <c r="AC1105" s="449" t="str">
        <f t="shared" si="136"/>
        <v/>
      </c>
      <c r="AD1105" s="449"/>
      <c r="AE1105" s="449"/>
      <c r="AF1105" s="4"/>
      <c r="AG1105" s="83"/>
      <c r="AH1105" s="4"/>
      <c r="AI1105" s="4"/>
      <c r="AJ1105" s="449"/>
      <c r="AK1105" s="449"/>
      <c r="AL1105" s="449"/>
      <c r="AM1105" s="449"/>
      <c r="AN1105" s="10"/>
      <c r="AO1105" s="9"/>
      <c r="AP1105" s="9"/>
      <c r="AQ1105" s="9">
        <f>+FL_2($T$1106,$T$1104,$G$1105,1200,9.28, 1*$F$1106)</f>
        <v>-0.4665764615907757</v>
      </c>
      <c r="AR1105" s="9"/>
      <c r="AS1105" s="9"/>
      <c r="AT1105" s="9"/>
      <c r="AU1105" s="428"/>
      <c r="AV1105" s="428"/>
      <c r="AW1105" s="449" t="str">
        <f>IF(C1105&gt;0,VLOOKUP(C1105,Foundation_Calc!$A$2:$C$13,3,1),
IF(J1105&gt;0,VLOOKUP(J1105,Foundation_Calc!$A$2:$C$13,3,1),""))</f>
        <v/>
      </c>
      <c r="AX1105" s="449" t="str">
        <f>IF(C1105&gt;0,VLOOKUP(C1105,Foundation_Calc!$E$35:$G$65,3,1),
IF(J1105&gt;0,VLOOKUP(J1105,Foundation_Calc!$E$35:$G$65,3,1),""))</f>
        <v/>
      </c>
      <c r="AY1105" s="10" t="str">
        <f>IF(L1105="","",
IF(AX1105="PT",VLOOKUP(L1105,Foundation_Calc!$K$79:$R$113,VLOOKUP(AW1105,Foundation_Calc!$I$2:$J$8,2,FALSE),0),
IF(AX1105="K",VLOOKUP(L1105,Foundation_Calc!$K$117:$R$151,VLOOKUP(AW1105,Foundation_Calc!$I$2:$J$8,2,FALSE),0),"")))</f>
        <v/>
      </c>
      <c r="AZ1105" s="10" t="str">
        <f>IF(K1105="","",
IF(AX1105="PT",VLOOKUP(K1105,Foundation_Calc!$K$79:$R$113,VLOOKUP(AW1105,Foundation_Calc!$I$2:$J$8,2,FALSE),0),
IF(AX1105="K",VLOOKUP(K1105,Foundation_Calc!$K$117:$R$151,VLOOKUP(AW1105,Foundation_Calc!$I$2:$J$8,2,FALSE),0),"")))</f>
        <v/>
      </c>
      <c r="BA1105" s="495" t="str">
        <f t="shared" si="137"/>
        <v/>
      </c>
      <c r="BB1105" s="495" t="str">
        <f t="shared" si="138"/>
        <v/>
      </c>
      <c r="BC1105" s="495" t="str">
        <f t="shared" si="139"/>
        <v/>
      </c>
      <c r="BD1105" s="513" t="str">
        <f>IF(AND(L1105="",H1105=""),"",
IF(H1105="",Pole_Calc!A$9,
IF(H1105="MP",Pole_Calc!A$10,
IF(H1105="AnMP",Pole_Calc!A$11,
IF(H1105="A",Pole_Calc!A$12,
IF(H1105="S/A",Pole_Calc!A$13,
IF(H1105="A/S",Pole_Calc!A$14,"Poner a mano")))))))</f>
        <v/>
      </c>
      <c r="BE1105" s="429" t="s">
        <v>118</v>
      </c>
      <c r="BF1105" s="290"/>
      <c r="BG1105" s="290"/>
      <c r="BH1105" s="290"/>
      <c r="BI1105" s="290"/>
    </row>
    <row r="1106" spans="1:61" ht="15.75" customHeight="1">
      <c r="A1106" s="514"/>
      <c r="B1106" s="450" t="s">
        <v>1512</v>
      </c>
      <c r="C1106" s="3">
        <f>+$C$1104+$G$1105</f>
        <v>57145.12000000001</v>
      </c>
      <c r="D1106" s="83"/>
      <c r="E1106" s="4"/>
      <c r="F1106" s="4">
        <v>-6065.8790697674422</v>
      </c>
      <c r="G1106" s="6"/>
      <c r="H1106" s="449" t="s">
        <v>171</v>
      </c>
      <c r="I1106" s="4"/>
      <c r="J1106" s="3"/>
      <c r="K1106" s="449"/>
      <c r="L1106" s="449" t="s">
        <v>153</v>
      </c>
      <c r="M1106" s="449" t="str">
        <f>IF(L1106="","",
IF(AX1106="PT",VLOOKUP(L1106,Foundation_Calc!$V$79:$X$113,VLOOKUP(AX1106,Foundation_Calc!$I$10:$J$13,2,FALSE),0),
IF(AX1106="K",VLOOKUP(L1106,Foundation_Calc!$V$117:$X$151,VLOOKUP(AX1106,Foundation_Calc!$I$10:$J$13,2,FALSE),0),"")))</f>
        <v>C3R</v>
      </c>
      <c r="N1106" s="449" t="s">
        <v>124</v>
      </c>
      <c r="O1106" s="449"/>
      <c r="P1106" s="449"/>
      <c r="Q1106" s="4"/>
      <c r="R1106" s="6"/>
      <c r="S1106" s="6"/>
      <c r="T1106" s="4">
        <v>-30</v>
      </c>
      <c r="U1106" s="4"/>
      <c r="V1106" s="4"/>
      <c r="W1106" s="9">
        <v>1.4</v>
      </c>
      <c r="X1106" s="9"/>
      <c r="Y1106" s="9"/>
      <c r="Z1106" s="9"/>
      <c r="AA1106" s="9"/>
      <c r="AB1106" s="9"/>
      <c r="AC1106" s="449" t="str">
        <f t="shared" si="136"/>
        <v>PH</v>
      </c>
      <c r="AD1106" s="449"/>
      <c r="AE1106" s="449"/>
      <c r="AF1106" s="4"/>
      <c r="AG1106" s="83"/>
      <c r="AH1106" s="4"/>
      <c r="AI1106" s="4"/>
      <c r="AJ1106" s="449"/>
      <c r="AK1106" s="449"/>
      <c r="AL1106" s="449"/>
      <c r="AM1106" s="449" t="s">
        <v>126</v>
      </c>
      <c r="AN1106" s="10">
        <v>5.5</v>
      </c>
      <c r="AO1106" s="9"/>
      <c r="AP1106" s="9"/>
      <c r="AQ1106" s="9"/>
      <c r="AR1106" s="9"/>
      <c r="AS1106" s="9"/>
      <c r="AT1106" s="9">
        <f>+ab($T$1106,$T$1104,$T$1108,$G$1105,$G$1107, 1*$F$1106,1200)</f>
        <v>-8.3247811323444747</v>
      </c>
      <c r="AU1106" s="428"/>
      <c r="AV1106" s="428"/>
      <c r="AW1106" s="449" t="str">
        <f>IF(C1106&gt;0,VLOOKUP(C1106,Foundation_Calc!$A$2:$C$13,3,1),
IF(J1106&gt;0,VLOOKUP(J1106,Foundation_Calc!$A$2:$C$13,3,1),""))</f>
        <v>Multi Soil</v>
      </c>
      <c r="AX1106" s="449" t="str">
        <f>IF(C1106&gt;0,VLOOKUP(C1106,Foundation_Calc!$E$35:$G$65,3,1),
IF(J1106&gt;0,VLOOKUP(J1106,Foundation_Calc!$E$35:$G$65,3,1),""))</f>
        <v>PT</v>
      </c>
      <c r="AY1106" s="10">
        <f>IF(L1106="","",
IF(AX1106="PT",VLOOKUP(L1106,Foundation_Calc!$K$79:$R$113,VLOOKUP(AW1106,Foundation_Calc!$I$2:$J$8,2,FALSE),0),
IF(AX1106="K",VLOOKUP(L1106,Foundation_Calc!$K$117:$R$151,VLOOKUP(AW1106,Foundation_Calc!$I$2:$J$8,2,FALSE),0),"")))</f>
        <v>3.5</v>
      </c>
      <c r="AZ1106" s="10" t="str">
        <f>IF(K1106="","",
IF(AX1106="PT",VLOOKUP(K1106,Foundation_Calc!$K$79:$R$113,VLOOKUP(AW1106,Foundation_Calc!$I$2:$J$8,2,FALSE),0),
IF(AX1106="K",VLOOKUP(K1106,Foundation_Calc!$K$117:$R$151,VLOOKUP(AW1106,Foundation_Calc!$I$2:$J$8,2,FALSE),0),"")))</f>
        <v/>
      </c>
      <c r="BA1106" s="495" t="str">
        <f t="shared" si="137"/>
        <v>ü</v>
      </c>
      <c r="BB1106" s="495" t="str">
        <f t="shared" si="138"/>
        <v/>
      </c>
      <c r="BC1106" s="495" t="str">
        <f t="shared" si="139"/>
        <v/>
      </c>
      <c r="BD1106" s="513" t="str">
        <f>IF(AND(L1106="",H1106=""),"",
IF(H1106="",Pole_Calc!A$9,
IF(H1106="MP",Pole_Calc!A$10,
IF(H1106="AnMP",Pole_Calc!A$11,
IF(H1106="A",Pole_Calc!A$12,
IF(H1106="S/A",Pole_Calc!A$13,
IF(H1106="A/S",Pole_Calc!A$14,"Poner a mano")))))))</f>
        <v>App.7-V11I-P9.5.1.2</v>
      </c>
      <c r="BE1106" s="429" t="s">
        <v>118</v>
      </c>
      <c r="BF1106" s="289"/>
      <c r="BG1106" s="289"/>
      <c r="BH1106" s="290"/>
      <c r="BI1106" s="289"/>
    </row>
    <row r="1107" spans="1:61" ht="15.75" customHeight="1">
      <c r="A1107" s="518"/>
      <c r="B1107" s="450"/>
      <c r="C1107" s="3"/>
      <c r="D1107" s="83"/>
      <c r="E1107" s="4"/>
      <c r="F1107" s="4"/>
      <c r="G1107" s="6">
        <v>53</v>
      </c>
      <c r="H1107" s="449"/>
      <c r="I1107" s="4">
        <f>SUM(G1107:G1127)</f>
        <v>660</v>
      </c>
      <c r="J1107" s="3"/>
      <c r="K1107" s="449"/>
      <c r="L1107" s="449"/>
      <c r="M1107" s="449" t="str">
        <f>IF(L1107="","",
IF(AX1107="PT",VLOOKUP(L1107,Foundation_Calc!$V$79:$X$113,VLOOKUP(AX1107,Foundation_Calc!$I$10:$J$13,2,FALSE),0),
IF(AX1107="K",VLOOKUP(L1107,Foundation_Calc!$V$117:$X$151,VLOOKUP(AX1107,Foundation_Calc!$I$10:$J$13,2,FALSE),0),"")))</f>
        <v/>
      </c>
      <c r="N1107" s="449"/>
      <c r="O1107" s="449"/>
      <c r="P1107" s="449"/>
      <c r="Q1107" s="4"/>
      <c r="R1107" s="6"/>
      <c r="S1107" s="6"/>
      <c r="T1107" s="4"/>
      <c r="U1107" s="4"/>
      <c r="V1107" s="4"/>
      <c r="W1107" s="9"/>
      <c r="X1107" s="9"/>
      <c r="Y1107" s="9"/>
      <c r="Z1107" s="9"/>
      <c r="AA1107" s="9"/>
      <c r="AB1107" s="9"/>
      <c r="AC1107" s="449" t="str">
        <f t="shared" si="136"/>
        <v/>
      </c>
      <c r="AD1107" s="449"/>
      <c r="AE1107" s="449"/>
      <c r="AF1107" s="4"/>
      <c r="AG1107" s="83"/>
      <c r="AH1107" s="4"/>
      <c r="AI1107" s="4"/>
      <c r="AJ1107" s="449"/>
      <c r="AK1107" s="449"/>
      <c r="AL1107" s="449"/>
      <c r="AM1107" s="449"/>
      <c r="AN1107" s="10"/>
      <c r="AO1107" s="9"/>
      <c r="AP1107" s="9"/>
      <c r="AQ1107" s="9">
        <f>+FL_1($T$1108,$T$1106,$G$1107,1200,9.28, 1*$F$1108)</f>
        <v>0.39430341237698574</v>
      </c>
      <c r="AR1107" s="9"/>
      <c r="AS1107" s="9"/>
      <c r="AT1107" s="9"/>
      <c r="AU1107" s="428"/>
      <c r="AV1107" s="428"/>
      <c r="AW1107" s="449" t="str">
        <f>IF(C1107&gt;0,VLOOKUP(C1107,Foundation_Calc!$A$2:$C$13,3,1),
IF(J1107&gt;0,VLOOKUP(J1107,Foundation_Calc!$A$2:$C$13,3,1),""))</f>
        <v/>
      </c>
      <c r="AX1107" s="449" t="str">
        <f>IF(C1107&gt;0,VLOOKUP(C1107,Foundation_Calc!$E$35:$G$65,3,1),
IF(J1107&gt;0,VLOOKUP(J1107,Foundation_Calc!$E$35:$G$65,3,1),""))</f>
        <v/>
      </c>
      <c r="AY1107" s="10" t="str">
        <f>IF(L1107="","",
IF(AX1107="PT",VLOOKUP(L1107,Foundation_Calc!$K$79:$R$113,VLOOKUP(AW1107,Foundation_Calc!$I$2:$J$8,2,FALSE),0),
IF(AX1107="K",VLOOKUP(L1107,Foundation_Calc!$K$117:$R$151,VLOOKUP(AW1107,Foundation_Calc!$I$2:$J$8,2,FALSE),0),"")))</f>
        <v/>
      </c>
      <c r="AZ1107" s="10" t="str">
        <f>IF(K1107="","",
IF(AX1107="PT",VLOOKUP(K1107,Foundation_Calc!$K$79:$R$113,VLOOKUP(AW1107,Foundation_Calc!$I$2:$J$8,2,FALSE),0),
IF(AX1107="K",VLOOKUP(K1107,Foundation_Calc!$K$117:$R$151,VLOOKUP(AW1107,Foundation_Calc!$I$2:$J$8,2,FALSE),0),"")))</f>
        <v/>
      </c>
      <c r="BA1107" s="495" t="str">
        <f t="shared" si="137"/>
        <v/>
      </c>
      <c r="BB1107" s="495" t="str">
        <f t="shared" si="138"/>
        <v/>
      </c>
      <c r="BC1107" s="495" t="str">
        <f t="shared" si="139"/>
        <v/>
      </c>
      <c r="BD1107" s="513" t="str">
        <f>IF(AND(L1107="",H1107=""),"",
IF(H1107="",Pole_Calc!A$9,
IF(H1107="MP",Pole_Calc!A$10,
IF(H1107="AnMP",Pole_Calc!A$11,
IF(H1107="A",Pole_Calc!A$12,
IF(H1107="S/A",Pole_Calc!A$13,
IF(H1107="A/S",Pole_Calc!A$14,"Poner a mano")))))))</f>
        <v/>
      </c>
      <c r="BE1107" s="429" t="s">
        <v>118</v>
      </c>
      <c r="BF1107" s="290"/>
      <c r="BG1107" s="290"/>
      <c r="BH1107" s="290"/>
      <c r="BI1107" s="290"/>
    </row>
    <row r="1108" spans="1:61" ht="15.75" customHeight="1">
      <c r="A1108" s="514"/>
      <c r="B1108" s="450" t="s">
        <v>1513</v>
      </c>
      <c r="C1108" s="3">
        <f>+$C$1106+$G$1107</f>
        <v>57198.12000000001</v>
      </c>
      <c r="D1108" s="83"/>
      <c r="E1108" s="4"/>
      <c r="F1108" s="4">
        <v>-434721.33333333331</v>
      </c>
      <c r="G1108" s="6"/>
      <c r="H1108" s="449" t="s">
        <v>168</v>
      </c>
      <c r="I1108" s="4"/>
      <c r="J1108" s="3"/>
      <c r="K1108" s="449"/>
      <c r="L1108" s="449" t="s">
        <v>158</v>
      </c>
      <c r="M1108" s="449" t="str">
        <f>IF(L1108="","",
IF(AX1108="PT",VLOOKUP(L1108,Foundation_Calc!$V$79:$X$113,VLOOKUP(AX1108,Foundation_Calc!$I$10:$J$13,2,FALSE),0),
IF(AX1108="K",VLOOKUP(L1108,Foundation_Calc!$V$117:$X$151,VLOOKUP(AX1108,Foundation_Calc!$I$10:$J$13,2,FALSE),0),"")))</f>
        <v>C4R</v>
      </c>
      <c r="N1108" s="449" t="s">
        <v>134</v>
      </c>
      <c r="O1108" s="449"/>
      <c r="P1108" s="449"/>
      <c r="Q1108" s="4"/>
      <c r="R1108" s="6"/>
      <c r="S1108" s="6"/>
      <c r="T1108" s="4">
        <v>35</v>
      </c>
      <c r="U1108" s="4"/>
      <c r="V1108" s="4"/>
      <c r="W1108" s="9">
        <v>1.4</v>
      </c>
      <c r="X1108" s="9"/>
      <c r="Y1108" s="9"/>
      <c r="Z1108" s="9"/>
      <c r="AA1108" s="9"/>
      <c r="AB1108" s="9"/>
      <c r="AC1108" s="449" t="str">
        <f t="shared" si="136"/>
        <v>PHQ</v>
      </c>
      <c r="AD1108" s="449"/>
      <c r="AE1108" s="449"/>
      <c r="AF1108" s="4"/>
      <c r="AG1108" s="83"/>
      <c r="AH1108" s="4"/>
      <c r="AI1108" s="4"/>
      <c r="AJ1108" s="449"/>
      <c r="AK1108" s="449"/>
      <c r="AL1108" s="449"/>
      <c r="AM1108" s="449" t="s">
        <v>126</v>
      </c>
      <c r="AN1108" s="10">
        <v>5.5</v>
      </c>
      <c r="AO1108" s="9"/>
      <c r="AP1108" s="9"/>
      <c r="AQ1108" s="9"/>
      <c r="AR1108" s="9"/>
      <c r="AS1108" s="9"/>
      <c r="AT1108" s="9">
        <f>+ab($T$1108,$T$1106,$T$1110,$G$1107,$G$1109, 1*$F$1108,1200)</f>
        <v>7.6705387726667817</v>
      </c>
      <c r="AU1108" s="428"/>
      <c r="AV1108" s="428"/>
      <c r="AW1108" s="449" t="str">
        <f>IF(C1108&gt;0,VLOOKUP(C1108,Foundation_Calc!$A$2:$C$13,3,1),
IF(J1108&gt;0,VLOOKUP(J1108,Foundation_Calc!$A$2:$C$13,3,1),""))</f>
        <v>Multi Soil</v>
      </c>
      <c r="AX1108" s="449" t="str">
        <f>IF(C1108&gt;0,VLOOKUP(C1108,Foundation_Calc!$E$35:$G$65,3,1),
IF(J1108&gt;0,VLOOKUP(J1108,Foundation_Calc!$E$35:$G$65,3,1),""))</f>
        <v>PT</v>
      </c>
      <c r="AY1108" s="10">
        <f>IF(L1108="","",
IF(AX1108="PT",VLOOKUP(L1108,Foundation_Calc!$K$79:$R$113,VLOOKUP(AW1108,Foundation_Calc!$I$2:$J$8,2,FALSE),0),
IF(AX1108="K",VLOOKUP(L1108,Foundation_Calc!$K$117:$R$151,VLOOKUP(AW1108,Foundation_Calc!$I$2:$J$8,2,FALSE),0),"")))</f>
        <v>3.5</v>
      </c>
      <c r="AZ1108" s="10" t="str">
        <f>IF(K1108="","",
IF(AX1108="PT",VLOOKUP(K1108,Foundation_Calc!$K$79:$R$113,VLOOKUP(AW1108,Foundation_Calc!$I$2:$J$8,2,FALSE),0),
IF(AX1108="K",VLOOKUP(K1108,Foundation_Calc!$K$117:$R$151,VLOOKUP(AW1108,Foundation_Calc!$I$2:$J$8,2,FALSE),0),"")))</f>
        <v/>
      </c>
      <c r="BA1108" s="495" t="str">
        <f t="shared" si="137"/>
        <v>ü</v>
      </c>
      <c r="BB1108" s="495" t="str">
        <f t="shared" si="138"/>
        <v/>
      </c>
      <c r="BC1108" s="495" t="str">
        <f t="shared" si="139"/>
        <v/>
      </c>
      <c r="BD1108" s="513" t="str">
        <f>IF(AND(L1108="",H1108=""),"",
IF(H1108="",Pole_Calc!A$9,
IF(H1108="MP",Pole_Calc!A$10,
IF(H1108="AnMP",Pole_Calc!A$11,
IF(H1108="A",Pole_Calc!A$12,
IF(H1108="S/A",Pole_Calc!A$13,
IF(H1108="A/S",Pole_Calc!A$14,"Poner a mano")))))))</f>
        <v>App.7-V11I-P9.5.1.3</v>
      </c>
      <c r="BE1108" s="429" t="s">
        <v>118</v>
      </c>
      <c r="BF1108" s="289"/>
      <c r="BG1108" s="289"/>
      <c r="BH1108" s="290"/>
      <c r="BI1108" s="289"/>
    </row>
    <row r="1109" spans="1:61" ht="15.75" customHeight="1">
      <c r="A1109" s="514"/>
      <c r="B1109" s="450"/>
      <c r="C1109" s="3"/>
      <c r="D1109" s="83"/>
      <c r="E1109" s="4"/>
      <c r="F1109" s="4"/>
      <c r="G1109" s="6">
        <v>55</v>
      </c>
      <c r="H1109" s="449"/>
      <c r="I1109" s="4"/>
      <c r="J1109" s="3">
        <f>C1108+7.5</f>
        <v>57205.62000000001</v>
      </c>
      <c r="K1109" s="449" t="s">
        <v>166</v>
      </c>
      <c r="L1109" s="449"/>
      <c r="M1109" s="449" t="str">
        <f>IF(L1109="","",
IF(AX1109="PT",VLOOKUP(L1109,Foundation_Calc!$V$79:$X$113,VLOOKUP(AX1109,Foundation_Calc!$I$10:$J$13,2,FALSE),0),
IF(AX1109="K",VLOOKUP(L1109,Foundation_Calc!$V$117:$X$151,VLOOKUP(AX1109,Foundation_Calc!$I$10:$J$13,2,FALSE),0),"")))</f>
        <v/>
      </c>
      <c r="N1109" s="449"/>
      <c r="O1109" s="449"/>
      <c r="P1109" s="449"/>
      <c r="Q1109" s="4"/>
      <c r="R1109" s="6"/>
      <c r="S1109" s="6"/>
      <c r="T1109" s="4"/>
      <c r="U1109" s="4"/>
      <c r="V1109" s="4"/>
      <c r="W1109" s="9"/>
      <c r="X1109" s="9"/>
      <c r="Y1109" s="9"/>
      <c r="Z1109" s="9"/>
      <c r="AA1109" s="9"/>
      <c r="AB1109" s="9"/>
      <c r="AC1109" s="449" t="str">
        <f t="shared" si="136"/>
        <v/>
      </c>
      <c r="AD1109" s="449"/>
      <c r="AE1109" s="449"/>
      <c r="AF1109" s="4"/>
      <c r="AG1109" s="83"/>
      <c r="AH1109" s="4"/>
      <c r="AI1109" s="4"/>
      <c r="AJ1109" s="449"/>
      <c r="AK1109" s="449"/>
      <c r="AL1109" s="449"/>
      <c r="AM1109" s="449"/>
      <c r="AN1109" s="10"/>
      <c r="AO1109" s="9"/>
      <c r="AP1109" s="9"/>
      <c r="AQ1109" s="9">
        <f>+FL_1($T$1110,$T$1108,$G$1109,1200,9.28, 1*$F$1110)</f>
        <v>0.39714735709090898</v>
      </c>
      <c r="AR1109" s="9"/>
      <c r="AS1109" s="9"/>
      <c r="AT1109" s="9"/>
      <c r="AU1109" s="428"/>
      <c r="AV1109" s="428"/>
      <c r="AW1109" s="449" t="str">
        <f>IF(C1109&gt;0,VLOOKUP(C1109,Foundation_Calc!$A$2:$C$13,3,1),
IF(J1109&gt;0,VLOOKUP(J1109,Foundation_Calc!$A$2:$C$13,3,1),""))</f>
        <v>Multi Soil</v>
      </c>
      <c r="AX1109" s="449" t="str">
        <f>IF(C1109&gt;0,VLOOKUP(C1109,Foundation_Calc!$E$35:$G$65,3,1),
IF(J1109&gt;0,VLOOKUP(J1109,Foundation_Calc!$E$35:$G$65,3,1),""))</f>
        <v>PT</v>
      </c>
      <c r="AY1109" s="10" t="str">
        <f>IF(L1109="","",
IF(AX1109="PT",VLOOKUP(L1109,Foundation_Calc!$K$79:$R$113,VLOOKUP(AW1109,Foundation_Calc!$I$2:$J$8,2,FALSE),0),
IF(AX1109="K",VLOOKUP(L1109,Foundation_Calc!$K$117:$R$151,VLOOKUP(AW1109,Foundation_Calc!$I$2:$J$8,2,FALSE),0),"")))</f>
        <v/>
      </c>
      <c r="AZ1109" s="10">
        <f>IF(K1109="","",
IF(AX1109="PT",VLOOKUP(K1109,Foundation_Calc!$K$79:$R$113,VLOOKUP(AW1109,Foundation_Calc!$I$2:$J$8,2,FALSE),0),
IF(AX1109="K",VLOOKUP(K1109,Foundation_Calc!$K$117:$R$151,VLOOKUP(AW1109,Foundation_Calc!$I$2:$J$8,2,FALSE),0),"")))</f>
        <v>2.8</v>
      </c>
      <c r="BA1109" s="495" t="str">
        <f t="shared" si="137"/>
        <v/>
      </c>
      <c r="BB1109" s="495" t="str">
        <f t="shared" si="138"/>
        <v>ü</v>
      </c>
      <c r="BC1109" s="495" t="str">
        <f t="shared" si="139"/>
        <v/>
      </c>
      <c r="BD1109" s="513" t="str">
        <f>IF(AND(L1109="",H1109=""),"",
IF(H1109="",Pole_Calc!A$9,
IF(H1109="MP",Pole_Calc!A$10,
IF(H1109="AnMP",Pole_Calc!A$11,
IF(H1109="A",Pole_Calc!A$12,
IF(H1109="S/A",Pole_Calc!A$13,
IF(H1109="A/S",Pole_Calc!A$14,"Poner a mano")))))))</f>
        <v/>
      </c>
      <c r="BE1109" s="429" t="s">
        <v>118</v>
      </c>
      <c r="BF1109" s="290"/>
      <c r="BG1109" s="290"/>
      <c r="BH1109" s="290"/>
      <c r="BI1109" s="290"/>
    </row>
    <row r="1110" spans="1:61" ht="15.75" customHeight="1">
      <c r="A1110" s="514"/>
      <c r="B1110" s="450" t="s">
        <v>1514</v>
      </c>
      <c r="C1110" s="3">
        <f>+$C$1108+$G$1109</f>
        <v>57253.12000000001</v>
      </c>
      <c r="D1110" s="83"/>
      <c r="E1110" s="4"/>
      <c r="F1110" s="4">
        <v>0</v>
      </c>
      <c r="G1110" s="6"/>
      <c r="H1110" s="449"/>
      <c r="I1110" s="4"/>
      <c r="J1110" s="3"/>
      <c r="K1110" s="449"/>
      <c r="L1110" s="449" t="s">
        <v>153</v>
      </c>
      <c r="M1110" s="449" t="str">
        <f>IF(L1110="","",
IF(AX1110="PT",VLOOKUP(L1110,Foundation_Calc!$V$79:$X$113,VLOOKUP(AX1110,Foundation_Calc!$I$10:$J$13,2,FALSE),0),
IF(AX1110="K",VLOOKUP(L1110,Foundation_Calc!$V$117:$X$151,VLOOKUP(AX1110,Foundation_Calc!$I$10:$J$13,2,FALSE),0),"")))</f>
        <v>C3RT</v>
      </c>
      <c r="N1110" s="449" t="s">
        <v>124</v>
      </c>
      <c r="O1110" s="449"/>
      <c r="P1110" s="449"/>
      <c r="Q1110" s="4"/>
      <c r="R1110" s="6"/>
      <c r="S1110" s="6"/>
      <c r="T1110" s="4">
        <v>-35</v>
      </c>
      <c r="U1110" s="4"/>
      <c r="V1110" s="4"/>
      <c r="W1110" s="9">
        <v>1.4</v>
      </c>
      <c r="X1110" s="9"/>
      <c r="Y1110" s="9"/>
      <c r="Z1110" s="9"/>
      <c r="AA1110" s="9"/>
      <c r="AB1110" s="9"/>
      <c r="AC1110" s="449" t="str">
        <f t="shared" si="136"/>
        <v>PHQ</v>
      </c>
      <c r="AD1110" s="449"/>
      <c r="AE1110" s="449"/>
      <c r="AF1110" s="4"/>
      <c r="AG1110" s="83"/>
      <c r="AH1110" s="4"/>
      <c r="AI1110" s="4"/>
      <c r="AJ1110" s="449"/>
      <c r="AK1110" s="449"/>
      <c r="AL1110" s="449"/>
      <c r="AM1110" s="449" t="s">
        <v>126</v>
      </c>
      <c r="AN1110" s="10">
        <v>5.5</v>
      </c>
      <c r="AO1110" s="9"/>
      <c r="AP1110" s="9"/>
      <c r="AQ1110" s="9"/>
      <c r="AR1110" s="9"/>
      <c r="AS1110" s="9"/>
      <c r="AT1110" s="9">
        <f>+ab($T$1110,$T$1108,$T$1112,$G$1109,$G$1111, 1*$F$1110,1200)</f>
        <v>-7.8175501667728815</v>
      </c>
      <c r="AU1110" s="428"/>
      <c r="AV1110" s="428"/>
      <c r="AW1110" s="449" t="str">
        <f>IF(C1110&gt;0,VLOOKUP(C1110,Foundation_Calc!$A$2:$C$13,3,1),
IF(J1110&gt;0,VLOOKUP(J1110,Foundation_Calc!$A$2:$C$13,3,1),""))</f>
        <v>Multi Soil</v>
      </c>
      <c r="AX1110" s="449" t="str">
        <f>IF(C1110&gt;0,VLOOKUP(C1110,Foundation_Calc!$E$35:$G$65,3,1),
IF(J1110&gt;0,VLOOKUP(J1110,Foundation_Calc!$E$35:$G$65,3,1),""))</f>
        <v>K</v>
      </c>
      <c r="AY1110" s="10">
        <f>IF(L1110="","",
IF(AX1110="PT",VLOOKUP(L1110,Foundation_Calc!$K$79:$R$113,VLOOKUP(AW1110,Foundation_Calc!$I$2:$J$8,2,FALSE),0),
IF(AX1110="K",VLOOKUP(L1110,Foundation_Calc!$K$117:$R$151,VLOOKUP(AW1110,Foundation_Calc!$I$2:$J$8,2,FALSE),0),"")))</f>
        <v>4</v>
      </c>
      <c r="AZ1110" s="10" t="str">
        <f>IF(K1110="","",
IF(AX1110="PT",VLOOKUP(K1110,Foundation_Calc!$K$79:$R$113,VLOOKUP(AW1110,Foundation_Calc!$I$2:$J$8,2,FALSE),0),
IF(AX1110="K",VLOOKUP(K1110,Foundation_Calc!$K$117:$R$151,VLOOKUP(AW1110,Foundation_Calc!$I$2:$J$8,2,FALSE),0),"")))</f>
        <v/>
      </c>
      <c r="BA1110" s="495" t="str">
        <f t="shared" si="137"/>
        <v>ü</v>
      </c>
      <c r="BB1110" s="495" t="str">
        <f t="shared" si="138"/>
        <v/>
      </c>
      <c r="BC1110" s="495" t="str">
        <f t="shared" si="139"/>
        <v/>
      </c>
      <c r="BD1110" s="513" t="str">
        <f>IF(AND(L1110="",H1110=""),"",
IF(H1110="",Pole_Calc!A$9,
IF(H1110="MP",Pole_Calc!A$10,
IF(H1110="AnMP",Pole_Calc!A$11,
IF(H1110="A",Pole_Calc!A$12,
IF(H1110="S/A",Pole_Calc!A$13,
IF(H1110="A/S",Pole_Calc!A$14,"Poner a mano")))))))</f>
        <v>App.7-V11I-P9.5.1.1</v>
      </c>
      <c r="BE1110" s="429" t="s">
        <v>118</v>
      </c>
      <c r="BF1110" s="289"/>
      <c r="BG1110" s="289"/>
      <c r="BH1110" s="290"/>
      <c r="BI1110" s="289"/>
    </row>
    <row r="1111" spans="1:61" ht="15.75" customHeight="1">
      <c r="A1111" s="570"/>
      <c r="B1111" s="536"/>
      <c r="C1111" s="537"/>
      <c r="D1111" s="538"/>
      <c r="E1111" s="539"/>
      <c r="F1111" s="539"/>
      <c r="G1111" s="540">
        <v>60</v>
      </c>
      <c r="H1111" s="541"/>
      <c r="I1111" s="539"/>
      <c r="J1111" s="537"/>
      <c r="K1111" s="541"/>
      <c r="L1111" s="541"/>
      <c r="M1111" s="541" t="str">
        <f>IF(L1111="","",
IF(AX1111="PT",VLOOKUP(L1111,Foundation_Calc!$V$79:$X$113,VLOOKUP(AX1111,Foundation_Calc!$I$10:$J$13,2,FALSE),0),
IF(AX1111="K",VLOOKUP(L1111,Foundation_Calc!$V$117:$X$151,VLOOKUP(AX1111,Foundation_Calc!$I$10:$J$13,2,FALSE),0),"")))</f>
        <v/>
      </c>
      <c r="N1111" s="541"/>
      <c r="O1111" s="541"/>
      <c r="P1111" s="541"/>
      <c r="Q1111" s="539"/>
      <c r="R1111" s="540"/>
      <c r="S1111" s="540"/>
      <c r="T1111" s="539"/>
      <c r="U1111" s="539"/>
      <c r="V1111" s="539"/>
      <c r="W1111" s="542"/>
      <c r="X1111" s="542"/>
      <c r="Y1111" s="542"/>
      <c r="Z1111" s="542"/>
      <c r="AA1111" s="542"/>
      <c r="AB1111" s="542"/>
      <c r="AC1111" s="541" t="str">
        <f t="shared" si="136"/>
        <v/>
      </c>
      <c r="AD1111" s="541"/>
      <c r="AE1111" s="541"/>
      <c r="AF1111" s="539"/>
      <c r="AG1111" s="538"/>
      <c r="AH1111" s="539"/>
      <c r="AI1111" s="539"/>
      <c r="AJ1111" s="541"/>
      <c r="AK1111" s="541"/>
      <c r="AL1111" s="541"/>
      <c r="AM1111" s="541"/>
      <c r="AN1111" s="543"/>
      <c r="AO1111" s="542"/>
      <c r="AP1111" s="542"/>
      <c r="AQ1111" s="542">
        <f>+FL_1($T$1112,$T$1110,$G$1111,1200,9.28, 1*$F$1112)</f>
        <v>0.43600286799999999</v>
      </c>
      <c r="AR1111" s="542"/>
      <c r="AS1111" s="542"/>
      <c r="AT1111" s="542"/>
      <c r="AU1111" s="544"/>
      <c r="AV1111" s="544"/>
      <c r="AW1111" s="541" t="str">
        <f>IF(C1111&gt;0,VLOOKUP(C1111,Foundation_Calc!$A$2:$C$13,3,1),
IF(J1111&gt;0,VLOOKUP(J1111,Foundation_Calc!$A$2:$C$13,3,1),""))</f>
        <v/>
      </c>
      <c r="AX1111" s="541" t="str">
        <f>IF(C1111&gt;0,VLOOKUP(C1111,Foundation_Calc!$E$35:$G$65,3,1),
IF(J1111&gt;0,VLOOKUP(J1111,Foundation_Calc!$E$35:$G$65,3,1),""))</f>
        <v/>
      </c>
      <c r="AY1111" s="543" t="str">
        <f>IF(L1111="","",
IF(AX1111="PT",VLOOKUP(L1111,Foundation_Calc!$K$79:$R$113,VLOOKUP(AW1111,Foundation_Calc!$I$2:$J$8,2,FALSE),0),
IF(AX1111="K",VLOOKUP(L1111,Foundation_Calc!$K$117:$R$151,VLOOKUP(AW1111,Foundation_Calc!$I$2:$J$8,2,FALSE),0),"")))</f>
        <v/>
      </c>
      <c r="AZ1111" s="543" t="str">
        <f>IF(K1111="","",
IF(AX1111="PT",VLOOKUP(K1111,Foundation_Calc!$K$79:$R$113,VLOOKUP(AW1111,Foundation_Calc!$I$2:$J$8,2,FALSE),0),
IF(AX1111="K",VLOOKUP(K1111,Foundation_Calc!$K$117:$R$151,VLOOKUP(AW1111,Foundation_Calc!$I$2:$J$8,2,FALSE),0),"")))</f>
        <v/>
      </c>
      <c r="BA1111" s="550" t="str">
        <f t="shared" si="137"/>
        <v/>
      </c>
      <c r="BB1111" s="550" t="str">
        <f t="shared" si="138"/>
        <v/>
      </c>
      <c r="BC1111" s="550" t="str">
        <f t="shared" si="139"/>
        <v/>
      </c>
      <c r="BD1111" s="516" t="str">
        <f>IF(AND(L1111="",H1111=""),"",
IF(H1111="",Pole_Calc!A$9,
IF(H1111="MP",Pole_Calc!A$10,
IF(H1111="AnMP",Pole_Calc!A$11,
IF(H1111="A",Pole_Calc!A$12,
IF(H1111="S/A",Pole_Calc!A$13,
IF(H1111="A/S",Pole_Calc!A$14,"Poner a mano")))))))</f>
        <v/>
      </c>
      <c r="BE1111" s="429" t="s">
        <v>118</v>
      </c>
      <c r="BF1111" s="290"/>
      <c r="BG1111" s="290"/>
      <c r="BH1111" s="290"/>
      <c r="BI1111" s="290"/>
    </row>
    <row r="1112" spans="1:61" ht="15.75" customHeight="1">
      <c r="A1112" s="571"/>
      <c r="B1112" s="450" t="s">
        <v>1515</v>
      </c>
      <c r="C1112" s="3">
        <f>+$C$1110+$G$1111</f>
        <v>57313.12000000001</v>
      </c>
      <c r="D1112" s="83"/>
      <c r="E1112" s="4"/>
      <c r="F1112" s="4">
        <v>0</v>
      </c>
      <c r="G1112" s="6"/>
      <c r="H1112" s="449"/>
      <c r="I1112" s="4"/>
      <c r="J1112" s="3"/>
      <c r="K1112" s="449"/>
      <c r="L1112" s="449" t="s">
        <v>153</v>
      </c>
      <c r="M1112" s="449" t="str">
        <f>IF(L1112="","",
IF(AX1112="PT",VLOOKUP(L1112,Foundation_Calc!$V$79:$X$113,VLOOKUP(AX1112,Foundation_Calc!$I$10:$J$13,2,FALSE),0),
IF(AX1112="K",VLOOKUP(L1112,Foundation_Calc!$V$117:$X$151,VLOOKUP(AX1112,Foundation_Calc!$I$10:$J$13,2,FALSE),0),"")))</f>
        <v>C3RT</v>
      </c>
      <c r="N1112" s="449" t="s">
        <v>134</v>
      </c>
      <c r="O1112" s="449"/>
      <c r="P1112" s="449"/>
      <c r="Q1112" s="4"/>
      <c r="R1112" s="6"/>
      <c r="S1112" s="6"/>
      <c r="T1112" s="4">
        <v>35</v>
      </c>
      <c r="U1112" s="4"/>
      <c r="V1112" s="4"/>
      <c r="W1112" s="9">
        <v>1.4</v>
      </c>
      <c r="X1112" s="9"/>
      <c r="Y1112" s="9"/>
      <c r="Z1112" s="9"/>
      <c r="AA1112" s="9"/>
      <c r="AB1112" s="9"/>
      <c r="AC1112" s="449" t="str">
        <f t="shared" si="136"/>
        <v>PH</v>
      </c>
      <c r="AD1112" s="449"/>
      <c r="AE1112" s="449"/>
      <c r="AF1112" s="4"/>
      <c r="AG1112" s="83"/>
      <c r="AH1112" s="4"/>
      <c r="AI1112" s="4"/>
      <c r="AJ1112" s="449"/>
      <c r="AK1112" s="449"/>
      <c r="AL1112" s="449"/>
      <c r="AM1112" s="449" t="s">
        <v>126</v>
      </c>
      <c r="AN1112" s="10">
        <v>5.5</v>
      </c>
      <c r="AO1112" s="9"/>
      <c r="AP1112" s="9"/>
      <c r="AQ1112" s="9"/>
      <c r="AR1112" s="9"/>
      <c r="AS1112" s="9"/>
      <c r="AT1112" s="9">
        <f>+ab($T$1112,$T$1110,$T$1114,$G$1111,$G$1113, 1*$F$1112,1200)</f>
        <v>8.3002133012442592</v>
      </c>
      <c r="AU1112" s="428"/>
      <c r="AV1112" s="428"/>
      <c r="AW1112" s="449" t="str">
        <f>IF(C1112&gt;0,VLOOKUP(C1112,Foundation_Calc!$A$2:$C$13,3,1),
IF(J1112&gt;0,VLOOKUP(J1112,Foundation_Calc!$A$2:$C$13,3,1),""))</f>
        <v>Multi Soil</v>
      </c>
      <c r="AX1112" s="449" t="str">
        <f>IF(C1112&gt;0,VLOOKUP(C1112,Foundation_Calc!$E$35:$G$65,3,1),
IF(J1112&gt;0,VLOOKUP(J1112,Foundation_Calc!$E$35:$G$65,3,1),""))</f>
        <v>K</v>
      </c>
      <c r="AY1112" s="10">
        <f>IF(L1112="","",
IF(AX1112="PT",VLOOKUP(L1112,Foundation_Calc!$K$79:$R$113,VLOOKUP(AW1112,Foundation_Calc!$I$2:$J$8,2,FALSE),0),
IF(AX1112="K",VLOOKUP(L1112,Foundation_Calc!$K$117:$R$151,VLOOKUP(AW1112,Foundation_Calc!$I$2:$J$8,2,FALSE),0),"")))</f>
        <v>4</v>
      </c>
      <c r="AZ1112" s="10" t="str">
        <f>IF(K1112="","",
IF(AX1112="PT",VLOOKUP(K1112,Foundation_Calc!$K$79:$R$113,VLOOKUP(AW1112,Foundation_Calc!$I$2:$J$8,2,FALSE),0),
IF(AX1112="K",VLOOKUP(K1112,Foundation_Calc!$K$117:$R$151,VLOOKUP(AW1112,Foundation_Calc!$I$2:$J$8,2,FALSE),0),"")))</f>
        <v/>
      </c>
      <c r="BA1112" s="495" t="str">
        <f t="shared" si="137"/>
        <v>ü</v>
      </c>
      <c r="BB1112" s="495" t="str">
        <f t="shared" si="138"/>
        <v/>
      </c>
      <c r="BC1112" s="495" t="str">
        <f t="shared" si="139"/>
        <v/>
      </c>
      <c r="BD1112" s="513" t="str">
        <f>IF(AND(L1112="",H1112=""),"",
IF(H1112="",Pole_Calc!A$9,
IF(H1112="MP",Pole_Calc!A$10,
IF(H1112="AnMP",Pole_Calc!A$11,
IF(H1112="A",Pole_Calc!A$12,
IF(H1112="S/A",Pole_Calc!A$13,
IF(H1112="A/S",Pole_Calc!A$14,"Poner a mano")))))))</f>
        <v>App.7-V11I-P9.5.1.1</v>
      </c>
      <c r="BE1112" s="429" t="s">
        <v>118</v>
      </c>
      <c r="BF1112" s="289"/>
      <c r="BG1112" s="289"/>
      <c r="BH1112" s="290"/>
      <c r="BI1112" s="289"/>
    </row>
    <row r="1113" spans="1:61" ht="15.75" customHeight="1">
      <c r="A1113" s="571"/>
      <c r="B1113" s="450"/>
      <c r="C1113" s="3"/>
      <c r="D1113" s="83"/>
      <c r="E1113" s="4"/>
      <c r="F1113" s="4"/>
      <c r="G1113" s="6">
        <v>62</v>
      </c>
      <c r="H1113" s="449"/>
      <c r="I1113" s="4"/>
      <c r="J1113" s="3"/>
      <c r="K1113" s="449"/>
      <c r="L1113" s="449"/>
      <c r="M1113" s="449" t="str">
        <f>IF(L1113="","",
IF(AX1113="PT",VLOOKUP(L1113,Foundation_Calc!$V$79:$X$113,VLOOKUP(AX1113,Foundation_Calc!$I$10:$J$13,2,FALSE),0),
IF(AX1113="K",VLOOKUP(L1113,Foundation_Calc!$V$117:$X$151,VLOOKUP(AX1113,Foundation_Calc!$I$10:$J$13,2,FALSE),0),"")))</f>
        <v/>
      </c>
      <c r="N1113" s="449"/>
      <c r="O1113" s="449"/>
      <c r="P1113" s="449"/>
      <c r="Q1113" s="4"/>
      <c r="R1113" s="6"/>
      <c r="S1113" s="6"/>
      <c r="T1113" s="4"/>
      <c r="U1113" s="4"/>
      <c r="V1113" s="4"/>
      <c r="W1113" s="9"/>
      <c r="X1113" s="9"/>
      <c r="Y1113" s="9"/>
      <c r="Z1113" s="9"/>
      <c r="AA1113" s="9"/>
      <c r="AB1113" s="9"/>
      <c r="AC1113" s="449" t="str">
        <f t="shared" si="136"/>
        <v/>
      </c>
      <c r="AD1113" s="449"/>
      <c r="AE1113" s="449"/>
      <c r="AF1113" s="4"/>
      <c r="AG1113" s="83"/>
      <c r="AH1113" s="4"/>
      <c r="AI1113" s="4"/>
      <c r="AJ1113" s="449"/>
      <c r="AK1113" s="449"/>
      <c r="AL1113" s="449"/>
      <c r="AM1113" s="449"/>
      <c r="AN1113" s="10"/>
      <c r="AO1113" s="9"/>
      <c r="AP1113" s="9"/>
      <c r="AQ1113" s="9">
        <f>+FL_2($T$1114,$T$1112,$G$1113,1200,9.28, 1*$F$1114)</f>
        <v>-0.45400350967741931</v>
      </c>
      <c r="AR1113" s="9"/>
      <c r="AS1113" s="9"/>
      <c r="AT1113" s="9"/>
      <c r="AU1113" s="428"/>
      <c r="AV1113" s="428"/>
      <c r="AW1113" s="449" t="str">
        <f>IF(C1113&gt;0,VLOOKUP(C1113,Foundation_Calc!$A$2:$C$13,3,1),
IF(J1113&gt;0,VLOOKUP(J1113,Foundation_Calc!$A$2:$C$13,3,1),""))</f>
        <v/>
      </c>
      <c r="AX1113" s="449" t="str">
        <f>IF(C1113&gt;0,VLOOKUP(C1113,Foundation_Calc!$E$35:$G$65,3,1),
IF(J1113&gt;0,VLOOKUP(J1113,Foundation_Calc!$E$35:$G$65,3,1),""))</f>
        <v/>
      </c>
      <c r="AY1113" s="10" t="str">
        <f>IF(L1113="","",
IF(AX1113="PT",VLOOKUP(L1113,Foundation_Calc!$K$79:$R$113,VLOOKUP(AW1113,Foundation_Calc!$I$2:$J$8,2,FALSE),0),
IF(AX1113="K",VLOOKUP(L1113,Foundation_Calc!$K$117:$R$151,VLOOKUP(AW1113,Foundation_Calc!$I$2:$J$8,2,FALSE),0),"")))</f>
        <v/>
      </c>
      <c r="AZ1113" s="10" t="str">
        <f>IF(K1113="","",
IF(AX1113="PT",VLOOKUP(K1113,Foundation_Calc!$K$79:$R$113,VLOOKUP(AW1113,Foundation_Calc!$I$2:$J$8,2,FALSE),0),
IF(AX1113="K",VLOOKUP(K1113,Foundation_Calc!$K$117:$R$151,VLOOKUP(AW1113,Foundation_Calc!$I$2:$J$8,2,FALSE),0),"")))</f>
        <v/>
      </c>
      <c r="BA1113" s="495" t="str">
        <f t="shared" si="137"/>
        <v/>
      </c>
      <c r="BB1113" s="495" t="str">
        <f t="shared" si="138"/>
        <v/>
      </c>
      <c r="BC1113" s="495" t="str">
        <f t="shared" si="139"/>
        <v/>
      </c>
      <c r="BD1113" s="513" t="str">
        <f>IF(AND(L1113="",H1113=""),"",
IF(H1113="",Pole_Calc!A$9,
IF(H1113="MP",Pole_Calc!A$10,
IF(H1113="AnMP",Pole_Calc!A$11,
IF(H1113="A",Pole_Calc!A$12,
IF(H1113="S/A",Pole_Calc!A$13,
IF(H1113="A/S",Pole_Calc!A$14,"Poner a mano")))))))</f>
        <v/>
      </c>
      <c r="BE1113" s="429" t="s">
        <v>118</v>
      </c>
      <c r="BF1113" s="290"/>
      <c r="BG1113" s="290"/>
      <c r="BH1113" s="290"/>
      <c r="BI1113" s="290"/>
    </row>
    <row r="1114" spans="1:61" ht="15.75" customHeight="1">
      <c r="A1114" s="514"/>
      <c r="B1114" s="450" t="s">
        <v>1516</v>
      </c>
      <c r="C1114" s="3">
        <f>+$C$1112+$G$1113</f>
        <v>57375.12000000001</v>
      </c>
      <c r="D1114" s="83"/>
      <c r="E1114" s="4"/>
      <c r="F1114" s="4">
        <v>0</v>
      </c>
      <c r="G1114" s="6"/>
      <c r="H1114" s="449"/>
      <c r="I1114" s="449"/>
      <c r="J1114" s="3"/>
      <c r="K1114" s="449"/>
      <c r="L1114" s="449" t="s">
        <v>153</v>
      </c>
      <c r="M1114" s="449" t="str">
        <f>IF(L1114="","",
IF(AX1114="PT",VLOOKUP(L1114,Foundation_Calc!$V$79:$X$113,VLOOKUP(AX1114,Foundation_Calc!$I$10:$J$13,2,FALSE),0),
IF(AX1114="K",VLOOKUP(L1114,Foundation_Calc!$V$117:$X$151,VLOOKUP(AX1114,Foundation_Calc!$I$10:$J$13,2,FALSE),0),"")))</f>
        <v>C3RT</v>
      </c>
      <c r="N1114" s="449" t="s">
        <v>124</v>
      </c>
      <c r="O1114" s="449"/>
      <c r="P1114" s="449"/>
      <c r="Q1114" s="4"/>
      <c r="R1114" s="6"/>
      <c r="S1114" s="6"/>
      <c r="T1114" s="4">
        <v>-35</v>
      </c>
      <c r="U1114" s="4"/>
      <c r="V1114" s="4"/>
      <c r="W1114" s="9">
        <v>1.4</v>
      </c>
      <c r="X1114" s="9"/>
      <c r="Y1114" s="9"/>
      <c r="Z1114" s="9"/>
      <c r="AA1114" s="9"/>
      <c r="AB1114" s="9"/>
      <c r="AC1114" s="449" t="str">
        <f t="shared" si="136"/>
        <v>PH</v>
      </c>
      <c r="AD1114" s="449"/>
      <c r="AE1114" s="449"/>
      <c r="AF1114" s="4"/>
      <c r="AG1114" s="83"/>
      <c r="AH1114" s="4"/>
      <c r="AI1114" s="4"/>
      <c r="AJ1114" s="449"/>
      <c r="AK1114" s="449"/>
      <c r="AL1114" s="449"/>
      <c r="AM1114" s="449" t="s">
        <v>126</v>
      </c>
      <c r="AN1114" s="10">
        <v>5.5</v>
      </c>
      <c r="AO1114" s="9"/>
      <c r="AP1114" s="9"/>
      <c r="AQ1114" s="9"/>
      <c r="AR1114" s="9"/>
      <c r="AS1114" s="9"/>
      <c r="AT1114" s="9">
        <f>+ab($T$1114,$T$1112,$T$1116,$G$1113,$G$1115, 1*$F$1114,1200)</f>
        <v>-8.4366201521118445</v>
      </c>
      <c r="AU1114" s="428"/>
      <c r="AV1114" s="428"/>
      <c r="AW1114" s="449" t="str">
        <f>IF(C1114&gt;0,VLOOKUP(C1114,Foundation_Calc!$A$2:$C$13,3,1),
IF(J1114&gt;0,VLOOKUP(J1114,Foundation_Calc!$A$2:$C$13,3,1),""))</f>
        <v>Multi Soil</v>
      </c>
      <c r="AX1114" s="449" t="str">
        <f>IF(C1114&gt;0,VLOOKUP(C1114,Foundation_Calc!$E$35:$G$65,3,1),
IF(J1114&gt;0,VLOOKUP(J1114,Foundation_Calc!$E$35:$G$65,3,1),""))</f>
        <v>K</v>
      </c>
      <c r="AY1114" s="10">
        <f>IF(L1114="","",
IF(AX1114="PT",VLOOKUP(L1114,Foundation_Calc!$K$79:$R$113,VLOOKUP(AW1114,Foundation_Calc!$I$2:$J$8,2,FALSE),0),
IF(AX1114="K",VLOOKUP(L1114,Foundation_Calc!$K$117:$R$151,VLOOKUP(AW1114,Foundation_Calc!$I$2:$J$8,2,FALSE),0),"")))</f>
        <v>4</v>
      </c>
      <c r="AZ1114" s="10" t="str">
        <f>IF(K1114="","",
IF(AX1114="PT",VLOOKUP(K1114,Foundation_Calc!$K$79:$R$113,VLOOKUP(AW1114,Foundation_Calc!$I$2:$J$8,2,FALSE),0),
IF(AX1114="K",VLOOKUP(K1114,Foundation_Calc!$K$117:$R$151,VLOOKUP(AW1114,Foundation_Calc!$I$2:$J$8,2,FALSE),0),"")))</f>
        <v/>
      </c>
      <c r="BA1114" s="495" t="str">
        <f t="shared" si="137"/>
        <v>ü</v>
      </c>
      <c r="BB1114" s="495" t="str">
        <f t="shared" si="138"/>
        <v/>
      </c>
      <c r="BC1114" s="495" t="str">
        <f t="shared" si="139"/>
        <v/>
      </c>
      <c r="BD1114" s="513" t="str">
        <f>IF(AND(L1114="",H1114=""),"",
IF(H1114="",Pole_Calc!A$9,
IF(H1114="MP",Pole_Calc!A$10,
IF(H1114="AnMP",Pole_Calc!A$11,
IF(H1114="A",Pole_Calc!A$12,
IF(H1114="S/A",Pole_Calc!A$13,
IF(H1114="A/S",Pole_Calc!A$14,"Poner a mano")))))))</f>
        <v>App.7-V11I-P9.5.1.1</v>
      </c>
      <c r="BE1114" s="429" t="s">
        <v>118</v>
      </c>
      <c r="BF1114" s="289"/>
      <c r="BG1114" s="289"/>
      <c r="BH1114" s="290"/>
      <c r="BI1114" s="289"/>
    </row>
    <row r="1115" spans="1:61" ht="15.75" customHeight="1">
      <c r="A1115" s="571"/>
      <c r="B1115" s="450"/>
      <c r="C1115" s="3"/>
      <c r="D1115" s="83"/>
      <c r="E1115" s="4"/>
      <c r="F1115" s="4"/>
      <c r="G1115" s="6">
        <v>62</v>
      </c>
      <c r="H1115" s="449"/>
      <c r="I1115" s="4"/>
      <c r="J1115" s="3"/>
      <c r="K1115" s="449"/>
      <c r="L1115" s="449"/>
      <c r="M1115" s="449" t="str">
        <f>IF(L1115="","",
IF(AX1115="PT",VLOOKUP(L1115,Foundation_Calc!$V$79:$X$113,VLOOKUP(AX1115,Foundation_Calc!$I$10:$J$13,2,FALSE),0),
IF(AX1115="K",VLOOKUP(L1115,Foundation_Calc!$V$117:$X$151,VLOOKUP(AX1115,Foundation_Calc!$I$10:$J$13,2,FALSE),0),"")))</f>
        <v/>
      </c>
      <c r="N1115" s="449"/>
      <c r="O1115" s="449"/>
      <c r="P1115" s="449"/>
      <c r="Q1115" s="4"/>
      <c r="R1115" s="6"/>
      <c r="S1115" s="6"/>
      <c r="T1115" s="4"/>
      <c r="U1115" s="4"/>
      <c r="V1115" s="4"/>
      <c r="W1115" s="9"/>
      <c r="X1115" s="9"/>
      <c r="Y1115" s="9"/>
      <c r="Z1115" s="9"/>
      <c r="AA1115" s="9"/>
      <c r="AB1115" s="9"/>
      <c r="AC1115" s="449" t="str">
        <f t="shared" ref="AC1115:AC1180" si="140">IF(OR(AT1115&gt;8,AT1115&lt;-8),"PH",
IF(OR(AT1115&gt;5,AT1115&lt;-5),"PHQ",
IF(OR(AT1115&gt;1,AT1115&lt;-1),
"PHC","")))</f>
        <v/>
      </c>
      <c r="AD1115" s="449"/>
      <c r="AE1115" s="449"/>
      <c r="AF1115" s="4"/>
      <c r="AG1115" s="83"/>
      <c r="AH1115" s="4"/>
      <c r="AI1115" s="4"/>
      <c r="AJ1115" s="449"/>
      <c r="AK1115" s="449"/>
      <c r="AL1115" s="449"/>
      <c r="AM1115" s="449"/>
      <c r="AN1115" s="10"/>
      <c r="AO1115" s="9"/>
      <c r="AP1115" s="9"/>
      <c r="AQ1115" s="9">
        <f>+FL_1($T$1116,$T$1114,$G$1115,1200,9.28, 1*$F$1116)</f>
        <v>0.45400350967741931</v>
      </c>
      <c r="AR1115" s="9"/>
      <c r="AS1115" s="9"/>
      <c r="AT1115" s="9"/>
      <c r="AU1115" s="428"/>
      <c r="AV1115" s="428"/>
      <c r="AW1115" s="449" t="str">
        <f>IF(C1115&gt;0,VLOOKUP(C1115,Foundation_Calc!$A$2:$C$13,3,1),
IF(J1115&gt;0,VLOOKUP(J1115,Foundation_Calc!$A$2:$C$13,3,1),""))</f>
        <v/>
      </c>
      <c r="AX1115" s="449" t="str">
        <f>IF(C1115&gt;0,VLOOKUP(C1115,Foundation_Calc!$E$35:$G$65,3,1),
IF(J1115&gt;0,VLOOKUP(J1115,Foundation_Calc!$E$35:$G$65,3,1),""))</f>
        <v/>
      </c>
      <c r="AY1115" s="10" t="str">
        <f>IF(L1115="","",
IF(AX1115="PT",VLOOKUP(L1115,Foundation_Calc!$K$79:$R$113,VLOOKUP(AW1115,Foundation_Calc!$I$2:$J$8,2,FALSE),0),
IF(AX1115="K",VLOOKUP(L1115,Foundation_Calc!$K$117:$R$151,VLOOKUP(AW1115,Foundation_Calc!$I$2:$J$8,2,FALSE),0),"")))</f>
        <v/>
      </c>
      <c r="AZ1115" s="10" t="str">
        <f>IF(K1115="","",
IF(AX1115="PT",VLOOKUP(K1115,Foundation_Calc!$K$79:$R$113,VLOOKUP(AW1115,Foundation_Calc!$I$2:$J$8,2,FALSE),0),
IF(AX1115="K",VLOOKUP(K1115,Foundation_Calc!$K$117:$R$151,VLOOKUP(AW1115,Foundation_Calc!$I$2:$J$8,2,FALSE),0),"")))</f>
        <v/>
      </c>
      <c r="BA1115" s="495" t="str">
        <f t="shared" si="137"/>
        <v/>
      </c>
      <c r="BB1115" s="495" t="str">
        <f t="shared" si="138"/>
        <v/>
      </c>
      <c r="BC1115" s="495" t="str">
        <f t="shared" si="139"/>
        <v/>
      </c>
      <c r="BD1115" s="513" t="str">
        <f>IF(AND(L1115="",H1115=""),"",
IF(H1115="",Pole_Calc!A$9,
IF(H1115="MP",Pole_Calc!A$10,
IF(H1115="AnMP",Pole_Calc!A$11,
IF(H1115="A",Pole_Calc!A$12,
IF(H1115="S/A",Pole_Calc!A$13,
IF(H1115="A/S",Pole_Calc!A$14,"Poner a mano")))))))</f>
        <v/>
      </c>
      <c r="BE1115" s="429" t="s">
        <v>118</v>
      </c>
      <c r="BF1115" s="290"/>
      <c r="BG1115" s="290"/>
      <c r="BH1115" s="290"/>
      <c r="BI1115" s="290"/>
    </row>
    <row r="1116" spans="1:61" ht="15.75" customHeight="1">
      <c r="A1116" s="514"/>
      <c r="B1116" s="450" t="s">
        <v>1517</v>
      </c>
      <c r="C1116" s="3">
        <f>+$C$1114+$G$1115</f>
        <v>57437.12000000001</v>
      </c>
      <c r="D1116" s="83"/>
      <c r="E1116" s="4"/>
      <c r="F1116" s="4">
        <v>0</v>
      </c>
      <c r="G1116" s="6"/>
      <c r="H1116" s="449"/>
      <c r="I1116" s="4"/>
      <c r="J1116" s="3"/>
      <c r="K1116" s="449"/>
      <c r="L1116" s="449" t="s">
        <v>153</v>
      </c>
      <c r="M1116" s="449" t="str">
        <f>IF(L1116="","",
IF(AX1116="PT",VLOOKUP(L1116,Foundation_Calc!$V$79:$X$113,VLOOKUP(AX1116,Foundation_Calc!$I$10:$J$13,2,FALSE),0),
IF(AX1116="K",VLOOKUP(L1116,Foundation_Calc!$V$117:$X$151,VLOOKUP(AX1116,Foundation_Calc!$I$10:$J$13,2,FALSE),0),"")))</f>
        <v>C3RT</v>
      </c>
      <c r="N1116" s="449" t="s">
        <v>134</v>
      </c>
      <c r="O1116" s="449"/>
      <c r="P1116" s="449"/>
      <c r="Q1116" s="4"/>
      <c r="R1116" s="6"/>
      <c r="S1116" s="6"/>
      <c r="T1116" s="4">
        <v>35</v>
      </c>
      <c r="U1116" s="4"/>
      <c r="V1116" s="4"/>
      <c r="W1116" s="9">
        <v>1.4</v>
      </c>
      <c r="X1116" s="9"/>
      <c r="Y1116" s="9"/>
      <c r="Z1116" s="9"/>
      <c r="AA1116" s="9"/>
      <c r="AB1116" s="9"/>
      <c r="AC1116" s="449" t="str">
        <f t="shared" si="140"/>
        <v>PH</v>
      </c>
      <c r="AD1116" s="449"/>
      <c r="AE1116" s="449"/>
      <c r="AF1116" s="4"/>
      <c r="AG1116" s="83"/>
      <c r="AH1116" s="4"/>
      <c r="AI1116" s="4"/>
      <c r="AJ1116" s="449"/>
      <c r="AK1116" s="449"/>
      <c r="AL1116" s="449"/>
      <c r="AM1116" s="449" t="s">
        <v>126</v>
      </c>
      <c r="AN1116" s="10">
        <v>5.5</v>
      </c>
      <c r="AO1116" s="9"/>
      <c r="AP1116" s="9"/>
      <c r="AQ1116" s="9"/>
      <c r="AR1116" s="9"/>
      <c r="AS1116" s="9"/>
      <c r="AT1116" s="9">
        <f>+ab($T$1116,$T$1114,$T$1118,$G$1115,$G$1117, 1*$F$1116,1200)</f>
        <v>8.5030838934836392</v>
      </c>
      <c r="AU1116" s="428"/>
      <c r="AV1116" s="428"/>
      <c r="AW1116" s="449" t="str">
        <f>IF(C1116&gt;0,VLOOKUP(C1116,Foundation_Calc!$A$2:$C$13,3,1),
IF(J1116&gt;0,VLOOKUP(J1116,Foundation_Calc!$A$2:$C$13,3,1),""))</f>
        <v>Multi Soil</v>
      </c>
      <c r="AX1116" s="449" t="str">
        <f>IF(C1116&gt;0,VLOOKUP(C1116,Foundation_Calc!$E$35:$G$65,3,1),
IF(J1116&gt;0,VLOOKUP(J1116,Foundation_Calc!$E$35:$G$65,3,1),""))</f>
        <v>K</v>
      </c>
      <c r="AY1116" s="10">
        <f>IF(L1116="","",
IF(AX1116="PT",VLOOKUP(L1116,Foundation_Calc!$K$79:$R$113,VLOOKUP(AW1116,Foundation_Calc!$I$2:$J$8,2,FALSE),0),
IF(AX1116="K",VLOOKUP(L1116,Foundation_Calc!$K$117:$R$151,VLOOKUP(AW1116,Foundation_Calc!$I$2:$J$8,2,FALSE),0),"")))</f>
        <v>4</v>
      </c>
      <c r="AZ1116" s="10" t="str">
        <f>IF(K1116="","",
IF(AX1116="PT",VLOOKUP(K1116,Foundation_Calc!$K$79:$R$113,VLOOKUP(AW1116,Foundation_Calc!$I$2:$J$8,2,FALSE),0),
IF(AX1116="K",VLOOKUP(K1116,Foundation_Calc!$K$117:$R$151,VLOOKUP(AW1116,Foundation_Calc!$I$2:$J$8,2,FALSE),0),"")))</f>
        <v/>
      </c>
      <c r="BA1116" s="495" t="str">
        <f t="shared" si="137"/>
        <v>ü</v>
      </c>
      <c r="BB1116" s="495" t="str">
        <f t="shared" si="138"/>
        <v/>
      </c>
      <c r="BC1116" s="495" t="str">
        <f t="shared" si="139"/>
        <v/>
      </c>
      <c r="BD1116" s="513" t="str">
        <f>IF(AND(L1116="",H1116=""),"",
IF(H1116="",Pole_Calc!A$9,
IF(H1116="MP",Pole_Calc!A$10,
IF(H1116="AnMP",Pole_Calc!A$11,
IF(H1116="A",Pole_Calc!A$12,
IF(H1116="S/A",Pole_Calc!A$13,
IF(H1116="A/S",Pole_Calc!A$14,"Poner a mano")))))))</f>
        <v>App.7-V11I-P9.5.1.1</v>
      </c>
      <c r="BE1116" s="429" t="s">
        <v>118</v>
      </c>
      <c r="BF1116" s="289"/>
      <c r="BG1116" s="289"/>
      <c r="BH1116" s="290"/>
      <c r="BI1116" s="289"/>
    </row>
    <row r="1117" spans="1:61" ht="15.75" customHeight="1">
      <c r="A1117" s="514" t="s">
        <v>169</v>
      </c>
      <c r="B1117" s="450"/>
      <c r="C1117" s="3"/>
      <c r="D1117" s="83"/>
      <c r="E1117" s="4"/>
      <c r="F1117" s="4"/>
      <c r="G1117" s="6">
        <v>63</v>
      </c>
      <c r="H1117" s="449"/>
      <c r="I1117" s="449"/>
      <c r="J1117" s="3"/>
      <c r="K1117" s="449"/>
      <c r="L1117" s="449"/>
      <c r="M1117" s="449" t="str">
        <f>IF(L1117="","",
IF(AX1117="PT",VLOOKUP(L1117,Foundation_Calc!$V$79:$X$113,VLOOKUP(AX1117,Foundation_Calc!$I$10:$J$13,2,FALSE),0),
IF(AX1117="K",VLOOKUP(L1117,Foundation_Calc!$V$117:$X$151,VLOOKUP(AX1117,Foundation_Calc!$I$10:$J$13,2,FALSE),0),"")))</f>
        <v/>
      </c>
      <c r="N1117" s="449"/>
      <c r="O1117" s="449"/>
      <c r="P1117" s="449"/>
      <c r="Q1117" s="4"/>
      <c r="R1117" s="6"/>
      <c r="S1117" s="6"/>
      <c r="T1117" s="4"/>
      <c r="U1117" s="4"/>
      <c r="V1117" s="4"/>
      <c r="W1117" s="9"/>
      <c r="X1117" s="9"/>
      <c r="Y1117" s="9"/>
      <c r="Z1117" s="9"/>
      <c r="AA1117" s="9"/>
      <c r="AB1117" s="9"/>
      <c r="AC1117" s="449" t="str">
        <f t="shared" si="140"/>
        <v/>
      </c>
      <c r="AD1117" s="449"/>
      <c r="AE1117" s="449"/>
      <c r="AF1117" s="4"/>
      <c r="AG1117" s="83"/>
      <c r="AH1117" s="4"/>
      <c r="AI1117" s="4"/>
      <c r="AJ1117" s="449"/>
      <c r="AK1117" s="449"/>
      <c r="AL1117" s="449"/>
      <c r="AM1117" s="449"/>
      <c r="AN1117" s="10"/>
      <c r="AO1117" s="9"/>
      <c r="AP1117" s="9"/>
      <c r="AQ1117" s="9">
        <f>+FL_2($T$1118,$T$1116,$G$1117,1200,9.28, 1*$F$1118)</f>
        <v>-0.46349119866666666</v>
      </c>
      <c r="AR1117" s="9"/>
      <c r="AS1117" s="9"/>
      <c r="AT1117" s="9"/>
      <c r="AU1117" s="428"/>
      <c r="AV1117" s="428"/>
      <c r="AW1117" s="449" t="str">
        <f>IF(C1117&gt;0,VLOOKUP(C1117,Foundation_Calc!$A$2:$C$13,3,1),
IF(J1117&gt;0,VLOOKUP(J1117,Foundation_Calc!$A$2:$C$13,3,1),""))</f>
        <v/>
      </c>
      <c r="AX1117" s="449" t="str">
        <f>IF(C1117&gt;0,VLOOKUP(C1117,Foundation_Calc!$E$35:$G$65,3,1),
IF(J1117&gt;0,VLOOKUP(J1117,Foundation_Calc!$E$35:$G$65,3,1),""))</f>
        <v/>
      </c>
      <c r="AY1117" s="10" t="str">
        <f>IF(L1117="","",
IF(AX1117="PT",VLOOKUP(L1117,Foundation_Calc!$K$79:$R$113,VLOOKUP(AW1117,Foundation_Calc!$I$2:$J$8,2,FALSE),0),
IF(AX1117="K",VLOOKUP(L1117,Foundation_Calc!$K$117:$R$151,VLOOKUP(AW1117,Foundation_Calc!$I$2:$J$8,2,FALSE),0),"")))</f>
        <v/>
      </c>
      <c r="AZ1117" s="10" t="str">
        <f>IF(K1117="","",
IF(AX1117="PT",VLOOKUP(K1117,Foundation_Calc!$K$79:$R$113,VLOOKUP(AW1117,Foundation_Calc!$I$2:$J$8,2,FALSE),0),
IF(AX1117="K",VLOOKUP(K1117,Foundation_Calc!$K$117:$R$151,VLOOKUP(AW1117,Foundation_Calc!$I$2:$J$8,2,FALSE),0),"")))</f>
        <v/>
      </c>
      <c r="BA1117" s="495" t="str">
        <f t="shared" si="137"/>
        <v/>
      </c>
      <c r="BB1117" s="495" t="str">
        <f t="shared" si="138"/>
        <v/>
      </c>
      <c r="BC1117" s="495" t="str">
        <f t="shared" si="139"/>
        <v/>
      </c>
      <c r="BD1117" s="513" t="str">
        <f>IF(AND(L1117="",H1117=""),"",
IF(H1117="",Pole_Calc!A$9,
IF(H1117="MP",Pole_Calc!A$10,
IF(H1117="AnMP",Pole_Calc!A$11,
IF(H1117="A",Pole_Calc!A$12,
IF(H1117="S/A",Pole_Calc!A$13,
IF(H1117="A/S",Pole_Calc!A$14,"Poner a mano")))))))</f>
        <v/>
      </c>
      <c r="BE1117" s="429" t="s">
        <v>118</v>
      </c>
      <c r="BF1117" s="290"/>
      <c r="BG1117" s="290"/>
      <c r="BH1117" s="290"/>
      <c r="BI1117" s="290"/>
    </row>
    <row r="1118" spans="1:61" ht="15.75" customHeight="1">
      <c r="A1118" s="514"/>
      <c r="B1118" s="450" t="s">
        <v>1518</v>
      </c>
      <c r="C1118" s="3">
        <f>+$C$1116+$G$1117</f>
        <v>57500.12000000001</v>
      </c>
      <c r="D1118" s="83"/>
      <c r="E1118" s="4"/>
      <c r="F1118" s="4">
        <v>0</v>
      </c>
      <c r="G1118" s="6"/>
      <c r="H1118" s="449"/>
      <c r="I1118" s="4"/>
      <c r="J1118" s="3"/>
      <c r="K1118" s="449"/>
      <c r="L1118" s="449" t="s">
        <v>153</v>
      </c>
      <c r="M1118" s="449" t="str">
        <f>IF(L1118="","",
IF(AX1118="PT",VLOOKUP(L1118,Foundation_Calc!$V$79:$X$113,VLOOKUP(AX1118,Foundation_Calc!$I$10:$J$13,2,FALSE),0),
IF(AX1118="K",VLOOKUP(L1118,Foundation_Calc!$V$117:$X$151,VLOOKUP(AX1118,Foundation_Calc!$I$10:$J$13,2,FALSE),0),"")))</f>
        <v>C3RT</v>
      </c>
      <c r="N1118" s="449" t="s">
        <v>124</v>
      </c>
      <c r="O1118" s="449"/>
      <c r="P1118" s="449"/>
      <c r="Q1118" s="4"/>
      <c r="R1118" s="6"/>
      <c r="S1118" s="6"/>
      <c r="T1118" s="4">
        <v>-35</v>
      </c>
      <c r="U1118" s="4"/>
      <c r="V1118" s="4"/>
      <c r="W1118" s="9">
        <v>1.4</v>
      </c>
      <c r="X1118" s="9"/>
      <c r="Y1118" s="9"/>
      <c r="Z1118" s="9"/>
      <c r="AA1118" s="9"/>
      <c r="AB1118" s="9"/>
      <c r="AC1118" s="449" t="str">
        <f t="shared" si="140"/>
        <v>PH</v>
      </c>
      <c r="AD1118" s="449"/>
      <c r="AE1118" s="449"/>
      <c r="AF1118" s="4"/>
      <c r="AG1118" s="83"/>
      <c r="AH1118" s="4"/>
      <c r="AI1118" s="4"/>
      <c r="AJ1118" s="449"/>
      <c r="AK1118" s="449"/>
      <c r="AL1118" s="449"/>
      <c r="AM1118" s="449" t="s">
        <v>126</v>
      </c>
      <c r="AN1118" s="10">
        <v>5.5</v>
      </c>
      <c r="AO1118" s="9"/>
      <c r="AP1118" s="9"/>
      <c r="AQ1118" s="9"/>
      <c r="AR1118" s="9"/>
      <c r="AS1118" s="9"/>
      <c r="AT1118" s="9">
        <f>+ab($T$1118,$T$1116,$T$1120,$G$1117,$G$1119, 1*$F$1118,1200)</f>
        <v>-8.7472481047849673</v>
      </c>
      <c r="AU1118" s="428"/>
      <c r="AV1118" s="428"/>
      <c r="AW1118" s="449" t="str">
        <f>IF(C1118&gt;0,VLOOKUP(C1118,Foundation_Calc!$A$2:$C$13,3,1),
IF(J1118&gt;0,VLOOKUP(J1118,Foundation_Calc!$A$2:$C$13,3,1),""))</f>
        <v>Multi Soil</v>
      </c>
      <c r="AX1118" s="449" t="str">
        <f>IF(C1118&gt;0,VLOOKUP(C1118,Foundation_Calc!$E$35:$G$65,3,1),
IF(J1118&gt;0,VLOOKUP(J1118,Foundation_Calc!$E$35:$G$65,3,1),""))</f>
        <v>K</v>
      </c>
      <c r="AY1118" s="10">
        <f>IF(L1118="","",
IF(AX1118="PT",VLOOKUP(L1118,Foundation_Calc!$K$79:$R$113,VLOOKUP(AW1118,Foundation_Calc!$I$2:$J$8,2,FALSE),0),
IF(AX1118="K",VLOOKUP(L1118,Foundation_Calc!$K$117:$R$151,VLOOKUP(AW1118,Foundation_Calc!$I$2:$J$8,2,FALSE),0),"")))</f>
        <v>4</v>
      </c>
      <c r="AZ1118" s="10" t="str">
        <f>IF(K1118="","",
IF(AX1118="PT",VLOOKUP(K1118,Foundation_Calc!$K$79:$R$113,VLOOKUP(AW1118,Foundation_Calc!$I$2:$J$8,2,FALSE),0),
IF(AX1118="K",VLOOKUP(K1118,Foundation_Calc!$K$117:$R$151,VLOOKUP(AW1118,Foundation_Calc!$I$2:$J$8,2,FALSE),0),"")))</f>
        <v/>
      </c>
      <c r="BA1118" s="495" t="str">
        <f t="shared" si="137"/>
        <v>ü</v>
      </c>
      <c r="BB1118" s="495" t="str">
        <f t="shared" si="138"/>
        <v/>
      </c>
      <c r="BC1118" s="495" t="str">
        <f t="shared" si="139"/>
        <v/>
      </c>
      <c r="BD1118" s="513" t="str">
        <f>IF(AND(L1118="",H1118=""),"",
IF(H1118="",Pole_Calc!A$9,
IF(H1118="MP",Pole_Calc!A$10,
IF(H1118="AnMP",Pole_Calc!A$11,
IF(H1118="A",Pole_Calc!A$12,
IF(H1118="S/A",Pole_Calc!A$13,
IF(H1118="A/S",Pole_Calc!A$14,"Poner a mano")))))))</f>
        <v>App.7-V11I-P9.5.1.1</v>
      </c>
      <c r="BE1118" s="429" t="s">
        <v>118</v>
      </c>
      <c r="BF1118" s="289"/>
      <c r="BG1118" s="289"/>
      <c r="BH1118" s="290"/>
      <c r="BI1118" s="289"/>
    </row>
    <row r="1119" spans="1:61" ht="15.75" customHeight="1">
      <c r="A1119" s="571"/>
      <c r="B1119" s="450"/>
      <c r="C1119" s="3"/>
      <c r="D1119" s="83"/>
      <c r="E1119" s="4"/>
      <c r="F1119" s="4"/>
      <c r="G1119" s="6">
        <v>61</v>
      </c>
      <c r="H1119" s="449"/>
      <c r="I1119" s="4"/>
      <c r="J1119" s="3"/>
      <c r="K1119" s="449"/>
      <c r="L1119" s="449"/>
      <c r="M1119" s="449" t="str">
        <f>IF(L1119="","",
IF(AX1119="PT",VLOOKUP(L1119,Foundation_Calc!$V$79:$X$113,VLOOKUP(AX1119,Foundation_Calc!$I$10:$J$13,2,FALSE),0),
IF(AX1119="K",VLOOKUP(L1119,Foundation_Calc!$V$117:$X$151,VLOOKUP(AX1119,Foundation_Calc!$I$10:$J$13,2,FALSE),0),"")))</f>
        <v/>
      </c>
      <c r="N1119" s="449"/>
      <c r="O1119" s="449"/>
      <c r="P1119" s="449"/>
      <c r="Q1119" s="4"/>
      <c r="R1119" s="6"/>
      <c r="S1119" s="6"/>
      <c r="T1119" s="4"/>
      <c r="U1119" s="4"/>
      <c r="V1119" s="4"/>
      <c r="W1119" s="9"/>
      <c r="X1119" s="9"/>
      <c r="Y1119" s="9"/>
      <c r="Z1119" s="9"/>
      <c r="AA1119" s="9"/>
      <c r="AB1119" s="9"/>
      <c r="AC1119" s="449" t="str">
        <f t="shared" si="140"/>
        <v/>
      </c>
      <c r="AD1119" s="449"/>
      <c r="AE1119" s="449"/>
      <c r="AF1119" s="4"/>
      <c r="AG1119" s="83"/>
      <c r="AH1119" s="4"/>
      <c r="AI1119" s="4"/>
      <c r="AJ1119" s="449"/>
      <c r="AK1119" s="449"/>
      <c r="AL1119" s="449"/>
      <c r="AM1119" s="449"/>
      <c r="AN1119" s="10"/>
      <c r="AO1119" s="9"/>
      <c r="AP1119" s="9"/>
      <c r="AQ1119" s="9">
        <f>+FL_2($T$1120,$T$1118,$G$1119,1200,9.28, 1*$F$1120)</f>
        <v>-0.45810921757377054</v>
      </c>
      <c r="AR1119" s="9"/>
      <c r="AS1119" s="9"/>
      <c r="AT1119" s="9"/>
      <c r="AU1119" s="428"/>
      <c r="AV1119" s="428"/>
      <c r="AW1119" s="449" t="str">
        <f>IF(C1119&gt;0,VLOOKUP(C1119,Foundation_Calc!$A$2:$C$13,3,1),
IF(J1119&gt;0,VLOOKUP(J1119,Foundation_Calc!$A$2:$C$13,3,1),""))</f>
        <v/>
      </c>
      <c r="AX1119" s="449" t="str">
        <f>IF(C1119&gt;0,VLOOKUP(C1119,Foundation_Calc!$E$35:$G$65,3,1),
IF(J1119&gt;0,VLOOKUP(J1119,Foundation_Calc!$E$35:$G$65,3,1),""))</f>
        <v/>
      </c>
      <c r="AY1119" s="10" t="str">
        <f>IF(L1119="","",
IF(AX1119="PT",VLOOKUP(L1119,Foundation_Calc!$K$79:$R$113,VLOOKUP(AW1119,Foundation_Calc!$I$2:$J$8,2,FALSE),0),
IF(AX1119="K",VLOOKUP(L1119,Foundation_Calc!$K$117:$R$151,VLOOKUP(AW1119,Foundation_Calc!$I$2:$J$8,2,FALSE),0),"")))</f>
        <v/>
      </c>
      <c r="AZ1119" s="10" t="str">
        <f>IF(K1119="","",
IF(AX1119="PT",VLOOKUP(K1119,Foundation_Calc!$K$79:$R$113,VLOOKUP(AW1119,Foundation_Calc!$I$2:$J$8,2,FALSE),0),
IF(AX1119="K",VLOOKUP(K1119,Foundation_Calc!$K$117:$R$151,VLOOKUP(AW1119,Foundation_Calc!$I$2:$J$8,2,FALSE),0),"")))</f>
        <v/>
      </c>
      <c r="BA1119" s="495" t="str">
        <f t="shared" si="137"/>
        <v/>
      </c>
      <c r="BB1119" s="495" t="str">
        <f t="shared" si="138"/>
        <v/>
      </c>
      <c r="BC1119" s="495" t="str">
        <f t="shared" si="139"/>
        <v/>
      </c>
      <c r="BD1119" s="513" t="str">
        <f>IF(AND(L1119="",H1119=""),"",
IF(H1119="",Pole_Calc!A$9,
IF(H1119="MP",Pole_Calc!A$10,
IF(H1119="AnMP",Pole_Calc!A$11,
IF(H1119="A",Pole_Calc!A$12,
IF(H1119="S/A",Pole_Calc!A$13,
IF(H1119="A/S",Pole_Calc!A$14,"Poner a mano")))))))</f>
        <v/>
      </c>
      <c r="BE1119" s="429" t="s">
        <v>118</v>
      </c>
      <c r="BF1119" s="290"/>
      <c r="BG1119" s="290"/>
      <c r="BH1119" s="290"/>
      <c r="BI1119" s="290"/>
    </row>
    <row r="1120" spans="1:61" ht="15.75" customHeight="1">
      <c r="A1120" s="571"/>
      <c r="B1120" s="450" t="s">
        <v>1519</v>
      </c>
      <c r="C1120" s="3">
        <f>+$C$1118+$G$1119</f>
        <v>57561.12000000001</v>
      </c>
      <c r="D1120" s="83"/>
      <c r="E1120" s="4"/>
      <c r="F1120" s="4">
        <v>0</v>
      </c>
      <c r="G1120" s="6"/>
      <c r="H1120" s="449"/>
      <c r="I1120" s="4"/>
      <c r="J1120" s="3"/>
      <c r="K1120" s="449"/>
      <c r="L1120" s="449" t="s">
        <v>153</v>
      </c>
      <c r="M1120" s="449" t="str">
        <f>IF(L1120="","",
IF(AX1120="PT",VLOOKUP(L1120,Foundation_Calc!$V$79:$X$113,VLOOKUP(AX1120,Foundation_Calc!$I$10:$J$13,2,FALSE),0),
IF(AX1120="K",VLOOKUP(L1120,Foundation_Calc!$V$117:$X$151,VLOOKUP(AX1120,Foundation_Calc!$I$10:$J$13,2,FALSE),0),"")))</f>
        <v>C3RT</v>
      </c>
      <c r="N1120" s="449" t="s">
        <v>134</v>
      </c>
      <c r="O1120" s="449"/>
      <c r="P1120" s="449"/>
      <c r="Q1120" s="4"/>
      <c r="R1120" s="6"/>
      <c r="S1120" s="6"/>
      <c r="T1120" s="4">
        <v>30</v>
      </c>
      <c r="U1120" s="4"/>
      <c r="V1120" s="4"/>
      <c r="W1120" s="9">
        <v>1.4</v>
      </c>
      <c r="X1120" s="9"/>
      <c r="Y1120" s="9"/>
      <c r="Z1120" s="9"/>
      <c r="AA1120" s="9"/>
      <c r="AB1120" s="9"/>
      <c r="AC1120" s="449" t="str">
        <f t="shared" si="140"/>
        <v>PH</v>
      </c>
      <c r="AD1120" s="449"/>
      <c r="AE1120" s="449"/>
      <c r="AF1120" s="4"/>
      <c r="AG1120" s="83"/>
      <c r="AH1120" s="4"/>
      <c r="AI1120" s="4"/>
      <c r="AJ1120" s="449"/>
      <c r="AK1120" s="449"/>
      <c r="AL1120" s="449"/>
      <c r="AM1120" s="449" t="s">
        <v>126</v>
      </c>
      <c r="AN1120" s="10">
        <v>5.5</v>
      </c>
      <c r="AO1120" s="9"/>
      <c r="AP1120" s="9"/>
      <c r="AQ1120" s="9"/>
      <c r="AR1120" s="9"/>
      <c r="AS1120" s="9"/>
      <c r="AT1120" s="9">
        <f>+ab($T$1120,$T$1118,$T$1122,$G$1119,$G$1121, 1*$F$1120,1200)</f>
        <v>9.7324610709355319</v>
      </c>
      <c r="AU1120" s="428"/>
      <c r="AV1120" s="428"/>
      <c r="AW1120" s="449" t="str">
        <f>IF(C1120&gt;0,VLOOKUP(C1120,Foundation_Calc!$A$2:$C$13,3,1),
IF(J1120&gt;0,VLOOKUP(J1120,Foundation_Calc!$A$2:$C$13,3,1),""))</f>
        <v>Multi Soil</v>
      </c>
      <c r="AX1120" s="449" t="str">
        <f>IF(C1120&gt;0,VLOOKUP(C1120,Foundation_Calc!$E$35:$G$65,3,1),
IF(J1120&gt;0,VLOOKUP(J1120,Foundation_Calc!$E$35:$G$65,3,1),""))</f>
        <v>K</v>
      </c>
      <c r="AY1120" s="10">
        <f>IF(L1120="","",
IF(AX1120="PT",VLOOKUP(L1120,Foundation_Calc!$K$79:$R$113,VLOOKUP(AW1120,Foundation_Calc!$I$2:$J$8,2,FALSE),0),
IF(AX1120="K",VLOOKUP(L1120,Foundation_Calc!$K$117:$R$151,VLOOKUP(AW1120,Foundation_Calc!$I$2:$J$8,2,FALSE),0),"")))</f>
        <v>4</v>
      </c>
      <c r="AZ1120" s="10" t="str">
        <f>IF(K1120="","",
IF(AX1120="PT",VLOOKUP(K1120,Foundation_Calc!$K$79:$R$113,VLOOKUP(AW1120,Foundation_Calc!$I$2:$J$8,2,FALSE),0),
IF(AX1120="K",VLOOKUP(K1120,Foundation_Calc!$K$117:$R$151,VLOOKUP(AW1120,Foundation_Calc!$I$2:$J$8,2,FALSE),0),"")))</f>
        <v/>
      </c>
      <c r="BA1120" s="495" t="str">
        <f t="shared" si="137"/>
        <v>ü</v>
      </c>
      <c r="BB1120" s="495" t="str">
        <f t="shared" si="138"/>
        <v/>
      </c>
      <c r="BC1120" s="495" t="str">
        <f t="shared" si="139"/>
        <v/>
      </c>
      <c r="BD1120" s="513" t="str">
        <f>IF(AND(L1120="",H1120=""),"",
IF(H1120="",Pole_Calc!A$9,
IF(H1120="MP",Pole_Calc!A$10,
IF(H1120="AnMP",Pole_Calc!A$11,
IF(H1120="A",Pole_Calc!A$12,
IF(H1120="S/A",Pole_Calc!A$13,
IF(H1120="A/S",Pole_Calc!A$14,"Poner a mano")))))))</f>
        <v>App.7-V11I-P9.5.1.1</v>
      </c>
      <c r="BE1120" s="429" t="s">
        <v>118</v>
      </c>
      <c r="BF1120" s="289"/>
      <c r="BG1120" s="289"/>
      <c r="BH1120" s="290"/>
      <c r="BI1120" s="289"/>
    </row>
    <row r="1121" spans="1:61" ht="15.75" customHeight="1">
      <c r="A1121" s="571"/>
      <c r="B1121" s="450"/>
      <c r="C1121" s="3"/>
      <c r="D1121" s="83"/>
      <c r="E1121" s="4"/>
      <c r="F1121" s="4"/>
      <c r="G1121" s="6">
        <v>62</v>
      </c>
      <c r="H1121" s="449"/>
      <c r="I1121" s="4"/>
      <c r="J1121" s="3">
        <f>C1122-7.5</f>
        <v>57615.62000000001</v>
      </c>
      <c r="K1121" s="449" t="s">
        <v>315</v>
      </c>
      <c r="L1121" s="449"/>
      <c r="M1121" s="449" t="str">
        <f>IF(L1121="","",
IF(AX1121="PT",VLOOKUP(L1121,Foundation_Calc!$V$79:$X$113,VLOOKUP(AX1121,Foundation_Calc!$I$10:$J$13,2,FALSE),0),
IF(AX1121="K",VLOOKUP(L1121,Foundation_Calc!$V$117:$X$151,VLOOKUP(AX1121,Foundation_Calc!$I$10:$J$13,2,FALSE),0),"")))</f>
        <v/>
      </c>
      <c r="N1121" s="449"/>
      <c r="O1121" s="449"/>
      <c r="P1121" s="449"/>
      <c r="Q1121" s="4"/>
      <c r="R1121" s="6"/>
      <c r="S1121" s="6"/>
      <c r="T1121" s="4"/>
      <c r="U1121" s="4"/>
      <c r="V1121" s="4"/>
      <c r="W1121" s="9"/>
      <c r="X1121" s="9"/>
      <c r="Y1121" s="9"/>
      <c r="Z1121" s="9"/>
      <c r="AA1121" s="9"/>
      <c r="AB1121" s="9"/>
      <c r="AC1121" s="449" t="str">
        <f t="shared" si="140"/>
        <v/>
      </c>
      <c r="AD1121" s="449"/>
      <c r="AE1121" s="449"/>
      <c r="AF1121" s="4"/>
      <c r="AG1121" s="83"/>
      <c r="AH1121" s="4"/>
      <c r="AI1121" s="4"/>
      <c r="AJ1121" s="449"/>
      <c r="AK1121" s="449"/>
      <c r="AL1121" s="449"/>
      <c r="AM1121" s="449"/>
      <c r="AN1121" s="10"/>
      <c r="AO1121" s="9"/>
      <c r="AP1121" s="9"/>
      <c r="AQ1121" s="9">
        <f>+FL_1($T$1122,$T$1120,$G$1121,1200,9.28, 1*$F$1122)</f>
        <v>0.44746645199999996</v>
      </c>
      <c r="AR1121" s="9"/>
      <c r="AS1121" s="9"/>
      <c r="AT1121" s="9"/>
      <c r="AU1121" s="428"/>
      <c r="AV1121" s="428"/>
      <c r="AW1121" s="449" t="str">
        <f>IF(C1121&gt;0,VLOOKUP(C1121,Foundation_Calc!$A$2:$C$13,3,1),
IF(J1121&gt;0,VLOOKUP(J1121,Foundation_Calc!$A$2:$C$13,3,1),""))</f>
        <v>Multi Soil</v>
      </c>
      <c r="AX1121" s="449" t="str">
        <f>IF(C1121&gt;0,VLOOKUP(C1121,Foundation_Calc!$E$35:$G$65,3,1),
IF(J1121&gt;0,VLOOKUP(J1121,Foundation_Calc!$E$35:$G$65,3,1),""))</f>
        <v>K</v>
      </c>
      <c r="AY1121" s="10" t="str">
        <f>IF(L1121="","",
IF(AX1121="PT",VLOOKUP(L1121,Foundation_Calc!$K$79:$R$113,VLOOKUP(AW1121,Foundation_Calc!$I$2:$J$8,2,FALSE),0),
IF(AX1121="K",VLOOKUP(L1121,Foundation_Calc!$K$117:$R$151,VLOOKUP(AW1121,Foundation_Calc!$I$2:$J$8,2,FALSE),0),"")))</f>
        <v/>
      </c>
      <c r="AZ1121" s="10">
        <f>IF(K1121="","",
IF(AX1121="PT",VLOOKUP(K1121,Foundation_Calc!$K$79:$R$113,VLOOKUP(AW1121,Foundation_Calc!$I$2:$J$8,2,FALSE),0),
IF(AX1121="K",VLOOKUP(K1121,Foundation_Calc!$K$117:$R$151,VLOOKUP(AW1121,Foundation_Calc!$I$2:$J$8,2,FALSE),0),"")))</f>
        <v>3.9</v>
      </c>
      <c r="BA1121" s="495" t="str">
        <f t="shared" si="137"/>
        <v/>
      </c>
      <c r="BB1121" s="495" t="str">
        <f t="shared" si="138"/>
        <v>ü</v>
      </c>
      <c r="BC1121" s="495" t="str">
        <f t="shared" si="139"/>
        <v/>
      </c>
      <c r="BD1121" s="513" t="str">
        <f>IF(AND(L1121="",H1121=""),"",
IF(H1121="",Pole_Calc!A$9,
IF(H1121="MP",Pole_Calc!A$10,
IF(H1121="AnMP",Pole_Calc!A$11,
IF(H1121="A",Pole_Calc!A$12,
IF(H1121="S/A",Pole_Calc!A$13,
IF(H1121="A/S",Pole_Calc!A$14,"Poner a mano")))))))</f>
        <v/>
      </c>
      <c r="BE1121" s="429" t="s">
        <v>118</v>
      </c>
      <c r="BF1121" s="290"/>
      <c r="BG1121" s="290"/>
      <c r="BH1121" s="290"/>
      <c r="BI1121" s="290"/>
    </row>
    <row r="1122" spans="1:61" ht="15.75" customHeight="1">
      <c r="A1122" s="514"/>
      <c r="B1122" s="450" t="s">
        <v>1520</v>
      </c>
      <c r="C1122" s="3">
        <f>+$C$1120+$G$1121</f>
        <v>57623.12000000001</v>
      </c>
      <c r="D1122" s="83"/>
      <c r="E1122" s="4"/>
      <c r="F1122" s="4">
        <v>0</v>
      </c>
      <c r="G1122" s="6"/>
      <c r="H1122" s="449" t="s">
        <v>121</v>
      </c>
      <c r="I1122" s="449" t="s">
        <v>122</v>
      </c>
      <c r="J1122" s="3"/>
      <c r="K1122" s="449"/>
      <c r="L1122" s="449" t="s">
        <v>151</v>
      </c>
      <c r="M1122" s="449" t="str">
        <f>IF(L1122="","",
IF(AX1122="PT",VLOOKUP(L1122,Foundation_Calc!$V$79:$X$113,VLOOKUP(AX1122,Foundation_Calc!$I$10:$J$13,2,FALSE),0),
IF(AX1122="K",VLOOKUP(L1122,Foundation_Calc!$V$117:$X$151,VLOOKUP(AX1122,Foundation_Calc!$I$10:$J$13,2,FALSE),0),"")))</f>
        <v>C4RT</v>
      </c>
      <c r="N1122" s="449" t="s">
        <v>124</v>
      </c>
      <c r="O1122" s="449"/>
      <c r="P1122" s="449"/>
      <c r="Q1122" s="4"/>
      <c r="R1122" s="6"/>
      <c r="S1122" s="6"/>
      <c r="T1122" s="4">
        <v>-25</v>
      </c>
      <c r="U1122" s="4"/>
      <c r="V1122" s="4"/>
      <c r="W1122" s="9">
        <v>1.4</v>
      </c>
      <c r="X1122" s="9"/>
      <c r="Y1122" s="9"/>
      <c r="Z1122" s="9"/>
      <c r="AA1122" s="9"/>
      <c r="AB1122" s="9"/>
      <c r="AC1122" s="449" t="str">
        <f t="shared" si="140"/>
        <v>PH</v>
      </c>
      <c r="AD1122" s="449"/>
      <c r="AE1122" s="449"/>
      <c r="AF1122" s="4"/>
      <c r="AG1122" s="83"/>
      <c r="AH1122" s="4"/>
      <c r="AI1122" s="4"/>
      <c r="AJ1122" s="449"/>
      <c r="AK1122" s="449"/>
      <c r="AL1122" s="449"/>
      <c r="AM1122" s="449" t="s">
        <v>126</v>
      </c>
      <c r="AN1122" s="10">
        <v>5.5</v>
      </c>
      <c r="AO1122" s="9"/>
      <c r="AP1122" s="9"/>
      <c r="AQ1122" s="9"/>
      <c r="AR1122" s="9"/>
      <c r="AS1122" s="9"/>
      <c r="AT1122" s="9">
        <f>+ab($T$1122,$T$1120,$U$1124,$G$1121,$G$1123, 1*$F$1122,1200)</f>
        <v>-12.99198204310364</v>
      </c>
      <c r="AU1122" s="428"/>
      <c r="AV1122" s="428"/>
      <c r="AW1122" s="449" t="str">
        <f>IF(C1122&gt;0,VLOOKUP(C1122,Foundation_Calc!$A$2:$C$13,3,1),
IF(J1122&gt;0,VLOOKUP(J1122,Foundation_Calc!$A$2:$C$13,3,1),""))</f>
        <v>Multi Soil</v>
      </c>
      <c r="AX1122" s="449" t="str">
        <f>IF(C1122&gt;0,VLOOKUP(C1122,Foundation_Calc!$E$35:$G$65,3,1),
IF(J1122&gt;0,VLOOKUP(J1122,Foundation_Calc!$E$35:$G$65,3,1),""))</f>
        <v>K</v>
      </c>
      <c r="AY1122" s="10">
        <f>IF(L1122="","",
IF(AX1122="PT",VLOOKUP(L1122,Foundation_Calc!$K$79:$R$113,VLOOKUP(AW1122,Foundation_Calc!$I$2:$J$8,2,FALSE),0),
IF(AX1122="K",VLOOKUP(L1122,Foundation_Calc!$K$117:$R$151,VLOOKUP(AW1122,Foundation_Calc!$I$2:$J$8,2,FALSE),0),"")))</f>
        <v>4.2</v>
      </c>
      <c r="AZ1122" s="10" t="str">
        <f>IF(K1122="","",
IF(AX1122="PT",VLOOKUP(K1122,Foundation_Calc!$K$79:$R$113,VLOOKUP(AW1122,Foundation_Calc!$I$2:$J$8,2,FALSE),0),
IF(AX1122="K",VLOOKUP(K1122,Foundation_Calc!$K$117:$R$151,VLOOKUP(AW1122,Foundation_Calc!$I$2:$J$8,2,FALSE),0),"")))</f>
        <v/>
      </c>
      <c r="BA1122" s="495" t="str">
        <f t="shared" si="137"/>
        <v>ü</v>
      </c>
      <c r="BB1122" s="495" t="str">
        <f t="shared" si="138"/>
        <v/>
      </c>
      <c r="BC1122" s="495" t="str">
        <f t="shared" si="139"/>
        <v/>
      </c>
      <c r="BD1122" s="513" t="str">
        <f>IF(AND(L1122="",H1122=""),"",
IF(H1122="",Pole_Calc!A$9,
IF(H1122="MP",Pole_Calc!A$10,
IF(H1122="AnMP",Pole_Calc!A$11,
IF(H1122="A",Pole_Calc!A$12,
IF(H1122="S/A",Pole_Calc!A$13,
IF(H1122="A/S",Pole_Calc!A$14,"Poner a mano")))))))</f>
        <v>App.7-V11I-P9.5.1.6</v>
      </c>
      <c r="BE1122" s="429" t="s">
        <v>118</v>
      </c>
      <c r="BF1122" s="289"/>
      <c r="BG1122" s="289"/>
      <c r="BH1122" s="290"/>
      <c r="BI1122" s="289"/>
    </row>
    <row r="1123" spans="1:61" ht="15.75" customHeight="1">
      <c r="A1123" s="571"/>
      <c r="B1123" s="450"/>
      <c r="C1123" s="3"/>
      <c r="D1123" s="83"/>
      <c r="E1123" s="4"/>
      <c r="F1123" s="4"/>
      <c r="G1123" s="6">
        <v>62</v>
      </c>
      <c r="H1123" s="449"/>
      <c r="I1123" s="4"/>
      <c r="J1123" s="3"/>
      <c r="K1123" s="449"/>
      <c r="L1123" s="449"/>
      <c r="M1123" s="449" t="str">
        <f>IF(L1123="","",
IF(AX1123="PT",VLOOKUP(L1123,Foundation_Calc!$V$79:$X$113,VLOOKUP(AX1123,Foundation_Calc!$I$10:$J$13,2,FALSE),0),
IF(AX1123="K",VLOOKUP(L1123,Foundation_Calc!$V$117:$X$151,VLOOKUP(AX1123,Foundation_Calc!$I$10:$J$13,2,FALSE),0),"")))</f>
        <v/>
      </c>
      <c r="N1123" s="449"/>
      <c r="O1123" s="449"/>
      <c r="P1123" s="449"/>
      <c r="Q1123" s="4"/>
      <c r="R1123" s="6"/>
      <c r="S1123" s="6"/>
      <c r="T1123" s="4"/>
      <c r="U1123" s="4"/>
      <c r="V1123" s="4"/>
      <c r="W1123" s="9"/>
      <c r="X1123" s="9"/>
      <c r="Y1123" s="9"/>
      <c r="Z1123" s="9"/>
      <c r="AA1123" s="9"/>
      <c r="AB1123" s="9"/>
      <c r="AC1123" s="449" t="str">
        <f t="shared" si="140"/>
        <v/>
      </c>
      <c r="AD1123" s="449"/>
      <c r="AE1123" s="449"/>
      <c r="AF1123" s="4"/>
      <c r="AG1123" s="83"/>
      <c r="AH1123" s="4"/>
      <c r="AI1123" s="4"/>
      <c r="AJ1123" s="449"/>
      <c r="AK1123" s="449"/>
      <c r="AL1123" s="449"/>
      <c r="AM1123" s="449"/>
      <c r="AN1123" s="10"/>
      <c r="AO1123" s="9"/>
      <c r="AP1123" s="9"/>
      <c r="AQ1123" s="9">
        <f>+FL_2($U$1124,$T$1122,$G$1123,1200,9.28, 1*$F$1124)</f>
        <v>-0.46719087741935483</v>
      </c>
      <c r="AR1123" s="9"/>
      <c r="AS1123" s="9"/>
      <c r="AT1123" s="9"/>
      <c r="AU1123" s="428"/>
      <c r="AV1123" s="428"/>
      <c r="AW1123" s="449" t="str">
        <f>IF(C1123&gt;0,VLOOKUP(C1123,Foundation_Calc!$A$2:$C$13,3,1),
IF(J1123&gt;0,VLOOKUP(J1123,Foundation_Calc!$A$2:$C$13,3,1),""))</f>
        <v/>
      </c>
      <c r="AX1123" s="449" t="str">
        <f>IF(C1123&gt;0,VLOOKUP(C1123,Foundation_Calc!$E$35:$G$65,3,1),
IF(J1123&gt;0,VLOOKUP(J1123,Foundation_Calc!$E$35:$G$65,3,1),""))</f>
        <v/>
      </c>
      <c r="AY1123" s="10" t="str">
        <f>IF(L1123="","",
IF(AX1123="PT",VLOOKUP(L1123,Foundation_Calc!$K$79:$R$113,VLOOKUP(AW1123,Foundation_Calc!$I$2:$J$8,2,FALSE),0),
IF(AX1123="K",VLOOKUP(L1123,Foundation_Calc!$K$117:$R$151,VLOOKUP(AW1123,Foundation_Calc!$I$2:$J$8,2,FALSE),0),"")))</f>
        <v/>
      </c>
      <c r="AZ1123" s="10" t="str">
        <f>IF(K1123="","",
IF(AX1123="PT",VLOOKUP(K1123,Foundation_Calc!$K$79:$R$113,VLOOKUP(AW1123,Foundation_Calc!$I$2:$J$8,2,FALSE),0),
IF(AX1123="K",VLOOKUP(K1123,Foundation_Calc!$K$117:$R$151,VLOOKUP(AW1123,Foundation_Calc!$I$2:$J$8,2,FALSE),0),"")))</f>
        <v/>
      </c>
      <c r="BA1123" s="495" t="str">
        <f t="shared" ref="BA1123:BA1188" si="141">IF(AY1123="","",IF(AY1123&gt;0,"ü",""))</f>
        <v/>
      </c>
      <c r="BB1123" s="495" t="str">
        <f t="shared" ref="BB1123:BB1188" si="142">IF(AZ1123="","",IF(AZ1123&gt;0,"ü",""))</f>
        <v/>
      </c>
      <c r="BC1123" s="495" t="str">
        <f t="shared" ref="BC1123:BC1188" si="143">IF(M1123="","",IF(M1123="U.S.","ü",IF(M1123="U.S. N.D.","ü","")))</f>
        <v/>
      </c>
      <c r="BD1123" s="513" t="str">
        <f>IF(AND(L1123="",H1123=""),"",
IF(H1123="",Pole_Calc!A$9,
IF(H1123="MP",Pole_Calc!A$10,
IF(H1123="AnMP",Pole_Calc!A$11,
IF(H1123="A",Pole_Calc!A$12,
IF(H1123="S/A",Pole_Calc!A$13,
IF(H1123="A/S",Pole_Calc!A$14,"Poner a mano")))))))</f>
        <v/>
      </c>
      <c r="BE1123" s="429" t="s">
        <v>118</v>
      </c>
      <c r="BF1123" s="290"/>
      <c r="BG1123" s="290"/>
      <c r="BH1123" s="290"/>
      <c r="BI1123" s="290"/>
    </row>
    <row r="1124" spans="1:61" ht="15.75" customHeight="1">
      <c r="A1124" s="514"/>
      <c r="B1124" s="450" t="s">
        <v>1521</v>
      </c>
      <c r="C1124" s="3">
        <f>+$C$1122+$G$1123</f>
        <v>57685.12000000001</v>
      </c>
      <c r="D1124" s="83"/>
      <c r="E1124" s="4"/>
      <c r="F1124" s="4">
        <v>0</v>
      </c>
      <c r="G1124" s="6"/>
      <c r="H1124" s="449" t="s">
        <v>131</v>
      </c>
      <c r="I1124" s="4"/>
      <c r="J1124" s="3"/>
      <c r="K1124" s="449"/>
      <c r="L1124" s="449" t="s">
        <v>158</v>
      </c>
      <c r="M1124" s="449" t="str">
        <f>IF(L1124="","",
IF(AX1124="PT",VLOOKUP(L1124,Foundation_Calc!$V$79:$X$113,VLOOKUP(AX1124,Foundation_Calc!$I$10:$J$13,2,FALSE),0),
IF(AX1124="K",VLOOKUP(L1124,Foundation_Calc!$V$117:$X$151,VLOOKUP(AX1124,Foundation_Calc!$I$10:$J$13,2,FALSE),0),"")))</f>
        <v>C4RT</v>
      </c>
      <c r="N1124" s="449" t="s">
        <v>133</v>
      </c>
      <c r="O1124" s="449" t="s">
        <v>134</v>
      </c>
      <c r="P1124" s="449"/>
      <c r="Q1124" s="4"/>
      <c r="R1124" s="6"/>
      <c r="S1124" s="6"/>
      <c r="T1124" s="4">
        <v>55</v>
      </c>
      <c r="U1124" s="4">
        <v>10</v>
      </c>
      <c r="V1124" s="4"/>
      <c r="W1124" s="9">
        <v>1.4</v>
      </c>
      <c r="X1124" s="9">
        <v>2.2999999999999998</v>
      </c>
      <c r="Y1124" s="9"/>
      <c r="Z1124" s="9">
        <v>0.55000000000000004</v>
      </c>
      <c r="AA1124" s="9"/>
      <c r="AB1124" s="9"/>
      <c r="AC1124" s="449"/>
      <c r="AD1124" s="449"/>
      <c r="AE1124" s="449"/>
      <c r="AF1124" s="4"/>
      <c r="AG1124" s="83"/>
      <c r="AH1124" s="4"/>
      <c r="AI1124" s="4"/>
      <c r="AJ1124" s="449"/>
      <c r="AK1124" s="449"/>
      <c r="AL1124" s="449"/>
      <c r="AM1124" s="449" t="s">
        <v>126</v>
      </c>
      <c r="AN1124" s="10">
        <v>5.5</v>
      </c>
      <c r="AO1124" s="9"/>
      <c r="AP1124" s="9"/>
      <c r="AQ1124" s="9"/>
      <c r="AR1124" s="9"/>
      <c r="AS1124" s="9"/>
      <c r="AT1124" s="9">
        <f>+ab($U$1124,$T$1122,$U$1126,$G$1123,$G$1125, 1*$F$1124,1200)</f>
        <v>11.488509385122516</v>
      </c>
      <c r="AU1124" s="428"/>
      <c r="AV1124" s="428"/>
      <c r="AW1124" s="449" t="str">
        <f>IF(C1124&gt;0,VLOOKUP(C1124,Foundation_Calc!$A$2:$C$13,3,1),
IF(J1124&gt;0,VLOOKUP(J1124,Foundation_Calc!$A$2:$C$13,3,1),""))</f>
        <v>Multi Soil</v>
      </c>
      <c r="AX1124" s="449" t="str">
        <f>IF(C1124&gt;0,VLOOKUP(C1124,Foundation_Calc!$E$35:$G$65,3,1),
IF(J1124&gt;0,VLOOKUP(J1124,Foundation_Calc!$E$35:$G$65,3,1),""))</f>
        <v>K</v>
      </c>
      <c r="AY1124" s="10">
        <f>IF(L1124="","",
IF(AX1124="PT",VLOOKUP(L1124,Foundation_Calc!$K$79:$R$113,VLOOKUP(AW1124,Foundation_Calc!$I$2:$J$8,2,FALSE),0),
IF(AX1124="K",VLOOKUP(L1124,Foundation_Calc!$K$117:$R$151,VLOOKUP(AW1124,Foundation_Calc!$I$2:$J$8,2,FALSE),0),"")))</f>
        <v>4.2</v>
      </c>
      <c r="AZ1124" s="10" t="str">
        <f>IF(K1124="","",
IF(AX1124="PT",VLOOKUP(K1124,Foundation_Calc!$K$79:$R$113,VLOOKUP(AW1124,Foundation_Calc!$I$2:$J$8,2,FALSE),0),
IF(AX1124="K",VLOOKUP(K1124,Foundation_Calc!$K$117:$R$151,VLOOKUP(AW1124,Foundation_Calc!$I$2:$J$8,2,FALSE),0),"")))</f>
        <v/>
      </c>
      <c r="BA1124" s="495" t="str">
        <f t="shared" si="141"/>
        <v>ü</v>
      </c>
      <c r="BB1124" s="495" t="str">
        <f t="shared" si="142"/>
        <v/>
      </c>
      <c r="BC1124" s="495" t="str">
        <f t="shared" si="143"/>
        <v/>
      </c>
      <c r="BD1124" s="513" t="str">
        <f>IF(AND(L1124="",H1124=""),"",
IF(H1124="",Pole_Calc!A$9,
IF(H1124="MP",Pole_Calc!A$10,
IF(H1124="AnMP",Pole_Calc!A$11,
IF(H1124="A",Pole_Calc!A$12,
IF(H1124="S/A",Pole_Calc!A$13,
IF(H1124="A/S",Pole_Calc!A$14,"Poner a mano")))))))</f>
        <v>App.7-V11I-P9.5.1.5</v>
      </c>
      <c r="BE1124" s="429" t="s">
        <v>118</v>
      </c>
      <c r="BF1124" s="289"/>
      <c r="BG1124" s="289"/>
      <c r="BH1124" s="290"/>
      <c r="BI1124" s="289"/>
    </row>
    <row r="1125" spans="1:61" ht="15.75" customHeight="1">
      <c r="A1125" s="514" t="s">
        <v>234</v>
      </c>
      <c r="B1125" s="450"/>
      <c r="C1125" s="3"/>
      <c r="D1125" s="83"/>
      <c r="E1125" s="4"/>
      <c r="F1125" s="4"/>
      <c r="G1125" s="6">
        <v>60</v>
      </c>
      <c r="H1125" s="449"/>
      <c r="I1125" s="449"/>
      <c r="J1125" s="3"/>
      <c r="K1125" s="449"/>
      <c r="L1125" s="449"/>
      <c r="M1125" s="449" t="str">
        <f>IF(L1125="","",
IF(AX1125="PT",VLOOKUP(L1125,Foundation_Calc!$V$79:$X$113,VLOOKUP(AX1125,Foundation_Calc!$I$10:$J$13,2,FALSE),0),
IF(AX1125="K",VLOOKUP(L1125,Foundation_Calc!$V$117:$X$151,VLOOKUP(AX1125,Foundation_Calc!$I$10:$J$13,2,FALSE),0),"")))</f>
        <v/>
      </c>
      <c r="N1125" s="449"/>
      <c r="O1125" s="449"/>
      <c r="P1125" s="449"/>
      <c r="Q1125" s="4"/>
      <c r="R1125" s="6"/>
      <c r="S1125" s="6"/>
      <c r="T1125" s="4"/>
      <c r="U1125" s="4"/>
      <c r="V1125" s="4"/>
      <c r="W1125" s="9"/>
      <c r="X1125" s="9"/>
      <c r="Y1125" s="9"/>
      <c r="Z1125" s="9"/>
      <c r="AA1125" s="9"/>
      <c r="AB1125" s="9"/>
      <c r="AC1125" s="449" t="str">
        <f t="shared" si="140"/>
        <v/>
      </c>
      <c r="AD1125" s="449"/>
      <c r="AE1125" s="449"/>
      <c r="AF1125" s="4"/>
      <c r="AG1125" s="83"/>
      <c r="AH1125" s="4"/>
      <c r="AI1125" s="4"/>
      <c r="AJ1125" s="449"/>
      <c r="AK1125" s="449"/>
      <c r="AL1125" s="449"/>
      <c r="AM1125" s="449"/>
      <c r="AN1125" s="10"/>
      <c r="AO1125" s="9"/>
      <c r="AP1125" s="9"/>
      <c r="AQ1125" s="9">
        <f>+FL_1($T$1126,$U$1124,$G$1125,1200,9.28, 1*$F$1126)</f>
        <v>0.35518390799999994</v>
      </c>
      <c r="AR1125" s="9"/>
      <c r="AS1125" s="9"/>
      <c r="AT1125" s="9"/>
      <c r="AU1125" s="428"/>
      <c r="AV1125" s="428"/>
      <c r="AW1125" s="449" t="str">
        <f>IF(C1125&gt;0,VLOOKUP(C1125,Foundation_Calc!$A$2:$C$13,3,1),
IF(J1125&gt;0,VLOOKUP(J1125,Foundation_Calc!$A$2:$C$13,3,1),""))</f>
        <v/>
      </c>
      <c r="AX1125" s="449" t="str">
        <f>IF(C1125&gt;0,VLOOKUP(C1125,Foundation_Calc!$E$35:$G$65,3,1),
IF(J1125&gt;0,VLOOKUP(J1125,Foundation_Calc!$E$35:$G$65,3,1),""))</f>
        <v/>
      </c>
      <c r="AY1125" s="10" t="str">
        <f>IF(L1125="","",
IF(AX1125="PT",VLOOKUP(L1125,Foundation_Calc!$K$79:$R$113,VLOOKUP(AW1125,Foundation_Calc!$I$2:$J$8,2,FALSE),0),
IF(AX1125="K",VLOOKUP(L1125,Foundation_Calc!$K$117:$R$151,VLOOKUP(AW1125,Foundation_Calc!$I$2:$J$8,2,FALSE),0),"")))</f>
        <v/>
      </c>
      <c r="AZ1125" s="10" t="str">
        <f>IF(K1125="","",
IF(AX1125="PT",VLOOKUP(K1125,Foundation_Calc!$K$79:$R$113,VLOOKUP(AW1125,Foundation_Calc!$I$2:$J$8,2,FALSE),0),
IF(AX1125="K",VLOOKUP(K1125,Foundation_Calc!$K$117:$R$151,VLOOKUP(AW1125,Foundation_Calc!$I$2:$J$8,2,FALSE),0),"")))</f>
        <v/>
      </c>
      <c r="BA1125" s="495" t="str">
        <f t="shared" si="141"/>
        <v/>
      </c>
      <c r="BB1125" s="495" t="str">
        <f t="shared" si="142"/>
        <v/>
      </c>
      <c r="BC1125" s="495" t="str">
        <f t="shared" si="143"/>
        <v/>
      </c>
      <c r="BD1125" s="513" t="str">
        <f>IF(AND(L1125="",H1125=""),"",
IF(H1125="",Pole_Calc!A$9,
IF(H1125="MP",Pole_Calc!A$10,
IF(H1125="AnMP",Pole_Calc!A$11,
IF(H1125="A",Pole_Calc!A$12,
IF(H1125="S/A",Pole_Calc!A$13,
IF(H1125="A/S",Pole_Calc!A$14,"Poner a mano")))))))</f>
        <v/>
      </c>
      <c r="BE1125" s="429" t="s">
        <v>118</v>
      </c>
      <c r="BF1125" s="290"/>
      <c r="BG1125" s="290"/>
      <c r="BH1125" s="290"/>
      <c r="BI1125" s="290"/>
    </row>
    <row r="1126" spans="1:61" ht="15.75" customHeight="1">
      <c r="A1126" s="514" t="s">
        <v>1522</v>
      </c>
      <c r="B1126" s="450" t="s">
        <v>1523</v>
      </c>
      <c r="C1126" s="3">
        <f>+$C$1124+$G$1125</f>
        <v>57745.12000000001</v>
      </c>
      <c r="D1126" s="83"/>
      <c r="E1126" s="4"/>
      <c r="F1126" s="4">
        <v>0</v>
      </c>
      <c r="G1126" s="6"/>
      <c r="H1126" s="449" t="s">
        <v>131</v>
      </c>
      <c r="I1126" s="4" t="s">
        <v>132</v>
      </c>
      <c r="J1126" s="3"/>
      <c r="K1126" s="449"/>
      <c r="L1126" s="449" t="s">
        <v>148</v>
      </c>
      <c r="M1126" s="449" t="str">
        <f>IF(L1126="","",
IF(AX1126="PT",VLOOKUP(L1126,Foundation_Calc!$V$79:$X$113,VLOOKUP(AX1126,Foundation_Calc!$I$10:$J$13,2,FALSE),0),
IF(AX1126="K",VLOOKUP(L1126,Foundation_Calc!$V$117:$X$151,VLOOKUP(AX1126,Foundation_Calc!$I$10:$J$13,2,FALSE),0),"")))</f>
        <v>C4RT</v>
      </c>
      <c r="N1126" s="449" t="s">
        <v>124</v>
      </c>
      <c r="O1126" s="449" t="s">
        <v>133</v>
      </c>
      <c r="P1126" s="449"/>
      <c r="Q1126" s="4"/>
      <c r="R1126" s="6"/>
      <c r="S1126" s="6"/>
      <c r="T1126" s="4">
        <v>-10</v>
      </c>
      <c r="U1126" s="4">
        <v>-55</v>
      </c>
      <c r="V1126" s="4"/>
      <c r="W1126" s="9">
        <v>1.4</v>
      </c>
      <c r="X1126" s="9">
        <v>2.2999999999999998</v>
      </c>
      <c r="Y1126" s="9"/>
      <c r="Z1126" s="9"/>
      <c r="AA1126" s="9">
        <v>0.55000000000000004</v>
      </c>
      <c r="AB1126" s="9"/>
      <c r="AC1126" s="449" t="str">
        <f t="shared" si="140"/>
        <v>PH</v>
      </c>
      <c r="AD1126" s="449"/>
      <c r="AE1126" s="449"/>
      <c r="AF1126" s="4"/>
      <c r="AG1126" s="83"/>
      <c r="AH1126" s="4"/>
      <c r="AI1126" s="4"/>
      <c r="AJ1126" s="449" t="s">
        <v>233</v>
      </c>
      <c r="AK1126" s="449"/>
      <c r="AL1126" s="449"/>
      <c r="AM1126" s="449" t="s">
        <v>126</v>
      </c>
      <c r="AN1126" s="10">
        <v>5.5</v>
      </c>
      <c r="AO1126" s="9"/>
      <c r="AP1126" s="9"/>
      <c r="AQ1126" s="9"/>
      <c r="AR1126" s="9"/>
      <c r="AS1126" s="9"/>
      <c r="AT1126" s="9">
        <f>+ab($T$1126,$T$1124,$T$1128,$G$1125,$G$1127, 1*$F$1126,1200)</f>
        <v>-11.362273660793893</v>
      </c>
      <c r="AU1126" s="428"/>
      <c r="AV1126" s="428"/>
      <c r="AW1126" s="449" t="str">
        <f>IF(C1126&gt;0,VLOOKUP(C1126,Foundation_Calc!$A$2:$C$13,3,1),
IF(J1126&gt;0,VLOOKUP(J1126,Foundation_Calc!$A$2:$C$13,3,1),""))</f>
        <v>Multi Soil</v>
      </c>
      <c r="AX1126" s="449" t="str">
        <f>IF(C1126&gt;0,VLOOKUP(C1126,Foundation_Calc!$E$35:$G$65,3,1),
IF(J1126&gt;0,VLOOKUP(J1126,Foundation_Calc!$E$35:$G$65,3,1),""))</f>
        <v>K</v>
      </c>
      <c r="AY1126" s="10">
        <f>IF(L1126="","",
IF(AX1126="PT",VLOOKUP(L1126,Foundation_Calc!$K$79:$R$113,VLOOKUP(AW1126,Foundation_Calc!$I$2:$J$8,2,FALSE),0),
IF(AX1126="K",VLOOKUP(L1126,Foundation_Calc!$K$117:$R$151,VLOOKUP(AW1126,Foundation_Calc!$I$2:$J$8,2,FALSE),0),"")))</f>
        <v>4.7</v>
      </c>
      <c r="AZ1126" s="10" t="str">
        <f>IF(K1126="","",
IF(AX1126="PT",VLOOKUP(K1126,Foundation_Calc!$K$79:$R$113,VLOOKUP(AW1126,Foundation_Calc!$I$2:$J$8,2,FALSE),0),
IF(AX1126="K",VLOOKUP(K1126,Foundation_Calc!$K$117:$R$151,VLOOKUP(AW1126,Foundation_Calc!$I$2:$J$8,2,FALSE),0),"")))</f>
        <v/>
      </c>
      <c r="BA1126" s="495" t="str">
        <f t="shared" si="141"/>
        <v>ü</v>
      </c>
      <c r="BB1126" s="495" t="str">
        <f t="shared" si="142"/>
        <v/>
      </c>
      <c r="BC1126" s="495" t="str">
        <f t="shared" si="143"/>
        <v/>
      </c>
      <c r="BD1126" s="513" t="str">
        <f>Pole_Calc!A$209</f>
        <v>App.7-V11I-P12.3.1.5</v>
      </c>
      <c r="BE1126" s="429" t="s">
        <v>118</v>
      </c>
      <c r="BF1126" s="289"/>
      <c r="BG1126" s="289"/>
      <c r="BH1126" s="290"/>
      <c r="BI1126" s="289"/>
    </row>
    <row r="1127" spans="1:61" ht="15.75" customHeight="1">
      <c r="A1127" s="571"/>
      <c r="B1127" s="450"/>
      <c r="C1127" s="3"/>
      <c r="D1127" s="83"/>
      <c r="E1127" s="4"/>
      <c r="F1127" s="4"/>
      <c r="G1127" s="6">
        <v>60</v>
      </c>
      <c r="H1127" s="449"/>
      <c r="I1127" s="4"/>
      <c r="J1127" s="3"/>
      <c r="K1127" s="449"/>
      <c r="L1127" s="449"/>
      <c r="M1127" s="449" t="str">
        <f>IF(L1127="","",
IF(AX1127="PT",VLOOKUP(L1127,Foundation_Calc!$V$79:$X$113,VLOOKUP(AX1127,Foundation_Calc!$I$10:$J$13,2,FALSE),0),
IF(AX1127="K",VLOOKUP(L1127,Foundation_Calc!$V$117:$X$151,VLOOKUP(AX1127,Foundation_Calc!$I$10:$J$13,2,FALSE),0),"")))</f>
        <v/>
      </c>
      <c r="N1127" s="449"/>
      <c r="O1127" s="449"/>
      <c r="P1127" s="449"/>
      <c r="Q1127" s="4"/>
      <c r="R1127" s="6"/>
      <c r="S1127" s="6"/>
      <c r="T1127" s="4"/>
      <c r="U1127" s="4"/>
      <c r="V1127" s="4"/>
      <c r="W1127" s="9"/>
      <c r="X1127" s="9"/>
      <c r="Y1127" s="9"/>
      <c r="Z1127" s="9"/>
      <c r="AA1127" s="9"/>
      <c r="AB1127" s="9"/>
      <c r="AC1127" s="449" t="str">
        <f t="shared" si="140"/>
        <v/>
      </c>
      <c r="AD1127" s="449"/>
      <c r="AE1127" s="449"/>
      <c r="AF1127" s="4"/>
      <c r="AG1127" s="83"/>
      <c r="AH1127" s="4"/>
      <c r="AI1127" s="4"/>
      <c r="AJ1127" s="449"/>
      <c r="AK1127" s="449"/>
      <c r="AL1127" s="449"/>
      <c r="AM1127" s="449"/>
      <c r="AN1127" s="10"/>
      <c r="AO1127" s="9"/>
      <c r="AP1127" s="9"/>
      <c r="AQ1127" s="9">
        <f>+FL_1($T$1128,$T$1126,$G$1127,1200,9.28, 1*$F$1128)</f>
        <v>0.44500071466666663</v>
      </c>
      <c r="AR1127" s="9"/>
      <c r="AS1127" s="9"/>
      <c r="AT1127" s="9"/>
      <c r="AU1127" s="428"/>
      <c r="AV1127" s="428"/>
      <c r="AW1127" s="449" t="str">
        <f>IF(C1127&gt;0,VLOOKUP(C1127,Foundation_Calc!$A$2:$C$13,3,1),
IF(J1127&gt;0,VLOOKUP(J1127,Foundation_Calc!$A$2:$C$13,3,1),""))</f>
        <v/>
      </c>
      <c r="AX1127" s="449" t="str">
        <f>IF(C1127&gt;0,VLOOKUP(C1127,Foundation_Calc!$E$35:$G$65,3,1),
IF(J1127&gt;0,VLOOKUP(J1127,Foundation_Calc!$E$35:$G$65,3,1),""))</f>
        <v/>
      </c>
      <c r="AY1127" s="10" t="str">
        <f>IF(L1127="","",
IF(AX1127="PT",VLOOKUP(L1127,Foundation_Calc!$K$79:$R$113,VLOOKUP(AW1127,Foundation_Calc!$I$2:$J$8,2,FALSE),0),
IF(AX1127="K",VLOOKUP(L1127,Foundation_Calc!$K$117:$R$151,VLOOKUP(AW1127,Foundation_Calc!$I$2:$J$8,2,FALSE),0),"")))</f>
        <v/>
      </c>
      <c r="AZ1127" s="10" t="str">
        <f>IF(K1127="","",
IF(AX1127="PT",VLOOKUP(K1127,Foundation_Calc!$K$79:$R$113,VLOOKUP(AW1127,Foundation_Calc!$I$2:$J$8,2,FALSE),0),
IF(AX1127="K",VLOOKUP(K1127,Foundation_Calc!$K$117:$R$151,VLOOKUP(AW1127,Foundation_Calc!$I$2:$J$8,2,FALSE),0),"")))</f>
        <v/>
      </c>
      <c r="BA1127" s="495" t="str">
        <f t="shared" si="141"/>
        <v/>
      </c>
      <c r="BB1127" s="495" t="str">
        <f t="shared" si="142"/>
        <v/>
      </c>
      <c r="BC1127" s="495" t="str">
        <f t="shared" si="143"/>
        <v/>
      </c>
      <c r="BD1127" s="513" t="str">
        <f>IF(AND(L1127="",H1127=""),"",
IF(H1127="",Pole_Calc!A$9,
IF(H1127="MP",Pole_Calc!A$10,
IF(H1127="AnMP",Pole_Calc!A$11,
IF(H1127="A",Pole_Calc!A$12,
IF(H1127="S/A",Pole_Calc!A$13,
IF(H1127="A/S",Pole_Calc!A$14,"Poner a mano")))))))</f>
        <v/>
      </c>
      <c r="BE1127" s="429" t="s">
        <v>118</v>
      </c>
      <c r="BF1127" s="290"/>
      <c r="BG1127" s="290"/>
      <c r="BH1127" s="290"/>
      <c r="BI1127" s="290"/>
    </row>
    <row r="1128" spans="1:61" ht="15.75" customHeight="1">
      <c r="A1128" s="571"/>
      <c r="B1128" s="450" t="s">
        <v>1524</v>
      </c>
      <c r="C1128" s="3">
        <f>+$C$1126+$G$1127+0.7</f>
        <v>57805.820000000007</v>
      </c>
      <c r="D1128" s="83"/>
      <c r="E1128" s="4"/>
      <c r="F1128" s="4">
        <v>0</v>
      </c>
      <c r="G1128" s="6"/>
      <c r="H1128" s="449" t="s">
        <v>121</v>
      </c>
      <c r="I1128" s="4" t="s">
        <v>122</v>
      </c>
      <c r="J1128" s="3"/>
      <c r="K1128" s="449"/>
      <c r="L1128" s="449" t="s">
        <v>151</v>
      </c>
      <c r="M1128" s="449" t="str">
        <f>IF(L1128="","",
IF(AX1128="PT",VLOOKUP(L1128,Foundation_Calc!$V$79:$X$113,VLOOKUP(AX1128,Foundation_Calc!$I$10:$J$13,2,FALSE),0),
IF(AX1128="K",VLOOKUP(L1128,Foundation_Calc!$V$117:$X$151,VLOOKUP(AX1128,Foundation_Calc!$I$10:$J$13,2,FALSE),0),"")))</f>
        <v>C4RT</v>
      </c>
      <c r="N1128" s="449" t="s">
        <v>134</v>
      </c>
      <c r="O1128" s="449"/>
      <c r="P1128" s="449"/>
      <c r="Q1128" s="4"/>
      <c r="R1128" s="6"/>
      <c r="S1128" s="6"/>
      <c r="T1128" s="4">
        <v>25</v>
      </c>
      <c r="U1128" s="4"/>
      <c r="V1128" s="4"/>
      <c r="W1128" s="9">
        <v>1.4</v>
      </c>
      <c r="X1128" s="9"/>
      <c r="Y1128" s="9"/>
      <c r="Z1128" s="9"/>
      <c r="AA1128" s="9"/>
      <c r="AB1128" s="9"/>
      <c r="AC1128" s="449" t="str">
        <f t="shared" si="140"/>
        <v>PH</v>
      </c>
      <c r="AD1128" s="449"/>
      <c r="AE1128" s="449"/>
      <c r="AF1128" s="4"/>
      <c r="AG1128" s="83"/>
      <c r="AH1128" s="4"/>
      <c r="AI1128" s="4"/>
      <c r="AJ1128" s="449"/>
      <c r="AK1128" s="449"/>
      <c r="AL1128" s="449"/>
      <c r="AM1128" s="449" t="s">
        <v>126</v>
      </c>
      <c r="AN1128" s="10">
        <v>5.5</v>
      </c>
      <c r="AO1128" s="9"/>
      <c r="AP1128" s="9"/>
      <c r="AQ1128" s="9"/>
      <c r="AR1128" s="9"/>
      <c r="AS1128" s="9"/>
      <c r="AT1128" s="9">
        <f>+ab($T$1128,$T$1126,$T$1130,$G$1127,$G$1129, 1*$F$1128,1200)</f>
        <v>17.302243571347315</v>
      </c>
      <c r="AU1128" s="428"/>
      <c r="AV1128" s="428"/>
      <c r="AW1128" s="449" t="str">
        <f>IF(C1128&gt;0,VLOOKUP(C1128,Foundation_Calc!$A$2:$C$13,3,1),
IF(J1128&gt;0,VLOOKUP(J1128,Foundation_Calc!$A$2:$C$13,3,1),""))</f>
        <v>Multi Soil</v>
      </c>
      <c r="AX1128" s="449" t="str">
        <f>IF(C1128&gt;0,VLOOKUP(C1128,Foundation_Calc!$E$35:$G$65,3,1),
IF(J1128&gt;0,VLOOKUP(J1128,Foundation_Calc!$E$35:$G$65,3,1),""))</f>
        <v>K</v>
      </c>
      <c r="AY1128" s="10">
        <f>IF(L1128="","",
IF(AX1128="PT",VLOOKUP(L1128,Foundation_Calc!$K$79:$R$113,VLOOKUP(AW1128,Foundation_Calc!$I$2:$J$8,2,FALSE),0),
IF(AX1128="K",VLOOKUP(L1128,Foundation_Calc!$K$117:$R$151,VLOOKUP(AW1128,Foundation_Calc!$I$2:$J$8,2,FALSE),0),"")))</f>
        <v>4.2</v>
      </c>
      <c r="AZ1128" s="10" t="str">
        <f>IF(K1128="","",
IF(AX1128="PT",VLOOKUP(K1128,Foundation_Calc!$K$79:$R$113,VLOOKUP(AW1128,Foundation_Calc!$I$2:$J$8,2,FALSE),0),
IF(AX1128="K",VLOOKUP(K1128,Foundation_Calc!$K$117:$R$151,VLOOKUP(AW1128,Foundation_Calc!$I$2:$J$8,2,FALSE),0),"")))</f>
        <v/>
      </c>
      <c r="BA1128" s="495" t="str">
        <f t="shared" si="141"/>
        <v>ü</v>
      </c>
      <c r="BB1128" s="495" t="str">
        <f t="shared" si="142"/>
        <v/>
      </c>
      <c r="BC1128" s="495" t="str">
        <f t="shared" si="143"/>
        <v/>
      </c>
      <c r="BD1128" s="513" t="str">
        <f>IF(AND(L1128="",H1128=""),"",
IF(H1128="",Pole_Calc!A$9,
IF(H1128="MP",Pole_Calc!A$10,
IF(H1128="AnMP",Pole_Calc!A$11,
IF(H1128="A",Pole_Calc!A$12,
IF(H1128="S/A",Pole_Calc!A$13,
IF(H1128="A/S",Pole_Calc!A$14,"Poner a mano")))))))</f>
        <v>App.7-V11I-P9.5.1.6</v>
      </c>
      <c r="BE1128" s="429" t="s">
        <v>118</v>
      </c>
      <c r="BF1128" s="289"/>
      <c r="BG1128" s="289"/>
      <c r="BH1128" s="290"/>
      <c r="BI1128" s="289"/>
    </row>
    <row r="1129" spans="1:61" ht="15.75" customHeight="1">
      <c r="A1129" s="571"/>
      <c r="B1129" s="450"/>
      <c r="C1129" s="3"/>
      <c r="D1129" s="83"/>
      <c r="E1129" s="4"/>
      <c r="F1129" s="4"/>
      <c r="G1129" s="6">
        <v>61</v>
      </c>
      <c r="H1129" s="449"/>
      <c r="I1129" s="4"/>
      <c r="J1129" s="3">
        <f>C1128+7.5</f>
        <v>57813.320000000007</v>
      </c>
      <c r="K1129" s="449" t="s">
        <v>315</v>
      </c>
      <c r="L1129" s="449"/>
      <c r="M1129" s="449" t="str">
        <f>IF(L1129="","",
IF(AX1129="PT",VLOOKUP(L1129,Foundation_Calc!$V$79:$X$113,VLOOKUP(AX1129,Foundation_Calc!$I$10:$J$13,2,FALSE),0),
IF(AX1129="K",VLOOKUP(L1129,Foundation_Calc!$V$117:$X$151,VLOOKUP(AX1129,Foundation_Calc!$I$10:$J$13,2,FALSE),0),"")))</f>
        <v/>
      </c>
      <c r="N1129" s="449"/>
      <c r="O1129" s="449"/>
      <c r="P1129" s="449"/>
      <c r="Q1129" s="4"/>
      <c r="R1129" s="6"/>
      <c r="S1129" s="6"/>
      <c r="T1129" s="4"/>
      <c r="U1129" s="4"/>
      <c r="V1129" s="4"/>
      <c r="W1129" s="9"/>
      <c r="X1129" s="9"/>
      <c r="Y1129" s="9"/>
      <c r="Z1129" s="9"/>
      <c r="AA1129" s="9"/>
      <c r="AB1129" s="9"/>
      <c r="AC1129" s="449" t="str">
        <f t="shared" si="140"/>
        <v/>
      </c>
      <c r="AD1129" s="449"/>
      <c r="AE1129" s="449"/>
      <c r="AF1129" s="4"/>
      <c r="AG1129" s="83"/>
      <c r="AH1129" s="4"/>
      <c r="AI1129" s="4"/>
      <c r="AJ1129" s="449"/>
      <c r="AK1129" s="449"/>
      <c r="AL1129" s="449"/>
      <c r="AM1129" s="449"/>
      <c r="AN1129" s="10"/>
      <c r="AO1129" s="9"/>
      <c r="AP1129" s="9"/>
      <c r="AQ1129" s="9">
        <f>+FL_1($T$1130,$T$1128,$G$1129,1200,9.28, 1*$F$1130)</f>
        <v>0.4753348431912568</v>
      </c>
      <c r="AR1129" s="9"/>
      <c r="AS1129" s="9"/>
      <c r="AT1129" s="9"/>
      <c r="AU1129" s="428"/>
      <c r="AV1129" s="428"/>
      <c r="AW1129" s="449" t="str">
        <f>IF(C1129&gt;0,VLOOKUP(C1129,Foundation_Calc!$A$2:$C$13,3,1),
IF(J1129&gt;0,VLOOKUP(J1129,Foundation_Calc!$A$2:$C$13,3,1),""))</f>
        <v>Multi Soil</v>
      </c>
      <c r="AX1129" s="449" t="str">
        <f>IF(C1129&gt;0,VLOOKUP(C1129,Foundation_Calc!$E$35:$G$65,3,1),
IF(J1129&gt;0,VLOOKUP(J1129,Foundation_Calc!$E$35:$G$65,3,1),""))</f>
        <v>K</v>
      </c>
      <c r="AY1129" s="10" t="str">
        <f>IF(L1129="","",
IF(AX1129="PT",VLOOKUP(L1129,Foundation_Calc!$K$79:$R$113,VLOOKUP(AW1129,Foundation_Calc!$I$2:$J$8,2,FALSE),0),
IF(AX1129="K",VLOOKUP(L1129,Foundation_Calc!$K$117:$R$151,VLOOKUP(AW1129,Foundation_Calc!$I$2:$J$8,2,FALSE),0),"")))</f>
        <v/>
      </c>
      <c r="AZ1129" s="10">
        <f>IF(K1129="","",
IF(AX1129="PT",VLOOKUP(K1129,Foundation_Calc!$K$79:$R$113,VLOOKUP(AW1129,Foundation_Calc!$I$2:$J$8,2,FALSE),0),
IF(AX1129="K",VLOOKUP(K1129,Foundation_Calc!$K$117:$R$151,VLOOKUP(AW1129,Foundation_Calc!$I$2:$J$8,2,FALSE),0),"")))</f>
        <v>3.9</v>
      </c>
      <c r="BA1129" s="495" t="str">
        <f t="shared" si="141"/>
        <v/>
      </c>
      <c r="BB1129" s="495" t="str">
        <f t="shared" si="142"/>
        <v>ü</v>
      </c>
      <c r="BC1129" s="495" t="str">
        <f t="shared" si="143"/>
        <v/>
      </c>
      <c r="BD1129" s="513" t="str">
        <f>IF(AND(L1129="",H1129=""),"",
IF(H1129="",Pole_Calc!A$9,
IF(H1129="MP",Pole_Calc!A$10,
IF(H1129="AnMP",Pole_Calc!A$11,
IF(H1129="A",Pole_Calc!A$12,
IF(H1129="S/A",Pole_Calc!A$13,
IF(H1129="A/S",Pole_Calc!A$14,"Poner a mano")))))))</f>
        <v/>
      </c>
      <c r="BE1129" s="429" t="s">
        <v>118</v>
      </c>
      <c r="BF1129" s="290"/>
      <c r="BG1129" s="290"/>
      <c r="BH1129" s="290"/>
      <c r="BI1129" s="290"/>
    </row>
    <row r="1130" spans="1:61" ht="15.75" customHeight="1">
      <c r="A1130" s="514"/>
      <c r="B1130" s="450" t="s">
        <v>1525</v>
      </c>
      <c r="C1130" s="3">
        <f>+$C$1128+$G$1129</f>
        <v>57866.820000000007</v>
      </c>
      <c r="D1130" s="83"/>
      <c r="E1130" s="4"/>
      <c r="F1130" s="4">
        <v>0</v>
      </c>
      <c r="G1130" s="6"/>
      <c r="H1130" s="449" t="s">
        <v>284</v>
      </c>
      <c r="I1130" s="449" t="s">
        <v>122</v>
      </c>
      <c r="J1130" s="3">
        <f>C1130-7.5</f>
        <v>57859.320000000007</v>
      </c>
      <c r="K1130" s="449" t="s">
        <v>315</v>
      </c>
      <c r="L1130" s="449" t="s">
        <v>151</v>
      </c>
      <c r="M1130" s="449" t="str">
        <f>IF(L1130="","",
IF(AX1130="PT",VLOOKUP(L1130,Foundation_Calc!$V$79:$X$113,VLOOKUP(AX1130,Foundation_Calc!$I$10:$J$13,2,FALSE),0),
IF(AX1130="K",VLOOKUP(L1130,Foundation_Calc!$V$117:$X$151,VLOOKUP(AX1130,Foundation_Calc!$I$10:$J$13,2,FALSE),0),"")))</f>
        <v>C4RT</v>
      </c>
      <c r="N1130" s="449" t="s">
        <v>124</v>
      </c>
      <c r="O1130" s="449"/>
      <c r="P1130" s="449"/>
      <c r="Q1130" s="4"/>
      <c r="R1130" s="6"/>
      <c r="S1130" s="6"/>
      <c r="T1130" s="4">
        <v>-5</v>
      </c>
      <c r="U1130" s="4"/>
      <c r="V1130" s="4"/>
      <c r="W1130" s="9">
        <v>1.4</v>
      </c>
      <c r="X1130" s="9"/>
      <c r="Y1130" s="9"/>
      <c r="Z1130" s="9"/>
      <c r="AA1130" s="9"/>
      <c r="AB1130" s="9"/>
      <c r="AC1130" s="449" t="str">
        <f t="shared" si="140"/>
        <v>PH</v>
      </c>
      <c r="AD1130" s="449"/>
      <c r="AE1130" s="449"/>
      <c r="AF1130" s="4"/>
      <c r="AG1130" s="83"/>
      <c r="AH1130" s="4"/>
      <c r="AI1130" s="4"/>
      <c r="AJ1130" s="449"/>
      <c r="AK1130" s="449"/>
      <c r="AL1130" s="449"/>
      <c r="AM1130" s="449" t="s">
        <v>126</v>
      </c>
      <c r="AN1130" s="10">
        <v>5.5</v>
      </c>
      <c r="AO1130" s="9"/>
      <c r="AP1130" s="9"/>
      <c r="AQ1130" s="9"/>
      <c r="AR1130" s="9"/>
      <c r="AS1130" s="9"/>
      <c r="AT1130" s="9">
        <f>+ab($T$1130,$T$1128,$U$1132,$G$1129,$G$1131, 1*$F$1130,1200)</f>
        <v>-52.067697999668169</v>
      </c>
      <c r="AU1130" s="428"/>
      <c r="AV1130" s="428"/>
      <c r="AW1130" s="449" t="str">
        <f>IF(C1130&gt;0,VLOOKUP(C1130,Foundation_Calc!$A$2:$C$13,3,1),
IF(J1130&gt;0,VLOOKUP(J1130,Foundation_Calc!$A$2:$C$13,3,1),""))</f>
        <v>Multi Soil</v>
      </c>
      <c r="AX1130" s="449" t="str">
        <f>IF(C1130&gt;0,VLOOKUP(C1130,Foundation_Calc!$E$35:$G$65,3,1),
IF(J1130&gt;0,VLOOKUP(J1130,Foundation_Calc!$E$35:$G$65,3,1),""))</f>
        <v>K</v>
      </c>
      <c r="AY1130" s="10">
        <f>IF(L1130="","",
IF(AX1130="PT",VLOOKUP(L1130,Foundation_Calc!$K$79:$R$113,VLOOKUP(AW1130,Foundation_Calc!$I$2:$J$8,2,FALSE),0),
IF(AX1130="K",VLOOKUP(L1130,Foundation_Calc!$K$117:$R$151,VLOOKUP(AW1130,Foundation_Calc!$I$2:$J$8,2,FALSE),0),"")))</f>
        <v>4.2</v>
      </c>
      <c r="AZ1130" s="10">
        <f>IF(K1130="","",
IF(AX1130="PT",VLOOKUP(K1130,Foundation_Calc!$K$79:$R$113,VLOOKUP(AW1130,Foundation_Calc!$I$2:$J$8,2,FALSE),0),
IF(AX1130="K",VLOOKUP(K1130,Foundation_Calc!$K$117:$R$151,VLOOKUP(AW1130,Foundation_Calc!$I$2:$J$8,2,FALSE),0),"")))</f>
        <v>3.9</v>
      </c>
      <c r="BA1130" s="495" t="str">
        <f t="shared" si="141"/>
        <v>ü</v>
      </c>
      <c r="BB1130" s="495" t="str">
        <f t="shared" si="142"/>
        <v>ü</v>
      </c>
      <c r="BC1130" s="495" t="str">
        <f t="shared" si="143"/>
        <v/>
      </c>
      <c r="BD1130" s="513" t="str">
        <f>Pole_Calc!A$14</f>
        <v>App.7-V11I-P9.5.1.6</v>
      </c>
      <c r="BE1130" s="429" t="s">
        <v>118</v>
      </c>
      <c r="BF1130" s="289"/>
      <c r="BG1130" s="289"/>
      <c r="BH1130" s="290"/>
      <c r="BI1130" s="289"/>
    </row>
    <row r="1131" spans="1:61" ht="15.75" customHeight="1">
      <c r="A1131" s="514" t="s">
        <v>644</v>
      </c>
      <c r="B1131" s="450"/>
      <c r="C1131" s="3"/>
      <c r="D1131" s="83"/>
      <c r="E1131" s="4"/>
      <c r="F1131" s="4"/>
      <c r="G1131" s="6">
        <v>65</v>
      </c>
      <c r="H1131" s="449"/>
      <c r="I1131" s="4">
        <v>300</v>
      </c>
      <c r="J1131" s="3"/>
      <c r="K1131" s="449"/>
      <c r="L1131" s="449"/>
      <c r="M1131" s="449" t="str">
        <f>IF(L1131="","",
IF(AX1131="PT",VLOOKUP(L1131,Foundation_Calc!$V$79:$X$113,VLOOKUP(AX1131,Foundation_Calc!$I$10:$J$13,2,FALSE),0),
IF(AX1131="K",VLOOKUP(L1131,Foundation_Calc!$V$117:$X$151,VLOOKUP(AX1131,Foundation_Calc!$I$10:$J$13,2,FALSE),0),"")))</f>
        <v/>
      </c>
      <c r="N1131" s="449"/>
      <c r="O1131" s="449"/>
      <c r="P1131" s="449"/>
      <c r="Q1131" s="4"/>
      <c r="R1131" s="6"/>
      <c r="S1131" s="6"/>
      <c r="T1131" s="4"/>
      <c r="U1131" s="4"/>
      <c r="V1131" s="4"/>
      <c r="W1131" s="9"/>
      <c r="X1131" s="9"/>
      <c r="Y1131" s="9"/>
      <c r="Z1131" s="9"/>
      <c r="AA1131" s="9"/>
      <c r="AB1131" s="9"/>
      <c r="AC1131" s="449" t="str">
        <f t="shared" si="140"/>
        <v/>
      </c>
      <c r="AD1131" s="449"/>
      <c r="AE1131" s="449"/>
      <c r="AF1131" s="4"/>
      <c r="AG1131" s="83"/>
      <c r="AH1131" s="4"/>
      <c r="AI1131" s="4"/>
      <c r="AJ1131" s="449"/>
      <c r="AK1131" s="449"/>
      <c r="AL1131" s="449"/>
      <c r="AM1131" s="449"/>
      <c r="AN1131" s="10"/>
      <c r="AO1131" s="9"/>
      <c r="AP1131" s="9"/>
      <c r="AQ1131" s="9">
        <f>+FL_2($U$1132,$T$1130,$G$1131,1200,9.28, 1*$F$1132)</f>
        <v>-0.53685983507692303</v>
      </c>
      <c r="AR1131" s="9"/>
      <c r="AS1131" s="9"/>
      <c r="AT1131" s="9"/>
      <c r="AU1131" s="428"/>
      <c r="AV1131" s="428"/>
      <c r="AW1131" s="449" t="str">
        <f>IF(C1131&gt;0,VLOOKUP(C1131,Foundation_Calc!$A$2:$C$13,3,1),
IF(J1131&gt;0,VLOOKUP(J1131,Foundation_Calc!$A$2:$C$13,3,1),""))</f>
        <v/>
      </c>
      <c r="AX1131" s="449" t="str">
        <f>IF(C1131&gt;0,VLOOKUP(C1131,Foundation_Calc!$E$35:$G$65,3,1),
IF(J1131&gt;0,VLOOKUP(J1131,Foundation_Calc!$E$35:$G$65,3,1),""))</f>
        <v/>
      </c>
      <c r="AY1131" s="10" t="str">
        <f>IF(L1131="","",
IF(AX1131="PT",VLOOKUP(L1131,Foundation_Calc!$K$79:$R$113,VLOOKUP(AW1131,Foundation_Calc!$I$2:$J$8,2,FALSE),0),
IF(AX1131="K",VLOOKUP(L1131,Foundation_Calc!$K$117:$R$151,VLOOKUP(AW1131,Foundation_Calc!$I$2:$J$8,2,FALSE),0),"")))</f>
        <v/>
      </c>
      <c r="AZ1131" s="10" t="str">
        <f>IF(K1131="","",
IF(AX1131="PT",VLOOKUP(K1131,Foundation_Calc!$K$79:$R$113,VLOOKUP(AW1131,Foundation_Calc!$I$2:$J$8,2,FALSE),0),
IF(AX1131="K",VLOOKUP(K1131,Foundation_Calc!$K$117:$R$151,VLOOKUP(AW1131,Foundation_Calc!$I$2:$J$8,2,FALSE),0),"")))</f>
        <v/>
      </c>
      <c r="BA1131" s="495" t="str">
        <f t="shared" si="141"/>
        <v/>
      </c>
      <c r="BB1131" s="495" t="str">
        <f t="shared" si="142"/>
        <v/>
      </c>
      <c r="BC1131" s="495" t="str">
        <f t="shared" si="143"/>
        <v/>
      </c>
      <c r="BD1131" s="513" t="str">
        <f>IF(AND(L1131="",H1131=""),"",
IF(H1131="",Pole_Calc!A$9,
IF(H1131="MP",Pole_Calc!A$10,
IF(H1131="AnMP",Pole_Calc!A$11,
IF(H1131="A",Pole_Calc!A$12,
IF(H1131="S/A",Pole_Calc!A$13,
IF(H1131="A/S",Pole_Calc!A$14,"Poner a mano")))))))</f>
        <v/>
      </c>
      <c r="BE1131" s="429" t="s">
        <v>118</v>
      </c>
      <c r="BF1131" s="290"/>
      <c r="BG1131" s="290"/>
      <c r="BH1131" s="290"/>
      <c r="BI1131" s="290"/>
    </row>
    <row r="1132" spans="1:61" ht="15.75" customHeight="1">
      <c r="A1132" s="515"/>
      <c r="B1132" s="450" t="s">
        <v>1526</v>
      </c>
      <c r="C1132" s="3">
        <f>+$C$1130+$G$1131</f>
        <v>57931.820000000007</v>
      </c>
      <c r="D1132" s="83"/>
      <c r="E1132" s="4"/>
      <c r="F1132" s="4">
        <v>0</v>
      </c>
      <c r="G1132" s="6"/>
      <c r="H1132" s="449" t="s">
        <v>131</v>
      </c>
      <c r="I1132" s="4"/>
      <c r="J1132" s="3"/>
      <c r="K1132" s="449"/>
      <c r="L1132" s="449" t="s">
        <v>148</v>
      </c>
      <c r="M1132" s="449" t="str">
        <f>IF(L1132="","",
IF(AX1132="PT",VLOOKUP(L1132,Foundation_Calc!$V$79:$X$113,VLOOKUP(AX1132,Foundation_Calc!$I$10:$J$13,2,FALSE),0),
IF(AX1132="K",VLOOKUP(L1132,Foundation_Calc!$V$117:$X$151,VLOOKUP(AX1132,Foundation_Calc!$I$10:$J$13,2,FALSE),0),"")))</f>
        <v>C4R</v>
      </c>
      <c r="N1132" s="553" t="s">
        <v>133</v>
      </c>
      <c r="O1132" s="449" t="s">
        <v>124</v>
      </c>
      <c r="P1132" s="449"/>
      <c r="Q1132" s="4"/>
      <c r="R1132" s="6"/>
      <c r="S1132" s="6"/>
      <c r="T1132" s="4">
        <v>-55</v>
      </c>
      <c r="U1132" s="4">
        <v>-20</v>
      </c>
      <c r="V1132" s="4"/>
      <c r="W1132" s="9">
        <v>2</v>
      </c>
      <c r="X1132" s="9">
        <v>1.4</v>
      </c>
      <c r="Y1132" s="9"/>
      <c r="Z1132" s="9">
        <v>0.45</v>
      </c>
      <c r="AA1132" s="9"/>
      <c r="AB1132" s="9"/>
      <c r="AC1132" s="449"/>
      <c r="AD1132" s="449"/>
      <c r="AE1132" s="449"/>
      <c r="AF1132" s="4"/>
      <c r="AG1132" s="83"/>
      <c r="AH1132" s="4"/>
      <c r="AI1132" s="4"/>
      <c r="AJ1132" s="449"/>
      <c r="AK1132" s="449"/>
      <c r="AL1132" s="449"/>
      <c r="AM1132" s="449" t="s">
        <v>126</v>
      </c>
      <c r="AN1132" s="10">
        <v>5.5</v>
      </c>
      <c r="AO1132" s="9"/>
      <c r="AP1132" s="9"/>
      <c r="AQ1132" s="9"/>
      <c r="AR1132" s="9"/>
      <c r="AS1132" s="9"/>
      <c r="AT1132" s="9">
        <f>+ab($U$1132,$T$1130,$U$1136,$G$1131,$G$1133, 1*$F$1132,1200)</f>
        <v>-32.455072886620876</v>
      </c>
      <c r="AU1132" s="428"/>
      <c r="AV1132" s="428"/>
      <c r="AW1132" s="449" t="str">
        <f>IF(C1132&gt;0,VLOOKUP(C1132,Foundation_Calc!$A$2:$C$13,3,1),
IF(J1132&gt;0,VLOOKUP(J1132,Foundation_Calc!$A$2:$C$13,3,1),""))</f>
        <v>Multi Soil</v>
      </c>
      <c r="AX1132" s="449" t="str">
        <f>IF(C1132&gt;0,VLOOKUP(C1132,Foundation_Calc!$E$35:$G$65,3,1),
IF(J1132&gt;0,VLOOKUP(J1132,Foundation_Calc!$E$35:$G$65,3,1),""))</f>
        <v>PT</v>
      </c>
      <c r="AY1132" s="10">
        <f>IF(L1132="","",
IF(AX1132="PT",VLOOKUP(L1132,Foundation_Calc!$K$79:$R$113,VLOOKUP(AW1132,Foundation_Calc!$I$2:$J$8,2,FALSE),0),
IF(AX1132="K",VLOOKUP(L1132,Foundation_Calc!$K$117:$R$151,VLOOKUP(AW1132,Foundation_Calc!$I$2:$J$8,2,FALSE),0),"")))</f>
        <v>3.7</v>
      </c>
      <c r="AZ1132" s="10" t="str">
        <f>IF(K1132="","",
IF(AX1132="PT",VLOOKUP(K1132,Foundation_Calc!$K$79:$R$113,VLOOKUP(AW1132,Foundation_Calc!$I$2:$J$8,2,FALSE),0),
IF(AX1132="K",VLOOKUP(K1132,Foundation_Calc!$K$117:$R$151,VLOOKUP(AW1132,Foundation_Calc!$I$2:$J$8,2,FALSE),0),"")))</f>
        <v/>
      </c>
      <c r="BA1132" s="495" t="str">
        <f t="shared" ref="BA1132:BA1133" si="144">IF(AY1132="","",IF(AY1132&gt;0,"ü",""))</f>
        <v>ü</v>
      </c>
      <c r="BB1132" s="495" t="str">
        <f t="shared" ref="BB1132:BB1133" si="145">IF(AZ1132="","",IF(AZ1132&gt;0,"ü",""))</f>
        <v/>
      </c>
      <c r="BC1132" s="495" t="str">
        <f t="shared" ref="BC1132:BC1133" si="146">IF(M1132="","",IF(M1132="U.S.","ü",IF(M1132="U.S. N.D.","ü","")))</f>
        <v/>
      </c>
      <c r="BD1132" s="513" t="str">
        <f>IF(AND(L1132="",H1132=""),"",
IF(H1132="",Pole_Calc!A$9,
IF(H1132="MP",Pole_Calc!A$10,
IF(H1132="AnMP",Pole_Calc!A$11,
IF(H1132="A",Pole_Calc!A$12,
IF(H1132="S/A",Pole_Calc!A$13,
IF(H1132="A/S",Pole_Calc!A$14,"Poner a mano")))))))</f>
        <v>App.7-V11I-P9.5.1.5</v>
      </c>
      <c r="BE1132" s="429" t="s">
        <v>118</v>
      </c>
      <c r="BF1132" s="289"/>
      <c r="BG1132" s="289"/>
      <c r="BH1132" s="290"/>
      <c r="BI1132" s="289"/>
    </row>
    <row r="1133" spans="1:61" ht="15.75" customHeight="1">
      <c r="A1133" s="514"/>
      <c r="B1133" s="450"/>
      <c r="C1133" s="3"/>
      <c r="D1133" s="83"/>
      <c r="E1133" s="4"/>
      <c r="F1133" s="4"/>
      <c r="G1133" s="6">
        <v>16.899999999999999</v>
      </c>
      <c r="H1133" s="449"/>
      <c r="I1133" s="449"/>
      <c r="J1133" s="3"/>
      <c r="K1133" s="449"/>
      <c r="L1133" s="449"/>
      <c r="M1133" s="449" t="str">
        <f>IF(L1133="","",
IF(AX1133="PT",VLOOKUP(L1133,Foundation_Calc!$V$79:$X$113,VLOOKUP(AX1133,Foundation_Calc!$I$10:$J$13,2,FALSE),0),
IF(AX1133="K",VLOOKUP(L1133,Foundation_Calc!$V$117:$X$151,VLOOKUP(AX1133,Foundation_Calc!$I$10:$J$13,2,FALSE),0),"")))</f>
        <v/>
      </c>
      <c r="N1133" s="449"/>
      <c r="O1133" s="449"/>
      <c r="P1133" s="449"/>
      <c r="Q1133" s="4"/>
      <c r="R1133" s="6"/>
      <c r="S1133" s="6"/>
      <c r="T1133" s="4"/>
      <c r="U1133" s="4"/>
      <c r="V1133" s="4"/>
      <c r="W1133" s="9"/>
      <c r="X1133" s="9"/>
      <c r="Y1133" s="9"/>
      <c r="Z1133" s="9"/>
      <c r="AA1133" s="9"/>
      <c r="AB1133" s="9"/>
      <c r="AC1133" s="449" t="str">
        <f t="shared" si="140"/>
        <v/>
      </c>
      <c r="AD1133" s="449"/>
      <c r="AE1133" s="449"/>
      <c r="AF1133" s="4"/>
      <c r="AG1133" s="83"/>
      <c r="AH1133" s="4"/>
      <c r="AI1133" s="4"/>
      <c r="AJ1133" s="449"/>
      <c r="AK1133" s="449"/>
      <c r="AL1133" s="449"/>
      <c r="AM1133" s="449"/>
      <c r="AN1133" s="10"/>
      <c r="AO1133" s="9"/>
      <c r="AP1133" s="9"/>
      <c r="AQ1133" s="9">
        <f>+FL_2($U$1136,$U$1132,$G$1133,1200,9.28, 1*$F$1136)</f>
        <v>-0.20826835294674559</v>
      </c>
      <c r="AR1133" s="9"/>
      <c r="AS1133" s="9"/>
      <c r="AT1133" s="9"/>
      <c r="AU1133" s="428"/>
      <c r="AV1133" s="428"/>
      <c r="AW1133" s="449" t="str">
        <f>IF(C1133&gt;0,VLOOKUP(C1133,Foundation_Calc!$A$2:$C$13,3,1),
IF(J1133&gt;0,VLOOKUP(J1133,Foundation_Calc!$A$2:$C$13,3,1),""))</f>
        <v/>
      </c>
      <c r="AX1133" s="449" t="str">
        <f>IF(C1133&gt;0,VLOOKUP(C1133,Foundation_Calc!$E$35:$G$65,3,1),
IF(J1133&gt;0,VLOOKUP(J1133,Foundation_Calc!$E$35:$G$65,3,1),""))</f>
        <v/>
      </c>
      <c r="AY1133" s="10" t="str">
        <f>IF(L1133="","",
IF(AX1133="PT",VLOOKUP(L1133,Foundation_Calc!$K$79:$R$113,VLOOKUP(AW1133,Foundation_Calc!$I$2:$J$8,2,FALSE),0),
IF(AX1133="K",VLOOKUP(L1133,Foundation_Calc!$K$117:$R$151,VLOOKUP(AW1133,Foundation_Calc!$I$2:$J$8,2,FALSE),0),"")))</f>
        <v/>
      </c>
      <c r="AZ1133" s="10" t="str">
        <f>IF(K1133="","",
IF(AX1133="PT",VLOOKUP(K1133,Foundation_Calc!$K$79:$R$113,VLOOKUP(AW1133,Foundation_Calc!$I$2:$J$8,2,FALSE),0),
IF(AX1133="K",VLOOKUP(K1133,Foundation_Calc!$K$117:$R$151,VLOOKUP(AW1133,Foundation_Calc!$I$2:$J$8,2,FALSE),0),"")))</f>
        <v/>
      </c>
      <c r="BA1133" s="495" t="str">
        <f t="shared" si="144"/>
        <v/>
      </c>
      <c r="BB1133" s="495" t="str">
        <f t="shared" si="145"/>
        <v/>
      </c>
      <c r="BC1133" s="495" t="str">
        <f t="shared" si="146"/>
        <v/>
      </c>
      <c r="BD1133" s="513" t="str">
        <f>IF(AND(L1133="",H1133=""),"",
IF(H1133="",Pole_Calc!A$9,
IF(H1133="MP",Pole_Calc!A$10,
IF(H1133="AnMP",Pole_Calc!A$11,
IF(H1133="A",Pole_Calc!A$12,
IF(H1133="S/A",Pole_Calc!A$13,
IF(H1133="A/S",Pole_Calc!A$14,"Poner a mano")))))))</f>
        <v/>
      </c>
      <c r="BE1133" s="429" t="s">
        <v>118</v>
      </c>
      <c r="BF1133" s="290"/>
      <c r="BG1133" s="290"/>
      <c r="BH1133" s="290"/>
      <c r="BI1133" s="290"/>
    </row>
    <row r="1134" spans="1:61" ht="15.75" customHeight="1">
      <c r="A1134" s="514"/>
      <c r="B1134" s="450" t="s">
        <v>1527</v>
      </c>
      <c r="C1134" s="3">
        <f>C1132+G1133</f>
        <v>57948.720000000008</v>
      </c>
      <c r="D1134" s="83"/>
      <c r="E1134" s="4"/>
      <c r="F1134" s="4">
        <v>0</v>
      </c>
      <c r="G1134" s="6"/>
      <c r="H1134" s="449" t="s">
        <v>284</v>
      </c>
      <c r="I1134" s="449" t="s">
        <v>122</v>
      </c>
      <c r="J1134" s="3"/>
      <c r="K1134" s="449"/>
      <c r="L1134" s="449" t="s">
        <v>206</v>
      </c>
      <c r="M1134" s="449" t="str">
        <f>IF(L1134="","",
IF(AX1134="PT",VLOOKUP(L1134,Foundation_Calc!$V$79:$X$113,VLOOKUP(AX1134,Foundation_Calc!$I$10:$J$13,2,FALSE),0),
IF(AX1134="K",VLOOKUP(L1134,Foundation_Calc!$V$117:$X$151,VLOOKUP(AX1134,Foundation_Calc!$I$10:$J$13,2,FALSE),0),"")))</f>
        <v>2C4R</v>
      </c>
      <c r="N1134" s="449"/>
      <c r="O1134" s="449"/>
      <c r="P1134" s="449"/>
      <c r="Q1134" s="4"/>
      <c r="R1134" s="6"/>
      <c r="S1134" s="6"/>
      <c r="T1134" s="4"/>
      <c r="U1134" s="4"/>
      <c r="V1134" s="4"/>
      <c r="W1134" s="9"/>
      <c r="X1134" s="9"/>
      <c r="Y1134" s="9"/>
      <c r="Z1134" s="9"/>
      <c r="AA1134" s="9"/>
      <c r="AB1134" s="9"/>
      <c r="AC1134" s="449"/>
      <c r="AD1134" s="449"/>
      <c r="AE1134" s="449"/>
      <c r="AF1134" s="4"/>
      <c r="AG1134" s="83"/>
      <c r="AH1134" s="4"/>
      <c r="AI1134" s="4"/>
      <c r="AJ1134" s="449"/>
      <c r="AK1134" s="449"/>
      <c r="AL1134" s="449"/>
      <c r="AM1134" s="449"/>
      <c r="AN1134" s="10"/>
      <c r="AO1134" s="9"/>
      <c r="AP1134" s="9"/>
      <c r="AQ1134" s="9"/>
      <c r="AR1134" s="9"/>
      <c r="AS1134" s="9"/>
      <c r="AT1134" s="9"/>
      <c r="AU1134" s="428"/>
      <c r="AV1134" s="428"/>
      <c r="AW1134" s="449" t="str">
        <f>IF(C1134&gt;0,VLOOKUP(C1134,Foundation_Calc!$A$2:$C$13,3,1),
IF(J1134&gt;0,VLOOKUP(J1134,Foundation_Calc!$A$2:$C$13,3,1),""))</f>
        <v>Multi Soil</v>
      </c>
      <c r="AX1134" s="449" t="str">
        <f>IF(C1134&gt;0,VLOOKUP(C1134,Foundation_Calc!$E$35:$G$65,3,1),
IF(J1134&gt;0,VLOOKUP(J1134,Foundation_Calc!$E$35:$G$65,3,1),""))</f>
        <v>PT</v>
      </c>
      <c r="AY1134" s="10">
        <f>IF(L1134="","",
IF(AX1134="PT",VLOOKUP(L1134,Foundation_Calc!$K$79:$R$113,VLOOKUP(AW1134,Foundation_Calc!$I$2:$J$8,2,FALSE),0),
IF(AX1134="K",VLOOKUP(L1134,Foundation_Calc!$K$117:$R$151,VLOOKUP(AW1134,Foundation_Calc!$I$2:$J$8,2,FALSE),0),"")))</f>
        <v>4</v>
      </c>
      <c r="AZ1134" s="10" t="str">
        <f>IF(K1134="","",
IF(AX1134="PT",VLOOKUP(K1134,Foundation_Calc!$K$79:$R$113,VLOOKUP(AW1134,Foundation_Calc!$I$2:$J$8,2,FALSE),0),
IF(AX1134="K",VLOOKUP(K1134,Foundation_Calc!$K$117:$R$151,VLOOKUP(AW1134,Foundation_Calc!$I$2:$J$8,2,FALSE),0),"")))</f>
        <v/>
      </c>
      <c r="BA1134" s="495" t="str">
        <f t="shared" si="141"/>
        <v>ü</v>
      </c>
      <c r="BB1134" s="495" t="str">
        <f t="shared" si="142"/>
        <v/>
      </c>
      <c r="BC1134" s="495" t="str">
        <f t="shared" si="143"/>
        <v/>
      </c>
      <c r="BD1134" s="513" t="str">
        <f>Pole_Calc!A$167</f>
        <v>App.7-V11I-P9.5.15.2</v>
      </c>
      <c r="BE1134" s="429" t="s">
        <v>118</v>
      </c>
      <c r="BF1134" s="290"/>
      <c r="BG1134" s="290"/>
      <c r="BH1134" s="290"/>
      <c r="BI1134" s="290"/>
    </row>
    <row r="1135" spans="1:61" ht="15.75" customHeight="1">
      <c r="A1135" s="514"/>
      <c r="B1135" s="450"/>
      <c r="C1135" s="3"/>
      <c r="D1135" s="83"/>
      <c r="E1135" s="4"/>
      <c r="F1135" s="4"/>
      <c r="G1135" s="6">
        <v>61.9</v>
      </c>
      <c r="H1135" s="449"/>
      <c r="I1135" s="449">
        <v>260</v>
      </c>
      <c r="J1135" s="3"/>
      <c r="K1135" s="449"/>
      <c r="L1135" s="449"/>
      <c r="M1135" s="449"/>
      <c r="N1135" s="449"/>
      <c r="O1135" s="449"/>
      <c r="P1135" s="449"/>
      <c r="Q1135" s="4"/>
      <c r="R1135" s="6"/>
      <c r="S1135" s="6"/>
      <c r="T1135" s="4"/>
      <c r="U1135" s="4"/>
      <c r="V1135" s="4"/>
      <c r="W1135" s="9"/>
      <c r="X1135" s="9"/>
      <c r="Y1135" s="9"/>
      <c r="Z1135" s="9"/>
      <c r="AA1135" s="9"/>
      <c r="AB1135" s="9"/>
      <c r="AC1135" s="449"/>
      <c r="AD1135" s="449"/>
      <c r="AE1135" s="449"/>
      <c r="AF1135" s="4"/>
      <c r="AG1135" s="83"/>
      <c r="AH1135" s="4"/>
      <c r="AI1135" s="4"/>
      <c r="AJ1135" s="449"/>
      <c r="AK1135" s="449"/>
      <c r="AL1135" s="449"/>
      <c r="AM1135" s="449"/>
      <c r="AN1135" s="10"/>
      <c r="AO1135" s="9"/>
      <c r="AP1135" s="9"/>
      <c r="AQ1135" s="9"/>
      <c r="AR1135" s="9"/>
      <c r="AS1135" s="9"/>
      <c r="AT1135" s="9"/>
      <c r="AU1135" s="428"/>
      <c r="AV1135" s="428"/>
      <c r="AW1135" s="449"/>
      <c r="AX1135" s="449"/>
      <c r="AY1135" s="10"/>
      <c r="AZ1135" s="10"/>
      <c r="BA1135" s="495"/>
      <c r="BB1135" s="495"/>
      <c r="BC1135" s="495"/>
      <c r="BD1135" s="513"/>
      <c r="BE1135" s="429" t="s">
        <v>118</v>
      </c>
      <c r="BF1135" s="290"/>
      <c r="BG1135" s="290"/>
      <c r="BH1135" s="290"/>
      <c r="BI1135" s="290"/>
    </row>
    <row r="1136" spans="1:61" ht="15.75" customHeight="1">
      <c r="A1136" s="514"/>
      <c r="B1136" s="450" t="s">
        <v>1528</v>
      </c>
      <c r="C1136" s="3">
        <f>+$C$1132+$G$1135</f>
        <v>57993.720000000008</v>
      </c>
      <c r="D1136" s="83"/>
      <c r="E1136" s="4"/>
      <c r="F1136" s="4">
        <v>0</v>
      </c>
      <c r="G1136" s="6"/>
      <c r="H1136" s="449" t="s">
        <v>1529</v>
      </c>
      <c r="I1136" s="4"/>
      <c r="J1136" s="3"/>
      <c r="K1136" s="449"/>
      <c r="L1136" s="449" t="s">
        <v>201</v>
      </c>
      <c r="M1136" s="449" t="str">
        <f>IF(L1136="","",
IF(AX1136="PT",VLOOKUP(L1136,Foundation_Calc!$V$79:$X$113,VLOOKUP(AX1136,Foundation_Calc!$I$10:$J$13,2,FALSE),0),
IF(AX1136="K",VLOOKUP(L1136,Foundation_Calc!$V$117:$X$151,VLOOKUP(AX1136,Foundation_Calc!$I$10:$J$13,2,FALSE),0),"")))</f>
        <v/>
      </c>
      <c r="N1136" s="553" t="s">
        <v>840</v>
      </c>
      <c r="O1136" s="553" t="s">
        <v>343</v>
      </c>
      <c r="P1136" s="449" t="s">
        <v>453</v>
      </c>
      <c r="Q1136" s="4"/>
      <c r="R1136" s="6"/>
      <c r="S1136" s="6"/>
      <c r="T1136" s="4">
        <v>55</v>
      </c>
      <c r="U1136" s="4">
        <v>-15</v>
      </c>
      <c r="V1136" s="4">
        <v>35</v>
      </c>
      <c r="W1136" s="9">
        <v>1.4</v>
      </c>
      <c r="X1136" s="9">
        <v>2</v>
      </c>
      <c r="Y1136" s="9">
        <v>1.8</v>
      </c>
      <c r="Z1136" s="9">
        <v>0.45</v>
      </c>
      <c r="AA1136" s="9"/>
      <c r="AB1136" s="9"/>
      <c r="AC1136" s="449"/>
      <c r="AD1136" s="449"/>
      <c r="AE1136" s="449"/>
      <c r="AF1136" s="4"/>
      <c r="AG1136" s="83"/>
      <c r="AH1136" s="4"/>
      <c r="AI1136" s="4"/>
      <c r="AJ1136" s="449"/>
      <c r="AK1136" s="449" t="s">
        <v>841</v>
      </c>
      <c r="AL1136" s="449"/>
      <c r="AM1136" s="449"/>
      <c r="AN1136" s="10">
        <v>5.5</v>
      </c>
      <c r="AO1136" s="9"/>
      <c r="AP1136" s="9"/>
      <c r="AQ1136" s="9"/>
      <c r="AR1136" s="9"/>
      <c r="AS1136" s="9"/>
      <c r="AT1136" s="9">
        <f>+ab($V$1136,$U$1132,$T$1138,$G$1133,$G$1137, 1*$F$1136,1200)</f>
        <v>4.5237355545594014</v>
      </c>
      <c r="AU1136" s="428"/>
      <c r="AV1136" s="428"/>
      <c r="AW1136" s="449" t="s">
        <v>201</v>
      </c>
      <c r="AX1136" s="449" t="s">
        <v>201</v>
      </c>
      <c r="AY1136" s="10" t="str">
        <f>IF(L1136="","",
IF(AX1136="PT",VLOOKUP(L1136,Foundation_Calc!$K$79:$R$113,VLOOKUP(AW1136,Foundation_Calc!$I$2:$J$8,2,FALSE),0),
IF(AX1136="K",VLOOKUP(L1136,Foundation_Calc!$K$117:$R$151,VLOOKUP(AW1136,Foundation_Calc!$I$2:$J$8,2,FALSE),0),"")))</f>
        <v/>
      </c>
      <c r="AZ1136" s="10" t="str">
        <f>IF(K1136="","",
IF(AX1136="PT",VLOOKUP(K1136,Foundation_Calc!$K$79:$R$113,VLOOKUP(AW1136,Foundation_Calc!$I$2:$J$8,2,FALSE),0),
IF(AX1136="K",VLOOKUP(K1136,Foundation_Calc!$K$117:$R$151,VLOOKUP(AW1136,Foundation_Calc!$I$2:$J$8,2,FALSE),0),"")))</f>
        <v/>
      </c>
      <c r="BA1136" s="495" t="str">
        <f t="shared" si="141"/>
        <v/>
      </c>
      <c r="BB1136" s="495" t="str">
        <f t="shared" si="142"/>
        <v/>
      </c>
      <c r="BC1136" s="495" t="str">
        <f t="shared" si="143"/>
        <v/>
      </c>
      <c r="BD1136" s="513"/>
      <c r="BE1136" s="429" t="s">
        <v>118</v>
      </c>
      <c r="BF1136" s="289"/>
      <c r="BG1136" s="289"/>
      <c r="BH1136" s="290"/>
      <c r="BI1136" s="289"/>
    </row>
    <row r="1137" spans="1:61" ht="15.75" customHeight="1">
      <c r="A1137" s="571"/>
      <c r="B1137" s="450"/>
      <c r="C1137" s="3"/>
      <c r="D1137" s="83"/>
      <c r="E1137" s="4"/>
      <c r="F1137" s="4"/>
      <c r="G1137" s="6">
        <v>56.2</v>
      </c>
      <c r="H1137" s="449"/>
      <c r="I1137" s="4"/>
      <c r="J1137" s="3"/>
      <c r="K1137" s="449"/>
      <c r="L1137" s="449"/>
      <c r="M1137" s="449" t="str">
        <f>IF(L1137="","",
IF(AX1137="PT",VLOOKUP(L1137,Foundation_Calc!$V$79:$X$113,VLOOKUP(AX1137,Foundation_Calc!$I$10:$J$13,2,FALSE),0),
IF(AX1137="K",VLOOKUP(L1137,Foundation_Calc!$V$117:$X$151,VLOOKUP(AX1137,Foundation_Calc!$I$10:$J$13,2,FALSE),0),"")))</f>
        <v/>
      </c>
      <c r="N1137" s="449"/>
      <c r="O1137" s="449"/>
      <c r="P1137" s="449"/>
      <c r="Q1137" s="4"/>
      <c r="R1137" s="6"/>
      <c r="S1137" s="6"/>
      <c r="T1137" s="4"/>
      <c r="U1137" s="4"/>
      <c r="V1137" s="4"/>
      <c r="W1137" s="9"/>
      <c r="X1137" s="9"/>
      <c r="Y1137" s="9"/>
      <c r="Z1137" s="9"/>
      <c r="AA1137" s="9"/>
      <c r="AB1137" s="9"/>
      <c r="AC1137" s="449" t="str">
        <f t="shared" si="140"/>
        <v/>
      </c>
      <c r="AD1137" s="449"/>
      <c r="AE1137" s="449"/>
      <c r="AF1137" s="4"/>
      <c r="AG1137" s="83"/>
      <c r="AH1137" s="4"/>
      <c r="AI1137" s="4"/>
      <c r="AJ1137" s="449"/>
      <c r="AK1137" s="449"/>
      <c r="AL1137" s="449"/>
      <c r="AM1137" s="449"/>
      <c r="AN1137" s="10"/>
      <c r="AO1137" s="9"/>
      <c r="AP1137" s="9"/>
      <c r="AQ1137" s="9">
        <f>+FL_2($T$1138,$V$1136,$G$1137,1200,9.28, 1*$F$1138)</f>
        <v>-0.29223943238434164</v>
      </c>
      <c r="AR1137" s="9"/>
      <c r="AS1137" s="9"/>
      <c r="AT1137" s="9"/>
      <c r="AU1137" s="428"/>
      <c r="AV1137" s="428"/>
      <c r="AW1137" s="449" t="str">
        <f>IF(C1137&gt;0,VLOOKUP(C1137,Foundation_Calc!$A$2:$C$13,3,1),
IF(J1137&gt;0,VLOOKUP(J1137,Foundation_Calc!$A$2:$C$13,3,1),""))</f>
        <v/>
      </c>
      <c r="AX1137" s="449"/>
      <c r="AY1137" s="10" t="str">
        <f>IF(L1137="","",
IF(AX1137="PT",VLOOKUP(L1137,Foundation_Calc!$K$79:$R$113,VLOOKUP(AW1137,Foundation_Calc!$I$2:$J$8,2,FALSE),0),
IF(AX1137="K",VLOOKUP(L1137,Foundation_Calc!$K$117:$R$151,VLOOKUP(AW1137,Foundation_Calc!$I$2:$J$8,2,FALSE),0),"")))</f>
        <v/>
      </c>
      <c r="AZ1137" s="10" t="str">
        <f>IF(K1137="","",
IF(AX1137="PT",VLOOKUP(K1137,Foundation_Calc!$K$79:$R$113,VLOOKUP(AW1137,Foundation_Calc!$I$2:$J$8,2,FALSE),0),
IF(AX1137="K",VLOOKUP(K1137,Foundation_Calc!$K$117:$R$151,VLOOKUP(AW1137,Foundation_Calc!$I$2:$J$8,2,FALSE),0),"")))</f>
        <v/>
      </c>
      <c r="BA1137" s="495" t="str">
        <f t="shared" si="141"/>
        <v/>
      </c>
      <c r="BB1137" s="495" t="str">
        <f t="shared" si="142"/>
        <v/>
      </c>
      <c r="BC1137" s="495" t="str">
        <f t="shared" si="143"/>
        <v/>
      </c>
      <c r="BD1137" s="513" t="str">
        <f>IF(AND(L1137="",H1137=""),"",
IF(H1137="",Pole_Calc!A$9,
IF(H1137="MP",Pole_Calc!A$10,
IF(H1137="AnMP",Pole_Calc!A$11,
IF(H1137="A",Pole_Calc!A$12,
IF(H1137="S/A",Pole_Calc!A$13,
IF(H1137="A/S",Pole_Calc!A$14,"Poner a mano")))))))</f>
        <v/>
      </c>
      <c r="BE1137" s="429" t="s">
        <v>118</v>
      </c>
      <c r="BF1137" s="290"/>
      <c r="BG1137" s="290"/>
      <c r="BH1137" s="290"/>
      <c r="BI1137" s="290"/>
    </row>
    <row r="1138" spans="1:61" ht="15.75" customHeight="1">
      <c r="A1138" s="571"/>
      <c r="B1138" s="450" t="s">
        <v>1530</v>
      </c>
      <c r="C1138" s="3">
        <f>+$C$1136+$G$1137</f>
        <v>58049.920000000006</v>
      </c>
      <c r="D1138" s="83"/>
      <c r="E1138" s="4"/>
      <c r="F1138" s="4">
        <v>0</v>
      </c>
      <c r="G1138" s="6"/>
      <c r="H1138" s="449" t="s">
        <v>1531</v>
      </c>
      <c r="I1138" s="4"/>
      <c r="J1138" s="3"/>
      <c r="K1138" s="449"/>
      <c r="L1138" s="449" t="s">
        <v>201</v>
      </c>
      <c r="M1138" s="449" t="str">
        <f>IF(L1138="","",
IF(AX1138="PT",VLOOKUP(L1138,Foundation_Calc!$V$79:$X$113,VLOOKUP(AX1138,Foundation_Calc!$I$10:$J$13,2,FALSE),0),
IF(AX1138="K",VLOOKUP(L1138,Foundation_Calc!$V$117:$X$151,VLOOKUP(AX1138,Foundation_Calc!$I$10:$J$13,2,FALSE),0),"")))</f>
        <v/>
      </c>
      <c r="N1138" s="553" t="s">
        <v>453</v>
      </c>
      <c r="O1138" s="449" t="s">
        <v>343</v>
      </c>
      <c r="P1138" s="449"/>
      <c r="Q1138" s="4"/>
      <c r="R1138" s="6"/>
      <c r="S1138" s="6"/>
      <c r="T1138" s="4">
        <v>-20</v>
      </c>
      <c r="U1138" s="4">
        <v>-35</v>
      </c>
      <c r="V1138" s="4"/>
      <c r="W1138" s="9">
        <v>1.4</v>
      </c>
      <c r="X1138" s="9">
        <v>2</v>
      </c>
      <c r="Y1138" s="9"/>
      <c r="Z1138" s="9"/>
      <c r="AA1138" s="9"/>
      <c r="AB1138" s="9"/>
      <c r="AC1138" s="449" t="str">
        <f t="shared" si="140"/>
        <v>PHQ</v>
      </c>
      <c r="AD1138" s="449"/>
      <c r="AE1138" s="449"/>
      <c r="AF1138" s="4"/>
      <c r="AG1138" s="83"/>
      <c r="AH1138" s="4"/>
      <c r="AI1138" s="4"/>
      <c r="AJ1138" s="449"/>
      <c r="AK1138" s="449" t="s">
        <v>841</v>
      </c>
      <c r="AL1138" s="449"/>
      <c r="AM1138" s="449"/>
      <c r="AN1138" s="10">
        <v>5.5</v>
      </c>
      <c r="AO1138" s="9"/>
      <c r="AP1138" s="9"/>
      <c r="AQ1138" s="9"/>
      <c r="AR1138" s="9"/>
      <c r="AS1138" s="9"/>
      <c r="AT1138" s="9">
        <f>+ab($T$1138,$T$1136,-$T$1140,$G$1137,$G$1139, 1*$F$1138,1200)</f>
        <v>-7.351302446038039</v>
      </c>
      <c r="AU1138" s="428"/>
      <c r="AV1138" s="428"/>
      <c r="AW1138" s="449" t="s">
        <v>201</v>
      </c>
      <c r="AX1138" s="449" t="s">
        <v>201</v>
      </c>
      <c r="AY1138" s="10" t="str">
        <f>IF(L1138="","",
IF(AX1138="PT",VLOOKUP(L1138,Foundation_Calc!$K$79:$R$113,VLOOKUP(AW1138,Foundation_Calc!$I$2:$J$8,2,FALSE),0),
IF(AX1138="K",VLOOKUP(L1138,Foundation_Calc!$K$117:$R$151,VLOOKUP(AW1138,Foundation_Calc!$I$2:$J$8,2,FALSE),0),"")))</f>
        <v/>
      </c>
      <c r="AZ1138" s="10" t="str">
        <f>IF(K1138="","",
IF(AX1138="PT",VLOOKUP(K1138,Foundation_Calc!$K$79:$R$113,VLOOKUP(AW1138,Foundation_Calc!$I$2:$J$8,2,FALSE),0),
IF(AX1138="K",VLOOKUP(K1138,Foundation_Calc!$K$117:$R$151,VLOOKUP(AW1138,Foundation_Calc!$I$2:$J$8,2,FALSE),0),"")))</f>
        <v/>
      </c>
      <c r="BA1138" s="495" t="str">
        <f t="shared" si="141"/>
        <v/>
      </c>
      <c r="BB1138" s="495" t="str">
        <f t="shared" si="142"/>
        <v/>
      </c>
      <c r="BC1138" s="495" t="str">
        <f t="shared" si="143"/>
        <v/>
      </c>
      <c r="BD1138" s="513"/>
      <c r="BE1138" s="429" t="s">
        <v>118</v>
      </c>
      <c r="BF1138" s="289"/>
      <c r="BG1138" s="289"/>
      <c r="BH1138" s="290"/>
      <c r="BI1138" s="289"/>
    </row>
    <row r="1139" spans="1:61" ht="15.75" customHeight="1">
      <c r="A1139" s="571"/>
      <c r="B1139" s="450"/>
      <c r="C1139" s="3"/>
      <c r="D1139" s="83"/>
      <c r="E1139" s="4"/>
      <c r="F1139" s="4"/>
      <c r="G1139" s="6">
        <v>43.6</v>
      </c>
      <c r="H1139" s="449"/>
      <c r="I1139" s="4"/>
      <c r="J1139" s="3"/>
      <c r="K1139" s="449"/>
      <c r="L1139" s="449"/>
      <c r="M1139" s="449" t="str">
        <f>IF(L1139="","",
IF(AX1139="PT",VLOOKUP(L1139,Foundation_Calc!$V$79:$X$113,VLOOKUP(AX1139,Foundation_Calc!$I$10:$J$13,2,FALSE),0),
IF(AX1139="K",VLOOKUP(L1139,Foundation_Calc!$V$117:$X$151,VLOOKUP(AX1139,Foundation_Calc!$I$10:$J$13,2,FALSE),0),"")))</f>
        <v/>
      </c>
      <c r="N1139" s="449"/>
      <c r="O1139" s="449"/>
      <c r="P1139" s="449"/>
      <c r="Q1139" s="4"/>
      <c r="R1139" s="6"/>
      <c r="S1139" s="6"/>
      <c r="T1139" s="4"/>
      <c r="U1139" s="4"/>
      <c r="V1139" s="4"/>
      <c r="W1139" s="9"/>
      <c r="X1139" s="9"/>
      <c r="Y1139" s="9"/>
      <c r="Z1139" s="9"/>
      <c r="AA1139" s="9"/>
      <c r="AB1139" s="9"/>
      <c r="AC1139" s="449" t="str">
        <f t="shared" si="140"/>
        <v/>
      </c>
      <c r="AD1139" s="449"/>
      <c r="AE1139" s="449"/>
      <c r="AF1139" s="4"/>
      <c r="AG1139" s="83"/>
      <c r="AH1139" s="4"/>
      <c r="AI1139" s="4"/>
      <c r="AJ1139" s="449"/>
      <c r="AK1139" s="449"/>
      <c r="AL1139" s="449"/>
      <c r="AM1139" s="449"/>
      <c r="AN1139" s="10"/>
      <c r="AO1139" s="9"/>
      <c r="AP1139" s="9"/>
      <c r="AQ1139" s="9">
        <f>+FL_2(-$T$1140,$T$1138,$G$1139,1200,9.28, 1*$F$1140)</f>
        <v>-0.21164532084403667</v>
      </c>
      <c r="AR1139" s="9"/>
      <c r="AS1139" s="9"/>
      <c r="AT1139" s="9"/>
      <c r="AU1139" s="428"/>
      <c r="AV1139" s="428"/>
      <c r="AW1139" s="449" t="s">
        <v>1411</v>
      </c>
      <c r="AX1139" s="449"/>
      <c r="AY1139" s="10" t="str">
        <f>IF(L1139="","",
IF(AX1139="PT",VLOOKUP(L1139,Foundation_Calc!$K$79:$R$113,VLOOKUP(AW1139,Foundation_Calc!$I$2:$J$8,2,FALSE),0),
IF(AX1139="K",VLOOKUP(L1139,Foundation_Calc!$K$117:$R$151,VLOOKUP(AW1139,Foundation_Calc!$I$2:$J$8,2,FALSE),0),"")))</f>
        <v/>
      </c>
      <c r="AZ1139" s="10" t="str">
        <f>IF(K1139="","",
IF(AX1139="PT",VLOOKUP(K1139,Foundation_Calc!$K$79:$R$113,VLOOKUP(AW1139,Foundation_Calc!$I$2:$J$8,2,FALSE),0),
IF(AX1139="K",VLOOKUP(K1139,Foundation_Calc!$K$117:$R$151,VLOOKUP(AW1139,Foundation_Calc!$I$2:$J$8,2,FALSE),0),"")))</f>
        <v/>
      </c>
      <c r="BA1139" s="495" t="str">
        <f t="shared" si="141"/>
        <v/>
      </c>
      <c r="BB1139" s="495" t="str">
        <f t="shared" si="142"/>
        <v/>
      </c>
      <c r="BC1139" s="495" t="str">
        <f t="shared" si="143"/>
        <v/>
      </c>
      <c r="BD1139" s="513" t="str">
        <f>IF(AND(L1139="",H1139=""),"",
IF(H1139="",Pole_Calc!A$9,
IF(H1139="MP",Pole_Calc!A$10,
IF(H1139="AnMP",Pole_Calc!A$11,
IF(H1139="A",Pole_Calc!A$12,
IF(H1139="S/A",Pole_Calc!A$13,
IF(H1139="A/S",Pole_Calc!A$14,"Poner a mano")))))))</f>
        <v/>
      </c>
      <c r="BE1139" s="429" t="s">
        <v>118</v>
      </c>
      <c r="BF1139" s="290"/>
      <c r="BG1139" s="290"/>
      <c r="BH1139" s="290"/>
      <c r="BI1139" s="290"/>
    </row>
    <row r="1140" spans="1:61" ht="15.75" customHeight="1">
      <c r="A1140" s="514"/>
      <c r="B1140" s="450" t="s">
        <v>1532</v>
      </c>
      <c r="C1140" s="3">
        <f>+$C$1138+$G$1139</f>
        <v>58093.520000000004</v>
      </c>
      <c r="D1140" s="83"/>
      <c r="E1140" s="4"/>
      <c r="F1140" s="4">
        <v>0</v>
      </c>
      <c r="G1140" s="6"/>
      <c r="H1140" s="449"/>
      <c r="I1140" s="449"/>
      <c r="J1140" s="3"/>
      <c r="K1140" s="449"/>
      <c r="L1140" s="449" t="s">
        <v>201</v>
      </c>
      <c r="M1140" s="449" t="str">
        <f>IF(L1140="","",
IF(AX1140="PT",VLOOKUP(L1140,Foundation_Calc!$V$79:$X$113,VLOOKUP(AX1140,Foundation_Calc!$I$10:$J$13,2,FALSE),0),
IF(AX1140="K",VLOOKUP(L1140,Foundation_Calc!$V$117:$X$151,VLOOKUP(AX1140,Foundation_Calc!$I$10:$J$13,2,FALSE),0),"")))</f>
        <v/>
      </c>
      <c r="N1140" s="553" t="s">
        <v>343</v>
      </c>
      <c r="O1140" s="449"/>
      <c r="P1140" s="449"/>
      <c r="Q1140" s="4"/>
      <c r="R1140" s="6"/>
      <c r="S1140" s="6"/>
      <c r="T1140" s="4">
        <v>-35</v>
      </c>
      <c r="U1140" s="4"/>
      <c r="V1140" s="4"/>
      <c r="W1140" s="9">
        <v>1.4</v>
      </c>
      <c r="X1140" s="9"/>
      <c r="Y1140" s="9"/>
      <c r="Z1140" s="9"/>
      <c r="AA1140" s="9"/>
      <c r="AB1140" s="9"/>
      <c r="AC1140" s="449" t="str">
        <f t="shared" si="140"/>
        <v>PHQ</v>
      </c>
      <c r="AD1140" s="449"/>
      <c r="AE1140" s="449"/>
      <c r="AF1140" s="4"/>
      <c r="AG1140" s="83"/>
      <c r="AH1140" s="4"/>
      <c r="AI1140" s="4"/>
      <c r="AJ1140" s="449"/>
      <c r="AK1140" s="449" t="s">
        <v>451</v>
      </c>
      <c r="AL1140" s="449"/>
      <c r="AM1140" s="449"/>
      <c r="AN1140" s="10">
        <v>5.5</v>
      </c>
      <c r="AO1140" s="9"/>
      <c r="AP1140" s="9"/>
      <c r="AQ1140" s="9"/>
      <c r="AR1140" s="9"/>
      <c r="AS1140" s="9"/>
      <c r="AT1140" s="9">
        <f>+ab(-$T$1140,$T$1138,$T$1142,$G$1139,$G$1141, 1*$F$1140,1200)</f>
        <v>6.3551120637185763</v>
      </c>
      <c r="AU1140" s="428"/>
      <c r="AV1140" s="428"/>
      <c r="AW1140" s="449" t="s">
        <v>201</v>
      </c>
      <c r="AX1140" s="449" t="s">
        <v>201</v>
      </c>
      <c r="AY1140" s="10" t="str">
        <f>IF(L1140="","",
IF(AX1140="PT",VLOOKUP(L1140,Foundation_Calc!$K$79:$R$113,VLOOKUP(AW1140,Foundation_Calc!$I$2:$J$8,2,FALSE),0),
IF(AX1140="K",VLOOKUP(L1140,Foundation_Calc!$K$117:$R$151,VLOOKUP(AW1140,Foundation_Calc!$I$2:$J$8,2,FALSE),0),"")))</f>
        <v/>
      </c>
      <c r="AZ1140" s="10" t="str">
        <f>IF(K1140="","",
IF(AX1140="PT",VLOOKUP(K1140,Foundation_Calc!$K$79:$R$113,VLOOKUP(AW1140,Foundation_Calc!$I$2:$J$8,2,FALSE),0),
IF(AX1140="K",VLOOKUP(K1140,Foundation_Calc!$K$117:$R$151,VLOOKUP(AW1140,Foundation_Calc!$I$2:$J$8,2,FALSE),0),"")))</f>
        <v/>
      </c>
      <c r="BA1140" s="495" t="str">
        <f t="shared" si="141"/>
        <v/>
      </c>
      <c r="BB1140" s="495" t="str">
        <f t="shared" si="142"/>
        <v/>
      </c>
      <c r="BC1140" s="495" t="str">
        <f t="shared" si="143"/>
        <v/>
      </c>
      <c r="BD1140" s="513"/>
      <c r="BE1140" s="429" t="s">
        <v>118</v>
      </c>
      <c r="BF1140" s="289"/>
      <c r="BG1140" s="289"/>
      <c r="BH1140" s="290"/>
      <c r="BI1140" s="289"/>
    </row>
    <row r="1141" spans="1:61" ht="15.75" customHeight="1">
      <c r="A1141" s="571"/>
      <c r="B1141" s="450"/>
      <c r="C1141" s="3"/>
      <c r="D1141" s="83"/>
      <c r="E1141" s="4"/>
      <c r="F1141" s="4"/>
      <c r="G1141" s="6">
        <v>40.1</v>
      </c>
      <c r="H1141" s="449"/>
      <c r="I1141" s="4"/>
      <c r="J1141" s="3"/>
      <c r="K1141" s="449"/>
      <c r="L1141" s="449"/>
      <c r="M1141" s="449" t="str">
        <f>IF(L1141="","",
IF(AX1141="PT",VLOOKUP(L1141,Foundation_Calc!$V$79:$X$113,VLOOKUP(AX1141,Foundation_Calc!$I$10:$J$13,2,FALSE),0),
IF(AX1141="K",VLOOKUP(L1141,Foundation_Calc!$V$117:$X$151,VLOOKUP(AX1141,Foundation_Calc!$I$10:$J$13,2,FALSE),0),"")))</f>
        <v/>
      </c>
      <c r="N1141" s="449"/>
      <c r="O1141" s="449"/>
      <c r="P1141" s="449"/>
      <c r="Q1141" s="4"/>
      <c r="R1141" s="6"/>
      <c r="S1141" s="6"/>
      <c r="T1141" s="4"/>
      <c r="U1141" s="4"/>
      <c r="V1141" s="4"/>
      <c r="W1141" s="9"/>
      <c r="X1141" s="9"/>
      <c r="Y1141" s="9"/>
      <c r="Z1141" s="9"/>
      <c r="AA1141" s="9"/>
      <c r="AB1141" s="9"/>
      <c r="AC1141" s="449" t="str">
        <f t="shared" si="140"/>
        <v/>
      </c>
      <c r="AD1141" s="449"/>
      <c r="AE1141" s="449"/>
      <c r="AF1141" s="4"/>
      <c r="AG1141" s="83"/>
      <c r="AH1141" s="4"/>
      <c r="AI1141" s="4"/>
      <c r="AJ1141" s="449"/>
      <c r="AK1141" s="449"/>
      <c r="AL1141" s="449"/>
      <c r="AM1141" s="449"/>
      <c r="AN1141" s="10"/>
      <c r="AO1141" s="9"/>
      <c r="AP1141" s="9"/>
      <c r="AQ1141" s="9">
        <f>+FL_2($T$1142,-$T$1140,$G$1141,1200,9.28, 1*$F$1142)</f>
        <v>-0.35</v>
      </c>
      <c r="AR1141" s="9"/>
      <c r="AS1141" s="9"/>
      <c r="AT1141" s="9"/>
      <c r="AU1141" s="428"/>
      <c r="AV1141" s="428"/>
      <c r="AW1141" s="449" t="s">
        <v>1411</v>
      </c>
      <c r="AX1141" s="449"/>
      <c r="AY1141" s="10" t="str">
        <f>IF(L1141="","",
IF(AX1141="PT",VLOOKUP(L1141,Foundation_Calc!$K$79:$R$113,VLOOKUP(AW1141,Foundation_Calc!$I$2:$J$8,2,FALSE),0),
IF(AX1141="K",VLOOKUP(L1141,Foundation_Calc!$K$117:$R$151,VLOOKUP(AW1141,Foundation_Calc!$I$2:$J$8,2,FALSE),0),"")))</f>
        <v/>
      </c>
      <c r="AZ1141" s="10" t="str">
        <f>IF(K1141="","",
IF(AX1141="PT",VLOOKUP(K1141,Foundation_Calc!$K$79:$R$113,VLOOKUP(AW1141,Foundation_Calc!$I$2:$J$8,2,FALSE),0),
IF(AX1141="K",VLOOKUP(K1141,Foundation_Calc!$K$117:$R$151,VLOOKUP(AW1141,Foundation_Calc!$I$2:$J$8,2,FALSE),0),"")))</f>
        <v/>
      </c>
      <c r="BA1141" s="495" t="str">
        <f t="shared" si="141"/>
        <v/>
      </c>
      <c r="BB1141" s="495" t="str">
        <f t="shared" si="142"/>
        <v/>
      </c>
      <c r="BC1141" s="495" t="str">
        <f t="shared" si="143"/>
        <v/>
      </c>
      <c r="BD1141" s="513"/>
      <c r="BE1141" s="429" t="s">
        <v>118</v>
      </c>
      <c r="BF1141" s="290"/>
      <c r="BG1141" s="290"/>
      <c r="BH1141" s="290"/>
      <c r="BI1141" s="290"/>
    </row>
    <row r="1142" spans="1:61" ht="15.75" customHeight="1">
      <c r="A1142" s="514"/>
      <c r="B1142" s="450" t="s">
        <v>1533</v>
      </c>
      <c r="C1142" s="3">
        <f>+$C$1140+$G$1141</f>
        <v>58133.62</v>
      </c>
      <c r="D1142" s="83"/>
      <c r="E1142" s="4"/>
      <c r="F1142" s="4">
        <v>0</v>
      </c>
      <c r="G1142" s="6"/>
      <c r="H1142" s="449"/>
      <c r="I1142" s="4"/>
      <c r="J1142" s="3"/>
      <c r="K1142" s="449"/>
      <c r="L1142" s="449" t="s">
        <v>201</v>
      </c>
      <c r="M1142" s="449" t="str">
        <f>IF(L1142="","",
IF(AX1142="PT",VLOOKUP(L1142,Foundation_Calc!$V$79:$X$113,VLOOKUP(AX1142,Foundation_Calc!$I$10:$J$13,2,FALSE),0),
IF(AX1142="K",VLOOKUP(L1142,Foundation_Calc!$V$117:$X$151,VLOOKUP(AX1142,Foundation_Calc!$I$10:$J$13,2,FALSE),0),"")))</f>
        <v/>
      </c>
      <c r="N1142" s="449" t="s">
        <v>343</v>
      </c>
      <c r="O1142" s="449"/>
      <c r="P1142" s="449"/>
      <c r="Q1142" s="4"/>
      <c r="R1142" s="6"/>
      <c r="S1142" s="6"/>
      <c r="T1142" s="4">
        <v>-35</v>
      </c>
      <c r="U1142" s="4"/>
      <c r="V1142" s="4"/>
      <c r="W1142" s="9">
        <v>1.4</v>
      </c>
      <c r="X1142" s="9"/>
      <c r="Y1142" s="9"/>
      <c r="Z1142" s="9"/>
      <c r="AA1142" s="9"/>
      <c r="AB1142" s="9"/>
      <c r="AC1142" s="449" t="str">
        <f t="shared" si="140"/>
        <v>PHQ</v>
      </c>
      <c r="AD1142" s="449"/>
      <c r="AE1142" s="449"/>
      <c r="AF1142" s="4"/>
      <c r="AG1142" s="83"/>
      <c r="AH1142" s="4"/>
      <c r="AI1142" s="4"/>
      <c r="AJ1142" s="449"/>
      <c r="AK1142" s="449" t="s">
        <v>451</v>
      </c>
      <c r="AL1142" s="449"/>
      <c r="AM1142" s="449"/>
      <c r="AN1142" s="10">
        <v>5.5</v>
      </c>
      <c r="AO1142" s="9"/>
      <c r="AP1142" s="9"/>
      <c r="AQ1142" s="9"/>
      <c r="AR1142" s="9"/>
      <c r="AS1142" s="9"/>
      <c r="AT1142" s="9">
        <f>+ab($T$1142,-$T$1140,$T$1144,$G$1141,$G$1143, 1*$F$1142,1200)</f>
        <v>-5.4727934880128348</v>
      </c>
      <c r="AU1142" s="428"/>
      <c r="AV1142" s="428"/>
      <c r="AW1142" s="449" t="s">
        <v>201</v>
      </c>
      <c r="AX1142" s="449" t="s">
        <v>201</v>
      </c>
      <c r="AY1142" s="10" t="str">
        <f>IF(L1142="","",
IF(AX1142="PT",VLOOKUP(L1142,Foundation_Calc!$K$79:$R$113,VLOOKUP(AW1142,Foundation_Calc!$I$2:$J$8,2,FALSE),0),
IF(AX1142="K",VLOOKUP(L1142,Foundation_Calc!$K$117:$R$151,VLOOKUP(AW1142,Foundation_Calc!$I$2:$J$8,2,FALSE),0),"")))</f>
        <v/>
      </c>
      <c r="AZ1142" s="10" t="str">
        <f>IF(K1142="","",
IF(AX1142="PT",VLOOKUP(K1142,Foundation_Calc!$K$79:$R$113,VLOOKUP(AW1142,Foundation_Calc!$I$2:$J$8,2,FALSE),0),
IF(AX1142="K",VLOOKUP(K1142,Foundation_Calc!$K$117:$R$151,VLOOKUP(AW1142,Foundation_Calc!$I$2:$J$8,2,FALSE),0),"")))</f>
        <v/>
      </c>
      <c r="BA1142" s="495" t="str">
        <f t="shared" si="141"/>
        <v/>
      </c>
      <c r="BB1142" s="495" t="str">
        <f t="shared" si="142"/>
        <v/>
      </c>
      <c r="BC1142" s="495" t="str">
        <f t="shared" si="143"/>
        <v/>
      </c>
      <c r="BD1142" s="513"/>
      <c r="BE1142" s="429" t="s">
        <v>118</v>
      </c>
      <c r="BF1142" s="289"/>
      <c r="BG1142" s="289"/>
      <c r="BH1142" s="290"/>
      <c r="BI1142" s="289"/>
    </row>
    <row r="1143" spans="1:61" ht="15.75" customHeight="1">
      <c r="A1143" s="514"/>
      <c r="B1143" s="450"/>
      <c r="C1143" s="3"/>
      <c r="D1143" s="83"/>
      <c r="E1143" s="4"/>
      <c r="F1143" s="4"/>
      <c r="G1143" s="6">
        <v>40</v>
      </c>
      <c r="H1143" s="449"/>
      <c r="I1143" s="449"/>
      <c r="J1143" s="3"/>
      <c r="K1143" s="449"/>
      <c r="L1143" s="449"/>
      <c r="M1143" s="449" t="str">
        <f>IF(L1143="","",
IF(AX1143="PT",VLOOKUP(L1143,Foundation_Calc!$V$79:$X$113,VLOOKUP(AX1143,Foundation_Calc!$I$10:$J$13,2,FALSE),0),
IF(AX1143="K",VLOOKUP(L1143,Foundation_Calc!$V$117:$X$151,VLOOKUP(AX1143,Foundation_Calc!$I$10:$J$13,2,FALSE),0),"")))</f>
        <v/>
      </c>
      <c r="N1143" s="449"/>
      <c r="O1143" s="449"/>
      <c r="P1143" s="449"/>
      <c r="Q1143" s="4"/>
      <c r="R1143" s="6"/>
      <c r="S1143" s="6"/>
      <c r="T1143" s="4"/>
      <c r="U1143" s="4"/>
      <c r="V1143" s="4"/>
      <c r="W1143" s="9"/>
      <c r="X1143" s="9"/>
      <c r="Y1143" s="9"/>
      <c r="Z1143" s="9"/>
      <c r="AA1143" s="9"/>
      <c r="AB1143" s="9"/>
      <c r="AC1143" s="449" t="str">
        <f t="shared" si="140"/>
        <v/>
      </c>
      <c r="AD1143" s="449"/>
      <c r="AE1143" s="449"/>
      <c r="AF1143" s="4"/>
      <c r="AG1143" s="83"/>
      <c r="AH1143" s="4"/>
      <c r="AI1143" s="4"/>
      <c r="AJ1143" s="449"/>
      <c r="AK1143" s="449"/>
      <c r="AL1143" s="449"/>
      <c r="AM1143" s="449"/>
      <c r="AN1143" s="10"/>
      <c r="AO1143" s="9"/>
      <c r="AP1143" s="9"/>
      <c r="AQ1143" s="9">
        <f>+FL_2($T$1144,$T$1142,$G$1143,1200,9.28, 1*$F$1144)</f>
        <v>-0.35000000000000125</v>
      </c>
      <c r="AR1143" s="9"/>
      <c r="AS1143" s="9"/>
      <c r="AT1143" s="9"/>
      <c r="AU1143" s="428"/>
      <c r="AV1143" s="428"/>
      <c r="AW1143" s="449" t="s">
        <v>1411</v>
      </c>
      <c r="AX1143" s="449"/>
      <c r="AY1143" s="10" t="str">
        <f>IF(L1143="","",
IF(AX1143="PT",VLOOKUP(L1143,Foundation_Calc!$K$79:$R$113,VLOOKUP(AW1143,Foundation_Calc!$I$2:$J$8,2,FALSE),0),
IF(AX1143="K",VLOOKUP(L1143,Foundation_Calc!$K$117:$R$151,VLOOKUP(AW1143,Foundation_Calc!$I$2:$J$8,2,FALSE),0),"")))</f>
        <v/>
      </c>
      <c r="AZ1143" s="10" t="str">
        <f>IF(K1143="","",
IF(AX1143="PT",VLOOKUP(K1143,Foundation_Calc!$K$79:$R$113,VLOOKUP(AW1143,Foundation_Calc!$I$2:$J$8,2,FALSE),0),
IF(AX1143="K",VLOOKUP(K1143,Foundation_Calc!$K$117:$R$151,VLOOKUP(AW1143,Foundation_Calc!$I$2:$J$8,2,FALSE),0),"")))</f>
        <v/>
      </c>
      <c r="BA1143" s="495" t="str">
        <f t="shared" si="141"/>
        <v/>
      </c>
      <c r="BB1143" s="495" t="str">
        <f t="shared" si="142"/>
        <v/>
      </c>
      <c r="BC1143" s="495" t="str">
        <f t="shared" si="143"/>
        <v/>
      </c>
      <c r="BD1143" s="513"/>
      <c r="BE1143" s="429" t="s">
        <v>118</v>
      </c>
      <c r="BF1143" s="290"/>
      <c r="BG1143" s="290"/>
      <c r="BH1143" s="290"/>
      <c r="BI1143" s="290"/>
    </row>
    <row r="1144" spans="1:61" ht="15.75" customHeight="1">
      <c r="A1144" s="514"/>
      <c r="B1144" s="450" t="s">
        <v>1534</v>
      </c>
      <c r="C1144" s="3">
        <f>+$C$1142+$G$1143</f>
        <v>58173.62</v>
      </c>
      <c r="D1144" s="83"/>
      <c r="E1144" s="4"/>
      <c r="F1144" s="4">
        <v>0</v>
      </c>
      <c r="G1144" s="6"/>
      <c r="H1144" s="449"/>
      <c r="I1144" s="4"/>
      <c r="J1144" s="3"/>
      <c r="K1144" s="449"/>
      <c r="L1144" s="449" t="s">
        <v>201</v>
      </c>
      <c r="M1144" s="449" t="str">
        <f>IF(L1144="","",
IF(AX1144="PT",VLOOKUP(L1144,Foundation_Calc!$V$79:$X$113,VLOOKUP(AX1144,Foundation_Calc!$I$10:$J$13,2,FALSE),0),
IF(AX1144="K",VLOOKUP(L1144,Foundation_Calc!$V$117:$X$151,VLOOKUP(AX1144,Foundation_Calc!$I$10:$J$13,2,FALSE),0),"")))</f>
        <v/>
      </c>
      <c r="N1144" s="449" t="s">
        <v>453</v>
      </c>
      <c r="O1144" s="449"/>
      <c r="P1144" s="449"/>
      <c r="Q1144" s="4"/>
      <c r="R1144" s="6"/>
      <c r="S1144" s="6"/>
      <c r="T1144" s="4">
        <v>35</v>
      </c>
      <c r="U1144" s="4"/>
      <c r="V1144" s="4"/>
      <c r="W1144" s="9">
        <v>1.4</v>
      </c>
      <c r="X1144" s="9"/>
      <c r="Y1144" s="9"/>
      <c r="Z1144" s="9"/>
      <c r="AA1144" s="9"/>
      <c r="AB1144" s="9"/>
      <c r="AC1144" s="449" t="str">
        <f t="shared" si="140"/>
        <v>PHQ</v>
      </c>
      <c r="AD1144" s="449"/>
      <c r="AE1144" s="449"/>
      <c r="AF1144" s="4"/>
      <c r="AG1144" s="83"/>
      <c r="AH1144" s="4"/>
      <c r="AI1144" s="4"/>
      <c r="AJ1144" s="449"/>
      <c r="AK1144" s="449" t="s">
        <v>451</v>
      </c>
      <c r="AL1144" s="449"/>
      <c r="AM1144" s="449"/>
      <c r="AN1144" s="10">
        <v>5.5</v>
      </c>
      <c r="AO1144" s="9"/>
      <c r="AP1144" s="9"/>
      <c r="AQ1144" s="9"/>
      <c r="AR1144" s="9"/>
      <c r="AS1144" s="9"/>
      <c r="AT1144" s="9">
        <f>+ab($T$1144,$T$1142,$T$1146,$G$1143,$G$1145, 1*$F$1144,1200)</f>
        <v>5.5984782196246625</v>
      </c>
      <c r="AU1144" s="428"/>
      <c r="AV1144" s="428"/>
      <c r="AW1144" s="449" t="s">
        <v>201</v>
      </c>
      <c r="AX1144" s="449" t="s">
        <v>201</v>
      </c>
      <c r="AY1144" s="10" t="str">
        <f>IF(L1144="","",
IF(AX1144="PT",VLOOKUP(L1144,Foundation_Calc!$K$79:$R$113,VLOOKUP(AW1144,Foundation_Calc!$I$2:$J$8,2,FALSE),0),
IF(AX1144="K",VLOOKUP(L1144,Foundation_Calc!$K$117:$R$151,VLOOKUP(AW1144,Foundation_Calc!$I$2:$J$8,2,FALSE),0),"")))</f>
        <v/>
      </c>
      <c r="AZ1144" s="10" t="str">
        <f>IF(K1144="","",
IF(AX1144="PT",VLOOKUP(K1144,Foundation_Calc!$K$79:$R$113,VLOOKUP(AW1144,Foundation_Calc!$I$2:$J$8,2,FALSE),0),
IF(AX1144="K",VLOOKUP(K1144,Foundation_Calc!$K$117:$R$151,VLOOKUP(AW1144,Foundation_Calc!$I$2:$J$8,2,FALSE),0),"")))</f>
        <v/>
      </c>
      <c r="BA1144" s="495" t="str">
        <f t="shared" si="141"/>
        <v/>
      </c>
      <c r="BB1144" s="495" t="str">
        <f t="shared" si="142"/>
        <v/>
      </c>
      <c r="BC1144" s="495" t="str">
        <f t="shared" si="143"/>
        <v/>
      </c>
      <c r="BD1144" s="513"/>
      <c r="BE1144" s="429" t="s">
        <v>118</v>
      </c>
      <c r="BF1144" s="289"/>
      <c r="BG1144" s="289"/>
      <c r="BH1144" s="290"/>
      <c r="BI1144" s="289"/>
    </row>
    <row r="1145" spans="1:61" ht="15.75" customHeight="1">
      <c r="A1145" s="571"/>
      <c r="B1145" s="450"/>
      <c r="C1145" s="3"/>
      <c r="D1145" s="83"/>
      <c r="E1145" s="4"/>
      <c r="F1145" s="4"/>
      <c r="G1145" s="6">
        <v>42</v>
      </c>
      <c r="H1145" s="449"/>
      <c r="I1145" s="4"/>
      <c r="J1145" s="3"/>
      <c r="K1145" s="449"/>
      <c r="L1145" s="449"/>
      <c r="M1145" s="449" t="str">
        <f>IF(L1145="","",
IF(AX1145="PT",VLOOKUP(L1145,Foundation_Calc!$V$79:$X$113,VLOOKUP(AX1145,Foundation_Calc!$I$10:$J$13,2,FALSE),0),
IF(AX1145="K",VLOOKUP(L1145,Foundation_Calc!$V$117:$X$151,VLOOKUP(AX1145,Foundation_Calc!$I$10:$J$13,2,FALSE),0),"")))</f>
        <v/>
      </c>
      <c r="N1145" s="449"/>
      <c r="O1145" s="449"/>
      <c r="P1145" s="449"/>
      <c r="Q1145" s="4"/>
      <c r="R1145" s="6"/>
      <c r="S1145" s="6"/>
      <c r="T1145" s="4"/>
      <c r="U1145" s="4"/>
      <c r="V1145" s="4"/>
      <c r="W1145" s="9"/>
      <c r="X1145" s="9"/>
      <c r="Y1145" s="9"/>
      <c r="Z1145" s="9"/>
      <c r="AA1145" s="9"/>
      <c r="AB1145" s="9"/>
      <c r="AC1145" s="449" t="str">
        <f t="shared" si="140"/>
        <v/>
      </c>
      <c r="AD1145" s="449"/>
      <c r="AE1145" s="449"/>
      <c r="AF1145" s="4"/>
      <c r="AG1145" s="83"/>
      <c r="AH1145" s="4"/>
      <c r="AI1145" s="4"/>
      <c r="AJ1145" s="449"/>
      <c r="AK1145" s="449"/>
      <c r="AL1145" s="449"/>
      <c r="AM1145" s="449"/>
      <c r="AN1145" s="10"/>
      <c r="AO1145" s="9"/>
      <c r="AP1145" s="9"/>
      <c r="AQ1145" s="9">
        <f>+FL_1($T$1146,$T$1144,$G$1145,1200,9.28, 1*$F$1146)</f>
        <v>0.35</v>
      </c>
      <c r="AR1145" s="9"/>
      <c r="AS1145" s="9"/>
      <c r="AT1145" s="9"/>
      <c r="AU1145" s="428"/>
      <c r="AV1145" s="428"/>
      <c r="AW1145" s="449" t="s">
        <v>1411</v>
      </c>
      <c r="AX1145" s="449"/>
      <c r="AY1145" s="10" t="str">
        <f>IF(L1145="","",
IF(AX1145="PT",VLOOKUP(L1145,Foundation_Calc!$K$79:$R$113,VLOOKUP(AW1145,Foundation_Calc!$I$2:$J$8,2,FALSE),0),
IF(AX1145="K",VLOOKUP(L1145,Foundation_Calc!$K$117:$R$151,VLOOKUP(AW1145,Foundation_Calc!$I$2:$J$8,2,FALSE),0),"")))</f>
        <v/>
      </c>
      <c r="AZ1145" s="10" t="str">
        <f>IF(K1145="","",
IF(AX1145="PT",VLOOKUP(K1145,Foundation_Calc!$K$79:$R$113,VLOOKUP(AW1145,Foundation_Calc!$I$2:$J$8,2,FALSE),0),
IF(AX1145="K",VLOOKUP(K1145,Foundation_Calc!$K$117:$R$151,VLOOKUP(AW1145,Foundation_Calc!$I$2:$J$8,2,FALSE),0),"")))</f>
        <v/>
      </c>
      <c r="BA1145" s="495" t="str">
        <f t="shared" si="141"/>
        <v/>
      </c>
      <c r="BB1145" s="495" t="str">
        <f t="shared" si="142"/>
        <v/>
      </c>
      <c r="BC1145" s="495" t="str">
        <f t="shared" si="143"/>
        <v/>
      </c>
      <c r="BD1145" s="513"/>
      <c r="BE1145" s="429" t="s">
        <v>118</v>
      </c>
      <c r="BF1145" s="290"/>
      <c r="BG1145" s="290"/>
      <c r="BH1145" s="290"/>
      <c r="BI1145" s="290"/>
    </row>
    <row r="1146" spans="1:61" ht="15.75" customHeight="1">
      <c r="A1146" s="571"/>
      <c r="B1146" s="450" t="s">
        <v>1535</v>
      </c>
      <c r="C1146" s="3">
        <f>+$C$1144+$G$1145</f>
        <v>58215.62</v>
      </c>
      <c r="D1146" s="83"/>
      <c r="E1146" s="4"/>
      <c r="F1146" s="4">
        <v>0</v>
      </c>
      <c r="G1146" s="6"/>
      <c r="H1146" s="449"/>
      <c r="I1146" s="4"/>
      <c r="J1146" s="3"/>
      <c r="K1146" s="449"/>
      <c r="L1146" s="449" t="s">
        <v>201</v>
      </c>
      <c r="M1146" s="449" t="str">
        <f>IF(L1146="","",
IF(AX1146="PT",VLOOKUP(L1146,Foundation_Calc!$V$79:$X$113,VLOOKUP(AX1146,Foundation_Calc!$I$10:$J$13,2,FALSE),0),
IF(AX1146="K",VLOOKUP(L1146,Foundation_Calc!$V$117:$X$151,VLOOKUP(AX1146,Foundation_Calc!$I$10:$J$13,2,FALSE),0),"")))</f>
        <v/>
      </c>
      <c r="N1146" s="449" t="s">
        <v>343</v>
      </c>
      <c r="O1146" s="449"/>
      <c r="P1146" s="449"/>
      <c r="Q1146" s="4"/>
      <c r="R1146" s="6"/>
      <c r="S1146" s="6"/>
      <c r="T1146" s="4">
        <v>-35</v>
      </c>
      <c r="U1146" s="4"/>
      <c r="V1146" s="4"/>
      <c r="W1146" s="9">
        <v>1.4</v>
      </c>
      <c r="X1146" s="9"/>
      <c r="Y1146" s="9"/>
      <c r="Z1146" s="9"/>
      <c r="AA1146" s="9"/>
      <c r="AB1146" s="9"/>
      <c r="AC1146" s="449" t="str">
        <f t="shared" si="140"/>
        <v>PHQ</v>
      </c>
      <c r="AD1146" s="449"/>
      <c r="AE1146" s="449"/>
      <c r="AF1146" s="4"/>
      <c r="AG1146" s="83"/>
      <c r="AH1146" s="4"/>
      <c r="AI1146" s="4"/>
      <c r="AJ1146" s="449"/>
      <c r="AK1146" s="449" t="s">
        <v>451</v>
      </c>
      <c r="AL1146" s="449"/>
      <c r="AM1146" s="449"/>
      <c r="AN1146" s="10">
        <v>5.5</v>
      </c>
      <c r="AO1146" s="9"/>
      <c r="AP1146" s="9"/>
      <c r="AQ1146" s="9"/>
      <c r="AR1146" s="9"/>
      <c r="AS1146" s="9"/>
      <c r="AT1146" s="9">
        <f>+ab($T$1146,$T$1144,$T$1148,$G$1145,$G$1147, 1*$F$1146,1200)</f>
        <v>-5.8045739488313943</v>
      </c>
      <c r="AU1146" s="428"/>
      <c r="AV1146" s="428"/>
      <c r="AW1146" s="449" t="s">
        <v>201</v>
      </c>
      <c r="AX1146" s="449" t="s">
        <v>201</v>
      </c>
      <c r="AY1146" s="10" t="str">
        <f>IF(L1146="","",
IF(AX1146="PT",VLOOKUP(L1146,Foundation_Calc!$K$79:$R$113,VLOOKUP(AW1146,Foundation_Calc!$I$2:$J$8,2,FALSE),0),
IF(AX1146="K",VLOOKUP(L1146,Foundation_Calc!$K$117:$R$151,VLOOKUP(AW1146,Foundation_Calc!$I$2:$J$8,2,FALSE),0),"")))</f>
        <v/>
      </c>
      <c r="AZ1146" s="10" t="str">
        <f>IF(K1146="","",
IF(AX1146="PT",VLOOKUP(K1146,Foundation_Calc!$K$79:$R$113,VLOOKUP(AW1146,Foundation_Calc!$I$2:$J$8,2,FALSE),0),
IF(AX1146="K",VLOOKUP(K1146,Foundation_Calc!$K$117:$R$151,VLOOKUP(AW1146,Foundation_Calc!$I$2:$J$8,2,FALSE),0),"")))</f>
        <v/>
      </c>
      <c r="BA1146" s="495" t="str">
        <f t="shared" si="141"/>
        <v/>
      </c>
      <c r="BB1146" s="495" t="str">
        <f t="shared" si="142"/>
        <v/>
      </c>
      <c r="BC1146" s="495" t="str">
        <f t="shared" si="143"/>
        <v/>
      </c>
      <c r="BD1146" s="513"/>
      <c r="BE1146" s="429" t="s">
        <v>118</v>
      </c>
      <c r="BF1146" s="289"/>
      <c r="BG1146" s="289"/>
      <c r="BH1146" s="290"/>
      <c r="BI1146" s="289"/>
    </row>
    <row r="1147" spans="1:61" ht="15.75" customHeight="1">
      <c r="A1147" s="571"/>
      <c r="B1147" s="450"/>
      <c r="C1147" s="3"/>
      <c r="D1147" s="83"/>
      <c r="E1147" s="4"/>
      <c r="F1147" s="4"/>
      <c r="G1147" s="6">
        <v>43</v>
      </c>
      <c r="H1147" s="449"/>
      <c r="I1147" s="4">
        <f>SUM(G1123:G1147)</f>
        <v>651.69999999999993</v>
      </c>
      <c r="J1147" s="3"/>
      <c r="K1147" s="449"/>
      <c r="L1147" s="449"/>
      <c r="M1147" s="449" t="str">
        <f>IF(L1147="","",
IF(AX1147="PT",VLOOKUP(L1147,Foundation_Calc!$V$79:$X$113,VLOOKUP(AX1147,Foundation_Calc!$I$10:$J$13,2,FALSE),0),
IF(AX1147="K",VLOOKUP(L1147,Foundation_Calc!$V$117:$X$151,VLOOKUP(AX1147,Foundation_Calc!$I$10:$J$13,2,FALSE),0),"")))</f>
        <v/>
      </c>
      <c r="N1147" s="449"/>
      <c r="O1147" s="449"/>
      <c r="P1147" s="449"/>
      <c r="Q1147" s="4"/>
      <c r="R1147" s="6"/>
      <c r="S1147" s="6"/>
      <c r="T1147" s="4"/>
      <c r="U1147" s="4"/>
      <c r="V1147" s="4"/>
      <c r="W1147" s="9"/>
      <c r="X1147" s="9"/>
      <c r="Y1147" s="9"/>
      <c r="Z1147" s="9"/>
      <c r="AA1147" s="9"/>
      <c r="AB1147" s="9"/>
      <c r="AC1147" s="449" t="str">
        <f t="shared" si="140"/>
        <v/>
      </c>
      <c r="AD1147" s="449"/>
      <c r="AE1147" s="449"/>
      <c r="AF1147" s="4"/>
      <c r="AG1147" s="83"/>
      <c r="AH1147" s="4"/>
      <c r="AI1147" s="4"/>
      <c r="AJ1147" s="449"/>
      <c r="AK1147" s="449" t="s">
        <v>872</v>
      </c>
      <c r="AL1147" s="449"/>
      <c r="AM1147" s="449"/>
      <c r="AN1147" s="10"/>
      <c r="AO1147" s="9"/>
      <c r="AP1147" s="9"/>
      <c r="AQ1147" s="9">
        <f>+FL_1($T$1148,$T$1146,$G$1147,1200,9.28, 1*$F$1148)</f>
        <v>0.35007811860465116</v>
      </c>
      <c r="AR1147" s="9"/>
      <c r="AS1147" s="9"/>
      <c r="AT1147" s="9"/>
      <c r="AU1147" s="428"/>
      <c r="AV1147" s="428"/>
      <c r="AW1147" s="449" t="s">
        <v>1411</v>
      </c>
      <c r="AX1147" s="449"/>
      <c r="AY1147" s="10" t="str">
        <f>IF(L1147="","",
IF(AX1147="PT",VLOOKUP(L1147,Foundation_Calc!$K$79:$R$113,VLOOKUP(AW1147,Foundation_Calc!$I$2:$J$8,2,FALSE),0),
IF(AX1147="K",VLOOKUP(L1147,Foundation_Calc!$K$117:$R$151,VLOOKUP(AW1147,Foundation_Calc!$I$2:$J$8,2,FALSE),0),"")))</f>
        <v/>
      </c>
      <c r="AZ1147" s="10" t="str">
        <f>IF(K1147="","",
IF(AX1147="PT",VLOOKUP(K1147,Foundation_Calc!$K$79:$R$113,VLOOKUP(AW1147,Foundation_Calc!$I$2:$J$8,2,FALSE),0),
IF(AX1147="K",VLOOKUP(K1147,Foundation_Calc!$K$117:$R$151,VLOOKUP(AW1147,Foundation_Calc!$I$2:$J$8,2,FALSE),0),"")))</f>
        <v/>
      </c>
      <c r="BA1147" s="495" t="str">
        <f t="shared" si="141"/>
        <v/>
      </c>
      <c r="BB1147" s="495" t="str">
        <f t="shared" si="142"/>
        <v/>
      </c>
      <c r="BC1147" s="495" t="str">
        <f t="shared" si="143"/>
        <v/>
      </c>
      <c r="BD1147" s="513"/>
      <c r="BE1147" s="429" t="s">
        <v>118</v>
      </c>
      <c r="BF1147" s="290"/>
      <c r="BG1147" s="290"/>
      <c r="BH1147" s="290"/>
      <c r="BI1147" s="290"/>
    </row>
    <row r="1148" spans="1:61" ht="15.75" customHeight="1">
      <c r="A1148" s="514"/>
      <c r="B1148" s="450" t="s">
        <v>1536</v>
      </c>
      <c r="C1148" s="3">
        <f>+$C$1146+$G$1147</f>
        <v>58258.62</v>
      </c>
      <c r="D1148" s="83"/>
      <c r="E1148" s="4"/>
      <c r="F1148" s="4">
        <v>0</v>
      </c>
      <c r="G1148" s="6"/>
      <c r="H1148" s="449" t="s">
        <v>171</v>
      </c>
      <c r="I1148" s="449"/>
      <c r="J1148" s="3"/>
      <c r="K1148" s="449"/>
      <c r="L1148" s="449" t="s">
        <v>201</v>
      </c>
      <c r="M1148" s="449" t="str">
        <f>IF(L1148="","",
IF(AX1148="PT",VLOOKUP(L1148,Foundation_Calc!$V$79:$X$113,VLOOKUP(AX1148,Foundation_Calc!$I$10:$J$13,2,FALSE),0),
IF(AX1148="K",VLOOKUP(L1148,Foundation_Calc!$V$117:$X$151,VLOOKUP(AX1148,Foundation_Calc!$I$10:$J$13,2,FALSE),0),"")))</f>
        <v/>
      </c>
      <c r="N1148" s="449" t="s">
        <v>453</v>
      </c>
      <c r="O1148" s="449"/>
      <c r="P1148" s="449"/>
      <c r="Q1148" s="4"/>
      <c r="R1148" s="6"/>
      <c r="S1148" s="6"/>
      <c r="T1148" s="4">
        <v>35</v>
      </c>
      <c r="U1148" s="4"/>
      <c r="V1148" s="4"/>
      <c r="W1148" s="9">
        <v>1.4</v>
      </c>
      <c r="X1148" s="9"/>
      <c r="Y1148" s="9"/>
      <c r="Z1148" s="9"/>
      <c r="AA1148" s="9"/>
      <c r="AB1148" s="9"/>
      <c r="AC1148" s="449" t="str">
        <f t="shared" si="140"/>
        <v>PHQ</v>
      </c>
      <c r="AD1148" s="449"/>
      <c r="AE1148" s="449"/>
      <c r="AF1148" s="4"/>
      <c r="AG1148" s="83"/>
      <c r="AH1148" s="4"/>
      <c r="AI1148" s="4"/>
      <c r="AJ1148" s="449"/>
      <c r="AK1148" s="449" t="s">
        <v>451</v>
      </c>
      <c r="AL1148" s="449"/>
      <c r="AM1148" s="449"/>
      <c r="AN1148" s="10">
        <v>5.5</v>
      </c>
      <c r="AO1148" s="9"/>
      <c r="AP1148" s="9"/>
      <c r="AQ1148" s="9"/>
      <c r="AR1148" s="9"/>
      <c r="AS1148" s="9"/>
      <c r="AT1148" s="9">
        <f>+ab($T$1148,$T$1146,$T$1150,$G$1147,$G$1149, 1*$F$1148,1200)</f>
        <v>5.9335755722238073</v>
      </c>
      <c r="AU1148" s="428"/>
      <c r="AV1148" s="428"/>
      <c r="AW1148" s="449" t="s">
        <v>201</v>
      </c>
      <c r="AX1148" s="449" t="s">
        <v>201</v>
      </c>
      <c r="AY1148" s="10" t="str">
        <f>IF(L1148="","",
IF(AX1148="PT",VLOOKUP(L1148,Foundation_Calc!$K$79:$R$113,VLOOKUP(AW1148,Foundation_Calc!$I$2:$J$8,2,FALSE),0),
IF(AX1148="K",VLOOKUP(L1148,Foundation_Calc!$K$117:$R$151,VLOOKUP(AW1148,Foundation_Calc!$I$2:$J$8,2,FALSE),0),"")))</f>
        <v/>
      </c>
      <c r="AZ1148" s="10" t="str">
        <f>IF(K1148="","",
IF(AX1148="PT",VLOOKUP(K1148,Foundation_Calc!$K$79:$R$113,VLOOKUP(AW1148,Foundation_Calc!$I$2:$J$8,2,FALSE),0),
IF(AX1148="K",VLOOKUP(K1148,Foundation_Calc!$K$117:$R$151,VLOOKUP(AW1148,Foundation_Calc!$I$2:$J$8,2,FALSE),0),"")))</f>
        <v/>
      </c>
      <c r="BA1148" s="495" t="str">
        <f t="shared" si="141"/>
        <v/>
      </c>
      <c r="BB1148" s="495" t="str">
        <f t="shared" si="142"/>
        <v/>
      </c>
      <c r="BC1148" s="495" t="str">
        <f t="shared" si="143"/>
        <v/>
      </c>
      <c r="BD1148" s="513"/>
      <c r="BE1148" s="429" t="s">
        <v>118</v>
      </c>
      <c r="BF1148" s="289"/>
      <c r="BG1148" s="289"/>
      <c r="BH1148" s="290"/>
      <c r="BI1148" s="289"/>
    </row>
    <row r="1149" spans="1:61" ht="15.75" customHeight="1">
      <c r="A1149" s="571"/>
      <c r="B1149" s="450"/>
      <c r="C1149" s="3"/>
      <c r="D1149" s="83"/>
      <c r="E1149" s="4"/>
      <c r="F1149" s="4"/>
      <c r="G1149" s="6">
        <v>43.9</v>
      </c>
      <c r="H1149" s="449"/>
      <c r="I1149" s="4">
        <f>SUM(G1149:G1175)</f>
        <v>587.6</v>
      </c>
      <c r="J1149" s="3"/>
      <c r="K1149" s="449"/>
      <c r="L1149" s="449"/>
      <c r="M1149" s="449" t="str">
        <f>IF(L1149="","",
IF(AX1149="PT",VLOOKUP(L1149,Foundation_Calc!$V$79:$X$113,VLOOKUP(AX1149,Foundation_Calc!$I$10:$J$13,2,FALSE),0),
IF(AX1149="K",VLOOKUP(L1149,Foundation_Calc!$V$117:$X$151,VLOOKUP(AX1149,Foundation_Calc!$I$10:$J$13,2,FALSE),0),"")))</f>
        <v/>
      </c>
      <c r="N1149" s="449"/>
      <c r="O1149" s="449"/>
      <c r="P1149" s="449"/>
      <c r="Q1149" s="4"/>
      <c r="R1149" s="6"/>
      <c r="S1149" s="6"/>
      <c r="T1149" s="4"/>
      <c r="U1149" s="4"/>
      <c r="V1149" s="4"/>
      <c r="W1149" s="9"/>
      <c r="X1149" s="9"/>
      <c r="Y1149" s="9"/>
      <c r="Z1149" s="9"/>
      <c r="AA1149" s="9"/>
      <c r="AB1149" s="9"/>
      <c r="AC1149" s="449" t="str">
        <f t="shared" si="140"/>
        <v/>
      </c>
      <c r="AD1149" s="449"/>
      <c r="AE1149" s="449"/>
      <c r="AF1149" s="4"/>
      <c r="AG1149" s="83"/>
      <c r="AH1149" s="4"/>
      <c r="AI1149" s="4"/>
      <c r="AJ1149" s="449"/>
      <c r="AK1149" s="449" t="s">
        <v>872</v>
      </c>
      <c r="AL1149" s="449"/>
      <c r="AM1149" s="449"/>
      <c r="AN1149" s="10"/>
      <c r="AO1149" s="9"/>
      <c r="AP1149" s="9"/>
      <c r="AQ1149" s="9">
        <f>+FL_1($T$1150,$T$1148,$G$1149,1200,9.28, 1*$F$1150)</f>
        <v>0.35068504270615042</v>
      </c>
      <c r="AR1149" s="9"/>
      <c r="AS1149" s="9"/>
      <c r="AT1149" s="9"/>
      <c r="AU1149" s="428"/>
      <c r="AV1149" s="428"/>
      <c r="AW1149" s="449" t="s">
        <v>1411</v>
      </c>
      <c r="AX1149" s="449"/>
      <c r="AY1149" s="10" t="str">
        <f>IF(L1149="","",
IF(AX1149="PT",VLOOKUP(L1149,Foundation_Calc!$K$79:$R$113,VLOOKUP(AW1149,Foundation_Calc!$I$2:$J$8,2,FALSE),0),
IF(AX1149="K",VLOOKUP(L1149,Foundation_Calc!$K$117:$R$151,VLOOKUP(AW1149,Foundation_Calc!$I$2:$J$8,2,FALSE),0),"")))</f>
        <v/>
      </c>
      <c r="AZ1149" s="10" t="str">
        <f>IF(K1149="","",
IF(AX1149="PT",VLOOKUP(K1149,Foundation_Calc!$K$79:$R$113,VLOOKUP(AW1149,Foundation_Calc!$I$2:$J$8,2,FALSE),0),
IF(AX1149="K",VLOOKUP(K1149,Foundation_Calc!$K$117:$R$151,VLOOKUP(AW1149,Foundation_Calc!$I$2:$J$8,2,FALSE),0),"")))</f>
        <v/>
      </c>
      <c r="BA1149" s="495" t="str">
        <f t="shared" si="141"/>
        <v/>
      </c>
      <c r="BB1149" s="495" t="str">
        <f t="shared" si="142"/>
        <v/>
      </c>
      <c r="BC1149" s="495" t="str">
        <f t="shared" si="143"/>
        <v/>
      </c>
      <c r="BD1149" s="513" t="str">
        <f>IF(AND(L1149="",H1149=""),"",
IF(H1149="",Pole_Calc!A$9,
IF(H1149="MP",Pole_Calc!A$10,
IF(H1149="AnMP",Pole_Calc!A$11,
IF(H1149="A",Pole_Calc!A$12,
IF(H1149="S/A",Pole_Calc!A$13,
IF(H1149="A/S",Pole_Calc!A$14,"Poner a mano")))))))</f>
        <v/>
      </c>
      <c r="BE1149" s="429" t="s">
        <v>118</v>
      </c>
      <c r="BF1149" s="290"/>
      <c r="BG1149" s="290"/>
      <c r="BH1149" s="290"/>
      <c r="BI1149" s="290"/>
    </row>
    <row r="1150" spans="1:61" ht="15.75" customHeight="1">
      <c r="A1150" s="514"/>
      <c r="B1150" s="450" t="s">
        <v>1537</v>
      </c>
      <c r="C1150" s="3">
        <f>+$C$1148+$G$1149</f>
        <v>58302.520000000004</v>
      </c>
      <c r="D1150" s="83"/>
      <c r="E1150" s="4"/>
      <c r="F1150" s="4">
        <v>0</v>
      </c>
      <c r="G1150" s="6"/>
      <c r="H1150" s="449"/>
      <c r="I1150" s="4"/>
      <c r="J1150" s="3"/>
      <c r="K1150" s="449"/>
      <c r="L1150" s="449" t="s">
        <v>201</v>
      </c>
      <c r="M1150" s="449" t="str">
        <f>IF(L1150="","",
IF(AX1150="PT",VLOOKUP(L1150,Foundation_Calc!$V$79:$X$113,VLOOKUP(AX1150,Foundation_Calc!$I$10:$J$13,2,FALSE),0),
IF(AX1150="K",VLOOKUP(L1150,Foundation_Calc!$V$117:$X$151,VLOOKUP(AX1150,Foundation_Calc!$I$10:$J$13,2,FALSE),0),"")))</f>
        <v/>
      </c>
      <c r="N1150" s="449" t="s">
        <v>343</v>
      </c>
      <c r="O1150" s="449"/>
      <c r="P1150" s="449"/>
      <c r="Q1150" s="4"/>
      <c r="R1150" s="6"/>
      <c r="S1150" s="6"/>
      <c r="T1150" s="4">
        <v>-35</v>
      </c>
      <c r="U1150" s="4"/>
      <c r="V1150" s="4"/>
      <c r="W1150" s="9">
        <v>1.4</v>
      </c>
      <c r="X1150" s="9"/>
      <c r="Y1150" s="9"/>
      <c r="Z1150" s="9"/>
      <c r="AA1150" s="9"/>
      <c r="AB1150" s="9"/>
      <c r="AC1150" s="449" t="str">
        <f t="shared" si="140"/>
        <v>PHQ</v>
      </c>
      <c r="AD1150" s="449"/>
      <c r="AE1150" s="449"/>
      <c r="AF1150" s="4"/>
      <c r="AG1150" s="83"/>
      <c r="AH1150" s="4"/>
      <c r="AI1150" s="4"/>
      <c r="AJ1150" s="449"/>
      <c r="AK1150" s="449" t="s">
        <v>451</v>
      </c>
      <c r="AL1150" s="449"/>
      <c r="AM1150" s="449"/>
      <c r="AN1150" s="10">
        <v>5.5</v>
      </c>
      <c r="AO1150" s="9"/>
      <c r="AP1150" s="9"/>
      <c r="AQ1150" s="9"/>
      <c r="AR1150" s="9"/>
      <c r="AS1150" s="9"/>
      <c r="AT1150" s="9">
        <f>+ab($T$1150,$T$1148,$T$1152,$G$1149,$G$1151, 1*$F$1150,1200)</f>
        <v>-5.2722235052400102</v>
      </c>
      <c r="AU1150" s="428"/>
      <c r="AV1150" s="428"/>
      <c r="AW1150" s="449" t="s">
        <v>201</v>
      </c>
      <c r="AX1150" s="449" t="s">
        <v>201</v>
      </c>
      <c r="AY1150" s="10" t="str">
        <f>IF(L1150="","",
IF(AX1150="PT",VLOOKUP(L1150,Foundation_Calc!$K$79:$R$113,VLOOKUP(AW1150,Foundation_Calc!$I$2:$J$8,2,FALSE),0),
IF(AX1150="K",VLOOKUP(L1150,Foundation_Calc!$K$117:$R$151,VLOOKUP(AW1150,Foundation_Calc!$I$2:$J$8,2,FALSE),0),"")))</f>
        <v/>
      </c>
      <c r="AZ1150" s="10" t="str">
        <f>IF(K1150="","",
IF(AX1150="PT",VLOOKUP(K1150,Foundation_Calc!$K$79:$R$113,VLOOKUP(AW1150,Foundation_Calc!$I$2:$J$8,2,FALSE),0),
IF(AX1150="K",VLOOKUP(K1150,Foundation_Calc!$K$117:$R$151,VLOOKUP(AW1150,Foundation_Calc!$I$2:$J$8,2,FALSE),0),"")))</f>
        <v/>
      </c>
      <c r="BA1150" s="495" t="str">
        <f t="shared" si="141"/>
        <v/>
      </c>
      <c r="BB1150" s="495" t="str">
        <f t="shared" si="142"/>
        <v/>
      </c>
      <c r="BC1150" s="495" t="str">
        <f t="shared" si="143"/>
        <v/>
      </c>
      <c r="BD1150" s="513"/>
      <c r="BE1150" s="429" t="s">
        <v>118</v>
      </c>
      <c r="BF1150" s="289"/>
      <c r="BG1150" s="289"/>
      <c r="BH1150" s="290"/>
      <c r="BI1150" s="289"/>
    </row>
    <row r="1151" spans="1:61" ht="15.75" customHeight="1">
      <c r="A1151" s="696" t="s">
        <v>853</v>
      </c>
      <c r="B1151" s="697"/>
      <c r="C1151" s="698"/>
      <c r="D1151" s="699"/>
      <c r="E1151" s="700"/>
      <c r="F1151" s="700"/>
      <c r="G1151" s="701">
        <v>34.4</v>
      </c>
      <c r="H1151" s="702"/>
      <c r="I1151" s="702"/>
      <c r="J1151" s="698"/>
      <c r="K1151" s="702"/>
      <c r="L1151" s="702"/>
      <c r="M1151" s="702" t="str">
        <f>IF(L1151="","",
IF(AX1151="PT",VLOOKUP(L1151,Foundation_Calc!$V$79:$X$113,VLOOKUP(AX1151,Foundation_Calc!$I$10:$J$13,2,FALSE),0),
IF(AX1151="K",VLOOKUP(L1151,Foundation_Calc!$V$117:$X$151,VLOOKUP(AX1151,Foundation_Calc!$I$10:$J$13,2,FALSE),0),"")))</f>
        <v/>
      </c>
      <c r="N1151" s="702"/>
      <c r="O1151" s="702"/>
      <c r="P1151" s="702"/>
      <c r="Q1151" s="700"/>
      <c r="R1151" s="701"/>
      <c r="S1151" s="701"/>
      <c r="T1151" s="700"/>
      <c r="U1151" s="700"/>
      <c r="V1151" s="700"/>
      <c r="W1151" s="703"/>
      <c r="X1151" s="703"/>
      <c r="Y1151" s="703"/>
      <c r="Z1151" s="703"/>
      <c r="AA1151" s="703"/>
      <c r="AB1151" s="703"/>
      <c r="AC1151" s="702" t="str">
        <f t="shared" si="140"/>
        <v/>
      </c>
      <c r="AD1151" s="702"/>
      <c r="AE1151" s="702"/>
      <c r="AF1151" s="700"/>
      <c r="AG1151" s="699"/>
      <c r="AH1151" s="700"/>
      <c r="AI1151" s="700"/>
      <c r="AJ1151" s="702"/>
      <c r="AK1151" s="702"/>
      <c r="AL1151" s="702"/>
      <c r="AM1151" s="702"/>
      <c r="AN1151" s="704"/>
      <c r="AO1151" s="703"/>
      <c r="AP1151" s="703"/>
      <c r="AQ1151" s="703">
        <f>+FL_2($T$1152,$T$1150,$G$1151,1200,9.28, 1*$F$1152)</f>
        <v>-0.35000000000001208</v>
      </c>
      <c r="AR1151" s="703"/>
      <c r="AS1151" s="703"/>
      <c r="AT1151" s="703"/>
      <c r="AU1151" s="705"/>
      <c r="AV1151" s="705"/>
      <c r="AW1151" s="702" t="s">
        <v>1411</v>
      </c>
      <c r="AX1151" s="702"/>
      <c r="AY1151" s="704" t="str">
        <f>IF(L1151="","",
IF(AX1151="PT",VLOOKUP(L1151,Foundation_Calc!$K$79:$R$113,VLOOKUP(AW1151,Foundation_Calc!$I$2:$J$8,2,FALSE),0),
IF(AX1151="K",VLOOKUP(L1151,Foundation_Calc!$K$117:$R$151,VLOOKUP(AW1151,Foundation_Calc!$I$2:$J$8,2,FALSE),0),"")))</f>
        <v/>
      </c>
      <c r="AZ1151" s="704" t="str">
        <f>IF(K1151="","",
IF(AX1151="PT",VLOOKUP(K1151,Foundation_Calc!$K$79:$R$113,VLOOKUP(AW1151,Foundation_Calc!$I$2:$J$8,2,FALSE),0),
IF(AX1151="K",VLOOKUP(K1151,Foundation_Calc!$K$117:$R$151,VLOOKUP(AW1151,Foundation_Calc!$I$2:$J$8,2,FALSE),0),"")))</f>
        <v/>
      </c>
      <c r="BA1151" s="495" t="str">
        <f t="shared" si="141"/>
        <v/>
      </c>
      <c r="BB1151" s="495" t="str">
        <f t="shared" si="142"/>
        <v/>
      </c>
      <c r="BC1151" s="495" t="str">
        <f t="shared" si="143"/>
        <v/>
      </c>
      <c r="BD1151" s="513"/>
      <c r="BE1151" s="429" t="s">
        <v>118</v>
      </c>
      <c r="BF1151" s="290"/>
      <c r="BG1151" s="290"/>
      <c r="BH1151" s="290"/>
      <c r="BI1151" s="290"/>
    </row>
    <row r="1152" spans="1:61" ht="15.75" customHeight="1">
      <c r="A1152" s="514"/>
      <c r="B1152" s="450" t="s">
        <v>1538</v>
      </c>
      <c r="C1152" s="3">
        <f>+$C$1150+$G$1151</f>
        <v>58336.920000000006</v>
      </c>
      <c r="D1152" s="83"/>
      <c r="E1152" s="4"/>
      <c r="F1152" s="4">
        <v>0</v>
      </c>
      <c r="G1152" s="6"/>
      <c r="H1152" s="449"/>
      <c r="I1152" s="4"/>
      <c r="J1152" s="3"/>
      <c r="K1152" s="449"/>
      <c r="L1152" s="449" t="s">
        <v>201</v>
      </c>
      <c r="M1152" s="449" t="str">
        <f>IF(L1152="","",
IF(AX1152="PT",VLOOKUP(L1152,Foundation_Calc!$V$79:$X$113,VLOOKUP(AX1152,Foundation_Calc!$I$10:$J$13,2,FALSE),0),
IF(AX1152="K",VLOOKUP(L1152,Foundation_Calc!$V$117:$X$151,VLOOKUP(AX1152,Foundation_Calc!$I$10:$J$13,2,FALSE),0),"")))</f>
        <v/>
      </c>
      <c r="N1152" s="449" t="s">
        <v>453</v>
      </c>
      <c r="O1152" s="449"/>
      <c r="P1152" s="449"/>
      <c r="Q1152" s="4"/>
      <c r="R1152" s="6"/>
      <c r="S1152" s="6"/>
      <c r="T1152" s="4">
        <v>35</v>
      </c>
      <c r="U1152" s="4"/>
      <c r="V1152" s="4"/>
      <c r="W1152" s="9">
        <v>1.4</v>
      </c>
      <c r="X1152" s="9"/>
      <c r="Y1152" s="9"/>
      <c r="Z1152" s="9"/>
      <c r="AA1152" s="9"/>
      <c r="AB1152" s="9"/>
      <c r="AC1152" s="449" t="str">
        <f t="shared" si="140"/>
        <v>PHC</v>
      </c>
      <c r="AD1152" s="449"/>
      <c r="AE1152" s="449"/>
      <c r="AF1152" s="4"/>
      <c r="AG1152" s="83"/>
      <c r="AH1152" s="4"/>
      <c r="AI1152" s="4"/>
      <c r="AJ1152" s="449"/>
      <c r="AK1152" s="449" t="s">
        <v>451</v>
      </c>
      <c r="AL1152" s="449"/>
      <c r="AM1152" s="449"/>
      <c r="AN1152" s="10">
        <v>5.5</v>
      </c>
      <c r="AO1152" s="9"/>
      <c r="AP1152" s="9"/>
      <c r="AQ1152" s="9"/>
      <c r="AR1152" s="9"/>
      <c r="AS1152" s="9"/>
      <c r="AT1152" s="9">
        <f>+ab($T$1152,$T$1150,$T$1154,$G$1151,$G$1153, 1*$F$1152,1200)</f>
        <v>4.3843479248099664</v>
      </c>
      <c r="AU1152" s="428"/>
      <c r="AV1152" s="428"/>
      <c r="AW1152" s="449" t="s">
        <v>201</v>
      </c>
      <c r="AX1152" s="449" t="s">
        <v>201</v>
      </c>
      <c r="AY1152" s="10" t="str">
        <f>IF(L1152="","",
IF(AX1152="PT",VLOOKUP(L1152,Foundation_Calc!$K$79:$R$113,VLOOKUP(AW1152,Foundation_Calc!$I$2:$J$8,2,FALSE),0),
IF(AX1152="K",VLOOKUP(L1152,Foundation_Calc!$K$117:$R$151,VLOOKUP(AW1152,Foundation_Calc!$I$2:$J$8,2,FALSE),0),"")))</f>
        <v/>
      </c>
      <c r="AZ1152" s="10" t="str">
        <f>IF(K1152="","",
IF(AX1152="PT",VLOOKUP(K1152,Foundation_Calc!$K$79:$R$113,VLOOKUP(AW1152,Foundation_Calc!$I$2:$J$8,2,FALSE),0),
IF(AX1152="K",VLOOKUP(K1152,Foundation_Calc!$K$117:$R$151,VLOOKUP(AW1152,Foundation_Calc!$I$2:$J$8,2,FALSE),0),"")))</f>
        <v/>
      </c>
      <c r="BA1152" s="495" t="str">
        <f t="shared" si="141"/>
        <v/>
      </c>
      <c r="BB1152" s="495" t="str">
        <f t="shared" si="142"/>
        <v/>
      </c>
      <c r="BC1152" s="495" t="str">
        <f t="shared" si="143"/>
        <v/>
      </c>
      <c r="BD1152" s="513"/>
      <c r="BE1152" s="429" t="s">
        <v>118</v>
      </c>
      <c r="BF1152" s="289"/>
      <c r="BG1152" s="289"/>
      <c r="BH1152" s="290"/>
      <c r="BI1152" s="289"/>
    </row>
    <row r="1153" spans="1:61" ht="15.75" customHeight="1">
      <c r="A1153" s="571"/>
      <c r="B1153" s="450"/>
      <c r="C1153" s="3"/>
      <c r="D1153" s="83"/>
      <c r="E1153" s="4"/>
      <c r="F1153" s="4"/>
      <c r="G1153" s="6">
        <v>30</v>
      </c>
      <c r="H1153" s="449"/>
      <c r="I1153" s="4"/>
      <c r="J1153" s="3"/>
      <c r="K1153" s="449"/>
      <c r="L1153" s="449"/>
      <c r="M1153" s="449" t="str">
        <f>IF(L1153="","",
IF(AX1153="PT",VLOOKUP(L1153,Foundation_Calc!$V$79:$X$113,VLOOKUP(AX1153,Foundation_Calc!$I$10:$J$13,2,FALSE),0),
IF(AX1153="K",VLOOKUP(L1153,Foundation_Calc!$V$117:$X$151,VLOOKUP(AX1153,Foundation_Calc!$I$10:$J$13,2,FALSE),0),"")))</f>
        <v/>
      </c>
      <c r="N1153" s="449"/>
      <c r="O1153" s="449"/>
      <c r="P1153" s="449"/>
      <c r="Q1153" s="4"/>
      <c r="R1153" s="6"/>
      <c r="S1153" s="6"/>
      <c r="T1153" s="4"/>
      <c r="U1153" s="4"/>
      <c r="V1153" s="4"/>
      <c r="W1153" s="9"/>
      <c r="X1153" s="9"/>
      <c r="Y1153" s="9"/>
      <c r="Z1153" s="9"/>
      <c r="AA1153" s="9"/>
      <c r="AB1153" s="9"/>
      <c r="AC1153" s="449" t="str">
        <f t="shared" si="140"/>
        <v/>
      </c>
      <c r="AD1153" s="449"/>
      <c r="AE1153" s="449"/>
      <c r="AF1153" s="4"/>
      <c r="AG1153" s="83"/>
      <c r="AH1153" s="4"/>
      <c r="AI1153" s="4"/>
      <c r="AJ1153" s="449"/>
      <c r="AK1153" s="449"/>
      <c r="AL1153" s="449"/>
      <c r="AM1153" s="449"/>
      <c r="AN1153" s="10"/>
      <c r="AO1153" s="9"/>
      <c r="AP1153" s="9"/>
      <c r="AQ1153" s="9">
        <f>+FL_1($T$1154,$T$1152,$G$1153,1200,9.28, 1*$F$1154)</f>
        <v>0.35000000000002224</v>
      </c>
      <c r="AR1153" s="9"/>
      <c r="AS1153" s="9"/>
      <c r="AT1153" s="9"/>
      <c r="AU1153" s="428"/>
      <c r="AV1153" s="428"/>
      <c r="AW1153" s="449" t="s">
        <v>1411</v>
      </c>
      <c r="AX1153" s="449"/>
      <c r="AY1153" s="10" t="str">
        <f>IF(L1153="","",
IF(AX1153="PT",VLOOKUP(L1153,Foundation_Calc!$K$79:$R$113,VLOOKUP(AW1153,Foundation_Calc!$I$2:$J$8,2,FALSE),0),
IF(AX1153="K",VLOOKUP(L1153,Foundation_Calc!$K$117:$R$151,VLOOKUP(AW1153,Foundation_Calc!$I$2:$J$8,2,FALSE),0),"")))</f>
        <v/>
      </c>
      <c r="AZ1153" s="10" t="str">
        <f>IF(K1153="","",
IF(AX1153="PT",VLOOKUP(K1153,Foundation_Calc!$K$79:$R$113,VLOOKUP(AW1153,Foundation_Calc!$I$2:$J$8,2,FALSE),0),
IF(AX1153="K",VLOOKUP(K1153,Foundation_Calc!$K$117:$R$151,VLOOKUP(AW1153,Foundation_Calc!$I$2:$J$8,2,FALSE),0),"")))</f>
        <v/>
      </c>
      <c r="BA1153" s="495" t="str">
        <f t="shared" si="141"/>
        <v/>
      </c>
      <c r="BB1153" s="495" t="str">
        <f t="shared" si="142"/>
        <v/>
      </c>
      <c r="BC1153" s="495" t="str">
        <f t="shared" si="143"/>
        <v/>
      </c>
      <c r="BD1153" s="513"/>
      <c r="BE1153" s="429" t="s">
        <v>118</v>
      </c>
      <c r="BF1153" s="290"/>
      <c r="BG1153" s="290"/>
      <c r="BH1153" s="290"/>
      <c r="BI1153" s="290"/>
    </row>
    <row r="1154" spans="1:61" ht="15.75" customHeight="1">
      <c r="A1154" s="517" t="s">
        <v>442</v>
      </c>
      <c r="B1154" s="450" t="s">
        <v>1539</v>
      </c>
      <c r="C1154" s="3">
        <f>+$C$1152+$G$1153</f>
        <v>58366.920000000006</v>
      </c>
      <c r="D1154" s="83"/>
      <c r="E1154" s="4"/>
      <c r="F1154" s="4">
        <v>0</v>
      </c>
      <c r="G1154" s="6"/>
      <c r="H1154" s="449"/>
      <c r="I1154" s="4"/>
      <c r="J1154" s="3"/>
      <c r="K1154" s="449"/>
      <c r="L1154" s="449" t="s">
        <v>201</v>
      </c>
      <c r="M1154" s="449" t="str">
        <f>IF(L1154="","",
IF(AX1154="PT",VLOOKUP(L1154,Foundation_Calc!$V$79:$X$113,VLOOKUP(AX1154,Foundation_Calc!$I$10:$J$13,2,FALSE),0),
IF(AX1154="K",VLOOKUP(L1154,Foundation_Calc!$V$117:$X$151,VLOOKUP(AX1154,Foundation_Calc!$I$10:$J$13,2,FALSE),0),"")))</f>
        <v/>
      </c>
      <c r="N1154" s="449" t="s">
        <v>343</v>
      </c>
      <c r="O1154" s="449"/>
      <c r="P1154" s="449"/>
      <c r="Q1154" s="4"/>
      <c r="R1154" s="6"/>
      <c r="S1154" s="6"/>
      <c r="T1154" s="4">
        <v>-35</v>
      </c>
      <c r="U1154" s="4"/>
      <c r="V1154" s="4"/>
      <c r="W1154" s="9">
        <v>1.4</v>
      </c>
      <c r="X1154" s="9"/>
      <c r="Y1154" s="9"/>
      <c r="Z1154" s="9"/>
      <c r="AA1154" s="9"/>
      <c r="AB1154" s="9"/>
      <c r="AC1154" s="449" t="str">
        <f t="shared" si="140"/>
        <v>PHC</v>
      </c>
      <c r="AD1154" s="449"/>
      <c r="AE1154" s="449"/>
      <c r="AF1154" s="4"/>
      <c r="AG1154" s="83"/>
      <c r="AH1154" s="4"/>
      <c r="AI1154" s="4"/>
      <c r="AJ1154" s="449"/>
      <c r="AK1154" s="449" t="s">
        <v>451</v>
      </c>
      <c r="AL1154" s="449"/>
      <c r="AM1154" s="449"/>
      <c r="AN1154" s="10">
        <v>5.5</v>
      </c>
      <c r="AO1154" s="9"/>
      <c r="AP1154" s="9"/>
      <c r="AQ1154" s="9"/>
      <c r="AR1154" s="9"/>
      <c r="AS1154" s="9"/>
      <c r="AT1154" s="9">
        <f>+ab($T$1154,$T$1152,$T$1156,$G$1153,$G$1155, 1*$F$1154,1200)</f>
        <v>-4.1049503047355094</v>
      </c>
      <c r="AU1154" s="428"/>
      <c r="AV1154" s="428"/>
      <c r="AW1154" s="449" t="s">
        <v>201</v>
      </c>
      <c r="AX1154" s="449" t="s">
        <v>201</v>
      </c>
      <c r="AY1154" s="10" t="str">
        <f>IF(L1154="","",
IF(AX1154="PT",VLOOKUP(L1154,Foundation_Calc!$K$79:$R$113,VLOOKUP(AW1154,Foundation_Calc!$I$2:$J$8,2,FALSE),0),
IF(AX1154="K",VLOOKUP(L1154,Foundation_Calc!$K$117:$R$151,VLOOKUP(AW1154,Foundation_Calc!$I$2:$J$8,2,FALSE),0),"")))</f>
        <v/>
      </c>
      <c r="AZ1154" s="10" t="str">
        <f>IF(K1154="","",
IF(AX1154="PT",VLOOKUP(K1154,Foundation_Calc!$K$79:$R$113,VLOOKUP(AW1154,Foundation_Calc!$I$2:$J$8,2,FALSE),0),
IF(AX1154="K",VLOOKUP(K1154,Foundation_Calc!$K$117:$R$151,VLOOKUP(AW1154,Foundation_Calc!$I$2:$J$8,2,FALSE),0),"")))</f>
        <v/>
      </c>
      <c r="BA1154" s="495" t="str">
        <f t="shared" si="141"/>
        <v/>
      </c>
      <c r="BB1154" s="495" t="str">
        <f t="shared" si="142"/>
        <v/>
      </c>
      <c r="BC1154" s="495" t="str">
        <f t="shared" si="143"/>
        <v/>
      </c>
      <c r="BD1154" s="513"/>
      <c r="BE1154" s="429" t="s">
        <v>118</v>
      </c>
      <c r="BF1154" s="289"/>
      <c r="BG1154" s="289"/>
      <c r="BH1154" s="290"/>
      <c r="BI1154" s="289"/>
    </row>
    <row r="1155" spans="1:61" ht="15.75" customHeight="1">
      <c r="A1155" s="517" t="s">
        <v>442</v>
      </c>
      <c r="B1155" s="450"/>
      <c r="C1155" s="3"/>
      <c r="D1155" s="83"/>
      <c r="E1155" s="4"/>
      <c r="F1155" s="4"/>
      <c r="G1155" s="6">
        <v>30</v>
      </c>
      <c r="H1155" s="449"/>
      <c r="I1155" s="4"/>
      <c r="J1155" s="3"/>
      <c r="K1155" s="449"/>
      <c r="L1155" s="449"/>
      <c r="M1155" s="449" t="str">
        <f>IF(L1155="","",
IF(AX1155="PT",VLOOKUP(L1155,Foundation_Calc!$V$79:$X$113,VLOOKUP(AX1155,Foundation_Calc!$I$10:$J$13,2,FALSE),0),
IF(AX1155="K",VLOOKUP(L1155,Foundation_Calc!$V$117:$X$151,VLOOKUP(AX1155,Foundation_Calc!$I$10:$J$13,2,FALSE),0),"")))</f>
        <v/>
      </c>
      <c r="N1155" s="449"/>
      <c r="O1155" s="449"/>
      <c r="P1155" s="449"/>
      <c r="Q1155" s="4"/>
      <c r="R1155" s="6"/>
      <c r="S1155" s="6"/>
      <c r="T1155" s="4"/>
      <c r="U1155" s="4"/>
      <c r="V1155" s="4"/>
      <c r="W1155" s="9"/>
      <c r="X1155" s="9"/>
      <c r="Y1155" s="9"/>
      <c r="Z1155" s="9"/>
      <c r="AA1155" s="9"/>
      <c r="AB1155" s="9"/>
      <c r="AC1155" s="449" t="str">
        <f t="shared" si="140"/>
        <v/>
      </c>
      <c r="AD1155" s="449"/>
      <c r="AE1155" s="449"/>
      <c r="AF1155" s="4"/>
      <c r="AG1155" s="83"/>
      <c r="AH1155" s="4"/>
      <c r="AI1155" s="4"/>
      <c r="AJ1155" s="449"/>
      <c r="AK1155" s="449"/>
      <c r="AL1155" s="449"/>
      <c r="AM1155" s="449"/>
      <c r="AN1155" s="10"/>
      <c r="AO1155" s="9"/>
      <c r="AP1155" s="9"/>
      <c r="AQ1155" s="9">
        <f>+FL_2($T$1156,$T$1154,$G$1155,1200,9.28, 1*$F$1156)</f>
        <v>-0.35000000000002224</v>
      </c>
      <c r="AR1155" s="9"/>
      <c r="AS1155" s="9"/>
      <c r="AT1155" s="9"/>
      <c r="AU1155" s="428"/>
      <c r="AV1155" s="428"/>
      <c r="AW1155" s="449" t="s">
        <v>1411</v>
      </c>
      <c r="AX1155" s="449"/>
      <c r="AY1155" s="10" t="str">
        <f>IF(L1155="","",
IF(AX1155="PT",VLOOKUP(L1155,Foundation_Calc!$K$79:$R$113,VLOOKUP(AW1155,Foundation_Calc!$I$2:$J$8,2,FALSE),0),
IF(AX1155="K",VLOOKUP(L1155,Foundation_Calc!$K$117:$R$151,VLOOKUP(AW1155,Foundation_Calc!$I$2:$J$8,2,FALSE),0),"")))</f>
        <v/>
      </c>
      <c r="AZ1155" s="10" t="str">
        <f>IF(K1155="","",
IF(AX1155="PT",VLOOKUP(K1155,Foundation_Calc!$K$79:$R$113,VLOOKUP(AW1155,Foundation_Calc!$I$2:$J$8,2,FALSE),0),
IF(AX1155="K",VLOOKUP(K1155,Foundation_Calc!$K$117:$R$151,VLOOKUP(AW1155,Foundation_Calc!$I$2:$J$8,2,FALSE),0),"")))</f>
        <v/>
      </c>
      <c r="BA1155" s="495" t="str">
        <f t="shared" si="141"/>
        <v/>
      </c>
      <c r="BB1155" s="495" t="str">
        <f t="shared" si="142"/>
        <v/>
      </c>
      <c r="BC1155" s="495" t="str">
        <f t="shared" si="143"/>
        <v/>
      </c>
      <c r="BD1155" s="513"/>
      <c r="BE1155" s="429" t="s">
        <v>118</v>
      </c>
      <c r="BF1155" s="290"/>
      <c r="BG1155" s="290"/>
      <c r="BH1155" s="290"/>
      <c r="BI1155" s="290"/>
    </row>
    <row r="1156" spans="1:61" ht="15.75" customHeight="1">
      <c r="A1156" s="517" t="s">
        <v>442</v>
      </c>
      <c r="B1156" s="450" t="s">
        <v>1540</v>
      </c>
      <c r="C1156" s="3">
        <f>+$C$1154+$G$1155</f>
        <v>58396.920000000006</v>
      </c>
      <c r="D1156" s="83"/>
      <c r="E1156" s="4"/>
      <c r="F1156" s="4">
        <v>0</v>
      </c>
      <c r="G1156" s="6"/>
      <c r="H1156" s="449"/>
      <c r="I1156" s="449"/>
      <c r="J1156" s="3"/>
      <c r="K1156" s="449"/>
      <c r="L1156" s="449" t="s">
        <v>201</v>
      </c>
      <c r="M1156" s="449" t="str">
        <f>IF(L1156="","",
IF(AX1156="PT",VLOOKUP(L1156,Foundation_Calc!$V$79:$X$113,VLOOKUP(AX1156,Foundation_Calc!$I$10:$J$13,2,FALSE),0),
IF(AX1156="K",VLOOKUP(L1156,Foundation_Calc!$V$117:$X$151,VLOOKUP(AX1156,Foundation_Calc!$I$10:$J$13,2,FALSE),0),"")))</f>
        <v/>
      </c>
      <c r="N1156" s="449" t="s">
        <v>453</v>
      </c>
      <c r="O1156" s="449"/>
      <c r="P1156" s="449"/>
      <c r="Q1156" s="4"/>
      <c r="R1156" s="6"/>
      <c r="S1156" s="6"/>
      <c r="T1156" s="4">
        <v>35</v>
      </c>
      <c r="U1156" s="4"/>
      <c r="V1156" s="4"/>
      <c r="W1156" s="9">
        <v>1.4</v>
      </c>
      <c r="X1156" s="9"/>
      <c r="Y1156" s="9"/>
      <c r="Z1156" s="9"/>
      <c r="AA1156" s="9"/>
      <c r="AB1156" s="9"/>
      <c r="AC1156" s="449" t="str">
        <f t="shared" si="140"/>
        <v>PHC</v>
      </c>
      <c r="AD1156" s="449"/>
      <c r="AE1156" s="449"/>
      <c r="AF1156" s="4"/>
      <c r="AG1156" s="83"/>
      <c r="AH1156" s="4"/>
      <c r="AI1156" s="4"/>
      <c r="AJ1156" s="449"/>
      <c r="AK1156" s="449" t="s">
        <v>451</v>
      </c>
      <c r="AL1156" s="449"/>
      <c r="AM1156" s="449"/>
      <c r="AN1156" s="10">
        <v>5.5</v>
      </c>
      <c r="AO1156" s="9"/>
      <c r="AP1156" s="9"/>
      <c r="AQ1156" s="9"/>
      <c r="AR1156" s="9"/>
      <c r="AS1156" s="9"/>
      <c r="AT1156" s="9">
        <f>+ab($T$1156,$T$1154,$T$1158,$G$1155,$G$1157, 1*$F$1156,1200)</f>
        <v>4.6889123715762251</v>
      </c>
      <c r="AU1156" s="428"/>
      <c r="AV1156" s="428"/>
      <c r="AW1156" s="449" t="s">
        <v>201</v>
      </c>
      <c r="AX1156" s="449" t="s">
        <v>201</v>
      </c>
      <c r="AY1156" s="10" t="str">
        <f>IF(L1156="","",
IF(AX1156="PT",VLOOKUP(L1156,Foundation_Calc!$K$79:$R$113,VLOOKUP(AW1156,Foundation_Calc!$I$2:$J$8,2,FALSE),0),
IF(AX1156="K",VLOOKUP(L1156,Foundation_Calc!$K$117:$R$151,VLOOKUP(AW1156,Foundation_Calc!$I$2:$J$8,2,FALSE),0),"")))</f>
        <v/>
      </c>
      <c r="AZ1156" s="10" t="str">
        <f>IF(K1156="","",
IF(AX1156="PT",VLOOKUP(K1156,Foundation_Calc!$K$79:$R$113,VLOOKUP(AW1156,Foundation_Calc!$I$2:$J$8,2,FALSE),0),
IF(AX1156="K",VLOOKUP(K1156,Foundation_Calc!$K$117:$R$151,VLOOKUP(AW1156,Foundation_Calc!$I$2:$J$8,2,FALSE),0),"")))</f>
        <v/>
      </c>
      <c r="BA1156" s="495" t="str">
        <f t="shared" si="141"/>
        <v/>
      </c>
      <c r="BB1156" s="495" t="str">
        <f t="shared" si="142"/>
        <v/>
      </c>
      <c r="BC1156" s="495" t="str">
        <f t="shared" si="143"/>
        <v/>
      </c>
      <c r="BD1156" s="513"/>
      <c r="BE1156" s="429" t="s">
        <v>118</v>
      </c>
      <c r="BF1156" s="289"/>
      <c r="BG1156" s="289"/>
      <c r="BH1156" s="290"/>
      <c r="BI1156" s="289"/>
    </row>
    <row r="1157" spans="1:61" ht="15.75" customHeight="1">
      <c r="A1157" s="514" t="s">
        <v>169</v>
      </c>
      <c r="B1157" s="450"/>
      <c r="C1157" s="3"/>
      <c r="D1157" s="83"/>
      <c r="E1157" s="4"/>
      <c r="F1157" s="4"/>
      <c r="G1157" s="6">
        <v>40</v>
      </c>
      <c r="H1157" s="449"/>
      <c r="I1157" s="4"/>
      <c r="J1157" s="3"/>
      <c r="K1157" s="449"/>
      <c r="L1157" s="449"/>
      <c r="M1157" s="449" t="str">
        <f>IF(L1157="","",
IF(AX1157="PT",VLOOKUP(L1157,Foundation_Calc!$V$79:$X$113,VLOOKUP(AX1157,Foundation_Calc!$I$10:$J$13,2,FALSE),0),
IF(AX1157="K",VLOOKUP(L1157,Foundation_Calc!$V$117:$X$151,VLOOKUP(AX1157,Foundation_Calc!$I$10:$J$13,2,FALSE),0),"")))</f>
        <v/>
      </c>
      <c r="N1157" s="449"/>
      <c r="O1157" s="449"/>
      <c r="P1157" s="449"/>
      <c r="Q1157" s="4"/>
      <c r="R1157" s="6"/>
      <c r="S1157" s="6"/>
      <c r="T1157" s="4"/>
      <c r="U1157" s="4"/>
      <c r="V1157" s="4"/>
      <c r="W1157" s="9"/>
      <c r="X1157" s="9"/>
      <c r="Y1157" s="9"/>
      <c r="Z1157" s="9"/>
      <c r="AA1157" s="9"/>
      <c r="AB1157" s="9"/>
      <c r="AC1157" s="449" t="str">
        <f t="shared" si="140"/>
        <v/>
      </c>
      <c r="AD1157" s="449"/>
      <c r="AE1157" s="449"/>
      <c r="AF1157" s="4"/>
      <c r="AG1157" s="83"/>
      <c r="AH1157" s="4"/>
      <c r="AI1157" s="4"/>
      <c r="AJ1157" s="449"/>
      <c r="AK1157" s="449"/>
      <c r="AL1157" s="449"/>
      <c r="AM1157" s="449"/>
      <c r="AN1157" s="10"/>
      <c r="AO1157" s="9"/>
      <c r="AP1157" s="9"/>
      <c r="AQ1157" s="9">
        <f>+FL_1($T$1158,$T$1156,$G$1157,1200,9.28, 1*$F$1158)</f>
        <v>0.35000000000000125</v>
      </c>
      <c r="AR1157" s="9"/>
      <c r="AS1157" s="9"/>
      <c r="AT1157" s="9"/>
      <c r="AU1157" s="428"/>
      <c r="AV1157" s="428"/>
      <c r="AW1157" s="449" t="s">
        <v>1411</v>
      </c>
      <c r="AX1157" s="449"/>
      <c r="AY1157" s="10" t="str">
        <f>IF(L1157="","",
IF(AX1157="PT",VLOOKUP(L1157,Foundation_Calc!$K$79:$R$113,VLOOKUP(AW1157,Foundation_Calc!$I$2:$J$8,2,FALSE),0),
IF(AX1157="K",VLOOKUP(L1157,Foundation_Calc!$K$117:$R$151,VLOOKUP(AW1157,Foundation_Calc!$I$2:$J$8,2,FALSE),0),"")))</f>
        <v/>
      </c>
      <c r="AZ1157" s="10" t="str">
        <f>IF(K1157="","",
IF(AX1157="PT",VLOOKUP(K1157,Foundation_Calc!$K$79:$R$113,VLOOKUP(AW1157,Foundation_Calc!$I$2:$J$8,2,FALSE),0),
IF(AX1157="K",VLOOKUP(K1157,Foundation_Calc!$K$117:$R$151,VLOOKUP(AW1157,Foundation_Calc!$I$2:$J$8,2,FALSE),0),"")))</f>
        <v/>
      </c>
      <c r="BA1157" s="495" t="str">
        <f t="shared" si="141"/>
        <v/>
      </c>
      <c r="BB1157" s="495" t="str">
        <f t="shared" si="142"/>
        <v/>
      </c>
      <c r="BC1157" s="495" t="str">
        <f t="shared" si="143"/>
        <v/>
      </c>
      <c r="BD1157" s="513"/>
      <c r="BE1157" s="429" t="s">
        <v>118</v>
      </c>
      <c r="BF1157" s="290"/>
      <c r="BG1157" s="290"/>
      <c r="BH1157" s="290"/>
      <c r="BI1157" s="290"/>
    </row>
    <row r="1158" spans="1:61" ht="15.75" customHeight="1">
      <c r="A1158" s="517" t="s">
        <v>442</v>
      </c>
      <c r="B1158" s="450" t="s">
        <v>1541</v>
      </c>
      <c r="C1158" s="3">
        <f>+$C$1156+$G$1157</f>
        <v>58436.920000000006</v>
      </c>
      <c r="D1158" s="83"/>
      <c r="E1158" s="4"/>
      <c r="F1158" s="4">
        <v>0</v>
      </c>
      <c r="G1158" s="6"/>
      <c r="H1158" s="449"/>
      <c r="I1158" s="4"/>
      <c r="J1158" s="3"/>
      <c r="K1158" s="449"/>
      <c r="L1158" s="449" t="s">
        <v>201</v>
      </c>
      <c r="M1158" s="449" t="str">
        <f>IF(L1158="","",
IF(AX1158="PT",VLOOKUP(L1158,Foundation_Calc!$V$79:$X$113,VLOOKUP(AX1158,Foundation_Calc!$I$10:$J$13,2,FALSE),0),
IF(AX1158="K",VLOOKUP(L1158,Foundation_Calc!$V$117:$X$151,VLOOKUP(AX1158,Foundation_Calc!$I$10:$J$13,2,FALSE),0),"")))</f>
        <v/>
      </c>
      <c r="N1158" s="449" t="s">
        <v>343</v>
      </c>
      <c r="O1158" s="449"/>
      <c r="P1158" s="449"/>
      <c r="Q1158" s="4"/>
      <c r="R1158" s="6"/>
      <c r="S1158" s="6"/>
      <c r="T1158" s="4">
        <v>-35</v>
      </c>
      <c r="U1158" s="4"/>
      <c r="V1158" s="4"/>
      <c r="W1158" s="9">
        <v>1.4</v>
      </c>
      <c r="X1158" s="9"/>
      <c r="Y1158" s="9"/>
      <c r="Z1158" s="9"/>
      <c r="AA1158" s="9"/>
      <c r="AB1158" s="9"/>
      <c r="AC1158" s="449" t="str">
        <f t="shared" si="140"/>
        <v>PHQ</v>
      </c>
      <c r="AD1158" s="449"/>
      <c r="AE1158" s="449"/>
      <c r="AF1158" s="4"/>
      <c r="AG1158" s="83"/>
      <c r="AH1158" s="4"/>
      <c r="AI1158" s="4"/>
      <c r="AJ1158" s="449"/>
      <c r="AK1158" s="449" t="s">
        <v>451</v>
      </c>
      <c r="AL1158" s="449"/>
      <c r="AM1158" s="449"/>
      <c r="AN1158" s="10">
        <v>5.5</v>
      </c>
      <c r="AO1158" s="9"/>
      <c r="AP1158" s="9"/>
      <c r="AQ1158" s="9"/>
      <c r="AR1158" s="9"/>
      <c r="AS1158" s="9"/>
      <c r="AT1158" s="9">
        <f>+ab($T$1158,$T$1156,$T$1160,$G$1157,$G$1159, 1*$F$1158,1200)</f>
        <v>-5.9028151088503806</v>
      </c>
      <c r="AU1158" s="428"/>
      <c r="AV1158" s="428"/>
      <c r="AW1158" s="449" t="s">
        <v>201</v>
      </c>
      <c r="AX1158" s="449" t="s">
        <v>201</v>
      </c>
      <c r="AY1158" s="10" t="str">
        <f>IF(L1158="","",
IF(AX1158="PT",VLOOKUP(L1158,Foundation_Calc!$K$79:$R$113,VLOOKUP(AW1158,Foundation_Calc!$I$2:$J$8,2,FALSE),0),
IF(AX1158="K",VLOOKUP(L1158,Foundation_Calc!$K$117:$R$151,VLOOKUP(AW1158,Foundation_Calc!$I$2:$J$8,2,FALSE),0),"")))</f>
        <v/>
      </c>
      <c r="AZ1158" s="10" t="str">
        <f>IF(K1158="","",
IF(AX1158="PT",VLOOKUP(K1158,Foundation_Calc!$K$79:$R$113,VLOOKUP(AW1158,Foundation_Calc!$I$2:$J$8,2,FALSE),0),
IF(AX1158="K",VLOOKUP(K1158,Foundation_Calc!$K$117:$R$151,VLOOKUP(AW1158,Foundation_Calc!$I$2:$J$8,2,FALSE),0),"")))</f>
        <v/>
      </c>
      <c r="BA1158" s="495" t="str">
        <f t="shared" si="141"/>
        <v/>
      </c>
      <c r="BB1158" s="495" t="str">
        <f t="shared" si="142"/>
        <v/>
      </c>
      <c r="BC1158" s="495" t="str">
        <f t="shared" si="143"/>
        <v/>
      </c>
      <c r="BD1158" s="513"/>
      <c r="BE1158" s="429" t="s">
        <v>118</v>
      </c>
      <c r="BF1158" s="289"/>
      <c r="BG1158" s="289"/>
      <c r="BH1158" s="290"/>
      <c r="BI1158" s="289"/>
    </row>
    <row r="1159" spans="1:61" ht="15.75" customHeight="1">
      <c r="A1159" s="517" t="s">
        <v>442</v>
      </c>
      <c r="B1159" s="450"/>
      <c r="C1159" s="3"/>
      <c r="D1159" s="83"/>
      <c r="E1159" s="4"/>
      <c r="F1159" s="4"/>
      <c r="G1159" s="6">
        <v>47</v>
      </c>
      <c r="H1159" s="449"/>
      <c r="I1159" s="449"/>
      <c r="J1159" s="3"/>
      <c r="K1159" s="449"/>
      <c r="L1159" s="449"/>
      <c r="M1159" s="449" t="str">
        <f>IF(L1159="","",
IF(AX1159="PT",VLOOKUP(L1159,Foundation_Calc!$V$79:$X$113,VLOOKUP(AX1159,Foundation_Calc!$I$10:$J$13,2,FALSE),0),
IF(AX1159="K",VLOOKUP(L1159,Foundation_Calc!$V$117:$X$151,VLOOKUP(AX1159,Foundation_Calc!$I$10:$J$13,2,FALSE),0),"")))</f>
        <v/>
      </c>
      <c r="N1159" s="449"/>
      <c r="O1159" s="449"/>
      <c r="P1159" s="449"/>
      <c r="Q1159" s="4"/>
      <c r="R1159" s="6"/>
      <c r="S1159" s="6"/>
      <c r="T1159" s="4"/>
      <c r="U1159" s="4"/>
      <c r="V1159" s="4"/>
      <c r="W1159" s="9"/>
      <c r="X1159" s="9"/>
      <c r="Y1159" s="9"/>
      <c r="Z1159" s="9"/>
      <c r="AA1159" s="9"/>
      <c r="AB1159" s="9"/>
      <c r="AC1159" s="449" t="str">
        <f t="shared" si="140"/>
        <v/>
      </c>
      <c r="AD1159" s="449"/>
      <c r="AE1159" s="449"/>
      <c r="AF1159" s="4"/>
      <c r="AG1159" s="83"/>
      <c r="AH1159" s="4"/>
      <c r="AI1159" s="4"/>
      <c r="AJ1159" s="449"/>
      <c r="AK1159" s="449"/>
      <c r="AL1159" s="449"/>
      <c r="AM1159" s="449"/>
      <c r="AN1159" s="10"/>
      <c r="AO1159" s="9"/>
      <c r="AP1159" s="9"/>
      <c r="AQ1159" s="9">
        <f>+FL_2($T$1160,$T$1158,$G$1159,1200,9.28, 1*$F$1160)</f>
        <v>-0.35695465849645375</v>
      </c>
      <c r="AR1159" s="9"/>
      <c r="AS1159" s="9"/>
      <c r="AT1159" s="9"/>
      <c r="AU1159" s="428"/>
      <c r="AV1159" s="428"/>
      <c r="AW1159" s="449" t="s">
        <v>1411</v>
      </c>
      <c r="AX1159" s="449"/>
      <c r="AY1159" s="10" t="str">
        <f>IF(L1159="","",
IF(AX1159="PT",VLOOKUP(L1159,Foundation_Calc!$K$79:$R$113,VLOOKUP(AW1159,Foundation_Calc!$I$2:$J$8,2,FALSE),0),
IF(AX1159="K",VLOOKUP(L1159,Foundation_Calc!$K$117:$R$151,VLOOKUP(AW1159,Foundation_Calc!$I$2:$J$8,2,FALSE),0),"")))</f>
        <v/>
      </c>
      <c r="AZ1159" s="10" t="str">
        <f>IF(K1159="","",
IF(AX1159="PT",VLOOKUP(K1159,Foundation_Calc!$K$79:$R$113,VLOOKUP(AW1159,Foundation_Calc!$I$2:$J$8,2,FALSE),0),
IF(AX1159="K",VLOOKUP(K1159,Foundation_Calc!$K$117:$R$151,VLOOKUP(AW1159,Foundation_Calc!$I$2:$J$8,2,FALSE),0),"")))</f>
        <v/>
      </c>
      <c r="BA1159" s="495" t="str">
        <f t="shared" si="141"/>
        <v/>
      </c>
      <c r="BB1159" s="495" t="str">
        <f t="shared" si="142"/>
        <v/>
      </c>
      <c r="BC1159" s="495" t="str">
        <f t="shared" si="143"/>
        <v/>
      </c>
      <c r="BD1159" s="513"/>
      <c r="BE1159" s="429" t="s">
        <v>118</v>
      </c>
      <c r="BF1159" s="290"/>
      <c r="BG1159" s="290"/>
      <c r="BH1159" s="290"/>
      <c r="BI1159" s="290"/>
    </row>
    <row r="1160" spans="1:61" ht="15.75" customHeight="1">
      <c r="A1160" s="517" t="s">
        <v>442</v>
      </c>
      <c r="B1160" s="450" t="s">
        <v>1542</v>
      </c>
      <c r="C1160" s="3">
        <f>+$C$1158+$G$1159</f>
        <v>58483.920000000006</v>
      </c>
      <c r="D1160" s="83"/>
      <c r="E1160" s="4"/>
      <c r="F1160" s="4">
        <v>0</v>
      </c>
      <c r="G1160" s="6"/>
      <c r="H1160" s="449"/>
      <c r="I1160" s="4"/>
      <c r="J1160" s="3"/>
      <c r="K1160" s="449"/>
      <c r="L1160" s="449" t="s">
        <v>201</v>
      </c>
      <c r="M1160" s="449" t="str">
        <f>IF(L1160="","",
IF(AX1160="PT",VLOOKUP(L1160,Foundation_Calc!$V$79:$X$113,VLOOKUP(AX1160,Foundation_Calc!$I$10:$J$13,2,FALSE),0),
IF(AX1160="K",VLOOKUP(L1160,Foundation_Calc!$V$117:$X$151,VLOOKUP(AX1160,Foundation_Calc!$I$10:$J$13,2,FALSE),0),"")))</f>
        <v/>
      </c>
      <c r="N1160" s="449" t="s">
        <v>453</v>
      </c>
      <c r="O1160" s="449"/>
      <c r="P1160" s="449"/>
      <c r="Q1160" s="4"/>
      <c r="R1160" s="6"/>
      <c r="S1160" s="6"/>
      <c r="T1160" s="4">
        <v>35</v>
      </c>
      <c r="U1160" s="4"/>
      <c r="V1160" s="4"/>
      <c r="W1160" s="9">
        <v>1.4</v>
      </c>
      <c r="X1160" s="9"/>
      <c r="Y1160" s="9"/>
      <c r="Z1160" s="9"/>
      <c r="AA1160" s="9"/>
      <c r="AB1160" s="9"/>
      <c r="AC1160" s="449" t="str">
        <f t="shared" si="140"/>
        <v>PHQ</v>
      </c>
      <c r="AD1160" s="449"/>
      <c r="AE1160" s="449"/>
      <c r="AF1160" s="4"/>
      <c r="AG1160" s="83"/>
      <c r="AH1160" s="4"/>
      <c r="AI1160" s="4"/>
      <c r="AJ1160" s="449"/>
      <c r="AK1160" s="449" t="s">
        <v>451</v>
      </c>
      <c r="AL1160" s="449"/>
      <c r="AM1160" s="449"/>
      <c r="AN1160" s="10">
        <v>5.5</v>
      </c>
      <c r="AO1160" s="9"/>
      <c r="AP1160" s="9"/>
      <c r="AQ1160" s="9"/>
      <c r="AR1160" s="9"/>
      <c r="AS1160" s="9"/>
      <c r="AT1160" s="9">
        <f>+ab($T$1160,$T$1158,$T$1162,$G$1159,$G$1161, 1*$F$1160,1200)</f>
        <v>6.4151580778988491</v>
      </c>
      <c r="AU1160" s="428"/>
      <c r="AV1160" s="428"/>
      <c r="AW1160" s="449" t="s">
        <v>201</v>
      </c>
      <c r="AX1160" s="449" t="s">
        <v>201</v>
      </c>
      <c r="AY1160" s="10" t="str">
        <f>IF(L1160="","",
IF(AX1160="PT",VLOOKUP(L1160,Foundation_Calc!$K$79:$R$113,VLOOKUP(AW1160,Foundation_Calc!$I$2:$J$8,2,FALSE),0),
IF(AX1160="K",VLOOKUP(L1160,Foundation_Calc!$K$117:$R$151,VLOOKUP(AW1160,Foundation_Calc!$I$2:$J$8,2,FALSE),0),"")))</f>
        <v/>
      </c>
      <c r="AZ1160" s="10" t="str">
        <f>IF(K1160="","",
IF(AX1160="PT",VLOOKUP(K1160,Foundation_Calc!$K$79:$R$113,VLOOKUP(AW1160,Foundation_Calc!$I$2:$J$8,2,FALSE),0),
IF(AX1160="K",VLOOKUP(K1160,Foundation_Calc!$K$117:$R$151,VLOOKUP(AW1160,Foundation_Calc!$I$2:$J$8,2,FALSE),0),"")))</f>
        <v/>
      </c>
      <c r="BA1160" s="495" t="str">
        <f t="shared" si="141"/>
        <v/>
      </c>
      <c r="BB1160" s="495" t="str">
        <f t="shared" si="142"/>
        <v/>
      </c>
      <c r="BC1160" s="495" t="str">
        <f t="shared" si="143"/>
        <v/>
      </c>
      <c r="BD1160" s="513"/>
      <c r="BE1160" s="429" t="s">
        <v>118</v>
      </c>
      <c r="BF1160" s="289"/>
      <c r="BG1160" s="289"/>
      <c r="BH1160" s="290"/>
      <c r="BI1160" s="289"/>
    </row>
    <row r="1161" spans="1:61" ht="15.75" customHeight="1">
      <c r="A1161" s="696" t="s">
        <v>853</v>
      </c>
      <c r="B1161" s="697"/>
      <c r="C1161" s="698"/>
      <c r="D1161" s="699"/>
      <c r="E1161" s="700"/>
      <c r="F1161" s="700"/>
      <c r="G1161" s="701">
        <v>47</v>
      </c>
      <c r="H1161" s="702"/>
      <c r="I1161" s="700"/>
      <c r="J1161" s="698"/>
      <c r="K1161" s="702"/>
      <c r="L1161" s="702"/>
      <c r="M1161" s="702" t="str">
        <f>IF(L1161="","",
IF(AX1161="PT",VLOOKUP(L1161,Foundation_Calc!$V$79:$X$113,VLOOKUP(AX1161,Foundation_Calc!$I$10:$J$13,2,FALSE),0),
IF(AX1161="K",VLOOKUP(L1161,Foundation_Calc!$V$117:$X$151,VLOOKUP(AX1161,Foundation_Calc!$I$10:$J$13,2,FALSE),0),"")))</f>
        <v/>
      </c>
      <c r="N1161" s="702"/>
      <c r="O1161" s="702"/>
      <c r="P1161" s="702"/>
      <c r="Q1161" s="700"/>
      <c r="R1161" s="701"/>
      <c r="S1161" s="701"/>
      <c r="T1161" s="700"/>
      <c r="U1161" s="700"/>
      <c r="V1161" s="700"/>
      <c r="W1161" s="703"/>
      <c r="X1161" s="703"/>
      <c r="Y1161" s="703"/>
      <c r="Z1161" s="703"/>
      <c r="AA1161" s="703"/>
      <c r="AB1161" s="703"/>
      <c r="AC1161" s="702" t="str">
        <f t="shared" si="140"/>
        <v/>
      </c>
      <c r="AD1161" s="702"/>
      <c r="AE1161" s="702"/>
      <c r="AF1161" s="700"/>
      <c r="AG1161" s="699"/>
      <c r="AH1161" s="700"/>
      <c r="AI1161" s="700"/>
      <c r="AJ1161" s="702"/>
      <c r="AK1161" s="702"/>
      <c r="AL1161" s="702"/>
      <c r="AM1161" s="702"/>
      <c r="AN1161" s="704"/>
      <c r="AO1161" s="703"/>
      <c r="AP1161" s="703"/>
      <c r="AQ1161" s="703">
        <f>+FL_1($T$1162,$T$1160,$G$1161,1200,9.28, 1*$F$1162)</f>
        <v>0.35695465849645375</v>
      </c>
      <c r="AR1161" s="703"/>
      <c r="AS1161" s="703"/>
      <c r="AT1161" s="703"/>
      <c r="AU1161" s="705"/>
      <c r="AV1161" s="705"/>
      <c r="AW1161" s="702" t="s">
        <v>1411</v>
      </c>
      <c r="AX1161" s="702"/>
      <c r="AY1161" s="704" t="str">
        <f>IF(L1161="","",
IF(AX1161="PT",VLOOKUP(L1161,Foundation_Calc!$K$79:$R$113,VLOOKUP(AW1161,Foundation_Calc!$I$2:$J$8,2,FALSE),0),
IF(AX1161="K",VLOOKUP(L1161,Foundation_Calc!$K$117:$R$151,VLOOKUP(AW1161,Foundation_Calc!$I$2:$J$8,2,FALSE),0),"")))</f>
        <v/>
      </c>
      <c r="AZ1161" s="704" t="str">
        <f>IF(K1161="","",
IF(AX1161="PT",VLOOKUP(K1161,Foundation_Calc!$K$79:$R$113,VLOOKUP(AW1161,Foundation_Calc!$I$2:$J$8,2,FALSE),0),
IF(AX1161="K",VLOOKUP(K1161,Foundation_Calc!$K$117:$R$151,VLOOKUP(AW1161,Foundation_Calc!$I$2:$J$8,2,FALSE),0),"")))</f>
        <v/>
      </c>
      <c r="BA1161" s="495" t="str">
        <f t="shared" si="141"/>
        <v/>
      </c>
      <c r="BB1161" s="495" t="str">
        <f t="shared" si="142"/>
        <v/>
      </c>
      <c r="BC1161" s="495" t="str">
        <f t="shared" si="143"/>
        <v/>
      </c>
      <c r="BD1161" s="513"/>
      <c r="BE1161" s="429" t="s">
        <v>118</v>
      </c>
      <c r="BF1161" s="290"/>
      <c r="BG1161" s="290"/>
      <c r="BH1161" s="290"/>
      <c r="BI1161" s="290"/>
    </row>
    <row r="1162" spans="1:61" ht="15.75" customHeight="1">
      <c r="A1162" s="517" t="s">
        <v>442</v>
      </c>
      <c r="B1162" s="450" t="s">
        <v>1543</v>
      </c>
      <c r="C1162" s="3">
        <f>+$C$1160+$G$1161</f>
        <v>58530.920000000006</v>
      </c>
      <c r="D1162" s="83"/>
      <c r="E1162" s="4"/>
      <c r="F1162" s="4">
        <v>0</v>
      </c>
      <c r="G1162" s="6"/>
      <c r="H1162" s="449"/>
      <c r="I1162" s="4"/>
      <c r="J1162" s="3"/>
      <c r="K1162" s="449"/>
      <c r="L1162" s="449" t="s">
        <v>201</v>
      </c>
      <c r="M1162" s="449" t="str">
        <f>IF(L1162="","",
IF(AX1162="PT",VLOOKUP(L1162,Foundation_Calc!$V$79:$X$113,VLOOKUP(AX1162,Foundation_Calc!$I$10:$J$13,2,FALSE),0),
IF(AX1162="K",VLOOKUP(L1162,Foundation_Calc!$V$117:$X$151,VLOOKUP(AX1162,Foundation_Calc!$I$10:$J$13,2,FALSE),0),"")))</f>
        <v/>
      </c>
      <c r="N1162" s="449" t="s">
        <v>343</v>
      </c>
      <c r="O1162" s="449"/>
      <c r="P1162" s="449"/>
      <c r="Q1162" s="4"/>
      <c r="R1162" s="6"/>
      <c r="S1162" s="6"/>
      <c r="T1162" s="4">
        <v>-35</v>
      </c>
      <c r="U1162" s="4"/>
      <c r="V1162" s="4"/>
      <c r="W1162" s="9">
        <v>1.4</v>
      </c>
      <c r="X1162" s="9"/>
      <c r="Y1162" s="9"/>
      <c r="Z1162" s="9"/>
      <c r="AA1162" s="9"/>
      <c r="AB1162" s="9"/>
      <c r="AC1162" s="449" t="str">
        <f t="shared" si="140"/>
        <v>PHQ</v>
      </c>
      <c r="AD1162" s="449"/>
      <c r="AE1162" s="449"/>
      <c r="AF1162" s="4"/>
      <c r="AG1162" s="83"/>
      <c r="AH1162" s="4"/>
      <c r="AI1162" s="4"/>
      <c r="AJ1162" s="449"/>
      <c r="AK1162" s="449" t="s">
        <v>451</v>
      </c>
      <c r="AL1162" s="449"/>
      <c r="AM1162" s="449"/>
      <c r="AN1162" s="10">
        <v>5.5</v>
      </c>
      <c r="AO1162" s="9"/>
      <c r="AP1162" s="9"/>
      <c r="AQ1162" s="9"/>
      <c r="AR1162" s="9"/>
      <c r="AS1162" s="9"/>
      <c r="AT1162" s="9">
        <f>+ab($T$1162,$T$1160,$T$1164,$G$1161,$G$1163, 1*$F$1162,1200)</f>
        <v>-6.4151781535653143</v>
      </c>
      <c r="AU1162" s="428"/>
      <c r="AV1162" s="428"/>
      <c r="AW1162" s="449" t="s">
        <v>201</v>
      </c>
      <c r="AX1162" s="449" t="s">
        <v>201</v>
      </c>
      <c r="AY1162" s="10" t="str">
        <f>IF(L1162="","",
IF(AX1162="PT",VLOOKUP(L1162,Foundation_Calc!$K$79:$R$113,VLOOKUP(AW1162,Foundation_Calc!$I$2:$J$8,2,FALSE),0),
IF(AX1162="K",VLOOKUP(L1162,Foundation_Calc!$K$117:$R$151,VLOOKUP(AW1162,Foundation_Calc!$I$2:$J$8,2,FALSE),0),"")))</f>
        <v/>
      </c>
      <c r="AZ1162" s="10" t="str">
        <f>IF(K1162="","",
IF(AX1162="PT",VLOOKUP(K1162,Foundation_Calc!$K$79:$R$113,VLOOKUP(AW1162,Foundation_Calc!$I$2:$J$8,2,FALSE),0),
IF(AX1162="K",VLOOKUP(K1162,Foundation_Calc!$K$117:$R$151,VLOOKUP(AW1162,Foundation_Calc!$I$2:$J$8,2,FALSE),0),"")))</f>
        <v/>
      </c>
      <c r="BA1162" s="495" t="str">
        <f t="shared" si="141"/>
        <v/>
      </c>
      <c r="BB1162" s="495" t="str">
        <f t="shared" si="142"/>
        <v/>
      </c>
      <c r="BC1162" s="495" t="str">
        <f t="shared" si="143"/>
        <v/>
      </c>
      <c r="BD1162" s="513"/>
      <c r="BE1162" s="429" t="s">
        <v>118</v>
      </c>
      <c r="BF1162" s="289"/>
      <c r="BG1162" s="289"/>
      <c r="BH1162" s="290"/>
      <c r="BI1162" s="289"/>
    </row>
    <row r="1163" spans="1:61" ht="15.75" customHeight="1">
      <c r="A1163" s="732" t="s">
        <v>861</v>
      </c>
      <c r="B1163" s="722"/>
      <c r="C1163" s="723"/>
      <c r="D1163" s="724"/>
      <c r="E1163" s="725"/>
      <c r="F1163" s="725"/>
      <c r="G1163" s="726">
        <v>47</v>
      </c>
      <c r="H1163" s="727"/>
      <c r="I1163" s="725"/>
      <c r="J1163" s="723"/>
      <c r="K1163" s="727"/>
      <c r="L1163" s="727"/>
      <c r="M1163" s="727" t="str">
        <f>IF(L1163="","",
IF(AX1163="PT",VLOOKUP(L1163,Foundation_Calc!$V$79:$X$113,VLOOKUP(AX1163,Foundation_Calc!$I$10:$J$13,2,FALSE),0),
IF(AX1163="K",VLOOKUP(L1163,Foundation_Calc!$V$117:$X$151,VLOOKUP(AX1163,Foundation_Calc!$I$10:$J$13,2,FALSE),0),"")))</f>
        <v/>
      </c>
      <c r="N1163" s="727"/>
      <c r="O1163" s="727"/>
      <c r="P1163" s="727"/>
      <c r="Q1163" s="725"/>
      <c r="R1163" s="726"/>
      <c r="S1163" s="726"/>
      <c r="T1163" s="725"/>
      <c r="U1163" s="725"/>
      <c r="V1163" s="725"/>
      <c r="W1163" s="728"/>
      <c r="X1163" s="728"/>
      <c r="Y1163" s="728"/>
      <c r="Z1163" s="728"/>
      <c r="AA1163" s="728"/>
      <c r="AB1163" s="728"/>
      <c r="AC1163" s="727" t="str">
        <f t="shared" si="140"/>
        <v/>
      </c>
      <c r="AD1163" s="727"/>
      <c r="AE1163" s="727"/>
      <c r="AF1163" s="725"/>
      <c r="AG1163" s="724"/>
      <c r="AH1163" s="725"/>
      <c r="AI1163" s="725"/>
      <c r="AJ1163" s="727"/>
      <c r="AK1163" s="727"/>
      <c r="AL1163" s="727"/>
      <c r="AM1163" s="727"/>
      <c r="AN1163" s="729"/>
      <c r="AO1163" s="728"/>
      <c r="AP1163" s="728"/>
      <c r="AQ1163" s="728">
        <f>+FL_2($T$1164,$T$1162,$G$1163,1200,9.28, 1*$F$1164)</f>
        <v>-0.35695465849645375</v>
      </c>
      <c r="AR1163" s="728"/>
      <c r="AS1163" s="728"/>
      <c r="AT1163" s="728"/>
      <c r="AU1163" s="730"/>
      <c r="AV1163" s="730"/>
      <c r="AW1163" s="727" t="s">
        <v>1411</v>
      </c>
      <c r="AX1163" s="727"/>
      <c r="AY1163" s="729" t="str">
        <f>IF(L1163="","",
IF(AX1163="PT",VLOOKUP(L1163,Foundation_Calc!$K$79:$R$113,VLOOKUP(AW1163,Foundation_Calc!$I$2:$J$8,2,FALSE),0),
IF(AX1163="K",VLOOKUP(L1163,Foundation_Calc!$K$117:$R$151,VLOOKUP(AW1163,Foundation_Calc!$I$2:$J$8,2,FALSE),0),"")))</f>
        <v/>
      </c>
      <c r="AZ1163" s="729" t="str">
        <f>IF(K1163="","",
IF(AX1163="PT",VLOOKUP(K1163,Foundation_Calc!$K$79:$R$113,VLOOKUP(AW1163,Foundation_Calc!$I$2:$J$8,2,FALSE),0),
IF(AX1163="K",VLOOKUP(K1163,Foundation_Calc!$K$117:$R$151,VLOOKUP(AW1163,Foundation_Calc!$I$2:$J$8,2,FALSE),0),"")))</f>
        <v/>
      </c>
      <c r="BA1163" s="495" t="str">
        <f t="shared" si="141"/>
        <v/>
      </c>
      <c r="BB1163" s="495" t="str">
        <f t="shared" si="142"/>
        <v/>
      </c>
      <c r="BC1163" s="495" t="str">
        <f t="shared" si="143"/>
        <v/>
      </c>
      <c r="BD1163" s="513"/>
      <c r="BE1163" s="429" t="s">
        <v>118</v>
      </c>
      <c r="BF1163" s="290"/>
      <c r="BG1163" s="290"/>
      <c r="BH1163" s="290"/>
      <c r="BI1163" s="290"/>
    </row>
    <row r="1164" spans="1:61" ht="15.75" customHeight="1">
      <c r="A1164" s="518" t="s">
        <v>438</v>
      </c>
      <c r="B1164" s="450" t="s">
        <v>1544</v>
      </c>
      <c r="C1164" s="3">
        <f>+$C$1162+$G$1163</f>
        <v>58577.920000000006</v>
      </c>
      <c r="D1164" s="83"/>
      <c r="E1164" s="4"/>
      <c r="F1164" s="4">
        <v>0</v>
      </c>
      <c r="G1164" s="6"/>
      <c r="H1164" s="449"/>
      <c r="I1164" s="449"/>
      <c r="J1164" s="3"/>
      <c r="K1164" s="449"/>
      <c r="L1164" s="449" t="s">
        <v>201</v>
      </c>
      <c r="M1164" s="449" t="str">
        <f>IF(L1164="","",
IF(AX1164="PT",VLOOKUP(L1164,Foundation_Calc!$V$79:$X$113,VLOOKUP(AX1164,Foundation_Calc!$I$10:$J$13,2,FALSE),0),
IF(AX1164="K",VLOOKUP(L1164,Foundation_Calc!$V$117:$X$151,VLOOKUP(AX1164,Foundation_Calc!$I$10:$J$13,2,FALSE),0),"")))</f>
        <v/>
      </c>
      <c r="N1164" s="449" t="s">
        <v>453</v>
      </c>
      <c r="O1164" s="449"/>
      <c r="P1164" s="449"/>
      <c r="Q1164" s="4"/>
      <c r="R1164" s="6"/>
      <c r="S1164" s="6"/>
      <c r="T1164" s="4">
        <v>35</v>
      </c>
      <c r="U1164" s="4"/>
      <c r="V1164" s="4"/>
      <c r="W1164" s="9">
        <v>1.4</v>
      </c>
      <c r="X1164" s="9"/>
      <c r="Y1164" s="9"/>
      <c r="Z1164" s="9"/>
      <c r="AA1164" s="9"/>
      <c r="AB1164" s="9"/>
      <c r="AC1164" s="449" t="str">
        <f t="shared" si="140"/>
        <v>PHQ</v>
      </c>
      <c r="AD1164" s="449"/>
      <c r="AE1164" s="449"/>
      <c r="AF1164" s="4"/>
      <c r="AG1164" s="83"/>
      <c r="AH1164" s="4"/>
      <c r="AI1164" s="4"/>
      <c r="AJ1164" s="449"/>
      <c r="AK1164" s="449" t="s">
        <v>451</v>
      </c>
      <c r="AL1164" s="449"/>
      <c r="AM1164" s="449"/>
      <c r="AN1164" s="10">
        <v>5.5</v>
      </c>
      <c r="AO1164" s="9"/>
      <c r="AP1164" s="9"/>
      <c r="AQ1164" s="9"/>
      <c r="AR1164" s="9"/>
      <c r="AS1164" s="9"/>
      <c r="AT1164" s="9">
        <f>+ab($T$1164,$T$1162,$T$1166,$G$1163,$G$1165, 1*$F$1164,1200)</f>
        <v>6.4151580778988491</v>
      </c>
      <c r="AU1164" s="428"/>
      <c r="AV1164" s="428"/>
      <c r="AW1164" s="449" t="s">
        <v>201</v>
      </c>
      <c r="AX1164" s="449" t="s">
        <v>201</v>
      </c>
      <c r="AY1164" s="10" t="str">
        <f>IF(L1164="","",
IF(AX1164="PT",VLOOKUP(L1164,Foundation_Calc!$K$79:$R$113,VLOOKUP(AW1164,Foundation_Calc!$I$2:$J$8,2,FALSE),0),
IF(AX1164="K",VLOOKUP(L1164,Foundation_Calc!$K$117:$R$151,VLOOKUP(AW1164,Foundation_Calc!$I$2:$J$8,2,FALSE),0),"")))</f>
        <v/>
      </c>
      <c r="AZ1164" s="10" t="str">
        <f>IF(K1164="","",
IF(AX1164="PT",VLOOKUP(K1164,Foundation_Calc!$K$79:$R$113,VLOOKUP(AW1164,Foundation_Calc!$I$2:$J$8,2,FALSE),0),
IF(AX1164="K",VLOOKUP(K1164,Foundation_Calc!$K$117:$R$151,VLOOKUP(AW1164,Foundation_Calc!$I$2:$J$8,2,FALSE),0),"")))</f>
        <v/>
      </c>
      <c r="BA1164" s="495" t="str">
        <f t="shared" si="141"/>
        <v/>
      </c>
      <c r="BB1164" s="495" t="str">
        <f t="shared" si="142"/>
        <v/>
      </c>
      <c r="BC1164" s="495" t="str">
        <f t="shared" si="143"/>
        <v/>
      </c>
      <c r="BD1164" s="513"/>
      <c r="BE1164" s="429" t="s">
        <v>118</v>
      </c>
      <c r="BF1164" s="289"/>
      <c r="BG1164" s="289"/>
      <c r="BH1164" s="290"/>
      <c r="BI1164" s="289"/>
    </row>
    <row r="1165" spans="1:61" ht="15.75" customHeight="1">
      <c r="A1165" s="517" t="s">
        <v>442</v>
      </c>
      <c r="B1165" s="450"/>
      <c r="C1165" s="3"/>
      <c r="D1165" s="83"/>
      <c r="E1165" s="4"/>
      <c r="F1165" s="4"/>
      <c r="G1165" s="6">
        <v>47</v>
      </c>
      <c r="H1165" s="449"/>
      <c r="I1165" s="4"/>
      <c r="J1165" s="3"/>
      <c r="K1165" s="449"/>
      <c r="L1165" s="449"/>
      <c r="M1165" s="449" t="str">
        <f>IF(L1165="","",
IF(AX1165="PT",VLOOKUP(L1165,Foundation_Calc!$V$79:$X$113,VLOOKUP(AX1165,Foundation_Calc!$I$10:$J$13,2,FALSE),0),
IF(AX1165="K",VLOOKUP(L1165,Foundation_Calc!$V$117:$X$151,VLOOKUP(AX1165,Foundation_Calc!$I$10:$J$13,2,FALSE),0),"")))</f>
        <v/>
      </c>
      <c r="N1165" s="449"/>
      <c r="O1165" s="449"/>
      <c r="P1165" s="449"/>
      <c r="Q1165" s="4"/>
      <c r="R1165" s="6"/>
      <c r="S1165" s="6"/>
      <c r="T1165" s="4"/>
      <c r="U1165" s="4"/>
      <c r="V1165" s="4"/>
      <c r="W1165" s="9"/>
      <c r="X1165" s="9"/>
      <c r="Y1165" s="9"/>
      <c r="Z1165" s="9"/>
      <c r="AA1165" s="9"/>
      <c r="AB1165" s="9"/>
      <c r="AC1165" s="449" t="str">
        <f t="shared" si="140"/>
        <v/>
      </c>
      <c r="AD1165" s="449"/>
      <c r="AE1165" s="449"/>
      <c r="AF1165" s="4"/>
      <c r="AG1165" s="83"/>
      <c r="AH1165" s="4"/>
      <c r="AI1165" s="4"/>
      <c r="AJ1165" s="449"/>
      <c r="AK1165" s="449"/>
      <c r="AL1165" s="449"/>
      <c r="AM1165" s="449"/>
      <c r="AN1165" s="10"/>
      <c r="AO1165" s="9"/>
      <c r="AP1165" s="9"/>
      <c r="AQ1165" s="9">
        <f>+FL_1($T$1166,$T$1164,$G$1165,1200,9.28, 1*$F$1166)</f>
        <v>0.35695465849645375</v>
      </c>
      <c r="AR1165" s="9"/>
      <c r="AS1165" s="9"/>
      <c r="AT1165" s="9"/>
      <c r="AU1165" s="428"/>
      <c r="AV1165" s="428"/>
      <c r="AW1165" s="449" t="s">
        <v>1411</v>
      </c>
      <c r="AX1165" s="449"/>
      <c r="AY1165" s="10" t="str">
        <f>IF(L1165="","",
IF(AX1165="PT",VLOOKUP(L1165,Foundation_Calc!$K$79:$R$113,VLOOKUP(AW1165,Foundation_Calc!$I$2:$J$8,2,FALSE),0),
IF(AX1165="K",VLOOKUP(L1165,Foundation_Calc!$K$117:$R$151,VLOOKUP(AW1165,Foundation_Calc!$I$2:$J$8,2,FALSE),0),"")))</f>
        <v/>
      </c>
      <c r="AZ1165" s="10" t="str">
        <f>IF(K1165="","",
IF(AX1165="PT",VLOOKUP(K1165,Foundation_Calc!$K$79:$R$113,VLOOKUP(AW1165,Foundation_Calc!$I$2:$J$8,2,FALSE),0),
IF(AX1165="K",VLOOKUP(K1165,Foundation_Calc!$K$117:$R$151,VLOOKUP(AW1165,Foundation_Calc!$I$2:$J$8,2,FALSE),0),"")))</f>
        <v/>
      </c>
      <c r="BA1165" s="495" t="str">
        <f t="shared" si="141"/>
        <v/>
      </c>
      <c r="BB1165" s="495" t="str">
        <f t="shared" si="142"/>
        <v/>
      </c>
      <c r="BC1165" s="495" t="str">
        <f t="shared" si="143"/>
        <v/>
      </c>
      <c r="BD1165" s="513"/>
      <c r="BE1165" s="429" t="s">
        <v>118</v>
      </c>
      <c r="BF1165" s="290"/>
      <c r="BG1165" s="290"/>
      <c r="BH1165" s="290"/>
      <c r="BI1165" s="290"/>
    </row>
    <row r="1166" spans="1:61" ht="15.75" customHeight="1">
      <c r="A1166" s="517" t="s">
        <v>442</v>
      </c>
      <c r="B1166" s="450" t="s">
        <v>1545</v>
      </c>
      <c r="C1166" s="3">
        <f>+$C$1164+$G$1165</f>
        <v>58624.920000000006</v>
      </c>
      <c r="D1166" s="83"/>
      <c r="E1166" s="4"/>
      <c r="F1166" s="4">
        <v>0</v>
      </c>
      <c r="G1166" s="6"/>
      <c r="H1166" s="449"/>
      <c r="I1166" s="4"/>
      <c r="J1166" s="3"/>
      <c r="K1166" s="449"/>
      <c r="L1166" s="449" t="s">
        <v>201</v>
      </c>
      <c r="M1166" s="449" t="str">
        <f>IF(L1166="","",
IF(AX1166="PT",VLOOKUP(L1166,Foundation_Calc!$V$79:$X$113,VLOOKUP(AX1166,Foundation_Calc!$I$10:$J$13,2,FALSE),0),
IF(AX1166="K",VLOOKUP(L1166,Foundation_Calc!$V$117:$X$151,VLOOKUP(AX1166,Foundation_Calc!$I$10:$J$13,2,FALSE),0),"")))</f>
        <v/>
      </c>
      <c r="N1166" s="449" t="s">
        <v>343</v>
      </c>
      <c r="O1166" s="449"/>
      <c r="P1166" s="449"/>
      <c r="Q1166" s="4"/>
      <c r="R1166" s="6"/>
      <c r="S1166" s="6"/>
      <c r="T1166" s="4">
        <v>-35</v>
      </c>
      <c r="U1166" s="4"/>
      <c r="V1166" s="4"/>
      <c r="W1166" s="9">
        <v>1.4</v>
      </c>
      <c r="X1166" s="9"/>
      <c r="Y1166" s="9"/>
      <c r="Z1166" s="9"/>
      <c r="AA1166" s="9"/>
      <c r="AB1166" s="9"/>
      <c r="AC1166" s="449" t="str">
        <f t="shared" si="140"/>
        <v>PHQ</v>
      </c>
      <c r="AD1166" s="449"/>
      <c r="AE1166" s="449"/>
      <c r="AF1166" s="4"/>
      <c r="AG1166" s="83"/>
      <c r="AH1166" s="4"/>
      <c r="AI1166" s="4"/>
      <c r="AJ1166" s="449"/>
      <c r="AK1166" s="449" t="s">
        <v>451</v>
      </c>
      <c r="AL1166" s="449"/>
      <c r="AM1166" s="449"/>
      <c r="AN1166" s="10">
        <v>5.5</v>
      </c>
      <c r="AO1166" s="9"/>
      <c r="AP1166" s="9"/>
      <c r="AQ1166" s="9"/>
      <c r="AR1166" s="9"/>
      <c r="AS1166" s="9"/>
      <c r="AT1166" s="9">
        <f>+ab($T$1166,$T$1164,$T$1168,$G$1165,$G$1167, 1*$F$1166,1200)</f>
        <v>-6.1763277639217726</v>
      </c>
      <c r="AU1166" s="428"/>
      <c r="AV1166" s="428"/>
      <c r="AW1166" s="449" t="s">
        <v>201</v>
      </c>
      <c r="AX1166" s="449" t="s">
        <v>201</v>
      </c>
      <c r="AY1166" s="10" t="str">
        <f>IF(L1166="","",
IF(AX1166="PT",VLOOKUP(L1166,Foundation_Calc!$K$79:$R$113,VLOOKUP(AW1166,Foundation_Calc!$I$2:$J$8,2,FALSE),0),
IF(AX1166="K",VLOOKUP(L1166,Foundation_Calc!$K$117:$R$151,VLOOKUP(AW1166,Foundation_Calc!$I$2:$J$8,2,FALSE),0),"")))</f>
        <v/>
      </c>
      <c r="AZ1166" s="10" t="str">
        <f>IF(K1166="","",
IF(AX1166="PT",VLOOKUP(K1166,Foundation_Calc!$K$79:$R$113,VLOOKUP(AW1166,Foundation_Calc!$I$2:$J$8,2,FALSE),0),
IF(AX1166="K",VLOOKUP(K1166,Foundation_Calc!$K$117:$R$151,VLOOKUP(AW1166,Foundation_Calc!$I$2:$J$8,2,FALSE),0),"")))</f>
        <v/>
      </c>
      <c r="BA1166" s="495" t="str">
        <f t="shared" si="141"/>
        <v/>
      </c>
      <c r="BB1166" s="495" t="str">
        <f t="shared" si="142"/>
        <v/>
      </c>
      <c r="BC1166" s="495" t="str">
        <f t="shared" si="143"/>
        <v/>
      </c>
      <c r="BD1166" s="513"/>
      <c r="BE1166" s="429" t="s">
        <v>118</v>
      </c>
      <c r="BF1166" s="289"/>
      <c r="BG1166" s="289"/>
      <c r="BH1166" s="290"/>
      <c r="BI1166" s="289"/>
    </row>
    <row r="1167" spans="1:61" ht="15.75" customHeight="1">
      <c r="A1167" s="517" t="s">
        <v>442</v>
      </c>
      <c r="B1167" s="450"/>
      <c r="C1167" s="3"/>
      <c r="D1167" s="83"/>
      <c r="E1167" s="4"/>
      <c r="F1167" s="4"/>
      <c r="G1167" s="6">
        <v>43.6</v>
      </c>
      <c r="H1167" s="449"/>
      <c r="I1167" s="449"/>
      <c r="J1167" s="3"/>
      <c r="K1167" s="449"/>
      <c r="L1167" s="449"/>
      <c r="M1167" s="449" t="str">
        <f>IF(L1167="","",
IF(AX1167="PT",VLOOKUP(L1167,Foundation_Calc!$V$79:$X$113,VLOOKUP(AX1167,Foundation_Calc!$I$10:$J$13,2,FALSE),0),
IF(AX1167="K",VLOOKUP(L1167,Foundation_Calc!$V$117:$X$151,VLOOKUP(AX1167,Foundation_Calc!$I$10:$J$13,2,FALSE),0),"")))</f>
        <v/>
      </c>
      <c r="N1167" s="449"/>
      <c r="O1167" s="449"/>
      <c r="P1167" s="449"/>
      <c r="Q1167" s="4"/>
      <c r="R1167" s="6"/>
      <c r="S1167" s="6"/>
      <c r="T1167" s="4"/>
      <c r="U1167" s="4"/>
      <c r="V1167" s="4"/>
      <c r="W1167" s="9"/>
      <c r="X1167" s="9"/>
      <c r="Y1167" s="9"/>
      <c r="Z1167" s="9"/>
      <c r="AA1167" s="9"/>
      <c r="AB1167" s="9"/>
      <c r="AC1167" s="449" t="str">
        <f t="shared" si="140"/>
        <v/>
      </c>
      <c r="AD1167" s="449"/>
      <c r="AE1167" s="449"/>
      <c r="AF1167" s="4"/>
      <c r="AG1167" s="83"/>
      <c r="AH1167" s="4"/>
      <c r="AI1167" s="4"/>
      <c r="AJ1167" s="449"/>
      <c r="AK1167" s="449"/>
      <c r="AL1167" s="449"/>
      <c r="AM1167" s="449"/>
      <c r="AN1167" s="10"/>
      <c r="AO1167" s="9"/>
      <c r="AP1167" s="9"/>
      <c r="AQ1167" s="9">
        <f>+FL_2($T$1168,$T$1166,$G$1167,1200,9.28, 1*$F$1168)</f>
        <v>-0.35041754696024452</v>
      </c>
      <c r="AR1167" s="9"/>
      <c r="AS1167" s="9"/>
      <c r="AT1167" s="9"/>
      <c r="AU1167" s="428"/>
      <c r="AV1167" s="428"/>
      <c r="AW1167" s="449" t="s">
        <v>1411</v>
      </c>
      <c r="AX1167" s="449"/>
      <c r="AY1167" s="10" t="str">
        <f>IF(L1167="","",
IF(AX1167="PT",VLOOKUP(L1167,Foundation_Calc!$K$79:$R$113,VLOOKUP(AW1167,Foundation_Calc!$I$2:$J$8,2,FALSE),0),
IF(AX1167="K",VLOOKUP(L1167,Foundation_Calc!$K$117:$R$151,VLOOKUP(AW1167,Foundation_Calc!$I$2:$J$8,2,FALSE),0),"")))</f>
        <v/>
      </c>
      <c r="AZ1167" s="10" t="str">
        <f>IF(K1167="","",
IF(AX1167="PT",VLOOKUP(K1167,Foundation_Calc!$K$79:$R$113,VLOOKUP(AW1167,Foundation_Calc!$I$2:$J$8,2,FALSE),0),
IF(AX1167="K",VLOOKUP(K1167,Foundation_Calc!$K$117:$R$151,VLOOKUP(AW1167,Foundation_Calc!$I$2:$J$8,2,FALSE),0),"")))</f>
        <v/>
      </c>
      <c r="BA1167" s="495" t="str">
        <f t="shared" si="141"/>
        <v/>
      </c>
      <c r="BB1167" s="495" t="str">
        <f t="shared" si="142"/>
        <v/>
      </c>
      <c r="BC1167" s="495" t="str">
        <f t="shared" si="143"/>
        <v/>
      </c>
      <c r="BD1167" s="513"/>
      <c r="BE1167" s="429" t="s">
        <v>118</v>
      </c>
      <c r="BF1167" s="290"/>
      <c r="BG1167" s="290"/>
      <c r="BH1167" s="290"/>
      <c r="BI1167" s="290"/>
    </row>
    <row r="1168" spans="1:61" ht="15.75" customHeight="1">
      <c r="A1168" s="517" t="s">
        <v>442</v>
      </c>
      <c r="B1168" s="450" t="s">
        <v>1546</v>
      </c>
      <c r="C1168" s="3">
        <f>+$C$1166+$G$1167</f>
        <v>58668.520000000004</v>
      </c>
      <c r="D1168" s="83"/>
      <c r="E1168" s="4"/>
      <c r="F1168" s="4">
        <v>0</v>
      </c>
      <c r="G1168" s="6"/>
      <c r="H1168" s="449"/>
      <c r="I1168" s="4"/>
      <c r="J1168" s="3"/>
      <c r="K1168" s="449"/>
      <c r="L1168" s="449" t="s">
        <v>201</v>
      </c>
      <c r="M1168" s="449" t="str">
        <f>IF(L1168="","",
IF(AX1168="PT",VLOOKUP(L1168,Foundation_Calc!$V$79:$X$113,VLOOKUP(AX1168,Foundation_Calc!$I$10:$J$13,2,FALSE),0),
IF(AX1168="K",VLOOKUP(L1168,Foundation_Calc!$V$117:$X$151,VLOOKUP(AX1168,Foundation_Calc!$I$10:$J$13,2,FALSE),0),"")))</f>
        <v/>
      </c>
      <c r="N1168" s="449" t="s">
        <v>453</v>
      </c>
      <c r="O1168" s="449"/>
      <c r="P1168" s="449"/>
      <c r="Q1168" s="4"/>
      <c r="R1168" s="6"/>
      <c r="S1168" s="6"/>
      <c r="T1168" s="4">
        <v>35</v>
      </c>
      <c r="U1168" s="4"/>
      <c r="V1168" s="4"/>
      <c r="W1168" s="9">
        <v>1.4</v>
      </c>
      <c r="X1168" s="9"/>
      <c r="Y1168" s="9"/>
      <c r="Z1168" s="9"/>
      <c r="AA1168" s="9"/>
      <c r="AB1168" s="9"/>
      <c r="AC1168" s="449" t="str">
        <f t="shared" si="140"/>
        <v>PHQ</v>
      </c>
      <c r="AD1168" s="449"/>
      <c r="AE1168" s="449"/>
      <c r="AF1168" s="4"/>
      <c r="AG1168" s="83"/>
      <c r="AH1168" s="4"/>
      <c r="AI1168" s="4"/>
      <c r="AJ1168" s="449"/>
      <c r="AK1168" s="449" t="s">
        <v>451</v>
      </c>
      <c r="AL1168" s="449"/>
      <c r="AM1168" s="449"/>
      <c r="AN1168" s="10">
        <v>5.5</v>
      </c>
      <c r="AO1168" s="9"/>
      <c r="AP1168" s="9"/>
      <c r="AQ1168" s="9"/>
      <c r="AR1168" s="9"/>
      <c r="AS1168" s="9"/>
      <c r="AT1168" s="9">
        <f>+ab($T$1168,$T$1166,$T$1170,$G$1167,$G$1169, 1*$F$1168,1200)</f>
        <v>6.368239952387535</v>
      </c>
      <c r="AU1168" s="428"/>
      <c r="AV1168" s="428"/>
      <c r="AW1168" s="449" t="s">
        <v>201</v>
      </c>
      <c r="AX1168" s="449" t="s">
        <v>201</v>
      </c>
      <c r="AY1168" s="10" t="str">
        <f>IF(L1168="","",
IF(AX1168="PT",VLOOKUP(L1168,Foundation_Calc!$K$79:$R$113,VLOOKUP(AW1168,Foundation_Calc!$I$2:$J$8,2,FALSE),0),
IF(AX1168="K",VLOOKUP(L1168,Foundation_Calc!$K$117:$R$151,VLOOKUP(AW1168,Foundation_Calc!$I$2:$J$8,2,FALSE),0),"")))</f>
        <v/>
      </c>
      <c r="AZ1168" s="10" t="str">
        <f>IF(K1168="","",
IF(AX1168="PT",VLOOKUP(K1168,Foundation_Calc!$K$79:$R$113,VLOOKUP(AW1168,Foundation_Calc!$I$2:$J$8,2,FALSE),0),
IF(AX1168="K",VLOOKUP(K1168,Foundation_Calc!$K$117:$R$151,VLOOKUP(AW1168,Foundation_Calc!$I$2:$J$8,2,FALSE),0),"")))</f>
        <v/>
      </c>
      <c r="BA1168" s="495" t="str">
        <f t="shared" si="141"/>
        <v/>
      </c>
      <c r="BB1168" s="495" t="str">
        <f t="shared" si="142"/>
        <v/>
      </c>
      <c r="BC1168" s="495" t="str">
        <f t="shared" si="143"/>
        <v/>
      </c>
      <c r="BD1168" s="513"/>
      <c r="BE1168" s="429" t="s">
        <v>118</v>
      </c>
      <c r="BF1168" s="289"/>
      <c r="BG1168" s="289"/>
      <c r="BH1168" s="290"/>
      <c r="BI1168" s="289"/>
    </row>
    <row r="1169" spans="1:61" ht="15.75" customHeight="1">
      <c r="A1169" s="696" t="s">
        <v>853</v>
      </c>
      <c r="B1169" s="697"/>
      <c r="C1169" s="698"/>
      <c r="D1169" s="699"/>
      <c r="E1169" s="700"/>
      <c r="F1169" s="700"/>
      <c r="G1169" s="701">
        <v>43</v>
      </c>
      <c r="H1169" s="702"/>
      <c r="I1169" s="700"/>
      <c r="J1169" s="698"/>
      <c r="K1169" s="702"/>
      <c r="L1169" s="702"/>
      <c r="M1169" s="702" t="str">
        <f>IF(L1169="","",
IF(AX1169="PT",VLOOKUP(L1169,Foundation_Calc!$V$79:$X$113,VLOOKUP(AX1169,Foundation_Calc!$I$10:$J$13,2,FALSE),0),
IF(AX1169="K",VLOOKUP(L1169,Foundation_Calc!$V$117:$X$151,VLOOKUP(AX1169,Foundation_Calc!$I$10:$J$13,2,FALSE),0),"")))</f>
        <v/>
      </c>
      <c r="N1169" s="702"/>
      <c r="O1169" s="702"/>
      <c r="P1169" s="702"/>
      <c r="Q1169" s="700"/>
      <c r="R1169" s="701"/>
      <c r="S1169" s="701"/>
      <c r="T1169" s="700"/>
      <c r="U1169" s="700"/>
      <c r="V1169" s="700"/>
      <c r="W1169" s="703"/>
      <c r="X1169" s="703"/>
      <c r="Y1169" s="703"/>
      <c r="Z1169" s="703"/>
      <c r="AA1169" s="703"/>
      <c r="AB1169" s="703"/>
      <c r="AC1169" s="702" t="str">
        <f t="shared" si="140"/>
        <v/>
      </c>
      <c r="AD1169" s="702"/>
      <c r="AE1169" s="702"/>
      <c r="AF1169" s="700"/>
      <c r="AG1169" s="699"/>
      <c r="AH1169" s="700"/>
      <c r="AI1169" s="700"/>
      <c r="AJ1169" s="702"/>
      <c r="AK1169" s="702"/>
      <c r="AL1169" s="702"/>
      <c r="AM1169" s="702"/>
      <c r="AN1169" s="704"/>
      <c r="AO1169" s="703"/>
      <c r="AP1169" s="703"/>
      <c r="AQ1169" s="703">
        <f>+FL_1($T$1170,$T$1168,$G$1169,1200,9.28, 1*$F$1170)</f>
        <v>0.3546201782325582</v>
      </c>
      <c r="AR1169" s="703"/>
      <c r="AS1169" s="703"/>
      <c r="AT1169" s="703"/>
      <c r="AU1169" s="705"/>
      <c r="AV1169" s="705"/>
      <c r="AW1169" s="702" t="s">
        <v>1411</v>
      </c>
      <c r="AX1169" s="702"/>
      <c r="AY1169" s="704" t="str">
        <f>IF(L1169="","",
IF(AX1169="PT",VLOOKUP(L1169,Foundation_Calc!$K$79:$R$113,VLOOKUP(AW1169,Foundation_Calc!$I$2:$J$8,2,FALSE),0),
IF(AX1169="K",VLOOKUP(L1169,Foundation_Calc!$K$117:$R$151,VLOOKUP(AW1169,Foundation_Calc!$I$2:$J$8,2,FALSE),0),"")))</f>
        <v/>
      </c>
      <c r="AZ1169" s="704" t="str">
        <f>IF(K1169="","",
IF(AX1169="PT",VLOOKUP(K1169,Foundation_Calc!$K$79:$R$113,VLOOKUP(AW1169,Foundation_Calc!$I$2:$J$8,2,FALSE),0),
IF(AX1169="K",VLOOKUP(K1169,Foundation_Calc!$K$117:$R$151,VLOOKUP(AW1169,Foundation_Calc!$I$2:$J$8,2,FALSE),0),"")))</f>
        <v/>
      </c>
      <c r="BA1169" s="495" t="str">
        <f t="shared" si="141"/>
        <v/>
      </c>
      <c r="BB1169" s="495" t="str">
        <f t="shared" si="142"/>
        <v/>
      </c>
      <c r="BC1169" s="495" t="str">
        <f t="shared" si="143"/>
        <v/>
      </c>
      <c r="BD1169" s="513"/>
      <c r="BE1169" s="429" t="s">
        <v>118</v>
      </c>
      <c r="BF1169" s="290"/>
      <c r="BG1169" s="290"/>
      <c r="BH1169" s="290"/>
      <c r="BI1169" s="290"/>
    </row>
    <row r="1170" spans="1:61" ht="15.75" customHeight="1">
      <c r="A1170" s="517" t="s">
        <v>442</v>
      </c>
      <c r="B1170" s="450" t="s">
        <v>1547</v>
      </c>
      <c r="C1170" s="3">
        <f>+$C$1168+$G$1169</f>
        <v>58711.520000000004</v>
      </c>
      <c r="D1170" s="83"/>
      <c r="E1170" s="4"/>
      <c r="F1170" s="4">
        <v>0</v>
      </c>
      <c r="G1170" s="6"/>
      <c r="H1170" s="449"/>
      <c r="I1170" s="4"/>
      <c r="J1170" s="3"/>
      <c r="K1170" s="449"/>
      <c r="L1170" s="449" t="s">
        <v>201</v>
      </c>
      <c r="M1170" s="449" t="str">
        <f>IF(L1170="","",
IF(AX1170="PT",VLOOKUP(L1170,Foundation_Calc!$V$79:$X$113,VLOOKUP(AX1170,Foundation_Calc!$I$10:$J$13,2,FALSE),0),
IF(AX1170="K",VLOOKUP(L1170,Foundation_Calc!$V$117:$X$151,VLOOKUP(AX1170,Foundation_Calc!$I$10:$J$13,2,FALSE),0),"")))</f>
        <v/>
      </c>
      <c r="N1170" s="449" t="s">
        <v>343</v>
      </c>
      <c r="O1170" s="449"/>
      <c r="P1170" s="449"/>
      <c r="Q1170" s="4"/>
      <c r="R1170" s="6"/>
      <c r="S1170" s="6"/>
      <c r="T1170" s="4">
        <v>-25</v>
      </c>
      <c r="U1170" s="4"/>
      <c r="V1170" s="4"/>
      <c r="W1170" s="9">
        <v>1.4</v>
      </c>
      <c r="X1170" s="9"/>
      <c r="Y1170" s="9"/>
      <c r="Z1170" s="9"/>
      <c r="AA1170" s="9"/>
      <c r="AB1170" s="9"/>
      <c r="AC1170" s="449" t="str">
        <f t="shared" si="140"/>
        <v>PH</v>
      </c>
      <c r="AD1170" s="449"/>
      <c r="AE1170" s="449"/>
      <c r="AF1170" s="4"/>
      <c r="AG1170" s="83"/>
      <c r="AH1170" s="4"/>
      <c r="AI1170" s="4"/>
      <c r="AJ1170" s="449"/>
      <c r="AK1170" s="449" t="s">
        <v>451</v>
      </c>
      <c r="AL1170" s="449"/>
      <c r="AM1170" s="449"/>
      <c r="AN1170" s="10">
        <v>5.5</v>
      </c>
      <c r="AO1170" s="9"/>
      <c r="AP1170" s="9"/>
      <c r="AQ1170" s="9"/>
      <c r="AR1170" s="9"/>
      <c r="AS1170" s="9"/>
      <c r="AT1170" s="9">
        <f>+ab($T$1170,$T$1168,$U$1172,$G$1169,$G$1171, 1*$F$1170,1200)</f>
        <v>-8.2858614754650564</v>
      </c>
      <c r="AU1170" s="428"/>
      <c r="AV1170" s="428"/>
      <c r="AW1170" s="449" t="s">
        <v>201</v>
      </c>
      <c r="AX1170" s="449" t="s">
        <v>201</v>
      </c>
      <c r="AY1170" s="10" t="str">
        <f>IF(L1170="","",
IF(AX1170="PT",VLOOKUP(L1170,Foundation_Calc!$K$79:$R$113,VLOOKUP(AW1170,Foundation_Calc!$I$2:$J$8,2,FALSE),0),
IF(AX1170="K",VLOOKUP(L1170,Foundation_Calc!$K$117:$R$151,VLOOKUP(AW1170,Foundation_Calc!$I$2:$J$8,2,FALSE),0),"")))</f>
        <v/>
      </c>
      <c r="AZ1170" s="10" t="str">
        <f>IF(K1170="","",
IF(AX1170="PT",VLOOKUP(K1170,Foundation_Calc!$K$79:$R$113,VLOOKUP(AW1170,Foundation_Calc!$I$2:$J$8,2,FALSE),0),
IF(AX1170="K",VLOOKUP(K1170,Foundation_Calc!$K$117:$R$151,VLOOKUP(AW1170,Foundation_Calc!$I$2:$J$8,2,FALSE),0),"")))</f>
        <v/>
      </c>
      <c r="BA1170" s="495" t="str">
        <f t="shared" si="141"/>
        <v/>
      </c>
      <c r="BB1170" s="495" t="str">
        <f t="shared" si="142"/>
        <v/>
      </c>
      <c r="BC1170" s="495" t="str">
        <f t="shared" si="143"/>
        <v/>
      </c>
      <c r="BD1170" s="513"/>
      <c r="BE1170" s="429" t="s">
        <v>118</v>
      </c>
      <c r="BF1170" s="289"/>
      <c r="BG1170" s="289"/>
      <c r="BH1170" s="290"/>
      <c r="BI1170" s="289"/>
    </row>
    <row r="1171" spans="1:61" ht="15.75" customHeight="1">
      <c r="A1171" s="696" t="s">
        <v>169</v>
      </c>
      <c r="B1171" s="697"/>
      <c r="C1171" s="698"/>
      <c r="D1171" s="699"/>
      <c r="E1171" s="700"/>
      <c r="F1171" s="700"/>
      <c r="G1171" s="701">
        <v>38.700000000000003</v>
      </c>
      <c r="H1171" s="702"/>
      <c r="I1171" s="700"/>
      <c r="J1171" s="698"/>
      <c r="K1171" s="702"/>
      <c r="L1171" s="702"/>
      <c r="M1171" s="702" t="str">
        <f>IF(L1171="","",
IF(AX1171="PT",VLOOKUP(L1171,Foundation_Calc!$V$79:$X$113,VLOOKUP(AX1171,Foundation_Calc!$I$10:$J$13,2,FALSE),0),
IF(AX1171="K",VLOOKUP(L1171,Foundation_Calc!$V$117:$X$151,VLOOKUP(AX1171,Foundation_Calc!$I$10:$J$13,2,FALSE),0),"")))</f>
        <v/>
      </c>
      <c r="N1171" s="702"/>
      <c r="O1171" s="702"/>
      <c r="P1171" s="702"/>
      <c r="Q1171" s="700"/>
      <c r="R1171" s="701"/>
      <c r="S1171" s="701"/>
      <c r="T1171" s="700"/>
      <c r="U1171" s="700"/>
      <c r="V1171" s="700"/>
      <c r="W1171" s="703"/>
      <c r="X1171" s="703"/>
      <c r="Y1171" s="703"/>
      <c r="Z1171" s="703"/>
      <c r="AA1171" s="703"/>
      <c r="AB1171" s="703"/>
      <c r="AC1171" s="702" t="str">
        <f t="shared" si="140"/>
        <v/>
      </c>
      <c r="AD1171" s="702"/>
      <c r="AE1171" s="702"/>
      <c r="AF1171" s="700"/>
      <c r="AG1171" s="699"/>
      <c r="AH1171" s="700"/>
      <c r="AI1171" s="700"/>
      <c r="AJ1171" s="702"/>
      <c r="AK1171" s="702"/>
      <c r="AL1171" s="702"/>
      <c r="AM1171" s="702"/>
      <c r="AN1171" s="704"/>
      <c r="AO1171" s="703"/>
      <c r="AP1171" s="703"/>
      <c r="AQ1171" s="703">
        <f>+FL_2($U$1172,$T$1170,$G$1171,1200,9.28, 1*$F$1172)</f>
        <v>-0.27265985554521965</v>
      </c>
      <c r="AR1171" s="703"/>
      <c r="AS1171" s="703"/>
      <c r="AT1171" s="703"/>
      <c r="AU1171" s="705"/>
      <c r="AV1171" s="705"/>
      <c r="AW1171" s="702" t="s">
        <v>1411</v>
      </c>
      <c r="AX1171" s="702"/>
      <c r="AY1171" s="704" t="str">
        <f>IF(L1171="","",
IF(AX1171="PT",VLOOKUP(L1171,Foundation_Calc!$K$79:$R$113,VLOOKUP(AW1171,Foundation_Calc!$I$2:$J$8,2,FALSE),0),
IF(AX1171="K",VLOOKUP(L1171,Foundation_Calc!$K$117:$R$151,VLOOKUP(AW1171,Foundation_Calc!$I$2:$J$8,2,FALSE),0),"")))</f>
        <v/>
      </c>
      <c r="AZ1171" s="704" t="str">
        <f>IF(K1171="","",
IF(AX1171="PT",VLOOKUP(K1171,Foundation_Calc!$K$79:$R$113,VLOOKUP(AW1171,Foundation_Calc!$I$2:$J$8,2,FALSE),0),
IF(AX1171="K",VLOOKUP(K1171,Foundation_Calc!$K$117:$R$151,VLOOKUP(AW1171,Foundation_Calc!$I$2:$J$8,2,FALSE),0),"")))</f>
        <v/>
      </c>
      <c r="BA1171" s="495" t="str">
        <f t="shared" si="141"/>
        <v/>
      </c>
      <c r="BB1171" s="495" t="str">
        <f t="shared" si="142"/>
        <v/>
      </c>
      <c r="BC1171" s="495" t="str">
        <f t="shared" si="143"/>
        <v/>
      </c>
      <c r="BD1171" s="513"/>
      <c r="BE1171" s="429" t="s">
        <v>118</v>
      </c>
      <c r="BF1171" s="290"/>
      <c r="BG1171" s="290"/>
      <c r="BH1171" s="290"/>
      <c r="BI1171" s="290"/>
    </row>
    <row r="1172" spans="1:61" ht="15.75" customHeight="1">
      <c r="A1172" s="721" t="s">
        <v>1548</v>
      </c>
      <c r="B1172" s="722" t="s">
        <v>1549</v>
      </c>
      <c r="C1172" s="723">
        <f>+$C$1170+$G$1171</f>
        <v>58750.22</v>
      </c>
      <c r="D1172" s="724"/>
      <c r="E1172" s="725"/>
      <c r="F1172" s="725">
        <v>0</v>
      </c>
      <c r="G1172" s="726"/>
      <c r="H1172" s="727" t="s">
        <v>131</v>
      </c>
      <c r="I1172" s="727" t="s">
        <v>132</v>
      </c>
      <c r="J1172" s="723"/>
      <c r="K1172" s="727"/>
      <c r="L1172" s="727" t="s">
        <v>201</v>
      </c>
      <c r="M1172" s="727" t="str">
        <f>IF(L1172="","",
IF(AX1172="PT",VLOOKUP(L1172,Foundation_Calc!$V$79:$X$113,VLOOKUP(AX1172,Foundation_Calc!$I$10:$J$13,2,FALSE),0),
IF(AX1172="K",VLOOKUP(L1172,Foundation_Calc!$V$117:$X$151,VLOOKUP(AX1172,Foundation_Calc!$I$10:$J$13,2,FALSE),0),"")))</f>
        <v/>
      </c>
      <c r="N1172" s="727" t="s">
        <v>840</v>
      </c>
      <c r="O1172" s="727" t="s">
        <v>453</v>
      </c>
      <c r="P1172" s="727"/>
      <c r="Q1172" s="725"/>
      <c r="R1172" s="726"/>
      <c r="S1172" s="726"/>
      <c r="T1172" s="725">
        <v>55</v>
      </c>
      <c r="U1172" s="725">
        <v>10</v>
      </c>
      <c r="V1172" s="725"/>
      <c r="W1172" s="728">
        <v>1.4</v>
      </c>
      <c r="X1172" s="728">
        <v>2.2999999999999998</v>
      </c>
      <c r="Y1172" s="728"/>
      <c r="Z1172" s="728">
        <v>0.4</v>
      </c>
      <c r="AA1172" s="728"/>
      <c r="AB1172" s="728"/>
      <c r="AC1172" s="727"/>
      <c r="AD1172" s="727"/>
      <c r="AE1172" s="727"/>
      <c r="AF1172" s="725"/>
      <c r="AG1172" s="724"/>
      <c r="AH1172" s="725"/>
      <c r="AI1172" s="725"/>
      <c r="AJ1172" s="727" t="s">
        <v>441</v>
      </c>
      <c r="AK1172" s="727" t="s">
        <v>841</v>
      </c>
      <c r="AL1172" s="727"/>
      <c r="AM1172" s="727" t="s">
        <v>345</v>
      </c>
      <c r="AN1172" s="729">
        <v>5.5</v>
      </c>
      <c r="AO1172" s="728"/>
      <c r="AP1172" s="728"/>
      <c r="AQ1172" s="728"/>
      <c r="AR1172" s="728"/>
      <c r="AS1172" s="728"/>
      <c r="AT1172" s="728">
        <f>+ab($U$1172,$T$1170,$T$1174,$G$1171,$G$1173, 1*$F$1172,1200)</f>
        <v>13.814326394726971</v>
      </c>
      <c r="AU1172" s="730"/>
      <c r="AV1172" s="730"/>
      <c r="AW1172" s="727" t="s">
        <v>201</v>
      </c>
      <c r="AX1172" s="727" t="s">
        <v>201</v>
      </c>
      <c r="AY1172" s="729" t="str">
        <f>IF(L1172="","",
IF(AX1172="PT",VLOOKUP(L1172,Foundation_Calc!$K$79:$R$113,VLOOKUP(AW1172,Foundation_Calc!$I$2:$J$8,2,FALSE),0),
IF(AX1172="K",VLOOKUP(L1172,Foundation_Calc!$K$117:$R$151,VLOOKUP(AW1172,Foundation_Calc!$I$2:$J$8,2,FALSE),0),"")))</f>
        <v/>
      </c>
      <c r="AZ1172" s="729" t="str">
        <f>IF(K1172="","",
IF(AX1172="PT",VLOOKUP(K1172,Foundation_Calc!$K$79:$R$113,VLOOKUP(AW1172,Foundation_Calc!$I$2:$J$8,2,FALSE),0),
IF(AX1172="K",VLOOKUP(K1172,Foundation_Calc!$K$117:$R$151,VLOOKUP(AW1172,Foundation_Calc!$I$2:$J$8,2,FALSE),0),"")))</f>
        <v/>
      </c>
      <c r="BA1172" s="495" t="str">
        <f t="shared" si="141"/>
        <v/>
      </c>
      <c r="BB1172" s="495" t="str">
        <f t="shared" si="142"/>
        <v/>
      </c>
      <c r="BC1172" s="495" t="str">
        <f t="shared" si="143"/>
        <v/>
      </c>
      <c r="BD1172" s="513"/>
      <c r="BE1172" s="429" t="s">
        <v>118</v>
      </c>
      <c r="BF1172" s="289"/>
      <c r="BG1172" s="289"/>
      <c r="BH1172" s="290"/>
      <c r="BI1172" s="289"/>
    </row>
    <row r="1173" spans="1:61" ht="15.75" customHeight="1">
      <c r="A1173" s="517" t="s">
        <v>442</v>
      </c>
      <c r="B1173" s="450"/>
      <c r="C1173" s="3"/>
      <c r="D1173" s="83"/>
      <c r="E1173" s="4"/>
      <c r="F1173" s="4"/>
      <c r="G1173" s="6">
        <v>43.7</v>
      </c>
      <c r="H1173" s="449"/>
      <c r="I1173" s="4"/>
      <c r="J1173" s="3">
        <f>C1174-7.5</f>
        <v>58786.42</v>
      </c>
      <c r="K1173" s="449" t="s">
        <v>166</v>
      </c>
      <c r="L1173" s="449"/>
      <c r="M1173" s="449" t="str">
        <f>IF(L1173="","",
IF(AX1173="PT",VLOOKUP(L1173,Foundation_Calc!$V$79:$X$113,VLOOKUP(AX1173,Foundation_Calc!$I$10:$J$13,2,FALSE),0),
IF(AX1173="K",VLOOKUP(L1173,Foundation_Calc!$V$117:$X$151,VLOOKUP(AX1173,Foundation_Calc!$I$10:$J$13,2,FALSE),0),"")))</f>
        <v/>
      </c>
      <c r="N1173" s="449"/>
      <c r="O1173" s="449"/>
      <c r="P1173" s="449"/>
      <c r="Q1173" s="4"/>
      <c r="R1173" s="6"/>
      <c r="S1173" s="6"/>
      <c r="T1173" s="4"/>
      <c r="U1173" s="4"/>
      <c r="V1173" s="4"/>
      <c r="W1173" s="9"/>
      <c r="X1173" s="9"/>
      <c r="Y1173" s="9"/>
      <c r="Z1173" s="9"/>
      <c r="AA1173" s="9"/>
      <c r="AB1173" s="9"/>
      <c r="AC1173" s="449" t="str">
        <f t="shared" si="140"/>
        <v/>
      </c>
      <c r="AD1173" s="449"/>
      <c r="AE1173" s="449"/>
      <c r="AF1173" s="4"/>
      <c r="AG1173" s="83"/>
      <c r="AH1173" s="4"/>
      <c r="AI1173" s="4"/>
      <c r="AJ1173" s="449"/>
      <c r="AK1173" s="449"/>
      <c r="AL1173" s="449"/>
      <c r="AM1173" s="449"/>
      <c r="AN1173" s="10"/>
      <c r="AO1173" s="9"/>
      <c r="AP1173" s="9"/>
      <c r="AQ1173" s="9">
        <f>+FL_2($T$1174,$U$1172,$G$1173,1200,9.28, 1*$F$1174)</f>
        <v>-0.19814591351029748</v>
      </c>
      <c r="AR1173" s="9"/>
      <c r="AS1173" s="9"/>
      <c r="AT1173" s="9"/>
      <c r="AU1173" s="428"/>
      <c r="AV1173" s="428"/>
      <c r="AW1173" s="449" t="str">
        <f>IF(C1173&gt;0,VLOOKUP(C1173,Foundation_Calc!$A$2:$C$13,3,1),
IF(J1173&gt;0,VLOOKUP(J1173,Foundation_Calc!$A$2:$C$13,3,1),""))</f>
        <v>Multi Soil</v>
      </c>
      <c r="AX1173" s="449" t="str">
        <f>IF(C1173&gt;0,VLOOKUP(C1173,Foundation_Calc!$E$35:$G$65,3,1),
IF(J1173&gt;0,VLOOKUP(J1173,Foundation_Calc!$E$35:$G$65,3,1),""))</f>
        <v>PT</v>
      </c>
      <c r="AY1173" s="10" t="str">
        <f>IF(L1173="","",
IF(AX1173="PT",VLOOKUP(L1173,Foundation_Calc!$K$79:$R$113,VLOOKUP(AW1173,Foundation_Calc!$I$2:$J$8,2,FALSE),0),
IF(AX1173="K",VLOOKUP(L1173,Foundation_Calc!$K$117:$R$151,VLOOKUP(AW1173,Foundation_Calc!$I$2:$J$8,2,FALSE),0),"")))</f>
        <v/>
      </c>
      <c r="AZ1173" s="10">
        <f>IF(K1173="","",
IF(AX1173="PT",VLOOKUP(K1173,Foundation_Calc!$K$79:$R$113,VLOOKUP(AW1173,Foundation_Calc!$I$2:$J$8,2,FALSE),0),
IF(AX1173="K",VLOOKUP(K1173,Foundation_Calc!$K$117:$R$151,VLOOKUP(AW1173,Foundation_Calc!$I$2:$J$8,2,FALSE),0),"")))</f>
        <v>2.8</v>
      </c>
      <c r="BA1173" s="495" t="str">
        <f t="shared" si="141"/>
        <v/>
      </c>
      <c r="BB1173" s="495" t="str">
        <f t="shared" si="142"/>
        <v>ü</v>
      </c>
      <c r="BC1173" s="495" t="str">
        <f t="shared" si="143"/>
        <v/>
      </c>
      <c r="BD1173" s="513" t="str">
        <f>IF(AND(L1173="",H1173=""),"",
IF(H1173="",Pole_Calc!A$9,
IF(H1173="MP",Pole_Calc!A$10,
IF(H1173="AnMP",Pole_Calc!A$11,
IF(H1173="A",Pole_Calc!A$12,
IF(H1173="S/A",Pole_Calc!A$13,
IF(H1173="A/S",Pole_Calc!A$14,"Poner a mano")))))))</f>
        <v/>
      </c>
      <c r="BE1173" s="429" t="s">
        <v>118</v>
      </c>
      <c r="BF1173" s="290"/>
      <c r="BG1173" s="290"/>
      <c r="BH1173" s="290"/>
      <c r="BI1173" s="290"/>
    </row>
    <row r="1174" spans="1:61" ht="15.75" customHeight="1">
      <c r="A1174" s="514"/>
      <c r="B1174" s="450" t="s">
        <v>1550</v>
      </c>
      <c r="C1174" s="3">
        <f>+$C$1172+$G$1173</f>
        <v>58793.919999999998</v>
      </c>
      <c r="D1174" s="83"/>
      <c r="E1174" s="4"/>
      <c r="F1174" s="4">
        <v>0</v>
      </c>
      <c r="G1174" s="6"/>
      <c r="H1174" s="449" t="s">
        <v>131</v>
      </c>
      <c r="I1174" s="4" t="s">
        <v>195</v>
      </c>
      <c r="J1174" s="3"/>
      <c r="K1174" s="449"/>
      <c r="L1174" s="449" t="s">
        <v>232</v>
      </c>
      <c r="M1174" s="449" t="str">
        <f>IF(L1174="","",
IF(AX1174="PT",VLOOKUP(L1174,Foundation_Calc!$V$79:$X$113,VLOOKUP(AX1174,Foundation_Calc!$I$10:$J$13,2,FALSE),0),
IF(AX1174="K",VLOOKUP(L1174,Foundation_Calc!$V$117:$X$151,VLOOKUP(AX1174,Foundation_Calc!$I$10:$J$13,2,FALSE),0),"")))</f>
        <v>C5R</v>
      </c>
      <c r="N1174" s="449" t="s">
        <v>124</v>
      </c>
      <c r="O1174" s="449" t="s">
        <v>133</v>
      </c>
      <c r="P1174" s="449"/>
      <c r="Q1174" s="4"/>
      <c r="R1174" s="6"/>
      <c r="S1174" s="6"/>
      <c r="T1174" s="4">
        <v>-10</v>
      </c>
      <c r="U1174" s="4">
        <v>-55</v>
      </c>
      <c r="V1174" s="4"/>
      <c r="W1174" s="9">
        <v>1.4</v>
      </c>
      <c r="X1174" s="9">
        <v>2.2999999999999998</v>
      </c>
      <c r="Y1174" s="9"/>
      <c r="Z1174" s="9"/>
      <c r="AA1174" s="9">
        <v>0.4</v>
      </c>
      <c r="AB1174" s="9"/>
      <c r="AC1174" s="449" t="str">
        <f t="shared" si="140"/>
        <v>PH</v>
      </c>
      <c r="AD1174" s="449"/>
      <c r="AE1174" s="449"/>
      <c r="AF1174" s="4"/>
      <c r="AG1174" s="83"/>
      <c r="AH1174" s="4"/>
      <c r="AI1174" s="4"/>
      <c r="AJ1174" s="449"/>
      <c r="AK1174" s="449"/>
      <c r="AL1174" s="449" t="s">
        <v>241</v>
      </c>
      <c r="AM1174" s="449" t="s">
        <v>126</v>
      </c>
      <c r="AN1174" s="10">
        <v>5.5</v>
      </c>
      <c r="AO1174" s="9"/>
      <c r="AP1174" s="9"/>
      <c r="AQ1174" s="9"/>
      <c r="AR1174" s="9"/>
      <c r="AS1174" s="9"/>
      <c r="AT1174" s="9">
        <f>+ab($T$1174,$U$1172,$T$1176,$G$1173,$G$1175, 1*$F$1174,1200)</f>
        <v>-14.256767386954955</v>
      </c>
      <c r="AU1174" s="428"/>
      <c r="AV1174" s="428"/>
      <c r="AW1174" s="449" t="str">
        <f>IF(C1174&gt;0,VLOOKUP(C1174,Foundation_Calc!$A$2:$C$13,3,1),
IF(J1174&gt;0,VLOOKUP(J1174,Foundation_Calc!$A$2:$C$13,3,1),""))</f>
        <v>Multi Soil</v>
      </c>
      <c r="AX1174" s="449" t="str">
        <f>IF(C1174&gt;0,VLOOKUP(C1174,Foundation_Calc!$E$35:$G$65,3,1),
IF(J1174&gt;0,VLOOKUP(J1174,Foundation_Calc!$E$35:$G$65,3,1),""))</f>
        <v>PT</v>
      </c>
      <c r="AY1174" s="10">
        <f>IF(L1174="","",
IF(AX1174="PT",VLOOKUP(L1174,Foundation_Calc!$K$79:$R$113,VLOOKUP(AW1174,Foundation_Calc!$I$2:$J$8,2,FALSE),0),
IF(AX1174="K",VLOOKUP(L1174,Foundation_Calc!$K$117:$R$151,VLOOKUP(AW1174,Foundation_Calc!$I$2:$J$8,2,FALSE),0),"")))</f>
        <v>3.5</v>
      </c>
      <c r="AZ1174" s="10" t="str">
        <f>IF(K1174="","",
IF(AX1174="PT",VLOOKUP(K1174,Foundation_Calc!$K$79:$R$113,VLOOKUP(AW1174,Foundation_Calc!$I$2:$J$8,2,FALSE),0),
IF(AX1174="K",VLOOKUP(K1174,Foundation_Calc!$K$117:$R$151,VLOOKUP(AW1174,Foundation_Calc!$I$2:$J$8,2,FALSE),0),"")))</f>
        <v/>
      </c>
      <c r="BA1174" s="495" t="str">
        <f t="shared" si="141"/>
        <v>ü</v>
      </c>
      <c r="BB1174" s="495" t="str">
        <f t="shared" si="142"/>
        <v/>
      </c>
      <c r="BC1174" s="495" t="str">
        <f t="shared" si="143"/>
        <v/>
      </c>
      <c r="BD1174" s="513" t="str">
        <f>Pole_Calc!A$251</f>
        <v>App.8-V08H-P10.3</v>
      </c>
      <c r="BE1174" s="429" t="s">
        <v>118</v>
      </c>
      <c r="BF1174" s="289"/>
      <c r="BG1174" s="289"/>
      <c r="BH1174" s="290"/>
      <c r="BI1174" s="289"/>
    </row>
    <row r="1175" spans="1:61" ht="15.75" customHeight="1">
      <c r="A1175" s="514"/>
      <c r="B1175" s="450"/>
      <c r="C1175" s="3"/>
      <c r="D1175" s="83"/>
      <c r="E1175" s="4"/>
      <c r="F1175" s="4"/>
      <c r="G1175" s="6">
        <v>52.3</v>
      </c>
      <c r="H1175" s="449"/>
      <c r="I1175" s="449"/>
      <c r="J1175" s="3"/>
      <c r="K1175" s="449"/>
      <c r="L1175" s="449"/>
      <c r="M1175" s="449" t="str">
        <f>IF(L1175="","",
IF(AX1175="PT",VLOOKUP(L1175,Foundation_Calc!$V$79:$X$113,VLOOKUP(AX1175,Foundation_Calc!$I$10:$J$13,2,FALSE),0),
IF(AX1175="K",VLOOKUP(L1175,Foundation_Calc!$V$117:$X$151,VLOOKUP(AX1175,Foundation_Calc!$I$10:$J$13,2,FALSE),0),"")))</f>
        <v/>
      </c>
      <c r="N1175" s="449"/>
      <c r="O1175" s="449"/>
      <c r="P1175" s="449"/>
      <c r="Q1175" s="4"/>
      <c r="R1175" s="6"/>
      <c r="S1175" s="6"/>
      <c r="T1175" s="4"/>
      <c r="U1175" s="4"/>
      <c r="V1175" s="4"/>
      <c r="W1175" s="9"/>
      <c r="X1175" s="9"/>
      <c r="Y1175" s="9"/>
      <c r="Z1175" s="9"/>
      <c r="AA1175" s="9"/>
      <c r="AB1175" s="9"/>
      <c r="AC1175" s="449" t="str">
        <f t="shared" si="140"/>
        <v/>
      </c>
      <c r="AD1175" s="449"/>
      <c r="AE1175" s="449"/>
      <c r="AF1175" s="4"/>
      <c r="AG1175" s="83"/>
      <c r="AH1175" s="4"/>
      <c r="AI1175" s="4"/>
      <c r="AJ1175" s="449"/>
      <c r="AK1175" s="449"/>
      <c r="AL1175" s="449"/>
      <c r="AM1175" s="449"/>
      <c r="AN1175" s="10"/>
      <c r="AO1175" s="9"/>
      <c r="AP1175" s="9"/>
      <c r="AQ1175" s="9">
        <f>+FL_1($T$1176,$T$1174,$G$1175,1200,9.28, 1*$F$1176)</f>
        <v>0.43727711702230715</v>
      </c>
      <c r="AR1175" s="9"/>
      <c r="AS1175" s="9"/>
      <c r="AT1175" s="9"/>
      <c r="AU1175" s="428"/>
      <c r="AV1175" s="428"/>
      <c r="AW1175" s="449" t="str">
        <f>IF(C1175&gt;0,VLOOKUP(C1175,Foundation_Calc!$A$2:$C$13,3,1),
IF(J1175&gt;0,VLOOKUP(J1175,Foundation_Calc!$A$2:$C$13,3,1),""))</f>
        <v/>
      </c>
      <c r="AX1175" s="449" t="str">
        <f>IF(C1175&gt;0,VLOOKUP(C1175,Foundation_Calc!$E$35:$G$65,3,1),
IF(J1175&gt;0,VLOOKUP(J1175,Foundation_Calc!$E$35:$G$65,3,1),""))</f>
        <v/>
      </c>
      <c r="AY1175" s="10" t="str">
        <f>IF(L1175="","",
IF(AX1175="PT",VLOOKUP(L1175,Foundation_Calc!$K$79:$R$113,VLOOKUP(AW1175,Foundation_Calc!$I$2:$J$8,2,FALSE),0),
IF(AX1175="K",VLOOKUP(L1175,Foundation_Calc!$K$117:$R$151,VLOOKUP(AW1175,Foundation_Calc!$I$2:$J$8,2,FALSE),0),"")))</f>
        <v/>
      </c>
      <c r="AZ1175" s="10" t="str">
        <f>IF(K1175="","",
IF(AX1175="PT",VLOOKUP(K1175,Foundation_Calc!$K$79:$R$113,VLOOKUP(AW1175,Foundation_Calc!$I$2:$J$8,2,FALSE),0),
IF(AX1175="K",VLOOKUP(K1175,Foundation_Calc!$K$117:$R$151,VLOOKUP(AW1175,Foundation_Calc!$I$2:$J$8,2,FALSE),0),"")))</f>
        <v/>
      </c>
      <c r="BA1175" s="495" t="str">
        <f t="shared" si="141"/>
        <v/>
      </c>
      <c r="BB1175" s="495" t="str">
        <f t="shared" si="142"/>
        <v/>
      </c>
      <c r="BC1175" s="495" t="str">
        <f t="shared" si="143"/>
        <v/>
      </c>
      <c r="BD1175" s="513" t="str">
        <f>IF(AND(L1175="",H1175=""),"",
IF(H1175="",Pole_Calc!A$9,
IF(H1175="MP",Pole_Calc!A$10,
IF(H1175="AnMP",Pole_Calc!A$11,
IF(H1175="A",Pole_Calc!A$12,
IF(H1175="S/A",Pole_Calc!A$13,
IF(H1175="A/S",Pole_Calc!A$14,"Poner a mano")))))))</f>
        <v/>
      </c>
      <c r="BE1175" s="429" t="s">
        <v>118</v>
      </c>
      <c r="BF1175" s="290"/>
      <c r="BG1175" s="290"/>
      <c r="BH1175" s="290"/>
      <c r="BI1175" s="290"/>
    </row>
    <row r="1176" spans="1:61" ht="15.75" customHeight="1">
      <c r="A1176" s="514"/>
      <c r="B1176" s="450" t="s">
        <v>1551</v>
      </c>
      <c r="C1176" s="3">
        <f>+$C$1174+$G$1175-0.68</f>
        <v>58845.54</v>
      </c>
      <c r="D1176" s="83"/>
      <c r="E1176" s="4"/>
      <c r="F1176" s="4">
        <v>0</v>
      </c>
      <c r="G1176" s="6"/>
      <c r="H1176" s="449" t="s">
        <v>292</v>
      </c>
      <c r="I1176" s="4" t="s">
        <v>122</v>
      </c>
      <c r="J1176" s="3"/>
      <c r="K1176" s="449"/>
      <c r="L1176" s="449" t="s">
        <v>232</v>
      </c>
      <c r="M1176" s="449" t="str">
        <f>IF(L1176="","",
IF(AX1176="PT",VLOOKUP(L1176,Foundation_Calc!$V$79:$X$113,VLOOKUP(AX1176,Foundation_Calc!$I$10:$J$13,2,FALSE),0),
IF(AX1176="K",VLOOKUP(L1176,Foundation_Calc!$V$117:$X$151,VLOOKUP(AX1176,Foundation_Calc!$I$10:$J$13,2,FALSE),0),"")))</f>
        <v>C5R</v>
      </c>
      <c r="N1176" s="449" t="s">
        <v>134</v>
      </c>
      <c r="O1176" s="553" t="s">
        <v>124</v>
      </c>
      <c r="P1176" s="449"/>
      <c r="Q1176" s="4"/>
      <c r="R1176" s="6"/>
      <c r="S1176" s="6"/>
      <c r="T1176" s="4">
        <v>35</v>
      </c>
      <c r="U1176" s="4">
        <v>20</v>
      </c>
      <c r="V1176" s="4"/>
      <c r="W1176" s="9">
        <v>1.4</v>
      </c>
      <c r="X1176" s="9">
        <v>2</v>
      </c>
      <c r="Y1176" s="9"/>
      <c r="Z1176" s="9"/>
      <c r="AA1176" s="9"/>
      <c r="AB1176" s="9"/>
      <c r="AC1176" s="449" t="str">
        <f t="shared" si="140"/>
        <v>PH</v>
      </c>
      <c r="AD1176" s="449"/>
      <c r="AE1176" s="449"/>
      <c r="AF1176" s="4"/>
      <c r="AG1176" s="83"/>
      <c r="AH1176" s="4"/>
      <c r="AI1176" s="4"/>
      <c r="AJ1176" s="449"/>
      <c r="AK1176" s="449"/>
      <c r="AL1176" s="449" t="s">
        <v>241</v>
      </c>
      <c r="AM1176" s="449" t="s">
        <v>126</v>
      </c>
      <c r="AN1176" s="10">
        <v>5.5</v>
      </c>
      <c r="AO1176" s="9"/>
      <c r="AP1176" s="9"/>
      <c r="AQ1176" s="9"/>
      <c r="AR1176" s="9"/>
      <c r="AS1176" s="9"/>
      <c r="AT1176" s="9">
        <f>+ab($T$1176,$T$1174,$T$1178,$G$1175,$G$1177, 1*$F$1176,1200)</f>
        <v>8.1897925145512556</v>
      </c>
      <c r="AU1176" s="428"/>
      <c r="AV1176" s="428"/>
      <c r="AW1176" s="449" t="str">
        <f>IF(C1176&gt;0,VLOOKUP(C1176,Foundation_Calc!$A$2:$C$13,3,1),
IF(J1176&gt;0,VLOOKUP(J1176,Foundation_Calc!$A$2:$C$13,3,1),""))</f>
        <v>Multi Soil</v>
      </c>
      <c r="AX1176" s="449" t="str">
        <f>IF(C1176&gt;0,VLOOKUP(C1176,Foundation_Calc!$E$35:$G$65,3,1),
IF(J1176&gt;0,VLOOKUP(J1176,Foundation_Calc!$E$35:$G$65,3,1),""))</f>
        <v>PT</v>
      </c>
      <c r="AY1176" s="10">
        <f>IF(L1176="","",
IF(AX1176="PT",VLOOKUP(L1176,Foundation_Calc!$K$79:$R$113,VLOOKUP(AW1176,Foundation_Calc!$I$2:$J$8,2,FALSE),0),
IF(AX1176="K",VLOOKUP(L1176,Foundation_Calc!$K$117:$R$151,VLOOKUP(AW1176,Foundation_Calc!$I$2:$J$8,2,FALSE),0),"")))</f>
        <v>3.5</v>
      </c>
      <c r="AZ1176" s="10" t="str">
        <f>IF(K1176="","",
IF(AX1176="PT",VLOOKUP(K1176,Foundation_Calc!$K$79:$R$113,VLOOKUP(AW1176,Foundation_Calc!$I$2:$J$8,2,FALSE),0),
IF(AX1176="K",VLOOKUP(K1176,Foundation_Calc!$K$117:$R$151,VLOOKUP(AW1176,Foundation_Calc!$I$2:$J$8,2,FALSE),0),"")))</f>
        <v/>
      </c>
      <c r="BA1176" s="495" t="str">
        <f t="shared" si="141"/>
        <v>ü</v>
      </c>
      <c r="BB1176" s="495" t="str">
        <f t="shared" si="142"/>
        <v/>
      </c>
      <c r="BC1176" s="495" t="str">
        <f t="shared" si="143"/>
        <v/>
      </c>
      <c r="BD1176" s="513" t="str">
        <f>Pole_Calc!A$251</f>
        <v>App.8-V08H-P10.3</v>
      </c>
      <c r="BE1176" s="429" t="s">
        <v>118</v>
      </c>
      <c r="BF1176" s="289"/>
      <c r="BG1176" s="289"/>
      <c r="BH1176" s="290"/>
      <c r="BI1176" s="289"/>
    </row>
    <row r="1177" spans="1:61" ht="15.75" customHeight="1">
      <c r="A1177" s="514"/>
      <c r="B1177" s="450"/>
      <c r="C1177" s="3"/>
      <c r="D1177" s="83"/>
      <c r="E1177" s="4"/>
      <c r="F1177" s="4"/>
      <c r="G1177" s="6">
        <v>37.5</v>
      </c>
      <c r="H1177" s="449"/>
      <c r="I1177" s="4"/>
      <c r="J1177" s="3">
        <f>C1176+7.5</f>
        <v>58853.04</v>
      </c>
      <c r="K1177" s="449" t="s">
        <v>117</v>
      </c>
      <c r="L1177" s="449"/>
      <c r="M1177" s="449" t="str">
        <f>IF(L1177="","",
IF(AX1177="PT",VLOOKUP(L1177,Foundation_Calc!$V$79:$X$113,VLOOKUP(AX1177,Foundation_Calc!$I$10:$J$13,2,FALSE),0),
IF(AX1177="K",VLOOKUP(L1177,Foundation_Calc!$V$117:$X$151,VLOOKUP(AX1177,Foundation_Calc!$I$10:$J$13,2,FALSE),0),"")))</f>
        <v/>
      </c>
      <c r="N1177" s="449"/>
      <c r="O1177" s="449"/>
      <c r="P1177" s="449"/>
      <c r="Q1177" s="4"/>
      <c r="R1177" s="6"/>
      <c r="S1177" s="6"/>
      <c r="T1177" s="4"/>
      <c r="U1177" s="4"/>
      <c r="V1177" s="4"/>
      <c r="W1177" s="9"/>
      <c r="X1177" s="9"/>
      <c r="Y1177" s="9"/>
      <c r="Z1177" s="9"/>
      <c r="AA1177" s="9"/>
      <c r="AB1177" s="9"/>
      <c r="AC1177" s="449" t="str">
        <f t="shared" si="140"/>
        <v/>
      </c>
      <c r="AD1177" s="449"/>
      <c r="AE1177" s="449"/>
      <c r="AF1177" s="4"/>
      <c r="AG1177" s="83"/>
      <c r="AH1177" s="4"/>
      <c r="AI1177" s="4"/>
      <c r="AJ1177" s="449"/>
      <c r="AK1177" s="449"/>
      <c r="AL1177" s="449"/>
      <c r="AM1177" s="449"/>
      <c r="AN1177" s="10"/>
      <c r="AO1177" s="9"/>
      <c r="AP1177" s="9"/>
      <c r="AQ1177" s="9">
        <f>+FL_1($T$1178,$T$1176,$G$1177,1200,9.28, 1*$F$1178)</f>
        <v>0.35000000000000009</v>
      </c>
      <c r="AR1177" s="9"/>
      <c r="AS1177" s="9"/>
      <c r="AT1177" s="9"/>
      <c r="AU1177" s="428"/>
      <c r="AV1177" s="428"/>
      <c r="AW1177" s="449" t="str">
        <f>IF(C1177&gt;0,VLOOKUP(C1177,Foundation_Calc!$A$2:$C$13,3,1),
IF(J1177&gt;0,VLOOKUP(J1177,Foundation_Calc!$A$2:$C$13,3,1),""))</f>
        <v>Multi Soil</v>
      </c>
      <c r="AX1177" s="449" t="str">
        <f>IF(C1177&gt;0,VLOOKUP(C1177,Foundation_Calc!$E$35:$G$65,3,1),
IF(J1177&gt;0,VLOOKUP(J1177,Foundation_Calc!$E$35:$G$65,3,1),""))</f>
        <v>PT</v>
      </c>
      <c r="AY1177" s="10" t="str">
        <f>IF(L1177="","",
IF(AX1177="PT",VLOOKUP(L1177,Foundation_Calc!$K$79:$R$113,VLOOKUP(AW1177,Foundation_Calc!$I$2:$J$8,2,FALSE),0),
IF(AX1177="K",VLOOKUP(L1177,Foundation_Calc!$K$117:$R$151,VLOOKUP(AW1177,Foundation_Calc!$I$2:$J$8,2,FALSE),0),"")))</f>
        <v/>
      </c>
      <c r="AZ1177" s="10">
        <f>IF(K1177="","",
IF(AX1177="PT",VLOOKUP(K1177,Foundation_Calc!$K$79:$R$113,VLOOKUP(AW1177,Foundation_Calc!$I$2:$J$8,2,FALSE),0),
IF(AX1177="K",VLOOKUP(K1177,Foundation_Calc!$K$117:$R$151,VLOOKUP(AW1177,Foundation_Calc!$I$2:$J$8,2,FALSE),0),"")))</f>
        <v>3.9</v>
      </c>
      <c r="BA1177" s="495" t="str">
        <f t="shared" si="141"/>
        <v/>
      </c>
      <c r="BB1177" s="495" t="str">
        <f t="shared" si="142"/>
        <v>ü</v>
      </c>
      <c r="BC1177" s="495" t="str">
        <f t="shared" si="143"/>
        <v/>
      </c>
      <c r="BD1177" s="513" t="str">
        <f>IF(AND(L1177="",H1177=""),"",
IF(H1177="",Pole_Calc!A$9,
IF(H1177="MP",Pole_Calc!A$10,
IF(H1177="AnMP",Pole_Calc!A$11,
IF(H1177="A",Pole_Calc!A$12,
IF(H1177="S/A",Pole_Calc!A$13,
IF(H1177="A/S",Pole_Calc!A$14,"Poner a mano")))))))</f>
        <v/>
      </c>
      <c r="BE1177" s="429" t="s">
        <v>118</v>
      </c>
      <c r="BF1177" s="290"/>
      <c r="BG1177" s="290"/>
      <c r="BH1177" s="290"/>
      <c r="BI1177" s="290"/>
    </row>
    <row r="1178" spans="1:61" ht="15.75" customHeight="1">
      <c r="A1178" s="514"/>
      <c r="B1178" s="450" t="s">
        <v>1552</v>
      </c>
      <c r="C1178" s="3">
        <f>+$C$1176+$G$1177</f>
        <v>58883.040000000001</v>
      </c>
      <c r="D1178" s="83"/>
      <c r="E1178" s="4"/>
      <c r="F1178" s="4">
        <v>0</v>
      </c>
      <c r="G1178" s="6"/>
      <c r="H1178" s="449" t="s">
        <v>131</v>
      </c>
      <c r="I1178" s="4"/>
      <c r="J1178" s="3"/>
      <c r="K1178" s="449"/>
      <c r="L1178" s="449" t="s">
        <v>232</v>
      </c>
      <c r="M1178" s="449" t="str">
        <f>IF(L1178="","",
IF(AX1178="PT",VLOOKUP(L1178,Foundation_Calc!$V$79:$X$113,VLOOKUP(AX1178,Foundation_Calc!$I$10:$J$13,2,FALSE),0),
IF(AX1178="K",VLOOKUP(L1178,Foundation_Calc!$V$117:$X$151,VLOOKUP(AX1178,Foundation_Calc!$I$10:$J$13,2,FALSE),0),"")))</f>
        <v>C5R</v>
      </c>
      <c r="N1178" s="449" t="s">
        <v>124</v>
      </c>
      <c r="O1178" s="553" t="s">
        <v>133</v>
      </c>
      <c r="P1178" s="449"/>
      <c r="Q1178" s="4"/>
      <c r="R1178" s="6"/>
      <c r="S1178" s="6"/>
      <c r="T1178" s="4">
        <v>-20</v>
      </c>
      <c r="U1178" s="4">
        <v>-55</v>
      </c>
      <c r="V1178" s="4"/>
      <c r="W1178" s="9">
        <v>1.4</v>
      </c>
      <c r="X1178" s="9">
        <v>2</v>
      </c>
      <c r="Y1178" s="9"/>
      <c r="Z1178" s="9"/>
      <c r="AA1178" s="9">
        <v>0.3</v>
      </c>
      <c r="AB1178" s="9"/>
      <c r="AC1178" s="449" t="str">
        <f t="shared" si="140"/>
        <v>PHQ</v>
      </c>
      <c r="AD1178" s="449"/>
      <c r="AE1178" s="449"/>
      <c r="AF1178" s="4"/>
      <c r="AG1178" s="83"/>
      <c r="AH1178" s="4"/>
      <c r="AI1178" s="4"/>
      <c r="AJ1178" s="449"/>
      <c r="AK1178" s="449"/>
      <c r="AL1178" s="449" t="s">
        <v>241</v>
      </c>
      <c r="AM1178" s="449" t="s">
        <v>126</v>
      </c>
      <c r="AN1178" s="10">
        <v>5.5</v>
      </c>
      <c r="AO1178" s="9"/>
      <c r="AP1178" s="9"/>
      <c r="AQ1178" s="9"/>
      <c r="AR1178" s="9"/>
      <c r="AS1178" s="9"/>
      <c r="AT1178" s="9">
        <f>+ab($T$1178,$T$1176,$T$1180,$G$1177,$G$1179, 1*$F$1178,1200)</f>
        <v>-7.1360998025090838</v>
      </c>
      <c r="AU1178" s="428"/>
      <c r="AV1178" s="428"/>
      <c r="AW1178" s="449" t="str">
        <f>IF(C1178&gt;0,VLOOKUP(C1178,Foundation_Calc!$A$2:$C$13,3,1),
IF(J1178&gt;0,VLOOKUP(J1178,Foundation_Calc!$A$2:$C$13,3,1),""))</f>
        <v>Multi Soil</v>
      </c>
      <c r="AX1178" s="449" t="str">
        <f>IF(C1178&gt;0,VLOOKUP(C1178,Foundation_Calc!$E$35:$G$65,3,1),
IF(J1178&gt;0,VLOOKUP(J1178,Foundation_Calc!$E$35:$G$65,3,1),""))</f>
        <v>PT</v>
      </c>
      <c r="AY1178" s="10">
        <f>IF(L1178="","",
IF(AX1178="PT",VLOOKUP(L1178,Foundation_Calc!$K$79:$R$113,VLOOKUP(AW1178,Foundation_Calc!$I$2:$J$8,2,FALSE),0),
IF(AX1178="K",VLOOKUP(L1178,Foundation_Calc!$K$117:$R$151,VLOOKUP(AW1178,Foundation_Calc!$I$2:$J$8,2,FALSE),0),"")))</f>
        <v>3.5</v>
      </c>
      <c r="AZ1178" s="10" t="str">
        <f>IF(K1178="","",
IF(AX1178="PT",VLOOKUP(K1178,Foundation_Calc!$K$79:$R$113,VLOOKUP(AW1178,Foundation_Calc!$I$2:$J$8,2,FALSE),0),
IF(AX1178="K",VLOOKUP(K1178,Foundation_Calc!$K$117:$R$151,VLOOKUP(AW1178,Foundation_Calc!$I$2:$J$8,2,FALSE),0),"")))</f>
        <v/>
      </c>
      <c r="BA1178" s="495" t="str">
        <f t="shared" si="141"/>
        <v>ü</v>
      </c>
      <c r="BB1178" s="495" t="str">
        <f t="shared" si="142"/>
        <v/>
      </c>
      <c r="BC1178" s="495" t="str">
        <f t="shared" si="143"/>
        <v/>
      </c>
      <c r="BD1178" s="513" t="str">
        <f>Pole_Calc!A$251</f>
        <v>App.8-V08H-P10.3</v>
      </c>
      <c r="BE1178" s="429" t="s">
        <v>118</v>
      </c>
      <c r="BF1178" s="289"/>
      <c r="BG1178" s="289"/>
      <c r="BH1178" s="290"/>
      <c r="BI1178" s="289"/>
    </row>
    <row r="1179" spans="1:61" ht="15.75" customHeight="1">
      <c r="A1179" s="514"/>
      <c r="B1179" s="450"/>
      <c r="C1179" s="3"/>
      <c r="D1179" s="83"/>
      <c r="E1179" s="4"/>
      <c r="F1179" s="4"/>
      <c r="G1179" s="6">
        <v>33.1</v>
      </c>
      <c r="H1179" s="449"/>
      <c r="I1179" s="4">
        <v>295</v>
      </c>
      <c r="J1179" s="3"/>
      <c r="K1179" s="449"/>
      <c r="L1179" s="449"/>
      <c r="M1179" s="449" t="str">
        <f>IF(L1179="","",
IF(AX1179="PT",VLOOKUP(L1179,Foundation_Calc!$V$79:$X$113,VLOOKUP(AX1179,Foundation_Calc!$I$10:$J$13,2,FALSE),0),
IF(AX1179="K",VLOOKUP(L1179,Foundation_Calc!$V$117:$X$151,VLOOKUP(AX1179,Foundation_Calc!$I$10:$J$13,2,FALSE),0),"")))</f>
        <v/>
      </c>
      <c r="N1179" s="449"/>
      <c r="O1179" s="449"/>
      <c r="P1179" s="449"/>
      <c r="Q1179" s="4"/>
      <c r="R1179" s="6"/>
      <c r="S1179" s="6"/>
      <c r="T1179" s="4"/>
      <c r="U1179" s="4"/>
      <c r="V1179" s="4"/>
      <c r="W1179" s="9"/>
      <c r="X1179" s="9"/>
      <c r="Y1179" s="9"/>
      <c r="Z1179" s="9"/>
      <c r="AA1179" s="9"/>
      <c r="AB1179" s="9"/>
      <c r="AC1179" s="449" t="str">
        <f t="shared" si="140"/>
        <v/>
      </c>
      <c r="AD1179" s="449"/>
      <c r="AE1179" s="449"/>
      <c r="AF1179" s="4"/>
      <c r="AG1179" s="83"/>
      <c r="AH1179" s="4"/>
      <c r="AI1179" s="4"/>
      <c r="AJ1179" s="449"/>
      <c r="AK1179" s="449"/>
      <c r="AL1179" s="449"/>
      <c r="AM1179" s="449"/>
      <c r="AN1179" s="10"/>
      <c r="AO1179" s="9"/>
      <c r="AP1179" s="9"/>
      <c r="AQ1179" s="9">
        <f>+FL_2($T$1180,$T$1178,$G$1179,1200,9.28, 1*$F$1180)</f>
        <v>-0.20928925451469554</v>
      </c>
      <c r="AR1179" s="9"/>
      <c r="AS1179" s="9"/>
      <c r="AT1179" s="9"/>
      <c r="AU1179" s="428"/>
      <c r="AV1179" s="428"/>
      <c r="AW1179" s="449" t="str">
        <f>IF(C1179&gt;0,VLOOKUP(C1179,Foundation_Calc!$A$2:$C$13,3,1),
IF(J1179&gt;0,VLOOKUP(J1179,Foundation_Calc!$A$2:$C$13,3,1),""))</f>
        <v/>
      </c>
      <c r="AX1179" s="449" t="str">
        <f>IF(C1179&gt;0,VLOOKUP(C1179,Foundation_Calc!$E$35:$G$65,3,1),
IF(J1179&gt;0,VLOOKUP(J1179,Foundation_Calc!$E$35:$G$65,3,1),""))</f>
        <v/>
      </c>
      <c r="AY1179" s="10" t="str">
        <f>IF(L1179="","",
IF(AX1179="PT",VLOOKUP(L1179,Foundation_Calc!$K$79:$R$113,VLOOKUP(AW1179,Foundation_Calc!$I$2:$J$8,2,FALSE),0),
IF(AX1179="K",VLOOKUP(L1179,Foundation_Calc!$K$117:$R$151,VLOOKUP(AW1179,Foundation_Calc!$I$2:$J$8,2,FALSE),0),"")))</f>
        <v/>
      </c>
      <c r="AZ1179" s="10" t="str">
        <f>IF(K1179="","",
IF(AX1179="PT",VLOOKUP(K1179,Foundation_Calc!$K$79:$R$113,VLOOKUP(AW1179,Foundation_Calc!$I$2:$J$8,2,FALSE),0),
IF(AX1179="K",VLOOKUP(K1179,Foundation_Calc!$K$117:$R$151,VLOOKUP(AW1179,Foundation_Calc!$I$2:$J$8,2,FALSE),0),"")))</f>
        <v/>
      </c>
      <c r="BA1179" s="495" t="str">
        <f t="shared" si="141"/>
        <v/>
      </c>
      <c r="BB1179" s="495" t="str">
        <f t="shared" si="142"/>
        <v/>
      </c>
      <c r="BC1179" s="495" t="str">
        <f t="shared" si="143"/>
        <v/>
      </c>
      <c r="BD1179" s="513" t="str">
        <f>IF(AND(L1179="",H1179=""),"",
IF(H1179="",Pole_Calc!A$9,
IF(H1179="MP",Pole_Calc!A$10,
IF(H1179="AnMP",Pole_Calc!A$11,
IF(H1179="A",Pole_Calc!A$12,
IF(H1179="S/A",Pole_Calc!A$13,
IF(H1179="A/S",Pole_Calc!A$14,"Poner a mano")))))))</f>
        <v/>
      </c>
      <c r="BE1179" s="429" t="s">
        <v>118</v>
      </c>
      <c r="BF1179" s="290"/>
      <c r="BG1179" s="290"/>
      <c r="BH1179" s="290"/>
      <c r="BI1179" s="290"/>
    </row>
    <row r="1180" spans="1:61" ht="15.75" customHeight="1">
      <c r="A1180" s="514"/>
      <c r="B1180" s="450" t="s">
        <v>1553</v>
      </c>
      <c r="C1180" s="3">
        <f>+$C$1178+$G$1179</f>
        <v>58916.14</v>
      </c>
      <c r="D1180" s="83"/>
      <c r="E1180" s="4"/>
      <c r="F1180" s="4">
        <v>4632.0864237350615</v>
      </c>
      <c r="G1180" s="6"/>
      <c r="H1180" s="449" t="s">
        <v>284</v>
      </c>
      <c r="I1180" s="449" t="s">
        <v>122</v>
      </c>
      <c r="J1180" s="3"/>
      <c r="K1180" s="449"/>
      <c r="L1180" s="449" t="s">
        <v>268</v>
      </c>
      <c r="M1180" s="449" t="str">
        <f>IF(L1180="","",
IF(AX1180="PT",VLOOKUP(L1180,Foundation_Calc!$V$79:$X$113,VLOOKUP(AX1180,Foundation_Calc!$I$10:$J$13,2,FALSE),0),
IF(AX1180="K",VLOOKUP(L1180,Foundation_Calc!$V$117:$X$151,VLOOKUP(AX1180,Foundation_Calc!$I$10:$J$13,2,FALSE),0),"")))</f>
        <v>C7R</v>
      </c>
      <c r="N1180" s="449" t="s">
        <v>453</v>
      </c>
      <c r="O1180" s="449"/>
      <c r="P1180" s="449"/>
      <c r="Q1180" s="4"/>
      <c r="R1180" s="6"/>
      <c r="S1180" s="6"/>
      <c r="T1180" s="4">
        <v>20</v>
      </c>
      <c r="U1180" s="4"/>
      <c r="V1180" s="4"/>
      <c r="W1180" s="572">
        <v>1.2</v>
      </c>
      <c r="X1180" s="572"/>
      <c r="Y1180" s="9"/>
      <c r="Z1180" s="9"/>
      <c r="AA1180" s="9"/>
      <c r="AB1180" s="9"/>
      <c r="AC1180" s="449" t="str">
        <f t="shared" si="140"/>
        <v>PH</v>
      </c>
      <c r="AD1180" s="449"/>
      <c r="AE1180" s="449"/>
      <c r="AF1180" s="4"/>
      <c r="AG1180" s="83"/>
      <c r="AH1180" s="4"/>
      <c r="AI1180" s="4"/>
      <c r="AJ1180" s="449"/>
      <c r="AK1180" s="449" t="s">
        <v>451</v>
      </c>
      <c r="AL1180" s="449" t="s">
        <v>269</v>
      </c>
      <c r="AM1180" s="449" t="s">
        <v>126</v>
      </c>
      <c r="AN1180" s="10">
        <v>5.5</v>
      </c>
      <c r="AO1180" s="9"/>
      <c r="AP1180" s="9"/>
      <c r="AQ1180" s="9"/>
      <c r="AR1180" s="9"/>
      <c r="AS1180" s="9"/>
      <c r="AT1180" s="9">
        <f>+ab($T$1180,$T$1178,$T$1182,$G$1179,$G$1181, 1*$F$1180,1200)</f>
        <v>11.832176044546419</v>
      </c>
      <c r="AU1180" s="428"/>
      <c r="AV1180" s="428"/>
      <c r="AW1180" s="449" t="str">
        <f>IF(C1180&gt;0,VLOOKUP(C1180,Foundation_Calc!$A$2:$C$13,3,1),
IF(J1180&gt;0,VLOOKUP(J1180,Foundation_Calc!$A$2:$C$13,3,1),""))</f>
        <v>Multi Soil</v>
      </c>
      <c r="AX1180" s="449" t="str">
        <f>IF(C1180&gt;0,VLOOKUP(C1180,Foundation_Calc!$E$35:$G$65,3,1),
IF(J1180&gt;0,VLOOKUP(J1180,Foundation_Calc!$E$35:$G$65,3,1),""))</f>
        <v>PT</v>
      </c>
      <c r="AY1180" s="10">
        <f>IF(L1180="","",
IF(AX1180="PT",VLOOKUP(L1180,Foundation_Calc!$K$79:$R$113,VLOOKUP(AW1180,Foundation_Calc!$I$2:$J$8,2,FALSE),0),
IF(AX1180="K",VLOOKUP(L1180,Foundation_Calc!$K$117:$R$151,VLOOKUP(AW1180,Foundation_Calc!$I$2:$J$8,2,FALSE),0),"")))</f>
        <v>4</v>
      </c>
      <c r="AZ1180" s="10" t="str">
        <f>IF(K1180="","",
IF(AX1180="PT",VLOOKUP(K1180,Foundation_Calc!$K$79:$R$113,VLOOKUP(AW1180,Foundation_Calc!$I$2:$J$8,2,FALSE),0),
IF(AX1180="K",VLOOKUP(K1180,Foundation_Calc!$K$117:$R$151,VLOOKUP(AW1180,Foundation_Calc!$I$2:$J$8,2,FALSE),0),"")))</f>
        <v/>
      </c>
      <c r="BA1180" s="495" t="str">
        <f t="shared" si="141"/>
        <v>ü</v>
      </c>
      <c r="BB1180" s="495" t="str">
        <f t="shared" si="142"/>
        <v/>
      </c>
      <c r="BC1180" s="495" t="str">
        <f t="shared" si="143"/>
        <v/>
      </c>
      <c r="BD1180" s="513" t="str">
        <f>Pole_Calc!A$251</f>
        <v>App.8-V08H-P10.3</v>
      </c>
      <c r="BE1180" s="429" t="s">
        <v>118</v>
      </c>
      <c r="BF1180" s="289"/>
      <c r="BG1180" s="289"/>
      <c r="BH1180" s="290"/>
      <c r="BI1180" s="289"/>
    </row>
    <row r="1181" spans="1:61" ht="15.75" customHeight="1">
      <c r="A1181" s="514"/>
      <c r="B1181" s="450"/>
      <c r="C1181" s="3"/>
      <c r="D1181" s="83"/>
      <c r="E1181" s="4"/>
      <c r="F1181" s="4"/>
      <c r="G1181" s="6">
        <v>32</v>
      </c>
      <c r="H1181" s="449"/>
      <c r="I1181" s="4"/>
      <c r="J1181" s="3">
        <f>C1180+7.5</f>
        <v>58923.64</v>
      </c>
      <c r="K1181" s="449" t="s">
        <v>117</v>
      </c>
      <c r="L1181" s="449"/>
      <c r="M1181" s="449" t="str">
        <f>IF(L1181="","",
IF(AX1181="PT",VLOOKUP(L1181,Foundation_Calc!$V$79:$X$113,VLOOKUP(AX1181,Foundation_Calc!$I$10:$J$13,2,FALSE),0),
IF(AX1181="K",VLOOKUP(L1181,Foundation_Calc!$V$117:$X$151,VLOOKUP(AX1181,Foundation_Calc!$I$10:$J$13,2,FALSE),0),"")))</f>
        <v/>
      </c>
      <c r="N1181" s="449"/>
      <c r="O1181" s="449"/>
      <c r="P1181" s="449"/>
      <c r="Q1181" s="4"/>
      <c r="R1181" s="6"/>
      <c r="S1181" s="6"/>
      <c r="T1181" s="4"/>
      <c r="U1181" s="4"/>
      <c r="V1181" s="4"/>
      <c r="W1181" s="572"/>
      <c r="X1181" s="572"/>
      <c r="Y1181" s="9"/>
      <c r="Z1181" s="9"/>
      <c r="AA1181" s="9"/>
      <c r="AB1181" s="9"/>
      <c r="AC1181" s="449" t="str">
        <f t="shared" ref="AC1181:AC1244" si="147">IF(OR(AT1181&gt;8,AT1181&lt;-8),"PH",
IF(OR(AT1181&gt;5,AT1181&lt;-5),"PHQ",
IF(OR(AT1181&gt;1,AT1181&lt;-1),
"PHC","")))</f>
        <v/>
      </c>
      <c r="AD1181" s="449"/>
      <c r="AE1181" s="449"/>
      <c r="AF1181" s="4"/>
      <c r="AG1181" s="83"/>
      <c r="AH1181" s="4"/>
      <c r="AI1181" s="4"/>
      <c r="AJ1181" s="449"/>
      <c r="AK1181" s="449"/>
      <c r="AL1181" s="449"/>
      <c r="AM1181" s="449"/>
      <c r="AN1181" s="10"/>
      <c r="AO1181" s="9"/>
      <c r="AP1181" s="9"/>
      <c r="AQ1181" s="9">
        <f>+FL_1($T$1182,$T$1180,$G$1181,1200,9.28, 1*$F$1182)</f>
        <v>0.307427413772838</v>
      </c>
      <c r="AR1181" s="9"/>
      <c r="AS1181" s="9"/>
      <c r="AT1181" s="9"/>
      <c r="AU1181" s="428"/>
      <c r="AV1181" s="428"/>
      <c r="AW1181" s="449" t="str">
        <f>IF(C1181&gt;0,VLOOKUP(C1181,Foundation_Calc!$A$2:$C$13,3,1),
IF(J1181&gt;0,VLOOKUP(J1181,Foundation_Calc!$A$2:$C$13,3,1),""))</f>
        <v>Multi Soil</v>
      </c>
      <c r="AX1181" s="449" t="str">
        <f>IF(C1181&gt;0,VLOOKUP(C1181,Foundation_Calc!$E$35:$G$65,3,1),
IF(J1181&gt;0,VLOOKUP(J1181,Foundation_Calc!$E$35:$G$65,3,1),""))</f>
        <v>PT</v>
      </c>
      <c r="AY1181" s="10" t="str">
        <f>IF(L1181="","",
IF(AX1181="PT",VLOOKUP(L1181,Foundation_Calc!$K$79:$R$113,VLOOKUP(AW1181,Foundation_Calc!$I$2:$J$8,2,FALSE),0),
IF(AX1181="K",VLOOKUP(L1181,Foundation_Calc!$K$117:$R$151,VLOOKUP(AW1181,Foundation_Calc!$I$2:$J$8,2,FALSE),0),"")))</f>
        <v/>
      </c>
      <c r="AZ1181" s="10">
        <f>IF(K1181="","",
IF(AX1181="PT",VLOOKUP(K1181,Foundation_Calc!$K$79:$R$113,VLOOKUP(AW1181,Foundation_Calc!$I$2:$J$8,2,FALSE),0),
IF(AX1181="K",VLOOKUP(K1181,Foundation_Calc!$K$117:$R$151,VLOOKUP(AW1181,Foundation_Calc!$I$2:$J$8,2,FALSE),0),"")))</f>
        <v>3.9</v>
      </c>
      <c r="BA1181" s="495" t="str">
        <f t="shared" si="141"/>
        <v/>
      </c>
      <c r="BB1181" s="495" t="str">
        <f t="shared" si="142"/>
        <v>ü</v>
      </c>
      <c r="BC1181" s="495" t="str">
        <f t="shared" si="143"/>
        <v/>
      </c>
      <c r="BD1181" s="513" t="str">
        <f>IF(AND(L1181="",H1181=""),"",
IF(H1181="",Pole_Calc!A$9,
IF(H1181="MP",Pole_Calc!A$10,
IF(H1181="AnMP",Pole_Calc!A$11,
IF(H1181="A",Pole_Calc!A$12,
IF(H1181="S/A",Pole_Calc!A$13,
IF(H1181="A/S",Pole_Calc!A$14,"Poner a mano")))))))</f>
        <v/>
      </c>
      <c r="BE1181" s="429" t="s">
        <v>118</v>
      </c>
      <c r="BF1181" s="290"/>
      <c r="BG1181" s="290"/>
      <c r="BH1181" s="290"/>
      <c r="BI1181" s="290"/>
    </row>
    <row r="1182" spans="1:61" ht="15.75" customHeight="1">
      <c r="A1182" s="514"/>
      <c r="B1182" s="891" t="s">
        <v>1554</v>
      </c>
      <c r="C1182" s="3">
        <f>+$C$1180+$G$1181</f>
        <v>58948.14</v>
      </c>
      <c r="D1182" s="83"/>
      <c r="E1182" s="4"/>
      <c r="F1182" s="4">
        <v>2279.6540231711147</v>
      </c>
      <c r="G1182" s="6"/>
      <c r="H1182" s="449"/>
      <c r="I1182" s="4"/>
      <c r="J1182" s="3"/>
      <c r="K1182" s="449"/>
      <c r="L1182" s="449" t="s">
        <v>232</v>
      </c>
      <c r="M1182" s="449" t="str">
        <f>IF(L1182="","",
IF(AX1182="PT",VLOOKUP(L1182,Foundation_Calc!$V$79:$X$113,VLOOKUP(AX1182,Foundation_Calc!$I$10:$J$13,2,FALSE),0),
IF(AX1182="K",VLOOKUP(L1182,Foundation_Calc!$V$117:$X$151,VLOOKUP(AX1182,Foundation_Calc!$I$10:$J$13,2,FALSE),0),"")))</f>
        <v>C5R</v>
      </c>
      <c r="N1182" s="449" t="s">
        <v>134</v>
      </c>
      <c r="O1182" s="449"/>
      <c r="P1182" s="449"/>
      <c r="Q1182" s="4"/>
      <c r="R1182" s="6"/>
      <c r="S1182" s="6"/>
      <c r="T1182" s="4">
        <v>30</v>
      </c>
      <c r="U1182" s="4"/>
      <c r="V1182" s="4"/>
      <c r="W1182" s="572">
        <v>1.1000000000000001</v>
      </c>
      <c r="X1182" s="572"/>
      <c r="Y1182" s="9"/>
      <c r="Z1182" s="9"/>
      <c r="AA1182" s="9"/>
      <c r="AB1182" s="9"/>
      <c r="AC1182" s="449" t="str">
        <f t="shared" si="147"/>
        <v>PH</v>
      </c>
      <c r="AD1182" s="449"/>
      <c r="AE1182" s="449"/>
      <c r="AF1182" s="4"/>
      <c r="AG1182" s="83"/>
      <c r="AH1182" s="4"/>
      <c r="AI1182" s="4"/>
      <c r="AJ1182" s="449"/>
      <c r="AK1182" s="449"/>
      <c r="AL1182" s="449" t="s">
        <v>241</v>
      </c>
      <c r="AM1182" s="449" t="s">
        <v>126</v>
      </c>
      <c r="AN1182" s="10">
        <f>AN1184+0.04</f>
        <v>5.4700000000000006</v>
      </c>
      <c r="AO1182" s="9"/>
      <c r="AP1182" s="9"/>
      <c r="AQ1182" s="9"/>
      <c r="AR1182" s="9"/>
      <c r="AS1182" s="9"/>
      <c r="AT1182" s="9">
        <f>+ab($T$1182,$T$1180,$T$1184,$G$1181,$G$1183, 1*$F$1182,1200)</f>
        <v>10.708483860297722</v>
      </c>
      <c r="AU1182" s="428"/>
      <c r="AV1182" s="428"/>
      <c r="AW1182" s="449" t="str">
        <f>IF(C1182&gt;0,VLOOKUP(C1182,Foundation_Calc!$A$2:$C$13,3,1),
IF(J1182&gt;0,VLOOKUP(J1182,Foundation_Calc!$A$2:$C$13,3,1),""))</f>
        <v>Multi Soil</v>
      </c>
      <c r="AX1182" s="449" t="str">
        <f>IF(C1182&gt;0,VLOOKUP(C1182,Foundation_Calc!$E$35:$G$65,3,1),
IF(J1182&gt;0,VLOOKUP(J1182,Foundation_Calc!$E$35:$G$65,3,1),""))</f>
        <v>PT</v>
      </c>
      <c r="AY1182" s="10">
        <f>IF(L1182="","",
IF(AX1182="PT",VLOOKUP(L1182,Foundation_Calc!$K$79:$R$113,VLOOKUP(AW1182,Foundation_Calc!$I$2:$J$8,2,FALSE),0),
IF(AX1182="K",VLOOKUP(L1182,Foundation_Calc!$K$117:$R$151,VLOOKUP(AW1182,Foundation_Calc!$I$2:$J$8,2,FALSE),0),"")))</f>
        <v>3.5</v>
      </c>
      <c r="AZ1182" s="10" t="str">
        <f>IF(K1182="","",
IF(AX1182="PT",VLOOKUP(K1182,Foundation_Calc!$K$79:$R$113,VLOOKUP(AW1182,Foundation_Calc!$I$2:$J$8,2,FALSE),0),
IF(AX1182="K",VLOOKUP(K1182,Foundation_Calc!$K$117:$R$151,VLOOKUP(AW1182,Foundation_Calc!$I$2:$J$8,2,FALSE),0),"")))</f>
        <v/>
      </c>
      <c r="BA1182" s="495" t="str">
        <f t="shared" si="141"/>
        <v>ü</v>
      </c>
      <c r="BB1182" s="495" t="str">
        <f t="shared" si="142"/>
        <v/>
      </c>
      <c r="BC1182" s="495" t="str">
        <f t="shared" si="143"/>
        <v/>
      </c>
      <c r="BD1182" s="513" t="str">
        <f>Pole_Calc!A$251</f>
        <v>App.8-V08H-P10.3</v>
      </c>
      <c r="BE1182" s="429" t="s">
        <v>118</v>
      </c>
      <c r="BF1182" s="289"/>
      <c r="BG1182" s="289"/>
      <c r="BH1182" s="290"/>
      <c r="BI1182" s="289"/>
    </row>
    <row r="1183" spans="1:61" ht="15.75" customHeight="1">
      <c r="A1183" s="514"/>
      <c r="B1183" s="450"/>
      <c r="C1183" s="3"/>
      <c r="D1183" s="83"/>
      <c r="E1183" s="4"/>
      <c r="F1183" s="4"/>
      <c r="G1183" s="6">
        <v>34.5</v>
      </c>
      <c r="H1183" s="449"/>
      <c r="I1183" s="449"/>
      <c r="J1183" s="3"/>
      <c r="K1183" s="449"/>
      <c r="L1183" s="449"/>
      <c r="M1183" s="449" t="str">
        <f>IF(L1183="","",
IF(AX1183="PT",VLOOKUP(L1183,Foundation_Calc!$V$79:$X$113,VLOOKUP(AX1183,Foundation_Calc!$I$10:$J$13,2,FALSE),0),
IF(AX1183="K",VLOOKUP(L1183,Foundation_Calc!$V$117:$X$151,VLOOKUP(AX1183,Foundation_Calc!$I$10:$J$13,2,FALSE),0),"")))</f>
        <v/>
      </c>
      <c r="N1183" s="449"/>
      <c r="O1183" s="449"/>
      <c r="P1183" s="449"/>
      <c r="Q1183" s="4"/>
      <c r="R1183" s="6"/>
      <c r="S1183" s="6"/>
      <c r="T1183" s="4"/>
      <c r="U1183" s="4"/>
      <c r="V1183" s="4"/>
      <c r="W1183" s="572"/>
      <c r="X1183" s="572"/>
      <c r="Y1183" s="9"/>
      <c r="Z1183" s="9"/>
      <c r="AA1183" s="9"/>
      <c r="AB1183" s="9"/>
      <c r="AC1183" s="449" t="str">
        <f t="shared" si="147"/>
        <v/>
      </c>
      <c r="AD1183" s="449"/>
      <c r="AE1183" s="449"/>
      <c r="AF1183" s="4"/>
      <c r="AG1183" s="83"/>
      <c r="AH1183" s="4"/>
      <c r="AI1183" s="4"/>
      <c r="AJ1183" s="449"/>
      <c r="AK1183" s="449"/>
      <c r="AL1183" s="449"/>
      <c r="AM1183" s="449"/>
      <c r="AN1183" s="10"/>
      <c r="AO1183" s="9"/>
      <c r="AP1183" s="9"/>
      <c r="AQ1183" s="9">
        <f>+FL_1($T$1184,$T$1182,$G$1183,1200,9.28, 1*$F$1184)</f>
        <v>0.31405460343297553</v>
      </c>
      <c r="AR1183" s="9"/>
      <c r="AS1183" s="9"/>
      <c r="AT1183" s="9"/>
      <c r="AU1183" s="428"/>
      <c r="AV1183" s="428"/>
      <c r="AW1183" s="449" t="str">
        <f>IF(C1183&gt;0,VLOOKUP(C1183,Foundation_Calc!$A$2:$C$13,3,1),
IF(J1183&gt;0,VLOOKUP(J1183,Foundation_Calc!$A$2:$C$13,3,1),""))</f>
        <v/>
      </c>
      <c r="AX1183" s="449" t="str">
        <f>IF(C1183&gt;0,VLOOKUP(C1183,Foundation_Calc!$E$35:$G$65,3,1),
IF(J1183&gt;0,VLOOKUP(J1183,Foundation_Calc!$E$35:$G$65,3,1),""))</f>
        <v/>
      </c>
      <c r="AY1183" s="10" t="str">
        <f>IF(L1183="","",
IF(AX1183="PT",VLOOKUP(L1183,Foundation_Calc!$K$79:$R$113,VLOOKUP(AW1183,Foundation_Calc!$I$2:$J$8,2,FALSE),0),
IF(AX1183="K",VLOOKUP(L1183,Foundation_Calc!$K$117:$R$151,VLOOKUP(AW1183,Foundation_Calc!$I$2:$J$8,2,FALSE),0),"")))</f>
        <v/>
      </c>
      <c r="AZ1183" s="10" t="str">
        <f>IF(K1183="","",
IF(AX1183="PT",VLOOKUP(K1183,Foundation_Calc!$K$79:$R$113,VLOOKUP(AW1183,Foundation_Calc!$I$2:$J$8,2,FALSE),0),
IF(AX1183="K",VLOOKUP(K1183,Foundation_Calc!$K$117:$R$151,VLOOKUP(AW1183,Foundation_Calc!$I$2:$J$8,2,FALSE),0),"")))</f>
        <v/>
      </c>
      <c r="BA1183" s="495" t="str">
        <f t="shared" si="141"/>
        <v/>
      </c>
      <c r="BB1183" s="495" t="str">
        <f t="shared" si="142"/>
        <v/>
      </c>
      <c r="BC1183" s="495" t="str">
        <f t="shared" si="143"/>
        <v/>
      </c>
      <c r="BD1183" s="513" t="str">
        <f>IF(AND(L1183="",H1183=""),"",
IF(H1183="",Pole_Calc!A$9,
IF(H1183="MP",Pole_Calc!A$10,
IF(H1183="AnMP",Pole_Calc!A$11,
IF(H1183="A",Pole_Calc!A$12,
IF(H1183="S/A",Pole_Calc!A$13,
IF(H1183="A/S",Pole_Calc!A$14,"Poner a mano")))))))</f>
        <v/>
      </c>
      <c r="BE1183" s="429" t="s">
        <v>118</v>
      </c>
      <c r="BF1183" s="290"/>
      <c r="BG1183" s="290"/>
      <c r="BH1183" s="290"/>
      <c r="BI1183" s="290"/>
    </row>
    <row r="1184" spans="1:61" ht="15.75" customHeight="1">
      <c r="A1184" s="514"/>
      <c r="B1184" s="892" t="s">
        <v>1555</v>
      </c>
      <c r="C1184" s="3">
        <f>+$C$1182+$G$1183</f>
        <v>58982.64</v>
      </c>
      <c r="D1184" s="83"/>
      <c r="E1184" s="4"/>
      <c r="F1184" s="4">
        <v>1473.0899394934645</v>
      </c>
      <c r="G1184" s="6"/>
      <c r="H1184" s="449"/>
      <c r="I1184" s="4"/>
      <c r="J1184" s="3"/>
      <c r="K1184" s="449"/>
      <c r="L1184" s="449" t="s">
        <v>148</v>
      </c>
      <c r="M1184" s="449" t="str">
        <f>IF(L1184="","",
IF(AX1184="PT",VLOOKUP(L1184,Foundation_Calc!$V$79:$X$113,VLOOKUP(AX1184,Foundation_Calc!$I$10:$J$13,2,FALSE),0),
IF(AX1184="K",VLOOKUP(L1184,Foundation_Calc!$V$117:$X$151,VLOOKUP(AX1184,Foundation_Calc!$I$10:$J$13,2,FALSE),0),"")))</f>
        <v>C4R</v>
      </c>
      <c r="N1184" s="449" t="s">
        <v>134</v>
      </c>
      <c r="O1184" s="449"/>
      <c r="P1184" s="449"/>
      <c r="Q1184" s="4"/>
      <c r="R1184" s="6"/>
      <c r="S1184" s="6"/>
      <c r="T1184" s="4">
        <v>30</v>
      </c>
      <c r="U1184" s="4"/>
      <c r="V1184" s="4"/>
      <c r="W1184" s="572">
        <v>0.8</v>
      </c>
      <c r="X1184" s="572"/>
      <c r="Y1184" s="9"/>
      <c r="Z1184" s="9"/>
      <c r="AA1184" s="9"/>
      <c r="AB1184" s="9"/>
      <c r="AC1184" s="449" t="str">
        <f t="shared" si="147"/>
        <v>PHQ</v>
      </c>
      <c r="AD1184" s="449"/>
      <c r="AE1184" s="449"/>
      <c r="AF1184" s="4"/>
      <c r="AG1184" s="83"/>
      <c r="AH1184" s="4"/>
      <c r="AI1184" s="4"/>
      <c r="AJ1184" s="449"/>
      <c r="AK1184" s="449"/>
      <c r="AL1184" s="449"/>
      <c r="AM1184" s="449" t="s">
        <v>126</v>
      </c>
      <c r="AN1184" s="10">
        <f>AN1186+0.03</f>
        <v>5.4300000000000006</v>
      </c>
      <c r="AO1184" s="9"/>
      <c r="AP1184" s="9"/>
      <c r="AQ1184" s="9"/>
      <c r="AR1184" s="9"/>
      <c r="AS1184" s="9"/>
      <c r="AT1184" s="9">
        <f>+ab($T$1184,$T$1182,$T$1186,$G$1183,$G$1185, 1*$F$1184,1200)</f>
        <v>7.5446829713557326</v>
      </c>
      <c r="AU1184" s="428"/>
      <c r="AV1184" s="428"/>
      <c r="AW1184" s="449" t="str">
        <f>IF(C1184&gt;0,VLOOKUP(C1184,Foundation_Calc!$A$2:$C$13,3,1),
IF(J1184&gt;0,VLOOKUP(J1184,Foundation_Calc!$A$2:$C$13,3,1),""))</f>
        <v>Multi Soil</v>
      </c>
      <c r="AX1184" s="449" t="str">
        <f>IF(C1184&gt;0,VLOOKUP(C1184,Foundation_Calc!$E$35:$G$65,3,1),
IF(J1184&gt;0,VLOOKUP(J1184,Foundation_Calc!$E$35:$G$65,3,1),""))</f>
        <v>PT</v>
      </c>
      <c r="AY1184" s="10">
        <f>IF(L1184="","",
IF(AX1184="PT",VLOOKUP(L1184,Foundation_Calc!$K$79:$R$113,VLOOKUP(AW1184,Foundation_Calc!$I$2:$J$8,2,FALSE),0),
IF(AX1184="K",VLOOKUP(L1184,Foundation_Calc!$K$117:$R$151,VLOOKUP(AW1184,Foundation_Calc!$I$2:$J$8,2,FALSE),0),"")))</f>
        <v>3.7</v>
      </c>
      <c r="AZ1184" s="10" t="str">
        <f>IF(K1184="","",
IF(AX1184="PT",VLOOKUP(K1184,Foundation_Calc!$K$79:$R$113,VLOOKUP(AW1184,Foundation_Calc!$I$2:$J$8,2,FALSE),0),
IF(AX1184="K",VLOOKUP(K1184,Foundation_Calc!$K$117:$R$151,VLOOKUP(AW1184,Foundation_Calc!$I$2:$J$8,2,FALSE),0),"")))</f>
        <v/>
      </c>
      <c r="BA1184" s="495" t="str">
        <f t="shared" si="141"/>
        <v>ü</v>
      </c>
      <c r="BB1184" s="495" t="str">
        <f t="shared" si="142"/>
        <v/>
      </c>
      <c r="BC1184" s="495" t="str">
        <f t="shared" si="143"/>
        <v/>
      </c>
      <c r="BD1184" s="513" t="str">
        <f>IF(AND(L1184="",H1184=""),"",
IF(H1184="",Pole_Calc!A$9,
IF(H1184="MP",Pole_Calc!A$10,
IF(H1184="AnMP",Pole_Calc!A$11,
IF(H1184="A",Pole_Calc!A$12,
IF(H1184="S/A",Pole_Calc!A$13,
IF(H1184="A/S",Pole_Calc!A$14,"Poner a mano")))))))</f>
        <v>App.7-V11I-P9.5.1.1</v>
      </c>
      <c r="BE1184" s="429" t="s">
        <v>118</v>
      </c>
      <c r="BF1184" s="289"/>
      <c r="BG1184" s="289"/>
      <c r="BH1184" s="290"/>
      <c r="BI1184" s="289"/>
    </row>
    <row r="1185" spans="1:61" ht="15.75" customHeight="1">
      <c r="A1185" s="514"/>
      <c r="B1185" s="450"/>
      <c r="C1185" s="3"/>
      <c r="D1185" s="83"/>
      <c r="E1185" s="4"/>
      <c r="F1185" s="4"/>
      <c r="G1185" s="6">
        <v>40</v>
      </c>
      <c r="H1185" s="449"/>
      <c r="I1185" s="4"/>
      <c r="J1185" s="3"/>
      <c r="K1185" s="449"/>
      <c r="L1185" s="449"/>
      <c r="M1185" s="449" t="str">
        <f>IF(L1185="","",
IF(AX1185="PT",VLOOKUP(L1185,Foundation_Calc!$V$79:$X$113,VLOOKUP(AX1185,Foundation_Calc!$I$10:$J$13,2,FALSE),0),
IF(AX1185="K",VLOOKUP(L1185,Foundation_Calc!$V$117:$X$151,VLOOKUP(AX1185,Foundation_Calc!$I$10:$J$13,2,FALSE),0),"")))</f>
        <v/>
      </c>
      <c r="N1185" s="449"/>
      <c r="O1185" s="449"/>
      <c r="P1185" s="449"/>
      <c r="Q1185" s="4"/>
      <c r="R1185" s="6"/>
      <c r="S1185" s="6"/>
      <c r="T1185" s="4"/>
      <c r="U1185" s="4"/>
      <c r="V1185" s="4"/>
      <c r="W1185" s="572"/>
      <c r="X1185" s="572"/>
      <c r="Y1185" s="9"/>
      <c r="Z1185" s="9"/>
      <c r="AA1185" s="9"/>
      <c r="AB1185" s="9"/>
      <c r="AC1185" s="449" t="str">
        <f t="shared" si="147"/>
        <v/>
      </c>
      <c r="AD1185" s="449"/>
      <c r="AE1185" s="449"/>
      <c r="AF1185" s="4"/>
      <c r="AG1185" s="83"/>
      <c r="AH1185" s="4"/>
      <c r="AI1185" s="4"/>
      <c r="AJ1185" s="449"/>
      <c r="AK1185" s="449"/>
      <c r="AL1185" s="449"/>
      <c r="AM1185" s="449"/>
      <c r="AN1185" s="10"/>
      <c r="AO1185" s="9"/>
      <c r="AP1185" s="9"/>
      <c r="AQ1185" s="9">
        <f>+FL_1($T$1186,$T$1184,$G$1185,1200,9.28, 1*$F$1186)</f>
        <v>0.3</v>
      </c>
      <c r="AR1185" s="9"/>
      <c r="AS1185" s="9"/>
      <c r="AT1185" s="9"/>
      <c r="AU1185" s="428"/>
      <c r="AV1185" s="428"/>
      <c r="AW1185" s="449" t="str">
        <f>IF(C1185&gt;0,VLOOKUP(C1185,Foundation_Calc!$A$2:$C$13,3,1),
IF(J1185&gt;0,VLOOKUP(J1185,Foundation_Calc!$A$2:$C$13,3,1),""))</f>
        <v/>
      </c>
      <c r="AX1185" s="449" t="str">
        <f>IF(C1185&gt;0,VLOOKUP(C1185,Foundation_Calc!$E$35:$G$65,3,1),
IF(J1185&gt;0,VLOOKUP(J1185,Foundation_Calc!$E$35:$G$65,3,1),""))</f>
        <v/>
      </c>
      <c r="AY1185" s="10" t="str">
        <f>IF(L1185="","",
IF(AX1185="PT",VLOOKUP(L1185,Foundation_Calc!$K$79:$R$113,VLOOKUP(AW1185,Foundation_Calc!$I$2:$J$8,2,FALSE),0),
IF(AX1185="K",VLOOKUP(L1185,Foundation_Calc!$K$117:$R$151,VLOOKUP(AW1185,Foundation_Calc!$I$2:$J$8,2,FALSE),0),"")))</f>
        <v/>
      </c>
      <c r="AZ1185" s="10" t="str">
        <f>IF(K1185="","",
IF(AX1185="PT",VLOOKUP(K1185,Foundation_Calc!$K$79:$R$113,VLOOKUP(AW1185,Foundation_Calc!$I$2:$J$8,2,FALSE),0),
IF(AX1185="K",VLOOKUP(K1185,Foundation_Calc!$K$117:$R$151,VLOOKUP(AW1185,Foundation_Calc!$I$2:$J$8,2,FALSE),0),"")))</f>
        <v/>
      </c>
      <c r="BA1185" s="495" t="str">
        <f t="shared" si="141"/>
        <v/>
      </c>
      <c r="BB1185" s="495" t="str">
        <f t="shared" si="142"/>
        <v/>
      </c>
      <c r="BC1185" s="495" t="str">
        <f t="shared" si="143"/>
        <v/>
      </c>
      <c r="BD1185" s="513" t="str">
        <f>IF(AND(L1185="",H1185=""),"",
IF(H1185="",Pole_Calc!A$9,
IF(H1185="MP",Pole_Calc!A$10,
IF(H1185="AnMP",Pole_Calc!A$11,
IF(H1185="A",Pole_Calc!A$12,
IF(H1185="S/A",Pole_Calc!A$13,
IF(H1185="A/S",Pole_Calc!A$14,"Poner a mano")))))))</f>
        <v/>
      </c>
      <c r="BE1185" s="429" t="s">
        <v>118</v>
      </c>
      <c r="BF1185" s="290"/>
      <c r="BG1185" s="290"/>
      <c r="BH1185" s="290"/>
      <c r="BI1185" s="290"/>
    </row>
    <row r="1186" spans="1:61" ht="15.75" customHeight="1">
      <c r="A1186" s="514"/>
      <c r="B1186" s="450" t="s">
        <v>1556</v>
      </c>
      <c r="C1186" s="3">
        <f>+$C$1184+$G$1185</f>
        <v>59022.64</v>
      </c>
      <c r="D1186" s="83"/>
      <c r="E1186" s="4"/>
      <c r="F1186" s="4">
        <v>1200</v>
      </c>
      <c r="G1186" s="6"/>
      <c r="H1186" s="449"/>
      <c r="I1186" s="4"/>
      <c r="J1186" s="3"/>
      <c r="K1186" s="449"/>
      <c r="L1186" s="449" t="s">
        <v>201</v>
      </c>
      <c r="M1186" s="449" t="str">
        <f>IF(L1186="","",
IF(AX1186="PT",VLOOKUP(L1186,Foundation_Calc!$V$79:$X$113,VLOOKUP(AX1186,Foundation_Calc!$I$10:$J$13,2,FALSE),0),
IF(AX1186="K",VLOOKUP(L1186,Foundation_Calc!$V$117:$X$151,VLOOKUP(AX1186,Foundation_Calc!$I$10:$J$13,2,FALSE),0),"")))</f>
        <v/>
      </c>
      <c r="N1186" s="449" t="s">
        <v>134</v>
      </c>
      <c r="O1186" s="449"/>
      <c r="P1186" s="449"/>
      <c r="Q1186" s="4"/>
      <c r="R1186" s="6"/>
      <c r="S1186" s="6"/>
      <c r="T1186" s="4">
        <v>30</v>
      </c>
      <c r="U1186" s="4"/>
      <c r="V1186" s="4"/>
      <c r="W1186" s="572">
        <v>0.6</v>
      </c>
      <c r="X1186" s="572"/>
      <c r="Y1186" s="9"/>
      <c r="Z1186" s="9"/>
      <c r="AA1186" s="9"/>
      <c r="AB1186" s="9"/>
      <c r="AC1186" s="449" t="str">
        <f t="shared" si="147"/>
        <v>PHQ</v>
      </c>
      <c r="AD1186" s="449"/>
      <c r="AE1186" s="449"/>
      <c r="AF1186" s="4"/>
      <c r="AG1186" s="83"/>
      <c r="AH1186" s="4"/>
      <c r="AI1186" s="4"/>
      <c r="AJ1186" s="449"/>
      <c r="AK1186" s="449" t="s">
        <v>451</v>
      </c>
      <c r="AL1186" s="449"/>
      <c r="AM1186" s="449"/>
      <c r="AN1186" s="10">
        <v>5.4</v>
      </c>
      <c r="AO1186" s="9"/>
      <c r="AP1186" s="9"/>
      <c r="AQ1186" s="9"/>
      <c r="AR1186" s="9"/>
      <c r="AS1186" s="9"/>
      <c r="AT1186" s="9">
        <f>+ab($T$1186,$T$1184,$T$1188,$G$1185,$G$1187, 1*$F$1186,1200)</f>
        <v>6.5504869627694697</v>
      </c>
      <c r="AU1186" s="428"/>
      <c r="AV1186" s="428"/>
      <c r="AW1186" s="449" t="s">
        <v>201</v>
      </c>
      <c r="AX1186" s="449" t="s">
        <v>201</v>
      </c>
      <c r="AY1186" s="10" t="str">
        <f>IF(L1186="","",
IF(AX1186="PT",VLOOKUP(L1186,Foundation_Calc!$K$79:$R$113,VLOOKUP(AW1186,Foundation_Calc!$I$2:$J$8,2,FALSE),0),
IF(AX1186="K",VLOOKUP(L1186,Foundation_Calc!$K$117:$R$151,VLOOKUP(AW1186,Foundation_Calc!$I$2:$J$8,2,FALSE),0),"")))</f>
        <v/>
      </c>
      <c r="AZ1186" s="10" t="str">
        <f>IF(K1186="","",
IF(AX1186="PT",VLOOKUP(K1186,Foundation_Calc!$K$79:$R$113,VLOOKUP(AW1186,Foundation_Calc!$I$2:$J$8,2,FALSE),0),
IF(AX1186="K",VLOOKUP(K1186,Foundation_Calc!$K$117:$R$151,VLOOKUP(AW1186,Foundation_Calc!$I$2:$J$8,2,FALSE),0),"")))</f>
        <v/>
      </c>
      <c r="BA1186" s="495" t="str">
        <f t="shared" si="141"/>
        <v/>
      </c>
      <c r="BB1186" s="495" t="str">
        <f t="shared" si="142"/>
        <v/>
      </c>
      <c r="BC1186" s="495" t="str">
        <f t="shared" si="143"/>
        <v/>
      </c>
      <c r="BD1186" s="513"/>
      <c r="BE1186" s="429" t="s">
        <v>118</v>
      </c>
      <c r="BF1186" s="289"/>
      <c r="BG1186" s="289"/>
      <c r="BH1186" s="290"/>
      <c r="BI1186" s="289"/>
    </row>
    <row r="1187" spans="1:61" ht="15.75" customHeight="1">
      <c r="A1187" s="514" t="s">
        <v>199</v>
      </c>
      <c r="B1187" s="450"/>
      <c r="C1187" s="3"/>
      <c r="D1187" s="83"/>
      <c r="E1187" s="4"/>
      <c r="F1187" s="4"/>
      <c r="G1187" s="6">
        <v>30</v>
      </c>
      <c r="H1187" s="449"/>
      <c r="I1187" s="4"/>
      <c r="J1187" s="3"/>
      <c r="K1187" s="449"/>
      <c r="L1187" s="449"/>
      <c r="M1187" s="449" t="str">
        <f>IF(L1187="","",
IF(AX1187="PT",VLOOKUP(L1187,Foundation_Calc!$V$79:$X$113,VLOOKUP(AX1187,Foundation_Calc!$I$10:$J$13,2,FALSE),0),
IF(AX1187="K",VLOOKUP(L1187,Foundation_Calc!$V$117:$X$151,VLOOKUP(AX1187,Foundation_Calc!$I$10:$J$13,2,FALSE),0),"")))</f>
        <v/>
      </c>
      <c r="N1187" s="449"/>
      <c r="O1187" s="449"/>
      <c r="P1187" s="449"/>
      <c r="Q1187" s="4"/>
      <c r="R1187" s="6"/>
      <c r="S1187" s="6"/>
      <c r="T1187" s="4"/>
      <c r="U1187" s="4"/>
      <c r="V1187" s="4"/>
      <c r="W1187" s="572"/>
      <c r="X1187" s="572"/>
      <c r="Y1187" s="9"/>
      <c r="Z1187" s="9"/>
      <c r="AA1187" s="9"/>
      <c r="AB1187" s="9"/>
      <c r="AC1187" s="449" t="str">
        <f t="shared" si="147"/>
        <v/>
      </c>
      <c r="AD1187" s="449"/>
      <c r="AE1187" s="449"/>
      <c r="AF1187" s="4"/>
      <c r="AG1187" s="83"/>
      <c r="AH1187" s="4"/>
      <c r="AI1187" s="4"/>
      <c r="AJ1187" s="449"/>
      <c r="AK1187" s="449"/>
      <c r="AL1187" s="449"/>
      <c r="AM1187" s="449"/>
      <c r="AN1187" s="10"/>
      <c r="AO1187" s="9"/>
      <c r="AP1187" s="9"/>
      <c r="AQ1187" s="9">
        <f>+FL_1($T$1188,$T$1186,$G$1187,1200,9.28, 1*$F$1188)</f>
        <v>0.30000000000000004</v>
      </c>
      <c r="AR1187" s="9"/>
      <c r="AS1187" s="9"/>
      <c r="AT1187" s="9"/>
      <c r="AU1187" s="428"/>
      <c r="AV1187" s="428"/>
      <c r="AW1187" s="449" t="str">
        <f>IF(C1187&gt;0,VLOOKUP(C1187,Foundation_Calc!$A$2:$C$13,3,1),
IF(J1187&gt;0,VLOOKUP(J1187,Foundation_Calc!$A$2:$C$13,3,1),""))</f>
        <v/>
      </c>
      <c r="AX1187" s="449"/>
      <c r="AY1187" s="10" t="str">
        <f>IF(L1187="","",
IF(AX1187="PT",VLOOKUP(L1187,Foundation_Calc!$K$79:$R$113,VLOOKUP(AW1187,Foundation_Calc!$I$2:$J$8,2,FALSE),0),
IF(AX1187="K",VLOOKUP(L1187,Foundation_Calc!$K$117:$R$151,VLOOKUP(AW1187,Foundation_Calc!$I$2:$J$8,2,FALSE),0),"")))</f>
        <v/>
      </c>
      <c r="AZ1187" s="10" t="str">
        <f>IF(K1187="","",
IF(AX1187="PT",VLOOKUP(K1187,Foundation_Calc!$K$79:$R$113,VLOOKUP(AW1187,Foundation_Calc!$I$2:$J$8,2,FALSE),0),
IF(AX1187="K",VLOOKUP(K1187,Foundation_Calc!$K$117:$R$151,VLOOKUP(AW1187,Foundation_Calc!$I$2:$J$8,2,FALSE),0),"")))</f>
        <v/>
      </c>
      <c r="BA1187" s="495" t="str">
        <f t="shared" si="141"/>
        <v/>
      </c>
      <c r="BB1187" s="495" t="str">
        <f t="shared" si="142"/>
        <v/>
      </c>
      <c r="BC1187" s="495" t="str">
        <f t="shared" si="143"/>
        <v/>
      </c>
      <c r="BD1187" s="513" t="str">
        <f>IF(AND(L1187="",H1187=""),"",
IF(H1187="",Pole_Calc!A$9,
IF(H1187="MP",Pole_Calc!A$10,
IF(H1187="AnMP",Pole_Calc!A$11,
IF(H1187="A",Pole_Calc!A$12,
IF(H1187="S/A",Pole_Calc!A$13,
IF(H1187="A/S",Pole_Calc!A$14,"Poner a mano")))))))</f>
        <v/>
      </c>
      <c r="BE1187" s="429" t="s">
        <v>118</v>
      </c>
      <c r="BF1187" s="290"/>
      <c r="BG1187" s="290"/>
      <c r="BH1187" s="290"/>
      <c r="BI1187" s="290"/>
    </row>
    <row r="1188" spans="1:61" ht="15.75" customHeight="1">
      <c r="A1188" s="514"/>
      <c r="B1188" s="450" t="s">
        <v>1557</v>
      </c>
      <c r="C1188" s="3">
        <f>+$C$1186+$G$1187</f>
        <v>59052.639999999999</v>
      </c>
      <c r="D1188" s="83"/>
      <c r="E1188" s="4"/>
      <c r="F1188" s="4">
        <v>1200</v>
      </c>
      <c r="G1188" s="6"/>
      <c r="H1188" s="449"/>
      <c r="I1188" s="449"/>
      <c r="J1188" s="3"/>
      <c r="K1188" s="449"/>
      <c r="L1188" s="449" t="s">
        <v>201</v>
      </c>
      <c r="M1188" s="449" t="str">
        <f>IF(L1188="","",
IF(AX1188="PT",VLOOKUP(L1188,Foundation_Calc!$V$79:$X$113,VLOOKUP(AX1188,Foundation_Calc!$I$10:$J$13,2,FALSE),0),
IF(AX1188="K",VLOOKUP(L1188,Foundation_Calc!$V$117:$X$151,VLOOKUP(AX1188,Foundation_Calc!$I$10:$J$13,2,FALSE),0),"")))</f>
        <v/>
      </c>
      <c r="N1188" s="449" t="s">
        <v>134</v>
      </c>
      <c r="O1188" s="449"/>
      <c r="P1188" s="449"/>
      <c r="Q1188" s="4"/>
      <c r="R1188" s="6"/>
      <c r="S1188" s="6"/>
      <c r="T1188" s="4">
        <v>30</v>
      </c>
      <c r="U1188" s="4"/>
      <c r="V1188" s="4"/>
      <c r="W1188" s="572">
        <v>0.6</v>
      </c>
      <c r="X1188" s="572"/>
      <c r="Y1188" s="9"/>
      <c r="Z1188" s="9"/>
      <c r="AA1188" s="9"/>
      <c r="AB1188" s="9"/>
      <c r="AC1188" s="449" t="str">
        <f t="shared" si="147"/>
        <v>PHQ</v>
      </c>
      <c r="AD1188" s="449"/>
      <c r="AE1188" s="449"/>
      <c r="AF1188" s="4"/>
      <c r="AG1188" s="83"/>
      <c r="AH1188" s="4"/>
      <c r="AI1188" s="4"/>
      <c r="AJ1188" s="449"/>
      <c r="AK1188" s="449" t="s">
        <v>451</v>
      </c>
      <c r="AL1188" s="449"/>
      <c r="AM1188" s="449"/>
      <c r="AN1188" s="10">
        <v>5.4</v>
      </c>
      <c r="AO1188" s="9"/>
      <c r="AP1188" s="9"/>
      <c r="AQ1188" s="9"/>
      <c r="AR1188" s="9"/>
      <c r="AS1188" s="9"/>
      <c r="AT1188" s="9">
        <f>+ab($T$1188,$T$1186,$T$1190,$G$1187,$G$1189, 1*$F$1188,1200)</f>
        <v>7.6302760504335234</v>
      </c>
      <c r="AU1188" s="428"/>
      <c r="AV1188" s="428"/>
      <c r="AW1188" s="449" t="s">
        <v>201</v>
      </c>
      <c r="AX1188" s="449" t="s">
        <v>201</v>
      </c>
      <c r="AY1188" s="10" t="str">
        <f>IF(L1188="","",
IF(AX1188="PT",VLOOKUP(L1188,Foundation_Calc!$K$79:$R$113,VLOOKUP(AW1188,Foundation_Calc!$I$2:$J$8,2,FALSE),0),
IF(AX1188="K",VLOOKUP(L1188,Foundation_Calc!$K$117:$R$151,VLOOKUP(AW1188,Foundation_Calc!$I$2:$J$8,2,FALSE),0),"")))</f>
        <v/>
      </c>
      <c r="AZ1188" s="10" t="str">
        <f>IF(K1188="","",
IF(AX1188="PT",VLOOKUP(K1188,Foundation_Calc!$K$79:$R$113,VLOOKUP(AW1188,Foundation_Calc!$I$2:$J$8,2,FALSE),0),
IF(AX1188="K",VLOOKUP(K1188,Foundation_Calc!$K$117:$R$151,VLOOKUP(AW1188,Foundation_Calc!$I$2:$J$8,2,FALSE),0),"")))</f>
        <v/>
      </c>
      <c r="BA1188" s="495" t="str">
        <f t="shared" si="141"/>
        <v/>
      </c>
      <c r="BB1188" s="495" t="str">
        <f t="shared" si="142"/>
        <v/>
      </c>
      <c r="BC1188" s="495" t="str">
        <f t="shared" si="143"/>
        <v/>
      </c>
      <c r="BD1188" s="513"/>
      <c r="BE1188" s="429" t="s">
        <v>118</v>
      </c>
      <c r="BF1188" s="289"/>
      <c r="BG1188" s="289"/>
      <c r="BH1188" s="290"/>
      <c r="BI1188" s="289"/>
    </row>
    <row r="1189" spans="1:61" ht="15.75" customHeight="1">
      <c r="A1189" s="514"/>
      <c r="B1189" s="450"/>
      <c r="C1189" s="3"/>
      <c r="D1189" s="83"/>
      <c r="E1189" s="4"/>
      <c r="F1189" s="4"/>
      <c r="G1189" s="6">
        <v>30</v>
      </c>
      <c r="H1189" s="449"/>
      <c r="I1189" s="4"/>
      <c r="J1189" s="3"/>
      <c r="K1189" s="449"/>
      <c r="L1189" s="449"/>
      <c r="M1189" s="449" t="str">
        <f>IF(L1189="","",
IF(AX1189="PT",VLOOKUP(L1189,Foundation_Calc!$V$79:$X$113,VLOOKUP(AX1189,Foundation_Calc!$I$10:$J$13,2,FALSE),0),
IF(AX1189="K",VLOOKUP(L1189,Foundation_Calc!$V$117:$X$151,VLOOKUP(AX1189,Foundation_Calc!$I$10:$J$13,2,FALSE),0),"")))</f>
        <v/>
      </c>
      <c r="N1189" s="449"/>
      <c r="O1189" s="449"/>
      <c r="P1189" s="449"/>
      <c r="Q1189" s="4"/>
      <c r="R1189" s="6"/>
      <c r="S1189" s="6"/>
      <c r="T1189" s="4"/>
      <c r="U1189" s="4"/>
      <c r="V1189" s="4"/>
      <c r="W1189" s="572"/>
      <c r="X1189" s="572"/>
      <c r="Y1189" s="9"/>
      <c r="Z1189" s="9"/>
      <c r="AA1189" s="9"/>
      <c r="AB1189" s="9"/>
      <c r="AC1189" s="449" t="str">
        <f t="shared" si="147"/>
        <v/>
      </c>
      <c r="AD1189" s="449"/>
      <c r="AE1189" s="449"/>
      <c r="AF1189" s="4"/>
      <c r="AG1189" s="83"/>
      <c r="AH1189" s="4"/>
      <c r="AI1189" s="4"/>
      <c r="AJ1189" s="449"/>
      <c r="AK1189" s="449"/>
      <c r="AL1189" s="449"/>
      <c r="AM1189" s="449"/>
      <c r="AN1189" s="10"/>
      <c r="AO1189" s="9"/>
      <c r="AP1189" s="9"/>
      <c r="AQ1189" s="9">
        <f>+FL_1($T$1190,$T$1188,$G$1189,1200,9.28, 1*$F$1190)</f>
        <v>0.30000000000000004</v>
      </c>
      <c r="AR1189" s="9"/>
      <c r="AS1189" s="9"/>
      <c r="AT1189" s="9"/>
      <c r="AU1189" s="428"/>
      <c r="AV1189" s="428"/>
      <c r="AW1189" s="449" t="str">
        <f>IF(C1189&gt;0,VLOOKUP(C1189,Foundation_Calc!$A$2:$C$13,3,1),
IF(J1189&gt;0,VLOOKUP(J1189,Foundation_Calc!$A$2:$C$13,3,1),""))</f>
        <v/>
      </c>
      <c r="AX1189" s="449" t="str">
        <f>IF(C1189&gt;0,VLOOKUP(C1189,Foundation_Calc!$E$35:$G$65,3,1),
IF(J1189&gt;0,VLOOKUP(J1189,Foundation_Calc!$E$35:$G$65,3,1),""))</f>
        <v/>
      </c>
      <c r="AY1189" s="10" t="str">
        <f>IF(L1189="","",
IF(AX1189="PT",VLOOKUP(L1189,Foundation_Calc!$K$79:$R$113,VLOOKUP(AW1189,Foundation_Calc!$I$2:$J$8,2,FALSE),0),
IF(AX1189="K",VLOOKUP(L1189,Foundation_Calc!$K$117:$R$151,VLOOKUP(AW1189,Foundation_Calc!$I$2:$J$8,2,FALSE),0),"")))</f>
        <v/>
      </c>
      <c r="AZ1189" s="10" t="str">
        <f>IF(K1189="","",
IF(AX1189="PT",VLOOKUP(K1189,Foundation_Calc!$K$79:$R$113,VLOOKUP(AW1189,Foundation_Calc!$I$2:$J$8,2,FALSE),0),
IF(AX1189="K",VLOOKUP(K1189,Foundation_Calc!$K$117:$R$151,VLOOKUP(AW1189,Foundation_Calc!$I$2:$J$8,2,FALSE),0),"")))</f>
        <v/>
      </c>
      <c r="BA1189" s="495" t="str">
        <f t="shared" ref="BA1189:BA1250" si="148">IF(AY1189="","",IF(AY1189&gt;0,"ü",""))</f>
        <v/>
      </c>
      <c r="BB1189" s="495" t="str">
        <f t="shared" ref="BB1189:BB1250" si="149">IF(AZ1189="","",IF(AZ1189&gt;0,"ü",""))</f>
        <v/>
      </c>
      <c r="BC1189" s="495" t="str">
        <f t="shared" ref="BC1189:BC1250" si="150">IF(M1189="","",IF(M1189="U.S.","ü",IF(M1189="U.S. N.D.","ü","")))</f>
        <v/>
      </c>
      <c r="BD1189" s="513" t="str">
        <f>IF(AND(L1189="",H1189=""),"",
IF(H1189="",Pole_Calc!A$9,
IF(H1189="MP",Pole_Calc!A$10,
IF(H1189="AnMP",Pole_Calc!A$11,
IF(H1189="A",Pole_Calc!A$12,
IF(H1189="S/A",Pole_Calc!A$13,
IF(H1189="A/S",Pole_Calc!A$14,"Poner a mano")))))))</f>
        <v/>
      </c>
      <c r="BE1189" s="429" t="s">
        <v>118</v>
      </c>
      <c r="BF1189" s="290"/>
      <c r="BG1189" s="290"/>
      <c r="BH1189" s="290"/>
      <c r="BI1189" s="290"/>
    </row>
    <row r="1190" spans="1:61" ht="15.75" customHeight="1">
      <c r="A1190" s="514"/>
      <c r="B1190" s="450" t="s">
        <v>1558</v>
      </c>
      <c r="C1190" s="3">
        <f>+$C$1188+$G$1189</f>
        <v>59082.64</v>
      </c>
      <c r="D1190" s="83"/>
      <c r="E1190" s="4"/>
      <c r="F1190" s="4">
        <v>1200</v>
      </c>
      <c r="G1190" s="6"/>
      <c r="H1190" s="449" t="s">
        <v>565</v>
      </c>
      <c r="I1190" s="4"/>
      <c r="J1190" s="3"/>
      <c r="K1190" s="449"/>
      <c r="L1190" s="449" t="s">
        <v>183</v>
      </c>
      <c r="M1190" s="449" t="str">
        <f>IF(L1190="","",
IF(AX1190="PT",VLOOKUP(L1190,Foundation_Calc!$V$79:$X$113,VLOOKUP(AX1190,Foundation_Calc!$I$10:$J$13,2,FALSE),0),
IF(AX1190="K",VLOOKUP(L1190,Foundation_Calc!$V$117:$X$151,VLOOKUP(AX1190,Foundation_Calc!$I$10:$J$13,2,FALSE),0),"")))</f>
        <v>2C3R</v>
      </c>
      <c r="N1190" s="449" t="s">
        <v>134</v>
      </c>
      <c r="O1190" s="553" t="s">
        <v>134</v>
      </c>
      <c r="P1190" s="449"/>
      <c r="Q1190" s="4"/>
      <c r="R1190" s="6"/>
      <c r="S1190" s="6"/>
      <c r="T1190" s="4">
        <v>30</v>
      </c>
      <c r="U1190" s="4">
        <v>-15</v>
      </c>
      <c r="V1190" s="4"/>
      <c r="W1190" s="572">
        <v>0.6</v>
      </c>
      <c r="X1190" s="572">
        <v>0.8</v>
      </c>
      <c r="Y1190" s="9"/>
      <c r="Z1190" s="9"/>
      <c r="AA1190" s="9"/>
      <c r="AB1190" s="9"/>
      <c r="AC1190" s="449" t="str">
        <f t="shared" si="147"/>
        <v>PHQ</v>
      </c>
      <c r="AD1190" s="449"/>
      <c r="AE1190" s="449"/>
      <c r="AF1190" s="4"/>
      <c r="AG1190" s="83"/>
      <c r="AH1190" s="4"/>
      <c r="AI1190" s="4"/>
      <c r="AJ1190" s="449"/>
      <c r="AK1190" s="449"/>
      <c r="AL1190" s="449"/>
      <c r="AM1190" s="449" t="s">
        <v>126</v>
      </c>
      <c r="AN1190" s="10">
        <f>AN1188+0.03</f>
        <v>5.4300000000000006</v>
      </c>
      <c r="AO1190" s="9"/>
      <c r="AP1190" s="9"/>
      <c r="AQ1190" s="9"/>
      <c r="AR1190" s="9"/>
      <c r="AS1190" s="9"/>
      <c r="AT1190" s="9">
        <f>+ab($T$1190,$T$1188,$T$1192,$G$1189,$G$1191, 1*$F$1190,1200)</f>
        <v>7.0494790882863896</v>
      </c>
      <c r="AU1190" s="428"/>
      <c r="AV1190" s="428"/>
      <c r="AW1190" s="449" t="str">
        <f>IF(C1190&gt;0,VLOOKUP(C1190,Foundation_Calc!$A$2:$C$13,3,1),
IF(J1190&gt;0,VLOOKUP(J1190,Foundation_Calc!$A$2:$C$13,3,1),""))</f>
        <v>Multi Soil</v>
      </c>
      <c r="AX1190" s="449" t="str">
        <f>IF(C1190&gt;0,VLOOKUP(C1190,Foundation_Calc!$E$35:$G$65,3,1),
IF(J1190&gt;0,VLOOKUP(J1190,Foundation_Calc!$E$35:$G$65,3,1),""))</f>
        <v>PT</v>
      </c>
      <c r="AY1190" s="10">
        <f>IF(L1190="","",
IF(AX1190="PT",VLOOKUP(L1190,Foundation_Calc!$K$79:$R$113,VLOOKUP(AW1190,Foundation_Calc!$I$2:$J$8,2,FALSE),0),
IF(AX1190="K",VLOOKUP(L1190,Foundation_Calc!$K$117:$R$151,VLOOKUP(AW1190,Foundation_Calc!$I$2:$J$8,2,FALSE),0),"")))</f>
        <v>3.7</v>
      </c>
      <c r="AZ1190" s="10" t="str">
        <f>IF(K1190="","",
IF(AX1190="PT",VLOOKUP(K1190,Foundation_Calc!$K$79:$R$113,VLOOKUP(AW1190,Foundation_Calc!$I$2:$J$8,2,FALSE),0),
IF(AX1190="K",VLOOKUP(K1190,Foundation_Calc!$K$117:$R$151,VLOOKUP(AW1190,Foundation_Calc!$I$2:$J$8,2,FALSE),0),"")))</f>
        <v/>
      </c>
      <c r="BA1190" s="495" t="str">
        <f t="shared" si="148"/>
        <v>ü</v>
      </c>
      <c r="BB1190" s="495" t="str">
        <f t="shared" si="149"/>
        <v/>
      </c>
      <c r="BC1190" s="495" t="str">
        <f t="shared" si="150"/>
        <v/>
      </c>
      <c r="BD1190" s="513" t="str">
        <f>Pole_Calc!A$13</f>
        <v>App.7-V11I-P9.5.1.5</v>
      </c>
      <c r="BE1190" s="429" t="s">
        <v>118</v>
      </c>
      <c r="BF1190" s="289"/>
      <c r="BG1190" s="289"/>
      <c r="BH1190" s="290"/>
      <c r="BI1190" s="289"/>
    </row>
    <row r="1191" spans="1:61" ht="15.75" customHeight="1">
      <c r="A1191" s="514"/>
      <c r="B1191" s="450"/>
      <c r="C1191" s="3"/>
      <c r="D1191" s="83"/>
      <c r="E1191" s="4"/>
      <c r="F1191" s="4"/>
      <c r="G1191" s="6">
        <v>35</v>
      </c>
      <c r="H1191" s="449"/>
      <c r="I1191" s="449"/>
      <c r="J1191" s="3"/>
      <c r="K1191" s="449"/>
      <c r="L1191" s="449"/>
      <c r="M1191" s="449" t="str">
        <f>IF(L1191="","",
IF(AX1191="PT",VLOOKUP(L1191,Foundation_Calc!$V$79:$X$113,VLOOKUP(AX1191,Foundation_Calc!$I$10:$J$13,2,FALSE),0),
IF(AX1191="K",VLOOKUP(L1191,Foundation_Calc!$V$117:$X$151,VLOOKUP(AX1191,Foundation_Calc!$I$10:$J$13,2,FALSE),0),"")))</f>
        <v/>
      </c>
      <c r="N1191" s="449"/>
      <c r="O1191" s="449"/>
      <c r="P1191" s="449"/>
      <c r="Q1191" s="4"/>
      <c r="R1191" s="6"/>
      <c r="S1191" s="6"/>
      <c r="T1191" s="4"/>
      <c r="U1191" s="4"/>
      <c r="V1191" s="4"/>
      <c r="W1191" s="572"/>
      <c r="X1191" s="572"/>
      <c r="Y1191" s="9"/>
      <c r="Z1191" s="9"/>
      <c r="AA1191" s="9"/>
      <c r="AB1191" s="9"/>
      <c r="AC1191" s="449" t="str">
        <f t="shared" si="147"/>
        <v/>
      </c>
      <c r="AD1191" s="449"/>
      <c r="AE1191" s="449"/>
      <c r="AF1191" s="4"/>
      <c r="AG1191" s="83"/>
      <c r="AH1191" s="4"/>
      <c r="AI1191" s="4"/>
      <c r="AJ1191" s="449"/>
      <c r="AK1191" s="449"/>
      <c r="AL1191" s="449"/>
      <c r="AM1191" s="449"/>
      <c r="AN1191" s="10"/>
      <c r="AO1191" s="9"/>
      <c r="AP1191" s="9"/>
      <c r="AQ1191" s="9">
        <f>+FL_1($T$1192,$T$1190,$G$1191,1200,9.28, 1*$F$1192)</f>
        <v>0.3</v>
      </c>
      <c r="AR1191" s="9"/>
      <c r="AS1191" s="9"/>
      <c r="AT1191" s="9"/>
      <c r="AU1191" s="428"/>
      <c r="AV1191" s="428"/>
      <c r="AW1191" s="449" t="str">
        <f>IF(C1191&gt;0,VLOOKUP(C1191,Foundation_Calc!$A$2:$C$13,3,1),
IF(J1191&gt;0,VLOOKUP(J1191,Foundation_Calc!$A$2:$C$13,3,1),""))</f>
        <v/>
      </c>
      <c r="AX1191" s="449" t="str">
        <f>IF(C1191&gt;0,VLOOKUP(C1191,Foundation_Calc!$E$35:$G$65,3,1),
IF(J1191&gt;0,VLOOKUP(J1191,Foundation_Calc!$E$35:$G$65,3,1),""))</f>
        <v/>
      </c>
      <c r="AY1191" s="10" t="str">
        <f>IF(L1191="","",
IF(AX1191="PT",VLOOKUP(L1191,Foundation_Calc!$K$79:$R$113,VLOOKUP(AW1191,Foundation_Calc!$I$2:$J$8,2,FALSE),0),
IF(AX1191="K",VLOOKUP(L1191,Foundation_Calc!$K$117:$R$151,VLOOKUP(AW1191,Foundation_Calc!$I$2:$J$8,2,FALSE),0),"")))</f>
        <v/>
      </c>
      <c r="AZ1191" s="10" t="str">
        <f>IF(K1191="","",
IF(AX1191="PT",VLOOKUP(K1191,Foundation_Calc!$K$79:$R$113,VLOOKUP(AW1191,Foundation_Calc!$I$2:$J$8,2,FALSE),0),
IF(AX1191="K",VLOOKUP(K1191,Foundation_Calc!$K$117:$R$151,VLOOKUP(AW1191,Foundation_Calc!$I$2:$J$8,2,FALSE),0),"")))</f>
        <v/>
      </c>
      <c r="BA1191" s="495" t="str">
        <f t="shared" si="148"/>
        <v/>
      </c>
      <c r="BB1191" s="495" t="str">
        <f t="shared" si="149"/>
        <v/>
      </c>
      <c r="BC1191" s="495" t="str">
        <f t="shared" si="150"/>
        <v/>
      </c>
      <c r="BD1191" s="513" t="str">
        <f>IF(AND(L1191="",H1191=""),"",
IF(H1191="",Pole_Calc!A$9,
IF(H1191="MP",Pole_Calc!A$10,
IF(H1191="AnMP",Pole_Calc!A$11,
IF(H1191="A",Pole_Calc!A$12,
IF(H1191="S/A",Pole_Calc!A$13,
IF(H1191="A/S",Pole_Calc!A$14,"Poner a mano")))))))</f>
        <v/>
      </c>
      <c r="BE1191" s="429" t="s">
        <v>118</v>
      </c>
      <c r="BF1191" s="290"/>
      <c r="BG1191" s="290"/>
      <c r="BH1191" s="290"/>
      <c r="BI1191" s="290"/>
    </row>
    <row r="1192" spans="1:61" ht="15.75" customHeight="1">
      <c r="A1192" s="514"/>
      <c r="B1192" s="450" t="s">
        <v>1559</v>
      </c>
      <c r="C1192" s="3">
        <f>+$C$1190+$G$1191</f>
        <v>59117.64</v>
      </c>
      <c r="D1192" s="83"/>
      <c r="E1192" s="4"/>
      <c r="F1192" s="4">
        <v>1200</v>
      </c>
      <c r="G1192" s="6"/>
      <c r="H1192" s="449" t="s">
        <v>131</v>
      </c>
      <c r="I1192" s="4"/>
      <c r="J1192" s="3"/>
      <c r="K1192" s="449"/>
      <c r="L1192" s="449" t="s">
        <v>183</v>
      </c>
      <c r="M1192" s="449" t="str">
        <f>IF(L1192="","",
IF(AX1192="PT",VLOOKUP(L1192,Foundation_Calc!$V$79:$X$113,VLOOKUP(AX1192,Foundation_Calc!$I$10:$J$13,2,FALSE),0),
IF(AX1192="K",VLOOKUP(L1192,Foundation_Calc!$V$117:$X$151,VLOOKUP(AX1192,Foundation_Calc!$I$10:$J$13,2,FALSE),0),"")))</f>
        <v>2C3R</v>
      </c>
      <c r="N1192" s="449" t="s">
        <v>134</v>
      </c>
      <c r="O1192" s="553" t="s">
        <v>133</v>
      </c>
      <c r="P1192" s="449"/>
      <c r="Q1192" s="4"/>
      <c r="R1192" s="6"/>
      <c r="S1192" s="6"/>
      <c r="T1192" s="4">
        <v>30</v>
      </c>
      <c r="U1192" s="4">
        <v>-45</v>
      </c>
      <c r="V1192" s="4"/>
      <c r="W1192" s="572">
        <v>0.9</v>
      </c>
      <c r="X1192" s="572">
        <v>1.2</v>
      </c>
      <c r="Y1192" s="9"/>
      <c r="Z1192" s="9"/>
      <c r="AA1192" s="9">
        <v>0.3</v>
      </c>
      <c r="AB1192" s="9"/>
      <c r="AC1192" s="449" t="str">
        <f t="shared" si="147"/>
        <v>PHQ</v>
      </c>
      <c r="AD1192" s="449"/>
      <c r="AE1192" s="449"/>
      <c r="AF1192" s="4"/>
      <c r="AG1192" s="83"/>
      <c r="AH1192" s="4"/>
      <c r="AI1192" s="4"/>
      <c r="AJ1192" s="449"/>
      <c r="AK1192" s="449"/>
      <c r="AL1192" s="449"/>
      <c r="AM1192" s="449" t="s">
        <v>126</v>
      </c>
      <c r="AN1192" s="10">
        <f>AN1190+0.04</f>
        <v>5.4700000000000006</v>
      </c>
      <c r="AO1192" s="9"/>
      <c r="AP1192" s="9"/>
      <c r="AQ1192" s="9"/>
      <c r="AR1192" s="9"/>
      <c r="AS1192" s="9"/>
      <c r="AT1192" s="9">
        <f>+ab($T$1192,$T$1190,$T$1194,$G$1191,$G$1193, 1*$F$1192,1200)</f>
        <v>6.5504869627694697</v>
      </c>
      <c r="AU1192" s="428"/>
      <c r="AV1192" s="428"/>
      <c r="AW1192" s="449" t="str">
        <f>IF(C1192&gt;0,VLOOKUP(C1192,Foundation_Calc!$A$2:$C$13,3,1),
IF(J1192&gt;0,VLOOKUP(J1192,Foundation_Calc!$A$2:$C$13,3,1),""))</f>
        <v>Multi Soil</v>
      </c>
      <c r="AX1192" s="449" t="str">
        <f>IF(C1192&gt;0,VLOOKUP(C1192,Foundation_Calc!$E$35:$G$65,3,1),
IF(J1192&gt;0,VLOOKUP(J1192,Foundation_Calc!$E$35:$G$65,3,1),""))</f>
        <v>PT</v>
      </c>
      <c r="AY1192" s="10">
        <f>IF(L1192="","",
IF(AX1192="PT",VLOOKUP(L1192,Foundation_Calc!$K$79:$R$113,VLOOKUP(AW1192,Foundation_Calc!$I$2:$J$8,2,FALSE),0),
IF(AX1192="K",VLOOKUP(L1192,Foundation_Calc!$K$117:$R$151,VLOOKUP(AW1192,Foundation_Calc!$I$2:$J$8,2,FALSE),0),"")))</f>
        <v>3.7</v>
      </c>
      <c r="AZ1192" s="10" t="str">
        <f>IF(K1192="","",
IF(AX1192="PT",VLOOKUP(K1192,Foundation_Calc!$K$79:$R$113,VLOOKUP(AW1192,Foundation_Calc!$I$2:$J$8,2,FALSE),0),
IF(AX1192="K",VLOOKUP(K1192,Foundation_Calc!$K$117:$R$151,VLOOKUP(AW1192,Foundation_Calc!$I$2:$J$8,2,FALSE),0),"")))</f>
        <v/>
      </c>
      <c r="BA1192" s="495" t="str">
        <f t="shared" si="148"/>
        <v>ü</v>
      </c>
      <c r="BB1192" s="495" t="str">
        <f t="shared" si="149"/>
        <v/>
      </c>
      <c r="BC1192" s="495" t="str">
        <f t="shared" si="150"/>
        <v/>
      </c>
      <c r="BD1192" s="513" t="str">
        <f>IF(AND(L1192="",H1192=""),"",
IF(H1192="",Pole_Calc!A$9,
IF(H1192="MP",Pole_Calc!A$10,
IF(H1192="AnMP",Pole_Calc!A$11,
IF(H1192="A",Pole_Calc!A$12,
IF(H1192="S/A",Pole_Calc!A$13,
IF(H1192="A/S",Pole_Calc!A$14,"Poner a mano")))))))</f>
        <v>App.7-V11I-P9.5.1.5</v>
      </c>
      <c r="BE1192" s="429" t="s">
        <v>118</v>
      </c>
      <c r="BF1192" s="289"/>
      <c r="BG1192" s="289"/>
      <c r="BH1192" s="290"/>
      <c r="BI1192" s="289"/>
    </row>
    <row r="1193" spans="1:61" ht="15.75" customHeight="1">
      <c r="A1193" s="514"/>
      <c r="B1193" s="450"/>
      <c r="C1193" s="3"/>
      <c r="D1193" s="83"/>
      <c r="E1193" s="4"/>
      <c r="F1193" s="4"/>
      <c r="G1193" s="6">
        <v>35</v>
      </c>
      <c r="H1193" s="449"/>
      <c r="I1193" s="4" t="s">
        <v>162</v>
      </c>
      <c r="J1193" s="3"/>
      <c r="K1193" s="449"/>
      <c r="L1193" s="449"/>
      <c r="M1193" s="449" t="str">
        <f>IF(L1193="","",
IF(AX1193="PT",VLOOKUP(L1193,Foundation_Calc!$V$79:$X$113,VLOOKUP(AX1193,Foundation_Calc!$I$10:$J$13,2,FALSE),0),
IF(AX1193="K",VLOOKUP(L1193,Foundation_Calc!$V$117:$X$151,VLOOKUP(AX1193,Foundation_Calc!$I$10:$J$13,2,FALSE),0),"")))</f>
        <v/>
      </c>
      <c r="N1193" s="449"/>
      <c r="O1193" s="449"/>
      <c r="P1193" s="449"/>
      <c r="Q1193" s="4"/>
      <c r="R1193" s="6"/>
      <c r="S1193" s="6"/>
      <c r="T1193" s="4"/>
      <c r="U1193" s="4"/>
      <c r="V1193" s="4"/>
      <c r="W1193" s="572"/>
      <c r="X1193" s="572"/>
      <c r="Y1193" s="9"/>
      <c r="Z1193" s="9"/>
      <c r="AA1193" s="9"/>
      <c r="AB1193" s="9"/>
      <c r="AC1193" s="449" t="str">
        <f t="shared" si="147"/>
        <v/>
      </c>
      <c r="AD1193" s="449"/>
      <c r="AE1193" s="449"/>
      <c r="AF1193" s="4"/>
      <c r="AG1193" s="83"/>
      <c r="AH1193" s="4"/>
      <c r="AI1193" s="4"/>
      <c r="AJ1193" s="449"/>
      <c r="AK1193" s="449"/>
      <c r="AL1193" s="449"/>
      <c r="AM1193" s="449"/>
      <c r="AN1193" s="10"/>
      <c r="AO1193" s="9"/>
      <c r="AP1193" s="9"/>
      <c r="AQ1193" s="9">
        <f>+FL_1($T$1194,$T$1192,$G$1193,1200,9.28, 1*$F$1194)</f>
        <v>0.3</v>
      </c>
      <c r="AR1193" s="9"/>
      <c r="AS1193" s="9"/>
      <c r="AT1193" s="9"/>
      <c r="AU1193" s="428"/>
      <c r="AV1193" s="428"/>
      <c r="AW1193" s="449" t="str">
        <f>IF(C1193&gt;0,VLOOKUP(C1193,Foundation_Calc!$A$2:$C$13,3,1),
IF(J1193&gt;0,VLOOKUP(J1193,Foundation_Calc!$A$2:$C$13,3,1),""))</f>
        <v/>
      </c>
      <c r="AX1193" s="449" t="str">
        <f>IF(C1193&gt;0,VLOOKUP(C1193,Foundation_Calc!$E$35:$G$65,3,1),
IF(J1193&gt;0,VLOOKUP(J1193,Foundation_Calc!$E$35:$G$65,3,1),""))</f>
        <v/>
      </c>
      <c r="AY1193" s="10" t="str">
        <f>IF(L1193="","",
IF(AX1193="PT",VLOOKUP(L1193,Foundation_Calc!$K$79:$R$113,VLOOKUP(AW1193,Foundation_Calc!$I$2:$J$8,2,FALSE),0),
IF(AX1193="K",VLOOKUP(L1193,Foundation_Calc!$K$117:$R$151,VLOOKUP(AW1193,Foundation_Calc!$I$2:$J$8,2,FALSE),0),"")))</f>
        <v/>
      </c>
      <c r="AZ1193" s="10" t="str">
        <f>IF(K1193="","",
IF(AX1193="PT",VLOOKUP(K1193,Foundation_Calc!$K$79:$R$113,VLOOKUP(AW1193,Foundation_Calc!$I$2:$J$8,2,FALSE),0),
IF(AX1193="K",VLOOKUP(K1193,Foundation_Calc!$K$117:$R$151,VLOOKUP(AW1193,Foundation_Calc!$I$2:$J$8,2,FALSE),0),"")))</f>
        <v/>
      </c>
      <c r="BA1193" s="495" t="str">
        <f t="shared" si="148"/>
        <v/>
      </c>
      <c r="BB1193" s="495" t="str">
        <f t="shared" si="149"/>
        <v/>
      </c>
      <c r="BC1193" s="495" t="str">
        <f t="shared" si="150"/>
        <v/>
      </c>
      <c r="BD1193" s="513" t="str">
        <f>IF(AND(L1193="",H1193=""),"",
IF(H1193="",Pole_Calc!A$9,
IF(H1193="MP",Pole_Calc!A$10,
IF(H1193="AnMP",Pole_Calc!A$11,
IF(H1193="A",Pole_Calc!A$12,
IF(H1193="S/A",Pole_Calc!A$13,
IF(H1193="A/S",Pole_Calc!A$14,"Poner a mano")))))))</f>
        <v/>
      </c>
      <c r="BE1193" s="429" t="s">
        <v>118</v>
      </c>
      <c r="BF1193" s="290"/>
      <c r="BG1193" s="290"/>
      <c r="BH1193" s="290"/>
      <c r="BI1193" s="290"/>
    </row>
    <row r="1194" spans="1:61" ht="15.75" customHeight="1">
      <c r="A1194" s="514"/>
      <c r="B1194" s="450" t="s">
        <v>1560</v>
      </c>
      <c r="C1194" s="3">
        <f>+$C$1192+$G$1193</f>
        <v>59152.639999999999</v>
      </c>
      <c r="D1194" s="83"/>
      <c r="E1194" s="4"/>
      <c r="F1194" s="4">
        <v>1200</v>
      </c>
      <c r="G1194" s="6"/>
      <c r="H1194" s="449" t="s">
        <v>1561</v>
      </c>
      <c r="I1194" s="4" t="s">
        <v>122</v>
      </c>
      <c r="J1194" s="3"/>
      <c r="K1194" s="449"/>
      <c r="L1194" s="449" t="s">
        <v>206</v>
      </c>
      <c r="M1194" s="449" t="str">
        <f>IF(L1194="","",
IF(AX1194="PT",VLOOKUP(L1194,Foundation_Calc!$V$79:$X$113,VLOOKUP(AX1194,Foundation_Calc!$I$10:$J$13,2,FALSE),0),
IF(AX1194="K",VLOOKUP(L1194,Foundation_Calc!$V$117:$X$151,VLOOKUP(AX1194,Foundation_Calc!$I$10:$J$13,2,FALSE),0),"")))</f>
        <v>2C4R</v>
      </c>
      <c r="N1194" s="449" t="s">
        <v>134</v>
      </c>
      <c r="O1194" s="449"/>
      <c r="P1194" s="449"/>
      <c r="Q1194" s="4"/>
      <c r="R1194" s="6"/>
      <c r="S1194" s="6"/>
      <c r="T1194" s="4">
        <v>30</v>
      </c>
      <c r="U1194" s="4"/>
      <c r="V1194" s="4"/>
      <c r="W1194" s="572">
        <v>1.2</v>
      </c>
      <c r="X1194" s="572"/>
      <c r="Y1194" s="9"/>
      <c r="Z1194" s="9"/>
      <c r="AA1194" s="9"/>
      <c r="AB1194" s="9"/>
      <c r="AC1194" s="449" t="str">
        <f t="shared" si="147"/>
        <v>PHC</v>
      </c>
      <c r="AD1194" s="449"/>
      <c r="AE1194" s="449"/>
      <c r="AF1194" s="4"/>
      <c r="AG1194" s="83"/>
      <c r="AH1194" s="4"/>
      <c r="AI1194" s="4"/>
      <c r="AJ1194" s="449"/>
      <c r="AK1194" s="449"/>
      <c r="AL1194" s="449"/>
      <c r="AM1194" s="449" t="s">
        <v>126</v>
      </c>
      <c r="AN1194" s="10">
        <v>5.5</v>
      </c>
      <c r="AO1194" s="9"/>
      <c r="AP1194" s="9"/>
      <c r="AQ1194" s="9"/>
      <c r="AR1194" s="9"/>
      <c r="AS1194" s="9"/>
      <c r="AT1194" s="9">
        <f>+ab($T$1194,$T$1192,$U$1196,$G$1193,$G$1195, 1*$F$1194,1200)</f>
        <v>4.6417615952709417</v>
      </c>
      <c r="AU1194" s="428"/>
      <c r="AV1194" s="428"/>
      <c r="AW1194" s="449" t="str">
        <f>IF(C1194&gt;0,VLOOKUP(C1194,Foundation_Calc!$A$2:$C$13,3,1),
IF(J1194&gt;0,VLOOKUP(J1194,Foundation_Calc!$A$2:$C$13,3,1),""))</f>
        <v>Multi Soil</v>
      </c>
      <c r="AX1194" s="449" t="str">
        <f>IF(C1194&gt;0,VLOOKUP(C1194,Foundation_Calc!$E$35:$G$65,3,1),
IF(J1194&gt;0,VLOOKUP(J1194,Foundation_Calc!$E$35:$G$65,3,1),""))</f>
        <v>PT</v>
      </c>
      <c r="AY1194" s="10">
        <f>IF(L1194="","",
IF(AX1194="PT",VLOOKUP(L1194,Foundation_Calc!$K$79:$R$113,VLOOKUP(AW1194,Foundation_Calc!$I$2:$J$8,2,FALSE),0),
IF(AX1194="K",VLOOKUP(L1194,Foundation_Calc!$K$117:$R$151,VLOOKUP(AW1194,Foundation_Calc!$I$2:$J$8,2,FALSE),0),"")))</f>
        <v>4</v>
      </c>
      <c r="AZ1194" s="10" t="str">
        <f>IF(K1194="","",
IF(AX1194="PT",VLOOKUP(K1194,Foundation_Calc!$K$79:$R$113,VLOOKUP(AW1194,Foundation_Calc!$I$2:$J$8,2,FALSE),0),
IF(AX1194="K",VLOOKUP(K1194,Foundation_Calc!$K$117:$R$151,VLOOKUP(AW1194,Foundation_Calc!$I$2:$J$8,2,FALSE),0),"")))</f>
        <v/>
      </c>
      <c r="BA1194" s="495" t="str">
        <f t="shared" si="148"/>
        <v>ü</v>
      </c>
      <c r="BB1194" s="495" t="str">
        <f t="shared" si="149"/>
        <v/>
      </c>
      <c r="BC1194" s="495" t="str">
        <f t="shared" si="150"/>
        <v/>
      </c>
      <c r="BD1194" s="513" t="str">
        <f>IF(AND(L1194="",H1194=""),"",
IF(H1194="",Pole_Calc!A$9,
IF(H1194="MP",Pole_Calc!A$10,
IF(H1194="AnMP",Pole_Calc!A$11,
IF(H1194="A",Pole_Calc!A$12,
IF(H1194="S/A",Pole_Calc!A$13,
IF(H1194="A/S",Pole_Calc!A$14,"Poner a mano")))))))</f>
        <v>Poner a mano</v>
      </c>
      <c r="BE1194" s="429" t="s">
        <v>118</v>
      </c>
      <c r="BF1194" s="289"/>
      <c r="BG1194" s="289"/>
      <c r="BH1194" s="290"/>
      <c r="BI1194" s="289"/>
    </row>
    <row r="1195" spans="1:61" ht="15.75" customHeight="1">
      <c r="A1195" s="571"/>
      <c r="B1195" s="450"/>
      <c r="C1195" s="3"/>
      <c r="D1195" s="83"/>
      <c r="E1195" s="4"/>
      <c r="F1195" s="4"/>
      <c r="G1195" s="6">
        <v>40</v>
      </c>
      <c r="H1195" s="449"/>
      <c r="I1195" s="4"/>
      <c r="J1195" s="3"/>
      <c r="K1195" s="449"/>
      <c r="L1195" s="449"/>
      <c r="M1195" s="449" t="str">
        <f>IF(L1195="","",
IF(AX1195="PT",VLOOKUP(L1195,Foundation_Calc!$V$79:$X$113,VLOOKUP(AX1195,Foundation_Calc!$I$10:$J$13,2,FALSE),0),
IF(AX1195="K",VLOOKUP(L1195,Foundation_Calc!$V$117:$X$151,VLOOKUP(AX1195,Foundation_Calc!$I$10:$J$13,2,FALSE),0),"")))</f>
        <v/>
      </c>
      <c r="N1195" s="449"/>
      <c r="O1195" s="449"/>
      <c r="P1195" s="449"/>
      <c r="Q1195" s="4"/>
      <c r="R1195" s="6"/>
      <c r="S1195" s="6"/>
      <c r="T1195" s="4"/>
      <c r="U1195" s="4"/>
      <c r="V1195" s="4"/>
      <c r="W1195" s="572"/>
      <c r="X1195" s="572"/>
      <c r="Y1195" s="9"/>
      <c r="Z1195" s="9"/>
      <c r="AA1195" s="9"/>
      <c r="AB1195" s="9"/>
      <c r="AC1195" s="449" t="str">
        <f t="shared" si="147"/>
        <v/>
      </c>
      <c r="AD1195" s="449"/>
      <c r="AE1195" s="449"/>
      <c r="AF1195" s="4"/>
      <c r="AG1195" s="83"/>
      <c r="AH1195" s="4"/>
      <c r="AI1195" s="4"/>
      <c r="AJ1195" s="449"/>
      <c r="AK1195" s="449"/>
      <c r="AL1195" s="449"/>
      <c r="AM1195" s="449"/>
      <c r="AN1195" s="10"/>
      <c r="AO1195" s="9"/>
      <c r="AP1195" s="9"/>
      <c r="AQ1195" s="9">
        <f>+FL_1($U$1196,$T$1194,$G$1195,1200,9.28, 1*$F$1196)</f>
        <v>0.29999999999999655</v>
      </c>
      <c r="AR1195" s="9"/>
      <c r="AS1195" s="9"/>
      <c r="AT1195" s="9"/>
      <c r="AU1195" s="428"/>
      <c r="AV1195" s="428"/>
      <c r="AW1195" s="449" t="str">
        <f>IF(C1195&gt;0,VLOOKUP(C1195,Foundation_Calc!$A$2:$C$13,3,1),
IF(J1195&gt;0,VLOOKUP(J1195,Foundation_Calc!$A$2:$C$13,3,1),""))</f>
        <v/>
      </c>
      <c r="AX1195" s="449" t="str">
        <f>IF(C1195&gt;0,VLOOKUP(C1195,Foundation_Calc!$E$35:$G$65,3,1),
IF(J1195&gt;0,VLOOKUP(J1195,Foundation_Calc!$E$35:$G$65,3,1),""))</f>
        <v/>
      </c>
      <c r="AY1195" s="10" t="str">
        <f>IF(L1195="","",
IF(AX1195="PT",VLOOKUP(L1195,Foundation_Calc!$K$79:$R$113,VLOOKUP(AW1195,Foundation_Calc!$I$2:$J$8,2,FALSE),0),
IF(AX1195="K",VLOOKUP(L1195,Foundation_Calc!$K$117:$R$151,VLOOKUP(AW1195,Foundation_Calc!$I$2:$J$8,2,FALSE),0),"")))</f>
        <v/>
      </c>
      <c r="AZ1195" s="10" t="str">
        <f>IF(K1195="","",
IF(AX1195="PT",VLOOKUP(K1195,Foundation_Calc!$K$79:$R$113,VLOOKUP(AW1195,Foundation_Calc!$I$2:$J$8,2,FALSE),0),
IF(AX1195="K",VLOOKUP(K1195,Foundation_Calc!$K$117:$R$151,VLOOKUP(AW1195,Foundation_Calc!$I$2:$J$8,2,FALSE),0),"")))</f>
        <v/>
      </c>
      <c r="BA1195" s="495" t="str">
        <f t="shared" si="148"/>
        <v/>
      </c>
      <c r="BB1195" s="495" t="str">
        <f t="shared" si="149"/>
        <v/>
      </c>
      <c r="BC1195" s="495" t="str">
        <f t="shared" si="150"/>
        <v/>
      </c>
      <c r="BD1195" s="513" t="str">
        <f>IF(AND(L1195="",H1195=""),"",
IF(H1195="",Pole_Calc!A$9,
IF(H1195="MP",Pole_Calc!A$10,
IF(H1195="AnMP",Pole_Calc!A$11,
IF(H1195="A",Pole_Calc!A$12,
IF(H1195="S/A",Pole_Calc!A$13,
IF(H1195="A/S",Pole_Calc!A$14,"Poner a mano")))))))</f>
        <v/>
      </c>
      <c r="BE1195" s="429" t="s">
        <v>118</v>
      </c>
      <c r="BF1195" s="290"/>
      <c r="BG1195" s="290"/>
      <c r="BH1195" s="290"/>
      <c r="BI1195" s="290"/>
    </row>
    <row r="1196" spans="1:61" ht="15.75" customHeight="1">
      <c r="A1196" s="514" t="s">
        <v>1562</v>
      </c>
      <c r="B1196" s="450" t="s">
        <v>1563</v>
      </c>
      <c r="C1196" s="3">
        <f>+$C$1194+$G$1195</f>
        <v>59192.639999999999</v>
      </c>
      <c r="D1196" s="83"/>
      <c r="E1196" s="4"/>
      <c r="F1196" s="4">
        <v>1200</v>
      </c>
      <c r="G1196" s="6"/>
      <c r="H1196" s="449" t="s">
        <v>131</v>
      </c>
      <c r="I1196" s="449" t="s">
        <v>132</v>
      </c>
      <c r="J1196" s="3"/>
      <c r="K1196" s="449"/>
      <c r="L1196" s="449" t="s">
        <v>183</v>
      </c>
      <c r="M1196" s="449" t="str">
        <f>IF(L1196="","",
IF(AX1196="PT",VLOOKUP(L1196,Foundation_Calc!$V$79:$X$113,VLOOKUP(AX1196,Foundation_Calc!$I$10:$J$13,2,FALSE),0),
IF(AX1196="K",VLOOKUP(L1196,Foundation_Calc!$V$117:$X$151,VLOOKUP(AX1196,Foundation_Calc!$I$10:$J$13,2,FALSE),0),"")))</f>
        <v>2C3R</v>
      </c>
      <c r="N1196" s="449" t="s">
        <v>133</v>
      </c>
      <c r="O1196" s="449" t="s">
        <v>134</v>
      </c>
      <c r="P1196" s="449"/>
      <c r="Q1196" s="4"/>
      <c r="R1196" s="6"/>
      <c r="S1196" s="6"/>
      <c r="T1196" s="4">
        <v>35</v>
      </c>
      <c r="U1196" s="4">
        <v>-10</v>
      </c>
      <c r="V1196" s="4"/>
      <c r="W1196" s="572">
        <v>1.4</v>
      </c>
      <c r="X1196" s="572">
        <v>1.8</v>
      </c>
      <c r="Y1196" s="9"/>
      <c r="Z1196" s="9">
        <v>0.4</v>
      </c>
      <c r="AA1196" s="9"/>
      <c r="AB1196" s="9"/>
      <c r="AC1196" s="449"/>
      <c r="AD1196" s="449"/>
      <c r="AE1196" s="449"/>
      <c r="AF1196" s="4"/>
      <c r="AG1196" s="83"/>
      <c r="AH1196" s="4"/>
      <c r="AI1196" s="4"/>
      <c r="AJ1196" s="449" t="s">
        <v>233</v>
      </c>
      <c r="AK1196" s="449"/>
      <c r="AL1196" s="449"/>
      <c r="AM1196" s="449" t="s">
        <v>126</v>
      </c>
      <c r="AN1196" s="10">
        <v>5.5</v>
      </c>
      <c r="AO1196" s="9"/>
      <c r="AP1196" s="9"/>
      <c r="AQ1196" s="9"/>
      <c r="AR1196" s="9"/>
      <c r="AS1196" s="9"/>
      <c r="AT1196" s="9">
        <f>+ab($U$1196,$T$1194,$U$1198,$G$1195,$G$1197, 1*$F$1196,1200)</f>
        <v>7.1955803400320226</v>
      </c>
      <c r="AU1196" s="428"/>
      <c r="AV1196" s="428"/>
      <c r="AW1196" s="449" t="str">
        <f>IF(C1196&gt;0,VLOOKUP(C1196,Foundation_Calc!$A$2:$C$13,3,1),
IF(J1196&gt;0,VLOOKUP(J1196,Foundation_Calc!$A$2:$C$13,3,1),""))</f>
        <v>Multi Soil</v>
      </c>
      <c r="AX1196" s="449" t="str">
        <f>IF(C1196&gt;0,VLOOKUP(C1196,Foundation_Calc!$E$35:$G$65,3,1),
IF(J1196&gt;0,VLOOKUP(J1196,Foundation_Calc!$E$35:$G$65,3,1),""))</f>
        <v>PT</v>
      </c>
      <c r="AY1196" s="10">
        <f>IF(L1196="","",
IF(AX1196="PT",VLOOKUP(L1196,Foundation_Calc!$K$79:$R$113,VLOOKUP(AW1196,Foundation_Calc!$I$2:$J$8,2,FALSE),0),
IF(AX1196="K",VLOOKUP(L1196,Foundation_Calc!$K$117:$R$151,VLOOKUP(AW1196,Foundation_Calc!$I$2:$J$8,2,FALSE),0),"")))</f>
        <v>3.7</v>
      </c>
      <c r="AZ1196" s="10" t="str">
        <f>IF(K1196="","",
IF(AX1196="PT",VLOOKUP(K1196,Foundation_Calc!$K$79:$R$113,VLOOKUP(AW1196,Foundation_Calc!$I$2:$J$8,2,FALSE),0),
IF(AX1196="K",VLOOKUP(K1196,Foundation_Calc!$K$117:$R$151,VLOOKUP(AW1196,Foundation_Calc!$I$2:$J$8,2,FALSE),0),"")))</f>
        <v/>
      </c>
      <c r="BA1196" s="495" t="str">
        <f t="shared" si="148"/>
        <v>ü</v>
      </c>
      <c r="BB1196" s="495" t="str">
        <f t="shared" si="149"/>
        <v/>
      </c>
      <c r="BC1196" s="495" t="str">
        <f t="shared" si="150"/>
        <v/>
      </c>
      <c r="BD1196" s="513" t="str">
        <f>IF(AND(L1196="",H1196=""),"",
IF(H1196="",Pole_Calc!A$9,
IF(H1196="MP",Pole_Calc!A$10,
IF(H1196="AnMP",Pole_Calc!A$11,
IF(H1196="A",Pole_Calc!A$12,
IF(H1196="S/A",Pole_Calc!A$13,
IF(H1196="A/S",Pole_Calc!A$14,"Poner a mano")))))))</f>
        <v>App.7-V11I-P9.5.1.5</v>
      </c>
      <c r="BE1196" s="429" t="s">
        <v>118</v>
      </c>
      <c r="BF1196" s="289"/>
      <c r="BG1196" s="289"/>
      <c r="BH1196" s="290"/>
      <c r="BI1196" s="289"/>
    </row>
    <row r="1197" spans="1:61" ht="15.75" customHeight="1">
      <c r="A1197" s="571"/>
      <c r="B1197" s="450"/>
      <c r="C1197" s="3"/>
      <c r="D1197" s="83"/>
      <c r="E1197" s="4"/>
      <c r="F1197" s="4"/>
      <c r="G1197" s="6">
        <v>45</v>
      </c>
      <c r="H1197" s="449"/>
      <c r="I1197" s="4"/>
      <c r="J1197" s="3"/>
      <c r="K1197" s="449"/>
      <c r="L1197" s="449"/>
      <c r="M1197" s="449" t="str">
        <f>IF(L1197="","",
IF(AX1197="PT",VLOOKUP(L1197,Foundation_Calc!$V$79:$X$113,VLOOKUP(AX1197,Foundation_Calc!$I$10:$J$13,2,FALSE),0),
IF(AX1197="K",VLOOKUP(L1197,Foundation_Calc!$V$117:$X$151,VLOOKUP(AX1197,Foundation_Calc!$I$10:$J$13,2,FALSE),0),"")))</f>
        <v/>
      </c>
      <c r="N1197" s="449"/>
      <c r="O1197" s="449"/>
      <c r="P1197" s="449"/>
      <c r="Q1197" s="4"/>
      <c r="R1197" s="6"/>
      <c r="S1197" s="6"/>
      <c r="T1197" s="4"/>
      <c r="U1197" s="4"/>
      <c r="V1197" s="4"/>
      <c r="W1197" s="9"/>
      <c r="X1197" s="9"/>
      <c r="Y1197" s="9"/>
      <c r="Z1197" s="9"/>
      <c r="AA1197" s="9"/>
      <c r="AB1197" s="9"/>
      <c r="AC1197" s="449" t="str">
        <f t="shared" si="147"/>
        <v/>
      </c>
      <c r="AD1197" s="449"/>
      <c r="AE1197" s="449"/>
      <c r="AF1197" s="4"/>
      <c r="AG1197" s="83"/>
      <c r="AH1197" s="4"/>
      <c r="AI1197" s="4"/>
      <c r="AJ1197" s="449"/>
      <c r="AK1197" s="449"/>
      <c r="AL1197" s="449"/>
      <c r="AM1197" s="449"/>
      <c r="AN1197" s="10"/>
      <c r="AO1197" s="9"/>
      <c r="AP1197" s="9"/>
      <c r="AQ1197" s="9">
        <f>+FL_2($T$1198,$U$1196,$G$1197,1200,9.28, 1*$F$1198)</f>
        <v>-0.33129276919267969</v>
      </c>
      <c r="AR1197" s="9"/>
      <c r="AS1197" s="9"/>
      <c r="AT1197" s="9"/>
      <c r="AU1197" s="428"/>
      <c r="AV1197" s="428"/>
      <c r="AW1197" s="449" t="str">
        <f>IF(C1197&gt;0,VLOOKUP(C1197,Foundation_Calc!$A$2:$C$13,3,1),
IF(J1197&gt;0,VLOOKUP(J1197,Foundation_Calc!$A$2:$C$13,3,1),""))</f>
        <v/>
      </c>
      <c r="AX1197" s="449" t="str">
        <f>IF(C1197&gt;0,VLOOKUP(C1197,Foundation_Calc!$E$35:$G$65,3,1),
IF(J1197&gt;0,VLOOKUP(J1197,Foundation_Calc!$E$35:$G$65,3,1),""))</f>
        <v/>
      </c>
      <c r="AY1197" s="10" t="str">
        <f>IF(L1197="","",
IF(AX1197="PT",VLOOKUP(L1197,Foundation_Calc!$K$79:$R$113,VLOOKUP(AW1197,Foundation_Calc!$I$2:$J$8,2,FALSE),0),
IF(AX1197="K",VLOOKUP(L1197,Foundation_Calc!$K$117:$R$151,VLOOKUP(AW1197,Foundation_Calc!$I$2:$J$8,2,FALSE),0),"")))</f>
        <v/>
      </c>
      <c r="AZ1197" s="10" t="str">
        <f>IF(K1197="","",
IF(AX1197="PT",VLOOKUP(K1197,Foundation_Calc!$K$79:$R$113,VLOOKUP(AW1197,Foundation_Calc!$I$2:$J$8,2,FALSE),0),
IF(AX1197="K",VLOOKUP(K1197,Foundation_Calc!$K$117:$R$151,VLOOKUP(AW1197,Foundation_Calc!$I$2:$J$8,2,FALSE),0),"")))</f>
        <v/>
      </c>
      <c r="BA1197" s="495" t="str">
        <f t="shared" si="148"/>
        <v/>
      </c>
      <c r="BB1197" s="495" t="str">
        <f t="shared" si="149"/>
        <v/>
      </c>
      <c r="BC1197" s="495" t="str">
        <f t="shared" si="150"/>
        <v/>
      </c>
      <c r="BD1197" s="513" t="str">
        <f>IF(AND(L1197="",H1197=""),"",
IF(H1197="",Pole_Calc!A$9,
IF(H1197="MP",Pole_Calc!A$10,
IF(H1197="AnMP",Pole_Calc!A$11,
IF(H1197="A",Pole_Calc!A$12,
IF(H1197="S/A",Pole_Calc!A$13,
IF(H1197="A/S",Pole_Calc!A$14,"Poner a mano")))))))</f>
        <v/>
      </c>
      <c r="BE1197" s="429" t="s">
        <v>118</v>
      </c>
      <c r="BF1197" s="290"/>
      <c r="BG1197" s="290"/>
      <c r="BH1197" s="290"/>
      <c r="BI1197" s="290"/>
    </row>
    <row r="1198" spans="1:61" ht="15.75" customHeight="1">
      <c r="A1198" s="514"/>
      <c r="B1198" s="450" t="s">
        <v>1564</v>
      </c>
      <c r="C1198" s="3">
        <f>+$C$1196+$G$1197</f>
        <v>59237.64</v>
      </c>
      <c r="D1198" s="83"/>
      <c r="E1198" s="4"/>
      <c r="F1198" s="4">
        <v>1200</v>
      </c>
      <c r="G1198" s="6"/>
      <c r="H1198" s="449" t="s">
        <v>131</v>
      </c>
      <c r="I1198" s="4"/>
      <c r="J1198" s="3"/>
      <c r="K1198" s="449"/>
      <c r="L1198" s="449" t="s">
        <v>183</v>
      </c>
      <c r="M1198" s="449" t="str">
        <f>IF(L1198="","",
IF(AX1198="PT",VLOOKUP(L1198,Foundation_Calc!$V$79:$X$113,VLOOKUP(AX1198,Foundation_Calc!$I$10:$J$13,2,FALSE),0),
IF(AX1198="K",VLOOKUP(L1198,Foundation_Calc!$V$117:$X$151,VLOOKUP(AX1198,Foundation_Calc!$I$10:$J$13,2,FALSE),0),"")))</f>
        <v>2C3R</v>
      </c>
      <c r="N1198" s="449" t="s">
        <v>134</v>
      </c>
      <c r="O1198" s="449" t="s">
        <v>133</v>
      </c>
      <c r="P1198" s="449"/>
      <c r="Q1198" s="4"/>
      <c r="R1198" s="6"/>
      <c r="S1198" s="6"/>
      <c r="T1198" s="4">
        <v>30</v>
      </c>
      <c r="U1198" s="4">
        <v>-15</v>
      </c>
      <c r="V1198" s="4"/>
      <c r="W1198" s="9">
        <v>1.4</v>
      </c>
      <c r="X1198" s="9">
        <v>2</v>
      </c>
      <c r="Y1198" s="9"/>
      <c r="Z1198" s="9"/>
      <c r="AA1198" s="9">
        <v>0.4</v>
      </c>
      <c r="AB1198" s="9"/>
      <c r="AC1198" s="449" t="str">
        <f t="shared" si="147"/>
        <v>PHQ</v>
      </c>
      <c r="AD1198" s="449"/>
      <c r="AE1198" s="449"/>
      <c r="AF1198" s="4"/>
      <c r="AG1198" s="83"/>
      <c r="AH1198" s="4"/>
      <c r="AI1198" s="4"/>
      <c r="AJ1198" s="449"/>
      <c r="AK1198" s="449"/>
      <c r="AL1198" s="449"/>
      <c r="AM1198" s="449" t="s">
        <v>126</v>
      </c>
      <c r="AN1198" s="10">
        <v>5.5</v>
      </c>
      <c r="AO1198" s="9"/>
      <c r="AP1198" s="9"/>
      <c r="AQ1198" s="9"/>
      <c r="AR1198" s="9"/>
      <c r="AS1198" s="9"/>
      <c r="AT1198" s="9">
        <f>+ab($T$1198,$T$1196,$T$1200,$G$1197,$G$1199, 1*$F$1198,1200)</f>
        <v>5.444530002002244</v>
      </c>
      <c r="AU1198" s="428"/>
      <c r="AV1198" s="428"/>
      <c r="AW1198" s="449" t="str">
        <f>IF(C1198&gt;0,VLOOKUP(C1198,Foundation_Calc!$A$2:$C$13,3,1),
IF(J1198&gt;0,VLOOKUP(J1198,Foundation_Calc!$A$2:$C$13,3,1),""))</f>
        <v>Multi Soil</v>
      </c>
      <c r="AX1198" s="449" t="str">
        <f>IF(C1198&gt;0,VLOOKUP(C1198,Foundation_Calc!$E$35:$G$65,3,1),
IF(J1198&gt;0,VLOOKUP(J1198,Foundation_Calc!$E$35:$G$65,3,1),""))</f>
        <v>PT</v>
      </c>
      <c r="AY1198" s="10">
        <f>IF(L1198="","",
IF(AX1198="PT",VLOOKUP(L1198,Foundation_Calc!$K$79:$R$113,VLOOKUP(AW1198,Foundation_Calc!$I$2:$J$8,2,FALSE),0),
IF(AX1198="K",VLOOKUP(L1198,Foundation_Calc!$K$117:$R$151,VLOOKUP(AW1198,Foundation_Calc!$I$2:$J$8,2,FALSE),0),"")))</f>
        <v>3.7</v>
      </c>
      <c r="AZ1198" s="10" t="str">
        <f>IF(K1198="","",
IF(AX1198="PT",VLOOKUP(K1198,Foundation_Calc!$K$79:$R$113,VLOOKUP(AW1198,Foundation_Calc!$I$2:$J$8,2,FALSE),0),
IF(AX1198="K",VLOOKUP(K1198,Foundation_Calc!$K$117:$R$151,VLOOKUP(AW1198,Foundation_Calc!$I$2:$J$8,2,FALSE),0),"")))</f>
        <v/>
      </c>
      <c r="BA1198" s="495" t="str">
        <f t="shared" si="148"/>
        <v>ü</v>
      </c>
      <c r="BB1198" s="495" t="str">
        <f t="shared" si="149"/>
        <v/>
      </c>
      <c r="BC1198" s="495" t="str">
        <f t="shared" si="150"/>
        <v/>
      </c>
      <c r="BD1198" s="513" t="str">
        <f>IF(AND(L1198="",H1198=""),"",
IF(H1198="",Pole_Calc!A$9,
IF(H1198="MP",Pole_Calc!A$10,
IF(H1198="AnMP",Pole_Calc!A$11,
IF(H1198="A",Pole_Calc!A$12,
IF(H1198="S/A",Pole_Calc!A$13,
IF(H1198="A/S",Pole_Calc!A$14,"Poner a mano")))))))</f>
        <v>App.7-V11I-P9.5.1.5</v>
      </c>
      <c r="BE1198" s="429" t="s">
        <v>118</v>
      </c>
      <c r="BF1198" s="289"/>
      <c r="BG1198" s="289"/>
      <c r="BH1198" s="290"/>
      <c r="BI1198" s="289"/>
    </row>
    <row r="1199" spans="1:61" ht="15.75" customHeight="1">
      <c r="A1199" s="514"/>
      <c r="B1199" s="450"/>
      <c r="C1199" s="3"/>
      <c r="D1199" s="83"/>
      <c r="E1199" s="4"/>
      <c r="F1199" s="4"/>
      <c r="G1199" s="6">
        <v>42</v>
      </c>
      <c r="H1199" s="449"/>
      <c r="I1199" s="4">
        <f>SUM(G1169:G1199)</f>
        <v>611.79999999999995</v>
      </c>
      <c r="J1199" s="3"/>
      <c r="K1199" s="449"/>
      <c r="L1199" s="449"/>
      <c r="M1199" s="449" t="str">
        <f>IF(L1199="","",
IF(AX1199="PT",VLOOKUP(L1199,Foundation_Calc!$V$79:$X$113,VLOOKUP(AX1199,Foundation_Calc!$I$10:$J$13,2,FALSE),0),
IF(AX1199="K",VLOOKUP(L1199,Foundation_Calc!$V$117:$X$151,VLOOKUP(AX1199,Foundation_Calc!$I$10:$J$13,2,FALSE),0),"")))</f>
        <v/>
      </c>
      <c r="N1199" s="449"/>
      <c r="O1199" s="449"/>
      <c r="P1199" s="449"/>
      <c r="Q1199" s="4"/>
      <c r="R1199" s="6"/>
      <c r="S1199" s="6"/>
      <c r="T1199" s="4"/>
      <c r="U1199" s="4"/>
      <c r="V1199" s="4"/>
      <c r="W1199" s="9"/>
      <c r="X1199" s="9"/>
      <c r="Y1199" s="9"/>
      <c r="Z1199" s="9"/>
      <c r="AA1199" s="9"/>
      <c r="AB1199" s="9"/>
      <c r="AC1199" s="449" t="str">
        <f t="shared" si="147"/>
        <v/>
      </c>
      <c r="AD1199" s="449"/>
      <c r="AE1199" s="449"/>
      <c r="AF1199" s="4"/>
      <c r="AG1199" s="83"/>
      <c r="AH1199" s="4"/>
      <c r="AI1199" s="4"/>
      <c r="AJ1199" s="449"/>
      <c r="AK1199" s="449"/>
      <c r="AL1199" s="449"/>
      <c r="AM1199" s="449"/>
      <c r="AN1199" s="10"/>
      <c r="AO1199" s="9"/>
      <c r="AP1199" s="9"/>
      <c r="AQ1199" s="9">
        <f>+FL_1($T$1200,$T$1198,$G$1199,1200,9.28, 1*$F$1200)</f>
        <v>0.3</v>
      </c>
      <c r="AR1199" s="9"/>
      <c r="AS1199" s="9"/>
      <c r="AT1199" s="9"/>
      <c r="AU1199" s="428"/>
      <c r="AV1199" s="428"/>
      <c r="AW1199" s="449" t="str">
        <f>IF(C1199&gt;0,VLOOKUP(C1199,Foundation_Calc!$A$2:$C$13,3,1),
IF(J1199&gt;0,VLOOKUP(J1199,Foundation_Calc!$A$2:$C$13,3,1),""))</f>
        <v/>
      </c>
      <c r="AX1199" s="449" t="str">
        <f>IF(C1199&gt;0,VLOOKUP(C1199,Foundation_Calc!$E$35:$G$65,3,1),
IF(J1199&gt;0,VLOOKUP(J1199,Foundation_Calc!$E$35:$G$65,3,1),""))</f>
        <v/>
      </c>
      <c r="AY1199" s="10" t="str">
        <f>IF(L1199="","",
IF(AX1199="PT",VLOOKUP(L1199,Foundation_Calc!$K$79:$R$113,VLOOKUP(AW1199,Foundation_Calc!$I$2:$J$8,2,FALSE),0),
IF(AX1199="K",VLOOKUP(L1199,Foundation_Calc!$K$117:$R$151,VLOOKUP(AW1199,Foundation_Calc!$I$2:$J$8,2,FALSE),0),"")))</f>
        <v/>
      </c>
      <c r="AZ1199" s="10" t="str">
        <f>IF(K1199="","",
IF(AX1199="PT",VLOOKUP(K1199,Foundation_Calc!$K$79:$R$113,VLOOKUP(AW1199,Foundation_Calc!$I$2:$J$8,2,FALSE),0),
IF(AX1199="K",VLOOKUP(K1199,Foundation_Calc!$K$117:$R$151,VLOOKUP(AW1199,Foundation_Calc!$I$2:$J$8,2,FALSE),0),"")))</f>
        <v/>
      </c>
      <c r="BA1199" s="495" t="str">
        <f t="shared" si="148"/>
        <v/>
      </c>
      <c r="BB1199" s="495" t="str">
        <f t="shared" si="149"/>
        <v/>
      </c>
      <c r="BC1199" s="495" t="str">
        <f t="shared" si="150"/>
        <v/>
      </c>
      <c r="BD1199" s="513" t="str">
        <f>IF(AND(L1199="",H1199=""),"",
IF(H1199="",Pole_Calc!A$9,
IF(H1199="MP",Pole_Calc!A$10,
IF(H1199="AnMP",Pole_Calc!A$11,
IF(H1199="A",Pole_Calc!A$12,
IF(H1199="S/A",Pole_Calc!A$13,
IF(H1199="A/S",Pole_Calc!A$14,"Poner a mano")))))))</f>
        <v/>
      </c>
      <c r="BE1199" s="429" t="s">
        <v>118</v>
      </c>
      <c r="BF1199" s="290"/>
      <c r="BG1199" s="290"/>
      <c r="BH1199" s="290"/>
      <c r="BI1199" s="290"/>
    </row>
    <row r="1200" spans="1:61" ht="15.75" customHeight="1">
      <c r="A1200" s="514"/>
      <c r="B1200" s="450" t="s">
        <v>1565</v>
      </c>
      <c r="C1200" s="3">
        <f>+$C$1198+$G$1199-0.96</f>
        <v>59278.68</v>
      </c>
      <c r="D1200" s="83"/>
      <c r="E1200" s="4"/>
      <c r="F1200" s="4">
        <v>1200</v>
      </c>
      <c r="G1200" s="6"/>
      <c r="H1200" s="449" t="s">
        <v>121</v>
      </c>
      <c r="I1200" s="4" t="s">
        <v>162</v>
      </c>
      <c r="J1200" s="3"/>
      <c r="K1200" s="449"/>
      <c r="L1200" s="449" t="s">
        <v>181</v>
      </c>
      <c r="M1200" s="449" t="str">
        <f>IF(L1200="","",
IF(AX1200="PT",VLOOKUP(L1200,Foundation_Calc!$V$79:$X$113,VLOOKUP(AX1200,Foundation_Calc!$I$10:$J$13,2,FALSE),0),
IF(AX1200="K",VLOOKUP(L1200,Foundation_Calc!$V$117:$X$151,VLOOKUP(AX1200,Foundation_Calc!$I$10:$J$13,2,FALSE),0),"")))</f>
        <v>C5R</v>
      </c>
      <c r="N1200" s="449" t="s">
        <v>134</v>
      </c>
      <c r="O1200" s="449"/>
      <c r="P1200" s="449"/>
      <c r="Q1200" s="4"/>
      <c r="R1200" s="6"/>
      <c r="S1200" s="6"/>
      <c r="T1200" s="4">
        <v>30</v>
      </c>
      <c r="U1200" s="4"/>
      <c r="V1200" s="4"/>
      <c r="W1200" s="9">
        <v>1.4</v>
      </c>
      <c r="X1200" s="9"/>
      <c r="Y1200" s="9"/>
      <c r="Z1200" s="9"/>
      <c r="AA1200" s="9"/>
      <c r="AB1200" s="9"/>
      <c r="AC1200" s="449" t="str">
        <f t="shared" si="147"/>
        <v>PHQ</v>
      </c>
      <c r="AD1200" s="449"/>
      <c r="AE1200" s="449"/>
      <c r="AF1200" s="4"/>
      <c r="AG1200" s="83"/>
      <c r="AH1200" s="4"/>
      <c r="AI1200" s="4"/>
      <c r="AJ1200" s="449"/>
      <c r="AK1200" s="449"/>
      <c r="AL1200" s="449"/>
      <c r="AM1200" s="449" t="s">
        <v>126</v>
      </c>
      <c r="AN1200" s="10">
        <v>5.5</v>
      </c>
      <c r="AO1200" s="9"/>
      <c r="AP1200" s="9"/>
      <c r="AQ1200" s="9"/>
      <c r="AR1200" s="9"/>
      <c r="AS1200" s="9"/>
      <c r="AT1200" s="9">
        <f>+ab($T$1200,$T$1198,$T$1202,$G$1199,$G$1201, 1*$F$1200,1200)</f>
        <v>5.1035969371191472</v>
      </c>
      <c r="AU1200" s="428"/>
      <c r="AV1200" s="428"/>
      <c r="AW1200" s="449" t="str">
        <f>IF(C1200&gt;0,VLOOKUP(C1200,Foundation_Calc!$A$2:$C$13,3,1),
IF(J1200&gt;0,VLOOKUP(J1200,Foundation_Calc!$A$2:$C$13,3,1),""))</f>
        <v>Multi Soil</v>
      </c>
      <c r="AX1200" s="449" t="str">
        <f>IF(C1200&gt;0,VLOOKUP(C1200,Foundation_Calc!$E$35:$G$65,3,1),
IF(J1200&gt;0,VLOOKUP(J1200,Foundation_Calc!$E$35:$G$65,3,1),""))</f>
        <v>PT</v>
      </c>
      <c r="AY1200" s="10">
        <f>IF(L1200="","",
IF(AX1200="PT",VLOOKUP(L1200,Foundation_Calc!$K$79:$R$113,VLOOKUP(AW1200,Foundation_Calc!$I$2:$J$8,2,FALSE),0),
IF(AX1200="K",VLOOKUP(L1200,Foundation_Calc!$K$117:$R$151,VLOOKUP(AW1200,Foundation_Calc!$I$2:$J$8,2,FALSE),0),"")))</f>
        <v>3.5</v>
      </c>
      <c r="AZ1200" s="10" t="str">
        <f>IF(K1200="","",
IF(AX1200="PT",VLOOKUP(K1200,Foundation_Calc!$K$79:$R$113,VLOOKUP(AW1200,Foundation_Calc!$I$2:$J$8,2,FALSE),0),
IF(AX1200="K",VLOOKUP(K1200,Foundation_Calc!$K$117:$R$151,VLOOKUP(AW1200,Foundation_Calc!$I$2:$J$8,2,FALSE),0),"")))</f>
        <v/>
      </c>
      <c r="BA1200" s="495" t="str">
        <f t="shared" si="148"/>
        <v>ü</v>
      </c>
      <c r="BB1200" s="495" t="str">
        <f t="shared" si="149"/>
        <v/>
      </c>
      <c r="BC1200" s="495" t="str">
        <f t="shared" si="150"/>
        <v/>
      </c>
      <c r="BD1200" s="513" t="str">
        <f>IF(AND(L1200="",H1200=""),"",
IF(H1200="",Pole_Calc!A$9,
IF(H1200="MP",Pole_Calc!A$10,
IF(H1200="AnMP",Pole_Calc!A$11,
IF(H1200="A",Pole_Calc!A$12,
IF(H1200="S/A",Pole_Calc!A$13,
IF(H1200="A/S",Pole_Calc!A$14,"Poner a mano")))))))</f>
        <v>App.7-V11I-P9.5.1.6</v>
      </c>
      <c r="BE1200" s="429" t="s">
        <v>118</v>
      </c>
      <c r="BF1200" s="289"/>
      <c r="BG1200" s="289"/>
      <c r="BH1200" s="290"/>
      <c r="BI1200" s="289"/>
    </row>
    <row r="1201" spans="1:61" ht="15.75" customHeight="1">
      <c r="A1201" s="685" t="s">
        <v>305</v>
      </c>
      <c r="B1201" s="686"/>
      <c r="C1201" s="687"/>
      <c r="D1201" s="688"/>
      <c r="E1201" s="689"/>
      <c r="F1201" s="689"/>
      <c r="G1201" s="690">
        <v>48</v>
      </c>
      <c r="H1201" s="691"/>
      <c r="I1201" s="689"/>
      <c r="J1201" s="687">
        <f>C1200+7.5</f>
        <v>59286.18</v>
      </c>
      <c r="K1201" s="691" t="s">
        <v>117</v>
      </c>
      <c r="L1201" s="691"/>
      <c r="M1201" s="691" t="str">
        <f>IF(L1201="","",
IF(AX1201="PT",VLOOKUP(L1201,Foundation_Calc!$V$79:$X$113,VLOOKUP(AX1201,Foundation_Calc!$I$10:$J$13,2,FALSE),0),
IF(AX1201="K",VLOOKUP(L1201,Foundation_Calc!$V$117:$X$151,VLOOKUP(AX1201,Foundation_Calc!$I$10:$J$13,2,FALSE),0),"")))</f>
        <v/>
      </c>
      <c r="N1201" s="691"/>
      <c r="O1201" s="691"/>
      <c r="P1201" s="691"/>
      <c r="Q1201" s="689"/>
      <c r="R1201" s="690"/>
      <c r="S1201" s="690"/>
      <c r="T1201" s="689"/>
      <c r="U1201" s="689"/>
      <c r="V1201" s="689"/>
      <c r="W1201" s="692"/>
      <c r="X1201" s="692"/>
      <c r="Y1201" s="692"/>
      <c r="Z1201" s="692"/>
      <c r="AA1201" s="692"/>
      <c r="AB1201" s="692"/>
      <c r="AC1201" s="691" t="str">
        <f t="shared" si="147"/>
        <v/>
      </c>
      <c r="AD1201" s="691"/>
      <c r="AE1201" s="691"/>
      <c r="AF1201" s="689"/>
      <c r="AG1201" s="688"/>
      <c r="AH1201" s="689"/>
      <c r="AI1201" s="689"/>
      <c r="AJ1201" s="691"/>
      <c r="AK1201" s="691"/>
      <c r="AL1201" s="691"/>
      <c r="AM1201" s="691"/>
      <c r="AN1201" s="693"/>
      <c r="AO1201" s="692"/>
      <c r="AP1201" s="692"/>
      <c r="AQ1201" s="692">
        <f>+FL_1($T$1202,$T$1200,$G$1201,1200,9.28, 1*$F$1202)</f>
        <v>0.34388424803939477</v>
      </c>
      <c r="AR1201" s="692"/>
      <c r="AS1201" s="692"/>
      <c r="AT1201" s="692"/>
      <c r="AU1201" s="694"/>
      <c r="AV1201" s="694"/>
      <c r="AW1201" s="691" t="str">
        <f>IF(C1201&gt;0,VLOOKUP(C1201,Foundation_Calc!$A$2:$C$13,3,1),
IF(J1201&gt;0,VLOOKUP(J1201,Foundation_Calc!$A$2:$C$13,3,1),""))</f>
        <v>Multi Soil</v>
      </c>
      <c r="AX1201" s="691" t="str">
        <f>IF(C1201&gt;0,VLOOKUP(C1201,Foundation_Calc!$E$35:$G$65,3,1),
IF(J1201&gt;0,VLOOKUP(J1201,Foundation_Calc!$E$35:$G$65,3,1),""))</f>
        <v>PT</v>
      </c>
      <c r="AY1201" s="693" t="str">
        <f>IF(L1201="","",
IF(AX1201="PT",VLOOKUP(L1201,Foundation_Calc!$K$79:$R$113,VLOOKUP(AW1201,Foundation_Calc!$I$2:$J$8,2,FALSE),0),
IF(AX1201="K",VLOOKUP(L1201,Foundation_Calc!$K$117:$R$151,VLOOKUP(AW1201,Foundation_Calc!$I$2:$J$8,2,FALSE),0),"")))</f>
        <v/>
      </c>
      <c r="AZ1201" s="693">
        <f>IF(K1201="","",
IF(AX1201="PT",VLOOKUP(K1201,Foundation_Calc!$K$79:$R$113,VLOOKUP(AW1201,Foundation_Calc!$I$2:$J$8,2,FALSE),0),
IF(AX1201="K",VLOOKUP(K1201,Foundation_Calc!$K$117:$R$151,VLOOKUP(AW1201,Foundation_Calc!$I$2:$J$8,2,FALSE),0),"")))</f>
        <v>3.9</v>
      </c>
      <c r="BA1201" s="495" t="str">
        <f t="shared" si="148"/>
        <v/>
      </c>
      <c r="BB1201" s="495" t="str">
        <f t="shared" si="149"/>
        <v>ü</v>
      </c>
      <c r="BC1201" s="495" t="str">
        <f t="shared" si="150"/>
        <v/>
      </c>
      <c r="BD1201" s="513" t="str">
        <f>IF(AND(L1201="",H1201=""),"",
IF(H1201="",Pole_Calc!A$9,
IF(H1201="MP",Pole_Calc!A$10,
IF(H1201="AnMP",Pole_Calc!A$11,
IF(H1201="A",Pole_Calc!A$12,
IF(H1201="S/A",Pole_Calc!A$13,
IF(H1201="A/S",Pole_Calc!A$14,"Poner a mano")))))))</f>
        <v/>
      </c>
      <c r="BE1201" s="429" t="s">
        <v>118</v>
      </c>
      <c r="BF1201" s="290"/>
      <c r="BG1201" s="290"/>
      <c r="BH1201" s="290"/>
      <c r="BI1201" s="290"/>
    </row>
    <row r="1202" spans="1:61" ht="15.75" customHeight="1">
      <c r="A1202" s="571"/>
      <c r="B1202" s="450" t="s">
        <v>1566</v>
      </c>
      <c r="C1202" s="3">
        <f>+$C$1200+$G$1201</f>
        <v>59326.68</v>
      </c>
      <c r="D1202" s="83"/>
      <c r="E1202" s="4"/>
      <c r="F1202" s="4">
        <v>1610.5056620696967</v>
      </c>
      <c r="G1202" s="6"/>
      <c r="H1202" s="449"/>
      <c r="I1202" s="4"/>
      <c r="J1202" s="3"/>
      <c r="K1202" s="449"/>
      <c r="L1202" s="449" t="s">
        <v>158</v>
      </c>
      <c r="M1202" s="449" t="str">
        <f>IF(L1202="","",
IF(AX1202="PT",VLOOKUP(L1202,Foundation_Calc!$V$79:$X$113,VLOOKUP(AX1202,Foundation_Calc!$I$10:$J$13,2,FALSE),0),
IF(AX1202="K",VLOOKUP(L1202,Foundation_Calc!$V$117:$X$151,VLOOKUP(AX1202,Foundation_Calc!$I$10:$J$13,2,FALSE),0),"")))</f>
        <v>C4R</v>
      </c>
      <c r="N1202" s="449" t="s">
        <v>134</v>
      </c>
      <c r="O1202" s="449"/>
      <c r="P1202" s="449"/>
      <c r="Q1202" s="4"/>
      <c r="R1202" s="6"/>
      <c r="S1202" s="6"/>
      <c r="T1202" s="4">
        <v>30</v>
      </c>
      <c r="U1202" s="4"/>
      <c r="V1202" s="4"/>
      <c r="W1202" s="9">
        <v>1.4</v>
      </c>
      <c r="X1202" s="9"/>
      <c r="Y1202" s="9"/>
      <c r="Z1202" s="9"/>
      <c r="AA1202" s="9"/>
      <c r="AB1202" s="9"/>
      <c r="AC1202" s="449" t="str">
        <f t="shared" si="147"/>
        <v>PHQ</v>
      </c>
      <c r="AD1202" s="449"/>
      <c r="AE1202" s="449"/>
      <c r="AF1202" s="4"/>
      <c r="AG1202" s="83"/>
      <c r="AH1202" s="4"/>
      <c r="AI1202" s="4"/>
      <c r="AJ1202" s="449"/>
      <c r="AK1202" s="449"/>
      <c r="AL1202" s="449"/>
      <c r="AM1202" s="449" t="s">
        <v>126</v>
      </c>
      <c r="AN1202" s="10">
        <v>5.5</v>
      </c>
      <c r="AO1202" s="9"/>
      <c r="AP1202" s="9"/>
      <c r="AQ1202" s="9"/>
      <c r="AR1202" s="9"/>
      <c r="AS1202" s="9"/>
      <c r="AT1202" s="9">
        <f>+ab($T$1202,$T$1200,$T$1204,$G$1201,$G$1203, 1*$F$1202,1200)</f>
        <v>5.8970934537301929</v>
      </c>
      <c r="AU1202" s="428"/>
      <c r="AV1202" s="428"/>
      <c r="AW1202" s="449" t="str">
        <f>IF(C1202&gt;0,VLOOKUP(C1202,Foundation_Calc!$A$2:$C$13,3,1),
IF(J1202&gt;0,VLOOKUP(J1202,Foundation_Calc!$A$2:$C$13,3,1),""))</f>
        <v>Multi Soil</v>
      </c>
      <c r="AX1202" s="449" t="str">
        <f>IF(C1202&gt;0,VLOOKUP(C1202,Foundation_Calc!$E$35:$G$65,3,1),
IF(J1202&gt;0,VLOOKUP(J1202,Foundation_Calc!$E$35:$G$65,3,1),""))</f>
        <v>PT</v>
      </c>
      <c r="AY1202" s="10">
        <f>IF(L1202="","",
IF(AX1202="PT",VLOOKUP(L1202,Foundation_Calc!$K$79:$R$113,VLOOKUP(AW1202,Foundation_Calc!$I$2:$J$8,2,FALSE),0),
IF(AX1202="K",VLOOKUP(L1202,Foundation_Calc!$K$117:$R$151,VLOOKUP(AW1202,Foundation_Calc!$I$2:$J$8,2,FALSE),0),"")))</f>
        <v>3.5</v>
      </c>
      <c r="AZ1202" s="10" t="str">
        <f>IF(K1202="","",
IF(AX1202="PT",VLOOKUP(K1202,Foundation_Calc!$K$79:$R$113,VLOOKUP(AW1202,Foundation_Calc!$I$2:$J$8,2,FALSE),0),
IF(AX1202="K",VLOOKUP(K1202,Foundation_Calc!$K$117:$R$151,VLOOKUP(AW1202,Foundation_Calc!$I$2:$J$8,2,FALSE),0),"")))</f>
        <v/>
      </c>
      <c r="BA1202" s="495" t="str">
        <f t="shared" si="148"/>
        <v>ü</v>
      </c>
      <c r="BB1202" s="495" t="str">
        <f t="shared" si="149"/>
        <v/>
      </c>
      <c r="BC1202" s="495" t="str">
        <f t="shared" si="150"/>
        <v/>
      </c>
      <c r="BD1202" s="513" t="str">
        <f>IF(AND(L1202="",H1202=""),"",
IF(H1202="",Pole_Calc!A$9,
IF(H1202="MP",Pole_Calc!A$10,
IF(H1202="AnMP",Pole_Calc!A$11,
IF(H1202="A",Pole_Calc!A$12,
IF(H1202="S/A",Pole_Calc!A$13,
IF(H1202="A/S",Pole_Calc!A$14,"Poner a mano")))))))</f>
        <v>App.7-V11I-P9.5.1.1</v>
      </c>
      <c r="BE1202" s="429" t="s">
        <v>118</v>
      </c>
      <c r="BF1202" s="289"/>
      <c r="BG1202" s="289"/>
      <c r="BH1202" s="290"/>
      <c r="BI1202" s="289"/>
    </row>
    <row r="1203" spans="1:61" ht="15.75" customHeight="1">
      <c r="A1203" s="514"/>
      <c r="B1203" s="450"/>
      <c r="C1203" s="3"/>
      <c r="D1203" s="83"/>
      <c r="E1203" s="4"/>
      <c r="F1203" s="4"/>
      <c r="G1203" s="6">
        <v>50</v>
      </c>
      <c r="H1203" s="449"/>
      <c r="I1203" s="4"/>
      <c r="J1203" s="3"/>
      <c r="K1203" s="449"/>
      <c r="L1203" s="449"/>
      <c r="M1203" s="449" t="str">
        <f>IF(L1203="","",
IF(AX1203="PT",VLOOKUP(L1203,Foundation_Calc!$V$79:$X$113,VLOOKUP(AX1203,Foundation_Calc!$I$10:$J$13,2,FALSE),0),
IF(AX1203="K",VLOOKUP(L1203,Foundation_Calc!$V$117:$X$151,VLOOKUP(AX1203,Foundation_Calc!$I$10:$J$13,2,FALSE),0),"")))</f>
        <v/>
      </c>
      <c r="N1203" s="449"/>
      <c r="O1203" s="449"/>
      <c r="P1203" s="449"/>
      <c r="Q1203" s="4"/>
      <c r="R1203" s="6"/>
      <c r="S1203" s="6"/>
      <c r="T1203" s="4"/>
      <c r="U1203" s="4"/>
      <c r="V1203" s="4"/>
      <c r="W1203" s="9"/>
      <c r="X1203" s="9"/>
      <c r="Y1203" s="9"/>
      <c r="Z1203" s="9"/>
      <c r="AA1203" s="9"/>
      <c r="AB1203" s="9"/>
      <c r="AC1203" s="449" t="str">
        <f t="shared" si="147"/>
        <v/>
      </c>
      <c r="AD1203" s="449"/>
      <c r="AE1203" s="449"/>
      <c r="AF1203" s="4"/>
      <c r="AG1203" s="83"/>
      <c r="AH1203" s="4"/>
      <c r="AI1203" s="4"/>
      <c r="AJ1203" s="449"/>
      <c r="AK1203" s="449"/>
      <c r="AL1203" s="449"/>
      <c r="AM1203" s="449"/>
      <c r="AN1203" s="10"/>
      <c r="AO1203" s="9"/>
      <c r="AP1203" s="9"/>
      <c r="AQ1203" s="9">
        <f>+FL_1($T$1204,$T$1202,$G$1203,1200,9.28, 1*$F$1204)</f>
        <v>0.41040142044621308</v>
      </c>
      <c r="AR1203" s="9"/>
      <c r="AS1203" s="9"/>
      <c r="AT1203" s="9"/>
      <c r="AU1203" s="428"/>
      <c r="AV1203" s="428"/>
      <c r="AW1203" s="449" t="str">
        <f>IF(C1203&gt;0,VLOOKUP(C1203,Foundation_Calc!$A$2:$C$13,3,1),
IF(J1203&gt;0,VLOOKUP(J1203,Foundation_Calc!$A$2:$C$13,3,1),""))</f>
        <v/>
      </c>
      <c r="AX1203" s="449" t="str">
        <f>IF(C1203&gt;0,VLOOKUP(C1203,Foundation_Calc!$E$35:$G$65,3,1),
IF(J1203&gt;0,VLOOKUP(J1203,Foundation_Calc!$E$35:$G$65,3,1),""))</f>
        <v/>
      </c>
      <c r="AY1203" s="10" t="str">
        <f>IF(L1203="","",
IF(AX1203="PT",VLOOKUP(L1203,Foundation_Calc!$K$79:$R$113,VLOOKUP(AW1203,Foundation_Calc!$I$2:$J$8,2,FALSE),0),
IF(AX1203="K",VLOOKUP(L1203,Foundation_Calc!$K$117:$R$151,VLOOKUP(AW1203,Foundation_Calc!$I$2:$J$8,2,FALSE),0),"")))</f>
        <v/>
      </c>
      <c r="AZ1203" s="10" t="str">
        <f>IF(K1203="","",
IF(AX1203="PT",VLOOKUP(K1203,Foundation_Calc!$K$79:$R$113,VLOOKUP(AW1203,Foundation_Calc!$I$2:$J$8,2,FALSE),0),
IF(AX1203="K",VLOOKUP(K1203,Foundation_Calc!$K$117:$R$151,VLOOKUP(AW1203,Foundation_Calc!$I$2:$J$8,2,FALSE),0),"")))</f>
        <v/>
      </c>
      <c r="BA1203" s="495" t="str">
        <f t="shared" si="148"/>
        <v/>
      </c>
      <c r="BB1203" s="495" t="str">
        <f t="shared" si="149"/>
        <v/>
      </c>
      <c r="BC1203" s="495" t="str">
        <f t="shared" si="150"/>
        <v/>
      </c>
      <c r="BD1203" s="513" t="str">
        <f>IF(AND(L1203="",H1203=""),"",
IF(H1203="",Pole_Calc!A$9,
IF(H1203="MP",Pole_Calc!A$10,
IF(H1203="AnMP",Pole_Calc!A$11,
IF(H1203="A",Pole_Calc!A$12,
IF(H1203="S/A",Pole_Calc!A$13,
IF(H1203="A/S",Pole_Calc!A$14,"Poner a mano")))))))</f>
        <v/>
      </c>
      <c r="BE1203" s="429" t="s">
        <v>118</v>
      </c>
      <c r="BF1203" s="290"/>
      <c r="BG1203" s="290"/>
      <c r="BH1203" s="290"/>
      <c r="BI1203" s="290"/>
    </row>
    <row r="1204" spans="1:61" ht="15.75" customHeight="1">
      <c r="A1204" s="514"/>
      <c r="B1204" s="450" t="s">
        <v>1567</v>
      </c>
      <c r="C1204" s="3">
        <f>+$C$1202+$G$1203</f>
        <v>59376.68</v>
      </c>
      <c r="D1204" s="83"/>
      <c r="E1204" s="4"/>
      <c r="F1204" s="4">
        <v>3665.2462362845486</v>
      </c>
      <c r="G1204" s="6"/>
      <c r="H1204" s="449"/>
      <c r="I1204" s="449"/>
      <c r="J1204" s="3"/>
      <c r="K1204" s="449"/>
      <c r="L1204" s="449" t="s">
        <v>153</v>
      </c>
      <c r="M1204" s="449" t="str">
        <f>IF(L1204="","",
IF(AX1204="PT",VLOOKUP(L1204,Foundation_Calc!$V$79:$X$113,VLOOKUP(AX1204,Foundation_Calc!$I$10:$J$13,2,FALSE),0),
IF(AX1204="K",VLOOKUP(L1204,Foundation_Calc!$V$117:$X$151,VLOOKUP(AX1204,Foundation_Calc!$I$10:$J$13,2,FALSE),0),"")))</f>
        <v>C3R</v>
      </c>
      <c r="N1204" s="449" t="s">
        <v>134</v>
      </c>
      <c r="O1204" s="449"/>
      <c r="P1204" s="449"/>
      <c r="Q1204" s="4"/>
      <c r="R1204" s="6"/>
      <c r="S1204" s="6"/>
      <c r="T1204" s="4">
        <v>20</v>
      </c>
      <c r="U1204" s="4"/>
      <c r="V1204" s="4"/>
      <c r="W1204" s="9">
        <v>1.4</v>
      </c>
      <c r="X1204" s="9"/>
      <c r="Y1204" s="9"/>
      <c r="Z1204" s="9"/>
      <c r="AA1204" s="9"/>
      <c r="AB1204" s="9"/>
      <c r="AC1204" s="449" t="str">
        <f t="shared" si="147"/>
        <v>PH</v>
      </c>
      <c r="AD1204" s="449"/>
      <c r="AE1204" s="449"/>
      <c r="AF1204" s="4"/>
      <c r="AG1204" s="83"/>
      <c r="AH1204" s="4"/>
      <c r="AI1204" s="4"/>
      <c r="AJ1204" s="449"/>
      <c r="AK1204" s="449"/>
      <c r="AL1204" s="449"/>
      <c r="AM1204" s="449" t="s">
        <v>126</v>
      </c>
      <c r="AN1204" s="10">
        <v>5.5</v>
      </c>
      <c r="AO1204" s="9"/>
      <c r="AP1204" s="9"/>
      <c r="AQ1204" s="9"/>
      <c r="AR1204" s="9"/>
      <c r="AS1204" s="9"/>
      <c r="AT1204" s="9">
        <f>+ab($T$1204,$T$1202,$T$1206,$G$1203,$G$1205, 1*$F$1204,1200)</f>
        <v>8.5322694464007434</v>
      </c>
      <c r="AU1204" s="428"/>
      <c r="AV1204" s="428"/>
      <c r="AW1204" s="449" t="str">
        <f>IF(C1204&gt;0,VLOOKUP(C1204,Foundation_Calc!$A$2:$C$13,3,1),
IF(J1204&gt;0,VLOOKUP(J1204,Foundation_Calc!$A$2:$C$13,3,1),""))</f>
        <v>Multi Soil</v>
      </c>
      <c r="AX1204" s="449" t="str">
        <f>IF(C1204&gt;0,VLOOKUP(C1204,Foundation_Calc!$E$35:$G$65,3,1),
IF(J1204&gt;0,VLOOKUP(J1204,Foundation_Calc!$E$35:$G$65,3,1),""))</f>
        <v>PT</v>
      </c>
      <c r="AY1204" s="10">
        <f>IF(L1204="","",
IF(AX1204="PT",VLOOKUP(L1204,Foundation_Calc!$K$79:$R$113,VLOOKUP(AW1204,Foundation_Calc!$I$2:$J$8,2,FALSE),0),
IF(AX1204="K",VLOOKUP(L1204,Foundation_Calc!$K$117:$R$151,VLOOKUP(AW1204,Foundation_Calc!$I$2:$J$8,2,FALSE),0),"")))</f>
        <v>3.5</v>
      </c>
      <c r="AZ1204" s="10" t="str">
        <f>IF(K1204="","",
IF(AX1204="PT",VLOOKUP(K1204,Foundation_Calc!$K$79:$R$113,VLOOKUP(AW1204,Foundation_Calc!$I$2:$J$8,2,FALSE),0),
IF(AX1204="K",VLOOKUP(K1204,Foundation_Calc!$K$117:$R$151,VLOOKUP(AW1204,Foundation_Calc!$I$2:$J$8,2,FALSE),0),"")))</f>
        <v/>
      </c>
      <c r="BA1204" s="495" t="str">
        <f t="shared" si="148"/>
        <v>ü</v>
      </c>
      <c r="BB1204" s="495" t="str">
        <f t="shared" si="149"/>
        <v/>
      </c>
      <c r="BC1204" s="495" t="str">
        <f t="shared" si="150"/>
        <v/>
      </c>
      <c r="BD1204" s="513" t="str">
        <f>IF(AND(L1204="",H1204=""),"",
IF(H1204="",Pole_Calc!A$9,
IF(H1204="MP",Pole_Calc!A$10,
IF(H1204="AnMP",Pole_Calc!A$11,
IF(H1204="A",Pole_Calc!A$12,
IF(H1204="S/A",Pole_Calc!A$13,
IF(H1204="A/S",Pole_Calc!A$14,"Poner a mano")))))))</f>
        <v>App.7-V11I-P9.5.1.1</v>
      </c>
      <c r="BE1204" s="429" t="s">
        <v>118</v>
      </c>
      <c r="BF1204" s="289"/>
      <c r="BG1204" s="289"/>
      <c r="BH1204" s="290"/>
      <c r="BI1204" s="289"/>
    </row>
    <row r="1205" spans="1:61" ht="15.75" customHeight="1">
      <c r="A1205" s="571"/>
      <c r="B1205" s="450"/>
      <c r="C1205" s="3"/>
      <c r="D1205" s="83"/>
      <c r="E1205" s="4"/>
      <c r="F1205" s="4"/>
      <c r="G1205" s="6">
        <v>55</v>
      </c>
      <c r="H1205" s="449"/>
      <c r="I1205" s="4"/>
      <c r="J1205" s="3"/>
      <c r="K1205" s="449"/>
      <c r="L1205" s="449"/>
      <c r="M1205" s="449" t="str">
        <f>IF(L1205="","",
IF(AX1205="PT",VLOOKUP(L1205,Foundation_Calc!$V$79:$X$113,VLOOKUP(AX1205,Foundation_Calc!$I$10:$J$13,2,FALSE),0),
IF(AX1205="K",VLOOKUP(L1205,Foundation_Calc!$V$117:$X$151,VLOOKUP(AX1205,Foundation_Calc!$I$10:$J$13,2,FALSE),0),"")))</f>
        <v/>
      </c>
      <c r="N1205" s="449"/>
      <c r="O1205" s="449"/>
      <c r="P1205" s="449"/>
      <c r="Q1205" s="4"/>
      <c r="R1205" s="6"/>
      <c r="S1205" s="6"/>
      <c r="T1205" s="4"/>
      <c r="U1205" s="4"/>
      <c r="V1205" s="4"/>
      <c r="W1205" s="9"/>
      <c r="X1205" s="9"/>
      <c r="Y1205" s="9"/>
      <c r="Z1205" s="9"/>
      <c r="AA1205" s="9"/>
      <c r="AB1205" s="9"/>
      <c r="AC1205" s="449" t="str">
        <f t="shared" si="147"/>
        <v/>
      </c>
      <c r="AD1205" s="449"/>
      <c r="AE1205" s="449"/>
      <c r="AF1205" s="4"/>
      <c r="AG1205" s="83"/>
      <c r="AH1205" s="4"/>
      <c r="AI1205" s="4"/>
      <c r="AJ1205" s="449"/>
      <c r="AK1205" s="449"/>
      <c r="AL1205" s="449"/>
      <c r="AM1205" s="449"/>
      <c r="AN1205" s="10"/>
      <c r="AO1205" s="9"/>
      <c r="AP1205" s="9"/>
      <c r="AQ1205" s="9">
        <f>+FL_2($T$1206,$T$1204,$G$1205,1200,9.28, 1*$F$1206)</f>
        <v>-0.43207183866666665</v>
      </c>
      <c r="AR1205" s="9"/>
      <c r="AS1205" s="9"/>
      <c r="AT1205" s="9"/>
      <c r="AU1205" s="428"/>
      <c r="AV1205" s="428"/>
      <c r="AW1205" s="449" t="str">
        <f>IF(C1205&gt;0,VLOOKUP(C1205,Foundation_Calc!$A$2:$C$13,3,1),
IF(J1205&gt;0,VLOOKUP(J1205,Foundation_Calc!$A$2:$C$13,3,1),""))</f>
        <v/>
      </c>
      <c r="AX1205" s="449" t="str">
        <f>IF(C1205&gt;0,VLOOKUP(C1205,Foundation_Calc!$E$35:$G$65,3,1),
IF(J1205&gt;0,VLOOKUP(J1205,Foundation_Calc!$E$35:$G$65,3,1),""))</f>
        <v/>
      </c>
      <c r="AY1205" s="10" t="str">
        <f>IF(L1205="","",
IF(AX1205="PT",VLOOKUP(L1205,Foundation_Calc!$K$79:$R$113,VLOOKUP(AW1205,Foundation_Calc!$I$2:$J$8,2,FALSE),0),
IF(AX1205="K",VLOOKUP(L1205,Foundation_Calc!$K$117:$R$151,VLOOKUP(AW1205,Foundation_Calc!$I$2:$J$8,2,FALSE),0),"")))</f>
        <v/>
      </c>
      <c r="AZ1205" s="10" t="str">
        <f>IF(K1205="","",
IF(AX1205="PT",VLOOKUP(K1205,Foundation_Calc!$K$79:$R$113,VLOOKUP(AW1205,Foundation_Calc!$I$2:$J$8,2,FALSE),0),
IF(AX1205="K",VLOOKUP(K1205,Foundation_Calc!$K$117:$R$151,VLOOKUP(AW1205,Foundation_Calc!$I$2:$J$8,2,FALSE),0),"")))</f>
        <v/>
      </c>
      <c r="BA1205" s="495" t="str">
        <f t="shared" si="148"/>
        <v/>
      </c>
      <c r="BB1205" s="495" t="str">
        <f t="shared" si="149"/>
        <v/>
      </c>
      <c r="BC1205" s="495" t="str">
        <f t="shared" si="150"/>
        <v/>
      </c>
      <c r="BD1205" s="513" t="str">
        <f>IF(AND(L1205="",H1205=""),"",
IF(H1205="",Pole_Calc!A$9,
IF(H1205="MP",Pole_Calc!A$10,
IF(H1205="AnMP",Pole_Calc!A$11,
IF(H1205="A",Pole_Calc!A$12,
IF(H1205="S/A",Pole_Calc!A$13,
IF(H1205="A/S",Pole_Calc!A$14,"Poner a mano")))))))</f>
        <v/>
      </c>
      <c r="BE1205" s="429" t="s">
        <v>118</v>
      </c>
      <c r="BF1205" s="290"/>
      <c r="BG1205" s="290"/>
      <c r="BH1205" s="290"/>
      <c r="BI1205" s="290"/>
    </row>
    <row r="1206" spans="1:61" ht="15.75" customHeight="1">
      <c r="A1206" s="514"/>
      <c r="B1206" s="450" t="s">
        <v>1568</v>
      </c>
      <c r="C1206" s="3">
        <f>+$C$1204+$G$1205</f>
        <v>59431.68</v>
      </c>
      <c r="D1206" s="83"/>
      <c r="E1206" s="4"/>
      <c r="F1206" s="4">
        <v>0</v>
      </c>
      <c r="G1206" s="6"/>
      <c r="H1206" s="449"/>
      <c r="I1206" s="4"/>
      <c r="J1206" s="3"/>
      <c r="K1206" s="449"/>
      <c r="L1206" s="449" t="s">
        <v>153</v>
      </c>
      <c r="M1206" s="449" t="str">
        <f>IF(L1206="","",
IF(AX1206="PT",VLOOKUP(L1206,Foundation_Calc!$V$79:$X$113,VLOOKUP(AX1206,Foundation_Calc!$I$10:$J$13,2,FALSE),0),
IF(AX1206="K",VLOOKUP(L1206,Foundation_Calc!$V$117:$X$151,VLOOKUP(AX1206,Foundation_Calc!$I$10:$J$13,2,FALSE),0),"")))</f>
        <v>C3R</v>
      </c>
      <c r="N1206" s="449" t="s">
        <v>124</v>
      </c>
      <c r="O1206" s="449"/>
      <c r="P1206" s="449"/>
      <c r="Q1206" s="4"/>
      <c r="R1206" s="6"/>
      <c r="S1206" s="6"/>
      <c r="T1206" s="4">
        <v>-35</v>
      </c>
      <c r="U1206" s="4"/>
      <c r="V1206" s="4"/>
      <c r="W1206" s="9">
        <v>1.4</v>
      </c>
      <c r="X1206" s="9"/>
      <c r="Y1206" s="9"/>
      <c r="Z1206" s="9"/>
      <c r="AA1206" s="9"/>
      <c r="AB1206" s="9"/>
      <c r="AC1206" s="449" t="str">
        <f t="shared" si="147"/>
        <v>PH</v>
      </c>
      <c r="AD1206" s="449"/>
      <c r="AE1206" s="449"/>
      <c r="AF1206" s="4"/>
      <c r="AG1206" s="83"/>
      <c r="AH1206" s="4"/>
      <c r="AI1206" s="4"/>
      <c r="AJ1206" s="449"/>
      <c r="AK1206" s="449"/>
      <c r="AL1206" s="449"/>
      <c r="AM1206" s="449" t="s">
        <v>126</v>
      </c>
      <c r="AN1206" s="10">
        <v>5.5</v>
      </c>
      <c r="AO1206" s="9"/>
      <c r="AP1206" s="9"/>
      <c r="AQ1206" s="9"/>
      <c r="AR1206" s="9"/>
      <c r="AS1206" s="9"/>
      <c r="AT1206" s="9">
        <f>+ab($T$1206,$T$1204,$T$1208,$G$1205,$G$1207, 1*$F$1206,1200)</f>
        <v>-8.2849476436514919</v>
      </c>
      <c r="AU1206" s="428"/>
      <c r="AV1206" s="428"/>
      <c r="AW1206" s="449" t="str">
        <f>IF(C1206&gt;0,VLOOKUP(C1206,Foundation_Calc!$A$2:$C$13,3,1),
IF(J1206&gt;0,VLOOKUP(J1206,Foundation_Calc!$A$2:$C$13,3,1),""))</f>
        <v>Multi Soil</v>
      </c>
      <c r="AX1206" s="449" t="str">
        <f>IF(C1206&gt;0,VLOOKUP(C1206,Foundation_Calc!$E$35:$G$65,3,1),
IF(J1206&gt;0,VLOOKUP(J1206,Foundation_Calc!$E$35:$G$65,3,1),""))</f>
        <v>PT</v>
      </c>
      <c r="AY1206" s="10">
        <f>IF(L1206="","",
IF(AX1206="PT",VLOOKUP(L1206,Foundation_Calc!$K$79:$R$113,VLOOKUP(AW1206,Foundation_Calc!$I$2:$J$8,2,FALSE),0),
IF(AX1206="K",VLOOKUP(L1206,Foundation_Calc!$K$117:$R$151,VLOOKUP(AW1206,Foundation_Calc!$I$2:$J$8,2,FALSE),0),"")))</f>
        <v>3.5</v>
      </c>
      <c r="AZ1206" s="10" t="str">
        <f>IF(K1206="","",
IF(AX1206="PT",VLOOKUP(K1206,Foundation_Calc!$K$79:$R$113,VLOOKUP(AW1206,Foundation_Calc!$I$2:$J$8,2,FALSE),0),
IF(AX1206="K",VLOOKUP(K1206,Foundation_Calc!$K$117:$R$151,VLOOKUP(AW1206,Foundation_Calc!$I$2:$J$8,2,FALSE),0),"")))</f>
        <v/>
      </c>
      <c r="BA1206" s="495" t="str">
        <f t="shared" si="148"/>
        <v>ü</v>
      </c>
      <c r="BB1206" s="495" t="str">
        <f t="shared" si="149"/>
        <v/>
      </c>
      <c r="BC1206" s="495" t="str">
        <f t="shared" si="150"/>
        <v/>
      </c>
      <c r="BD1206" s="513" t="str">
        <f>IF(AND(L1206="",H1206=""),"",
IF(H1206="",Pole_Calc!A$9,
IF(H1206="MP",Pole_Calc!A$10,
IF(H1206="AnMP",Pole_Calc!A$11,
IF(H1206="A",Pole_Calc!A$12,
IF(H1206="S/A",Pole_Calc!A$13,
IF(H1206="A/S",Pole_Calc!A$14,"Poner a mano")))))))</f>
        <v>App.7-V11I-P9.5.1.1</v>
      </c>
      <c r="BE1206" s="429" t="s">
        <v>118</v>
      </c>
      <c r="BF1206" s="289"/>
      <c r="BG1206" s="289"/>
      <c r="BH1206" s="290"/>
      <c r="BI1206" s="289"/>
    </row>
    <row r="1207" spans="1:61" ht="15.75" customHeight="1">
      <c r="A1207" s="514"/>
      <c r="B1207" s="450"/>
      <c r="C1207" s="3"/>
      <c r="D1207" s="83"/>
      <c r="E1207" s="4"/>
      <c r="F1207" s="4"/>
      <c r="G1207" s="6">
        <v>50</v>
      </c>
      <c r="H1207" s="449"/>
      <c r="I1207" s="449"/>
      <c r="J1207" s="3"/>
      <c r="K1207" s="449"/>
      <c r="L1207" s="449"/>
      <c r="M1207" s="449" t="str">
        <f>IF(L1207="","",
IF(AX1207="PT",VLOOKUP(L1207,Foundation_Calc!$V$79:$X$113,VLOOKUP(AX1207,Foundation_Calc!$I$10:$J$13,2,FALSE),0),
IF(AX1207="K",VLOOKUP(L1207,Foundation_Calc!$V$117:$X$151,VLOOKUP(AX1207,Foundation_Calc!$I$10:$J$13,2,FALSE),0),"")))</f>
        <v/>
      </c>
      <c r="N1207" s="449"/>
      <c r="O1207" s="449"/>
      <c r="P1207" s="449"/>
      <c r="Q1207" s="4"/>
      <c r="R1207" s="6"/>
      <c r="S1207" s="6"/>
      <c r="T1207" s="4"/>
      <c r="U1207" s="4"/>
      <c r="V1207" s="4"/>
      <c r="W1207" s="9"/>
      <c r="X1207" s="9"/>
      <c r="Y1207" s="9"/>
      <c r="Z1207" s="9"/>
      <c r="AA1207" s="9"/>
      <c r="AB1207" s="9"/>
      <c r="AC1207" s="449" t="str">
        <f t="shared" si="147"/>
        <v/>
      </c>
      <c r="AD1207" s="449"/>
      <c r="AE1207" s="449"/>
      <c r="AF1207" s="4"/>
      <c r="AG1207" s="83"/>
      <c r="AH1207" s="4"/>
      <c r="AI1207" s="4"/>
      <c r="AJ1207" s="449"/>
      <c r="AK1207" s="449"/>
      <c r="AL1207" s="449"/>
      <c r="AM1207" s="449"/>
      <c r="AN1207" s="10"/>
      <c r="AO1207" s="9"/>
      <c r="AP1207" s="9"/>
      <c r="AQ1207" s="9">
        <f>+FL_2($T$1208,$T$1206,$G$1207,1200,9.28, 1*$F$1208)</f>
        <v>-0.37593390799999998</v>
      </c>
      <c r="AR1207" s="9"/>
      <c r="AS1207" s="9"/>
      <c r="AT1207" s="9"/>
      <c r="AU1207" s="428"/>
      <c r="AV1207" s="428"/>
      <c r="AW1207" s="449" t="str">
        <f>IF(C1207&gt;0,VLOOKUP(C1207,Foundation_Calc!$A$2:$C$13,3,1),
IF(J1207&gt;0,VLOOKUP(J1207,Foundation_Calc!$A$2:$C$13,3,1),""))</f>
        <v/>
      </c>
      <c r="AX1207" s="449" t="str">
        <f>IF(C1207&gt;0,VLOOKUP(C1207,Foundation_Calc!$E$35:$G$65,3,1),
IF(J1207&gt;0,VLOOKUP(J1207,Foundation_Calc!$E$35:$G$65,3,1),""))</f>
        <v/>
      </c>
      <c r="AY1207" s="10" t="str">
        <f>IF(L1207="","",
IF(AX1207="PT",VLOOKUP(L1207,Foundation_Calc!$K$79:$R$113,VLOOKUP(AW1207,Foundation_Calc!$I$2:$J$8,2,FALSE),0),
IF(AX1207="K",VLOOKUP(L1207,Foundation_Calc!$K$117:$R$151,VLOOKUP(AW1207,Foundation_Calc!$I$2:$J$8,2,FALSE),0),"")))</f>
        <v/>
      </c>
      <c r="AZ1207" s="10" t="str">
        <f>IF(K1207="","",
IF(AX1207="PT",VLOOKUP(K1207,Foundation_Calc!$K$79:$R$113,VLOOKUP(AW1207,Foundation_Calc!$I$2:$J$8,2,FALSE),0),
IF(AX1207="K",VLOOKUP(K1207,Foundation_Calc!$K$117:$R$151,VLOOKUP(AW1207,Foundation_Calc!$I$2:$J$8,2,FALSE),0),"")))</f>
        <v/>
      </c>
      <c r="BA1207" s="495" t="str">
        <f t="shared" si="148"/>
        <v/>
      </c>
      <c r="BB1207" s="495" t="str">
        <f t="shared" si="149"/>
        <v/>
      </c>
      <c r="BC1207" s="495" t="str">
        <f t="shared" si="150"/>
        <v/>
      </c>
      <c r="BD1207" s="513" t="str">
        <f>IF(AND(L1207="",H1207=""),"",
IF(H1207="",Pole_Calc!A$9,
IF(H1207="MP",Pole_Calc!A$10,
IF(H1207="AnMP",Pole_Calc!A$11,
IF(H1207="A",Pole_Calc!A$12,
IF(H1207="S/A",Pole_Calc!A$13,
IF(H1207="A/S",Pole_Calc!A$14,"Poner a mano")))))))</f>
        <v/>
      </c>
      <c r="BE1207" s="429" t="s">
        <v>118</v>
      </c>
      <c r="BF1207" s="290"/>
      <c r="BG1207" s="290"/>
      <c r="BH1207" s="290"/>
      <c r="BI1207" s="290"/>
    </row>
    <row r="1208" spans="1:61" ht="15.75" customHeight="1">
      <c r="A1208" s="514"/>
      <c r="B1208" s="450" t="s">
        <v>1569</v>
      </c>
      <c r="C1208" s="3">
        <f>+$C$1206+$G$1207</f>
        <v>59481.68</v>
      </c>
      <c r="D1208" s="83"/>
      <c r="E1208" s="4"/>
      <c r="F1208" s="4">
        <v>0</v>
      </c>
      <c r="G1208" s="6"/>
      <c r="H1208" s="449"/>
      <c r="I1208" s="4"/>
      <c r="J1208" s="3"/>
      <c r="K1208" s="449"/>
      <c r="L1208" s="449" t="s">
        <v>153</v>
      </c>
      <c r="M1208" s="449" t="str">
        <f>IF(L1208="","",
IF(AX1208="PT",VLOOKUP(L1208,Foundation_Calc!$V$79:$X$113,VLOOKUP(AX1208,Foundation_Calc!$I$10:$J$13,2,FALSE),0),
IF(AX1208="K",VLOOKUP(L1208,Foundation_Calc!$V$117:$X$151,VLOOKUP(AX1208,Foundation_Calc!$I$10:$J$13,2,FALSE),0),"")))</f>
        <v>C3R</v>
      </c>
      <c r="N1208" s="449" t="s">
        <v>134</v>
      </c>
      <c r="O1208" s="449"/>
      <c r="P1208" s="449"/>
      <c r="Q1208" s="4"/>
      <c r="R1208" s="6"/>
      <c r="S1208" s="6"/>
      <c r="T1208" s="4">
        <v>30</v>
      </c>
      <c r="U1208" s="4"/>
      <c r="V1208" s="4"/>
      <c r="W1208" s="9">
        <v>1.4</v>
      </c>
      <c r="X1208" s="9"/>
      <c r="Y1208" s="9"/>
      <c r="Z1208" s="9"/>
      <c r="AA1208" s="9"/>
      <c r="AB1208" s="9"/>
      <c r="AC1208" s="449" t="str">
        <f t="shared" si="147"/>
        <v>PHQ</v>
      </c>
      <c r="AD1208" s="449"/>
      <c r="AE1208" s="449"/>
      <c r="AF1208" s="4"/>
      <c r="AG1208" s="83"/>
      <c r="AH1208" s="4"/>
      <c r="AI1208" s="4"/>
      <c r="AJ1208" s="449"/>
      <c r="AK1208" s="449"/>
      <c r="AL1208" s="449"/>
      <c r="AM1208" s="449" t="s">
        <v>126</v>
      </c>
      <c r="AN1208" s="10">
        <v>5.5</v>
      </c>
      <c r="AO1208" s="9"/>
      <c r="AP1208" s="9"/>
      <c r="AQ1208" s="9"/>
      <c r="AR1208" s="9"/>
      <c r="AS1208" s="9"/>
      <c r="AT1208" s="9">
        <f>+ab($T$1208,$T$1206,$T$1210,$G$1207,$G$1209, 1*$F$1208,1200)</f>
        <v>7.9442083933778509</v>
      </c>
      <c r="AU1208" s="428"/>
      <c r="AV1208" s="428"/>
      <c r="AW1208" s="449" t="str">
        <f>IF(C1208&gt;0,VLOOKUP(C1208,Foundation_Calc!$A$2:$C$13,3,1),
IF(J1208&gt;0,VLOOKUP(J1208,Foundation_Calc!$A$2:$C$13,3,1),""))</f>
        <v>Multi Soil</v>
      </c>
      <c r="AX1208" s="449" t="str">
        <f>IF(C1208&gt;0,VLOOKUP(C1208,Foundation_Calc!$E$35:$G$65,3,1),
IF(J1208&gt;0,VLOOKUP(J1208,Foundation_Calc!$E$35:$G$65,3,1),""))</f>
        <v>PT</v>
      </c>
      <c r="AY1208" s="10">
        <f>IF(L1208="","",
IF(AX1208="PT",VLOOKUP(L1208,Foundation_Calc!$K$79:$R$113,VLOOKUP(AW1208,Foundation_Calc!$I$2:$J$8,2,FALSE),0),
IF(AX1208="K",VLOOKUP(L1208,Foundation_Calc!$K$117:$R$151,VLOOKUP(AW1208,Foundation_Calc!$I$2:$J$8,2,FALSE),0),"")))</f>
        <v>3.5</v>
      </c>
      <c r="AZ1208" s="10" t="str">
        <f>IF(K1208="","",
IF(AX1208="PT",VLOOKUP(K1208,Foundation_Calc!$K$79:$R$113,VLOOKUP(AW1208,Foundation_Calc!$I$2:$J$8,2,FALSE),0),
IF(AX1208="K",VLOOKUP(K1208,Foundation_Calc!$K$117:$R$151,VLOOKUP(AW1208,Foundation_Calc!$I$2:$J$8,2,FALSE),0),"")))</f>
        <v/>
      </c>
      <c r="BA1208" s="495" t="str">
        <f t="shared" si="148"/>
        <v>ü</v>
      </c>
      <c r="BB1208" s="495" t="str">
        <f t="shared" si="149"/>
        <v/>
      </c>
      <c r="BC1208" s="495" t="str">
        <f t="shared" si="150"/>
        <v/>
      </c>
      <c r="BD1208" s="513" t="str">
        <f>IF(AND(L1208="",H1208=""),"",
IF(H1208="",Pole_Calc!A$9,
IF(H1208="MP",Pole_Calc!A$10,
IF(H1208="AnMP",Pole_Calc!A$11,
IF(H1208="A",Pole_Calc!A$12,
IF(H1208="S/A",Pole_Calc!A$13,
IF(H1208="A/S",Pole_Calc!A$14,"Poner a mano")))))))</f>
        <v>App.7-V11I-P9.5.1.1</v>
      </c>
      <c r="BE1208" s="429" t="s">
        <v>118</v>
      </c>
      <c r="BF1208" s="289"/>
      <c r="BG1208" s="289"/>
      <c r="BH1208" s="290"/>
      <c r="BI1208" s="289"/>
    </row>
    <row r="1209" spans="1:61" ht="15.75" customHeight="1">
      <c r="A1209" s="571"/>
      <c r="B1209" s="450"/>
      <c r="C1209" s="3"/>
      <c r="D1209" s="83"/>
      <c r="E1209" s="4"/>
      <c r="F1209" s="4"/>
      <c r="G1209" s="6">
        <v>50</v>
      </c>
      <c r="H1209" s="449"/>
      <c r="I1209" s="4"/>
      <c r="J1209" s="3">
        <f>C1210-7.5</f>
        <v>59524.18</v>
      </c>
      <c r="K1209" s="449" t="s">
        <v>117</v>
      </c>
      <c r="L1209" s="449"/>
      <c r="M1209" s="449" t="str">
        <f>IF(L1209="","",
IF(AX1209="PT",VLOOKUP(L1209,Foundation_Calc!$V$79:$X$113,VLOOKUP(AX1209,Foundation_Calc!$I$10:$J$13,2,FALSE),0),
IF(AX1209="K",VLOOKUP(L1209,Foundation_Calc!$V$117:$X$151,VLOOKUP(AX1209,Foundation_Calc!$I$10:$J$13,2,FALSE),0),"")))</f>
        <v/>
      </c>
      <c r="N1209" s="449"/>
      <c r="O1209" s="449"/>
      <c r="P1209" s="449"/>
      <c r="Q1209" s="4"/>
      <c r="R1209" s="6"/>
      <c r="S1209" s="6"/>
      <c r="T1209" s="4"/>
      <c r="U1209" s="4"/>
      <c r="V1209" s="4"/>
      <c r="W1209" s="9"/>
      <c r="X1209" s="9"/>
      <c r="Y1209" s="9"/>
      <c r="Z1209" s="9"/>
      <c r="AA1209" s="9"/>
      <c r="AB1209" s="9"/>
      <c r="AC1209" s="449" t="str">
        <f t="shared" si="147"/>
        <v/>
      </c>
      <c r="AD1209" s="449"/>
      <c r="AE1209" s="449"/>
      <c r="AF1209" s="4"/>
      <c r="AG1209" s="83"/>
      <c r="AH1209" s="4"/>
      <c r="AI1209" s="4"/>
      <c r="AJ1209" s="449"/>
      <c r="AK1209" s="449"/>
      <c r="AL1209" s="449"/>
      <c r="AM1209" s="449"/>
      <c r="AN1209" s="10"/>
      <c r="AO1209" s="9"/>
      <c r="AP1209" s="9"/>
      <c r="AQ1209" s="9">
        <f>+FL_1($T$1210,$T$1208,$G$1209,1200,9.28, 1*$F$1210)</f>
        <v>0.34489941866666668</v>
      </c>
      <c r="AR1209" s="9"/>
      <c r="AS1209" s="9"/>
      <c r="AT1209" s="9"/>
      <c r="AU1209" s="428"/>
      <c r="AV1209" s="428"/>
      <c r="AW1209" s="449" t="str">
        <f>IF(C1209&gt;0,VLOOKUP(C1209,Foundation_Calc!$A$2:$C$13,3,1),
IF(J1209&gt;0,VLOOKUP(J1209,Foundation_Calc!$A$2:$C$13,3,1),""))</f>
        <v>Multi Soil</v>
      </c>
      <c r="AX1209" s="449" t="str">
        <f>IF(C1209&gt;0,VLOOKUP(C1209,Foundation_Calc!$E$35:$G$65,3,1),
IF(J1209&gt;0,VLOOKUP(J1209,Foundation_Calc!$E$35:$G$65,3,1),""))</f>
        <v>PT</v>
      </c>
      <c r="AY1209" s="10" t="str">
        <f>IF(L1209="","",
IF(AX1209="PT",VLOOKUP(L1209,Foundation_Calc!$K$79:$R$113,VLOOKUP(AW1209,Foundation_Calc!$I$2:$J$8,2,FALSE),0),
IF(AX1209="K",VLOOKUP(L1209,Foundation_Calc!$K$117:$R$151,VLOOKUP(AW1209,Foundation_Calc!$I$2:$J$8,2,FALSE),0),"")))</f>
        <v/>
      </c>
      <c r="AZ1209" s="10">
        <f>IF(K1209="","",
IF(AX1209="PT",VLOOKUP(K1209,Foundation_Calc!$K$79:$R$113,VLOOKUP(AW1209,Foundation_Calc!$I$2:$J$8,2,FALSE),0),
IF(AX1209="K",VLOOKUP(K1209,Foundation_Calc!$K$117:$R$151,VLOOKUP(AW1209,Foundation_Calc!$I$2:$J$8,2,FALSE),0),"")))</f>
        <v>3.9</v>
      </c>
      <c r="BA1209" s="495" t="str">
        <f t="shared" si="148"/>
        <v/>
      </c>
      <c r="BB1209" s="495" t="str">
        <f t="shared" si="149"/>
        <v>ü</v>
      </c>
      <c r="BC1209" s="495" t="str">
        <f t="shared" si="150"/>
        <v/>
      </c>
      <c r="BD1209" s="513" t="str">
        <f>IF(AND(L1209="",H1209=""),"",
IF(H1209="",Pole_Calc!A$9,
IF(H1209="MP",Pole_Calc!A$10,
IF(H1209="AnMP",Pole_Calc!A$11,
IF(H1209="A",Pole_Calc!A$12,
IF(H1209="S/A",Pole_Calc!A$13,
IF(H1209="A/S",Pole_Calc!A$14,"Poner a mano")))))))</f>
        <v/>
      </c>
      <c r="BE1209" s="429" t="s">
        <v>118</v>
      </c>
      <c r="BF1209" s="290"/>
      <c r="BG1209" s="290"/>
      <c r="BH1209" s="290"/>
      <c r="BI1209" s="290"/>
    </row>
    <row r="1210" spans="1:61" ht="15.75" customHeight="1">
      <c r="A1210" s="571"/>
      <c r="B1210" s="450" t="s">
        <v>1570</v>
      </c>
      <c r="C1210" s="3">
        <f>+$C$1208+$G$1209</f>
        <v>59531.68</v>
      </c>
      <c r="D1210" s="83"/>
      <c r="E1210" s="4"/>
      <c r="F1210" s="4">
        <v>0</v>
      </c>
      <c r="G1210" s="6"/>
      <c r="H1210" s="449" t="s">
        <v>121</v>
      </c>
      <c r="I1210" s="4" t="s">
        <v>122</v>
      </c>
      <c r="J1210" s="3"/>
      <c r="K1210" s="449"/>
      <c r="L1210" s="449" t="s">
        <v>153</v>
      </c>
      <c r="M1210" s="449" t="str">
        <f>IF(L1210="","",
IF(AX1210="PT",VLOOKUP(L1210,Foundation_Calc!$V$79:$X$113,VLOOKUP(AX1210,Foundation_Calc!$I$10:$J$13,2,FALSE),0),
IF(AX1210="K",VLOOKUP(L1210,Foundation_Calc!$V$117:$X$151,VLOOKUP(AX1210,Foundation_Calc!$I$10:$J$13,2,FALSE),0),"")))</f>
        <v>C3R</v>
      </c>
      <c r="N1210" s="449" t="s">
        <v>124</v>
      </c>
      <c r="O1210" s="449"/>
      <c r="P1210" s="449"/>
      <c r="Q1210" s="4"/>
      <c r="R1210" s="6"/>
      <c r="S1210" s="6"/>
      <c r="T1210" s="4">
        <v>-25</v>
      </c>
      <c r="U1210" s="4"/>
      <c r="V1210" s="4"/>
      <c r="W1210" s="9">
        <v>1.4</v>
      </c>
      <c r="X1210" s="9"/>
      <c r="Y1210" s="9"/>
      <c r="Z1210" s="9"/>
      <c r="AA1210" s="9"/>
      <c r="AB1210" s="9"/>
      <c r="AC1210" s="449" t="str">
        <f t="shared" si="147"/>
        <v>PH</v>
      </c>
      <c r="AD1210" s="449"/>
      <c r="AE1210" s="449"/>
      <c r="AF1210" s="4"/>
      <c r="AG1210" s="83"/>
      <c r="AH1210" s="4"/>
      <c r="AI1210" s="4"/>
      <c r="AJ1210" s="449"/>
      <c r="AK1210" s="449"/>
      <c r="AL1210" s="449"/>
      <c r="AM1210" s="449" t="s">
        <v>126</v>
      </c>
      <c r="AN1210" s="10">
        <v>5.5</v>
      </c>
      <c r="AO1210" s="9"/>
      <c r="AP1210" s="9"/>
      <c r="AQ1210" s="9"/>
      <c r="AR1210" s="9"/>
      <c r="AS1210" s="9"/>
      <c r="AT1210" s="9">
        <f>+ab($T$1210,$T$1208,$U$1212,$G$1209,$G$1211, 1*$F$1210,1200)</f>
        <v>-10.386334677221527</v>
      </c>
      <c r="AU1210" s="428"/>
      <c r="AV1210" s="428"/>
      <c r="AW1210" s="449" t="str">
        <f>IF(C1210&gt;0,VLOOKUP(C1210,Foundation_Calc!$A$2:$C$13,3,1),
IF(J1210&gt;0,VLOOKUP(J1210,Foundation_Calc!$A$2:$C$13,3,1),""))</f>
        <v>Multi Soil</v>
      </c>
      <c r="AX1210" s="449" t="str">
        <f>IF(C1210&gt;0,VLOOKUP(C1210,Foundation_Calc!$E$35:$G$65,3,1),
IF(J1210&gt;0,VLOOKUP(J1210,Foundation_Calc!$E$35:$G$65,3,1),""))</f>
        <v>PT</v>
      </c>
      <c r="AY1210" s="10">
        <f>IF(L1210="","",
IF(AX1210="PT",VLOOKUP(L1210,Foundation_Calc!$K$79:$R$113,VLOOKUP(AW1210,Foundation_Calc!$I$2:$J$8,2,FALSE),0),
IF(AX1210="K",VLOOKUP(L1210,Foundation_Calc!$K$117:$R$151,VLOOKUP(AW1210,Foundation_Calc!$I$2:$J$8,2,FALSE),0),"")))</f>
        <v>3.5</v>
      </c>
      <c r="AZ1210" s="10" t="str">
        <f>IF(K1210="","",
IF(AX1210="PT",VLOOKUP(K1210,Foundation_Calc!$K$79:$R$113,VLOOKUP(AW1210,Foundation_Calc!$I$2:$J$8,2,FALSE),0),
IF(AX1210="K",VLOOKUP(K1210,Foundation_Calc!$K$117:$R$151,VLOOKUP(AW1210,Foundation_Calc!$I$2:$J$8,2,FALSE),0),"")))</f>
        <v/>
      </c>
      <c r="BA1210" s="495" t="str">
        <f t="shared" si="148"/>
        <v>ü</v>
      </c>
      <c r="BB1210" s="495" t="str">
        <f t="shared" si="149"/>
        <v/>
      </c>
      <c r="BC1210" s="495" t="str">
        <f t="shared" si="150"/>
        <v/>
      </c>
      <c r="BD1210" s="513" t="str">
        <f>IF(AND(L1210="",H1210=""),"",
IF(H1210="",Pole_Calc!A$9,
IF(H1210="MP",Pole_Calc!A$10,
IF(H1210="AnMP",Pole_Calc!A$11,
IF(H1210="A",Pole_Calc!A$12,
IF(H1210="S/A",Pole_Calc!A$13,
IF(H1210="A/S",Pole_Calc!A$14,"Poner a mano")))))))</f>
        <v>App.7-V11I-P9.5.1.6</v>
      </c>
      <c r="BE1210" s="429" t="s">
        <v>118</v>
      </c>
      <c r="BF1210" s="289"/>
      <c r="BG1210" s="289"/>
      <c r="BH1210" s="290"/>
      <c r="BI1210" s="289"/>
    </row>
    <row r="1211" spans="1:61" ht="15.75" customHeight="1">
      <c r="A1211" s="514" t="s">
        <v>193</v>
      </c>
      <c r="B1211" s="450"/>
      <c r="C1211" s="3"/>
      <c r="D1211" s="83"/>
      <c r="E1211" s="4"/>
      <c r="F1211" s="4"/>
      <c r="G1211" s="6">
        <v>55</v>
      </c>
      <c r="H1211" s="449"/>
      <c r="I1211" s="4"/>
      <c r="J1211" s="3"/>
      <c r="K1211" s="449"/>
      <c r="L1211" s="449"/>
      <c r="M1211" s="449" t="str">
        <f>IF(L1211="","",
IF(AX1211="PT",VLOOKUP(L1211,Foundation_Calc!$V$79:$X$113,VLOOKUP(AX1211,Foundation_Calc!$I$10:$J$13,2,FALSE),0),
IF(AX1211="K",VLOOKUP(L1211,Foundation_Calc!$V$117:$X$151,VLOOKUP(AX1211,Foundation_Calc!$I$10:$J$13,2,FALSE),0),"")))</f>
        <v/>
      </c>
      <c r="N1211" s="449"/>
      <c r="O1211" s="449"/>
      <c r="P1211" s="449"/>
      <c r="Q1211" s="4"/>
      <c r="R1211" s="6"/>
      <c r="S1211" s="6"/>
      <c r="T1211" s="4"/>
      <c r="U1211" s="4"/>
      <c r="V1211" s="4"/>
      <c r="W1211" s="9"/>
      <c r="X1211" s="9"/>
      <c r="Y1211" s="9"/>
      <c r="Z1211" s="9"/>
      <c r="AA1211" s="9"/>
      <c r="AB1211" s="9"/>
      <c r="AC1211" s="449" t="str">
        <f t="shared" si="147"/>
        <v/>
      </c>
      <c r="AD1211" s="449"/>
      <c r="AE1211" s="449"/>
      <c r="AF1211" s="4"/>
      <c r="AG1211" s="83"/>
      <c r="AH1211" s="4"/>
      <c r="AI1211" s="4"/>
      <c r="AJ1211" s="449"/>
      <c r="AK1211" s="449"/>
      <c r="AL1211" s="449"/>
      <c r="AM1211" s="449"/>
      <c r="AN1211" s="10"/>
      <c r="AO1211" s="9"/>
      <c r="AP1211" s="9"/>
      <c r="AQ1211" s="9">
        <f>+FL_2($U$1212,$T$1210,$G$1211,1200,9.28, 1*$F$1212)</f>
        <v>-0.3766144363636364</v>
      </c>
      <c r="AR1211" s="9"/>
      <c r="AS1211" s="9"/>
      <c r="AT1211" s="9"/>
      <c r="AU1211" s="428"/>
      <c r="AV1211" s="428"/>
      <c r="AW1211" s="449" t="str">
        <f>IF(C1211&gt;0,VLOOKUP(C1211,Foundation_Calc!$A$2:$C$13,3,1),
IF(J1211&gt;0,VLOOKUP(J1211,Foundation_Calc!$A$2:$C$13,3,1),""))</f>
        <v/>
      </c>
      <c r="AX1211" s="449" t="str">
        <f>IF(C1211&gt;0,VLOOKUP(C1211,Foundation_Calc!$E$35:$G$65,3,1),
IF(J1211&gt;0,VLOOKUP(J1211,Foundation_Calc!$E$35:$G$65,3,1),""))</f>
        <v/>
      </c>
      <c r="AY1211" s="10" t="str">
        <f>IF(L1211="","",
IF(AX1211="PT",VLOOKUP(L1211,Foundation_Calc!$K$79:$R$113,VLOOKUP(AW1211,Foundation_Calc!$I$2:$J$8,2,FALSE),0),
IF(AX1211="K",VLOOKUP(L1211,Foundation_Calc!$K$117:$R$151,VLOOKUP(AW1211,Foundation_Calc!$I$2:$J$8,2,FALSE),0),"")))</f>
        <v/>
      </c>
      <c r="AZ1211" s="10" t="str">
        <f>IF(K1211="","",
IF(AX1211="PT",VLOOKUP(K1211,Foundation_Calc!$K$79:$R$113,VLOOKUP(AW1211,Foundation_Calc!$I$2:$J$8,2,FALSE),0),
IF(AX1211="K",VLOOKUP(K1211,Foundation_Calc!$K$117:$R$151,VLOOKUP(AW1211,Foundation_Calc!$I$2:$J$8,2,FALSE),0),"")))</f>
        <v/>
      </c>
      <c r="BA1211" s="495" t="str">
        <f t="shared" si="148"/>
        <v/>
      </c>
      <c r="BB1211" s="495" t="str">
        <f t="shared" si="149"/>
        <v/>
      </c>
      <c r="BC1211" s="495" t="str">
        <f t="shared" si="150"/>
        <v/>
      </c>
      <c r="BD1211" s="513" t="str">
        <f>IF(AND(L1211="",H1211=""),"",
IF(H1211="",Pole_Calc!A$9,
IF(H1211="MP",Pole_Calc!A$10,
IF(H1211="AnMP",Pole_Calc!A$11,
IF(H1211="A",Pole_Calc!A$12,
IF(H1211="S/A",Pole_Calc!A$13,
IF(H1211="A/S",Pole_Calc!A$14,"Poner a mano")))))))</f>
        <v/>
      </c>
      <c r="BE1211" s="429" t="s">
        <v>118</v>
      </c>
      <c r="BF1211" s="290"/>
      <c r="BG1211" s="290"/>
      <c r="BH1211" s="290"/>
      <c r="BI1211" s="290"/>
    </row>
    <row r="1212" spans="1:61" ht="15.75" customHeight="1">
      <c r="A1212" s="514"/>
      <c r="B1212" s="450" t="s">
        <v>1571</v>
      </c>
      <c r="C1212" s="3">
        <f>+$C$1210+$G$1211</f>
        <v>59586.68</v>
      </c>
      <c r="D1212" s="83"/>
      <c r="E1212" s="4"/>
      <c r="F1212" s="4">
        <v>0</v>
      </c>
      <c r="G1212" s="6"/>
      <c r="H1212" s="449" t="s">
        <v>131</v>
      </c>
      <c r="I1212" s="449"/>
      <c r="J1212" s="3"/>
      <c r="K1212" s="449"/>
      <c r="L1212" s="449" t="s">
        <v>158</v>
      </c>
      <c r="M1212" s="449" t="str">
        <f>IF(L1212="","",
IF(AX1212="PT",VLOOKUP(L1212,Foundation_Calc!$V$79:$X$113,VLOOKUP(AX1212,Foundation_Calc!$I$10:$J$13,2,FALSE),0),
IF(AX1212="K",VLOOKUP(L1212,Foundation_Calc!$V$117:$X$151,VLOOKUP(AX1212,Foundation_Calc!$I$10:$J$13,2,FALSE),0),"")))</f>
        <v>C4R</v>
      </c>
      <c r="N1212" s="449" t="s">
        <v>133</v>
      </c>
      <c r="O1212" s="449" t="s">
        <v>134</v>
      </c>
      <c r="P1212" s="449"/>
      <c r="Q1212" s="4"/>
      <c r="R1212" s="6"/>
      <c r="S1212" s="6"/>
      <c r="T1212" s="4">
        <v>35</v>
      </c>
      <c r="U1212" s="4">
        <v>15</v>
      </c>
      <c r="V1212" s="4"/>
      <c r="W1212" s="9">
        <v>1.4</v>
      </c>
      <c r="X1212" s="9">
        <v>2.2999999999999998</v>
      </c>
      <c r="Y1212" s="9"/>
      <c r="Z1212" s="9">
        <v>0.5</v>
      </c>
      <c r="AA1212" s="9"/>
      <c r="AB1212" s="9"/>
      <c r="AC1212" s="449"/>
      <c r="AD1212" s="449"/>
      <c r="AE1212" s="449"/>
      <c r="AF1212" s="4"/>
      <c r="AG1212" s="83"/>
      <c r="AH1212" s="4"/>
      <c r="AI1212" s="4"/>
      <c r="AJ1212" s="449"/>
      <c r="AK1212" s="449"/>
      <c r="AL1212" s="449"/>
      <c r="AM1212" s="449" t="s">
        <v>126</v>
      </c>
      <c r="AN1212" s="10">
        <v>5.5</v>
      </c>
      <c r="AO1212" s="9"/>
      <c r="AP1212" s="9"/>
      <c r="AQ1212" s="9"/>
      <c r="AR1212" s="9"/>
      <c r="AS1212" s="9"/>
      <c r="AT1212" s="9">
        <f>+ab($U$1212,$T$1210,$U$1214,$G$1211,$G$1213, 1*$F$1212,1200)</f>
        <v>11.452324723794129</v>
      </c>
      <c r="AU1212" s="428"/>
      <c r="AV1212" s="428"/>
      <c r="AW1212" s="449" t="str">
        <f>IF(C1212&gt;0,VLOOKUP(C1212,Foundation_Calc!$A$2:$C$13,3,1),
IF(J1212&gt;0,VLOOKUP(J1212,Foundation_Calc!$A$2:$C$13,3,1),""))</f>
        <v>Multi Soil</v>
      </c>
      <c r="AX1212" s="449" t="str">
        <f>IF(C1212&gt;0,VLOOKUP(C1212,Foundation_Calc!$E$35:$G$65,3,1),
IF(J1212&gt;0,VLOOKUP(J1212,Foundation_Calc!$E$35:$G$65,3,1),""))</f>
        <v>PT</v>
      </c>
      <c r="AY1212" s="10">
        <f>IF(L1212="","",
IF(AX1212="PT",VLOOKUP(L1212,Foundation_Calc!$K$79:$R$113,VLOOKUP(AW1212,Foundation_Calc!$I$2:$J$8,2,FALSE),0),
IF(AX1212="K",VLOOKUP(L1212,Foundation_Calc!$K$117:$R$151,VLOOKUP(AW1212,Foundation_Calc!$I$2:$J$8,2,FALSE),0),"")))</f>
        <v>3.5</v>
      </c>
      <c r="AZ1212" s="10" t="str">
        <f>IF(K1212="","",
IF(AX1212="PT",VLOOKUP(K1212,Foundation_Calc!$K$79:$R$113,VLOOKUP(AW1212,Foundation_Calc!$I$2:$J$8,2,FALSE),0),
IF(AX1212="K",VLOOKUP(K1212,Foundation_Calc!$K$117:$R$151,VLOOKUP(AW1212,Foundation_Calc!$I$2:$J$8,2,FALSE),0),"")))</f>
        <v/>
      </c>
      <c r="BA1212" s="495" t="str">
        <f t="shared" si="148"/>
        <v>ü</v>
      </c>
      <c r="BB1212" s="495" t="str">
        <f t="shared" si="149"/>
        <v/>
      </c>
      <c r="BC1212" s="495" t="str">
        <f t="shared" si="150"/>
        <v/>
      </c>
      <c r="BD1212" s="513" t="str">
        <f>IF(AND(L1212="",H1212=""),"",
IF(H1212="",Pole_Calc!A$9,
IF(H1212="MP",Pole_Calc!A$10,
IF(H1212="AnMP",Pole_Calc!A$11,
IF(H1212="A",Pole_Calc!A$12,
IF(H1212="S/A",Pole_Calc!A$13,
IF(H1212="A/S",Pole_Calc!A$14,"Poner a mano")))))))</f>
        <v>App.7-V11I-P9.5.1.5</v>
      </c>
      <c r="BE1212" s="429" t="s">
        <v>118</v>
      </c>
      <c r="BF1212" s="289"/>
      <c r="BG1212" s="289"/>
      <c r="BH1212" s="290"/>
      <c r="BI1212" s="289"/>
    </row>
    <row r="1213" spans="1:61" ht="15.75" customHeight="1">
      <c r="A1213" s="571"/>
      <c r="B1213" s="450"/>
      <c r="C1213" s="3"/>
      <c r="D1213" s="83"/>
      <c r="E1213" s="4"/>
      <c r="F1213" s="4"/>
      <c r="G1213" s="6">
        <v>54</v>
      </c>
      <c r="H1213" s="449"/>
      <c r="I1213" s="4"/>
      <c r="J1213" s="3"/>
      <c r="K1213" s="449"/>
      <c r="L1213" s="449"/>
      <c r="M1213" s="449" t="str">
        <f>IF(L1213="","",
IF(AX1213="PT",VLOOKUP(L1213,Foundation_Calc!$V$79:$X$113,VLOOKUP(AX1213,Foundation_Calc!$I$10:$J$13,2,FALSE),0),
IF(AX1213="K",VLOOKUP(L1213,Foundation_Calc!$V$117:$X$151,VLOOKUP(AX1213,Foundation_Calc!$I$10:$J$13,2,FALSE),0),"")))</f>
        <v/>
      </c>
      <c r="N1213" s="449"/>
      <c r="O1213" s="449"/>
      <c r="P1213" s="449"/>
      <c r="Q1213" s="4"/>
      <c r="R1213" s="6"/>
      <c r="S1213" s="6"/>
      <c r="T1213" s="4"/>
      <c r="U1213" s="4"/>
      <c r="V1213" s="4"/>
      <c r="W1213" s="9"/>
      <c r="X1213" s="9"/>
      <c r="Y1213" s="9"/>
      <c r="Z1213" s="9"/>
      <c r="AA1213" s="9"/>
      <c r="AB1213" s="9"/>
      <c r="AC1213" s="449" t="str">
        <f t="shared" si="147"/>
        <v/>
      </c>
      <c r="AD1213" s="449"/>
      <c r="AE1213" s="449"/>
      <c r="AF1213" s="4"/>
      <c r="AG1213" s="83"/>
      <c r="AH1213" s="4"/>
      <c r="AI1213" s="4"/>
      <c r="AJ1213" s="449"/>
      <c r="AK1213" s="449"/>
      <c r="AL1213" s="449"/>
      <c r="AM1213" s="449"/>
      <c r="AN1213" s="10"/>
      <c r="AO1213" s="9"/>
      <c r="AP1213" s="9"/>
      <c r="AQ1213" s="9">
        <f>+FL_1($T$1214,$U$1212,$G$1213,1200,9.28, 1*$F$1214)</f>
        <v>0.30183529422222222</v>
      </c>
      <c r="AR1213" s="9"/>
      <c r="AS1213" s="9"/>
      <c r="AT1213" s="9"/>
      <c r="AU1213" s="428"/>
      <c r="AV1213" s="428"/>
      <c r="AW1213" s="449" t="str">
        <f>IF(C1213&gt;0,VLOOKUP(C1213,Foundation_Calc!$A$2:$C$13,3,1),
IF(J1213&gt;0,VLOOKUP(J1213,Foundation_Calc!$A$2:$C$13,3,1),""))</f>
        <v/>
      </c>
      <c r="AX1213" s="449" t="str">
        <f>IF(C1213&gt;0,VLOOKUP(C1213,Foundation_Calc!$E$35:$G$65,3,1),
IF(J1213&gt;0,VLOOKUP(J1213,Foundation_Calc!$E$35:$G$65,3,1),""))</f>
        <v/>
      </c>
      <c r="AY1213" s="10" t="str">
        <f>IF(L1213="","",
IF(AX1213="PT",VLOOKUP(L1213,Foundation_Calc!$K$79:$R$113,VLOOKUP(AW1213,Foundation_Calc!$I$2:$J$8,2,FALSE),0),
IF(AX1213="K",VLOOKUP(L1213,Foundation_Calc!$K$117:$R$151,VLOOKUP(AW1213,Foundation_Calc!$I$2:$J$8,2,FALSE),0),"")))</f>
        <v/>
      </c>
      <c r="AZ1213" s="10" t="str">
        <f>IF(K1213="","",
IF(AX1213="PT",VLOOKUP(K1213,Foundation_Calc!$K$79:$R$113,VLOOKUP(AW1213,Foundation_Calc!$I$2:$J$8,2,FALSE),0),
IF(AX1213="K",VLOOKUP(K1213,Foundation_Calc!$K$117:$R$151,VLOOKUP(AW1213,Foundation_Calc!$I$2:$J$8,2,FALSE),0),"")))</f>
        <v/>
      </c>
      <c r="BA1213" s="495" t="str">
        <f t="shared" si="148"/>
        <v/>
      </c>
      <c r="BB1213" s="495" t="str">
        <f t="shared" si="149"/>
        <v/>
      </c>
      <c r="BC1213" s="495" t="str">
        <f t="shared" si="150"/>
        <v/>
      </c>
      <c r="BD1213" s="513" t="str">
        <f>IF(AND(L1213="",H1213=""),"",
IF(H1213="",Pole_Calc!A$9,
IF(H1213="MP",Pole_Calc!A$10,
IF(H1213="AnMP",Pole_Calc!A$11,
IF(H1213="A",Pole_Calc!A$12,
IF(H1213="S/A",Pole_Calc!A$13,
IF(H1213="A/S",Pole_Calc!A$14,"Poner a mano")))))))</f>
        <v/>
      </c>
      <c r="BE1213" s="429" t="s">
        <v>118</v>
      </c>
      <c r="BF1213" s="290"/>
      <c r="BG1213" s="290"/>
      <c r="BH1213" s="290"/>
      <c r="BI1213" s="290"/>
    </row>
    <row r="1214" spans="1:61" ht="15.75" customHeight="1">
      <c r="A1214" s="514"/>
      <c r="B1214" s="450" t="s">
        <v>1572</v>
      </c>
      <c r="C1214" s="3">
        <f>+$C$1212+$G$1213</f>
        <v>59640.68</v>
      </c>
      <c r="D1214" s="83"/>
      <c r="E1214" s="4"/>
      <c r="F1214" s="4">
        <v>0</v>
      </c>
      <c r="G1214" s="6"/>
      <c r="H1214" s="449" t="s">
        <v>131</v>
      </c>
      <c r="I1214" s="4"/>
      <c r="J1214" s="3"/>
      <c r="K1214" s="449"/>
      <c r="L1214" s="449" t="s">
        <v>158</v>
      </c>
      <c r="M1214" s="449" t="str">
        <f>IF(L1214="","",
IF(AX1214="PT",VLOOKUP(L1214,Foundation_Calc!$V$79:$X$113,VLOOKUP(AX1214,Foundation_Calc!$I$10:$J$13,2,FALSE),0),
IF(AX1214="K",VLOOKUP(L1214,Foundation_Calc!$V$117:$X$151,VLOOKUP(AX1214,Foundation_Calc!$I$10:$J$13,2,FALSE),0),"")))</f>
        <v>C4R</v>
      </c>
      <c r="N1214" s="449" t="s">
        <v>124</v>
      </c>
      <c r="O1214" s="449" t="s">
        <v>133</v>
      </c>
      <c r="P1214" s="449"/>
      <c r="Q1214" s="4"/>
      <c r="R1214" s="6"/>
      <c r="S1214" s="6"/>
      <c r="T1214" s="4">
        <v>-15</v>
      </c>
      <c r="U1214" s="4">
        <v>-35</v>
      </c>
      <c r="V1214" s="4"/>
      <c r="W1214" s="9">
        <v>1.4</v>
      </c>
      <c r="X1214" s="9">
        <v>2.2999999999999998</v>
      </c>
      <c r="Y1214" s="9"/>
      <c r="Z1214" s="9"/>
      <c r="AA1214" s="9">
        <v>0.5</v>
      </c>
      <c r="AB1214" s="9"/>
      <c r="AC1214" s="449" t="str">
        <f t="shared" si="147"/>
        <v>PHC</v>
      </c>
      <c r="AD1214" s="449"/>
      <c r="AE1214" s="449"/>
      <c r="AF1214" s="4"/>
      <c r="AG1214" s="83"/>
      <c r="AH1214" s="4"/>
      <c r="AI1214" s="4"/>
      <c r="AJ1214" s="449"/>
      <c r="AK1214" s="449"/>
      <c r="AL1214" s="449"/>
      <c r="AM1214" s="449" t="s">
        <v>126</v>
      </c>
      <c r="AN1214" s="10">
        <v>5.5</v>
      </c>
      <c r="AO1214" s="9"/>
      <c r="AP1214" s="9"/>
      <c r="AQ1214" s="9"/>
      <c r="AR1214" s="9"/>
      <c r="AS1214" s="9"/>
      <c r="AT1214" s="9">
        <f>+ab($T$1214,$T$1212,$T$1220,$G$1213,$G$1215, 1*$F$1214,1200)</f>
        <v>-2.7804524640415615</v>
      </c>
      <c r="AU1214" s="428"/>
      <c r="AV1214" s="428"/>
      <c r="AW1214" s="449" t="str">
        <f>IF(C1214&gt;0,VLOOKUP(C1214,Foundation_Calc!$A$2:$C$13,3,1),
IF(J1214&gt;0,VLOOKUP(J1214,Foundation_Calc!$A$2:$C$13,3,1),""))</f>
        <v>Multi Soil</v>
      </c>
      <c r="AX1214" s="449" t="str">
        <f>IF(C1214&gt;0,VLOOKUP(C1214,Foundation_Calc!$E$35:$G$65,3,1),
IF(J1214&gt;0,VLOOKUP(J1214,Foundation_Calc!$E$35:$G$65,3,1),""))</f>
        <v>PT</v>
      </c>
      <c r="AY1214" s="10">
        <f>IF(L1214="","",
IF(AX1214="PT",VLOOKUP(L1214,Foundation_Calc!$K$79:$R$113,VLOOKUP(AW1214,Foundation_Calc!$I$2:$J$8,2,FALSE),0),
IF(AX1214="K",VLOOKUP(L1214,Foundation_Calc!$K$117:$R$151,VLOOKUP(AW1214,Foundation_Calc!$I$2:$J$8,2,FALSE),0),"")))</f>
        <v>3.5</v>
      </c>
      <c r="AZ1214" s="10" t="str">
        <f>IF(K1214="","",
IF(AX1214="PT",VLOOKUP(K1214,Foundation_Calc!$K$79:$R$113,VLOOKUP(AW1214,Foundation_Calc!$I$2:$J$8,2,FALSE),0),
IF(AX1214="K",VLOOKUP(K1214,Foundation_Calc!$K$117:$R$151,VLOOKUP(AW1214,Foundation_Calc!$I$2:$J$8,2,FALSE),0),"")))</f>
        <v/>
      </c>
      <c r="BA1214" s="495" t="str">
        <f t="shared" si="148"/>
        <v>ü</v>
      </c>
      <c r="BB1214" s="495" t="str">
        <f t="shared" si="149"/>
        <v/>
      </c>
      <c r="BC1214" s="495" t="str">
        <f t="shared" si="150"/>
        <v/>
      </c>
      <c r="BD1214" s="513" t="str">
        <f>IF(AND(L1214="",H1214=""),"",
IF(H1214="",Pole_Calc!A$9,
IF(H1214="MP",Pole_Calc!A$10,
IF(H1214="AnMP",Pole_Calc!A$11,
IF(H1214="A",Pole_Calc!A$12,
IF(H1214="S/A",Pole_Calc!A$13,
IF(H1214="A/S",Pole_Calc!A$14,"Poner a mano")))))))</f>
        <v>App.7-V11I-P9.5.1.5</v>
      </c>
      <c r="BE1214" s="429" t="s">
        <v>118</v>
      </c>
      <c r="BF1214" s="289"/>
      <c r="BG1214" s="289"/>
      <c r="BH1214" s="290"/>
      <c r="BI1214" s="289"/>
    </row>
    <row r="1215" spans="1:61" ht="15.75" customHeight="1">
      <c r="A1215" s="514"/>
      <c r="B1215" s="450"/>
      <c r="C1215" s="3"/>
      <c r="D1215" s="83"/>
      <c r="E1215" s="4"/>
      <c r="F1215" s="4"/>
      <c r="G1215" s="6">
        <v>6.7</v>
      </c>
      <c r="H1215" s="449"/>
      <c r="I1215" s="4"/>
      <c r="J1215" s="3"/>
      <c r="K1215" s="449"/>
      <c r="L1215" s="449"/>
      <c r="M1215" s="449" t="str">
        <f>IF(L1215="","",
IF(AX1215="PT",VLOOKUP(L1215,Foundation_Calc!$V$79:$X$113,VLOOKUP(AX1215,Foundation_Calc!$I$10:$J$13,2,FALSE),0),
IF(AX1215="K",VLOOKUP(L1215,Foundation_Calc!$V$117:$X$151,VLOOKUP(AX1215,Foundation_Calc!$I$10:$J$13,2,FALSE),0),"")))</f>
        <v/>
      </c>
      <c r="N1215" s="449"/>
      <c r="O1215" s="449"/>
      <c r="P1215" s="449"/>
      <c r="Q1215" s="4"/>
      <c r="R1215" s="6"/>
      <c r="S1215" s="6"/>
      <c r="T1215" s="4"/>
      <c r="U1215" s="4"/>
      <c r="V1215" s="4"/>
      <c r="W1215" s="9"/>
      <c r="X1215" s="9"/>
      <c r="Y1215" s="9"/>
      <c r="Z1215" s="9"/>
      <c r="AA1215" s="9"/>
      <c r="AB1215" s="9"/>
      <c r="AC1215" s="449" t="str">
        <f t="shared" si="147"/>
        <v/>
      </c>
      <c r="AD1215" s="449"/>
      <c r="AE1215" s="449"/>
      <c r="AF1215" s="4"/>
      <c r="AG1215" s="83"/>
      <c r="AH1215" s="4"/>
      <c r="AI1215" s="4"/>
      <c r="AJ1215" s="449"/>
      <c r="AK1215" s="449"/>
      <c r="AL1215" s="449"/>
      <c r="AM1215" s="449"/>
      <c r="AN1215" s="10"/>
      <c r="AO1215" s="9"/>
      <c r="AP1215" s="9"/>
      <c r="AQ1215" s="9">
        <f>+FL_1($T$1220,$T$1214,$G$1215,1200,9.28, 1*$F$1220)</f>
        <v>0.24999999999999989</v>
      </c>
      <c r="AR1215" s="9"/>
      <c r="AS1215" s="9"/>
      <c r="AT1215" s="9"/>
      <c r="AU1215" s="428"/>
      <c r="AV1215" s="428"/>
      <c r="AW1215" s="449" t="str">
        <f>IF(C1215&gt;0,VLOOKUP(C1215,Foundation_Calc!$A$2:$C$13,3,1),
IF(J1215&gt;0,VLOOKUP(J1215,Foundation_Calc!$A$2:$C$13,3,1),""))</f>
        <v/>
      </c>
      <c r="AX1215" s="449" t="str">
        <f>IF(C1215&gt;0,VLOOKUP(C1215,Foundation_Calc!$E$35:$G$65,3,1),
IF(J1215&gt;0,VLOOKUP(J1215,Foundation_Calc!$E$35:$G$65,3,1),""))</f>
        <v/>
      </c>
      <c r="AY1215" s="10" t="str">
        <f>IF(L1215="","",
IF(AX1215="PT",VLOOKUP(L1215,Foundation_Calc!$K$79:$R$113,VLOOKUP(AW1215,Foundation_Calc!$I$2:$J$8,2,FALSE),0),
IF(AX1215="K",VLOOKUP(L1215,Foundation_Calc!$K$117:$R$151,VLOOKUP(AW1215,Foundation_Calc!$I$2:$J$8,2,FALSE),0),"")))</f>
        <v/>
      </c>
      <c r="AZ1215" s="10" t="str">
        <f>IF(K1215="","",
IF(AX1215="PT",VLOOKUP(K1215,Foundation_Calc!$K$79:$R$113,VLOOKUP(AW1215,Foundation_Calc!$I$2:$J$8,2,FALSE),0),
IF(AX1215="K",VLOOKUP(K1215,Foundation_Calc!$K$117:$R$151,VLOOKUP(AW1215,Foundation_Calc!$I$2:$J$8,2,FALSE),0),"")))</f>
        <v/>
      </c>
      <c r="BA1215" s="495" t="str">
        <f t="shared" si="148"/>
        <v/>
      </c>
      <c r="BB1215" s="495" t="str">
        <f t="shared" si="149"/>
        <v/>
      </c>
      <c r="BC1215" s="495" t="str">
        <f t="shared" si="150"/>
        <v/>
      </c>
      <c r="BD1215" s="513" t="str">
        <f>IF(AND(L1215="",H1215=""),"",
IF(H1215="",Pole_Calc!A$9,
IF(H1215="MP",Pole_Calc!A$10,
IF(H1215="AnMP",Pole_Calc!A$11,
IF(H1215="A",Pole_Calc!A$12,
IF(H1215="S/A",Pole_Calc!A$13,
IF(H1215="A/S",Pole_Calc!A$14,"Poner a mano")))))))</f>
        <v/>
      </c>
      <c r="BE1215" s="429" t="s">
        <v>118</v>
      </c>
      <c r="BF1215" s="290"/>
      <c r="BG1215" s="290"/>
      <c r="BH1215" s="290"/>
      <c r="BI1215" s="290"/>
    </row>
    <row r="1216" spans="1:61" ht="15.75" customHeight="1">
      <c r="A1216" s="514" t="s">
        <v>891</v>
      </c>
      <c r="B1216" s="450" t="s">
        <v>1573</v>
      </c>
      <c r="C1216" s="3">
        <f>C1214+G1215</f>
        <v>59647.38</v>
      </c>
      <c r="D1216" s="83"/>
      <c r="E1216" s="4"/>
      <c r="F1216" s="4">
        <v>0</v>
      </c>
      <c r="G1216" s="6"/>
      <c r="H1216" s="449"/>
      <c r="I1216" s="4"/>
      <c r="J1216" s="3"/>
      <c r="K1216" s="449"/>
      <c r="L1216" s="449" t="s">
        <v>142</v>
      </c>
      <c r="M1216" s="449" t="str">
        <f>IF(L1216="","",
IF(AX1216="PT",VLOOKUP(L1216,Foundation_Calc!$V$79:$X$113,VLOOKUP(AX1216,Foundation_Calc!$I$10:$J$13,2,FALSE),0),
IF(AX1216="K",VLOOKUP(L1216,Foundation_Calc!$V$117:$X$151,VLOOKUP(AX1216,Foundation_Calc!$I$10:$J$13,2,FALSE),0),"")))</f>
        <v>C9R</v>
      </c>
      <c r="N1216" s="449"/>
      <c r="O1216" s="449"/>
      <c r="P1216" s="449"/>
      <c r="Q1216" s="4"/>
      <c r="R1216" s="6"/>
      <c r="S1216" s="6"/>
      <c r="T1216" s="4"/>
      <c r="U1216" s="4"/>
      <c r="V1216" s="4"/>
      <c r="W1216" s="9"/>
      <c r="X1216" s="9"/>
      <c r="Y1216" s="9"/>
      <c r="Z1216" s="9"/>
      <c r="AA1216" s="9"/>
      <c r="AB1216" s="9"/>
      <c r="AC1216" s="449"/>
      <c r="AD1216" s="449"/>
      <c r="AE1216" s="449"/>
      <c r="AF1216" s="4"/>
      <c r="AG1216" s="83"/>
      <c r="AH1216" s="4"/>
      <c r="AI1216" s="4"/>
      <c r="AJ1216" s="449"/>
      <c r="AK1216" s="449"/>
      <c r="AL1216" s="449"/>
      <c r="AM1216" s="449" t="s">
        <v>126</v>
      </c>
      <c r="AN1216" s="10"/>
      <c r="AO1216" s="9"/>
      <c r="AP1216" s="9"/>
      <c r="AQ1216" s="9"/>
      <c r="AR1216" s="9"/>
      <c r="AS1216" s="9"/>
      <c r="AT1216" s="9"/>
      <c r="AU1216" s="428"/>
      <c r="AV1216" s="428"/>
      <c r="AW1216" s="449" t="str">
        <f>IF(C1216&gt;0,VLOOKUP(C1216,Foundation_Calc!$A$2:$C$13,3,1),
IF(J1216&gt;0,VLOOKUP(J1216,Foundation_Calc!$A$2:$C$13,3,1),""))</f>
        <v>Multi Soil</v>
      </c>
      <c r="AX1216" s="449" t="str">
        <f>IF(C1216&gt;0,VLOOKUP(C1216,Foundation_Calc!$E$35:$G$65,3,1),
IF(J1216&gt;0,VLOOKUP(J1216,Foundation_Calc!$E$35:$G$65,3,1),""))</f>
        <v>PT</v>
      </c>
      <c r="AY1216" s="10">
        <f>IF(L1216="","",
IF(AX1216="PT",VLOOKUP(L1216,Foundation_Calc!$K$79:$R$113,VLOOKUP(AW1216,Foundation_Calc!$I$2:$J$8,2,FALSE),0),
IF(AX1216="K",VLOOKUP(L1216,Foundation_Calc!$K$117:$R$151,VLOOKUP(AW1216,Foundation_Calc!$I$2:$J$8,2,FALSE),0),"")))</f>
        <v>4.4000000000000004</v>
      </c>
      <c r="AZ1216" s="10" t="str">
        <f>IF(K1216="","",
IF(AX1216="PT",VLOOKUP(K1216,Foundation_Calc!$K$79:$R$113,VLOOKUP(AW1216,Foundation_Calc!$I$2:$J$8,2,FALSE),0),
IF(AX1216="K",VLOOKUP(K1216,Foundation_Calc!$K$117:$R$151,VLOOKUP(AW1216,Foundation_Calc!$I$2:$J$8,2,FALSE),0),"")))</f>
        <v/>
      </c>
      <c r="BA1216" s="495" t="str">
        <f t="shared" ref="BA1216:BA1218" si="151">IF(AY1216="","",IF(AY1216&gt;0,"ü",""))</f>
        <v>ü</v>
      </c>
      <c r="BB1216" s="495" t="str">
        <f t="shared" ref="BB1216:BB1218" si="152">IF(AZ1216="","",IF(AZ1216&gt;0,"ü",""))</f>
        <v/>
      </c>
      <c r="BC1216" s="495" t="str">
        <f t="shared" ref="BC1216:BC1218" si="153">IF(M1216="","",IF(M1216="U.S.","ü",IF(M1216="U.S. N.D.","ü","")))</f>
        <v/>
      </c>
      <c r="BD1216" s="513" t="str">
        <f>Pole_Calc!A$323</f>
        <v>App.8-V08H-10.7.4.2</v>
      </c>
      <c r="BE1216" s="429" t="s">
        <v>118</v>
      </c>
      <c r="BF1216" s="289"/>
      <c r="BG1216" s="289"/>
      <c r="BH1216" s="290"/>
      <c r="BI1216" s="289"/>
    </row>
    <row r="1217" spans="1:61" ht="15.75" customHeight="1">
      <c r="A1217" s="514" t="s">
        <v>1574</v>
      </c>
      <c r="B1217" s="450"/>
      <c r="C1217" s="3"/>
      <c r="D1217" s="83"/>
      <c r="E1217" s="4"/>
      <c r="F1217" s="4"/>
      <c r="G1217" s="6">
        <v>3</v>
      </c>
      <c r="H1217" s="449"/>
      <c r="I1217" s="449"/>
      <c r="J1217" s="3"/>
      <c r="K1217" s="449"/>
      <c r="L1217" s="449"/>
      <c r="M1217" s="449"/>
      <c r="N1217" s="449"/>
      <c r="O1217" s="449"/>
      <c r="P1217" s="449"/>
      <c r="Q1217" s="4"/>
      <c r="R1217" s="6"/>
      <c r="S1217" s="6"/>
      <c r="T1217" s="4"/>
      <c r="U1217" s="4"/>
      <c r="V1217" s="4"/>
      <c r="W1217" s="9"/>
      <c r="X1217" s="9"/>
      <c r="Y1217" s="9"/>
      <c r="Z1217" s="9"/>
      <c r="AA1217" s="9"/>
      <c r="AB1217" s="9"/>
      <c r="AC1217" s="449"/>
      <c r="AD1217" s="449"/>
      <c r="AE1217" s="449"/>
      <c r="AF1217" s="4"/>
      <c r="AG1217" s="83"/>
      <c r="AH1217" s="4"/>
      <c r="AI1217" s="4"/>
      <c r="AJ1217" s="449"/>
      <c r="AK1217" s="449"/>
      <c r="AL1217" s="449"/>
      <c r="AM1217" s="449"/>
      <c r="AN1217" s="10"/>
      <c r="AO1217" s="9"/>
      <c r="AP1217" s="9"/>
      <c r="AQ1217" s="9"/>
      <c r="AR1217" s="9"/>
      <c r="AS1217" s="9"/>
      <c r="AT1217" s="9"/>
      <c r="AU1217" s="428"/>
      <c r="AV1217" s="428"/>
      <c r="AW1217" s="449" t="str">
        <f>IF(C1217&gt;0,VLOOKUP(C1217,Foundation_Calc!$A$2:$C$13,3,1),
IF(J1217&gt;0,VLOOKUP(J1217,Foundation_Calc!$A$2:$C$13,3,1),""))</f>
        <v/>
      </c>
      <c r="AX1217" s="449" t="str">
        <f>IF(C1217&gt;0,VLOOKUP(C1217,Foundation_Calc!$E$35:$G$65,3,1),
IF(J1217&gt;0,VLOOKUP(J1217,Foundation_Calc!$E$35:$G$65,3,1),""))</f>
        <v/>
      </c>
      <c r="AY1217" s="10" t="str">
        <f>IF(L1217="","",
IF(AX1217="PT",VLOOKUP(L1217,Foundation_Calc!$K$79:$R$113,VLOOKUP(AW1217,Foundation_Calc!$I$2:$J$8,2,FALSE),0),
IF(AX1217="K",VLOOKUP(L1217,Foundation_Calc!$K$117:$R$151,VLOOKUP(AW1217,Foundation_Calc!$I$2:$J$8,2,FALSE),0),"")))</f>
        <v/>
      </c>
      <c r="AZ1217" s="10" t="str">
        <f>IF(K1217="","",
IF(AX1217="PT",VLOOKUP(K1217,Foundation_Calc!$K$79:$R$113,VLOOKUP(AW1217,Foundation_Calc!$I$2:$J$8,2,FALSE),0),
IF(AX1217="K",VLOOKUP(K1217,Foundation_Calc!$K$117:$R$151,VLOOKUP(AW1217,Foundation_Calc!$I$2:$J$8,2,FALSE),0),"")))</f>
        <v/>
      </c>
      <c r="BA1217" s="495" t="str">
        <f t="shared" si="151"/>
        <v/>
      </c>
      <c r="BB1217" s="495" t="str">
        <f t="shared" si="152"/>
        <v/>
      </c>
      <c r="BC1217" s="495" t="str">
        <f t="shared" si="153"/>
        <v/>
      </c>
      <c r="BD1217" s="513" t="str">
        <f>IF(AND(L1217="",H1217=""),"",
IF(H1217="",Pole_Calc!A$9,
IF(H1217="MP",Pole_Calc!A$10,
IF(H1217="AnMP",Pole_Calc!A$11,
IF(H1217="A",Pole_Calc!A$12,
IF(H1217="S/A",Pole_Calc!A$13,
IF(H1217="A/S",Pole_Calc!A$14,"Poner a mano")))))))</f>
        <v/>
      </c>
      <c r="BE1217" s="429" t="s">
        <v>118</v>
      </c>
      <c r="BF1217" s="290"/>
      <c r="BG1217" s="290"/>
      <c r="BH1217" s="290"/>
      <c r="BI1217" s="290"/>
    </row>
    <row r="1218" spans="1:61" ht="15.75" customHeight="1">
      <c r="A1218" s="514"/>
      <c r="B1218" s="450" t="s">
        <v>1575</v>
      </c>
      <c r="C1218" s="3">
        <f>C1216+G1217</f>
        <v>59650.38</v>
      </c>
      <c r="D1218" s="83"/>
      <c r="E1218" s="4"/>
      <c r="F1218" s="4">
        <v>0</v>
      </c>
      <c r="G1218" s="6"/>
      <c r="H1218" s="449"/>
      <c r="I1218" s="449" t="s">
        <v>139</v>
      </c>
      <c r="J1218" s="3"/>
      <c r="K1218" s="449"/>
      <c r="L1218" s="449" t="s">
        <v>142</v>
      </c>
      <c r="M1218" s="449" t="str">
        <f>IF(L1218="","",
IF(AX1218="PT",VLOOKUP(L1218,Foundation_Calc!$V$79:$X$113,VLOOKUP(AX1218,Foundation_Calc!$I$10:$J$13,2,FALSE),0),
IF(AX1218="K",VLOOKUP(L1218,Foundation_Calc!$V$117:$X$151,VLOOKUP(AX1218,Foundation_Calc!$I$10:$J$13,2,FALSE),0),"")))</f>
        <v>C9R</v>
      </c>
      <c r="N1218" s="449"/>
      <c r="O1218" s="449"/>
      <c r="P1218" s="449"/>
      <c r="Q1218" s="4"/>
      <c r="R1218" s="6"/>
      <c r="S1218" s="6"/>
      <c r="T1218" s="4"/>
      <c r="U1218" s="4"/>
      <c r="V1218" s="4"/>
      <c r="W1218" s="9"/>
      <c r="X1218" s="9"/>
      <c r="Y1218" s="9"/>
      <c r="Z1218" s="9"/>
      <c r="AA1218" s="9"/>
      <c r="AB1218" s="9"/>
      <c r="AC1218" s="449"/>
      <c r="AD1218" s="449"/>
      <c r="AE1218" s="449"/>
      <c r="AF1218" s="4"/>
      <c r="AG1218" s="83"/>
      <c r="AH1218" s="4"/>
      <c r="AI1218" s="4"/>
      <c r="AJ1218" s="449"/>
      <c r="AK1218" s="449"/>
      <c r="AL1218" s="449"/>
      <c r="AM1218" s="449" t="s">
        <v>126</v>
      </c>
      <c r="AN1218" s="10"/>
      <c r="AO1218" s="9"/>
      <c r="AP1218" s="9"/>
      <c r="AQ1218" s="9"/>
      <c r="AR1218" s="9"/>
      <c r="AS1218" s="9"/>
      <c r="AT1218" s="9"/>
      <c r="AU1218" s="428"/>
      <c r="AV1218" s="428"/>
      <c r="AW1218" s="449" t="str">
        <f>IF(C1218&gt;0,VLOOKUP(C1218,Foundation_Calc!$A$2:$C$13,3,1),
IF(J1218&gt;0,VLOOKUP(J1218,Foundation_Calc!$A$2:$C$13,3,1),""))</f>
        <v>Multi Soil</v>
      </c>
      <c r="AX1218" s="449" t="str">
        <f>IF(C1218&gt;0,VLOOKUP(C1218,Foundation_Calc!$E$35:$G$65,3,1),
IF(J1218&gt;0,VLOOKUP(J1218,Foundation_Calc!$E$35:$G$65,3,1),""))</f>
        <v>PT</v>
      </c>
      <c r="AY1218" s="10">
        <f>IF(L1218="","",
IF(AX1218="PT",VLOOKUP(L1218,Foundation_Calc!$K$79:$R$113,VLOOKUP(AW1218,Foundation_Calc!$I$2:$J$8,2,FALSE),0),
IF(AX1218="K",VLOOKUP(L1218,Foundation_Calc!$K$117:$R$151,VLOOKUP(AW1218,Foundation_Calc!$I$2:$J$8,2,FALSE),0),"")))</f>
        <v>4.4000000000000004</v>
      </c>
      <c r="AZ1218" s="10" t="str">
        <f>IF(K1218="","",
IF(AX1218="PT",VLOOKUP(K1218,Foundation_Calc!$K$79:$R$113,VLOOKUP(AW1218,Foundation_Calc!$I$2:$J$8,2,FALSE),0),
IF(AX1218="K",VLOOKUP(K1218,Foundation_Calc!$K$117:$R$151,VLOOKUP(AW1218,Foundation_Calc!$I$2:$J$8,2,FALSE),0),"")))</f>
        <v/>
      </c>
      <c r="BA1218" s="495" t="str">
        <f t="shared" si="151"/>
        <v>ü</v>
      </c>
      <c r="BB1218" s="495" t="str">
        <f t="shared" si="152"/>
        <v/>
      </c>
      <c r="BC1218" s="495" t="str">
        <f t="shared" si="153"/>
        <v/>
      </c>
      <c r="BD1218" s="513" t="str">
        <f>Pole_Calc!A$323</f>
        <v>App.8-V08H-10.7.4.2</v>
      </c>
      <c r="BE1218" s="429" t="s">
        <v>118</v>
      </c>
      <c r="BF1218" s="289"/>
      <c r="BG1218" s="289"/>
      <c r="BH1218" s="290"/>
      <c r="BI1218" s="289"/>
    </row>
    <row r="1219" spans="1:61" ht="15.75" customHeight="1">
      <c r="A1219" s="514"/>
      <c r="B1219" s="450"/>
      <c r="C1219" s="3"/>
      <c r="D1219" s="83"/>
      <c r="E1219" s="4"/>
      <c r="F1219" s="4"/>
      <c r="G1219" s="6">
        <v>45.3</v>
      </c>
      <c r="H1219" s="449"/>
      <c r="I1219" s="4">
        <f>SUM(G1195:G1219)</f>
        <v>544</v>
      </c>
      <c r="J1219" s="3"/>
      <c r="K1219" s="449"/>
      <c r="L1219" s="449"/>
      <c r="M1219" s="449"/>
      <c r="N1219" s="449"/>
      <c r="O1219" s="449"/>
      <c r="P1219" s="449"/>
      <c r="Q1219" s="4"/>
      <c r="R1219" s="6"/>
      <c r="S1219" s="6"/>
      <c r="T1219" s="4"/>
      <c r="U1219" s="4"/>
      <c r="V1219" s="4"/>
      <c r="W1219" s="9"/>
      <c r="X1219" s="9"/>
      <c r="Y1219" s="9"/>
      <c r="Z1219" s="9"/>
      <c r="AA1219" s="9"/>
      <c r="AB1219" s="9"/>
      <c r="AC1219" s="449"/>
      <c r="AD1219" s="449"/>
      <c r="AE1219" s="449"/>
      <c r="AF1219" s="4"/>
      <c r="AG1219" s="83"/>
      <c r="AH1219" s="4"/>
      <c r="AI1219" s="4"/>
      <c r="AJ1219" s="449"/>
      <c r="AK1219" s="449"/>
      <c r="AL1219" s="449"/>
      <c r="AM1219" s="449"/>
      <c r="AN1219" s="10"/>
      <c r="AO1219" s="9"/>
      <c r="AP1219" s="9"/>
      <c r="AQ1219" s="9"/>
      <c r="AR1219" s="9"/>
      <c r="AS1219" s="9"/>
      <c r="AT1219" s="9"/>
      <c r="AU1219" s="428"/>
      <c r="AV1219" s="428"/>
      <c r="AW1219" s="449"/>
      <c r="AX1219" s="449"/>
      <c r="AY1219" s="10"/>
      <c r="AZ1219" s="10"/>
      <c r="BA1219" s="495"/>
      <c r="BB1219" s="495"/>
      <c r="BC1219" s="495"/>
      <c r="BD1219" s="513"/>
      <c r="BE1219" s="429" t="s">
        <v>118</v>
      </c>
      <c r="BF1219" s="290"/>
      <c r="BG1219" s="290"/>
      <c r="BH1219" s="290"/>
      <c r="BI1219" s="290"/>
    </row>
    <row r="1220" spans="1:61" ht="15.75" customHeight="1">
      <c r="A1220" s="514"/>
      <c r="B1220" s="450" t="s">
        <v>1576</v>
      </c>
      <c r="C1220" s="3">
        <f>C1218+G1219-0.48</f>
        <v>59695.199999999997</v>
      </c>
      <c r="D1220" s="83"/>
      <c r="E1220" s="4"/>
      <c r="F1220" s="4">
        <v>0</v>
      </c>
      <c r="G1220" s="6"/>
      <c r="H1220" s="449" t="s">
        <v>121</v>
      </c>
      <c r="I1220" s="4" t="s">
        <v>162</v>
      </c>
      <c r="J1220" s="3"/>
      <c r="K1220" s="449"/>
      <c r="L1220" s="449" t="s">
        <v>151</v>
      </c>
      <c r="M1220" s="449" t="str">
        <f>IF(L1220="","",
IF(AX1220="PT",VLOOKUP(L1220,Foundation_Calc!$V$79:$X$113,VLOOKUP(AX1220,Foundation_Calc!$I$10:$J$13,2,FALSE),0),
IF(AX1220="K",VLOOKUP(L1220,Foundation_Calc!$V$117:$X$151,VLOOKUP(AX1220,Foundation_Calc!$I$10:$J$13,2,FALSE),0),"")))</f>
        <v>C4R</v>
      </c>
      <c r="N1220" s="449" t="s">
        <v>134</v>
      </c>
      <c r="O1220" s="449"/>
      <c r="P1220" s="449"/>
      <c r="Q1220" s="4"/>
      <c r="R1220" s="6"/>
      <c r="S1220" s="6"/>
      <c r="T1220" s="4">
        <v>25</v>
      </c>
      <c r="U1220" s="4"/>
      <c r="V1220" s="4"/>
      <c r="W1220" s="9">
        <v>1.4</v>
      </c>
      <c r="X1220" s="9"/>
      <c r="Y1220" s="9"/>
      <c r="Z1220" s="9"/>
      <c r="AA1220" s="9"/>
      <c r="AB1220" s="9"/>
      <c r="AC1220" s="449" t="str">
        <f t="shared" si="147"/>
        <v>PH</v>
      </c>
      <c r="AD1220" s="449"/>
      <c r="AE1220" s="449"/>
      <c r="AF1220" s="4"/>
      <c r="AG1220" s="83"/>
      <c r="AH1220" s="4"/>
      <c r="AI1220" s="4"/>
      <c r="AJ1220" s="449" t="s">
        <v>900</v>
      </c>
      <c r="AK1220" s="449"/>
      <c r="AL1220" s="449"/>
      <c r="AM1220" s="449" t="s">
        <v>126</v>
      </c>
      <c r="AN1220" s="10">
        <v>5.5</v>
      </c>
      <c r="AO1220" s="9"/>
      <c r="AP1220" s="9"/>
      <c r="AQ1220" s="9"/>
      <c r="AR1220" s="9"/>
      <c r="AS1220" s="9"/>
      <c r="AT1220" s="9">
        <f>+ab($T$1220,$T$1214,$T$1222,$G$1219,$G$1221, 1*$F$1220,1200)</f>
        <v>9.6297097618028449</v>
      </c>
      <c r="AU1220" s="428"/>
      <c r="AV1220" s="428"/>
      <c r="AW1220" s="449" t="str">
        <f>IF(C1220&gt;0,VLOOKUP(C1220,Foundation_Calc!$A$2:$C$13,3,1),
IF(J1220&gt;0,VLOOKUP(J1220,Foundation_Calc!$A$2:$C$13,3,1),""))</f>
        <v>Multi Soil</v>
      </c>
      <c r="AX1220" s="449" t="str">
        <f>IF(C1220&gt;0,VLOOKUP(C1220,Foundation_Calc!$E$35:$G$65,3,1),
IF(J1220&gt;0,VLOOKUP(J1220,Foundation_Calc!$E$35:$G$65,3,1),""))</f>
        <v>PT</v>
      </c>
      <c r="AY1220" s="10">
        <f>IF(L1220="","",
IF(AX1220="PT",VLOOKUP(L1220,Foundation_Calc!$K$79:$R$113,VLOOKUP(AW1220,Foundation_Calc!$I$2:$J$8,2,FALSE),0),
IF(AX1220="K",VLOOKUP(L1220,Foundation_Calc!$K$117:$R$151,VLOOKUP(AW1220,Foundation_Calc!$I$2:$J$8,2,FALSE),0),"")))</f>
        <v>3.5</v>
      </c>
      <c r="AZ1220" s="10" t="str">
        <f>IF(K1220="","",
IF(AX1220="PT",VLOOKUP(K1220,Foundation_Calc!$K$79:$R$113,VLOOKUP(AW1220,Foundation_Calc!$I$2:$J$8,2,FALSE),0),
IF(AX1220="K",VLOOKUP(K1220,Foundation_Calc!$K$117:$R$151,VLOOKUP(AW1220,Foundation_Calc!$I$2:$J$8,2,FALSE),0),"")))</f>
        <v/>
      </c>
      <c r="BA1220" s="495" t="str">
        <f t="shared" si="148"/>
        <v>ü</v>
      </c>
      <c r="BB1220" s="495" t="str">
        <f t="shared" si="149"/>
        <v/>
      </c>
      <c r="BC1220" s="495" t="str">
        <f t="shared" si="150"/>
        <v/>
      </c>
      <c r="BD1220" s="513" t="str">
        <f>IF(AND(L1220="",H1220=""),"",
IF(H1220="",Pole_Calc!A$9,
IF(H1220="MP",Pole_Calc!A$10,
IF(H1220="AnMP",Pole_Calc!A$11,
IF(H1220="A",Pole_Calc!A$12,
IF(H1220="S/A",Pole_Calc!A$13,
IF(H1220="A/S",Pole_Calc!A$14,"Poner a mano")))))))</f>
        <v>App.7-V11I-P9.5.1.6</v>
      </c>
      <c r="BE1220" s="429" t="s">
        <v>118</v>
      </c>
      <c r="BF1220" s="289"/>
      <c r="BG1220" s="289"/>
      <c r="BH1220" s="290"/>
      <c r="BI1220" s="289"/>
    </row>
    <row r="1221" spans="1:61" ht="15.75" customHeight="1">
      <c r="A1221" s="571"/>
      <c r="B1221" s="450"/>
      <c r="C1221" s="3"/>
      <c r="D1221" s="83"/>
      <c r="E1221" s="4"/>
      <c r="F1221" s="4"/>
      <c r="G1221" s="6">
        <v>55</v>
      </c>
      <c r="H1221" s="449"/>
      <c r="I1221" s="4"/>
      <c r="J1221" s="3">
        <f>C1220+7.5</f>
        <v>59702.7</v>
      </c>
      <c r="K1221" s="449" t="s">
        <v>117</v>
      </c>
      <c r="L1221" s="449"/>
      <c r="M1221" s="449" t="str">
        <f>IF(L1221="","",
IF(AX1221="PT",VLOOKUP(L1221,Foundation_Calc!$V$79:$X$113,VLOOKUP(AX1221,Foundation_Calc!$I$10:$J$13,2,FALSE),0),
IF(AX1221="K",VLOOKUP(L1221,Foundation_Calc!$V$117:$X$151,VLOOKUP(AX1221,Foundation_Calc!$I$10:$J$13,2,FALSE),0),"")))</f>
        <v/>
      </c>
      <c r="N1221" s="449"/>
      <c r="O1221" s="449"/>
      <c r="P1221" s="449"/>
      <c r="Q1221" s="4"/>
      <c r="R1221" s="6"/>
      <c r="S1221" s="6"/>
      <c r="T1221" s="4"/>
      <c r="U1221" s="4"/>
      <c r="V1221" s="4"/>
      <c r="W1221" s="9"/>
      <c r="X1221" s="9"/>
      <c r="Y1221" s="9"/>
      <c r="Z1221" s="9"/>
      <c r="AA1221" s="9"/>
      <c r="AB1221" s="9"/>
      <c r="AC1221" s="449" t="str">
        <f t="shared" si="147"/>
        <v/>
      </c>
      <c r="AD1221" s="449"/>
      <c r="AE1221" s="449"/>
      <c r="AF1221" s="4"/>
      <c r="AG1221" s="83"/>
      <c r="AH1221" s="4"/>
      <c r="AI1221" s="4"/>
      <c r="AJ1221" s="449"/>
      <c r="AK1221" s="449"/>
      <c r="AL1221" s="449"/>
      <c r="AM1221" s="449"/>
      <c r="AN1221" s="10"/>
      <c r="AO1221" s="9"/>
      <c r="AP1221" s="9"/>
      <c r="AQ1221" s="9">
        <f>+FL_2($T$1222,$T$1220,$G$1221,1200,9.28, 1*$F$1222)</f>
        <v>-0.41936166072727271</v>
      </c>
      <c r="AR1221" s="9"/>
      <c r="AS1221" s="9"/>
      <c r="AT1221" s="9"/>
      <c r="AU1221" s="428"/>
      <c r="AV1221" s="428"/>
      <c r="AW1221" s="449" t="str">
        <f>IF(C1221&gt;0,VLOOKUP(C1221,Foundation_Calc!$A$2:$C$13,3,1),
IF(J1221&gt;0,VLOOKUP(J1221,Foundation_Calc!$A$2:$C$13,3,1),""))</f>
        <v>Multi Soil</v>
      </c>
      <c r="AX1221" s="449" t="str">
        <f>IF(C1221&gt;0,VLOOKUP(C1221,Foundation_Calc!$E$35:$G$65,3,1),
IF(J1221&gt;0,VLOOKUP(J1221,Foundation_Calc!$E$35:$G$65,3,1),""))</f>
        <v>PT</v>
      </c>
      <c r="AY1221" s="10" t="str">
        <f>IF(L1221="","",
IF(AX1221="PT",VLOOKUP(L1221,Foundation_Calc!$K$79:$R$113,VLOOKUP(AW1221,Foundation_Calc!$I$2:$J$8,2,FALSE),0),
IF(AX1221="K",VLOOKUP(L1221,Foundation_Calc!$K$117:$R$151,VLOOKUP(AW1221,Foundation_Calc!$I$2:$J$8,2,FALSE),0),"")))</f>
        <v/>
      </c>
      <c r="AZ1221" s="10">
        <f>IF(K1221="","",
IF(AX1221="PT",VLOOKUP(K1221,Foundation_Calc!$K$79:$R$113,VLOOKUP(AW1221,Foundation_Calc!$I$2:$J$8,2,FALSE),0),
IF(AX1221="K",VLOOKUP(K1221,Foundation_Calc!$K$117:$R$151,VLOOKUP(AW1221,Foundation_Calc!$I$2:$J$8,2,FALSE),0),"")))</f>
        <v>3.9</v>
      </c>
      <c r="BA1221" s="495" t="str">
        <f t="shared" si="148"/>
        <v/>
      </c>
      <c r="BB1221" s="495" t="str">
        <f t="shared" si="149"/>
        <v>ü</v>
      </c>
      <c r="BC1221" s="495" t="str">
        <f t="shared" si="150"/>
        <v/>
      </c>
      <c r="BD1221" s="513" t="str">
        <f>IF(AND(L1221="",H1221=""),"",
IF(H1221="",Pole_Calc!A$9,
IF(H1221="MP",Pole_Calc!A$10,
IF(H1221="AnMP",Pole_Calc!A$11,
IF(H1221="A",Pole_Calc!A$12,
IF(H1221="S/A",Pole_Calc!A$13,
IF(H1221="A/S",Pole_Calc!A$14,"Poner a mano")))))))</f>
        <v/>
      </c>
      <c r="BE1221" s="429" t="s">
        <v>118</v>
      </c>
      <c r="BF1221" s="290"/>
      <c r="BG1221" s="290"/>
      <c r="BH1221" s="290"/>
      <c r="BI1221" s="290"/>
    </row>
    <row r="1222" spans="1:61" ht="15.75" customHeight="1">
      <c r="A1222" s="514"/>
      <c r="B1222" s="450" t="s">
        <v>1577</v>
      </c>
      <c r="C1222" s="3">
        <f>+$C$1220+$G$1221</f>
        <v>59750.2</v>
      </c>
      <c r="D1222" s="83"/>
      <c r="E1222" s="4"/>
      <c r="F1222" s="4">
        <v>0</v>
      </c>
      <c r="G1222" s="6"/>
      <c r="H1222" s="449"/>
      <c r="I1222" s="4"/>
      <c r="J1222" s="3"/>
      <c r="K1222" s="449"/>
      <c r="L1222" s="449" t="s">
        <v>153</v>
      </c>
      <c r="M1222" s="449" t="str">
        <f>IF(L1222="","",
IF(AX1222="PT",VLOOKUP(L1222,Foundation_Calc!$V$79:$X$113,VLOOKUP(AX1222,Foundation_Calc!$I$10:$J$13,2,FALSE),0),
IF(AX1222="K",VLOOKUP(L1222,Foundation_Calc!$V$117:$X$151,VLOOKUP(AX1222,Foundation_Calc!$I$10:$J$13,2,FALSE),0),"")))</f>
        <v>C3R</v>
      </c>
      <c r="N1222" s="449" t="s">
        <v>124</v>
      </c>
      <c r="O1222" s="449"/>
      <c r="P1222" s="449"/>
      <c r="Q1222" s="4"/>
      <c r="R1222" s="6"/>
      <c r="S1222" s="6"/>
      <c r="T1222" s="4">
        <v>-35</v>
      </c>
      <c r="U1222" s="4"/>
      <c r="V1222" s="4"/>
      <c r="W1222" s="9">
        <v>1.4</v>
      </c>
      <c r="X1222" s="9"/>
      <c r="Y1222" s="9"/>
      <c r="Z1222" s="9"/>
      <c r="AA1222" s="9"/>
      <c r="AB1222" s="9"/>
      <c r="AC1222" s="449" t="str">
        <f t="shared" si="147"/>
        <v>PH</v>
      </c>
      <c r="AD1222" s="449"/>
      <c r="AE1222" s="449"/>
      <c r="AF1222" s="4"/>
      <c r="AG1222" s="83"/>
      <c r="AH1222" s="4"/>
      <c r="AI1222" s="4"/>
      <c r="AJ1222" s="449" t="s">
        <v>900</v>
      </c>
      <c r="AK1222" s="449"/>
      <c r="AL1222" s="449"/>
      <c r="AM1222" s="449" t="s">
        <v>126</v>
      </c>
      <c r="AN1222" s="10">
        <v>5.5</v>
      </c>
      <c r="AO1222" s="9"/>
      <c r="AP1222" s="9"/>
      <c r="AQ1222" s="9"/>
      <c r="AR1222" s="9"/>
      <c r="AS1222" s="9"/>
      <c r="AT1222" s="9">
        <f>+ab($T$1222,$T$1220,$T$1224,$G$1221,$G$1223, 1*$F$1222,1200)</f>
        <v>-8.0648660649544208</v>
      </c>
      <c r="AU1222" s="428"/>
      <c r="AV1222" s="428"/>
      <c r="AW1222" s="449" t="str">
        <f>IF(C1222&gt;0,VLOOKUP(C1222,Foundation_Calc!$A$2:$C$13,3,1),
IF(J1222&gt;0,VLOOKUP(J1222,Foundation_Calc!$A$2:$C$13,3,1),""))</f>
        <v>Multi Soil</v>
      </c>
      <c r="AX1222" s="449" t="str">
        <f>IF(C1222&gt;0,VLOOKUP(C1222,Foundation_Calc!$E$35:$G$65,3,1),
IF(J1222&gt;0,VLOOKUP(J1222,Foundation_Calc!$E$35:$G$65,3,1),""))</f>
        <v>PT</v>
      </c>
      <c r="AY1222" s="10">
        <f>IF(L1222="","",
IF(AX1222="PT",VLOOKUP(L1222,Foundation_Calc!$K$79:$R$113,VLOOKUP(AW1222,Foundation_Calc!$I$2:$J$8,2,FALSE),0),
IF(AX1222="K",VLOOKUP(L1222,Foundation_Calc!$K$117:$R$151,VLOOKUP(AW1222,Foundation_Calc!$I$2:$J$8,2,FALSE),0),"")))</f>
        <v>3.5</v>
      </c>
      <c r="AZ1222" s="10" t="str">
        <f>IF(K1222="","",
IF(AX1222="PT",VLOOKUP(K1222,Foundation_Calc!$K$79:$R$113,VLOOKUP(AW1222,Foundation_Calc!$I$2:$J$8,2,FALSE),0),
IF(AX1222="K",VLOOKUP(K1222,Foundation_Calc!$K$117:$R$151,VLOOKUP(AW1222,Foundation_Calc!$I$2:$J$8,2,FALSE),0),"")))</f>
        <v/>
      </c>
      <c r="BA1222" s="495" t="str">
        <f t="shared" si="148"/>
        <v>ü</v>
      </c>
      <c r="BB1222" s="495" t="str">
        <f t="shared" si="149"/>
        <v/>
      </c>
      <c r="BC1222" s="495" t="str">
        <f t="shared" si="150"/>
        <v/>
      </c>
      <c r="BD1222" s="513" t="str">
        <f>IF(AND(L1222="",H1222=""),"",
IF(H1222="",Pole_Calc!A$9,
IF(H1222="MP",Pole_Calc!A$10,
IF(H1222="AnMP",Pole_Calc!A$11,
IF(H1222="A",Pole_Calc!A$12,
IF(H1222="S/A",Pole_Calc!A$13,
IF(H1222="A/S",Pole_Calc!A$14,"Poner a mano")))))))</f>
        <v>App.7-V11I-P9.5.1.1</v>
      </c>
      <c r="BE1222" s="429" t="s">
        <v>118</v>
      </c>
      <c r="BF1222" s="289"/>
      <c r="BG1222" s="289"/>
      <c r="BH1222" s="290"/>
      <c r="BI1222" s="289"/>
    </row>
    <row r="1223" spans="1:61" ht="15.75" customHeight="1">
      <c r="A1223" s="514"/>
      <c r="B1223" s="450"/>
      <c r="C1223" s="3"/>
      <c r="D1223" s="83"/>
      <c r="E1223" s="4"/>
      <c r="F1223" s="4"/>
      <c r="G1223" s="6">
        <v>55</v>
      </c>
      <c r="H1223" s="449"/>
      <c r="I1223" s="449"/>
      <c r="J1223" s="3"/>
      <c r="K1223" s="449"/>
      <c r="L1223" s="449"/>
      <c r="M1223" s="449" t="str">
        <f>IF(L1223="","",
IF(AX1223="PT",VLOOKUP(L1223,Foundation_Calc!$V$79:$X$113,VLOOKUP(AX1223,Foundation_Calc!$I$10:$J$13,2,FALSE),0),
IF(AX1223="K",VLOOKUP(L1223,Foundation_Calc!$V$117:$X$151,VLOOKUP(AX1223,Foundation_Calc!$I$10:$J$13,2,FALSE),0),"")))</f>
        <v/>
      </c>
      <c r="N1223" s="449"/>
      <c r="O1223" s="449"/>
      <c r="P1223" s="449"/>
      <c r="Q1223" s="4"/>
      <c r="R1223" s="6"/>
      <c r="S1223" s="6"/>
      <c r="T1223" s="4"/>
      <c r="U1223" s="4"/>
      <c r="V1223" s="4"/>
      <c r="W1223" s="9"/>
      <c r="X1223" s="9"/>
      <c r="Y1223" s="9"/>
      <c r="Z1223" s="9"/>
      <c r="AA1223" s="9"/>
      <c r="AB1223" s="9"/>
      <c r="AC1223" s="449" t="str">
        <f t="shared" si="147"/>
        <v/>
      </c>
      <c r="AD1223" s="449"/>
      <c r="AE1223" s="449"/>
      <c r="AF1223" s="4"/>
      <c r="AG1223" s="83"/>
      <c r="AH1223" s="4"/>
      <c r="AI1223" s="4"/>
      <c r="AJ1223" s="449"/>
      <c r="AK1223" s="449"/>
      <c r="AL1223" s="449"/>
      <c r="AM1223" s="449"/>
      <c r="AN1223" s="10"/>
      <c r="AO1223" s="9"/>
      <c r="AP1223" s="9"/>
      <c r="AQ1223" s="9">
        <f>+FL_2($T$1224,$T$1222,$G$1223,1200,9.28, 1*$F$1224)</f>
        <v>-0.39714735709090898</v>
      </c>
      <c r="AR1223" s="9"/>
      <c r="AS1223" s="9"/>
      <c r="AT1223" s="9"/>
      <c r="AU1223" s="428"/>
      <c r="AV1223" s="428"/>
      <c r="AW1223" s="449" t="str">
        <f>IF(C1223&gt;0,VLOOKUP(C1223,Foundation_Calc!$A$2:$C$13,3,1),
IF(J1223&gt;0,VLOOKUP(J1223,Foundation_Calc!$A$2:$C$13,3,1),""))</f>
        <v/>
      </c>
      <c r="AX1223" s="449" t="str">
        <f>IF(C1223&gt;0,VLOOKUP(C1223,Foundation_Calc!$E$35:$G$65,3,1),
IF(J1223&gt;0,VLOOKUP(J1223,Foundation_Calc!$E$35:$G$65,3,1),""))</f>
        <v/>
      </c>
      <c r="AY1223" s="10" t="str">
        <f>IF(L1223="","",
IF(AX1223="PT",VLOOKUP(L1223,Foundation_Calc!$K$79:$R$113,VLOOKUP(AW1223,Foundation_Calc!$I$2:$J$8,2,FALSE),0),
IF(AX1223="K",VLOOKUP(L1223,Foundation_Calc!$K$117:$R$151,VLOOKUP(AW1223,Foundation_Calc!$I$2:$J$8,2,FALSE),0),"")))</f>
        <v/>
      </c>
      <c r="AZ1223" s="10" t="str">
        <f>IF(K1223="","",
IF(AX1223="PT",VLOOKUP(K1223,Foundation_Calc!$K$79:$R$113,VLOOKUP(AW1223,Foundation_Calc!$I$2:$J$8,2,FALSE),0),
IF(AX1223="K",VLOOKUP(K1223,Foundation_Calc!$K$117:$R$151,VLOOKUP(AW1223,Foundation_Calc!$I$2:$J$8,2,FALSE),0),"")))</f>
        <v/>
      </c>
      <c r="BA1223" s="495" t="str">
        <f t="shared" si="148"/>
        <v/>
      </c>
      <c r="BB1223" s="495" t="str">
        <f t="shared" si="149"/>
        <v/>
      </c>
      <c r="BC1223" s="495" t="str">
        <f t="shared" si="150"/>
        <v/>
      </c>
      <c r="BD1223" s="513" t="str">
        <f>IF(AND(L1223="",H1223=""),"",
IF(H1223="",Pole_Calc!A$9,
IF(H1223="MP",Pole_Calc!A$10,
IF(H1223="AnMP",Pole_Calc!A$11,
IF(H1223="A",Pole_Calc!A$12,
IF(H1223="S/A",Pole_Calc!A$13,
IF(H1223="A/S",Pole_Calc!A$14,"Poner a mano")))))))</f>
        <v/>
      </c>
      <c r="BE1223" s="429" t="s">
        <v>118</v>
      </c>
      <c r="BF1223" s="290"/>
      <c r="BG1223" s="290"/>
      <c r="BH1223" s="290"/>
      <c r="BI1223" s="290"/>
    </row>
    <row r="1224" spans="1:61" ht="15.75" customHeight="1">
      <c r="A1224" s="514"/>
      <c r="B1224" s="450" t="s">
        <v>1578</v>
      </c>
      <c r="C1224" s="3">
        <f>+$C$1222+$G$1223</f>
        <v>59805.2</v>
      </c>
      <c r="D1224" s="83"/>
      <c r="E1224" s="4"/>
      <c r="F1224" s="4">
        <v>0</v>
      </c>
      <c r="G1224" s="6"/>
      <c r="H1224" s="449"/>
      <c r="I1224" s="4"/>
      <c r="J1224" s="3"/>
      <c r="K1224" s="449"/>
      <c r="L1224" s="449" t="s">
        <v>153</v>
      </c>
      <c r="M1224" s="449" t="str">
        <f>IF(L1224="","",
IF(AX1224="PT",VLOOKUP(L1224,Foundation_Calc!$V$79:$X$113,VLOOKUP(AX1224,Foundation_Calc!$I$10:$J$13,2,FALSE),0),
IF(AX1224="K",VLOOKUP(L1224,Foundation_Calc!$V$117:$X$151,VLOOKUP(AX1224,Foundation_Calc!$I$10:$J$13,2,FALSE),0),"")))</f>
        <v>C3RT</v>
      </c>
      <c r="N1224" s="449" t="s">
        <v>134</v>
      </c>
      <c r="O1224" s="449"/>
      <c r="P1224" s="449"/>
      <c r="Q1224" s="4"/>
      <c r="R1224" s="6"/>
      <c r="S1224" s="6"/>
      <c r="T1224" s="4">
        <v>35</v>
      </c>
      <c r="U1224" s="4"/>
      <c r="V1224" s="4"/>
      <c r="W1224" s="9">
        <v>1.4</v>
      </c>
      <c r="X1224" s="9"/>
      <c r="Y1224" s="9"/>
      <c r="Z1224" s="9"/>
      <c r="AA1224" s="9"/>
      <c r="AB1224" s="9"/>
      <c r="AC1224" s="449" t="str">
        <f t="shared" si="147"/>
        <v>PHQ</v>
      </c>
      <c r="AD1224" s="449"/>
      <c r="AE1224" s="449"/>
      <c r="AF1224" s="4"/>
      <c r="AG1224" s="83"/>
      <c r="AH1224" s="4"/>
      <c r="AI1224" s="4"/>
      <c r="AJ1224" s="449" t="s">
        <v>900</v>
      </c>
      <c r="AK1224" s="449"/>
      <c r="AL1224" s="449"/>
      <c r="AM1224" s="449" t="s">
        <v>126</v>
      </c>
      <c r="AN1224" s="10">
        <v>5.5</v>
      </c>
      <c r="AO1224" s="9"/>
      <c r="AP1224" s="9"/>
      <c r="AQ1224" s="9"/>
      <c r="AR1224" s="9"/>
      <c r="AS1224" s="9"/>
      <c r="AT1224" s="9">
        <f>+ab($T$1224,$T$1222,$T$1226,$G$1223,$G$1225, 1*$F$1224,1200)</f>
        <v>7.8175137683875535</v>
      </c>
      <c r="AU1224" s="428"/>
      <c r="AV1224" s="428"/>
      <c r="AW1224" s="449" t="str">
        <f>IF(C1224&gt;0,VLOOKUP(C1224,Foundation_Calc!$A$2:$C$13,3,1),
IF(J1224&gt;0,VLOOKUP(J1224,Foundation_Calc!$A$2:$C$13,3,1),""))</f>
        <v>Multi Soil</v>
      </c>
      <c r="AX1224" s="449" t="str">
        <f>IF(C1224&gt;0,VLOOKUP(C1224,Foundation_Calc!$E$35:$G$65,3,1),
IF(J1224&gt;0,VLOOKUP(J1224,Foundation_Calc!$E$35:$G$65,3,1),""))</f>
        <v>K</v>
      </c>
      <c r="AY1224" s="10">
        <f>IF(L1224="","",
IF(AX1224="PT",VLOOKUP(L1224,Foundation_Calc!$K$79:$R$113,VLOOKUP(AW1224,Foundation_Calc!$I$2:$J$8,2,FALSE),0),
IF(AX1224="K",VLOOKUP(L1224,Foundation_Calc!$K$117:$R$151,VLOOKUP(AW1224,Foundation_Calc!$I$2:$J$8,2,FALSE),0),"")))</f>
        <v>4</v>
      </c>
      <c r="AZ1224" s="10" t="str">
        <f>IF(K1224="","",
IF(AX1224="PT",VLOOKUP(K1224,Foundation_Calc!$K$79:$R$113,VLOOKUP(AW1224,Foundation_Calc!$I$2:$J$8,2,FALSE),0),
IF(AX1224="K",VLOOKUP(K1224,Foundation_Calc!$K$117:$R$151,VLOOKUP(AW1224,Foundation_Calc!$I$2:$J$8,2,FALSE),0),"")))</f>
        <v/>
      </c>
      <c r="BA1224" s="495" t="str">
        <f t="shared" si="148"/>
        <v>ü</v>
      </c>
      <c r="BB1224" s="495" t="str">
        <f t="shared" si="149"/>
        <v/>
      </c>
      <c r="BC1224" s="495" t="str">
        <f t="shared" si="150"/>
        <v/>
      </c>
      <c r="BD1224" s="513" t="str">
        <f>IF(AND(L1224="",H1224=""),"",
IF(H1224="",Pole_Calc!A$9,
IF(H1224="MP",Pole_Calc!A$10,
IF(H1224="AnMP",Pole_Calc!A$11,
IF(H1224="A",Pole_Calc!A$12,
IF(H1224="S/A",Pole_Calc!A$13,
IF(H1224="A/S",Pole_Calc!A$14,"Poner a mano")))))))</f>
        <v>App.7-V11I-P9.5.1.1</v>
      </c>
      <c r="BE1224" s="429" t="s">
        <v>118</v>
      </c>
      <c r="BF1224" s="289"/>
      <c r="BG1224" s="289"/>
      <c r="BH1224" s="290"/>
      <c r="BI1224" s="289"/>
    </row>
    <row r="1225" spans="1:61" ht="15.75" customHeight="1">
      <c r="A1225" s="571"/>
      <c r="B1225" s="450"/>
      <c r="C1225" s="3"/>
      <c r="D1225" s="83"/>
      <c r="E1225" s="4"/>
      <c r="F1225" s="4"/>
      <c r="G1225" s="6">
        <v>60</v>
      </c>
      <c r="H1225" s="449"/>
      <c r="I1225" s="4"/>
      <c r="J1225" s="3"/>
      <c r="K1225" s="449"/>
      <c r="L1225" s="449"/>
      <c r="M1225" s="449" t="str">
        <f>IF(L1225="","",
IF(AX1225="PT",VLOOKUP(L1225,Foundation_Calc!$V$79:$X$113,VLOOKUP(AX1225,Foundation_Calc!$I$10:$J$13,2,FALSE),0),
IF(AX1225="K",VLOOKUP(L1225,Foundation_Calc!$V$117:$X$151,VLOOKUP(AX1225,Foundation_Calc!$I$10:$J$13,2,FALSE),0),"")))</f>
        <v/>
      </c>
      <c r="N1225" s="449"/>
      <c r="O1225" s="449"/>
      <c r="P1225" s="449"/>
      <c r="Q1225" s="4"/>
      <c r="R1225" s="6"/>
      <c r="S1225" s="6"/>
      <c r="T1225" s="4"/>
      <c r="U1225" s="4"/>
      <c r="V1225" s="4"/>
      <c r="W1225" s="9"/>
      <c r="X1225" s="9"/>
      <c r="Y1225" s="9"/>
      <c r="Z1225" s="9"/>
      <c r="AA1225" s="9"/>
      <c r="AB1225" s="9"/>
      <c r="AC1225" s="449" t="str">
        <f t="shared" si="147"/>
        <v/>
      </c>
      <c r="AD1225" s="449"/>
      <c r="AE1225" s="449"/>
      <c r="AF1225" s="4"/>
      <c r="AG1225" s="83"/>
      <c r="AH1225" s="4"/>
      <c r="AI1225" s="4"/>
      <c r="AJ1225" s="449"/>
      <c r="AK1225" s="449"/>
      <c r="AL1225" s="449"/>
      <c r="AM1225" s="449"/>
      <c r="AN1225" s="10"/>
      <c r="AO1225" s="9"/>
      <c r="AP1225" s="9"/>
      <c r="AQ1225" s="9">
        <f>+FL_2($T$1226,$T$1224,$G$1225,1200,9.28, 1*$F$1226)</f>
        <v>-0.43600286799999999</v>
      </c>
      <c r="AR1225" s="9"/>
      <c r="AS1225" s="9"/>
      <c r="AT1225" s="9"/>
      <c r="AU1225" s="428"/>
      <c r="AV1225" s="428"/>
      <c r="AW1225" s="449" t="str">
        <f>IF(C1225&gt;0,VLOOKUP(C1225,Foundation_Calc!$A$2:$C$13,3,1),
IF(J1225&gt;0,VLOOKUP(J1225,Foundation_Calc!$A$2:$C$13,3,1),""))</f>
        <v/>
      </c>
      <c r="AX1225" s="449" t="str">
        <f>IF(C1225&gt;0,VLOOKUP(C1225,Foundation_Calc!$E$35:$G$65,3,1),
IF(J1225&gt;0,VLOOKUP(J1225,Foundation_Calc!$E$35:$G$65,3,1),""))</f>
        <v/>
      </c>
      <c r="AY1225" s="10" t="str">
        <f>IF(L1225="","",
IF(AX1225="PT",VLOOKUP(L1225,Foundation_Calc!$K$79:$R$113,VLOOKUP(AW1225,Foundation_Calc!$I$2:$J$8,2,FALSE),0),
IF(AX1225="K",VLOOKUP(L1225,Foundation_Calc!$K$117:$R$151,VLOOKUP(AW1225,Foundation_Calc!$I$2:$J$8,2,FALSE),0),"")))</f>
        <v/>
      </c>
      <c r="AZ1225" s="10" t="str">
        <f>IF(K1225="","",
IF(AX1225="PT",VLOOKUP(K1225,Foundation_Calc!$K$79:$R$113,VLOOKUP(AW1225,Foundation_Calc!$I$2:$J$8,2,FALSE),0),
IF(AX1225="K",VLOOKUP(K1225,Foundation_Calc!$K$117:$R$151,VLOOKUP(AW1225,Foundation_Calc!$I$2:$J$8,2,FALSE),0),"")))</f>
        <v/>
      </c>
      <c r="BA1225" s="495" t="str">
        <f t="shared" si="148"/>
        <v/>
      </c>
      <c r="BB1225" s="495" t="str">
        <f t="shared" si="149"/>
        <v/>
      </c>
      <c r="BC1225" s="495" t="str">
        <f t="shared" si="150"/>
        <v/>
      </c>
      <c r="BD1225" s="513" t="str">
        <f>IF(AND(L1225="",H1225=""),"",
IF(H1225="",Pole_Calc!A$9,
IF(H1225="MP",Pole_Calc!A$10,
IF(H1225="AnMP",Pole_Calc!A$11,
IF(H1225="A",Pole_Calc!A$12,
IF(H1225="S/A",Pole_Calc!A$13,
IF(H1225="A/S",Pole_Calc!A$14,"Poner a mano")))))))</f>
        <v/>
      </c>
      <c r="BE1225" s="429" t="s">
        <v>118</v>
      </c>
      <c r="BF1225" s="290"/>
      <c r="BG1225" s="290"/>
      <c r="BH1225" s="290"/>
      <c r="BI1225" s="290"/>
    </row>
    <row r="1226" spans="1:61" ht="15.75" customHeight="1">
      <c r="A1226" s="571"/>
      <c r="B1226" s="450" t="s">
        <v>1579</v>
      </c>
      <c r="C1226" s="3">
        <f>+$C$1224+$G$1225</f>
        <v>59865.2</v>
      </c>
      <c r="D1226" s="83"/>
      <c r="E1226" s="4"/>
      <c r="F1226" s="4">
        <v>0</v>
      </c>
      <c r="G1226" s="6"/>
      <c r="H1226" s="449"/>
      <c r="I1226" s="4"/>
      <c r="J1226" s="3"/>
      <c r="K1226" s="449"/>
      <c r="L1226" s="449" t="s">
        <v>153</v>
      </c>
      <c r="M1226" s="449" t="str">
        <f>IF(L1226="","",
IF(AX1226="PT",VLOOKUP(L1226,Foundation_Calc!$V$79:$X$113,VLOOKUP(AX1226,Foundation_Calc!$I$10:$J$13,2,FALSE),0),
IF(AX1226="K",VLOOKUP(L1226,Foundation_Calc!$V$117:$X$151,VLOOKUP(AX1226,Foundation_Calc!$I$10:$J$13,2,FALSE),0),"")))</f>
        <v>C3RT</v>
      </c>
      <c r="N1226" s="449" t="s">
        <v>124</v>
      </c>
      <c r="O1226" s="449"/>
      <c r="P1226" s="449"/>
      <c r="Q1226" s="4"/>
      <c r="R1226" s="6"/>
      <c r="S1226" s="6"/>
      <c r="T1226" s="4">
        <v>-35</v>
      </c>
      <c r="U1226" s="4"/>
      <c r="V1226" s="4"/>
      <c r="W1226" s="9">
        <v>1.4</v>
      </c>
      <c r="X1226" s="9"/>
      <c r="Y1226" s="9"/>
      <c r="Z1226" s="9"/>
      <c r="AA1226" s="9"/>
      <c r="AB1226" s="9"/>
      <c r="AC1226" s="449" t="str">
        <f t="shared" si="147"/>
        <v>PH</v>
      </c>
      <c r="AD1226" s="449"/>
      <c r="AE1226" s="449"/>
      <c r="AF1226" s="4"/>
      <c r="AG1226" s="83"/>
      <c r="AH1226" s="4"/>
      <c r="AI1226" s="4"/>
      <c r="AJ1226" s="449" t="s">
        <v>900</v>
      </c>
      <c r="AK1226" s="449"/>
      <c r="AL1226" s="449"/>
      <c r="AM1226" s="449" t="s">
        <v>126</v>
      </c>
      <c r="AN1226" s="10">
        <v>5.5</v>
      </c>
      <c r="AO1226" s="9"/>
      <c r="AP1226" s="9"/>
      <c r="AQ1226" s="9"/>
      <c r="AR1226" s="9"/>
      <c r="AS1226" s="9"/>
      <c r="AT1226" s="9">
        <f>+ab($T$1226,$T$1224,$T$1228,$G$1225,$G$1227, 1*$F$1226,1200)</f>
        <v>-8.1682020423530854</v>
      </c>
      <c r="AU1226" s="428"/>
      <c r="AV1226" s="428"/>
      <c r="AW1226" s="449" t="str">
        <f>IF(C1226&gt;0,VLOOKUP(C1226,Foundation_Calc!$A$2:$C$13,3,1),
IF(J1226&gt;0,VLOOKUP(J1226,Foundation_Calc!$A$2:$C$13,3,1),""))</f>
        <v>Multi Soil</v>
      </c>
      <c r="AX1226" s="449" t="str">
        <f>IF(C1226&gt;0,VLOOKUP(C1226,Foundation_Calc!$E$35:$G$65,3,1),
IF(J1226&gt;0,VLOOKUP(J1226,Foundation_Calc!$E$35:$G$65,3,1),""))</f>
        <v>K</v>
      </c>
      <c r="AY1226" s="10">
        <f>IF(L1226="","",
IF(AX1226="PT",VLOOKUP(L1226,Foundation_Calc!$K$79:$R$113,VLOOKUP(AW1226,Foundation_Calc!$I$2:$J$8,2,FALSE),0),
IF(AX1226="K",VLOOKUP(L1226,Foundation_Calc!$K$117:$R$151,VLOOKUP(AW1226,Foundation_Calc!$I$2:$J$8,2,FALSE),0),"")))</f>
        <v>4</v>
      </c>
      <c r="AZ1226" s="10" t="str">
        <f>IF(K1226="","",
IF(AX1226="PT",VLOOKUP(K1226,Foundation_Calc!$K$79:$R$113,VLOOKUP(AW1226,Foundation_Calc!$I$2:$J$8,2,FALSE),0),
IF(AX1226="K",VLOOKUP(K1226,Foundation_Calc!$K$117:$R$151,VLOOKUP(AW1226,Foundation_Calc!$I$2:$J$8,2,FALSE),0),"")))</f>
        <v/>
      </c>
      <c r="BA1226" s="495" t="str">
        <f t="shared" si="148"/>
        <v>ü</v>
      </c>
      <c r="BB1226" s="495" t="str">
        <f t="shared" si="149"/>
        <v/>
      </c>
      <c r="BC1226" s="495" t="str">
        <f t="shared" si="150"/>
        <v/>
      </c>
      <c r="BD1226" s="513" t="str">
        <f>IF(AND(L1226="",H1226=""),"",
IF(H1226="",Pole_Calc!A$9,
IF(H1226="MP",Pole_Calc!A$10,
IF(H1226="AnMP",Pole_Calc!A$11,
IF(H1226="A",Pole_Calc!A$12,
IF(H1226="S/A",Pole_Calc!A$13,
IF(H1226="A/S",Pole_Calc!A$14,"Poner a mano")))))))</f>
        <v>App.7-V11I-P9.5.1.1</v>
      </c>
      <c r="BE1226" s="429" t="s">
        <v>118</v>
      </c>
      <c r="BF1226" s="289"/>
      <c r="BG1226" s="289"/>
      <c r="BH1226" s="290"/>
      <c r="BI1226" s="289"/>
    </row>
    <row r="1227" spans="1:61" ht="15.75" customHeight="1">
      <c r="A1227" s="571"/>
      <c r="B1227" s="450"/>
      <c r="C1227" s="3"/>
      <c r="D1227" s="83"/>
      <c r="E1227" s="4"/>
      <c r="F1227" s="4"/>
      <c r="G1227" s="6">
        <v>60</v>
      </c>
      <c r="H1227" s="449"/>
      <c r="I1227" s="4"/>
      <c r="J1227" s="3"/>
      <c r="K1227" s="449"/>
      <c r="L1227" s="449"/>
      <c r="M1227" s="449" t="str">
        <f>IF(L1227="","",
IF(AX1227="PT",VLOOKUP(L1227,Foundation_Calc!$V$79:$X$113,VLOOKUP(AX1227,Foundation_Calc!$I$10:$J$13,2,FALSE),0),
IF(AX1227="K",VLOOKUP(L1227,Foundation_Calc!$V$117:$X$151,VLOOKUP(AX1227,Foundation_Calc!$I$10:$J$13,2,FALSE),0),"")))</f>
        <v/>
      </c>
      <c r="N1227" s="449"/>
      <c r="O1227" s="449"/>
      <c r="P1227" s="449"/>
      <c r="Q1227" s="4"/>
      <c r="R1227" s="6"/>
      <c r="S1227" s="6"/>
      <c r="T1227" s="4"/>
      <c r="U1227" s="4"/>
      <c r="V1227" s="4"/>
      <c r="W1227" s="9"/>
      <c r="X1227" s="9"/>
      <c r="Y1227" s="9"/>
      <c r="Z1227" s="9"/>
      <c r="AA1227" s="9"/>
      <c r="AB1227" s="9"/>
      <c r="AC1227" s="449" t="str">
        <f t="shared" si="147"/>
        <v/>
      </c>
      <c r="AD1227" s="449"/>
      <c r="AE1227" s="449"/>
      <c r="AF1227" s="4"/>
      <c r="AG1227" s="83"/>
      <c r="AH1227" s="4"/>
      <c r="AI1227" s="4"/>
      <c r="AJ1227" s="449"/>
      <c r="AK1227" s="449"/>
      <c r="AL1227" s="449"/>
      <c r="AM1227" s="449"/>
      <c r="AN1227" s="10"/>
      <c r="AO1227" s="9"/>
      <c r="AP1227" s="9"/>
      <c r="AQ1227" s="9">
        <f>+FL_1($T$1228,$T$1226,$G$1227,1200,9.28, 1*$F$1228)</f>
        <v>0.43600286799999999</v>
      </c>
      <c r="AR1227" s="9"/>
      <c r="AS1227" s="9"/>
      <c r="AT1227" s="9"/>
      <c r="AU1227" s="428"/>
      <c r="AV1227" s="428"/>
      <c r="AW1227" s="449" t="str">
        <f>IF(C1227&gt;0,VLOOKUP(C1227,Foundation_Calc!$A$2:$C$13,3,1),
IF(J1227&gt;0,VLOOKUP(J1227,Foundation_Calc!$A$2:$C$13,3,1),""))</f>
        <v/>
      </c>
      <c r="AX1227" s="449" t="str">
        <f>IF(C1227&gt;0,VLOOKUP(C1227,Foundation_Calc!$E$35:$G$65,3,1),
IF(J1227&gt;0,VLOOKUP(J1227,Foundation_Calc!$E$35:$G$65,3,1),""))</f>
        <v/>
      </c>
      <c r="AY1227" s="10" t="str">
        <f>IF(L1227="","",
IF(AX1227="PT",VLOOKUP(L1227,Foundation_Calc!$K$79:$R$113,VLOOKUP(AW1227,Foundation_Calc!$I$2:$J$8,2,FALSE),0),
IF(AX1227="K",VLOOKUP(L1227,Foundation_Calc!$K$117:$R$151,VLOOKUP(AW1227,Foundation_Calc!$I$2:$J$8,2,FALSE),0),"")))</f>
        <v/>
      </c>
      <c r="AZ1227" s="10" t="str">
        <f>IF(K1227="","",
IF(AX1227="PT",VLOOKUP(K1227,Foundation_Calc!$K$79:$R$113,VLOOKUP(AW1227,Foundation_Calc!$I$2:$J$8,2,FALSE),0),
IF(AX1227="K",VLOOKUP(K1227,Foundation_Calc!$K$117:$R$151,VLOOKUP(AW1227,Foundation_Calc!$I$2:$J$8,2,FALSE),0),"")))</f>
        <v/>
      </c>
      <c r="BA1227" s="495" t="str">
        <f t="shared" si="148"/>
        <v/>
      </c>
      <c r="BB1227" s="495" t="str">
        <f t="shared" si="149"/>
        <v/>
      </c>
      <c r="BC1227" s="495" t="str">
        <f t="shared" si="150"/>
        <v/>
      </c>
      <c r="BD1227" s="513" t="str">
        <f>IF(AND(L1227="",H1227=""),"",
IF(H1227="",Pole_Calc!A$9,
IF(H1227="MP",Pole_Calc!A$10,
IF(H1227="AnMP",Pole_Calc!A$11,
IF(H1227="A",Pole_Calc!A$12,
IF(H1227="S/A",Pole_Calc!A$13,
IF(H1227="A/S",Pole_Calc!A$14,"Poner a mano")))))))</f>
        <v/>
      </c>
      <c r="BE1227" s="429" t="s">
        <v>118</v>
      </c>
      <c r="BF1227" s="290"/>
      <c r="BG1227" s="290"/>
      <c r="BH1227" s="290"/>
      <c r="BI1227" s="290"/>
    </row>
    <row r="1228" spans="1:61" ht="15.75" customHeight="1">
      <c r="A1228" s="514"/>
      <c r="B1228" s="450" t="s">
        <v>1580</v>
      </c>
      <c r="C1228" s="3">
        <f>+$C$1226+$G$1227</f>
        <v>59925.2</v>
      </c>
      <c r="D1228" s="83"/>
      <c r="E1228" s="4"/>
      <c r="F1228" s="4">
        <v>0</v>
      </c>
      <c r="G1228" s="6"/>
      <c r="H1228" s="449"/>
      <c r="I1228" s="449"/>
      <c r="J1228" s="3"/>
      <c r="K1228" s="449"/>
      <c r="L1228" s="449" t="s">
        <v>153</v>
      </c>
      <c r="M1228" s="449" t="str">
        <f>IF(L1228="","",
IF(AX1228="PT",VLOOKUP(L1228,Foundation_Calc!$V$79:$X$113,VLOOKUP(AX1228,Foundation_Calc!$I$10:$J$13,2,FALSE),0),
IF(AX1228="K",VLOOKUP(L1228,Foundation_Calc!$V$117:$X$151,VLOOKUP(AX1228,Foundation_Calc!$I$10:$J$13,2,FALSE),0),"")))</f>
        <v>C3RT</v>
      </c>
      <c r="N1228" s="449" t="s">
        <v>134</v>
      </c>
      <c r="O1228" s="449"/>
      <c r="P1228" s="449"/>
      <c r="Q1228" s="4"/>
      <c r="R1228" s="6"/>
      <c r="S1228" s="6"/>
      <c r="T1228" s="4">
        <v>35</v>
      </c>
      <c r="U1228" s="4"/>
      <c r="V1228" s="4"/>
      <c r="W1228" s="9">
        <v>1.4</v>
      </c>
      <c r="X1228" s="9"/>
      <c r="Y1228" s="9"/>
      <c r="Z1228" s="9"/>
      <c r="AA1228" s="9"/>
      <c r="AB1228" s="9"/>
      <c r="AC1228" s="449" t="str">
        <f t="shared" si="147"/>
        <v>PH</v>
      </c>
      <c r="AD1228" s="449"/>
      <c r="AE1228" s="449"/>
      <c r="AF1228" s="4"/>
      <c r="AG1228" s="83"/>
      <c r="AH1228" s="4"/>
      <c r="AI1228" s="4"/>
      <c r="AJ1228" s="449" t="s">
        <v>900</v>
      </c>
      <c r="AK1228" s="449"/>
      <c r="AL1228" s="449"/>
      <c r="AM1228" s="449" t="s">
        <v>126</v>
      </c>
      <c r="AN1228" s="10">
        <v>5.5</v>
      </c>
      <c r="AO1228" s="9"/>
      <c r="AP1228" s="9"/>
      <c r="AQ1228" s="9"/>
      <c r="AR1228" s="9"/>
      <c r="AS1228" s="9"/>
      <c r="AT1228" s="9">
        <f>+ab($T$1228,$T$1226,$T$1230,$G$1227,$G$1229, 1*$F$1228,1200)</f>
        <v>8.3002133012442592</v>
      </c>
      <c r="AU1228" s="428"/>
      <c r="AV1228" s="428"/>
      <c r="AW1228" s="449" t="str">
        <f>IF(C1228&gt;0,VLOOKUP(C1228,Foundation_Calc!$A$2:$C$13,3,1),
IF(J1228&gt;0,VLOOKUP(J1228,Foundation_Calc!$A$2:$C$13,3,1),""))</f>
        <v>Multi Soil</v>
      </c>
      <c r="AX1228" s="449" t="str">
        <f>IF(C1228&gt;0,VLOOKUP(C1228,Foundation_Calc!$E$35:$G$65,3,1),
IF(J1228&gt;0,VLOOKUP(J1228,Foundation_Calc!$E$35:$G$65,3,1),""))</f>
        <v>K</v>
      </c>
      <c r="AY1228" s="10">
        <f>IF(L1228="","",
IF(AX1228="PT",VLOOKUP(L1228,Foundation_Calc!$K$79:$R$113,VLOOKUP(AW1228,Foundation_Calc!$I$2:$J$8,2,FALSE),0),
IF(AX1228="K",VLOOKUP(L1228,Foundation_Calc!$K$117:$R$151,VLOOKUP(AW1228,Foundation_Calc!$I$2:$J$8,2,FALSE),0),"")))</f>
        <v>4</v>
      </c>
      <c r="AZ1228" s="10" t="str">
        <f>IF(K1228="","",
IF(AX1228="PT",VLOOKUP(K1228,Foundation_Calc!$K$79:$R$113,VLOOKUP(AW1228,Foundation_Calc!$I$2:$J$8,2,FALSE),0),
IF(AX1228="K",VLOOKUP(K1228,Foundation_Calc!$K$117:$R$151,VLOOKUP(AW1228,Foundation_Calc!$I$2:$J$8,2,FALSE),0),"")))</f>
        <v/>
      </c>
      <c r="BA1228" s="495" t="str">
        <f t="shared" si="148"/>
        <v>ü</v>
      </c>
      <c r="BB1228" s="495" t="str">
        <f t="shared" si="149"/>
        <v/>
      </c>
      <c r="BC1228" s="495" t="str">
        <f t="shared" si="150"/>
        <v/>
      </c>
      <c r="BD1228" s="513" t="str">
        <f>IF(AND(L1228="",H1228=""),"",
IF(H1228="",Pole_Calc!A$9,
IF(H1228="MP",Pole_Calc!A$10,
IF(H1228="AnMP",Pole_Calc!A$11,
IF(H1228="A",Pole_Calc!A$12,
IF(H1228="S/A",Pole_Calc!A$13,
IF(H1228="A/S",Pole_Calc!A$14,"Poner a mano")))))))</f>
        <v>App.7-V11I-P9.5.1.1</v>
      </c>
      <c r="BE1228" s="429" t="s">
        <v>118</v>
      </c>
      <c r="BF1228" s="289"/>
      <c r="BG1228" s="289"/>
      <c r="BH1228" s="290"/>
      <c r="BI1228" s="289"/>
    </row>
    <row r="1229" spans="1:61" ht="15.75" customHeight="1">
      <c r="A1229" s="571"/>
      <c r="B1229" s="450"/>
      <c r="C1229" s="3"/>
      <c r="D1229" s="83"/>
      <c r="E1229" s="4"/>
      <c r="F1229" s="4"/>
      <c r="G1229" s="6">
        <v>62</v>
      </c>
      <c r="H1229" s="449"/>
      <c r="I1229" s="4"/>
      <c r="J1229" s="3"/>
      <c r="K1229" s="449"/>
      <c r="L1229" s="449"/>
      <c r="M1229" s="449" t="str">
        <f>IF(L1229="","",
IF(AX1229="PT",VLOOKUP(L1229,Foundation_Calc!$V$79:$X$113,VLOOKUP(AX1229,Foundation_Calc!$I$10:$J$13,2,FALSE),0),
IF(AX1229="K",VLOOKUP(L1229,Foundation_Calc!$V$117:$X$151,VLOOKUP(AX1229,Foundation_Calc!$I$10:$J$13,2,FALSE),0),"")))</f>
        <v/>
      </c>
      <c r="N1229" s="449"/>
      <c r="O1229" s="449"/>
      <c r="P1229" s="449"/>
      <c r="Q1229" s="4"/>
      <c r="R1229" s="6"/>
      <c r="S1229" s="6"/>
      <c r="T1229" s="4"/>
      <c r="U1229" s="4"/>
      <c r="V1229" s="4"/>
      <c r="W1229" s="9"/>
      <c r="X1229" s="9"/>
      <c r="Y1229" s="9"/>
      <c r="Z1229" s="9"/>
      <c r="AA1229" s="9"/>
      <c r="AB1229" s="9"/>
      <c r="AC1229" s="449" t="str">
        <f t="shared" si="147"/>
        <v/>
      </c>
      <c r="AD1229" s="449"/>
      <c r="AE1229" s="449"/>
      <c r="AF1229" s="4"/>
      <c r="AG1229" s="83"/>
      <c r="AH1229" s="4"/>
      <c r="AI1229" s="4"/>
      <c r="AJ1229" s="449"/>
      <c r="AK1229" s="449"/>
      <c r="AL1229" s="449"/>
      <c r="AM1229" s="449"/>
      <c r="AN1229" s="10"/>
      <c r="AO1229" s="9"/>
      <c r="AP1229" s="9"/>
      <c r="AQ1229" s="9">
        <f>+FL_2($T$1230,$T$1228,$G$1229,1200,9.28, 1*$F$1230)</f>
        <v>-0.45400350967741931</v>
      </c>
      <c r="AR1229" s="9"/>
      <c r="AS1229" s="9"/>
      <c r="AT1229" s="9"/>
      <c r="AU1229" s="428"/>
      <c r="AV1229" s="428"/>
      <c r="AW1229" s="449" t="str">
        <f>IF(C1229&gt;0,VLOOKUP(C1229,Foundation_Calc!$A$2:$C$13,3,1),
IF(J1229&gt;0,VLOOKUP(J1229,Foundation_Calc!$A$2:$C$13,3,1),""))</f>
        <v/>
      </c>
      <c r="AX1229" s="449" t="str">
        <f>IF(C1229&gt;0,VLOOKUP(C1229,Foundation_Calc!$E$35:$G$65,3,1),
IF(J1229&gt;0,VLOOKUP(J1229,Foundation_Calc!$E$35:$G$65,3,1),""))</f>
        <v/>
      </c>
      <c r="AY1229" s="10" t="str">
        <f>IF(L1229="","",
IF(AX1229="PT",VLOOKUP(L1229,Foundation_Calc!$K$79:$R$113,VLOOKUP(AW1229,Foundation_Calc!$I$2:$J$8,2,FALSE),0),
IF(AX1229="K",VLOOKUP(L1229,Foundation_Calc!$K$117:$R$151,VLOOKUP(AW1229,Foundation_Calc!$I$2:$J$8,2,FALSE),0),"")))</f>
        <v/>
      </c>
      <c r="AZ1229" s="10" t="str">
        <f>IF(K1229="","",
IF(AX1229="PT",VLOOKUP(K1229,Foundation_Calc!$K$79:$R$113,VLOOKUP(AW1229,Foundation_Calc!$I$2:$J$8,2,FALSE),0),
IF(AX1229="K",VLOOKUP(K1229,Foundation_Calc!$K$117:$R$151,VLOOKUP(AW1229,Foundation_Calc!$I$2:$J$8,2,FALSE),0),"")))</f>
        <v/>
      </c>
      <c r="BA1229" s="495" t="str">
        <f t="shared" si="148"/>
        <v/>
      </c>
      <c r="BB1229" s="495" t="str">
        <f t="shared" si="149"/>
        <v/>
      </c>
      <c r="BC1229" s="495" t="str">
        <f t="shared" si="150"/>
        <v/>
      </c>
      <c r="BD1229" s="513" t="str">
        <f>IF(AND(L1229="",H1229=""),"",
IF(H1229="",Pole_Calc!A$9,
IF(H1229="MP",Pole_Calc!A$10,
IF(H1229="AnMP",Pole_Calc!A$11,
IF(H1229="A",Pole_Calc!A$12,
IF(H1229="S/A",Pole_Calc!A$13,
IF(H1229="A/S",Pole_Calc!A$14,"Poner a mano")))))))</f>
        <v/>
      </c>
      <c r="BE1229" s="429" t="s">
        <v>118</v>
      </c>
      <c r="BF1229" s="290"/>
      <c r="BG1229" s="290"/>
      <c r="BH1229" s="290"/>
      <c r="BI1229" s="290"/>
    </row>
    <row r="1230" spans="1:61" ht="15.75" customHeight="1">
      <c r="A1230" s="514"/>
      <c r="B1230" s="450" t="s">
        <v>1581</v>
      </c>
      <c r="C1230" s="3">
        <f>+$C$1228+$G$1229</f>
        <v>59987.199999999997</v>
      </c>
      <c r="D1230" s="83"/>
      <c r="E1230" s="4"/>
      <c r="F1230" s="4">
        <v>0</v>
      </c>
      <c r="G1230" s="6"/>
      <c r="H1230" s="449"/>
      <c r="I1230" s="4"/>
      <c r="J1230" s="3"/>
      <c r="K1230" s="449"/>
      <c r="L1230" s="449" t="s">
        <v>153</v>
      </c>
      <c r="M1230" s="449" t="str">
        <f>IF(L1230="","",
IF(AX1230="PT",VLOOKUP(L1230,Foundation_Calc!$V$79:$X$113,VLOOKUP(AX1230,Foundation_Calc!$I$10:$J$13,2,FALSE),0),
IF(AX1230="K",VLOOKUP(L1230,Foundation_Calc!$V$117:$X$151,VLOOKUP(AX1230,Foundation_Calc!$I$10:$J$13,2,FALSE),0),"")))</f>
        <v>C3RT</v>
      </c>
      <c r="N1230" s="449" t="s">
        <v>124</v>
      </c>
      <c r="O1230" s="449"/>
      <c r="P1230" s="449"/>
      <c r="Q1230" s="4"/>
      <c r="R1230" s="6"/>
      <c r="S1230" s="6"/>
      <c r="T1230" s="4">
        <v>-35</v>
      </c>
      <c r="U1230" s="4"/>
      <c r="V1230" s="4"/>
      <c r="W1230" s="9">
        <v>1.4</v>
      </c>
      <c r="X1230" s="9"/>
      <c r="Y1230" s="9"/>
      <c r="Z1230" s="9"/>
      <c r="AA1230" s="9"/>
      <c r="AB1230" s="9"/>
      <c r="AC1230" s="449" t="str">
        <f t="shared" si="147"/>
        <v>PH</v>
      </c>
      <c r="AD1230" s="449"/>
      <c r="AE1230" s="449"/>
      <c r="AF1230" s="4"/>
      <c r="AG1230" s="83"/>
      <c r="AH1230" s="4"/>
      <c r="AI1230" s="4"/>
      <c r="AJ1230" s="449" t="s">
        <v>900</v>
      </c>
      <c r="AK1230" s="449"/>
      <c r="AL1230" s="449"/>
      <c r="AM1230" s="449" t="s">
        <v>126</v>
      </c>
      <c r="AN1230" s="10">
        <v>5.5</v>
      </c>
      <c r="AO1230" s="9"/>
      <c r="AP1230" s="9"/>
      <c r="AQ1230" s="9"/>
      <c r="AR1230" s="9"/>
      <c r="AS1230" s="9"/>
      <c r="AT1230" s="9">
        <f>+ab($T$1230,$T$1228,$T$1232,$G$1229,$G$1231, 1*$F$1230,1200)</f>
        <v>-8.4366201521118445</v>
      </c>
      <c r="AU1230" s="428"/>
      <c r="AV1230" s="428"/>
      <c r="AW1230" s="449" t="str">
        <f>IF(C1230&gt;0,VLOOKUP(C1230,Foundation_Calc!$A$2:$C$13,3,1),
IF(J1230&gt;0,VLOOKUP(J1230,Foundation_Calc!$A$2:$C$13,3,1),""))</f>
        <v>Multi Soil</v>
      </c>
      <c r="AX1230" s="449" t="str">
        <f>IF(C1230&gt;0,VLOOKUP(C1230,Foundation_Calc!$E$35:$G$65,3,1),
IF(J1230&gt;0,VLOOKUP(J1230,Foundation_Calc!$E$35:$G$65,3,1),""))</f>
        <v>K</v>
      </c>
      <c r="AY1230" s="10">
        <f>IF(L1230="","",
IF(AX1230="PT",VLOOKUP(L1230,Foundation_Calc!$K$79:$R$113,VLOOKUP(AW1230,Foundation_Calc!$I$2:$J$8,2,FALSE),0),
IF(AX1230="K",VLOOKUP(L1230,Foundation_Calc!$K$117:$R$151,VLOOKUP(AW1230,Foundation_Calc!$I$2:$J$8,2,FALSE),0),"")))</f>
        <v>4</v>
      </c>
      <c r="AZ1230" s="10" t="str">
        <f>IF(K1230="","",
IF(AX1230="PT",VLOOKUP(K1230,Foundation_Calc!$K$79:$R$113,VLOOKUP(AW1230,Foundation_Calc!$I$2:$J$8,2,FALSE),0),
IF(AX1230="K",VLOOKUP(K1230,Foundation_Calc!$K$117:$R$151,VLOOKUP(AW1230,Foundation_Calc!$I$2:$J$8,2,FALSE),0),"")))</f>
        <v/>
      </c>
      <c r="BA1230" s="495" t="str">
        <f t="shared" si="148"/>
        <v>ü</v>
      </c>
      <c r="BB1230" s="495" t="str">
        <f t="shared" si="149"/>
        <v/>
      </c>
      <c r="BC1230" s="495" t="str">
        <f t="shared" si="150"/>
        <v/>
      </c>
      <c r="BD1230" s="513" t="str">
        <f>IF(AND(L1230="",H1230=""),"",
IF(H1230="",Pole_Calc!A$9,
IF(H1230="MP",Pole_Calc!A$10,
IF(H1230="AnMP",Pole_Calc!A$11,
IF(H1230="A",Pole_Calc!A$12,
IF(H1230="S/A",Pole_Calc!A$13,
IF(H1230="A/S",Pole_Calc!A$14,"Poner a mano")))))))</f>
        <v>App.7-V11I-P9.5.1.1</v>
      </c>
      <c r="BE1230" s="429" t="s">
        <v>118</v>
      </c>
      <c r="BF1230" s="289"/>
      <c r="BG1230" s="289"/>
      <c r="BH1230" s="290"/>
      <c r="BI1230" s="289"/>
    </row>
    <row r="1231" spans="1:61" ht="15.75" customHeight="1">
      <c r="A1231" s="514"/>
      <c r="B1231" s="450"/>
      <c r="C1231" s="3"/>
      <c r="D1231" s="83"/>
      <c r="E1231" s="4"/>
      <c r="F1231" s="4"/>
      <c r="G1231" s="6">
        <v>62</v>
      </c>
      <c r="H1231" s="449"/>
      <c r="I1231" s="449"/>
      <c r="J1231" s="3"/>
      <c r="K1231" s="449"/>
      <c r="L1231" s="449"/>
      <c r="M1231" s="449" t="str">
        <f>IF(L1231="","",
IF(AX1231="PT",VLOOKUP(L1231,Foundation_Calc!$V$79:$X$113,VLOOKUP(AX1231,Foundation_Calc!$I$10:$J$13,2,FALSE),0),
IF(AX1231="K",VLOOKUP(L1231,Foundation_Calc!$V$117:$X$151,VLOOKUP(AX1231,Foundation_Calc!$I$10:$J$13,2,FALSE),0),"")))</f>
        <v/>
      </c>
      <c r="N1231" s="449"/>
      <c r="O1231" s="449"/>
      <c r="P1231" s="449"/>
      <c r="Q1231" s="4"/>
      <c r="R1231" s="6"/>
      <c r="S1231" s="6"/>
      <c r="T1231" s="4"/>
      <c r="U1231" s="4"/>
      <c r="V1231" s="4"/>
      <c r="W1231" s="9"/>
      <c r="X1231" s="9"/>
      <c r="Y1231" s="9"/>
      <c r="Z1231" s="9"/>
      <c r="AA1231" s="9"/>
      <c r="AB1231" s="9"/>
      <c r="AC1231" s="449" t="str">
        <f t="shared" si="147"/>
        <v/>
      </c>
      <c r="AD1231" s="449"/>
      <c r="AE1231" s="449"/>
      <c r="AF1231" s="4"/>
      <c r="AG1231" s="83"/>
      <c r="AH1231" s="4"/>
      <c r="AI1231" s="4"/>
      <c r="AJ1231" s="449"/>
      <c r="AK1231" s="449"/>
      <c r="AL1231" s="449"/>
      <c r="AM1231" s="449"/>
      <c r="AN1231" s="10"/>
      <c r="AO1231" s="9"/>
      <c r="AP1231" s="9"/>
      <c r="AQ1231" s="9">
        <f>+FL_1($T$1232,$T$1230,$G$1231,1200,9.28, 1*$F$1232)</f>
        <v>0.45400350967741931</v>
      </c>
      <c r="AR1231" s="9"/>
      <c r="AS1231" s="9"/>
      <c r="AT1231" s="9"/>
      <c r="AU1231" s="428"/>
      <c r="AV1231" s="428"/>
      <c r="AW1231" s="449" t="str">
        <f>IF(C1231&gt;0,VLOOKUP(C1231,Foundation_Calc!$A$2:$C$13,3,1),
IF(J1231&gt;0,VLOOKUP(J1231,Foundation_Calc!$A$2:$C$13,3,1),""))</f>
        <v/>
      </c>
      <c r="AX1231" s="449" t="str">
        <f>IF(C1231&gt;0,VLOOKUP(C1231,Foundation_Calc!$E$35:$G$65,3,1),
IF(J1231&gt;0,VLOOKUP(J1231,Foundation_Calc!$E$35:$G$65,3,1),""))</f>
        <v/>
      </c>
      <c r="AY1231" s="10" t="str">
        <f>IF(L1231="","",
IF(AX1231="PT",VLOOKUP(L1231,Foundation_Calc!$K$79:$R$113,VLOOKUP(AW1231,Foundation_Calc!$I$2:$J$8,2,FALSE),0),
IF(AX1231="K",VLOOKUP(L1231,Foundation_Calc!$K$117:$R$151,VLOOKUP(AW1231,Foundation_Calc!$I$2:$J$8,2,FALSE),0),"")))</f>
        <v/>
      </c>
      <c r="AZ1231" s="10" t="str">
        <f>IF(K1231="","",
IF(AX1231="PT",VLOOKUP(K1231,Foundation_Calc!$K$79:$R$113,VLOOKUP(AW1231,Foundation_Calc!$I$2:$J$8,2,FALSE),0),
IF(AX1231="K",VLOOKUP(K1231,Foundation_Calc!$K$117:$R$151,VLOOKUP(AW1231,Foundation_Calc!$I$2:$J$8,2,FALSE),0),"")))</f>
        <v/>
      </c>
      <c r="BA1231" s="495" t="str">
        <f t="shared" si="148"/>
        <v/>
      </c>
      <c r="BB1231" s="495" t="str">
        <f t="shared" si="149"/>
        <v/>
      </c>
      <c r="BC1231" s="495" t="str">
        <f t="shared" si="150"/>
        <v/>
      </c>
      <c r="BD1231" s="513" t="str">
        <f>IF(AND(L1231="",H1231=""),"",
IF(H1231="",Pole_Calc!A$9,
IF(H1231="MP",Pole_Calc!A$10,
IF(H1231="AnMP",Pole_Calc!A$11,
IF(H1231="A",Pole_Calc!A$12,
IF(H1231="S/A",Pole_Calc!A$13,
IF(H1231="A/S",Pole_Calc!A$14,"Poner a mano")))))))</f>
        <v/>
      </c>
      <c r="BE1231" s="429" t="s">
        <v>118</v>
      </c>
      <c r="BF1231" s="290"/>
      <c r="BG1231" s="290"/>
      <c r="BH1231" s="290"/>
      <c r="BI1231" s="290"/>
    </row>
    <row r="1232" spans="1:61" ht="15.75" customHeight="1">
      <c r="A1232" s="514"/>
      <c r="B1232" s="450" t="s">
        <v>1582</v>
      </c>
      <c r="C1232" s="3">
        <f>+$C$1230+$G$1231</f>
        <v>60049.2</v>
      </c>
      <c r="D1232" s="83"/>
      <c r="E1232" s="4"/>
      <c r="F1232" s="4">
        <v>0</v>
      </c>
      <c r="G1232" s="6"/>
      <c r="H1232" s="449"/>
      <c r="I1232" s="4"/>
      <c r="J1232" s="3"/>
      <c r="K1232" s="449"/>
      <c r="L1232" s="449" t="s">
        <v>153</v>
      </c>
      <c r="M1232" s="449" t="str">
        <f>IF(L1232="","",
IF(AX1232="PT",VLOOKUP(L1232,Foundation_Calc!$V$79:$X$113,VLOOKUP(AX1232,Foundation_Calc!$I$10:$J$13,2,FALSE),0),
IF(AX1232="K",VLOOKUP(L1232,Foundation_Calc!$V$117:$X$151,VLOOKUP(AX1232,Foundation_Calc!$I$10:$J$13,2,FALSE),0),"")))</f>
        <v>C3RT</v>
      </c>
      <c r="N1232" s="449" t="s">
        <v>134</v>
      </c>
      <c r="O1232" s="449"/>
      <c r="P1232" s="449"/>
      <c r="Q1232" s="4"/>
      <c r="R1232" s="6"/>
      <c r="S1232" s="6"/>
      <c r="T1232" s="4">
        <v>35</v>
      </c>
      <c r="U1232" s="4"/>
      <c r="V1232" s="4"/>
      <c r="W1232" s="9">
        <v>1.4</v>
      </c>
      <c r="X1232" s="9"/>
      <c r="Y1232" s="9"/>
      <c r="Z1232" s="9"/>
      <c r="AA1232" s="9"/>
      <c r="AB1232" s="9"/>
      <c r="AC1232" s="449" t="str">
        <f t="shared" si="147"/>
        <v>PH</v>
      </c>
      <c r="AD1232" s="449"/>
      <c r="AE1232" s="449"/>
      <c r="AF1232" s="4"/>
      <c r="AG1232" s="83"/>
      <c r="AH1232" s="4"/>
      <c r="AI1232" s="4"/>
      <c r="AJ1232" s="449" t="s">
        <v>900</v>
      </c>
      <c r="AK1232" s="449"/>
      <c r="AL1232" s="449"/>
      <c r="AM1232" s="449" t="s">
        <v>126</v>
      </c>
      <c r="AN1232" s="10">
        <v>5.5</v>
      </c>
      <c r="AO1232" s="9"/>
      <c r="AP1232" s="9"/>
      <c r="AQ1232" s="9"/>
      <c r="AR1232" s="9"/>
      <c r="AS1232" s="9"/>
      <c r="AT1232" s="9">
        <f>+ab($T$1232,$T$1230,$T$1234,$G$1231,$G$1233, 1*$F$1232,1200)</f>
        <v>8.3002133012442592</v>
      </c>
      <c r="AU1232" s="428"/>
      <c r="AV1232" s="428"/>
      <c r="AW1232" s="449" t="str">
        <f>IF(C1232&gt;0,VLOOKUP(C1232,Foundation_Calc!$A$2:$C$13,3,1),
IF(J1232&gt;0,VLOOKUP(J1232,Foundation_Calc!$A$2:$C$13,3,1),""))</f>
        <v>Multi Soil</v>
      </c>
      <c r="AX1232" s="449" t="str">
        <f>IF(C1232&gt;0,VLOOKUP(C1232,Foundation_Calc!$E$35:$G$65,3,1),
IF(J1232&gt;0,VLOOKUP(J1232,Foundation_Calc!$E$35:$G$65,3,1),""))</f>
        <v>K</v>
      </c>
      <c r="AY1232" s="10">
        <f>IF(L1232="","",
IF(AX1232="PT",VLOOKUP(L1232,Foundation_Calc!$K$79:$R$113,VLOOKUP(AW1232,Foundation_Calc!$I$2:$J$8,2,FALSE),0),
IF(AX1232="K",VLOOKUP(L1232,Foundation_Calc!$K$117:$R$151,VLOOKUP(AW1232,Foundation_Calc!$I$2:$J$8,2,FALSE),0),"")))</f>
        <v>4</v>
      </c>
      <c r="AZ1232" s="10" t="str">
        <f>IF(K1232="","",
IF(AX1232="PT",VLOOKUP(K1232,Foundation_Calc!$K$79:$R$113,VLOOKUP(AW1232,Foundation_Calc!$I$2:$J$8,2,FALSE),0),
IF(AX1232="K",VLOOKUP(K1232,Foundation_Calc!$K$117:$R$151,VLOOKUP(AW1232,Foundation_Calc!$I$2:$J$8,2,FALSE),0),"")))</f>
        <v/>
      </c>
      <c r="BA1232" s="495" t="str">
        <f t="shared" si="148"/>
        <v>ü</v>
      </c>
      <c r="BB1232" s="495" t="str">
        <f t="shared" si="149"/>
        <v/>
      </c>
      <c r="BC1232" s="495" t="str">
        <f t="shared" si="150"/>
        <v/>
      </c>
      <c r="BD1232" s="513" t="str">
        <f>IF(AND(L1232="",H1232=""),"",
IF(H1232="",Pole_Calc!A$9,
IF(H1232="MP",Pole_Calc!A$10,
IF(H1232="AnMP",Pole_Calc!A$11,
IF(H1232="A",Pole_Calc!A$12,
IF(H1232="S/A",Pole_Calc!A$13,
IF(H1232="A/S",Pole_Calc!A$14,"Poner a mano")))))))</f>
        <v>App.7-V11I-P9.5.1.1</v>
      </c>
      <c r="BE1232" s="429" t="s">
        <v>118</v>
      </c>
      <c r="BF1232" s="289"/>
      <c r="BG1232" s="289"/>
      <c r="BH1232" s="290"/>
      <c r="BI1232" s="289"/>
    </row>
    <row r="1233" spans="1:61" ht="15.75" customHeight="1">
      <c r="A1233" s="514" t="s">
        <v>169</v>
      </c>
      <c r="B1233" s="450"/>
      <c r="C1233" s="3"/>
      <c r="D1233" s="83"/>
      <c r="E1233" s="4"/>
      <c r="F1233" s="4"/>
      <c r="G1233" s="6">
        <v>60</v>
      </c>
      <c r="H1233" s="449"/>
      <c r="I1233" s="4"/>
      <c r="J1233" s="3"/>
      <c r="K1233" s="449"/>
      <c r="L1233" s="449"/>
      <c r="M1233" s="449" t="str">
        <f>IF(L1233="","",
IF(AX1233="PT",VLOOKUP(L1233,Foundation_Calc!$V$79:$X$113,VLOOKUP(AX1233,Foundation_Calc!$I$10:$J$13,2,FALSE),0),
IF(AX1233="K",VLOOKUP(L1233,Foundation_Calc!$V$117:$X$151,VLOOKUP(AX1233,Foundation_Calc!$I$10:$J$13,2,FALSE),0),"")))</f>
        <v/>
      </c>
      <c r="N1233" s="449"/>
      <c r="O1233" s="449"/>
      <c r="P1233" s="449"/>
      <c r="Q1233" s="4"/>
      <c r="R1233" s="6"/>
      <c r="S1233" s="6"/>
      <c r="T1233" s="4"/>
      <c r="U1233" s="4"/>
      <c r="V1233" s="4"/>
      <c r="W1233" s="9"/>
      <c r="X1233" s="9"/>
      <c r="Y1233" s="9"/>
      <c r="Z1233" s="9"/>
      <c r="AA1233" s="9"/>
      <c r="AB1233" s="9"/>
      <c r="AC1233" s="449" t="str">
        <f t="shared" si="147"/>
        <v/>
      </c>
      <c r="AD1233" s="449"/>
      <c r="AE1233" s="449"/>
      <c r="AF1233" s="4"/>
      <c r="AG1233" s="83"/>
      <c r="AH1233" s="4"/>
      <c r="AI1233" s="4"/>
      <c r="AJ1233" s="449"/>
      <c r="AK1233" s="449"/>
      <c r="AL1233" s="449"/>
      <c r="AM1233" s="449"/>
      <c r="AN1233" s="10"/>
      <c r="AO1233" s="9"/>
      <c r="AP1233" s="9"/>
      <c r="AQ1233" s="9">
        <f>+FL_2($T$1234,$T$1232,$G$1233,1200,9.28, 1*$F$1234)</f>
        <v>-0.43600286799999999</v>
      </c>
      <c r="AR1233" s="9"/>
      <c r="AS1233" s="9"/>
      <c r="AT1233" s="9"/>
      <c r="AU1233" s="428"/>
      <c r="AV1233" s="428"/>
      <c r="AW1233" s="449" t="str">
        <f>IF(C1233&gt;0,VLOOKUP(C1233,Foundation_Calc!$A$2:$C$13,3,1),
IF(J1233&gt;0,VLOOKUP(J1233,Foundation_Calc!$A$2:$C$13,3,1),""))</f>
        <v/>
      </c>
      <c r="AX1233" s="449" t="str">
        <f>IF(C1233&gt;0,VLOOKUP(C1233,Foundation_Calc!$E$35:$G$65,3,1),
IF(J1233&gt;0,VLOOKUP(J1233,Foundation_Calc!$E$35:$G$65,3,1),""))</f>
        <v/>
      </c>
      <c r="AY1233" s="10" t="str">
        <f>IF(L1233="","",
IF(AX1233="PT",VLOOKUP(L1233,Foundation_Calc!$K$79:$R$113,VLOOKUP(AW1233,Foundation_Calc!$I$2:$J$8,2,FALSE),0),
IF(AX1233="K",VLOOKUP(L1233,Foundation_Calc!$K$117:$R$151,VLOOKUP(AW1233,Foundation_Calc!$I$2:$J$8,2,FALSE),0),"")))</f>
        <v/>
      </c>
      <c r="AZ1233" s="10" t="str">
        <f>IF(K1233="","",
IF(AX1233="PT",VLOOKUP(K1233,Foundation_Calc!$K$79:$R$113,VLOOKUP(AW1233,Foundation_Calc!$I$2:$J$8,2,FALSE),0),
IF(AX1233="K",VLOOKUP(K1233,Foundation_Calc!$K$117:$R$151,VLOOKUP(AW1233,Foundation_Calc!$I$2:$J$8,2,FALSE),0),"")))</f>
        <v/>
      </c>
      <c r="BA1233" s="495" t="str">
        <f t="shared" si="148"/>
        <v/>
      </c>
      <c r="BB1233" s="495" t="str">
        <f t="shared" si="149"/>
        <v/>
      </c>
      <c r="BC1233" s="495" t="str">
        <f t="shared" si="150"/>
        <v/>
      </c>
      <c r="BD1233" s="513" t="str">
        <f>IF(AND(L1233="",H1233=""),"",
IF(H1233="",Pole_Calc!A$9,
IF(H1233="MP",Pole_Calc!A$10,
IF(H1233="AnMP",Pole_Calc!A$11,
IF(H1233="A",Pole_Calc!A$12,
IF(H1233="S/A",Pole_Calc!A$13,
IF(H1233="A/S",Pole_Calc!A$14,"Poner a mano")))))))</f>
        <v/>
      </c>
      <c r="BE1233" s="429" t="s">
        <v>118</v>
      </c>
      <c r="BF1233" s="290"/>
      <c r="BG1233" s="290"/>
      <c r="BH1233" s="290"/>
      <c r="BI1233" s="290"/>
    </row>
    <row r="1234" spans="1:61" ht="15.75" customHeight="1">
      <c r="A1234" s="571"/>
      <c r="B1234" s="450" t="s">
        <v>1583</v>
      </c>
      <c r="C1234" s="3">
        <f>+$C$1232+$G$1233</f>
        <v>60109.2</v>
      </c>
      <c r="D1234" s="83"/>
      <c r="E1234" s="4"/>
      <c r="F1234" s="4">
        <v>0</v>
      </c>
      <c r="G1234" s="6"/>
      <c r="H1234" s="449"/>
      <c r="I1234" s="4"/>
      <c r="J1234" s="3"/>
      <c r="K1234" s="449"/>
      <c r="L1234" s="449" t="s">
        <v>153</v>
      </c>
      <c r="M1234" s="449" t="str">
        <f>IF(L1234="","",
IF(AX1234="PT",VLOOKUP(L1234,Foundation_Calc!$V$79:$X$113,VLOOKUP(AX1234,Foundation_Calc!$I$10:$J$13,2,FALSE),0),
IF(AX1234="K",VLOOKUP(L1234,Foundation_Calc!$V$117:$X$151,VLOOKUP(AX1234,Foundation_Calc!$I$10:$J$13,2,FALSE),0),"")))</f>
        <v>C3RT</v>
      </c>
      <c r="N1234" s="449" t="s">
        <v>124</v>
      </c>
      <c r="O1234" s="449"/>
      <c r="P1234" s="449"/>
      <c r="Q1234" s="4"/>
      <c r="R1234" s="6"/>
      <c r="S1234" s="6"/>
      <c r="T1234" s="4">
        <v>-35</v>
      </c>
      <c r="U1234" s="4"/>
      <c r="V1234" s="4"/>
      <c r="W1234" s="9">
        <v>1.4</v>
      </c>
      <c r="X1234" s="9"/>
      <c r="Y1234" s="9"/>
      <c r="Z1234" s="9"/>
      <c r="AA1234" s="9"/>
      <c r="AB1234" s="9"/>
      <c r="AC1234" s="449" t="str">
        <f t="shared" si="147"/>
        <v>PH</v>
      </c>
      <c r="AD1234" s="449"/>
      <c r="AE1234" s="449"/>
      <c r="AF1234" s="4"/>
      <c r="AG1234" s="83"/>
      <c r="AH1234" s="4"/>
      <c r="AI1234" s="4"/>
      <c r="AJ1234" s="449" t="s">
        <v>900</v>
      </c>
      <c r="AK1234" s="449"/>
      <c r="AL1234" s="449"/>
      <c r="AM1234" s="449" t="s">
        <v>126</v>
      </c>
      <c r="AN1234" s="10">
        <v>5.5</v>
      </c>
      <c r="AO1234" s="9"/>
      <c r="AP1234" s="9"/>
      <c r="AQ1234" s="9"/>
      <c r="AR1234" s="9"/>
      <c r="AS1234" s="9"/>
      <c r="AT1234" s="9">
        <f>+ab($T$1234,$T$1232,$T$1236,$G$1233,$G$1235, 1*$F$1234,1200)</f>
        <v>-8.2807308375941346</v>
      </c>
      <c r="AU1234" s="428"/>
      <c r="AV1234" s="428"/>
      <c r="AW1234" s="449" t="str">
        <f>IF(C1234&gt;0,VLOOKUP(C1234,Foundation_Calc!$A$2:$C$13,3,1),
IF(J1234&gt;0,VLOOKUP(J1234,Foundation_Calc!$A$2:$C$13,3,1),""))</f>
        <v>Multi Soil</v>
      </c>
      <c r="AX1234" s="449" t="str">
        <f>IF(C1234&gt;0,VLOOKUP(C1234,Foundation_Calc!$E$35:$G$65,3,1),
IF(J1234&gt;0,VLOOKUP(J1234,Foundation_Calc!$E$35:$G$65,3,1),""))</f>
        <v>K</v>
      </c>
      <c r="AY1234" s="10">
        <f>IF(L1234="","",
IF(AX1234="PT",VLOOKUP(L1234,Foundation_Calc!$K$79:$R$113,VLOOKUP(AW1234,Foundation_Calc!$I$2:$J$8,2,FALSE),0),
IF(AX1234="K",VLOOKUP(L1234,Foundation_Calc!$K$117:$R$151,VLOOKUP(AW1234,Foundation_Calc!$I$2:$J$8,2,FALSE),0),"")))</f>
        <v>4</v>
      </c>
      <c r="AZ1234" s="10" t="str">
        <f>IF(K1234="","",
IF(AX1234="PT",VLOOKUP(K1234,Foundation_Calc!$K$79:$R$113,VLOOKUP(AW1234,Foundation_Calc!$I$2:$J$8,2,FALSE),0),
IF(AX1234="K",VLOOKUP(K1234,Foundation_Calc!$K$117:$R$151,VLOOKUP(AW1234,Foundation_Calc!$I$2:$J$8,2,FALSE),0),"")))</f>
        <v/>
      </c>
      <c r="BA1234" s="495" t="str">
        <f t="shared" si="148"/>
        <v>ü</v>
      </c>
      <c r="BB1234" s="495" t="str">
        <f t="shared" si="149"/>
        <v/>
      </c>
      <c r="BC1234" s="495" t="str">
        <f t="shared" si="150"/>
        <v/>
      </c>
      <c r="BD1234" s="513" t="str">
        <f>IF(AND(L1234="",H1234=""),"",
IF(H1234="",Pole_Calc!A$9,
IF(H1234="MP",Pole_Calc!A$10,
IF(H1234="AnMP",Pole_Calc!A$11,
IF(H1234="A",Pole_Calc!A$12,
IF(H1234="S/A",Pole_Calc!A$13,
IF(H1234="A/S",Pole_Calc!A$14,"Poner a mano")))))))</f>
        <v>App.7-V11I-P9.5.1.1</v>
      </c>
      <c r="BE1234" s="429" t="s">
        <v>118</v>
      </c>
      <c r="BF1234" s="289"/>
      <c r="BG1234" s="289"/>
      <c r="BH1234" s="290"/>
      <c r="BI1234" s="289"/>
    </row>
    <row r="1235" spans="1:61" ht="15.75" customHeight="1">
      <c r="A1235" s="571"/>
      <c r="B1235" s="450"/>
      <c r="C1235" s="3"/>
      <c r="D1235" s="83"/>
      <c r="E1235" s="4"/>
      <c r="F1235" s="4"/>
      <c r="G1235" s="6">
        <v>61.7</v>
      </c>
      <c r="H1235" s="449"/>
      <c r="I1235" s="4"/>
      <c r="J1235" s="3">
        <f>C1236-7.5</f>
        <v>60163.399999999994</v>
      </c>
      <c r="K1235" s="449" t="s">
        <v>324</v>
      </c>
      <c r="L1235" s="449"/>
      <c r="M1235" s="449" t="str">
        <f>IF(L1235="","",
IF(AX1235="PT",VLOOKUP(L1235,Foundation_Calc!$V$79:$X$113,VLOOKUP(AX1235,Foundation_Calc!$I$10:$J$13,2,FALSE),0),
IF(AX1235="K",VLOOKUP(L1235,Foundation_Calc!$V$117:$X$151,VLOOKUP(AX1235,Foundation_Calc!$I$10:$J$13,2,FALSE),0),"")))</f>
        <v/>
      </c>
      <c r="N1235" s="449"/>
      <c r="O1235" s="449"/>
      <c r="P1235" s="449"/>
      <c r="Q1235" s="4"/>
      <c r="R1235" s="6"/>
      <c r="S1235" s="6"/>
      <c r="T1235" s="4"/>
      <c r="U1235" s="4"/>
      <c r="V1235" s="4"/>
      <c r="W1235" s="9"/>
      <c r="X1235" s="9"/>
      <c r="Y1235" s="9"/>
      <c r="Z1235" s="9"/>
      <c r="AA1235" s="9"/>
      <c r="AB1235" s="9"/>
      <c r="AC1235" s="449" t="str">
        <f t="shared" si="147"/>
        <v/>
      </c>
      <c r="AD1235" s="449"/>
      <c r="AE1235" s="449"/>
      <c r="AF1235" s="4"/>
      <c r="AG1235" s="83"/>
      <c r="AH1235" s="4"/>
      <c r="AI1235" s="4"/>
      <c r="AJ1235" s="449"/>
      <c r="AK1235" s="449"/>
      <c r="AL1235" s="449"/>
      <c r="AM1235" s="449"/>
      <c r="AN1235" s="10"/>
      <c r="AO1235" s="9"/>
      <c r="AP1235" s="9"/>
      <c r="AQ1235" s="9">
        <f>+FL_1($T$1236,$T$1234,$G$1235,1200,9.28, 1*$F$1236)</f>
        <v>0.45121961847217718</v>
      </c>
      <c r="AR1235" s="9"/>
      <c r="AS1235" s="9"/>
      <c r="AT1235" s="9"/>
      <c r="AU1235" s="428"/>
      <c r="AV1235" s="428"/>
      <c r="AW1235" s="449" t="str">
        <f>IF(C1235&gt;0,VLOOKUP(C1235,Foundation_Calc!$A$2:$C$13,3,1),
IF(J1235&gt;0,VLOOKUP(J1235,Foundation_Calc!$A$2:$C$13,3,1),""))</f>
        <v>Multi Soil</v>
      </c>
      <c r="AX1235" s="449" t="str">
        <f>IF(C1235&gt;0,VLOOKUP(C1235,Foundation_Calc!$E$35:$G$65,3,1),
IF(J1235&gt;0,VLOOKUP(J1235,Foundation_Calc!$E$35:$G$65,3,1),""))</f>
        <v>K</v>
      </c>
      <c r="AY1235" s="10" t="str">
        <f>IF(L1235="","",
IF(AX1235="PT",VLOOKUP(L1235,Foundation_Calc!$K$79:$R$113,VLOOKUP(AW1235,Foundation_Calc!$I$2:$J$8,2,FALSE),0),
IF(AX1235="K",VLOOKUP(L1235,Foundation_Calc!$K$117:$R$151,VLOOKUP(AW1235,Foundation_Calc!$I$2:$J$8,2,FALSE),0),"")))</f>
        <v/>
      </c>
      <c r="AZ1235" s="10">
        <f>IF(K1235="","",
IF(AX1235="PT",VLOOKUP(K1235,Foundation_Calc!$K$79:$R$113,VLOOKUP(AW1235,Foundation_Calc!$I$2:$J$8,2,FALSE),0),
IF(AX1235="K",VLOOKUP(K1235,Foundation_Calc!$K$117:$R$151,VLOOKUP(AW1235,Foundation_Calc!$I$2:$J$8,2,FALSE),0),"")))</f>
        <v>2.8</v>
      </c>
      <c r="BA1235" s="495" t="str">
        <f t="shared" si="148"/>
        <v/>
      </c>
      <c r="BB1235" s="495" t="str">
        <f t="shared" si="149"/>
        <v>ü</v>
      </c>
      <c r="BC1235" s="495" t="str">
        <f t="shared" si="150"/>
        <v/>
      </c>
      <c r="BD1235" s="513" t="str">
        <f>IF(AND(L1235="",H1235=""),"",
IF(H1235="",Pole_Calc!A$9,
IF(H1235="MP",Pole_Calc!A$10,
IF(H1235="AnMP",Pole_Calc!A$11,
IF(H1235="A",Pole_Calc!A$12,
IF(H1235="S/A",Pole_Calc!A$13,
IF(H1235="A/S",Pole_Calc!A$14,"Poner a mano")))))))</f>
        <v/>
      </c>
      <c r="BE1235" s="429" t="s">
        <v>118</v>
      </c>
      <c r="BF1235" s="290"/>
      <c r="BG1235" s="290"/>
      <c r="BH1235" s="290"/>
      <c r="BI1235" s="290"/>
    </row>
    <row r="1236" spans="1:61" ht="15.75" customHeight="1">
      <c r="A1236" s="514"/>
      <c r="B1236" s="450" t="s">
        <v>1584</v>
      </c>
      <c r="C1236" s="3">
        <f>+$C$1234+$G$1235</f>
        <v>60170.899999999994</v>
      </c>
      <c r="D1236" s="83"/>
      <c r="E1236" s="4"/>
      <c r="F1236" s="4">
        <v>0</v>
      </c>
      <c r="G1236" s="6"/>
      <c r="H1236" s="449" t="s">
        <v>168</v>
      </c>
      <c r="I1236" s="449"/>
      <c r="J1236" s="3"/>
      <c r="K1236" s="449"/>
      <c r="L1236" s="449" t="s">
        <v>158</v>
      </c>
      <c r="M1236" s="449" t="str">
        <f>IF(L1236="","",
IF(AX1236="PT",VLOOKUP(L1236,Foundation_Calc!$V$79:$X$113,VLOOKUP(AX1236,Foundation_Calc!$I$10:$J$13,2,FALSE),0),
IF(AX1236="K",VLOOKUP(L1236,Foundation_Calc!$V$117:$X$151,VLOOKUP(AX1236,Foundation_Calc!$I$10:$J$13,2,FALSE),0),"")))</f>
        <v>C4RT</v>
      </c>
      <c r="N1236" s="449" t="s">
        <v>134</v>
      </c>
      <c r="O1236" s="449"/>
      <c r="P1236" s="449"/>
      <c r="Q1236" s="4"/>
      <c r="R1236" s="6"/>
      <c r="S1236" s="6"/>
      <c r="T1236" s="4">
        <v>35</v>
      </c>
      <c r="U1236" s="4"/>
      <c r="V1236" s="4"/>
      <c r="W1236" s="9">
        <v>1.4</v>
      </c>
      <c r="X1236" s="9"/>
      <c r="Y1236" s="9"/>
      <c r="Z1236" s="9"/>
      <c r="AA1236" s="9"/>
      <c r="AB1236" s="9"/>
      <c r="AC1236" s="449" t="str">
        <f t="shared" si="147"/>
        <v>PH</v>
      </c>
      <c r="AD1236" s="449"/>
      <c r="AE1236" s="449"/>
      <c r="AF1236" s="4"/>
      <c r="AG1236" s="83"/>
      <c r="AH1236" s="4"/>
      <c r="AI1236" s="4"/>
      <c r="AJ1236" s="449" t="s">
        <v>900</v>
      </c>
      <c r="AK1236" s="449"/>
      <c r="AL1236" s="449"/>
      <c r="AM1236" s="449" t="s">
        <v>126</v>
      </c>
      <c r="AN1236" s="10">
        <v>5.5</v>
      </c>
      <c r="AO1236" s="9"/>
      <c r="AP1236" s="9"/>
      <c r="AQ1236" s="9"/>
      <c r="AR1236" s="9"/>
      <c r="AS1236" s="9"/>
      <c r="AT1236" s="9">
        <f>+ab($T$1236,$T$1234,$T$1238,$G$1235,$G$1237, 1*$F$1236,1200)</f>
        <v>8.4164074433726377</v>
      </c>
      <c r="AU1236" s="428"/>
      <c r="AV1236" s="428"/>
      <c r="AW1236" s="449" t="str">
        <f>IF(C1236&gt;0,VLOOKUP(C1236,Foundation_Calc!$A$2:$C$13,3,1),
IF(J1236&gt;0,VLOOKUP(J1236,Foundation_Calc!$A$2:$C$13,3,1),""))</f>
        <v>Multi Soil</v>
      </c>
      <c r="AX1236" s="449" t="str">
        <f>IF(C1236&gt;0,VLOOKUP(C1236,Foundation_Calc!$E$35:$G$65,3,1),
IF(J1236&gt;0,VLOOKUP(J1236,Foundation_Calc!$E$35:$G$65,3,1),""))</f>
        <v>K</v>
      </c>
      <c r="AY1236" s="10">
        <f>IF(L1236="","",
IF(AX1236="PT",VLOOKUP(L1236,Foundation_Calc!$K$79:$R$113,VLOOKUP(AW1236,Foundation_Calc!$I$2:$J$8,2,FALSE),0),
IF(AX1236="K",VLOOKUP(L1236,Foundation_Calc!$K$117:$R$151,VLOOKUP(AW1236,Foundation_Calc!$I$2:$J$8,2,FALSE),0),"")))</f>
        <v>4.2</v>
      </c>
      <c r="AZ1236" s="10" t="str">
        <f>IF(K1236="","",
IF(AX1236="PT",VLOOKUP(K1236,Foundation_Calc!$K$79:$R$113,VLOOKUP(AW1236,Foundation_Calc!$I$2:$J$8,2,FALSE),0),
IF(AX1236="K",VLOOKUP(K1236,Foundation_Calc!$K$117:$R$151,VLOOKUP(AW1236,Foundation_Calc!$I$2:$J$8,2,FALSE),0),"")))</f>
        <v/>
      </c>
      <c r="BA1236" s="495" t="str">
        <f t="shared" si="148"/>
        <v>ü</v>
      </c>
      <c r="BB1236" s="495" t="str">
        <f t="shared" si="149"/>
        <v/>
      </c>
      <c r="BC1236" s="495" t="str">
        <f t="shared" si="150"/>
        <v/>
      </c>
      <c r="BD1236" s="513" t="str">
        <f>IF(AND(L1236="",H1236=""),"",
IF(H1236="",Pole_Calc!A$9,
IF(H1236="MP",Pole_Calc!A$10,
IF(H1236="AnMP",Pole_Calc!A$11,
IF(H1236="A",Pole_Calc!A$12,
IF(H1236="S/A",Pole_Calc!A$13,
IF(H1236="A/S",Pole_Calc!A$14,"Poner a mano")))))))</f>
        <v>App.7-V11I-P9.5.1.3</v>
      </c>
      <c r="BE1236" s="429" t="s">
        <v>118</v>
      </c>
      <c r="BF1236" s="289"/>
      <c r="BG1236" s="289"/>
      <c r="BH1236" s="290"/>
      <c r="BI1236" s="289"/>
    </row>
    <row r="1237" spans="1:61" ht="15.75" customHeight="1">
      <c r="A1237" s="571"/>
      <c r="B1237" s="450"/>
      <c r="C1237" s="3"/>
      <c r="D1237" s="83"/>
      <c r="E1237" s="4"/>
      <c r="F1237" s="4"/>
      <c r="G1237" s="6">
        <v>62</v>
      </c>
      <c r="H1237" s="449"/>
      <c r="I1237" s="4">
        <f>SUM(G1211:G1237)-2</f>
        <v>699.7</v>
      </c>
      <c r="J1237" s="3"/>
      <c r="K1237" s="449"/>
      <c r="L1237" s="449"/>
      <c r="M1237" s="449" t="str">
        <f>IF(L1237="","",
IF(AX1237="PT",VLOOKUP(L1237,Foundation_Calc!$V$79:$X$113,VLOOKUP(AX1237,Foundation_Calc!$I$10:$J$13,2,FALSE),0),
IF(AX1237="K",VLOOKUP(L1237,Foundation_Calc!$V$117:$X$151,VLOOKUP(AX1237,Foundation_Calc!$I$10:$J$13,2,FALSE),0),"")))</f>
        <v/>
      </c>
      <c r="N1237" s="449"/>
      <c r="O1237" s="449"/>
      <c r="P1237" s="449"/>
      <c r="Q1237" s="4"/>
      <c r="R1237" s="6"/>
      <c r="S1237" s="6"/>
      <c r="T1237" s="4"/>
      <c r="U1237" s="4"/>
      <c r="V1237" s="4"/>
      <c r="W1237" s="9"/>
      <c r="X1237" s="9"/>
      <c r="Y1237" s="9"/>
      <c r="Z1237" s="9"/>
      <c r="AA1237" s="9"/>
      <c r="AB1237" s="9"/>
      <c r="AC1237" s="449" t="str">
        <f t="shared" si="147"/>
        <v/>
      </c>
      <c r="AD1237" s="449"/>
      <c r="AE1237" s="449"/>
      <c r="AF1237" s="4"/>
      <c r="AG1237" s="83"/>
      <c r="AH1237" s="4"/>
      <c r="AI1237" s="4"/>
      <c r="AJ1237" s="449"/>
      <c r="AK1237" s="449"/>
      <c r="AL1237" s="449"/>
      <c r="AM1237" s="449"/>
      <c r="AN1237" s="10"/>
      <c r="AO1237" s="9"/>
      <c r="AP1237" s="9"/>
      <c r="AQ1237" s="9">
        <f>+FL_2($T$1238,$T$1236,$G$1237,1200,9.28, 1*$F$1238)</f>
        <v>-0.45400350967741931</v>
      </c>
      <c r="AR1237" s="9"/>
      <c r="AS1237" s="9"/>
      <c r="AT1237" s="9"/>
      <c r="AU1237" s="428"/>
      <c r="AV1237" s="428"/>
      <c r="AW1237" s="449" t="str">
        <f>IF(C1237&gt;0,VLOOKUP(C1237,Foundation_Calc!$A$2:$C$13,3,1),
IF(J1237&gt;0,VLOOKUP(J1237,Foundation_Calc!$A$2:$C$13,3,1),""))</f>
        <v/>
      </c>
      <c r="AX1237" s="449" t="str">
        <f>IF(C1237&gt;0,VLOOKUP(C1237,Foundation_Calc!$E$35:$G$65,3,1),
IF(J1237&gt;0,VLOOKUP(J1237,Foundation_Calc!$E$35:$G$65,3,1),""))</f>
        <v/>
      </c>
      <c r="AY1237" s="10" t="str">
        <f>IF(L1237="","",
IF(AX1237="PT",VLOOKUP(L1237,Foundation_Calc!$K$79:$R$113,VLOOKUP(AW1237,Foundation_Calc!$I$2:$J$8,2,FALSE),0),
IF(AX1237="K",VLOOKUP(L1237,Foundation_Calc!$K$117:$R$151,VLOOKUP(AW1237,Foundation_Calc!$I$2:$J$8,2,FALSE),0),"")))</f>
        <v/>
      </c>
      <c r="AZ1237" s="10" t="str">
        <f>IF(K1237="","",
IF(AX1237="PT",VLOOKUP(K1237,Foundation_Calc!$K$79:$R$113,VLOOKUP(AW1237,Foundation_Calc!$I$2:$J$8,2,FALSE),0),
IF(AX1237="K",VLOOKUP(K1237,Foundation_Calc!$K$117:$R$151,VLOOKUP(AW1237,Foundation_Calc!$I$2:$J$8,2,FALSE),0),"")))</f>
        <v/>
      </c>
      <c r="BA1237" s="495" t="str">
        <f t="shared" si="148"/>
        <v/>
      </c>
      <c r="BB1237" s="495" t="str">
        <f t="shared" si="149"/>
        <v/>
      </c>
      <c r="BC1237" s="495" t="str">
        <f t="shared" si="150"/>
        <v/>
      </c>
      <c r="BD1237" s="513" t="str">
        <f>IF(AND(L1237="",H1237=""),"",
IF(H1237="",Pole_Calc!A$9,
IF(H1237="MP",Pole_Calc!A$10,
IF(H1237="AnMP",Pole_Calc!A$11,
IF(H1237="A",Pole_Calc!A$12,
IF(H1237="S/A",Pole_Calc!A$13,
IF(H1237="A/S",Pole_Calc!A$14,"Poner a mano")))))))</f>
        <v/>
      </c>
      <c r="BE1237" s="429" t="s">
        <v>118</v>
      </c>
      <c r="BF1237" s="290"/>
      <c r="BG1237" s="290"/>
      <c r="BH1237" s="290"/>
      <c r="BI1237" s="290"/>
    </row>
    <row r="1238" spans="1:61" ht="15.75" customHeight="1">
      <c r="A1238" s="514"/>
      <c r="B1238" s="450" t="s">
        <v>1585</v>
      </c>
      <c r="C1238" s="3">
        <f>+$C$1236+$G$1237</f>
        <v>60232.899999999994</v>
      </c>
      <c r="D1238" s="83"/>
      <c r="E1238" s="4"/>
      <c r="F1238" s="4">
        <v>0</v>
      </c>
      <c r="G1238" s="6"/>
      <c r="H1238" s="449" t="s">
        <v>171</v>
      </c>
      <c r="I1238" s="4"/>
      <c r="J1238" s="3"/>
      <c r="K1238" s="449"/>
      <c r="L1238" s="449" t="s">
        <v>153</v>
      </c>
      <c r="M1238" s="449" t="str">
        <f>IF(L1238="","",
IF(AX1238="PT",VLOOKUP(L1238,Foundation_Calc!$V$79:$X$113,VLOOKUP(AX1238,Foundation_Calc!$I$10:$J$13,2,FALSE),0),
IF(AX1238="K",VLOOKUP(L1238,Foundation_Calc!$V$117:$X$151,VLOOKUP(AX1238,Foundation_Calc!$I$10:$J$13,2,FALSE),0),"")))</f>
        <v>C3RT</v>
      </c>
      <c r="N1238" s="449" t="s">
        <v>124</v>
      </c>
      <c r="O1238" s="449"/>
      <c r="P1238" s="449"/>
      <c r="Q1238" s="4"/>
      <c r="R1238" s="6"/>
      <c r="S1238" s="6"/>
      <c r="T1238" s="4">
        <v>-35</v>
      </c>
      <c r="U1238" s="4"/>
      <c r="V1238" s="4"/>
      <c r="W1238" s="9">
        <v>1.4</v>
      </c>
      <c r="X1238" s="9"/>
      <c r="Y1238" s="9"/>
      <c r="Z1238" s="9"/>
      <c r="AA1238" s="9"/>
      <c r="AB1238" s="9"/>
      <c r="AC1238" s="449" t="str">
        <f t="shared" si="147"/>
        <v>PH</v>
      </c>
      <c r="AD1238" s="449"/>
      <c r="AE1238" s="449"/>
      <c r="AF1238" s="4"/>
      <c r="AG1238" s="83"/>
      <c r="AH1238" s="4"/>
      <c r="AI1238" s="4"/>
      <c r="AJ1238" s="449" t="s">
        <v>900</v>
      </c>
      <c r="AK1238" s="449"/>
      <c r="AL1238" s="449"/>
      <c r="AM1238" s="449" t="s">
        <v>126</v>
      </c>
      <c r="AN1238" s="10">
        <v>5.5</v>
      </c>
      <c r="AO1238" s="9"/>
      <c r="AP1238" s="9"/>
      <c r="AQ1238" s="9"/>
      <c r="AR1238" s="9"/>
      <c r="AS1238" s="9"/>
      <c r="AT1238" s="9">
        <f>+ab($T$1238,$T$1236,$T$1240,$G$1237,$G$1239, 1*$F$1238,1200)</f>
        <v>-8.4366201521118445</v>
      </c>
      <c r="AU1238" s="428"/>
      <c r="AV1238" s="428"/>
      <c r="AW1238" s="449" t="str">
        <f>IF(C1238&gt;0,VLOOKUP(C1238,Foundation_Calc!$A$2:$C$13,3,1),
IF(J1238&gt;0,VLOOKUP(J1238,Foundation_Calc!$A$2:$C$13,3,1),""))</f>
        <v>Multi Soil</v>
      </c>
      <c r="AX1238" s="449" t="str">
        <f>IF(C1238&gt;0,VLOOKUP(C1238,Foundation_Calc!$E$35:$G$65,3,1),
IF(J1238&gt;0,VLOOKUP(J1238,Foundation_Calc!$E$35:$G$65,3,1),""))</f>
        <v>K</v>
      </c>
      <c r="AY1238" s="10">
        <f>IF(L1238="","",
IF(AX1238="PT",VLOOKUP(L1238,Foundation_Calc!$K$79:$R$113,VLOOKUP(AW1238,Foundation_Calc!$I$2:$J$8,2,FALSE),0),
IF(AX1238="K",VLOOKUP(L1238,Foundation_Calc!$K$117:$R$151,VLOOKUP(AW1238,Foundation_Calc!$I$2:$J$8,2,FALSE),0),"")))</f>
        <v>4</v>
      </c>
      <c r="AZ1238" s="10" t="str">
        <f>IF(K1238="","",
IF(AX1238="PT",VLOOKUP(K1238,Foundation_Calc!$K$79:$R$113,VLOOKUP(AW1238,Foundation_Calc!$I$2:$J$8,2,FALSE),0),
IF(AX1238="K",VLOOKUP(K1238,Foundation_Calc!$K$117:$R$151,VLOOKUP(AW1238,Foundation_Calc!$I$2:$J$8,2,FALSE),0),"")))</f>
        <v/>
      </c>
      <c r="BA1238" s="495" t="str">
        <f t="shared" si="148"/>
        <v>ü</v>
      </c>
      <c r="BB1238" s="495" t="str">
        <f t="shared" si="149"/>
        <v/>
      </c>
      <c r="BC1238" s="495" t="str">
        <f t="shared" si="150"/>
        <v/>
      </c>
      <c r="BD1238" s="513" t="str">
        <f>IF(AND(L1238="",H1238=""),"",
IF(H1238="",Pole_Calc!A$9,
IF(H1238="MP",Pole_Calc!A$10,
IF(H1238="AnMP",Pole_Calc!A$11,
IF(H1238="A",Pole_Calc!A$12,
IF(H1238="S/A",Pole_Calc!A$13,
IF(H1238="A/S",Pole_Calc!A$14,"Poner a mano")))))))</f>
        <v>App.7-V11I-P9.5.1.2</v>
      </c>
      <c r="BE1238" s="429" t="s">
        <v>118</v>
      </c>
      <c r="BF1238" s="289"/>
      <c r="BG1238" s="289"/>
      <c r="BH1238" s="290"/>
      <c r="BI1238" s="289"/>
    </row>
    <row r="1239" spans="1:61" ht="15.75" customHeight="1">
      <c r="A1239" s="514"/>
      <c r="B1239" s="450"/>
      <c r="C1239" s="3"/>
      <c r="D1239" s="83"/>
      <c r="E1239" s="4"/>
      <c r="F1239" s="4"/>
      <c r="G1239" s="6">
        <v>62</v>
      </c>
      <c r="H1239" s="449"/>
      <c r="I1239" s="4">
        <f>SUM(G1239:G1269)-50</f>
        <v>687</v>
      </c>
      <c r="J1239" s="3"/>
      <c r="K1239" s="449"/>
      <c r="L1239" s="449"/>
      <c r="M1239" s="449" t="str">
        <f>IF(L1239="","",
IF(AX1239="PT",VLOOKUP(L1239,Foundation_Calc!$V$79:$X$113,VLOOKUP(AX1239,Foundation_Calc!$I$10:$J$13,2,FALSE),0),
IF(AX1239="K",VLOOKUP(L1239,Foundation_Calc!$V$117:$X$151,VLOOKUP(AX1239,Foundation_Calc!$I$10:$J$13,2,FALSE),0),"")))</f>
        <v/>
      </c>
      <c r="N1239" s="449"/>
      <c r="O1239" s="449"/>
      <c r="P1239" s="449"/>
      <c r="Q1239" s="4"/>
      <c r="R1239" s="6"/>
      <c r="S1239" s="6"/>
      <c r="T1239" s="4"/>
      <c r="U1239" s="4"/>
      <c r="V1239" s="4"/>
      <c r="W1239" s="9"/>
      <c r="X1239" s="9"/>
      <c r="Y1239" s="9"/>
      <c r="Z1239" s="9"/>
      <c r="AA1239" s="9"/>
      <c r="AB1239" s="9"/>
      <c r="AC1239" s="449" t="str">
        <f t="shared" si="147"/>
        <v/>
      </c>
      <c r="AD1239" s="449"/>
      <c r="AE1239" s="449"/>
      <c r="AF1239" s="4"/>
      <c r="AG1239" s="83"/>
      <c r="AH1239" s="4"/>
      <c r="AI1239" s="4"/>
      <c r="AJ1239" s="449"/>
      <c r="AK1239" s="449"/>
      <c r="AL1239" s="449"/>
      <c r="AM1239" s="449"/>
      <c r="AN1239" s="10"/>
      <c r="AO1239" s="9"/>
      <c r="AP1239" s="9"/>
      <c r="AQ1239" s="9">
        <f>+FL_1($T$1240,$T$1238,$G$1239,1200,9.28, 1*$F$1240)</f>
        <v>0.45400350967741931</v>
      </c>
      <c r="AR1239" s="9"/>
      <c r="AS1239" s="9"/>
      <c r="AT1239" s="9"/>
      <c r="AU1239" s="428"/>
      <c r="AV1239" s="428"/>
      <c r="AW1239" s="449" t="str">
        <f>IF(C1239&gt;0,VLOOKUP(C1239,Foundation_Calc!$A$2:$C$13,3,1),
IF(J1239&gt;0,VLOOKUP(J1239,Foundation_Calc!$A$2:$C$13,3,1),""))</f>
        <v/>
      </c>
      <c r="AX1239" s="449" t="str">
        <f>IF(C1239&gt;0,VLOOKUP(C1239,Foundation_Calc!$E$35:$G$65,3,1),
IF(J1239&gt;0,VLOOKUP(J1239,Foundation_Calc!$E$35:$G$65,3,1),""))</f>
        <v/>
      </c>
      <c r="AY1239" s="10" t="str">
        <f>IF(L1239="","",
IF(AX1239="PT",VLOOKUP(L1239,Foundation_Calc!$K$79:$R$113,VLOOKUP(AW1239,Foundation_Calc!$I$2:$J$8,2,FALSE),0),
IF(AX1239="K",VLOOKUP(L1239,Foundation_Calc!$K$117:$R$151,VLOOKUP(AW1239,Foundation_Calc!$I$2:$J$8,2,FALSE),0),"")))</f>
        <v/>
      </c>
      <c r="AZ1239" s="10" t="str">
        <f>IF(K1239="","",
IF(AX1239="PT",VLOOKUP(K1239,Foundation_Calc!$K$79:$R$113,VLOOKUP(AW1239,Foundation_Calc!$I$2:$J$8,2,FALSE),0),
IF(AX1239="K",VLOOKUP(K1239,Foundation_Calc!$K$117:$R$151,VLOOKUP(AW1239,Foundation_Calc!$I$2:$J$8,2,FALSE),0),"")))</f>
        <v/>
      </c>
      <c r="BA1239" s="495" t="str">
        <f t="shared" si="148"/>
        <v/>
      </c>
      <c r="BB1239" s="495" t="str">
        <f t="shared" si="149"/>
        <v/>
      </c>
      <c r="BC1239" s="495" t="str">
        <f t="shared" si="150"/>
        <v/>
      </c>
      <c r="BD1239" s="513" t="str">
        <f>IF(AND(L1239="",H1239=""),"",
IF(H1239="",Pole_Calc!A$9,
IF(H1239="MP",Pole_Calc!A$10,
IF(H1239="AnMP",Pole_Calc!A$11,
IF(H1239="A",Pole_Calc!A$12,
IF(H1239="S/A",Pole_Calc!A$13,
IF(H1239="A/S",Pole_Calc!A$14,"Poner a mano")))))))</f>
        <v/>
      </c>
      <c r="BE1239" s="429" t="s">
        <v>118</v>
      </c>
      <c r="BF1239" s="290"/>
      <c r="BG1239" s="290"/>
      <c r="BH1239" s="290"/>
      <c r="BI1239" s="290"/>
    </row>
    <row r="1240" spans="1:61" ht="15.75" customHeight="1">
      <c r="A1240" s="514"/>
      <c r="B1240" s="450" t="s">
        <v>1586</v>
      </c>
      <c r="C1240" s="3">
        <f>+$C$1238+$G$1239</f>
        <v>60294.899999999994</v>
      </c>
      <c r="D1240" s="83"/>
      <c r="E1240" s="4"/>
      <c r="F1240" s="4">
        <v>0</v>
      </c>
      <c r="G1240" s="6"/>
      <c r="H1240" s="449" t="s">
        <v>168</v>
      </c>
      <c r="I1240" s="4"/>
      <c r="J1240" s="3"/>
      <c r="K1240" s="449"/>
      <c r="L1240" s="449" t="s">
        <v>158</v>
      </c>
      <c r="M1240" s="449" t="str">
        <f>IF(L1240="","",
IF(AX1240="PT",VLOOKUP(L1240,Foundation_Calc!$V$79:$X$113,VLOOKUP(AX1240,Foundation_Calc!$I$10:$J$13,2,FALSE),0),
IF(AX1240="K",VLOOKUP(L1240,Foundation_Calc!$V$117:$X$151,VLOOKUP(AX1240,Foundation_Calc!$I$10:$J$13,2,FALSE),0),"")))</f>
        <v>C4RT</v>
      </c>
      <c r="N1240" s="449" t="s">
        <v>134</v>
      </c>
      <c r="O1240" s="449"/>
      <c r="P1240" s="449"/>
      <c r="Q1240" s="4"/>
      <c r="R1240" s="6"/>
      <c r="S1240" s="6"/>
      <c r="T1240" s="4">
        <v>35</v>
      </c>
      <c r="U1240" s="4"/>
      <c r="V1240" s="4"/>
      <c r="W1240" s="9">
        <v>1.4</v>
      </c>
      <c r="X1240" s="9"/>
      <c r="Y1240" s="9"/>
      <c r="Z1240" s="9"/>
      <c r="AA1240" s="9"/>
      <c r="AB1240" s="9"/>
      <c r="AC1240" s="449" t="str">
        <f t="shared" si="147"/>
        <v>PH</v>
      </c>
      <c r="AD1240" s="449"/>
      <c r="AE1240" s="449"/>
      <c r="AF1240" s="4"/>
      <c r="AG1240" s="83"/>
      <c r="AH1240" s="4"/>
      <c r="AI1240" s="4"/>
      <c r="AJ1240" s="449" t="s">
        <v>900</v>
      </c>
      <c r="AK1240" s="449"/>
      <c r="AL1240" s="449"/>
      <c r="AM1240" s="449" t="s">
        <v>126</v>
      </c>
      <c r="AN1240" s="10">
        <v>5.5</v>
      </c>
      <c r="AO1240" s="9"/>
      <c r="AP1240" s="9"/>
      <c r="AQ1240" s="9"/>
      <c r="AR1240" s="9"/>
      <c r="AS1240" s="9"/>
      <c r="AT1240" s="9">
        <f>+ab($T$1240,$T$1238,$T$1242,$G$1239,$G$1241, 1*$F$1240,1200)</f>
        <v>8.4365744899000195</v>
      </c>
      <c r="AU1240" s="428"/>
      <c r="AV1240" s="428"/>
      <c r="AW1240" s="449" t="str">
        <f>IF(C1240&gt;0,VLOOKUP(C1240,Foundation_Calc!$A$2:$C$13,3,1),
IF(J1240&gt;0,VLOOKUP(J1240,Foundation_Calc!$A$2:$C$13,3,1),""))</f>
        <v>Multi Soil</v>
      </c>
      <c r="AX1240" s="449" t="str">
        <f>IF(C1240&gt;0,VLOOKUP(C1240,Foundation_Calc!$E$35:$G$65,3,1),
IF(J1240&gt;0,VLOOKUP(J1240,Foundation_Calc!$E$35:$G$65,3,1),""))</f>
        <v>K</v>
      </c>
      <c r="AY1240" s="10">
        <f>IF(L1240="","",
IF(AX1240="PT",VLOOKUP(L1240,Foundation_Calc!$K$79:$R$113,VLOOKUP(AW1240,Foundation_Calc!$I$2:$J$8,2,FALSE),0),
IF(AX1240="K",VLOOKUP(L1240,Foundation_Calc!$K$117:$R$151,VLOOKUP(AW1240,Foundation_Calc!$I$2:$J$8,2,FALSE),0),"")))</f>
        <v>4.2</v>
      </c>
      <c r="AZ1240" s="10" t="str">
        <f>IF(K1240="","",
IF(AX1240="PT",VLOOKUP(K1240,Foundation_Calc!$K$79:$R$113,VLOOKUP(AW1240,Foundation_Calc!$I$2:$J$8,2,FALSE),0),
IF(AX1240="K",VLOOKUP(K1240,Foundation_Calc!$K$117:$R$151,VLOOKUP(AW1240,Foundation_Calc!$I$2:$J$8,2,FALSE),0),"")))</f>
        <v/>
      </c>
      <c r="BA1240" s="495" t="str">
        <f t="shared" si="148"/>
        <v>ü</v>
      </c>
      <c r="BB1240" s="495" t="str">
        <f t="shared" si="149"/>
        <v/>
      </c>
      <c r="BC1240" s="495" t="str">
        <f t="shared" si="150"/>
        <v/>
      </c>
      <c r="BD1240" s="513" t="str">
        <f>IF(AND(L1240="",H1240=""),"",
IF(H1240="",Pole_Calc!A$9,
IF(H1240="MP",Pole_Calc!A$10,
IF(H1240="AnMP",Pole_Calc!A$11,
IF(H1240="A",Pole_Calc!A$12,
IF(H1240="S/A",Pole_Calc!A$13,
IF(H1240="A/S",Pole_Calc!A$14,"Poner a mano")))))))</f>
        <v>App.7-V11I-P9.5.1.3</v>
      </c>
      <c r="BE1240" s="429" t="s">
        <v>118</v>
      </c>
      <c r="BF1240" s="289"/>
      <c r="BG1240" s="289"/>
      <c r="BH1240" s="290"/>
      <c r="BI1240" s="289"/>
    </row>
    <row r="1241" spans="1:61" ht="15.75" customHeight="1">
      <c r="A1241" s="571"/>
      <c r="B1241" s="450"/>
      <c r="C1241" s="3"/>
      <c r="D1241" s="83"/>
      <c r="E1241" s="4"/>
      <c r="F1241" s="4"/>
      <c r="G1241" s="6">
        <v>62</v>
      </c>
      <c r="H1241" s="449"/>
      <c r="I1241" s="4"/>
      <c r="J1241" s="3">
        <f>C1240+7.5</f>
        <v>60302.399999999994</v>
      </c>
      <c r="K1241" s="449" t="s">
        <v>324</v>
      </c>
      <c r="L1241" s="449"/>
      <c r="M1241" s="449" t="str">
        <f>IF(L1241="","",
IF(AX1241="PT",VLOOKUP(L1241,Foundation_Calc!$V$79:$X$113,VLOOKUP(AX1241,Foundation_Calc!$I$10:$J$13,2,FALSE),0),
IF(AX1241="K",VLOOKUP(L1241,Foundation_Calc!$V$117:$X$151,VLOOKUP(AX1241,Foundation_Calc!$I$10:$J$13,2,FALSE),0),"")))</f>
        <v/>
      </c>
      <c r="N1241" s="449"/>
      <c r="O1241" s="449"/>
      <c r="P1241" s="449"/>
      <c r="Q1241" s="4"/>
      <c r="R1241" s="6"/>
      <c r="S1241" s="6"/>
      <c r="T1241" s="4"/>
      <c r="U1241" s="4"/>
      <c r="V1241" s="4"/>
      <c r="W1241" s="9"/>
      <c r="X1241" s="9"/>
      <c r="Y1241" s="9"/>
      <c r="Z1241" s="9"/>
      <c r="AA1241" s="9"/>
      <c r="AB1241" s="9"/>
      <c r="AC1241" s="449" t="str">
        <f t="shared" si="147"/>
        <v/>
      </c>
      <c r="AD1241" s="449"/>
      <c r="AE1241" s="449"/>
      <c r="AF1241" s="4"/>
      <c r="AG1241" s="83"/>
      <c r="AH1241" s="4"/>
      <c r="AI1241" s="4"/>
      <c r="AJ1241" s="449"/>
      <c r="AK1241" s="449"/>
      <c r="AL1241" s="449"/>
      <c r="AM1241" s="449"/>
      <c r="AN1241" s="10"/>
      <c r="AO1241" s="9"/>
      <c r="AP1241" s="9"/>
      <c r="AQ1241" s="9">
        <f>+FL_2($T$1242,$T$1240,$G$1241,1200,9.28, 1*$F$1242)</f>
        <v>-0.45400350967741931</v>
      </c>
      <c r="AR1241" s="9"/>
      <c r="AS1241" s="9"/>
      <c r="AT1241" s="9"/>
      <c r="AU1241" s="428"/>
      <c r="AV1241" s="428"/>
      <c r="AW1241" s="449" t="str">
        <f>IF(C1241&gt;0,VLOOKUP(C1241,Foundation_Calc!$A$2:$C$13,3,1),
IF(J1241&gt;0,VLOOKUP(J1241,Foundation_Calc!$A$2:$C$13,3,1),""))</f>
        <v>Multi Soil</v>
      </c>
      <c r="AX1241" s="449" t="str">
        <f>IF(C1241&gt;0,VLOOKUP(C1241,Foundation_Calc!$E$35:$G$65,3,1),
IF(J1241&gt;0,VLOOKUP(J1241,Foundation_Calc!$E$35:$G$65,3,1),""))</f>
        <v>K</v>
      </c>
      <c r="AY1241" s="10" t="str">
        <f>IF(L1241="","",
IF(AX1241="PT",VLOOKUP(L1241,Foundation_Calc!$K$79:$R$113,VLOOKUP(AW1241,Foundation_Calc!$I$2:$J$8,2,FALSE),0),
IF(AX1241="K",VLOOKUP(L1241,Foundation_Calc!$K$117:$R$151,VLOOKUP(AW1241,Foundation_Calc!$I$2:$J$8,2,FALSE),0),"")))</f>
        <v/>
      </c>
      <c r="AZ1241" s="10">
        <f>IF(K1241="","",
IF(AX1241="PT",VLOOKUP(K1241,Foundation_Calc!$K$79:$R$113,VLOOKUP(AW1241,Foundation_Calc!$I$2:$J$8,2,FALSE),0),
IF(AX1241="K",VLOOKUP(K1241,Foundation_Calc!$K$117:$R$151,VLOOKUP(AW1241,Foundation_Calc!$I$2:$J$8,2,FALSE),0),"")))</f>
        <v>2.8</v>
      </c>
      <c r="BA1241" s="495" t="str">
        <f t="shared" si="148"/>
        <v/>
      </c>
      <c r="BB1241" s="495" t="str">
        <f t="shared" si="149"/>
        <v>ü</v>
      </c>
      <c r="BC1241" s="495" t="str">
        <f t="shared" si="150"/>
        <v/>
      </c>
      <c r="BD1241" s="513" t="str">
        <f>IF(AND(L1241="",H1241=""),"",
IF(H1241="",Pole_Calc!A$9,
IF(H1241="MP",Pole_Calc!A$10,
IF(H1241="AnMP",Pole_Calc!A$11,
IF(H1241="A",Pole_Calc!A$12,
IF(H1241="S/A",Pole_Calc!A$13,
IF(H1241="A/S",Pole_Calc!A$14,"Poner a mano")))))))</f>
        <v/>
      </c>
      <c r="BE1241" s="429" t="s">
        <v>118</v>
      </c>
      <c r="BF1241" s="290"/>
      <c r="BG1241" s="290"/>
      <c r="BH1241" s="290"/>
      <c r="BI1241" s="290"/>
    </row>
    <row r="1242" spans="1:61" ht="15.75" customHeight="1">
      <c r="A1242" s="571"/>
      <c r="B1242" s="450" t="s">
        <v>1587</v>
      </c>
      <c r="C1242" s="3">
        <f>+$C$1240+$G$1241</f>
        <v>60356.899999999994</v>
      </c>
      <c r="D1242" s="83"/>
      <c r="E1242" s="4"/>
      <c r="F1242" s="4">
        <v>0</v>
      </c>
      <c r="G1242" s="6"/>
      <c r="H1242" s="449"/>
      <c r="I1242" s="4"/>
      <c r="J1242" s="3"/>
      <c r="K1242" s="449"/>
      <c r="L1242" s="449" t="s">
        <v>153</v>
      </c>
      <c r="M1242" s="449" t="str">
        <f>IF(L1242="","",
IF(AX1242="PT",VLOOKUP(L1242,Foundation_Calc!$V$79:$X$113,VLOOKUP(AX1242,Foundation_Calc!$I$10:$J$13,2,FALSE),0),
IF(AX1242="K",VLOOKUP(L1242,Foundation_Calc!$V$117:$X$151,VLOOKUP(AX1242,Foundation_Calc!$I$10:$J$13,2,FALSE),0),"")))</f>
        <v>C3RT</v>
      </c>
      <c r="N1242" s="449" t="s">
        <v>124</v>
      </c>
      <c r="O1242" s="449"/>
      <c r="P1242" s="449"/>
      <c r="Q1242" s="4"/>
      <c r="R1242" s="6"/>
      <c r="S1242" s="6"/>
      <c r="T1242" s="4">
        <v>-35</v>
      </c>
      <c r="U1242" s="4"/>
      <c r="V1242" s="4"/>
      <c r="W1242" s="9">
        <v>1.4</v>
      </c>
      <c r="X1242" s="9"/>
      <c r="Y1242" s="9"/>
      <c r="Z1242" s="9"/>
      <c r="AA1242" s="9"/>
      <c r="AB1242" s="9"/>
      <c r="AC1242" s="449" t="str">
        <f t="shared" si="147"/>
        <v>PH</v>
      </c>
      <c r="AD1242" s="449"/>
      <c r="AE1242" s="449"/>
      <c r="AF1242" s="4"/>
      <c r="AG1242" s="83"/>
      <c r="AH1242" s="4"/>
      <c r="AI1242" s="4"/>
      <c r="AJ1242" s="449" t="s">
        <v>900</v>
      </c>
      <c r="AK1242" s="449"/>
      <c r="AL1242" s="449"/>
      <c r="AM1242" s="449" t="s">
        <v>126</v>
      </c>
      <c r="AN1242" s="10">
        <v>5.5</v>
      </c>
      <c r="AO1242" s="9"/>
      <c r="AP1242" s="9"/>
      <c r="AQ1242" s="9"/>
      <c r="AR1242" s="9"/>
      <c r="AS1242" s="9"/>
      <c r="AT1242" s="9">
        <f>+ab($T$1242,$T$1240,$T$1244,$G$1241,$G$1243, 1*$F$1242,1200)</f>
        <v>-8.4366201521118445</v>
      </c>
      <c r="AU1242" s="428"/>
      <c r="AV1242" s="428"/>
      <c r="AW1242" s="449" t="str">
        <f>IF(C1242&gt;0,VLOOKUP(C1242,Foundation_Calc!$A$2:$C$13,3,1),
IF(J1242&gt;0,VLOOKUP(J1242,Foundation_Calc!$A$2:$C$13,3,1),""))</f>
        <v>Multi Soil</v>
      </c>
      <c r="AX1242" s="449" t="str">
        <f>IF(C1242&gt;0,VLOOKUP(C1242,Foundation_Calc!$E$35:$G$65,3,1),
IF(J1242&gt;0,VLOOKUP(J1242,Foundation_Calc!$E$35:$G$65,3,1),""))</f>
        <v>K</v>
      </c>
      <c r="AY1242" s="10">
        <f>IF(L1242="","",
IF(AX1242="PT",VLOOKUP(L1242,Foundation_Calc!$K$79:$R$113,VLOOKUP(AW1242,Foundation_Calc!$I$2:$J$8,2,FALSE),0),
IF(AX1242="K",VLOOKUP(L1242,Foundation_Calc!$K$117:$R$151,VLOOKUP(AW1242,Foundation_Calc!$I$2:$J$8,2,FALSE),0),"")))</f>
        <v>4</v>
      </c>
      <c r="AZ1242" s="10" t="str">
        <f>IF(K1242="","",
IF(AX1242="PT",VLOOKUP(K1242,Foundation_Calc!$K$79:$R$113,VLOOKUP(AW1242,Foundation_Calc!$I$2:$J$8,2,FALSE),0),
IF(AX1242="K",VLOOKUP(K1242,Foundation_Calc!$K$117:$R$151,VLOOKUP(AW1242,Foundation_Calc!$I$2:$J$8,2,FALSE),0),"")))</f>
        <v/>
      </c>
      <c r="BA1242" s="495" t="str">
        <f t="shared" si="148"/>
        <v>ü</v>
      </c>
      <c r="BB1242" s="495" t="str">
        <f t="shared" si="149"/>
        <v/>
      </c>
      <c r="BC1242" s="495" t="str">
        <f t="shared" si="150"/>
        <v/>
      </c>
      <c r="BD1242" s="513" t="str">
        <f>IF(AND(L1242="",H1242=""),"",
IF(H1242="",Pole_Calc!A$9,
IF(H1242="MP",Pole_Calc!A$10,
IF(H1242="AnMP",Pole_Calc!A$11,
IF(H1242="A",Pole_Calc!A$12,
IF(H1242="S/A",Pole_Calc!A$13,
IF(H1242="A/S",Pole_Calc!A$14,"Poner a mano")))))))</f>
        <v>App.7-V11I-P9.5.1.1</v>
      </c>
      <c r="BE1242" s="429" t="s">
        <v>118</v>
      </c>
      <c r="BF1242" s="289"/>
      <c r="BG1242" s="289"/>
      <c r="BH1242" s="290"/>
      <c r="BI1242" s="289"/>
    </row>
    <row r="1243" spans="1:61" ht="15.75" customHeight="1">
      <c r="A1243" s="571"/>
      <c r="B1243" s="450"/>
      <c r="C1243" s="3"/>
      <c r="D1243" s="83"/>
      <c r="E1243" s="4"/>
      <c r="F1243" s="4"/>
      <c r="G1243" s="6">
        <v>62</v>
      </c>
      <c r="H1243" s="449"/>
      <c r="I1243" s="4"/>
      <c r="J1243" s="3"/>
      <c r="K1243" s="449"/>
      <c r="L1243" s="449"/>
      <c r="M1243" s="449" t="str">
        <f>IF(L1243="","",
IF(AX1243="PT",VLOOKUP(L1243,Foundation_Calc!$V$79:$X$113,VLOOKUP(AX1243,Foundation_Calc!$I$10:$J$13,2,FALSE),0),
IF(AX1243="K",VLOOKUP(L1243,Foundation_Calc!$V$117:$X$151,VLOOKUP(AX1243,Foundation_Calc!$I$10:$J$13,2,FALSE),0),"")))</f>
        <v/>
      </c>
      <c r="N1243" s="449"/>
      <c r="O1243" s="449"/>
      <c r="P1243" s="449"/>
      <c r="Q1243" s="4"/>
      <c r="R1243" s="6"/>
      <c r="S1243" s="6"/>
      <c r="T1243" s="4"/>
      <c r="U1243" s="4"/>
      <c r="V1243" s="4"/>
      <c r="W1243" s="9"/>
      <c r="X1243" s="9"/>
      <c r="Y1243" s="9"/>
      <c r="Z1243" s="9"/>
      <c r="AA1243" s="9"/>
      <c r="AB1243" s="9"/>
      <c r="AC1243" s="449" t="str">
        <f t="shared" si="147"/>
        <v/>
      </c>
      <c r="AD1243" s="449"/>
      <c r="AE1243" s="449"/>
      <c r="AF1243" s="4"/>
      <c r="AG1243" s="83"/>
      <c r="AH1243" s="4"/>
      <c r="AI1243" s="4"/>
      <c r="AJ1243" s="449"/>
      <c r="AK1243" s="449"/>
      <c r="AL1243" s="449"/>
      <c r="AM1243" s="449"/>
      <c r="AN1243" s="10"/>
      <c r="AO1243" s="9"/>
      <c r="AP1243" s="9"/>
      <c r="AQ1243" s="9">
        <f>+FL_1($T$1244,$T$1242,$G$1243,1200,9.28, 1*$F$1244)</f>
        <v>0.45400350967741931</v>
      </c>
      <c r="AR1243" s="9"/>
      <c r="AS1243" s="9"/>
      <c r="AT1243" s="9"/>
      <c r="AU1243" s="428"/>
      <c r="AV1243" s="428"/>
      <c r="AW1243" s="449" t="str">
        <f>IF(C1243&gt;0,VLOOKUP(C1243,Foundation_Calc!$A$2:$C$13,3,1),
IF(J1243&gt;0,VLOOKUP(J1243,Foundation_Calc!$A$2:$C$13,3,1),""))</f>
        <v/>
      </c>
      <c r="AX1243" s="449" t="str">
        <f>IF(C1243&gt;0,VLOOKUP(C1243,Foundation_Calc!$E$35:$G$65,3,1),
IF(J1243&gt;0,VLOOKUP(J1243,Foundation_Calc!$E$35:$G$65,3,1),""))</f>
        <v/>
      </c>
      <c r="AY1243" s="10" t="str">
        <f>IF(L1243="","",
IF(AX1243="PT",VLOOKUP(L1243,Foundation_Calc!$K$79:$R$113,VLOOKUP(AW1243,Foundation_Calc!$I$2:$J$8,2,FALSE),0),
IF(AX1243="K",VLOOKUP(L1243,Foundation_Calc!$K$117:$R$151,VLOOKUP(AW1243,Foundation_Calc!$I$2:$J$8,2,FALSE),0),"")))</f>
        <v/>
      </c>
      <c r="AZ1243" s="10" t="str">
        <f>IF(K1243="","",
IF(AX1243="PT",VLOOKUP(K1243,Foundation_Calc!$K$79:$R$113,VLOOKUP(AW1243,Foundation_Calc!$I$2:$J$8,2,FALSE),0),
IF(AX1243="K",VLOOKUP(K1243,Foundation_Calc!$K$117:$R$151,VLOOKUP(AW1243,Foundation_Calc!$I$2:$J$8,2,FALSE),0),"")))</f>
        <v/>
      </c>
      <c r="BA1243" s="495" t="str">
        <f t="shared" si="148"/>
        <v/>
      </c>
      <c r="BB1243" s="495" t="str">
        <f t="shared" si="149"/>
        <v/>
      </c>
      <c r="BC1243" s="495" t="str">
        <f t="shared" si="150"/>
        <v/>
      </c>
      <c r="BD1243" s="513" t="str">
        <f>IF(AND(L1243="",H1243=""),"",
IF(H1243="",Pole_Calc!A$9,
IF(H1243="MP",Pole_Calc!A$10,
IF(H1243="AnMP",Pole_Calc!A$11,
IF(H1243="A",Pole_Calc!A$12,
IF(H1243="S/A",Pole_Calc!A$13,
IF(H1243="A/S",Pole_Calc!A$14,"Poner a mano")))))))</f>
        <v/>
      </c>
      <c r="BE1243" s="429" t="s">
        <v>118</v>
      </c>
      <c r="BF1243" s="290"/>
      <c r="BG1243" s="290"/>
      <c r="BH1243" s="290"/>
      <c r="BI1243" s="290"/>
    </row>
    <row r="1244" spans="1:61" ht="15.75" customHeight="1">
      <c r="A1244" s="514"/>
      <c r="B1244" s="450" t="s">
        <v>1588</v>
      </c>
      <c r="C1244" s="3">
        <f>+$C$1242+$G$1243</f>
        <v>60418.899999999994</v>
      </c>
      <c r="D1244" s="83"/>
      <c r="E1244" s="4"/>
      <c r="F1244" s="4">
        <v>0</v>
      </c>
      <c r="G1244" s="6"/>
      <c r="H1244" s="449"/>
      <c r="I1244" s="449"/>
      <c r="J1244" s="3"/>
      <c r="K1244" s="449"/>
      <c r="L1244" s="449" t="s">
        <v>153</v>
      </c>
      <c r="M1244" s="449" t="str">
        <f>IF(L1244="","",
IF(AX1244="PT",VLOOKUP(L1244,Foundation_Calc!$V$79:$X$113,VLOOKUP(AX1244,Foundation_Calc!$I$10:$J$13,2,FALSE),0),
IF(AX1244="K",VLOOKUP(L1244,Foundation_Calc!$V$117:$X$151,VLOOKUP(AX1244,Foundation_Calc!$I$10:$J$13,2,FALSE),0),"")))</f>
        <v>C3RT</v>
      </c>
      <c r="N1244" s="449" t="s">
        <v>134</v>
      </c>
      <c r="O1244" s="449"/>
      <c r="P1244" s="449"/>
      <c r="Q1244" s="4"/>
      <c r="R1244" s="6"/>
      <c r="S1244" s="6"/>
      <c r="T1244" s="4">
        <v>35</v>
      </c>
      <c r="U1244" s="4"/>
      <c r="V1244" s="4"/>
      <c r="W1244" s="9">
        <v>1.4</v>
      </c>
      <c r="X1244" s="9"/>
      <c r="Y1244" s="9"/>
      <c r="Z1244" s="9"/>
      <c r="AA1244" s="9"/>
      <c r="AB1244" s="9"/>
      <c r="AC1244" s="449" t="str">
        <f t="shared" si="147"/>
        <v>PH</v>
      </c>
      <c r="AD1244" s="449"/>
      <c r="AE1244" s="449"/>
      <c r="AF1244" s="4"/>
      <c r="AG1244" s="83"/>
      <c r="AH1244" s="4"/>
      <c r="AI1244" s="4"/>
      <c r="AJ1244" s="449" t="s">
        <v>900</v>
      </c>
      <c r="AK1244" s="449"/>
      <c r="AL1244" s="449"/>
      <c r="AM1244" s="449" t="s">
        <v>126</v>
      </c>
      <c r="AN1244" s="10">
        <v>5.5</v>
      </c>
      <c r="AO1244" s="9"/>
      <c r="AP1244" s="9"/>
      <c r="AQ1244" s="9"/>
      <c r="AR1244" s="9"/>
      <c r="AS1244" s="9"/>
      <c r="AT1244" s="9">
        <f>+ab($T$1244,$T$1242,$T$1246,$G$1243,$G$1245, 1*$F$1244,1200)</f>
        <v>8.4365744899000195</v>
      </c>
      <c r="AU1244" s="428"/>
      <c r="AV1244" s="428"/>
      <c r="AW1244" s="449" t="str">
        <f>IF(C1244&gt;0,VLOOKUP(C1244,Foundation_Calc!$A$2:$C$13,3,1),
IF(J1244&gt;0,VLOOKUP(J1244,Foundation_Calc!$A$2:$C$13,3,1),""))</f>
        <v>Multi Soil</v>
      </c>
      <c r="AX1244" s="449" t="str">
        <f>IF(C1244&gt;0,VLOOKUP(C1244,Foundation_Calc!$E$35:$G$65,3,1),
IF(J1244&gt;0,VLOOKUP(J1244,Foundation_Calc!$E$35:$G$65,3,1),""))</f>
        <v>K</v>
      </c>
      <c r="AY1244" s="10">
        <f>IF(L1244="","",
IF(AX1244="PT",VLOOKUP(L1244,Foundation_Calc!$K$79:$R$113,VLOOKUP(AW1244,Foundation_Calc!$I$2:$J$8,2,FALSE),0),
IF(AX1244="K",VLOOKUP(L1244,Foundation_Calc!$K$117:$R$151,VLOOKUP(AW1244,Foundation_Calc!$I$2:$J$8,2,FALSE),0),"")))</f>
        <v>4</v>
      </c>
      <c r="AZ1244" s="10" t="str">
        <f>IF(K1244="","",
IF(AX1244="PT",VLOOKUP(K1244,Foundation_Calc!$K$79:$R$113,VLOOKUP(AW1244,Foundation_Calc!$I$2:$J$8,2,FALSE),0),
IF(AX1244="K",VLOOKUP(K1244,Foundation_Calc!$K$117:$R$151,VLOOKUP(AW1244,Foundation_Calc!$I$2:$J$8,2,FALSE),0),"")))</f>
        <v/>
      </c>
      <c r="BA1244" s="495" t="str">
        <f t="shared" si="148"/>
        <v>ü</v>
      </c>
      <c r="BB1244" s="495" t="str">
        <f t="shared" si="149"/>
        <v/>
      </c>
      <c r="BC1244" s="495" t="str">
        <f t="shared" si="150"/>
        <v/>
      </c>
      <c r="BD1244" s="513" t="str">
        <f>IF(AND(L1244="",H1244=""),"",
IF(H1244="",Pole_Calc!A$9,
IF(H1244="MP",Pole_Calc!A$10,
IF(H1244="AnMP",Pole_Calc!A$11,
IF(H1244="A",Pole_Calc!A$12,
IF(H1244="S/A",Pole_Calc!A$13,
IF(H1244="A/S",Pole_Calc!A$14,"Poner a mano")))))))</f>
        <v>App.7-V11I-P9.5.1.1</v>
      </c>
      <c r="BE1244" s="429" t="s">
        <v>118</v>
      </c>
      <c r="BF1244" s="289"/>
      <c r="BG1244" s="289"/>
      <c r="BH1244" s="290"/>
      <c r="BI1244" s="289"/>
    </row>
    <row r="1245" spans="1:61" ht="15.75" customHeight="1">
      <c r="A1245" s="571"/>
      <c r="B1245" s="450"/>
      <c r="C1245" s="3"/>
      <c r="D1245" s="83"/>
      <c r="E1245" s="4"/>
      <c r="F1245" s="4"/>
      <c r="G1245" s="6">
        <v>62</v>
      </c>
      <c r="H1245" s="449"/>
      <c r="I1245" s="4"/>
      <c r="J1245" s="3"/>
      <c r="K1245" s="449"/>
      <c r="L1245" s="449"/>
      <c r="M1245" s="449" t="str">
        <f>IF(L1245="","",
IF(AX1245="PT",VLOOKUP(L1245,Foundation_Calc!$V$79:$X$113,VLOOKUP(AX1245,Foundation_Calc!$I$10:$J$13,2,FALSE),0),
IF(AX1245="K",VLOOKUP(L1245,Foundation_Calc!$V$117:$X$151,VLOOKUP(AX1245,Foundation_Calc!$I$10:$J$13,2,FALSE),0),"")))</f>
        <v/>
      </c>
      <c r="N1245" s="449"/>
      <c r="O1245" s="449"/>
      <c r="P1245" s="449"/>
      <c r="Q1245" s="4"/>
      <c r="R1245" s="6"/>
      <c r="S1245" s="6"/>
      <c r="T1245" s="4"/>
      <c r="U1245" s="4"/>
      <c r="V1245" s="4"/>
      <c r="W1245" s="9"/>
      <c r="X1245" s="9"/>
      <c r="Y1245" s="9"/>
      <c r="Z1245" s="9"/>
      <c r="AA1245" s="9"/>
      <c r="AB1245" s="9"/>
      <c r="AC1245" s="449" t="str">
        <f t="shared" ref="AC1245:AC1271" si="154">IF(OR(AT1245&gt;8,AT1245&lt;-8),"PH",
IF(OR(AT1245&gt;5,AT1245&lt;-5),"PHQ",
IF(OR(AT1245&gt;1,AT1245&lt;-1),
"PHC","")))</f>
        <v/>
      </c>
      <c r="AD1245" s="449"/>
      <c r="AE1245" s="449"/>
      <c r="AF1245" s="4"/>
      <c r="AG1245" s="83"/>
      <c r="AH1245" s="4"/>
      <c r="AI1245" s="4"/>
      <c r="AJ1245" s="449"/>
      <c r="AK1245" s="449"/>
      <c r="AL1245" s="449"/>
      <c r="AM1245" s="449"/>
      <c r="AN1245" s="10"/>
      <c r="AO1245" s="9"/>
      <c r="AP1245" s="9"/>
      <c r="AQ1245" s="9">
        <f>+FL_2($T$1246,$T$1244,$G$1245,1200,9.28, 1*$F$1246)</f>
        <v>-0.45400350967741931</v>
      </c>
      <c r="AR1245" s="9"/>
      <c r="AS1245" s="9"/>
      <c r="AT1245" s="9"/>
      <c r="AU1245" s="428"/>
      <c r="AV1245" s="428"/>
      <c r="AW1245" s="449" t="str">
        <f>IF(C1245&gt;0,VLOOKUP(C1245,Foundation_Calc!$A$2:$C$13,3,1),
IF(J1245&gt;0,VLOOKUP(J1245,Foundation_Calc!$A$2:$C$13,3,1),""))</f>
        <v/>
      </c>
      <c r="AX1245" s="449" t="str">
        <f>IF(C1245&gt;0,VLOOKUP(C1245,Foundation_Calc!$E$35:$G$65,3,1),
IF(J1245&gt;0,VLOOKUP(J1245,Foundation_Calc!$E$35:$G$65,3,1),""))</f>
        <v/>
      </c>
      <c r="AY1245" s="10" t="str">
        <f>IF(L1245="","",
IF(AX1245="PT",VLOOKUP(L1245,Foundation_Calc!$K$79:$R$113,VLOOKUP(AW1245,Foundation_Calc!$I$2:$J$8,2,FALSE),0),
IF(AX1245="K",VLOOKUP(L1245,Foundation_Calc!$K$117:$R$151,VLOOKUP(AW1245,Foundation_Calc!$I$2:$J$8,2,FALSE),0),"")))</f>
        <v/>
      </c>
      <c r="AZ1245" s="10" t="str">
        <f>IF(K1245="","",
IF(AX1245="PT",VLOOKUP(K1245,Foundation_Calc!$K$79:$R$113,VLOOKUP(AW1245,Foundation_Calc!$I$2:$J$8,2,FALSE),0),
IF(AX1245="K",VLOOKUP(K1245,Foundation_Calc!$K$117:$R$151,VLOOKUP(AW1245,Foundation_Calc!$I$2:$J$8,2,FALSE),0),"")))</f>
        <v/>
      </c>
      <c r="BA1245" s="495" t="str">
        <f t="shared" si="148"/>
        <v/>
      </c>
      <c r="BB1245" s="495" t="str">
        <f t="shared" si="149"/>
        <v/>
      </c>
      <c r="BC1245" s="495" t="str">
        <f t="shared" si="150"/>
        <v/>
      </c>
      <c r="BD1245" s="513" t="str">
        <f>IF(AND(L1245="",H1245=""),"",
IF(H1245="",Pole_Calc!A$9,
IF(H1245="MP",Pole_Calc!A$10,
IF(H1245="AnMP",Pole_Calc!A$11,
IF(H1245="A",Pole_Calc!A$12,
IF(H1245="S/A",Pole_Calc!A$13,
IF(H1245="A/S",Pole_Calc!A$14,"Poner a mano")))))))</f>
        <v/>
      </c>
      <c r="BE1245" s="429" t="s">
        <v>118</v>
      </c>
      <c r="BF1245" s="290"/>
      <c r="BG1245" s="290"/>
      <c r="BH1245" s="290"/>
      <c r="BI1245" s="290"/>
    </row>
    <row r="1246" spans="1:61" ht="15.75" customHeight="1">
      <c r="A1246" s="514"/>
      <c r="B1246" s="450" t="s">
        <v>1589</v>
      </c>
      <c r="C1246" s="3">
        <f>+$C$1244+$G$1245</f>
        <v>60480.899999999994</v>
      </c>
      <c r="D1246" s="83"/>
      <c r="E1246" s="4"/>
      <c r="F1246" s="4">
        <v>0</v>
      </c>
      <c r="G1246" s="6"/>
      <c r="H1246" s="449"/>
      <c r="I1246" s="4"/>
      <c r="J1246" s="3"/>
      <c r="K1246" s="449"/>
      <c r="L1246" s="449" t="s">
        <v>153</v>
      </c>
      <c r="M1246" s="449" t="str">
        <f>IF(L1246="","",
IF(AX1246="PT",VLOOKUP(L1246,Foundation_Calc!$V$79:$X$113,VLOOKUP(AX1246,Foundation_Calc!$I$10:$J$13,2,FALSE),0),
IF(AX1246="K",VLOOKUP(L1246,Foundation_Calc!$V$117:$X$151,VLOOKUP(AX1246,Foundation_Calc!$I$10:$J$13,2,FALSE),0),"")))</f>
        <v>C3RT</v>
      </c>
      <c r="N1246" s="449" t="s">
        <v>124</v>
      </c>
      <c r="O1246" s="449"/>
      <c r="P1246" s="449"/>
      <c r="Q1246" s="4"/>
      <c r="R1246" s="6"/>
      <c r="S1246" s="6"/>
      <c r="T1246" s="4">
        <v>-35</v>
      </c>
      <c r="U1246" s="4"/>
      <c r="V1246" s="4"/>
      <c r="W1246" s="9">
        <v>1.4</v>
      </c>
      <c r="X1246" s="9"/>
      <c r="Y1246" s="9"/>
      <c r="Z1246" s="9"/>
      <c r="AA1246" s="9"/>
      <c r="AB1246" s="9"/>
      <c r="AC1246" s="449" t="str">
        <f t="shared" si="154"/>
        <v>PH</v>
      </c>
      <c r="AD1246" s="449"/>
      <c r="AE1246" s="449"/>
      <c r="AF1246" s="4"/>
      <c r="AG1246" s="83"/>
      <c r="AH1246" s="4"/>
      <c r="AI1246" s="4"/>
      <c r="AJ1246" s="449" t="s">
        <v>900</v>
      </c>
      <c r="AK1246" s="449"/>
      <c r="AL1246" s="449"/>
      <c r="AM1246" s="449" t="s">
        <v>126</v>
      </c>
      <c r="AN1246" s="10">
        <v>5.5</v>
      </c>
      <c r="AO1246" s="9"/>
      <c r="AP1246" s="9"/>
      <c r="AQ1246" s="9"/>
      <c r="AR1246" s="9"/>
      <c r="AS1246" s="9"/>
      <c r="AT1246" s="9">
        <f>+ab($T$1246,$T$1244,$T$1248,$G$1245,$G$1247, 1*$F$1246,1200)</f>
        <v>-8.4366201521118445</v>
      </c>
      <c r="AU1246" s="428"/>
      <c r="AV1246" s="428"/>
      <c r="AW1246" s="449" t="str">
        <f>IF(C1246&gt;0,VLOOKUP(C1246,Foundation_Calc!$A$2:$C$13,3,1),
IF(J1246&gt;0,VLOOKUP(J1246,Foundation_Calc!$A$2:$C$13,3,1),""))</f>
        <v>Multi Soil</v>
      </c>
      <c r="AX1246" s="449" t="str">
        <f>IF(C1246&gt;0,VLOOKUP(C1246,Foundation_Calc!$E$35:$G$65,3,1),
IF(J1246&gt;0,VLOOKUP(J1246,Foundation_Calc!$E$35:$G$65,3,1),""))</f>
        <v>K</v>
      </c>
      <c r="AY1246" s="10">
        <f>IF(L1246="","",
IF(AX1246="PT",VLOOKUP(L1246,Foundation_Calc!$K$79:$R$113,VLOOKUP(AW1246,Foundation_Calc!$I$2:$J$8,2,FALSE),0),
IF(AX1246="K",VLOOKUP(L1246,Foundation_Calc!$K$117:$R$151,VLOOKUP(AW1246,Foundation_Calc!$I$2:$J$8,2,FALSE),0),"")))</f>
        <v>4</v>
      </c>
      <c r="AZ1246" s="10" t="str">
        <f>IF(K1246="","",
IF(AX1246="PT",VLOOKUP(K1246,Foundation_Calc!$K$79:$R$113,VLOOKUP(AW1246,Foundation_Calc!$I$2:$J$8,2,FALSE),0),
IF(AX1246="K",VLOOKUP(K1246,Foundation_Calc!$K$117:$R$151,VLOOKUP(AW1246,Foundation_Calc!$I$2:$J$8,2,FALSE),0),"")))</f>
        <v/>
      </c>
      <c r="BA1246" s="495" t="str">
        <f t="shared" si="148"/>
        <v>ü</v>
      </c>
      <c r="BB1246" s="495" t="str">
        <f t="shared" si="149"/>
        <v/>
      </c>
      <c r="BC1246" s="495" t="str">
        <f t="shared" si="150"/>
        <v/>
      </c>
      <c r="BD1246" s="513" t="str">
        <f>IF(AND(L1246="",H1246=""),"",
IF(H1246="",Pole_Calc!A$9,
IF(H1246="MP",Pole_Calc!A$10,
IF(H1246="AnMP",Pole_Calc!A$11,
IF(H1246="A",Pole_Calc!A$12,
IF(H1246="S/A",Pole_Calc!A$13,
IF(H1246="A/S",Pole_Calc!A$14,"Poner a mano")))))))</f>
        <v>App.7-V11I-P9.5.1.1</v>
      </c>
      <c r="BE1246" s="429" t="s">
        <v>118</v>
      </c>
      <c r="BF1246" s="289"/>
      <c r="BG1246" s="289"/>
      <c r="BH1246" s="290"/>
      <c r="BI1246" s="289"/>
    </row>
    <row r="1247" spans="1:61" ht="15.75" customHeight="1">
      <c r="A1247" s="514"/>
      <c r="B1247" s="450"/>
      <c r="C1247" s="3"/>
      <c r="D1247" s="83"/>
      <c r="E1247" s="4"/>
      <c r="F1247" s="4"/>
      <c r="G1247" s="6">
        <v>62</v>
      </c>
      <c r="H1247" s="449"/>
      <c r="I1247" s="449"/>
      <c r="J1247" s="3"/>
      <c r="K1247" s="449"/>
      <c r="L1247" s="449"/>
      <c r="M1247" s="449" t="str">
        <f>IF(L1247="","",
IF(AX1247="PT",VLOOKUP(L1247,Foundation_Calc!$V$79:$X$113,VLOOKUP(AX1247,Foundation_Calc!$I$10:$J$13,2,FALSE),0),
IF(AX1247="K",VLOOKUP(L1247,Foundation_Calc!$V$117:$X$151,VLOOKUP(AX1247,Foundation_Calc!$I$10:$J$13,2,FALSE),0),"")))</f>
        <v/>
      </c>
      <c r="N1247" s="449"/>
      <c r="O1247" s="449"/>
      <c r="P1247" s="449"/>
      <c r="Q1247" s="4"/>
      <c r="R1247" s="6"/>
      <c r="S1247" s="6"/>
      <c r="T1247" s="4"/>
      <c r="U1247" s="4"/>
      <c r="V1247" s="4"/>
      <c r="W1247" s="9"/>
      <c r="X1247" s="9"/>
      <c r="Y1247" s="9"/>
      <c r="Z1247" s="9"/>
      <c r="AA1247" s="9"/>
      <c r="AB1247" s="9"/>
      <c r="AC1247" s="449" t="str">
        <f t="shared" si="154"/>
        <v/>
      </c>
      <c r="AD1247" s="449"/>
      <c r="AE1247" s="449"/>
      <c r="AF1247" s="4"/>
      <c r="AG1247" s="83"/>
      <c r="AH1247" s="4"/>
      <c r="AI1247" s="4"/>
      <c r="AJ1247" s="449"/>
      <c r="AK1247" s="449"/>
      <c r="AL1247" s="449"/>
      <c r="AM1247" s="449"/>
      <c r="AN1247" s="10"/>
      <c r="AO1247" s="9"/>
      <c r="AP1247" s="9"/>
      <c r="AQ1247" s="9">
        <f>+FL_1($T$1248,$T$1246,$G$1247,1200,9.28, 1*$F$1248)</f>
        <v>0.45400350967741931</v>
      </c>
      <c r="AR1247" s="9"/>
      <c r="AS1247" s="9"/>
      <c r="AT1247" s="9"/>
      <c r="AU1247" s="428"/>
      <c r="AV1247" s="428"/>
      <c r="AW1247" s="449" t="str">
        <f>IF(C1247&gt;0,VLOOKUP(C1247,Foundation_Calc!$A$2:$C$13,3,1),
IF(J1247&gt;0,VLOOKUP(J1247,Foundation_Calc!$A$2:$C$13,3,1),""))</f>
        <v/>
      </c>
      <c r="AX1247" s="449" t="str">
        <f>IF(C1247&gt;0,VLOOKUP(C1247,Foundation_Calc!$E$35:$G$65,3,1),
IF(J1247&gt;0,VLOOKUP(J1247,Foundation_Calc!$E$35:$G$65,3,1),""))</f>
        <v/>
      </c>
      <c r="AY1247" s="10" t="str">
        <f>IF(L1247="","",
IF(AX1247="PT",VLOOKUP(L1247,Foundation_Calc!$K$79:$R$113,VLOOKUP(AW1247,Foundation_Calc!$I$2:$J$8,2,FALSE),0),
IF(AX1247="K",VLOOKUP(L1247,Foundation_Calc!$K$117:$R$151,VLOOKUP(AW1247,Foundation_Calc!$I$2:$J$8,2,FALSE),0),"")))</f>
        <v/>
      </c>
      <c r="AZ1247" s="10" t="str">
        <f>IF(K1247="","",
IF(AX1247="PT",VLOOKUP(K1247,Foundation_Calc!$K$79:$R$113,VLOOKUP(AW1247,Foundation_Calc!$I$2:$J$8,2,FALSE),0),
IF(AX1247="K",VLOOKUP(K1247,Foundation_Calc!$K$117:$R$151,VLOOKUP(AW1247,Foundation_Calc!$I$2:$J$8,2,FALSE),0),"")))</f>
        <v/>
      </c>
      <c r="BA1247" s="495" t="str">
        <f t="shared" si="148"/>
        <v/>
      </c>
      <c r="BB1247" s="495" t="str">
        <f t="shared" si="149"/>
        <v/>
      </c>
      <c r="BC1247" s="495" t="str">
        <f t="shared" si="150"/>
        <v/>
      </c>
      <c r="BD1247" s="513" t="str">
        <f>IF(AND(L1247="",H1247=""),"",
IF(H1247="",Pole_Calc!A$9,
IF(H1247="MP",Pole_Calc!A$10,
IF(H1247="AnMP",Pole_Calc!A$11,
IF(H1247="A",Pole_Calc!A$12,
IF(H1247="S/A",Pole_Calc!A$13,
IF(H1247="A/S",Pole_Calc!A$14,"Poner a mano")))))))</f>
        <v/>
      </c>
      <c r="BE1247" s="429" t="s">
        <v>118</v>
      </c>
      <c r="BF1247" s="290"/>
      <c r="BG1247" s="290"/>
      <c r="BH1247" s="290"/>
      <c r="BI1247" s="290"/>
    </row>
    <row r="1248" spans="1:61" ht="15.75" customHeight="1">
      <c r="A1248" s="514"/>
      <c r="B1248" s="450" t="s">
        <v>1590</v>
      </c>
      <c r="C1248" s="3">
        <f>+$C$1246+$G$1247</f>
        <v>60542.899999999994</v>
      </c>
      <c r="D1248" s="83"/>
      <c r="E1248" s="4"/>
      <c r="F1248" s="4">
        <v>0</v>
      </c>
      <c r="G1248" s="6"/>
      <c r="H1248" s="449"/>
      <c r="I1248" s="4"/>
      <c r="J1248" s="3"/>
      <c r="K1248" s="449"/>
      <c r="L1248" s="449" t="s">
        <v>153</v>
      </c>
      <c r="M1248" s="449" t="str">
        <f>IF(L1248="","",
IF(AX1248="PT",VLOOKUP(L1248,Foundation_Calc!$V$79:$X$113,VLOOKUP(AX1248,Foundation_Calc!$I$10:$J$13,2,FALSE),0),
IF(AX1248="K",VLOOKUP(L1248,Foundation_Calc!$V$117:$X$151,VLOOKUP(AX1248,Foundation_Calc!$I$10:$J$13,2,FALSE),0),"")))</f>
        <v>C3RT</v>
      </c>
      <c r="N1248" s="449" t="s">
        <v>134</v>
      </c>
      <c r="O1248" s="449"/>
      <c r="P1248" s="449"/>
      <c r="Q1248" s="4"/>
      <c r="R1248" s="6"/>
      <c r="S1248" s="6"/>
      <c r="T1248" s="4">
        <v>35</v>
      </c>
      <c r="U1248" s="4"/>
      <c r="V1248" s="4"/>
      <c r="W1248" s="9">
        <v>1.4</v>
      </c>
      <c r="X1248" s="9"/>
      <c r="Y1248" s="9"/>
      <c r="Z1248" s="9"/>
      <c r="AA1248" s="9"/>
      <c r="AB1248" s="9"/>
      <c r="AC1248" s="449" t="str">
        <f t="shared" si="154"/>
        <v>PH</v>
      </c>
      <c r="AD1248" s="449"/>
      <c r="AE1248" s="449"/>
      <c r="AF1248" s="4"/>
      <c r="AG1248" s="83"/>
      <c r="AH1248" s="4"/>
      <c r="AI1248" s="4"/>
      <c r="AJ1248" s="449" t="s">
        <v>900</v>
      </c>
      <c r="AK1248" s="449"/>
      <c r="AL1248" s="449"/>
      <c r="AM1248" s="449" t="s">
        <v>126</v>
      </c>
      <c r="AN1248" s="10">
        <v>5.5</v>
      </c>
      <c r="AO1248" s="9"/>
      <c r="AP1248" s="9"/>
      <c r="AQ1248" s="9"/>
      <c r="AR1248" s="9"/>
      <c r="AS1248" s="9"/>
      <c r="AT1248" s="9">
        <f>+ab($T$1248,$T$1246,$T$1250,$G$1247,$G$1249, 1*$F$1248,1200)</f>
        <v>8.4365744899000195</v>
      </c>
      <c r="AU1248" s="428"/>
      <c r="AV1248" s="428"/>
      <c r="AW1248" s="449" t="str">
        <f>IF(C1248&gt;0,VLOOKUP(C1248,Foundation_Calc!$A$2:$C$13,3,1),
IF(J1248&gt;0,VLOOKUP(J1248,Foundation_Calc!$A$2:$C$13,3,1),""))</f>
        <v>Multi Soil</v>
      </c>
      <c r="AX1248" s="449" t="str">
        <f>IF(C1248&gt;0,VLOOKUP(C1248,Foundation_Calc!$E$35:$G$65,3,1),
IF(J1248&gt;0,VLOOKUP(J1248,Foundation_Calc!$E$35:$G$65,3,1),""))</f>
        <v>K</v>
      </c>
      <c r="AY1248" s="10">
        <f>IF(L1248="","",
IF(AX1248="PT",VLOOKUP(L1248,Foundation_Calc!$K$79:$R$113,VLOOKUP(AW1248,Foundation_Calc!$I$2:$J$8,2,FALSE),0),
IF(AX1248="K",VLOOKUP(L1248,Foundation_Calc!$K$117:$R$151,VLOOKUP(AW1248,Foundation_Calc!$I$2:$J$8,2,FALSE),0),"")))</f>
        <v>4</v>
      </c>
      <c r="AZ1248" s="10" t="str">
        <f>IF(K1248="","",
IF(AX1248="PT",VLOOKUP(K1248,Foundation_Calc!$K$79:$R$113,VLOOKUP(AW1248,Foundation_Calc!$I$2:$J$8,2,FALSE),0),
IF(AX1248="K",VLOOKUP(K1248,Foundation_Calc!$K$117:$R$151,VLOOKUP(AW1248,Foundation_Calc!$I$2:$J$8,2,FALSE),0),"")))</f>
        <v/>
      </c>
      <c r="BA1248" s="495" t="str">
        <f t="shared" si="148"/>
        <v>ü</v>
      </c>
      <c r="BB1248" s="495" t="str">
        <f t="shared" si="149"/>
        <v/>
      </c>
      <c r="BC1248" s="495" t="str">
        <f t="shared" si="150"/>
        <v/>
      </c>
      <c r="BD1248" s="513" t="str">
        <f>IF(AND(L1248="",H1248=""),"",
IF(H1248="",Pole_Calc!A$9,
IF(H1248="MP",Pole_Calc!A$10,
IF(H1248="AnMP",Pole_Calc!A$11,
IF(H1248="A",Pole_Calc!A$12,
IF(H1248="S/A",Pole_Calc!A$13,
IF(H1248="A/S",Pole_Calc!A$14,"Poner a mano")))))))</f>
        <v>App.7-V11I-P9.5.1.1</v>
      </c>
      <c r="BE1248" s="429" t="s">
        <v>118</v>
      </c>
      <c r="BF1248" s="289"/>
      <c r="BG1248" s="289"/>
      <c r="BH1248" s="290"/>
      <c r="BI1248" s="289"/>
    </row>
    <row r="1249" spans="1:61" ht="15.75" customHeight="1">
      <c r="A1249" s="571"/>
      <c r="B1249" s="450"/>
      <c r="C1249" s="3"/>
      <c r="D1249" s="83"/>
      <c r="E1249" s="4"/>
      <c r="F1249" s="4"/>
      <c r="G1249" s="6">
        <v>62</v>
      </c>
      <c r="H1249" s="449"/>
      <c r="I1249" s="4"/>
      <c r="J1249" s="3"/>
      <c r="K1249" s="449"/>
      <c r="L1249" s="449"/>
      <c r="M1249" s="449" t="str">
        <f>IF(L1249="","",
IF(AX1249="PT",VLOOKUP(L1249,Foundation_Calc!$V$79:$X$113,VLOOKUP(AX1249,Foundation_Calc!$I$10:$J$13,2,FALSE),0),
IF(AX1249="K",VLOOKUP(L1249,Foundation_Calc!$V$117:$X$151,VLOOKUP(AX1249,Foundation_Calc!$I$10:$J$13,2,FALSE),0),"")))</f>
        <v/>
      </c>
      <c r="N1249" s="449"/>
      <c r="O1249" s="449"/>
      <c r="P1249" s="449"/>
      <c r="Q1249" s="4"/>
      <c r="R1249" s="6"/>
      <c r="S1249" s="6"/>
      <c r="T1249" s="4"/>
      <c r="U1249" s="4"/>
      <c r="V1249" s="4"/>
      <c r="W1249" s="9"/>
      <c r="X1249" s="9"/>
      <c r="Y1249" s="9"/>
      <c r="Z1249" s="9"/>
      <c r="AA1249" s="9"/>
      <c r="AB1249" s="9"/>
      <c r="AC1249" s="449" t="str">
        <f t="shared" si="154"/>
        <v/>
      </c>
      <c r="AD1249" s="449"/>
      <c r="AE1249" s="449"/>
      <c r="AF1249" s="4"/>
      <c r="AG1249" s="83"/>
      <c r="AH1249" s="4"/>
      <c r="AI1249" s="4"/>
      <c r="AJ1249" s="449"/>
      <c r="AK1249" s="449"/>
      <c r="AL1249" s="449"/>
      <c r="AM1249" s="449"/>
      <c r="AN1249" s="10"/>
      <c r="AO1249" s="9"/>
      <c r="AP1249" s="9"/>
      <c r="AQ1249" s="9">
        <f>+FL_2($T$1250,$T$1248,$G$1249,1200,9.28, 1*$F$1250)</f>
        <v>-0.45400350967741931</v>
      </c>
      <c r="AR1249" s="9"/>
      <c r="AS1249" s="9"/>
      <c r="AT1249" s="9"/>
      <c r="AU1249" s="428"/>
      <c r="AV1249" s="428"/>
      <c r="AW1249" s="449" t="str">
        <f>IF(C1249&gt;0,VLOOKUP(C1249,Foundation_Calc!$A$2:$C$13,3,1),
IF(J1249&gt;0,VLOOKUP(J1249,Foundation_Calc!$A$2:$C$13,3,1),""))</f>
        <v/>
      </c>
      <c r="AX1249" s="449" t="str">
        <f>IF(C1249&gt;0,VLOOKUP(C1249,Foundation_Calc!$E$35:$G$65,3,1),
IF(J1249&gt;0,VLOOKUP(J1249,Foundation_Calc!$E$35:$G$65,3,1),""))</f>
        <v/>
      </c>
      <c r="AY1249" s="10" t="str">
        <f>IF(L1249="","",
IF(AX1249="PT",VLOOKUP(L1249,Foundation_Calc!$K$79:$R$113,VLOOKUP(AW1249,Foundation_Calc!$I$2:$J$8,2,FALSE),0),
IF(AX1249="K",VLOOKUP(L1249,Foundation_Calc!$K$117:$R$151,VLOOKUP(AW1249,Foundation_Calc!$I$2:$J$8,2,FALSE),0),"")))</f>
        <v/>
      </c>
      <c r="AZ1249" s="10" t="str">
        <f>IF(K1249="","",
IF(AX1249="PT",VLOOKUP(K1249,Foundation_Calc!$K$79:$R$113,VLOOKUP(AW1249,Foundation_Calc!$I$2:$J$8,2,FALSE),0),
IF(AX1249="K",VLOOKUP(K1249,Foundation_Calc!$K$117:$R$151,VLOOKUP(AW1249,Foundation_Calc!$I$2:$J$8,2,FALSE),0),"")))</f>
        <v/>
      </c>
      <c r="BA1249" s="495" t="str">
        <f t="shared" si="148"/>
        <v/>
      </c>
      <c r="BB1249" s="495" t="str">
        <f t="shared" si="149"/>
        <v/>
      </c>
      <c r="BC1249" s="495" t="str">
        <f t="shared" si="150"/>
        <v/>
      </c>
      <c r="BD1249" s="513" t="str">
        <f>IF(AND(L1249="",H1249=""),"",
IF(H1249="",Pole_Calc!A$9,
IF(H1249="MP",Pole_Calc!A$10,
IF(H1249="AnMP",Pole_Calc!A$11,
IF(H1249="A",Pole_Calc!A$12,
IF(H1249="S/A",Pole_Calc!A$13,
IF(H1249="A/S",Pole_Calc!A$14,"Poner a mano")))))))</f>
        <v/>
      </c>
      <c r="BE1249" s="429" t="s">
        <v>118</v>
      </c>
      <c r="BF1249" s="290"/>
      <c r="BG1249" s="290"/>
      <c r="BH1249" s="290"/>
      <c r="BI1249" s="290"/>
    </row>
    <row r="1250" spans="1:61" ht="15.75" customHeight="1">
      <c r="A1250" s="571"/>
      <c r="B1250" s="450" t="s">
        <v>1591</v>
      </c>
      <c r="C1250" s="3">
        <f>+$C$1248+$G$1249</f>
        <v>60604.899999999994</v>
      </c>
      <c r="D1250" s="83"/>
      <c r="E1250" s="4"/>
      <c r="F1250" s="4">
        <v>0</v>
      </c>
      <c r="G1250" s="6"/>
      <c r="H1250" s="449"/>
      <c r="I1250" s="4"/>
      <c r="J1250" s="3"/>
      <c r="K1250" s="449"/>
      <c r="L1250" s="449" t="s">
        <v>153</v>
      </c>
      <c r="M1250" s="449" t="str">
        <f>IF(L1250="","",
IF(AX1250="PT",VLOOKUP(L1250,Foundation_Calc!$V$79:$X$113,VLOOKUP(AX1250,Foundation_Calc!$I$10:$J$13,2,FALSE),0),
IF(AX1250="K",VLOOKUP(L1250,Foundation_Calc!$V$117:$X$151,VLOOKUP(AX1250,Foundation_Calc!$I$10:$J$13,2,FALSE),0),"")))</f>
        <v>C3RT</v>
      </c>
      <c r="N1250" s="449" t="s">
        <v>124</v>
      </c>
      <c r="O1250" s="449"/>
      <c r="P1250" s="449"/>
      <c r="Q1250" s="4"/>
      <c r="R1250" s="6"/>
      <c r="S1250" s="6"/>
      <c r="T1250" s="4">
        <v>-35</v>
      </c>
      <c r="U1250" s="4"/>
      <c r="V1250" s="4"/>
      <c r="W1250" s="9">
        <v>1.4</v>
      </c>
      <c r="X1250" s="9"/>
      <c r="Y1250" s="9"/>
      <c r="Z1250" s="9"/>
      <c r="AA1250" s="9"/>
      <c r="AB1250" s="9"/>
      <c r="AC1250" s="449" t="str">
        <f t="shared" si="154"/>
        <v>PH</v>
      </c>
      <c r="AD1250" s="449"/>
      <c r="AE1250" s="449"/>
      <c r="AF1250" s="4"/>
      <c r="AG1250" s="83"/>
      <c r="AH1250" s="4"/>
      <c r="AI1250" s="4"/>
      <c r="AJ1250" s="449" t="s">
        <v>900</v>
      </c>
      <c r="AK1250" s="449"/>
      <c r="AL1250" s="449"/>
      <c r="AM1250" s="449" t="s">
        <v>126</v>
      </c>
      <c r="AN1250" s="10">
        <v>5.5</v>
      </c>
      <c r="AO1250" s="9"/>
      <c r="AP1250" s="9"/>
      <c r="AQ1250" s="9"/>
      <c r="AR1250" s="9"/>
      <c r="AS1250" s="9"/>
      <c r="AT1250" s="9">
        <f>+ab($T$1250,$T$1248,$T$1252,$G$1249,$G$1251, 1*$F$1250,1200)</f>
        <v>-8.6083033211149758</v>
      </c>
      <c r="AU1250" s="428"/>
      <c r="AV1250" s="428"/>
      <c r="AW1250" s="449" t="str">
        <f>IF(C1250&gt;0,VLOOKUP(C1250,Foundation_Calc!$A$2:$C$13,3,1),
IF(J1250&gt;0,VLOOKUP(J1250,Foundation_Calc!$A$2:$C$13,3,1),""))</f>
        <v>Multi Soil</v>
      </c>
      <c r="AX1250" s="449" t="str">
        <f>IF(C1250&gt;0,VLOOKUP(C1250,Foundation_Calc!$E$35:$G$65,3,1),
IF(J1250&gt;0,VLOOKUP(J1250,Foundation_Calc!$E$35:$G$65,3,1),""))</f>
        <v>K</v>
      </c>
      <c r="AY1250" s="10">
        <f>IF(L1250="","",
IF(AX1250="PT",VLOOKUP(L1250,Foundation_Calc!$K$79:$R$113,VLOOKUP(AW1250,Foundation_Calc!$I$2:$J$8,2,FALSE),0),
IF(AX1250="K",VLOOKUP(L1250,Foundation_Calc!$K$117:$R$151,VLOOKUP(AW1250,Foundation_Calc!$I$2:$J$8,2,FALSE),0),"")))</f>
        <v>4</v>
      </c>
      <c r="AZ1250" s="10" t="str">
        <f>IF(K1250="","",
IF(AX1250="PT",VLOOKUP(K1250,Foundation_Calc!$K$79:$R$113,VLOOKUP(AW1250,Foundation_Calc!$I$2:$J$8,2,FALSE),0),
IF(AX1250="K",VLOOKUP(K1250,Foundation_Calc!$K$117:$R$151,VLOOKUP(AW1250,Foundation_Calc!$I$2:$J$8,2,FALSE),0),"")))</f>
        <v/>
      </c>
      <c r="BA1250" s="495" t="str">
        <f t="shared" si="148"/>
        <v>ü</v>
      </c>
      <c r="BB1250" s="495" t="str">
        <f t="shared" si="149"/>
        <v/>
      </c>
      <c r="BC1250" s="495" t="str">
        <f t="shared" si="150"/>
        <v/>
      </c>
      <c r="BD1250" s="513" t="str">
        <f>IF(AND(L1250="",H1250=""),"",
IF(H1250="",Pole_Calc!A$9,
IF(H1250="MP",Pole_Calc!A$10,
IF(H1250="AnMP",Pole_Calc!A$11,
IF(H1250="A",Pole_Calc!A$12,
IF(H1250="S/A",Pole_Calc!A$13,
IF(H1250="A/S",Pole_Calc!A$14,"Poner a mano")))))))</f>
        <v>App.7-V11I-P9.5.1.1</v>
      </c>
      <c r="BE1250" s="429" t="s">
        <v>118</v>
      </c>
      <c r="BF1250" s="289"/>
      <c r="BG1250" s="289"/>
      <c r="BH1250" s="290"/>
      <c r="BI1250" s="289"/>
    </row>
    <row r="1251" spans="1:61" ht="15.75" customHeight="1">
      <c r="A1251" s="514" t="s">
        <v>169</v>
      </c>
      <c r="B1251" s="450"/>
      <c r="C1251" s="3"/>
      <c r="D1251" s="83"/>
      <c r="E1251" s="4"/>
      <c r="F1251" s="4"/>
      <c r="G1251" s="6">
        <v>60</v>
      </c>
      <c r="H1251" s="449"/>
      <c r="I1251" s="4"/>
      <c r="J1251" s="3">
        <f>C1252-7.5</f>
        <v>60656.899999999994</v>
      </c>
      <c r="K1251" s="449" t="s">
        <v>117</v>
      </c>
      <c r="L1251" s="449"/>
      <c r="M1251" s="449" t="str">
        <f>IF(L1251="","",
IF(AX1251="PT",VLOOKUP(L1251,Foundation_Calc!$V$79:$X$113,VLOOKUP(AX1251,Foundation_Calc!$I$10:$J$13,2,FALSE),0),
IF(AX1251="K",VLOOKUP(L1251,Foundation_Calc!$V$117:$X$151,VLOOKUP(AX1251,Foundation_Calc!$I$10:$J$13,2,FALSE),0),"")))</f>
        <v/>
      </c>
      <c r="N1251" s="449"/>
      <c r="O1251" s="449"/>
      <c r="P1251" s="449"/>
      <c r="Q1251" s="4"/>
      <c r="R1251" s="6"/>
      <c r="S1251" s="6"/>
      <c r="T1251" s="4"/>
      <c r="U1251" s="4"/>
      <c r="V1251" s="4"/>
      <c r="W1251" s="9"/>
      <c r="X1251" s="9"/>
      <c r="Y1251" s="9"/>
      <c r="Z1251" s="9"/>
      <c r="AA1251" s="9"/>
      <c r="AB1251" s="9"/>
      <c r="AC1251" s="449" t="str">
        <f t="shared" si="154"/>
        <v/>
      </c>
      <c r="AD1251" s="449"/>
      <c r="AE1251" s="449"/>
      <c r="AF1251" s="4"/>
      <c r="AG1251" s="83"/>
      <c r="AH1251" s="4"/>
      <c r="AI1251" s="4"/>
      <c r="AJ1251" s="449"/>
      <c r="AK1251" s="449"/>
      <c r="AL1251" s="449"/>
      <c r="AM1251" s="449"/>
      <c r="AN1251" s="10"/>
      <c r="AO1251" s="9"/>
      <c r="AP1251" s="9"/>
      <c r="AQ1251" s="9">
        <f>+FL_2($T$1252,$T$1250,$G$1251,1200,9.28, 1*$F$1252)</f>
        <v>-0.44888002800000004</v>
      </c>
      <c r="AR1251" s="9"/>
      <c r="AS1251" s="9"/>
      <c r="AT1251" s="9"/>
      <c r="AU1251" s="428"/>
      <c r="AV1251" s="428"/>
      <c r="AW1251" s="449" t="str">
        <f>IF(C1251&gt;0,VLOOKUP(C1251,Foundation_Calc!$A$2:$C$13,3,1),
IF(J1251&gt;0,VLOOKUP(J1251,Foundation_Calc!$A$2:$C$13,3,1),""))</f>
        <v>Multi Soil</v>
      </c>
      <c r="AX1251" s="449" t="s">
        <v>1592</v>
      </c>
      <c r="AY1251" s="10" t="str">
        <f>IF(L1251="","",
IF(AX1251="PT",VLOOKUP(L1251,Foundation_Calc!$K$79:$R$113,VLOOKUP(AW1251,Foundation_Calc!$I$2:$J$8,2,FALSE),0),
IF(AX1251="K",VLOOKUP(L1251,Foundation_Calc!$K$117:$R$151,VLOOKUP(AW1251,Foundation_Calc!$I$2:$J$8,2,FALSE),0),"")))</f>
        <v/>
      </c>
      <c r="AZ1251" s="10">
        <f>IF(K1251="","",
IF(AX1251="PT",VLOOKUP(K1251,Foundation_Calc!$K$79:$R$113,VLOOKUP(AW1251,Foundation_Calc!$I$2:$J$8,2,FALSE),0),
IF(AX1251="K",VLOOKUP(K1251,Foundation_Calc!$K$117:$R$151,VLOOKUP(AW1251,Foundation_Calc!$I$2:$J$8,2,FALSE),0),"")))</f>
        <v>3.9</v>
      </c>
      <c r="BA1251" s="495" t="str">
        <f t="shared" ref="BA1251:BA1271" si="155">IF(AY1251="","",IF(AY1251&gt;0,"ü",""))</f>
        <v/>
      </c>
      <c r="BB1251" s="495" t="str">
        <f t="shared" ref="BB1251:BB1271" si="156">IF(AZ1251="","",IF(AZ1251&gt;0,"ü",""))</f>
        <v>ü</v>
      </c>
      <c r="BC1251" s="495" t="str">
        <f t="shared" ref="BC1251:BC1271" si="157">IF(M1251="","",IF(M1251="U.S.","ü",IF(M1251="U.S. N.D.","ü","")))</f>
        <v/>
      </c>
      <c r="BD1251" s="513" t="str">
        <f>IF(AND(L1251="",H1251=""),"",
IF(H1251="",Pole_Calc!A$9,
IF(H1251="MP",Pole_Calc!A$10,
IF(H1251="AnMP",Pole_Calc!A$11,
IF(H1251="A",Pole_Calc!A$12,
IF(H1251="S/A",Pole_Calc!A$13,
IF(H1251="A/S",Pole_Calc!A$14,"Poner a mano")))))))</f>
        <v/>
      </c>
      <c r="BE1251" s="429" t="s">
        <v>118</v>
      </c>
      <c r="BF1251" s="290"/>
      <c r="BG1251" s="290"/>
      <c r="BH1251" s="290"/>
      <c r="BI1251" s="290"/>
    </row>
    <row r="1252" spans="1:61" ht="15.75" customHeight="1">
      <c r="A1252" s="646" t="s">
        <v>916</v>
      </c>
      <c r="B1252" s="637" t="s">
        <v>1593</v>
      </c>
      <c r="C1252" s="638">
        <f>+$C$1250+$G$1251-0.5</f>
        <v>60664.399999999994</v>
      </c>
      <c r="D1252" s="639"/>
      <c r="E1252" s="640"/>
      <c r="F1252" s="640">
        <v>0</v>
      </c>
      <c r="G1252" s="641"/>
      <c r="H1252" s="642" t="s">
        <v>121</v>
      </c>
      <c r="I1252" s="642" t="s">
        <v>122</v>
      </c>
      <c r="J1252" s="638"/>
      <c r="K1252" s="642"/>
      <c r="L1252" s="642" t="s">
        <v>151</v>
      </c>
      <c r="M1252" s="642" t="str">
        <f>IF(L1252="","",
IF(AX1252="PT",VLOOKUP(L1252,Foundation_Calc!$V$79:$X$113,VLOOKUP(AX1252,Foundation_Calc!$I$10:$J$13,2,FALSE),0),
IF(AX1252="K",VLOOKUP(L1252,Foundation_Calc!$V$117:$X$151,VLOOKUP(AX1252,Foundation_Calc!$I$10:$J$13,2,FALSE),0),"")))</f>
        <v>C4R</v>
      </c>
      <c r="N1252" s="642" t="s">
        <v>134</v>
      </c>
      <c r="O1252" s="642"/>
      <c r="P1252" s="642"/>
      <c r="Q1252" s="640"/>
      <c r="R1252" s="641"/>
      <c r="S1252" s="641"/>
      <c r="T1252" s="640">
        <v>30</v>
      </c>
      <c r="U1252" s="640"/>
      <c r="V1252" s="640"/>
      <c r="W1252" s="643">
        <v>1.4</v>
      </c>
      <c r="X1252" s="643"/>
      <c r="Y1252" s="643"/>
      <c r="Z1252" s="643"/>
      <c r="AA1252" s="643"/>
      <c r="AB1252" s="643"/>
      <c r="AC1252" s="642" t="str">
        <f t="shared" si="154"/>
        <v>PH</v>
      </c>
      <c r="AD1252" s="642"/>
      <c r="AE1252" s="642"/>
      <c r="AF1252" s="640"/>
      <c r="AG1252" s="639"/>
      <c r="AH1252" s="640"/>
      <c r="AI1252" s="640"/>
      <c r="AJ1252" s="642" t="s">
        <v>900</v>
      </c>
      <c r="AK1252" s="642"/>
      <c r="AL1252" s="642"/>
      <c r="AM1252" s="642" t="s">
        <v>126</v>
      </c>
      <c r="AN1252" s="644">
        <v>5.5</v>
      </c>
      <c r="AO1252" s="643"/>
      <c r="AP1252" s="643"/>
      <c r="AQ1252" s="643"/>
      <c r="AR1252" s="643"/>
      <c r="AS1252" s="643"/>
      <c r="AT1252" s="643">
        <f>+ab($T$1252,$T$1250,$U$1256,$G$1251,$G$1253, 1*$F$1252,1200)</f>
        <v>8.5650928349177189</v>
      </c>
      <c r="AU1252" s="645"/>
      <c r="AV1252" s="645"/>
      <c r="AW1252" s="642" t="str">
        <f>IF(C1252&gt;0,VLOOKUP(C1252,Foundation_Calc!$A$2:$C$13,3,1),
IF(J1252&gt;0,VLOOKUP(J1252,Foundation_Calc!$A$2:$C$13,3,1),""))</f>
        <v>Multi Soil</v>
      </c>
      <c r="AX1252" s="642" t="s">
        <v>1592</v>
      </c>
      <c r="AY1252" s="644">
        <f>IF(L1252="","",
IF(AX1252="PT",VLOOKUP(L1252,Foundation_Calc!$K$79:$R$113,VLOOKUP(AW1252,Foundation_Calc!$I$2:$J$8,2,FALSE),0),
IF(AX1252="K",VLOOKUP(L1252,Foundation_Calc!$K$117:$R$151,VLOOKUP(AW1252,Foundation_Calc!$I$2:$J$8,2,FALSE),0),"")))</f>
        <v>3.5</v>
      </c>
      <c r="AZ1252" s="644" t="str">
        <f>IF(K1252="","",
IF(AX1252="PT",VLOOKUP(K1252,Foundation_Calc!$K$79:$R$113,VLOOKUP(AW1252,Foundation_Calc!$I$2:$J$8,2,FALSE),0),
IF(AX1252="K",VLOOKUP(K1252,Foundation_Calc!$K$117:$R$151,VLOOKUP(AW1252,Foundation_Calc!$I$2:$J$8,2,FALSE),0),"")))</f>
        <v/>
      </c>
      <c r="BA1252" s="495" t="str">
        <f t="shared" si="155"/>
        <v>ü</v>
      </c>
      <c r="BB1252" s="495" t="str">
        <f t="shared" si="156"/>
        <v/>
      </c>
      <c r="BC1252" s="495" t="str">
        <f t="shared" si="157"/>
        <v/>
      </c>
      <c r="BD1252" s="513" t="str">
        <f>IF(AND(L1252="",H1252=""),"",
IF(H1252="",Pole_Calc!A$9,
IF(H1252="MP",Pole_Calc!A$10,
IF(H1252="AnMP",Pole_Calc!A$11,
IF(H1252="A",Pole_Calc!A$12,
IF(H1252="S/A",Pole_Calc!A$13,
IF(H1252="A/S",Pole_Calc!A$14,"Poner a mano")))))))</f>
        <v>App.7-V11I-P9.5.1.6</v>
      </c>
      <c r="BE1252" s="429" t="s">
        <v>118</v>
      </c>
      <c r="BF1252" s="289"/>
      <c r="BG1252" s="289"/>
      <c r="BH1252" s="290"/>
      <c r="BI1252" s="289"/>
    </row>
    <row r="1253" spans="1:61" ht="15.75" customHeight="1">
      <c r="A1253" s="571" t="s">
        <v>119</v>
      </c>
      <c r="B1253" s="450"/>
      <c r="C1253" s="3"/>
      <c r="D1253" s="83"/>
      <c r="E1253" s="4"/>
      <c r="F1253" s="4"/>
      <c r="G1253" s="6">
        <v>57</v>
      </c>
      <c r="H1253" s="449"/>
      <c r="I1253" s="4"/>
      <c r="J1253" s="3"/>
      <c r="K1253" s="449"/>
      <c r="L1253" s="449"/>
      <c r="M1253" s="449" t="str">
        <f>IF(L1253="","",
IF(AX1253="PT",VLOOKUP(L1253,Foundation_Calc!$V$79:$X$113,VLOOKUP(AX1253,Foundation_Calc!$I$10:$J$13,2,FALSE),0),
IF(AX1253="K",VLOOKUP(L1253,Foundation_Calc!$V$117:$X$151,VLOOKUP(AX1253,Foundation_Calc!$I$10:$J$13,2,FALSE),0),"")))</f>
        <v/>
      </c>
      <c r="N1253" s="449"/>
      <c r="O1253" s="449"/>
      <c r="P1253" s="449"/>
      <c r="Q1253" s="4"/>
      <c r="R1253" s="6"/>
      <c r="S1253" s="6"/>
      <c r="T1253" s="4"/>
      <c r="U1253" s="4"/>
      <c r="V1253" s="4"/>
      <c r="W1253" s="9"/>
      <c r="X1253" s="9"/>
      <c r="Y1253" s="9"/>
      <c r="Z1253" s="9"/>
      <c r="AA1253" s="9"/>
      <c r="AB1253" s="9"/>
      <c r="AC1253" s="449" t="str">
        <f t="shared" si="154"/>
        <v/>
      </c>
      <c r="AD1253" s="449"/>
      <c r="AE1253" s="449"/>
      <c r="AF1253" s="4"/>
      <c r="AG1253" s="83"/>
      <c r="AH1253" s="4"/>
      <c r="AI1253" s="4"/>
      <c r="AJ1253" s="449"/>
      <c r="AK1253" s="449"/>
      <c r="AL1253" s="449"/>
      <c r="AM1253" s="449"/>
      <c r="AN1253" s="10"/>
      <c r="AO1253" s="9"/>
      <c r="AP1253" s="9"/>
      <c r="AQ1253" s="9">
        <f>+FL_1($U$1256,$T$1252,$G$1253,1200,9.28, 1*$F$1254)</f>
        <v>0.37314758771929835</v>
      </c>
      <c r="AR1253" s="9"/>
      <c r="AS1253" s="9"/>
      <c r="AT1253" s="9"/>
      <c r="AU1253" s="428"/>
      <c r="AV1253" s="428"/>
      <c r="AW1253" s="449" t="str">
        <f>IF(C1253&gt;0,VLOOKUP(C1253,Foundation_Calc!$A$2:$C$13,3,1),
IF(J1253&gt;0,VLOOKUP(J1253,Foundation_Calc!$A$2:$C$13,3,1),""))</f>
        <v/>
      </c>
      <c r="AX1253" s="449"/>
      <c r="AY1253" s="10" t="str">
        <f>IF(L1253="","",
IF(AX1253="PT",VLOOKUP(L1253,Foundation_Calc!$K$79:$R$113,VLOOKUP(AW1253,Foundation_Calc!$I$2:$J$8,2,FALSE),0),
IF(AX1253="K",VLOOKUP(L1253,Foundation_Calc!$K$117:$R$151,VLOOKUP(AW1253,Foundation_Calc!$I$2:$J$8,2,FALSE),0),"")))</f>
        <v/>
      </c>
      <c r="AZ1253" s="10" t="str">
        <f>IF(K1253="","",
IF(AX1253="PT",VLOOKUP(K1253,Foundation_Calc!$K$79:$R$113,VLOOKUP(AW1253,Foundation_Calc!$I$2:$J$8,2,FALSE),0),
IF(AX1253="K",VLOOKUP(K1253,Foundation_Calc!$K$117:$R$151,VLOOKUP(AW1253,Foundation_Calc!$I$2:$J$8,2,FALSE),0),"")))</f>
        <v/>
      </c>
      <c r="BA1253" s="495" t="str">
        <f t="shared" ref="BA1253:BA1255" si="158">IF(AY1253="","",IF(AY1253&gt;0,"ü",""))</f>
        <v/>
      </c>
      <c r="BB1253" s="495" t="str">
        <f t="shared" ref="BB1253:BB1255" si="159">IF(AZ1253="","",IF(AZ1253&gt;0,"ü",""))</f>
        <v/>
      </c>
      <c r="BC1253" s="495" t="str">
        <f t="shared" ref="BC1253:BC1255" si="160">IF(M1253="","",IF(M1253="U.S.","ü",IF(M1253="U.S. N.D.","ü","")))</f>
        <v/>
      </c>
      <c r="BD1253" s="513" t="str">
        <f>IF(AND(L1253="",H1253=""),"",
IF(H1253="",Pole_Calc!A$9,
IF(H1253="MP",Pole_Calc!A$10,
IF(H1253="AnMP",Pole_Calc!A$11,
IF(H1253="A",Pole_Calc!A$12,
IF(H1253="S/A",Pole_Calc!A$13,
IF(H1253="A/S",Pole_Calc!A$14,"Poner a mano")))))))</f>
        <v/>
      </c>
      <c r="BE1253" s="429" t="s">
        <v>118</v>
      </c>
      <c r="BF1253" s="290"/>
      <c r="BG1253" s="290"/>
      <c r="BH1253" s="290"/>
      <c r="BI1253" s="290"/>
    </row>
    <row r="1254" spans="1:61" ht="15.75" customHeight="1">
      <c r="A1254" s="571" t="s">
        <v>119</v>
      </c>
      <c r="B1254" s="450" t="s">
        <v>1594</v>
      </c>
      <c r="C1254" s="3">
        <f>+$C$1256-$G$1255</f>
        <v>60696.399999999994</v>
      </c>
      <c r="D1254" s="83"/>
      <c r="E1254" s="4"/>
      <c r="F1254" s="4"/>
      <c r="G1254" s="6"/>
      <c r="H1254" s="449"/>
      <c r="I1254" s="4"/>
      <c r="J1254" s="3"/>
      <c r="K1254" s="449"/>
      <c r="L1254" s="449" t="s">
        <v>128</v>
      </c>
      <c r="M1254" s="449" t="str">
        <f>IF(L1254="","",
IF(AX1254="PT",VLOOKUP(L1254,Foundation_Calc!$V$79:$X$113,VLOOKUP(AX1254,Foundation_Calc!$I$10:$J$13,2,FALSE),0),
IF(AX1254="K",VLOOKUP(L1254,Foundation_Calc!$V$117:$X$151,VLOOKUP(AX1254,Foundation_Calc!$I$10:$J$13,2,FALSE),0),"")))</f>
        <v>T-SING FOUND.</v>
      </c>
      <c r="N1254" s="449"/>
      <c r="O1254" s="449"/>
      <c r="P1254" s="449"/>
      <c r="Q1254" s="4"/>
      <c r="R1254" s="6"/>
      <c r="S1254" s="6"/>
      <c r="T1254" s="4"/>
      <c r="U1254" s="4"/>
      <c r="V1254" s="4"/>
      <c r="W1254" s="9"/>
      <c r="X1254" s="9"/>
      <c r="Y1254" s="9"/>
      <c r="Z1254" s="9"/>
      <c r="AA1254" s="9"/>
      <c r="AB1254" s="9"/>
      <c r="AC1254" s="449" t="str">
        <f t="shared" si="154"/>
        <v/>
      </c>
      <c r="AD1254" s="449"/>
      <c r="AE1254" s="449"/>
      <c r="AF1254" s="4"/>
      <c r="AG1254" s="83"/>
      <c r="AH1254" s="4"/>
      <c r="AI1254" s="4"/>
      <c r="AJ1254" s="449"/>
      <c r="AK1254" s="449"/>
      <c r="AL1254" s="449"/>
      <c r="AM1254" s="449"/>
      <c r="AN1254" s="10">
        <v>5.5</v>
      </c>
      <c r="AO1254" s="9"/>
      <c r="AP1254" s="9"/>
      <c r="AQ1254" s="9"/>
      <c r="AR1254" s="9"/>
      <c r="AS1254" s="9"/>
      <c r="AT1254" s="9"/>
      <c r="AU1254" s="428"/>
      <c r="AV1254" s="428"/>
      <c r="AW1254" s="449" t="str">
        <f>IF(C1254&gt;0,VLOOKUP(C1254,Foundation_Calc!$A$2:$C$13,3,1),
IF(J1254&gt;0,VLOOKUP(J1254,Foundation_Calc!$A$2:$C$13,3,1),""))</f>
        <v>Multi Soil</v>
      </c>
      <c r="AX1254" s="449" t="s">
        <v>1592</v>
      </c>
      <c r="AY1254" s="10">
        <f>IF(L1254="","",
IF(AX1254="PT",VLOOKUP(L1254,Foundation_Calc!$K$79:$R$113,VLOOKUP(AW1254,Foundation_Calc!$I$2:$J$8,2,FALSE),0),
IF(AX1254="K",VLOOKUP(L1254,Foundation_Calc!$K$117:$R$151,VLOOKUP(AW1254,Foundation_Calc!$I$2:$J$8,2,FALSE),0),"")))</f>
        <v>1.2</v>
      </c>
      <c r="AZ1254" s="10" t="str">
        <f>IF(K1254="","",
IF(AX1254="PT",VLOOKUP(K1254,Foundation_Calc!$K$79:$R$113,VLOOKUP(AW1254,Foundation_Calc!$I$2:$J$8,2,FALSE),0),
IF(AX1254="K",VLOOKUP(K1254,Foundation_Calc!$K$117:$R$151,VLOOKUP(AW1254,Foundation_Calc!$I$2:$J$8,2,FALSE),0),"")))</f>
        <v/>
      </c>
      <c r="BA1254" s="495" t="str">
        <f t="shared" si="158"/>
        <v>ü</v>
      </c>
      <c r="BB1254" s="495" t="str">
        <f t="shared" si="159"/>
        <v/>
      </c>
      <c r="BC1254" s="495" t="str">
        <f t="shared" si="160"/>
        <v/>
      </c>
      <c r="BD1254" s="513"/>
      <c r="BE1254" s="429" t="s">
        <v>118</v>
      </c>
      <c r="BF1254" s="289"/>
      <c r="BG1254" s="289"/>
      <c r="BH1254" s="290"/>
      <c r="BI1254" s="289"/>
    </row>
    <row r="1255" spans="1:61" ht="15.75" customHeight="1">
      <c r="A1255" s="571" t="s">
        <v>119</v>
      </c>
      <c r="B1255" s="450"/>
      <c r="C1255" s="3"/>
      <c r="D1255" s="83"/>
      <c r="E1255" s="4"/>
      <c r="F1255" s="4"/>
      <c r="G1255" s="6">
        <v>25</v>
      </c>
      <c r="H1255" s="449"/>
      <c r="I1255" s="449"/>
      <c r="J1255" s="3"/>
      <c r="K1255" s="449"/>
      <c r="L1255" s="449"/>
      <c r="M1255" s="449" t="str">
        <f>IF(L1255="","",
IF(AX1255="PT",VLOOKUP(L1255,Foundation_Calc!$V$79:$X$113,VLOOKUP(AX1255,Foundation_Calc!$I$10:$J$13,2,FALSE),0),
IF(AX1255="K",VLOOKUP(L1255,Foundation_Calc!$V$117:$X$151,VLOOKUP(AX1255,Foundation_Calc!$I$10:$J$13,2,FALSE),0),"")))</f>
        <v/>
      </c>
      <c r="N1255" s="449"/>
      <c r="O1255" s="449"/>
      <c r="P1255" s="449"/>
      <c r="Q1255" s="4"/>
      <c r="R1255" s="6"/>
      <c r="S1255" s="6"/>
      <c r="T1255" s="4"/>
      <c r="U1255" s="4"/>
      <c r="V1255" s="4"/>
      <c r="W1255" s="9"/>
      <c r="X1255" s="9"/>
      <c r="Y1255" s="9"/>
      <c r="Z1255" s="9"/>
      <c r="AA1255" s="9"/>
      <c r="AB1255" s="9"/>
      <c r="AC1255" s="449" t="str">
        <f t="shared" si="154"/>
        <v/>
      </c>
      <c r="AD1255" s="449"/>
      <c r="AE1255" s="449"/>
      <c r="AF1255" s="4"/>
      <c r="AG1255" s="83"/>
      <c r="AH1255" s="4"/>
      <c r="AI1255" s="4"/>
      <c r="AJ1255" s="449"/>
      <c r="AK1255" s="449"/>
      <c r="AL1255" s="449"/>
      <c r="AM1255" s="449"/>
      <c r="AN1255" s="10"/>
      <c r="AO1255" s="9"/>
      <c r="AP1255" s="9"/>
      <c r="AQ1255" s="9"/>
      <c r="AR1255" s="9"/>
      <c r="AS1255" s="9"/>
      <c r="AT1255" s="9"/>
      <c r="AU1255" s="428"/>
      <c r="AV1255" s="428"/>
      <c r="AW1255" s="449" t="str">
        <f>IF(C1255&gt;0,VLOOKUP(C1255,Foundation_Calc!$A$2:$C$13,3,1),
IF(J1255&gt;0,VLOOKUP(J1255,Foundation_Calc!$A$2:$C$13,3,1),""))</f>
        <v/>
      </c>
      <c r="AX1255" s="449"/>
      <c r="AY1255" s="10" t="str">
        <f>IF(L1255="","",
IF(AX1255="PT",VLOOKUP(L1255,Foundation_Calc!$K$79:$R$113,VLOOKUP(AW1255,Foundation_Calc!$I$2:$J$8,2,FALSE),0),
IF(AX1255="K",VLOOKUP(L1255,Foundation_Calc!$K$117:$R$151,VLOOKUP(AW1255,Foundation_Calc!$I$2:$J$8,2,FALSE),0),"")))</f>
        <v/>
      </c>
      <c r="AZ1255" s="10" t="str">
        <f>IF(K1255="","",
IF(AX1255="PT",VLOOKUP(K1255,Foundation_Calc!$K$79:$R$113,VLOOKUP(AW1255,Foundation_Calc!$I$2:$J$8,2,FALSE),0),
IF(AX1255="K",VLOOKUP(K1255,Foundation_Calc!$K$117:$R$151,VLOOKUP(AW1255,Foundation_Calc!$I$2:$J$8,2,FALSE),0),"")))</f>
        <v/>
      </c>
      <c r="BA1255" s="495" t="str">
        <f t="shared" si="158"/>
        <v/>
      </c>
      <c r="BB1255" s="495" t="str">
        <f t="shared" si="159"/>
        <v/>
      </c>
      <c r="BC1255" s="495" t="str">
        <f t="shared" si="160"/>
        <v/>
      </c>
      <c r="BD1255" s="513" t="str">
        <f>IF(AND(L1255="",H1255=""),"",
IF(H1255="",Pole_Calc!A$9,
IF(H1255="MP",Pole_Calc!A$10,
IF(H1255="AnMP",Pole_Calc!A$11,
IF(H1255="A",Pole_Calc!A$12,
IF(H1255="S/A",Pole_Calc!A$13,
IF(H1255="A/S",Pole_Calc!A$14,"Poner a mano")))))))</f>
        <v/>
      </c>
      <c r="BE1255" s="429" t="s">
        <v>118</v>
      </c>
      <c r="BF1255" s="290"/>
      <c r="BG1255" s="290"/>
      <c r="BH1255" s="290"/>
      <c r="BI1255" s="290"/>
    </row>
    <row r="1256" spans="1:61" ht="15.75" customHeight="1">
      <c r="A1256" s="636" t="s">
        <v>1595</v>
      </c>
      <c r="B1256" s="637" t="s">
        <v>1596</v>
      </c>
      <c r="C1256" s="638">
        <f>+$C$1252+$G$1253</f>
        <v>60721.399999999994</v>
      </c>
      <c r="D1256" s="639"/>
      <c r="E1256" s="640"/>
      <c r="F1256" s="640">
        <v>0</v>
      </c>
      <c r="G1256" s="641"/>
      <c r="H1256" s="642" t="s">
        <v>131</v>
      </c>
      <c r="I1256" s="640" t="s">
        <v>132</v>
      </c>
      <c r="J1256" s="638"/>
      <c r="K1256" s="642"/>
      <c r="L1256" s="642" t="s">
        <v>158</v>
      </c>
      <c r="M1256" s="642" t="str">
        <f>IF(L1256="","",
IF(AX1256="PT",VLOOKUP(L1256,Foundation_Calc!$V$79:$X$113,VLOOKUP(AX1256,Foundation_Calc!$I$10:$J$13,2,FALSE),0),
IF(AX1256="K",VLOOKUP(L1256,Foundation_Calc!$V$117:$X$151,VLOOKUP(AX1256,Foundation_Calc!$I$10:$J$13,2,FALSE),0),"")))</f>
        <v>C4R</v>
      </c>
      <c r="N1256" s="642" t="s">
        <v>133</v>
      </c>
      <c r="O1256" s="642" t="s">
        <v>124</v>
      </c>
      <c r="P1256" s="642"/>
      <c r="Q1256" s="640"/>
      <c r="R1256" s="641"/>
      <c r="S1256" s="641"/>
      <c r="T1256" s="640">
        <v>10</v>
      </c>
      <c r="U1256" s="640">
        <v>-35</v>
      </c>
      <c r="V1256" s="640"/>
      <c r="W1256" s="643">
        <v>1.4</v>
      </c>
      <c r="X1256" s="643">
        <v>2.2999999999999998</v>
      </c>
      <c r="Y1256" s="643"/>
      <c r="Z1256" s="643">
        <v>0.45</v>
      </c>
      <c r="AA1256" s="643"/>
      <c r="AB1256" s="643"/>
      <c r="AC1256" s="642"/>
      <c r="AD1256" s="642"/>
      <c r="AE1256" s="642"/>
      <c r="AF1256" s="640"/>
      <c r="AG1256" s="639"/>
      <c r="AH1256" s="640"/>
      <c r="AI1256" s="640"/>
      <c r="AJ1256" s="642" t="s">
        <v>135</v>
      </c>
      <c r="AK1256" s="642"/>
      <c r="AL1256" s="642"/>
      <c r="AM1256" s="642" t="s">
        <v>126</v>
      </c>
      <c r="AN1256" s="644">
        <v>5.5</v>
      </c>
      <c r="AO1256" s="643"/>
      <c r="AP1256" s="643"/>
      <c r="AQ1256" s="643"/>
      <c r="AR1256" s="643"/>
      <c r="AS1256" s="643"/>
      <c r="AT1256" s="643">
        <f>+ab($U$1256,$T$1252,$T$1258,$G$1253,$G$1257, 1*$F$1256,1200)</f>
        <v>-7.2580368095219905</v>
      </c>
      <c r="AU1256" s="645"/>
      <c r="AV1256" s="645"/>
      <c r="AW1256" s="642" t="str">
        <f>IF(C1256&gt;0,VLOOKUP(C1256,Foundation_Calc!$A$2:$C$13,3,1),
IF(J1256&gt;0,VLOOKUP(J1256,Foundation_Calc!$A$2:$C$13,3,1),""))</f>
        <v>Multi Soil</v>
      </c>
      <c r="AX1256" s="642" t="s">
        <v>1592</v>
      </c>
      <c r="AY1256" s="644">
        <f>IF(L1256="","",
IF(AX1256="PT",VLOOKUP(L1256,Foundation_Calc!$K$79:$R$113,VLOOKUP(AW1256,Foundation_Calc!$I$2:$J$8,2,FALSE),0),
IF(AX1256="K",VLOOKUP(L1256,Foundation_Calc!$K$117:$R$151,VLOOKUP(AW1256,Foundation_Calc!$I$2:$J$8,2,FALSE),0),"")))</f>
        <v>3.5</v>
      </c>
      <c r="AZ1256" s="644" t="str">
        <f>IF(K1256="","",
IF(AX1256="PT",VLOOKUP(K1256,Foundation_Calc!$K$79:$R$113,VLOOKUP(AW1256,Foundation_Calc!$I$2:$J$8,2,FALSE),0),
IF(AX1256="K",VLOOKUP(K1256,Foundation_Calc!$K$117:$R$151,VLOOKUP(AW1256,Foundation_Calc!$I$2:$J$8,2,FALSE),0),"")))</f>
        <v/>
      </c>
      <c r="BA1256" s="495" t="str">
        <f t="shared" si="155"/>
        <v>ü</v>
      </c>
      <c r="BB1256" s="495" t="str">
        <f t="shared" si="156"/>
        <v/>
      </c>
      <c r="BC1256" s="495" t="str">
        <f t="shared" si="157"/>
        <v/>
      </c>
      <c r="BD1256" s="513" t="str">
        <f>IF(AND(L1256="",H1256=""),"",
IF(H1256="",Pole_Calc!A$9,
IF(H1256="MP",Pole_Calc!A$10,
IF(H1256="AnMP",Pole_Calc!A$11,
IF(H1256="A",Pole_Calc!A$12,
IF(H1256="S/A",Pole_Calc!A$13,
IF(H1256="A/S",Pole_Calc!A$14,"Poner a mano")))))))</f>
        <v>App.7-V11I-P9.5.1.5</v>
      </c>
      <c r="BE1256" s="429" t="s">
        <v>118</v>
      </c>
      <c r="BF1256" s="289"/>
      <c r="BG1256" s="289"/>
      <c r="BH1256" s="290"/>
      <c r="BI1256" s="289"/>
    </row>
    <row r="1257" spans="1:61" ht="15.75" customHeight="1">
      <c r="A1257" s="571" t="s">
        <v>119</v>
      </c>
      <c r="B1257" s="450"/>
      <c r="C1257" s="3"/>
      <c r="D1257" s="83"/>
      <c r="E1257" s="4"/>
      <c r="F1257" s="4"/>
      <c r="G1257" s="6">
        <v>47</v>
      </c>
      <c r="H1257" s="449"/>
      <c r="I1257" s="4"/>
      <c r="J1257" s="3"/>
      <c r="K1257" s="449"/>
      <c r="L1257" s="449"/>
      <c r="M1257" s="449" t="str">
        <f>IF(L1257="","",
IF(AX1257="PT",VLOOKUP(L1257,Foundation_Calc!$V$79:$X$113,VLOOKUP(AX1257,Foundation_Calc!$I$10:$J$13,2,FALSE),0),
IF(AX1257="K",VLOOKUP(L1257,Foundation_Calc!$V$117:$X$151,VLOOKUP(AX1257,Foundation_Calc!$I$10:$J$13,2,FALSE),0),"")))</f>
        <v/>
      </c>
      <c r="N1257" s="449"/>
      <c r="O1257" s="449"/>
      <c r="P1257" s="449"/>
      <c r="Q1257" s="4"/>
      <c r="R1257" s="6"/>
      <c r="S1257" s="6"/>
      <c r="T1257" s="4"/>
      <c r="U1257" s="4"/>
      <c r="V1257" s="4"/>
      <c r="W1257" s="9"/>
      <c r="X1257" s="9"/>
      <c r="Y1257" s="9"/>
      <c r="Z1257" s="9"/>
      <c r="AA1257" s="9"/>
      <c r="AB1257" s="9"/>
      <c r="AC1257" s="449" t="str">
        <f t="shared" si="154"/>
        <v/>
      </c>
      <c r="AD1257" s="449"/>
      <c r="AE1257" s="449"/>
      <c r="AF1257" s="4"/>
      <c r="AG1257" s="83"/>
      <c r="AH1257" s="4"/>
      <c r="AI1257" s="4"/>
      <c r="AJ1257" s="449" t="s">
        <v>668</v>
      </c>
      <c r="AK1257" s="449"/>
      <c r="AL1257" s="449"/>
      <c r="AM1257" s="449"/>
      <c r="AN1257" s="10"/>
      <c r="AO1257" s="9"/>
      <c r="AP1257" s="9"/>
      <c r="AQ1257" s="9">
        <f>+FL_2($T$1258,$U$1256,$G$1257,1200,9.28, 1*$F$1258)</f>
        <v>-0.35695465849645375</v>
      </c>
      <c r="AR1257" s="9"/>
      <c r="AS1257" s="9"/>
      <c r="AT1257" s="9"/>
      <c r="AU1257" s="428"/>
      <c r="AV1257" s="428"/>
      <c r="AW1257" s="449" t="str">
        <f>IF(C1257&gt;0,VLOOKUP(C1257,Foundation_Calc!$A$2:$C$13,3,1),
IF(J1257&gt;0,VLOOKUP(J1257,Foundation_Calc!$A$2:$C$13,3,1),""))</f>
        <v/>
      </c>
      <c r="AX1257" s="449"/>
      <c r="AY1257" s="10" t="str">
        <f>IF(L1257="","",
IF(AX1257="PT",VLOOKUP(L1257,Foundation_Calc!$K$79:$R$113,VLOOKUP(AW1257,Foundation_Calc!$I$2:$J$8,2,FALSE),0),
IF(AX1257="K",VLOOKUP(L1257,Foundation_Calc!$K$117:$R$151,VLOOKUP(AW1257,Foundation_Calc!$I$2:$J$8,2,FALSE),0),"")))</f>
        <v/>
      </c>
      <c r="AZ1257" s="10" t="str">
        <f>IF(K1257="","",
IF(AX1257="PT",VLOOKUP(K1257,Foundation_Calc!$K$79:$R$113,VLOOKUP(AW1257,Foundation_Calc!$I$2:$J$8,2,FALSE),0),
IF(AX1257="K",VLOOKUP(K1257,Foundation_Calc!$K$117:$R$151,VLOOKUP(AW1257,Foundation_Calc!$I$2:$J$8,2,FALSE),0),"")))</f>
        <v/>
      </c>
      <c r="BA1257" s="495" t="str">
        <f t="shared" si="155"/>
        <v/>
      </c>
      <c r="BB1257" s="495" t="str">
        <f t="shared" si="156"/>
        <v/>
      </c>
      <c r="BC1257" s="495" t="str">
        <f t="shared" si="157"/>
        <v/>
      </c>
      <c r="BD1257" s="513" t="str">
        <f>IF(AND(L1257="",H1257=""),"",
IF(H1257="",Pole_Calc!A$9,
IF(H1257="MP",Pole_Calc!A$10,
IF(H1257="AnMP",Pole_Calc!A$11,
IF(H1257="A",Pole_Calc!A$12,
IF(H1257="S/A",Pole_Calc!A$13,
IF(H1257="A/S",Pole_Calc!A$14,"Poner a mano")))))))</f>
        <v/>
      </c>
      <c r="BE1257" s="429" t="s">
        <v>118</v>
      </c>
      <c r="BF1257" s="290"/>
      <c r="BG1257" s="290"/>
      <c r="BH1257" s="290"/>
      <c r="BI1257" s="290"/>
    </row>
    <row r="1258" spans="1:61" ht="15.75" customHeight="1">
      <c r="A1258" s="636" t="s">
        <v>1597</v>
      </c>
      <c r="B1258" s="637" t="s">
        <v>1598</v>
      </c>
      <c r="C1258" s="638">
        <f>+$C$1256+$G$1257</f>
        <v>60768.399999999994</v>
      </c>
      <c r="D1258" s="639"/>
      <c r="E1258" s="640"/>
      <c r="F1258" s="640">
        <v>0</v>
      </c>
      <c r="G1258" s="641"/>
      <c r="H1258" s="642" t="s">
        <v>131</v>
      </c>
      <c r="I1258" s="640" t="s">
        <v>132</v>
      </c>
      <c r="J1258" s="638"/>
      <c r="K1258" s="642"/>
      <c r="L1258" s="642" t="s">
        <v>158</v>
      </c>
      <c r="M1258" s="642" t="str">
        <f>IF(L1258="","",
IF(AX1258="PT",VLOOKUP(L1258,Foundation_Calc!$V$79:$X$113,VLOOKUP(AX1258,Foundation_Calc!$I$10:$J$13,2,FALSE),0),
IF(AX1258="K",VLOOKUP(L1258,Foundation_Calc!$V$117:$X$151,VLOOKUP(AX1258,Foundation_Calc!$I$10:$J$13,2,FALSE),0),"")))</f>
        <v>C4R</v>
      </c>
      <c r="N1258" s="642" t="s">
        <v>134</v>
      </c>
      <c r="O1258" s="642" t="s">
        <v>133</v>
      </c>
      <c r="P1258" s="642"/>
      <c r="Q1258" s="640"/>
      <c r="R1258" s="641"/>
      <c r="S1258" s="641"/>
      <c r="T1258" s="640">
        <v>35</v>
      </c>
      <c r="U1258" s="640">
        <v>-10</v>
      </c>
      <c r="V1258" s="640"/>
      <c r="W1258" s="643">
        <v>1.4</v>
      </c>
      <c r="X1258" s="643">
        <v>2.2999999999999998</v>
      </c>
      <c r="Y1258" s="643"/>
      <c r="Z1258" s="643"/>
      <c r="AA1258" s="643">
        <v>0.45</v>
      </c>
      <c r="AB1258" s="643"/>
      <c r="AC1258" s="642" t="str">
        <f t="shared" si="154"/>
        <v>PH</v>
      </c>
      <c r="AD1258" s="642"/>
      <c r="AE1258" s="642"/>
      <c r="AF1258" s="640"/>
      <c r="AG1258" s="639"/>
      <c r="AH1258" s="640"/>
      <c r="AI1258" s="640"/>
      <c r="AJ1258" s="642" t="s">
        <v>135</v>
      </c>
      <c r="AK1258" s="642"/>
      <c r="AL1258" s="642"/>
      <c r="AM1258" s="642" t="s">
        <v>126</v>
      </c>
      <c r="AN1258" s="644">
        <v>5.5</v>
      </c>
      <c r="AO1258" s="643"/>
      <c r="AP1258" s="643"/>
      <c r="AQ1258" s="643"/>
      <c r="AR1258" s="643"/>
      <c r="AS1258" s="643"/>
      <c r="AT1258" s="643">
        <f>+ab($U$1258,$T$1256,$T$1260,$G$1257,$G$1259, 1*$F$1258,1200)</f>
        <v>-21.481038988212564</v>
      </c>
      <c r="AU1258" s="645"/>
      <c r="AV1258" s="645"/>
      <c r="AW1258" s="642" t="str">
        <f>IF(C1258&gt;0,VLOOKUP(C1258,Foundation_Calc!$A$2:$C$13,3,1),
IF(J1258&gt;0,VLOOKUP(J1258,Foundation_Calc!$A$2:$C$13,3,1),""))</f>
        <v>Multi Soil</v>
      </c>
      <c r="AX1258" s="642" t="s">
        <v>1592</v>
      </c>
      <c r="AY1258" s="644">
        <f>IF(L1258="","",
IF(AX1258="PT",VLOOKUP(L1258,Foundation_Calc!$K$79:$R$113,VLOOKUP(AW1258,Foundation_Calc!$I$2:$J$8,2,FALSE),0),
IF(AX1258="K",VLOOKUP(L1258,Foundation_Calc!$K$117:$R$151,VLOOKUP(AW1258,Foundation_Calc!$I$2:$J$8,2,FALSE),0),"")))</f>
        <v>3.5</v>
      </c>
      <c r="AZ1258" s="644" t="str">
        <f>IF(K1258="","",
IF(AX1258="PT",VLOOKUP(K1258,Foundation_Calc!$K$79:$R$113,VLOOKUP(AW1258,Foundation_Calc!$I$2:$J$8,2,FALSE),0),
IF(AX1258="K",VLOOKUP(K1258,Foundation_Calc!$K$117:$R$151,VLOOKUP(AW1258,Foundation_Calc!$I$2:$J$8,2,FALSE),0),"")))</f>
        <v/>
      </c>
      <c r="BA1258" s="495" t="str">
        <f t="shared" si="155"/>
        <v>ü</v>
      </c>
      <c r="BB1258" s="495" t="str">
        <f t="shared" si="156"/>
        <v/>
      </c>
      <c r="BC1258" s="495" t="str">
        <f t="shared" si="157"/>
        <v/>
      </c>
      <c r="BD1258" s="513" t="str">
        <f>IF(AND(L1258="",H1258=""),"",
IF(H1258="",Pole_Calc!A$9,
IF(H1258="MP",Pole_Calc!A$10,
IF(H1258="AnMP",Pole_Calc!A$11,
IF(H1258="A",Pole_Calc!A$12,
IF(H1258="S/A",Pole_Calc!A$13,
IF(H1258="A/S",Pole_Calc!A$14,"Poner a mano")))))))</f>
        <v>App.7-V11I-P9.5.1.5</v>
      </c>
      <c r="BE1258" s="429" t="s">
        <v>118</v>
      </c>
      <c r="BF1258" s="289"/>
      <c r="BG1258" s="289"/>
      <c r="BH1258" s="290"/>
      <c r="BI1258" s="289"/>
    </row>
    <row r="1259" spans="1:61" ht="15.75" customHeight="1">
      <c r="A1259" s="571" t="s">
        <v>119</v>
      </c>
      <c r="B1259" s="450"/>
      <c r="C1259" s="3"/>
      <c r="D1259" s="83"/>
      <c r="E1259" s="4"/>
      <c r="F1259" s="4"/>
      <c r="G1259" s="6">
        <v>47</v>
      </c>
      <c r="H1259" s="449"/>
      <c r="I1259" s="4"/>
      <c r="J1259" s="3"/>
      <c r="K1259" s="449"/>
      <c r="L1259" s="449"/>
      <c r="M1259" s="449" t="str">
        <f>IF(L1259="","",
IF(AX1259="PT",VLOOKUP(L1259,Foundation_Calc!$V$79:$X$113,VLOOKUP(AX1259,Foundation_Calc!$I$10:$J$13,2,FALSE),0),
IF(AX1259="K",VLOOKUP(L1259,Foundation_Calc!$V$117:$X$151,VLOOKUP(AX1259,Foundation_Calc!$I$10:$J$13,2,FALSE),0),"")))</f>
        <v/>
      </c>
      <c r="N1259" s="449"/>
      <c r="O1259" s="449"/>
      <c r="P1259" s="449"/>
      <c r="Q1259" s="4"/>
      <c r="R1259" s="6"/>
      <c r="S1259" s="6"/>
      <c r="T1259" s="4"/>
      <c r="U1259" s="4"/>
      <c r="V1259" s="4"/>
      <c r="W1259" s="9"/>
      <c r="X1259" s="9"/>
      <c r="Y1259" s="9"/>
      <c r="Z1259" s="9"/>
      <c r="AA1259" s="9"/>
      <c r="AB1259" s="9"/>
      <c r="AC1259" s="449" t="str">
        <f t="shared" si="154"/>
        <v/>
      </c>
      <c r="AD1259" s="449"/>
      <c r="AE1259" s="449"/>
      <c r="AF1259" s="4"/>
      <c r="AG1259" s="83"/>
      <c r="AH1259" s="4"/>
      <c r="AI1259" s="4"/>
      <c r="AJ1259" s="449" t="s">
        <v>668</v>
      </c>
      <c r="AK1259" s="449"/>
      <c r="AL1259" s="449"/>
      <c r="AM1259" s="449"/>
      <c r="AN1259" s="10"/>
      <c r="AO1259" s="9"/>
      <c r="AP1259" s="9"/>
      <c r="AQ1259" s="9">
        <f>+FL_1($T$1260,$U$1258,$G$1259,1200,9.28, 1*$F$1260)</f>
        <v>0.22524425531914893</v>
      </c>
      <c r="AR1259" s="9"/>
      <c r="AS1259" s="9"/>
      <c r="AT1259" s="9"/>
      <c r="AU1259" s="428"/>
      <c r="AV1259" s="428"/>
      <c r="AW1259" s="449" t="str">
        <f>IF(C1259&gt;0,VLOOKUP(C1259,Foundation_Calc!$A$2:$C$13,3,1),
IF(J1259&gt;0,VLOOKUP(J1259,Foundation_Calc!$A$2:$C$13,3,1),""))</f>
        <v/>
      </c>
      <c r="AX1259" s="449"/>
      <c r="AY1259" s="10" t="str">
        <f>IF(L1259="","",
IF(AX1259="PT",VLOOKUP(L1259,Foundation_Calc!$K$79:$R$113,VLOOKUP(AW1259,Foundation_Calc!$I$2:$J$8,2,FALSE),0),
IF(AX1259="K",VLOOKUP(L1259,Foundation_Calc!$K$117:$R$151,VLOOKUP(AW1259,Foundation_Calc!$I$2:$J$8,2,FALSE),0),"")))</f>
        <v/>
      </c>
      <c r="AZ1259" s="10" t="str">
        <f>IF(K1259="","",
IF(AX1259="PT",VLOOKUP(K1259,Foundation_Calc!$K$79:$R$113,VLOOKUP(AW1259,Foundation_Calc!$I$2:$J$8,2,FALSE),0),
IF(AX1259="K",VLOOKUP(K1259,Foundation_Calc!$K$117:$R$151,VLOOKUP(AW1259,Foundation_Calc!$I$2:$J$8,2,FALSE),0),"")))</f>
        <v/>
      </c>
      <c r="BA1259" s="495" t="str">
        <f t="shared" si="155"/>
        <v/>
      </c>
      <c r="BB1259" s="495" t="str">
        <f t="shared" si="156"/>
        <v/>
      </c>
      <c r="BC1259" s="495" t="str">
        <f t="shared" si="157"/>
        <v/>
      </c>
      <c r="BD1259" s="513" t="str">
        <f>IF(AND(L1259="",H1259=""),"",
IF(H1259="",Pole_Calc!A$9,
IF(H1259="MP",Pole_Calc!A$10,
IF(H1259="AnMP",Pole_Calc!A$11,
IF(H1259="A",Pole_Calc!A$12,
IF(H1259="S/A",Pole_Calc!A$13,
IF(H1259="A/S",Pole_Calc!A$14,"Poner a mano")))))))</f>
        <v/>
      </c>
      <c r="BE1259" s="429" t="s">
        <v>118</v>
      </c>
      <c r="BF1259" s="290"/>
      <c r="BG1259" s="290"/>
      <c r="BH1259" s="290"/>
      <c r="BI1259" s="290"/>
    </row>
    <row r="1260" spans="1:61" ht="15.75" customHeight="1">
      <c r="A1260" s="571" t="s">
        <v>119</v>
      </c>
      <c r="B1260" s="450" t="s">
        <v>1599</v>
      </c>
      <c r="C1260" s="3">
        <f>+$C$1258+$G$1259</f>
        <v>60815.399999999994</v>
      </c>
      <c r="D1260" s="83"/>
      <c r="E1260" s="4"/>
      <c r="F1260" s="4">
        <v>0</v>
      </c>
      <c r="G1260" s="6"/>
      <c r="H1260" s="449" t="s">
        <v>131</v>
      </c>
      <c r="I1260" s="449"/>
      <c r="J1260" s="3"/>
      <c r="K1260" s="449"/>
      <c r="L1260" s="449" t="s">
        <v>158</v>
      </c>
      <c r="M1260" s="449" t="str">
        <f>IF(L1260="","",
IF(AX1260="PT",VLOOKUP(L1260,Foundation_Calc!$V$79:$X$113,VLOOKUP(AX1260,Foundation_Calc!$I$10:$J$13,2,FALSE),0),
IF(AX1260="K",VLOOKUP(L1260,Foundation_Calc!$V$117:$X$151,VLOOKUP(AX1260,Foundation_Calc!$I$10:$J$13,2,FALSE),0),"")))</f>
        <v>C4R</v>
      </c>
      <c r="N1260" s="449" t="s">
        <v>133</v>
      </c>
      <c r="O1260" s="449" t="s">
        <v>124</v>
      </c>
      <c r="P1260" s="449"/>
      <c r="Q1260" s="4"/>
      <c r="R1260" s="6"/>
      <c r="S1260" s="6"/>
      <c r="T1260" s="4">
        <v>10</v>
      </c>
      <c r="U1260" s="4">
        <v>-35</v>
      </c>
      <c r="V1260" s="4"/>
      <c r="W1260" s="9">
        <v>1.4</v>
      </c>
      <c r="X1260" s="9">
        <v>2.2999999999999998</v>
      </c>
      <c r="Y1260" s="9"/>
      <c r="Z1260" s="9">
        <v>0.45</v>
      </c>
      <c r="AA1260" s="9"/>
      <c r="AB1260" s="9"/>
      <c r="AC1260" s="449"/>
      <c r="AD1260" s="449"/>
      <c r="AE1260" s="449"/>
      <c r="AF1260" s="4"/>
      <c r="AG1260" s="83"/>
      <c r="AH1260" s="4"/>
      <c r="AI1260" s="4"/>
      <c r="AJ1260" s="449" t="s">
        <v>900</v>
      </c>
      <c r="AK1260" s="449"/>
      <c r="AL1260" s="449"/>
      <c r="AM1260" s="449" t="s">
        <v>126</v>
      </c>
      <c r="AN1260" s="10">
        <v>5.5</v>
      </c>
      <c r="AO1260" s="9"/>
      <c r="AP1260" s="9"/>
      <c r="AQ1260" s="9"/>
      <c r="AR1260" s="9"/>
      <c r="AS1260" s="9"/>
      <c r="AT1260" s="9">
        <f>+ab($U$1260,$T$1258,$T$1266,$G$1259,$G$1265, 1*$F$1260,1200)</f>
        <v>-5.8227239225449958</v>
      </c>
      <c r="AU1260" s="428"/>
      <c r="AV1260" s="428"/>
      <c r="AW1260" s="449" t="str">
        <f>IF(C1260&gt;0,VLOOKUP(C1260,Foundation_Calc!$A$2:$C$13,3,1),
IF(J1260&gt;0,VLOOKUP(J1260,Foundation_Calc!$A$2:$C$13,3,1),""))</f>
        <v>Multi Soil</v>
      </c>
      <c r="AX1260" s="449" t="s">
        <v>1592</v>
      </c>
      <c r="AY1260" s="10">
        <f>IF(L1260="","",
IF(AX1260="PT",VLOOKUP(L1260,Foundation_Calc!$K$79:$R$113,VLOOKUP(AW1260,Foundation_Calc!$I$2:$J$8,2,FALSE),0),
IF(AX1260="K",VLOOKUP(L1260,Foundation_Calc!$K$117:$R$151,VLOOKUP(AW1260,Foundation_Calc!$I$2:$J$8,2,FALSE),0),"")))</f>
        <v>3.5</v>
      </c>
      <c r="AZ1260" s="10" t="str">
        <f>IF(K1260="","",
IF(AX1260="PT",VLOOKUP(K1260,Foundation_Calc!$K$79:$R$113,VLOOKUP(AW1260,Foundation_Calc!$I$2:$J$8,2,FALSE),0),
IF(AX1260="K",VLOOKUP(K1260,Foundation_Calc!$K$117:$R$151,VLOOKUP(AW1260,Foundation_Calc!$I$2:$J$8,2,FALSE),0),"")))</f>
        <v/>
      </c>
      <c r="BA1260" s="495" t="str">
        <f t="shared" si="155"/>
        <v>ü</v>
      </c>
      <c r="BB1260" s="495" t="str">
        <f t="shared" si="156"/>
        <v/>
      </c>
      <c r="BC1260" s="495" t="str">
        <f t="shared" si="157"/>
        <v/>
      </c>
      <c r="BD1260" s="513" t="str">
        <f>IF(AND(L1260="",H1260=""),"",
IF(H1260="",Pole_Calc!A$9,
IF(H1260="MP",Pole_Calc!A$10,
IF(H1260="AnMP",Pole_Calc!A$11,
IF(H1260="A",Pole_Calc!A$12,
IF(H1260="S/A",Pole_Calc!A$13,
IF(H1260="A/S",Pole_Calc!A$14,"Poner a mano")))))))</f>
        <v>App.7-V11I-P9.5.1.5</v>
      </c>
      <c r="BE1260" s="429" t="s">
        <v>118</v>
      </c>
      <c r="BF1260" s="289"/>
      <c r="BG1260" s="289"/>
      <c r="BH1260" s="290"/>
      <c r="BI1260" s="289"/>
    </row>
    <row r="1261" spans="1:61" ht="15.75" customHeight="1">
      <c r="A1261" s="571" t="s">
        <v>119</v>
      </c>
      <c r="B1261" s="450"/>
      <c r="C1261" s="3"/>
      <c r="D1261" s="83"/>
      <c r="E1261" s="4"/>
      <c r="F1261" s="4"/>
      <c r="G1261" s="6">
        <v>5</v>
      </c>
      <c r="H1261" s="449"/>
      <c r="I1261" s="4"/>
      <c r="J1261" s="3"/>
      <c r="K1261" s="449"/>
      <c r="L1261" s="449"/>
      <c r="M1261" s="449" t="str">
        <f>IF(L1261="","",
IF(AX1261="PT",VLOOKUP(L1261,Foundation_Calc!$V$79:$X$113,VLOOKUP(AX1261,Foundation_Calc!$I$10:$J$13,2,FALSE),0),
IF(AX1261="K",VLOOKUP(L1261,Foundation_Calc!$V$117:$X$151,VLOOKUP(AX1261,Foundation_Calc!$I$10:$J$13,2,FALSE),0),"")))</f>
        <v/>
      </c>
      <c r="N1261" s="449"/>
      <c r="O1261" s="449"/>
      <c r="P1261" s="449"/>
      <c r="Q1261" s="4"/>
      <c r="R1261" s="6"/>
      <c r="S1261" s="6"/>
      <c r="T1261" s="4"/>
      <c r="U1261" s="4"/>
      <c r="V1261" s="4"/>
      <c r="W1261" s="9"/>
      <c r="X1261" s="9"/>
      <c r="Y1261" s="9"/>
      <c r="Z1261" s="9"/>
      <c r="AA1261" s="9"/>
      <c r="AB1261" s="9"/>
      <c r="AC1261" s="449" t="str">
        <f t="shared" si="154"/>
        <v/>
      </c>
      <c r="AD1261" s="449"/>
      <c r="AE1261" s="449"/>
      <c r="AF1261" s="4"/>
      <c r="AG1261" s="83"/>
      <c r="AH1261" s="4"/>
      <c r="AI1261" s="4"/>
      <c r="AJ1261" s="449"/>
      <c r="AK1261" s="449"/>
      <c r="AL1261" s="449"/>
      <c r="AM1261" s="449"/>
      <c r="AN1261" s="10"/>
      <c r="AO1261" s="9"/>
      <c r="AP1261" s="9"/>
      <c r="AQ1261" s="9"/>
      <c r="AR1261" s="9"/>
      <c r="AS1261" s="9"/>
      <c r="AT1261" s="9"/>
      <c r="AU1261" s="428"/>
      <c r="AV1261" s="428"/>
      <c r="AW1261" s="449" t="str">
        <f>IF(C1261&gt;0,VLOOKUP(C1261,Foundation_Calc!$A$2:$C$13,3,1),
IF(J1261&gt;0,VLOOKUP(J1261,Foundation_Calc!$A$2:$C$13,3,1),""))</f>
        <v/>
      </c>
      <c r="AX1261" s="449"/>
      <c r="AY1261" s="10" t="str">
        <f>IF(L1261="","",
IF(AX1261="PT",VLOOKUP(L1261,Foundation_Calc!$K$79:$R$113,VLOOKUP(AW1261,Foundation_Calc!$I$2:$J$8,2,FALSE),0),
IF(AX1261="K",VLOOKUP(L1261,Foundation_Calc!$K$117:$R$151,VLOOKUP(AW1261,Foundation_Calc!$I$2:$J$8,2,FALSE),0),"")))</f>
        <v/>
      </c>
      <c r="AZ1261" s="10" t="str">
        <f>IF(K1261="","",
IF(AX1261="PT",VLOOKUP(K1261,Foundation_Calc!$K$79:$R$113,VLOOKUP(AW1261,Foundation_Calc!$I$2:$J$8,2,FALSE),0),
IF(AX1261="K",VLOOKUP(K1261,Foundation_Calc!$K$117:$R$151,VLOOKUP(AW1261,Foundation_Calc!$I$2:$J$8,2,FALSE),0),"")))</f>
        <v/>
      </c>
      <c r="BA1261" s="495" t="str">
        <f t="shared" si="155"/>
        <v/>
      </c>
      <c r="BB1261" s="495" t="str">
        <f t="shared" si="156"/>
        <v/>
      </c>
      <c r="BC1261" s="495" t="str">
        <f t="shared" si="157"/>
        <v/>
      </c>
      <c r="BD1261" s="513" t="str">
        <f>IF(AND(L1261="",H1261=""),"",
IF(H1261="",Pole_Calc!A$9,
IF(H1261="MP",Pole_Calc!A$10,
IF(H1261="AnMP",Pole_Calc!A$11,
IF(H1261="A",Pole_Calc!A$12,
IF(H1261="S/A",Pole_Calc!A$13,
IF(H1261="A/S",Pole_Calc!A$14,"Poner a mano")))))))</f>
        <v/>
      </c>
      <c r="BE1261" s="429" t="s">
        <v>118</v>
      </c>
      <c r="BF1261" s="290"/>
      <c r="BG1261" s="290"/>
      <c r="BH1261" s="290"/>
      <c r="BI1261" s="290"/>
    </row>
    <row r="1262" spans="1:61" ht="15.75" customHeight="1">
      <c r="A1262" s="636" t="s">
        <v>1600</v>
      </c>
      <c r="B1262" s="637" t="s">
        <v>1601</v>
      </c>
      <c r="C1262" s="638">
        <f>+$C$1260+$G$1261</f>
        <v>60820.399999999994</v>
      </c>
      <c r="D1262" s="639"/>
      <c r="E1262" s="640"/>
      <c r="F1262" s="640">
        <v>0</v>
      </c>
      <c r="G1262" s="641"/>
      <c r="H1262" s="642"/>
      <c r="I1262" s="640" t="s">
        <v>139</v>
      </c>
      <c r="J1262" s="638"/>
      <c r="K1262" s="642"/>
      <c r="L1262" s="642" t="s">
        <v>142</v>
      </c>
      <c r="M1262" s="642" t="str">
        <f>IF(L1262="","",
IF(AX1262="PT",VLOOKUP(L1262,Foundation_Calc!$V$79:$X$113,VLOOKUP(AX1262,Foundation_Calc!$I$10:$J$13,2,FALSE),0),
IF(AX1262="K",VLOOKUP(L1262,Foundation_Calc!$V$117:$X$151,VLOOKUP(AX1262,Foundation_Calc!$I$10:$J$13,2,FALSE),0),"")))</f>
        <v>C9R</v>
      </c>
      <c r="N1262" s="642"/>
      <c r="O1262" s="642"/>
      <c r="P1262" s="642"/>
      <c r="Q1262" s="640"/>
      <c r="R1262" s="641"/>
      <c r="S1262" s="641"/>
      <c r="T1262" s="640"/>
      <c r="U1262" s="640"/>
      <c r="V1262" s="640"/>
      <c r="W1262" s="643"/>
      <c r="X1262" s="643"/>
      <c r="Y1262" s="643"/>
      <c r="Z1262" s="643"/>
      <c r="AA1262" s="643"/>
      <c r="AB1262" s="643"/>
      <c r="AC1262" s="642" t="str">
        <f t="shared" si="154"/>
        <v/>
      </c>
      <c r="AD1262" s="642"/>
      <c r="AE1262" s="642"/>
      <c r="AF1262" s="640"/>
      <c r="AG1262" s="639"/>
      <c r="AH1262" s="640"/>
      <c r="AI1262" s="640"/>
      <c r="AJ1262" s="642"/>
      <c r="AK1262" s="642"/>
      <c r="AL1262" s="642"/>
      <c r="AM1262" s="642" t="s">
        <v>126</v>
      </c>
      <c r="AN1262" s="644">
        <v>5.5</v>
      </c>
      <c r="AO1262" s="643"/>
      <c r="AP1262" s="643"/>
      <c r="AQ1262" s="643"/>
      <c r="AR1262" s="643"/>
      <c r="AS1262" s="643"/>
      <c r="AT1262" s="643"/>
      <c r="AU1262" s="645"/>
      <c r="AV1262" s="645"/>
      <c r="AW1262" s="642" t="str">
        <f>IF(C1262&gt;0,VLOOKUP(C1262,Foundation_Calc!$A$2:$C$13,3,1),
IF(J1262&gt;0,VLOOKUP(J1262,Foundation_Calc!$A$2:$C$13,3,1),""))</f>
        <v>Multi Soil</v>
      </c>
      <c r="AX1262" s="642" t="s">
        <v>1592</v>
      </c>
      <c r="AY1262" s="644">
        <f>IF(L1262="","",
IF(AX1262="PT",VLOOKUP(L1262,Foundation_Calc!$K$79:$R$113,VLOOKUP(AW1262,Foundation_Calc!$I$2:$J$8,2,FALSE),0),
IF(AX1262="K",VLOOKUP(L1262,Foundation_Calc!$K$117:$R$151,VLOOKUP(AW1262,Foundation_Calc!$I$2:$J$8,2,FALSE),0),"")))</f>
        <v>4.4000000000000004</v>
      </c>
      <c r="AZ1262" s="644" t="str">
        <f>IF(K1262="","",
IF(AX1262="PT",VLOOKUP(K1262,Foundation_Calc!$K$79:$R$113,VLOOKUP(AW1262,Foundation_Calc!$I$2:$J$8,2,FALSE),0),
IF(AX1262="K",VLOOKUP(K1262,Foundation_Calc!$K$117:$R$151,VLOOKUP(AW1262,Foundation_Calc!$I$2:$J$8,2,FALSE),0),"")))</f>
        <v/>
      </c>
      <c r="BA1262" s="495" t="str">
        <f t="shared" si="155"/>
        <v>ü</v>
      </c>
      <c r="BB1262" s="495" t="str">
        <f t="shared" si="156"/>
        <v/>
      </c>
      <c r="BC1262" s="495" t="str">
        <f t="shared" si="157"/>
        <v/>
      </c>
      <c r="BD1262" s="513" t="str">
        <f>Pole_Calc!A$323</f>
        <v>App.8-V08H-10.7.4.2</v>
      </c>
      <c r="BE1262" s="429" t="s">
        <v>118</v>
      </c>
      <c r="BF1262" s="289"/>
      <c r="BG1262" s="289"/>
      <c r="BH1262" s="290"/>
      <c r="BI1262" s="289"/>
    </row>
    <row r="1263" spans="1:61" ht="15.75" customHeight="1">
      <c r="A1263" s="636" t="s">
        <v>1602</v>
      </c>
      <c r="B1263" s="637"/>
      <c r="C1263" s="638"/>
      <c r="D1263" s="639"/>
      <c r="E1263" s="640"/>
      <c r="F1263" s="640"/>
      <c r="G1263" s="641">
        <v>3</v>
      </c>
      <c r="H1263" s="642"/>
      <c r="I1263" s="642"/>
      <c r="J1263" s="638"/>
      <c r="K1263" s="642"/>
      <c r="L1263" s="642"/>
      <c r="M1263" s="642" t="str">
        <f>IF(L1263="","",
IF(AX1263="PT",VLOOKUP(L1263,Foundation_Calc!$V$79:$X$113,VLOOKUP(AX1263,Foundation_Calc!$I$10:$J$13,2,FALSE),0),
IF(AX1263="K",VLOOKUP(L1263,Foundation_Calc!$V$117:$X$151,VLOOKUP(AX1263,Foundation_Calc!$I$10:$J$13,2,FALSE),0),"")))</f>
        <v/>
      </c>
      <c r="N1263" s="642"/>
      <c r="O1263" s="642"/>
      <c r="P1263" s="642"/>
      <c r="Q1263" s="640"/>
      <c r="R1263" s="641"/>
      <c r="S1263" s="641"/>
      <c r="T1263" s="640"/>
      <c r="U1263" s="640"/>
      <c r="V1263" s="640"/>
      <c r="W1263" s="643"/>
      <c r="X1263" s="643"/>
      <c r="Y1263" s="643"/>
      <c r="Z1263" s="643"/>
      <c r="AA1263" s="643"/>
      <c r="AB1263" s="643"/>
      <c r="AC1263" s="642" t="str">
        <f t="shared" si="154"/>
        <v/>
      </c>
      <c r="AD1263" s="642"/>
      <c r="AE1263" s="642"/>
      <c r="AF1263" s="640"/>
      <c r="AG1263" s="639"/>
      <c r="AH1263" s="640"/>
      <c r="AI1263" s="640"/>
      <c r="AJ1263" s="642" t="s">
        <v>143</v>
      </c>
      <c r="AK1263" s="642"/>
      <c r="AL1263" s="642"/>
      <c r="AM1263" s="642"/>
      <c r="AN1263" s="644"/>
      <c r="AO1263" s="643"/>
      <c r="AP1263" s="643"/>
      <c r="AQ1263" s="643"/>
      <c r="AR1263" s="643"/>
      <c r="AS1263" s="643"/>
      <c r="AT1263" s="643"/>
      <c r="AU1263" s="645"/>
      <c r="AV1263" s="645"/>
      <c r="AW1263" s="642" t="str">
        <f>IF(C1263&gt;0,VLOOKUP(C1263,Foundation_Calc!$A$2:$C$13,3,1),
IF(J1263&gt;0,VLOOKUP(J1263,Foundation_Calc!$A$2:$C$13,3,1),""))</f>
        <v/>
      </c>
      <c r="AX1263" s="642"/>
      <c r="AY1263" s="644" t="str">
        <f>IF(L1263="","",
IF(AX1263="PT",VLOOKUP(L1263,Foundation_Calc!$K$79:$R$113,VLOOKUP(AW1263,Foundation_Calc!$I$2:$J$8,2,FALSE),0),
IF(AX1263="K",VLOOKUP(L1263,Foundation_Calc!$K$117:$R$151,VLOOKUP(AW1263,Foundation_Calc!$I$2:$J$8,2,FALSE),0),"")))</f>
        <v/>
      </c>
      <c r="AZ1263" s="644" t="str">
        <f>IF(K1263="","",
IF(AX1263="PT",VLOOKUP(K1263,Foundation_Calc!$K$79:$R$113,VLOOKUP(AW1263,Foundation_Calc!$I$2:$J$8,2,FALSE),0),
IF(AX1263="K",VLOOKUP(K1263,Foundation_Calc!$K$117:$R$151,VLOOKUP(AW1263,Foundation_Calc!$I$2:$J$8,2,FALSE),0),"")))</f>
        <v/>
      </c>
      <c r="BA1263" s="495" t="str">
        <f t="shared" si="155"/>
        <v/>
      </c>
      <c r="BB1263" s="495" t="str">
        <f t="shared" si="156"/>
        <v/>
      </c>
      <c r="BC1263" s="495" t="str">
        <f t="shared" si="157"/>
        <v/>
      </c>
      <c r="BD1263" s="513" t="str">
        <f>IF(AND(L1263="",H1263=""),"",
IF(H1263="",Pole_Calc!A$9,
IF(H1263="MP",Pole_Calc!A$10,
IF(H1263="AnMP",Pole_Calc!A$11,
IF(H1263="A",Pole_Calc!A$12,
IF(H1263="S/A",Pole_Calc!A$13,
IF(H1263="A/S",Pole_Calc!A$14,"Poner a mano")))))))</f>
        <v/>
      </c>
      <c r="BE1263" s="429" t="s">
        <v>118</v>
      </c>
      <c r="BF1263" s="290"/>
      <c r="BG1263" s="290"/>
      <c r="BH1263" s="290"/>
      <c r="BI1263" s="290"/>
    </row>
    <row r="1264" spans="1:61" ht="15.75" customHeight="1">
      <c r="A1264" s="571" t="s">
        <v>119</v>
      </c>
      <c r="B1264" s="450" t="s">
        <v>1603</v>
      </c>
      <c r="C1264" s="3">
        <f>+$C$1262+$G$1263</f>
        <v>60823.399999999994</v>
      </c>
      <c r="D1264" s="83"/>
      <c r="E1264" s="4"/>
      <c r="F1264" s="4">
        <v>0</v>
      </c>
      <c r="G1264" s="6"/>
      <c r="H1264" s="449"/>
      <c r="I1264" s="4"/>
      <c r="J1264" s="3"/>
      <c r="K1264" s="449"/>
      <c r="L1264" s="449" t="s">
        <v>142</v>
      </c>
      <c r="M1264" s="449" t="str">
        <f>IF(L1264="","",
IF(AX1264="PT",VLOOKUP(L1264,Foundation_Calc!$V$79:$X$113,VLOOKUP(AX1264,Foundation_Calc!$I$10:$J$13,2,FALSE),0),
IF(AX1264="K",VLOOKUP(L1264,Foundation_Calc!$V$117:$X$151,VLOOKUP(AX1264,Foundation_Calc!$I$10:$J$13,2,FALSE),0),"")))</f>
        <v>C9R</v>
      </c>
      <c r="N1264" s="449"/>
      <c r="O1264" s="449"/>
      <c r="P1264" s="449"/>
      <c r="Q1264" s="4"/>
      <c r="R1264" s="6"/>
      <c r="S1264" s="6"/>
      <c r="T1264" s="4"/>
      <c r="U1264" s="4"/>
      <c r="V1264" s="4"/>
      <c r="W1264" s="9"/>
      <c r="X1264" s="9"/>
      <c r="Y1264" s="9"/>
      <c r="Z1264" s="9"/>
      <c r="AA1264" s="9"/>
      <c r="AB1264" s="9"/>
      <c r="AC1264" s="449" t="str">
        <f t="shared" si="154"/>
        <v/>
      </c>
      <c r="AD1264" s="449"/>
      <c r="AE1264" s="449"/>
      <c r="AF1264" s="4"/>
      <c r="AG1264" s="83"/>
      <c r="AH1264" s="4"/>
      <c r="AI1264" s="4"/>
      <c r="AJ1264" s="449"/>
      <c r="AK1264" s="449"/>
      <c r="AL1264" s="449"/>
      <c r="AM1264" s="449" t="s">
        <v>126</v>
      </c>
      <c r="AN1264" s="10">
        <v>5.5</v>
      </c>
      <c r="AO1264" s="9"/>
      <c r="AP1264" s="9"/>
      <c r="AQ1264" s="9"/>
      <c r="AR1264" s="9"/>
      <c r="AS1264" s="9"/>
      <c r="AT1264" s="9"/>
      <c r="AU1264" s="428"/>
      <c r="AV1264" s="428"/>
      <c r="AW1264" s="449" t="str">
        <f>IF(C1264&gt;0,VLOOKUP(C1264,Foundation_Calc!$A$2:$C$13,3,1),
IF(J1264&gt;0,VLOOKUP(J1264,Foundation_Calc!$A$2:$C$13,3,1),""))</f>
        <v>Multi Soil</v>
      </c>
      <c r="AX1264" s="449" t="s">
        <v>1592</v>
      </c>
      <c r="AY1264" s="10">
        <f>IF(L1264="","",
IF(AX1264="PT",VLOOKUP(L1264,Foundation_Calc!$K$79:$R$113,VLOOKUP(AW1264,Foundation_Calc!$I$2:$J$8,2,FALSE),0),
IF(AX1264="K",VLOOKUP(L1264,Foundation_Calc!$K$117:$R$151,VLOOKUP(AW1264,Foundation_Calc!$I$2:$J$8,2,FALSE),0),"")))</f>
        <v>4.4000000000000004</v>
      </c>
      <c r="AZ1264" s="10" t="str">
        <f>IF(K1264="","",
IF(AX1264="PT",VLOOKUP(K1264,Foundation_Calc!$K$79:$R$113,VLOOKUP(AW1264,Foundation_Calc!$I$2:$J$8,2,FALSE),0),
IF(AX1264="K",VLOOKUP(K1264,Foundation_Calc!$K$117:$R$151,VLOOKUP(AW1264,Foundation_Calc!$I$2:$J$8,2,FALSE),0),"")))</f>
        <v/>
      </c>
      <c r="BA1264" s="495" t="str">
        <f t="shared" si="155"/>
        <v>ü</v>
      </c>
      <c r="BB1264" s="495" t="str">
        <f t="shared" si="156"/>
        <v/>
      </c>
      <c r="BC1264" s="495" t="str">
        <f t="shared" si="157"/>
        <v/>
      </c>
      <c r="BD1264" s="513" t="str">
        <f>Pole_Calc!A$323</f>
        <v>App.8-V08H-10.7.4.2</v>
      </c>
      <c r="BE1264" s="429" t="s">
        <v>118</v>
      </c>
      <c r="BF1264" s="289"/>
      <c r="BG1264" s="289"/>
      <c r="BH1264" s="290"/>
      <c r="BI1264" s="289"/>
    </row>
    <row r="1265" spans="1:61" ht="15.75" customHeight="1">
      <c r="A1265" s="636" t="s">
        <v>234</v>
      </c>
      <c r="B1265" s="637"/>
      <c r="C1265" s="638"/>
      <c r="D1265" s="639"/>
      <c r="E1265" s="640"/>
      <c r="F1265" s="640"/>
      <c r="G1265" s="641">
        <v>39</v>
      </c>
      <c r="H1265" s="642"/>
      <c r="I1265" s="640" t="s">
        <v>195</v>
      </c>
      <c r="J1265" s="638">
        <f>C1266-7.5</f>
        <v>60854.899999999994</v>
      </c>
      <c r="K1265" s="642" t="s">
        <v>166</v>
      </c>
      <c r="L1265" s="642"/>
      <c r="M1265" s="642" t="str">
        <f>IF(L1265="","",
IF(AX1265="PT",VLOOKUP(L1265,Foundation_Calc!$V$79:$X$113,VLOOKUP(AX1265,Foundation_Calc!$I$10:$J$13,2,FALSE),0),
IF(AX1265="K",VLOOKUP(L1265,Foundation_Calc!$V$117:$X$151,VLOOKUP(AX1265,Foundation_Calc!$I$10:$J$13,2,FALSE),0),"")))</f>
        <v/>
      </c>
      <c r="N1265" s="642"/>
      <c r="O1265" s="642"/>
      <c r="P1265" s="642"/>
      <c r="Q1265" s="640"/>
      <c r="R1265" s="641"/>
      <c r="S1265" s="641"/>
      <c r="T1265" s="640"/>
      <c r="U1265" s="640"/>
      <c r="V1265" s="640"/>
      <c r="W1265" s="643"/>
      <c r="X1265" s="643"/>
      <c r="Y1265" s="643"/>
      <c r="Z1265" s="643"/>
      <c r="AA1265" s="643"/>
      <c r="AB1265" s="643"/>
      <c r="AC1265" s="642" t="str">
        <f t="shared" si="154"/>
        <v/>
      </c>
      <c r="AD1265" s="642"/>
      <c r="AE1265" s="642"/>
      <c r="AF1265" s="640"/>
      <c r="AG1265" s="639"/>
      <c r="AH1265" s="640"/>
      <c r="AI1265" s="640"/>
      <c r="AJ1265" s="642"/>
      <c r="AK1265" s="642"/>
      <c r="AL1265" s="642"/>
      <c r="AM1265" s="642"/>
      <c r="AN1265" s="644"/>
      <c r="AO1265" s="643"/>
      <c r="AP1265" s="643"/>
      <c r="AQ1265" s="643">
        <f>+FL_1($T$1266,$U$1260,$G$1265,1200,9.28, 1*$F$1266)</f>
        <v>0.35</v>
      </c>
      <c r="AR1265" s="643"/>
      <c r="AS1265" s="643"/>
      <c r="AT1265" s="643"/>
      <c r="AU1265" s="645"/>
      <c r="AV1265" s="645"/>
      <c r="AW1265" s="642" t="str">
        <f>IF(C1265&gt;0,VLOOKUP(C1265,Foundation_Calc!$A$2:$C$13,3,1),
IF(J1265&gt;0,VLOOKUP(J1265,Foundation_Calc!$A$2:$C$13,3,1),""))</f>
        <v>Multi Soil</v>
      </c>
      <c r="AX1265" s="642"/>
      <c r="AY1265" s="644" t="str">
        <f>IF(L1265="","",
IF(AX1265="PT",VLOOKUP(L1265,Foundation_Calc!$K$79:$R$113,VLOOKUP(AW1265,Foundation_Calc!$I$2:$J$8,2,FALSE),0),
IF(AX1265="K",VLOOKUP(L1265,Foundation_Calc!$K$117:$R$151,VLOOKUP(AW1265,Foundation_Calc!$I$2:$J$8,2,FALSE),0),"")))</f>
        <v/>
      </c>
      <c r="AZ1265" s="644" t="str">
        <f>IF(K1265="","",
IF(AX1265="PT",VLOOKUP(K1265,Foundation_Calc!$K$79:$R$113,VLOOKUP(AW1265,Foundation_Calc!$I$2:$J$8,2,FALSE),0),
IF(AX1265="K",VLOOKUP(K1265,Foundation_Calc!$K$117:$R$151,VLOOKUP(AW1265,Foundation_Calc!$I$2:$J$8,2,FALSE),0),"")))</f>
        <v/>
      </c>
      <c r="BA1265" s="495" t="str">
        <f t="shared" si="155"/>
        <v/>
      </c>
      <c r="BB1265" s="495" t="str">
        <f t="shared" si="156"/>
        <v/>
      </c>
      <c r="BC1265" s="495" t="str">
        <f t="shared" si="157"/>
        <v/>
      </c>
      <c r="BD1265" s="513" t="str">
        <f>IF(AND(L1265="",H1265=""),"",
IF(H1265="",Pole_Calc!A$9,
IF(H1265="MP",Pole_Calc!A$10,
IF(H1265="AnMP",Pole_Calc!A$11,
IF(H1265="A",Pole_Calc!A$12,
IF(H1265="S/A",Pole_Calc!A$13,
IF(H1265="A/S",Pole_Calc!A$14,"Poner a mano")))))))</f>
        <v/>
      </c>
      <c r="BE1265" s="429" t="s">
        <v>118</v>
      </c>
      <c r="BF1265" s="290"/>
      <c r="BG1265" s="290"/>
      <c r="BH1265" s="290"/>
      <c r="BI1265" s="290"/>
    </row>
    <row r="1266" spans="1:61" ht="15.75" customHeight="1">
      <c r="A1266" s="636" t="s">
        <v>1604</v>
      </c>
      <c r="B1266" s="637" t="s">
        <v>1605</v>
      </c>
      <c r="C1266" s="638">
        <f>+$C$1264+$G$1265</f>
        <v>60862.399999999994</v>
      </c>
      <c r="D1266" s="639"/>
      <c r="E1266" s="640"/>
      <c r="F1266" s="640">
        <v>0</v>
      </c>
      <c r="G1266" s="641"/>
      <c r="H1266" s="642" t="s">
        <v>131</v>
      </c>
      <c r="I1266" s="640" t="s">
        <v>132</v>
      </c>
      <c r="J1266" s="638"/>
      <c r="K1266" s="642"/>
      <c r="L1266" s="642" t="s">
        <v>562</v>
      </c>
      <c r="M1266" s="642" t="s">
        <v>929</v>
      </c>
      <c r="N1266" s="642" t="s">
        <v>134</v>
      </c>
      <c r="O1266" s="642" t="s">
        <v>133</v>
      </c>
      <c r="P1266" s="642"/>
      <c r="Q1266" s="640"/>
      <c r="R1266" s="641"/>
      <c r="S1266" s="641"/>
      <c r="T1266" s="640">
        <v>35</v>
      </c>
      <c r="U1266" s="640">
        <v>-10</v>
      </c>
      <c r="V1266" s="640"/>
      <c r="W1266" s="643">
        <v>1.4</v>
      </c>
      <c r="X1266" s="643">
        <v>2.2999999999999998</v>
      </c>
      <c r="Y1266" s="643"/>
      <c r="Z1266" s="643"/>
      <c r="AA1266" s="643">
        <v>0.45</v>
      </c>
      <c r="AB1266" s="643"/>
      <c r="AC1266" s="642" t="str">
        <f t="shared" si="154"/>
        <v>PHQ</v>
      </c>
      <c r="AD1266" s="642"/>
      <c r="AE1266" s="642"/>
      <c r="AF1266" s="640"/>
      <c r="AG1266" s="639"/>
      <c r="AH1266" s="640"/>
      <c r="AI1266" s="640"/>
      <c r="AJ1266" s="642" t="s">
        <v>135</v>
      </c>
      <c r="AK1266" s="642"/>
      <c r="AL1266" s="642"/>
      <c r="AM1266" s="642" t="s">
        <v>552</v>
      </c>
      <c r="AN1266" s="644">
        <v>5.5</v>
      </c>
      <c r="AO1266" s="643"/>
      <c r="AP1266" s="643"/>
      <c r="AQ1266" s="643"/>
      <c r="AR1266" s="643"/>
      <c r="AS1266" s="643"/>
      <c r="AT1266" s="643">
        <f>+ab($T$1266,$U$1260,$T$1270,$G$1265,$G$1269, 1*$F$1266,1200)</f>
        <v>6.5094218244272586</v>
      </c>
      <c r="AU1266" s="645"/>
      <c r="AV1266" s="645"/>
      <c r="AW1266" s="642" t="str">
        <f>IF(C1266&gt;0,VLOOKUP(C1266,Foundation_Calc!$A$2:$C$13,3,1),
IF(J1266&gt;0,VLOOKUP(J1266,Foundation_Calc!$A$2:$C$13,3,1),""))</f>
        <v>Multi Soil</v>
      </c>
      <c r="AX1266" s="642" t="s">
        <v>1592</v>
      </c>
      <c r="AY1266" s="644">
        <v>4.4000000000000004</v>
      </c>
      <c r="AZ1266" s="644" t="str">
        <f>IF(K1266="","",
IF(AX1266="PT",VLOOKUP(K1266,Foundation_Calc!$K$79:$R$113,VLOOKUP(AW1266,Foundation_Calc!$I$2:$J$8,2,FALSE),0),
IF(AX1266="K",VLOOKUP(K1266,Foundation_Calc!$K$117:$R$151,VLOOKUP(AW1266,Foundation_Calc!$I$2:$J$8,2,FALSE),0),"")))</f>
        <v/>
      </c>
      <c r="BA1266" s="495" t="str">
        <f t="shared" si="155"/>
        <v>ü</v>
      </c>
      <c r="BB1266" s="495" t="str">
        <f t="shared" si="156"/>
        <v/>
      </c>
      <c r="BC1266" s="495" t="str">
        <f t="shared" si="157"/>
        <v/>
      </c>
      <c r="BD1266" s="513" t="str">
        <f>Pole_Calc!A$322</f>
        <v>App.8-V08H-10.7.4.1</v>
      </c>
      <c r="BE1266" s="429" t="s">
        <v>118</v>
      </c>
      <c r="BF1266" s="289"/>
      <c r="BG1266" s="289"/>
      <c r="BH1266" s="290"/>
      <c r="BI1266" s="289"/>
    </row>
    <row r="1267" spans="1:61" ht="15.75" customHeight="1">
      <c r="A1267" s="571" t="s">
        <v>119</v>
      </c>
      <c r="B1267" s="450"/>
      <c r="C1267" s="3"/>
      <c r="D1267" s="83"/>
      <c r="E1267" s="4"/>
      <c r="F1267" s="4"/>
      <c r="G1267" s="6">
        <v>25</v>
      </c>
      <c r="H1267" s="449"/>
      <c r="I1267" s="4" t="s">
        <v>549</v>
      </c>
      <c r="J1267" s="3">
        <f>C1266+7.5</f>
        <v>60869.899999999994</v>
      </c>
      <c r="K1267" s="449" t="s">
        <v>166</v>
      </c>
      <c r="L1267" s="449"/>
      <c r="M1267" s="449" t="str">
        <f>IF(L1267="","",
IF(AX1267="PT",VLOOKUP(L1267,Foundation_Calc!$V$79:$X$113,VLOOKUP(AX1267,Foundation_Calc!$I$10:$J$13,2,FALSE),0),
IF(AX1267="K",VLOOKUP(L1267,Foundation_Calc!$V$117:$X$151,VLOOKUP(AX1267,Foundation_Calc!$I$10:$J$13,2,FALSE),0),"")))</f>
        <v/>
      </c>
      <c r="N1267" s="449"/>
      <c r="O1267" s="449"/>
      <c r="P1267" s="449"/>
      <c r="Q1267" s="4"/>
      <c r="R1267" s="6"/>
      <c r="S1267" s="6"/>
      <c r="T1267" s="4"/>
      <c r="U1267" s="4"/>
      <c r="V1267" s="4"/>
      <c r="W1267" s="9"/>
      <c r="X1267" s="9"/>
      <c r="Y1267" s="9"/>
      <c r="Z1267" s="9"/>
      <c r="AA1267" s="9"/>
      <c r="AB1267" s="9"/>
      <c r="AC1267" s="449" t="str">
        <f t="shared" si="154"/>
        <v/>
      </c>
      <c r="AD1267" s="449"/>
      <c r="AE1267" s="449"/>
      <c r="AF1267" s="4"/>
      <c r="AG1267" s="83"/>
      <c r="AH1267" s="4"/>
      <c r="AI1267" s="4"/>
      <c r="AJ1267" s="449" t="s">
        <v>668</v>
      </c>
      <c r="AK1267" s="449"/>
      <c r="AL1267" s="449"/>
      <c r="AM1267" s="449"/>
      <c r="AN1267" s="10"/>
      <c r="AO1267" s="9"/>
      <c r="AP1267" s="9"/>
      <c r="AQ1267" s="9"/>
      <c r="AR1267" s="9"/>
      <c r="AS1267" s="9"/>
      <c r="AT1267" s="9"/>
      <c r="AU1267" s="428"/>
      <c r="AV1267" s="428"/>
      <c r="AW1267" s="449" t="str">
        <f>IF(C1267&gt;0,VLOOKUP(C1267,Foundation_Calc!$A$2:$C$13,3,1),
IF(J1267&gt;0,VLOOKUP(J1267,Foundation_Calc!$A$2:$C$13,3,1),""))</f>
        <v>Multi Soil</v>
      </c>
      <c r="AX1267" s="449"/>
      <c r="AY1267" s="10" t="str">
        <f>IF(L1267="","",
IF(AX1267="PT",VLOOKUP(L1267,Foundation_Calc!$K$79:$R$113,VLOOKUP(AW1267,Foundation_Calc!$I$2:$J$8,2,FALSE),0),
IF(AX1267="K",VLOOKUP(L1267,Foundation_Calc!$K$117:$R$151,VLOOKUP(AW1267,Foundation_Calc!$I$2:$J$8,2,FALSE),0),"")))</f>
        <v/>
      </c>
      <c r="AZ1267" s="10" t="str">
        <f>IF(K1267="","",
IF(AX1267="PT",VLOOKUP(K1267,Foundation_Calc!$K$79:$R$113,VLOOKUP(AW1267,Foundation_Calc!$I$2:$J$8,2,FALSE),0),
IF(AX1267="K",VLOOKUP(K1267,Foundation_Calc!$K$117:$R$151,VLOOKUP(AW1267,Foundation_Calc!$I$2:$J$8,2,FALSE),0),"")))</f>
        <v/>
      </c>
      <c r="BA1267" s="495" t="str">
        <f t="shared" ref="BA1267:BA1269" si="161">IF(AY1267="","",IF(AY1267&gt;0,"ü",""))</f>
        <v/>
      </c>
      <c r="BB1267" s="495" t="str">
        <f t="shared" ref="BB1267:BB1269" si="162">IF(AZ1267="","",IF(AZ1267&gt;0,"ü",""))</f>
        <v/>
      </c>
      <c r="BC1267" s="495" t="str">
        <f t="shared" ref="BC1267:BC1269" si="163">IF(M1267="","",IF(M1267="U.S.","ü",IF(M1267="U.S. N.D.","ü","")))</f>
        <v/>
      </c>
      <c r="BD1267" s="513" t="str">
        <f>IF(AND(L1267="",H1267=""),"",
IF(H1267="",Pole_Calc!A$9,
IF(H1267="MP",Pole_Calc!A$10,
IF(H1267="AnMP",Pole_Calc!A$11,
IF(H1267="A",Pole_Calc!A$12,
IF(H1267="S/A",Pole_Calc!A$13,
IF(H1267="A/S",Pole_Calc!A$14,"Poner a mano")))))))</f>
        <v/>
      </c>
      <c r="BE1267" s="429" t="s">
        <v>118</v>
      </c>
      <c r="BF1267" s="290"/>
      <c r="BG1267" s="290"/>
      <c r="BH1267" s="290"/>
      <c r="BI1267" s="290"/>
    </row>
    <row r="1268" spans="1:61" ht="15.75" customHeight="1">
      <c r="A1268" s="571" t="s">
        <v>119</v>
      </c>
      <c r="B1268" s="450" t="s">
        <v>1606</v>
      </c>
      <c r="C1268" s="3">
        <f>+$C$1266+$G$1267</f>
        <v>60887.399999999994</v>
      </c>
      <c r="D1268" s="83"/>
      <c r="E1268" s="4"/>
      <c r="F1268" s="4"/>
      <c r="G1268" s="6"/>
      <c r="H1268" s="449"/>
      <c r="I1268" s="449"/>
      <c r="J1268" s="3"/>
      <c r="K1268" s="449"/>
      <c r="L1268" s="449" t="s">
        <v>128</v>
      </c>
      <c r="M1268" s="449" t="str">
        <f>IF(L1268="","",
IF(AX1268="PT",VLOOKUP(L1268,Foundation_Calc!$V$79:$X$113,VLOOKUP(AX1268,Foundation_Calc!$I$10:$J$13,2,FALSE),0),
IF(AX1268="K",VLOOKUP(L1268,Foundation_Calc!$V$117:$X$151,VLOOKUP(AX1268,Foundation_Calc!$I$10:$J$13,2,FALSE),0),"")))</f>
        <v>T-SING FOUND.</v>
      </c>
      <c r="N1268" s="449"/>
      <c r="O1268" s="449"/>
      <c r="P1268" s="449"/>
      <c r="Q1268" s="4"/>
      <c r="R1268" s="6"/>
      <c r="S1268" s="6"/>
      <c r="T1268" s="4"/>
      <c r="U1268" s="4"/>
      <c r="V1268" s="4"/>
      <c r="W1268" s="9"/>
      <c r="X1268" s="9"/>
      <c r="Y1268" s="9"/>
      <c r="Z1268" s="9"/>
      <c r="AA1268" s="9"/>
      <c r="AB1268" s="9"/>
      <c r="AC1268" s="449" t="str">
        <f t="shared" si="154"/>
        <v/>
      </c>
      <c r="AD1268" s="449"/>
      <c r="AE1268" s="449"/>
      <c r="AF1268" s="4"/>
      <c r="AG1268" s="83"/>
      <c r="AH1268" s="4"/>
      <c r="AI1268" s="4"/>
      <c r="AJ1268" s="449"/>
      <c r="AK1268" s="449"/>
      <c r="AL1268" s="449"/>
      <c r="AM1268" s="449"/>
      <c r="AN1268" s="10">
        <v>5.5</v>
      </c>
      <c r="AO1268" s="9"/>
      <c r="AP1268" s="9"/>
      <c r="AQ1268" s="9"/>
      <c r="AR1268" s="9"/>
      <c r="AS1268" s="9"/>
      <c r="AT1268" s="9"/>
      <c r="AU1268" s="428"/>
      <c r="AV1268" s="428"/>
      <c r="AW1268" s="449" t="str">
        <f>IF(C1268&gt;0,VLOOKUP(C1268,Foundation_Calc!$A$2:$C$13,3,1),
IF(J1268&gt;0,VLOOKUP(J1268,Foundation_Calc!$A$2:$C$13,3,1),""))</f>
        <v>Multi Soil</v>
      </c>
      <c r="AX1268" s="449" t="s">
        <v>1592</v>
      </c>
      <c r="AY1268" s="10">
        <f>IF(L1268="","",
IF(AX1268="PT",VLOOKUP(L1268,Foundation_Calc!$K$79:$R$113,VLOOKUP(AW1268,Foundation_Calc!$I$2:$J$8,2,FALSE),0),
IF(AX1268="K",VLOOKUP(L1268,Foundation_Calc!$K$117:$R$151,VLOOKUP(AW1268,Foundation_Calc!$I$2:$J$8,2,FALSE),0),"")))</f>
        <v>1.2</v>
      </c>
      <c r="AZ1268" s="10" t="str">
        <f>IF(K1268="","",
IF(AX1268="PT",VLOOKUP(K1268,Foundation_Calc!$K$79:$R$113,VLOOKUP(AW1268,Foundation_Calc!$I$2:$J$8,2,FALSE),0),
IF(AX1268="K",VLOOKUP(K1268,Foundation_Calc!$K$117:$R$151,VLOOKUP(AW1268,Foundation_Calc!$I$2:$J$8,2,FALSE),0),"")))</f>
        <v/>
      </c>
      <c r="BA1268" s="495" t="str">
        <f t="shared" si="161"/>
        <v>ü</v>
      </c>
      <c r="BB1268" s="495" t="str">
        <f t="shared" si="162"/>
        <v/>
      </c>
      <c r="BC1268" s="495" t="str">
        <f t="shared" si="163"/>
        <v/>
      </c>
      <c r="BD1268" s="513"/>
      <c r="BE1268" s="429" t="s">
        <v>118</v>
      </c>
      <c r="BF1268" s="289"/>
      <c r="BG1268" s="289"/>
      <c r="BH1268" s="290"/>
      <c r="BI1268" s="289"/>
    </row>
    <row r="1269" spans="1:61" ht="15.75" customHeight="1">
      <c r="A1269" s="571" t="s">
        <v>119</v>
      </c>
      <c r="B1269" s="450"/>
      <c r="C1269" s="3"/>
      <c r="D1269" s="83"/>
      <c r="E1269" s="4"/>
      <c r="F1269" s="4"/>
      <c r="G1269" s="6">
        <v>57</v>
      </c>
      <c r="H1269" s="449"/>
      <c r="I1269" s="4"/>
      <c r="J1269" s="3"/>
      <c r="K1269" s="449"/>
      <c r="L1269" s="449"/>
      <c r="M1269" s="449" t="str">
        <f>IF(L1269="","",
IF(AX1269="PT",VLOOKUP(L1269,Foundation_Calc!$V$79:$X$113,VLOOKUP(AX1269,Foundation_Calc!$I$10:$J$13,2,FALSE),0),
IF(AX1269="K",VLOOKUP(L1269,Foundation_Calc!$V$117:$X$151,VLOOKUP(AX1269,Foundation_Calc!$I$10:$J$13,2,FALSE),0),"")))</f>
        <v/>
      </c>
      <c r="N1269" s="449"/>
      <c r="O1269" s="449"/>
      <c r="P1269" s="449"/>
      <c r="Q1269" s="4"/>
      <c r="R1269" s="6"/>
      <c r="S1269" s="6"/>
      <c r="T1269" s="4"/>
      <c r="U1269" s="4"/>
      <c r="V1269" s="4"/>
      <c r="W1269" s="9"/>
      <c r="X1269" s="9"/>
      <c r="Y1269" s="9"/>
      <c r="Z1269" s="9"/>
      <c r="AA1269" s="9"/>
      <c r="AB1269" s="9"/>
      <c r="AC1269" s="449" t="str">
        <f t="shared" si="154"/>
        <v/>
      </c>
      <c r="AD1269" s="449"/>
      <c r="AE1269" s="449"/>
      <c r="AF1269" s="4"/>
      <c r="AG1269" s="83"/>
      <c r="AH1269" s="4"/>
      <c r="AI1269" s="4"/>
      <c r="AJ1269" s="449"/>
      <c r="AK1269" s="449"/>
      <c r="AL1269" s="449"/>
      <c r="AM1269" s="449"/>
      <c r="AN1269" s="10"/>
      <c r="AO1269" s="9"/>
      <c r="AP1269" s="9"/>
      <c r="AQ1269" s="9">
        <f>+FL_2($T$1270,$T$1266,$G$1269,1200,9.28, 1*$F$1270)</f>
        <v>-0.37314758771929823</v>
      </c>
      <c r="AR1269" s="9"/>
      <c r="AS1269" s="9"/>
      <c r="AT1269" s="9"/>
      <c r="AU1269" s="428"/>
      <c r="AV1269" s="428"/>
      <c r="AW1269" s="449" t="str">
        <f>IF(C1269&gt;0,VLOOKUP(C1269,Foundation_Calc!$A$2:$C$13,3,1),
IF(J1269&gt;0,VLOOKUP(J1269,Foundation_Calc!$A$2:$C$13,3,1),""))</f>
        <v/>
      </c>
      <c r="AX1269" s="449"/>
      <c r="AY1269" s="10" t="str">
        <f>IF(L1269="","",
IF(AX1269="PT",VLOOKUP(L1269,Foundation_Calc!$K$79:$R$113,VLOOKUP(AW1269,Foundation_Calc!$I$2:$J$8,2,FALSE),0),
IF(AX1269="K",VLOOKUP(L1269,Foundation_Calc!$K$117:$R$151,VLOOKUP(AW1269,Foundation_Calc!$I$2:$J$8,2,FALSE),0),"")))</f>
        <v/>
      </c>
      <c r="AZ1269" s="10" t="str">
        <f>IF(K1269="","",
IF(AX1269="PT",VLOOKUP(K1269,Foundation_Calc!$K$79:$R$113,VLOOKUP(AW1269,Foundation_Calc!$I$2:$J$8,2,FALSE),0),
IF(AX1269="K",VLOOKUP(K1269,Foundation_Calc!$K$117:$R$151,VLOOKUP(AW1269,Foundation_Calc!$I$2:$J$8,2,FALSE),0),"")))</f>
        <v/>
      </c>
      <c r="BA1269" s="495" t="str">
        <f t="shared" si="161"/>
        <v/>
      </c>
      <c r="BB1269" s="495" t="str">
        <f t="shared" si="162"/>
        <v/>
      </c>
      <c r="BC1269" s="495" t="str">
        <f t="shared" si="163"/>
        <v/>
      </c>
      <c r="BD1269" s="513" t="str">
        <f>IF(AND(L1269="",H1269=""),"",
IF(H1269="",Pole_Calc!A$9,
IF(H1269="MP",Pole_Calc!A$10,
IF(H1269="AnMP",Pole_Calc!A$11,
IF(H1269="A",Pole_Calc!A$12,
IF(H1269="S/A",Pole_Calc!A$13,
IF(H1269="A/S",Pole_Calc!A$14,"Poner a mano")))))))</f>
        <v/>
      </c>
      <c r="BE1269" s="429" t="s">
        <v>118</v>
      </c>
      <c r="BF1269" s="290"/>
      <c r="BG1269" s="290"/>
      <c r="BH1269" s="290"/>
      <c r="BI1269" s="290"/>
    </row>
    <row r="1270" spans="1:61" ht="15.75" customHeight="1">
      <c r="A1270" s="571" t="s">
        <v>119</v>
      </c>
      <c r="B1270" s="450" t="s">
        <v>1607</v>
      </c>
      <c r="C1270" s="3">
        <f>+$C$1266+$G$1269</f>
        <v>60919.399999999994</v>
      </c>
      <c r="D1270" s="83"/>
      <c r="E1270" s="4"/>
      <c r="F1270" s="4">
        <v>0</v>
      </c>
      <c r="G1270" s="6"/>
      <c r="H1270" s="449" t="s">
        <v>121</v>
      </c>
      <c r="I1270" s="4" t="s">
        <v>122</v>
      </c>
      <c r="J1270" s="3"/>
      <c r="K1270" s="449"/>
      <c r="L1270" s="449" t="s">
        <v>151</v>
      </c>
      <c r="M1270" s="449" t="str">
        <f>IF(L1270="","",
IF(AX1270="PT",VLOOKUP(L1270,Foundation_Calc!$V$79:$X$113,VLOOKUP(AX1270,Foundation_Calc!$I$10:$J$13,2,FALSE),0),
IF(AX1270="K",VLOOKUP(L1270,Foundation_Calc!$V$117:$X$151,VLOOKUP(AX1270,Foundation_Calc!$I$10:$J$13,2,FALSE),0),"")))</f>
        <v>C4R</v>
      </c>
      <c r="N1270" s="449" t="s">
        <v>124</v>
      </c>
      <c r="O1270" s="449"/>
      <c r="P1270" s="449"/>
      <c r="Q1270" s="4"/>
      <c r="R1270" s="6"/>
      <c r="S1270" s="6"/>
      <c r="T1270" s="4">
        <v>-30</v>
      </c>
      <c r="U1270" s="4"/>
      <c r="V1270" s="4"/>
      <c r="W1270" s="9">
        <v>1.4</v>
      </c>
      <c r="X1270" s="9"/>
      <c r="Y1270" s="9"/>
      <c r="Z1270" s="9"/>
      <c r="AA1270" s="9"/>
      <c r="AB1270" s="9"/>
      <c r="AC1270" s="449" t="str">
        <f t="shared" si="154"/>
        <v>PH</v>
      </c>
      <c r="AD1270" s="449"/>
      <c r="AE1270" s="449"/>
      <c r="AF1270" s="4"/>
      <c r="AG1270" s="83"/>
      <c r="AH1270" s="4"/>
      <c r="AI1270" s="4"/>
      <c r="AJ1270" s="449"/>
      <c r="AK1270" s="449"/>
      <c r="AL1270" s="449"/>
      <c r="AM1270" s="449" t="s">
        <v>552</v>
      </c>
      <c r="AN1270" s="10">
        <v>5.5</v>
      </c>
      <c r="AO1270" s="9"/>
      <c r="AP1270" s="9"/>
      <c r="AQ1270" s="9"/>
      <c r="AR1270" s="9"/>
      <c r="AS1270" s="9"/>
      <c r="AT1270" s="9">
        <f>+ab($T$1270,$T$1268,$T$1272,$G$1269,$G$1271, 1*$F$1270,1200)</f>
        <v>-16.560192970840777</v>
      </c>
      <c r="AU1270" s="428"/>
      <c r="AV1270" s="428"/>
      <c r="AW1270" s="449" t="str">
        <f>IF(C1270&gt;0,VLOOKUP(C1270,Foundation_Calc!$A$2:$C$13,3,1),
IF(J1270&gt;0,VLOOKUP(J1270,Foundation_Calc!$A$2:$C$13,3,1),""))</f>
        <v>Multi Soil</v>
      </c>
      <c r="AX1270" s="449" t="s">
        <v>1592</v>
      </c>
      <c r="AY1270" s="10">
        <f>IF(L1270="","",
IF(AX1270="PT",VLOOKUP(L1270,Foundation_Calc!$K$79:$R$113,VLOOKUP(AW1270,Foundation_Calc!$I$2:$J$8,2,FALSE),0),
IF(AX1270="K",VLOOKUP(L1270,Foundation_Calc!$K$117:$R$151,VLOOKUP(AW1270,Foundation_Calc!$I$2:$J$8,2,FALSE),0),"")))</f>
        <v>3.5</v>
      </c>
      <c r="AZ1270" s="10" t="str">
        <f>IF(K1270="","",
IF(AX1270="PT",VLOOKUP(K1270,Foundation_Calc!$K$79:$R$113,VLOOKUP(AW1270,Foundation_Calc!$I$2:$J$8,2,FALSE),0),
IF(AX1270="K",VLOOKUP(K1270,Foundation_Calc!$K$117:$R$151,VLOOKUP(AW1270,Foundation_Calc!$I$2:$J$8,2,FALSE),0),"")))</f>
        <v/>
      </c>
      <c r="BA1270" s="495" t="str">
        <f t="shared" si="155"/>
        <v>ü</v>
      </c>
      <c r="BB1270" s="495" t="str">
        <f t="shared" si="156"/>
        <v/>
      </c>
      <c r="BC1270" s="495" t="str">
        <f t="shared" si="157"/>
        <v/>
      </c>
      <c r="BD1270" s="513" t="str">
        <f>IF(AND(L1270="",H1270=""),"",
IF(H1270="",Pole_Calc!A$9,
IF(H1270="MP",Pole_Calc!A$10,
IF(H1270="AnMP",Pole_Calc!A$11,
IF(H1270="A",Pole_Calc!A$12,
IF(H1270="S/A",Pole_Calc!A$13,
IF(H1270="A/S",Pole_Calc!A$14,"Poner a mano")))))))</f>
        <v>App.7-V11I-P9.5.1.6</v>
      </c>
      <c r="BE1270" s="429" t="s">
        <v>118</v>
      </c>
      <c r="BF1270" s="289"/>
      <c r="BG1270" s="289"/>
      <c r="BH1270" s="290"/>
      <c r="BI1270" s="289"/>
    </row>
    <row r="1271" spans="1:61" ht="15.75" customHeight="1">
      <c r="A1271" s="646" t="s">
        <v>916</v>
      </c>
      <c r="B1271" s="637"/>
      <c r="C1271" s="638"/>
      <c r="D1271" s="639"/>
      <c r="E1271" s="640"/>
      <c r="F1271" s="640"/>
      <c r="G1271" s="641">
        <v>50</v>
      </c>
      <c r="H1271" s="642"/>
      <c r="I1271" s="642"/>
      <c r="J1271" s="638">
        <f>C1270+7.5</f>
        <v>60926.899999999994</v>
      </c>
      <c r="K1271" s="642" t="s">
        <v>117</v>
      </c>
      <c r="L1271" s="642"/>
      <c r="M1271" s="642" t="str">
        <f>IF(L1271="","",
IF(AX1271="PT",VLOOKUP(L1271,Foundation_Calc!$V$79:$X$113,VLOOKUP(AX1271,Foundation_Calc!$I$10:$J$13,2,FALSE),0),
IF(AX1271="K",VLOOKUP(L1271,Foundation_Calc!$V$117:$X$151,VLOOKUP(AX1271,Foundation_Calc!$I$10:$J$13,2,FALSE),0),"")))</f>
        <v/>
      </c>
      <c r="N1271" s="642"/>
      <c r="O1271" s="642"/>
      <c r="P1271" s="642"/>
      <c r="Q1271" s="640"/>
      <c r="R1271" s="641"/>
      <c r="S1271" s="641"/>
      <c r="T1271" s="640"/>
      <c r="U1271" s="640"/>
      <c r="V1271" s="640"/>
      <c r="W1271" s="643"/>
      <c r="X1271" s="643"/>
      <c r="Y1271" s="643"/>
      <c r="Z1271" s="643"/>
      <c r="AA1271" s="643"/>
      <c r="AB1271" s="643"/>
      <c r="AC1271" s="642" t="str">
        <f t="shared" si="154"/>
        <v/>
      </c>
      <c r="AD1271" s="642"/>
      <c r="AE1271" s="642"/>
      <c r="AF1271" s="640"/>
      <c r="AG1271" s="639"/>
      <c r="AH1271" s="640"/>
      <c r="AI1271" s="640"/>
      <c r="AJ1271" s="642"/>
      <c r="AK1271" s="642"/>
      <c r="AL1271" s="642"/>
      <c r="AM1271" s="642"/>
      <c r="AN1271" s="644"/>
      <c r="AO1271" s="643"/>
      <c r="AP1271" s="643"/>
      <c r="AQ1271" s="643">
        <f>+FL_2($T$1272,$T$1270,$G$1271,1200,9.28, 1*$F$1272)</f>
        <v>-0.41494252800000003</v>
      </c>
      <c r="AR1271" s="643"/>
      <c r="AS1271" s="643"/>
      <c r="AT1271" s="643"/>
      <c r="AU1271" s="645"/>
      <c r="AV1271" s="645"/>
      <c r="AW1271" s="642" t="str">
        <f>IF(C1271&gt;0,VLOOKUP(C1271,Foundation_Calc!$A$2:$C$13,3,1),
IF(J1271&gt;0,VLOOKUP(J1271,Foundation_Calc!$A$2:$C$13,3,1),""))</f>
        <v>Multi Soil</v>
      </c>
      <c r="AX1271" s="642" t="s">
        <v>1592</v>
      </c>
      <c r="AY1271" s="644" t="str">
        <f>IF(L1271="","",
IF(AX1271="PT",VLOOKUP(L1271,Foundation_Calc!$K$79:$R$113,VLOOKUP(AW1271,Foundation_Calc!$I$2:$J$8,2,FALSE),0),
IF(AX1271="K",VLOOKUP(L1271,Foundation_Calc!$K$117:$R$151,VLOOKUP(AW1271,Foundation_Calc!$I$2:$J$8,2,FALSE),0),"")))</f>
        <v/>
      </c>
      <c r="AZ1271" s="644">
        <f>IF(K1271="","",
IF(AX1271="PT",VLOOKUP(K1271,Foundation_Calc!$K$79:$R$113,VLOOKUP(AW1271,Foundation_Calc!$I$2:$J$8,2,FALSE),0),
IF(AX1271="K",VLOOKUP(K1271,Foundation_Calc!$K$117:$R$151,VLOOKUP(AW1271,Foundation_Calc!$I$2:$J$8,2,FALSE),0),"")))</f>
        <v>3.9</v>
      </c>
      <c r="BA1271" s="495" t="str">
        <f t="shared" si="155"/>
        <v/>
      </c>
      <c r="BB1271" s="495" t="str">
        <f t="shared" si="156"/>
        <v>ü</v>
      </c>
      <c r="BC1271" s="495" t="str">
        <f t="shared" si="157"/>
        <v/>
      </c>
      <c r="BD1271" s="513" t="str">
        <f>IF(AND(L1271="",H1271=""),"",
IF(H1271="",Pole_Calc!A$9,
IF(H1271="MP",Pole_Calc!A$10,
IF(H1271="AnMP",Pole_Calc!A$11,
IF(H1271="A",Pole_Calc!A$12,
IF(H1271="S/A",Pole_Calc!A$13,
IF(H1271="A/S",Pole_Calc!A$14,"Poner a mano")))))))</f>
        <v/>
      </c>
      <c r="BE1271" s="429" t="s">
        <v>118</v>
      </c>
      <c r="BF1271" s="290"/>
      <c r="BG1271" s="290"/>
      <c r="BH1271" s="290"/>
      <c r="BI1271" s="290"/>
    </row>
    <row r="1272" spans="1:61" ht="15.75" customHeight="1" thickBot="1">
      <c r="A1272" s="955" t="str">
        <f>IF(L1272="","",
IF(AX1272="PT",VLOOKUP(L1272,Foundation_Calc!$V$79:$X$113,VLOOKUP(AX1272,Foundation_Calc!$I$10:$J$13,2,FALSE),0),
IF(AX1272="K",VLOOKUP(L1272,Foundation_Calc!$V$117:$X$151,VLOOKUP(AX1272,Foundation_Calc!$I$10:$J$13,2,FALSE),0),"")))</f>
        <v/>
      </c>
      <c r="B1272" s="956"/>
      <c r="C1272" s="956"/>
      <c r="D1272" s="956"/>
      <c r="E1272" s="956"/>
      <c r="F1272" s="956"/>
      <c r="G1272" s="956"/>
      <c r="H1272" s="956"/>
      <c r="I1272" s="956"/>
      <c r="J1272" s="956"/>
      <c r="K1272" s="956"/>
      <c r="L1272" s="956"/>
      <c r="M1272" s="956"/>
      <c r="N1272" s="956"/>
      <c r="O1272" s="956"/>
      <c r="P1272" s="956"/>
      <c r="Q1272" s="956"/>
      <c r="R1272" s="956"/>
      <c r="S1272" s="956"/>
      <c r="T1272" s="956"/>
      <c r="U1272" s="956"/>
      <c r="V1272" s="956"/>
      <c r="W1272" s="956"/>
      <c r="X1272" s="956"/>
      <c r="Y1272" s="956"/>
      <c r="Z1272" s="956"/>
      <c r="AA1272" s="956"/>
      <c r="AB1272" s="956"/>
      <c r="AC1272" s="956"/>
      <c r="AD1272" s="956"/>
      <c r="AE1272" s="956"/>
      <c r="AF1272" s="956"/>
      <c r="AG1272" s="956"/>
      <c r="AH1272" s="956"/>
      <c r="AI1272" s="956"/>
      <c r="AJ1272" s="956"/>
      <c r="AK1272" s="956"/>
      <c r="AL1272" s="956"/>
      <c r="AM1272" s="956"/>
      <c r="AN1272" s="956"/>
      <c r="AO1272" s="956"/>
      <c r="AP1272" s="956"/>
      <c r="AQ1272" s="956"/>
      <c r="AR1272" s="956"/>
      <c r="AS1272" s="956"/>
      <c r="AT1272" s="956"/>
      <c r="AU1272" s="956"/>
      <c r="AV1272" s="956"/>
      <c r="AW1272" s="956"/>
      <c r="AX1272" s="956"/>
      <c r="AY1272" s="956"/>
      <c r="AZ1272" s="956"/>
      <c r="BA1272" s="956"/>
      <c r="BB1272" s="956"/>
      <c r="BC1272" s="956"/>
      <c r="BD1272" s="957"/>
      <c r="BF1272" s="549"/>
      <c r="BG1272" s="549"/>
      <c r="BH1272" s="549"/>
      <c r="BI1272" s="549"/>
    </row>
    <row r="1273" spans="1:61" ht="15.75" customHeight="1">
      <c r="A1273" s="12"/>
      <c r="B1273" s="427"/>
      <c r="D1273" s="903"/>
      <c r="E1273" s="13"/>
      <c r="F1273" s="13"/>
      <c r="G1273" s="904"/>
      <c r="Q1273" s="13"/>
      <c r="R1273" s="904"/>
      <c r="S1273" s="904"/>
      <c r="T1273" s="13"/>
      <c r="U1273" s="13"/>
      <c r="V1273" s="13"/>
      <c r="W1273" s="16"/>
      <c r="X1273" s="16"/>
      <c r="Y1273" s="16"/>
      <c r="Z1273" s="16"/>
      <c r="AA1273" s="16"/>
      <c r="AB1273" s="16"/>
      <c r="AF1273" s="13"/>
      <c r="AG1273" s="903"/>
      <c r="AH1273" s="13"/>
      <c r="AI1273" s="13"/>
      <c r="AN1273" s="905"/>
      <c r="AO1273" s="16"/>
      <c r="AP1273" s="16"/>
      <c r="AQ1273" s="16"/>
      <c r="AR1273" s="16"/>
      <c r="AS1273" s="16"/>
      <c r="AU1273" s="429"/>
      <c r="AV1273" s="429"/>
      <c r="AY1273" s="905"/>
      <c r="AZ1273" s="905"/>
      <c r="BA1273" s="906"/>
      <c r="BB1273" s="906"/>
      <c r="BC1273" s="906"/>
      <c r="BD1273" s="907"/>
    </row>
    <row r="1274" spans="1:61" ht="15.75" customHeight="1">
      <c r="A1274" s="12"/>
      <c r="B1274" s="427"/>
      <c r="D1274" s="903"/>
      <c r="E1274" s="13"/>
      <c r="F1274" s="13"/>
      <c r="G1274" s="904"/>
      <c r="I1274" s="8"/>
      <c r="Q1274" s="13"/>
      <c r="R1274" s="904"/>
      <c r="S1274" s="904"/>
      <c r="T1274" s="13"/>
      <c r="U1274" s="13"/>
      <c r="V1274" s="13"/>
      <c r="W1274" s="16"/>
      <c r="X1274" s="16"/>
      <c r="Y1274" s="16"/>
      <c r="Z1274" s="16"/>
      <c r="AA1274" s="16"/>
      <c r="AB1274" s="16"/>
      <c r="AF1274" s="13"/>
      <c r="AG1274" s="903"/>
      <c r="AH1274" s="13"/>
      <c r="AI1274" s="13"/>
      <c r="AN1274" s="905"/>
      <c r="AO1274" s="16"/>
      <c r="AP1274" s="16"/>
      <c r="AQ1274" s="16"/>
      <c r="AR1274" s="16"/>
      <c r="AS1274" s="16"/>
      <c r="AU1274" s="429"/>
      <c r="AV1274" s="429"/>
      <c r="AY1274" s="905"/>
      <c r="AZ1274" s="905"/>
      <c r="BA1274" s="906"/>
      <c r="BB1274" s="906"/>
      <c r="BC1274" s="906"/>
      <c r="BD1274" s="907"/>
    </row>
    <row r="1275" spans="1:61" ht="15.75" customHeight="1">
      <c r="A1275" s="12"/>
      <c r="B1275" s="427"/>
      <c r="D1275" s="903"/>
      <c r="E1275" s="13"/>
      <c r="F1275" s="13"/>
      <c r="G1275" s="904"/>
      <c r="Q1275" s="13"/>
      <c r="R1275" s="904"/>
      <c r="S1275" s="904"/>
      <c r="T1275" s="13"/>
      <c r="U1275" s="13"/>
      <c r="V1275" s="13"/>
      <c r="W1275" s="16"/>
      <c r="X1275" s="16"/>
      <c r="Y1275" s="16"/>
      <c r="Z1275" s="16"/>
      <c r="AA1275" s="16"/>
      <c r="AB1275" s="16"/>
      <c r="AF1275" s="13"/>
      <c r="AG1275" s="903"/>
      <c r="AH1275" s="13"/>
      <c r="AI1275" s="13"/>
      <c r="AN1275" s="905"/>
      <c r="AO1275" s="16"/>
      <c r="AP1275" s="16"/>
      <c r="AQ1275" s="16"/>
      <c r="AR1275" s="16"/>
      <c r="AS1275" s="16"/>
      <c r="AU1275" s="429"/>
      <c r="AV1275" s="429"/>
      <c r="AY1275" s="905"/>
      <c r="AZ1275" s="905"/>
      <c r="BA1275" s="906"/>
      <c r="BB1275" s="906"/>
      <c r="BC1275" s="906"/>
      <c r="BD1275" s="907"/>
    </row>
    <row r="1276" spans="1:61" ht="15.75" customHeight="1">
      <c r="A1276" s="908"/>
      <c r="B1276" s="427"/>
      <c r="D1276" s="903"/>
      <c r="E1276" s="13"/>
      <c r="F1276" s="13"/>
      <c r="G1276" s="904"/>
      <c r="Q1276" s="13"/>
      <c r="R1276" s="904"/>
      <c r="S1276" s="904"/>
      <c r="T1276" s="13"/>
      <c r="U1276" s="13"/>
      <c r="V1276" s="13"/>
      <c r="W1276" s="16"/>
      <c r="X1276" s="16"/>
      <c r="Y1276" s="16"/>
      <c r="Z1276" s="16"/>
      <c r="AA1276" s="16"/>
      <c r="AB1276" s="16"/>
      <c r="AF1276" s="13"/>
      <c r="AG1276" s="903"/>
      <c r="AH1276" s="13"/>
      <c r="AI1276" s="13"/>
      <c r="AN1276" s="905"/>
      <c r="AO1276" s="16"/>
      <c r="AP1276" s="16"/>
      <c r="AQ1276" s="16"/>
      <c r="AR1276" s="16"/>
      <c r="AS1276" s="16"/>
      <c r="AU1276" s="429"/>
      <c r="AV1276" s="429"/>
      <c r="AY1276" s="905"/>
      <c r="AZ1276" s="905"/>
      <c r="BA1276" s="906"/>
      <c r="BB1276" s="906"/>
      <c r="BC1276" s="906"/>
      <c r="BD1276" s="907"/>
    </row>
    <row r="1277" spans="1:61" ht="15.75" customHeight="1">
      <c r="A1277" s="908"/>
      <c r="B1277" s="427"/>
      <c r="D1277" s="903"/>
      <c r="E1277" s="13"/>
      <c r="F1277" s="13"/>
      <c r="G1277" s="904"/>
      <c r="Q1277" s="13"/>
      <c r="R1277" s="904"/>
      <c r="S1277" s="904"/>
      <c r="T1277" s="13"/>
      <c r="U1277" s="13"/>
      <c r="V1277" s="13"/>
      <c r="W1277" s="16"/>
      <c r="X1277" s="16"/>
      <c r="Y1277" s="16"/>
      <c r="Z1277" s="16"/>
      <c r="AA1277" s="16"/>
      <c r="AB1277" s="16"/>
      <c r="AF1277" s="13"/>
      <c r="AG1277" s="903"/>
      <c r="AH1277" s="13"/>
      <c r="AI1277" s="13"/>
      <c r="AN1277" s="905"/>
      <c r="AO1277" s="16"/>
      <c r="AP1277" s="16"/>
      <c r="AQ1277" s="16"/>
      <c r="AR1277" s="16"/>
      <c r="AS1277" s="16"/>
      <c r="AU1277" s="429"/>
      <c r="AV1277" s="429"/>
      <c r="AY1277" s="905"/>
      <c r="AZ1277" s="905"/>
      <c r="BA1277" s="906"/>
      <c r="BB1277" s="906"/>
      <c r="BC1277" s="906"/>
      <c r="BD1277" s="907"/>
    </row>
    <row r="1278" spans="1:61" ht="15.75" customHeight="1">
      <c r="A1278" s="12"/>
      <c r="B1278" s="427"/>
      <c r="D1278" s="903"/>
      <c r="E1278" s="13"/>
      <c r="F1278" s="13"/>
      <c r="G1278" s="904"/>
      <c r="Q1278" s="13"/>
      <c r="R1278" s="904"/>
      <c r="S1278" s="904"/>
      <c r="T1278" s="13"/>
      <c r="U1278" s="13"/>
      <c r="V1278" s="13"/>
      <c r="W1278" s="16"/>
      <c r="X1278" s="16"/>
      <c r="Y1278" s="16"/>
      <c r="Z1278" s="16"/>
      <c r="AA1278" s="16"/>
      <c r="AB1278" s="16"/>
      <c r="AF1278" s="13"/>
      <c r="AG1278" s="903"/>
      <c r="AH1278" s="13"/>
      <c r="AI1278" s="13"/>
      <c r="AN1278" s="905"/>
      <c r="AO1278" s="16"/>
      <c r="AP1278" s="16"/>
      <c r="AQ1278" s="16"/>
      <c r="AR1278" s="16"/>
      <c r="AS1278" s="16"/>
      <c r="AU1278" s="429"/>
      <c r="AV1278" s="429"/>
      <c r="AY1278" s="905"/>
      <c r="AZ1278" s="905"/>
      <c r="BA1278" s="906"/>
      <c r="BB1278" s="906"/>
      <c r="BC1278" s="906"/>
      <c r="BD1278" s="907"/>
    </row>
    <row r="1279" spans="1:61" ht="15.75" customHeight="1">
      <c r="A1279" s="12"/>
      <c r="B1279" s="427"/>
      <c r="D1279" s="903"/>
      <c r="E1279" s="13"/>
      <c r="F1279" s="13"/>
      <c r="G1279" s="904"/>
      <c r="I1279" s="8"/>
      <c r="Q1279" s="13"/>
      <c r="R1279" s="904"/>
      <c r="S1279" s="904"/>
      <c r="T1279" s="13"/>
      <c r="U1279" s="13"/>
      <c r="V1279" s="13"/>
      <c r="W1279" s="16"/>
      <c r="X1279" s="16"/>
      <c r="Y1279" s="16"/>
      <c r="Z1279" s="16"/>
      <c r="AA1279" s="16"/>
      <c r="AB1279" s="16"/>
      <c r="AF1279" s="13"/>
      <c r="AG1279" s="903"/>
      <c r="AH1279" s="13"/>
      <c r="AI1279" s="13"/>
      <c r="AN1279" s="905"/>
      <c r="AO1279" s="16"/>
      <c r="AP1279" s="16"/>
      <c r="AQ1279" s="16"/>
      <c r="AR1279" s="16"/>
      <c r="AS1279" s="16"/>
      <c r="AU1279" s="429"/>
      <c r="AV1279" s="429"/>
      <c r="AY1279" s="905"/>
      <c r="AZ1279" s="905"/>
      <c r="BA1279" s="906"/>
      <c r="BB1279" s="906"/>
      <c r="BC1279" s="906"/>
      <c r="BD1279" s="907"/>
    </row>
    <row r="1280" spans="1:61" ht="15.75" customHeight="1">
      <c r="A1280" s="12"/>
      <c r="B1280" s="427"/>
      <c r="D1280" s="903"/>
      <c r="E1280" s="13"/>
      <c r="F1280" s="13"/>
      <c r="G1280" s="904"/>
      <c r="Q1280" s="13"/>
      <c r="R1280" s="904"/>
      <c r="S1280" s="904"/>
      <c r="T1280" s="13"/>
      <c r="U1280" s="13"/>
      <c r="V1280" s="13"/>
      <c r="W1280" s="16"/>
      <c r="X1280" s="16"/>
      <c r="Y1280" s="16"/>
      <c r="Z1280" s="16"/>
      <c r="AA1280" s="16"/>
      <c r="AB1280" s="16"/>
      <c r="AF1280" s="13"/>
      <c r="AG1280" s="903"/>
      <c r="AH1280" s="13"/>
      <c r="AI1280" s="13"/>
      <c r="AN1280" s="905"/>
      <c r="AO1280" s="16"/>
      <c r="AP1280" s="16"/>
      <c r="AQ1280" s="16"/>
      <c r="AR1280" s="16"/>
      <c r="AS1280" s="16"/>
      <c r="AU1280" s="429"/>
      <c r="AV1280" s="429"/>
      <c r="AY1280" s="905"/>
      <c r="AZ1280" s="905"/>
      <c r="BA1280" s="906"/>
      <c r="BB1280" s="906"/>
      <c r="BC1280" s="906"/>
      <c r="BD1280" s="907"/>
    </row>
    <row r="1281" spans="1:56" ht="15.75" customHeight="1">
      <c r="A1281" s="908"/>
      <c r="B1281" s="427"/>
      <c r="D1281" s="903"/>
      <c r="E1281" s="13"/>
      <c r="F1281" s="13"/>
      <c r="G1281" s="904"/>
      <c r="Q1281" s="13"/>
      <c r="R1281" s="904"/>
      <c r="S1281" s="904"/>
      <c r="T1281" s="13"/>
      <c r="U1281" s="13"/>
      <c r="V1281" s="13"/>
      <c r="W1281" s="16"/>
      <c r="X1281" s="16"/>
      <c r="Y1281" s="16"/>
      <c r="Z1281" s="16"/>
      <c r="AA1281" s="16"/>
      <c r="AB1281" s="16"/>
      <c r="AF1281" s="13"/>
      <c r="AG1281" s="903"/>
      <c r="AH1281" s="13"/>
      <c r="AI1281" s="13"/>
      <c r="AN1281" s="905"/>
      <c r="AO1281" s="16"/>
      <c r="AP1281" s="16"/>
      <c r="AQ1281" s="16"/>
      <c r="AR1281" s="16"/>
      <c r="AS1281" s="16"/>
      <c r="AU1281" s="429"/>
      <c r="AV1281" s="429"/>
      <c r="AY1281" s="905"/>
      <c r="AZ1281" s="905"/>
      <c r="BA1281" s="906"/>
      <c r="BB1281" s="906"/>
      <c r="BC1281" s="906"/>
      <c r="BD1281" s="907"/>
    </row>
    <row r="1282" spans="1:56" ht="15.75" customHeight="1">
      <c r="A1282" s="908"/>
      <c r="B1282" s="427"/>
      <c r="D1282" s="903"/>
      <c r="E1282" s="13"/>
      <c r="F1282" s="13"/>
      <c r="G1282" s="904"/>
      <c r="Q1282" s="13"/>
      <c r="R1282" s="904"/>
      <c r="S1282" s="904"/>
      <c r="T1282" s="13"/>
      <c r="U1282" s="13"/>
      <c r="V1282" s="13"/>
      <c r="W1282" s="16"/>
      <c r="X1282" s="16"/>
      <c r="Y1282" s="16"/>
      <c r="Z1282" s="16"/>
      <c r="AA1282" s="16"/>
      <c r="AB1282" s="16"/>
      <c r="AF1282" s="13"/>
      <c r="AG1282" s="903"/>
      <c r="AH1282" s="13"/>
      <c r="AI1282" s="13"/>
      <c r="AN1282" s="905"/>
      <c r="AO1282" s="16"/>
      <c r="AP1282" s="16"/>
      <c r="AQ1282" s="16"/>
      <c r="AR1282" s="16"/>
      <c r="AS1282" s="16"/>
      <c r="AU1282" s="429"/>
      <c r="AV1282" s="429"/>
      <c r="AY1282" s="905"/>
      <c r="AZ1282" s="905"/>
      <c r="BA1282" s="906"/>
      <c r="BB1282" s="906"/>
      <c r="BC1282" s="906"/>
      <c r="BD1282" s="907"/>
    </row>
    <row r="1283" spans="1:56" ht="15.75" customHeight="1">
      <c r="A1283" s="12"/>
      <c r="B1283" s="427"/>
      <c r="D1283" s="903"/>
      <c r="E1283" s="13"/>
      <c r="F1283" s="13"/>
      <c r="G1283" s="904"/>
      <c r="Q1283" s="13"/>
      <c r="R1283" s="904"/>
      <c r="S1283" s="904"/>
      <c r="T1283" s="13"/>
      <c r="U1283" s="13"/>
      <c r="V1283" s="13"/>
      <c r="W1283" s="16"/>
      <c r="X1283" s="16"/>
      <c r="Y1283" s="16"/>
      <c r="Z1283" s="16"/>
      <c r="AA1283" s="16"/>
      <c r="AB1283" s="16"/>
      <c r="AF1283" s="13"/>
      <c r="AG1283" s="903"/>
      <c r="AH1283" s="13"/>
      <c r="AI1283" s="13"/>
      <c r="AN1283" s="905"/>
      <c r="AO1283" s="16"/>
      <c r="AP1283" s="16"/>
      <c r="AQ1283" s="16"/>
      <c r="AR1283" s="16"/>
      <c r="AS1283" s="16"/>
      <c r="AU1283" s="429"/>
      <c r="AV1283" s="429"/>
      <c r="AY1283" s="905"/>
      <c r="AZ1283" s="905"/>
      <c r="BA1283" s="906"/>
      <c r="BB1283" s="906"/>
      <c r="BC1283" s="906"/>
      <c r="BD1283" s="907"/>
    </row>
    <row r="1284" spans="1:56" ht="15.75" customHeight="1">
      <c r="A1284" s="12"/>
      <c r="B1284" s="427"/>
      <c r="D1284" s="903"/>
      <c r="E1284" s="13"/>
      <c r="F1284" s="13"/>
      <c r="G1284" s="904"/>
      <c r="I1284" s="8"/>
      <c r="Q1284" s="13"/>
      <c r="R1284" s="904"/>
      <c r="S1284" s="904"/>
      <c r="T1284" s="13"/>
      <c r="U1284" s="13"/>
      <c r="V1284" s="13"/>
      <c r="W1284" s="16"/>
      <c r="X1284" s="16"/>
      <c r="Y1284" s="16"/>
      <c r="Z1284" s="16"/>
      <c r="AA1284" s="16"/>
      <c r="AB1284" s="16"/>
      <c r="AF1284" s="13"/>
      <c r="AG1284" s="903"/>
      <c r="AH1284" s="13"/>
      <c r="AI1284" s="13"/>
      <c r="AN1284" s="905"/>
      <c r="AO1284" s="16"/>
      <c r="AP1284" s="16"/>
      <c r="AQ1284" s="16"/>
      <c r="AR1284" s="16"/>
      <c r="AS1284" s="16"/>
      <c r="AU1284" s="429"/>
      <c r="AV1284" s="429"/>
      <c r="AY1284" s="905"/>
      <c r="AZ1284" s="905"/>
      <c r="BA1284" s="906"/>
      <c r="BB1284" s="906"/>
      <c r="BC1284" s="906"/>
      <c r="BD1284" s="907"/>
    </row>
    <row r="1285" spans="1:56" ht="15.75" customHeight="1">
      <c r="A1285" s="12"/>
      <c r="B1285" s="427"/>
      <c r="D1285" s="903"/>
      <c r="E1285" s="13"/>
      <c r="F1285" s="13"/>
      <c r="G1285" s="904"/>
      <c r="Q1285" s="13"/>
      <c r="R1285" s="904"/>
      <c r="S1285" s="904"/>
      <c r="T1285" s="13"/>
      <c r="U1285" s="13"/>
      <c r="V1285" s="13"/>
      <c r="W1285" s="16"/>
      <c r="X1285" s="16"/>
      <c r="Y1285" s="16"/>
      <c r="Z1285" s="16"/>
      <c r="AA1285" s="16"/>
      <c r="AB1285" s="16"/>
      <c r="AF1285" s="13"/>
      <c r="AG1285" s="903"/>
      <c r="AH1285" s="13"/>
      <c r="AI1285" s="13"/>
      <c r="AN1285" s="905"/>
      <c r="AO1285" s="16"/>
      <c r="AP1285" s="16"/>
      <c r="AQ1285" s="16"/>
      <c r="AR1285" s="16"/>
      <c r="AS1285" s="16"/>
      <c r="AU1285" s="429"/>
      <c r="AV1285" s="429"/>
      <c r="AY1285" s="905"/>
      <c r="AZ1285" s="905"/>
      <c r="BA1285" s="906"/>
      <c r="BB1285" s="906"/>
      <c r="BC1285" s="906"/>
      <c r="BD1285" s="907"/>
    </row>
    <row r="1286" spans="1:56" ht="15.75" customHeight="1">
      <c r="A1286" s="908"/>
      <c r="B1286" s="427"/>
      <c r="D1286" s="903"/>
      <c r="E1286" s="13"/>
      <c r="F1286" s="13"/>
      <c r="G1286" s="904"/>
      <c r="Q1286" s="13"/>
      <c r="R1286" s="904"/>
      <c r="S1286" s="904"/>
      <c r="T1286" s="13"/>
      <c r="U1286" s="13"/>
      <c r="V1286" s="13"/>
      <c r="W1286" s="16"/>
      <c r="X1286" s="16"/>
      <c r="Y1286" s="16"/>
      <c r="Z1286" s="16"/>
      <c r="AA1286" s="16"/>
      <c r="AB1286" s="16"/>
      <c r="AF1286" s="13"/>
      <c r="AG1286" s="903"/>
      <c r="AH1286" s="13"/>
      <c r="AI1286" s="13"/>
      <c r="AN1286" s="905"/>
      <c r="AO1286" s="16"/>
      <c r="AP1286" s="16"/>
      <c r="AQ1286" s="16"/>
      <c r="AR1286" s="16"/>
      <c r="AS1286" s="16"/>
      <c r="AU1286" s="429"/>
      <c r="AV1286" s="429"/>
      <c r="AY1286" s="905"/>
      <c r="AZ1286" s="905"/>
      <c r="BA1286" s="906"/>
      <c r="BB1286" s="906"/>
      <c r="BC1286" s="906"/>
      <c r="BD1286" s="907"/>
    </row>
    <row r="1287" spans="1:56" ht="15.75" customHeight="1">
      <c r="A1287" s="908"/>
      <c r="B1287" s="427"/>
      <c r="D1287" s="903"/>
      <c r="E1287" s="13"/>
      <c r="F1287" s="13"/>
      <c r="G1287" s="904"/>
      <c r="Q1287" s="13"/>
      <c r="R1287" s="904"/>
      <c r="S1287" s="904"/>
      <c r="T1287" s="13"/>
      <c r="U1287" s="13"/>
      <c r="V1287" s="13"/>
      <c r="W1287" s="16"/>
      <c r="X1287" s="16"/>
      <c r="Y1287" s="16"/>
      <c r="Z1287" s="16"/>
      <c r="AA1287" s="16"/>
      <c r="AB1287" s="16"/>
      <c r="AF1287" s="13"/>
      <c r="AG1287" s="903"/>
      <c r="AH1287" s="13"/>
      <c r="AI1287" s="13"/>
      <c r="AN1287" s="905"/>
      <c r="AO1287" s="16"/>
      <c r="AP1287" s="16"/>
      <c r="AQ1287" s="16"/>
      <c r="AR1287" s="16"/>
      <c r="AS1287" s="16"/>
      <c r="AU1287" s="429"/>
      <c r="AV1287" s="429"/>
      <c r="AY1287" s="905"/>
      <c r="AZ1287" s="905"/>
      <c r="BA1287" s="906"/>
      <c r="BB1287" s="906"/>
      <c r="BC1287" s="906"/>
      <c r="BD1287" s="907"/>
    </row>
    <row r="1288" spans="1:56" ht="15.75" customHeight="1">
      <c r="A1288" s="12"/>
      <c r="B1288" s="427"/>
      <c r="D1288" s="903"/>
      <c r="E1288" s="13"/>
      <c r="F1288" s="13"/>
      <c r="G1288" s="904"/>
      <c r="Q1288" s="13"/>
      <c r="R1288" s="904"/>
      <c r="S1288" s="904"/>
      <c r="T1288" s="13"/>
      <c r="U1288" s="13"/>
      <c r="V1288" s="13"/>
      <c r="W1288" s="16"/>
      <c r="X1288" s="16"/>
      <c r="Y1288" s="16"/>
      <c r="Z1288" s="16"/>
      <c r="AA1288" s="16"/>
      <c r="AB1288" s="16"/>
      <c r="AF1288" s="13"/>
      <c r="AG1288" s="903"/>
      <c r="AH1288" s="13"/>
      <c r="AI1288" s="13"/>
      <c r="AN1288" s="905"/>
      <c r="AO1288" s="16"/>
      <c r="AP1288" s="16"/>
      <c r="AQ1288" s="16"/>
      <c r="AR1288" s="16"/>
      <c r="AS1288" s="16"/>
      <c r="AU1288" s="429"/>
      <c r="AV1288" s="429"/>
      <c r="AY1288" s="905"/>
      <c r="AZ1288" s="905"/>
      <c r="BA1288" s="906"/>
      <c r="BB1288" s="906"/>
      <c r="BC1288" s="906"/>
      <c r="BD1288" s="907"/>
    </row>
    <row r="1289" spans="1:56" ht="15.75" customHeight="1">
      <c r="A1289" s="12"/>
      <c r="B1289" s="427"/>
      <c r="D1289" s="903"/>
      <c r="E1289" s="13"/>
      <c r="F1289" s="13"/>
      <c r="G1289" s="904"/>
      <c r="I1289" s="8"/>
      <c r="Q1289" s="13"/>
      <c r="R1289" s="904"/>
      <c r="S1289" s="904"/>
      <c r="T1289" s="13"/>
      <c r="U1289" s="13"/>
      <c r="V1289" s="13"/>
      <c r="W1289" s="16"/>
      <c r="X1289" s="16"/>
      <c r="Y1289" s="16"/>
      <c r="Z1289" s="16"/>
      <c r="AA1289" s="16"/>
      <c r="AB1289" s="16"/>
      <c r="AF1289" s="13"/>
      <c r="AG1289" s="903"/>
      <c r="AH1289" s="13"/>
      <c r="AI1289" s="13"/>
      <c r="AN1289" s="905"/>
      <c r="AO1289" s="16"/>
      <c r="AP1289" s="16"/>
      <c r="AQ1289" s="16"/>
      <c r="AR1289" s="16"/>
      <c r="AS1289" s="16"/>
      <c r="AU1289" s="429"/>
      <c r="AV1289" s="429"/>
      <c r="AY1289" s="905"/>
      <c r="AZ1289" s="905"/>
      <c r="BA1289" s="906"/>
      <c r="BB1289" s="906"/>
      <c r="BC1289" s="906"/>
      <c r="BD1289" s="907"/>
    </row>
    <row r="1290" spans="1:56" ht="15.75" customHeight="1">
      <c r="B1290" s="14"/>
      <c r="H1290" s="14"/>
      <c r="I1290" s="567"/>
      <c r="J1290" s="18"/>
      <c r="N1290" s="14"/>
      <c r="O1290" s="14"/>
      <c r="P1290" s="14"/>
    </row>
    <row r="1291" spans="1:56" ht="15.75" customHeight="1">
      <c r="B1291" s="14"/>
      <c r="H1291" s="14"/>
      <c r="I1291" s="567"/>
      <c r="J1291" s="18"/>
      <c r="N1291" s="14"/>
      <c r="O1291" s="14"/>
      <c r="P1291" s="14"/>
    </row>
    <row r="1292" spans="1:56" ht="15.75" customHeight="1">
      <c r="B1292" s="14"/>
      <c r="H1292" s="14"/>
      <c r="I1292" s="567"/>
      <c r="J1292" s="18"/>
      <c r="N1292" s="14"/>
      <c r="O1292" s="14"/>
      <c r="P1292" s="14"/>
    </row>
    <row r="1293" spans="1:56" ht="15.75" customHeight="1">
      <c r="B1293" s="14"/>
      <c r="H1293" s="14"/>
      <c r="I1293" s="567"/>
      <c r="J1293" s="18"/>
      <c r="N1293" s="14"/>
      <c r="O1293" s="14"/>
      <c r="P1293" s="14"/>
    </row>
    <row r="1294" spans="1:56" ht="15.75" customHeight="1">
      <c r="B1294" s="14"/>
      <c r="H1294" s="14"/>
      <c r="I1294" s="567"/>
      <c r="J1294" s="18"/>
      <c r="N1294" s="14"/>
      <c r="O1294" s="14"/>
      <c r="P1294" s="14"/>
    </row>
    <row r="1295" spans="1:56" ht="15.75" customHeight="1">
      <c r="B1295" s="14"/>
      <c r="H1295" s="14"/>
      <c r="I1295" s="567"/>
      <c r="J1295" s="18"/>
      <c r="N1295" s="14"/>
      <c r="O1295" s="14"/>
      <c r="P1295" s="14"/>
    </row>
    <row r="1296" spans="1:56" ht="15.75" customHeight="1">
      <c r="B1296" s="14"/>
      <c r="H1296" s="14"/>
      <c r="I1296" s="567"/>
      <c r="J1296" s="18"/>
      <c r="N1296" s="14"/>
      <c r="O1296" s="14"/>
      <c r="P1296" s="14"/>
    </row>
    <row r="1297" spans="2:16" ht="15.75" customHeight="1">
      <c r="B1297" s="14"/>
      <c r="H1297" s="14"/>
      <c r="I1297" s="567"/>
      <c r="J1297" s="18"/>
      <c r="N1297" s="14"/>
      <c r="O1297" s="14"/>
      <c r="P1297" s="14"/>
    </row>
    <row r="1298" spans="2:16" ht="15.75" customHeight="1">
      <c r="B1298" s="14"/>
      <c r="H1298" s="14"/>
      <c r="I1298" s="567"/>
      <c r="J1298" s="18"/>
      <c r="N1298" s="14"/>
      <c r="O1298" s="14"/>
      <c r="P1298" s="14"/>
    </row>
    <row r="1299" spans="2:16" ht="15.75" customHeight="1">
      <c r="B1299" s="14"/>
      <c r="H1299" s="14"/>
      <c r="I1299" s="567"/>
      <c r="J1299" s="18"/>
      <c r="N1299" s="14"/>
      <c r="O1299" s="14"/>
      <c r="P1299" s="14"/>
    </row>
    <row r="1300" spans="2:16" ht="15.75" customHeight="1">
      <c r="B1300" s="14"/>
      <c r="H1300" s="14"/>
      <c r="I1300" s="567"/>
      <c r="J1300" s="18"/>
      <c r="N1300" s="14"/>
      <c r="O1300" s="14"/>
      <c r="P1300" s="14"/>
    </row>
    <row r="1301" spans="2:16" ht="15.75" customHeight="1">
      <c r="B1301" s="14"/>
      <c r="H1301" s="14"/>
      <c r="I1301" s="567"/>
      <c r="J1301" s="18"/>
      <c r="N1301" s="14"/>
      <c r="O1301" s="14"/>
      <c r="P1301" s="14"/>
    </row>
    <row r="1302" spans="2:16" ht="15.75" customHeight="1">
      <c r="B1302" s="14"/>
      <c r="H1302" s="14"/>
      <c r="I1302" s="567"/>
      <c r="J1302" s="18"/>
      <c r="N1302" s="14"/>
      <c r="O1302" s="14"/>
      <c r="P1302" s="14"/>
    </row>
    <row r="1303" spans="2:16" ht="15.75" customHeight="1">
      <c r="B1303" s="14"/>
      <c r="H1303" s="14"/>
      <c r="I1303" s="567"/>
      <c r="J1303" s="18"/>
      <c r="N1303" s="14"/>
      <c r="O1303" s="14"/>
      <c r="P1303" s="14"/>
    </row>
    <row r="1304" spans="2:16" ht="15.75" customHeight="1">
      <c r="B1304" s="14"/>
      <c r="H1304" s="14"/>
      <c r="I1304" s="567"/>
      <c r="J1304" s="18"/>
      <c r="N1304" s="14"/>
      <c r="O1304" s="14"/>
      <c r="P1304" s="14"/>
    </row>
    <row r="1305" spans="2:16" ht="15.75" customHeight="1">
      <c r="B1305" s="14"/>
      <c r="H1305" s="14"/>
      <c r="I1305" s="567"/>
      <c r="J1305" s="18"/>
      <c r="N1305" s="14"/>
      <c r="O1305" s="14"/>
      <c r="P1305" s="14"/>
    </row>
    <row r="1306" spans="2:16" ht="15.75" customHeight="1">
      <c r="B1306" s="14"/>
      <c r="H1306" s="14"/>
      <c r="I1306" s="567"/>
      <c r="J1306" s="18"/>
      <c r="N1306" s="14"/>
      <c r="O1306" s="14"/>
      <c r="P1306" s="14"/>
    </row>
    <row r="1307" spans="2:16" ht="15.75" customHeight="1">
      <c r="B1307" s="14"/>
      <c r="H1307" s="14"/>
      <c r="I1307" s="567"/>
      <c r="J1307" s="18"/>
      <c r="N1307" s="14"/>
      <c r="O1307" s="14"/>
      <c r="P1307" s="14"/>
    </row>
    <row r="1308" spans="2:16" ht="15.75" customHeight="1">
      <c r="B1308" s="14"/>
      <c r="H1308" s="14"/>
      <c r="I1308" s="567"/>
      <c r="J1308" s="18"/>
      <c r="N1308" s="14"/>
      <c r="O1308" s="14"/>
      <c r="P1308" s="14"/>
    </row>
    <row r="1309" spans="2:16" ht="15.75" customHeight="1">
      <c r="B1309" s="14"/>
      <c r="H1309" s="14"/>
      <c r="I1309" s="567"/>
      <c r="J1309" s="18"/>
      <c r="N1309" s="14"/>
      <c r="O1309" s="14"/>
      <c r="P1309" s="14"/>
    </row>
    <row r="1310" spans="2:16" ht="15.75" customHeight="1">
      <c r="B1310" s="14"/>
      <c r="H1310" s="14"/>
      <c r="I1310" s="567"/>
      <c r="J1310" s="18"/>
      <c r="N1310" s="14"/>
      <c r="O1310" s="14"/>
      <c r="P1310" s="14"/>
    </row>
    <row r="1311" spans="2:16" ht="15.75" customHeight="1">
      <c r="B1311" s="14"/>
      <c r="H1311" s="14"/>
      <c r="I1311" s="567"/>
      <c r="J1311" s="18"/>
      <c r="N1311" s="14"/>
      <c r="O1311" s="14"/>
      <c r="P1311" s="14"/>
    </row>
    <row r="1312" spans="2:16" ht="15.75" customHeight="1">
      <c r="B1312" s="14"/>
      <c r="H1312" s="14"/>
      <c r="I1312" s="567"/>
      <c r="J1312" s="18"/>
      <c r="N1312" s="14"/>
      <c r="O1312" s="14"/>
      <c r="P1312" s="14"/>
    </row>
    <row r="1313" spans="2:16" ht="15.75" customHeight="1">
      <c r="B1313" s="14"/>
      <c r="H1313" s="14"/>
      <c r="I1313" s="567"/>
      <c r="J1313" s="18"/>
      <c r="N1313" s="14"/>
      <c r="O1313" s="14"/>
      <c r="P1313" s="14"/>
    </row>
    <row r="1314" spans="2:16" ht="15.75" customHeight="1">
      <c r="B1314" s="14"/>
      <c r="H1314" s="14"/>
      <c r="I1314" s="567"/>
      <c r="J1314" s="18"/>
      <c r="N1314" s="14"/>
      <c r="O1314" s="14"/>
      <c r="P1314" s="14"/>
    </row>
    <row r="1315" spans="2:16" ht="15.75" customHeight="1">
      <c r="B1315" s="14"/>
      <c r="H1315" s="14"/>
      <c r="I1315" s="567"/>
      <c r="J1315" s="18"/>
      <c r="N1315" s="14"/>
      <c r="O1315" s="14"/>
      <c r="P1315" s="14"/>
    </row>
    <row r="1316" spans="2:16" ht="15.75" customHeight="1">
      <c r="B1316" s="14"/>
      <c r="H1316" s="14"/>
      <c r="I1316" s="567"/>
      <c r="J1316" s="18"/>
      <c r="N1316" s="14"/>
      <c r="O1316" s="14"/>
      <c r="P1316" s="14"/>
    </row>
    <row r="1317" spans="2:16" ht="15.75" customHeight="1">
      <c r="B1317" s="14"/>
      <c r="H1317" s="14"/>
      <c r="I1317" s="567"/>
      <c r="J1317" s="18"/>
      <c r="N1317" s="14"/>
      <c r="O1317" s="14"/>
      <c r="P1317" s="14"/>
    </row>
    <row r="1318" spans="2:16" ht="15.75" customHeight="1">
      <c r="B1318" s="14"/>
      <c r="H1318" s="14"/>
      <c r="I1318" s="567"/>
      <c r="J1318" s="18"/>
      <c r="N1318" s="14"/>
      <c r="O1318" s="14"/>
      <c r="P1318" s="14"/>
    </row>
    <row r="1319" spans="2:16" ht="15.75" customHeight="1">
      <c r="B1319" s="14"/>
      <c r="H1319" s="14"/>
      <c r="I1319" s="567"/>
      <c r="J1319" s="18"/>
      <c r="N1319" s="14"/>
      <c r="O1319" s="14"/>
      <c r="P1319" s="14"/>
    </row>
    <row r="1320" spans="2:16" ht="15.75" customHeight="1">
      <c r="B1320" s="14"/>
      <c r="H1320" s="14"/>
      <c r="I1320" s="567"/>
      <c r="J1320" s="18"/>
      <c r="N1320" s="14"/>
      <c r="O1320" s="14"/>
      <c r="P1320" s="14"/>
    </row>
    <row r="1321" spans="2:16" ht="15.75" customHeight="1">
      <c r="B1321" s="14"/>
      <c r="H1321" s="14"/>
      <c r="I1321" s="567"/>
      <c r="J1321" s="18"/>
      <c r="N1321" s="14"/>
      <c r="O1321" s="14"/>
      <c r="P1321" s="14"/>
    </row>
    <row r="1322" spans="2:16" ht="15.75" customHeight="1">
      <c r="B1322" s="14"/>
      <c r="H1322" s="14"/>
      <c r="I1322" s="567"/>
      <c r="J1322" s="18"/>
      <c r="N1322" s="14"/>
      <c r="O1322" s="14"/>
      <c r="P1322" s="14"/>
    </row>
    <row r="1323" spans="2:16" ht="15.75" customHeight="1">
      <c r="B1323" s="14"/>
      <c r="H1323" s="14"/>
      <c r="I1323" s="567"/>
      <c r="J1323" s="18"/>
      <c r="N1323" s="14"/>
      <c r="O1323" s="14"/>
      <c r="P1323" s="14"/>
    </row>
    <row r="1324" spans="2:16" ht="15.75" customHeight="1">
      <c r="B1324" s="14"/>
      <c r="H1324" s="14"/>
      <c r="I1324" s="567"/>
      <c r="J1324" s="18"/>
      <c r="N1324" s="14"/>
      <c r="O1324" s="14"/>
      <c r="P1324" s="14"/>
    </row>
    <row r="1325" spans="2:16" ht="15.75" customHeight="1">
      <c r="B1325" s="14"/>
      <c r="H1325" s="14"/>
      <c r="I1325" s="567"/>
      <c r="J1325" s="18"/>
      <c r="N1325" s="14"/>
      <c r="O1325" s="14"/>
      <c r="P1325" s="14"/>
    </row>
    <row r="1326" spans="2:16" ht="15.75" customHeight="1">
      <c r="B1326" s="14"/>
      <c r="H1326" s="14"/>
      <c r="I1326" s="567"/>
      <c r="J1326" s="18"/>
      <c r="N1326" s="14"/>
      <c r="O1326" s="14"/>
      <c r="P1326" s="14"/>
    </row>
    <row r="1327" spans="2:16" ht="15.75" customHeight="1">
      <c r="B1327" s="14"/>
      <c r="H1327" s="14"/>
      <c r="I1327" s="567"/>
      <c r="J1327" s="18"/>
      <c r="N1327" s="14"/>
      <c r="O1327" s="14"/>
      <c r="P1327" s="14"/>
    </row>
    <row r="1328" spans="2:16" ht="15.75" customHeight="1">
      <c r="B1328" s="14"/>
      <c r="H1328" s="14"/>
      <c r="I1328" s="567"/>
      <c r="J1328" s="18"/>
      <c r="N1328" s="14"/>
      <c r="O1328" s="14"/>
      <c r="P1328" s="14"/>
    </row>
    <row r="1329" spans="2:16" ht="15.75" customHeight="1">
      <c r="B1329" s="14"/>
      <c r="H1329" s="14"/>
      <c r="I1329" s="567"/>
      <c r="J1329" s="18"/>
      <c r="N1329" s="14"/>
      <c r="O1329" s="14"/>
      <c r="P1329" s="14"/>
    </row>
    <row r="1330" spans="2:16" ht="15.75" customHeight="1">
      <c r="B1330" s="14"/>
      <c r="H1330" s="14"/>
      <c r="I1330" s="567"/>
      <c r="J1330" s="18"/>
      <c r="N1330" s="14"/>
      <c r="O1330" s="14"/>
      <c r="P1330" s="14"/>
    </row>
    <row r="1331" spans="2:16" ht="15.75" customHeight="1">
      <c r="B1331" s="14"/>
      <c r="H1331" s="14"/>
      <c r="I1331" s="567"/>
      <c r="J1331" s="18"/>
      <c r="N1331" s="14"/>
      <c r="O1331" s="14"/>
      <c r="P1331" s="14"/>
    </row>
    <row r="1332" spans="2:16" ht="15.75" customHeight="1">
      <c r="B1332" s="14"/>
      <c r="H1332" s="14"/>
      <c r="I1332" s="567"/>
      <c r="J1332" s="18"/>
      <c r="N1332" s="14"/>
      <c r="O1332" s="14"/>
      <c r="P1332" s="14"/>
    </row>
    <row r="1333" spans="2:16" ht="15.75" customHeight="1">
      <c r="B1333" s="14"/>
      <c r="H1333" s="14"/>
      <c r="I1333" s="567"/>
      <c r="J1333" s="18"/>
      <c r="N1333" s="14"/>
      <c r="O1333" s="14"/>
      <c r="P1333" s="14"/>
    </row>
    <row r="1334" spans="2:16" ht="15.75" customHeight="1">
      <c r="B1334" s="14"/>
      <c r="H1334" s="14"/>
      <c r="I1334" s="567"/>
      <c r="J1334" s="18"/>
      <c r="N1334" s="14"/>
      <c r="O1334" s="14"/>
      <c r="P1334" s="14"/>
    </row>
    <row r="1335" spans="2:16" ht="15.75" customHeight="1">
      <c r="B1335" s="14"/>
      <c r="H1335" s="14"/>
      <c r="I1335" s="567"/>
      <c r="J1335" s="18"/>
      <c r="N1335" s="14"/>
      <c r="O1335" s="14"/>
      <c r="P1335" s="14"/>
    </row>
    <row r="1336" spans="2:16" ht="15.75" customHeight="1">
      <c r="B1336" s="14"/>
      <c r="H1336" s="14"/>
      <c r="I1336" s="567"/>
      <c r="J1336" s="18"/>
      <c r="N1336" s="14"/>
      <c r="O1336" s="14"/>
      <c r="P1336" s="14"/>
    </row>
    <row r="1337" spans="2:16" ht="15.75" customHeight="1">
      <c r="B1337" s="14"/>
      <c r="H1337" s="14"/>
      <c r="I1337" s="567"/>
      <c r="J1337" s="18"/>
      <c r="N1337" s="14"/>
      <c r="O1337" s="14"/>
      <c r="P1337" s="14"/>
    </row>
    <row r="1338" spans="2:16" ht="15.75" customHeight="1">
      <c r="B1338" s="14"/>
      <c r="H1338" s="14"/>
      <c r="I1338" s="567"/>
      <c r="J1338" s="18"/>
      <c r="N1338" s="14"/>
      <c r="O1338" s="14"/>
      <c r="P1338" s="14"/>
    </row>
    <row r="1339" spans="2:16" ht="15.75" customHeight="1">
      <c r="B1339" s="14"/>
      <c r="H1339" s="14"/>
      <c r="I1339" s="567"/>
      <c r="J1339" s="18"/>
      <c r="N1339" s="14"/>
      <c r="O1339" s="14"/>
      <c r="P1339" s="14"/>
    </row>
    <row r="1340" spans="2:16" ht="15.75" customHeight="1">
      <c r="B1340" s="14"/>
      <c r="H1340" s="14"/>
      <c r="I1340" s="567"/>
      <c r="J1340" s="18"/>
      <c r="N1340" s="14"/>
      <c r="O1340" s="14"/>
      <c r="P1340" s="14"/>
    </row>
    <row r="1341" spans="2:16" ht="15.75" customHeight="1">
      <c r="B1341" s="14"/>
      <c r="H1341" s="14"/>
      <c r="I1341" s="567"/>
      <c r="J1341" s="18"/>
      <c r="N1341" s="14"/>
      <c r="O1341" s="14"/>
      <c r="P1341" s="14"/>
    </row>
    <row r="1342" spans="2:16" ht="15.75" customHeight="1">
      <c r="B1342" s="14"/>
      <c r="H1342" s="14"/>
      <c r="I1342" s="567"/>
      <c r="J1342" s="18"/>
      <c r="N1342" s="14"/>
      <c r="O1342" s="14"/>
      <c r="P1342" s="14"/>
    </row>
    <row r="1343" spans="2:16" ht="15.75" customHeight="1">
      <c r="B1343" s="14"/>
      <c r="H1343" s="14"/>
      <c r="I1343" s="567"/>
      <c r="J1343" s="18"/>
      <c r="N1343" s="14"/>
      <c r="O1343" s="14"/>
      <c r="P1343" s="14"/>
    </row>
    <row r="1344" spans="2:16" ht="15.75" customHeight="1">
      <c r="B1344" s="14"/>
      <c r="H1344" s="14"/>
      <c r="I1344" s="567"/>
      <c r="J1344" s="18"/>
      <c r="N1344" s="14"/>
      <c r="O1344" s="14"/>
      <c r="P1344" s="14"/>
    </row>
    <row r="1345" spans="2:16" ht="15.75" customHeight="1">
      <c r="B1345" s="14"/>
      <c r="H1345" s="14"/>
      <c r="I1345" s="567"/>
      <c r="J1345" s="18"/>
      <c r="N1345" s="14"/>
      <c r="O1345" s="14"/>
      <c r="P1345" s="14"/>
    </row>
    <row r="1346" spans="2:16" ht="15.75" customHeight="1">
      <c r="B1346" s="14"/>
      <c r="H1346" s="14"/>
      <c r="I1346" s="567"/>
      <c r="J1346" s="18"/>
      <c r="N1346" s="14"/>
      <c r="O1346" s="14"/>
      <c r="P1346" s="14"/>
    </row>
    <row r="1347" spans="2:16" ht="15.75" customHeight="1">
      <c r="B1347" s="14"/>
      <c r="H1347" s="14"/>
      <c r="I1347" s="567"/>
      <c r="J1347" s="18"/>
      <c r="N1347" s="14"/>
      <c r="O1347" s="14"/>
      <c r="P1347" s="14"/>
    </row>
    <row r="1348" spans="2:16" ht="15.75" customHeight="1">
      <c r="B1348" s="14"/>
      <c r="H1348" s="14"/>
      <c r="I1348" s="567"/>
      <c r="J1348" s="18"/>
      <c r="N1348" s="14"/>
      <c r="O1348" s="14"/>
      <c r="P1348" s="14"/>
    </row>
    <row r="1349" spans="2:16" ht="15.75" customHeight="1">
      <c r="B1349" s="14"/>
      <c r="H1349" s="14"/>
      <c r="I1349" s="567"/>
      <c r="J1349" s="18"/>
      <c r="N1349" s="14"/>
      <c r="O1349" s="14"/>
      <c r="P1349" s="14"/>
    </row>
    <row r="1350" spans="2:16" ht="15.75" customHeight="1">
      <c r="B1350" s="14"/>
      <c r="H1350" s="14"/>
      <c r="I1350" s="567"/>
      <c r="J1350" s="18"/>
      <c r="N1350" s="14"/>
      <c r="O1350" s="14"/>
      <c r="P1350" s="14"/>
    </row>
    <row r="1351" spans="2:16" ht="15.75" customHeight="1">
      <c r="B1351" s="14"/>
      <c r="H1351" s="14"/>
      <c r="I1351" s="567"/>
      <c r="J1351" s="18"/>
      <c r="N1351" s="14"/>
      <c r="O1351" s="14"/>
      <c r="P1351" s="14"/>
    </row>
    <row r="1352" spans="2:16" ht="15.75" customHeight="1">
      <c r="B1352" s="14"/>
      <c r="H1352" s="14"/>
      <c r="I1352" s="567"/>
      <c r="J1352" s="18"/>
      <c r="N1352" s="14"/>
      <c r="O1352" s="14"/>
      <c r="P1352" s="14"/>
    </row>
    <row r="1353" spans="2:16" ht="15.75" customHeight="1">
      <c r="B1353" s="14"/>
      <c r="H1353" s="14"/>
      <c r="I1353" s="567"/>
      <c r="J1353" s="18"/>
      <c r="N1353" s="14"/>
      <c r="O1353" s="14"/>
      <c r="P1353" s="14"/>
    </row>
    <row r="1354" spans="2:16" ht="15.75" customHeight="1">
      <c r="B1354" s="14"/>
      <c r="H1354" s="14"/>
      <c r="I1354" s="567"/>
      <c r="J1354" s="18"/>
      <c r="N1354" s="14"/>
      <c r="O1354" s="14"/>
      <c r="P1354" s="14"/>
    </row>
    <row r="1355" spans="2:16" ht="15.75" customHeight="1">
      <c r="B1355" s="14"/>
      <c r="H1355" s="14"/>
      <c r="I1355" s="567"/>
      <c r="J1355" s="18"/>
      <c r="N1355" s="14"/>
      <c r="O1355" s="14"/>
      <c r="P1355" s="14"/>
    </row>
    <row r="1356" spans="2:16" ht="15.75" customHeight="1">
      <c r="B1356" s="14"/>
      <c r="H1356" s="14"/>
      <c r="I1356" s="567"/>
      <c r="J1356" s="18"/>
      <c r="N1356" s="14"/>
      <c r="O1356" s="14"/>
      <c r="P1356" s="14"/>
    </row>
    <row r="1357" spans="2:16" ht="15.75" customHeight="1">
      <c r="B1357" s="14"/>
      <c r="H1357" s="14"/>
      <c r="I1357" s="567"/>
      <c r="J1357" s="18"/>
      <c r="N1357" s="14"/>
      <c r="O1357" s="14"/>
      <c r="P1357" s="14"/>
    </row>
    <row r="1358" spans="2:16" ht="15.75" customHeight="1">
      <c r="B1358" s="14"/>
      <c r="H1358" s="14"/>
      <c r="I1358" s="567"/>
      <c r="J1358" s="18"/>
      <c r="N1358" s="14"/>
      <c r="O1358" s="14"/>
      <c r="P1358" s="14"/>
    </row>
    <row r="1359" spans="2:16" ht="15.75" customHeight="1">
      <c r="B1359" s="14"/>
      <c r="H1359" s="14"/>
      <c r="I1359" s="567"/>
      <c r="J1359" s="18"/>
      <c r="N1359" s="14"/>
      <c r="O1359" s="14"/>
      <c r="P1359" s="14"/>
    </row>
    <row r="1360" spans="2:16" ht="15.75" customHeight="1">
      <c r="B1360" s="14"/>
      <c r="H1360" s="14"/>
      <c r="I1360" s="567"/>
      <c r="J1360" s="18"/>
      <c r="N1360" s="14"/>
      <c r="O1360" s="14"/>
      <c r="P1360" s="14"/>
    </row>
    <row r="1361" spans="2:16" ht="15.75" customHeight="1">
      <c r="B1361" s="14"/>
      <c r="H1361" s="14"/>
      <c r="I1361" s="567"/>
      <c r="J1361" s="18"/>
      <c r="N1361" s="14"/>
      <c r="O1361" s="14"/>
      <c r="P1361" s="14"/>
    </row>
    <row r="1362" spans="2:16" ht="15.75" customHeight="1">
      <c r="B1362" s="14"/>
      <c r="H1362" s="14"/>
      <c r="I1362" s="567"/>
      <c r="J1362" s="18"/>
      <c r="N1362" s="14"/>
      <c r="O1362" s="14"/>
      <c r="P1362" s="14"/>
    </row>
    <row r="1363" spans="2:16" ht="15.75" customHeight="1">
      <c r="B1363" s="14"/>
      <c r="H1363" s="14"/>
      <c r="I1363" s="567"/>
      <c r="J1363" s="18"/>
      <c r="N1363" s="14"/>
      <c r="O1363" s="14"/>
      <c r="P1363" s="14"/>
    </row>
    <row r="1364" spans="2:16" ht="15.75" customHeight="1">
      <c r="B1364" s="14"/>
      <c r="H1364" s="14"/>
      <c r="I1364" s="567"/>
      <c r="J1364" s="18"/>
      <c r="N1364" s="14"/>
      <c r="O1364" s="14"/>
      <c r="P1364" s="14"/>
    </row>
    <row r="1365" spans="2:16" ht="15.75" customHeight="1">
      <c r="B1365" s="14"/>
      <c r="H1365" s="14"/>
      <c r="I1365" s="567"/>
      <c r="J1365" s="18"/>
      <c r="N1365" s="14"/>
      <c r="O1365" s="14"/>
      <c r="P1365" s="14"/>
    </row>
    <row r="1366" spans="2:16" ht="15.75" customHeight="1">
      <c r="B1366" s="14"/>
      <c r="H1366" s="14"/>
      <c r="I1366" s="567"/>
      <c r="J1366" s="18"/>
      <c r="N1366" s="14"/>
      <c r="O1366" s="14"/>
      <c r="P1366" s="14"/>
    </row>
    <row r="1367" spans="2:16" ht="15.75" customHeight="1">
      <c r="B1367" s="14"/>
      <c r="H1367" s="14"/>
      <c r="I1367" s="567"/>
      <c r="J1367" s="18"/>
      <c r="N1367" s="14"/>
      <c r="O1367" s="14"/>
      <c r="P1367" s="14"/>
    </row>
    <row r="1368" spans="2:16" ht="15.75" customHeight="1">
      <c r="B1368" s="14"/>
      <c r="H1368" s="14"/>
      <c r="I1368" s="567"/>
      <c r="J1368" s="18"/>
      <c r="N1368" s="14"/>
      <c r="O1368" s="14"/>
      <c r="P1368" s="14"/>
    </row>
    <row r="1369" spans="2:16" ht="15.75" customHeight="1">
      <c r="B1369" s="14"/>
      <c r="H1369" s="14"/>
      <c r="I1369" s="567"/>
      <c r="J1369" s="18"/>
      <c r="N1369" s="14"/>
      <c r="O1369" s="14"/>
      <c r="P1369" s="14"/>
    </row>
    <row r="1370" spans="2:16" ht="15.75" customHeight="1">
      <c r="B1370" s="14"/>
      <c r="H1370" s="14"/>
      <c r="I1370" s="567"/>
      <c r="J1370" s="18"/>
      <c r="N1370" s="14"/>
      <c r="O1370" s="14"/>
      <c r="P1370" s="14"/>
    </row>
    <row r="1371" spans="2:16" ht="15.75" customHeight="1">
      <c r="B1371" s="14"/>
      <c r="H1371" s="14"/>
      <c r="I1371" s="567"/>
      <c r="J1371" s="18"/>
      <c r="N1371" s="14"/>
      <c r="O1371" s="14"/>
      <c r="P1371" s="14"/>
    </row>
    <row r="1372" spans="2:16" ht="15.75" customHeight="1">
      <c r="B1372" s="14"/>
      <c r="H1372" s="14"/>
      <c r="I1372" s="567"/>
      <c r="J1372" s="18"/>
      <c r="N1372" s="14"/>
      <c r="O1372" s="14"/>
      <c r="P1372" s="14"/>
    </row>
    <row r="1373" spans="2:16" ht="15.75" customHeight="1">
      <c r="B1373" s="14"/>
      <c r="H1373" s="14"/>
      <c r="I1373" s="567"/>
      <c r="J1373" s="18"/>
      <c r="N1373" s="14"/>
      <c r="O1373" s="14"/>
      <c r="P1373" s="14"/>
    </row>
    <row r="1374" spans="2:16" ht="15.75" customHeight="1">
      <c r="B1374" s="14"/>
      <c r="H1374" s="14"/>
      <c r="I1374" s="567"/>
      <c r="J1374" s="18"/>
      <c r="N1374" s="14"/>
      <c r="O1374" s="14"/>
      <c r="P1374" s="14"/>
    </row>
    <row r="1375" spans="2:16" ht="15.75" customHeight="1">
      <c r="B1375" s="14"/>
      <c r="H1375" s="14"/>
      <c r="I1375" s="567"/>
      <c r="J1375" s="18"/>
      <c r="N1375" s="14"/>
      <c r="O1375" s="14"/>
      <c r="P1375" s="14"/>
    </row>
    <row r="1376" spans="2:16" ht="15.75" customHeight="1">
      <c r="B1376" s="14"/>
      <c r="H1376" s="14"/>
      <c r="I1376" s="567"/>
      <c r="J1376" s="18"/>
      <c r="N1376" s="14"/>
      <c r="O1376" s="14"/>
      <c r="P1376" s="14"/>
    </row>
    <row r="1377" spans="2:16" ht="15.75" customHeight="1">
      <c r="B1377" s="14"/>
      <c r="H1377" s="14"/>
      <c r="I1377" s="567"/>
      <c r="J1377" s="18"/>
      <c r="N1377" s="14"/>
      <c r="O1377" s="14"/>
      <c r="P1377" s="14"/>
    </row>
    <row r="1378" spans="2:16" ht="15.75" customHeight="1">
      <c r="B1378" s="14"/>
      <c r="H1378" s="14"/>
      <c r="I1378" s="567"/>
      <c r="J1378" s="18"/>
      <c r="N1378" s="14"/>
      <c r="O1378" s="14"/>
      <c r="P1378" s="14"/>
    </row>
    <row r="1379" spans="2:16" ht="15.75" customHeight="1">
      <c r="B1379" s="14"/>
      <c r="H1379" s="14"/>
      <c r="I1379" s="567"/>
      <c r="J1379" s="18"/>
      <c r="N1379" s="14"/>
      <c r="O1379" s="14"/>
      <c r="P1379" s="14"/>
    </row>
    <row r="1380" spans="2:16" ht="15.75" customHeight="1">
      <c r="B1380" s="14"/>
      <c r="H1380" s="14"/>
      <c r="I1380" s="567"/>
      <c r="J1380" s="18"/>
      <c r="N1380" s="14"/>
      <c r="O1380" s="14"/>
      <c r="P1380" s="14"/>
    </row>
    <row r="1381" spans="2:16" ht="15.75" customHeight="1">
      <c r="B1381" s="14"/>
      <c r="H1381" s="14"/>
      <c r="I1381" s="567"/>
      <c r="J1381" s="18"/>
      <c r="N1381" s="14"/>
      <c r="O1381" s="14"/>
      <c r="P1381" s="14"/>
    </row>
    <row r="1382" spans="2:16" ht="15.75" customHeight="1">
      <c r="B1382" s="14"/>
      <c r="H1382" s="14"/>
      <c r="I1382" s="567"/>
      <c r="J1382" s="18"/>
      <c r="N1382" s="14"/>
      <c r="O1382" s="14"/>
      <c r="P1382" s="14"/>
    </row>
    <row r="1383" spans="2:16" ht="15.75" customHeight="1">
      <c r="B1383" s="14"/>
      <c r="H1383" s="14"/>
      <c r="I1383" s="567"/>
      <c r="J1383" s="18"/>
      <c r="N1383" s="14"/>
      <c r="O1383" s="14"/>
      <c r="P1383" s="14"/>
    </row>
    <row r="1384" spans="2:16" ht="15.75" customHeight="1">
      <c r="B1384" s="14"/>
      <c r="H1384" s="14"/>
      <c r="I1384" s="567"/>
      <c r="J1384" s="18"/>
      <c r="N1384" s="14"/>
      <c r="O1384" s="14"/>
      <c r="P1384" s="14"/>
    </row>
    <row r="1385" spans="2:16" ht="15.75" customHeight="1">
      <c r="B1385" s="14"/>
      <c r="H1385" s="14"/>
      <c r="I1385" s="567"/>
      <c r="J1385" s="18"/>
      <c r="N1385" s="14"/>
      <c r="O1385" s="14"/>
      <c r="P1385" s="14"/>
    </row>
    <row r="1386" spans="2:16" ht="15.75" customHeight="1">
      <c r="B1386" s="14"/>
      <c r="H1386" s="14"/>
      <c r="I1386" s="567"/>
      <c r="J1386" s="18"/>
      <c r="N1386" s="14"/>
      <c r="O1386" s="14"/>
      <c r="P1386" s="14"/>
    </row>
    <row r="1387" spans="2:16" ht="15.75" customHeight="1">
      <c r="B1387" s="14"/>
      <c r="H1387" s="14"/>
      <c r="I1387" s="567"/>
      <c r="J1387" s="18"/>
      <c r="N1387" s="14"/>
      <c r="O1387" s="14"/>
      <c r="P1387" s="14"/>
    </row>
    <row r="1388" spans="2:16" ht="15.75" customHeight="1">
      <c r="B1388" s="14"/>
      <c r="H1388" s="14"/>
      <c r="I1388" s="567"/>
      <c r="J1388" s="18"/>
      <c r="N1388" s="14"/>
      <c r="O1388" s="14"/>
      <c r="P1388" s="14"/>
    </row>
    <row r="1389" spans="2:16" ht="15.75" customHeight="1">
      <c r="B1389" s="14"/>
      <c r="H1389" s="14"/>
      <c r="I1389" s="567"/>
      <c r="J1389" s="18"/>
      <c r="N1389" s="14"/>
      <c r="O1389" s="14"/>
      <c r="P1389" s="14"/>
    </row>
    <row r="1390" spans="2:16" ht="15.75" customHeight="1">
      <c r="B1390" s="14"/>
      <c r="H1390" s="14"/>
      <c r="I1390" s="567"/>
      <c r="J1390" s="18"/>
      <c r="N1390" s="14"/>
      <c r="O1390" s="14"/>
      <c r="P1390" s="14"/>
    </row>
    <row r="1391" spans="2:16" ht="15.75" customHeight="1">
      <c r="B1391" s="14"/>
      <c r="H1391" s="14"/>
      <c r="I1391" s="567"/>
      <c r="J1391" s="18"/>
      <c r="N1391" s="14"/>
      <c r="O1391" s="14"/>
      <c r="P1391" s="14"/>
    </row>
    <row r="1392" spans="2:16" ht="15.75" customHeight="1">
      <c r="B1392" s="14"/>
      <c r="H1392" s="14"/>
      <c r="I1392" s="567"/>
      <c r="J1392" s="18"/>
      <c r="N1392" s="14"/>
      <c r="O1392" s="14"/>
      <c r="P1392" s="14"/>
    </row>
    <row r="1393" spans="2:16" ht="15.75" customHeight="1">
      <c r="B1393" s="14"/>
      <c r="H1393" s="14"/>
      <c r="I1393" s="567"/>
      <c r="J1393" s="18"/>
      <c r="N1393" s="14"/>
      <c r="O1393" s="14"/>
      <c r="P1393" s="14"/>
    </row>
    <row r="1394" spans="2:16" ht="15.75" customHeight="1">
      <c r="B1394" s="14"/>
      <c r="H1394" s="14"/>
      <c r="I1394" s="567"/>
      <c r="J1394" s="18"/>
      <c r="N1394" s="14"/>
      <c r="O1394" s="14"/>
      <c r="P1394" s="14"/>
    </row>
    <row r="1395" spans="2:16" ht="15.75" customHeight="1">
      <c r="B1395" s="14"/>
      <c r="H1395" s="14"/>
      <c r="I1395" s="567"/>
      <c r="J1395" s="18"/>
      <c r="N1395" s="14"/>
      <c r="O1395" s="14"/>
      <c r="P1395" s="14"/>
    </row>
    <row r="1396" spans="2:16" ht="15.75" customHeight="1">
      <c r="B1396" s="14"/>
      <c r="H1396" s="14"/>
      <c r="I1396" s="567"/>
      <c r="J1396" s="18"/>
      <c r="N1396" s="14"/>
      <c r="O1396" s="14"/>
      <c r="P1396" s="14"/>
    </row>
    <row r="1397" spans="2:16" ht="15.75" customHeight="1">
      <c r="B1397" s="14"/>
      <c r="H1397" s="14"/>
      <c r="I1397" s="567"/>
      <c r="J1397" s="18"/>
      <c r="N1397" s="14"/>
      <c r="O1397" s="14"/>
      <c r="P1397" s="14"/>
    </row>
    <row r="1398" spans="2:16" ht="15.75" customHeight="1">
      <c r="B1398" s="14"/>
      <c r="H1398" s="14"/>
      <c r="I1398" s="567"/>
      <c r="J1398" s="18"/>
      <c r="N1398" s="14"/>
      <c r="O1398" s="14"/>
      <c r="P1398" s="14"/>
    </row>
    <row r="1399" spans="2:16" ht="15.75" customHeight="1">
      <c r="B1399" s="14"/>
      <c r="H1399" s="14"/>
      <c r="I1399" s="567"/>
      <c r="J1399" s="18"/>
      <c r="N1399" s="14"/>
      <c r="O1399" s="14"/>
      <c r="P1399" s="14"/>
    </row>
    <row r="1400" spans="2:16" ht="15.75" customHeight="1">
      <c r="B1400" s="14"/>
      <c r="H1400" s="14"/>
      <c r="I1400" s="567"/>
      <c r="J1400" s="18"/>
      <c r="N1400" s="14"/>
      <c r="O1400" s="14"/>
      <c r="P1400" s="14"/>
    </row>
    <row r="1401" spans="2:16" ht="15.75" customHeight="1">
      <c r="B1401" s="14"/>
      <c r="H1401" s="14"/>
      <c r="I1401" s="567"/>
      <c r="J1401" s="18"/>
      <c r="N1401" s="14"/>
      <c r="O1401" s="14"/>
      <c r="P1401" s="14"/>
    </row>
    <row r="1402" spans="2:16" ht="15.75" customHeight="1">
      <c r="B1402" s="14"/>
      <c r="H1402" s="14"/>
      <c r="I1402" s="567"/>
      <c r="J1402" s="18"/>
      <c r="N1402" s="14"/>
      <c r="O1402" s="14"/>
      <c r="P1402" s="14"/>
    </row>
    <row r="1403" spans="2:16" ht="15.75" customHeight="1">
      <c r="B1403" s="14"/>
      <c r="H1403" s="14"/>
      <c r="I1403" s="567"/>
      <c r="J1403" s="18"/>
      <c r="N1403" s="14"/>
      <c r="O1403" s="14"/>
      <c r="P1403" s="14"/>
    </row>
    <row r="1404" spans="2:16" ht="15.75" customHeight="1">
      <c r="B1404" s="14"/>
      <c r="H1404" s="14"/>
      <c r="I1404" s="567"/>
      <c r="J1404" s="18"/>
      <c r="N1404" s="14"/>
      <c r="O1404" s="14"/>
      <c r="P1404" s="14"/>
    </row>
    <row r="1405" spans="2:16" ht="15.75" customHeight="1">
      <c r="B1405" s="14"/>
      <c r="H1405" s="14"/>
      <c r="I1405" s="567"/>
      <c r="J1405" s="18"/>
      <c r="N1405" s="14"/>
      <c r="O1405" s="14"/>
      <c r="P1405" s="14"/>
    </row>
    <row r="1406" spans="2:16" ht="15.75" customHeight="1">
      <c r="B1406" s="14"/>
      <c r="H1406" s="14"/>
      <c r="I1406" s="567"/>
      <c r="J1406" s="18"/>
      <c r="N1406" s="14"/>
      <c r="O1406" s="14"/>
      <c r="P1406" s="14"/>
    </row>
    <row r="1407" spans="2:16" ht="15.75" customHeight="1">
      <c r="B1407" s="14"/>
      <c r="H1407" s="14"/>
      <c r="I1407" s="567"/>
      <c r="J1407" s="18"/>
      <c r="N1407" s="14"/>
      <c r="O1407" s="14"/>
      <c r="P1407" s="14"/>
    </row>
    <row r="1408" spans="2:16" ht="15.75" customHeight="1">
      <c r="B1408" s="14"/>
      <c r="H1408" s="14"/>
      <c r="I1408" s="567"/>
      <c r="J1408" s="18"/>
      <c r="N1408" s="14"/>
      <c r="O1408" s="14"/>
      <c r="P1408" s="14"/>
    </row>
    <row r="1409" spans="2:16" ht="15.75" customHeight="1">
      <c r="B1409" s="14"/>
      <c r="H1409" s="14"/>
      <c r="I1409" s="567"/>
      <c r="J1409" s="18"/>
      <c r="N1409" s="14"/>
      <c r="O1409" s="14"/>
      <c r="P1409" s="14"/>
    </row>
    <row r="1410" spans="2:16" ht="15.75" customHeight="1">
      <c r="B1410" s="14"/>
      <c r="H1410" s="14"/>
      <c r="I1410" s="567"/>
      <c r="J1410" s="18"/>
      <c r="N1410" s="14"/>
      <c r="O1410" s="14"/>
      <c r="P1410" s="14"/>
    </row>
    <row r="1411" spans="2:16" ht="15.75" customHeight="1">
      <c r="B1411" s="14"/>
      <c r="H1411" s="14"/>
      <c r="I1411" s="567"/>
      <c r="J1411" s="18"/>
      <c r="N1411" s="14"/>
      <c r="O1411" s="14"/>
      <c r="P1411" s="14"/>
    </row>
    <row r="1412" spans="2:16" ht="15.75" customHeight="1">
      <c r="B1412" s="14"/>
      <c r="H1412" s="14"/>
      <c r="I1412" s="567"/>
      <c r="J1412" s="18"/>
      <c r="N1412" s="14"/>
      <c r="O1412" s="14"/>
      <c r="P1412" s="14"/>
    </row>
    <row r="1413" spans="2:16" ht="15.75" customHeight="1">
      <c r="B1413" s="14"/>
      <c r="H1413" s="14"/>
      <c r="I1413" s="567"/>
      <c r="J1413" s="18"/>
      <c r="N1413" s="14"/>
      <c r="O1413" s="14"/>
      <c r="P1413" s="14"/>
    </row>
    <row r="1414" spans="2:16" ht="15.75" customHeight="1">
      <c r="B1414" s="14"/>
      <c r="H1414" s="14"/>
      <c r="I1414" s="567"/>
      <c r="J1414" s="18"/>
      <c r="N1414" s="14"/>
      <c r="O1414" s="14"/>
      <c r="P1414" s="14"/>
    </row>
    <row r="1415" spans="2:16" ht="15.75" customHeight="1">
      <c r="B1415" s="14"/>
      <c r="H1415" s="14"/>
      <c r="I1415" s="567"/>
      <c r="J1415" s="18"/>
      <c r="N1415" s="14"/>
      <c r="O1415" s="14"/>
      <c r="P1415" s="14"/>
    </row>
    <row r="1416" spans="2:16" ht="15.75" customHeight="1">
      <c r="B1416" s="14"/>
      <c r="H1416" s="14"/>
      <c r="I1416" s="567"/>
      <c r="J1416" s="18"/>
      <c r="N1416" s="14"/>
      <c r="O1416" s="14"/>
      <c r="P1416" s="14"/>
    </row>
    <row r="1417" spans="2:16" ht="15.75" customHeight="1">
      <c r="B1417" s="14"/>
      <c r="H1417" s="14"/>
      <c r="I1417" s="567"/>
      <c r="J1417" s="18"/>
      <c r="N1417" s="14"/>
      <c r="O1417" s="14"/>
      <c r="P1417" s="14"/>
    </row>
    <row r="1418" spans="2:16" ht="15.75" customHeight="1">
      <c r="B1418" s="14"/>
      <c r="H1418" s="14"/>
      <c r="I1418" s="567"/>
      <c r="J1418" s="18"/>
      <c r="N1418" s="14"/>
      <c r="O1418" s="14"/>
      <c r="P1418" s="14"/>
    </row>
    <row r="1419" spans="2:16" ht="15.75" customHeight="1">
      <c r="B1419" s="14"/>
      <c r="H1419" s="14"/>
      <c r="I1419" s="567"/>
      <c r="J1419" s="18"/>
      <c r="N1419" s="14"/>
      <c r="O1419" s="14"/>
      <c r="P1419" s="14"/>
    </row>
    <row r="1420" spans="2:16" ht="15.75" customHeight="1">
      <c r="B1420" s="14"/>
      <c r="H1420" s="14"/>
      <c r="I1420" s="567"/>
      <c r="J1420" s="18"/>
      <c r="N1420" s="14"/>
      <c r="O1420" s="14"/>
      <c r="P1420" s="14"/>
    </row>
    <row r="1421" spans="2:16" ht="15.75" customHeight="1">
      <c r="B1421" s="14"/>
      <c r="H1421" s="14"/>
      <c r="I1421" s="567"/>
      <c r="J1421" s="18"/>
      <c r="N1421" s="14"/>
      <c r="O1421" s="14"/>
      <c r="P1421" s="14"/>
    </row>
    <row r="1422" spans="2:16" ht="15.75" customHeight="1">
      <c r="B1422" s="14"/>
      <c r="H1422" s="14"/>
      <c r="I1422" s="567"/>
      <c r="J1422" s="18"/>
      <c r="N1422" s="14"/>
      <c r="O1422" s="14"/>
      <c r="P1422" s="14"/>
    </row>
    <row r="1423" spans="2:16" ht="15.75" customHeight="1">
      <c r="B1423" s="14"/>
      <c r="H1423" s="14"/>
      <c r="I1423" s="567"/>
      <c r="J1423" s="18"/>
      <c r="N1423" s="14"/>
      <c r="O1423" s="14"/>
      <c r="P1423" s="14"/>
    </row>
    <row r="1424" spans="2:16" ht="15.75" customHeight="1">
      <c r="B1424" s="14"/>
      <c r="H1424" s="14"/>
      <c r="I1424" s="567"/>
      <c r="J1424" s="18"/>
      <c r="N1424" s="14"/>
      <c r="O1424" s="14"/>
      <c r="P1424" s="14"/>
    </row>
    <row r="1425" spans="2:16" ht="15.75" customHeight="1">
      <c r="B1425" s="14"/>
      <c r="H1425" s="14"/>
      <c r="I1425" s="567"/>
      <c r="J1425" s="18"/>
      <c r="N1425" s="14"/>
      <c r="O1425" s="14"/>
      <c r="P1425" s="14"/>
    </row>
    <row r="1426" spans="2:16" ht="15.75" customHeight="1">
      <c r="B1426" s="14"/>
      <c r="H1426" s="14"/>
      <c r="I1426" s="567"/>
      <c r="J1426" s="18"/>
      <c r="N1426" s="14"/>
      <c r="O1426" s="14"/>
      <c r="P1426" s="14"/>
    </row>
    <row r="1427" spans="2:16" ht="15.75" customHeight="1">
      <c r="B1427" s="14"/>
      <c r="H1427" s="14"/>
      <c r="I1427" s="567"/>
      <c r="J1427" s="18"/>
      <c r="N1427" s="14"/>
      <c r="O1427" s="14"/>
      <c r="P1427" s="14"/>
    </row>
    <row r="1428" spans="2:16" ht="15.75" customHeight="1">
      <c r="B1428" s="14"/>
      <c r="H1428" s="14"/>
      <c r="I1428" s="567"/>
      <c r="J1428" s="18"/>
      <c r="N1428" s="14"/>
      <c r="O1428" s="14"/>
      <c r="P1428" s="14"/>
    </row>
    <row r="1429" spans="2:16" ht="15.75" customHeight="1">
      <c r="B1429" s="14"/>
      <c r="H1429" s="14"/>
      <c r="I1429" s="567"/>
      <c r="J1429" s="18"/>
      <c r="N1429" s="14"/>
      <c r="O1429" s="14"/>
      <c r="P1429" s="14"/>
    </row>
    <row r="1430" spans="2:16" ht="15.75" customHeight="1">
      <c r="B1430" s="14"/>
      <c r="H1430" s="14"/>
      <c r="I1430" s="567"/>
      <c r="J1430" s="18"/>
      <c r="N1430" s="14"/>
      <c r="O1430" s="14"/>
      <c r="P1430" s="14"/>
    </row>
    <row r="1431" spans="2:16" ht="15.75" customHeight="1">
      <c r="B1431" s="14"/>
      <c r="H1431" s="14"/>
      <c r="I1431" s="567"/>
      <c r="J1431" s="18"/>
      <c r="N1431" s="14"/>
      <c r="O1431" s="14"/>
      <c r="P1431" s="14"/>
    </row>
    <row r="1432" spans="2:16" ht="15.75" customHeight="1">
      <c r="B1432" s="14"/>
      <c r="H1432" s="14"/>
      <c r="I1432" s="567"/>
      <c r="J1432" s="18"/>
      <c r="N1432" s="14"/>
      <c r="O1432" s="14"/>
      <c r="P1432" s="14"/>
    </row>
    <row r="1433" spans="2:16" ht="15.75" customHeight="1">
      <c r="B1433" s="14"/>
      <c r="H1433" s="14"/>
      <c r="I1433" s="567"/>
      <c r="J1433" s="18"/>
      <c r="N1433" s="14"/>
      <c r="O1433" s="14"/>
      <c r="P1433" s="14"/>
    </row>
    <row r="1434" spans="2:16" ht="15.75" customHeight="1">
      <c r="B1434" s="14"/>
      <c r="H1434" s="14"/>
      <c r="I1434" s="567"/>
      <c r="J1434" s="18"/>
      <c r="N1434" s="14"/>
      <c r="O1434" s="14"/>
      <c r="P1434" s="14"/>
    </row>
    <row r="1435" spans="2:16" ht="15.75" customHeight="1">
      <c r="B1435" s="14"/>
      <c r="H1435" s="14"/>
      <c r="I1435" s="567"/>
      <c r="J1435" s="18"/>
      <c r="N1435" s="14"/>
      <c r="O1435" s="14"/>
      <c r="P1435" s="14"/>
    </row>
    <row r="1436" spans="2:16" ht="15.75" customHeight="1">
      <c r="B1436" s="14"/>
      <c r="H1436" s="14"/>
      <c r="I1436" s="567"/>
      <c r="J1436" s="18"/>
      <c r="N1436" s="14"/>
      <c r="O1436" s="14"/>
      <c r="P1436" s="14"/>
    </row>
    <row r="1437" spans="2:16" ht="15.75" customHeight="1">
      <c r="B1437" s="14"/>
      <c r="H1437" s="14"/>
      <c r="I1437" s="567"/>
      <c r="J1437" s="18"/>
      <c r="N1437" s="14"/>
      <c r="O1437" s="14"/>
      <c r="P1437" s="14"/>
    </row>
    <row r="1438" spans="2:16" ht="15.75" customHeight="1">
      <c r="B1438" s="14"/>
      <c r="H1438" s="14"/>
      <c r="I1438" s="567"/>
      <c r="J1438" s="18"/>
      <c r="N1438" s="14"/>
      <c r="O1438" s="14"/>
      <c r="P1438" s="14"/>
    </row>
    <row r="1439" spans="2:16" ht="15.75" customHeight="1">
      <c r="B1439" s="14"/>
      <c r="H1439" s="14"/>
      <c r="I1439" s="567"/>
      <c r="J1439" s="18"/>
      <c r="N1439" s="14"/>
      <c r="O1439" s="14"/>
      <c r="P1439" s="14"/>
    </row>
    <row r="1440" spans="2:16" ht="15.75" customHeight="1">
      <c r="B1440" s="14"/>
      <c r="H1440" s="14"/>
      <c r="I1440" s="567"/>
      <c r="J1440" s="18"/>
      <c r="N1440" s="14"/>
      <c r="O1440" s="14"/>
      <c r="P1440" s="14"/>
    </row>
    <row r="1441" spans="2:16" ht="15.75" customHeight="1">
      <c r="B1441" s="14"/>
      <c r="H1441" s="14"/>
      <c r="I1441" s="567"/>
      <c r="J1441" s="18"/>
      <c r="N1441" s="14"/>
      <c r="O1441" s="14"/>
      <c r="P1441" s="14"/>
    </row>
    <row r="1442" spans="2:16" ht="15.75" customHeight="1">
      <c r="B1442" s="14"/>
      <c r="H1442" s="14"/>
      <c r="I1442" s="567"/>
      <c r="J1442" s="18"/>
      <c r="N1442" s="14"/>
      <c r="O1442" s="14"/>
      <c r="P1442" s="14"/>
    </row>
    <row r="1443" spans="2:16" ht="15.75" customHeight="1">
      <c r="B1443" s="14"/>
      <c r="H1443" s="14"/>
      <c r="I1443" s="567"/>
      <c r="J1443" s="18"/>
      <c r="N1443" s="14"/>
      <c r="O1443" s="14"/>
      <c r="P1443" s="14"/>
    </row>
    <row r="1444" spans="2:16" ht="15.75" customHeight="1">
      <c r="B1444" s="14"/>
      <c r="H1444" s="14"/>
      <c r="I1444" s="567"/>
      <c r="J1444" s="18"/>
      <c r="N1444" s="14"/>
      <c r="O1444" s="14"/>
      <c r="P1444" s="14"/>
    </row>
    <row r="1445" spans="2:16" ht="15.75" customHeight="1">
      <c r="B1445" s="14"/>
      <c r="H1445" s="14"/>
      <c r="I1445" s="567"/>
      <c r="J1445" s="18"/>
      <c r="N1445" s="14"/>
      <c r="O1445" s="14"/>
      <c r="P1445" s="14"/>
    </row>
    <row r="1446" spans="2:16" ht="15.75" customHeight="1">
      <c r="B1446" s="14"/>
      <c r="H1446" s="14"/>
      <c r="I1446" s="567"/>
      <c r="J1446" s="18"/>
      <c r="N1446" s="14"/>
      <c r="O1446" s="14"/>
      <c r="P1446" s="14"/>
    </row>
    <row r="1447" spans="2:16" ht="15.75" customHeight="1">
      <c r="B1447" s="14"/>
      <c r="H1447" s="14"/>
      <c r="I1447" s="567"/>
      <c r="J1447" s="18"/>
      <c r="N1447" s="14"/>
      <c r="O1447" s="14"/>
      <c r="P1447" s="14"/>
    </row>
    <row r="1448" spans="2:16" ht="15.75" customHeight="1">
      <c r="B1448" s="14"/>
      <c r="H1448" s="14"/>
      <c r="I1448" s="567"/>
      <c r="J1448" s="18"/>
      <c r="N1448" s="14"/>
      <c r="O1448" s="14"/>
      <c r="P1448" s="14"/>
    </row>
    <row r="1449" spans="2:16" ht="15.75" customHeight="1">
      <c r="B1449" s="14"/>
      <c r="H1449" s="14"/>
      <c r="I1449" s="567"/>
      <c r="J1449" s="18"/>
      <c r="N1449" s="14"/>
      <c r="O1449" s="14"/>
      <c r="P1449" s="14"/>
    </row>
    <row r="1450" spans="2:16" ht="15.75" customHeight="1">
      <c r="B1450" s="14"/>
      <c r="H1450" s="14"/>
      <c r="I1450" s="567"/>
      <c r="J1450" s="18"/>
      <c r="N1450" s="14"/>
      <c r="O1450" s="14"/>
      <c r="P1450" s="14"/>
    </row>
    <row r="1451" spans="2:16" ht="15.75" customHeight="1">
      <c r="B1451" s="14"/>
      <c r="H1451" s="14"/>
      <c r="I1451" s="567"/>
      <c r="J1451" s="18"/>
      <c r="N1451" s="14"/>
      <c r="O1451" s="14"/>
      <c r="P1451" s="14"/>
    </row>
    <row r="1452" spans="2:16" ht="15.75" customHeight="1">
      <c r="B1452" s="14"/>
      <c r="H1452" s="14"/>
      <c r="I1452" s="567"/>
      <c r="J1452" s="18"/>
      <c r="N1452" s="14"/>
      <c r="O1452" s="14"/>
      <c r="P1452" s="14"/>
    </row>
    <row r="1453" spans="2:16" ht="15.75" customHeight="1">
      <c r="B1453" s="14"/>
      <c r="H1453" s="14"/>
      <c r="I1453" s="567"/>
      <c r="J1453" s="18"/>
      <c r="N1453" s="14"/>
      <c r="O1453" s="14"/>
      <c r="P1453" s="14"/>
    </row>
    <row r="1454" spans="2:16" ht="15.75" customHeight="1">
      <c r="B1454" s="14"/>
      <c r="H1454" s="14"/>
      <c r="I1454" s="567"/>
      <c r="J1454" s="18"/>
      <c r="N1454" s="14"/>
      <c r="O1454" s="14"/>
      <c r="P1454" s="14"/>
    </row>
    <row r="1455" spans="2:16" ht="15.75" customHeight="1">
      <c r="B1455" s="14"/>
      <c r="H1455" s="14"/>
      <c r="I1455" s="567"/>
      <c r="J1455" s="18"/>
      <c r="N1455" s="14"/>
      <c r="O1455" s="14"/>
      <c r="P1455" s="14"/>
    </row>
    <row r="1456" spans="2:16" ht="15.75" customHeight="1">
      <c r="B1456" s="14"/>
      <c r="H1456" s="14"/>
      <c r="I1456" s="567"/>
      <c r="J1456" s="18"/>
      <c r="N1456" s="14"/>
      <c r="O1456" s="14"/>
      <c r="P1456" s="14"/>
    </row>
    <row r="1457" spans="2:16" ht="15.75" customHeight="1">
      <c r="B1457" s="14"/>
      <c r="H1457" s="14"/>
      <c r="I1457" s="567"/>
      <c r="J1457" s="18"/>
      <c r="N1457" s="14"/>
      <c r="O1457" s="14"/>
      <c r="P1457" s="14"/>
    </row>
    <row r="1458" spans="2:16" ht="15.75" customHeight="1">
      <c r="B1458" s="14"/>
      <c r="H1458" s="14"/>
      <c r="I1458" s="567"/>
      <c r="J1458" s="18"/>
      <c r="N1458" s="14"/>
      <c r="O1458" s="14"/>
      <c r="P1458" s="14"/>
    </row>
    <row r="1459" spans="2:16" ht="15.75" customHeight="1">
      <c r="B1459" s="14"/>
      <c r="H1459" s="14"/>
      <c r="I1459" s="567"/>
      <c r="J1459" s="18"/>
      <c r="N1459" s="14"/>
      <c r="O1459" s="14"/>
      <c r="P1459" s="14"/>
    </row>
    <row r="1460" spans="2:16" ht="15.75" customHeight="1">
      <c r="B1460" s="14"/>
      <c r="H1460" s="14"/>
      <c r="I1460" s="567"/>
      <c r="J1460" s="18"/>
      <c r="N1460" s="14"/>
      <c r="O1460" s="14"/>
      <c r="P1460" s="14"/>
    </row>
    <row r="1461" spans="2:16" ht="15.75" customHeight="1">
      <c r="B1461" s="14"/>
      <c r="H1461" s="14"/>
      <c r="I1461" s="567"/>
      <c r="J1461" s="18"/>
      <c r="N1461" s="14"/>
      <c r="O1461" s="14"/>
      <c r="P1461" s="14"/>
    </row>
    <row r="1462" spans="2:16" ht="15.75" customHeight="1">
      <c r="B1462" s="14"/>
      <c r="H1462" s="14"/>
      <c r="I1462" s="567"/>
      <c r="J1462" s="18"/>
      <c r="N1462" s="14"/>
      <c r="O1462" s="14"/>
      <c r="P1462" s="14"/>
    </row>
    <row r="1463" spans="2:16" ht="15.75" customHeight="1">
      <c r="B1463" s="14"/>
      <c r="H1463" s="14"/>
      <c r="I1463" s="567"/>
      <c r="J1463" s="18"/>
      <c r="N1463" s="14"/>
      <c r="O1463" s="14"/>
      <c r="P1463" s="14"/>
    </row>
    <row r="1464" spans="2:16" ht="15.75" customHeight="1">
      <c r="B1464" s="14"/>
      <c r="H1464" s="14"/>
      <c r="I1464" s="567"/>
      <c r="J1464" s="18"/>
      <c r="N1464" s="14"/>
      <c r="O1464" s="14"/>
      <c r="P1464" s="14"/>
    </row>
    <row r="1465" spans="2:16" ht="15.75" customHeight="1">
      <c r="B1465" s="14"/>
      <c r="H1465" s="14"/>
      <c r="I1465" s="567"/>
      <c r="J1465" s="18"/>
      <c r="N1465" s="14"/>
      <c r="O1465" s="14"/>
      <c r="P1465" s="14"/>
    </row>
    <row r="1466" spans="2:16" ht="15.75" customHeight="1">
      <c r="B1466" s="14"/>
      <c r="H1466" s="14"/>
      <c r="I1466" s="567"/>
      <c r="J1466" s="18"/>
      <c r="N1466" s="14"/>
      <c r="O1466" s="14"/>
      <c r="P1466" s="14"/>
    </row>
    <row r="1467" spans="2:16" ht="15.75" customHeight="1">
      <c r="B1467" s="14"/>
      <c r="H1467" s="14"/>
      <c r="I1467" s="567"/>
      <c r="J1467" s="18"/>
      <c r="N1467" s="14"/>
      <c r="O1467" s="14"/>
      <c r="P1467" s="14"/>
    </row>
    <row r="1468" spans="2:16" ht="15.75" customHeight="1">
      <c r="B1468" s="14"/>
      <c r="H1468" s="14"/>
      <c r="I1468" s="567"/>
      <c r="J1468" s="18"/>
      <c r="N1468" s="14"/>
      <c r="O1468" s="14"/>
      <c r="P1468" s="14"/>
    </row>
    <row r="1469" spans="2:16" ht="15.75" customHeight="1">
      <c r="B1469" s="14"/>
      <c r="H1469" s="14"/>
      <c r="I1469" s="567"/>
      <c r="J1469" s="18"/>
      <c r="N1469" s="14"/>
      <c r="O1469" s="14"/>
      <c r="P1469" s="14"/>
    </row>
    <row r="1470" spans="2:16" ht="15.75" customHeight="1">
      <c r="B1470" s="14"/>
      <c r="H1470" s="14"/>
      <c r="I1470" s="567"/>
      <c r="J1470" s="18"/>
      <c r="N1470" s="14"/>
      <c r="O1470" s="14"/>
      <c r="P1470" s="14"/>
    </row>
    <row r="1471" spans="2:16" ht="15.75" customHeight="1">
      <c r="B1471" s="14"/>
      <c r="H1471" s="14"/>
      <c r="I1471" s="567"/>
      <c r="J1471" s="18"/>
      <c r="N1471" s="14"/>
      <c r="O1471" s="14"/>
      <c r="P1471" s="14"/>
    </row>
    <row r="1472" spans="2:16" ht="15.75" customHeight="1">
      <c r="B1472" s="14"/>
      <c r="H1472" s="14"/>
      <c r="I1472" s="567"/>
      <c r="J1472" s="18"/>
      <c r="N1472" s="14"/>
      <c r="O1472" s="14"/>
      <c r="P1472" s="14"/>
    </row>
    <row r="1473" spans="2:16" ht="15.75" customHeight="1">
      <c r="B1473" s="14"/>
      <c r="H1473" s="14"/>
      <c r="I1473" s="567"/>
      <c r="J1473" s="18"/>
      <c r="N1473" s="14"/>
      <c r="O1473" s="14"/>
      <c r="P1473" s="14"/>
    </row>
    <row r="1474" spans="2:16" ht="15.75" customHeight="1">
      <c r="B1474" s="14"/>
      <c r="H1474" s="14"/>
      <c r="I1474" s="567"/>
      <c r="J1474" s="18"/>
      <c r="N1474" s="14"/>
      <c r="O1474" s="14"/>
      <c r="P1474" s="14"/>
    </row>
    <row r="1475" spans="2:16" ht="15.75" customHeight="1">
      <c r="B1475" s="14"/>
      <c r="H1475" s="14"/>
      <c r="I1475" s="567"/>
      <c r="J1475" s="18"/>
      <c r="N1475" s="14"/>
      <c r="O1475" s="14"/>
      <c r="P1475" s="14"/>
    </row>
    <row r="1476" spans="2:16" ht="15.75" customHeight="1">
      <c r="B1476" s="14"/>
      <c r="H1476" s="14"/>
      <c r="I1476" s="567"/>
      <c r="J1476" s="18"/>
      <c r="N1476" s="14"/>
      <c r="O1476" s="14"/>
      <c r="P1476" s="14"/>
    </row>
    <row r="1477" spans="2:16" ht="15.75" customHeight="1">
      <c r="B1477" s="14"/>
      <c r="H1477" s="14"/>
      <c r="I1477" s="567"/>
      <c r="J1477" s="18"/>
      <c r="N1477" s="14"/>
      <c r="O1477" s="14"/>
      <c r="P1477" s="14"/>
    </row>
    <row r="1478" spans="2:16" ht="15.75" customHeight="1">
      <c r="B1478" s="14"/>
      <c r="H1478" s="14"/>
      <c r="I1478" s="567"/>
      <c r="J1478" s="18"/>
      <c r="N1478" s="14"/>
      <c r="O1478" s="14"/>
      <c r="P1478" s="14"/>
    </row>
    <row r="1479" spans="2:16" ht="15.75" customHeight="1">
      <c r="B1479" s="14"/>
      <c r="H1479" s="14"/>
      <c r="I1479" s="567"/>
      <c r="J1479" s="18"/>
      <c r="N1479" s="14"/>
      <c r="O1479" s="14"/>
      <c r="P1479" s="14"/>
    </row>
    <row r="1480" spans="2:16" ht="15.75" customHeight="1">
      <c r="B1480" s="14"/>
      <c r="H1480" s="14"/>
      <c r="I1480" s="567"/>
      <c r="J1480" s="18"/>
      <c r="N1480" s="14"/>
      <c r="O1480" s="14"/>
      <c r="P1480" s="14"/>
    </row>
    <row r="1481" spans="2:16" ht="15.75" customHeight="1">
      <c r="B1481" s="14"/>
      <c r="H1481" s="14"/>
      <c r="I1481" s="567"/>
      <c r="J1481" s="18"/>
      <c r="N1481" s="14"/>
      <c r="O1481" s="14"/>
      <c r="P1481" s="14"/>
    </row>
    <row r="1482" spans="2:16" ht="15.75" customHeight="1">
      <c r="B1482" s="14"/>
      <c r="H1482" s="14"/>
      <c r="I1482" s="567"/>
      <c r="J1482" s="18"/>
      <c r="N1482" s="14"/>
      <c r="O1482" s="14"/>
      <c r="P1482" s="14"/>
    </row>
    <row r="1483" spans="2:16" ht="15.75" customHeight="1">
      <c r="B1483" s="14"/>
      <c r="H1483" s="14"/>
      <c r="I1483" s="567"/>
      <c r="J1483" s="18"/>
      <c r="N1483" s="14"/>
      <c r="O1483" s="14"/>
      <c r="P1483" s="14"/>
    </row>
    <row r="1484" spans="2:16" ht="15.75" customHeight="1">
      <c r="B1484" s="14"/>
      <c r="H1484" s="14"/>
      <c r="I1484" s="567"/>
      <c r="J1484" s="18"/>
      <c r="N1484" s="14"/>
      <c r="O1484" s="14"/>
      <c r="P1484" s="14"/>
    </row>
    <row r="1485" spans="2:16" ht="15.75" customHeight="1">
      <c r="B1485" s="14"/>
      <c r="H1485" s="14"/>
      <c r="I1485" s="567"/>
      <c r="J1485" s="18"/>
      <c r="N1485" s="14"/>
      <c r="O1485" s="14"/>
      <c r="P1485" s="14"/>
    </row>
    <row r="1486" spans="2:16" ht="15.75" customHeight="1">
      <c r="B1486" s="14"/>
      <c r="H1486" s="14"/>
      <c r="I1486" s="567"/>
      <c r="J1486" s="18"/>
      <c r="N1486" s="14"/>
      <c r="O1486" s="14"/>
      <c r="P1486" s="14"/>
    </row>
    <row r="1487" spans="2:16" ht="15.75" customHeight="1">
      <c r="B1487" s="14"/>
      <c r="H1487" s="14"/>
      <c r="I1487" s="567"/>
      <c r="J1487" s="18"/>
      <c r="N1487" s="14"/>
      <c r="O1487" s="14"/>
      <c r="P1487" s="14"/>
    </row>
    <row r="1488" spans="2:16" ht="15.75" customHeight="1">
      <c r="B1488" s="14"/>
      <c r="H1488" s="14"/>
      <c r="I1488" s="567"/>
      <c r="J1488" s="18"/>
      <c r="N1488" s="14"/>
      <c r="O1488" s="14"/>
      <c r="P1488" s="14"/>
    </row>
    <row r="1489" spans="2:16" ht="15.75" customHeight="1">
      <c r="B1489" s="14"/>
      <c r="H1489" s="14"/>
      <c r="I1489" s="567"/>
      <c r="J1489" s="18"/>
      <c r="N1489" s="14"/>
      <c r="O1489" s="14"/>
      <c r="P1489" s="14"/>
    </row>
    <row r="1490" spans="2:16" ht="15.75" customHeight="1">
      <c r="B1490" s="14"/>
      <c r="H1490" s="14"/>
      <c r="I1490" s="567"/>
      <c r="J1490" s="18"/>
      <c r="N1490" s="14"/>
      <c r="O1490" s="14"/>
      <c r="P1490" s="14"/>
    </row>
    <row r="1491" spans="2:16" ht="15.75" customHeight="1">
      <c r="B1491" s="14"/>
      <c r="H1491" s="14"/>
      <c r="I1491" s="567"/>
      <c r="J1491" s="18"/>
      <c r="N1491" s="14"/>
      <c r="O1491" s="14"/>
      <c r="P1491" s="14"/>
    </row>
    <row r="1492" spans="2:16" ht="15.75" customHeight="1">
      <c r="B1492" s="14"/>
      <c r="H1492" s="14"/>
      <c r="I1492" s="567"/>
      <c r="J1492" s="18"/>
      <c r="N1492" s="14"/>
      <c r="O1492" s="14"/>
      <c r="P1492" s="14"/>
    </row>
    <row r="1493" spans="2:16" ht="15.75" customHeight="1">
      <c r="B1493" s="14"/>
      <c r="H1493" s="14"/>
      <c r="I1493" s="567"/>
      <c r="J1493" s="18"/>
      <c r="N1493" s="14"/>
      <c r="O1493" s="14"/>
      <c r="P1493" s="14"/>
    </row>
    <row r="1494" spans="2:16" ht="15.75" customHeight="1">
      <c r="B1494" s="14"/>
      <c r="H1494" s="14"/>
      <c r="I1494" s="567"/>
      <c r="J1494" s="18"/>
      <c r="N1494" s="14"/>
      <c r="O1494" s="14"/>
      <c r="P1494" s="14"/>
    </row>
    <row r="1495" spans="2:16" ht="15.75" customHeight="1">
      <c r="B1495" s="14"/>
      <c r="H1495" s="14"/>
      <c r="I1495" s="567"/>
      <c r="J1495" s="18"/>
      <c r="N1495" s="14"/>
      <c r="O1495" s="14"/>
      <c r="P1495" s="14"/>
    </row>
    <row r="1496" spans="2:16" ht="15.75" customHeight="1">
      <c r="B1496" s="14"/>
      <c r="H1496" s="14"/>
      <c r="I1496" s="567"/>
      <c r="J1496" s="18"/>
      <c r="N1496" s="14"/>
      <c r="O1496" s="14"/>
      <c r="P1496" s="14"/>
    </row>
    <row r="1497" spans="2:16" ht="15.75" customHeight="1">
      <c r="B1497" s="14"/>
      <c r="H1497" s="14"/>
      <c r="I1497" s="567"/>
      <c r="J1497" s="18"/>
      <c r="N1497" s="14"/>
      <c r="O1497" s="14"/>
      <c r="P1497" s="14"/>
    </row>
    <row r="1498" spans="2:16" ht="15.75" customHeight="1">
      <c r="B1498" s="14"/>
      <c r="H1498" s="14"/>
      <c r="I1498" s="567"/>
      <c r="J1498" s="18"/>
      <c r="N1498" s="14"/>
      <c r="O1498" s="14"/>
      <c r="P1498" s="14"/>
    </row>
    <row r="1499" spans="2:16" ht="15.75" customHeight="1">
      <c r="B1499" s="14"/>
      <c r="H1499" s="14"/>
      <c r="I1499" s="567"/>
      <c r="J1499" s="18"/>
      <c r="N1499" s="14"/>
      <c r="O1499" s="14"/>
      <c r="P1499" s="14"/>
    </row>
    <row r="1500" spans="2:16" ht="15.75" customHeight="1">
      <c r="B1500" s="14"/>
      <c r="H1500" s="14"/>
      <c r="I1500" s="567"/>
      <c r="J1500" s="18"/>
      <c r="N1500" s="14"/>
      <c r="O1500" s="14"/>
      <c r="P1500" s="14"/>
    </row>
    <row r="1501" spans="2:16" ht="15.75" customHeight="1">
      <c r="B1501" s="14"/>
      <c r="H1501" s="14"/>
      <c r="I1501" s="567"/>
      <c r="J1501" s="18"/>
      <c r="N1501" s="14"/>
      <c r="O1501" s="14"/>
      <c r="P1501" s="14"/>
    </row>
    <row r="1502" spans="2:16" ht="15.75" customHeight="1">
      <c r="B1502" s="14"/>
      <c r="H1502" s="14"/>
      <c r="I1502" s="567"/>
      <c r="J1502" s="18"/>
      <c r="N1502" s="14"/>
      <c r="O1502" s="14"/>
      <c r="P1502" s="14"/>
    </row>
    <row r="1503" spans="2:16" ht="15.75" customHeight="1">
      <c r="B1503" s="14"/>
      <c r="H1503" s="14"/>
      <c r="I1503" s="567"/>
      <c r="J1503" s="18"/>
      <c r="N1503" s="14"/>
      <c r="O1503" s="14"/>
      <c r="P1503" s="14"/>
    </row>
    <row r="1504" spans="2:16" ht="15.75" customHeight="1">
      <c r="B1504" s="14"/>
      <c r="H1504" s="14"/>
      <c r="I1504" s="567"/>
      <c r="J1504" s="18"/>
      <c r="N1504" s="14"/>
      <c r="O1504" s="14"/>
      <c r="P1504" s="14"/>
    </row>
    <row r="1505" spans="2:16" ht="15.75" customHeight="1">
      <c r="B1505" s="14"/>
      <c r="H1505" s="14"/>
      <c r="I1505" s="567"/>
      <c r="J1505" s="18"/>
      <c r="N1505" s="14"/>
      <c r="O1505" s="14"/>
      <c r="P1505" s="14"/>
    </row>
    <row r="1506" spans="2:16" ht="15.75" customHeight="1">
      <c r="B1506" s="14"/>
      <c r="H1506" s="14"/>
      <c r="I1506" s="567"/>
      <c r="J1506" s="18"/>
      <c r="N1506" s="14"/>
      <c r="O1506" s="14"/>
      <c r="P1506" s="14"/>
    </row>
    <row r="1507" spans="2:16" ht="15.75" customHeight="1">
      <c r="B1507" s="14"/>
      <c r="H1507" s="14"/>
      <c r="I1507" s="567"/>
      <c r="J1507" s="18"/>
      <c r="N1507" s="14"/>
      <c r="O1507" s="14"/>
      <c r="P1507" s="14"/>
    </row>
    <row r="1508" spans="2:16" ht="15.75" customHeight="1">
      <c r="B1508" s="14"/>
      <c r="H1508" s="14"/>
      <c r="I1508" s="567"/>
      <c r="J1508" s="18"/>
      <c r="N1508" s="14"/>
      <c r="O1508" s="14"/>
      <c r="P1508" s="14"/>
    </row>
    <row r="1509" spans="2:16" ht="15.75" customHeight="1">
      <c r="B1509" s="14"/>
      <c r="H1509" s="14"/>
      <c r="I1509" s="567"/>
      <c r="J1509" s="18"/>
      <c r="N1509" s="14"/>
      <c r="O1509" s="14"/>
      <c r="P1509" s="14"/>
    </row>
    <row r="1510" spans="2:16" ht="15.75" customHeight="1">
      <c r="B1510" s="14"/>
      <c r="H1510" s="14"/>
      <c r="I1510" s="567"/>
      <c r="J1510" s="18"/>
      <c r="N1510" s="14"/>
      <c r="O1510" s="14"/>
      <c r="P1510" s="14"/>
    </row>
    <row r="1511" spans="2:16" ht="15.75" customHeight="1">
      <c r="B1511" s="14"/>
      <c r="H1511" s="14"/>
      <c r="I1511" s="567"/>
      <c r="J1511" s="18"/>
      <c r="N1511" s="14"/>
      <c r="O1511" s="14"/>
      <c r="P1511" s="14"/>
    </row>
    <row r="1512" spans="2:16" ht="15.75" customHeight="1">
      <c r="B1512" s="14"/>
      <c r="H1512" s="14"/>
      <c r="I1512" s="567"/>
      <c r="J1512" s="18"/>
      <c r="N1512" s="14"/>
      <c r="O1512" s="14"/>
      <c r="P1512" s="14"/>
    </row>
    <row r="1513" spans="2:16" ht="15.75" customHeight="1">
      <c r="B1513" s="14"/>
      <c r="H1513" s="14"/>
      <c r="I1513" s="567"/>
      <c r="J1513" s="18"/>
      <c r="N1513" s="14"/>
      <c r="O1513" s="14"/>
      <c r="P1513" s="14"/>
    </row>
    <row r="1514" spans="2:16" ht="15.75" customHeight="1">
      <c r="B1514" s="14"/>
      <c r="H1514" s="14"/>
      <c r="I1514" s="567"/>
      <c r="J1514" s="18"/>
      <c r="N1514" s="14"/>
      <c r="O1514" s="14"/>
      <c r="P1514" s="14"/>
    </row>
    <row r="1515" spans="2:16" ht="15.75" customHeight="1">
      <c r="B1515" s="14"/>
      <c r="H1515" s="14"/>
      <c r="I1515" s="567"/>
      <c r="J1515" s="18"/>
      <c r="N1515" s="14"/>
      <c r="O1515" s="14"/>
      <c r="P1515" s="14"/>
    </row>
    <row r="1516" spans="2:16" ht="15.75" customHeight="1">
      <c r="B1516" s="14"/>
      <c r="H1516" s="14"/>
      <c r="I1516" s="567"/>
      <c r="J1516" s="18"/>
      <c r="N1516" s="14"/>
      <c r="O1516" s="14"/>
      <c r="P1516" s="14"/>
    </row>
    <row r="1517" spans="2:16" ht="15.75" customHeight="1">
      <c r="B1517" s="14"/>
      <c r="H1517" s="14"/>
      <c r="I1517" s="567"/>
      <c r="J1517" s="18"/>
      <c r="N1517" s="14"/>
      <c r="O1517" s="14"/>
      <c r="P1517" s="14"/>
    </row>
    <row r="1518" spans="2:16" ht="15.75" customHeight="1">
      <c r="B1518" s="14"/>
      <c r="H1518" s="14"/>
      <c r="I1518" s="567"/>
      <c r="J1518" s="18"/>
      <c r="N1518" s="14"/>
      <c r="O1518" s="14"/>
      <c r="P1518" s="14"/>
    </row>
    <row r="1519" spans="2:16" ht="15.75" customHeight="1">
      <c r="B1519" s="14"/>
      <c r="H1519" s="14"/>
      <c r="I1519" s="567"/>
      <c r="J1519" s="18"/>
      <c r="N1519" s="14"/>
      <c r="O1519" s="14"/>
      <c r="P1519" s="14"/>
    </row>
    <row r="1520" spans="2:16" ht="15.75" customHeight="1">
      <c r="B1520" s="14"/>
      <c r="H1520" s="14"/>
      <c r="I1520" s="567"/>
      <c r="J1520" s="18"/>
      <c r="N1520" s="14"/>
      <c r="O1520" s="14"/>
      <c r="P1520" s="14"/>
    </row>
    <row r="1521" spans="2:16" ht="15.75" customHeight="1">
      <c r="B1521" s="14"/>
      <c r="H1521" s="14"/>
      <c r="I1521" s="567"/>
      <c r="J1521" s="18"/>
      <c r="N1521" s="14"/>
      <c r="O1521" s="14"/>
      <c r="P1521" s="14"/>
    </row>
    <row r="1522" spans="2:16" ht="15.75" customHeight="1">
      <c r="B1522" s="14"/>
      <c r="H1522" s="14"/>
      <c r="I1522" s="567"/>
      <c r="J1522" s="18"/>
      <c r="N1522" s="14"/>
      <c r="O1522" s="14"/>
      <c r="P1522" s="14"/>
    </row>
    <row r="1523" spans="2:16" ht="15.75" customHeight="1">
      <c r="B1523" s="14"/>
      <c r="H1523" s="14"/>
      <c r="I1523" s="567"/>
      <c r="J1523" s="18"/>
      <c r="N1523" s="14"/>
      <c r="O1523" s="14"/>
      <c r="P1523" s="14"/>
    </row>
    <row r="1524" spans="2:16" ht="15.75" customHeight="1">
      <c r="B1524" s="14"/>
      <c r="H1524" s="14"/>
      <c r="I1524" s="567"/>
      <c r="J1524" s="18"/>
      <c r="N1524" s="14"/>
      <c r="O1524" s="14"/>
      <c r="P1524" s="14"/>
    </row>
    <row r="1525" spans="2:16" ht="15.75" customHeight="1">
      <c r="B1525" s="14"/>
      <c r="H1525" s="14"/>
      <c r="I1525" s="567"/>
      <c r="J1525" s="18"/>
      <c r="N1525" s="14"/>
      <c r="O1525" s="14"/>
      <c r="P1525" s="14"/>
    </row>
    <row r="1526" spans="2:16" ht="15.75" customHeight="1">
      <c r="B1526" s="14"/>
      <c r="H1526" s="14"/>
      <c r="I1526" s="567"/>
      <c r="J1526" s="18"/>
      <c r="N1526" s="14"/>
      <c r="O1526" s="14"/>
      <c r="P1526" s="14"/>
    </row>
    <row r="1527" spans="2:16" ht="15.75" customHeight="1">
      <c r="B1527" s="14"/>
      <c r="H1527" s="14"/>
      <c r="I1527" s="567"/>
      <c r="J1527" s="18"/>
      <c r="N1527" s="14"/>
      <c r="O1527" s="14"/>
      <c r="P1527" s="14"/>
    </row>
    <row r="1528" spans="2:16" ht="15.75" customHeight="1">
      <c r="B1528" s="14"/>
      <c r="H1528" s="14"/>
      <c r="I1528" s="567"/>
      <c r="J1528" s="18"/>
      <c r="N1528" s="14"/>
      <c r="O1528" s="14"/>
      <c r="P1528" s="14"/>
    </row>
    <row r="1529" spans="2:16" ht="15.75" customHeight="1">
      <c r="B1529" s="14"/>
      <c r="H1529" s="14"/>
      <c r="I1529" s="567"/>
      <c r="J1529" s="18"/>
      <c r="N1529" s="14"/>
      <c r="O1529" s="14"/>
      <c r="P1529" s="14"/>
    </row>
    <row r="1530" spans="2:16" ht="15.75" customHeight="1">
      <c r="B1530" s="14"/>
      <c r="H1530" s="14"/>
      <c r="I1530" s="567"/>
      <c r="J1530" s="18"/>
      <c r="N1530" s="14"/>
      <c r="O1530" s="14"/>
      <c r="P1530" s="14"/>
    </row>
    <row r="1531" spans="2:16" ht="15.75" customHeight="1">
      <c r="B1531" s="14"/>
      <c r="H1531" s="14"/>
      <c r="I1531" s="567"/>
      <c r="J1531" s="18"/>
      <c r="N1531" s="14"/>
      <c r="O1531" s="14"/>
      <c r="P1531" s="14"/>
    </row>
    <row r="1532" spans="2:16" ht="15.75" customHeight="1">
      <c r="B1532" s="14"/>
      <c r="H1532" s="14"/>
      <c r="I1532" s="567"/>
      <c r="J1532" s="18"/>
      <c r="N1532" s="14"/>
      <c r="O1532" s="14"/>
      <c r="P1532" s="14"/>
    </row>
    <row r="1533" spans="2:16" ht="15.75" customHeight="1">
      <c r="B1533" s="14"/>
      <c r="H1533" s="14"/>
      <c r="I1533" s="567"/>
      <c r="J1533" s="18"/>
      <c r="N1533" s="14"/>
      <c r="O1533" s="14"/>
      <c r="P1533" s="14"/>
    </row>
    <row r="1534" spans="2:16" ht="15.75" customHeight="1">
      <c r="B1534" s="14"/>
      <c r="H1534" s="14"/>
      <c r="I1534" s="567"/>
      <c r="J1534" s="18"/>
      <c r="N1534" s="14"/>
      <c r="O1534" s="14"/>
      <c r="P1534" s="14"/>
    </row>
    <row r="1535" spans="2:16" ht="15.75" customHeight="1">
      <c r="B1535" s="14"/>
      <c r="H1535" s="14"/>
      <c r="I1535" s="567"/>
      <c r="J1535" s="18"/>
      <c r="N1535" s="14"/>
      <c r="O1535" s="14"/>
      <c r="P1535" s="14"/>
    </row>
    <row r="1536" spans="2:16" ht="15.75" customHeight="1">
      <c r="B1536" s="14"/>
      <c r="H1536" s="14"/>
      <c r="I1536" s="567"/>
      <c r="J1536" s="18"/>
      <c r="N1536" s="14"/>
      <c r="O1536" s="14"/>
      <c r="P1536" s="14"/>
    </row>
    <row r="1537" spans="2:16" ht="15.75" customHeight="1">
      <c r="B1537" s="14"/>
      <c r="H1537" s="14"/>
      <c r="I1537" s="567"/>
      <c r="J1537" s="18"/>
      <c r="N1537" s="14"/>
      <c r="O1537" s="14"/>
      <c r="P1537" s="14"/>
    </row>
    <row r="1538" spans="2:16" ht="15.75" customHeight="1">
      <c r="B1538" s="14"/>
      <c r="H1538" s="14"/>
      <c r="I1538" s="567"/>
      <c r="J1538" s="18"/>
      <c r="N1538" s="14"/>
      <c r="O1538" s="14"/>
      <c r="P1538" s="14"/>
    </row>
    <row r="1539" spans="2:16" ht="15.75" customHeight="1">
      <c r="B1539" s="14"/>
      <c r="H1539" s="14"/>
      <c r="I1539" s="567"/>
      <c r="J1539" s="18"/>
      <c r="N1539" s="14"/>
      <c r="O1539" s="14"/>
      <c r="P1539" s="14"/>
    </row>
    <row r="1540" spans="2:16" ht="15.75" customHeight="1">
      <c r="B1540" s="14"/>
      <c r="H1540" s="14"/>
      <c r="I1540" s="567"/>
      <c r="J1540" s="18"/>
      <c r="N1540" s="14"/>
      <c r="O1540" s="14"/>
      <c r="P1540" s="14"/>
    </row>
    <row r="1541" spans="2:16" ht="15.75" customHeight="1">
      <c r="B1541" s="14"/>
      <c r="H1541" s="14"/>
      <c r="I1541" s="567"/>
      <c r="J1541" s="18"/>
      <c r="N1541" s="14"/>
      <c r="O1541" s="14"/>
      <c r="P1541" s="14"/>
    </row>
    <row r="1542" spans="2:16" ht="15.75" customHeight="1">
      <c r="B1542" s="14"/>
      <c r="H1542" s="14"/>
      <c r="I1542" s="567"/>
      <c r="J1542" s="18"/>
      <c r="N1542" s="14"/>
      <c r="O1542" s="14"/>
      <c r="P1542" s="14"/>
    </row>
    <row r="1543" spans="2:16" ht="15.75" customHeight="1">
      <c r="B1543" s="14"/>
      <c r="H1543" s="14"/>
      <c r="I1543" s="567"/>
      <c r="J1543" s="18"/>
      <c r="N1543" s="14"/>
      <c r="O1543" s="14"/>
      <c r="P1543" s="14"/>
    </row>
    <row r="1544" spans="2:16" ht="15.75" customHeight="1">
      <c r="B1544" s="14"/>
      <c r="H1544" s="14"/>
      <c r="I1544" s="567"/>
      <c r="J1544" s="18"/>
      <c r="N1544" s="14"/>
      <c r="O1544" s="14"/>
      <c r="P1544" s="14"/>
    </row>
    <row r="1545" spans="2:16" ht="15.75" customHeight="1">
      <c r="B1545" s="14"/>
      <c r="H1545" s="14"/>
      <c r="I1545" s="567"/>
      <c r="J1545" s="18"/>
      <c r="N1545" s="14"/>
      <c r="O1545" s="14"/>
      <c r="P1545" s="14"/>
    </row>
    <row r="1546" spans="2:16" ht="15.75" customHeight="1">
      <c r="B1546" s="14"/>
      <c r="H1546" s="14"/>
      <c r="I1546" s="567"/>
      <c r="J1546" s="18"/>
      <c r="N1546" s="14"/>
      <c r="O1546" s="14"/>
      <c r="P1546" s="14"/>
    </row>
    <row r="1547" spans="2:16" ht="15.75" customHeight="1">
      <c r="B1547" s="14"/>
      <c r="H1547" s="14"/>
      <c r="I1547" s="567"/>
      <c r="J1547" s="18"/>
      <c r="N1547" s="14"/>
      <c r="O1547" s="14"/>
      <c r="P1547" s="14"/>
    </row>
    <row r="1548" spans="2:16" ht="15.75" customHeight="1">
      <c r="B1548" s="14"/>
      <c r="H1548" s="14"/>
      <c r="I1548" s="567"/>
      <c r="J1548" s="18"/>
      <c r="N1548" s="14"/>
      <c r="O1548" s="14"/>
      <c r="P1548" s="14"/>
    </row>
    <row r="1549" spans="2:16" ht="15.75" customHeight="1">
      <c r="B1549" s="14"/>
      <c r="H1549" s="14"/>
      <c r="I1549" s="567"/>
      <c r="J1549" s="18"/>
      <c r="N1549" s="14"/>
      <c r="O1549" s="14"/>
      <c r="P1549" s="14"/>
    </row>
    <row r="1550" spans="2:16" ht="15.75" customHeight="1">
      <c r="B1550" s="14"/>
      <c r="H1550" s="14"/>
      <c r="I1550" s="567"/>
      <c r="J1550" s="18"/>
      <c r="N1550" s="14"/>
      <c r="O1550" s="14"/>
      <c r="P1550" s="14"/>
    </row>
    <row r="1551" spans="2:16" ht="15.75" customHeight="1">
      <c r="B1551" s="14"/>
      <c r="H1551" s="14"/>
      <c r="I1551" s="567"/>
      <c r="J1551" s="18"/>
      <c r="N1551" s="14"/>
      <c r="O1551" s="14"/>
      <c r="P1551" s="14"/>
    </row>
    <row r="1552" spans="2:16" ht="15.75" customHeight="1">
      <c r="B1552" s="14"/>
      <c r="H1552" s="14"/>
      <c r="I1552" s="567"/>
      <c r="J1552" s="18"/>
      <c r="N1552" s="14"/>
      <c r="O1552" s="14"/>
      <c r="P1552" s="14"/>
    </row>
    <row r="1553" spans="2:16" ht="15.75" customHeight="1">
      <c r="B1553" s="14"/>
      <c r="H1553" s="14"/>
      <c r="I1553" s="567"/>
      <c r="J1553" s="18"/>
      <c r="N1553" s="14"/>
      <c r="O1553" s="14"/>
      <c r="P1553" s="14"/>
    </row>
    <row r="1554" spans="2:16" ht="15.75" customHeight="1">
      <c r="B1554" s="14"/>
      <c r="H1554" s="14"/>
      <c r="I1554" s="567"/>
      <c r="J1554" s="18"/>
      <c r="N1554" s="14"/>
      <c r="O1554" s="14"/>
      <c r="P1554" s="14"/>
    </row>
    <row r="1555" spans="2:16" ht="15.75" customHeight="1">
      <c r="B1555" s="14"/>
      <c r="H1555" s="14"/>
      <c r="I1555" s="567"/>
      <c r="J1555" s="18"/>
      <c r="N1555" s="14"/>
      <c r="O1555" s="14"/>
      <c r="P1555" s="14"/>
    </row>
    <row r="1556" spans="2:16" ht="15.75" customHeight="1">
      <c r="B1556" s="14"/>
      <c r="H1556" s="14"/>
      <c r="I1556" s="567"/>
      <c r="J1556" s="18"/>
      <c r="N1556" s="14"/>
      <c r="O1556" s="14"/>
      <c r="P1556" s="14"/>
    </row>
    <row r="1557" spans="2:16" ht="15.75" customHeight="1">
      <c r="B1557" s="14"/>
      <c r="H1557" s="14"/>
      <c r="I1557" s="567"/>
      <c r="J1557" s="18"/>
      <c r="N1557" s="14"/>
      <c r="O1557" s="14"/>
      <c r="P1557" s="14"/>
    </row>
    <row r="1558" spans="2:16" ht="15.75" customHeight="1">
      <c r="B1558" s="14"/>
      <c r="H1558" s="14"/>
      <c r="I1558" s="567"/>
      <c r="J1558" s="18"/>
      <c r="N1558" s="14"/>
      <c r="O1558" s="14"/>
      <c r="P1558" s="14"/>
    </row>
    <row r="1559" spans="2:16" ht="15.75" customHeight="1">
      <c r="B1559" s="14"/>
      <c r="H1559" s="14"/>
      <c r="I1559" s="567"/>
      <c r="J1559" s="18"/>
      <c r="N1559" s="14"/>
      <c r="O1559" s="14"/>
      <c r="P1559" s="14"/>
    </row>
    <row r="1560" spans="2:16" ht="15.75" customHeight="1">
      <c r="B1560" s="14"/>
      <c r="H1560" s="14"/>
      <c r="I1560" s="567"/>
      <c r="J1560" s="18"/>
      <c r="N1560" s="14"/>
      <c r="O1560" s="14"/>
      <c r="P1560" s="14"/>
    </row>
    <row r="1561" spans="2:16" ht="15.75" customHeight="1">
      <c r="B1561" s="14"/>
      <c r="H1561" s="14"/>
      <c r="I1561" s="567"/>
      <c r="J1561" s="18"/>
      <c r="N1561" s="14"/>
      <c r="O1561" s="14"/>
      <c r="P1561" s="14"/>
    </row>
    <row r="1562" spans="2:16" ht="15.75" customHeight="1">
      <c r="B1562" s="14"/>
      <c r="H1562" s="14"/>
      <c r="I1562" s="567"/>
      <c r="J1562" s="18"/>
      <c r="N1562" s="14"/>
      <c r="O1562" s="14"/>
      <c r="P1562" s="14"/>
    </row>
    <row r="1563" spans="2:16" ht="15.75" customHeight="1">
      <c r="B1563" s="14"/>
      <c r="H1563" s="14"/>
      <c r="I1563" s="567"/>
      <c r="J1563" s="18"/>
      <c r="N1563" s="14"/>
      <c r="O1563" s="14"/>
      <c r="P1563" s="14"/>
    </row>
    <row r="1564" spans="2:16" ht="15.75" customHeight="1">
      <c r="B1564" s="14"/>
      <c r="H1564" s="14"/>
      <c r="I1564" s="567"/>
      <c r="J1564" s="18"/>
      <c r="N1564" s="14"/>
      <c r="O1564" s="14"/>
      <c r="P1564" s="14"/>
    </row>
    <row r="1565" spans="2:16" ht="15.75" customHeight="1">
      <c r="B1565" s="14"/>
      <c r="H1565" s="14"/>
      <c r="I1565" s="567"/>
      <c r="J1565" s="18"/>
      <c r="N1565" s="14"/>
      <c r="O1565" s="14"/>
      <c r="P1565" s="14"/>
    </row>
    <row r="1566" spans="2:16" ht="15.75" customHeight="1">
      <c r="B1566" s="14"/>
      <c r="H1566" s="14"/>
      <c r="I1566" s="567"/>
      <c r="J1566" s="18"/>
      <c r="N1566" s="14"/>
      <c r="O1566" s="14"/>
      <c r="P1566" s="14"/>
    </row>
    <row r="1567" spans="2:16" ht="15.75" customHeight="1">
      <c r="B1567" s="14"/>
      <c r="H1567" s="14"/>
      <c r="I1567" s="567"/>
      <c r="J1567" s="18"/>
      <c r="N1567" s="14"/>
      <c r="O1567" s="14"/>
      <c r="P1567" s="14"/>
    </row>
    <row r="1568" spans="2:16" ht="15.75" customHeight="1">
      <c r="B1568" s="14"/>
      <c r="H1568" s="14"/>
      <c r="I1568" s="567"/>
      <c r="J1568" s="18"/>
      <c r="N1568" s="14"/>
      <c r="O1568" s="14"/>
      <c r="P1568" s="14"/>
    </row>
    <row r="1569" spans="2:16" ht="15.75" customHeight="1">
      <c r="B1569" s="14"/>
      <c r="H1569" s="14"/>
      <c r="I1569" s="567"/>
      <c r="J1569" s="18"/>
      <c r="N1569" s="14"/>
      <c r="O1569" s="14"/>
      <c r="P1569" s="14"/>
    </row>
    <row r="1570" spans="2:16" ht="15.75" customHeight="1">
      <c r="B1570" s="14"/>
      <c r="H1570" s="14"/>
      <c r="I1570" s="567"/>
      <c r="J1570" s="18"/>
      <c r="N1570" s="14"/>
      <c r="O1570" s="14"/>
      <c r="P1570" s="14"/>
    </row>
    <row r="1571" spans="2:16" ht="15.75" customHeight="1">
      <c r="B1571" s="14"/>
      <c r="H1571" s="14"/>
      <c r="I1571" s="567"/>
      <c r="J1571" s="18"/>
      <c r="N1571" s="14"/>
      <c r="O1571" s="14"/>
      <c r="P1571" s="14"/>
    </row>
    <row r="1572" spans="2:16" ht="15.75" customHeight="1">
      <c r="B1572" s="14"/>
      <c r="H1572" s="14"/>
      <c r="I1572" s="567"/>
      <c r="J1572" s="18"/>
      <c r="N1572" s="14"/>
      <c r="O1572" s="14"/>
      <c r="P1572" s="14"/>
    </row>
    <row r="1573" spans="2:16" ht="15.75" customHeight="1">
      <c r="B1573" s="14"/>
      <c r="H1573" s="14"/>
      <c r="I1573" s="567"/>
      <c r="J1573" s="18"/>
      <c r="N1573" s="14"/>
      <c r="O1573" s="14"/>
      <c r="P1573" s="14"/>
    </row>
    <row r="1574" spans="2:16" ht="15.75" customHeight="1">
      <c r="B1574" s="14"/>
      <c r="H1574" s="14"/>
      <c r="I1574" s="567"/>
      <c r="J1574" s="18"/>
      <c r="N1574" s="14"/>
      <c r="O1574" s="14"/>
      <c r="P1574" s="14"/>
    </row>
    <row r="1575" spans="2:16" ht="15.75" customHeight="1">
      <c r="B1575" s="14"/>
      <c r="H1575" s="14"/>
      <c r="I1575" s="567"/>
      <c r="J1575" s="18"/>
      <c r="N1575" s="14"/>
      <c r="O1575" s="14"/>
      <c r="P1575" s="14"/>
    </row>
    <row r="1576" spans="2:16" ht="15.75" customHeight="1">
      <c r="B1576" s="14"/>
      <c r="H1576" s="14"/>
      <c r="I1576" s="567"/>
      <c r="J1576" s="18"/>
      <c r="N1576" s="14"/>
      <c r="O1576" s="14"/>
      <c r="P1576" s="14"/>
    </row>
    <row r="1577" spans="2:16" ht="15.75" customHeight="1">
      <c r="B1577" s="14"/>
      <c r="H1577" s="14"/>
      <c r="I1577" s="567"/>
      <c r="J1577" s="18"/>
      <c r="N1577" s="14"/>
      <c r="O1577" s="14"/>
      <c r="P1577" s="14"/>
    </row>
    <row r="1578" spans="2:16" ht="15.75" customHeight="1">
      <c r="B1578" s="14"/>
      <c r="H1578" s="14"/>
      <c r="I1578" s="567"/>
      <c r="J1578" s="18"/>
      <c r="N1578" s="14"/>
      <c r="O1578" s="14"/>
      <c r="P1578" s="14"/>
    </row>
    <row r="1579" spans="2:16" ht="15.75" customHeight="1">
      <c r="B1579" s="14"/>
      <c r="H1579" s="14"/>
      <c r="I1579" s="567"/>
      <c r="J1579" s="18"/>
      <c r="N1579" s="14"/>
      <c r="O1579" s="14"/>
      <c r="P1579" s="14"/>
    </row>
    <row r="1580" spans="2:16" ht="15.75" customHeight="1">
      <c r="B1580" s="14"/>
      <c r="H1580" s="14"/>
      <c r="I1580" s="567"/>
      <c r="J1580" s="18"/>
      <c r="N1580" s="14"/>
      <c r="O1580" s="14"/>
      <c r="P1580" s="14"/>
    </row>
    <row r="1581" spans="2:16" ht="15.75" customHeight="1">
      <c r="B1581" s="14"/>
      <c r="H1581" s="14"/>
      <c r="I1581" s="567"/>
      <c r="J1581" s="18"/>
      <c r="N1581" s="14"/>
      <c r="O1581" s="14"/>
      <c r="P1581" s="14"/>
    </row>
    <row r="1582" spans="2:16" ht="15.75" customHeight="1">
      <c r="B1582" s="14"/>
      <c r="H1582" s="14"/>
      <c r="I1582" s="567"/>
      <c r="J1582" s="18"/>
      <c r="N1582" s="14"/>
      <c r="O1582" s="14"/>
      <c r="P1582" s="14"/>
    </row>
    <row r="1583" spans="2:16" ht="15.75" customHeight="1">
      <c r="B1583" s="14"/>
      <c r="H1583" s="14"/>
      <c r="I1583" s="567"/>
      <c r="J1583" s="18"/>
      <c r="N1583" s="14"/>
      <c r="O1583" s="14"/>
      <c r="P1583" s="14"/>
    </row>
    <row r="1584" spans="2:16" ht="15.75" customHeight="1">
      <c r="B1584" s="14"/>
      <c r="H1584" s="14"/>
      <c r="I1584" s="567"/>
      <c r="J1584" s="18"/>
      <c r="N1584" s="14"/>
      <c r="O1584" s="14"/>
      <c r="P1584" s="14"/>
    </row>
    <row r="1585" spans="2:16" ht="15.75" customHeight="1">
      <c r="B1585" s="14"/>
      <c r="H1585" s="14"/>
      <c r="I1585" s="567"/>
      <c r="J1585" s="18"/>
      <c r="N1585" s="14"/>
      <c r="O1585" s="14"/>
      <c r="P1585" s="14"/>
    </row>
    <row r="1586" spans="2:16" ht="15.75" customHeight="1">
      <c r="B1586" s="14"/>
      <c r="H1586" s="14"/>
      <c r="I1586" s="567"/>
      <c r="J1586" s="18"/>
      <c r="N1586" s="14"/>
      <c r="O1586" s="14"/>
      <c r="P1586" s="14"/>
    </row>
    <row r="1587" spans="2:16" ht="15.75" customHeight="1">
      <c r="B1587" s="14"/>
      <c r="H1587" s="14"/>
      <c r="I1587" s="567"/>
      <c r="J1587" s="18"/>
      <c r="N1587" s="14"/>
      <c r="O1587" s="14"/>
      <c r="P1587" s="14"/>
    </row>
    <row r="1588" spans="2:16" ht="15.75" customHeight="1">
      <c r="B1588" s="14"/>
      <c r="H1588" s="14"/>
      <c r="I1588" s="567"/>
      <c r="J1588" s="18"/>
      <c r="N1588" s="14"/>
      <c r="O1588" s="14"/>
      <c r="P1588" s="14"/>
    </row>
    <row r="1589" spans="2:16" ht="15.75" customHeight="1">
      <c r="B1589" s="14"/>
      <c r="H1589" s="14"/>
      <c r="I1589" s="567"/>
      <c r="J1589" s="18"/>
      <c r="N1589" s="14"/>
      <c r="O1589" s="14"/>
      <c r="P1589" s="14"/>
    </row>
    <row r="1590" spans="2:16" ht="15.75" customHeight="1">
      <c r="B1590" s="14"/>
      <c r="H1590" s="14"/>
      <c r="I1590" s="567"/>
      <c r="J1590" s="18"/>
      <c r="N1590" s="14"/>
      <c r="O1590" s="14"/>
      <c r="P1590" s="14"/>
    </row>
    <row r="1591" spans="2:16" ht="15.75" customHeight="1">
      <c r="B1591" s="14"/>
      <c r="H1591" s="14"/>
      <c r="I1591" s="567"/>
      <c r="J1591" s="18"/>
      <c r="N1591" s="14"/>
      <c r="O1591" s="14"/>
      <c r="P1591" s="14"/>
    </row>
    <row r="1592" spans="2:16" ht="15.75" customHeight="1">
      <c r="B1592" s="14"/>
      <c r="H1592" s="14"/>
      <c r="I1592" s="567"/>
      <c r="J1592" s="18"/>
      <c r="N1592" s="14"/>
      <c r="O1592" s="14"/>
      <c r="P1592" s="14"/>
    </row>
    <row r="1593" spans="2:16" ht="15.75" customHeight="1">
      <c r="B1593" s="14"/>
      <c r="H1593" s="14"/>
      <c r="I1593" s="567"/>
      <c r="J1593" s="18"/>
      <c r="N1593" s="14"/>
      <c r="O1593" s="14"/>
      <c r="P1593" s="14"/>
    </row>
    <row r="1594" spans="2:16" ht="15.75" customHeight="1">
      <c r="B1594" s="14"/>
      <c r="H1594" s="14"/>
      <c r="I1594" s="567"/>
      <c r="J1594" s="18"/>
      <c r="N1594" s="14"/>
      <c r="O1594" s="14"/>
      <c r="P1594" s="14"/>
    </row>
    <row r="1595" spans="2:16" ht="15.75" customHeight="1">
      <c r="B1595" s="14"/>
      <c r="H1595" s="14"/>
      <c r="I1595" s="567"/>
      <c r="J1595" s="18"/>
      <c r="N1595" s="14"/>
      <c r="O1595" s="14"/>
      <c r="P1595" s="14"/>
    </row>
    <row r="1596" spans="2:16" ht="15.75" customHeight="1">
      <c r="B1596" s="14"/>
      <c r="H1596" s="14"/>
      <c r="I1596" s="567"/>
      <c r="J1596" s="18"/>
      <c r="N1596" s="14"/>
      <c r="O1596" s="14"/>
      <c r="P1596" s="14"/>
    </row>
    <row r="1597" spans="2:16" ht="15.75" customHeight="1">
      <c r="B1597" s="14"/>
      <c r="H1597" s="14"/>
      <c r="I1597" s="567"/>
      <c r="J1597" s="18"/>
      <c r="N1597" s="14"/>
      <c r="O1597" s="14"/>
      <c r="P1597" s="14"/>
    </row>
    <row r="1598" spans="2:16" ht="15.75" customHeight="1">
      <c r="B1598" s="14"/>
      <c r="H1598" s="14"/>
      <c r="I1598" s="567"/>
      <c r="J1598" s="18"/>
      <c r="N1598" s="14"/>
      <c r="O1598" s="14"/>
      <c r="P1598" s="14"/>
    </row>
    <row r="1599" spans="2:16" ht="15.75" customHeight="1">
      <c r="B1599" s="14"/>
      <c r="H1599" s="14"/>
      <c r="I1599" s="567"/>
      <c r="J1599" s="18"/>
      <c r="N1599" s="14"/>
      <c r="O1599" s="14"/>
      <c r="P1599" s="14"/>
    </row>
    <row r="1600" spans="2:16" ht="15.75" customHeight="1">
      <c r="B1600" s="14"/>
      <c r="H1600" s="14"/>
      <c r="I1600" s="567"/>
      <c r="J1600" s="18"/>
      <c r="N1600" s="14"/>
      <c r="O1600" s="14"/>
      <c r="P1600" s="14"/>
    </row>
    <row r="1601" spans="2:16" ht="15.75" customHeight="1">
      <c r="B1601" s="14"/>
      <c r="H1601" s="14"/>
      <c r="I1601" s="567"/>
      <c r="J1601" s="18"/>
      <c r="N1601" s="14"/>
      <c r="O1601" s="14"/>
      <c r="P1601" s="14"/>
    </row>
    <row r="1602" spans="2:16" ht="15.75" customHeight="1">
      <c r="B1602" s="14"/>
      <c r="H1602" s="14"/>
      <c r="I1602" s="567"/>
      <c r="J1602" s="18"/>
      <c r="N1602" s="14"/>
      <c r="O1602" s="14"/>
      <c r="P1602" s="14"/>
    </row>
    <row r="1603" spans="2:16" ht="15.75" customHeight="1">
      <c r="B1603" s="14"/>
      <c r="H1603" s="14"/>
      <c r="I1603" s="567"/>
      <c r="J1603" s="18"/>
      <c r="N1603" s="14"/>
      <c r="O1603" s="14"/>
      <c r="P1603" s="14"/>
    </row>
    <row r="1604" spans="2:16" ht="15.75" customHeight="1">
      <c r="B1604" s="14"/>
      <c r="H1604" s="14"/>
      <c r="I1604" s="567"/>
      <c r="J1604" s="18"/>
      <c r="N1604" s="14"/>
      <c r="O1604" s="14"/>
      <c r="P1604" s="14"/>
    </row>
    <row r="1605" spans="2:16" ht="15.75" customHeight="1">
      <c r="B1605" s="14"/>
      <c r="H1605" s="14"/>
      <c r="I1605" s="567"/>
      <c r="J1605" s="18"/>
      <c r="N1605" s="14"/>
      <c r="O1605" s="14"/>
      <c r="P1605" s="14"/>
    </row>
    <row r="1606" spans="2:16" ht="15.75" customHeight="1">
      <c r="B1606" s="14"/>
      <c r="H1606" s="14"/>
      <c r="I1606" s="567"/>
      <c r="J1606" s="18"/>
      <c r="N1606" s="14"/>
      <c r="O1606" s="14"/>
      <c r="P1606" s="14"/>
    </row>
    <row r="1607" spans="2:16" ht="15.75" customHeight="1">
      <c r="B1607" s="14"/>
      <c r="H1607" s="14"/>
      <c r="I1607" s="567"/>
      <c r="J1607" s="18"/>
      <c r="N1607" s="14"/>
      <c r="O1607" s="14"/>
      <c r="P1607" s="14"/>
    </row>
    <row r="1608" spans="2:16" ht="15.75" customHeight="1">
      <c r="B1608" s="14"/>
      <c r="H1608" s="14"/>
      <c r="I1608" s="567"/>
      <c r="J1608" s="18"/>
      <c r="N1608" s="14"/>
      <c r="O1608" s="14"/>
      <c r="P1608" s="14"/>
    </row>
    <row r="1609" spans="2:16" ht="15.75" customHeight="1">
      <c r="B1609" s="14"/>
      <c r="H1609" s="14"/>
      <c r="I1609" s="567"/>
      <c r="J1609" s="18"/>
      <c r="N1609" s="14"/>
      <c r="O1609" s="14"/>
      <c r="P1609" s="14"/>
    </row>
    <row r="1610" spans="2:16" ht="15.75" customHeight="1">
      <c r="B1610" s="14"/>
      <c r="H1610" s="14"/>
      <c r="I1610" s="567"/>
      <c r="J1610" s="18"/>
      <c r="N1610" s="14"/>
      <c r="O1610" s="14"/>
      <c r="P1610" s="14"/>
    </row>
    <row r="1611" spans="2:16" ht="15.75" customHeight="1">
      <c r="B1611" s="14"/>
      <c r="H1611" s="14"/>
      <c r="I1611" s="567"/>
      <c r="J1611" s="18"/>
      <c r="N1611" s="14"/>
      <c r="O1611" s="14"/>
      <c r="P1611" s="14"/>
    </row>
    <row r="1612" spans="2:16" ht="15.75" customHeight="1">
      <c r="B1612" s="14"/>
      <c r="H1612" s="14"/>
      <c r="I1612" s="567"/>
      <c r="J1612" s="18"/>
      <c r="N1612" s="14"/>
      <c r="O1612" s="14"/>
      <c r="P1612" s="14"/>
    </row>
    <row r="1613" spans="2:16" ht="15.75" customHeight="1">
      <c r="B1613" s="14"/>
      <c r="H1613" s="14"/>
      <c r="I1613" s="567"/>
      <c r="J1613" s="18"/>
      <c r="N1613" s="14"/>
      <c r="O1613" s="14"/>
      <c r="P1613" s="14"/>
    </row>
    <row r="1614" spans="2:16" ht="15.75" customHeight="1">
      <c r="B1614" s="14"/>
      <c r="H1614" s="14"/>
      <c r="I1614" s="567"/>
      <c r="J1614" s="18"/>
      <c r="N1614" s="14"/>
      <c r="O1614" s="14"/>
      <c r="P1614" s="14"/>
    </row>
    <row r="1615" spans="2:16" ht="15.75" customHeight="1">
      <c r="B1615" s="14"/>
      <c r="H1615" s="14"/>
      <c r="I1615" s="567"/>
      <c r="J1615" s="18"/>
      <c r="N1615" s="14"/>
      <c r="O1615" s="14"/>
      <c r="P1615" s="14"/>
    </row>
    <row r="1616" spans="2:16" ht="15.75" customHeight="1">
      <c r="B1616" s="14"/>
      <c r="H1616" s="14"/>
      <c r="I1616" s="567"/>
      <c r="J1616" s="18"/>
      <c r="N1616" s="14"/>
      <c r="O1616" s="14"/>
      <c r="P1616" s="14"/>
    </row>
    <row r="1617" spans="2:16" ht="15.75" customHeight="1">
      <c r="B1617" s="14"/>
      <c r="H1617" s="14"/>
      <c r="I1617" s="567"/>
      <c r="J1617" s="18"/>
      <c r="N1617" s="14"/>
      <c r="O1617" s="14"/>
      <c r="P1617" s="14"/>
    </row>
    <row r="1618" spans="2:16" ht="15.75" customHeight="1">
      <c r="B1618" s="14"/>
      <c r="H1618" s="14"/>
      <c r="I1618" s="567"/>
      <c r="J1618" s="18"/>
      <c r="N1618" s="14"/>
      <c r="O1618" s="14"/>
      <c r="P1618" s="14"/>
    </row>
    <row r="1619" spans="2:16" ht="15.75" customHeight="1">
      <c r="B1619" s="14"/>
      <c r="H1619" s="14"/>
      <c r="I1619" s="567"/>
      <c r="J1619" s="18"/>
      <c r="N1619" s="14"/>
      <c r="O1619" s="14"/>
      <c r="P1619" s="14"/>
    </row>
    <row r="1620" spans="2:16" ht="15.75" customHeight="1">
      <c r="B1620" s="14"/>
      <c r="H1620" s="14"/>
      <c r="I1620" s="567"/>
      <c r="J1620" s="18"/>
      <c r="N1620" s="14"/>
      <c r="O1620" s="14"/>
      <c r="P1620" s="14"/>
    </row>
    <row r="1621" spans="2:16" ht="15.75" customHeight="1">
      <c r="B1621" s="14"/>
      <c r="H1621" s="14"/>
      <c r="I1621" s="567"/>
      <c r="J1621" s="18"/>
      <c r="N1621" s="14"/>
      <c r="O1621" s="14"/>
      <c r="P1621" s="14"/>
    </row>
    <row r="1622" spans="2:16" ht="15.75" customHeight="1">
      <c r="B1622" s="14"/>
      <c r="H1622" s="14"/>
      <c r="I1622" s="567"/>
      <c r="J1622" s="18"/>
      <c r="N1622" s="14"/>
      <c r="O1622" s="14"/>
      <c r="P1622" s="14"/>
    </row>
    <row r="1623" spans="2:16" ht="15.75" customHeight="1">
      <c r="B1623" s="14"/>
      <c r="H1623" s="14"/>
      <c r="I1623" s="567"/>
      <c r="J1623" s="18"/>
      <c r="N1623" s="14"/>
      <c r="O1623" s="14"/>
      <c r="P1623" s="14"/>
    </row>
    <row r="1624" spans="2:16" ht="15.75" customHeight="1">
      <c r="B1624" s="14"/>
      <c r="H1624" s="14"/>
      <c r="I1624" s="567"/>
      <c r="J1624" s="18"/>
      <c r="N1624" s="14"/>
      <c r="O1624" s="14"/>
      <c r="P1624" s="14"/>
    </row>
    <row r="1625" spans="2:16" ht="15.75" customHeight="1">
      <c r="B1625" s="14"/>
      <c r="H1625" s="14"/>
      <c r="I1625" s="567"/>
      <c r="J1625" s="18"/>
      <c r="N1625" s="14"/>
      <c r="O1625" s="14"/>
      <c r="P1625" s="14"/>
    </row>
    <row r="1626" spans="2:16" ht="15.75" customHeight="1">
      <c r="B1626" s="14"/>
      <c r="H1626" s="14"/>
      <c r="I1626" s="567"/>
      <c r="J1626" s="18"/>
      <c r="N1626" s="14"/>
      <c r="O1626" s="14"/>
      <c r="P1626" s="14"/>
    </row>
    <row r="1627" spans="2:16" ht="15.75" customHeight="1">
      <c r="B1627" s="14"/>
      <c r="H1627" s="14"/>
      <c r="I1627" s="567"/>
      <c r="J1627" s="18"/>
      <c r="N1627" s="14"/>
      <c r="O1627" s="14"/>
      <c r="P1627" s="14"/>
    </row>
    <row r="1628" spans="2:16" ht="15.75" customHeight="1">
      <c r="B1628" s="14"/>
      <c r="H1628" s="14"/>
      <c r="I1628" s="567"/>
      <c r="J1628" s="18"/>
      <c r="N1628" s="14"/>
      <c r="O1628" s="14"/>
      <c r="P1628" s="14"/>
    </row>
    <row r="1629" spans="2:16" ht="15.75" customHeight="1">
      <c r="B1629" s="14"/>
      <c r="H1629" s="14"/>
      <c r="I1629" s="567"/>
      <c r="J1629" s="18"/>
      <c r="N1629" s="14"/>
      <c r="O1629" s="14"/>
      <c r="P1629" s="14"/>
    </row>
    <row r="1630" spans="2:16" ht="15.75" customHeight="1">
      <c r="B1630" s="14"/>
      <c r="H1630" s="14"/>
      <c r="I1630" s="567"/>
      <c r="J1630" s="18"/>
      <c r="N1630" s="14"/>
      <c r="O1630" s="14"/>
      <c r="P1630" s="14"/>
    </row>
    <row r="1631" spans="2:16" ht="15.75" customHeight="1">
      <c r="B1631" s="14"/>
      <c r="H1631" s="14"/>
      <c r="I1631" s="567"/>
      <c r="J1631" s="18"/>
      <c r="N1631" s="14"/>
      <c r="O1631" s="14"/>
      <c r="P1631" s="14"/>
    </row>
    <row r="1632" spans="2:16" ht="15.75" customHeight="1">
      <c r="B1632" s="14"/>
      <c r="H1632" s="14"/>
      <c r="I1632" s="567"/>
      <c r="J1632" s="18"/>
      <c r="N1632" s="14"/>
      <c r="O1632" s="14"/>
      <c r="P1632" s="14"/>
    </row>
    <row r="1633" spans="2:16" ht="15.75" customHeight="1">
      <c r="B1633" s="14"/>
      <c r="H1633" s="14"/>
      <c r="I1633" s="567"/>
      <c r="J1633" s="18"/>
      <c r="N1633" s="14"/>
      <c r="O1633" s="14"/>
      <c r="P1633" s="14"/>
    </row>
    <row r="1634" spans="2:16" ht="15.75" customHeight="1">
      <c r="B1634" s="14"/>
      <c r="H1634" s="14"/>
      <c r="I1634" s="567"/>
      <c r="J1634" s="18"/>
      <c r="N1634" s="14"/>
      <c r="O1634" s="14"/>
      <c r="P1634" s="14"/>
    </row>
    <row r="1635" spans="2:16" ht="15.75" customHeight="1">
      <c r="B1635" s="14"/>
      <c r="H1635" s="14"/>
      <c r="I1635" s="567"/>
      <c r="J1635" s="18"/>
      <c r="N1635" s="14"/>
      <c r="O1635" s="14"/>
      <c r="P1635" s="14"/>
    </row>
    <row r="1636" spans="2:16" ht="15.75" customHeight="1">
      <c r="B1636" s="14"/>
      <c r="H1636" s="14"/>
      <c r="I1636" s="567"/>
      <c r="J1636" s="18"/>
      <c r="N1636" s="14"/>
      <c r="O1636" s="14"/>
      <c r="P1636" s="14"/>
    </row>
    <row r="1637" spans="2:16" ht="15.75" customHeight="1">
      <c r="B1637" s="14"/>
      <c r="H1637" s="14"/>
      <c r="I1637" s="567"/>
      <c r="J1637" s="18"/>
      <c r="N1637" s="14"/>
      <c r="O1637" s="14"/>
      <c r="P1637" s="14"/>
    </row>
    <row r="1638" spans="2:16" ht="15.75" customHeight="1">
      <c r="B1638" s="14"/>
      <c r="H1638" s="14"/>
      <c r="I1638" s="567"/>
      <c r="J1638" s="18"/>
      <c r="N1638" s="14"/>
      <c r="O1638" s="14"/>
      <c r="P1638" s="14"/>
    </row>
    <row r="1639" spans="2:16" ht="15.75" customHeight="1">
      <c r="B1639" s="14"/>
      <c r="H1639" s="14"/>
      <c r="I1639" s="567"/>
      <c r="J1639" s="18"/>
      <c r="N1639" s="14"/>
      <c r="O1639" s="14"/>
      <c r="P1639" s="14"/>
    </row>
    <row r="1640" spans="2:16" ht="15.75" customHeight="1">
      <c r="B1640" s="14"/>
      <c r="H1640" s="14"/>
      <c r="I1640" s="567"/>
      <c r="J1640" s="18"/>
      <c r="N1640" s="14"/>
      <c r="O1640" s="14"/>
      <c r="P1640" s="14"/>
    </row>
    <row r="1641" spans="2:16" ht="15.75" customHeight="1">
      <c r="B1641" s="14"/>
      <c r="H1641" s="14"/>
      <c r="I1641" s="567"/>
      <c r="J1641" s="18"/>
      <c r="N1641" s="14"/>
      <c r="O1641" s="14"/>
      <c r="P1641" s="14"/>
    </row>
    <row r="1642" spans="2:16" ht="15.75" customHeight="1">
      <c r="B1642" s="14"/>
      <c r="H1642" s="14"/>
      <c r="I1642" s="567"/>
      <c r="J1642" s="18"/>
      <c r="N1642" s="14"/>
      <c r="O1642" s="14"/>
      <c r="P1642" s="14"/>
    </row>
    <row r="1643" spans="2:16" ht="15.75" customHeight="1">
      <c r="B1643" s="14"/>
      <c r="H1643" s="14"/>
      <c r="I1643" s="567"/>
      <c r="J1643" s="18"/>
      <c r="N1643" s="14"/>
      <c r="O1643" s="14"/>
      <c r="P1643" s="14"/>
    </row>
    <row r="1644" spans="2:16" ht="15.75" customHeight="1">
      <c r="B1644" s="14"/>
      <c r="H1644" s="14"/>
      <c r="I1644" s="567"/>
      <c r="J1644" s="18"/>
      <c r="N1644" s="14"/>
      <c r="O1644" s="14"/>
      <c r="P1644" s="14"/>
    </row>
    <row r="1645" spans="2:16" ht="15.75" customHeight="1">
      <c r="B1645" s="14"/>
      <c r="H1645" s="14"/>
      <c r="I1645" s="567"/>
      <c r="J1645" s="18"/>
      <c r="N1645" s="14"/>
      <c r="O1645" s="14"/>
      <c r="P1645" s="14"/>
    </row>
    <row r="1646" spans="2:16" ht="15.75" customHeight="1">
      <c r="B1646" s="14"/>
      <c r="H1646" s="14"/>
      <c r="I1646" s="567"/>
      <c r="J1646" s="18"/>
      <c r="N1646" s="14"/>
      <c r="O1646" s="14"/>
      <c r="P1646" s="14"/>
    </row>
    <row r="1647" spans="2:16" ht="15.75" customHeight="1">
      <c r="B1647" s="14"/>
      <c r="H1647" s="14"/>
      <c r="I1647" s="567"/>
      <c r="J1647" s="18"/>
      <c r="N1647" s="14"/>
      <c r="O1647" s="14"/>
      <c r="P1647" s="14"/>
    </row>
    <row r="1648" spans="2:16" ht="15.75" customHeight="1">
      <c r="B1648" s="14"/>
      <c r="H1648" s="14"/>
      <c r="I1648" s="567"/>
      <c r="J1648" s="18"/>
      <c r="N1648" s="14"/>
      <c r="O1648" s="14"/>
      <c r="P1648" s="14"/>
    </row>
    <row r="1649" spans="2:16" ht="15.75" customHeight="1">
      <c r="B1649" s="14"/>
      <c r="H1649" s="14"/>
      <c r="I1649" s="567"/>
      <c r="J1649" s="18"/>
      <c r="N1649" s="14"/>
      <c r="O1649" s="14"/>
      <c r="P1649" s="14"/>
    </row>
    <row r="1650" spans="2:16" ht="15.75" customHeight="1">
      <c r="B1650" s="14"/>
      <c r="H1650" s="14"/>
      <c r="I1650" s="567"/>
      <c r="J1650" s="18"/>
      <c r="N1650" s="14"/>
      <c r="O1650" s="14"/>
      <c r="P1650" s="14"/>
    </row>
    <row r="1651" spans="2:16" ht="15.75" customHeight="1">
      <c r="B1651" s="14"/>
      <c r="H1651" s="14"/>
      <c r="I1651" s="567"/>
      <c r="J1651" s="18"/>
      <c r="N1651" s="14"/>
      <c r="O1651" s="14"/>
      <c r="P1651" s="14"/>
    </row>
    <row r="1652" spans="2:16" ht="15.75" customHeight="1">
      <c r="B1652" s="14"/>
      <c r="H1652" s="14"/>
      <c r="I1652" s="567"/>
      <c r="J1652" s="18"/>
      <c r="N1652" s="14"/>
      <c r="O1652" s="14"/>
      <c r="P1652" s="14"/>
    </row>
    <row r="1653" spans="2:16" ht="15.75" customHeight="1">
      <c r="B1653" s="14"/>
      <c r="H1653" s="14"/>
      <c r="I1653" s="567"/>
      <c r="J1653" s="18"/>
      <c r="N1653" s="14"/>
      <c r="O1653" s="14"/>
      <c r="P1653" s="14"/>
    </row>
    <row r="1654" spans="2:16" ht="15.75" customHeight="1">
      <c r="B1654" s="14"/>
      <c r="H1654" s="14"/>
      <c r="I1654" s="567"/>
      <c r="J1654" s="18"/>
      <c r="N1654" s="14"/>
      <c r="O1654" s="14"/>
      <c r="P1654" s="14"/>
    </row>
    <row r="1655" spans="2:16" ht="15.75" customHeight="1">
      <c r="B1655" s="14"/>
      <c r="H1655" s="14"/>
      <c r="I1655" s="567"/>
      <c r="J1655" s="18"/>
      <c r="N1655" s="14"/>
      <c r="O1655" s="14"/>
      <c r="P1655" s="14"/>
    </row>
    <row r="1656" spans="2:16" ht="15.75" customHeight="1">
      <c r="B1656" s="14"/>
      <c r="H1656" s="14"/>
      <c r="I1656" s="567"/>
      <c r="J1656" s="18"/>
      <c r="N1656" s="14"/>
      <c r="O1656" s="14"/>
      <c r="P1656" s="14"/>
    </row>
    <row r="1657" spans="2:16" ht="15.75" customHeight="1">
      <c r="B1657" s="14"/>
      <c r="H1657" s="14"/>
      <c r="I1657" s="567"/>
      <c r="J1657" s="18"/>
      <c r="N1657" s="14"/>
      <c r="O1657" s="14"/>
      <c r="P1657" s="14"/>
    </row>
    <row r="1658" spans="2:16" ht="15.75" customHeight="1">
      <c r="B1658" s="14"/>
      <c r="H1658" s="14"/>
      <c r="I1658" s="567"/>
      <c r="J1658" s="18"/>
      <c r="N1658" s="14"/>
      <c r="O1658" s="14"/>
      <c r="P1658" s="14"/>
    </row>
    <row r="1659" spans="2:16" ht="15.75" customHeight="1">
      <c r="B1659" s="14"/>
      <c r="H1659" s="14"/>
      <c r="I1659" s="567"/>
      <c r="J1659" s="18"/>
      <c r="N1659" s="14"/>
      <c r="O1659" s="14"/>
      <c r="P1659" s="14"/>
    </row>
    <row r="1660" spans="2:16" ht="15.75" customHeight="1">
      <c r="B1660" s="14"/>
      <c r="H1660" s="14"/>
      <c r="I1660" s="567"/>
      <c r="J1660" s="18"/>
      <c r="N1660" s="14"/>
      <c r="O1660" s="14"/>
      <c r="P1660" s="14"/>
    </row>
    <row r="1661" spans="2:16" ht="15.75" customHeight="1">
      <c r="B1661" s="14"/>
      <c r="H1661" s="14"/>
      <c r="I1661" s="567"/>
      <c r="J1661" s="18"/>
      <c r="N1661" s="14"/>
      <c r="O1661" s="14"/>
      <c r="P1661" s="14"/>
    </row>
    <row r="1662" spans="2:16" ht="15.75" customHeight="1">
      <c r="B1662" s="14"/>
      <c r="H1662" s="14"/>
      <c r="I1662" s="567"/>
      <c r="J1662" s="18"/>
      <c r="N1662" s="14"/>
      <c r="O1662" s="14"/>
      <c r="P1662" s="14"/>
    </row>
    <row r="1663" spans="2:16" ht="15.75" customHeight="1">
      <c r="B1663" s="14"/>
      <c r="H1663" s="14"/>
      <c r="I1663" s="567"/>
      <c r="J1663" s="18"/>
      <c r="N1663" s="14"/>
      <c r="O1663" s="14"/>
      <c r="P1663" s="14"/>
    </row>
    <row r="1664" spans="2:16" ht="15.75" customHeight="1">
      <c r="B1664" s="14"/>
      <c r="H1664" s="14"/>
      <c r="I1664" s="567"/>
      <c r="J1664" s="18"/>
      <c r="N1664" s="14"/>
      <c r="O1664" s="14"/>
      <c r="P1664" s="14"/>
    </row>
    <row r="1665" spans="2:16" ht="15.75" customHeight="1">
      <c r="B1665" s="14"/>
      <c r="H1665" s="14"/>
      <c r="I1665" s="567"/>
      <c r="J1665" s="18"/>
      <c r="N1665" s="14"/>
      <c r="O1665" s="14"/>
      <c r="P1665" s="14"/>
    </row>
    <row r="1666" spans="2:16" ht="15.75" customHeight="1">
      <c r="B1666" s="14"/>
      <c r="H1666" s="14"/>
      <c r="I1666" s="567"/>
      <c r="J1666" s="18"/>
      <c r="N1666" s="14"/>
      <c r="O1666" s="14"/>
      <c r="P1666" s="14"/>
    </row>
    <row r="1667" spans="2:16" ht="15.75" customHeight="1">
      <c r="B1667" s="14"/>
      <c r="H1667" s="14"/>
      <c r="I1667" s="567"/>
      <c r="J1667" s="18"/>
      <c r="N1667" s="14"/>
      <c r="O1667" s="14"/>
      <c r="P1667" s="14"/>
    </row>
    <row r="1668" spans="2:16" ht="15.75" customHeight="1">
      <c r="B1668" s="14"/>
      <c r="H1668" s="14"/>
      <c r="I1668" s="567"/>
      <c r="J1668" s="18"/>
      <c r="N1668" s="14"/>
      <c r="O1668" s="14"/>
      <c r="P1668" s="14"/>
    </row>
    <row r="1669" spans="2:16" ht="15.75" customHeight="1">
      <c r="B1669" s="14"/>
      <c r="H1669" s="14"/>
      <c r="I1669" s="567"/>
      <c r="J1669" s="18"/>
      <c r="N1669" s="14"/>
      <c r="O1669" s="14"/>
      <c r="P1669" s="14"/>
    </row>
    <row r="1670" spans="2:16" ht="15.75" customHeight="1">
      <c r="B1670" s="14"/>
      <c r="H1670" s="14"/>
      <c r="I1670" s="567"/>
      <c r="J1670" s="18"/>
      <c r="N1670" s="14"/>
      <c r="O1670" s="14"/>
      <c r="P1670" s="14"/>
    </row>
    <row r="1671" spans="2:16" ht="15.75" customHeight="1">
      <c r="B1671" s="14"/>
      <c r="H1671" s="14"/>
      <c r="I1671" s="567"/>
      <c r="J1671" s="18"/>
      <c r="N1671" s="14"/>
      <c r="O1671" s="14"/>
      <c r="P1671" s="14"/>
    </row>
    <row r="1672" spans="2:16" ht="15.75" customHeight="1">
      <c r="B1672" s="14"/>
      <c r="H1672" s="14"/>
      <c r="I1672" s="567"/>
      <c r="J1672" s="18"/>
      <c r="N1672" s="14"/>
      <c r="O1672" s="14"/>
      <c r="P1672" s="14"/>
    </row>
    <row r="1673" spans="2:16" ht="15.75" customHeight="1">
      <c r="B1673" s="14"/>
      <c r="H1673" s="14"/>
      <c r="I1673" s="567"/>
      <c r="J1673" s="18"/>
      <c r="N1673" s="14"/>
      <c r="O1673" s="14"/>
      <c r="P1673" s="14"/>
    </row>
    <row r="1674" spans="2:16" ht="15.75" customHeight="1">
      <c r="B1674" s="14"/>
      <c r="H1674" s="14"/>
      <c r="I1674" s="567"/>
      <c r="J1674" s="18"/>
      <c r="N1674" s="14"/>
      <c r="O1674" s="14"/>
      <c r="P1674" s="14"/>
    </row>
    <row r="1675" spans="2:16" ht="15.75" customHeight="1">
      <c r="B1675" s="14"/>
      <c r="H1675" s="14"/>
      <c r="I1675" s="567"/>
      <c r="J1675" s="18"/>
      <c r="N1675" s="14"/>
      <c r="O1675" s="14"/>
      <c r="P1675" s="14"/>
    </row>
    <row r="1676" spans="2:16" ht="15.75" customHeight="1">
      <c r="B1676" s="14"/>
      <c r="H1676" s="14"/>
      <c r="I1676" s="567"/>
      <c r="J1676" s="18"/>
      <c r="N1676" s="14"/>
      <c r="O1676" s="14"/>
      <c r="P1676" s="14"/>
    </row>
    <row r="1677" spans="2:16" ht="15.75" customHeight="1">
      <c r="B1677" s="14"/>
      <c r="H1677" s="14"/>
      <c r="I1677" s="567"/>
      <c r="J1677" s="18"/>
      <c r="N1677" s="14"/>
      <c r="O1677" s="14"/>
      <c r="P1677" s="14"/>
    </row>
    <row r="1678" spans="2:16" ht="15.75" customHeight="1">
      <c r="B1678" s="14"/>
      <c r="H1678" s="14"/>
      <c r="I1678" s="567"/>
      <c r="J1678" s="18"/>
      <c r="N1678" s="14"/>
      <c r="O1678" s="14"/>
      <c r="P1678" s="14"/>
    </row>
    <row r="1679" spans="2:16" ht="15.75" customHeight="1">
      <c r="B1679" s="14"/>
      <c r="H1679" s="14"/>
      <c r="I1679" s="567"/>
      <c r="J1679" s="18"/>
      <c r="N1679" s="14"/>
      <c r="O1679" s="14"/>
      <c r="P1679" s="14"/>
    </row>
    <row r="1680" spans="2:16" ht="15.75" customHeight="1">
      <c r="B1680" s="14"/>
      <c r="H1680" s="14"/>
      <c r="I1680" s="567"/>
      <c r="J1680" s="18"/>
      <c r="N1680" s="14"/>
      <c r="O1680" s="14"/>
      <c r="P1680" s="14"/>
    </row>
    <row r="1681" spans="2:16" ht="15.75" customHeight="1">
      <c r="B1681" s="14"/>
      <c r="H1681" s="14"/>
      <c r="I1681" s="567"/>
      <c r="J1681" s="18"/>
      <c r="N1681" s="14"/>
      <c r="O1681" s="14"/>
      <c r="P1681" s="14"/>
    </row>
    <row r="1682" spans="2:16" ht="15.75" customHeight="1">
      <c r="B1682" s="14"/>
      <c r="H1682" s="14"/>
      <c r="I1682" s="567"/>
      <c r="J1682" s="18"/>
      <c r="N1682" s="14"/>
      <c r="O1682" s="14"/>
      <c r="P1682" s="14"/>
    </row>
    <row r="1683" spans="2:16" ht="15.75" customHeight="1">
      <c r="B1683" s="14"/>
      <c r="H1683" s="14"/>
      <c r="I1683" s="567"/>
      <c r="J1683" s="18"/>
      <c r="N1683" s="14"/>
      <c r="O1683" s="14"/>
      <c r="P1683" s="14"/>
    </row>
    <row r="1684" spans="2:16" ht="15.75" customHeight="1">
      <c r="B1684" s="14"/>
      <c r="H1684" s="14"/>
      <c r="I1684" s="567"/>
      <c r="J1684" s="18"/>
      <c r="N1684" s="14"/>
      <c r="O1684" s="14"/>
      <c r="P1684" s="14"/>
    </row>
    <row r="1685" spans="2:16" ht="15.75" customHeight="1">
      <c r="B1685" s="14"/>
      <c r="H1685" s="14"/>
      <c r="I1685" s="567"/>
      <c r="J1685" s="18"/>
      <c r="N1685" s="14"/>
      <c r="O1685" s="14"/>
      <c r="P1685" s="14"/>
    </row>
    <row r="1686" spans="2:16" ht="15.75" customHeight="1">
      <c r="B1686" s="14"/>
      <c r="H1686" s="14"/>
      <c r="I1686" s="567"/>
      <c r="J1686" s="18"/>
      <c r="N1686" s="14"/>
      <c r="O1686" s="14"/>
      <c r="P1686" s="14"/>
    </row>
    <row r="1687" spans="2:16" ht="15.75" customHeight="1">
      <c r="B1687" s="14"/>
      <c r="H1687" s="14"/>
      <c r="I1687" s="567"/>
      <c r="J1687" s="18"/>
      <c r="N1687" s="14"/>
      <c r="O1687" s="14"/>
      <c r="P1687" s="14"/>
    </row>
    <row r="1688" spans="2:16" ht="15.75" customHeight="1">
      <c r="B1688" s="14"/>
      <c r="H1688" s="14"/>
      <c r="I1688" s="567"/>
      <c r="J1688" s="18"/>
      <c r="N1688" s="14"/>
      <c r="O1688" s="14"/>
      <c r="P1688" s="14"/>
    </row>
    <row r="1689" spans="2:16" ht="15.75" customHeight="1">
      <c r="B1689" s="14"/>
      <c r="H1689" s="14"/>
      <c r="I1689" s="567"/>
      <c r="J1689" s="18"/>
      <c r="N1689" s="14"/>
      <c r="O1689" s="14"/>
      <c r="P1689" s="14"/>
    </row>
    <row r="1690" spans="2:16" ht="15.75" customHeight="1">
      <c r="B1690" s="14"/>
      <c r="H1690" s="14"/>
      <c r="I1690" s="567"/>
      <c r="J1690" s="18"/>
      <c r="N1690" s="14"/>
      <c r="O1690" s="14"/>
      <c r="P1690" s="14"/>
    </row>
    <row r="1691" spans="2:16" ht="15.75" customHeight="1">
      <c r="B1691" s="14"/>
      <c r="H1691" s="14"/>
      <c r="I1691" s="567"/>
      <c r="J1691" s="18"/>
      <c r="N1691" s="14"/>
      <c r="O1691" s="14"/>
      <c r="P1691" s="14"/>
    </row>
    <row r="1692" spans="2:16" ht="15.75" customHeight="1">
      <c r="B1692" s="14"/>
      <c r="H1692" s="14"/>
      <c r="I1692" s="567"/>
      <c r="J1692" s="18"/>
      <c r="N1692" s="14"/>
      <c r="O1692" s="14"/>
      <c r="P1692" s="14"/>
    </row>
    <row r="1693" spans="2:16" ht="15.75" customHeight="1">
      <c r="B1693" s="14"/>
      <c r="H1693" s="14"/>
      <c r="I1693" s="567"/>
      <c r="J1693" s="18"/>
      <c r="N1693" s="14"/>
      <c r="O1693" s="14"/>
      <c r="P1693" s="14"/>
    </row>
    <row r="1694" spans="2:16" ht="15.75" customHeight="1">
      <c r="B1694" s="14"/>
      <c r="H1694" s="14"/>
      <c r="I1694" s="567"/>
      <c r="J1694" s="18"/>
      <c r="N1694" s="14"/>
      <c r="O1694" s="14"/>
      <c r="P1694" s="14"/>
    </row>
    <row r="1695" spans="2:16" ht="15.75" customHeight="1">
      <c r="B1695" s="14"/>
      <c r="H1695" s="14"/>
      <c r="I1695" s="567"/>
      <c r="J1695" s="18"/>
      <c r="N1695" s="14"/>
      <c r="O1695" s="14"/>
      <c r="P1695" s="14"/>
    </row>
    <row r="1696" spans="2:16" ht="15.75" customHeight="1">
      <c r="B1696" s="14"/>
      <c r="H1696" s="14"/>
      <c r="I1696" s="567"/>
      <c r="J1696" s="18"/>
      <c r="N1696" s="14"/>
      <c r="O1696" s="14"/>
      <c r="P1696" s="14"/>
    </row>
    <row r="1697" spans="2:16" ht="15.75" customHeight="1">
      <c r="B1697" s="14"/>
      <c r="H1697" s="14"/>
      <c r="I1697" s="567"/>
      <c r="J1697" s="18"/>
      <c r="N1697" s="14"/>
      <c r="O1697" s="14"/>
      <c r="P1697" s="14"/>
    </row>
    <row r="1698" spans="2:16" ht="15.75" customHeight="1">
      <c r="B1698" s="14"/>
      <c r="H1698" s="14"/>
      <c r="I1698" s="567"/>
      <c r="J1698" s="18"/>
      <c r="N1698" s="14"/>
      <c r="O1698" s="14"/>
      <c r="P1698" s="14"/>
    </row>
    <row r="1699" spans="2:16" ht="15.75" customHeight="1">
      <c r="B1699" s="14"/>
      <c r="H1699" s="14"/>
      <c r="I1699" s="567"/>
      <c r="J1699" s="18"/>
      <c r="N1699" s="14"/>
      <c r="O1699" s="14"/>
      <c r="P1699" s="14"/>
    </row>
    <row r="1700" spans="2:16" ht="15.75" customHeight="1">
      <c r="B1700" s="14"/>
      <c r="H1700" s="14"/>
      <c r="I1700" s="567"/>
      <c r="J1700" s="18"/>
      <c r="N1700" s="14"/>
      <c r="O1700" s="14"/>
      <c r="P1700" s="14"/>
    </row>
    <row r="1701" spans="2:16" ht="15.75" customHeight="1">
      <c r="B1701" s="14"/>
      <c r="H1701" s="14"/>
      <c r="I1701" s="567"/>
      <c r="J1701" s="18"/>
      <c r="N1701" s="14"/>
      <c r="O1701" s="14"/>
      <c r="P1701" s="14"/>
    </row>
    <row r="1702" spans="2:16" ht="15.75" customHeight="1">
      <c r="B1702" s="14"/>
      <c r="H1702" s="14"/>
      <c r="I1702" s="567"/>
      <c r="J1702" s="18"/>
      <c r="N1702" s="14"/>
      <c r="O1702" s="14"/>
      <c r="P1702" s="14"/>
    </row>
    <row r="1703" spans="2:16" ht="15.75" customHeight="1">
      <c r="B1703" s="14"/>
      <c r="H1703" s="14"/>
      <c r="I1703" s="567"/>
      <c r="J1703" s="18"/>
      <c r="N1703" s="14"/>
      <c r="O1703" s="14"/>
      <c r="P1703" s="14"/>
    </row>
    <row r="1704" spans="2:16" ht="15.75" customHeight="1">
      <c r="B1704" s="14"/>
      <c r="H1704" s="14"/>
      <c r="I1704" s="567"/>
      <c r="J1704" s="18"/>
      <c r="N1704" s="14"/>
      <c r="O1704" s="14"/>
      <c r="P1704" s="14"/>
    </row>
    <row r="1705" spans="2:16" ht="15.75" customHeight="1">
      <c r="B1705" s="14"/>
      <c r="H1705" s="14"/>
      <c r="I1705" s="567"/>
      <c r="J1705" s="18"/>
      <c r="N1705" s="14"/>
      <c r="O1705" s="14"/>
      <c r="P1705" s="14"/>
    </row>
    <row r="1706" spans="2:16" ht="15.75" customHeight="1">
      <c r="B1706" s="14"/>
      <c r="H1706" s="14"/>
      <c r="I1706" s="567"/>
      <c r="J1706" s="18"/>
      <c r="N1706" s="14"/>
      <c r="O1706" s="14"/>
      <c r="P1706" s="14"/>
    </row>
    <row r="1707" spans="2:16" ht="15.75" customHeight="1">
      <c r="B1707" s="14"/>
      <c r="H1707" s="14"/>
      <c r="I1707" s="567"/>
      <c r="J1707" s="18"/>
      <c r="N1707" s="14"/>
      <c r="O1707" s="14"/>
      <c r="P1707" s="14"/>
    </row>
    <row r="1708" spans="2:16" ht="15.75" customHeight="1">
      <c r="B1708" s="14"/>
      <c r="H1708" s="14"/>
      <c r="I1708" s="567"/>
      <c r="J1708" s="18"/>
      <c r="N1708" s="14"/>
      <c r="O1708" s="14"/>
      <c r="P1708" s="14"/>
    </row>
    <row r="1709" spans="2:16" ht="15.75" customHeight="1">
      <c r="B1709" s="14"/>
      <c r="H1709" s="14"/>
      <c r="I1709" s="567"/>
      <c r="J1709" s="18"/>
      <c r="N1709" s="14"/>
      <c r="O1709" s="14"/>
      <c r="P1709" s="14"/>
    </row>
    <row r="1710" spans="2:16" ht="15.75" customHeight="1">
      <c r="B1710" s="14"/>
      <c r="H1710" s="14"/>
      <c r="I1710" s="567"/>
      <c r="J1710" s="18"/>
      <c r="N1710" s="14"/>
      <c r="O1710" s="14"/>
      <c r="P1710" s="14"/>
    </row>
    <row r="1711" spans="2:16" ht="15.75" customHeight="1">
      <c r="B1711" s="14"/>
      <c r="H1711" s="14"/>
      <c r="I1711" s="567"/>
      <c r="J1711" s="18"/>
      <c r="N1711" s="14"/>
      <c r="O1711" s="14"/>
      <c r="P1711" s="14"/>
    </row>
    <row r="1712" spans="2:16" ht="15.75" customHeight="1">
      <c r="B1712" s="14"/>
      <c r="H1712" s="14"/>
      <c r="I1712" s="567"/>
      <c r="J1712" s="18"/>
      <c r="N1712" s="14"/>
      <c r="O1712" s="14"/>
      <c r="P1712" s="14"/>
    </row>
    <row r="1713" spans="2:16" ht="15.75" customHeight="1">
      <c r="B1713" s="14"/>
      <c r="H1713" s="14"/>
      <c r="I1713" s="567"/>
      <c r="J1713" s="18"/>
      <c r="N1713" s="14"/>
      <c r="O1713" s="14"/>
      <c r="P1713" s="14"/>
    </row>
    <row r="1714" spans="2:16" ht="15.75" customHeight="1">
      <c r="B1714" s="14"/>
      <c r="H1714" s="14"/>
      <c r="I1714" s="567"/>
      <c r="J1714" s="18"/>
      <c r="N1714" s="14"/>
      <c r="O1714" s="14"/>
      <c r="P1714" s="14"/>
    </row>
    <row r="1715" spans="2:16" ht="15.75" customHeight="1">
      <c r="B1715" s="14"/>
      <c r="H1715" s="14"/>
      <c r="I1715" s="567"/>
      <c r="J1715" s="18"/>
      <c r="N1715" s="14"/>
      <c r="O1715" s="14"/>
      <c r="P1715" s="14"/>
    </row>
    <row r="1716" spans="2:16" ht="15.75" customHeight="1">
      <c r="B1716" s="14"/>
      <c r="H1716" s="14"/>
      <c r="I1716" s="567"/>
      <c r="J1716" s="18"/>
      <c r="N1716" s="14"/>
      <c r="O1716" s="14"/>
      <c r="P1716" s="14"/>
    </row>
    <row r="1717" spans="2:16" ht="15.75" customHeight="1">
      <c r="B1717" s="14"/>
      <c r="H1717" s="14"/>
      <c r="I1717" s="567"/>
      <c r="J1717" s="18"/>
      <c r="N1717" s="14"/>
      <c r="O1717" s="14"/>
      <c r="P1717" s="14"/>
    </row>
    <row r="1718" spans="2:16" ht="15.75" customHeight="1">
      <c r="B1718" s="14"/>
      <c r="H1718" s="14"/>
      <c r="I1718" s="567"/>
      <c r="J1718" s="18"/>
      <c r="N1718" s="14"/>
      <c r="O1718" s="14"/>
      <c r="P1718" s="14"/>
    </row>
    <row r="1719" spans="2:16" ht="15.75" customHeight="1">
      <c r="B1719" s="14"/>
      <c r="H1719" s="14"/>
      <c r="I1719" s="567"/>
      <c r="J1719" s="18"/>
      <c r="N1719" s="14"/>
      <c r="O1719" s="14"/>
      <c r="P1719" s="14"/>
    </row>
    <row r="1720" spans="2:16" ht="15.75" customHeight="1">
      <c r="B1720" s="14"/>
      <c r="H1720" s="14"/>
      <c r="I1720" s="567"/>
      <c r="J1720" s="18"/>
      <c r="N1720" s="14"/>
      <c r="O1720" s="14"/>
      <c r="P1720" s="14"/>
    </row>
    <row r="1721" spans="2:16" ht="15.75" customHeight="1">
      <c r="B1721" s="14"/>
      <c r="H1721" s="14"/>
      <c r="I1721" s="567"/>
      <c r="J1721" s="18"/>
      <c r="N1721" s="14"/>
      <c r="O1721" s="14"/>
      <c r="P1721" s="14"/>
    </row>
    <row r="1722" spans="2:16" ht="15.75" customHeight="1">
      <c r="B1722" s="14"/>
      <c r="H1722" s="14"/>
      <c r="I1722" s="567"/>
      <c r="J1722" s="18"/>
      <c r="N1722" s="14"/>
      <c r="O1722" s="14"/>
      <c r="P1722" s="14"/>
    </row>
    <row r="1723" spans="2:16" ht="15.75" customHeight="1">
      <c r="B1723" s="14"/>
      <c r="H1723" s="14"/>
      <c r="I1723" s="567"/>
      <c r="J1723" s="18"/>
      <c r="N1723" s="14"/>
      <c r="O1723" s="14"/>
      <c r="P1723" s="14"/>
    </row>
    <row r="1724" spans="2:16" ht="15.75" customHeight="1">
      <c r="B1724" s="14"/>
      <c r="H1724" s="14"/>
      <c r="I1724" s="567"/>
      <c r="J1724" s="18"/>
      <c r="N1724" s="14"/>
      <c r="O1724" s="14"/>
      <c r="P1724" s="14"/>
    </row>
    <row r="1725" spans="2:16" ht="15.75" customHeight="1">
      <c r="B1725" s="14"/>
      <c r="H1725" s="14"/>
      <c r="I1725" s="567"/>
      <c r="J1725" s="18"/>
      <c r="N1725" s="14"/>
      <c r="O1725" s="14"/>
      <c r="P1725" s="14"/>
    </row>
    <row r="1726" spans="2:16" ht="15.75" customHeight="1">
      <c r="B1726" s="14"/>
      <c r="H1726" s="14"/>
      <c r="I1726" s="567"/>
      <c r="J1726" s="18"/>
      <c r="N1726" s="14"/>
      <c r="O1726" s="14"/>
      <c r="P1726" s="14"/>
    </row>
    <row r="1727" spans="2:16" ht="15.75" customHeight="1">
      <c r="B1727" s="14"/>
      <c r="H1727" s="14"/>
      <c r="I1727" s="567"/>
      <c r="J1727" s="18"/>
      <c r="N1727" s="14"/>
      <c r="O1727" s="14"/>
      <c r="P1727" s="14"/>
    </row>
    <row r="1728" spans="2:16" ht="15.75" customHeight="1">
      <c r="B1728" s="14"/>
      <c r="H1728" s="14"/>
      <c r="I1728" s="567"/>
      <c r="J1728" s="18"/>
      <c r="N1728" s="14"/>
      <c r="O1728" s="14"/>
      <c r="P1728" s="14"/>
    </row>
    <row r="1729" spans="2:16" ht="15.75" customHeight="1">
      <c r="B1729" s="14"/>
      <c r="H1729" s="14"/>
      <c r="I1729" s="567"/>
      <c r="J1729" s="18"/>
      <c r="N1729" s="14"/>
      <c r="O1729" s="14"/>
      <c r="P1729" s="14"/>
    </row>
    <row r="1730" spans="2:16" ht="15.75" customHeight="1">
      <c r="B1730" s="14"/>
      <c r="H1730" s="14"/>
      <c r="I1730" s="567"/>
      <c r="J1730" s="18"/>
      <c r="N1730" s="14"/>
      <c r="O1730" s="14"/>
      <c r="P1730" s="14"/>
    </row>
    <row r="1731" spans="2:16" ht="15.75" customHeight="1">
      <c r="B1731" s="14"/>
      <c r="H1731" s="14"/>
      <c r="I1731" s="567"/>
      <c r="J1731" s="18"/>
      <c r="N1731" s="14"/>
      <c r="O1731" s="14"/>
      <c r="P1731" s="14"/>
    </row>
    <row r="1732" spans="2:16" ht="15.75" customHeight="1">
      <c r="B1732" s="14"/>
      <c r="H1732" s="14"/>
      <c r="I1732" s="567"/>
      <c r="J1732" s="18"/>
      <c r="N1732" s="14"/>
      <c r="O1732" s="14"/>
      <c r="P1732" s="14"/>
    </row>
    <row r="1733" spans="2:16" ht="15.75" customHeight="1">
      <c r="B1733" s="14"/>
      <c r="H1733" s="14"/>
      <c r="I1733" s="567"/>
      <c r="J1733" s="18"/>
      <c r="N1733" s="14"/>
      <c r="O1733" s="14"/>
      <c r="P1733" s="14"/>
    </row>
    <row r="1734" spans="2:16" ht="15.75" customHeight="1">
      <c r="B1734" s="14"/>
      <c r="H1734" s="14"/>
      <c r="I1734" s="567"/>
      <c r="J1734" s="18"/>
      <c r="N1734" s="14"/>
      <c r="O1734" s="14"/>
      <c r="P1734" s="14"/>
    </row>
    <row r="1735" spans="2:16" ht="15.75" customHeight="1">
      <c r="B1735" s="14"/>
      <c r="H1735" s="14"/>
      <c r="I1735" s="567"/>
      <c r="J1735" s="18"/>
      <c r="N1735" s="14"/>
      <c r="O1735" s="14"/>
      <c r="P1735" s="14"/>
    </row>
    <row r="1736" spans="2:16" ht="15.75" customHeight="1">
      <c r="B1736" s="14"/>
      <c r="H1736" s="14"/>
      <c r="I1736" s="567"/>
      <c r="J1736" s="18"/>
      <c r="N1736" s="14"/>
      <c r="O1736" s="14"/>
      <c r="P1736" s="14"/>
    </row>
    <row r="1737" spans="2:16" ht="15.75" customHeight="1">
      <c r="B1737" s="14"/>
      <c r="H1737" s="14"/>
      <c r="I1737" s="567"/>
      <c r="J1737" s="18"/>
      <c r="N1737" s="14"/>
      <c r="O1737" s="14"/>
      <c r="P1737" s="14"/>
    </row>
    <row r="1738" spans="2:16" ht="15.75" customHeight="1">
      <c r="B1738" s="14"/>
      <c r="H1738" s="14"/>
      <c r="I1738" s="567"/>
      <c r="J1738" s="18"/>
      <c r="N1738" s="14"/>
      <c r="O1738" s="14"/>
      <c r="P1738" s="14"/>
    </row>
    <row r="1739" spans="2:16" ht="15.75" customHeight="1">
      <c r="B1739" s="14"/>
      <c r="H1739" s="14"/>
      <c r="I1739" s="567"/>
      <c r="J1739" s="18"/>
      <c r="N1739" s="14"/>
      <c r="O1739" s="14"/>
      <c r="P1739" s="14"/>
    </row>
    <row r="1740" spans="2:16" ht="15.75" customHeight="1">
      <c r="B1740" s="14"/>
      <c r="H1740" s="14"/>
      <c r="I1740" s="567"/>
      <c r="J1740" s="18"/>
      <c r="N1740" s="14"/>
      <c r="O1740" s="14"/>
      <c r="P1740" s="14"/>
    </row>
    <row r="1741" spans="2:16" ht="15.75" customHeight="1">
      <c r="B1741" s="14"/>
      <c r="H1741" s="14"/>
      <c r="I1741" s="567"/>
      <c r="J1741" s="18"/>
      <c r="N1741" s="14"/>
      <c r="O1741" s="14"/>
      <c r="P1741" s="14"/>
    </row>
    <row r="1742" spans="2:16" ht="15.75" customHeight="1">
      <c r="B1742" s="14"/>
      <c r="H1742" s="14"/>
      <c r="I1742" s="567"/>
      <c r="J1742" s="18"/>
      <c r="N1742" s="14"/>
      <c r="O1742" s="14"/>
      <c r="P1742" s="14"/>
    </row>
    <row r="1743" spans="2:16" ht="15.75" customHeight="1">
      <c r="B1743" s="14"/>
      <c r="H1743" s="14"/>
      <c r="I1743" s="567"/>
      <c r="J1743" s="18"/>
      <c r="N1743" s="14"/>
      <c r="O1743" s="14"/>
      <c r="P1743" s="14"/>
    </row>
    <row r="1744" spans="2:16" ht="15.75" customHeight="1">
      <c r="B1744" s="14"/>
      <c r="H1744" s="14"/>
      <c r="I1744" s="567"/>
      <c r="J1744" s="18"/>
      <c r="N1744" s="14"/>
      <c r="O1744" s="14"/>
      <c r="P1744" s="14"/>
    </row>
    <row r="1745" spans="2:16" ht="15.75" customHeight="1">
      <c r="B1745" s="14"/>
      <c r="H1745" s="14"/>
      <c r="I1745" s="567"/>
      <c r="J1745" s="18"/>
      <c r="N1745" s="14"/>
      <c r="O1745" s="14"/>
      <c r="P1745" s="14"/>
    </row>
    <row r="1746" spans="2:16" ht="15.75" customHeight="1">
      <c r="B1746" s="14"/>
      <c r="H1746" s="14"/>
      <c r="I1746" s="567"/>
      <c r="J1746" s="18"/>
      <c r="N1746" s="14"/>
      <c r="O1746" s="14"/>
      <c r="P1746" s="14"/>
    </row>
    <row r="1747" spans="2:16" ht="15.75" customHeight="1">
      <c r="B1747" s="14"/>
      <c r="H1747" s="14"/>
      <c r="I1747" s="567"/>
      <c r="J1747" s="18"/>
      <c r="N1747" s="14"/>
      <c r="O1747" s="14"/>
      <c r="P1747" s="14"/>
    </row>
    <row r="1748" spans="2:16" ht="15.75" customHeight="1">
      <c r="B1748" s="14"/>
      <c r="H1748" s="14"/>
      <c r="I1748" s="567"/>
      <c r="J1748" s="18"/>
      <c r="N1748" s="14"/>
      <c r="O1748" s="14"/>
      <c r="P1748" s="14"/>
    </row>
    <row r="1749" spans="2:16" ht="15.75" customHeight="1">
      <c r="B1749" s="14"/>
      <c r="H1749" s="14"/>
      <c r="I1749" s="567"/>
      <c r="J1749" s="18"/>
      <c r="N1749" s="14"/>
      <c r="O1749" s="14"/>
      <c r="P1749" s="14"/>
    </row>
    <row r="1750" spans="2:16" ht="15.75" customHeight="1">
      <c r="B1750" s="14"/>
      <c r="H1750" s="14"/>
      <c r="I1750" s="567"/>
      <c r="J1750" s="18"/>
      <c r="N1750" s="14"/>
      <c r="O1750" s="14"/>
      <c r="P1750" s="14"/>
    </row>
    <row r="1751" spans="2:16" ht="15.75" customHeight="1">
      <c r="B1751" s="14"/>
      <c r="H1751" s="14"/>
      <c r="I1751" s="567"/>
      <c r="J1751" s="18"/>
      <c r="N1751" s="14"/>
      <c r="O1751" s="14"/>
      <c r="P1751" s="14"/>
    </row>
    <row r="1752" spans="2:16" ht="15.75" customHeight="1">
      <c r="B1752" s="14"/>
      <c r="H1752" s="14"/>
      <c r="I1752" s="567"/>
      <c r="J1752" s="18"/>
      <c r="N1752" s="14"/>
      <c r="O1752" s="14"/>
      <c r="P1752" s="14"/>
    </row>
    <row r="1753" spans="2:16" ht="15.75" customHeight="1">
      <c r="B1753" s="14"/>
      <c r="H1753" s="14"/>
      <c r="I1753" s="567"/>
      <c r="J1753" s="18"/>
      <c r="N1753" s="14"/>
      <c r="O1753" s="14"/>
      <c r="P1753" s="14"/>
    </row>
    <row r="1754" spans="2:16" ht="15.75" customHeight="1">
      <c r="B1754" s="14"/>
      <c r="H1754" s="14"/>
      <c r="I1754" s="567"/>
      <c r="J1754" s="18"/>
      <c r="N1754" s="14"/>
      <c r="O1754" s="14"/>
      <c r="P1754" s="14"/>
    </row>
    <row r="1755" spans="2:16" ht="15.75" customHeight="1">
      <c r="B1755" s="14"/>
      <c r="H1755" s="14"/>
      <c r="I1755" s="567"/>
      <c r="J1755" s="18"/>
      <c r="N1755" s="14"/>
      <c r="O1755" s="14"/>
      <c r="P1755" s="14"/>
    </row>
    <row r="1756" spans="2:16" ht="15.75" customHeight="1">
      <c r="B1756" s="14"/>
      <c r="H1756" s="14"/>
      <c r="I1756" s="567"/>
      <c r="J1756" s="18"/>
      <c r="N1756" s="14"/>
      <c r="O1756" s="14"/>
      <c r="P1756" s="14"/>
    </row>
    <row r="1757" spans="2:16" ht="15.75" customHeight="1">
      <c r="B1757" s="14"/>
      <c r="H1757" s="14"/>
      <c r="I1757" s="567"/>
      <c r="J1757" s="18"/>
      <c r="N1757" s="14"/>
      <c r="O1757" s="14"/>
      <c r="P1757" s="14"/>
    </row>
    <row r="1758" spans="2:16" ht="15.75" customHeight="1">
      <c r="B1758" s="14"/>
      <c r="H1758" s="14"/>
      <c r="I1758" s="567"/>
      <c r="J1758" s="18"/>
      <c r="N1758" s="14"/>
      <c r="O1758" s="14"/>
      <c r="P1758" s="14"/>
    </row>
    <row r="1759" spans="2:16" ht="15.75" customHeight="1">
      <c r="B1759" s="14"/>
      <c r="H1759" s="14"/>
      <c r="I1759" s="567"/>
      <c r="J1759" s="18"/>
      <c r="N1759" s="14"/>
      <c r="O1759" s="14"/>
      <c r="P1759" s="14"/>
    </row>
    <row r="1760" spans="2:16" ht="15.75" customHeight="1">
      <c r="B1760" s="14"/>
      <c r="H1760" s="14"/>
      <c r="I1760" s="567"/>
      <c r="J1760" s="18"/>
      <c r="N1760" s="14"/>
      <c r="O1760" s="14"/>
      <c r="P1760" s="14"/>
    </row>
    <row r="1761" spans="2:16" ht="15.75" customHeight="1">
      <c r="B1761" s="14"/>
      <c r="H1761" s="14"/>
      <c r="I1761" s="567"/>
      <c r="J1761" s="18"/>
      <c r="N1761" s="14"/>
      <c r="O1761" s="14"/>
      <c r="P1761" s="14"/>
    </row>
    <row r="1762" spans="2:16" ht="15.75" customHeight="1">
      <c r="B1762" s="14"/>
      <c r="H1762" s="14"/>
      <c r="I1762" s="567"/>
      <c r="J1762" s="18"/>
      <c r="N1762" s="14"/>
      <c r="O1762" s="14"/>
      <c r="P1762" s="14"/>
    </row>
    <row r="1763" spans="2:16" ht="15.75" customHeight="1">
      <c r="B1763" s="14"/>
      <c r="H1763" s="14"/>
      <c r="I1763" s="567"/>
      <c r="J1763" s="18"/>
      <c r="N1763" s="14"/>
      <c r="O1763" s="14"/>
      <c r="P1763" s="14"/>
    </row>
    <row r="1764" spans="2:16" ht="15.75" customHeight="1">
      <c r="B1764" s="14"/>
      <c r="H1764" s="14"/>
      <c r="I1764" s="567"/>
      <c r="J1764" s="18"/>
      <c r="N1764" s="14"/>
      <c r="O1764" s="14"/>
      <c r="P1764" s="14"/>
    </row>
    <row r="1765" spans="2:16" ht="15.75" customHeight="1">
      <c r="B1765" s="14"/>
      <c r="H1765" s="14"/>
      <c r="I1765" s="567"/>
      <c r="J1765" s="18"/>
      <c r="N1765" s="14"/>
      <c r="O1765" s="14"/>
      <c r="P1765" s="14"/>
    </row>
    <row r="1766" spans="2:16" ht="15.75" customHeight="1">
      <c r="B1766" s="14"/>
      <c r="H1766" s="14"/>
      <c r="I1766" s="567"/>
      <c r="J1766" s="18"/>
      <c r="N1766" s="14"/>
      <c r="O1766" s="14"/>
      <c r="P1766" s="14"/>
    </row>
    <row r="1767" spans="2:16" ht="15.75" customHeight="1">
      <c r="B1767" s="14"/>
      <c r="H1767" s="14"/>
      <c r="I1767" s="567"/>
      <c r="J1767" s="18"/>
      <c r="N1767" s="14"/>
      <c r="O1767" s="14"/>
      <c r="P1767" s="14"/>
    </row>
    <row r="1768" spans="2:16" ht="15.75" customHeight="1">
      <c r="B1768" s="14"/>
      <c r="H1768" s="14"/>
      <c r="I1768" s="567"/>
      <c r="J1768" s="18"/>
      <c r="N1768" s="14"/>
      <c r="O1768" s="14"/>
      <c r="P1768" s="14"/>
    </row>
    <row r="1769" spans="2:16" ht="15.75" customHeight="1">
      <c r="B1769" s="14"/>
      <c r="H1769" s="14"/>
      <c r="I1769" s="567"/>
      <c r="J1769" s="18"/>
      <c r="N1769" s="14"/>
      <c r="O1769" s="14"/>
      <c r="P1769" s="14"/>
    </row>
    <row r="1770" spans="2:16" ht="15.75" customHeight="1">
      <c r="B1770" s="14"/>
      <c r="H1770" s="14"/>
      <c r="I1770" s="567"/>
      <c r="J1770" s="18"/>
      <c r="N1770" s="14"/>
      <c r="O1770" s="14"/>
      <c r="P1770" s="14"/>
    </row>
    <row r="1771" spans="2:16" ht="15.75" customHeight="1">
      <c r="B1771" s="14"/>
      <c r="H1771" s="14"/>
      <c r="I1771" s="567"/>
      <c r="J1771" s="18"/>
      <c r="N1771" s="14"/>
      <c r="O1771" s="14"/>
      <c r="P1771" s="14"/>
    </row>
    <row r="1772" spans="2:16" ht="15.75" customHeight="1">
      <c r="B1772" s="14"/>
      <c r="H1772" s="14"/>
      <c r="I1772" s="567"/>
      <c r="J1772" s="18"/>
      <c r="N1772" s="14"/>
      <c r="O1772" s="14"/>
      <c r="P1772" s="14"/>
    </row>
    <row r="1773" spans="2:16" ht="15.75" customHeight="1">
      <c r="B1773" s="14"/>
      <c r="H1773" s="14"/>
      <c r="I1773" s="567"/>
      <c r="J1773" s="18"/>
      <c r="N1773" s="14"/>
      <c r="O1773" s="14"/>
      <c r="P1773" s="14"/>
    </row>
    <row r="1774" spans="2:16" ht="15.75" customHeight="1">
      <c r="B1774" s="14"/>
      <c r="H1774" s="14"/>
      <c r="I1774" s="567"/>
      <c r="J1774" s="18"/>
      <c r="N1774" s="14"/>
      <c r="O1774" s="14"/>
      <c r="P1774" s="14"/>
    </row>
    <row r="1775" spans="2:16" ht="15.75" customHeight="1">
      <c r="B1775" s="14"/>
      <c r="H1775" s="14"/>
      <c r="I1775" s="567"/>
      <c r="J1775" s="18"/>
      <c r="N1775" s="14"/>
      <c r="O1775" s="14"/>
      <c r="P1775" s="14"/>
    </row>
    <row r="1776" spans="2:16" ht="15.75" customHeight="1">
      <c r="B1776" s="14"/>
      <c r="H1776" s="14"/>
      <c r="I1776" s="567"/>
      <c r="J1776" s="18"/>
      <c r="N1776" s="14"/>
      <c r="O1776" s="14"/>
      <c r="P1776" s="14"/>
    </row>
    <row r="1777" spans="2:16" ht="15.75" customHeight="1">
      <c r="B1777" s="14"/>
      <c r="H1777" s="14"/>
      <c r="I1777" s="567"/>
      <c r="J1777" s="18"/>
      <c r="N1777" s="14"/>
      <c r="O1777" s="14"/>
      <c r="P1777" s="14"/>
    </row>
    <row r="1778" spans="2:16" ht="15.75" customHeight="1">
      <c r="B1778" s="14"/>
      <c r="H1778" s="14"/>
      <c r="I1778" s="567"/>
      <c r="J1778" s="18"/>
      <c r="N1778" s="14"/>
      <c r="O1778" s="14"/>
      <c r="P1778" s="14"/>
    </row>
    <row r="1779" spans="2:16" ht="15.75" customHeight="1">
      <c r="B1779" s="14"/>
      <c r="H1779" s="14"/>
      <c r="I1779" s="567"/>
      <c r="J1779" s="18"/>
      <c r="N1779" s="14"/>
      <c r="O1779" s="14"/>
      <c r="P1779" s="14"/>
    </row>
    <row r="1780" spans="2:16" ht="15.75" customHeight="1">
      <c r="B1780" s="14"/>
      <c r="H1780" s="14"/>
      <c r="I1780" s="567"/>
      <c r="J1780" s="18"/>
      <c r="N1780" s="14"/>
      <c r="O1780" s="14"/>
      <c r="P1780" s="14"/>
    </row>
    <row r="1781" spans="2:16" ht="15.75" customHeight="1">
      <c r="B1781" s="14"/>
      <c r="H1781" s="14"/>
      <c r="I1781" s="567"/>
      <c r="J1781" s="18"/>
      <c r="N1781" s="14"/>
      <c r="O1781" s="14"/>
      <c r="P1781" s="14"/>
    </row>
    <row r="1782" spans="2:16" ht="15.75" customHeight="1">
      <c r="B1782" s="14"/>
      <c r="H1782" s="14"/>
      <c r="I1782" s="567"/>
      <c r="J1782" s="18"/>
      <c r="N1782" s="14"/>
      <c r="O1782" s="14"/>
      <c r="P1782" s="14"/>
    </row>
    <row r="1783" spans="2:16" ht="15.75" customHeight="1">
      <c r="B1783" s="14"/>
      <c r="H1783" s="14"/>
      <c r="I1783" s="567"/>
      <c r="J1783" s="18"/>
      <c r="N1783" s="14"/>
      <c r="O1783" s="14"/>
      <c r="P1783" s="14"/>
    </row>
    <row r="1784" spans="2:16" ht="15.75" customHeight="1">
      <c r="B1784" s="14"/>
      <c r="H1784" s="14"/>
      <c r="I1784" s="567"/>
      <c r="J1784" s="18"/>
      <c r="N1784" s="14"/>
      <c r="O1784" s="14"/>
      <c r="P1784" s="14"/>
    </row>
    <row r="1785" spans="2:16" ht="15.75" customHeight="1">
      <c r="B1785" s="14"/>
      <c r="H1785" s="14"/>
      <c r="I1785" s="567"/>
      <c r="J1785" s="18"/>
      <c r="N1785" s="14"/>
      <c r="O1785" s="14"/>
      <c r="P1785" s="14"/>
    </row>
    <row r="1786" spans="2:16" ht="15.75" customHeight="1">
      <c r="B1786" s="14"/>
      <c r="H1786" s="14"/>
      <c r="I1786" s="567"/>
      <c r="J1786" s="18"/>
      <c r="N1786" s="14"/>
      <c r="O1786" s="14"/>
      <c r="P1786" s="14"/>
    </row>
    <row r="1787" spans="2:16" ht="15.75" customHeight="1">
      <c r="B1787" s="14"/>
      <c r="H1787" s="14"/>
      <c r="I1787" s="567"/>
      <c r="J1787" s="18"/>
      <c r="N1787" s="14"/>
      <c r="O1787" s="14"/>
      <c r="P1787" s="14"/>
    </row>
    <row r="1788" spans="2:16" ht="15.75" customHeight="1">
      <c r="B1788" s="14"/>
      <c r="H1788" s="14"/>
      <c r="I1788" s="567"/>
      <c r="J1788" s="18"/>
      <c r="N1788" s="14"/>
      <c r="O1788" s="14"/>
      <c r="P1788" s="14"/>
    </row>
    <row r="1789" spans="2:16" ht="15.75" customHeight="1">
      <c r="B1789" s="14"/>
      <c r="H1789" s="14"/>
      <c r="I1789" s="567"/>
      <c r="J1789" s="18"/>
      <c r="N1789" s="14"/>
      <c r="O1789" s="14"/>
      <c r="P1789" s="14"/>
    </row>
    <row r="1790" spans="2:16" ht="15.75" customHeight="1">
      <c r="B1790" s="14"/>
      <c r="H1790" s="14"/>
      <c r="I1790" s="567"/>
      <c r="J1790" s="18"/>
      <c r="N1790" s="14"/>
      <c r="O1790" s="14"/>
      <c r="P1790" s="14"/>
    </row>
    <row r="1791" spans="2:16" ht="15.75" customHeight="1">
      <c r="B1791" s="14"/>
      <c r="H1791" s="14"/>
      <c r="I1791" s="567"/>
      <c r="J1791" s="18"/>
      <c r="N1791" s="14"/>
      <c r="O1791" s="14"/>
      <c r="P1791" s="14"/>
    </row>
    <row r="1792" spans="2:16" ht="15.75" customHeight="1">
      <c r="B1792" s="14"/>
      <c r="H1792" s="14"/>
      <c r="I1792" s="567"/>
      <c r="J1792" s="18"/>
      <c r="N1792" s="14"/>
      <c r="O1792" s="14"/>
      <c r="P1792" s="14"/>
    </row>
    <row r="1793" spans="2:16" ht="15.75" customHeight="1">
      <c r="B1793" s="14"/>
      <c r="H1793" s="14"/>
      <c r="I1793" s="567"/>
      <c r="J1793" s="18"/>
      <c r="N1793" s="14"/>
      <c r="O1793" s="14"/>
      <c r="P1793" s="14"/>
    </row>
    <row r="1794" spans="2:16" ht="15.75" customHeight="1">
      <c r="B1794" s="14"/>
      <c r="H1794" s="14"/>
      <c r="I1794" s="567"/>
      <c r="J1794" s="18"/>
      <c r="N1794" s="14"/>
      <c r="O1794" s="14"/>
      <c r="P1794" s="14"/>
    </row>
    <row r="1795" spans="2:16" ht="15.75" customHeight="1">
      <c r="B1795" s="14"/>
      <c r="H1795" s="14"/>
      <c r="I1795" s="567"/>
      <c r="J1795" s="18"/>
      <c r="N1795" s="14"/>
      <c r="O1795" s="14"/>
      <c r="P1795" s="14"/>
    </row>
    <row r="1796" spans="2:16" ht="15.75" customHeight="1">
      <c r="B1796" s="14"/>
      <c r="H1796" s="14"/>
      <c r="I1796" s="567"/>
      <c r="J1796" s="18"/>
      <c r="N1796" s="14"/>
      <c r="O1796" s="14"/>
      <c r="P1796" s="14"/>
    </row>
    <row r="1797" spans="2:16" ht="15.75" customHeight="1">
      <c r="B1797" s="14"/>
      <c r="H1797" s="14"/>
      <c r="I1797" s="567"/>
      <c r="J1797" s="18"/>
      <c r="N1797" s="14"/>
      <c r="O1797" s="14"/>
      <c r="P1797" s="14"/>
    </row>
    <row r="1798" spans="2:16" ht="15.75" customHeight="1">
      <c r="B1798" s="14"/>
      <c r="H1798" s="14"/>
      <c r="I1798" s="567"/>
      <c r="J1798" s="18"/>
      <c r="N1798" s="14"/>
      <c r="O1798" s="14"/>
      <c r="P1798" s="14"/>
    </row>
    <row r="1799" spans="2:16" ht="15.75" customHeight="1">
      <c r="B1799" s="14"/>
      <c r="H1799" s="14"/>
      <c r="I1799" s="567"/>
      <c r="J1799" s="18"/>
      <c r="N1799" s="14"/>
      <c r="O1799" s="14"/>
      <c r="P1799" s="14"/>
    </row>
    <row r="1800" spans="2:16" ht="15.75" customHeight="1">
      <c r="B1800" s="14"/>
      <c r="H1800" s="14"/>
      <c r="I1800" s="567"/>
      <c r="J1800" s="18"/>
      <c r="N1800" s="14"/>
      <c r="O1800" s="14"/>
      <c r="P1800" s="14"/>
    </row>
    <row r="1801" spans="2:16" ht="15.75" customHeight="1">
      <c r="B1801" s="14"/>
      <c r="H1801" s="14"/>
      <c r="I1801" s="567"/>
      <c r="J1801" s="18"/>
      <c r="N1801" s="14"/>
      <c r="O1801" s="14"/>
      <c r="P1801" s="14"/>
    </row>
    <row r="1802" spans="2:16" ht="15.75" customHeight="1">
      <c r="B1802" s="14"/>
      <c r="H1802" s="14"/>
      <c r="I1802" s="567"/>
      <c r="J1802" s="18"/>
      <c r="N1802" s="14"/>
      <c r="O1802" s="14"/>
      <c r="P1802" s="14"/>
    </row>
    <row r="1803" spans="2:16" ht="15.75" customHeight="1">
      <c r="B1803" s="14"/>
      <c r="H1803" s="14"/>
      <c r="I1803" s="567"/>
      <c r="J1803" s="18"/>
      <c r="N1803" s="14"/>
      <c r="O1803" s="14"/>
      <c r="P1803" s="14"/>
    </row>
    <row r="1804" spans="2:16" ht="15.75" customHeight="1">
      <c r="B1804" s="14"/>
      <c r="H1804" s="14"/>
      <c r="I1804" s="567"/>
      <c r="J1804" s="18"/>
      <c r="N1804" s="14"/>
      <c r="O1804" s="14"/>
      <c r="P1804" s="14"/>
    </row>
    <row r="1805" spans="2:16" ht="15.75" customHeight="1">
      <c r="B1805" s="14"/>
      <c r="H1805" s="14"/>
      <c r="I1805" s="567"/>
      <c r="J1805" s="18"/>
      <c r="N1805" s="14"/>
      <c r="O1805" s="14"/>
      <c r="P1805" s="14"/>
    </row>
    <row r="1806" spans="2:16" ht="15.75" customHeight="1">
      <c r="B1806" s="14"/>
      <c r="H1806" s="14"/>
      <c r="I1806" s="567"/>
      <c r="J1806" s="18"/>
      <c r="N1806" s="14"/>
      <c r="O1806" s="14"/>
      <c r="P1806" s="14"/>
    </row>
    <row r="1807" spans="2:16" ht="15.75" customHeight="1">
      <c r="B1807" s="14"/>
      <c r="H1807" s="14"/>
      <c r="I1807" s="567"/>
      <c r="J1807" s="18"/>
      <c r="N1807" s="14"/>
      <c r="O1807" s="14"/>
      <c r="P1807" s="14"/>
    </row>
    <row r="1808" spans="2:16" ht="15.75" customHeight="1">
      <c r="B1808" s="14"/>
      <c r="H1808" s="14"/>
      <c r="I1808" s="567"/>
      <c r="J1808" s="18"/>
      <c r="N1808" s="14"/>
      <c r="O1808" s="14"/>
      <c r="P1808" s="14"/>
    </row>
    <row r="1809" spans="2:16" ht="15.75" customHeight="1">
      <c r="B1809" s="14"/>
      <c r="H1809" s="14"/>
      <c r="I1809" s="567"/>
      <c r="J1809" s="18"/>
      <c r="N1809" s="14"/>
      <c r="O1809" s="14"/>
      <c r="P1809" s="14"/>
    </row>
    <row r="1810" spans="2:16" ht="15.75" customHeight="1">
      <c r="B1810" s="14"/>
      <c r="H1810" s="14"/>
      <c r="I1810" s="567"/>
      <c r="J1810" s="18"/>
      <c r="N1810" s="14"/>
      <c r="O1810" s="14"/>
      <c r="P1810" s="14"/>
    </row>
    <row r="1811" spans="2:16" ht="15.75" customHeight="1">
      <c r="B1811" s="14"/>
      <c r="H1811" s="14"/>
      <c r="I1811" s="567"/>
      <c r="J1811" s="18"/>
      <c r="N1811" s="14"/>
      <c r="O1811" s="14"/>
      <c r="P1811" s="14"/>
    </row>
    <row r="1812" spans="2:16" ht="15.75" customHeight="1">
      <c r="B1812" s="14"/>
      <c r="H1812" s="14"/>
      <c r="I1812" s="567"/>
      <c r="J1812" s="18"/>
      <c r="N1812" s="14"/>
      <c r="O1812" s="14"/>
      <c r="P1812" s="14"/>
    </row>
    <row r="1813" spans="2:16" ht="15.75" customHeight="1">
      <c r="B1813" s="14"/>
      <c r="H1813" s="14"/>
      <c r="I1813" s="567"/>
      <c r="J1813" s="18"/>
      <c r="N1813" s="14"/>
      <c r="O1813" s="14"/>
      <c r="P1813" s="14"/>
    </row>
    <row r="1814" spans="2:16" ht="15.75" customHeight="1">
      <c r="B1814" s="14"/>
      <c r="H1814" s="14"/>
      <c r="I1814" s="567"/>
      <c r="J1814" s="18"/>
      <c r="N1814" s="14"/>
      <c r="O1814" s="14"/>
      <c r="P1814" s="14"/>
    </row>
    <row r="1815" spans="2:16" ht="15.75" customHeight="1">
      <c r="B1815" s="14"/>
      <c r="H1815" s="14"/>
      <c r="I1815" s="567"/>
      <c r="J1815" s="18"/>
      <c r="N1815" s="14"/>
      <c r="O1815" s="14"/>
      <c r="P1815" s="14"/>
    </row>
    <row r="1816" spans="2:16" ht="15.75" customHeight="1">
      <c r="B1816" s="14"/>
      <c r="H1816" s="14"/>
      <c r="I1816" s="567"/>
      <c r="J1816" s="18"/>
      <c r="N1816" s="14"/>
      <c r="O1816" s="14"/>
      <c r="P1816" s="14"/>
    </row>
    <row r="1817" spans="2:16" ht="15.75" customHeight="1">
      <c r="B1817" s="14"/>
      <c r="H1817" s="14"/>
      <c r="I1817" s="567"/>
      <c r="J1817" s="18"/>
      <c r="N1817" s="14"/>
      <c r="O1817" s="14"/>
      <c r="P1817" s="14"/>
    </row>
    <row r="1818" spans="2:16" ht="15.75" customHeight="1">
      <c r="B1818" s="14"/>
      <c r="H1818" s="14"/>
      <c r="I1818" s="567"/>
      <c r="J1818" s="18"/>
      <c r="N1818" s="14"/>
      <c r="O1818" s="14"/>
      <c r="P1818" s="14"/>
    </row>
    <row r="1819" spans="2:16" ht="15.75" customHeight="1">
      <c r="B1819" s="14"/>
      <c r="H1819" s="14"/>
      <c r="I1819" s="567"/>
      <c r="J1819" s="18"/>
      <c r="N1819" s="14"/>
      <c r="O1819" s="14"/>
      <c r="P1819" s="14"/>
    </row>
    <row r="1820" spans="2:16" ht="15.75" customHeight="1">
      <c r="B1820" s="14"/>
      <c r="H1820" s="14"/>
      <c r="I1820" s="567"/>
      <c r="J1820" s="18"/>
      <c r="N1820" s="14"/>
      <c r="O1820" s="14"/>
      <c r="P1820" s="14"/>
    </row>
    <row r="1821" spans="2:16" ht="15.75" customHeight="1">
      <c r="B1821" s="14"/>
      <c r="H1821" s="14"/>
      <c r="I1821" s="567"/>
      <c r="J1821" s="18"/>
      <c r="N1821" s="14"/>
      <c r="O1821" s="14"/>
      <c r="P1821" s="14"/>
    </row>
    <row r="1822" spans="2:16" ht="15.75" customHeight="1">
      <c r="B1822" s="14"/>
      <c r="H1822" s="14"/>
      <c r="I1822" s="567"/>
      <c r="J1822" s="18"/>
      <c r="N1822" s="14"/>
      <c r="O1822" s="14"/>
      <c r="P1822" s="14"/>
    </row>
    <row r="1823" spans="2:16" ht="15.75" customHeight="1">
      <c r="B1823" s="14"/>
      <c r="H1823" s="14"/>
      <c r="I1823" s="567"/>
      <c r="J1823" s="18"/>
      <c r="N1823" s="14"/>
      <c r="O1823" s="14"/>
      <c r="P1823" s="14"/>
    </row>
    <row r="1824" spans="2:16" ht="15.75" customHeight="1">
      <c r="B1824" s="14"/>
      <c r="H1824" s="14"/>
      <c r="I1824" s="567"/>
      <c r="J1824" s="18"/>
      <c r="N1824" s="14"/>
      <c r="O1824" s="14"/>
      <c r="P1824" s="14"/>
    </row>
    <row r="1825" spans="2:16" ht="15.75" customHeight="1">
      <c r="B1825" s="14"/>
      <c r="H1825" s="14"/>
      <c r="I1825" s="567"/>
      <c r="J1825" s="18"/>
      <c r="N1825" s="14"/>
      <c r="O1825" s="14"/>
      <c r="P1825" s="14"/>
    </row>
    <row r="1826" spans="2:16" ht="15.75" customHeight="1">
      <c r="B1826" s="14"/>
      <c r="H1826" s="14"/>
      <c r="I1826" s="567"/>
      <c r="J1826" s="18"/>
      <c r="N1826" s="14"/>
      <c r="O1826" s="14"/>
      <c r="P1826" s="14"/>
    </row>
    <row r="1827" spans="2:16" ht="15.75" customHeight="1">
      <c r="B1827" s="14"/>
      <c r="H1827" s="14"/>
      <c r="I1827" s="567"/>
      <c r="J1827" s="18"/>
      <c r="N1827" s="14"/>
      <c r="O1827" s="14"/>
      <c r="P1827" s="14"/>
    </row>
    <row r="1828" spans="2:16" ht="15.75" customHeight="1">
      <c r="B1828" s="14"/>
      <c r="H1828" s="14"/>
      <c r="I1828" s="567"/>
      <c r="J1828" s="18"/>
      <c r="N1828" s="14"/>
      <c r="O1828" s="14"/>
      <c r="P1828" s="14"/>
    </row>
    <row r="1829" spans="2:16" ht="15.75" customHeight="1">
      <c r="B1829" s="14"/>
      <c r="H1829" s="14"/>
      <c r="I1829" s="567"/>
      <c r="J1829" s="18"/>
      <c r="N1829" s="14"/>
      <c r="O1829" s="14"/>
      <c r="P1829" s="14"/>
    </row>
    <row r="1830" spans="2:16" ht="15.75" customHeight="1">
      <c r="B1830" s="14"/>
      <c r="H1830" s="14"/>
      <c r="I1830" s="567"/>
      <c r="J1830" s="18"/>
      <c r="N1830" s="14"/>
      <c r="O1830" s="14"/>
      <c r="P1830" s="14"/>
    </row>
    <row r="1831" spans="2:16" ht="15.75" customHeight="1">
      <c r="B1831" s="14"/>
      <c r="H1831" s="14"/>
      <c r="I1831" s="567"/>
      <c r="J1831" s="18"/>
      <c r="N1831" s="14"/>
      <c r="O1831" s="14"/>
      <c r="P1831" s="14"/>
    </row>
    <row r="1832" spans="2:16" ht="15.75" customHeight="1">
      <c r="B1832" s="14"/>
      <c r="H1832" s="14"/>
      <c r="I1832" s="567"/>
      <c r="J1832" s="18"/>
      <c r="N1832" s="14"/>
      <c r="O1832" s="14"/>
      <c r="P1832" s="14"/>
    </row>
    <row r="1833" spans="2:16" ht="15.75" customHeight="1">
      <c r="B1833" s="14"/>
      <c r="H1833" s="14"/>
      <c r="I1833" s="567"/>
      <c r="J1833" s="18"/>
      <c r="N1833" s="14"/>
      <c r="O1833" s="14"/>
      <c r="P1833" s="14"/>
    </row>
    <row r="1834" spans="2:16" ht="15.75" customHeight="1">
      <c r="B1834" s="14"/>
      <c r="H1834" s="14"/>
      <c r="I1834" s="567"/>
      <c r="J1834" s="18"/>
      <c r="N1834" s="14"/>
      <c r="O1834" s="14"/>
      <c r="P1834" s="14"/>
    </row>
    <row r="1835" spans="2:16" ht="15.75" customHeight="1">
      <c r="B1835" s="14"/>
      <c r="H1835" s="14"/>
      <c r="I1835" s="567"/>
      <c r="J1835" s="18"/>
      <c r="N1835" s="14"/>
      <c r="O1835" s="14"/>
      <c r="P1835" s="14"/>
    </row>
    <row r="1836" spans="2:16" ht="15.75" customHeight="1">
      <c r="B1836" s="14"/>
      <c r="H1836" s="14"/>
      <c r="I1836" s="567"/>
      <c r="J1836" s="18"/>
      <c r="N1836" s="14"/>
      <c r="O1836" s="14"/>
      <c r="P1836" s="14"/>
    </row>
    <row r="1837" spans="2:16" ht="15.75" customHeight="1">
      <c r="B1837" s="14"/>
      <c r="H1837" s="14"/>
      <c r="I1837" s="567"/>
      <c r="J1837" s="18"/>
      <c r="N1837" s="14"/>
      <c r="O1837" s="14"/>
      <c r="P1837" s="14"/>
    </row>
    <row r="1838" spans="2:16" ht="15.75" customHeight="1">
      <c r="B1838" s="14"/>
      <c r="H1838" s="14"/>
      <c r="I1838" s="567"/>
      <c r="J1838" s="18"/>
      <c r="N1838" s="14"/>
      <c r="O1838" s="14"/>
      <c r="P1838" s="14"/>
    </row>
    <row r="1839" spans="2:16" ht="15.75" customHeight="1">
      <c r="B1839" s="14"/>
      <c r="H1839" s="14"/>
      <c r="I1839" s="567"/>
      <c r="J1839" s="18"/>
      <c r="N1839" s="14"/>
      <c r="O1839" s="14"/>
      <c r="P1839" s="14"/>
    </row>
    <row r="1840" spans="2:16" ht="15.75" customHeight="1">
      <c r="B1840" s="14"/>
      <c r="H1840" s="14"/>
      <c r="I1840" s="567"/>
      <c r="J1840" s="18"/>
      <c r="N1840" s="14"/>
      <c r="O1840" s="14"/>
      <c r="P1840" s="14"/>
    </row>
    <row r="1841" spans="2:16" ht="15.75" customHeight="1">
      <c r="B1841" s="14"/>
      <c r="H1841" s="14"/>
      <c r="I1841" s="567"/>
      <c r="J1841" s="18"/>
      <c r="N1841" s="14"/>
      <c r="O1841" s="14"/>
      <c r="P1841" s="14"/>
    </row>
    <row r="1842" spans="2:16" ht="15.75" customHeight="1">
      <c r="B1842" s="14"/>
      <c r="H1842" s="14"/>
      <c r="I1842" s="567"/>
      <c r="J1842" s="18"/>
      <c r="N1842" s="14"/>
      <c r="O1842" s="14"/>
      <c r="P1842" s="14"/>
    </row>
    <row r="1843" spans="2:16" ht="15.75" customHeight="1">
      <c r="B1843" s="14"/>
      <c r="H1843" s="14"/>
      <c r="I1843" s="567"/>
      <c r="J1843" s="18"/>
      <c r="N1843" s="14"/>
      <c r="O1843" s="14"/>
      <c r="P1843" s="14"/>
    </row>
    <row r="1844" spans="2:16" ht="15.75" customHeight="1">
      <c r="B1844" s="14"/>
      <c r="H1844" s="14"/>
      <c r="I1844" s="567"/>
      <c r="J1844" s="18"/>
      <c r="N1844" s="14"/>
      <c r="O1844" s="14"/>
      <c r="P1844" s="14"/>
    </row>
    <row r="1845" spans="2:16" ht="15.75" customHeight="1">
      <c r="B1845" s="14"/>
      <c r="H1845" s="14"/>
      <c r="I1845" s="567"/>
      <c r="J1845" s="18"/>
      <c r="N1845" s="14"/>
      <c r="O1845" s="14"/>
      <c r="P1845" s="14"/>
    </row>
    <row r="1846" spans="2:16" ht="15.75" customHeight="1">
      <c r="B1846" s="14"/>
      <c r="H1846" s="14"/>
      <c r="I1846" s="567"/>
      <c r="J1846" s="18"/>
      <c r="N1846" s="14"/>
      <c r="O1846" s="14"/>
      <c r="P1846" s="14"/>
    </row>
    <row r="1847" spans="2:16" ht="15.75" customHeight="1">
      <c r="B1847" s="14"/>
      <c r="H1847" s="14"/>
      <c r="I1847" s="567"/>
      <c r="J1847" s="18"/>
      <c r="N1847" s="14"/>
      <c r="O1847" s="14"/>
      <c r="P1847" s="14"/>
    </row>
    <row r="1848" spans="2:16" ht="15.75" customHeight="1">
      <c r="B1848" s="14"/>
      <c r="H1848" s="14"/>
      <c r="I1848" s="567"/>
      <c r="J1848" s="18"/>
      <c r="N1848" s="14"/>
      <c r="O1848" s="14"/>
      <c r="P1848" s="14"/>
    </row>
    <row r="1849" spans="2:16" ht="15.75" customHeight="1">
      <c r="B1849" s="14"/>
      <c r="H1849" s="14"/>
      <c r="I1849" s="567"/>
      <c r="J1849" s="18"/>
      <c r="N1849" s="14"/>
      <c r="O1849" s="14"/>
      <c r="P1849" s="14"/>
    </row>
    <row r="1850" spans="2:16" ht="15.75" customHeight="1">
      <c r="B1850" s="14"/>
      <c r="H1850" s="14"/>
      <c r="I1850" s="567"/>
      <c r="J1850" s="18"/>
      <c r="N1850" s="14"/>
      <c r="O1850" s="14"/>
      <c r="P1850" s="14"/>
    </row>
    <row r="1851" spans="2:16" ht="15.75" customHeight="1">
      <c r="B1851" s="14"/>
      <c r="H1851" s="14"/>
      <c r="I1851" s="567"/>
      <c r="J1851" s="18"/>
      <c r="N1851" s="14"/>
      <c r="O1851" s="14"/>
      <c r="P1851" s="14"/>
    </row>
    <row r="1852" spans="2:16" ht="15.75" customHeight="1">
      <c r="B1852" s="14"/>
      <c r="H1852" s="14"/>
      <c r="I1852" s="567"/>
      <c r="J1852" s="18"/>
      <c r="N1852" s="14"/>
      <c r="O1852" s="14"/>
      <c r="P1852" s="14"/>
    </row>
    <row r="1853" spans="2:16" ht="15.75" customHeight="1">
      <c r="B1853" s="14"/>
      <c r="H1853" s="14"/>
      <c r="I1853" s="567"/>
      <c r="J1853" s="18"/>
      <c r="N1853" s="14"/>
      <c r="O1853" s="14"/>
      <c r="P1853" s="14"/>
    </row>
    <row r="1854" spans="2:16" ht="15.75" customHeight="1">
      <c r="B1854" s="14"/>
      <c r="H1854" s="14"/>
      <c r="I1854" s="567"/>
      <c r="J1854" s="18"/>
      <c r="N1854" s="14"/>
      <c r="O1854" s="14"/>
      <c r="P1854" s="14"/>
    </row>
    <row r="1855" spans="2:16" ht="15.75" customHeight="1">
      <c r="B1855" s="14"/>
      <c r="H1855" s="14"/>
      <c r="I1855" s="567"/>
      <c r="J1855" s="18"/>
      <c r="N1855" s="14"/>
      <c r="O1855" s="14"/>
      <c r="P1855" s="14"/>
    </row>
    <row r="1856" spans="2:16" ht="15.75" customHeight="1">
      <c r="B1856" s="14"/>
      <c r="H1856" s="14"/>
      <c r="I1856" s="567"/>
      <c r="J1856" s="18"/>
      <c r="N1856" s="14"/>
      <c r="O1856" s="14"/>
      <c r="P1856" s="14"/>
    </row>
    <row r="1857" spans="2:16" ht="15.75" customHeight="1">
      <c r="B1857" s="14"/>
      <c r="H1857" s="14"/>
      <c r="I1857" s="567"/>
      <c r="J1857" s="18"/>
      <c r="N1857" s="14"/>
      <c r="O1857" s="14"/>
      <c r="P1857" s="14"/>
    </row>
    <row r="1858" spans="2:16" ht="15.75" customHeight="1">
      <c r="B1858" s="14"/>
      <c r="H1858" s="14"/>
      <c r="I1858" s="567"/>
      <c r="J1858" s="18"/>
      <c r="N1858" s="14"/>
      <c r="O1858" s="14"/>
      <c r="P1858" s="14"/>
    </row>
    <row r="1859" spans="2:16" ht="15.75" customHeight="1">
      <c r="B1859" s="14"/>
      <c r="H1859" s="14"/>
      <c r="I1859" s="567"/>
      <c r="J1859" s="18"/>
      <c r="N1859" s="14"/>
      <c r="O1859" s="14"/>
      <c r="P1859" s="14"/>
    </row>
    <row r="1860" spans="2:16" ht="15.75" customHeight="1">
      <c r="B1860" s="14"/>
      <c r="H1860" s="14"/>
      <c r="I1860" s="567"/>
      <c r="J1860" s="18"/>
      <c r="N1860" s="14"/>
      <c r="O1860" s="14"/>
      <c r="P1860" s="14"/>
    </row>
    <row r="1861" spans="2:16" ht="15.75" customHeight="1">
      <c r="B1861" s="14"/>
      <c r="H1861" s="14"/>
      <c r="I1861" s="567"/>
      <c r="J1861" s="18"/>
      <c r="N1861" s="14"/>
      <c r="O1861" s="14"/>
      <c r="P1861" s="14"/>
    </row>
    <row r="1862" spans="2:16" ht="15.75" customHeight="1">
      <c r="B1862" s="14"/>
      <c r="H1862" s="14"/>
      <c r="I1862" s="567"/>
      <c r="J1862" s="18"/>
      <c r="N1862" s="14"/>
      <c r="O1862" s="14"/>
      <c r="P1862" s="14"/>
    </row>
    <row r="1863" spans="2:16" ht="15.75" customHeight="1">
      <c r="B1863" s="14"/>
      <c r="H1863" s="14"/>
      <c r="I1863" s="567"/>
      <c r="J1863" s="18"/>
      <c r="N1863" s="14"/>
      <c r="O1863" s="14"/>
      <c r="P1863" s="14"/>
    </row>
    <row r="1864" spans="2:16" ht="15.75" customHeight="1">
      <c r="B1864" s="14"/>
      <c r="H1864" s="14"/>
      <c r="I1864" s="567"/>
      <c r="J1864" s="18"/>
      <c r="N1864" s="14"/>
      <c r="O1864" s="14"/>
      <c r="P1864" s="14"/>
    </row>
    <row r="1865" spans="2:16" ht="15.75" customHeight="1">
      <c r="B1865" s="14"/>
      <c r="H1865" s="14"/>
      <c r="I1865" s="567"/>
      <c r="J1865" s="18"/>
      <c r="N1865" s="14"/>
      <c r="O1865" s="14"/>
      <c r="P1865" s="14"/>
    </row>
    <row r="1866" spans="2:16" ht="15.75" customHeight="1">
      <c r="B1866" s="14"/>
      <c r="H1866" s="14"/>
      <c r="I1866" s="567"/>
      <c r="J1866" s="18"/>
      <c r="N1866" s="14"/>
      <c r="O1866" s="14"/>
      <c r="P1866" s="14"/>
    </row>
    <row r="1867" spans="2:16" ht="15.75" customHeight="1">
      <c r="B1867" s="14"/>
      <c r="H1867" s="14"/>
      <c r="I1867" s="567"/>
      <c r="J1867" s="18"/>
      <c r="N1867" s="14"/>
      <c r="O1867" s="14"/>
      <c r="P1867" s="14"/>
    </row>
    <row r="1868" spans="2:16" ht="15.75" customHeight="1">
      <c r="B1868" s="14"/>
      <c r="H1868" s="14"/>
      <c r="I1868" s="567"/>
      <c r="J1868" s="18"/>
      <c r="N1868" s="14"/>
      <c r="O1868" s="14"/>
      <c r="P1868" s="14"/>
    </row>
    <row r="1869" spans="2:16" ht="15.75" customHeight="1">
      <c r="B1869" s="14"/>
      <c r="H1869" s="14"/>
      <c r="I1869" s="567"/>
      <c r="J1869" s="18"/>
      <c r="N1869" s="14"/>
      <c r="O1869" s="14"/>
      <c r="P1869" s="14"/>
    </row>
    <row r="1870" spans="2:16" ht="15.75" customHeight="1">
      <c r="B1870" s="14"/>
      <c r="H1870" s="14"/>
      <c r="I1870" s="567"/>
      <c r="J1870" s="18"/>
      <c r="N1870" s="14"/>
      <c r="O1870" s="14"/>
      <c r="P1870" s="14"/>
    </row>
    <row r="1871" spans="2:16" ht="15.75" customHeight="1">
      <c r="B1871" s="14"/>
      <c r="H1871" s="14"/>
      <c r="I1871" s="567"/>
      <c r="J1871" s="18"/>
      <c r="N1871" s="14"/>
      <c r="O1871" s="14"/>
      <c r="P1871" s="14"/>
    </row>
    <row r="1872" spans="2:16" ht="15.75" customHeight="1">
      <c r="B1872" s="14"/>
      <c r="H1872" s="14"/>
      <c r="I1872" s="567"/>
      <c r="J1872" s="18"/>
      <c r="N1872" s="14"/>
      <c r="O1872" s="14"/>
      <c r="P1872" s="14"/>
    </row>
    <row r="1873" spans="2:16" ht="15.75" customHeight="1">
      <c r="B1873" s="14"/>
      <c r="H1873" s="14"/>
      <c r="I1873" s="567"/>
      <c r="J1873" s="18"/>
      <c r="N1873" s="14"/>
      <c r="O1873" s="14"/>
      <c r="P1873" s="14"/>
    </row>
    <row r="1874" spans="2:16" ht="15.75" customHeight="1">
      <c r="B1874" s="14"/>
      <c r="H1874" s="14"/>
      <c r="I1874" s="567"/>
      <c r="J1874" s="18"/>
      <c r="N1874" s="14"/>
      <c r="O1874" s="14"/>
      <c r="P1874" s="14"/>
    </row>
    <row r="1875" spans="2:16" ht="15.75" customHeight="1">
      <c r="B1875" s="14"/>
      <c r="H1875" s="14"/>
      <c r="I1875" s="567"/>
      <c r="J1875" s="18"/>
      <c r="N1875" s="14"/>
      <c r="O1875" s="14"/>
      <c r="P1875" s="14"/>
    </row>
    <row r="1876" spans="2:16" ht="15.75" customHeight="1">
      <c r="B1876" s="14"/>
      <c r="H1876" s="14"/>
      <c r="I1876" s="567"/>
      <c r="J1876" s="18"/>
      <c r="N1876" s="14"/>
      <c r="O1876" s="14"/>
      <c r="P1876" s="14"/>
    </row>
    <row r="1877" spans="2:16" ht="15.75" customHeight="1">
      <c r="B1877" s="14"/>
      <c r="H1877" s="14"/>
      <c r="I1877" s="567"/>
      <c r="J1877" s="18"/>
      <c r="N1877" s="14"/>
      <c r="O1877" s="14"/>
      <c r="P1877" s="14"/>
    </row>
    <row r="1878" spans="2:16" ht="15.75" customHeight="1">
      <c r="B1878" s="14"/>
      <c r="H1878" s="14"/>
      <c r="I1878" s="567"/>
      <c r="J1878" s="18"/>
      <c r="N1878" s="14"/>
      <c r="O1878" s="14"/>
      <c r="P1878" s="14"/>
    </row>
    <row r="1879" spans="2:16" ht="15.75" customHeight="1">
      <c r="B1879" s="14"/>
      <c r="H1879" s="14"/>
      <c r="I1879" s="567"/>
      <c r="J1879" s="18"/>
      <c r="N1879" s="14"/>
      <c r="O1879" s="14"/>
      <c r="P1879" s="14"/>
    </row>
    <row r="1880" spans="2:16" ht="15.75" customHeight="1">
      <c r="B1880" s="14"/>
      <c r="H1880" s="14"/>
      <c r="I1880" s="567"/>
      <c r="J1880" s="18"/>
      <c r="N1880" s="14"/>
      <c r="O1880" s="14"/>
      <c r="P1880" s="14"/>
    </row>
    <row r="1881" spans="2:16" ht="15.75" customHeight="1">
      <c r="B1881" s="14"/>
      <c r="H1881" s="14"/>
      <c r="I1881" s="567"/>
      <c r="J1881" s="18"/>
      <c r="N1881" s="14"/>
      <c r="O1881" s="14"/>
      <c r="P1881" s="14"/>
    </row>
    <row r="1882" spans="2:16" ht="15.75" customHeight="1">
      <c r="B1882" s="14"/>
      <c r="H1882" s="14"/>
      <c r="I1882" s="567"/>
      <c r="J1882" s="18"/>
      <c r="N1882" s="14"/>
      <c r="O1882" s="14"/>
      <c r="P1882" s="14"/>
    </row>
    <row r="1883" spans="2:16" ht="15.75" customHeight="1">
      <c r="B1883" s="14"/>
      <c r="H1883" s="14"/>
      <c r="I1883" s="567"/>
      <c r="J1883" s="18"/>
      <c r="N1883" s="14"/>
      <c r="O1883" s="14"/>
      <c r="P1883" s="14"/>
    </row>
    <row r="1884" spans="2:16" ht="15.75" customHeight="1">
      <c r="B1884" s="14"/>
      <c r="H1884" s="14"/>
      <c r="I1884" s="567"/>
      <c r="J1884" s="18"/>
      <c r="N1884" s="14"/>
      <c r="O1884" s="14"/>
      <c r="P1884" s="14"/>
    </row>
    <row r="1885" spans="2:16" ht="15.75" customHeight="1">
      <c r="B1885" s="14"/>
      <c r="H1885" s="14"/>
      <c r="I1885" s="567"/>
      <c r="J1885" s="18"/>
      <c r="N1885" s="14"/>
      <c r="O1885" s="14"/>
      <c r="P1885" s="14"/>
    </row>
    <row r="1886" spans="2:16" ht="15.75" customHeight="1">
      <c r="B1886" s="14"/>
      <c r="H1886" s="14"/>
      <c r="I1886" s="567"/>
      <c r="J1886" s="18"/>
      <c r="N1886" s="14"/>
      <c r="O1886" s="14"/>
      <c r="P1886" s="14"/>
    </row>
    <row r="1887" spans="2:16" ht="15.75" customHeight="1">
      <c r="B1887" s="14"/>
      <c r="H1887" s="14"/>
      <c r="I1887" s="567"/>
      <c r="J1887" s="18"/>
      <c r="N1887" s="14"/>
      <c r="O1887" s="14"/>
      <c r="P1887" s="14"/>
    </row>
    <row r="1888" spans="2:16" ht="15.75" customHeight="1">
      <c r="B1888" s="14"/>
      <c r="H1888" s="14"/>
      <c r="I1888" s="567"/>
      <c r="J1888" s="18"/>
      <c r="N1888" s="14"/>
      <c r="O1888" s="14"/>
      <c r="P1888" s="14"/>
    </row>
    <row r="1889" spans="2:16" ht="15.75" customHeight="1">
      <c r="B1889" s="14"/>
      <c r="H1889" s="14"/>
      <c r="I1889" s="567"/>
      <c r="J1889" s="18"/>
      <c r="N1889" s="14"/>
      <c r="O1889" s="14"/>
      <c r="P1889" s="14"/>
    </row>
    <row r="1890" spans="2:16" ht="15.75" customHeight="1">
      <c r="B1890" s="14"/>
      <c r="H1890" s="14"/>
      <c r="I1890" s="567"/>
      <c r="J1890" s="18"/>
      <c r="N1890" s="14"/>
      <c r="O1890" s="14"/>
      <c r="P1890" s="14"/>
    </row>
    <row r="1891" spans="2:16" ht="15.75" customHeight="1">
      <c r="B1891" s="14"/>
      <c r="H1891" s="14"/>
      <c r="I1891" s="567"/>
      <c r="J1891" s="18"/>
      <c r="N1891" s="14"/>
      <c r="O1891" s="14"/>
      <c r="P1891" s="14"/>
    </row>
    <row r="1892" spans="2:16" ht="15.75" customHeight="1">
      <c r="B1892" s="14"/>
      <c r="H1892" s="14"/>
      <c r="I1892" s="567"/>
      <c r="J1892" s="18"/>
      <c r="N1892" s="14"/>
      <c r="O1892" s="14"/>
      <c r="P1892" s="14"/>
    </row>
    <row r="1893" spans="2:16" ht="15.75" customHeight="1">
      <c r="B1893" s="14"/>
      <c r="H1893" s="14"/>
      <c r="I1893" s="567"/>
      <c r="J1893" s="18"/>
      <c r="N1893" s="14"/>
      <c r="O1893" s="14"/>
      <c r="P1893" s="14"/>
    </row>
    <row r="1894" spans="2:16" ht="15.75" customHeight="1">
      <c r="B1894" s="14"/>
      <c r="H1894" s="14"/>
      <c r="I1894" s="567"/>
      <c r="J1894" s="18"/>
      <c r="N1894" s="14"/>
      <c r="O1894" s="14"/>
      <c r="P1894" s="14"/>
    </row>
    <row r="1895" spans="2:16" ht="15.75" customHeight="1">
      <c r="B1895" s="14"/>
      <c r="H1895" s="14"/>
      <c r="I1895" s="567"/>
      <c r="J1895" s="18"/>
      <c r="N1895" s="14"/>
      <c r="O1895" s="14"/>
      <c r="P1895" s="14"/>
    </row>
    <row r="1896" spans="2:16" ht="15.75" customHeight="1">
      <c r="B1896" s="14"/>
      <c r="H1896" s="14"/>
      <c r="I1896" s="567"/>
      <c r="J1896" s="18"/>
      <c r="N1896" s="14"/>
      <c r="O1896" s="14"/>
      <c r="P1896" s="14"/>
    </row>
    <row r="1897" spans="2:16" ht="15.75" customHeight="1">
      <c r="B1897" s="14"/>
      <c r="H1897" s="14"/>
      <c r="I1897" s="567"/>
      <c r="J1897" s="18"/>
      <c r="N1897" s="14"/>
      <c r="O1897" s="14"/>
      <c r="P1897" s="14"/>
    </row>
    <row r="1898" spans="2:16" ht="15.75" customHeight="1">
      <c r="B1898" s="14"/>
      <c r="H1898" s="14"/>
      <c r="I1898" s="567"/>
      <c r="J1898" s="18"/>
      <c r="N1898" s="14"/>
      <c r="O1898" s="14"/>
      <c r="P1898" s="14"/>
    </row>
    <row r="1899" spans="2:16" ht="15.75" customHeight="1">
      <c r="B1899" s="14"/>
      <c r="H1899" s="14"/>
      <c r="I1899" s="567"/>
      <c r="J1899" s="18"/>
      <c r="N1899" s="14"/>
      <c r="O1899" s="14"/>
      <c r="P1899" s="14"/>
    </row>
    <row r="1900" spans="2:16" ht="15.75" customHeight="1">
      <c r="B1900" s="14"/>
      <c r="H1900" s="14"/>
      <c r="I1900" s="567"/>
      <c r="J1900" s="18"/>
      <c r="N1900" s="14"/>
      <c r="O1900" s="14"/>
      <c r="P1900" s="14"/>
    </row>
    <row r="1901" spans="2:16" ht="15.75" customHeight="1">
      <c r="B1901" s="14"/>
      <c r="H1901" s="14"/>
      <c r="I1901" s="567"/>
      <c r="J1901" s="18"/>
      <c r="N1901" s="14"/>
      <c r="O1901" s="14"/>
      <c r="P1901" s="14"/>
    </row>
    <row r="1902" spans="2:16" ht="15.75" customHeight="1">
      <c r="B1902" s="14"/>
      <c r="H1902" s="14"/>
      <c r="I1902" s="567"/>
      <c r="J1902" s="18"/>
      <c r="N1902" s="14"/>
      <c r="O1902" s="14"/>
      <c r="P1902" s="14"/>
    </row>
    <row r="1903" spans="2:16" ht="15.75" customHeight="1">
      <c r="B1903" s="14"/>
      <c r="H1903" s="14"/>
      <c r="I1903" s="567"/>
      <c r="J1903" s="18"/>
      <c r="N1903" s="14"/>
      <c r="O1903" s="14"/>
      <c r="P1903" s="14"/>
    </row>
    <row r="1904" spans="2:16" ht="15.75" customHeight="1">
      <c r="B1904" s="14"/>
      <c r="H1904" s="14"/>
      <c r="I1904" s="567"/>
      <c r="J1904" s="18"/>
      <c r="N1904" s="14"/>
      <c r="O1904" s="14"/>
      <c r="P1904" s="14"/>
    </row>
    <row r="1905" spans="2:16" ht="15.75" customHeight="1">
      <c r="B1905" s="14"/>
      <c r="H1905" s="14"/>
      <c r="I1905" s="567"/>
      <c r="J1905" s="18"/>
      <c r="N1905" s="14"/>
      <c r="O1905" s="14"/>
      <c r="P1905" s="14"/>
    </row>
    <row r="1906" spans="2:16" ht="15.75" customHeight="1">
      <c r="B1906" s="14"/>
      <c r="H1906" s="14"/>
      <c r="I1906" s="567"/>
      <c r="J1906" s="18"/>
      <c r="N1906" s="14"/>
      <c r="O1906" s="14"/>
      <c r="P1906" s="14"/>
    </row>
    <row r="1907" spans="2:16" ht="15.75" customHeight="1">
      <c r="B1907" s="14"/>
      <c r="H1907" s="14"/>
      <c r="I1907" s="567"/>
      <c r="J1907" s="18"/>
      <c r="N1907" s="14"/>
      <c r="O1907" s="14"/>
      <c r="P1907" s="14"/>
    </row>
    <row r="1908" spans="2:16" ht="15.75" customHeight="1">
      <c r="B1908" s="14"/>
      <c r="H1908" s="14"/>
      <c r="I1908" s="567"/>
      <c r="J1908" s="18"/>
      <c r="N1908" s="14"/>
      <c r="O1908" s="14"/>
      <c r="P1908" s="14"/>
    </row>
    <row r="1909" spans="2:16" ht="15.75" customHeight="1">
      <c r="B1909" s="14"/>
      <c r="H1909" s="14"/>
      <c r="I1909" s="567"/>
      <c r="J1909" s="18"/>
      <c r="N1909" s="14"/>
      <c r="O1909" s="14"/>
      <c r="P1909" s="14"/>
    </row>
    <row r="1910" spans="2:16" ht="15.75" customHeight="1">
      <c r="B1910" s="14"/>
      <c r="H1910" s="14"/>
      <c r="I1910" s="567"/>
      <c r="J1910" s="18"/>
      <c r="N1910" s="14"/>
      <c r="O1910" s="14"/>
      <c r="P1910" s="14"/>
    </row>
    <row r="1911" spans="2:16" ht="15.75" customHeight="1">
      <c r="B1911" s="14"/>
      <c r="H1911" s="14"/>
      <c r="I1911" s="567"/>
      <c r="J1911" s="18"/>
      <c r="N1911" s="14"/>
      <c r="O1911" s="14"/>
      <c r="P1911" s="14"/>
    </row>
    <row r="1912" spans="2:16" ht="15.75" customHeight="1">
      <c r="B1912" s="14"/>
      <c r="H1912" s="14"/>
      <c r="I1912" s="567"/>
      <c r="J1912" s="18"/>
      <c r="N1912" s="14"/>
      <c r="O1912" s="14"/>
      <c r="P1912" s="14"/>
    </row>
    <row r="1913" spans="2:16" ht="15.75" customHeight="1">
      <c r="B1913" s="14"/>
      <c r="H1913" s="14"/>
      <c r="I1913" s="567"/>
      <c r="J1913" s="18"/>
      <c r="N1913" s="14"/>
      <c r="O1913" s="14"/>
      <c r="P1913" s="14"/>
    </row>
    <row r="1914" spans="2:16" ht="15.75" customHeight="1">
      <c r="B1914" s="14"/>
      <c r="H1914" s="14"/>
      <c r="I1914" s="567"/>
      <c r="J1914" s="18"/>
      <c r="N1914" s="14"/>
      <c r="O1914" s="14"/>
      <c r="P1914" s="14"/>
    </row>
    <row r="1915" spans="2:16" ht="15.75" customHeight="1">
      <c r="B1915" s="14"/>
      <c r="H1915" s="14"/>
      <c r="I1915" s="567"/>
      <c r="J1915" s="18"/>
      <c r="N1915" s="14"/>
      <c r="O1915" s="14"/>
      <c r="P1915" s="14"/>
    </row>
    <row r="1916" spans="2:16" ht="15.75" customHeight="1">
      <c r="B1916" s="14"/>
      <c r="H1916" s="14"/>
      <c r="I1916" s="567"/>
      <c r="J1916" s="18"/>
      <c r="N1916" s="14"/>
      <c r="O1916" s="14"/>
      <c r="P1916" s="14"/>
    </row>
    <row r="1917" spans="2:16" ht="15.75" customHeight="1">
      <c r="B1917" s="14"/>
      <c r="H1917" s="14"/>
      <c r="I1917" s="567"/>
      <c r="J1917" s="18"/>
      <c r="N1917" s="14"/>
      <c r="O1917" s="14"/>
      <c r="P1917" s="14"/>
    </row>
    <row r="1918" spans="2:16" ht="15.75" customHeight="1">
      <c r="B1918" s="14"/>
      <c r="H1918" s="14"/>
      <c r="I1918" s="567"/>
      <c r="J1918" s="18"/>
      <c r="N1918" s="14"/>
      <c r="O1918" s="14"/>
      <c r="P1918" s="14"/>
    </row>
    <row r="1919" spans="2:16" ht="15.75" customHeight="1">
      <c r="B1919" s="14"/>
      <c r="H1919" s="14"/>
      <c r="I1919" s="567"/>
      <c r="J1919" s="18"/>
      <c r="N1919" s="14"/>
      <c r="O1919" s="14"/>
      <c r="P1919" s="14"/>
    </row>
    <row r="1920" spans="2:16" ht="15.75" customHeight="1">
      <c r="B1920" s="14"/>
      <c r="H1920" s="14"/>
      <c r="I1920" s="567"/>
      <c r="J1920" s="18"/>
      <c r="N1920" s="14"/>
      <c r="O1920" s="14"/>
      <c r="P1920" s="14"/>
    </row>
    <row r="1921" spans="2:16" ht="15.75" customHeight="1">
      <c r="B1921" s="14"/>
      <c r="H1921" s="14"/>
      <c r="I1921" s="567"/>
      <c r="J1921" s="18"/>
      <c r="N1921" s="14"/>
      <c r="O1921" s="14"/>
      <c r="P1921" s="14"/>
    </row>
    <row r="1922" spans="2:16" ht="15.75" customHeight="1">
      <c r="B1922" s="14"/>
      <c r="H1922" s="14"/>
      <c r="I1922" s="567"/>
      <c r="J1922" s="18"/>
      <c r="N1922" s="14"/>
      <c r="O1922" s="14"/>
      <c r="P1922" s="14"/>
    </row>
    <row r="1923" spans="2:16" ht="15.75" customHeight="1">
      <c r="B1923" s="14"/>
      <c r="H1923" s="14"/>
      <c r="I1923" s="567"/>
      <c r="J1923" s="18"/>
      <c r="N1923" s="14"/>
      <c r="O1923" s="14"/>
      <c r="P1923" s="14"/>
    </row>
    <row r="1924" spans="2:16" ht="15.75" customHeight="1">
      <c r="B1924" s="14"/>
      <c r="H1924" s="14"/>
      <c r="I1924" s="567"/>
      <c r="J1924" s="18"/>
      <c r="N1924" s="14"/>
      <c r="O1924" s="14"/>
      <c r="P1924" s="14"/>
    </row>
    <row r="1925" spans="2:16" ht="15.75" customHeight="1">
      <c r="B1925" s="14"/>
      <c r="H1925" s="14"/>
      <c r="I1925" s="567"/>
      <c r="J1925" s="18"/>
      <c r="N1925" s="14"/>
      <c r="O1925" s="14"/>
      <c r="P1925" s="14"/>
    </row>
    <row r="1926" spans="2:16" ht="15.75" customHeight="1">
      <c r="B1926" s="14"/>
      <c r="H1926" s="14"/>
      <c r="I1926" s="567"/>
      <c r="J1926" s="18"/>
      <c r="N1926" s="14"/>
      <c r="O1926" s="14"/>
      <c r="P1926" s="14"/>
    </row>
    <row r="1927" spans="2:16" ht="15.75" customHeight="1">
      <c r="B1927" s="14"/>
      <c r="H1927" s="14"/>
      <c r="I1927" s="567"/>
      <c r="J1927" s="18"/>
      <c r="N1927" s="14"/>
      <c r="O1927" s="14"/>
      <c r="P1927" s="14"/>
    </row>
    <row r="1928" spans="2:16" ht="15.75" customHeight="1">
      <c r="B1928" s="14"/>
      <c r="H1928" s="14"/>
      <c r="I1928" s="567"/>
      <c r="J1928" s="18"/>
      <c r="N1928" s="14"/>
      <c r="O1928" s="14"/>
      <c r="P1928" s="14"/>
    </row>
    <row r="1929" spans="2:16" ht="15.75" customHeight="1">
      <c r="B1929" s="14"/>
      <c r="H1929" s="14"/>
      <c r="I1929" s="567"/>
      <c r="J1929" s="18"/>
      <c r="N1929" s="14"/>
      <c r="O1929" s="14"/>
      <c r="P1929" s="14"/>
    </row>
    <row r="1930" spans="2:16" ht="15.75" customHeight="1">
      <c r="B1930" s="14"/>
      <c r="H1930" s="14"/>
      <c r="I1930" s="567"/>
      <c r="J1930" s="18"/>
      <c r="N1930" s="14"/>
      <c r="O1930" s="14"/>
      <c r="P1930" s="14"/>
    </row>
    <row r="1931" spans="2:16" ht="15.75" customHeight="1">
      <c r="B1931" s="14"/>
      <c r="H1931" s="14"/>
      <c r="I1931" s="567"/>
      <c r="J1931" s="18"/>
      <c r="N1931" s="14"/>
      <c r="O1931" s="14"/>
      <c r="P1931" s="14"/>
    </row>
    <row r="1932" spans="2:16" ht="15.75" customHeight="1">
      <c r="B1932" s="14"/>
      <c r="H1932" s="14"/>
      <c r="I1932" s="567"/>
      <c r="J1932" s="18"/>
      <c r="N1932" s="14"/>
      <c r="O1932" s="14"/>
      <c r="P1932" s="14"/>
    </row>
    <row r="1933" spans="2:16" ht="15.75" customHeight="1">
      <c r="B1933" s="14"/>
      <c r="H1933" s="14"/>
      <c r="I1933" s="567"/>
      <c r="J1933" s="18"/>
      <c r="N1933" s="14"/>
      <c r="O1933" s="14"/>
      <c r="P1933" s="14"/>
    </row>
    <row r="1934" spans="2:16" ht="15.75" customHeight="1">
      <c r="B1934" s="14"/>
      <c r="H1934" s="14"/>
      <c r="I1934" s="567"/>
      <c r="J1934" s="18"/>
      <c r="N1934" s="14"/>
      <c r="O1934" s="14"/>
      <c r="P1934" s="14"/>
    </row>
    <row r="1935" spans="2:16" ht="15.75" customHeight="1">
      <c r="B1935" s="14"/>
      <c r="H1935" s="14"/>
      <c r="I1935" s="567"/>
      <c r="J1935" s="18"/>
      <c r="N1935" s="14"/>
      <c r="O1935" s="14"/>
      <c r="P1935" s="14"/>
    </row>
    <row r="1936" spans="2:16" ht="15.75" customHeight="1">
      <c r="B1936" s="14"/>
      <c r="H1936" s="14"/>
      <c r="I1936" s="567"/>
      <c r="J1936" s="18"/>
      <c r="N1936" s="14"/>
      <c r="O1936" s="14"/>
      <c r="P1936" s="14"/>
    </row>
    <row r="1937" spans="2:16" ht="15.75" customHeight="1">
      <c r="B1937" s="14"/>
      <c r="H1937" s="14"/>
      <c r="I1937" s="567"/>
      <c r="J1937" s="18"/>
      <c r="N1937" s="14"/>
      <c r="O1937" s="14"/>
      <c r="P1937" s="14"/>
    </row>
    <row r="1938" spans="2:16" ht="15.75" customHeight="1">
      <c r="B1938" s="14"/>
      <c r="H1938" s="14"/>
      <c r="I1938" s="567"/>
      <c r="J1938" s="18"/>
      <c r="N1938" s="14"/>
      <c r="O1938" s="14"/>
      <c r="P1938" s="14"/>
    </row>
    <row r="1939" spans="2:16" ht="15.75" customHeight="1">
      <c r="B1939" s="14"/>
      <c r="H1939" s="14"/>
      <c r="I1939" s="567"/>
      <c r="J1939" s="18"/>
      <c r="N1939" s="14"/>
      <c r="O1939" s="14"/>
      <c r="P1939" s="14"/>
    </row>
    <row r="1940" spans="2:16" ht="15.75" customHeight="1">
      <c r="B1940" s="14"/>
      <c r="H1940" s="14"/>
      <c r="I1940" s="567"/>
      <c r="J1940" s="18"/>
      <c r="N1940" s="14"/>
      <c r="O1940" s="14"/>
      <c r="P1940" s="14"/>
    </row>
    <row r="1941" spans="2:16" ht="15.75" customHeight="1">
      <c r="B1941" s="14"/>
      <c r="H1941" s="14"/>
      <c r="I1941" s="567"/>
      <c r="J1941" s="18"/>
      <c r="N1941" s="14"/>
      <c r="O1941" s="14"/>
      <c r="P1941" s="14"/>
    </row>
    <row r="1942" spans="2:16" ht="15.75" customHeight="1">
      <c r="B1942" s="14"/>
      <c r="H1942" s="14"/>
      <c r="I1942" s="567"/>
      <c r="J1942" s="18"/>
      <c r="N1942" s="14"/>
      <c r="O1942" s="14"/>
      <c r="P1942" s="14"/>
    </row>
    <row r="1943" spans="2:16" ht="15.75" customHeight="1">
      <c r="B1943" s="14"/>
      <c r="H1943" s="14"/>
      <c r="I1943" s="567"/>
      <c r="J1943" s="18"/>
      <c r="N1943" s="14"/>
      <c r="O1943" s="14"/>
      <c r="P1943" s="14"/>
    </row>
    <row r="1944" spans="2:16" ht="15.75" customHeight="1">
      <c r="B1944" s="14"/>
      <c r="H1944" s="14"/>
      <c r="I1944" s="567"/>
      <c r="J1944" s="18"/>
      <c r="N1944" s="14"/>
      <c r="O1944" s="14"/>
      <c r="P1944" s="14"/>
    </row>
    <row r="1945" spans="2:16" ht="15.75" customHeight="1">
      <c r="B1945" s="14"/>
      <c r="H1945" s="14"/>
      <c r="I1945" s="567"/>
      <c r="J1945" s="18"/>
      <c r="N1945" s="14"/>
      <c r="O1945" s="14"/>
      <c r="P1945" s="14"/>
    </row>
    <row r="1946" spans="2:16" ht="15.75" customHeight="1">
      <c r="B1946" s="14"/>
      <c r="H1946" s="14"/>
      <c r="I1946" s="567"/>
      <c r="J1946" s="18"/>
      <c r="N1946" s="14"/>
      <c r="O1946" s="14"/>
      <c r="P1946" s="14"/>
    </row>
    <row r="1947" spans="2:16" ht="15.75" customHeight="1">
      <c r="B1947" s="14"/>
      <c r="H1947" s="14"/>
      <c r="I1947" s="567"/>
      <c r="J1947" s="18"/>
      <c r="N1947" s="14"/>
      <c r="O1947" s="14"/>
      <c r="P1947" s="14"/>
    </row>
    <row r="1948" spans="2:16" ht="15.75" customHeight="1">
      <c r="B1948" s="14"/>
      <c r="H1948" s="14"/>
      <c r="I1948" s="567"/>
      <c r="J1948" s="18"/>
      <c r="N1948" s="14"/>
      <c r="O1948" s="14"/>
      <c r="P1948" s="14"/>
    </row>
    <row r="1949" spans="2:16" ht="15.75" customHeight="1">
      <c r="B1949" s="14"/>
      <c r="H1949" s="14"/>
      <c r="I1949" s="567"/>
      <c r="J1949" s="18"/>
      <c r="N1949" s="14"/>
      <c r="O1949" s="14"/>
      <c r="P1949" s="14"/>
    </row>
    <row r="1950" spans="2:16" ht="15.75" customHeight="1">
      <c r="B1950" s="14"/>
      <c r="H1950" s="14"/>
      <c r="I1950" s="567"/>
      <c r="J1950" s="18"/>
      <c r="N1950" s="14"/>
      <c r="O1950" s="14"/>
      <c r="P1950" s="14"/>
    </row>
    <row r="1951" spans="2:16" ht="15.75" customHeight="1">
      <c r="B1951" s="14"/>
      <c r="H1951" s="14"/>
      <c r="I1951" s="567"/>
      <c r="J1951" s="18"/>
      <c r="N1951" s="14"/>
      <c r="O1951" s="14"/>
      <c r="P1951" s="14"/>
    </row>
    <row r="1952" spans="2:16" ht="15.75" customHeight="1">
      <c r="B1952" s="14"/>
      <c r="H1952" s="14"/>
      <c r="I1952" s="567"/>
      <c r="J1952" s="18"/>
      <c r="N1952" s="14"/>
      <c r="O1952" s="14"/>
      <c r="P1952" s="14"/>
    </row>
    <row r="1953" spans="2:16" ht="15.75" customHeight="1">
      <c r="B1953" s="14"/>
      <c r="H1953" s="14"/>
      <c r="I1953" s="567"/>
      <c r="J1953" s="18"/>
      <c r="N1953" s="14"/>
      <c r="O1953" s="14"/>
      <c r="P1953" s="14"/>
    </row>
    <row r="1954" spans="2:16" ht="15.75" customHeight="1">
      <c r="B1954" s="14"/>
      <c r="H1954" s="14"/>
      <c r="I1954" s="567"/>
      <c r="J1954" s="18"/>
      <c r="N1954" s="14"/>
      <c r="O1954" s="14"/>
      <c r="P1954" s="14"/>
    </row>
    <row r="1955" spans="2:16" ht="15.75" customHeight="1">
      <c r="B1955" s="14"/>
      <c r="H1955" s="14"/>
      <c r="I1955" s="567"/>
      <c r="J1955" s="18"/>
      <c r="N1955" s="14"/>
      <c r="O1955" s="14"/>
      <c r="P1955" s="14"/>
    </row>
    <row r="1956" spans="2:16" ht="15.75" customHeight="1">
      <c r="B1956" s="14"/>
      <c r="H1956" s="14"/>
      <c r="I1956" s="567"/>
      <c r="J1956" s="18"/>
      <c r="N1956" s="14"/>
      <c r="O1956" s="14"/>
      <c r="P1956" s="14"/>
    </row>
    <row r="1957" spans="2:16" ht="15.75" customHeight="1">
      <c r="B1957" s="14"/>
      <c r="H1957" s="14"/>
      <c r="I1957" s="567"/>
      <c r="J1957" s="18"/>
      <c r="N1957" s="14"/>
      <c r="O1957" s="14"/>
      <c r="P1957" s="14"/>
    </row>
    <row r="1958" spans="2:16" ht="15.75" customHeight="1">
      <c r="B1958" s="14"/>
      <c r="H1958" s="14"/>
      <c r="I1958" s="567"/>
      <c r="J1958" s="18"/>
      <c r="N1958" s="14"/>
      <c r="O1958" s="14"/>
      <c r="P1958" s="14"/>
    </row>
    <row r="1959" spans="2:16" ht="15.75" customHeight="1">
      <c r="B1959" s="14"/>
      <c r="H1959" s="14"/>
      <c r="I1959" s="567"/>
      <c r="J1959" s="18"/>
      <c r="N1959" s="14"/>
      <c r="O1959" s="14"/>
      <c r="P1959" s="14"/>
    </row>
    <row r="1960" spans="2:16" ht="15.75" customHeight="1">
      <c r="B1960" s="14"/>
      <c r="H1960" s="14"/>
      <c r="I1960" s="567"/>
      <c r="J1960" s="18"/>
      <c r="N1960" s="14"/>
      <c r="O1960" s="14"/>
      <c r="P1960" s="14"/>
    </row>
    <row r="1961" spans="2:16" ht="15.75" customHeight="1">
      <c r="B1961" s="14"/>
      <c r="H1961" s="14"/>
      <c r="I1961" s="567"/>
      <c r="J1961" s="18"/>
      <c r="N1961" s="14"/>
      <c r="O1961" s="14"/>
      <c r="P1961" s="14"/>
    </row>
    <row r="1962" spans="2:16" ht="15.75" customHeight="1">
      <c r="B1962" s="14"/>
      <c r="H1962" s="14"/>
      <c r="I1962" s="567"/>
      <c r="J1962" s="18"/>
      <c r="N1962" s="14"/>
      <c r="O1962" s="14"/>
      <c r="P1962" s="14"/>
    </row>
    <row r="1963" spans="2:16" ht="15.75" customHeight="1">
      <c r="B1963" s="14"/>
      <c r="H1963" s="14"/>
      <c r="I1963" s="567"/>
      <c r="J1963" s="18"/>
      <c r="N1963" s="14"/>
      <c r="O1963" s="14"/>
      <c r="P1963" s="14"/>
    </row>
    <row r="1964" spans="2:16" ht="15.75" customHeight="1">
      <c r="B1964" s="14"/>
      <c r="H1964" s="14"/>
      <c r="I1964" s="567"/>
      <c r="J1964" s="18"/>
      <c r="N1964" s="14"/>
      <c r="O1964" s="14"/>
      <c r="P1964" s="14"/>
    </row>
    <row r="1965" spans="2:16" ht="15.75" customHeight="1">
      <c r="B1965" s="14"/>
      <c r="H1965" s="14"/>
      <c r="I1965" s="567"/>
      <c r="J1965" s="18"/>
      <c r="N1965" s="14"/>
      <c r="O1965" s="14"/>
      <c r="P1965" s="14"/>
    </row>
    <row r="1966" spans="2:16" ht="15.75" customHeight="1">
      <c r="B1966" s="14"/>
      <c r="H1966" s="14"/>
      <c r="I1966" s="567"/>
      <c r="J1966" s="18"/>
      <c r="N1966" s="14"/>
      <c r="O1966" s="14"/>
      <c r="P1966" s="14"/>
    </row>
    <row r="1967" spans="2:16" ht="15.75" customHeight="1">
      <c r="B1967" s="14"/>
      <c r="H1967" s="14"/>
      <c r="I1967" s="567"/>
      <c r="J1967" s="18"/>
      <c r="N1967" s="14"/>
      <c r="O1967" s="14"/>
      <c r="P1967" s="14"/>
    </row>
    <row r="1968" spans="2:16" ht="15.75" customHeight="1">
      <c r="B1968" s="14"/>
      <c r="H1968" s="14"/>
      <c r="I1968" s="567"/>
      <c r="J1968" s="18"/>
      <c r="N1968" s="14"/>
      <c r="O1968" s="14"/>
      <c r="P1968" s="14"/>
    </row>
    <row r="1969" spans="2:16" ht="15.75" customHeight="1">
      <c r="B1969" s="14"/>
      <c r="H1969" s="14"/>
      <c r="I1969" s="567"/>
      <c r="J1969" s="18"/>
      <c r="N1969" s="14"/>
      <c r="O1969" s="14"/>
      <c r="P1969" s="14"/>
    </row>
    <row r="1970" spans="2:16" ht="15.75" customHeight="1">
      <c r="B1970" s="14"/>
      <c r="H1970" s="14"/>
      <c r="I1970" s="567"/>
      <c r="J1970" s="18"/>
      <c r="N1970" s="14"/>
      <c r="O1970" s="14"/>
      <c r="P1970" s="14"/>
    </row>
    <row r="1971" spans="2:16" ht="15.75" customHeight="1">
      <c r="B1971" s="14"/>
      <c r="H1971" s="14"/>
      <c r="I1971" s="567"/>
      <c r="J1971" s="18"/>
      <c r="N1971" s="14"/>
      <c r="O1971" s="14"/>
      <c r="P1971" s="14"/>
    </row>
    <row r="1972" spans="2:16" ht="15.75" customHeight="1">
      <c r="B1972" s="14"/>
      <c r="H1972" s="14"/>
      <c r="I1972" s="567"/>
      <c r="J1972" s="18"/>
      <c r="N1972" s="14"/>
      <c r="O1972" s="14"/>
      <c r="P1972" s="14"/>
    </row>
    <row r="1973" spans="2:16" ht="15.75" customHeight="1">
      <c r="B1973" s="14"/>
      <c r="H1973" s="14"/>
      <c r="I1973" s="567"/>
      <c r="J1973" s="18"/>
      <c r="N1973" s="14"/>
      <c r="O1973" s="14"/>
      <c r="P1973" s="14"/>
    </row>
    <row r="1974" spans="2:16" ht="15.75" customHeight="1">
      <c r="B1974" s="14"/>
      <c r="H1974" s="14"/>
      <c r="I1974" s="567"/>
      <c r="J1974" s="18"/>
      <c r="N1974" s="14"/>
      <c r="O1974" s="14"/>
      <c r="P1974" s="14"/>
    </row>
    <row r="1975" spans="2:16" ht="15.75" customHeight="1">
      <c r="B1975" s="14"/>
      <c r="H1975" s="14"/>
      <c r="I1975" s="567"/>
      <c r="J1975" s="18"/>
      <c r="N1975" s="14"/>
      <c r="O1975" s="14"/>
      <c r="P1975" s="14"/>
    </row>
    <row r="1976" spans="2:16" ht="15.75" customHeight="1">
      <c r="B1976" s="14"/>
      <c r="H1976" s="14"/>
      <c r="I1976" s="567"/>
      <c r="J1976" s="18"/>
      <c r="N1976" s="14"/>
      <c r="O1976" s="14"/>
      <c r="P1976" s="14"/>
    </row>
    <row r="1977" spans="2:16" ht="15.75" customHeight="1">
      <c r="B1977" s="14"/>
      <c r="H1977" s="14"/>
      <c r="I1977" s="567"/>
      <c r="J1977" s="18"/>
      <c r="N1977" s="14"/>
      <c r="O1977" s="14"/>
      <c r="P1977" s="14"/>
    </row>
    <row r="1978" spans="2:16" ht="15.75" customHeight="1">
      <c r="B1978" s="14"/>
      <c r="H1978" s="14"/>
      <c r="I1978" s="567"/>
      <c r="J1978" s="18"/>
      <c r="N1978" s="14"/>
      <c r="O1978" s="14"/>
      <c r="P1978" s="14"/>
    </row>
    <row r="1979" spans="2:16" ht="15.75" customHeight="1">
      <c r="B1979" s="14"/>
      <c r="H1979" s="14"/>
      <c r="I1979" s="567"/>
      <c r="J1979" s="18"/>
      <c r="N1979" s="14"/>
      <c r="O1979" s="14"/>
      <c r="P1979" s="14"/>
    </row>
    <row r="1980" spans="2:16" ht="15.75" customHeight="1">
      <c r="B1980" s="14"/>
      <c r="H1980" s="14"/>
      <c r="I1980" s="567"/>
      <c r="J1980" s="18"/>
      <c r="N1980" s="14"/>
      <c r="O1980" s="14"/>
      <c r="P1980" s="14"/>
    </row>
    <row r="1981" spans="2:16" ht="15.75" customHeight="1">
      <c r="B1981" s="14"/>
      <c r="H1981" s="14"/>
      <c r="I1981" s="567"/>
      <c r="J1981" s="18"/>
      <c r="N1981" s="14"/>
      <c r="O1981" s="14"/>
      <c r="P1981" s="14"/>
    </row>
    <row r="1982" spans="2:16" ht="15.75" customHeight="1">
      <c r="B1982" s="14"/>
      <c r="H1982" s="14"/>
      <c r="I1982" s="567"/>
      <c r="J1982" s="18"/>
      <c r="N1982" s="14"/>
      <c r="O1982" s="14"/>
      <c r="P1982" s="14"/>
    </row>
    <row r="1983" spans="2:16" ht="15.75" customHeight="1">
      <c r="B1983" s="14"/>
      <c r="H1983" s="14"/>
      <c r="I1983" s="567"/>
      <c r="J1983" s="18"/>
      <c r="N1983" s="14"/>
      <c r="O1983" s="14"/>
      <c r="P1983" s="14"/>
    </row>
    <row r="1984" spans="2:16" ht="15.75" customHeight="1">
      <c r="B1984" s="14"/>
      <c r="H1984" s="14"/>
      <c r="I1984" s="567"/>
      <c r="J1984" s="18"/>
      <c r="N1984" s="14"/>
      <c r="O1984" s="14"/>
      <c r="P1984" s="14"/>
    </row>
    <row r="1985" spans="2:16" ht="15.75" customHeight="1">
      <c r="B1985" s="14"/>
      <c r="H1985" s="14"/>
      <c r="I1985" s="567"/>
      <c r="J1985" s="18"/>
      <c r="N1985" s="14"/>
      <c r="O1985" s="14"/>
      <c r="P1985" s="14"/>
    </row>
    <row r="1986" spans="2:16" ht="15.75" customHeight="1">
      <c r="B1986" s="14"/>
      <c r="H1986" s="14"/>
      <c r="I1986" s="567"/>
      <c r="J1986" s="18"/>
      <c r="N1986" s="14"/>
      <c r="O1986" s="14"/>
      <c r="P1986" s="14"/>
    </row>
    <row r="1987" spans="2:16" ht="15.75" customHeight="1">
      <c r="B1987" s="14"/>
      <c r="H1987" s="14"/>
      <c r="I1987" s="567"/>
      <c r="J1987" s="18"/>
      <c r="N1987" s="14"/>
      <c r="O1987" s="14"/>
      <c r="P1987" s="14"/>
    </row>
    <row r="1988" spans="2:16" ht="15.75" customHeight="1">
      <c r="B1988" s="14"/>
      <c r="H1988" s="14"/>
      <c r="I1988" s="567"/>
      <c r="J1988" s="18"/>
      <c r="N1988" s="14"/>
      <c r="O1988" s="14"/>
      <c r="P1988" s="14"/>
    </row>
    <row r="1989" spans="2:16" ht="15.75" customHeight="1">
      <c r="B1989" s="14"/>
      <c r="H1989" s="14"/>
      <c r="I1989" s="567"/>
      <c r="J1989" s="18"/>
      <c r="N1989" s="14"/>
      <c r="O1989" s="14"/>
      <c r="P1989" s="14"/>
    </row>
    <row r="1990" spans="2:16" ht="15.75" customHeight="1">
      <c r="B1990" s="14"/>
      <c r="H1990" s="14"/>
      <c r="I1990" s="567"/>
      <c r="J1990" s="18"/>
      <c r="N1990" s="14"/>
      <c r="O1990" s="14"/>
      <c r="P1990" s="14"/>
    </row>
    <row r="1991" spans="2:16" ht="15.75" customHeight="1">
      <c r="B1991" s="14"/>
      <c r="H1991" s="14"/>
      <c r="I1991" s="567"/>
      <c r="J1991" s="18"/>
      <c r="N1991" s="14"/>
      <c r="O1991" s="14"/>
      <c r="P1991" s="14"/>
    </row>
    <row r="1992" spans="2:16" ht="15.75" customHeight="1">
      <c r="B1992" s="14"/>
      <c r="H1992" s="14"/>
      <c r="I1992" s="567"/>
      <c r="J1992" s="18"/>
      <c r="N1992" s="14"/>
      <c r="O1992" s="14"/>
      <c r="P1992" s="14"/>
    </row>
    <row r="1993" spans="2:16" ht="15.75" customHeight="1">
      <c r="B1993" s="14"/>
      <c r="H1993" s="14"/>
      <c r="I1993" s="567"/>
      <c r="J1993" s="18"/>
      <c r="N1993" s="14"/>
      <c r="O1993" s="14"/>
      <c r="P1993" s="14"/>
    </row>
    <row r="1994" spans="2:16" ht="15.75" customHeight="1">
      <c r="B1994" s="14"/>
      <c r="H1994" s="14"/>
      <c r="I1994" s="567"/>
      <c r="J1994" s="18"/>
      <c r="N1994" s="14"/>
      <c r="O1994" s="14"/>
      <c r="P1994" s="14"/>
    </row>
    <row r="1995" spans="2:16" ht="15.75" customHeight="1">
      <c r="B1995" s="14"/>
      <c r="H1995" s="14"/>
      <c r="I1995" s="567"/>
      <c r="J1995" s="18"/>
      <c r="N1995" s="14"/>
      <c r="O1995" s="14"/>
      <c r="P1995" s="14"/>
    </row>
    <row r="1996" spans="2:16" ht="15.75" customHeight="1">
      <c r="B1996" s="14"/>
      <c r="H1996" s="14"/>
      <c r="I1996" s="567"/>
      <c r="J1996" s="18"/>
      <c r="N1996" s="14"/>
      <c r="O1996" s="14"/>
      <c r="P1996" s="14"/>
    </row>
    <row r="1997" spans="2:16" ht="15.75" customHeight="1">
      <c r="B1997" s="14"/>
      <c r="H1997" s="14"/>
      <c r="I1997" s="567"/>
      <c r="J1997" s="18"/>
      <c r="N1997" s="14"/>
      <c r="O1997" s="14"/>
      <c r="P1997" s="14"/>
    </row>
    <row r="1998" spans="2:16" ht="15.75" customHeight="1">
      <c r="B1998" s="14"/>
      <c r="H1998" s="14"/>
      <c r="I1998" s="567"/>
      <c r="J1998" s="18"/>
      <c r="N1998" s="14"/>
      <c r="O1998" s="14"/>
      <c r="P1998" s="14"/>
    </row>
    <row r="1999" spans="2:16" ht="15.75" customHeight="1">
      <c r="B1999" s="14"/>
      <c r="H1999" s="14"/>
      <c r="I1999" s="567"/>
      <c r="J1999" s="18"/>
      <c r="N1999" s="14"/>
      <c r="O1999" s="14"/>
      <c r="P1999" s="14"/>
    </row>
    <row r="2000" spans="2:16" ht="15.75" customHeight="1">
      <c r="B2000" s="14"/>
      <c r="H2000" s="14"/>
      <c r="I2000" s="567"/>
      <c r="J2000" s="18"/>
      <c r="N2000" s="14"/>
      <c r="O2000" s="14"/>
      <c r="P2000" s="14"/>
    </row>
    <row r="2001" spans="2:16" ht="15.75" customHeight="1">
      <c r="B2001" s="14"/>
      <c r="H2001" s="14"/>
      <c r="I2001" s="567"/>
      <c r="J2001" s="18"/>
      <c r="N2001" s="14"/>
      <c r="O2001" s="14"/>
      <c r="P2001" s="14"/>
    </row>
    <row r="2002" spans="2:16" ht="15.75" customHeight="1">
      <c r="B2002" s="14"/>
      <c r="H2002" s="14"/>
      <c r="I2002" s="567"/>
      <c r="J2002" s="18"/>
      <c r="N2002" s="14"/>
      <c r="O2002" s="14"/>
      <c r="P2002" s="14"/>
    </row>
    <row r="2003" spans="2:16" ht="15.75" customHeight="1">
      <c r="B2003" s="14"/>
      <c r="H2003" s="14"/>
      <c r="I2003" s="567"/>
      <c r="J2003" s="18"/>
      <c r="N2003" s="14"/>
      <c r="O2003" s="14"/>
      <c r="P2003" s="14"/>
    </row>
    <row r="2004" spans="2:16" ht="15.75" customHeight="1">
      <c r="B2004" s="14"/>
      <c r="H2004" s="14"/>
      <c r="I2004" s="567"/>
      <c r="J2004" s="18"/>
      <c r="N2004" s="14"/>
      <c r="O2004" s="14"/>
      <c r="P2004" s="14"/>
    </row>
    <row r="2005" spans="2:16" ht="15.75" customHeight="1">
      <c r="B2005" s="14"/>
      <c r="H2005" s="14"/>
      <c r="I2005" s="567"/>
      <c r="J2005" s="18"/>
      <c r="N2005" s="14"/>
      <c r="O2005" s="14"/>
      <c r="P2005" s="14"/>
    </row>
    <row r="2006" spans="2:16" ht="15.75" customHeight="1">
      <c r="B2006" s="14"/>
      <c r="H2006" s="14"/>
      <c r="I2006" s="567"/>
      <c r="J2006" s="18"/>
      <c r="N2006" s="14"/>
      <c r="O2006" s="14"/>
      <c r="P2006" s="14"/>
    </row>
    <row r="2007" spans="2:16" ht="15.75" customHeight="1">
      <c r="B2007" s="14"/>
      <c r="H2007" s="14"/>
      <c r="I2007" s="567"/>
      <c r="J2007" s="18"/>
      <c r="N2007" s="14"/>
      <c r="O2007" s="14"/>
      <c r="P2007" s="14"/>
    </row>
    <row r="2008" spans="2:16" ht="15.75" customHeight="1">
      <c r="B2008" s="14"/>
      <c r="H2008" s="14"/>
      <c r="I2008" s="567"/>
      <c r="J2008" s="18"/>
      <c r="N2008" s="14"/>
      <c r="O2008" s="14"/>
      <c r="P2008" s="14"/>
    </row>
    <row r="2009" spans="2:16" ht="15.75" customHeight="1">
      <c r="B2009" s="14"/>
      <c r="H2009" s="14"/>
      <c r="I2009" s="567"/>
      <c r="J2009" s="18"/>
      <c r="N2009" s="14"/>
      <c r="O2009" s="14"/>
      <c r="P2009" s="14"/>
    </row>
    <row r="2010" spans="2:16" ht="15.75" customHeight="1">
      <c r="B2010" s="14"/>
      <c r="H2010" s="14"/>
      <c r="I2010" s="567"/>
      <c r="J2010" s="18"/>
      <c r="N2010" s="14"/>
      <c r="O2010" s="14"/>
      <c r="P2010" s="14"/>
    </row>
    <row r="2011" spans="2:16" ht="15.75" customHeight="1">
      <c r="B2011" s="14"/>
      <c r="H2011" s="14"/>
      <c r="I2011" s="567"/>
      <c r="J2011" s="18"/>
      <c r="N2011" s="14"/>
      <c r="O2011" s="14"/>
      <c r="P2011" s="14"/>
    </row>
    <row r="2012" spans="2:16" ht="15.75" customHeight="1">
      <c r="B2012" s="14"/>
      <c r="H2012" s="14"/>
      <c r="I2012" s="567"/>
      <c r="J2012" s="18"/>
      <c r="N2012" s="14"/>
      <c r="O2012" s="14"/>
      <c r="P2012" s="14"/>
    </row>
    <row r="2013" spans="2:16" ht="15.75" customHeight="1">
      <c r="B2013" s="14"/>
      <c r="H2013" s="14"/>
      <c r="I2013" s="567"/>
      <c r="J2013" s="18"/>
      <c r="N2013" s="14"/>
      <c r="O2013" s="14"/>
      <c r="P2013" s="14"/>
    </row>
    <row r="2014" spans="2:16" ht="15.75" customHeight="1">
      <c r="B2014" s="14"/>
      <c r="H2014" s="14"/>
      <c r="I2014" s="567"/>
      <c r="J2014" s="18"/>
      <c r="N2014" s="14"/>
      <c r="O2014" s="14"/>
      <c r="P2014" s="14"/>
    </row>
    <row r="2015" spans="2:16" ht="15.75" customHeight="1">
      <c r="B2015" s="14"/>
      <c r="H2015" s="14"/>
      <c r="I2015" s="567"/>
      <c r="J2015" s="18"/>
      <c r="N2015" s="14"/>
      <c r="O2015" s="14"/>
      <c r="P2015" s="14"/>
    </row>
    <row r="2016" spans="2:16" ht="15.75" customHeight="1">
      <c r="B2016" s="14"/>
      <c r="H2016" s="14"/>
      <c r="I2016" s="567"/>
      <c r="J2016" s="18"/>
      <c r="N2016" s="14"/>
      <c r="O2016" s="14"/>
      <c r="P2016" s="14"/>
    </row>
    <row r="2017" spans="2:16" ht="15.75" customHeight="1">
      <c r="B2017" s="14"/>
      <c r="H2017" s="14"/>
      <c r="I2017" s="567"/>
      <c r="J2017" s="18"/>
      <c r="N2017" s="14"/>
      <c r="O2017" s="14"/>
      <c r="P2017" s="14"/>
    </row>
    <row r="2018" spans="2:16" ht="15.75" customHeight="1">
      <c r="B2018" s="14"/>
      <c r="H2018" s="14"/>
      <c r="I2018" s="567"/>
      <c r="J2018" s="18"/>
      <c r="N2018" s="14"/>
      <c r="O2018" s="14"/>
      <c r="P2018" s="14"/>
    </row>
    <row r="2019" spans="2:16" ht="15.75" customHeight="1">
      <c r="B2019" s="14"/>
      <c r="H2019" s="14"/>
      <c r="I2019" s="567"/>
      <c r="J2019" s="18"/>
      <c r="N2019" s="14"/>
      <c r="O2019" s="14"/>
      <c r="P2019" s="14"/>
    </row>
    <row r="2020" spans="2:16" ht="15.75" customHeight="1">
      <c r="B2020" s="14"/>
      <c r="H2020" s="14"/>
      <c r="I2020" s="567"/>
      <c r="J2020" s="18"/>
      <c r="N2020" s="14"/>
      <c r="O2020" s="14"/>
      <c r="P2020" s="14"/>
    </row>
    <row r="2021" spans="2:16" ht="15.75" customHeight="1">
      <c r="B2021" s="14"/>
      <c r="H2021" s="14"/>
      <c r="I2021" s="567"/>
      <c r="J2021" s="18"/>
      <c r="N2021" s="14"/>
      <c r="O2021" s="14"/>
      <c r="P2021" s="14"/>
    </row>
    <row r="2022" spans="2:16" ht="15.75" customHeight="1">
      <c r="B2022" s="14"/>
      <c r="H2022" s="14"/>
      <c r="I2022" s="567"/>
      <c r="J2022" s="18"/>
      <c r="N2022" s="14"/>
      <c r="O2022" s="14"/>
      <c r="P2022" s="14"/>
    </row>
    <row r="2023" spans="2:16" ht="15.75" customHeight="1">
      <c r="B2023" s="14"/>
      <c r="H2023" s="14"/>
      <c r="I2023" s="567"/>
      <c r="J2023" s="18"/>
      <c r="N2023" s="14"/>
      <c r="O2023" s="14"/>
      <c r="P2023" s="14"/>
    </row>
    <row r="2024" spans="2:16" ht="15.75" customHeight="1">
      <c r="B2024" s="14"/>
      <c r="H2024" s="14"/>
      <c r="I2024" s="567"/>
      <c r="J2024" s="18"/>
      <c r="N2024" s="14"/>
      <c r="O2024" s="14"/>
      <c r="P2024" s="14"/>
    </row>
    <row r="2025" spans="2:16" ht="15.75" customHeight="1">
      <c r="B2025" s="14"/>
      <c r="H2025" s="14"/>
      <c r="I2025" s="567"/>
      <c r="J2025" s="18"/>
      <c r="N2025" s="14"/>
      <c r="O2025" s="14"/>
      <c r="P2025" s="14"/>
    </row>
    <row r="2026" spans="2:16" ht="15.75" customHeight="1">
      <c r="B2026" s="14"/>
      <c r="H2026" s="14"/>
      <c r="I2026" s="567"/>
      <c r="J2026" s="18"/>
      <c r="N2026" s="14"/>
      <c r="O2026" s="14"/>
      <c r="P2026" s="14"/>
    </row>
    <row r="2027" spans="2:16" ht="15.75" customHeight="1">
      <c r="B2027" s="14"/>
      <c r="H2027" s="14"/>
      <c r="I2027" s="567"/>
      <c r="J2027" s="18"/>
      <c r="N2027" s="14"/>
      <c r="O2027" s="14"/>
      <c r="P2027" s="14"/>
    </row>
    <row r="2028" spans="2:16" ht="15.75" customHeight="1">
      <c r="B2028" s="14"/>
      <c r="H2028" s="14"/>
      <c r="I2028" s="567"/>
      <c r="J2028" s="18"/>
      <c r="N2028" s="14"/>
      <c r="O2028" s="14"/>
      <c r="P2028" s="14"/>
    </row>
    <row r="2029" spans="2:16" ht="15.75" customHeight="1">
      <c r="B2029" s="14"/>
      <c r="H2029" s="14"/>
      <c r="I2029" s="567"/>
      <c r="J2029" s="18"/>
      <c r="N2029" s="14"/>
      <c r="O2029" s="14"/>
      <c r="P2029" s="14"/>
    </row>
    <row r="2030" spans="2:16" ht="15.75" customHeight="1">
      <c r="B2030" s="14"/>
      <c r="H2030" s="14"/>
      <c r="I2030" s="567"/>
      <c r="J2030" s="18"/>
      <c r="N2030" s="14"/>
      <c r="O2030" s="14"/>
      <c r="P2030" s="14"/>
    </row>
    <row r="2031" spans="2:16" ht="15.75" customHeight="1">
      <c r="B2031" s="14"/>
      <c r="H2031" s="14"/>
      <c r="I2031" s="567"/>
      <c r="J2031" s="18"/>
      <c r="N2031" s="14"/>
      <c r="O2031" s="14"/>
      <c r="P2031" s="14"/>
    </row>
    <row r="2032" spans="2:16" ht="15.75" customHeight="1">
      <c r="B2032" s="14"/>
      <c r="H2032" s="14"/>
      <c r="I2032" s="567"/>
      <c r="J2032" s="18"/>
      <c r="N2032" s="14"/>
      <c r="O2032" s="14"/>
      <c r="P2032" s="14"/>
    </row>
    <row r="2033" spans="2:16" ht="15.75" customHeight="1">
      <c r="B2033" s="14"/>
      <c r="H2033" s="14"/>
      <c r="I2033" s="567"/>
      <c r="J2033" s="18"/>
      <c r="N2033" s="14"/>
      <c r="O2033" s="14"/>
      <c r="P2033" s="14"/>
    </row>
    <row r="2034" spans="2:16" ht="15.75" customHeight="1">
      <c r="B2034" s="14"/>
      <c r="H2034" s="14"/>
      <c r="I2034" s="567"/>
      <c r="J2034" s="18"/>
      <c r="N2034" s="14"/>
      <c r="O2034" s="14"/>
      <c r="P2034" s="14"/>
    </row>
    <row r="2035" spans="2:16" ht="15.75" customHeight="1">
      <c r="B2035" s="14"/>
      <c r="H2035" s="14"/>
      <c r="I2035" s="567"/>
      <c r="J2035" s="18"/>
      <c r="N2035" s="14"/>
      <c r="O2035" s="14"/>
      <c r="P2035" s="14"/>
    </row>
    <row r="2036" spans="2:16" ht="15.75" customHeight="1">
      <c r="B2036" s="14"/>
      <c r="H2036" s="14"/>
      <c r="I2036" s="567"/>
      <c r="J2036" s="18"/>
      <c r="N2036" s="14"/>
      <c r="O2036" s="14"/>
      <c r="P2036" s="14"/>
    </row>
    <row r="2037" spans="2:16" ht="15.75" customHeight="1">
      <c r="B2037" s="14"/>
      <c r="H2037" s="14"/>
      <c r="I2037" s="567"/>
      <c r="J2037" s="18"/>
      <c r="N2037" s="14"/>
      <c r="O2037" s="14"/>
      <c r="P2037" s="14"/>
    </row>
    <row r="2038" spans="2:16" ht="15.75" customHeight="1">
      <c r="B2038" s="14"/>
      <c r="H2038" s="14"/>
      <c r="I2038" s="567"/>
      <c r="J2038" s="18"/>
      <c r="N2038" s="14"/>
      <c r="O2038" s="14"/>
      <c r="P2038" s="14"/>
    </row>
    <row r="2039" spans="2:16" ht="15.75" customHeight="1">
      <c r="B2039" s="14"/>
      <c r="H2039" s="14"/>
      <c r="I2039" s="567"/>
      <c r="J2039" s="18"/>
      <c r="N2039" s="14"/>
      <c r="O2039" s="14"/>
      <c r="P2039" s="14"/>
    </row>
    <row r="2040" spans="2:16" ht="15.75" customHeight="1">
      <c r="B2040" s="14"/>
      <c r="H2040" s="14"/>
      <c r="I2040" s="567"/>
      <c r="J2040" s="18"/>
      <c r="N2040" s="14"/>
      <c r="O2040" s="14"/>
      <c r="P2040" s="14"/>
    </row>
    <row r="2041" spans="2:16" ht="15.75" customHeight="1">
      <c r="B2041" s="14"/>
      <c r="H2041" s="14"/>
      <c r="I2041" s="567"/>
      <c r="J2041" s="18"/>
      <c r="N2041" s="14"/>
      <c r="O2041" s="14"/>
      <c r="P2041" s="14"/>
    </row>
    <row r="2042" spans="2:16" ht="15.75" customHeight="1">
      <c r="B2042" s="14"/>
      <c r="H2042" s="14"/>
      <c r="I2042" s="567"/>
      <c r="J2042" s="18"/>
      <c r="N2042" s="14"/>
      <c r="O2042" s="14"/>
      <c r="P2042" s="14"/>
    </row>
    <row r="2043" spans="2:16" ht="15.75" customHeight="1">
      <c r="B2043" s="14"/>
      <c r="H2043" s="14"/>
      <c r="I2043" s="567"/>
      <c r="J2043" s="18"/>
      <c r="N2043" s="14"/>
      <c r="O2043" s="14"/>
      <c r="P2043" s="14"/>
    </row>
    <row r="2044" spans="2:16" ht="15.75" customHeight="1">
      <c r="B2044" s="14"/>
      <c r="H2044" s="14"/>
      <c r="I2044" s="567"/>
      <c r="J2044" s="18"/>
      <c r="N2044" s="14"/>
      <c r="O2044" s="14"/>
      <c r="P2044" s="14"/>
    </row>
    <row r="2045" spans="2:16" ht="15.75" customHeight="1">
      <c r="B2045" s="14"/>
      <c r="H2045" s="14"/>
      <c r="I2045" s="567"/>
      <c r="J2045" s="18"/>
      <c r="N2045" s="14"/>
      <c r="O2045" s="14"/>
      <c r="P2045" s="14"/>
    </row>
    <row r="2046" spans="2:16" ht="15.75" customHeight="1">
      <c r="B2046" s="14"/>
      <c r="H2046" s="14"/>
      <c r="I2046" s="567"/>
      <c r="J2046" s="18"/>
      <c r="N2046" s="14"/>
      <c r="O2046" s="14"/>
      <c r="P2046" s="14"/>
    </row>
    <row r="2047" spans="2:16" ht="15.75" customHeight="1">
      <c r="B2047" s="14"/>
      <c r="H2047" s="14"/>
      <c r="I2047" s="567"/>
      <c r="J2047" s="18"/>
      <c r="N2047" s="14"/>
      <c r="O2047" s="14"/>
      <c r="P2047" s="14"/>
    </row>
    <row r="2048" spans="2:16" ht="15.75" customHeight="1">
      <c r="B2048" s="14"/>
      <c r="H2048" s="14"/>
      <c r="I2048" s="567"/>
      <c r="J2048" s="18"/>
      <c r="N2048" s="14"/>
      <c r="O2048" s="14"/>
      <c r="P2048" s="14"/>
    </row>
    <row r="2049" spans="2:16" ht="15.75" customHeight="1">
      <c r="B2049" s="14"/>
      <c r="H2049" s="14"/>
      <c r="I2049" s="567"/>
      <c r="J2049" s="18"/>
      <c r="N2049" s="14"/>
      <c r="O2049" s="14"/>
      <c r="P2049" s="14"/>
    </row>
    <row r="2050" spans="2:16" ht="15.75" customHeight="1">
      <c r="B2050" s="14"/>
      <c r="H2050" s="14"/>
      <c r="I2050" s="567"/>
      <c r="J2050" s="18"/>
      <c r="N2050" s="14"/>
      <c r="O2050" s="14"/>
      <c r="P2050" s="14"/>
    </row>
    <row r="2051" spans="2:16" ht="15.75" customHeight="1">
      <c r="B2051" s="14"/>
      <c r="H2051" s="14"/>
      <c r="I2051" s="567"/>
      <c r="J2051" s="18"/>
      <c r="N2051" s="14"/>
      <c r="O2051" s="14"/>
      <c r="P2051" s="14"/>
    </row>
    <row r="2052" spans="2:16" ht="15.75" customHeight="1">
      <c r="B2052" s="14"/>
      <c r="H2052" s="14"/>
      <c r="I2052" s="567"/>
      <c r="J2052" s="18"/>
      <c r="N2052" s="14"/>
      <c r="O2052" s="14"/>
      <c r="P2052" s="14"/>
    </row>
    <row r="2053" spans="2:16" ht="15.75" customHeight="1">
      <c r="B2053" s="14"/>
      <c r="H2053" s="14"/>
      <c r="I2053" s="567"/>
      <c r="J2053" s="18"/>
      <c r="N2053" s="14"/>
      <c r="O2053" s="14"/>
      <c r="P2053" s="14"/>
    </row>
    <row r="2054" spans="2:16" ht="15.75" customHeight="1">
      <c r="B2054" s="14"/>
      <c r="H2054" s="14"/>
      <c r="I2054" s="567"/>
      <c r="J2054" s="18"/>
      <c r="N2054" s="14"/>
      <c r="O2054" s="14"/>
      <c r="P2054" s="14"/>
    </row>
    <row r="2055" spans="2:16" ht="15.75" customHeight="1">
      <c r="B2055" s="14"/>
      <c r="H2055" s="14"/>
      <c r="I2055" s="567"/>
      <c r="J2055" s="18"/>
      <c r="N2055" s="14"/>
      <c r="O2055" s="14"/>
      <c r="P2055" s="14"/>
    </row>
    <row r="2056" spans="2:16" ht="15.75" customHeight="1">
      <c r="B2056" s="14"/>
      <c r="H2056" s="14"/>
      <c r="I2056" s="567"/>
      <c r="J2056" s="18"/>
      <c r="N2056" s="14"/>
      <c r="O2056" s="14"/>
      <c r="P2056" s="14"/>
    </row>
    <row r="2057" spans="2:16" ht="15.75" customHeight="1">
      <c r="B2057" s="14"/>
      <c r="H2057" s="14"/>
      <c r="I2057" s="567"/>
      <c r="J2057" s="18"/>
      <c r="N2057" s="14"/>
      <c r="O2057" s="14"/>
      <c r="P2057" s="14"/>
    </row>
    <row r="2058" spans="2:16" ht="15.75" customHeight="1">
      <c r="B2058" s="14"/>
      <c r="H2058" s="14"/>
      <c r="I2058" s="567"/>
      <c r="J2058" s="18"/>
      <c r="N2058" s="14"/>
      <c r="O2058" s="14"/>
      <c r="P2058" s="14"/>
    </row>
    <row r="2059" spans="2:16" ht="15.75" customHeight="1">
      <c r="B2059" s="14"/>
      <c r="H2059" s="14"/>
      <c r="I2059" s="567"/>
      <c r="J2059" s="18"/>
      <c r="N2059" s="14"/>
      <c r="O2059" s="14"/>
      <c r="P2059" s="14"/>
    </row>
    <row r="2060" spans="2:16" ht="15.75" customHeight="1">
      <c r="B2060" s="14"/>
      <c r="H2060" s="14"/>
      <c r="I2060" s="567"/>
      <c r="J2060" s="18"/>
      <c r="N2060" s="14"/>
      <c r="O2060" s="14"/>
      <c r="P2060" s="14"/>
    </row>
    <row r="2061" spans="2:16" ht="15.75" customHeight="1">
      <c r="B2061" s="14"/>
      <c r="H2061" s="14"/>
      <c r="I2061" s="567"/>
      <c r="J2061" s="18"/>
      <c r="N2061" s="14"/>
      <c r="O2061" s="14"/>
      <c r="P2061" s="14"/>
    </row>
    <row r="2062" spans="2:16" ht="15.75" customHeight="1">
      <c r="B2062" s="14"/>
      <c r="H2062" s="14"/>
      <c r="I2062" s="567"/>
      <c r="J2062" s="18"/>
      <c r="N2062" s="14"/>
      <c r="O2062" s="14"/>
      <c r="P2062" s="14"/>
    </row>
    <row r="2063" spans="2:16" ht="15.75" customHeight="1">
      <c r="B2063" s="14"/>
      <c r="H2063" s="14"/>
      <c r="I2063" s="567"/>
      <c r="J2063" s="18"/>
      <c r="N2063" s="14"/>
      <c r="O2063" s="14"/>
      <c r="P2063" s="14"/>
    </row>
    <row r="2064" spans="2:16" ht="15.75" customHeight="1">
      <c r="B2064" s="14"/>
      <c r="H2064" s="14"/>
      <c r="I2064" s="567"/>
      <c r="J2064" s="18"/>
      <c r="N2064" s="14"/>
      <c r="O2064" s="14"/>
      <c r="P2064" s="14"/>
    </row>
    <row r="2065" spans="2:16" ht="15.75" customHeight="1">
      <c r="B2065" s="14"/>
      <c r="H2065" s="14"/>
      <c r="I2065" s="567"/>
      <c r="J2065" s="18"/>
      <c r="N2065" s="14"/>
      <c r="O2065" s="14"/>
      <c r="P2065" s="14"/>
    </row>
    <row r="2066" spans="2:16" ht="15.75" customHeight="1">
      <c r="B2066" s="14"/>
      <c r="H2066" s="14"/>
      <c r="I2066" s="567"/>
      <c r="J2066" s="18"/>
      <c r="N2066" s="14"/>
      <c r="O2066" s="14"/>
      <c r="P2066" s="14"/>
    </row>
    <row r="2067" spans="2:16" ht="15.75" customHeight="1">
      <c r="B2067" s="14"/>
      <c r="H2067" s="14"/>
      <c r="I2067" s="567"/>
      <c r="J2067" s="18"/>
      <c r="N2067" s="14"/>
      <c r="O2067" s="14"/>
      <c r="P2067" s="14"/>
    </row>
    <row r="2068" spans="2:16" ht="15.75" customHeight="1">
      <c r="B2068" s="14"/>
      <c r="H2068" s="14"/>
      <c r="I2068" s="567"/>
      <c r="J2068" s="18"/>
      <c r="N2068" s="14"/>
      <c r="O2068" s="14"/>
      <c r="P2068" s="14"/>
    </row>
    <row r="2069" spans="2:16" ht="15.75" customHeight="1">
      <c r="B2069" s="14"/>
      <c r="H2069" s="14"/>
      <c r="I2069" s="567"/>
      <c r="J2069" s="18"/>
      <c r="N2069" s="14"/>
      <c r="O2069" s="14"/>
      <c r="P2069" s="14"/>
    </row>
    <row r="2070" spans="2:16" ht="15.75" customHeight="1">
      <c r="B2070" s="14"/>
      <c r="H2070" s="14"/>
      <c r="I2070" s="567"/>
      <c r="J2070" s="18"/>
      <c r="N2070" s="14"/>
      <c r="O2070" s="14"/>
      <c r="P2070" s="14"/>
    </row>
    <row r="2071" spans="2:16" ht="15.75" customHeight="1">
      <c r="B2071" s="14"/>
      <c r="H2071" s="14"/>
      <c r="I2071" s="567"/>
      <c r="J2071" s="18"/>
      <c r="N2071" s="14"/>
      <c r="O2071" s="14"/>
      <c r="P2071" s="14"/>
    </row>
    <row r="2072" spans="2:16" ht="15.75" customHeight="1">
      <c r="B2072" s="14"/>
      <c r="H2072" s="14"/>
      <c r="I2072" s="567"/>
      <c r="J2072" s="18"/>
      <c r="N2072" s="14"/>
      <c r="O2072" s="14"/>
      <c r="P2072" s="14"/>
    </row>
    <row r="2073" spans="2:16" ht="15.75" customHeight="1">
      <c r="B2073" s="14"/>
      <c r="H2073" s="14"/>
      <c r="I2073" s="567"/>
      <c r="J2073" s="18"/>
      <c r="N2073" s="14"/>
      <c r="O2073" s="14"/>
      <c r="P2073" s="14"/>
    </row>
    <row r="2074" spans="2:16" ht="15.75" customHeight="1">
      <c r="B2074" s="14"/>
      <c r="H2074" s="14"/>
      <c r="I2074" s="567"/>
      <c r="J2074" s="18"/>
      <c r="N2074" s="14"/>
      <c r="O2074" s="14"/>
      <c r="P2074" s="14"/>
    </row>
    <row r="2075" spans="2:16" ht="15.75" customHeight="1">
      <c r="B2075" s="14"/>
      <c r="H2075" s="14"/>
      <c r="I2075" s="567"/>
      <c r="J2075" s="18"/>
      <c r="N2075" s="14"/>
      <c r="O2075" s="14"/>
      <c r="P2075" s="14"/>
    </row>
    <row r="2076" spans="2:16" ht="15.75" customHeight="1">
      <c r="B2076" s="14"/>
      <c r="H2076" s="14"/>
      <c r="I2076" s="567"/>
      <c r="J2076" s="18"/>
      <c r="N2076" s="14"/>
      <c r="O2076" s="14"/>
      <c r="P2076" s="14"/>
    </row>
    <row r="2077" spans="2:16" ht="15.75" customHeight="1">
      <c r="B2077" s="14"/>
      <c r="H2077" s="14"/>
      <c r="I2077" s="567"/>
      <c r="J2077" s="18"/>
      <c r="N2077" s="14"/>
      <c r="O2077" s="14"/>
      <c r="P2077" s="14"/>
    </row>
    <row r="2078" spans="2:16" ht="15.75" customHeight="1">
      <c r="B2078" s="14"/>
      <c r="H2078" s="14"/>
      <c r="I2078" s="567"/>
      <c r="J2078" s="18"/>
      <c r="N2078" s="14"/>
      <c r="O2078" s="14"/>
      <c r="P2078" s="14"/>
    </row>
    <row r="2079" spans="2:16" ht="15.75" customHeight="1">
      <c r="B2079" s="14"/>
      <c r="H2079" s="14"/>
      <c r="I2079" s="567"/>
      <c r="J2079" s="18"/>
      <c r="N2079" s="14"/>
      <c r="O2079" s="14"/>
      <c r="P2079" s="14"/>
    </row>
    <row r="2080" spans="2:16" ht="15.75" customHeight="1">
      <c r="B2080" s="14"/>
      <c r="H2080" s="14"/>
      <c r="I2080" s="567"/>
      <c r="J2080" s="18"/>
      <c r="N2080" s="14"/>
      <c r="O2080" s="14"/>
      <c r="P2080" s="14"/>
    </row>
    <row r="2081" spans="2:16" ht="15.75" customHeight="1">
      <c r="B2081" s="14"/>
      <c r="H2081" s="14"/>
      <c r="I2081" s="567"/>
      <c r="J2081" s="18"/>
      <c r="N2081" s="14"/>
      <c r="O2081" s="14"/>
      <c r="P2081" s="14"/>
    </row>
    <row r="2082" spans="2:16" ht="15.75" customHeight="1">
      <c r="B2082" s="14"/>
      <c r="H2082" s="14"/>
      <c r="I2082" s="567"/>
      <c r="J2082" s="18"/>
      <c r="N2082" s="14"/>
      <c r="O2082" s="14"/>
      <c r="P2082" s="14"/>
    </row>
    <row r="2083" spans="2:16" ht="15.75" customHeight="1">
      <c r="B2083" s="14"/>
      <c r="H2083" s="14"/>
      <c r="I2083" s="567"/>
      <c r="J2083" s="18"/>
      <c r="N2083" s="14"/>
      <c r="O2083" s="14"/>
      <c r="P2083" s="14"/>
    </row>
    <row r="2084" spans="2:16" ht="15.75" customHeight="1">
      <c r="B2084" s="14"/>
      <c r="H2084" s="14"/>
      <c r="I2084" s="567"/>
      <c r="J2084" s="18"/>
      <c r="N2084" s="14"/>
      <c r="O2084" s="14"/>
      <c r="P2084" s="14"/>
    </row>
    <row r="2085" spans="2:16" ht="15.75" customHeight="1">
      <c r="B2085" s="14"/>
      <c r="H2085" s="14"/>
      <c r="I2085" s="567"/>
      <c r="J2085" s="18"/>
      <c r="N2085" s="14"/>
      <c r="O2085" s="14"/>
      <c r="P2085" s="14"/>
    </row>
    <row r="2086" spans="2:16" ht="15.75" customHeight="1">
      <c r="B2086" s="14"/>
      <c r="H2086" s="14"/>
      <c r="I2086" s="567"/>
      <c r="J2086" s="18"/>
      <c r="N2086" s="14"/>
      <c r="O2086" s="14"/>
      <c r="P2086" s="14"/>
    </row>
    <row r="2087" spans="2:16" ht="15.75" customHeight="1">
      <c r="B2087" s="14"/>
      <c r="H2087" s="14"/>
      <c r="I2087" s="567"/>
      <c r="J2087" s="18"/>
      <c r="N2087" s="14"/>
      <c r="O2087" s="14"/>
      <c r="P2087" s="14"/>
    </row>
    <row r="2088" spans="2:16" ht="15.75" customHeight="1">
      <c r="B2088" s="14"/>
      <c r="H2088" s="14"/>
      <c r="I2088" s="567"/>
      <c r="J2088" s="18"/>
      <c r="N2088" s="14"/>
      <c r="O2088" s="14"/>
      <c r="P2088" s="14"/>
    </row>
    <row r="2089" spans="2:16" ht="15.75" customHeight="1">
      <c r="B2089" s="14"/>
      <c r="H2089" s="14"/>
      <c r="I2089" s="567"/>
      <c r="J2089" s="18"/>
      <c r="N2089" s="14"/>
      <c r="O2089" s="14"/>
      <c r="P2089" s="14"/>
    </row>
    <row r="2090" spans="2:16" ht="15.75" customHeight="1">
      <c r="B2090" s="14"/>
      <c r="H2090" s="14"/>
      <c r="I2090" s="567"/>
      <c r="J2090" s="18"/>
      <c r="N2090" s="14"/>
      <c r="O2090" s="14"/>
      <c r="P2090" s="14"/>
    </row>
    <row r="2091" spans="2:16" ht="15.75" customHeight="1">
      <c r="B2091" s="14"/>
      <c r="H2091" s="14"/>
      <c r="I2091" s="567"/>
      <c r="J2091" s="18"/>
      <c r="N2091" s="14"/>
      <c r="O2091" s="14"/>
      <c r="P2091" s="14"/>
    </row>
    <row r="2092" spans="2:16" ht="15.75" customHeight="1">
      <c r="B2092" s="14"/>
      <c r="H2092" s="14"/>
      <c r="I2092" s="567"/>
      <c r="J2092" s="18"/>
      <c r="N2092" s="14"/>
      <c r="O2092" s="14"/>
      <c r="P2092" s="14"/>
    </row>
    <row r="2093" spans="2:16" ht="15.75" customHeight="1">
      <c r="B2093" s="14"/>
      <c r="H2093" s="14"/>
      <c r="I2093" s="567"/>
      <c r="J2093" s="18"/>
      <c r="N2093" s="14"/>
      <c r="O2093" s="14"/>
      <c r="P2093" s="14"/>
    </row>
    <row r="2094" spans="2:16" ht="15.75" customHeight="1">
      <c r="B2094" s="14"/>
      <c r="H2094" s="14"/>
      <c r="I2094" s="567"/>
      <c r="J2094" s="18"/>
      <c r="N2094" s="14"/>
      <c r="O2094" s="14"/>
      <c r="P2094" s="14"/>
    </row>
    <row r="2095" spans="2:16" ht="15.75" customHeight="1">
      <c r="B2095" s="14"/>
      <c r="H2095" s="14"/>
      <c r="I2095" s="567"/>
      <c r="J2095" s="18"/>
      <c r="N2095" s="14"/>
      <c r="O2095" s="14"/>
      <c r="P2095" s="14"/>
    </row>
    <row r="2096" spans="2:16" ht="15.75" customHeight="1">
      <c r="B2096" s="14"/>
      <c r="H2096" s="14"/>
      <c r="I2096" s="567"/>
      <c r="J2096" s="18"/>
      <c r="N2096" s="14"/>
      <c r="O2096" s="14"/>
      <c r="P2096" s="14"/>
    </row>
    <row r="2097" spans="2:16" ht="15.75" customHeight="1">
      <c r="B2097" s="14"/>
      <c r="H2097" s="14"/>
      <c r="I2097" s="567"/>
      <c r="J2097" s="18"/>
      <c r="N2097" s="14"/>
      <c r="O2097" s="14"/>
      <c r="P2097" s="14"/>
    </row>
    <row r="2098" spans="2:16" ht="15.75" customHeight="1">
      <c r="B2098" s="14"/>
      <c r="H2098" s="14"/>
      <c r="I2098" s="567"/>
      <c r="J2098" s="18"/>
      <c r="N2098" s="14"/>
      <c r="O2098" s="14"/>
      <c r="P2098" s="14"/>
    </row>
    <row r="2099" spans="2:16" ht="15.75" customHeight="1">
      <c r="B2099" s="14"/>
      <c r="H2099" s="14"/>
      <c r="I2099" s="567"/>
      <c r="J2099" s="18"/>
      <c r="N2099" s="14"/>
      <c r="O2099" s="14"/>
      <c r="P2099" s="14"/>
    </row>
    <row r="2100" spans="2:16" ht="15.75" customHeight="1">
      <c r="B2100" s="14"/>
      <c r="H2100" s="14"/>
      <c r="I2100" s="567"/>
      <c r="J2100" s="18"/>
      <c r="N2100" s="14"/>
      <c r="O2100" s="14"/>
      <c r="P2100" s="14"/>
    </row>
    <row r="2101" spans="2:16" ht="15.75" customHeight="1">
      <c r="B2101" s="14"/>
      <c r="H2101" s="14"/>
      <c r="I2101" s="567"/>
      <c r="J2101" s="18"/>
      <c r="N2101" s="14"/>
      <c r="O2101" s="14"/>
      <c r="P2101" s="14"/>
    </row>
    <row r="2102" spans="2:16" ht="15.75" customHeight="1">
      <c r="B2102" s="14"/>
      <c r="H2102" s="14"/>
      <c r="I2102" s="567"/>
      <c r="J2102" s="18"/>
      <c r="N2102" s="14"/>
      <c r="O2102" s="14"/>
      <c r="P2102" s="14"/>
    </row>
    <row r="2103" spans="2:16" ht="15.75" customHeight="1">
      <c r="B2103" s="14"/>
      <c r="H2103" s="14"/>
      <c r="I2103" s="567"/>
      <c r="J2103" s="18"/>
      <c r="N2103" s="14"/>
      <c r="O2103" s="14"/>
      <c r="P2103" s="14"/>
    </row>
    <row r="2104" spans="2:16" ht="15.75" customHeight="1">
      <c r="B2104" s="14"/>
      <c r="H2104" s="14"/>
      <c r="I2104" s="567"/>
      <c r="J2104" s="18"/>
      <c r="N2104" s="14"/>
      <c r="O2104" s="14"/>
      <c r="P2104" s="14"/>
    </row>
    <row r="2105" spans="2:16" ht="15.75" customHeight="1">
      <c r="B2105" s="14"/>
      <c r="H2105" s="14"/>
      <c r="I2105" s="567"/>
      <c r="J2105" s="18"/>
      <c r="N2105" s="14"/>
      <c r="O2105" s="14"/>
      <c r="P2105" s="14"/>
    </row>
    <row r="2106" spans="2:16" ht="15.75" customHeight="1">
      <c r="B2106" s="14"/>
      <c r="H2106" s="14"/>
      <c r="I2106" s="567"/>
      <c r="J2106" s="18"/>
      <c r="N2106" s="14"/>
      <c r="O2106" s="14"/>
      <c r="P2106" s="14"/>
    </row>
    <row r="2107" spans="2:16" ht="15.75" customHeight="1">
      <c r="B2107" s="14"/>
      <c r="H2107" s="14"/>
      <c r="I2107" s="567"/>
      <c r="J2107" s="18"/>
      <c r="N2107" s="14"/>
      <c r="O2107" s="14"/>
      <c r="P2107" s="14"/>
    </row>
    <row r="2108" spans="2:16" ht="15.75" customHeight="1">
      <c r="B2108" s="14"/>
      <c r="H2108" s="14"/>
      <c r="I2108" s="567"/>
      <c r="J2108" s="18"/>
      <c r="N2108" s="14"/>
      <c r="O2108" s="14"/>
      <c r="P2108" s="14"/>
    </row>
    <row r="2109" spans="2:16" ht="15.75" customHeight="1">
      <c r="B2109" s="14"/>
      <c r="H2109" s="14"/>
      <c r="I2109" s="567"/>
      <c r="J2109" s="18"/>
      <c r="N2109" s="14"/>
      <c r="O2109" s="14"/>
      <c r="P2109" s="14"/>
    </row>
    <row r="2110" spans="2:16" ht="15.75" customHeight="1">
      <c r="B2110" s="14"/>
      <c r="H2110" s="14"/>
      <c r="I2110" s="567"/>
      <c r="J2110" s="18"/>
      <c r="N2110" s="14"/>
      <c r="O2110" s="14"/>
      <c r="P2110" s="14"/>
    </row>
    <row r="2111" spans="2:16" ht="15.75" customHeight="1">
      <c r="B2111" s="14"/>
      <c r="H2111" s="14"/>
      <c r="I2111" s="567"/>
      <c r="J2111" s="18"/>
      <c r="N2111" s="14"/>
      <c r="O2111" s="14"/>
      <c r="P2111" s="14"/>
    </row>
    <row r="2112" spans="2:16" ht="15.75" customHeight="1">
      <c r="B2112" s="14"/>
      <c r="H2112" s="14"/>
      <c r="I2112" s="567"/>
      <c r="J2112" s="18"/>
      <c r="N2112" s="14"/>
      <c r="O2112" s="14"/>
      <c r="P2112" s="14"/>
    </row>
    <row r="2113" spans="2:16" ht="15.75" customHeight="1">
      <c r="B2113" s="14"/>
      <c r="H2113" s="14"/>
      <c r="I2113" s="567"/>
      <c r="J2113" s="18"/>
      <c r="N2113" s="14"/>
      <c r="O2113" s="14"/>
      <c r="P2113" s="14"/>
    </row>
    <row r="2114" spans="2:16" ht="15.75" customHeight="1">
      <c r="B2114" s="14"/>
      <c r="H2114" s="14"/>
      <c r="I2114" s="567"/>
      <c r="J2114" s="18"/>
      <c r="N2114" s="14"/>
      <c r="O2114" s="14"/>
      <c r="P2114" s="14"/>
    </row>
    <row r="2115" spans="2:16" ht="15.75" customHeight="1">
      <c r="B2115" s="14"/>
      <c r="H2115" s="14"/>
      <c r="I2115" s="567"/>
      <c r="J2115" s="18"/>
      <c r="N2115" s="14"/>
      <c r="O2115" s="14"/>
      <c r="P2115" s="14"/>
    </row>
    <row r="2116" spans="2:16" ht="15.75" customHeight="1">
      <c r="B2116" s="14"/>
      <c r="H2116" s="14"/>
      <c r="I2116" s="567"/>
      <c r="J2116" s="18"/>
      <c r="N2116" s="14"/>
      <c r="O2116" s="14"/>
      <c r="P2116" s="14"/>
    </row>
    <row r="2117" spans="2:16" ht="15.75" customHeight="1">
      <c r="B2117" s="14"/>
      <c r="H2117" s="14"/>
      <c r="I2117" s="567"/>
      <c r="J2117" s="18"/>
      <c r="N2117" s="14"/>
      <c r="O2117" s="14"/>
      <c r="P2117" s="14"/>
    </row>
    <row r="2118" spans="2:16" ht="15.75" customHeight="1">
      <c r="B2118" s="14"/>
      <c r="H2118" s="14"/>
      <c r="I2118" s="567"/>
      <c r="J2118" s="18"/>
      <c r="N2118" s="14"/>
      <c r="O2118" s="14"/>
      <c r="P2118" s="14"/>
    </row>
    <row r="2119" spans="2:16" ht="15.75" customHeight="1">
      <c r="B2119" s="14"/>
      <c r="H2119" s="14"/>
      <c r="I2119" s="567"/>
      <c r="J2119" s="18"/>
      <c r="N2119" s="14"/>
      <c r="O2119" s="14"/>
      <c r="P2119" s="14"/>
    </row>
    <row r="2120" spans="2:16" ht="15.75" customHeight="1">
      <c r="B2120" s="14"/>
      <c r="H2120" s="14"/>
      <c r="I2120" s="567"/>
      <c r="J2120" s="18"/>
      <c r="N2120" s="14"/>
      <c r="O2120" s="14"/>
      <c r="P2120" s="14"/>
    </row>
    <row r="2121" spans="2:16" ht="15.75" customHeight="1">
      <c r="B2121" s="14"/>
      <c r="H2121" s="14"/>
      <c r="I2121" s="567"/>
      <c r="J2121" s="18"/>
      <c r="N2121" s="14"/>
      <c r="O2121" s="14"/>
      <c r="P2121" s="14"/>
    </row>
    <row r="2122" spans="2:16" ht="15.75" customHeight="1">
      <c r="B2122" s="14"/>
      <c r="H2122" s="14"/>
      <c r="I2122" s="567"/>
      <c r="J2122" s="18"/>
      <c r="N2122" s="14"/>
      <c r="O2122" s="14"/>
      <c r="P2122" s="14"/>
    </row>
    <row r="2123" spans="2:16" ht="15.75" customHeight="1">
      <c r="B2123" s="14"/>
      <c r="H2123" s="14"/>
      <c r="I2123" s="567"/>
      <c r="J2123" s="18"/>
      <c r="N2123" s="14"/>
      <c r="O2123" s="14"/>
      <c r="P2123" s="14"/>
    </row>
    <row r="2124" spans="2:16" ht="15.75" customHeight="1">
      <c r="B2124" s="14"/>
      <c r="H2124" s="14"/>
      <c r="I2124" s="567"/>
      <c r="J2124" s="18"/>
      <c r="N2124" s="14"/>
      <c r="O2124" s="14"/>
      <c r="P2124" s="14"/>
    </row>
    <row r="2125" spans="2:16" ht="15.75" customHeight="1">
      <c r="B2125" s="14"/>
      <c r="H2125" s="14"/>
      <c r="I2125" s="567"/>
      <c r="J2125" s="18"/>
      <c r="N2125" s="14"/>
      <c r="O2125" s="14"/>
      <c r="P2125" s="14"/>
    </row>
    <row r="2126" spans="2:16" ht="15.75" customHeight="1">
      <c r="B2126" s="14"/>
      <c r="H2126" s="14"/>
      <c r="I2126" s="567"/>
      <c r="J2126" s="18"/>
      <c r="N2126" s="14"/>
      <c r="O2126" s="14"/>
      <c r="P2126" s="14"/>
    </row>
    <row r="2127" spans="2:16" ht="15.75" customHeight="1">
      <c r="B2127" s="14"/>
      <c r="H2127" s="14"/>
      <c r="I2127" s="567"/>
      <c r="J2127" s="18"/>
      <c r="N2127" s="14"/>
      <c r="O2127" s="14"/>
      <c r="P2127" s="14"/>
    </row>
    <row r="2128" spans="2:16" ht="15.75" customHeight="1">
      <c r="B2128" s="14"/>
      <c r="H2128" s="14"/>
      <c r="I2128" s="567"/>
      <c r="J2128" s="18"/>
      <c r="N2128" s="14"/>
      <c r="O2128" s="14"/>
      <c r="P2128" s="14"/>
    </row>
    <row r="2129" spans="2:16" ht="15.75" customHeight="1">
      <c r="B2129" s="14"/>
      <c r="H2129" s="14"/>
      <c r="I2129" s="567"/>
      <c r="J2129" s="18"/>
      <c r="N2129" s="14"/>
      <c r="O2129" s="14"/>
      <c r="P2129" s="14"/>
    </row>
    <row r="2130" spans="2:16" ht="15.75" customHeight="1">
      <c r="B2130" s="14"/>
      <c r="H2130" s="14"/>
      <c r="I2130" s="567"/>
      <c r="J2130" s="18"/>
      <c r="N2130" s="14"/>
      <c r="O2130" s="14"/>
      <c r="P2130" s="14"/>
    </row>
    <row r="2131" spans="2:16" ht="15.75" customHeight="1">
      <c r="B2131" s="14"/>
      <c r="H2131" s="14"/>
      <c r="I2131" s="567"/>
      <c r="J2131" s="18"/>
      <c r="N2131" s="14"/>
      <c r="O2131" s="14"/>
      <c r="P2131" s="14"/>
    </row>
    <row r="2132" spans="2:16" ht="15.75" customHeight="1">
      <c r="B2132" s="14"/>
      <c r="H2132" s="14"/>
      <c r="I2132" s="567"/>
      <c r="J2132" s="18"/>
      <c r="N2132" s="14"/>
      <c r="O2132" s="14"/>
      <c r="P2132" s="14"/>
    </row>
    <row r="2133" spans="2:16" ht="15.75" customHeight="1">
      <c r="B2133" s="14"/>
      <c r="H2133" s="14"/>
      <c r="I2133" s="567"/>
      <c r="J2133" s="18"/>
      <c r="N2133" s="14"/>
      <c r="O2133" s="14"/>
      <c r="P2133" s="14"/>
    </row>
    <row r="2134" spans="2:16" ht="15.75" customHeight="1">
      <c r="B2134" s="14"/>
      <c r="H2134" s="14"/>
      <c r="I2134" s="567"/>
      <c r="J2134" s="18"/>
      <c r="N2134" s="14"/>
      <c r="O2134" s="14"/>
      <c r="P2134" s="14"/>
    </row>
    <row r="2135" spans="2:16" ht="15.75" customHeight="1">
      <c r="B2135" s="14"/>
      <c r="H2135" s="14"/>
      <c r="I2135" s="567"/>
      <c r="J2135" s="18"/>
      <c r="N2135" s="14"/>
      <c r="O2135" s="14"/>
      <c r="P2135" s="14"/>
    </row>
    <row r="2136" spans="2:16" ht="15.75" customHeight="1">
      <c r="B2136" s="14"/>
      <c r="H2136" s="14"/>
      <c r="I2136" s="567"/>
      <c r="J2136" s="18"/>
      <c r="N2136" s="14"/>
      <c r="O2136" s="14"/>
      <c r="P2136" s="14"/>
    </row>
    <row r="2137" spans="2:16" ht="15.75" customHeight="1">
      <c r="B2137" s="14"/>
      <c r="H2137" s="14"/>
      <c r="I2137" s="567"/>
      <c r="J2137" s="18"/>
      <c r="N2137" s="14"/>
      <c r="O2137" s="14"/>
      <c r="P2137" s="14"/>
    </row>
    <row r="2138" spans="2:16" ht="15.75" customHeight="1">
      <c r="B2138" s="14"/>
      <c r="H2138" s="14"/>
      <c r="I2138" s="567"/>
      <c r="J2138" s="18"/>
      <c r="N2138" s="14"/>
      <c r="O2138" s="14"/>
      <c r="P2138" s="14"/>
    </row>
    <row r="2139" spans="2:16" ht="15.75" customHeight="1">
      <c r="B2139" s="14"/>
      <c r="H2139" s="14"/>
      <c r="I2139" s="567"/>
      <c r="J2139" s="18"/>
      <c r="N2139" s="14"/>
      <c r="O2139" s="14"/>
      <c r="P2139" s="14"/>
    </row>
    <row r="2140" spans="2:16" ht="15.75" customHeight="1">
      <c r="B2140" s="14"/>
      <c r="H2140" s="14"/>
      <c r="I2140" s="567"/>
      <c r="J2140" s="18"/>
      <c r="N2140" s="14"/>
      <c r="O2140" s="14"/>
      <c r="P2140" s="14"/>
    </row>
    <row r="2141" spans="2:16" ht="15.75" customHeight="1">
      <c r="B2141" s="14"/>
      <c r="H2141" s="14"/>
      <c r="I2141" s="567"/>
      <c r="J2141" s="18"/>
      <c r="N2141" s="14"/>
      <c r="O2141" s="14"/>
      <c r="P2141" s="14"/>
    </row>
    <row r="2142" spans="2:16" ht="15.75" customHeight="1">
      <c r="B2142" s="14"/>
      <c r="H2142" s="14"/>
      <c r="I2142" s="567"/>
      <c r="J2142" s="18"/>
      <c r="N2142" s="14"/>
      <c r="O2142" s="14"/>
      <c r="P2142" s="14"/>
    </row>
    <row r="2143" spans="2:16" ht="15.75" customHeight="1">
      <c r="B2143" s="14"/>
      <c r="H2143" s="14"/>
      <c r="I2143" s="567"/>
      <c r="J2143" s="18"/>
      <c r="N2143" s="14"/>
      <c r="O2143" s="14"/>
      <c r="P2143" s="14"/>
    </row>
    <row r="2144" spans="2:16" ht="15.75" customHeight="1">
      <c r="B2144" s="14"/>
      <c r="H2144" s="14"/>
      <c r="I2144" s="567"/>
      <c r="J2144" s="18"/>
      <c r="N2144" s="14"/>
      <c r="O2144" s="14"/>
      <c r="P2144" s="14"/>
    </row>
    <row r="2145" spans="2:16" ht="15.75" customHeight="1">
      <c r="B2145" s="14"/>
      <c r="H2145" s="14"/>
      <c r="I2145" s="567"/>
      <c r="J2145" s="18"/>
      <c r="N2145" s="14"/>
      <c r="O2145" s="14"/>
      <c r="P2145" s="14"/>
    </row>
    <row r="2146" spans="2:16" ht="15.75" customHeight="1">
      <c r="B2146" s="14"/>
      <c r="H2146" s="14"/>
      <c r="I2146" s="567"/>
      <c r="J2146" s="18"/>
      <c r="N2146" s="14"/>
      <c r="O2146" s="14"/>
      <c r="P2146" s="14"/>
    </row>
    <row r="2147" spans="2:16" ht="15.75" customHeight="1">
      <c r="B2147" s="14"/>
      <c r="H2147" s="14"/>
      <c r="I2147" s="567"/>
      <c r="J2147" s="18"/>
      <c r="N2147" s="14"/>
      <c r="O2147" s="14"/>
      <c r="P2147" s="14"/>
    </row>
    <row r="2148" spans="2:16" ht="15.75" customHeight="1">
      <c r="B2148" s="14"/>
      <c r="H2148" s="14"/>
      <c r="I2148" s="567"/>
      <c r="J2148" s="18"/>
      <c r="N2148" s="14"/>
      <c r="O2148" s="14"/>
      <c r="P2148" s="14"/>
    </row>
    <row r="2149" spans="2:16" ht="15.75" customHeight="1">
      <c r="B2149" s="14"/>
      <c r="H2149" s="14"/>
      <c r="I2149" s="567"/>
      <c r="J2149" s="18"/>
      <c r="N2149" s="14"/>
      <c r="O2149" s="14"/>
      <c r="P2149" s="14"/>
    </row>
    <row r="2150" spans="2:16" ht="15.75" customHeight="1">
      <c r="B2150" s="14"/>
      <c r="H2150" s="14"/>
      <c r="I2150" s="567"/>
      <c r="J2150" s="18"/>
      <c r="N2150" s="14"/>
      <c r="O2150" s="14"/>
      <c r="P2150" s="14"/>
    </row>
    <row r="2151" spans="2:16" ht="15.75" customHeight="1">
      <c r="B2151" s="14"/>
      <c r="H2151" s="14"/>
      <c r="I2151" s="567"/>
      <c r="J2151" s="18"/>
      <c r="N2151" s="14"/>
      <c r="O2151" s="14"/>
      <c r="P2151" s="14"/>
    </row>
    <row r="2152" spans="2:16" ht="15.75" customHeight="1">
      <c r="B2152" s="14"/>
      <c r="H2152" s="14"/>
      <c r="I2152" s="567"/>
      <c r="J2152" s="18"/>
      <c r="N2152" s="14"/>
      <c r="O2152" s="14"/>
      <c r="P2152" s="14"/>
    </row>
    <row r="2153" spans="2:16" ht="15.75" customHeight="1">
      <c r="B2153" s="14"/>
      <c r="H2153" s="14"/>
      <c r="I2153" s="567"/>
      <c r="J2153" s="18"/>
      <c r="N2153" s="14"/>
      <c r="O2153" s="14"/>
      <c r="P2153" s="14"/>
    </row>
    <row r="2154" spans="2:16" ht="15.75" customHeight="1">
      <c r="B2154" s="14"/>
      <c r="H2154" s="14"/>
      <c r="I2154" s="567"/>
      <c r="J2154" s="18"/>
      <c r="N2154" s="14"/>
      <c r="O2154" s="14"/>
      <c r="P2154" s="14"/>
    </row>
    <row r="2155" spans="2:16" ht="15.75" customHeight="1">
      <c r="B2155" s="14"/>
      <c r="H2155" s="14"/>
      <c r="I2155" s="567"/>
      <c r="J2155" s="18"/>
      <c r="N2155" s="14"/>
      <c r="O2155" s="14"/>
      <c r="P2155" s="14"/>
    </row>
    <row r="2156" spans="2:16" ht="15.75" customHeight="1">
      <c r="B2156" s="14"/>
      <c r="H2156" s="14"/>
      <c r="I2156" s="567"/>
      <c r="J2156" s="18"/>
      <c r="N2156" s="14"/>
      <c r="O2156" s="14"/>
      <c r="P2156" s="14"/>
    </row>
    <row r="2157" spans="2:16" ht="15.75" customHeight="1">
      <c r="B2157" s="14"/>
      <c r="H2157" s="14"/>
      <c r="I2157" s="567"/>
      <c r="J2157" s="18"/>
      <c r="N2157" s="14"/>
      <c r="O2157" s="14"/>
      <c r="P2157" s="14"/>
    </row>
    <row r="2158" spans="2:16" ht="15.75" customHeight="1">
      <c r="B2158" s="14"/>
      <c r="H2158" s="14"/>
      <c r="I2158" s="567"/>
      <c r="J2158" s="18"/>
      <c r="N2158" s="14"/>
      <c r="O2158" s="14"/>
      <c r="P2158" s="14"/>
    </row>
    <row r="2159" spans="2:16" ht="15.75" customHeight="1">
      <c r="B2159" s="14"/>
      <c r="H2159" s="14"/>
      <c r="I2159" s="567"/>
      <c r="J2159" s="18"/>
      <c r="N2159" s="14"/>
      <c r="O2159" s="14"/>
      <c r="P2159" s="14"/>
    </row>
    <row r="2160" spans="2:16" ht="15.75" customHeight="1">
      <c r="B2160" s="14"/>
      <c r="H2160" s="14"/>
      <c r="I2160" s="567"/>
      <c r="J2160" s="18"/>
      <c r="N2160" s="14"/>
      <c r="O2160" s="14"/>
      <c r="P2160" s="14"/>
    </row>
    <row r="2161" spans="2:16" ht="15.75" customHeight="1">
      <c r="B2161" s="14"/>
      <c r="H2161" s="14"/>
      <c r="I2161" s="567"/>
      <c r="J2161" s="18"/>
      <c r="N2161" s="14"/>
      <c r="O2161" s="14"/>
      <c r="P2161" s="14"/>
    </row>
    <row r="2162" spans="2:16" ht="15.75" customHeight="1">
      <c r="B2162" s="14"/>
      <c r="H2162" s="14"/>
      <c r="I2162" s="567"/>
      <c r="J2162" s="18"/>
      <c r="N2162" s="14"/>
      <c r="O2162" s="14"/>
      <c r="P2162" s="14"/>
    </row>
    <row r="2163" spans="2:16" ht="15.75" customHeight="1">
      <c r="B2163" s="14"/>
      <c r="H2163" s="14"/>
      <c r="I2163" s="567"/>
      <c r="J2163" s="18"/>
      <c r="N2163" s="14"/>
      <c r="O2163" s="14"/>
      <c r="P2163" s="14"/>
    </row>
    <row r="2164" spans="2:16" ht="15.75" customHeight="1">
      <c r="B2164" s="14"/>
      <c r="H2164" s="14"/>
      <c r="I2164" s="567"/>
      <c r="J2164" s="18"/>
      <c r="N2164" s="14"/>
      <c r="O2164" s="14"/>
      <c r="P2164" s="14"/>
    </row>
    <row r="2165" spans="2:16" ht="15.75" customHeight="1">
      <c r="B2165" s="14"/>
      <c r="H2165" s="14"/>
      <c r="I2165" s="567"/>
      <c r="J2165" s="18"/>
      <c r="N2165" s="14"/>
      <c r="O2165" s="14"/>
      <c r="P2165" s="14"/>
    </row>
    <row r="2166" spans="2:16" ht="15.75" customHeight="1">
      <c r="B2166" s="14"/>
      <c r="H2166" s="14"/>
      <c r="I2166" s="567"/>
      <c r="J2166" s="18"/>
      <c r="N2166" s="14"/>
      <c r="O2166" s="14"/>
      <c r="P2166" s="14"/>
    </row>
    <row r="2167" spans="2:16" ht="15.75" customHeight="1">
      <c r="B2167" s="14"/>
      <c r="H2167" s="14"/>
      <c r="I2167" s="567"/>
      <c r="J2167" s="18"/>
      <c r="N2167" s="14"/>
      <c r="O2167" s="14"/>
      <c r="P2167" s="14"/>
    </row>
    <row r="2168" spans="2:16" ht="15.75" customHeight="1">
      <c r="B2168" s="14"/>
      <c r="H2168" s="14"/>
      <c r="I2168" s="567"/>
      <c r="J2168" s="18"/>
      <c r="N2168" s="14"/>
      <c r="O2168" s="14"/>
      <c r="P2168" s="14"/>
    </row>
    <row r="2169" spans="2:16" ht="15.75" customHeight="1">
      <c r="B2169" s="14"/>
      <c r="H2169" s="14"/>
      <c r="I2169" s="567"/>
      <c r="J2169" s="18"/>
      <c r="N2169" s="14"/>
      <c r="O2169" s="14"/>
      <c r="P2169" s="14"/>
    </row>
    <row r="2170" spans="2:16" ht="15.75" customHeight="1">
      <c r="B2170" s="14"/>
      <c r="H2170" s="14"/>
      <c r="I2170" s="567"/>
      <c r="J2170" s="18"/>
      <c r="N2170" s="14"/>
      <c r="O2170" s="14"/>
      <c r="P2170" s="14"/>
    </row>
    <row r="2171" spans="2:16" ht="15.75" customHeight="1">
      <c r="B2171" s="14"/>
      <c r="H2171" s="14"/>
      <c r="I2171" s="567"/>
      <c r="J2171" s="18"/>
      <c r="N2171" s="14"/>
      <c r="O2171" s="14"/>
      <c r="P2171" s="14"/>
    </row>
    <row r="2172" spans="2:16" ht="15.75" customHeight="1">
      <c r="B2172" s="14"/>
      <c r="H2172" s="14"/>
      <c r="I2172" s="567"/>
      <c r="J2172" s="18"/>
      <c r="N2172" s="14"/>
      <c r="O2172" s="14"/>
      <c r="P2172" s="14"/>
    </row>
    <row r="2173" spans="2:16" ht="15.75" customHeight="1">
      <c r="B2173" s="14"/>
      <c r="H2173" s="14"/>
      <c r="I2173" s="567"/>
      <c r="J2173" s="18"/>
      <c r="N2173" s="14"/>
      <c r="O2173" s="14"/>
      <c r="P2173" s="14"/>
    </row>
    <row r="2174" spans="2:16" ht="15.75" customHeight="1">
      <c r="B2174" s="14"/>
      <c r="H2174" s="14"/>
      <c r="I2174" s="567"/>
      <c r="J2174" s="18"/>
      <c r="N2174" s="14"/>
      <c r="O2174" s="14"/>
      <c r="P2174" s="14"/>
    </row>
    <row r="2175" spans="2:16" ht="15.75" customHeight="1">
      <c r="B2175" s="14"/>
      <c r="H2175" s="14"/>
      <c r="I2175" s="567"/>
      <c r="J2175" s="18"/>
      <c r="N2175" s="14"/>
      <c r="O2175" s="14"/>
      <c r="P2175" s="14"/>
    </row>
    <row r="2176" spans="2:16" ht="15.75" customHeight="1">
      <c r="B2176" s="14"/>
      <c r="H2176" s="14"/>
      <c r="I2176" s="567"/>
      <c r="J2176" s="18"/>
      <c r="N2176" s="14"/>
      <c r="O2176" s="14"/>
      <c r="P2176" s="14"/>
    </row>
    <row r="2177" spans="2:16" ht="15.75" customHeight="1">
      <c r="B2177" s="14"/>
      <c r="H2177" s="14"/>
      <c r="I2177" s="567"/>
      <c r="J2177" s="18"/>
      <c r="N2177" s="14"/>
      <c r="O2177" s="14"/>
      <c r="P2177" s="14"/>
    </row>
    <row r="2178" spans="2:16" ht="15.75" customHeight="1">
      <c r="B2178" s="14"/>
      <c r="H2178" s="14"/>
      <c r="I2178" s="567"/>
      <c r="J2178" s="18"/>
      <c r="N2178" s="14"/>
      <c r="O2178" s="14"/>
      <c r="P2178" s="14"/>
    </row>
    <row r="2179" spans="2:16" ht="15.75" customHeight="1">
      <c r="B2179" s="14"/>
      <c r="H2179" s="14"/>
      <c r="I2179" s="567"/>
      <c r="J2179" s="18"/>
      <c r="N2179" s="14"/>
      <c r="O2179" s="14"/>
      <c r="P2179" s="14"/>
    </row>
    <row r="2180" spans="2:16" ht="15.75" customHeight="1">
      <c r="B2180" s="14"/>
      <c r="H2180" s="14"/>
      <c r="I2180" s="567"/>
      <c r="J2180" s="18"/>
      <c r="N2180" s="14"/>
      <c r="O2180" s="14"/>
      <c r="P2180" s="14"/>
    </row>
    <row r="2181" spans="2:16" ht="15.75" customHeight="1">
      <c r="B2181" s="14"/>
      <c r="H2181" s="14"/>
      <c r="I2181" s="567"/>
      <c r="J2181" s="18"/>
      <c r="N2181" s="14"/>
      <c r="O2181" s="14"/>
      <c r="P2181" s="14"/>
    </row>
    <row r="2182" spans="2:16" ht="15.75" customHeight="1">
      <c r="B2182" s="14"/>
      <c r="H2182" s="14"/>
      <c r="I2182" s="567"/>
      <c r="J2182" s="18"/>
      <c r="N2182" s="14"/>
      <c r="O2182" s="14"/>
      <c r="P2182" s="14"/>
    </row>
    <row r="2183" spans="2:16" ht="15.75" customHeight="1">
      <c r="B2183" s="14"/>
      <c r="H2183" s="14"/>
      <c r="I2183" s="567"/>
      <c r="J2183" s="18"/>
      <c r="N2183" s="14"/>
      <c r="O2183" s="14"/>
      <c r="P2183" s="14"/>
    </row>
    <row r="2184" spans="2:16" ht="15.75" customHeight="1">
      <c r="B2184" s="14"/>
      <c r="H2184" s="14"/>
      <c r="I2184" s="567"/>
      <c r="J2184" s="18"/>
      <c r="N2184" s="14"/>
      <c r="O2184" s="14"/>
      <c r="P2184" s="14"/>
    </row>
    <row r="2185" spans="2:16" ht="15.75" customHeight="1">
      <c r="B2185" s="14"/>
      <c r="H2185" s="14"/>
      <c r="I2185" s="567"/>
      <c r="J2185" s="18"/>
      <c r="N2185" s="14"/>
      <c r="O2185" s="14"/>
      <c r="P2185" s="14"/>
    </row>
    <row r="2186" spans="2:16" ht="15.75" customHeight="1">
      <c r="B2186" s="14"/>
      <c r="H2186" s="14"/>
      <c r="I2186" s="567"/>
      <c r="J2186" s="18"/>
      <c r="N2186" s="14"/>
      <c r="O2186" s="14"/>
      <c r="P2186" s="14"/>
    </row>
    <row r="2187" spans="2:16" ht="15.75" customHeight="1">
      <c r="B2187" s="14"/>
      <c r="H2187" s="14"/>
      <c r="I2187" s="567"/>
      <c r="J2187" s="18"/>
      <c r="N2187" s="14"/>
      <c r="O2187" s="14"/>
      <c r="P2187" s="14"/>
    </row>
    <row r="2188" spans="2:16" ht="15.75" customHeight="1">
      <c r="B2188" s="14"/>
      <c r="H2188" s="14"/>
      <c r="I2188" s="567"/>
      <c r="J2188" s="18"/>
      <c r="N2188" s="14"/>
      <c r="O2188" s="14"/>
      <c r="P2188" s="14"/>
    </row>
    <row r="2189" spans="2:16" ht="15.75" customHeight="1">
      <c r="B2189" s="14"/>
      <c r="H2189" s="14"/>
      <c r="I2189" s="567"/>
      <c r="J2189" s="18"/>
      <c r="N2189" s="14"/>
      <c r="O2189" s="14"/>
      <c r="P2189" s="14"/>
    </row>
    <row r="2190" spans="2:16" ht="15.75" customHeight="1">
      <c r="B2190" s="14"/>
      <c r="H2190" s="14"/>
      <c r="I2190" s="567"/>
      <c r="J2190" s="18"/>
      <c r="N2190" s="14"/>
      <c r="O2190" s="14"/>
      <c r="P2190" s="14"/>
    </row>
    <row r="2191" spans="2:16" ht="15.75" customHeight="1">
      <c r="B2191" s="14"/>
      <c r="H2191" s="14"/>
      <c r="I2191" s="567"/>
      <c r="J2191" s="18"/>
      <c r="N2191" s="14"/>
      <c r="O2191" s="14"/>
      <c r="P2191" s="14"/>
    </row>
    <row r="2192" spans="2:16" ht="15.75" customHeight="1">
      <c r="B2192" s="14"/>
      <c r="H2192" s="14"/>
      <c r="I2192" s="567"/>
      <c r="J2192" s="18"/>
      <c r="N2192" s="14"/>
      <c r="O2192" s="14"/>
      <c r="P2192" s="14"/>
    </row>
    <row r="2193" spans="2:16" ht="15.75" customHeight="1">
      <c r="B2193" s="14"/>
      <c r="H2193" s="14"/>
      <c r="I2193" s="567"/>
      <c r="J2193" s="18"/>
      <c r="N2193" s="14"/>
      <c r="O2193" s="14"/>
      <c r="P2193" s="14"/>
    </row>
    <row r="2194" spans="2:16" ht="15.75" customHeight="1">
      <c r="B2194" s="14"/>
      <c r="H2194" s="14"/>
      <c r="I2194" s="567"/>
      <c r="J2194" s="18"/>
      <c r="N2194" s="14"/>
      <c r="O2194" s="14"/>
      <c r="P2194" s="14"/>
    </row>
    <row r="2195" spans="2:16" ht="15.75" customHeight="1">
      <c r="B2195" s="14"/>
      <c r="H2195" s="14"/>
      <c r="I2195" s="567"/>
      <c r="J2195" s="18"/>
      <c r="N2195" s="14"/>
      <c r="O2195" s="14"/>
      <c r="P2195" s="14"/>
    </row>
    <row r="2196" spans="2:16" ht="15.75" customHeight="1">
      <c r="B2196" s="14"/>
      <c r="H2196" s="14"/>
      <c r="I2196" s="567"/>
      <c r="J2196" s="18"/>
      <c r="N2196" s="14"/>
      <c r="O2196" s="14"/>
      <c r="P2196" s="14"/>
    </row>
    <row r="2197" spans="2:16" ht="15.75" customHeight="1">
      <c r="B2197" s="14"/>
      <c r="H2197" s="14"/>
      <c r="I2197" s="567"/>
      <c r="J2197" s="18"/>
      <c r="N2197" s="14"/>
      <c r="O2197" s="14"/>
      <c r="P2197" s="14"/>
    </row>
    <row r="2198" spans="2:16" ht="15.75" customHeight="1">
      <c r="B2198" s="14"/>
      <c r="H2198" s="14"/>
      <c r="I2198" s="567"/>
      <c r="J2198" s="18"/>
      <c r="N2198" s="14"/>
      <c r="O2198" s="14"/>
      <c r="P2198" s="14"/>
    </row>
    <row r="2199" spans="2:16" ht="15.75" customHeight="1">
      <c r="B2199" s="14"/>
      <c r="H2199" s="14"/>
      <c r="I2199" s="567"/>
      <c r="J2199" s="18"/>
      <c r="N2199" s="14"/>
      <c r="O2199" s="14"/>
      <c r="P2199" s="14"/>
    </row>
    <row r="2200" spans="2:16" ht="15.75" customHeight="1">
      <c r="B2200" s="14"/>
      <c r="H2200" s="14"/>
      <c r="I2200" s="567"/>
      <c r="J2200" s="18"/>
      <c r="N2200" s="14"/>
      <c r="O2200" s="14"/>
      <c r="P2200" s="14"/>
    </row>
    <row r="2201" spans="2:16" ht="15.75" customHeight="1">
      <c r="B2201" s="14"/>
      <c r="H2201" s="14"/>
      <c r="I2201" s="567"/>
      <c r="J2201" s="18"/>
      <c r="N2201" s="14"/>
      <c r="O2201" s="14"/>
      <c r="P2201" s="14"/>
    </row>
    <row r="2202" spans="2:16" ht="15.75" customHeight="1">
      <c r="B2202" s="14"/>
      <c r="H2202" s="14"/>
      <c r="I2202" s="567"/>
      <c r="J2202" s="18"/>
      <c r="N2202" s="14"/>
      <c r="O2202" s="14"/>
      <c r="P2202" s="14"/>
    </row>
    <row r="2203" spans="2:16" ht="15.75" customHeight="1">
      <c r="B2203" s="14"/>
      <c r="H2203" s="14"/>
      <c r="I2203" s="567"/>
      <c r="J2203" s="18"/>
      <c r="N2203" s="14"/>
      <c r="O2203" s="14"/>
      <c r="P2203" s="14"/>
    </row>
    <row r="2204" spans="2:16" ht="15.75" customHeight="1">
      <c r="B2204" s="14"/>
      <c r="H2204" s="14"/>
      <c r="I2204" s="567"/>
      <c r="J2204" s="18"/>
      <c r="N2204" s="14"/>
      <c r="O2204" s="14"/>
      <c r="P2204" s="14"/>
    </row>
    <row r="2205" spans="2:16" ht="15.75" customHeight="1">
      <c r="B2205" s="14"/>
      <c r="H2205" s="14"/>
      <c r="I2205" s="567"/>
      <c r="J2205" s="18"/>
      <c r="N2205" s="14"/>
      <c r="O2205" s="14"/>
      <c r="P2205" s="14"/>
    </row>
    <row r="2206" spans="2:16" ht="15.75" customHeight="1">
      <c r="B2206" s="14"/>
      <c r="H2206" s="14"/>
      <c r="I2206" s="567"/>
      <c r="J2206" s="18"/>
      <c r="N2206" s="14"/>
      <c r="O2206" s="14"/>
      <c r="P2206" s="14"/>
    </row>
    <row r="2207" spans="2:16" ht="15.75" customHeight="1">
      <c r="B2207" s="14"/>
      <c r="H2207" s="14"/>
      <c r="I2207" s="567"/>
      <c r="J2207" s="18"/>
      <c r="N2207" s="14"/>
      <c r="O2207" s="14"/>
      <c r="P2207" s="14"/>
    </row>
    <row r="2208" spans="2:16" ht="15.75" customHeight="1">
      <c r="B2208" s="14"/>
      <c r="H2208" s="14"/>
      <c r="I2208" s="567"/>
      <c r="J2208" s="18"/>
      <c r="N2208" s="14"/>
      <c r="O2208" s="14"/>
      <c r="P2208" s="14"/>
    </row>
    <row r="2209" spans="2:16" ht="15.75" customHeight="1">
      <c r="B2209" s="14"/>
      <c r="H2209" s="14"/>
      <c r="I2209" s="567"/>
      <c r="J2209" s="18"/>
      <c r="N2209" s="14"/>
      <c r="O2209" s="14"/>
      <c r="P2209" s="14"/>
    </row>
    <row r="2210" spans="2:16" ht="15.75" customHeight="1">
      <c r="B2210" s="14"/>
      <c r="H2210" s="14"/>
      <c r="I2210" s="567"/>
      <c r="J2210" s="18"/>
      <c r="N2210" s="14"/>
      <c r="O2210" s="14"/>
      <c r="P2210" s="14"/>
    </row>
    <row r="2211" spans="2:16" ht="15.75" customHeight="1">
      <c r="B2211" s="14"/>
      <c r="H2211" s="14"/>
      <c r="I2211" s="567"/>
      <c r="J2211" s="18"/>
      <c r="N2211" s="14"/>
      <c r="O2211" s="14"/>
      <c r="P2211" s="14"/>
    </row>
    <row r="2212" spans="2:16" ht="15.75" customHeight="1">
      <c r="B2212" s="14"/>
      <c r="H2212" s="14"/>
      <c r="I2212" s="567"/>
      <c r="J2212" s="18"/>
      <c r="N2212" s="14"/>
      <c r="O2212" s="14"/>
      <c r="P2212" s="14"/>
    </row>
    <row r="2213" spans="2:16" ht="15.75" customHeight="1">
      <c r="B2213" s="14"/>
      <c r="H2213" s="14"/>
      <c r="I2213" s="567"/>
      <c r="J2213" s="18"/>
      <c r="N2213" s="14"/>
      <c r="O2213" s="14"/>
      <c r="P2213" s="14"/>
    </row>
    <row r="2214" spans="2:16" ht="15.75" customHeight="1">
      <c r="B2214" s="14"/>
      <c r="H2214" s="14"/>
      <c r="I2214" s="567"/>
      <c r="J2214" s="18"/>
      <c r="N2214" s="14"/>
      <c r="O2214" s="14"/>
      <c r="P2214" s="14"/>
    </row>
    <row r="2215" spans="2:16" ht="15.75" customHeight="1">
      <c r="B2215" s="14"/>
      <c r="H2215" s="14"/>
      <c r="I2215" s="567"/>
      <c r="J2215" s="18"/>
      <c r="N2215" s="14"/>
      <c r="O2215" s="14"/>
      <c r="P2215" s="14"/>
    </row>
    <row r="2216" spans="2:16" ht="15.75" customHeight="1">
      <c r="B2216" s="14"/>
      <c r="H2216" s="14"/>
      <c r="I2216" s="567"/>
      <c r="J2216" s="18"/>
      <c r="N2216" s="14"/>
      <c r="O2216" s="14"/>
      <c r="P2216" s="14"/>
    </row>
    <row r="2217" spans="2:16" ht="15.75" customHeight="1">
      <c r="B2217" s="14"/>
      <c r="H2217" s="14"/>
      <c r="I2217" s="567"/>
      <c r="J2217" s="18"/>
      <c r="N2217" s="14"/>
      <c r="O2217" s="14"/>
      <c r="P2217" s="14"/>
    </row>
    <row r="2218" spans="2:16" ht="15.75" customHeight="1">
      <c r="B2218" s="14"/>
      <c r="H2218" s="14"/>
      <c r="I2218" s="567"/>
      <c r="J2218" s="18"/>
      <c r="N2218" s="14"/>
      <c r="O2218" s="14"/>
      <c r="P2218" s="14"/>
    </row>
    <row r="2219" spans="2:16" ht="15.75" customHeight="1">
      <c r="B2219" s="14"/>
      <c r="H2219" s="14"/>
      <c r="I2219" s="567"/>
      <c r="J2219" s="18"/>
      <c r="N2219" s="14"/>
      <c r="O2219" s="14"/>
      <c r="P2219" s="14"/>
    </row>
    <row r="2220" spans="2:16" ht="15.75" customHeight="1">
      <c r="B2220" s="14"/>
      <c r="H2220" s="14"/>
      <c r="I2220" s="567"/>
      <c r="J2220" s="18"/>
      <c r="N2220" s="14"/>
      <c r="O2220" s="14"/>
      <c r="P2220" s="14"/>
    </row>
    <row r="2221" spans="2:16" ht="15.75" customHeight="1">
      <c r="B2221" s="14"/>
      <c r="H2221" s="14"/>
      <c r="I2221" s="567"/>
      <c r="J2221" s="18"/>
      <c r="N2221" s="14"/>
      <c r="O2221" s="14"/>
      <c r="P2221" s="14"/>
    </row>
    <row r="2222" spans="2:16" ht="15.75" customHeight="1">
      <c r="B2222" s="14"/>
      <c r="H2222" s="14"/>
      <c r="I2222" s="567"/>
      <c r="J2222" s="18"/>
      <c r="N2222" s="14"/>
      <c r="O2222" s="14"/>
      <c r="P2222" s="14"/>
    </row>
    <row r="2223" spans="2:16" ht="15.75" customHeight="1">
      <c r="B2223" s="14"/>
      <c r="H2223" s="14"/>
      <c r="I2223" s="567"/>
      <c r="J2223" s="18"/>
      <c r="N2223" s="14"/>
      <c r="O2223" s="14"/>
      <c r="P2223" s="14"/>
    </row>
    <row r="2224" spans="2:16" ht="15.75" customHeight="1">
      <c r="B2224" s="14"/>
      <c r="H2224" s="14"/>
      <c r="I2224" s="567"/>
      <c r="J2224" s="18"/>
      <c r="N2224" s="14"/>
      <c r="O2224" s="14"/>
      <c r="P2224" s="14"/>
    </row>
    <row r="2225" spans="2:16" ht="15.75" customHeight="1">
      <c r="B2225" s="14"/>
      <c r="H2225" s="14"/>
      <c r="I2225" s="567"/>
      <c r="J2225" s="18"/>
      <c r="N2225" s="14"/>
      <c r="O2225" s="14"/>
      <c r="P2225" s="14"/>
    </row>
    <row r="2226" spans="2:16" ht="15.75" customHeight="1">
      <c r="B2226" s="14"/>
      <c r="H2226" s="14"/>
      <c r="I2226" s="567"/>
      <c r="J2226" s="18"/>
      <c r="N2226" s="14"/>
      <c r="O2226" s="14"/>
      <c r="P2226" s="14"/>
    </row>
    <row r="2227" spans="2:16" ht="15.75" customHeight="1">
      <c r="B2227" s="14"/>
      <c r="H2227" s="14"/>
      <c r="I2227" s="567"/>
      <c r="J2227" s="18"/>
      <c r="N2227" s="14"/>
      <c r="O2227" s="14"/>
      <c r="P2227" s="14"/>
    </row>
    <row r="2228" spans="2:16" ht="15.75" customHeight="1">
      <c r="B2228" s="14"/>
      <c r="H2228" s="14"/>
      <c r="I2228" s="567"/>
      <c r="J2228" s="18"/>
      <c r="N2228" s="14"/>
      <c r="O2228" s="14"/>
      <c r="P2228" s="14"/>
    </row>
    <row r="2229" spans="2:16" ht="15.75" customHeight="1">
      <c r="B2229" s="14"/>
      <c r="H2229" s="14"/>
      <c r="I2229" s="567"/>
      <c r="J2229" s="18"/>
      <c r="N2229" s="14"/>
      <c r="O2229" s="14"/>
      <c r="P2229" s="14"/>
    </row>
    <row r="2230" spans="2:16" ht="15.75" customHeight="1">
      <c r="B2230" s="14"/>
      <c r="H2230" s="14"/>
      <c r="I2230" s="567"/>
      <c r="J2230" s="18"/>
      <c r="N2230" s="14"/>
      <c r="O2230" s="14"/>
      <c r="P2230" s="14"/>
    </row>
    <row r="2231" spans="2:16" ht="15.75" customHeight="1">
      <c r="B2231" s="14"/>
      <c r="H2231" s="14"/>
      <c r="I2231" s="567"/>
      <c r="J2231" s="18"/>
      <c r="N2231" s="14"/>
      <c r="O2231" s="14"/>
      <c r="P2231" s="14"/>
    </row>
    <row r="2232" spans="2:16" ht="15.75" customHeight="1">
      <c r="B2232" s="14"/>
      <c r="H2232" s="14"/>
      <c r="I2232" s="567"/>
      <c r="J2232" s="18"/>
      <c r="N2232" s="14"/>
      <c r="O2232" s="14"/>
      <c r="P2232" s="14"/>
    </row>
    <row r="2233" spans="2:16" ht="15.75" customHeight="1">
      <c r="B2233" s="14"/>
      <c r="H2233" s="14"/>
      <c r="I2233" s="567"/>
      <c r="J2233" s="18"/>
      <c r="N2233" s="14"/>
      <c r="O2233" s="14"/>
      <c r="P2233" s="14"/>
    </row>
    <row r="2234" spans="2:16" ht="15.75" customHeight="1">
      <c r="B2234" s="14"/>
      <c r="H2234" s="14"/>
      <c r="I2234" s="567"/>
      <c r="J2234" s="18"/>
      <c r="N2234" s="14"/>
      <c r="O2234" s="14"/>
      <c r="P2234" s="14"/>
    </row>
    <row r="2235" spans="2:16" ht="15.75" customHeight="1">
      <c r="B2235" s="14"/>
      <c r="H2235" s="14"/>
      <c r="I2235" s="567"/>
      <c r="J2235" s="18"/>
      <c r="N2235" s="14"/>
      <c r="O2235" s="14"/>
      <c r="P2235" s="14"/>
    </row>
    <row r="2236" spans="2:16" ht="15.75" customHeight="1">
      <c r="B2236" s="14"/>
      <c r="H2236" s="14"/>
      <c r="I2236" s="567"/>
      <c r="J2236" s="18"/>
      <c r="N2236" s="14"/>
      <c r="O2236" s="14"/>
      <c r="P2236" s="14"/>
    </row>
    <row r="2237" spans="2:16" ht="15.75" customHeight="1">
      <c r="B2237" s="14"/>
      <c r="H2237" s="14"/>
      <c r="I2237" s="567"/>
      <c r="J2237" s="18"/>
      <c r="N2237" s="14"/>
      <c r="O2237" s="14"/>
      <c r="P2237" s="14"/>
    </row>
    <row r="2238" spans="2:16" ht="15.75" customHeight="1">
      <c r="B2238" s="14"/>
      <c r="H2238" s="14"/>
      <c r="I2238" s="567"/>
      <c r="J2238" s="18"/>
      <c r="N2238" s="14"/>
      <c r="O2238" s="14"/>
      <c r="P2238" s="14"/>
    </row>
    <row r="2239" spans="2:16" ht="15.75" customHeight="1">
      <c r="B2239" s="14"/>
      <c r="H2239" s="14"/>
      <c r="I2239" s="567"/>
      <c r="J2239" s="18"/>
      <c r="N2239" s="14"/>
      <c r="O2239" s="14"/>
      <c r="P2239" s="14"/>
    </row>
    <row r="2240" spans="2:16" ht="15.75" customHeight="1">
      <c r="B2240" s="14"/>
      <c r="H2240" s="14"/>
      <c r="I2240" s="567"/>
      <c r="J2240" s="18"/>
      <c r="N2240" s="14"/>
      <c r="O2240" s="14"/>
      <c r="P2240" s="14"/>
    </row>
    <row r="2241" spans="2:16" ht="15.75" customHeight="1">
      <c r="B2241" s="14"/>
      <c r="H2241" s="14"/>
      <c r="I2241" s="567"/>
      <c r="J2241" s="18"/>
      <c r="N2241" s="14"/>
      <c r="O2241" s="14"/>
      <c r="P2241" s="14"/>
    </row>
    <row r="2242" spans="2:16" ht="15.75" customHeight="1">
      <c r="B2242" s="14"/>
      <c r="H2242" s="14"/>
      <c r="I2242" s="567"/>
      <c r="J2242" s="18"/>
      <c r="N2242" s="14"/>
      <c r="O2242" s="14"/>
      <c r="P2242" s="14"/>
    </row>
    <row r="2243" spans="2:16" ht="15.75" customHeight="1">
      <c r="B2243" s="14"/>
      <c r="H2243" s="14"/>
      <c r="I2243" s="567"/>
      <c r="J2243" s="18"/>
      <c r="N2243" s="14"/>
      <c r="O2243" s="14"/>
      <c r="P2243" s="14"/>
    </row>
    <row r="2244" spans="2:16" ht="15.75" customHeight="1">
      <c r="B2244" s="14"/>
      <c r="H2244" s="14"/>
      <c r="I2244" s="567"/>
      <c r="J2244" s="18"/>
      <c r="N2244" s="14"/>
      <c r="O2244" s="14"/>
      <c r="P2244" s="14"/>
    </row>
    <row r="2245" spans="2:16" ht="15.75" customHeight="1">
      <c r="B2245" s="14"/>
      <c r="H2245" s="14"/>
      <c r="I2245" s="567"/>
      <c r="J2245" s="18"/>
      <c r="N2245" s="14"/>
      <c r="O2245" s="14"/>
      <c r="P2245" s="14"/>
    </row>
    <row r="2246" spans="2:16" ht="15.75" customHeight="1">
      <c r="B2246" s="14"/>
      <c r="H2246" s="14"/>
      <c r="I2246" s="567"/>
      <c r="J2246" s="18"/>
      <c r="N2246" s="14"/>
      <c r="O2246" s="14"/>
      <c r="P2246" s="14"/>
    </row>
    <row r="2247" spans="2:16" ht="15.75" customHeight="1">
      <c r="B2247" s="14"/>
      <c r="H2247" s="14"/>
      <c r="I2247" s="567"/>
      <c r="J2247" s="18"/>
      <c r="N2247" s="14"/>
      <c r="O2247" s="14"/>
      <c r="P2247" s="14"/>
    </row>
    <row r="2248" spans="2:16" ht="15.75" customHeight="1">
      <c r="B2248" s="14"/>
      <c r="H2248" s="14"/>
      <c r="I2248" s="567"/>
      <c r="J2248" s="18"/>
      <c r="N2248" s="14"/>
      <c r="O2248" s="14"/>
      <c r="P2248" s="14"/>
    </row>
    <row r="2249" spans="2:16" ht="15.75" customHeight="1">
      <c r="B2249" s="14"/>
      <c r="H2249" s="14"/>
      <c r="I2249" s="567"/>
      <c r="J2249" s="18"/>
      <c r="N2249" s="14"/>
      <c r="O2249" s="14"/>
      <c r="P2249" s="14"/>
    </row>
    <row r="2250" spans="2:16" ht="15.75" customHeight="1">
      <c r="B2250" s="14"/>
      <c r="H2250" s="14"/>
      <c r="I2250" s="567"/>
      <c r="J2250" s="18"/>
      <c r="N2250" s="14"/>
      <c r="O2250" s="14"/>
      <c r="P2250" s="14"/>
    </row>
    <row r="2251" spans="2:16" ht="15.75" customHeight="1">
      <c r="B2251" s="14"/>
      <c r="H2251" s="14"/>
      <c r="I2251" s="567"/>
      <c r="J2251" s="18"/>
      <c r="N2251" s="14"/>
      <c r="O2251" s="14"/>
      <c r="P2251" s="14"/>
    </row>
    <row r="2252" spans="2:16" ht="15.75" customHeight="1">
      <c r="B2252" s="14"/>
      <c r="H2252" s="14"/>
      <c r="I2252" s="567"/>
      <c r="J2252" s="18"/>
      <c r="N2252" s="14"/>
      <c r="O2252" s="14"/>
      <c r="P2252" s="14"/>
    </row>
    <row r="2253" spans="2:16" ht="15.75" customHeight="1">
      <c r="B2253" s="14"/>
      <c r="H2253" s="14"/>
      <c r="I2253" s="567"/>
      <c r="J2253" s="18"/>
      <c r="N2253" s="14"/>
      <c r="O2253" s="14"/>
      <c r="P2253" s="14"/>
    </row>
    <row r="2254" spans="2:16" ht="15.75" customHeight="1">
      <c r="B2254" s="14"/>
      <c r="H2254" s="14"/>
      <c r="I2254" s="567"/>
      <c r="J2254" s="18"/>
      <c r="N2254" s="14"/>
      <c r="O2254" s="14"/>
      <c r="P2254" s="14"/>
    </row>
    <row r="2255" spans="2:16" ht="15.75" customHeight="1">
      <c r="B2255" s="14"/>
      <c r="H2255" s="14"/>
      <c r="I2255" s="567"/>
      <c r="J2255" s="18"/>
      <c r="N2255" s="14"/>
      <c r="O2255" s="14"/>
      <c r="P2255" s="14"/>
    </row>
    <row r="2256" spans="2:16" ht="15.75" customHeight="1">
      <c r="B2256" s="14"/>
      <c r="H2256" s="14"/>
      <c r="I2256" s="567"/>
      <c r="J2256" s="18"/>
      <c r="N2256" s="14"/>
      <c r="O2256" s="14"/>
      <c r="P2256" s="14"/>
    </row>
    <row r="2257" spans="2:16" ht="15.75" customHeight="1">
      <c r="B2257" s="14"/>
      <c r="H2257" s="14"/>
      <c r="I2257" s="567"/>
      <c r="J2257" s="18"/>
      <c r="N2257" s="14"/>
      <c r="O2257" s="14"/>
      <c r="P2257" s="14"/>
    </row>
    <row r="2258" spans="2:16" ht="15.75" customHeight="1">
      <c r="B2258" s="14"/>
      <c r="H2258" s="14"/>
      <c r="I2258" s="567"/>
      <c r="J2258" s="18"/>
      <c r="N2258" s="14"/>
      <c r="O2258" s="14"/>
      <c r="P2258" s="14"/>
    </row>
    <row r="2259" spans="2:16" ht="15.75" customHeight="1">
      <c r="B2259" s="14"/>
      <c r="H2259" s="14"/>
      <c r="I2259" s="567"/>
      <c r="J2259" s="18"/>
      <c r="N2259" s="14"/>
      <c r="O2259" s="14"/>
      <c r="P2259" s="14"/>
    </row>
    <row r="2260" spans="2:16" ht="15.75" customHeight="1">
      <c r="B2260" s="14"/>
      <c r="H2260" s="14"/>
      <c r="I2260" s="567"/>
      <c r="J2260" s="18"/>
      <c r="N2260" s="14"/>
      <c r="O2260" s="14"/>
      <c r="P2260" s="14"/>
    </row>
    <row r="2261" spans="2:16" ht="15.75" customHeight="1">
      <c r="B2261" s="14"/>
      <c r="H2261" s="14"/>
      <c r="I2261" s="567"/>
      <c r="J2261" s="18"/>
      <c r="N2261" s="14"/>
      <c r="O2261" s="14"/>
      <c r="P2261" s="14"/>
    </row>
    <row r="2262" spans="2:16" ht="15.75" customHeight="1">
      <c r="B2262" s="14"/>
      <c r="H2262" s="14"/>
      <c r="I2262" s="567"/>
      <c r="J2262" s="18"/>
      <c r="N2262" s="14"/>
      <c r="O2262" s="14"/>
      <c r="P2262" s="14"/>
    </row>
    <row r="2263" spans="2:16" ht="15.75" customHeight="1">
      <c r="B2263" s="14"/>
      <c r="H2263" s="14"/>
      <c r="I2263" s="567"/>
      <c r="J2263" s="18"/>
      <c r="N2263" s="14"/>
      <c r="O2263" s="14"/>
      <c r="P2263" s="14"/>
    </row>
    <row r="2264" spans="2:16" ht="15.75" customHeight="1">
      <c r="B2264" s="14"/>
      <c r="H2264" s="14"/>
      <c r="I2264" s="567"/>
      <c r="J2264" s="18"/>
      <c r="N2264" s="14"/>
      <c r="O2264" s="14"/>
      <c r="P2264" s="14"/>
    </row>
    <row r="2265" spans="2:16" ht="15.75" customHeight="1">
      <c r="B2265" s="14"/>
      <c r="H2265" s="14"/>
      <c r="I2265" s="567"/>
      <c r="J2265" s="18"/>
      <c r="N2265" s="14"/>
      <c r="O2265" s="14"/>
      <c r="P2265" s="14"/>
    </row>
    <row r="2266" spans="2:16" ht="15.75" customHeight="1">
      <c r="B2266" s="14"/>
      <c r="H2266" s="14"/>
      <c r="I2266" s="567"/>
      <c r="J2266" s="18"/>
      <c r="N2266" s="14"/>
      <c r="O2266" s="14"/>
      <c r="P2266" s="14"/>
    </row>
    <row r="2267" spans="2:16" ht="15.75" customHeight="1">
      <c r="B2267" s="14"/>
      <c r="H2267" s="14"/>
      <c r="I2267" s="567"/>
      <c r="J2267" s="18"/>
      <c r="N2267" s="14"/>
      <c r="O2267" s="14"/>
      <c r="P2267" s="14"/>
    </row>
    <row r="2268" spans="2:16" ht="15.75" customHeight="1">
      <c r="B2268" s="14"/>
      <c r="H2268" s="14"/>
      <c r="I2268" s="567"/>
      <c r="J2268" s="18"/>
      <c r="N2268" s="14"/>
      <c r="O2268" s="14"/>
      <c r="P2268" s="14"/>
    </row>
    <row r="2269" spans="2:16" ht="15.75" customHeight="1">
      <c r="B2269" s="14"/>
      <c r="H2269" s="14"/>
      <c r="I2269" s="567"/>
      <c r="J2269" s="18"/>
      <c r="N2269" s="14"/>
      <c r="O2269" s="14"/>
      <c r="P2269" s="14"/>
    </row>
    <row r="2270" spans="2:16" ht="15.75" customHeight="1">
      <c r="B2270" s="14"/>
      <c r="H2270" s="14"/>
      <c r="I2270" s="567"/>
      <c r="J2270" s="18"/>
      <c r="N2270" s="14"/>
      <c r="O2270" s="14"/>
      <c r="P2270" s="14"/>
    </row>
    <row r="2271" spans="2:16" ht="15.75" customHeight="1">
      <c r="B2271" s="14"/>
      <c r="H2271" s="14"/>
      <c r="I2271" s="567"/>
      <c r="J2271" s="18"/>
      <c r="N2271" s="14"/>
      <c r="O2271" s="14"/>
      <c r="P2271" s="14"/>
    </row>
    <row r="2272" spans="2:16" ht="15.75" customHeight="1">
      <c r="B2272" s="14"/>
      <c r="H2272" s="14"/>
      <c r="I2272" s="567"/>
      <c r="J2272" s="18"/>
      <c r="N2272" s="14"/>
      <c r="O2272" s="14"/>
      <c r="P2272" s="14"/>
    </row>
    <row r="2273" spans="2:16" ht="15.75" customHeight="1">
      <c r="B2273" s="14"/>
      <c r="H2273" s="14"/>
      <c r="I2273" s="567"/>
      <c r="J2273" s="18"/>
      <c r="N2273" s="14"/>
      <c r="O2273" s="14"/>
      <c r="P2273" s="14"/>
    </row>
    <row r="2274" spans="2:16" ht="15.75" customHeight="1">
      <c r="B2274" s="14"/>
      <c r="H2274" s="14"/>
      <c r="I2274" s="567"/>
      <c r="J2274" s="18"/>
      <c r="N2274" s="14"/>
      <c r="O2274" s="14"/>
      <c r="P2274" s="14"/>
    </row>
    <row r="2275" spans="2:16" ht="15.75" customHeight="1">
      <c r="B2275" s="14"/>
      <c r="H2275" s="14"/>
      <c r="I2275" s="567"/>
      <c r="J2275" s="18"/>
      <c r="N2275" s="14"/>
      <c r="O2275" s="14"/>
      <c r="P2275" s="14"/>
    </row>
    <row r="2276" spans="2:16" ht="15.75" customHeight="1">
      <c r="B2276" s="14"/>
      <c r="H2276" s="14"/>
      <c r="I2276" s="567"/>
      <c r="J2276" s="18"/>
      <c r="N2276" s="14"/>
      <c r="O2276" s="14"/>
      <c r="P2276" s="14"/>
    </row>
    <row r="2277" spans="2:16" ht="15.75" customHeight="1">
      <c r="B2277" s="14"/>
      <c r="H2277" s="14"/>
      <c r="I2277" s="567"/>
      <c r="J2277" s="18"/>
      <c r="N2277" s="14"/>
      <c r="O2277" s="14"/>
      <c r="P2277" s="14"/>
    </row>
    <row r="2278" spans="2:16" ht="15.75" customHeight="1">
      <c r="B2278" s="14"/>
      <c r="H2278" s="14"/>
      <c r="I2278" s="567"/>
      <c r="J2278" s="18"/>
      <c r="N2278" s="14"/>
      <c r="O2278" s="14"/>
      <c r="P2278" s="14"/>
    </row>
    <row r="2279" spans="2:16" ht="15.75" customHeight="1">
      <c r="B2279" s="14"/>
      <c r="H2279" s="14"/>
      <c r="I2279" s="567"/>
      <c r="J2279" s="18"/>
      <c r="N2279" s="14"/>
      <c r="O2279" s="14"/>
      <c r="P2279" s="14"/>
    </row>
    <row r="2280" spans="2:16" ht="15.75" customHeight="1">
      <c r="B2280" s="14"/>
      <c r="H2280" s="14"/>
      <c r="I2280" s="567"/>
      <c r="J2280" s="18"/>
      <c r="N2280" s="14"/>
      <c r="O2280" s="14"/>
      <c r="P2280" s="14"/>
    </row>
    <row r="2281" spans="2:16" ht="15.75" customHeight="1">
      <c r="B2281" s="14"/>
      <c r="H2281" s="14"/>
      <c r="I2281" s="567"/>
      <c r="J2281" s="18"/>
      <c r="N2281" s="14"/>
      <c r="O2281" s="14"/>
      <c r="P2281" s="14"/>
    </row>
    <row r="2282" spans="2:16" ht="15.75" customHeight="1">
      <c r="B2282" s="14"/>
      <c r="H2282" s="14"/>
      <c r="I2282" s="567"/>
      <c r="J2282" s="18"/>
      <c r="N2282" s="14"/>
      <c r="O2282" s="14"/>
      <c r="P2282" s="14"/>
    </row>
    <row r="2283" spans="2:16" ht="15.75" customHeight="1">
      <c r="B2283" s="14"/>
      <c r="H2283" s="14"/>
      <c r="I2283" s="567"/>
      <c r="J2283" s="18"/>
      <c r="N2283" s="14"/>
      <c r="O2283" s="14"/>
      <c r="P2283" s="14"/>
    </row>
    <row r="2284" spans="2:16" ht="15.75" customHeight="1">
      <c r="B2284" s="14"/>
      <c r="H2284" s="14"/>
      <c r="I2284" s="567"/>
      <c r="J2284" s="18"/>
      <c r="N2284" s="14"/>
      <c r="O2284" s="14"/>
      <c r="P2284" s="14"/>
    </row>
    <row r="2285" spans="2:16" ht="15.75" customHeight="1">
      <c r="B2285" s="14"/>
      <c r="H2285" s="14"/>
      <c r="I2285" s="567"/>
      <c r="J2285" s="18"/>
      <c r="N2285" s="14"/>
      <c r="O2285" s="14"/>
      <c r="P2285" s="14"/>
    </row>
    <row r="2286" spans="2:16" ht="15.75" customHeight="1">
      <c r="B2286" s="14"/>
      <c r="H2286" s="14"/>
      <c r="I2286" s="567"/>
      <c r="J2286" s="18"/>
      <c r="N2286" s="14"/>
      <c r="O2286" s="14"/>
      <c r="P2286" s="14"/>
    </row>
    <row r="2287" spans="2:16" ht="15.75" customHeight="1">
      <c r="B2287" s="14"/>
      <c r="H2287" s="14"/>
      <c r="I2287" s="567"/>
      <c r="J2287" s="18"/>
      <c r="N2287" s="14"/>
      <c r="O2287" s="14"/>
      <c r="P2287" s="14"/>
    </row>
    <row r="2288" spans="2:16" ht="15.75" customHeight="1">
      <c r="B2288" s="14"/>
      <c r="H2288" s="14"/>
      <c r="I2288" s="567"/>
      <c r="J2288" s="18"/>
      <c r="N2288" s="14"/>
      <c r="O2288" s="14"/>
      <c r="P2288" s="14"/>
    </row>
    <row r="2289" spans="2:16" ht="15.75" customHeight="1">
      <c r="B2289" s="14"/>
      <c r="H2289" s="14"/>
      <c r="I2289" s="567"/>
      <c r="J2289" s="18"/>
      <c r="N2289" s="14"/>
      <c r="O2289" s="14"/>
      <c r="P2289" s="14"/>
    </row>
    <row r="2290" spans="2:16" ht="15.75" customHeight="1">
      <c r="B2290" s="14"/>
      <c r="H2290" s="14"/>
      <c r="I2290" s="567"/>
      <c r="J2290" s="18"/>
      <c r="N2290" s="14"/>
      <c r="O2290" s="14"/>
      <c r="P2290" s="14"/>
    </row>
    <row r="2291" spans="2:16" ht="15.75" customHeight="1">
      <c r="B2291" s="14"/>
      <c r="H2291" s="14"/>
      <c r="I2291" s="567"/>
      <c r="J2291" s="18"/>
      <c r="N2291" s="14"/>
      <c r="O2291" s="14"/>
      <c r="P2291" s="14"/>
    </row>
    <row r="2292" spans="2:16" ht="15.75" customHeight="1">
      <c r="B2292" s="14"/>
      <c r="H2292" s="14"/>
      <c r="I2292" s="567"/>
      <c r="J2292" s="18"/>
      <c r="N2292" s="14"/>
      <c r="O2292" s="14"/>
      <c r="P2292" s="14"/>
    </row>
    <row r="2293" spans="2:16" ht="15.75" customHeight="1">
      <c r="B2293" s="14"/>
      <c r="H2293" s="14"/>
      <c r="I2293" s="567"/>
      <c r="J2293" s="18"/>
      <c r="N2293" s="14"/>
      <c r="O2293" s="14"/>
      <c r="P2293" s="14"/>
    </row>
    <row r="2294" spans="2:16" ht="15.75" customHeight="1">
      <c r="B2294" s="14"/>
      <c r="H2294" s="14"/>
      <c r="I2294" s="567"/>
      <c r="J2294" s="18"/>
      <c r="N2294" s="14"/>
      <c r="O2294" s="14"/>
      <c r="P2294" s="14"/>
    </row>
    <row r="2295" spans="2:16" ht="15.75" customHeight="1">
      <c r="B2295" s="14"/>
      <c r="H2295" s="14"/>
      <c r="I2295" s="567"/>
      <c r="J2295" s="18"/>
      <c r="N2295" s="14"/>
      <c r="O2295" s="14"/>
      <c r="P2295" s="14"/>
    </row>
    <row r="2296" spans="2:16" ht="15.75" customHeight="1">
      <c r="B2296" s="14"/>
      <c r="H2296" s="14"/>
      <c r="I2296" s="567"/>
      <c r="J2296" s="18"/>
      <c r="N2296" s="14"/>
      <c r="O2296" s="14"/>
      <c r="P2296" s="14"/>
    </row>
    <row r="2297" spans="2:16" ht="15.75" customHeight="1">
      <c r="B2297" s="14"/>
      <c r="H2297" s="14"/>
      <c r="I2297" s="567"/>
      <c r="J2297" s="18"/>
      <c r="N2297" s="14"/>
      <c r="O2297" s="14"/>
      <c r="P2297" s="14"/>
    </row>
    <row r="2298" spans="2:16" ht="15.75" customHeight="1">
      <c r="B2298" s="14"/>
      <c r="H2298" s="14"/>
      <c r="I2298" s="567"/>
      <c r="J2298" s="18"/>
      <c r="N2298" s="14"/>
      <c r="O2298" s="14"/>
      <c r="P2298" s="14"/>
    </row>
    <row r="2299" spans="2:16" ht="15.75" customHeight="1">
      <c r="B2299" s="14"/>
      <c r="H2299" s="14"/>
      <c r="I2299" s="567"/>
      <c r="J2299" s="18"/>
      <c r="N2299" s="14"/>
      <c r="O2299" s="14"/>
      <c r="P2299" s="14"/>
    </row>
    <row r="2300" spans="2:16" ht="15.75" customHeight="1">
      <c r="B2300" s="14"/>
      <c r="H2300" s="14"/>
      <c r="I2300" s="567"/>
      <c r="J2300" s="18"/>
      <c r="N2300" s="14"/>
      <c r="O2300" s="14"/>
      <c r="P2300" s="14"/>
    </row>
    <row r="2301" spans="2:16" ht="15.75" customHeight="1">
      <c r="B2301" s="14"/>
      <c r="H2301" s="14"/>
      <c r="I2301" s="567"/>
      <c r="J2301" s="18"/>
      <c r="N2301" s="14"/>
      <c r="O2301" s="14"/>
      <c r="P2301" s="14"/>
    </row>
    <row r="2302" spans="2:16" ht="15.75" customHeight="1">
      <c r="B2302" s="14"/>
      <c r="H2302" s="14"/>
      <c r="I2302" s="567"/>
      <c r="J2302" s="18"/>
      <c r="N2302" s="14"/>
      <c r="O2302" s="14"/>
      <c r="P2302" s="14"/>
    </row>
    <row r="2303" spans="2:16" ht="15.75" customHeight="1">
      <c r="B2303" s="14"/>
      <c r="H2303" s="14"/>
      <c r="I2303" s="567"/>
      <c r="J2303" s="18"/>
      <c r="N2303" s="14"/>
      <c r="O2303" s="14"/>
      <c r="P2303" s="14"/>
    </row>
    <row r="2304" spans="2:16" ht="15.75" customHeight="1">
      <c r="B2304" s="14"/>
      <c r="H2304" s="14"/>
      <c r="I2304" s="567"/>
      <c r="J2304" s="18"/>
      <c r="N2304" s="14"/>
      <c r="O2304" s="14"/>
      <c r="P2304" s="14"/>
    </row>
    <row r="2305" spans="2:16" ht="15.75" customHeight="1">
      <c r="B2305" s="14"/>
      <c r="H2305" s="14"/>
      <c r="I2305" s="567"/>
      <c r="J2305" s="18"/>
      <c r="N2305" s="14"/>
      <c r="O2305" s="14"/>
      <c r="P2305" s="14"/>
    </row>
    <row r="2306" spans="2:16" ht="15.75" customHeight="1">
      <c r="B2306" s="14"/>
      <c r="H2306" s="14"/>
      <c r="I2306" s="567"/>
      <c r="J2306" s="18"/>
      <c r="N2306" s="14"/>
      <c r="O2306" s="14"/>
      <c r="P2306" s="14"/>
    </row>
    <row r="2307" spans="2:16" ht="15.75" customHeight="1">
      <c r="B2307" s="14"/>
      <c r="H2307" s="14"/>
      <c r="I2307" s="567"/>
      <c r="J2307" s="18"/>
      <c r="N2307" s="14"/>
      <c r="O2307" s="14"/>
      <c r="P2307" s="14"/>
    </row>
    <row r="2308" spans="2:16" ht="15.75" customHeight="1">
      <c r="B2308" s="14"/>
      <c r="H2308" s="14"/>
      <c r="I2308" s="567"/>
      <c r="J2308" s="18"/>
      <c r="N2308" s="14"/>
      <c r="O2308" s="14"/>
      <c r="P2308" s="14"/>
    </row>
    <row r="2309" spans="2:16" ht="15.75" customHeight="1">
      <c r="B2309" s="14"/>
      <c r="H2309" s="14"/>
      <c r="I2309" s="567"/>
      <c r="J2309" s="18"/>
      <c r="N2309" s="14"/>
      <c r="O2309" s="14"/>
      <c r="P2309" s="14"/>
    </row>
    <row r="2310" spans="2:16" ht="15.75" customHeight="1">
      <c r="B2310" s="14"/>
      <c r="H2310" s="14"/>
      <c r="I2310" s="567"/>
      <c r="J2310" s="18"/>
      <c r="N2310" s="14"/>
      <c r="O2310" s="14"/>
      <c r="P2310" s="14"/>
    </row>
    <row r="2311" spans="2:16" ht="15.75" customHeight="1">
      <c r="B2311" s="14"/>
      <c r="H2311" s="14"/>
      <c r="I2311" s="567"/>
      <c r="J2311" s="18"/>
      <c r="N2311" s="14"/>
      <c r="O2311" s="14"/>
      <c r="P2311" s="14"/>
    </row>
    <row r="2312" spans="2:16" ht="15.75" customHeight="1">
      <c r="B2312" s="14"/>
      <c r="H2312" s="14"/>
      <c r="I2312" s="567"/>
      <c r="J2312" s="18"/>
      <c r="N2312" s="14"/>
      <c r="O2312" s="14"/>
      <c r="P2312" s="14"/>
    </row>
    <row r="2313" spans="2:16" ht="15.75" customHeight="1">
      <c r="B2313" s="14"/>
      <c r="H2313" s="14"/>
      <c r="I2313" s="567"/>
      <c r="J2313" s="18"/>
      <c r="N2313" s="14"/>
      <c r="O2313" s="14"/>
      <c r="P2313" s="14"/>
    </row>
    <row r="2314" spans="2:16" ht="15.75" customHeight="1">
      <c r="B2314" s="14"/>
      <c r="H2314" s="14"/>
      <c r="I2314" s="567"/>
      <c r="J2314" s="18"/>
      <c r="N2314" s="14"/>
      <c r="O2314" s="14"/>
      <c r="P2314" s="14"/>
    </row>
    <row r="2315" spans="2:16" ht="15.75" customHeight="1">
      <c r="B2315" s="14"/>
      <c r="H2315" s="14"/>
      <c r="I2315" s="567"/>
      <c r="J2315" s="18"/>
      <c r="N2315" s="14"/>
      <c r="O2315" s="14"/>
      <c r="P2315" s="14"/>
    </row>
    <row r="2316" spans="2:16" ht="15.75" customHeight="1">
      <c r="B2316" s="14"/>
      <c r="H2316" s="14"/>
      <c r="I2316" s="567"/>
      <c r="J2316" s="18"/>
      <c r="N2316" s="14"/>
      <c r="O2316" s="14"/>
      <c r="P2316" s="14"/>
    </row>
    <row r="2317" spans="2:16" ht="15.75" customHeight="1">
      <c r="B2317" s="14"/>
      <c r="H2317" s="14"/>
      <c r="I2317" s="567"/>
      <c r="J2317" s="18"/>
      <c r="N2317" s="14"/>
      <c r="O2317" s="14"/>
      <c r="P2317" s="14"/>
    </row>
    <row r="2318" spans="2:16" ht="15.75" customHeight="1">
      <c r="B2318" s="14"/>
      <c r="H2318" s="14"/>
      <c r="I2318" s="567"/>
      <c r="J2318" s="18"/>
      <c r="N2318" s="14"/>
      <c r="O2318" s="14"/>
      <c r="P2318" s="14"/>
    </row>
    <row r="2319" spans="2:16" ht="15.75" customHeight="1">
      <c r="B2319" s="14"/>
      <c r="H2319" s="14"/>
      <c r="I2319" s="567"/>
      <c r="J2319" s="18"/>
      <c r="N2319" s="14"/>
      <c r="O2319" s="14"/>
      <c r="P2319" s="14"/>
    </row>
    <row r="2320" spans="2:16" ht="15.75" customHeight="1">
      <c r="B2320" s="14"/>
      <c r="H2320" s="14"/>
      <c r="I2320" s="567"/>
      <c r="J2320" s="18"/>
      <c r="N2320" s="14"/>
      <c r="O2320" s="14"/>
      <c r="P2320" s="14"/>
    </row>
    <row r="2321" spans="2:16" ht="15.75" customHeight="1">
      <c r="B2321" s="14"/>
      <c r="H2321" s="14"/>
      <c r="I2321" s="567"/>
      <c r="J2321" s="18"/>
      <c r="N2321" s="14"/>
      <c r="O2321" s="14"/>
      <c r="P2321" s="14"/>
    </row>
    <row r="2322" spans="2:16" ht="15.75" customHeight="1">
      <c r="B2322" s="14"/>
      <c r="H2322" s="14"/>
      <c r="I2322" s="567"/>
      <c r="J2322" s="18"/>
      <c r="N2322" s="14"/>
      <c r="O2322" s="14"/>
      <c r="P2322" s="14"/>
    </row>
    <row r="2323" spans="2:16" ht="15.75" customHeight="1">
      <c r="B2323" s="14"/>
      <c r="H2323" s="14"/>
      <c r="I2323" s="567"/>
      <c r="J2323" s="18"/>
      <c r="N2323" s="14"/>
      <c r="O2323" s="14"/>
      <c r="P2323" s="14"/>
    </row>
    <row r="2324" spans="2:16" ht="15.75" customHeight="1">
      <c r="B2324" s="14"/>
      <c r="H2324" s="14"/>
      <c r="I2324" s="567"/>
      <c r="J2324" s="18"/>
      <c r="N2324" s="14"/>
      <c r="O2324" s="14"/>
      <c r="P2324" s="14"/>
    </row>
    <row r="2325" spans="2:16" ht="15.75" customHeight="1">
      <c r="B2325" s="14"/>
      <c r="H2325" s="14"/>
      <c r="I2325" s="567"/>
      <c r="J2325" s="18"/>
      <c r="N2325" s="14"/>
      <c r="O2325" s="14"/>
      <c r="P2325" s="14"/>
    </row>
    <row r="2326" spans="2:16" ht="15.75" customHeight="1">
      <c r="B2326" s="14"/>
      <c r="H2326" s="14"/>
      <c r="I2326" s="567"/>
      <c r="J2326" s="18"/>
      <c r="N2326" s="14"/>
      <c r="O2326" s="14"/>
      <c r="P2326" s="14"/>
    </row>
    <row r="2327" spans="2:16" ht="15.75" customHeight="1">
      <c r="B2327" s="14"/>
      <c r="H2327" s="14"/>
      <c r="I2327" s="567"/>
      <c r="J2327" s="18"/>
      <c r="N2327" s="14"/>
      <c r="O2327" s="14"/>
      <c r="P2327" s="14"/>
    </row>
    <row r="2328" spans="2:16" ht="15.75" customHeight="1">
      <c r="B2328" s="14"/>
      <c r="H2328" s="14"/>
      <c r="I2328" s="567"/>
      <c r="J2328" s="18"/>
      <c r="N2328" s="14"/>
      <c r="O2328" s="14"/>
      <c r="P2328" s="14"/>
    </row>
    <row r="2329" spans="2:16" ht="15.75" customHeight="1">
      <c r="B2329" s="14"/>
      <c r="H2329" s="14"/>
      <c r="I2329" s="567"/>
      <c r="J2329" s="18"/>
      <c r="N2329" s="14"/>
      <c r="O2329" s="14"/>
      <c r="P2329" s="14"/>
    </row>
    <row r="2330" spans="2:16" ht="15.75" customHeight="1">
      <c r="B2330" s="14"/>
      <c r="H2330" s="14"/>
      <c r="I2330" s="567"/>
      <c r="J2330" s="18"/>
      <c r="N2330" s="14"/>
      <c r="O2330" s="14"/>
      <c r="P2330" s="14"/>
    </row>
    <row r="2331" spans="2:16" ht="15.75" customHeight="1">
      <c r="B2331" s="14"/>
      <c r="H2331" s="14"/>
      <c r="I2331" s="567"/>
      <c r="J2331" s="18"/>
      <c r="N2331" s="14"/>
      <c r="O2331" s="14"/>
      <c r="P2331" s="14"/>
    </row>
    <row r="2332" spans="2:16" ht="15.75" customHeight="1">
      <c r="B2332" s="14"/>
      <c r="H2332" s="14"/>
      <c r="I2332" s="567"/>
      <c r="J2332" s="18"/>
      <c r="N2332" s="14"/>
      <c r="O2332" s="14"/>
      <c r="P2332" s="14"/>
    </row>
    <row r="2333" spans="2:16" ht="15.75" customHeight="1">
      <c r="B2333" s="14"/>
      <c r="H2333" s="14"/>
      <c r="I2333" s="567"/>
      <c r="J2333" s="18"/>
      <c r="N2333" s="14"/>
      <c r="O2333" s="14"/>
      <c r="P2333" s="14"/>
    </row>
    <row r="2334" spans="2:16" ht="15.75" customHeight="1">
      <c r="B2334" s="14"/>
      <c r="H2334" s="14"/>
      <c r="I2334" s="567"/>
      <c r="J2334" s="18"/>
      <c r="N2334" s="14"/>
      <c r="O2334" s="14"/>
      <c r="P2334" s="14"/>
    </row>
    <row r="2335" spans="2:16" ht="15.75" customHeight="1">
      <c r="B2335" s="14"/>
      <c r="H2335" s="14"/>
      <c r="I2335" s="567"/>
      <c r="J2335" s="18"/>
      <c r="N2335" s="14"/>
      <c r="O2335" s="14"/>
      <c r="P2335" s="14"/>
    </row>
    <row r="2336" spans="2:16" ht="15.75" customHeight="1">
      <c r="B2336" s="14"/>
      <c r="H2336" s="14"/>
      <c r="I2336" s="567"/>
      <c r="J2336" s="18"/>
      <c r="N2336" s="14"/>
      <c r="O2336" s="14"/>
      <c r="P2336" s="14"/>
    </row>
    <row r="2337" spans="2:16" ht="15.75" customHeight="1">
      <c r="B2337" s="14"/>
      <c r="H2337" s="14"/>
      <c r="I2337" s="567"/>
      <c r="J2337" s="18"/>
      <c r="N2337" s="14"/>
      <c r="O2337" s="14"/>
      <c r="P2337" s="14"/>
    </row>
    <row r="2338" spans="2:16" ht="15.75" customHeight="1">
      <c r="B2338" s="14"/>
      <c r="H2338" s="14"/>
      <c r="I2338" s="567"/>
      <c r="J2338" s="18"/>
      <c r="N2338" s="14"/>
      <c r="O2338" s="14"/>
      <c r="P2338" s="14"/>
    </row>
    <row r="2339" spans="2:16" ht="15.75" customHeight="1">
      <c r="B2339" s="14"/>
      <c r="H2339" s="14"/>
      <c r="I2339" s="567"/>
      <c r="J2339" s="18"/>
      <c r="N2339" s="14"/>
      <c r="O2339" s="14"/>
      <c r="P2339" s="14"/>
    </row>
    <row r="2340" spans="2:16" ht="15.75" customHeight="1">
      <c r="B2340" s="14"/>
      <c r="H2340" s="14"/>
      <c r="I2340" s="567"/>
      <c r="J2340" s="18"/>
      <c r="N2340" s="14"/>
      <c r="O2340" s="14"/>
      <c r="P2340" s="14"/>
    </row>
    <row r="2341" spans="2:16" ht="15.75" customHeight="1">
      <c r="B2341" s="14"/>
      <c r="H2341" s="14"/>
      <c r="I2341" s="567"/>
      <c r="J2341" s="18"/>
      <c r="N2341" s="14"/>
      <c r="O2341" s="14"/>
      <c r="P2341" s="14"/>
    </row>
    <row r="2342" spans="2:16" ht="15.75" customHeight="1">
      <c r="B2342" s="14"/>
      <c r="H2342" s="14"/>
      <c r="I2342" s="567"/>
      <c r="J2342" s="18"/>
      <c r="N2342" s="14"/>
      <c r="O2342" s="14"/>
      <c r="P2342" s="14"/>
    </row>
    <row r="2343" spans="2:16" ht="15.75" customHeight="1">
      <c r="B2343" s="14"/>
      <c r="H2343" s="14"/>
      <c r="I2343" s="567"/>
      <c r="J2343" s="18"/>
      <c r="N2343" s="14"/>
      <c r="O2343" s="14"/>
      <c r="P2343" s="14"/>
    </row>
    <row r="2344" spans="2:16" ht="15.75" customHeight="1">
      <c r="B2344" s="14"/>
      <c r="H2344" s="14"/>
      <c r="I2344" s="567"/>
      <c r="J2344" s="18"/>
      <c r="N2344" s="14"/>
      <c r="O2344" s="14"/>
      <c r="P2344" s="14"/>
    </row>
    <row r="2345" spans="2:16" ht="15.75" customHeight="1">
      <c r="B2345" s="14"/>
      <c r="H2345" s="14"/>
      <c r="I2345" s="567"/>
      <c r="J2345" s="18"/>
      <c r="N2345" s="14"/>
      <c r="O2345" s="14"/>
      <c r="P2345" s="14"/>
    </row>
    <row r="2346" spans="2:16" ht="15.75" customHeight="1">
      <c r="B2346" s="14"/>
      <c r="H2346" s="14"/>
      <c r="I2346" s="567"/>
      <c r="J2346" s="18"/>
      <c r="N2346" s="14"/>
      <c r="O2346" s="14"/>
      <c r="P2346" s="14"/>
    </row>
    <row r="2347" spans="2:16" ht="15.75" customHeight="1">
      <c r="B2347" s="14"/>
      <c r="H2347" s="14"/>
      <c r="I2347" s="567"/>
      <c r="J2347" s="18"/>
      <c r="N2347" s="14"/>
      <c r="O2347" s="14"/>
      <c r="P2347" s="14"/>
    </row>
    <row r="2348" spans="2:16" ht="15.75" customHeight="1">
      <c r="B2348" s="14"/>
      <c r="H2348" s="14"/>
      <c r="I2348" s="567"/>
      <c r="J2348" s="18"/>
      <c r="N2348" s="14"/>
      <c r="O2348" s="14"/>
      <c r="P2348" s="14"/>
    </row>
    <row r="2349" spans="2:16" ht="15.75" customHeight="1">
      <c r="B2349" s="14"/>
      <c r="H2349" s="14"/>
      <c r="I2349" s="567"/>
      <c r="J2349" s="18"/>
      <c r="N2349" s="14"/>
      <c r="O2349" s="14"/>
      <c r="P2349" s="14"/>
    </row>
    <row r="2350" spans="2:16" ht="15.75" customHeight="1">
      <c r="B2350" s="14"/>
      <c r="H2350" s="14"/>
      <c r="I2350" s="567"/>
      <c r="J2350" s="18"/>
      <c r="N2350" s="14"/>
      <c r="O2350" s="14"/>
      <c r="P2350" s="14"/>
    </row>
    <row r="2351" spans="2:16" ht="15.75" customHeight="1">
      <c r="B2351" s="14"/>
      <c r="H2351" s="14"/>
      <c r="I2351" s="567"/>
      <c r="J2351" s="18"/>
      <c r="N2351" s="14"/>
      <c r="O2351" s="14"/>
      <c r="P2351" s="14"/>
    </row>
    <row r="2352" spans="2:16" ht="15.75" customHeight="1">
      <c r="B2352" s="14"/>
      <c r="H2352" s="14"/>
      <c r="I2352" s="567"/>
      <c r="J2352" s="18"/>
      <c r="N2352" s="14"/>
      <c r="O2352" s="14"/>
      <c r="P2352" s="14"/>
    </row>
    <row r="2353" spans="2:16" ht="15.75" customHeight="1">
      <c r="B2353" s="14"/>
      <c r="H2353" s="14"/>
      <c r="I2353" s="567"/>
      <c r="J2353" s="18"/>
      <c r="N2353" s="14"/>
      <c r="O2353" s="14"/>
      <c r="P2353" s="14"/>
    </row>
    <row r="2354" spans="2:16" ht="15.75" customHeight="1">
      <c r="B2354" s="14"/>
      <c r="H2354" s="14"/>
      <c r="I2354" s="567"/>
      <c r="J2354" s="18"/>
      <c r="N2354" s="14"/>
      <c r="O2354" s="14"/>
      <c r="P2354" s="14"/>
    </row>
    <row r="2355" spans="2:16" ht="15.75" customHeight="1">
      <c r="B2355" s="14"/>
      <c r="H2355" s="14"/>
      <c r="I2355" s="567"/>
      <c r="J2355" s="18"/>
      <c r="N2355" s="14"/>
      <c r="O2355" s="14"/>
      <c r="P2355" s="14"/>
    </row>
    <row r="2356" spans="2:16" ht="15.75" customHeight="1">
      <c r="B2356" s="14"/>
      <c r="H2356" s="14"/>
      <c r="I2356" s="567"/>
      <c r="J2356" s="18"/>
      <c r="N2356" s="14"/>
      <c r="O2356" s="14"/>
      <c r="P2356" s="14"/>
    </row>
    <row r="2357" spans="2:16" ht="15.75" customHeight="1">
      <c r="B2357" s="14"/>
      <c r="H2357" s="14"/>
      <c r="I2357" s="567"/>
      <c r="J2357" s="18"/>
      <c r="N2357" s="14"/>
      <c r="O2357" s="14"/>
      <c r="P2357" s="14"/>
    </row>
    <row r="2358" spans="2:16" ht="15.75" customHeight="1">
      <c r="B2358" s="14"/>
      <c r="H2358" s="14"/>
      <c r="I2358" s="567"/>
      <c r="J2358" s="18"/>
      <c r="N2358" s="14"/>
      <c r="O2358" s="14"/>
      <c r="P2358" s="14"/>
    </row>
    <row r="2359" spans="2:16" ht="15.75" customHeight="1">
      <c r="B2359" s="14"/>
      <c r="H2359" s="14"/>
      <c r="I2359" s="567"/>
      <c r="J2359" s="18"/>
      <c r="N2359" s="14"/>
      <c r="O2359" s="14"/>
      <c r="P2359" s="14"/>
    </row>
    <row r="2360" spans="2:16" ht="15.75" customHeight="1">
      <c r="B2360" s="14"/>
      <c r="H2360" s="14"/>
      <c r="I2360" s="567"/>
      <c r="J2360" s="18"/>
      <c r="N2360" s="14"/>
      <c r="O2360" s="14"/>
      <c r="P2360" s="14"/>
    </row>
    <row r="2361" spans="2:16" ht="15.75" customHeight="1">
      <c r="B2361" s="14"/>
      <c r="H2361" s="14"/>
      <c r="I2361" s="567"/>
      <c r="J2361" s="18"/>
      <c r="N2361" s="14"/>
      <c r="O2361" s="14"/>
      <c r="P2361" s="14"/>
    </row>
    <row r="2362" spans="2:16" ht="15.75" customHeight="1">
      <c r="B2362" s="14"/>
      <c r="H2362" s="14"/>
      <c r="I2362" s="567"/>
      <c r="J2362" s="18"/>
      <c r="N2362" s="14"/>
      <c r="O2362" s="14"/>
      <c r="P2362" s="14"/>
    </row>
    <row r="2363" spans="2:16" ht="15.75" customHeight="1">
      <c r="B2363" s="14"/>
      <c r="H2363" s="14"/>
      <c r="I2363" s="567"/>
      <c r="J2363" s="18"/>
      <c r="N2363" s="14"/>
      <c r="O2363" s="14"/>
      <c r="P2363" s="14"/>
    </row>
    <row r="2364" spans="2:16" ht="15.75" customHeight="1">
      <c r="B2364" s="14"/>
      <c r="H2364" s="14"/>
      <c r="I2364" s="567"/>
      <c r="J2364" s="18"/>
      <c r="N2364" s="14"/>
      <c r="O2364" s="14"/>
      <c r="P2364" s="14"/>
    </row>
    <row r="2365" spans="2:16" ht="15.75" customHeight="1">
      <c r="B2365" s="14"/>
      <c r="H2365" s="14"/>
      <c r="I2365" s="567"/>
      <c r="J2365" s="18"/>
      <c r="N2365" s="14"/>
      <c r="O2365" s="14"/>
      <c r="P2365" s="14"/>
    </row>
    <row r="2366" spans="2:16" ht="15.75" customHeight="1">
      <c r="B2366" s="14"/>
      <c r="H2366" s="14"/>
      <c r="I2366" s="567"/>
      <c r="J2366" s="18"/>
      <c r="N2366" s="14"/>
      <c r="O2366" s="14"/>
      <c r="P2366" s="14"/>
    </row>
    <row r="2367" spans="2:16" ht="15.75" customHeight="1">
      <c r="B2367" s="14"/>
      <c r="H2367" s="14"/>
      <c r="I2367" s="567"/>
      <c r="J2367" s="18"/>
      <c r="N2367" s="14"/>
      <c r="O2367" s="14"/>
      <c r="P2367" s="14"/>
    </row>
    <row r="2368" spans="2:16" ht="15.75" customHeight="1">
      <c r="B2368" s="14"/>
      <c r="H2368" s="14"/>
      <c r="I2368" s="567"/>
      <c r="J2368" s="18"/>
      <c r="N2368" s="14"/>
      <c r="O2368" s="14"/>
      <c r="P2368" s="14"/>
    </row>
    <row r="2369" spans="2:16" ht="15.75" customHeight="1">
      <c r="B2369" s="14"/>
      <c r="H2369" s="14"/>
      <c r="I2369" s="567"/>
      <c r="J2369" s="18"/>
      <c r="N2369" s="14"/>
      <c r="O2369" s="14"/>
      <c r="P2369" s="14"/>
    </row>
    <row r="2370" spans="2:16" ht="15.75" customHeight="1">
      <c r="B2370" s="14"/>
      <c r="H2370" s="14"/>
      <c r="I2370" s="567"/>
      <c r="J2370" s="18"/>
      <c r="N2370" s="14"/>
      <c r="O2370" s="14"/>
      <c r="P2370" s="14"/>
    </row>
    <row r="2371" spans="2:16" ht="15.75" customHeight="1">
      <c r="B2371" s="14"/>
      <c r="H2371" s="14"/>
      <c r="I2371" s="567"/>
      <c r="J2371" s="18"/>
      <c r="N2371" s="14"/>
      <c r="O2371" s="14"/>
      <c r="P2371" s="14"/>
    </row>
    <row r="2372" spans="2:16" ht="15.75" customHeight="1">
      <c r="B2372" s="14"/>
      <c r="H2372" s="14"/>
      <c r="I2372" s="567"/>
      <c r="J2372" s="18"/>
      <c r="N2372" s="14"/>
      <c r="O2372" s="14"/>
      <c r="P2372" s="14"/>
    </row>
    <row r="2373" spans="2:16" ht="15.75" customHeight="1">
      <c r="B2373" s="14"/>
      <c r="H2373" s="14"/>
      <c r="I2373" s="567"/>
      <c r="J2373" s="18"/>
      <c r="N2373" s="14"/>
      <c r="O2373" s="14"/>
      <c r="P2373" s="14"/>
    </row>
    <row r="2374" spans="2:16" ht="15.75" customHeight="1">
      <c r="B2374" s="14"/>
      <c r="H2374" s="14"/>
      <c r="I2374" s="567"/>
      <c r="J2374" s="18"/>
      <c r="N2374" s="14"/>
      <c r="O2374" s="14"/>
      <c r="P2374" s="14"/>
    </row>
    <row r="2375" spans="2:16" ht="15.75" customHeight="1">
      <c r="B2375" s="14"/>
      <c r="H2375" s="14"/>
      <c r="I2375" s="567"/>
      <c r="J2375" s="18"/>
      <c r="N2375" s="14"/>
      <c r="O2375" s="14"/>
      <c r="P2375" s="14"/>
    </row>
    <row r="2376" spans="2:16" ht="15.75" customHeight="1">
      <c r="B2376" s="14"/>
      <c r="H2376" s="14"/>
      <c r="I2376" s="567"/>
      <c r="J2376" s="18"/>
      <c r="N2376" s="14"/>
      <c r="O2376" s="14"/>
      <c r="P2376" s="14"/>
    </row>
    <row r="2377" spans="2:16" ht="15.75" customHeight="1">
      <c r="B2377" s="14"/>
      <c r="H2377" s="14"/>
      <c r="I2377" s="567"/>
      <c r="J2377" s="18"/>
      <c r="N2377" s="14"/>
      <c r="O2377" s="14"/>
      <c r="P2377" s="14"/>
    </row>
    <row r="2378" spans="2:16" ht="15.75" customHeight="1">
      <c r="B2378" s="14"/>
      <c r="H2378" s="14"/>
      <c r="I2378" s="567"/>
      <c r="J2378" s="18"/>
      <c r="N2378" s="14"/>
      <c r="O2378" s="14"/>
      <c r="P2378" s="14"/>
    </row>
    <row r="2379" spans="2:16" ht="15.75" customHeight="1">
      <c r="B2379" s="14"/>
      <c r="H2379" s="14"/>
      <c r="I2379" s="567"/>
      <c r="J2379" s="18"/>
      <c r="N2379" s="14"/>
      <c r="O2379" s="14"/>
      <c r="P2379" s="14"/>
    </row>
    <row r="2380" spans="2:16" ht="15.75" customHeight="1">
      <c r="B2380" s="14"/>
      <c r="H2380" s="14"/>
      <c r="I2380" s="567"/>
      <c r="J2380" s="18"/>
      <c r="N2380" s="14"/>
      <c r="O2380" s="14"/>
      <c r="P2380" s="14"/>
    </row>
    <row r="2381" spans="2:16" ht="15.75" customHeight="1">
      <c r="B2381" s="14"/>
      <c r="H2381" s="14"/>
      <c r="I2381" s="567"/>
      <c r="J2381" s="18"/>
      <c r="N2381" s="14"/>
      <c r="O2381" s="14"/>
      <c r="P2381" s="14"/>
    </row>
    <row r="2382" spans="2:16" ht="15.75" customHeight="1">
      <c r="B2382" s="14"/>
      <c r="H2382" s="14"/>
      <c r="I2382" s="567"/>
      <c r="J2382" s="18"/>
      <c r="N2382" s="14"/>
      <c r="O2382" s="14"/>
      <c r="P2382" s="14"/>
    </row>
    <row r="2383" spans="2:16" ht="15.75" customHeight="1">
      <c r="B2383" s="14"/>
      <c r="H2383" s="14"/>
      <c r="I2383" s="567"/>
      <c r="J2383" s="18"/>
      <c r="N2383" s="14"/>
      <c r="O2383" s="14"/>
      <c r="P2383" s="14"/>
    </row>
    <row r="2384" spans="2:16" ht="15.75" customHeight="1">
      <c r="B2384" s="14"/>
      <c r="H2384" s="14"/>
      <c r="I2384" s="567"/>
      <c r="J2384" s="18"/>
      <c r="N2384" s="14"/>
      <c r="O2384" s="14"/>
      <c r="P2384" s="14"/>
    </row>
    <row r="2385" spans="2:16" ht="15.75" customHeight="1">
      <c r="B2385" s="14"/>
      <c r="H2385" s="14"/>
      <c r="I2385" s="567"/>
      <c r="J2385" s="18"/>
      <c r="N2385" s="14"/>
      <c r="O2385" s="14"/>
      <c r="P2385" s="14"/>
    </row>
    <row r="2386" spans="2:16" ht="15.75" customHeight="1">
      <c r="B2386" s="14"/>
      <c r="H2386" s="14"/>
      <c r="I2386" s="567"/>
      <c r="J2386" s="18"/>
      <c r="N2386" s="14"/>
      <c r="O2386" s="14"/>
      <c r="P2386" s="14"/>
    </row>
    <row r="2387" spans="2:16" ht="15.75" customHeight="1">
      <c r="B2387" s="14"/>
      <c r="H2387" s="14"/>
      <c r="I2387" s="567"/>
      <c r="J2387" s="18"/>
      <c r="N2387" s="14"/>
      <c r="O2387" s="14"/>
      <c r="P2387" s="14"/>
    </row>
    <row r="2388" spans="2:16" ht="15.75" customHeight="1">
      <c r="B2388" s="14"/>
      <c r="H2388" s="14"/>
      <c r="I2388" s="567"/>
      <c r="J2388" s="18"/>
      <c r="N2388" s="14"/>
      <c r="O2388" s="14"/>
      <c r="P2388" s="14"/>
    </row>
    <row r="2389" spans="2:16" ht="15.75" customHeight="1">
      <c r="B2389" s="14"/>
      <c r="H2389" s="14"/>
      <c r="I2389" s="567"/>
      <c r="J2389" s="18"/>
      <c r="N2389" s="14"/>
      <c r="O2389" s="14"/>
      <c r="P2389" s="14"/>
    </row>
    <row r="2390" spans="2:16" ht="15.75" customHeight="1">
      <c r="B2390" s="14"/>
      <c r="H2390" s="14"/>
      <c r="I2390" s="567"/>
      <c r="J2390" s="18"/>
      <c r="N2390" s="14"/>
      <c r="O2390" s="14"/>
      <c r="P2390" s="14"/>
    </row>
    <row r="2391" spans="2:16" ht="15.75" customHeight="1">
      <c r="B2391" s="14"/>
      <c r="H2391" s="14"/>
      <c r="I2391" s="567"/>
      <c r="J2391" s="18"/>
      <c r="N2391" s="14"/>
      <c r="O2391" s="14"/>
      <c r="P2391" s="14"/>
    </row>
    <row r="2392" spans="2:16" ht="15.75" customHeight="1">
      <c r="B2392" s="14"/>
      <c r="H2392" s="14"/>
      <c r="I2392" s="567"/>
      <c r="J2392" s="18"/>
      <c r="N2392" s="14"/>
      <c r="O2392" s="14"/>
      <c r="P2392" s="14"/>
    </row>
    <row r="2393" spans="2:16" ht="15.75" customHeight="1">
      <c r="B2393" s="14"/>
      <c r="H2393" s="14"/>
      <c r="I2393" s="567"/>
      <c r="J2393" s="18"/>
      <c r="N2393" s="14"/>
      <c r="O2393" s="14"/>
      <c r="P2393" s="14"/>
    </row>
    <row r="2394" spans="2:16" ht="15.75" customHeight="1">
      <c r="B2394" s="14"/>
      <c r="H2394" s="14"/>
      <c r="I2394" s="567"/>
      <c r="J2394" s="18"/>
      <c r="N2394" s="14"/>
      <c r="O2394" s="14"/>
      <c r="P2394" s="14"/>
    </row>
    <row r="2395" spans="2:16" ht="15.75" customHeight="1">
      <c r="B2395" s="14"/>
      <c r="H2395" s="14"/>
      <c r="I2395" s="567"/>
      <c r="J2395" s="18"/>
      <c r="N2395" s="14"/>
      <c r="O2395" s="14"/>
      <c r="P2395" s="14"/>
    </row>
    <row r="2396" spans="2:16" ht="15.75" customHeight="1">
      <c r="B2396" s="14"/>
      <c r="H2396" s="14"/>
      <c r="I2396" s="567"/>
      <c r="J2396" s="18"/>
      <c r="N2396" s="14"/>
      <c r="O2396" s="14"/>
      <c r="P2396" s="14"/>
    </row>
    <row r="2397" spans="2:16" ht="15.75" customHeight="1">
      <c r="B2397" s="14"/>
      <c r="H2397" s="14"/>
      <c r="I2397" s="567"/>
      <c r="J2397" s="18"/>
      <c r="N2397" s="14"/>
      <c r="O2397" s="14"/>
      <c r="P2397" s="14"/>
    </row>
    <row r="2398" spans="2:16" ht="15.75" customHeight="1">
      <c r="B2398" s="14"/>
      <c r="H2398" s="14"/>
      <c r="I2398" s="567"/>
      <c r="J2398" s="18"/>
      <c r="N2398" s="14"/>
      <c r="O2398" s="14"/>
      <c r="P2398" s="14"/>
    </row>
    <row r="2399" spans="2:16" ht="15.75" customHeight="1">
      <c r="B2399" s="14"/>
      <c r="H2399" s="14"/>
      <c r="I2399" s="567"/>
      <c r="J2399" s="18"/>
      <c r="N2399" s="14"/>
      <c r="O2399" s="14"/>
      <c r="P2399" s="14"/>
    </row>
    <row r="2400" spans="2:16" ht="15.75" customHeight="1">
      <c r="B2400" s="14"/>
      <c r="H2400" s="14"/>
      <c r="I2400" s="567"/>
      <c r="J2400" s="18"/>
      <c r="N2400" s="14"/>
      <c r="O2400" s="14"/>
      <c r="P2400" s="14"/>
    </row>
    <row r="2401" spans="2:16" ht="15.75" customHeight="1">
      <c r="B2401" s="14"/>
      <c r="H2401" s="14"/>
      <c r="I2401" s="567"/>
      <c r="J2401" s="18"/>
      <c r="N2401" s="14"/>
      <c r="O2401" s="14"/>
      <c r="P2401" s="14"/>
    </row>
    <row r="2402" spans="2:16" ht="15.75" customHeight="1">
      <c r="B2402" s="14"/>
      <c r="H2402" s="14"/>
      <c r="I2402" s="567"/>
      <c r="J2402" s="18"/>
      <c r="N2402" s="14"/>
      <c r="O2402" s="14"/>
      <c r="P2402" s="14"/>
    </row>
    <row r="2403" spans="2:16" ht="15.75" customHeight="1">
      <c r="B2403" s="14"/>
      <c r="H2403" s="14"/>
      <c r="I2403" s="567"/>
      <c r="J2403" s="18"/>
      <c r="N2403" s="14"/>
      <c r="O2403" s="14"/>
      <c r="P2403" s="14"/>
    </row>
    <row r="2404" spans="2:16" ht="15.75" customHeight="1">
      <c r="B2404" s="14"/>
      <c r="H2404" s="14"/>
      <c r="I2404" s="567"/>
      <c r="J2404" s="18"/>
      <c r="N2404" s="14"/>
      <c r="O2404" s="14"/>
      <c r="P2404" s="14"/>
    </row>
    <row r="2405" spans="2:16" ht="15.75" customHeight="1">
      <c r="B2405" s="14"/>
      <c r="H2405" s="14"/>
      <c r="I2405" s="567"/>
      <c r="J2405" s="18"/>
      <c r="N2405" s="14"/>
      <c r="O2405" s="14"/>
      <c r="P2405" s="14"/>
    </row>
    <row r="2406" spans="2:16" ht="15.75" customHeight="1">
      <c r="B2406" s="14"/>
      <c r="H2406" s="14"/>
      <c r="I2406" s="567"/>
      <c r="J2406" s="18"/>
      <c r="N2406" s="14"/>
      <c r="O2406" s="14"/>
      <c r="P2406" s="14"/>
    </row>
    <row r="2407" spans="2:16" ht="15.75" customHeight="1">
      <c r="B2407" s="14"/>
      <c r="H2407" s="14"/>
      <c r="I2407" s="567"/>
      <c r="J2407" s="18"/>
      <c r="N2407" s="14"/>
      <c r="O2407" s="14"/>
      <c r="P2407" s="14"/>
    </row>
    <row r="2408" spans="2:16" ht="15.75" customHeight="1">
      <c r="B2408" s="14"/>
      <c r="H2408" s="14"/>
      <c r="I2408" s="567"/>
      <c r="J2408" s="18"/>
      <c r="N2408" s="14"/>
      <c r="O2408" s="14"/>
      <c r="P2408" s="14"/>
    </row>
    <row r="2409" spans="2:16" ht="15.75" customHeight="1">
      <c r="B2409" s="14"/>
      <c r="H2409" s="14"/>
      <c r="I2409" s="567"/>
      <c r="J2409" s="18"/>
      <c r="N2409" s="14"/>
      <c r="O2409" s="14"/>
      <c r="P2409" s="14"/>
    </row>
    <row r="2410" spans="2:16" ht="15.75" customHeight="1">
      <c r="B2410" s="14"/>
      <c r="H2410" s="14"/>
      <c r="I2410" s="567"/>
      <c r="J2410" s="18"/>
      <c r="N2410" s="14"/>
      <c r="O2410" s="14"/>
      <c r="P2410" s="14"/>
    </row>
    <row r="2411" spans="2:16" ht="15.75" customHeight="1">
      <c r="B2411" s="14"/>
      <c r="H2411" s="14"/>
      <c r="I2411" s="567"/>
      <c r="J2411" s="18"/>
      <c r="N2411" s="14"/>
      <c r="O2411" s="14"/>
      <c r="P2411" s="14"/>
    </row>
    <row r="2412" spans="2:16" ht="15.75" customHeight="1">
      <c r="B2412" s="14"/>
      <c r="H2412" s="14"/>
      <c r="I2412" s="567"/>
      <c r="J2412" s="18"/>
      <c r="N2412" s="14"/>
      <c r="O2412" s="14"/>
      <c r="P2412" s="14"/>
    </row>
    <row r="2413" spans="2:16" ht="15.75" customHeight="1">
      <c r="B2413" s="14"/>
      <c r="H2413" s="14"/>
      <c r="I2413" s="567"/>
      <c r="J2413" s="18"/>
      <c r="N2413" s="14"/>
      <c r="O2413" s="14"/>
      <c r="P2413" s="14"/>
    </row>
    <row r="2414" spans="2:16" ht="15.75" customHeight="1">
      <c r="B2414" s="14"/>
      <c r="H2414" s="14"/>
      <c r="I2414" s="567"/>
      <c r="J2414" s="18"/>
      <c r="N2414" s="14"/>
      <c r="O2414" s="14"/>
      <c r="P2414" s="14"/>
    </row>
    <row r="2415" spans="2:16" ht="15.75" customHeight="1">
      <c r="B2415" s="14"/>
      <c r="H2415" s="14"/>
      <c r="I2415" s="567"/>
      <c r="J2415" s="18"/>
      <c r="N2415" s="14"/>
      <c r="O2415" s="14"/>
      <c r="P2415" s="14"/>
    </row>
    <row r="2416" spans="2:16" ht="15.75" customHeight="1">
      <c r="B2416" s="14"/>
      <c r="H2416" s="14"/>
      <c r="I2416" s="567"/>
      <c r="J2416" s="18"/>
      <c r="N2416" s="14"/>
      <c r="O2416" s="14"/>
      <c r="P2416" s="14"/>
    </row>
    <row r="2417" spans="2:16" ht="15.75" customHeight="1">
      <c r="B2417" s="14"/>
      <c r="H2417" s="14"/>
      <c r="I2417" s="567"/>
      <c r="J2417" s="18"/>
      <c r="N2417" s="14"/>
      <c r="O2417" s="14"/>
      <c r="P2417" s="14"/>
    </row>
    <row r="2418" spans="2:16" ht="15.75" customHeight="1">
      <c r="B2418" s="14"/>
      <c r="H2418" s="14"/>
      <c r="I2418" s="567"/>
      <c r="J2418" s="18"/>
      <c r="N2418" s="14"/>
      <c r="O2418" s="14"/>
      <c r="P2418" s="14"/>
    </row>
    <row r="2419" spans="2:16" ht="15.75" customHeight="1">
      <c r="B2419" s="14"/>
      <c r="H2419" s="14"/>
      <c r="I2419" s="567"/>
      <c r="J2419" s="18"/>
      <c r="N2419" s="14"/>
      <c r="O2419" s="14"/>
      <c r="P2419" s="14"/>
    </row>
    <row r="2420" spans="2:16" ht="15.75" customHeight="1">
      <c r="B2420" s="14"/>
      <c r="H2420" s="14"/>
      <c r="I2420" s="567"/>
      <c r="J2420" s="18"/>
      <c r="N2420" s="14"/>
      <c r="O2420" s="14"/>
      <c r="P2420" s="14"/>
    </row>
    <row r="2421" spans="2:16" ht="15.75" customHeight="1">
      <c r="B2421" s="14"/>
      <c r="H2421" s="14"/>
      <c r="I2421" s="567"/>
      <c r="J2421" s="18"/>
      <c r="N2421" s="14"/>
      <c r="O2421" s="14"/>
      <c r="P2421" s="14"/>
    </row>
    <row r="2422" spans="2:16" ht="15.75" customHeight="1">
      <c r="B2422" s="14"/>
      <c r="H2422" s="14"/>
      <c r="I2422" s="567"/>
      <c r="J2422" s="18"/>
      <c r="N2422" s="14"/>
      <c r="O2422" s="14"/>
      <c r="P2422" s="14"/>
    </row>
    <row r="2423" spans="2:16" ht="15.75" customHeight="1">
      <c r="B2423" s="14"/>
      <c r="H2423" s="14"/>
      <c r="I2423" s="567"/>
      <c r="J2423" s="18"/>
      <c r="N2423" s="14"/>
      <c r="O2423" s="14"/>
      <c r="P2423" s="14"/>
    </row>
    <row r="2424" spans="2:16" ht="15.75" customHeight="1">
      <c r="B2424" s="14"/>
      <c r="H2424" s="14"/>
      <c r="I2424" s="567"/>
      <c r="J2424" s="18"/>
      <c r="N2424" s="14"/>
      <c r="O2424" s="14"/>
      <c r="P2424" s="14"/>
    </row>
    <row r="2425" spans="2:16" ht="15.75" customHeight="1">
      <c r="B2425" s="14"/>
      <c r="H2425" s="14"/>
      <c r="I2425" s="567"/>
      <c r="J2425" s="18"/>
      <c r="N2425" s="14"/>
      <c r="O2425" s="14"/>
      <c r="P2425" s="14"/>
    </row>
    <row r="2426" spans="2:16" ht="15.75" customHeight="1">
      <c r="B2426" s="14"/>
      <c r="H2426" s="14"/>
      <c r="I2426" s="567"/>
      <c r="J2426" s="18"/>
      <c r="N2426" s="14"/>
      <c r="O2426" s="14"/>
      <c r="P2426" s="14"/>
    </row>
    <row r="2427" spans="2:16" ht="15.75" customHeight="1">
      <c r="B2427" s="14"/>
      <c r="H2427" s="14"/>
      <c r="I2427" s="567"/>
      <c r="J2427" s="18"/>
      <c r="N2427" s="14"/>
      <c r="O2427" s="14"/>
      <c r="P2427" s="14"/>
    </row>
    <row r="2428" spans="2:16" ht="15.75" customHeight="1">
      <c r="B2428" s="14"/>
      <c r="H2428" s="14"/>
      <c r="I2428" s="567"/>
      <c r="J2428" s="18"/>
      <c r="N2428" s="14"/>
      <c r="O2428" s="14"/>
      <c r="P2428" s="14"/>
    </row>
    <row r="2429" spans="2:16" ht="15.75" customHeight="1">
      <c r="B2429" s="14"/>
      <c r="H2429" s="14"/>
      <c r="I2429" s="567"/>
      <c r="J2429" s="18"/>
      <c r="N2429" s="14"/>
      <c r="O2429" s="14"/>
      <c r="P2429" s="14"/>
    </row>
    <row r="2430" spans="2:16" ht="15.75" customHeight="1">
      <c r="B2430" s="14"/>
      <c r="H2430" s="14"/>
      <c r="I2430" s="567"/>
      <c r="J2430" s="18"/>
      <c r="N2430" s="14"/>
      <c r="O2430" s="14"/>
      <c r="P2430" s="14"/>
    </row>
    <row r="2431" spans="2:16" ht="15.75" customHeight="1">
      <c r="B2431" s="14"/>
      <c r="H2431" s="14"/>
      <c r="I2431" s="567"/>
      <c r="J2431" s="18"/>
      <c r="N2431" s="14"/>
      <c r="O2431" s="14"/>
      <c r="P2431" s="14"/>
    </row>
    <row r="2432" spans="2:16" ht="15.75" customHeight="1">
      <c r="B2432" s="14"/>
      <c r="H2432" s="14"/>
      <c r="I2432" s="567"/>
      <c r="J2432" s="18"/>
      <c r="N2432" s="14"/>
      <c r="O2432" s="14"/>
      <c r="P2432" s="14"/>
    </row>
    <row r="2433" spans="2:16" ht="15.75" customHeight="1">
      <c r="B2433" s="14"/>
      <c r="H2433" s="14"/>
      <c r="I2433" s="567"/>
      <c r="J2433" s="18"/>
      <c r="N2433" s="14"/>
      <c r="O2433" s="14"/>
      <c r="P2433" s="14"/>
    </row>
    <row r="2434" spans="2:16" ht="15.75" customHeight="1">
      <c r="B2434" s="14"/>
      <c r="H2434" s="14"/>
      <c r="I2434" s="567"/>
      <c r="J2434" s="18"/>
      <c r="N2434" s="14"/>
      <c r="O2434" s="14"/>
      <c r="P2434" s="14"/>
    </row>
    <row r="2435" spans="2:16" ht="15.75" customHeight="1">
      <c r="B2435" s="14"/>
      <c r="H2435" s="14"/>
      <c r="I2435" s="567"/>
      <c r="J2435" s="18"/>
      <c r="N2435" s="14"/>
      <c r="O2435" s="14"/>
      <c r="P2435" s="14"/>
    </row>
    <row r="2436" spans="2:16" ht="15.75" customHeight="1">
      <c r="B2436" s="14"/>
      <c r="H2436" s="14"/>
      <c r="I2436" s="567"/>
      <c r="J2436" s="18"/>
      <c r="N2436" s="14"/>
      <c r="O2436" s="14"/>
      <c r="P2436" s="14"/>
    </row>
    <row r="2437" spans="2:16" ht="15.75" customHeight="1">
      <c r="B2437" s="14"/>
      <c r="H2437" s="14"/>
      <c r="I2437" s="567"/>
      <c r="J2437" s="18"/>
      <c r="N2437" s="14"/>
      <c r="O2437" s="14"/>
      <c r="P2437" s="14"/>
    </row>
    <row r="2438" spans="2:16" ht="15.75" customHeight="1">
      <c r="B2438" s="14"/>
      <c r="H2438" s="14"/>
      <c r="I2438" s="567"/>
      <c r="J2438" s="18"/>
      <c r="N2438" s="14"/>
      <c r="O2438" s="14"/>
      <c r="P2438" s="14"/>
    </row>
    <row r="2439" spans="2:16" ht="15.75" customHeight="1">
      <c r="B2439" s="14"/>
      <c r="H2439" s="14"/>
      <c r="I2439" s="567"/>
      <c r="J2439" s="18"/>
      <c r="N2439" s="14"/>
      <c r="O2439" s="14"/>
      <c r="P2439" s="14"/>
    </row>
    <row r="2440" spans="2:16" ht="15.75" customHeight="1">
      <c r="B2440" s="14"/>
      <c r="H2440" s="14"/>
      <c r="I2440" s="567"/>
      <c r="J2440" s="18"/>
      <c r="N2440" s="14"/>
      <c r="O2440" s="14"/>
      <c r="P2440" s="14"/>
    </row>
    <row r="2441" spans="2:16" ht="15.75" customHeight="1">
      <c r="B2441" s="14"/>
      <c r="H2441" s="14"/>
      <c r="I2441" s="567"/>
      <c r="J2441" s="18"/>
      <c r="N2441" s="14"/>
      <c r="O2441" s="14"/>
      <c r="P2441" s="14"/>
    </row>
    <row r="2442" spans="2:16" ht="15.75" customHeight="1">
      <c r="B2442" s="14"/>
      <c r="H2442" s="14"/>
      <c r="I2442" s="567"/>
      <c r="J2442" s="18"/>
      <c r="N2442" s="14"/>
      <c r="O2442" s="14"/>
      <c r="P2442" s="14"/>
    </row>
    <row r="2443" spans="2:16" ht="15.75" customHeight="1">
      <c r="B2443" s="14"/>
      <c r="H2443" s="14"/>
      <c r="I2443" s="567"/>
      <c r="J2443" s="18"/>
      <c r="N2443" s="14"/>
      <c r="O2443" s="14"/>
      <c r="P2443" s="14"/>
    </row>
    <row r="2444" spans="2:16" ht="15.75" customHeight="1">
      <c r="B2444" s="14"/>
      <c r="H2444" s="14"/>
      <c r="I2444" s="567"/>
      <c r="J2444" s="18"/>
      <c r="N2444" s="14"/>
      <c r="O2444" s="14"/>
      <c r="P2444" s="14"/>
    </row>
    <row r="2445" spans="2:16" ht="15.75" customHeight="1">
      <c r="B2445" s="14"/>
      <c r="H2445" s="14"/>
      <c r="I2445" s="567"/>
      <c r="J2445" s="18"/>
      <c r="N2445" s="14"/>
      <c r="O2445" s="14"/>
      <c r="P2445" s="14"/>
    </row>
    <row r="2446" spans="2:16" ht="15.75" customHeight="1">
      <c r="B2446" s="14"/>
      <c r="H2446" s="14"/>
      <c r="I2446" s="567"/>
      <c r="J2446" s="18"/>
      <c r="N2446" s="14"/>
      <c r="O2446" s="14"/>
      <c r="P2446" s="14"/>
    </row>
    <row r="2447" spans="2:16" ht="15.75" customHeight="1">
      <c r="B2447" s="14"/>
      <c r="H2447" s="14"/>
      <c r="I2447" s="567"/>
      <c r="J2447" s="18"/>
      <c r="N2447" s="14"/>
      <c r="O2447" s="14"/>
      <c r="P2447" s="14"/>
    </row>
    <row r="2448" spans="2:16" ht="15.75" customHeight="1">
      <c r="B2448" s="14"/>
      <c r="H2448" s="14"/>
      <c r="I2448" s="567"/>
      <c r="J2448" s="18"/>
      <c r="N2448" s="14"/>
      <c r="O2448" s="14"/>
      <c r="P2448" s="14"/>
    </row>
    <row r="2449" spans="2:16" ht="15.75" customHeight="1">
      <c r="B2449" s="14"/>
      <c r="H2449" s="14"/>
      <c r="I2449" s="567"/>
      <c r="J2449" s="18"/>
      <c r="N2449" s="14"/>
      <c r="O2449" s="14"/>
      <c r="P2449" s="14"/>
    </row>
    <row r="2450" spans="2:16" ht="15.75" customHeight="1">
      <c r="B2450" s="14"/>
      <c r="H2450" s="14"/>
      <c r="I2450" s="567"/>
      <c r="J2450" s="18"/>
      <c r="N2450" s="14"/>
      <c r="O2450" s="14"/>
      <c r="P2450" s="14"/>
    </row>
    <row r="2451" spans="2:16" ht="15.75" customHeight="1">
      <c r="B2451" s="14"/>
      <c r="H2451" s="14"/>
      <c r="I2451" s="567"/>
      <c r="J2451" s="18"/>
      <c r="N2451" s="14"/>
      <c r="O2451" s="14"/>
      <c r="P2451" s="14"/>
    </row>
    <row r="2452" spans="2:16" ht="15.75" customHeight="1">
      <c r="B2452" s="14"/>
      <c r="H2452" s="14"/>
      <c r="I2452" s="567"/>
      <c r="J2452" s="18"/>
      <c r="N2452" s="14"/>
      <c r="O2452" s="14"/>
      <c r="P2452" s="14"/>
    </row>
    <row r="2453" spans="2:16" ht="15.75" customHeight="1">
      <c r="B2453" s="14"/>
      <c r="H2453" s="14"/>
      <c r="I2453" s="567"/>
      <c r="J2453" s="18"/>
      <c r="N2453" s="14"/>
      <c r="O2453" s="14"/>
      <c r="P2453" s="14"/>
    </row>
    <row r="2454" spans="2:16" ht="15.75" customHeight="1">
      <c r="B2454" s="14"/>
      <c r="H2454" s="14"/>
      <c r="I2454" s="567"/>
      <c r="J2454" s="18"/>
      <c r="N2454" s="14"/>
      <c r="O2454" s="14"/>
      <c r="P2454" s="14"/>
    </row>
    <row r="2455" spans="2:16" ht="15.75" customHeight="1">
      <c r="B2455" s="14"/>
      <c r="H2455" s="14"/>
      <c r="I2455" s="567"/>
      <c r="J2455" s="18"/>
      <c r="N2455" s="14"/>
      <c r="O2455" s="14"/>
      <c r="P2455" s="14"/>
    </row>
    <row r="2456" spans="2:16" ht="15.75" customHeight="1">
      <c r="B2456" s="14"/>
      <c r="H2456" s="14"/>
      <c r="I2456" s="567"/>
      <c r="J2456" s="18"/>
      <c r="N2456" s="14"/>
      <c r="O2456" s="14"/>
      <c r="P2456" s="14"/>
    </row>
    <row r="2457" spans="2:16" ht="15.75" customHeight="1">
      <c r="B2457" s="14"/>
      <c r="H2457" s="14"/>
      <c r="I2457" s="567"/>
      <c r="J2457" s="18"/>
      <c r="N2457" s="14"/>
      <c r="O2457" s="14"/>
      <c r="P2457" s="14"/>
    </row>
    <row r="2458" spans="2:16" ht="15.75" customHeight="1">
      <c r="B2458" s="14"/>
      <c r="H2458" s="14"/>
      <c r="I2458" s="567"/>
      <c r="J2458" s="18"/>
      <c r="N2458" s="14"/>
      <c r="O2458" s="14"/>
      <c r="P2458" s="14"/>
    </row>
    <row r="2459" spans="2:16" ht="15.75" customHeight="1">
      <c r="B2459" s="14"/>
      <c r="H2459" s="14"/>
      <c r="I2459" s="567"/>
      <c r="J2459" s="18"/>
      <c r="N2459" s="14"/>
      <c r="O2459" s="14"/>
      <c r="P2459" s="14"/>
    </row>
    <row r="2460" spans="2:16" ht="15.75" customHeight="1">
      <c r="B2460" s="14"/>
      <c r="H2460" s="14"/>
      <c r="I2460" s="567"/>
      <c r="J2460" s="18"/>
      <c r="N2460" s="14"/>
      <c r="O2460" s="14"/>
      <c r="P2460" s="14"/>
    </row>
    <row r="2461" spans="2:16" ht="15.75" customHeight="1">
      <c r="B2461" s="14"/>
      <c r="H2461" s="14"/>
      <c r="I2461" s="567"/>
      <c r="J2461" s="18"/>
      <c r="N2461" s="14"/>
      <c r="O2461" s="14"/>
      <c r="P2461" s="14"/>
    </row>
    <row r="2462" spans="2:16" ht="15.75" customHeight="1">
      <c r="B2462" s="14"/>
      <c r="H2462" s="14"/>
      <c r="I2462" s="567"/>
      <c r="J2462" s="18"/>
      <c r="N2462" s="14"/>
      <c r="O2462" s="14"/>
      <c r="P2462" s="14"/>
    </row>
    <row r="2463" spans="2:16" ht="15.75" customHeight="1">
      <c r="B2463" s="14"/>
      <c r="H2463" s="14"/>
      <c r="I2463" s="567"/>
      <c r="J2463" s="18"/>
      <c r="N2463" s="14"/>
      <c r="O2463" s="14"/>
      <c r="P2463" s="14"/>
    </row>
    <row r="2464" spans="2:16" ht="15.75" customHeight="1">
      <c r="B2464" s="14"/>
      <c r="H2464" s="14"/>
      <c r="I2464" s="567"/>
      <c r="J2464" s="18"/>
      <c r="N2464" s="14"/>
      <c r="O2464" s="14"/>
      <c r="P2464" s="14"/>
    </row>
    <row r="2465" spans="2:16" ht="15.75" customHeight="1">
      <c r="B2465" s="14"/>
      <c r="H2465" s="14"/>
      <c r="I2465" s="567"/>
      <c r="J2465" s="18"/>
      <c r="N2465" s="14"/>
      <c r="O2465" s="14"/>
      <c r="P2465" s="14"/>
    </row>
    <row r="2466" spans="2:16" ht="15.75" customHeight="1">
      <c r="B2466" s="14"/>
      <c r="H2466" s="14"/>
      <c r="I2466" s="567"/>
      <c r="J2466" s="18"/>
      <c r="N2466" s="14"/>
      <c r="O2466" s="14"/>
      <c r="P2466" s="14"/>
    </row>
    <row r="2467" spans="2:16" ht="15.75" customHeight="1">
      <c r="B2467" s="14"/>
      <c r="H2467" s="14"/>
      <c r="I2467" s="567"/>
      <c r="J2467" s="18"/>
      <c r="N2467" s="14"/>
      <c r="O2467" s="14"/>
      <c r="P2467" s="14"/>
    </row>
    <row r="2468" spans="2:16" ht="15.75" customHeight="1">
      <c r="B2468" s="14"/>
      <c r="H2468" s="14"/>
      <c r="I2468" s="567"/>
      <c r="J2468" s="18"/>
      <c r="N2468" s="14"/>
      <c r="O2468" s="14"/>
      <c r="P2468" s="14"/>
    </row>
    <row r="2469" spans="2:16" ht="15.75" customHeight="1">
      <c r="B2469" s="14"/>
      <c r="H2469" s="14"/>
      <c r="I2469" s="567"/>
      <c r="J2469" s="18"/>
      <c r="N2469" s="14"/>
      <c r="O2469" s="14"/>
      <c r="P2469" s="14"/>
    </row>
    <row r="2470" spans="2:16" ht="15.75" customHeight="1">
      <c r="B2470" s="14"/>
      <c r="H2470" s="14"/>
      <c r="I2470" s="567"/>
      <c r="J2470" s="18"/>
      <c r="N2470" s="14"/>
      <c r="O2470" s="14"/>
      <c r="P2470" s="14"/>
    </row>
    <row r="2471" spans="2:16" ht="15.75" customHeight="1">
      <c r="B2471" s="14"/>
      <c r="H2471" s="14"/>
      <c r="I2471" s="567"/>
      <c r="J2471" s="18"/>
      <c r="N2471" s="14"/>
      <c r="O2471" s="14"/>
      <c r="P2471" s="14"/>
    </row>
    <row r="2472" spans="2:16" ht="15.75" customHeight="1">
      <c r="B2472" s="14"/>
      <c r="H2472" s="14"/>
      <c r="I2472" s="567"/>
      <c r="J2472" s="18"/>
      <c r="N2472" s="14"/>
      <c r="O2472" s="14"/>
      <c r="P2472" s="14"/>
    </row>
    <row r="2473" spans="2:16" ht="15.75" customHeight="1">
      <c r="B2473" s="14"/>
      <c r="H2473" s="14"/>
      <c r="I2473" s="567"/>
      <c r="J2473" s="18"/>
      <c r="N2473" s="14"/>
      <c r="O2473" s="14"/>
      <c r="P2473" s="14"/>
    </row>
    <row r="2474" spans="2:16" ht="15.75" customHeight="1">
      <c r="B2474" s="14"/>
      <c r="H2474" s="14"/>
      <c r="I2474" s="567"/>
      <c r="J2474" s="18"/>
      <c r="N2474" s="14"/>
      <c r="O2474" s="14"/>
      <c r="P2474" s="14"/>
    </row>
    <row r="2475" spans="2:16" ht="15.75" customHeight="1">
      <c r="B2475" s="14"/>
      <c r="H2475" s="14"/>
      <c r="I2475" s="567"/>
      <c r="J2475" s="18"/>
      <c r="N2475" s="14"/>
      <c r="O2475" s="14"/>
      <c r="P2475" s="14"/>
    </row>
    <row r="2476" spans="2:16" ht="15.75" customHeight="1">
      <c r="B2476" s="14"/>
      <c r="H2476" s="14"/>
      <c r="I2476" s="567"/>
      <c r="J2476" s="18"/>
      <c r="N2476" s="14"/>
      <c r="O2476" s="14"/>
      <c r="P2476" s="14"/>
    </row>
    <row r="2477" spans="2:16" ht="15.75" customHeight="1">
      <c r="B2477" s="14"/>
      <c r="H2477" s="14"/>
      <c r="I2477" s="567"/>
      <c r="J2477" s="18"/>
      <c r="N2477" s="14"/>
      <c r="O2477" s="14"/>
      <c r="P2477" s="14"/>
    </row>
    <row r="2478" spans="2:16" ht="15.75" customHeight="1">
      <c r="B2478" s="14"/>
      <c r="H2478" s="14"/>
      <c r="I2478" s="567"/>
      <c r="J2478" s="18"/>
      <c r="N2478" s="14"/>
      <c r="O2478" s="14"/>
      <c r="P2478" s="14"/>
    </row>
    <row r="2479" spans="2:16" ht="15.75" customHeight="1">
      <c r="B2479" s="14"/>
      <c r="H2479" s="14"/>
      <c r="I2479" s="567"/>
      <c r="J2479" s="18"/>
      <c r="N2479" s="14"/>
      <c r="O2479" s="14"/>
      <c r="P2479" s="14"/>
    </row>
    <row r="2480" spans="2:16" ht="15.75" customHeight="1">
      <c r="B2480" s="14"/>
      <c r="H2480" s="14"/>
      <c r="I2480" s="567"/>
      <c r="J2480" s="18"/>
      <c r="N2480" s="14"/>
      <c r="O2480" s="14"/>
      <c r="P2480" s="14"/>
    </row>
    <row r="2481" spans="2:16" ht="15.75" customHeight="1">
      <c r="B2481" s="14"/>
      <c r="H2481" s="14"/>
      <c r="I2481" s="567"/>
      <c r="J2481" s="18"/>
      <c r="N2481" s="14"/>
      <c r="O2481" s="14"/>
      <c r="P2481" s="14"/>
    </row>
    <row r="2482" spans="2:16" ht="15.75" customHeight="1">
      <c r="B2482" s="14"/>
      <c r="H2482" s="14"/>
      <c r="I2482" s="567"/>
      <c r="J2482" s="18"/>
      <c r="N2482" s="14"/>
      <c r="O2482" s="14"/>
      <c r="P2482" s="14"/>
    </row>
    <row r="2483" spans="2:16" ht="15.75" customHeight="1">
      <c r="B2483" s="14"/>
      <c r="H2483" s="14"/>
      <c r="I2483" s="567"/>
      <c r="J2483" s="18"/>
      <c r="N2483" s="14"/>
      <c r="O2483" s="14"/>
      <c r="P2483" s="14"/>
    </row>
    <row r="2484" spans="2:16" ht="15.75" customHeight="1">
      <c r="B2484" s="14"/>
      <c r="H2484" s="14"/>
      <c r="I2484" s="567"/>
      <c r="J2484" s="18"/>
      <c r="N2484" s="14"/>
      <c r="O2484" s="14"/>
      <c r="P2484" s="14"/>
    </row>
    <row r="2485" spans="2:16" ht="15.75" customHeight="1">
      <c r="B2485" s="14"/>
      <c r="H2485" s="14"/>
      <c r="I2485" s="567"/>
      <c r="J2485" s="18"/>
      <c r="N2485" s="14"/>
      <c r="O2485" s="14"/>
      <c r="P2485" s="14"/>
    </row>
    <row r="2486" spans="2:16" ht="15.75" customHeight="1">
      <c r="B2486" s="14"/>
      <c r="H2486" s="14"/>
      <c r="I2486" s="567"/>
      <c r="J2486" s="18"/>
      <c r="N2486" s="14"/>
      <c r="O2486" s="14"/>
      <c r="P2486" s="14"/>
    </row>
    <row r="2487" spans="2:16" ht="15.75" customHeight="1">
      <c r="B2487" s="14"/>
      <c r="H2487" s="14"/>
      <c r="I2487" s="567"/>
      <c r="J2487" s="18"/>
      <c r="N2487" s="14"/>
      <c r="O2487" s="14"/>
      <c r="P2487" s="14"/>
    </row>
    <row r="2488" spans="2:16" ht="15.75" customHeight="1">
      <c r="B2488" s="14"/>
      <c r="H2488" s="14"/>
      <c r="I2488" s="567"/>
      <c r="J2488" s="18"/>
      <c r="N2488" s="14"/>
      <c r="O2488" s="14"/>
      <c r="P2488" s="14"/>
    </row>
    <row r="2489" spans="2:16" ht="15.75" customHeight="1">
      <c r="B2489" s="14"/>
      <c r="H2489" s="14"/>
      <c r="I2489" s="567"/>
      <c r="J2489" s="18"/>
      <c r="N2489" s="14"/>
      <c r="O2489" s="14"/>
      <c r="P2489" s="14"/>
    </row>
    <row r="2490" spans="2:16" ht="15.75" customHeight="1">
      <c r="B2490" s="14"/>
      <c r="H2490" s="14"/>
      <c r="I2490" s="567"/>
      <c r="J2490" s="18"/>
      <c r="N2490" s="14"/>
      <c r="O2490" s="14"/>
      <c r="P2490" s="14"/>
    </row>
    <row r="2491" spans="2:16" ht="15.75" customHeight="1">
      <c r="B2491" s="14"/>
      <c r="H2491" s="14"/>
      <c r="I2491" s="567"/>
      <c r="J2491" s="18"/>
      <c r="N2491" s="14"/>
      <c r="O2491" s="14"/>
      <c r="P2491" s="14"/>
    </row>
    <row r="2492" spans="2:16" ht="15.75" customHeight="1">
      <c r="B2492" s="14"/>
      <c r="H2492" s="14"/>
      <c r="I2492" s="567"/>
      <c r="J2492" s="18"/>
      <c r="N2492" s="14"/>
      <c r="O2492" s="14"/>
      <c r="P2492" s="14"/>
    </row>
    <row r="2493" spans="2:16" ht="15.75" customHeight="1">
      <c r="B2493" s="14"/>
      <c r="H2493" s="14"/>
      <c r="I2493" s="567"/>
      <c r="J2493" s="18"/>
      <c r="N2493" s="14"/>
      <c r="O2493" s="14"/>
      <c r="P2493" s="14"/>
    </row>
    <row r="2494" spans="2:16" ht="15.75" customHeight="1">
      <c r="B2494" s="14"/>
      <c r="H2494" s="14"/>
      <c r="I2494" s="567"/>
      <c r="J2494" s="18"/>
      <c r="N2494" s="14"/>
      <c r="O2494" s="14"/>
      <c r="P2494" s="14"/>
    </row>
    <row r="2495" spans="2:16" ht="15.75" customHeight="1">
      <c r="B2495" s="14"/>
      <c r="H2495" s="14"/>
      <c r="I2495" s="567"/>
      <c r="J2495" s="18"/>
      <c r="N2495" s="14"/>
      <c r="O2495" s="14"/>
      <c r="P2495" s="14"/>
    </row>
    <row r="2496" spans="2:16" ht="15.75" customHeight="1">
      <c r="B2496" s="14"/>
      <c r="H2496" s="14"/>
      <c r="I2496" s="567"/>
      <c r="J2496" s="18"/>
      <c r="N2496" s="14"/>
      <c r="O2496" s="14"/>
      <c r="P2496" s="14"/>
    </row>
    <row r="2497" spans="2:16" ht="15.75" customHeight="1">
      <c r="B2497" s="14"/>
      <c r="H2497" s="14"/>
      <c r="I2497" s="567"/>
      <c r="J2497" s="18"/>
      <c r="N2497" s="14"/>
      <c r="O2497" s="14"/>
      <c r="P2497" s="14"/>
    </row>
    <row r="2498" spans="2:16" ht="15.75" customHeight="1">
      <c r="B2498" s="14"/>
      <c r="H2498" s="14"/>
      <c r="I2498" s="567"/>
      <c r="J2498" s="18"/>
      <c r="N2498" s="14"/>
      <c r="O2498" s="14"/>
      <c r="P2498" s="14"/>
    </row>
    <row r="2499" spans="2:16" ht="15.75" customHeight="1">
      <c r="B2499" s="14"/>
      <c r="H2499" s="14"/>
      <c r="I2499" s="567"/>
      <c r="J2499" s="18"/>
      <c r="N2499" s="14"/>
      <c r="O2499" s="14"/>
      <c r="P2499" s="14"/>
    </row>
    <row r="2500" spans="2:16" ht="15.75" customHeight="1">
      <c r="B2500" s="14"/>
      <c r="H2500" s="14"/>
      <c r="I2500" s="567"/>
      <c r="J2500" s="18"/>
      <c r="N2500" s="14"/>
      <c r="O2500" s="14"/>
      <c r="P2500" s="14"/>
    </row>
    <row r="2501" spans="2:16" ht="15.75" customHeight="1">
      <c r="B2501" s="14"/>
      <c r="H2501" s="14"/>
      <c r="I2501" s="567"/>
      <c r="J2501" s="18"/>
      <c r="N2501" s="14"/>
      <c r="O2501" s="14"/>
      <c r="P2501" s="14"/>
    </row>
    <row r="2502" spans="2:16" ht="15.75" customHeight="1">
      <c r="B2502" s="14"/>
      <c r="H2502" s="14"/>
      <c r="I2502" s="567"/>
      <c r="J2502" s="18"/>
      <c r="N2502" s="14"/>
      <c r="O2502" s="14"/>
      <c r="P2502" s="14"/>
    </row>
    <row r="2503" spans="2:16" ht="15.75" customHeight="1">
      <c r="B2503" s="14"/>
      <c r="H2503" s="14"/>
      <c r="I2503" s="567"/>
      <c r="J2503" s="18"/>
      <c r="N2503" s="14"/>
      <c r="O2503" s="14"/>
      <c r="P2503" s="14"/>
    </row>
    <row r="2504" spans="2:16" ht="15.75" customHeight="1">
      <c r="B2504" s="14"/>
      <c r="H2504" s="14"/>
      <c r="I2504" s="567"/>
      <c r="J2504" s="18"/>
      <c r="N2504" s="14"/>
      <c r="O2504" s="14"/>
      <c r="P2504" s="14"/>
    </row>
    <row r="2505" spans="2:16" ht="15.75" customHeight="1">
      <c r="B2505" s="14"/>
      <c r="H2505" s="14"/>
      <c r="I2505" s="567"/>
      <c r="J2505" s="18"/>
      <c r="N2505" s="14"/>
      <c r="O2505" s="14"/>
      <c r="P2505" s="14"/>
    </row>
    <row r="2506" spans="2:16" ht="15.75" customHeight="1">
      <c r="B2506" s="14"/>
      <c r="H2506" s="14"/>
      <c r="I2506" s="567"/>
      <c r="J2506" s="18"/>
      <c r="N2506" s="14"/>
      <c r="O2506" s="14"/>
      <c r="P2506" s="14"/>
    </row>
    <row r="2507" spans="2:16" ht="15.75" customHeight="1">
      <c r="B2507" s="14"/>
      <c r="H2507" s="14"/>
      <c r="I2507" s="567"/>
      <c r="J2507" s="18"/>
      <c r="N2507" s="14"/>
      <c r="O2507" s="14"/>
      <c r="P2507" s="14"/>
    </row>
    <row r="2508" spans="2:16" ht="15.75" customHeight="1">
      <c r="B2508" s="14"/>
      <c r="H2508" s="14"/>
      <c r="I2508" s="567"/>
      <c r="J2508" s="18"/>
      <c r="N2508" s="14"/>
      <c r="O2508" s="14"/>
      <c r="P2508" s="14"/>
    </row>
    <row r="2509" spans="2:16" ht="15.75" customHeight="1">
      <c r="B2509" s="14"/>
      <c r="H2509" s="14"/>
      <c r="I2509" s="567"/>
      <c r="J2509" s="18"/>
      <c r="N2509" s="14"/>
      <c r="O2509" s="14"/>
      <c r="P2509" s="14"/>
    </row>
    <row r="2510" spans="2:16" ht="15.75" customHeight="1">
      <c r="B2510" s="14"/>
      <c r="H2510" s="14"/>
      <c r="I2510" s="567"/>
      <c r="J2510" s="18"/>
      <c r="N2510" s="14"/>
      <c r="O2510" s="14"/>
      <c r="P2510" s="14"/>
    </row>
    <row r="2511" spans="2:16" ht="15.75" customHeight="1">
      <c r="B2511" s="14"/>
      <c r="H2511" s="14"/>
      <c r="I2511" s="567"/>
      <c r="J2511" s="18"/>
      <c r="N2511" s="14"/>
      <c r="O2511" s="14"/>
      <c r="P2511" s="14"/>
    </row>
    <row r="2512" spans="2:16" ht="15.75" customHeight="1">
      <c r="B2512" s="14"/>
      <c r="H2512" s="14"/>
      <c r="I2512" s="567"/>
      <c r="J2512" s="18"/>
      <c r="N2512" s="14"/>
      <c r="O2512" s="14"/>
      <c r="P2512" s="14"/>
    </row>
    <row r="2513" spans="2:16" ht="15.75" customHeight="1">
      <c r="B2513" s="14"/>
      <c r="H2513" s="14"/>
      <c r="I2513" s="567"/>
      <c r="J2513" s="18"/>
      <c r="N2513" s="14"/>
      <c r="O2513" s="14"/>
      <c r="P2513" s="14"/>
    </row>
    <row r="2514" spans="2:16" ht="15.75" customHeight="1">
      <c r="B2514" s="14"/>
      <c r="H2514" s="14"/>
      <c r="I2514" s="567"/>
      <c r="J2514" s="18"/>
      <c r="N2514" s="14"/>
      <c r="O2514" s="14"/>
      <c r="P2514" s="14"/>
    </row>
    <row r="2515" spans="2:16" ht="15.75" customHeight="1">
      <c r="B2515" s="14"/>
      <c r="H2515" s="14"/>
      <c r="I2515" s="567"/>
      <c r="J2515" s="18"/>
      <c r="N2515" s="14"/>
      <c r="O2515" s="14"/>
      <c r="P2515" s="14"/>
    </row>
    <row r="2516" spans="2:16" ht="15.75" customHeight="1">
      <c r="B2516" s="14"/>
      <c r="H2516" s="14"/>
      <c r="I2516" s="567"/>
      <c r="J2516" s="18"/>
      <c r="N2516" s="14"/>
      <c r="O2516" s="14"/>
      <c r="P2516" s="14"/>
    </row>
    <row r="2517" spans="2:16" ht="15.75" customHeight="1">
      <c r="B2517" s="14"/>
      <c r="H2517" s="14"/>
      <c r="I2517" s="567"/>
      <c r="J2517" s="18"/>
      <c r="N2517" s="14"/>
      <c r="O2517" s="14"/>
      <c r="P2517" s="14"/>
    </row>
    <row r="2518" spans="2:16" ht="15.75" customHeight="1">
      <c r="B2518" s="14"/>
      <c r="H2518" s="14"/>
      <c r="I2518" s="567"/>
      <c r="J2518" s="18"/>
      <c r="N2518" s="14"/>
      <c r="O2518" s="14"/>
      <c r="P2518" s="14"/>
    </row>
    <row r="2519" spans="2:16" ht="15.75" customHeight="1">
      <c r="B2519" s="14"/>
      <c r="H2519" s="14"/>
      <c r="I2519" s="567"/>
      <c r="J2519" s="18"/>
      <c r="N2519" s="14"/>
      <c r="O2519" s="14"/>
      <c r="P2519" s="14"/>
    </row>
    <row r="2520" spans="2:16" ht="15.75" customHeight="1">
      <c r="B2520" s="14"/>
      <c r="H2520" s="14"/>
      <c r="I2520" s="567"/>
      <c r="J2520" s="18"/>
      <c r="N2520" s="14"/>
      <c r="O2520" s="14"/>
      <c r="P2520" s="14"/>
    </row>
    <row r="2521" spans="2:16" ht="15.75" customHeight="1">
      <c r="B2521" s="14"/>
      <c r="H2521" s="14"/>
      <c r="I2521" s="567"/>
      <c r="J2521" s="18"/>
      <c r="N2521" s="14"/>
      <c r="O2521" s="14"/>
      <c r="P2521" s="14"/>
    </row>
    <row r="2522" spans="2:16" ht="15.75" customHeight="1">
      <c r="B2522" s="14"/>
      <c r="H2522" s="14"/>
      <c r="I2522" s="567"/>
      <c r="J2522" s="18"/>
      <c r="N2522" s="14"/>
      <c r="O2522" s="14"/>
      <c r="P2522" s="14"/>
    </row>
    <row r="2523" spans="2:16" ht="15.75" customHeight="1">
      <c r="B2523" s="14"/>
      <c r="H2523" s="14"/>
      <c r="I2523" s="567"/>
      <c r="J2523" s="18"/>
      <c r="N2523" s="14"/>
      <c r="O2523" s="14"/>
      <c r="P2523" s="14"/>
    </row>
    <row r="2524" spans="2:16" ht="15.75" customHeight="1">
      <c r="B2524" s="14"/>
      <c r="H2524" s="14"/>
      <c r="I2524" s="567"/>
      <c r="J2524" s="18"/>
      <c r="N2524" s="14"/>
      <c r="O2524" s="14"/>
      <c r="P2524" s="14"/>
    </row>
    <row r="2525" spans="2:16" ht="15.75" customHeight="1">
      <c r="B2525" s="14"/>
      <c r="H2525" s="14"/>
      <c r="I2525" s="567"/>
      <c r="J2525" s="18"/>
      <c r="N2525" s="14"/>
      <c r="O2525" s="14"/>
      <c r="P2525" s="14"/>
    </row>
    <row r="2526" spans="2:16" ht="15.75" customHeight="1">
      <c r="B2526" s="14"/>
      <c r="H2526" s="14"/>
      <c r="I2526" s="567"/>
      <c r="J2526" s="18"/>
      <c r="N2526" s="14"/>
      <c r="O2526" s="14"/>
      <c r="P2526" s="14"/>
    </row>
    <row r="2527" spans="2:16" ht="15.75" customHeight="1">
      <c r="B2527" s="14"/>
      <c r="H2527" s="14"/>
      <c r="I2527" s="567"/>
      <c r="J2527" s="18"/>
      <c r="N2527" s="14"/>
      <c r="O2527" s="14"/>
      <c r="P2527" s="14"/>
    </row>
    <row r="2528" spans="2:16" ht="15.75" customHeight="1">
      <c r="B2528" s="14"/>
      <c r="H2528" s="14"/>
      <c r="I2528" s="567"/>
      <c r="J2528" s="18"/>
      <c r="N2528" s="14"/>
      <c r="O2528" s="14"/>
      <c r="P2528" s="14"/>
    </row>
    <row r="2529" spans="2:16" ht="15.75" customHeight="1">
      <c r="B2529" s="14"/>
      <c r="H2529" s="14"/>
      <c r="I2529" s="567"/>
      <c r="J2529" s="18"/>
      <c r="N2529" s="14"/>
      <c r="O2529" s="14"/>
      <c r="P2529" s="14"/>
    </row>
    <row r="2530" spans="2:16" ht="15.75" customHeight="1">
      <c r="B2530" s="14"/>
      <c r="H2530" s="14"/>
      <c r="I2530" s="567"/>
      <c r="J2530" s="18"/>
      <c r="N2530" s="14"/>
      <c r="O2530" s="14"/>
      <c r="P2530" s="14"/>
    </row>
    <row r="2531" spans="2:16" ht="15.75" customHeight="1">
      <c r="B2531" s="14"/>
      <c r="H2531" s="14"/>
      <c r="I2531" s="567"/>
      <c r="J2531" s="18"/>
      <c r="N2531" s="14"/>
      <c r="O2531" s="14"/>
      <c r="P2531" s="14"/>
    </row>
    <row r="2532" spans="2:16" ht="15.75" customHeight="1">
      <c r="B2532" s="14"/>
      <c r="H2532" s="14"/>
      <c r="I2532" s="567"/>
      <c r="J2532" s="18"/>
      <c r="N2532" s="14"/>
      <c r="O2532" s="14"/>
      <c r="P2532" s="14"/>
    </row>
    <row r="2533" spans="2:16" ht="15.75" customHeight="1">
      <c r="B2533" s="14"/>
      <c r="H2533" s="14"/>
      <c r="I2533" s="567"/>
      <c r="J2533" s="18"/>
      <c r="N2533" s="14"/>
      <c r="O2533" s="14"/>
      <c r="P2533" s="14"/>
    </row>
    <row r="2534" spans="2:16" ht="15.75" customHeight="1">
      <c r="B2534" s="14"/>
      <c r="H2534" s="14"/>
      <c r="I2534" s="567"/>
      <c r="J2534" s="18"/>
      <c r="N2534" s="14"/>
      <c r="O2534" s="14"/>
      <c r="P2534" s="14"/>
    </row>
    <row r="2535" spans="2:16" ht="15.75" customHeight="1">
      <c r="B2535" s="14"/>
      <c r="H2535" s="14"/>
      <c r="I2535" s="567"/>
      <c r="J2535" s="18"/>
      <c r="N2535" s="14"/>
      <c r="O2535" s="14"/>
      <c r="P2535" s="14"/>
    </row>
    <row r="2536" spans="2:16" ht="15.75" customHeight="1">
      <c r="B2536" s="14"/>
      <c r="H2536" s="14"/>
      <c r="I2536" s="567"/>
      <c r="J2536" s="18"/>
      <c r="N2536" s="14"/>
      <c r="O2536" s="14"/>
      <c r="P2536" s="14"/>
    </row>
    <row r="2537" spans="2:16" ht="15.75" customHeight="1">
      <c r="B2537" s="14"/>
      <c r="H2537" s="14"/>
      <c r="I2537" s="567"/>
      <c r="J2537" s="18"/>
      <c r="N2537" s="14"/>
      <c r="O2537" s="14"/>
      <c r="P2537" s="14"/>
    </row>
    <row r="2538" spans="2:16" ht="15.75" customHeight="1">
      <c r="B2538" s="14"/>
      <c r="H2538" s="14"/>
      <c r="I2538" s="567"/>
      <c r="J2538" s="18"/>
      <c r="N2538" s="14"/>
      <c r="O2538" s="14"/>
      <c r="P2538" s="14"/>
    </row>
    <row r="2539" spans="2:16" ht="15.75" customHeight="1">
      <c r="B2539" s="14"/>
      <c r="H2539" s="14"/>
      <c r="I2539" s="567"/>
      <c r="J2539" s="18"/>
      <c r="N2539" s="14"/>
      <c r="O2539" s="14"/>
      <c r="P2539" s="14"/>
    </row>
    <row r="2540" spans="2:16" ht="15.75" customHeight="1">
      <c r="B2540" s="14"/>
      <c r="H2540" s="14"/>
      <c r="I2540" s="567"/>
      <c r="J2540" s="18"/>
      <c r="N2540" s="14"/>
      <c r="O2540" s="14"/>
      <c r="P2540" s="14"/>
    </row>
    <row r="2541" spans="2:16" ht="15.75" customHeight="1">
      <c r="B2541" s="14"/>
      <c r="H2541" s="14"/>
      <c r="I2541" s="567"/>
      <c r="J2541" s="18"/>
      <c r="N2541" s="14"/>
      <c r="O2541" s="14"/>
      <c r="P2541" s="14"/>
    </row>
    <row r="2542" spans="2:16" ht="15.75" customHeight="1">
      <c r="B2542" s="14"/>
      <c r="H2542" s="14"/>
      <c r="I2542" s="567"/>
      <c r="J2542" s="18"/>
      <c r="N2542" s="14"/>
      <c r="O2542" s="14"/>
      <c r="P2542" s="14"/>
    </row>
    <row r="2543" spans="2:16" ht="15.75" customHeight="1">
      <c r="B2543" s="14"/>
      <c r="H2543" s="14"/>
      <c r="I2543" s="567"/>
      <c r="J2543" s="18"/>
      <c r="N2543" s="14"/>
      <c r="O2543" s="14"/>
      <c r="P2543" s="14"/>
    </row>
    <row r="2544" spans="2:16" ht="15.75" customHeight="1">
      <c r="B2544" s="14"/>
      <c r="H2544" s="14"/>
      <c r="I2544" s="567"/>
      <c r="J2544" s="18"/>
      <c r="N2544" s="14"/>
      <c r="O2544" s="14"/>
      <c r="P2544" s="14"/>
    </row>
    <row r="2545" spans="2:16" ht="15.75" customHeight="1">
      <c r="B2545" s="14"/>
      <c r="H2545" s="14"/>
      <c r="I2545" s="567"/>
      <c r="J2545" s="18"/>
      <c r="N2545" s="14"/>
      <c r="O2545" s="14"/>
      <c r="P2545" s="14"/>
    </row>
    <row r="2546" spans="2:16" ht="15.75" customHeight="1">
      <c r="B2546" s="14"/>
      <c r="H2546" s="14"/>
      <c r="I2546" s="567"/>
      <c r="J2546" s="18"/>
      <c r="N2546" s="14"/>
      <c r="O2546" s="14"/>
      <c r="P2546" s="14"/>
    </row>
    <row r="2547" spans="2:16" ht="15.75" customHeight="1">
      <c r="B2547" s="14"/>
      <c r="H2547" s="14"/>
      <c r="I2547" s="567"/>
      <c r="J2547" s="18"/>
      <c r="N2547" s="14"/>
      <c r="O2547" s="14"/>
      <c r="P2547" s="14"/>
    </row>
    <row r="2548" spans="2:16" ht="15.75" customHeight="1">
      <c r="B2548" s="14"/>
      <c r="H2548" s="14"/>
      <c r="I2548" s="567"/>
      <c r="J2548" s="18"/>
      <c r="N2548" s="14"/>
      <c r="O2548" s="14"/>
      <c r="P2548" s="14"/>
    </row>
    <row r="2549" spans="2:16" ht="15.75" customHeight="1">
      <c r="B2549" s="14"/>
      <c r="H2549" s="14"/>
      <c r="I2549" s="567"/>
      <c r="J2549" s="18"/>
      <c r="N2549" s="14"/>
      <c r="O2549" s="14"/>
      <c r="P2549" s="14"/>
    </row>
    <row r="2550" spans="2:16" ht="15.75" customHeight="1">
      <c r="B2550" s="14"/>
      <c r="H2550" s="14"/>
      <c r="I2550" s="567"/>
      <c r="J2550" s="18"/>
      <c r="N2550" s="14"/>
      <c r="O2550" s="14"/>
      <c r="P2550" s="14"/>
    </row>
    <row r="2551" spans="2:16" ht="15.75" customHeight="1">
      <c r="B2551" s="14"/>
      <c r="H2551" s="14"/>
      <c r="I2551" s="567"/>
      <c r="J2551" s="18"/>
      <c r="N2551" s="14"/>
      <c r="O2551" s="14"/>
      <c r="P2551" s="14"/>
    </row>
    <row r="2552" spans="2:16" ht="15.75" customHeight="1">
      <c r="B2552" s="14"/>
      <c r="H2552" s="14"/>
      <c r="I2552" s="567"/>
      <c r="J2552" s="18"/>
      <c r="N2552" s="14"/>
      <c r="O2552" s="14"/>
      <c r="P2552" s="14"/>
    </row>
    <row r="2553" spans="2:16" ht="15.75" customHeight="1">
      <c r="B2553" s="14"/>
      <c r="H2553" s="14"/>
      <c r="I2553" s="567"/>
      <c r="J2553" s="18"/>
      <c r="N2553" s="14"/>
      <c r="O2553" s="14"/>
      <c r="P2553" s="14"/>
    </row>
    <row r="2554" spans="2:16" ht="15.75" customHeight="1">
      <c r="B2554" s="14"/>
      <c r="H2554" s="14"/>
      <c r="I2554" s="567"/>
      <c r="J2554" s="18"/>
      <c r="N2554" s="14"/>
      <c r="O2554" s="14"/>
      <c r="P2554" s="14"/>
    </row>
    <row r="2555" spans="2:16" ht="15.75" customHeight="1">
      <c r="B2555" s="14"/>
      <c r="H2555" s="14"/>
      <c r="I2555" s="567"/>
      <c r="J2555" s="18"/>
      <c r="N2555" s="14"/>
      <c r="O2555" s="14"/>
      <c r="P2555" s="14"/>
    </row>
    <row r="2556" spans="2:16" ht="15.75" customHeight="1">
      <c r="B2556" s="14"/>
      <c r="H2556" s="14"/>
      <c r="I2556" s="567"/>
      <c r="J2556" s="18"/>
      <c r="N2556" s="14"/>
      <c r="O2556" s="14"/>
      <c r="P2556" s="14"/>
    </row>
    <row r="2557" spans="2:16" ht="15.75" customHeight="1">
      <c r="B2557" s="14"/>
      <c r="H2557" s="14"/>
      <c r="I2557" s="567"/>
      <c r="J2557" s="18"/>
      <c r="N2557" s="14"/>
      <c r="O2557" s="14"/>
      <c r="P2557" s="14"/>
    </row>
    <row r="2558" spans="2:16" ht="15.75" customHeight="1">
      <c r="B2558" s="14"/>
      <c r="H2558" s="14"/>
      <c r="I2558" s="567"/>
      <c r="J2558" s="18"/>
      <c r="N2558" s="14"/>
      <c r="O2558" s="14"/>
      <c r="P2558" s="14"/>
    </row>
    <row r="2559" spans="2:16" ht="15.75" customHeight="1">
      <c r="B2559" s="14"/>
      <c r="H2559" s="14"/>
      <c r="I2559" s="567"/>
      <c r="J2559" s="18"/>
      <c r="N2559" s="14"/>
      <c r="O2559" s="14"/>
      <c r="P2559" s="14"/>
    </row>
    <row r="2560" spans="2:16" ht="15.75" customHeight="1">
      <c r="B2560" s="14"/>
      <c r="H2560" s="14"/>
      <c r="I2560" s="567"/>
      <c r="J2560" s="18"/>
      <c r="N2560" s="14"/>
      <c r="O2560" s="14"/>
      <c r="P2560" s="14"/>
    </row>
    <row r="2561" spans="2:16" ht="15.75" customHeight="1">
      <c r="B2561" s="14"/>
      <c r="H2561" s="14"/>
      <c r="I2561" s="567"/>
      <c r="J2561" s="18"/>
      <c r="N2561" s="14"/>
      <c r="O2561" s="14"/>
      <c r="P2561" s="14"/>
    </row>
    <row r="2562" spans="2:16" ht="15.75" customHeight="1">
      <c r="B2562" s="14"/>
      <c r="H2562" s="14"/>
      <c r="I2562" s="567"/>
      <c r="J2562" s="18"/>
      <c r="N2562" s="14"/>
      <c r="O2562" s="14"/>
      <c r="P2562" s="14"/>
    </row>
    <row r="2563" spans="2:16" ht="15.75" customHeight="1">
      <c r="B2563" s="14"/>
      <c r="H2563" s="14"/>
      <c r="I2563" s="567"/>
      <c r="J2563" s="18"/>
      <c r="N2563" s="14"/>
      <c r="O2563" s="14"/>
      <c r="P2563" s="14"/>
    </row>
    <row r="2564" spans="2:16" ht="15.75" customHeight="1">
      <c r="B2564" s="14"/>
      <c r="H2564" s="14"/>
      <c r="I2564" s="567"/>
      <c r="J2564" s="18"/>
      <c r="N2564" s="14"/>
      <c r="O2564" s="14"/>
      <c r="P2564" s="14"/>
    </row>
    <row r="2565" spans="2:16" ht="15.75" customHeight="1">
      <c r="B2565" s="14"/>
      <c r="H2565" s="14"/>
      <c r="I2565" s="567"/>
      <c r="J2565" s="18"/>
      <c r="N2565" s="14"/>
      <c r="O2565" s="14"/>
      <c r="P2565" s="14"/>
    </row>
    <row r="2566" spans="2:16" ht="15.75" customHeight="1">
      <c r="B2566" s="14"/>
      <c r="H2566" s="14"/>
      <c r="I2566" s="567"/>
      <c r="J2566" s="18"/>
      <c r="N2566" s="14"/>
      <c r="O2566" s="14"/>
      <c r="P2566" s="14"/>
    </row>
    <row r="2567" spans="2:16" ht="15.75" customHeight="1">
      <c r="B2567" s="14"/>
      <c r="H2567" s="14"/>
      <c r="I2567" s="567"/>
      <c r="J2567" s="18"/>
      <c r="N2567" s="14"/>
      <c r="O2567" s="14"/>
      <c r="P2567" s="14"/>
    </row>
    <row r="2568" spans="2:16" ht="15.75" customHeight="1">
      <c r="B2568" s="14"/>
      <c r="H2568" s="14"/>
      <c r="I2568" s="567"/>
      <c r="J2568" s="18"/>
      <c r="N2568" s="14"/>
      <c r="O2568" s="14"/>
      <c r="P2568" s="14"/>
    </row>
    <row r="2569" spans="2:16" ht="15.75" customHeight="1">
      <c r="B2569" s="14"/>
      <c r="H2569" s="14"/>
      <c r="I2569" s="567"/>
      <c r="J2569" s="18"/>
      <c r="N2569" s="14"/>
      <c r="O2569" s="14"/>
      <c r="P2569" s="14"/>
    </row>
    <row r="2570" spans="2:16" ht="15.75" customHeight="1">
      <c r="B2570" s="14"/>
      <c r="H2570" s="14"/>
      <c r="I2570" s="567"/>
      <c r="J2570" s="18"/>
      <c r="N2570" s="14"/>
      <c r="O2570" s="14"/>
      <c r="P2570" s="14"/>
    </row>
    <row r="2571" spans="2:16" ht="15.75" customHeight="1">
      <c r="B2571" s="14"/>
      <c r="H2571" s="14"/>
      <c r="I2571" s="567"/>
      <c r="J2571" s="18"/>
      <c r="N2571" s="14"/>
      <c r="O2571" s="14"/>
      <c r="P2571" s="14"/>
    </row>
    <row r="2572" spans="2:16" ht="15.75" customHeight="1">
      <c r="B2572" s="14"/>
      <c r="H2572" s="14"/>
      <c r="I2572" s="567"/>
      <c r="J2572" s="18"/>
      <c r="N2572" s="14"/>
      <c r="O2572" s="14"/>
      <c r="P2572" s="14"/>
    </row>
    <row r="2573" spans="2:16" ht="15.75" customHeight="1">
      <c r="B2573" s="14"/>
      <c r="H2573" s="14"/>
      <c r="I2573" s="567"/>
      <c r="J2573" s="18"/>
      <c r="N2573" s="14"/>
      <c r="O2573" s="14"/>
      <c r="P2573" s="14"/>
    </row>
    <row r="2574" spans="2:16" ht="15.75" customHeight="1">
      <c r="B2574" s="14"/>
      <c r="H2574" s="14"/>
      <c r="I2574" s="567"/>
      <c r="J2574" s="18"/>
      <c r="N2574" s="14"/>
      <c r="O2574" s="14"/>
      <c r="P2574" s="14"/>
    </row>
    <row r="2575" spans="2:16" ht="15.75" customHeight="1">
      <c r="B2575" s="14"/>
      <c r="H2575" s="14"/>
      <c r="I2575" s="567"/>
      <c r="J2575" s="18"/>
      <c r="N2575" s="14"/>
      <c r="O2575" s="14"/>
      <c r="P2575" s="14"/>
    </row>
    <row r="2576" spans="2:16" ht="15.75" customHeight="1">
      <c r="B2576" s="14"/>
      <c r="H2576" s="14"/>
      <c r="I2576" s="567"/>
      <c r="J2576" s="18"/>
      <c r="N2576" s="14"/>
      <c r="O2576" s="14"/>
      <c r="P2576" s="14"/>
    </row>
    <row r="2577" spans="2:16" ht="15.75" customHeight="1">
      <c r="B2577" s="14"/>
      <c r="H2577" s="14"/>
      <c r="I2577" s="567"/>
      <c r="J2577" s="18"/>
      <c r="N2577" s="14"/>
      <c r="O2577" s="14"/>
      <c r="P2577" s="14"/>
    </row>
    <row r="2578" spans="2:16" ht="15.75" customHeight="1">
      <c r="B2578" s="14"/>
      <c r="H2578" s="14"/>
      <c r="I2578" s="567"/>
      <c r="J2578" s="18"/>
      <c r="N2578" s="14"/>
      <c r="O2578" s="14"/>
      <c r="P2578" s="14"/>
    </row>
    <row r="2579" spans="2:16" ht="15.75" customHeight="1">
      <c r="B2579" s="14"/>
      <c r="H2579" s="14"/>
      <c r="I2579" s="567"/>
      <c r="J2579" s="18"/>
      <c r="N2579" s="14"/>
      <c r="O2579" s="14"/>
      <c r="P2579" s="14"/>
    </row>
    <row r="2580" spans="2:16" ht="15.75" customHeight="1">
      <c r="B2580" s="14"/>
      <c r="H2580" s="14"/>
      <c r="I2580" s="567"/>
      <c r="J2580" s="18"/>
      <c r="N2580" s="14"/>
      <c r="O2580" s="14"/>
      <c r="P2580" s="14"/>
    </row>
    <row r="2581" spans="2:16" ht="15.75" customHeight="1">
      <c r="B2581" s="14"/>
      <c r="H2581" s="14"/>
      <c r="I2581" s="567"/>
      <c r="J2581" s="18"/>
      <c r="N2581" s="14"/>
      <c r="O2581" s="14"/>
      <c r="P2581" s="14"/>
    </row>
    <row r="2582" spans="2:16" ht="15.75" customHeight="1">
      <c r="B2582" s="14"/>
      <c r="H2582" s="14"/>
      <c r="I2582" s="567"/>
      <c r="J2582" s="18"/>
      <c r="N2582" s="14"/>
      <c r="O2582" s="14"/>
      <c r="P2582" s="14"/>
    </row>
    <row r="2583" spans="2:16" ht="15.75" customHeight="1">
      <c r="B2583" s="14"/>
      <c r="H2583" s="14"/>
      <c r="I2583" s="567"/>
      <c r="J2583" s="18"/>
      <c r="N2583" s="14"/>
      <c r="O2583" s="14"/>
      <c r="P2583" s="14"/>
    </row>
    <row r="2584" spans="2:16" ht="15.75" customHeight="1">
      <c r="B2584" s="14"/>
      <c r="H2584" s="14"/>
      <c r="I2584" s="567"/>
      <c r="J2584" s="18"/>
      <c r="N2584" s="14"/>
      <c r="O2584" s="14"/>
      <c r="P2584" s="14"/>
    </row>
    <row r="2585" spans="2:16" ht="15.75" customHeight="1">
      <c r="B2585" s="14"/>
      <c r="H2585" s="14"/>
      <c r="I2585" s="567"/>
      <c r="J2585" s="18"/>
      <c r="N2585" s="14"/>
      <c r="O2585" s="14"/>
      <c r="P2585" s="14"/>
    </row>
    <row r="2586" spans="2:16" ht="15.75" customHeight="1">
      <c r="B2586" s="14"/>
      <c r="H2586" s="14"/>
      <c r="I2586" s="567"/>
      <c r="J2586" s="18"/>
      <c r="N2586" s="14"/>
      <c r="O2586" s="14"/>
      <c r="P2586" s="14"/>
    </row>
    <row r="2587" spans="2:16" ht="15.75" customHeight="1">
      <c r="B2587" s="14"/>
      <c r="H2587" s="14"/>
      <c r="I2587" s="567"/>
      <c r="J2587" s="18"/>
      <c r="N2587" s="14"/>
      <c r="O2587" s="14"/>
      <c r="P2587" s="14"/>
    </row>
    <row r="2588" spans="2:16" ht="15.75" customHeight="1">
      <c r="B2588" s="14"/>
      <c r="H2588" s="14"/>
      <c r="I2588" s="567"/>
      <c r="J2588" s="18"/>
      <c r="N2588" s="14"/>
      <c r="O2588" s="14"/>
      <c r="P2588" s="14"/>
    </row>
    <row r="2589" spans="2:16" ht="15.75" customHeight="1">
      <c r="B2589" s="14"/>
      <c r="H2589" s="14"/>
      <c r="I2589" s="567"/>
      <c r="J2589" s="18"/>
      <c r="N2589" s="14"/>
      <c r="O2589" s="14"/>
      <c r="P2589" s="14"/>
    </row>
    <row r="2590" spans="2:16" ht="15.75" customHeight="1">
      <c r="B2590" s="14"/>
      <c r="H2590" s="14"/>
      <c r="I2590" s="567"/>
      <c r="J2590" s="18"/>
      <c r="N2590" s="14"/>
      <c r="O2590" s="14"/>
      <c r="P2590" s="14"/>
    </row>
    <row r="2591" spans="2:16" ht="15.75" customHeight="1">
      <c r="B2591" s="14"/>
      <c r="H2591" s="14"/>
      <c r="I2591" s="567"/>
      <c r="J2591" s="18"/>
      <c r="N2591" s="14"/>
      <c r="O2591" s="14"/>
      <c r="P2591" s="14"/>
    </row>
    <row r="2592" spans="2:16" ht="15.75" customHeight="1">
      <c r="B2592" s="14"/>
      <c r="H2592" s="14"/>
      <c r="I2592" s="567"/>
      <c r="J2592" s="18"/>
      <c r="N2592" s="14"/>
      <c r="O2592" s="14"/>
      <c r="P2592" s="14"/>
    </row>
    <row r="2593" spans="2:16" ht="15.75" customHeight="1">
      <c r="B2593" s="14"/>
      <c r="H2593" s="14"/>
      <c r="I2593" s="567"/>
      <c r="J2593" s="18"/>
      <c r="N2593" s="14"/>
      <c r="O2593" s="14"/>
      <c r="P2593" s="14"/>
    </row>
    <row r="2594" spans="2:16" ht="15.75" customHeight="1">
      <c r="B2594" s="14"/>
      <c r="H2594" s="14"/>
      <c r="I2594" s="567"/>
      <c r="J2594" s="18"/>
      <c r="N2594" s="14"/>
      <c r="O2594" s="14"/>
      <c r="P2594" s="14"/>
    </row>
    <row r="2595" spans="2:16" ht="15.75" customHeight="1">
      <c r="B2595" s="14"/>
      <c r="H2595" s="14"/>
      <c r="I2595" s="567"/>
      <c r="J2595" s="18"/>
      <c r="N2595" s="14"/>
      <c r="O2595" s="14"/>
      <c r="P2595" s="14"/>
    </row>
    <row r="2596" spans="2:16" ht="15.75" customHeight="1">
      <c r="B2596" s="14"/>
      <c r="H2596" s="14"/>
      <c r="I2596" s="567"/>
      <c r="J2596" s="18"/>
      <c r="N2596" s="14"/>
      <c r="O2596" s="14"/>
      <c r="P2596" s="14"/>
    </row>
    <row r="2597" spans="2:16" ht="15.75" customHeight="1">
      <c r="B2597" s="14"/>
      <c r="H2597" s="14"/>
      <c r="I2597" s="567"/>
      <c r="J2597" s="18"/>
      <c r="N2597" s="14"/>
      <c r="O2597" s="14"/>
      <c r="P2597" s="14"/>
    </row>
    <row r="2598" spans="2:16" ht="15.75" customHeight="1">
      <c r="B2598" s="14"/>
      <c r="H2598" s="14"/>
      <c r="I2598" s="567"/>
      <c r="J2598" s="18"/>
      <c r="N2598" s="14"/>
      <c r="O2598" s="14"/>
      <c r="P2598" s="14"/>
    </row>
    <row r="2599" spans="2:16" ht="15.75" customHeight="1">
      <c r="B2599" s="14"/>
      <c r="H2599" s="14"/>
      <c r="I2599" s="567"/>
      <c r="J2599" s="18"/>
      <c r="N2599" s="14"/>
      <c r="O2599" s="14"/>
      <c r="P2599" s="14"/>
    </row>
    <row r="2600" spans="2:16" ht="15.75" customHeight="1">
      <c r="B2600" s="14"/>
      <c r="H2600" s="14"/>
      <c r="I2600" s="567"/>
      <c r="J2600" s="18"/>
      <c r="N2600" s="14"/>
      <c r="O2600" s="14"/>
      <c r="P2600" s="14"/>
    </row>
    <row r="2601" spans="2:16" ht="15.75" customHeight="1">
      <c r="B2601" s="14"/>
      <c r="H2601" s="14"/>
      <c r="I2601" s="567"/>
      <c r="J2601" s="18"/>
      <c r="N2601" s="14"/>
      <c r="O2601" s="14"/>
      <c r="P2601" s="14"/>
    </row>
    <row r="2602" spans="2:16" ht="15.75" customHeight="1">
      <c r="B2602" s="14"/>
      <c r="H2602" s="14"/>
      <c r="I2602" s="567"/>
      <c r="J2602" s="18"/>
      <c r="N2602" s="14"/>
      <c r="O2602" s="14"/>
      <c r="P2602" s="14"/>
    </row>
    <row r="2603" spans="2:16" ht="15.75" customHeight="1">
      <c r="B2603" s="14"/>
      <c r="H2603" s="14"/>
      <c r="I2603" s="567"/>
      <c r="J2603" s="18"/>
      <c r="N2603" s="14"/>
      <c r="O2603" s="14"/>
      <c r="P2603" s="14"/>
    </row>
    <row r="2604" spans="2:16" ht="15.75" customHeight="1">
      <c r="B2604" s="14"/>
      <c r="H2604" s="14"/>
      <c r="I2604" s="567"/>
      <c r="J2604" s="18"/>
      <c r="N2604" s="14"/>
      <c r="O2604" s="14"/>
      <c r="P2604" s="14"/>
    </row>
    <row r="2605" spans="2:16" ht="15.75" customHeight="1">
      <c r="B2605" s="14"/>
      <c r="H2605" s="14"/>
      <c r="I2605" s="567"/>
      <c r="J2605" s="18"/>
      <c r="N2605" s="14"/>
      <c r="O2605" s="14"/>
      <c r="P2605" s="14"/>
    </row>
    <row r="2606" spans="2:16" ht="15.75" customHeight="1">
      <c r="B2606" s="14"/>
      <c r="H2606" s="14"/>
      <c r="I2606" s="567"/>
      <c r="J2606" s="18"/>
      <c r="N2606" s="14"/>
      <c r="O2606" s="14"/>
      <c r="P2606" s="14"/>
    </row>
    <row r="2607" spans="2:16" ht="15.75" customHeight="1">
      <c r="B2607" s="14"/>
      <c r="H2607" s="14"/>
      <c r="I2607" s="567"/>
      <c r="J2607" s="18"/>
      <c r="N2607" s="14"/>
      <c r="O2607" s="14"/>
      <c r="P2607" s="14"/>
    </row>
    <row r="2608" spans="2:16" ht="15.75" customHeight="1">
      <c r="B2608" s="14"/>
      <c r="H2608" s="14"/>
      <c r="I2608" s="567"/>
      <c r="J2608" s="18"/>
      <c r="N2608" s="14"/>
      <c r="O2608" s="14"/>
      <c r="P2608" s="14"/>
    </row>
    <row r="2609" spans="2:16" ht="15.75" customHeight="1">
      <c r="B2609" s="14"/>
      <c r="H2609" s="14"/>
      <c r="I2609" s="567"/>
      <c r="J2609" s="18"/>
      <c r="N2609" s="14"/>
      <c r="O2609" s="14"/>
      <c r="P2609" s="14"/>
    </row>
    <row r="2610" spans="2:16" ht="15.75" customHeight="1">
      <c r="B2610" s="14"/>
      <c r="H2610" s="14"/>
      <c r="I2610" s="567"/>
      <c r="J2610" s="18"/>
      <c r="N2610" s="14"/>
      <c r="O2610" s="14"/>
      <c r="P2610" s="14"/>
    </row>
    <row r="2611" spans="2:16" ht="15.75" customHeight="1">
      <c r="B2611" s="14"/>
      <c r="H2611" s="14"/>
      <c r="I2611" s="567"/>
      <c r="J2611" s="18"/>
      <c r="N2611" s="14"/>
      <c r="O2611" s="14"/>
      <c r="P2611" s="14"/>
    </row>
    <row r="2612" spans="2:16" ht="15.75" customHeight="1">
      <c r="B2612" s="14"/>
      <c r="H2612" s="14"/>
      <c r="I2612" s="567"/>
      <c r="J2612" s="18"/>
      <c r="N2612" s="14"/>
      <c r="O2612" s="14"/>
      <c r="P2612" s="14"/>
    </row>
    <row r="2613" spans="2:16" ht="15.75" customHeight="1">
      <c r="B2613" s="14"/>
      <c r="H2613" s="14"/>
      <c r="I2613" s="567"/>
      <c r="J2613" s="18"/>
      <c r="N2613" s="14"/>
      <c r="O2613" s="14"/>
      <c r="P2613" s="14"/>
    </row>
    <row r="2614" spans="2:16" ht="15.75" customHeight="1">
      <c r="B2614" s="14"/>
      <c r="H2614" s="14"/>
      <c r="I2614" s="567"/>
      <c r="J2614" s="18"/>
      <c r="N2614" s="14"/>
      <c r="O2614" s="14"/>
      <c r="P2614" s="14"/>
    </row>
    <row r="2615" spans="2:16" ht="15.75" customHeight="1">
      <c r="B2615" s="14"/>
      <c r="H2615" s="14"/>
      <c r="I2615" s="567"/>
      <c r="J2615" s="18"/>
      <c r="N2615" s="14"/>
      <c r="O2615" s="14"/>
      <c r="P2615" s="14"/>
    </row>
    <row r="2616" spans="2:16" ht="15.75" customHeight="1">
      <c r="B2616" s="14"/>
      <c r="H2616" s="14"/>
      <c r="I2616" s="567"/>
      <c r="J2616" s="18"/>
      <c r="N2616" s="14"/>
      <c r="O2616" s="14"/>
      <c r="P2616" s="14"/>
    </row>
    <row r="2617" spans="2:16" ht="15.75" customHeight="1">
      <c r="B2617" s="14"/>
      <c r="H2617" s="14"/>
      <c r="I2617" s="567"/>
      <c r="J2617" s="18"/>
      <c r="N2617" s="14"/>
      <c r="O2617" s="14"/>
      <c r="P2617" s="14"/>
    </row>
    <row r="2618" spans="2:16" ht="15.75" customHeight="1">
      <c r="B2618" s="14"/>
      <c r="H2618" s="14"/>
      <c r="I2618" s="567"/>
      <c r="J2618" s="18"/>
      <c r="N2618" s="14"/>
      <c r="O2618" s="14"/>
      <c r="P2618" s="14"/>
    </row>
    <row r="2619" spans="2:16" ht="15.75" customHeight="1">
      <c r="B2619" s="14"/>
      <c r="H2619" s="14"/>
      <c r="I2619" s="567"/>
      <c r="J2619" s="18"/>
      <c r="N2619" s="14"/>
      <c r="O2619" s="14"/>
      <c r="P2619" s="14"/>
    </row>
    <row r="2620" spans="2:16" ht="15.75" customHeight="1">
      <c r="B2620" s="14"/>
      <c r="H2620" s="14"/>
      <c r="I2620" s="567"/>
      <c r="J2620" s="18"/>
      <c r="N2620" s="14"/>
      <c r="O2620" s="14"/>
      <c r="P2620" s="14"/>
    </row>
    <row r="2621" spans="2:16" ht="15.75" customHeight="1">
      <c r="B2621" s="14"/>
      <c r="H2621" s="14"/>
      <c r="I2621" s="567"/>
      <c r="J2621" s="18"/>
      <c r="N2621" s="14"/>
      <c r="O2621" s="14"/>
      <c r="P2621" s="14"/>
    </row>
    <row r="2622" spans="2:16" ht="15.75" customHeight="1">
      <c r="B2622" s="14"/>
      <c r="H2622" s="14"/>
      <c r="I2622" s="567"/>
      <c r="J2622" s="18"/>
      <c r="N2622" s="14"/>
      <c r="O2622" s="14"/>
      <c r="P2622" s="14"/>
    </row>
    <row r="2623" spans="2:16" ht="15.75" customHeight="1">
      <c r="B2623" s="14"/>
      <c r="H2623" s="14"/>
      <c r="I2623" s="567"/>
      <c r="J2623" s="18"/>
      <c r="N2623" s="14"/>
      <c r="O2623" s="14"/>
      <c r="P2623" s="14"/>
    </row>
    <row r="2624" spans="2:16" ht="15.75" customHeight="1">
      <c r="B2624" s="14"/>
      <c r="H2624" s="14"/>
      <c r="I2624" s="567"/>
      <c r="J2624" s="18"/>
      <c r="N2624" s="14"/>
      <c r="O2624" s="14"/>
      <c r="P2624" s="14"/>
    </row>
    <row r="2625" spans="2:16" ht="15.75" customHeight="1">
      <c r="B2625" s="14"/>
      <c r="H2625" s="14"/>
      <c r="I2625" s="567"/>
      <c r="J2625" s="18"/>
      <c r="N2625" s="14"/>
      <c r="O2625" s="14"/>
      <c r="P2625" s="14"/>
    </row>
    <row r="2626" spans="2:16" ht="15.75" customHeight="1">
      <c r="B2626" s="14"/>
      <c r="H2626" s="14"/>
      <c r="I2626" s="567"/>
      <c r="J2626" s="18"/>
      <c r="N2626" s="14"/>
      <c r="O2626" s="14"/>
      <c r="P2626" s="14"/>
    </row>
    <row r="2627" spans="2:16" ht="15.75" customHeight="1">
      <c r="B2627" s="14"/>
      <c r="H2627" s="14"/>
      <c r="I2627" s="567"/>
      <c r="J2627" s="18"/>
      <c r="N2627" s="14"/>
      <c r="O2627" s="14"/>
      <c r="P2627" s="14"/>
    </row>
    <row r="2628" spans="2:16" ht="15.75" customHeight="1">
      <c r="B2628" s="14"/>
      <c r="H2628" s="14"/>
      <c r="I2628" s="567"/>
      <c r="J2628" s="18"/>
      <c r="N2628" s="14"/>
      <c r="O2628" s="14"/>
      <c r="P2628" s="14"/>
    </row>
    <row r="2629" spans="2:16" ht="15.75" customHeight="1">
      <c r="B2629" s="14"/>
      <c r="H2629" s="14"/>
      <c r="I2629" s="567"/>
      <c r="J2629" s="18"/>
      <c r="N2629" s="14"/>
      <c r="O2629" s="14"/>
      <c r="P2629" s="14"/>
    </row>
    <row r="2630" spans="2:16" ht="15.75" customHeight="1">
      <c r="B2630" s="14"/>
      <c r="H2630" s="14"/>
      <c r="I2630" s="567"/>
      <c r="J2630" s="18"/>
      <c r="N2630" s="14"/>
      <c r="O2630" s="14"/>
      <c r="P2630" s="14"/>
    </row>
    <row r="2631" spans="2:16" ht="15.75" customHeight="1">
      <c r="B2631" s="14"/>
      <c r="H2631" s="14"/>
      <c r="I2631" s="567"/>
      <c r="J2631" s="18"/>
      <c r="N2631" s="14"/>
      <c r="O2631" s="14"/>
      <c r="P2631" s="14"/>
    </row>
    <row r="2632" spans="2:16" ht="15.75" customHeight="1">
      <c r="B2632" s="14"/>
      <c r="H2632" s="14"/>
      <c r="I2632" s="567"/>
      <c r="J2632" s="18"/>
      <c r="N2632" s="14"/>
      <c r="O2632" s="14"/>
      <c r="P2632" s="14"/>
    </row>
    <row r="2633" spans="2:16" ht="15.75" customHeight="1">
      <c r="B2633" s="14"/>
      <c r="H2633" s="14"/>
      <c r="I2633" s="567"/>
      <c r="J2633" s="18"/>
      <c r="N2633" s="14"/>
      <c r="O2633" s="14"/>
      <c r="P2633" s="14"/>
    </row>
    <row r="2634" spans="2:16" ht="15.75" customHeight="1">
      <c r="B2634" s="14"/>
      <c r="H2634" s="14"/>
      <c r="I2634" s="567"/>
      <c r="J2634" s="18"/>
      <c r="N2634" s="14"/>
      <c r="O2634" s="14"/>
      <c r="P2634" s="14"/>
    </row>
    <row r="2635" spans="2:16" ht="15.75" customHeight="1">
      <c r="B2635" s="14"/>
      <c r="H2635" s="14"/>
      <c r="I2635" s="567"/>
      <c r="J2635" s="18"/>
      <c r="N2635" s="14"/>
      <c r="O2635" s="14"/>
      <c r="P2635" s="14"/>
    </row>
    <row r="2636" spans="2:16" ht="15.75" customHeight="1">
      <c r="B2636" s="14"/>
      <c r="H2636" s="14"/>
      <c r="I2636" s="567"/>
      <c r="J2636" s="18"/>
      <c r="N2636" s="14"/>
      <c r="O2636" s="14"/>
      <c r="P2636" s="14"/>
    </row>
    <row r="2637" spans="2:16" ht="15.75" customHeight="1">
      <c r="B2637" s="14"/>
      <c r="H2637" s="14"/>
      <c r="I2637" s="567"/>
      <c r="J2637" s="18"/>
      <c r="N2637" s="14"/>
      <c r="O2637" s="14"/>
      <c r="P2637" s="14"/>
    </row>
    <row r="2638" spans="2:16" ht="15.75" customHeight="1">
      <c r="B2638" s="14"/>
      <c r="H2638" s="14"/>
      <c r="I2638" s="567"/>
      <c r="J2638" s="18"/>
      <c r="N2638" s="14"/>
      <c r="O2638" s="14"/>
      <c r="P2638" s="14"/>
    </row>
    <row r="2639" spans="2:16" ht="15.75" customHeight="1">
      <c r="B2639" s="14"/>
      <c r="H2639" s="14"/>
      <c r="I2639" s="567"/>
      <c r="J2639" s="18"/>
      <c r="N2639" s="14"/>
      <c r="O2639" s="14"/>
      <c r="P2639" s="14"/>
    </row>
    <row r="2640" spans="2:16" ht="15.75" customHeight="1">
      <c r="B2640" s="14"/>
      <c r="H2640" s="14"/>
      <c r="I2640" s="567"/>
      <c r="J2640" s="18"/>
      <c r="N2640" s="14"/>
      <c r="O2640" s="14"/>
      <c r="P2640" s="14"/>
    </row>
    <row r="2641" spans="2:16" ht="15.75" customHeight="1">
      <c r="B2641" s="14"/>
      <c r="H2641" s="14"/>
      <c r="I2641" s="567"/>
      <c r="J2641" s="18"/>
      <c r="N2641" s="14"/>
      <c r="O2641" s="14"/>
      <c r="P2641" s="14"/>
    </row>
    <row r="2642" spans="2:16" ht="15.75" customHeight="1">
      <c r="B2642" s="14"/>
      <c r="H2642" s="14"/>
      <c r="I2642" s="567"/>
      <c r="J2642" s="18"/>
      <c r="N2642" s="14"/>
      <c r="O2642" s="14"/>
      <c r="P2642" s="14"/>
    </row>
    <row r="2643" spans="2:16" ht="15.75" customHeight="1">
      <c r="B2643" s="14"/>
      <c r="H2643" s="14"/>
      <c r="I2643" s="567"/>
      <c r="J2643" s="18"/>
      <c r="N2643" s="14"/>
      <c r="O2643" s="14"/>
      <c r="P2643" s="14"/>
    </row>
    <row r="2644" spans="2:16" ht="15.75" customHeight="1">
      <c r="B2644" s="14"/>
      <c r="H2644" s="14"/>
      <c r="I2644" s="567"/>
      <c r="J2644" s="18"/>
      <c r="N2644" s="14"/>
      <c r="O2644" s="14"/>
      <c r="P2644" s="14"/>
    </row>
    <row r="2645" spans="2:16" ht="15.75" customHeight="1">
      <c r="B2645" s="14"/>
      <c r="H2645" s="14"/>
      <c r="I2645" s="567"/>
      <c r="J2645" s="18"/>
      <c r="N2645" s="14"/>
      <c r="O2645" s="14"/>
      <c r="P2645" s="14"/>
    </row>
    <row r="2646" spans="2:16" ht="15.75" customHeight="1">
      <c r="B2646" s="14"/>
      <c r="H2646" s="14"/>
      <c r="I2646" s="567"/>
      <c r="J2646" s="18"/>
      <c r="N2646" s="14"/>
      <c r="O2646" s="14"/>
      <c r="P2646" s="14"/>
    </row>
    <row r="2647" spans="2:16" ht="15.75" customHeight="1">
      <c r="B2647" s="14"/>
      <c r="H2647" s="14"/>
      <c r="I2647" s="567"/>
      <c r="J2647" s="18"/>
      <c r="N2647" s="14"/>
      <c r="O2647" s="14"/>
      <c r="P2647" s="14"/>
    </row>
    <row r="2648" spans="2:16" ht="15.75" customHeight="1">
      <c r="B2648" s="14"/>
      <c r="H2648" s="14"/>
      <c r="I2648" s="567"/>
      <c r="J2648" s="18"/>
      <c r="N2648" s="14"/>
      <c r="O2648" s="14"/>
      <c r="P2648" s="14"/>
    </row>
    <row r="2649" spans="2:16" ht="15.75" customHeight="1">
      <c r="B2649" s="14"/>
      <c r="H2649" s="14"/>
      <c r="I2649" s="567"/>
      <c r="J2649" s="18"/>
      <c r="N2649" s="14"/>
      <c r="O2649" s="14"/>
      <c r="P2649" s="14"/>
    </row>
    <row r="2650" spans="2:16" ht="15.75" customHeight="1">
      <c r="B2650" s="14"/>
      <c r="H2650" s="14"/>
      <c r="I2650" s="567"/>
      <c r="J2650" s="18"/>
      <c r="N2650" s="14"/>
      <c r="O2650" s="14"/>
      <c r="P2650" s="14"/>
    </row>
    <row r="2651" spans="2:16" ht="15.75" customHeight="1">
      <c r="B2651" s="14"/>
      <c r="H2651" s="14"/>
      <c r="I2651" s="567"/>
      <c r="J2651" s="18"/>
      <c r="N2651" s="14"/>
      <c r="O2651" s="14"/>
      <c r="P2651" s="14"/>
    </row>
    <row r="2652" spans="2:16" ht="15.75" customHeight="1">
      <c r="B2652" s="14"/>
      <c r="H2652" s="14"/>
      <c r="I2652" s="567"/>
      <c r="J2652" s="18"/>
      <c r="N2652" s="14"/>
      <c r="O2652" s="14"/>
      <c r="P2652" s="14"/>
    </row>
    <row r="2653" spans="2:16" ht="15.75" customHeight="1">
      <c r="B2653" s="14"/>
      <c r="H2653" s="14"/>
      <c r="I2653" s="567"/>
      <c r="J2653" s="18"/>
      <c r="N2653" s="14"/>
      <c r="O2653" s="14"/>
      <c r="P2653" s="14"/>
    </row>
    <row r="2654" spans="2:16" ht="15.75" customHeight="1">
      <c r="B2654" s="14"/>
      <c r="H2654" s="14"/>
      <c r="I2654" s="567"/>
      <c r="J2654" s="18"/>
      <c r="N2654" s="14"/>
      <c r="O2654" s="14"/>
      <c r="P2654" s="14"/>
    </row>
    <row r="2655" spans="2:16" ht="15.75" customHeight="1">
      <c r="B2655" s="14"/>
      <c r="H2655" s="14"/>
      <c r="I2655" s="567"/>
      <c r="J2655" s="18"/>
      <c r="N2655" s="14"/>
      <c r="O2655" s="14"/>
      <c r="P2655" s="14"/>
    </row>
    <row r="2656" spans="2:16" ht="15.75" customHeight="1">
      <c r="B2656" s="14"/>
      <c r="H2656" s="14"/>
      <c r="I2656" s="567"/>
      <c r="J2656" s="18"/>
      <c r="N2656" s="14"/>
      <c r="O2656" s="14"/>
      <c r="P2656" s="14"/>
    </row>
    <row r="2657" spans="2:16" ht="15.75" customHeight="1">
      <c r="B2657" s="14"/>
      <c r="H2657" s="14"/>
      <c r="I2657" s="567"/>
      <c r="J2657" s="18"/>
      <c r="N2657" s="14"/>
      <c r="O2657" s="14"/>
      <c r="P2657" s="14"/>
    </row>
    <row r="2658" spans="2:16" ht="15.75" customHeight="1">
      <c r="B2658" s="14"/>
      <c r="H2658" s="14"/>
      <c r="I2658" s="567"/>
      <c r="J2658" s="18"/>
      <c r="N2658" s="14"/>
      <c r="O2658" s="14"/>
      <c r="P2658" s="14"/>
    </row>
    <row r="2659" spans="2:16" ht="15.75" customHeight="1">
      <c r="B2659" s="14"/>
      <c r="H2659" s="14"/>
      <c r="I2659" s="567"/>
      <c r="J2659" s="18"/>
      <c r="N2659" s="14"/>
      <c r="O2659" s="14"/>
      <c r="P2659" s="14"/>
    </row>
    <row r="2660" spans="2:16" ht="15.75" customHeight="1">
      <c r="B2660" s="14"/>
      <c r="H2660" s="14"/>
      <c r="I2660" s="567"/>
      <c r="J2660" s="18"/>
      <c r="N2660" s="14"/>
      <c r="O2660" s="14"/>
      <c r="P2660" s="14"/>
    </row>
    <row r="2661" spans="2:16" ht="15.75" customHeight="1">
      <c r="B2661" s="14"/>
      <c r="H2661" s="14"/>
      <c r="I2661" s="567"/>
      <c r="J2661" s="18"/>
      <c r="N2661" s="14"/>
      <c r="O2661" s="14"/>
      <c r="P2661" s="14"/>
    </row>
    <row r="2662" spans="2:16" ht="15.75" customHeight="1">
      <c r="B2662" s="14"/>
      <c r="H2662" s="14"/>
      <c r="I2662" s="567"/>
      <c r="J2662" s="18"/>
      <c r="N2662" s="14"/>
      <c r="O2662" s="14"/>
      <c r="P2662" s="14"/>
    </row>
    <row r="2663" spans="2:16" ht="15.75" customHeight="1">
      <c r="B2663" s="14"/>
      <c r="H2663" s="14"/>
      <c r="I2663" s="567"/>
      <c r="J2663" s="18"/>
      <c r="N2663" s="14"/>
      <c r="O2663" s="14"/>
      <c r="P2663" s="14"/>
    </row>
    <row r="2664" spans="2:16" ht="15.75" customHeight="1">
      <c r="B2664" s="14"/>
      <c r="H2664" s="14"/>
      <c r="I2664" s="567"/>
      <c r="J2664" s="18"/>
      <c r="N2664" s="14"/>
      <c r="O2664" s="14"/>
      <c r="P2664" s="14"/>
    </row>
    <row r="2665" spans="2:16" ht="15.75" customHeight="1">
      <c r="B2665" s="14"/>
      <c r="H2665" s="14"/>
      <c r="I2665" s="567"/>
      <c r="J2665" s="18"/>
      <c r="N2665" s="14"/>
      <c r="O2665" s="14"/>
      <c r="P2665" s="14"/>
    </row>
    <row r="2666" spans="2:16" ht="15.75" customHeight="1">
      <c r="B2666" s="14"/>
      <c r="H2666" s="14"/>
      <c r="I2666" s="567"/>
      <c r="J2666" s="18"/>
      <c r="N2666" s="14"/>
      <c r="O2666" s="14"/>
      <c r="P2666" s="14"/>
    </row>
    <row r="2667" spans="2:16" ht="15.75" customHeight="1">
      <c r="B2667" s="14"/>
      <c r="H2667" s="14"/>
      <c r="I2667" s="567"/>
      <c r="J2667" s="18"/>
      <c r="N2667" s="14"/>
      <c r="O2667" s="14"/>
      <c r="P2667" s="14"/>
    </row>
    <row r="2668" spans="2:16" ht="15.75" customHeight="1">
      <c r="B2668" s="14"/>
      <c r="H2668" s="14"/>
      <c r="I2668" s="567"/>
      <c r="J2668" s="18"/>
      <c r="N2668" s="14"/>
      <c r="O2668" s="14"/>
      <c r="P2668" s="14"/>
    </row>
    <row r="2669" spans="2:16" ht="15.75" customHeight="1">
      <c r="B2669" s="14"/>
      <c r="H2669" s="14"/>
      <c r="I2669" s="567"/>
      <c r="J2669" s="18"/>
      <c r="N2669" s="14"/>
      <c r="O2669" s="14"/>
      <c r="P2669" s="14"/>
    </row>
    <row r="2670" spans="2:16" ht="15.75" customHeight="1">
      <c r="B2670" s="14"/>
      <c r="H2670" s="14"/>
      <c r="I2670" s="567"/>
      <c r="J2670" s="18"/>
      <c r="N2670" s="14"/>
      <c r="O2670" s="14"/>
      <c r="P2670" s="14"/>
    </row>
    <row r="2671" spans="2:16" ht="15.75" customHeight="1">
      <c r="B2671" s="14"/>
      <c r="H2671" s="14"/>
      <c r="I2671" s="567"/>
      <c r="J2671" s="18"/>
      <c r="N2671" s="14"/>
      <c r="O2671" s="14"/>
      <c r="P2671" s="14"/>
    </row>
    <row r="2672" spans="2:16" ht="15.75" customHeight="1">
      <c r="B2672" s="14"/>
      <c r="H2672" s="14"/>
      <c r="I2672" s="567"/>
      <c r="J2672" s="18"/>
      <c r="N2672" s="14"/>
      <c r="O2672" s="14"/>
      <c r="P2672" s="14"/>
    </row>
    <row r="2673" spans="2:16" ht="15.75" customHeight="1">
      <c r="B2673" s="14"/>
      <c r="H2673" s="14"/>
      <c r="I2673" s="567"/>
      <c r="J2673" s="18"/>
      <c r="N2673" s="14"/>
      <c r="O2673" s="14"/>
      <c r="P2673" s="14"/>
    </row>
    <row r="2674" spans="2:16" ht="15.75" customHeight="1">
      <c r="B2674" s="14"/>
      <c r="H2674" s="14"/>
      <c r="I2674" s="567"/>
      <c r="J2674" s="18"/>
      <c r="N2674" s="14"/>
      <c r="O2674" s="14"/>
      <c r="P2674" s="14"/>
    </row>
    <row r="2675" spans="2:16" ht="15.75" customHeight="1">
      <c r="B2675" s="14"/>
      <c r="H2675" s="14"/>
      <c r="I2675" s="567"/>
      <c r="J2675" s="18"/>
      <c r="N2675" s="14"/>
      <c r="O2675" s="14"/>
      <c r="P2675" s="14"/>
    </row>
    <row r="2676" spans="2:16" ht="15.75" customHeight="1">
      <c r="B2676" s="14"/>
      <c r="H2676" s="14"/>
      <c r="I2676" s="567"/>
      <c r="J2676" s="18"/>
      <c r="N2676" s="14"/>
      <c r="O2676" s="14"/>
      <c r="P2676" s="14"/>
    </row>
    <row r="2677" spans="2:16" ht="15.75" customHeight="1">
      <c r="B2677" s="14"/>
      <c r="H2677" s="14"/>
      <c r="I2677" s="567"/>
      <c r="J2677" s="18"/>
      <c r="N2677" s="14"/>
      <c r="O2677" s="14"/>
      <c r="P2677" s="14"/>
    </row>
    <row r="2678" spans="2:16" ht="15.75" customHeight="1">
      <c r="B2678" s="14"/>
      <c r="H2678" s="14"/>
      <c r="I2678" s="567"/>
      <c r="J2678" s="18"/>
      <c r="N2678" s="14"/>
      <c r="O2678" s="14"/>
      <c r="P2678" s="14"/>
    </row>
    <row r="2679" spans="2:16" ht="15.75" customHeight="1">
      <c r="B2679" s="14"/>
      <c r="H2679" s="14"/>
      <c r="I2679" s="567"/>
      <c r="J2679" s="18"/>
      <c r="N2679" s="14"/>
      <c r="O2679" s="14"/>
      <c r="P2679" s="14"/>
    </row>
    <row r="2680" spans="2:16" ht="15.75" customHeight="1">
      <c r="B2680" s="14"/>
      <c r="H2680" s="14"/>
      <c r="I2680" s="567"/>
      <c r="J2680" s="18"/>
      <c r="N2680" s="14"/>
      <c r="O2680" s="14"/>
      <c r="P2680" s="14"/>
    </row>
    <row r="2681" spans="2:16" ht="15.75" customHeight="1">
      <c r="B2681" s="14"/>
      <c r="H2681" s="14"/>
      <c r="I2681" s="567"/>
      <c r="J2681" s="18"/>
      <c r="N2681" s="14"/>
      <c r="O2681" s="14"/>
      <c r="P2681" s="14"/>
    </row>
    <row r="2682" spans="2:16" ht="15.75" customHeight="1">
      <c r="B2682" s="14"/>
      <c r="H2682" s="14"/>
      <c r="I2682" s="567"/>
      <c r="J2682" s="18"/>
      <c r="N2682" s="14"/>
      <c r="O2682" s="14"/>
      <c r="P2682" s="14"/>
    </row>
    <row r="2683" spans="2:16" ht="15.75" customHeight="1">
      <c r="B2683" s="14"/>
      <c r="H2683" s="14"/>
      <c r="I2683" s="567"/>
      <c r="J2683" s="18"/>
      <c r="N2683" s="14"/>
      <c r="O2683" s="14"/>
      <c r="P2683" s="14"/>
    </row>
    <row r="2684" spans="2:16" ht="15.75" customHeight="1">
      <c r="B2684" s="14"/>
      <c r="H2684" s="14"/>
      <c r="I2684" s="567"/>
      <c r="J2684" s="18"/>
      <c r="N2684" s="14"/>
      <c r="O2684" s="14"/>
      <c r="P2684" s="14"/>
    </row>
    <row r="2685" spans="2:16" ht="15.75" customHeight="1">
      <c r="B2685" s="14"/>
      <c r="H2685" s="14"/>
      <c r="I2685" s="567"/>
      <c r="J2685" s="18"/>
      <c r="N2685" s="14"/>
      <c r="O2685" s="14"/>
      <c r="P2685" s="14"/>
    </row>
    <row r="2686" spans="2:16" ht="15.75" customHeight="1">
      <c r="B2686" s="14"/>
      <c r="H2686" s="14"/>
      <c r="I2686" s="567"/>
      <c r="J2686" s="18"/>
      <c r="N2686" s="14"/>
      <c r="O2686" s="14"/>
      <c r="P2686" s="14"/>
    </row>
    <row r="2687" spans="2:16" ht="15.75" customHeight="1">
      <c r="B2687" s="14"/>
      <c r="H2687" s="14"/>
      <c r="I2687" s="567"/>
      <c r="J2687" s="18"/>
      <c r="N2687" s="14"/>
      <c r="O2687" s="14"/>
      <c r="P2687" s="14"/>
    </row>
    <row r="2688" spans="2:16" ht="15.75" customHeight="1">
      <c r="B2688" s="14"/>
      <c r="H2688" s="14"/>
      <c r="I2688" s="567"/>
      <c r="J2688" s="18"/>
      <c r="N2688" s="14"/>
      <c r="O2688" s="14"/>
      <c r="P2688" s="14"/>
    </row>
    <row r="2689" spans="2:16" ht="15.75" customHeight="1">
      <c r="B2689" s="14"/>
      <c r="H2689" s="14"/>
      <c r="I2689" s="567"/>
      <c r="J2689" s="18"/>
      <c r="N2689" s="14"/>
      <c r="O2689" s="14"/>
      <c r="P2689" s="14"/>
    </row>
    <row r="2690" spans="2:16" ht="15.75" customHeight="1">
      <c r="B2690" s="14"/>
      <c r="H2690" s="14"/>
      <c r="I2690" s="567"/>
      <c r="J2690" s="18"/>
      <c r="N2690" s="14"/>
      <c r="O2690" s="14"/>
      <c r="P2690" s="14"/>
    </row>
    <row r="2691" spans="2:16" ht="15.75" customHeight="1">
      <c r="B2691" s="14"/>
      <c r="H2691" s="14"/>
      <c r="I2691" s="567"/>
      <c r="J2691" s="18"/>
      <c r="N2691" s="14"/>
      <c r="O2691" s="14"/>
      <c r="P2691" s="14"/>
    </row>
    <row r="2692" spans="2:16" ht="15.75" customHeight="1">
      <c r="B2692" s="14"/>
      <c r="H2692" s="14"/>
      <c r="I2692" s="567"/>
      <c r="J2692" s="18"/>
      <c r="N2692" s="14"/>
      <c r="O2692" s="14"/>
      <c r="P2692" s="14"/>
    </row>
    <row r="2693" spans="2:16" ht="15.75" customHeight="1">
      <c r="B2693" s="14"/>
      <c r="H2693" s="14"/>
      <c r="I2693" s="567"/>
      <c r="J2693" s="18"/>
      <c r="N2693" s="14"/>
      <c r="O2693" s="14"/>
      <c r="P2693" s="14"/>
    </row>
    <row r="2694" spans="2:16" ht="15.75" customHeight="1">
      <c r="B2694" s="14"/>
      <c r="H2694" s="14"/>
      <c r="I2694" s="567"/>
      <c r="J2694" s="18"/>
      <c r="N2694" s="14"/>
      <c r="O2694" s="14"/>
      <c r="P2694" s="14"/>
    </row>
    <row r="2695" spans="2:16" ht="15.75" customHeight="1">
      <c r="B2695" s="14"/>
      <c r="H2695" s="14"/>
      <c r="I2695" s="567"/>
      <c r="J2695" s="18"/>
      <c r="N2695" s="14"/>
      <c r="O2695" s="14"/>
      <c r="P2695" s="14"/>
    </row>
    <row r="2696" spans="2:16" ht="15.75" customHeight="1">
      <c r="B2696" s="14"/>
      <c r="H2696" s="14"/>
      <c r="I2696" s="567"/>
      <c r="J2696" s="18"/>
      <c r="N2696" s="14"/>
      <c r="O2696" s="14"/>
      <c r="P2696" s="14"/>
    </row>
    <row r="2697" spans="2:16" ht="15.75" customHeight="1">
      <c r="B2697" s="14"/>
      <c r="H2697" s="14"/>
      <c r="I2697" s="567"/>
      <c r="J2697" s="18"/>
      <c r="N2697" s="14"/>
      <c r="O2697" s="14"/>
      <c r="P2697" s="14"/>
    </row>
    <row r="2698" spans="2:16" ht="15.75" customHeight="1">
      <c r="B2698" s="14"/>
      <c r="H2698" s="14"/>
      <c r="I2698" s="567"/>
      <c r="J2698" s="18"/>
      <c r="N2698" s="14"/>
      <c r="O2698" s="14"/>
      <c r="P2698" s="14"/>
    </row>
    <row r="2699" spans="2:16" ht="15.75" customHeight="1">
      <c r="B2699" s="14"/>
      <c r="H2699" s="14"/>
      <c r="I2699" s="567"/>
      <c r="J2699" s="18"/>
      <c r="N2699" s="14"/>
      <c r="O2699" s="14"/>
      <c r="P2699" s="14"/>
    </row>
    <row r="2700" spans="2:16" ht="15.75" customHeight="1">
      <c r="B2700" s="14"/>
      <c r="H2700" s="14"/>
      <c r="I2700" s="567"/>
      <c r="J2700" s="18"/>
      <c r="N2700" s="14"/>
      <c r="O2700" s="14"/>
      <c r="P2700" s="14"/>
    </row>
    <row r="2701" spans="2:16" ht="15.75" customHeight="1">
      <c r="B2701" s="14"/>
      <c r="H2701" s="14"/>
      <c r="I2701" s="567"/>
      <c r="J2701" s="18"/>
      <c r="N2701" s="14"/>
      <c r="O2701" s="14"/>
      <c r="P2701" s="14"/>
    </row>
    <row r="2702" spans="2:16" ht="15.75" customHeight="1">
      <c r="B2702" s="14"/>
      <c r="H2702" s="14"/>
      <c r="I2702" s="567"/>
      <c r="J2702" s="18"/>
      <c r="N2702" s="14"/>
      <c r="O2702" s="14"/>
      <c r="P2702" s="14"/>
    </row>
    <row r="2703" spans="2:16" ht="15.75" customHeight="1">
      <c r="B2703" s="14"/>
      <c r="H2703" s="14"/>
      <c r="I2703" s="567"/>
      <c r="J2703" s="18"/>
      <c r="N2703" s="14"/>
      <c r="O2703" s="14"/>
      <c r="P2703" s="14"/>
    </row>
    <row r="2704" spans="2:16" ht="15.75" customHeight="1">
      <c r="B2704" s="14"/>
      <c r="H2704" s="14"/>
      <c r="I2704" s="567"/>
      <c r="J2704" s="18"/>
      <c r="N2704" s="14"/>
      <c r="O2704" s="14"/>
      <c r="P2704" s="14"/>
    </row>
    <row r="2705" spans="2:16" ht="15.75" customHeight="1">
      <c r="B2705" s="14"/>
      <c r="H2705" s="14"/>
      <c r="I2705" s="567"/>
      <c r="J2705" s="18"/>
      <c r="N2705" s="14"/>
      <c r="O2705" s="14"/>
      <c r="P2705" s="14"/>
    </row>
    <row r="2706" spans="2:16" ht="15.75" customHeight="1">
      <c r="B2706" s="14"/>
      <c r="H2706" s="14"/>
      <c r="I2706" s="567"/>
      <c r="J2706" s="18"/>
      <c r="N2706" s="14"/>
      <c r="O2706" s="14"/>
      <c r="P2706" s="14"/>
    </row>
    <row r="2707" spans="2:16" ht="15.75" customHeight="1">
      <c r="B2707" s="14"/>
      <c r="H2707" s="14"/>
      <c r="I2707" s="567"/>
      <c r="J2707" s="18"/>
      <c r="N2707" s="14"/>
      <c r="O2707" s="14"/>
      <c r="P2707" s="14"/>
    </row>
    <row r="2708" spans="2:16" ht="15.75" customHeight="1">
      <c r="B2708" s="14"/>
      <c r="H2708" s="14"/>
      <c r="I2708" s="567"/>
      <c r="J2708" s="18"/>
      <c r="N2708" s="14"/>
      <c r="O2708" s="14"/>
      <c r="P2708" s="14"/>
    </row>
    <row r="2709" spans="2:16" ht="15.75" customHeight="1">
      <c r="B2709" s="14"/>
      <c r="H2709" s="14"/>
      <c r="I2709" s="567"/>
      <c r="J2709" s="18"/>
      <c r="N2709" s="14"/>
      <c r="O2709" s="14"/>
      <c r="P2709" s="14"/>
    </row>
    <row r="2710" spans="2:16" ht="15.75" customHeight="1">
      <c r="B2710" s="14"/>
      <c r="H2710" s="14"/>
      <c r="I2710" s="567"/>
      <c r="J2710" s="18"/>
      <c r="N2710" s="14"/>
      <c r="O2710" s="14"/>
      <c r="P2710" s="14"/>
    </row>
    <row r="2711" spans="2:16" ht="15.75" customHeight="1">
      <c r="B2711" s="14"/>
      <c r="H2711" s="14"/>
      <c r="I2711" s="567"/>
      <c r="J2711" s="18"/>
      <c r="N2711" s="14"/>
      <c r="O2711" s="14"/>
      <c r="P2711" s="14"/>
    </row>
    <row r="2712" spans="2:16" ht="15.75" customHeight="1">
      <c r="B2712" s="14"/>
      <c r="H2712" s="14"/>
      <c r="I2712" s="567"/>
      <c r="J2712" s="18"/>
      <c r="N2712" s="14"/>
      <c r="O2712" s="14"/>
      <c r="P2712" s="14"/>
    </row>
    <row r="2713" spans="2:16" ht="15.75" customHeight="1">
      <c r="B2713" s="14"/>
      <c r="H2713" s="14"/>
      <c r="I2713" s="567"/>
      <c r="J2713" s="18"/>
      <c r="N2713" s="14"/>
      <c r="O2713" s="14"/>
      <c r="P2713" s="14"/>
    </row>
    <row r="2714" spans="2:16" ht="15.75" customHeight="1">
      <c r="B2714" s="14"/>
      <c r="H2714" s="14"/>
      <c r="I2714" s="567"/>
      <c r="J2714" s="18"/>
      <c r="N2714" s="14"/>
      <c r="O2714" s="14"/>
      <c r="P2714" s="14"/>
    </row>
    <row r="2715" spans="2:16" ht="15.75" customHeight="1">
      <c r="B2715" s="14"/>
      <c r="H2715" s="14"/>
      <c r="I2715" s="567"/>
      <c r="J2715" s="18"/>
      <c r="N2715" s="14"/>
      <c r="O2715" s="14"/>
      <c r="P2715" s="14"/>
    </row>
    <row r="2716" spans="2:16" ht="15.75" customHeight="1">
      <c r="B2716" s="14"/>
      <c r="H2716" s="14"/>
      <c r="I2716" s="567"/>
      <c r="J2716" s="18"/>
      <c r="N2716" s="14"/>
      <c r="O2716" s="14"/>
      <c r="P2716" s="14"/>
    </row>
    <row r="2717" spans="2:16" ht="15.75" customHeight="1">
      <c r="B2717" s="14"/>
      <c r="H2717" s="14"/>
      <c r="I2717" s="567"/>
      <c r="J2717" s="18"/>
      <c r="N2717" s="14"/>
      <c r="O2717" s="14"/>
      <c r="P2717" s="14"/>
    </row>
    <row r="2718" spans="2:16" ht="15.75" customHeight="1">
      <c r="B2718" s="14"/>
      <c r="H2718" s="14"/>
      <c r="I2718" s="567"/>
      <c r="J2718" s="18"/>
      <c r="N2718" s="14"/>
      <c r="O2718" s="14"/>
      <c r="P2718" s="14"/>
    </row>
    <row r="2719" spans="2:16" ht="15.75" customHeight="1">
      <c r="B2719" s="14"/>
      <c r="H2719" s="14"/>
      <c r="I2719" s="567"/>
      <c r="J2719" s="18"/>
      <c r="N2719" s="14"/>
      <c r="O2719" s="14"/>
      <c r="P2719" s="14"/>
    </row>
    <row r="2720" spans="2:16" ht="15.75" customHeight="1">
      <c r="B2720" s="14"/>
      <c r="H2720" s="14"/>
      <c r="I2720" s="567"/>
      <c r="J2720" s="18"/>
      <c r="N2720" s="14"/>
      <c r="O2720" s="14"/>
      <c r="P2720" s="14"/>
    </row>
    <row r="2721" spans="2:16" ht="15.75" customHeight="1">
      <c r="B2721" s="14"/>
      <c r="H2721" s="14"/>
      <c r="I2721" s="567"/>
      <c r="J2721" s="18"/>
      <c r="N2721" s="14"/>
      <c r="O2721" s="14"/>
      <c r="P2721" s="14"/>
    </row>
    <row r="2722" spans="2:16" ht="15.75" customHeight="1">
      <c r="B2722" s="14"/>
      <c r="H2722" s="14"/>
      <c r="I2722" s="567"/>
      <c r="J2722" s="18"/>
      <c r="N2722" s="14"/>
      <c r="O2722" s="14"/>
      <c r="P2722" s="14"/>
    </row>
    <row r="2723" spans="2:16" ht="15.75" customHeight="1">
      <c r="B2723" s="14"/>
      <c r="H2723" s="14"/>
      <c r="I2723" s="567"/>
      <c r="J2723" s="18"/>
      <c r="N2723" s="14"/>
      <c r="O2723" s="14"/>
      <c r="P2723" s="14"/>
    </row>
    <row r="2724" spans="2:16" ht="15.75" customHeight="1">
      <c r="B2724" s="14"/>
      <c r="H2724" s="14"/>
      <c r="I2724" s="567"/>
      <c r="J2724" s="18"/>
      <c r="N2724" s="14"/>
      <c r="O2724" s="14"/>
      <c r="P2724" s="14"/>
    </row>
    <row r="2725" spans="2:16" ht="15.75" customHeight="1">
      <c r="B2725" s="14"/>
      <c r="H2725" s="14"/>
      <c r="I2725" s="567"/>
      <c r="J2725" s="18"/>
      <c r="N2725" s="14"/>
      <c r="O2725" s="14"/>
      <c r="P2725" s="14"/>
    </row>
    <row r="2726" spans="2:16" ht="15.75" customHeight="1">
      <c r="B2726" s="14"/>
      <c r="H2726" s="14"/>
      <c r="I2726" s="567"/>
      <c r="J2726" s="18"/>
      <c r="N2726" s="14"/>
      <c r="O2726" s="14"/>
      <c r="P2726" s="14"/>
    </row>
    <row r="2727" spans="2:16" ht="15.75" customHeight="1">
      <c r="B2727" s="14"/>
      <c r="H2727" s="14"/>
      <c r="I2727" s="567"/>
      <c r="J2727" s="18"/>
      <c r="N2727" s="14"/>
      <c r="O2727" s="14"/>
      <c r="P2727" s="14"/>
    </row>
    <row r="2728" spans="2:16" ht="15.75" customHeight="1">
      <c r="B2728" s="14"/>
      <c r="H2728" s="14"/>
      <c r="I2728" s="567"/>
      <c r="J2728" s="18"/>
      <c r="N2728" s="14"/>
      <c r="O2728" s="14"/>
      <c r="P2728" s="14"/>
    </row>
    <row r="2729" spans="2:16" ht="15.75" customHeight="1">
      <c r="B2729" s="14"/>
      <c r="H2729" s="14"/>
      <c r="I2729" s="567"/>
      <c r="J2729" s="18"/>
      <c r="N2729" s="14"/>
      <c r="O2729" s="14"/>
      <c r="P2729" s="14"/>
    </row>
    <row r="2730" spans="2:16" ht="15.75" customHeight="1">
      <c r="B2730" s="14"/>
      <c r="H2730" s="14"/>
      <c r="I2730" s="567"/>
      <c r="J2730" s="18"/>
      <c r="N2730" s="14"/>
      <c r="O2730" s="14"/>
      <c r="P2730" s="14"/>
    </row>
    <row r="2731" spans="2:16" ht="15.75" customHeight="1">
      <c r="B2731" s="14"/>
      <c r="H2731" s="14"/>
      <c r="I2731" s="567"/>
      <c r="J2731" s="18"/>
      <c r="N2731" s="14"/>
      <c r="O2731" s="14"/>
      <c r="P2731" s="14"/>
    </row>
    <row r="2732" spans="2:16" ht="15.75" customHeight="1">
      <c r="B2732" s="14"/>
      <c r="H2732" s="14"/>
      <c r="I2732" s="567"/>
      <c r="J2732" s="18"/>
      <c r="N2732" s="14"/>
      <c r="O2732" s="14"/>
      <c r="P2732" s="14"/>
    </row>
    <row r="2733" spans="2:16" ht="15.75" customHeight="1">
      <c r="B2733" s="14"/>
      <c r="H2733" s="14"/>
      <c r="I2733" s="567"/>
      <c r="J2733" s="18"/>
      <c r="N2733" s="14"/>
      <c r="O2733" s="14"/>
      <c r="P2733" s="14"/>
    </row>
    <row r="2734" spans="2:16" ht="15.75" customHeight="1">
      <c r="B2734" s="14"/>
      <c r="H2734" s="14"/>
      <c r="I2734" s="567"/>
      <c r="J2734" s="18"/>
      <c r="N2734" s="14"/>
      <c r="O2734" s="14"/>
      <c r="P2734" s="14"/>
    </row>
    <row r="2735" spans="2:16" ht="15.75" customHeight="1">
      <c r="B2735" s="14"/>
      <c r="H2735" s="14"/>
      <c r="I2735" s="567"/>
      <c r="J2735" s="18"/>
      <c r="N2735" s="14"/>
      <c r="O2735" s="14"/>
      <c r="P2735" s="14"/>
    </row>
    <row r="2736" spans="2:16" ht="15.75" customHeight="1">
      <c r="B2736" s="14"/>
      <c r="H2736" s="14"/>
      <c r="I2736" s="567"/>
      <c r="J2736" s="18"/>
      <c r="N2736" s="14"/>
      <c r="O2736" s="14"/>
      <c r="P2736" s="14"/>
    </row>
    <row r="2737" spans="2:16" ht="15.75" customHeight="1">
      <c r="B2737" s="14"/>
      <c r="H2737" s="14"/>
      <c r="I2737" s="567"/>
      <c r="J2737" s="18"/>
      <c r="N2737" s="14"/>
      <c r="O2737" s="14"/>
      <c r="P2737" s="14"/>
    </row>
    <row r="2738" spans="2:16" ht="15.75" customHeight="1">
      <c r="B2738" s="14"/>
      <c r="H2738" s="14"/>
      <c r="I2738" s="567"/>
      <c r="J2738" s="18"/>
      <c r="N2738" s="14"/>
      <c r="O2738" s="14"/>
      <c r="P2738" s="14"/>
    </row>
    <row r="2739" spans="2:16" ht="15.75" customHeight="1">
      <c r="B2739" s="14"/>
      <c r="H2739" s="14"/>
      <c r="I2739" s="567"/>
      <c r="J2739" s="18"/>
      <c r="N2739" s="14"/>
      <c r="O2739" s="14"/>
      <c r="P2739" s="14"/>
    </row>
    <row r="2740" spans="2:16" ht="15.75" customHeight="1">
      <c r="B2740" s="14"/>
      <c r="H2740" s="14"/>
      <c r="I2740" s="567"/>
      <c r="J2740" s="18"/>
      <c r="N2740" s="14"/>
      <c r="O2740" s="14"/>
      <c r="P2740" s="14"/>
    </row>
    <row r="2741" spans="2:16" ht="15.75" customHeight="1">
      <c r="B2741" s="14"/>
      <c r="H2741" s="14"/>
      <c r="I2741" s="567"/>
      <c r="J2741" s="18"/>
      <c r="N2741" s="14"/>
      <c r="O2741" s="14"/>
      <c r="P2741" s="14"/>
    </row>
    <row r="2742" spans="2:16" ht="15.75" customHeight="1">
      <c r="B2742" s="14"/>
      <c r="H2742" s="14"/>
      <c r="I2742" s="567"/>
      <c r="J2742" s="18"/>
      <c r="N2742" s="14"/>
      <c r="O2742" s="14"/>
      <c r="P2742" s="14"/>
    </row>
    <row r="2743" spans="2:16" ht="15.75" customHeight="1">
      <c r="B2743" s="14"/>
      <c r="H2743" s="14"/>
      <c r="I2743" s="567"/>
      <c r="J2743" s="18"/>
      <c r="N2743" s="14"/>
      <c r="O2743" s="14"/>
      <c r="P2743" s="14"/>
    </row>
    <row r="2744" spans="2:16" ht="15.75" customHeight="1">
      <c r="B2744" s="14"/>
      <c r="H2744" s="14"/>
      <c r="I2744" s="567"/>
      <c r="J2744" s="18"/>
      <c r="N2744" s="14"/>
      <c r="O2744" s="14"/>
      <c r="P2744" s="14"/>
    </row>
    <row r="2745" spans="2:16" ht="15.75" customHeight="1">
      <c r="B2745" s="14"/>
      <c r="H2745" s="14"/>
      <c r="I2745" s="567"/>
      <c r="J2745" s="18"/>
      <c r="N2745" s="14"/>
      <c r="O2745" s="14"/>
      <c r="P2745" s="14"/>
    </row>
    <row r="2746" spans="2:16" ht="15.75" customHeight="1">
      <c r="B2746" s="14"/>
      <c r="H2746" s="14"/>
      <c r="I2746" s="567"/>
      <c r="J2746" s="18"/>
      <c r="N2746" s="14"/>
      <c r="O2746" s="14"/>
      <c r="P2746" s="14"/>
    </row>
    <row r="2747" spans="2:16" ht="15.75" customHeight="1">
      <c r="B2747" s="14"/>
      <c r="H2747" s="14"/>
      <c r="I2747" s="567"/>
      <c r="J2747" s="18"/>
      <c r="N2747" s="14"/>
      <c r="O2747" s="14"/>
      <c r="P2747" s="14"/>
    </row>
    <row r="2748" spans="2:16" ht="15.75" customHeight="1">
      <c r="B2748" s="14"/>
      <c r="H2748" s="14"/>
      <c r="I2748" s="567"/>
      <c r="J2748" s="18"/>
      <c r="N2748" s="14"/>
      <c r="O2748" s="14"/>
      <c r="P2748" s="14"/>
    </row>
    <row r="2749" spans="2:16" ht="15.75" customHeight="1">
      <c r="B2749" s="14"/>
      <c r="H2749" s="14"/>
      <c r="I2749" s="567"/>
      <c r="J2749" s="18"/>
      <c r="N2749" s="14"/>
      <c r="O2749" s="14"/>
      <c r="P2749" s="14"/>
    </row>
    <row r="2750" spans="2:16" ht="15.75" customHeight="1">
      <c r="B2750" s="14"/>
      <c r="H2750" s="14"/>
      <c r="I2750" s="567"/>
      <c r="J2750" s="18"/>
      <c r="N2750" s="14"/>
      <c r="O2750" s="14"/>
      <c r="P2750" s="14"/>
    </row>
    <row r="2751" spans="2:16" ht="15.75" customHeight="1">
      <c r="B2751" s="14"/>
      <c r="H2751" s="14"/>
      <c r="I2751" s="567"/>
      <c r="J2751" s="18"/>
      <c r="N2751" s="14"/>
      <c r="O2751" s="14"/>
      <c r="P2751" s="14"/>
    </row>
    <row r="2752" spans="2:16" ht="15.75" customHeight="1">
      <c r="B2752" s="14"/>
      <c r="H2752" s="14"/>
      <c r="I2752" s="567"/>
      <c r="J2752" s="18"/>
      <c r="N2752" s="14"/>
      <c r="O2752" s="14"/>
      <c r="P2752" s="14"/>
    </row>
    <row r="2753" spans="2:16" ht="15.75" customHeight="1">
      <c r="B2753" s="14"/>
      <c r="H2753" s="14"/>
      <c r="I2753" s="567"/>
      <c r="J2753" s="18"/>
      <c r="N2753" s="14"/>
      <c r="O2753" s="14"/>
      <c r="P2753" s="14"/>
    </row>
    <row r="2754" spans="2:16" ht="15.75" customHeight="1">
      <c r="B2754" s="14"/>
      <c r="H2754" s="14"/>
      <c r="I2754" s="567"/>
      <c r="J2754" s="18"/>
      <c r="N2754" s="14"/>
      <c r="O2754" s="14"/>
      <c r="P2754" s="14"/>
    </row>
    <row r="2755" spans="2:16" ht="15.75" customHeight="1">
      <c r="B2755" s="14"/>
      <c r="H2755" s="14"/>
      <c r="I2755" s="567"/>
      <c r="J2755" s="18"/>
      <c r="N2755" s="14"/>
      <c r="O2755" s="14"/>
      <c r="P2755" s="14"/>
    </row>
    <row r="2756" spans="2:16" ht="15.75" customHeight="1">
      <c r="B2756" s="14"/>
      <c r="H2756" s="14"/>
      <c r="I2756" s="567"/>
      <c r="J2756" s="18"/>
      <c r="N2756" s="14"/>
      <c r="O2756" s="14"/>
      <c r="P2756" s="14"/>
    </row>
    <row r="2757" spans="2:16" ht="15.75" customHeight="1">
      <c r="B2757" s="14"/>
      <c r="H2757" s="14"/>
      <c r="I2757" s="567"/>
      <c r="J2757" s="18"/>
      <c r="N2757" s="14"/>
      <c r="O2757" s="14"/>
      <c r="P2757" s="14"/>
    </row>
    <row r="2758" spans="2:16" ht="15.75" customHeight="1">
      <c r="B2758" s="14"/>
      <c r="H2758" s="14"/>
      <c r="I2758" s="567"/>
      <c r="J2758" s="18"/>
      <c r="N2758" s="14"/>
      <c r="O2758" s="14"/>
      <c r="P2758" s="14"/>
    </row>
    <row r="2759" spans="2:16" ht="15.75" customHeight="1">
      <c r="B2759" s="14"/>
      <c r="H2759" s="14"/>
      <c r="I2759" s="567"/>
      <c r="J2759" s="18"/>
      <c r="N2759" s="14"/>
      <c r="O2759" s="14"/>
      <c r="P2759" s="14"/>
    </row>
    <row r="2760" spans="2:16" ht="15.75" customHeight="1">
      <c r="B2760" s="14"/>
      <c r="H2760" s="14"/>
      <c r="I2760" s="567"/>
      <c r="J2760" s="18"/>
      <c r="N2760" s="14"/>
      <c r="O2760" s="14"/>
      <c r="P2760" s="14"/>
    </row>
    <row r="2761" spans="2:16" ht="15.75" customHeight="1">
      <c r="B2761" s="14"/>
      <c r="H2761" s="14"/>
      <c r="I2761" s="567"/>
      <c r="J2761" s="18"/>
      <c r="N2761" s="14"/>
      <c r="O2761" s="14"/>
      <c r="P2761" s="14"/>
    </row>
    <row r="2762" spans="2:16" ht="15.75" customHeight="1">
      <c r="B2762" s="14"/>
      <c r="H2762" s="14"/>
      <c r="I2762" s="567"/>
      <c r="J2762" s="18"/>
      <c r="N2762" s="14"/>
      <c r="O2762" s="14"/>
      <c r="P2762" s="14"/>
    </row>
    <row r="2763" spans="2:16" ht="15.75" customHeight="1">
      <c r="B2763" s="14"/>
      <c r="H2763" s="14"/>
      <c r="I2763" s="567"/>
      <c r="J2763" s="18"/>
      <c r="N2763" s="14"/>
      <c r="O2763" s="14"/>
      <c r="P2763" s="14"/>
    </row>
    <row r="2764" spans="2:16" ht="15.75" customHeight="1">
      <c r="B2764" s="14"/>
      <c r="H2764" s="14"/>
      <c r="I2764" s="567"/>
      <c r="J2764" s="18"/>
      <c r="N2764" s="14"/>
      <c r="O2764" s="14"/>
      <c r="P2764" s="14"/>
    </row>
    <row r="2765" spans="2:16" ht="15.75" customHeight="1">
      <c r="B2765" s="14"/>
      <c r="H2765" s="14"/>
      <c r="I2765" s="567"/>
      <c r="J2765" s="18"/>
      <c r="N2765" s="14"/>
      <c r="O2765" s="14"/>
      <c r="P2765" s="14"/>
    </row>
    <row r="2766" spans="2:16" ht="15.75" customHeight="1">
      <c r="B2766" s="14"/>
      <c r="H2766" s="14"/>
      <c r="I2766" s="567"/>
      <c r="J2766" s="18"/>
      <c r="N2766" s="14"/>
      <c r="O2766" s="14"/>
      <c r="P2766" s="14"/>
    </row>
    <row r="2767" spans="2:16" ht="15.75" customHeight="1">
      <c r="B2767" s="14"/>
      <c r="H2767" s="14"/>
      <c r="I2767" s="567"/>
      <c r="J2767" s="18"/>
      <c r="N2767" s="14"/>
      <c r="O2767" s="14"/>
      <c r="P2767" s="14"/>
    </row>
    <row r="2768" spans="2:16" ht="15.75" customHeight="1">
      <c r="B2768" s="14"/>
      <c r="H2768" s="14"/>
      <c r="I2768" s="567"/>
      <c r="J2768" s="18"/>
      <c r="N2768" s="14"/>
      <c r="O2768" s="14"/>
      <c r="P2768" s="14"/>
    </row>
    <row r="2769" spans="2:16" ht="15.75" customHeight="1">
      <c r="B2769" s="14"/>
      <c r="H2769" s="14"/>
      <c r="I2769" s="567"/>
      <c r="J2769" s="18"/>
      <c r="N2769" s="14"/>
      <c r="O2769" s="14"/>
      <c r="P2769" s="14"/>
    </row>
    <row r="2770" spans="2:16" ht="15.75" customHeight="1">
      <c r="B2770" s="14"/>
      <c r="H2770" s="14"/>
      <c r="I2770" s="567"/>
      <c r="J2770" s="18"/>
      <c r="N2770" s="14"/>
      <c r="O2770" s="14"/>
      <c r="P2770" s="14"/>
    </row>
    <row r="2771" spans="2:16" ht="15.75" customHeight="1">
      <c r="B2771" s="14"/>
      <c r="H2771" s="14"/>
      <c r="I2771" s="567"/>
      <c r="J2771" s="18"/>
      <c r="N2771" s="14"/>
      <c r="O2771" s="14"/>
      <c r="P2771" s="14"/>
    </row>
    <row r="2772" spans="2:16" ht="15.75" customHeight="1">
      <c r="B2772" s="14"/>
      <c r="H2772" s="14"/>
      <c r="I2772" s="567"/>
      <c r="J2772" s="18"/>
      <c r="N2772" s="14"/>
      <c r="O2772" s="14"/>
      <c r="P2772" s="14"/>
    </row>
    <row r="2773" spans="2:16" ht="15.75" customHeight="1">
      <c r="B2773" s="14"/>
      <c r="H2773" s="14"/>
      <c r="I2773" s="567"/>
      <c r="J2773" s="18"/>
      <c r="N2773" s="14"/>
      <c r="O2773" s="14"/>
      <c r="P2773" s="14"/>
    </row>
    <row r="2774" spans="2:16" ht="15.75" customHeight="1">
      <c r="B2774" s="14"/>
      <c r="H2774" s="14"/>
      <c r="I2774" s="567"/>
      <c r="J2774" s="18"/>
      <c r="N2774" s="14"/>
      <c r="O2774" s="14"/>
      <c r="P2774" s="14"/>
    </row>
    <row r="2775" spans="2:16" ht="15.75" customHeight="1">
      <c r="B2775" s="14"/>
      <c r="H2775" s="14"/>
      <c r="I2775" s="567"/>
      <c r="J2775" s="18"/>
      <c r="N2775" s="14"/>
      <c r="O2775" s="14"/>
      <c r="P2775" s="14"/>
    </row>
    <row r="2776" spans="2:16" ht="15.75" customHeight="1">
      <c r="B2776" s="14"/>
      <c r="H2776" s="14"/>
      <c r="I2776" s="567"/>
      <c r="J2776" s="18"/>
      <c r="N2776" s="14"/>
      <c r="O2776" s="14"/>
      <c r="P2776" s="14"/>
    </row>
    <row r="2777" spans="2:16" ht="15.75" customHeight="1">
      <c r="B2777" s="14"/>
      <c r="H2777" s="14"/>
      <c r="I2777" s="567"/>
      <c r="J2777" s="18"/>
      <c r="N2777" s="14"/>
      <c r="O2777" s="14"/>
      <c r="P2777" s="14"/>
    </row>
    <row r="2778" spans="2:16" ht="15.75" customHeight="1">
      <c r="B2778" s="14"/>
      <c r="H2778" s="14"/>
      <c r="I2778" s="567"/>
      <c r="J2778" s="18"/>
      <c r="N2778" s="14"/>
      <c r="O2778" s="14"/>
      <c r="P2778" s="14"/>
    </row>
    <row r="2779" spans="2:16" ht="15.75" customHeight="1">
      <c r="B2779" s="14"/>
      <c r="H2779" s="14"/>
      <c r="I2779" s="567"/>
      <c r="J2779" s="18"/>
      <c r="N2779" s="14"/>
      <c r="O2779" s="14"/>
      <c r="P2779" s="14"/>
    </row>
    <row r="2780" spans="2:16" ht="15.75" customHeight="1">
      <c r="B2780" s="14"/>
      <c r="H2780" s="14"/>
      <c r="I2780" s="567"/>
      <c r="J2780" s="18"/>
      <c r="N2780" s="14"/>
      <c r="O2780" s="14"/>
      <c r="P2780" s="14"/>
    </row>
    <row r="2781" spans="2:16" ht="15.75" customHeight="1">
      <c r="B2781" s="14"/>
      <c r="H2781" s="14"/>
      <c r="I2781" s="567"/>
      <c r="J2781" s="18"/>
      <c r="N2781" s="14"/>
      <c r="O2781" s="14"/>
      <c r="P2781" s="14"/>
    </row>
    <row r="2782" spans="2:16" ht="15.75" customHeight="1">
      <c r="B2782" s="14"/>
      <c r="H2782" s="14"/>
      <c r="I2782" s="567"/>
      <c r="J2782" s="18"/>
      <c r="N2782" s="14"/>
      <c r="O2782" s="14"/>
      <c r="P2782" s="14"/>
    </row>
    <row r="2783" spans="2:16" ht="15.75" customHeight="1">
      <c r="B2783" s="14"/>
      <c r="H2783" s="14"/>
      <c r="I2783" s="567"/>
      <c r="J2783" s="18"/>
      <c r="N2783" s="14"/>
      <c r="O2783" s="14"/>
      <c r="P2783" s="14"/>
    </row>
    <row r="2784" spans="2:16" ht="15.75" customHeight="1">
      <c r="B2784" s="14"/>
      <c r="H2784" s="14"/>
      <c r="I2784" s="567"/>
      <c r="J2784" s="18"/>
      <c r="N2784" s="14"/>
      <c r="O2784" s="14"/>
      <c r="P2784" s="14"/>
    </row>
    <row r="2785" spans="2:16" ht="15.75" customHeight="1">
      <c r="B2785" s="14"/>
      <c r="H2785" s="14"/>
      <c r="I2785" s="567"/>
      <c r="J2785" s="18"/>
      <c r="N2785" s="14"/>
      <c r="O2785" s="14"/>
      <c r="P2785" s="14"/>
    </row>
    <row r="2786" spans="2:16" ht="15.75" customHeight="1">
      <c r="B2786" s="14"/>
      <c r="H2786" s="14"/>
      <c r="I2786" s="567"/>
      <c r="J2786" s="18"/>
      <c r="N2786" s="14"/>
      <c r="O2786" s="14"/>
      <c r="P2786" s="14"/>
    </row>
    <row r="2787" spans="2:16" ht="15.75" customHeight="1">
      <c r="B2787" s="14"/>
      <c r="H2787" s="14"/>
      <c r="I2787" s="567"/>
      <c r="J2787" s="18"/>
      <c r="N2787" s="14"/>
      <c r="O2787" s="14"/>
      <c r="P2787" s="14"/>
    </row>
    <row r="2788" spans="2:16" ht="15.75" customHeight="1">
      <c r="B2788" s="14"/>
      <c r="H2788" s="14"/>
      <c r="I2788" s="567"/>
      <c r="J2788" s="18"/>
      <c r="N2788" s="14"/>
      <c r="O2788" s="14"/>
      <c r="P2788" s="14"/>
    </row>
    <row r="2789" spans="2:16" ht="15.75" customHeight="1">
      <c r="B2789" s="14"/>
      <c r="H2789" s="14"/>
      <c r="I2789" s="567"/>
      <c r="J2789" s="18"/>
      <c r="N2789" s="14"/>
      <c r="O2789" s="14"/>
      <c r="P2789" s="14"/>
    </row>
    <row r="2790" spans="2:16" ht="15.75" customHeight="1">
      <c r="B2790" s="14"/>
      <c r="H2790" s="14"/>
      <c r="I2790" s="567"/>
      <c r="J2790" s="18"/>
      <c r="N2790" s="14"/>
      <c r="O2790" s="14"/>
      <c r="P2790" s="14"/>
    </row>
    <row r="2791" spans="2:16" ht="15.75" customHeight="1">
      <c r="B2791" s="14"/>
      <c r="H2791" s="14"/>
      <c r="I2791" s="567"/>
      <c r="J2791" s="18"/>
      <c r="N2791" s="14"/>
      <c r="O2791" s="14"/>
      <c r="P2791" s="14"/>
    </row>
    <row r="2792" spans="2:16" ht="15.75" customHeight="1">
      <c r="B2792" s="14"/>
      <c r="H2792" s="14"/>
      <c r="I2792" s="567"/>
      <c r="J2792" s="18"/>
      <c r="N2792" s="14"/>
      <c r="O2792" s="14"/>
      <c r="P2792" s="14"/>
    </row>
    <row r="2793" spans="2:16" ht="15.75" customHeight="1">
      <c r="B2793" s="14"/>
      <c r="H2793" s="14"/>
      <c r="I2793" s="567"/>
      <c r="J2793" s="18"/>
      <c r="N2793" s="14"/>
      <c r="O2793" s="14"/>
      <c r="P2793" s="14"/>
    </row>
    <row r="2794" spans="2:16" ht="15.75" customHeight="1">
      <c r="B2794" s="14"/>
      <c r="H2794" s="14"/>
      <c r="I2794" s="567"/>
      <c r="J2794" s="18"/>
      <c r="N2794" s="14"/>
      <c r="O2794" s="14"/>
      <c r="P2794" s="14"/>
    </row>
    <row r="2795" spans="2:16" ht="15.75" customHeight="1">
      <c r="B2795" s="14"/>
      <c r="H2795" s="14"/>
      <c r="I2795" s="567"/>
      <c r="J2795" s="18"/>
      <c r="N2795" s="14"/>
      <c r="O2795" s="14"/>
      <c r="P2795" s="14"/>
    </row>
    <row r="2796" spans="2:16" ht="15.75" customHeight="1">
      <c r="B2796" s="14"/>
      <c r="H2796" s="14"/>
      <c r="I2796" s="567"/>
      <c r="J2796" s="18"/>
      <c r="N2796" s="14"/>
      <c r="O2796" s="14"/>
      <c r="P2796" s="14"/>
    </row>
    <row r="2797" spans="2:16" ht="15.75" customHeight="1">
      <c r="B2797" s="14"/>
      <c r="H2797" s="14"/>
      <c r="I2797" s="567"/>
      <c r="J2797" s="18"/>
      <c r="N2797" s="14"/>
      <c r="O2797" s="14"/>
      <c r="P2797" s="14"/>
    </row>
    <row r="2798" spans="2:16" ht="15.75" customHeight="1">
      <c r="B2798" s="14"/>
      <c r="H2798" s="14"/>
      <c r="I2798" s="567"/>
      <c r="J2798" s="18"/>
      <c r="N2798" s="14"/>
      <c r="O2798" s="14"/>
      <c r="P2798" s="14"/>
    </row>
    <row r="2799" spans="2:16" ht="15.75" customHeight="1">
      <c r="B2799" s="14"/>
      <c r="H2799" s="14"/>
      <c r="I2799" s="567"/>
      <c r="J2799" s="18"/>
      <c r="N2799" s="14"/>
      <c r="O2799" s="14"/>
      <c r="P2799" s="14"/>
    </row>
    <row r="2800" spans="2:16" ht="15.75" customHeight="1">
      <c r="B2800" s="14"/>
      <c r="H2800" s="14"/>
      <c r="I2800" s="567"/>
      <c r="J2800" s="18"/>
      <c r="N2800" s="14"/>
      <c r="O2800" s="14"/>
      <c r="P2800" s="14"/>
    </row>
    <row r="2801" spans="2:16" ht="15.75" customHeight="1">
      <c r="B2801" s="14"/>
      <c r="H2801" s="14"/>
      <c r="I2801" s="567"/>
      <c r="J2801" s="18"/>
      <c r="N2801" s="14"/>
      <c r="O2801" s="14"/>
      <c r="P2801" s="14"/>
    </row>
    <row r="2802" spans="2:16" ht="15.75" customHeight="1">
      <c r="B2802" s="14"/>
      <c r="H2802" s="14"/>
      <c r="I2802" s="567"/>
      <c r="J2802" s="18"/>
      <c r="N2802" s="14"/>
      <c r="O2802" s="14"/>
      <c r="P2802" s="14"/>
    </row>
    <row r="2803" spans="2:16" ht="15.75" customHeight="1">
      <c r="B2803" s="14"/>
      <c r="H2803" s="14"/>
      <c r="I2803" s="567"/>
      <c r="J2803" s="18"/>
      <c r="N2803" s="14"/>
      <c r="O2803" s="14"/>
      <c r="P2803" s="14"/>
    </row>
    <row r="2804" spans="2:16" ht="15.75" customHeight="1">
      <c r="B2804" s="14"/>
      <c r="H2804" s="14"/>
      <c r="I2804" s="567"/>
      <c r="J2804" s="18"/>
      <c r="N2804" s="14"/>
      <c r="O2804" s="14"/>
      <c r="P2804" s="14"/>
    </row>
    <row r="2805" spans="2:16" ht="15.75" customHeight="1">
      <c r="B2805" s="14"/>
      <c r="H2805" s="14"/>
      <c r="I2805" s="567"/>
      <c r="J2805" s="18"/>
      <c r="N2805" s="14"/>
      <c r="O2805" s="14"/>
      <c r="P2805" s="14"/>
    </row>
    <row r="2806" spans="2:16" ht="15.75" customHeight="1">
      <c r="B2806" s="14"/>
      <c r="H2806" s="14"/>
      <c r="I2806" s="567"/>
      <c r="J2806" s="18"/>
      <c r="N2806" s="14"/>
      <c r="O2806" s="14"/>
      <c r="P2806" s="14"/>
    </row>
    <row r="2807" spans="2:16" ht="15.75" customHeight="1">
      <c r="B2807" s="14"/>
      <c r="H2807" s="14"/>
      <c r="I2807" s="567"/>
      <c r="J2807" s="18"/>
      <c r="N2807" s="14"/>
      <c r="O2807" s="14"/>
      <c r="P2807" s="14"/>
    </row>
    <row r="2808" spans="2:16" ht="15.75" customHeight="1">
      <c r="B2808" s="14"/>
      <c r="H2808" s="14"/>
      <c r="I2808" s="567"/>
      <c r="J2808" s="18"/>
      <c r="N2808" s="14"/>
      <c r="O2808" s="14"/>
      <c r="P2808" s="14"/>
    </row>
    <row r="2809" spans="2:16" ht="15.75" customHeight="1">
      <c r="B2809" s="14"/>
      <c r="H2809" s="14"/>
      <c r="I2809" s="567"/>
      <c r="J2809" s="18"/>
      <c r="N2809" s="14"/>
      <c r="O2809" s="14"/>
      <c r="P2809" s="14"/>
    </row>
    <row r="2810" spans="2:16" ht="15.75" customHeight="1">
      <c r="B2810" s="14"/>
      <c r="H2810" s="14"/>
      <c r="I2810" s="567"/>
      <c r="J2810" s="18"/>
      <c r="N2810" s="14"/>
      <c r="O2810" s="14"/>
      <c r="P2810" s="14"/>
    </row>
    <row r="2811" spans="2:16" ht="15.75" customHeight="1">
      <c r="B2811" s="14"/>
      <c r="H2811" s="14"/>
      <c r="I2811" s="567"/>
      <c r="J2811" s="18"/>
      <c r="N2811" s="14"/>
      <c r="O2811" s="14"/>
      <c r="P2811" s="14"/>
    </row>
    <row r="2812" spans="2:16" ht="15.75" customHeight="1">
      <c r="B2812" s="14"/>
      <c r="H2812" s="14"/>
      <c r="I2812" s="567"/>
      <c r="J2812" s="18"/>
      <c r="N2812" s="14"/>
      <c r="O2812" s="14"/>
      <c r="P2812" s="14"/>
    </row>
    <row r="2813" spans="2:16" ht="15.75" customHeight="1">
      <c r="B2813" s="14"/>
      <c r="H2813" s="14"/>
      <c r="I2813" s="567"/>
      <c r="J2813" s="18"/>
      <c r="N2813" s="14"/>
      <c r="O2813" s="14"/>
      <c r="P2813" s="14"/>
    </row>
    <row r="2814" spans="2:16" ht="15.75" customHeight="1">
      <c r="B2814" s="14"/>
      <c r="H2814" s="14"/>
      <c r="I2814" s="567"/>
      <c r="J2814" s="18"/>
      <c r="N2814" s="14"/>
      <c r="O2814" s="14"/>
      <c r="P2814" s="14"/>
    </row>
    <row r="2815" spans="2:16" ht="15.75" customHeight="1">
      <c r="B2815" s="14"/>
      <c r="H2815" s="14"/>
      <c r="I2815" s="567"/>
      <c r="J2815" s="18"/>
      <c r="N2815" s="14"/>
      <c r="O2815" s="14"/>
      <c r="P2815" s="14"/>
    </row>
    <row r="2816" spans="2:16" ht="15.75" customHeight="1">
      <c r="B2816" s="14"/>
      <c r="H2816" s="14"/>
      <c r="I2816" s="567"/>
      <c r="J2816" s="18"/>
      <c r="N2816" s="14"/>
      <c r="O2816" s="14"/>
      <c r="P2816" s="14"/>
    </row>
    <row r="2817" spans="2:16" ht="15.75" customHeight="1">
      <c r="B2817" s="14"/>
      <c r="H2817" s="14"/>
      <c r="I2817" s="567"/>
      <c r="J2817" s="18"/>
      <c r="N2817" s="14"/>
      <c r="O2817" s="14"/>
      <c r="P2817" s="14"/>
    </row>
    <row r="2818" spans="2:16" ht="15.75" customHeight="1">
      <c r="B2818" s="14"/>
      <c r="H2818" s="14"/>
      <c r="I2818" s="567"/>
      <c r="J2818" s="18"/>
      <c r="N2818" s="14"/>
      <c r="O2818" s="14"/>
      <c r="P2818" s="14"/>
    </row>
    <row r="2819" spans="2:16" ht="15.75" customHeight="1">
      <c r="B2819" s="14"/>
      <c r="H2819" s="14"/>
      <c r="I2819" s="567"/>
      <c r="J2819" s="18"/>
      <c r="N2819" s="14"/>
      <c r="O2819" s="14"/>
      <c r="P2819" s="14"/>
    </row>
    <row r="2820" spans="2:16" ht="15.75" customHeight="1">
      <c r="B2820" s="14"/>
      <c r="H2820" s="14"/>
      <c r="I2820" s="567"/>
      <c r="J2820" s="18"/>
      <c r="N2820" s="14"/>
      <c r="O2820" s="14"/>
      <c r="P2820" s="14"/>
    </row>
    <row r="2821" spans="2:16" ht="15.75" customHeight="1">
      <c r="B2821" s="14"/>
      <c r="H2821" s="14"/>
      <c r="I2821" s="567"/>
      <c r="J2821" s="18"/>
      <c r="N2821" s="14"/>
      <c r="O2821" s="14"/>
      <c r="P2821" s="14"/>
    </row>
    <row r="2822" spans="2:16" ht="15.75" customHeight="1">
      <c r="B2822" s="14"/>
      <c r="H2822" s="14"/>
      <c r="I2822" s="567"/>
      <c r="J2822" s="18"/>
      <c r="N2822" s="14"/>
      <c r="O2822" s="14"/>
      <c r="P2822" s="14"/>
    </row>
    <row r="2823" spans="2:16" ht="15.75" customHeight="1">
      <c r="B2823" s="14"/>
      <c r="H2823" s="14"/>
      <c r="I2823" s="567"/>
      <c r="J2823" s="18"/>
      <c r="N2823" s="14"/>
      <c r="O2823" s="14"/>
      <c r="P2823" s="14"/>
    </row>
    <row r="2824" spans="2:16" ht="15.75" customHeight="1">
      <c r="B2824" s="14"/>
      <c r="H2824" s="14"/>
      <c r="I2824" s="567"/>
      <c r="J2824" s="18"/>
      <c r="N2824" s="14"/>
      <c r="O2824" s="14"/>
      <c r="P2824" s="14"/>
    </row>
    <row r="2825" spans="2:16" ht="15.75" customHeight="1">
      <c r="B2825" s="14"/>
      <c r="H2825" s="14"/>
      <c r="I2825" s="567"/>
      <c r="J2825" s="18"/>
      <c r="N2825" s="14"/>
      <c r="O2825" s="14"/>
      <c r="P2825" s="14"/>
    </row>
    <row r="2826" spans="2:16" ht="15.75" customHeight="1">
      <c r="B2826" s="14"/>
      <c r="H2826" s="14"/>
      <c r="I2826" s="567"/>
      <c r="J2826" s="18"/>
      <c r="N2826" s="14"/>
      <c r="O2826" s="14"/>
      <c r="P2826" s="14"/>
    </row>
    <row r="2827" spans="2:16" ht="15.75" customHeight="1">
      <c r="B2827" s="14"/>
      <c r="H2827" s="14"/>
      <c r="I2827" s="567"/>
      <c r="J2827" s="18"/>
      <c r="N2827" s="14"/>
      <c r="O2827" s="14"/>
      <c r="P2827" s="14"/>
    </row>
    <row r="2828" spans="2:16" ht="15.75" customHeight="1">
      <c r="B2828" s="14"/>
      <c r="H2828" s="14"/>
      <c r="I2828" s="567"/>
      <c r="J2828" s="18"/>
      <c r="N2828" s="14"/>
      <c r="O2828" s="14"/>
      <c r="P2828" s="14"/>
    </row>
    <row r="2829" spans="2:16" ht="15.75" customHeight="1">
      <c r="B2829" s="14"/>
      <c r="H2829" s="14"/>
      <c r="I2829" s="567"/>
      <c r="J2829" s="18"/>
      <c r="N2829" s="14"/>
      <c r="O2829" s="14"/>
      <c r="P2829" s="14"/>
    </row>
    <row r="2830" spans="2:16" ht="15.75" customHeight="1">
      <c r="B2830" s="14"/>
      <c r="H2830" s="14"/>
      <c r="I2830" s="567"/>
      <c r="J2830" s="18"/>
      <c r="N2830" s="14"/>
      <c r="O2830" s="14"/>
      <c r="P2830" s="14"/>
    </row>
    <row r="2831" spans="2:16" ht="15.75" customHeight="1">
      <c r="B2831" s="14"/>
      <c r="H2831" s="14"/>
      <c r="I2831" s="567"/>
      <c r="J2831" s="18"/>
      <c r="N2831" s="14"/>
      <c r="O2831" s="14"/>
      <c r="P2831" s="14"/>
    </row>
    <row r="2832" spans="2:16" ht="15.75" customHeight="1">
      <c r="B2832" s="14"/>
      <c r="H2832" s="14"/>
      <c r="I2832" s="567"/>
      <c r="J2832" s="18"/>
      <c r="N2832" s="14"/>
      <c r="O2832" s="14"/>
      <c r="P2832" s="14"/>
    </row>
    <row r="2833" spans="2:16" ht="15.75" customHeight="1">
      <c r="B2833" s="14"/>
      <c r="H2833" s="14"/>
      <c r="I2833" s="567"/>
      <c r="J2833" s="18"/>
      <c r="N2833" s="14"/>
      <c r="O2833" s="14"/>
      <c r="P2833" s="14"/>
    </row>
    <row r="2834" spans="2:16" ht="15.75" customHeight="1">
      <c r="B2834" s="14"/>
      <c r="H2834" s="14"/>
      <c r="I2834" s="567"/>
      <c r="J2834" s="18"/>
      <c r="N2834" s="14"/>
      <c r="O2834" s="14"/>
      <c r="P2834" s="14"/>
    </row>
    <row r="2835" spans="2:16" ht="15.75" customHeight="1">
      <c r="B2835" s="14"/>
      <c r="H2835" s="14"/>
      <c r="I2835" s="567"/>
      <c r="J2835" s="18"/>
      <c r="N2835" s="14"/>
      <c r="O2835" s="14"/>
      <c r="P2835" s="14"/>
    </row>
    <row r="2836" spans="2:16" ht="15.75" customHeight="1">
      <c r="B2836" s="14"/>
      <c r="H2836" s="14"/>
      <c r="I2836" s="567"/>
      <c r="J2836" s="18"/>
      <c r="N2836" s="14"/>
      <c r="O2836" s="14"/>
      <c r="P2836" s="14"/>
    </row>
    <row r="2837" spans="2:16" ht="15.75" customHeight="1">
      <c r="B2837" s="14"/>
      <c r="H2837" s="14"/>
      <c r="I2837" s="567"/>
      <c r="J2837" s="18"/>
      <c r="N2837" s="14"/>
      <c r="O2837" s="14"/>
      <c r="P2837" s="14"/>
    </row>
    <row r="2838" spans="2:16" ht="15.75" customHeight="1">
      <c r="B2838" s="14"/>
      <c r="H2838" s="14"/>
      <c r="I2838" s="567"/>
      <c r="J2838" s="18"/>
      <c r="N2838" s="14"/>
      <c r="O2838" s="14"/>
      <c r="P2838" s="14"/>
    </row>
    <row r="2839" spans="2:16" ht="15.75" customHeight="1">
      <c r="B2839" s="14"/>
      <c r="H2839" s="14"/>
      <c r="I2839" s="567"/>
      <c r="J2839" s="18"/>
      <c r="N2839" s="14"/>
      <c r="O2839" s="14"/>
      <c r="P2839" s="14"/>
    </row>
    <row r="2840" spans="2:16" ht="15.75" customHeight="1">
      <c r="B2840" s="14"/>
      <c r="H2840" s="14"/>
      <c r="I2840" s="567"/>
      <c r="J2840" s="18"/>
      <c r="N2840" s="14"/>
      <c r="O2840" s="14"/>
      <c r="P2840" s="14"/>
    </row>
    <row r="2841" spans="2:16" ht="15.75" customHeight="1">
      <c r="B2841" s="14"/>
      <c r="H2841" s="14"/>
      <c r="I2841" s="567"/>
      <c r="J2841" s="18"/>
      <c r="N2841" s="14"/>
      <c r="O2841" s="14"/>
      <c r="P2841" s="14"/>
    </row>
    <row r="2842" spans="2:16" ht="15.75" customHeight="1">
      <c r="B2842" s="14"/>
      <c r="H2842" s="14"/>
      <c r="I2842" s="567"/>
      <c r="J2842" s="18"/>
      <c r="N2842" s="14"/>
      <c r="O2842" s="14"/>
      <c r="P2842" s="14"/>
    </row>
    <row r="2843" spans="2:16" ht="15.75" customHeight="1">
      <c r="B2843" s="14"/>
      <c r="H2843" s="14"/>
      <c r="I2843" s="567"/>
      <c r="J2843" s="18"/>
      <c r="N2843" s="14"/>
      <c r="O2843" s="14"/>
      <c r="P2843" s="14"/>
    </row>
    <row r="2844" spans="2:16" ht="15.75" customHeight="1">
      <c r="B2844" s="14"/>
      <c r="H2844" s="14"/>
      <c r="I2844" s="567"/>
      <c r="J2844" s="18"/>
      <c r="N2844" s="14"/>
      <c r="O2844" s="14"/>
      <c r="P2844" s="14"/>
    </row>
    <row r="2845" spans="2:16" ht="15.75" customHeight="1">
      <c r="B2845" s="14"/>
      <c r="H2845" s="14"/>
      <c r="I2845" s="567"/>
      <c r="J2845" s="18"/>
      <c r="N2845" s="14"/>
      <c r="O2845" s="14"/>
      <c r="P2845" s="14"/>
    </row>
    <row r="2846" spans="2:16" ht="15.75" customHeight="1">
      <c r="B2846" s="14"/>
      <c r="H2846" s="14"/>
      <c r="I2846" s="567"/>
      <c r="J2846" s="18"/>
      <c r="N2846" s="14"/>
      <c r="O2846" s="14"/>
      <c r="P2846" s="14"/>
    </row>
    <row r="2847" spans="2:16" ht="15.75" customHeight="1">
      <c r="B2847" s="14"/>
      <c r="H2847" s="14"/>
      <c r="I2847" s="567"/>
      <c r="J2847" s="18"/>
      <c r="N2847" s="14"/>
      <c r="O2847" s="14"/>
      <c r="P2847" s="14"/>
    </row>
    <row r="2848" spans="2:16" ht="15.75" customHeight="1">
      <c r="B2848" s="14"/>
      <c r="H2848" s="14"/>
      <c r="I2848" s="567"/>
      <c r="J2848" s="18"/>
      <c r="N2848" s="14"/>
      <c r="O2848" s="14"/>
      <c r="P2848" s="14"/>
    </row>
    <row r="2849" spans="2:16" ht="15.75" customHeight="1">
      <c r="B2849" s="14"/>
      <c r="H2849" s="14"/>
      <c r="I2849" s="567"/>
      <c r="J2849" s="18"/>
      <c r="N2849" s="14"/>
      <c r="O2849" s="14"/>
      <c r="P2849" s="14"/>
    </row>
    <row r="2850" spans="2:16" ht="15.75" customHeight="1">
      <c r="B2850" s="14"/>
      <c r="H2850" s="14"/>
      <c r="I2850" s="567"/>
      <c r="J2850" s="18"/>
      <c r="N2850" s="14"/>
      <c r="O2850" s="14"/>
      <c r="P2850" s="14"/>
    </row>
    <row r="2851" spans="2:16" ht="15.75" customHeight="1">
      <c r="B2851" s="14"/>
      <c r="H2851" s="14"/>
      <c r="I2851" s="567"/>
      <c r="J2851" s="18"/>
      <c r="N2851" s="14"/>
      <c r="O2851" s="14"/>
      <c r="P2851" s="14"/>
    </row>
    <row r="2852" spans="2:16" ht="15.75" customHeight="1">
      <c r="B2852" s="14"/>
      <c r="H2852" s="14"/>
      <c r="I2852" s="567"/>
      <c r="J2852" s="18"/>
      <c r="N2852" s="14"/>
      <c r="O2852" s="14"/>
      <c r="P2852" s="14"/>
    </row>
    <row r="2853" spans="2:16" ht="15.75" customHeight="1">
      <c r="B2853" s="14"/>
      <c r="H2853" s="14"/>
      <c r="I2853" s="567"/>
      <c r="J2853" s="18"/>
      <c r="N2853" s="14"/>
      <c r="O2853" s="14"/>
      <c r="P2853" s="14"/>
    </row>
    <row r="2854" spans="2:16" ht="15.75" customHeight="1">
      <c r="B2854" s="14"/>
      <c r="H2854" s="14"/>
      <c r="I2854" s="567"/>
      <c r="J2854" s="18"/>
      <c r="N2854" s="14"/>
      <c r="O2854" s="14"/>
      <c r="P2854" s="14"/>
    </row>
    <row r="2855" spans="2:16" ht="15.75" customHeight="1">
      <c r="B2855" s="14"/>
      <c r="H2855" s="14"/>
      <c r="I2855" s="567"/>
      <c r="J2855" s="18"/>
      <c r="N2855" s="14"/>
      <c r="O2855" s="14"/>
      <c r="P2855" s="14"/>
    </row>
    <row r="2856" spans="2:16" ht="15.75" customHeight="1">
      <c r="B2856" s="14"/>
      <c r="H2856" s="14"/>
      <c r="I2856" s="567"/>
      <c r="J2856" s="18"/>
      <c r="N2856" s="14"/>
      <c r="O2856" s="14"/>
      <c r="P2856" s="14"/>
    </row>
    <row r="2857" spans="2:16" ht="15.75" customHeight="1">
      <c r="B2857" s="14"/>
      <c r="H2857" s="14"/>
      <c r="I2857" s="567"/>
      <c r="J2857" s="18"/>
      <c r="N2857" s="14"/>
      <c r="O2857" s="14"/>
      <c r="P2857" s="14"/>
    </row>
    <row r="2858" spans="2:16" ht="15.75" customHeight="1">
      <c r="B2858" s="14"/>
      <c r="H2858" s="14"/>
      <c r="I2858" s="567"/>
      <c r="J2858" s="18"/>
      <c r="N2858" s="14"/>
      <c r="O2858" s="14"/>
      <c r="P2858" s="14"/>
    </row>
    <row r="2859" spans="2:16" ht="15.75" customHeight="1">
      <c r="B2859" s="14"/>
      <c r="H2859" s="14"/>
      <c r="I2859" s="567"/>
      <c r="J2859" s="18"/>
      <c r="N2859" s="14"/>
      <c r="O2859" s="14"/>
      <c r="P2859" s="14"/>
    </row>
    <row r="2860" spans="2:16" ht="15.75" customHeight="1">
      <c r="B2860" s="14"/>
      <c r="H2860" s="14"/>
      <c r="I2860" s="567"/>
      <c r="J2860" s="18"/>
      <c r="N2860" s="14"/>
      <c r="O2860" s="14"/>
      <c r="P2860" s="14"/>
    </row>
    <row r="2861" spans="2:16" ht="15.75" customHeight="1">
      <c r="B2861" s="14"/>
      <c r="H2861" s="14"/>
      <c r="I2861" s="567"/>
      <c r="J2861" s="18"/>
      <c r="N2861" s="14"/>
      <c r="O2861" s="14"/>
      <c r="P2861" s="14"/>
    </row>
    <row r="2862" spans="2:16" ht="15.75" customHeight="1">
      <c r="B2862" s="14"/>
      <c r="H2862" s="14"/>
      <c r="I2862" s="567"/>
      <c r="J2862" s="18"/>
      <c r="N2862" s="14"/>
      <c r="O2862" s="14"/>
      <c r="P2862" s="14"/>
    </row>
    <row r="2863" spans="2:16" ht="15.75" customHeight="1">
      <c r="B2863" s="14"/>
      <c r="H2863" s="14"/>
      <c r="I2863" s="567"/>
      <c r="J2863" s="18"/>
      <c r="N2863" s="14"/>
      <c r="O2863" s="14"/>
      <c r="P2863" s="14"/>
    </row>
    <row r="2864" spans="2:16" ht="15.75" customHeight="1">
      <c r="B2864" s="14"/>
      <c r="H2864" s="14"/>
      <c r="I2864" s="567"/>
      <c r="J2864" s="18"/>
      <c r="N2864" s="14"/>
      <c r="O2864" s="14"/>
      <c r="P2864" s="14"/>
    </row>
    <row r="2865" spans="2:16" ht="15.75" customHeight="1">
      <c r="B2865" s="14"/>
      <c r="H2865" s="14"/>
      <c r="I2865" s="567"/>
      <c r="J2865" s="18"/>
      <c r="N2865" s="14"/>
      <c r="O2865" s="14"/>
      <c r="P2865" s="14"/>
    </row>
    <row r="2866" spans="2:16" ht="15.75" customHeight="1">
      <c r="B2866" s="14"/>
      <c r="H2866" s="14"/>
      <c r="I2866" s="567"/>
      <c r="J2866" s="18"/>
      <c r="N2866" s="14"/>
      <c r="O2866" s="14"/>
      <c r="P2866" s="14"/>
    </row>
    <row r="2867" spans="2:16" ht="15.75" customHeight="1">
      <c r="B2867" s="14"/>
      <c r="H2867" s="14"/>
      <c r="I2867" s="567"/>
      <c r="J2867" s="18"/>
      <c r="N2867" s="14"/>
      <c r="O2867" s="14"/>
      <c r="P2867" s="14"/>
    </row>
    <row r="2868" spans="2:16" ht="15.75" customHeight="1">
      <c r="B2868" s="14"/>
      <c r="H2868" s="14"/>
      <c r="I2868" s="567"/>
      <c r="J2868" s="18"/>
      <c r="N2868" s="14"/>
      <c r="O2868" s="14"/>
      <c r="P2868" s="14"/>
    </row>
    <row r="2869" spans="2:16" ht="15.75" customHeight="1">
      <c r="B2869" s="14"/>
      <c r="H2869" s="14"/>
      <c r="I2869" s="567"/>
      <c r="J2869" s="18"/>
      <c r="N2869" s="14"/>
      <c r="O2869" s="14"/>
      <c r="P2869" s="14"/>
    </row>
    <row r="2870" spans="2:16" ht="15.75" customHeight="1">
      <c r="B2870" s="14"/>
      <c r="H2870" s="14"/>
      <c r="I2870" s="567"/>
      <c r="J2870" s="18"/>
      <c r="N2870" s="14"/>
      <c r="O2870" s="14"/>
      <c r="P2870" s="14"/>
    </row>
    <row r="2871" spans="2:16" ht="15.75" customHeight="1">
      <c r="B2871" s="14"/>
      <c r="H2871" s="14"/>
      <c r="I2871" s="567"/>
      <c r="J2871" s="18"/>
      <c r="N2871" s="14"/>
      <c r="O2871" s="14"/>
      <c r="P2871" s="14"/>
    </row>
    <row r="2872" spans="2:16" ht="15.75" customHeight="1">
      <c r="B2872" s="14"/>
      <c r="H2872" s="14"/>
      <c r="I2872" s="567"/>
      <c r="J2872" s="18"/>
      <c r="N2872" s="14"/>
      <c r="O2872" s="14"/>
      <c r="P2872" s="14"/>
    </row>
    <row r="2873" spans="2:16" ht="15.75" customHeight="1">
      <c r="B2873" s="14"/>
      <c r="H2873" s="14"/>
      <c r="I2873" s="567"/>
      <c r="J2873" s="18"/>
      <c r="N2873" s="14"/>
      <c r="O2873" s="14"/>
      <c r="P2873" s="14"/>
    </row>
    <row r="2874" spans="2:16" ht="15.75" customHeight="1">
      <c r="B2874" s="14"/>
      <c r="H2874" s="14"/>
      <c r="I2874" s="567"/>
      <c r="J2874" s="18"/>
      <c r="N2874" s="14"/>
      <c r="O2874" s="14"/>
      <c r="P2874" s="14"/>
    </row>
    <row r="2875" spans="2:16" ht="15.75" customHeight="1">
      <c r="B2875" s="14"/>
      <c r="H2875" s="14"/>
      <c r="I2875" s="567"/>
      <c r="J2875" s="18"/>
      <c r="N2875" s="14"/>
      <c r="O2875" s="14"/>
      <c r="P2875" s="14"/>
    </row>
    <row r="2876" spans="2:16" ht="15.75" customHeight="1">
      <c r="B2876" s="14"/>
      <c r="H2876" s="14"/>
      <c r="I2876" s="567"/>
      <c r="J2876" s="18"/>
      <c r="N2876" s="14"/>
      <c r="O2876" s="14"/>
      <c r="P2876" s="14"/>
    </row>
    <row r="2877" spans="2:16" ht="15.75" customHeight="1">
      <c r="B2877" s="14"/>
      <c r="H2877" s="14"/>
      <c r="I2877" s="567"/>
      <c r="J2877" s="18"/>
      <c r="N2877" s="14"/>
      <c r="O2877" s="14"/>
      <c r="P2877" s="14"/>
    </row>
    <row r="2878" spans="2:16" ht="15.75" customHeight="1">
      <c r="B2878" s="14"/>
      <c r="H2878" s="14"/>
      <c r="I2878" s="567"/>
      <c r="J2878" s="18"/>
      <c r="N2878" s="14"/>
      <c r="O2878" s="14"/>
      <c r="P2878" s="14"/>
    </row>
    <row r="2879" spans="2:16" ht="15.75" customHeight="1">
      <c r="B2879" s="14"/>
      <c r="H2879" s="14"/>
      <c r="I2879" s="567"/>
      <c r="J2879" s="18"/>
      <c r="N2879" s="14"/>
      <c r="O2879" s="14"/>
      <c r="P2879" s="14"/>
    </row>
    <row r="2880" spans="2:16" ht="15.75" customHeight="1">
      <c r="B2880" s="14"/>
      <c r="H2880" s="14"/>
      <c r="I2880" s="567"/>
      <c r="J2880" s="18"/>
      <c r="N2880" s="14"/>
      <c r="O2880" s="14"/>
      <c r="P2880" s="14"/>
    </row>
    <row r="2881" spans="2:16" ht="15.75" customHeight="1">
      <c r="B2881" s="14"/>
      <c r="H2881" s="14"/>
      <c r="I2881" s="567"/>
      <c r="J2881" s="18"/>
      <c r="N2881" s="14"/>
      <c r="O2881" s="14"/>
      <c r="P2881" s="14"/>
    </row>
    <row r="2882" spans="2:16" ht="15.75" customHeight="1">
      <c r="B2882" s="14"/>
      <c r="H2882" s="14"/>
      <c r="I2882" s="567"/>
      <c r="J2882" s="18"/>
      <c r="N2882" s="14"/>
      <c r="O2882" s="14"/>
      <c r="P2882" s="14"/>
    </row>
    <row r="2883" spans="2:16" ht="15.75" customHeight="1">
      <c r="B2883" s="14"/>
      <c r="H2883" s="14"/>
      <c r="I2883" s="567"/>
      <c r="J2883" s="18"/>
      <c r="N2883" s="14"/>
      <c r="O2883" s="14"/>
      <c r="P2883" s="14"/>
    </row>
    <row r="2884" spans="2:16" ht="15.75" customHeight="1">
      <c r="B2884" s="14"/>
      <c r="H2884" s="14"/>
      <c r="I2884" s="567"/>
      <c r="J2884" s="18"/>
      <c r="N2884" s="14"/>
      <c r="O2884" s="14"/>
      <c r="P2884" s="14"/>
    </row>
    <row r="2885" spans="2:16" ht="15.75" customHeight="1">
      <c r="B2885" s="14"/>
      <c r="H2885" s="14"/>
      <c r="I2885" s="567"/>
      <c r="J2885" s="18"/>
      <c r="N2885" s="14"/>
      <c r="O2885" s="14"/>
      <c r="P2885" s="14"/>
    </row>
    <row r="2886" spans="2:16" ht="15.75" customHeight="1">
      <c r="B2886" s="14"/>
      <c r="H2886" s="14"/>
      <c r="I2886" s="567"/>
      <c r="J2886" s="18"/>
      <c r="N2886" s="14"/>
      <c r="O2886" s="14"/>
      <c r="P2886" s="14"/>
    </row>
    <row r="2887" spans="2:16" ht="15.75" customHeight="1">
      <c r="B2887" s="14"/>
      <c r="H2887" s="14"/>
      <c r="I2887" s="567"/>
      <c r="J2887" s="18"/>
      <c r="N2887" s="14"/>
      <c r="O2887" s="14"/>
      <c r="P2887" s="14"/>
    </row>
    <row r="2888" spans="2:16" ht="15.75" customHeight="1">
      <c r="B2888" s="14"/>
      <c r="H2888" s="14"/>
      <c r="I2888" s="567"/>
      <c r="J2888" s="18"/>
      <c r="N2888" s="14"/>
      <c r="O2888" s="14"/>
      <c r="P2888" s="14"/>
    </row>
    <row r="2889" spans="2:16" ht="15.75" customHeight="1">
      <c r="B2889" s="14"/>
      <c r="H2889" s="14"/>
      <c r="I2889" s="567"/>
      <c r="J2889" s="18"/>
      <c r="N2889" s="14"/>
      <c r="O2889" s="14"/>
      <c r="P2889" s="14"/>
    </row>
    <row r="2890" spans="2:16" ht="15.75" customHeight="1">
      <c r="B2890" s="14"/>
      <c r="H2890" s="14"/>
      <c r="I2890" s="567"/>
      <c r="J2890" s="18"/>
      <c r="N2890" s="14"/>
      <c r="O2890" s="14"/>
      <c r="P2890" s="14"/>
    </row>
    <row r="2891" spans="2:16" ht="15.75" customHeight="1">
      <c r="B2891" s="14"/>
      <c r="H2891" s="14"/>
      <c r="I2891" s="567"/>
      <c r="J2891" s="18"/>
      <c r="N2891" s="14"/>
      <c r="O2891" s="14"/>
      <c r="P2891" s="14"/>
    </row>
    <row r="2892" spans="2:16" ht="15.75" customHeight="1">
      <c r="B2892" s="14"/>
      <c r="H2892" s="14"/>
      <c r="I2892" s="567"/>
      <c r="J2892" s="18"/>
      <c r="N2892" s="14"/>
      <c r="O2892" s="14"/>
      <c r="P2892" s="14"/>
    </row>
    <row r="2893" spans="2:16" ht="15.75" customHeight="1">
      <c r="B2893" s="14"/>
      <c r="H2893" s="14"/>
      <c r="I2893" s="567"/>
      <c r="J2893" s="18"/>
      <c r="N2893" s="14"/>
      <c r="O2893" s="14"/>
      <c r="P2893" s="14"/>
    </row>
    <row r="2894" spans="2:16" ht="15.75" customHeight="1">
      <c r="B2894" s="14"/>
      <c r="H2894" s="14"/>
      <c r="I2894" s="567"/>
      <c r="J2894" s="18"/>
      <c r="N2894" s="14"/>
      <c r="O2894" s="14"/>
      <c r="P2894" s="14"/>
    </row>
    <row r="2895" spans="2:16" ht="15.75" customHeight="1">
      <c r="B2895" s="14"/>
      <c r="H2895" s="14"/>
      <c r="I2895" s="567"/>
      <c r="J2895" s="18"/>
      <c r="N2895" s="14"/>
      <c r="O2895" s="14"/>
      <c r="P2895" s="14"/>
    </row>
    <row r="2896" spans="2:16" ht="15.75" customHeight="1">
      <c r="B2896" s="14"/>
      <c r="H2896" s="14"/>
      <c r="I2896" s="567"/>
      <c r="J2896" s="18"/>
      <c r="N2896" s="14"/>
      <c r="O2896" s="14"/>
      <c r="P2896" s="14"/>
    </row>
    <row r="2897" spans="2:16" ht="15.75" customHeight="1">
      <c r="B2897" s="14"/>
      <c r="H2897" s="14"/>
      <c r="I2897" s="567"/>
      <c r="J2897" s="18"/>
      <c r="N2897" s="14"/>
      <c r="O2897" s="14"/>
      <c r="P2897" s="14"/>
    </row>
    <row r="2898" spans="2:16" ht="15.75" customHeight="1">
      <c r="B2898" s="14"/>
      <c r="H2898" s="14"/>
      <c r="I2898" s="567"/>
      <c r="J2898" s="18"/>
      <c r="N2898" s="14"/>
      <c r="O2898" s="14"/>
      <c r="P2898" s="14"/>
    </row>
    <row r="2899" spans="2:16" ht="15.75" customHeight="1">
      <c r="B2899" s="14"/>
      <c r="H2899" s="14"/>
      <c r="I2899" s="567"/>
      <c r="J2899" s="18"/>
      <c r="N2899" s="14"/>
      <c r="O2899" s="14"/>
      <c r="P2899" s="14"/>
    </row>
    <row r="2900" spans="2:16" ht="15.75" customHeight="1">
      <c r="B2900" s="14"/>
      <c r="H2900" s="14"/>
      <c r="I2900" s="567"/>
      <c r="J2900" s="18"/>
      <c r="N2900" s="14"/>
      <c r="O2900" s="14"/>
      <c r="P2900" s="14"/>
    </row>
    <row r="2901" spans="2:16" ht="15.75" customHeight="1">
      <c r="B2901" s="14"/>
      <c r="H2901" s="14"/>
      <c r="I2901" s="567"/>
      <c r="J2901" s="18"/>
      <c r="N2901" s="14"/>
      <c r="O2901" s="14"/>
      <c r="P2901" s="14"/>
    </row>
    <row r="2902" spans="2:16" ht="15.75" customHeight="1">
      <c r="B2902" s="14"/>
      <c r="H2902" s="14"/>
      <c r="I2902" s="567"/>
      <c r="J2902" s="18"/>
      <c r="N2902" s="14"/>
      <c r="O2902" s="14"/>
      <c r="P2902" s="14"/>
    </row>
    <row r="2903" spans="2:16" ht="15.75" customHeight="1">
      <c r="B2903" s="14"/>
      <c r="H2903" s="14"/>
      <c r="I2903" s="567"/>
      <c r="J2903" s="18"/>
      <c r="N2903" s="14"/>
      <c r="O2903" s="14"/>
      <c r="P2903" s="14"/>
    </row>
    <row r="2904" spans="2:16" ht="15.75" customHeight="1">
      <c r="B2904" s="14"/>
      <c r="H2904" s="14"/>
      <c r="I2904" s="567"/>
      <c r="J2904" s="18"/>
      <c r="N2904" s="14"/>
      <c r="O2904" s="14"/>
      <c r="P2904" s="14"/>
    </row>
    <row r="2905" spans="2:16" ht="15.75" customHeight="1">
      <c r="B2905" s="14"/>
      <c r="H2905" s="14"/>
      <c r="I2905" s="567"/>
      <c r="J2905" s="18"/>
      <c r="N2905" s="14"/>
      <c r="O2905" s="14"/>
      <c r="P2905" s="14"/>
    </row>
    <row r="2906" spans="2:16" ht="15.75" customHeight="1">
      <c r="B2906" s="14"/>
      <c r="H2906" s="14"/>
      <c r="I2906" s="567"/>
      <c r="J2906" s="18"/>
      <c r="N2906" s="14"/>
      <c r="O2906" s="14"/>
      <c r="P2906" s="14"/>
    </row>
    <row r="2907" spans="2:16" ht="15.75" customHeight="1">
      <c r="B2907" s="14"/>
      <c r="H2907" s="14"/>
      <c r="I2907" s="567"/>
      <c r="J2907" s="18"/>
      <c r="N2907" s="14"/>
      <c r="O2907" s="14"/>
      <c r="P2907" s="14"/>
    </row>
    <row r="2908" spans="2:16" ht="15.75" customHeight="1">
      <c r="B2908" s="14"/>
      <c r="H2908" s="14"/>
      <c r="I2908" s="567"/>
      <c r="J2908" s="18"/>
      <c r="N2908" s="14"/>
      <c r="O2908" s="14"/>
      <c r="P2908" s="14"/>
    </row>
    <row r="2909" spans="2:16" ht="15.75" customHeight="1">
      <c r="B2909" s="14"/>
      <c r="H2909" s="14"/>
      <c r="I2909" s="567"/>
      <c r="J2909" s="18"/>
      <c r="N2909" s="14"/>
      <c r="O2909" s="14"/>
      <c r="P2909" s="14"/>
    </row>
    <row r="2910" spans="2:16" ht="15.75" customHeight="1">
      <c r="B2910" s="14"/>
      <c r="H2910" s="14"/>
      <c r="I2910" s="567"/>
      <c r="J2910" s="18"/>
      <c r="N2910" s="14"/>
      <c r="O2910" s="14"/>
      <c r="P2910" s="14"/>
    </row>
    <row r="2911" spans="2:16" ht="15.75" customHeight="1">
      <c r="B2911" s="14"/>
      <c r="H2911" s="14"/>
      <c r="I2911" s="567"/>
      <c r="J2911" s="18"/>
      <c r="N2911" s="14"/>
      <c r="O2911" s="14"/>
      <c r="P2911" s="14"/>
    </row>
    <row r="2912" spans="2:16" ht="15.75" customHeight="1">
      <c r="B2912" s="14"/>
      <c r="H2912" s="14"/>
      <c r="I2912" s="567"/>
      <c r="J2912" s="18"/>
      <c r="N2912" s="14"/>
      <c r="O2912" s="14"/>
      <c r="P2912" s="14"/>
    </row>
    <row r="2913" spans="2:16" ht="15.75" customHeight="1">
      <c r="B2913" s="14"/>
      <c r="H2913" s="14"/>
      <c r="I2913" s="567"/>
      <c r="J2913" s="18"/>
      <c r="N2913" s="14"/>
      <c r="O2913" s="14"/>
      <c r="P2913" s="14"/>
    </row>
    <row r="2914" spans="2:16" ht="15.75" customHeight="1">
      <c r="B2914" s="14"/>
      <c r="H2914" s="14"/>
      <c r="I2914" s="567"/>
      <c r="J2914" s="18"/>
      <c r="N2914" s="14"/>
      <c r="O2914" s="14"/>
      <c r="P2914" s="14"/>
    </row>
    <row r="2915" spans="2:16" ht="15.75" customHeight="1">
      <c r="B2915" s="14"/>
      <c r="H2915" s="14"/>
      <c r="I2915" s="567"/>
      <c r="J2915" s="18"/>
      <c r="N2915" s="14"/>
      <c r="O2915" s="14"/>
      <c r="P2915" s="14"/>
    </row>
    <row r="2916" spans="2:16" ht="15.75" customHeight="1">
      <c r="B2916" s="14"/>
      <c r="H2916" s="14"/>
      <c r="I2916" s="567"/>
      <c r="J2916" s="18"/>
      <c r="N2916" s="14"/>
      <c r="O2916" s="14"/>
      <c r="P2916" s="14"/>
    </row>
    <row r="2917" spans="2:16" ht="15.75" customHeight="1">
      <c r="B2917" s="14"/>
      <c r="H2917" s="14"/>
      <c r="I2917" s="567"/>
      <c r="J2917" s="18"/>
      <c r="N2917" s="14"/>
      <c r="O2917" s="14"/>
      <c r="P2917" s="14"/>
    </row>
    <row r="2918" spans="2:16" ht="15.75" customHeight="1">
      <c r="B2918" s="14"/>
      <c r="H2918" s="14"/>
      <c r="I2918" s="567"/>
      <c r="J2918" s="18"/>
      <c r="N2918" s="14"/>
      <c r="O2918" s="14"/>
      <c r="P2918" s="14"/>
    </row>
    <row r="2919" spans="2:16" ht="15.75" customHeight="1">
      <c r="B2919" s="14"/>
      <c r="H2919" s="14"/>
      <c r="I2919" s="567"/>
      <c r="J2919" s="18"/>
      <c r="N2919" s="14"/>
      <c r="O2919" s="14"/>
      <c r="P2919" s="14"/>
    </row>
    <row r="2920" spans="2:16" ht="15.75" customHeight="1">
      <c r="B2920" s="14"/>
      <c r="H2920" s="14"/>
      <c r="I2920" s="567"/>
      <c r="J2920" s="18"/>
      <c r="N2920" s="14"/>
      <c r="O2920" s="14"/>
      <c r="P2920" s="14"/>
    </row>
    <row r="2921" spans="2:16" ht="15.75" customHeight="1">
      <c r="B2921" s="14"/>
      <c r="H2921" s="14"/>
      <c r="I2921" s="567"/>
      <c r="J2921" s="18"/>
      <c r="N2921" s="14"/>
      <c r="O2921" s="14"/>
      <c r="P2921" s="14"/>
    </row>
    <row r="2922" spans="2:16" ht="15.75" customHeight="1">
      <c r="B2922" s="14"/>
      <c r="H2922" s="14"/>
      <c r="I2922" s="567"/>
      <c r="J2922" s="18"/>
      <c r="N2922" s="14"/>
      <c r="O2922" s="14"/>
      <c r="P2922" s="14"/>
    </row>
    <row r="2923" spans="2:16" ht="15.75" customHeight="1">
      <c r="B2923" s="14"/>
      <c r="H2923" s="14"/>
      <c r="I2923" s="567"/>
      <c r="J2923" s="18"/>
      <c r="N2923" s="14"/>
      <c r="O2923" s="14"/>
      <c r="P2923" s="14"/>
    </row>
    <row r="2924" spans="2:16" ht="15.75" customHeight="1">
      <c r="B2924" s="14"/>
      <c r="H2924" s="14"/>
      <c r="I2924" s="567"/>
      <c r="J2924" s="18"/>
      <c r="N2924" s="14"/>
      <c r="O2924" s="14"/>
      <c r="P2924" s="14"/>
    </row>
    <row r="2925" spans="2:16" ht="15.75" customHeight="1">
      <c r="B2925" s="14"/>
      <c r="H2925" s="14"/>
      <c r="I2925" s="567"/>
      <c r="J2925" s="18"/>
      <c r="N2925" s="14"/>
      <c r="O2925" s="14"/>
      <c r="P2925" s="14"/>
    </row>
    <row r="2926" spans="2:16" ht="15.75" customHeight="1">
      <c r="B2926" s="14"/>
      <c r="H2926" s="14"/>
      <c r="I2926" s="567"/>
      <c r="J2926" s="18"/>
      <c r="N2926" s="14"/>
      <c r="O2926" s="14"/>
      <c r="P2926" s="14"/>
    </row>
    <row r="2927" spans="2:16" ht="15.75" customHeight="1">
      <c r="B2927" s="14"/>
      <c r="H2927" s="14"/>
      <c r="I2927" s="567"/>
      <c r="J2927" s="18"/>
      <c r="N2927" s="14"/>
      <c r="O2927" s="14"/>
      <c r="P2927" s="14"/>
    </row>
    <row r="2928" spans="2:16" ht="15.75" customHeight="1">
      <c r="B2928" s="14"/>
      <c r="H2928" s="14"/>
      <c r="I2928" s="567"/>
      <c r="J2928" s="18"/>
      <c r="N2928" s="14"/>
      <c r="O2928" s="14"/>
      <c r="P2928" s="14"/>
    </row>
    <row r="2929" spans="2:16" ht="15.75" customHeight="1">
      <c r="B2929" s="14"/>
      <c r="H2929" s="14"/>
      <c r="I2929" s="567"/>
      <c r="J2929" s="18"/>
      <c r="N2929" s="14"/>
      <c r="O2929" s="14"/>
      <c r="P2929" s="14"/>
    </row>
    <row r="2930" spans="2:16" ht="15.75" customHeight="1">
      <c r="B2930" s="14"/>
      <c r="H2930" s="14"/>
      <c r="I2930" s="567"/>
      <c r="J2930" s="18"/>
      <c r="N2930" s="14"/>
      <c r="O2930" s="14"/>
      <c r="P2930" s="14"/>
    </row>
    <row r="2931" spans="2:16" ht="15.75" customHeight="1">
      <c r="B2931" s="14"/>
      <c r="H2931" s="14"/>
      <c r="I2931" s="567"/>
      <c r="J2931" s="18"/>
      <c r="N2931" s="14"/>
      <c r="O2931" s="14"/>
      <c r="P2931" s="14"/>
    </row>
    <row r="2932" spans="2:16" ht="15.75" customHeight="1">
      <c r="B2932" s="14"/>
      <c r="H2932" s="14"/>
      <c r="I2932" s="567"/>
      <c r="J2932" s="18"/>
      <c r="N2932" s="14"/>
      <c r="O2932" s="14"/>
      <c r="P2932" s="14"/>
    </row>
    <row r="2933" spans="2:16" ht="15.75" customHeight="1">
      <c r="B2933" s="14"/>
      <c r="H2933" s="14"/>
      <c r="I2933" s="567"/>
      <c r="J2933" s="18"/>
      <c r="N2933" s="14"/>
      <c r="O2933" s="14"/>
      <c r="P2933" s="14"/>
    </row>
    <row r="2934" spans="2:16" ht="15.75" customHeight="1">
      <c r="B2934" s="14"/>
      <c r="H2934" s="14"/>
      <c r="I2934" s="567"/>
      <c r="J2934" s="18"/>
      <c r="N2934" s="14"/>
      <c r="O2934" s="14"/>
      <c r="P2934" s="14"/>
    </row>
    <row r="2935" spans="2:16" ht="15.75" customHeight="1">
      <c r="B2935" s="14"/>
      <c r="H2935" s="14"/>
      <c r="I2935" s="567"/>
      <c r="J2935" s="18"/>
      <c r="N2935" s="14"/>
      <c r="O2935" s="14"/>
      <c r="P2935" s="14"/>
    </row>
    <row r="2936" spans="2:16" ht="15.75" customHeight="1">
      <c r="B2936" s="14"/>
      <c r="H2936" s="14"/>
      <c r="I2936" s="567"/>
      <c r="J2936" s="18"/>
      <c r="N2936" s="14"/>
      <c r="O2936" s="14"/>
      <c r="P2936" s="14"/>
    </row>
    <row r="2937" spans="2:16" ht="15.75" customHeight="1">
      <c r="B2937" s="14"/>
      <c r="H2937" s="14"/>
      <c r="I2937" s="567"/>
      <c r="J2937" s="18"/>
      <c r="N2937" s="14"/>
      <c r="O2937" s="14"/>
      <c r="P2937" s="14"/>
    </row>
    <row r="2938" spans="2:16" ht="15.75" customHeight="1">
      <c r="B2938" s="14"/>
      <c r="H2938" s="14"/>
      <c r="I2938" s="567"/>
      <c r="J2938" s="18"/>
      <c r="N2938" s="14"/>
      <c r="O2938" s="14"/>
      <c r="P2938" s="14"/>
    </row>
    <row r="2939" spans="2:16" ht="15.75" customHeight="1">
      <c r="B2939" s="14"/>
      <c r="H2939" s="14"/>
      <c r="I2939" s="567"/>
      <c r="J2939" s="18"/>
      <c r="N2939" s="14"/>
      <c r="O2939" s="14"/>
      <c r="P2939" s="14"/>
    </row>
    <row r="2940" spans="2:16" ht="15.75" customHeight="1">
      <c r="B2940" s="14"/>
      <c r="H2940" s="14"/>
      <c r="I2940" s="567"/>
      <c r="J2940" s="18"/>
      <c r="N2940" s="14"/>
      <c r="O2940" s="14"/>
      <c r="P2940" s="14"/>
    </row>
    <row r="2941" spans="2:16" ht="15.75" customHeight="1">
      <c r="B2941" s="14"/>
      <c r="H2941" s="14"/>
      <c r="I2941" s="567"/>
      <c r="J2941" s="18"/>
      <c r="N2941" s="14"/>
      <c r="O2941" s="14"/>
      <c r="P2941" s="14"/>
    </row>
    <row r="2942" spans="2:16" ht="15.75" customHeight="1">
      <c r="B2942" s="14"/>
      <c r="H2942" s="14"/>
      <c r="I2942" s="567"/>
      <c r="J2942" s="18"/>
      <c r="N2942" s="14"/>
      <c r="O2942" s="14"/>
      <c r="P2942" s="14"/>
    </row>
    <row r="2943" spans="2:16" ht="15.75" customHeight="1">
      <c r="B2943" s="14"/>
      <c r="H2943" s="14"/>
      <c r="I2943" s="567"/>
      <c r="J2943" s="18"/>
      <c r="N2943" s="14"/>
      <c r="O2943" s="14"/>
      <c r="P2943" s="14"/>
    </row>
    <row r="2944" spans="2:16" ht="15.75" customHeight="1">
      <c r="B2944" s="14"/>
      <c r="H2944" s="14"/>
      <c r="I2944" s="567"/>
      <c r="J2944" s="18"/>
      <c r="N2944" s="14"/>
      <c r="O2944" s="14"/>
      <c r="P2944" s="14"/>
    </row>
    <row r="2945" spans="2:16" ht="15.75" customHeight="1">
      <c r="B2945" s="14"/>
      <c r="H2945" s="14"/>
      <c r="I2945" s="567"/>
      <c r="J2945" s="18"/>
      <c r="N2945" s="14"/>
      <c r="O2945" s="14"/>
      <c r="P2945" s="14"/>
    </row>
    <row r="2946" spans="2:16" ht="15.75" customHeight="1">
      <c r="B2946" s="14"/>
      <c r="H2946" s="14"/>
      <c r="I2946" s="567"/>
      <c r="J2946" s="18"/>
      <c r="N2946" s="14"/>
      <c r="O2946" s="14"/>
      <c r="P2946" s="14"/>
    </row>
    <row r="2947" spans="2:16" ht="15.75" customHeight="1">
      <c r="B2947" s="14"/>
      <c r="H2947" s="14"/>
      <c r="I2947" s="567"/>
      <c r="J2947" s="18"/>
      <c r="N2947" s="14"/>
      <c r="O2947" s="14"/>
      <c r="P2947" s="14"/>
    </row>
    <row r="2948" spans="2:16" ht="15.75" customHeight="1">
      <c r="B2948" s="14"/>
      <c r="H2948" s="14"/>
      <c r="I2948" s="567"/>
      <c r="J2948" s="18"/>
      <c r="N2948" s="14"/>
      <c r="O2948" s="14"/>
      <c r="P2948" s="14"/>
    </row>
    <row r="2949" spans="2:16" ht="15.75" customHeight="1">
      <c r="B2949" s="14"/>
      <c r="H2949" s="14"/>
      <c r="I2949" s="567"/>
      <c r="J2949" s="18"/>
      <c r="N2949" s="14"/>
      <c r="O2949" s="14"/>
      <c r="P2949" s="14"/>
    </row>
    <row r="2950" spans="2:16" ht="15.75" customHeight="1">
      <c r="B2950" s="14"/>
      <c r="H2950" s="14"/>
      <c r="I2950" s="567"/>
      <c r="J2950" s="18"/>
      <c r="N2950" s="14"/>
      <c r="O2950" s="14"/>
      <c r="P2950" s="14"/>
    </row>
    <row r="2951" spans="2:16" ht="15.75" customHeight="1">
      <c r="B2951" s="14"/>
      <c r="H2951" s="14"/>
      <c r="I2951" s="567"/>
      <c r="J2951" s="18"/>
      <c r="N2951" s="14"/>
      <c r="O2951" s="14"/>
      <c r="P2951" s="14"/>
    </row>
    <row r="2952" spans="2:16" ht="15.75" customHeight="1">
      <c r="B2952" s="14"/>
      <c r="H2952" s="14"/>
      <c r="I2952" s="567"/>
      <c r="J2952" s="18"/>
      <c r="N2952" s="14"/>
      <c r="O2952" s="14"/>
      <c r="P2952" s="14"/>
    </row>
    <row r="2953" spans="2:16" ht="15.75" customHeight="1">
      <c r="B2953" s="14"/>
      <c r="H2953" s="14"/>
      <c r="I2953" s="567"/>
      <c r="J2953" s="18"/>
      <c r="N2953" s="14"/>
      <c r="O2953" s="14"/>
      <c r="P2953" s="14"/>
    </row>
    <row r="2954" spans="2:16" ht="15.75" customHeight="1">
      <c r="B2954" s="14"/>
      <c r="H2954" s="14"/>
      <c r="I2954" s="567"/>
      <c r="J2954" s="18"/>
      <c r="N2954" s="14"/>
      <c r="O2954" s="14"/>
      <c r="P2954" s="14"/>
    </row>
    <row r="2955" spans="2:16" ht="15.75" customHeight="1">
      <c r="B2955" s="14"/>
      <c r="H2955" s="14"/>
      <c r="I2955" s="567"/>
      <c r="J2955" s="18"/>
      <c r="N2955" s="14"/>
      <c r="O2955" s="14"/>
      <c r="P2955" s="14"/>
    </row>
    <row r="2956" spans="2:16" ht="15.75" customHeight="1">
      <c r="B2956" s="14"/>
      <c r="H2956" s="14"/>
      <c r="I2956" s="567"/>
      <c r="J2956" s="18"/>
      <c r="N2956" s="14"/>
      <c r="O2956" s="14"/>
      <c r="P2956" s="14"/>
    </row>
    <row r="2957" spans="2:16" ht="15.75" customHeight="1">
      <c r="B2957" s="14"/>
      <c r="H2957" s="14"/>
      <c r="I2957" s="567"/>
      <c r="J2957" s="18"/>
      <c r="N2957" s="14"/>
      <c r="O2957" s="14"/>
      <c r="P2957" s="14"/>
    </row>
    <row r="2958" spans="2:16" ht="15.75" customHeight="1">
      <c r="B2958" s="14"/>
      <c r="H2958" s="14"/>
      <c r="I2958" s="567"/>
      <c r="J2958" s="18"/>
      <c r="N2958" s="14"/>
      <c r="O2958" s="14"/>
      <c r="P2958" s="14"/>
    </row>
    <row r="2959" spans="2:16" ht="15.75" customHeight="1">
      <c r="B2959" s="14"/>
      <c r="H2959" s="14"/>
      <c r="I2959" s="567"/>
      <c r="J2959" s="18"/>
      <c r="N2959" s="14"/>
      <c r="O2959" s="14"/>
      <c r="P2959" s="14"/>
    </row>
    <row r="2960" spans="2:16" ht="15.75" customHeight="1">
      <c r="B2960" s="14"/>
      <c r="H2960" s="14"/>
      <c r="I2960" s="567"/>
      <c r="J2960" s="18"/>
      <c r="N2960" s="14"/>
      <c r="O2960" s="14"/>
      <c r="P2960" s="14"/>
    </row>
    <row r="2961" spans="2:16" ht="15.75" customHeight="1">
      <c r="B2961" s="14"/>
      <c r="H2961" s="14"/>
      <c r="I2961" s="567"/>
      <c r="J2961" s="18"/>
      <c r="N2961" s="14"/>
      <c r="O2961" s="14"/>
      <c r="P2961" s="14"/>
    </row>
    <row r="2962" spans="2:16" ht="15.75" customHeight="1">
      <c r="B2962" s="14"/>
      <c r="H2962" s="14"/>
      <c r="I2962" s="567"/>
      <c r="J2962" s="18"/>
      <c r="N2962" s="14"/>
      <c r="O2962" s="14"/>
      <c r="P2962" s="14"/>
    </row>
    <row r="2963" spans="2:16" ht="15.75" customHeight="1">
      <c r="B2963" s="14"/>
      <c r="H2963" s="14"/>
      <c r="I2963" s="567"/>
      <c r="J2963" s="18"/>
      <c r="N2963" s="14"/>
      <c r="O2963" s="14"/>
      <c r="P2963" s="14"/>
    </row>
    <row r="2964" spans="2:16" ht="15.75" customHeight="1">
      <c r="B2964" s="14"/>
      <c r="H2964" s="14"/>
      <c r="I2964" s="567"/>
      <c r="J2964" s="18"/>
      <c r="N2964" s="14"/>
      <c r="O2964" s="14"/>
      <c r="P2964" s="14"/>
    </row>
    <row r="2965" spans="2:16" ht="15.75" customHeight="1">
      <c r="B2965" s="14"/>
      <c r="H2965" s="14"/>
      <c r="I2965" s="567"/>
      <c r="J2965" s="18"/>
      <c r="N2965" s="14"/>
      <c r="O2965" s="14"/>
      <c r="P2965" s="14"/>
    </row>
    <row r="2966" spans="2:16" ht="15.75" customHeight="1">
      <c r="B2966" s="14"/>
      <c r="H2966" s="14"/>
      <c r="I2966" s="567"/>
      <c r="J2966" s="18"/>
      <c r="N2966" s="14"/>
      <c r="O2966" s="14"/>
      <c r="P2966" s="14"/>
    </row>
    <row r="2967" spans="2:16" ht="15.75" customHeight="1">
      <c r="B2967" s="14"/>
      <c r="H2967" s="14"/>
      <c r="I2967" s="567"/>
      <c r="J2967" s="18"/>
      <c r="N2967" s="14"/>
      <c r="O2967" s="14"/>
      <c r="P2967" s="14"/>
    </row>
    <row r="2968" spans="2:16" ht="15.75" customHeight="1">
      <c r="B2968" s="14"/>
      <c r="H2968" s="14"/>
      <c r="I2968" s="567"/>
      <c r="J2968" s="18"/>
      <c r="N2968" s="14"/>
      <c r="O2968" s="14"/>
      <c r="P2968" s="14"/>
    </row>
    <row r="2969" spans="2:16" ht="15.75" customHeight="1">
      <c r="B2969" s="14"/>
      <c r="H2969" s="14"/>
      <c r="I2969" s="567"/>
      <c r="J2969" s="18"/>
      <c r="N2969" s="14"/>
      <c r="O2969" s="14"/>
      <c r="P2969" s="14"/>
    </row>
    <row r="2970" spans="2:16" ht="15.75" customHeight="1">
      <c r="B2970" s="14"/>
      <c r="H2970" s="14"/>
      <c r="I2970" s="567"/>
      <c r="J2970" s="18"/>
      <c r="N2970" s="14"/>
      <c r="O2970" s="14"/>
      <c r="P2970" s="14"/>
    </row>
    <row r="2971" spans="2:16" ht="15.75" customHeight="1">
      <c r="B2971" s="14"/>
      <c r="H2971" s="14"/>
      <c r="I2971" s="567"/>
      <c r="J2971" s="18"/>
      <c r="N2971" s="14"/>
      <c r="O2971" s="14"/>
      <c r="P2971" s="14"/>
    </row>
    <row r="2972" spans="2:16" ht="15.75" customHeight="1">
      <c r="B2972" s="14"/>
      <c r="H2972" s="14"/>
      <c r="I2972" s="567"/>
      <c r="J2972" s="18"/>
      <c r="N2972" s="14"/>
      <c r="O2972" s="14"/>
      <c r="P2972" s="14"/>
    </row>
    <row r="2973" spans="2:16" ht="15.75" customHeight="1">
      <c r="B2973" s="14"/>
      <c r="H2973" s="14"/>
      <c r="I2973" s="567"/>
      <c r="J2973" s="18"/>
      <c r="N2973" s="14"/>
      <c r="O2973" s="14"/>
      <c r="P2973" s="14"/>
    </row>
    <row r="2974" spans="2:16" ht="15.75" customHeight="1">
      <c r="B2974" s="14"/>
      <c r="H2974" s="14"/>
      <c r="I2974" s="567"/>
      <c r="J2974" s="18"/>
      <c r="N2974" s="14"/>
      <c r="O2974" s="14"/>
      <c r="P2974" s="14"/>
    </row>
    <row r="2975" spans="2:16" ht="15.75" customHeight="1">
      <c r="B2975" s="14"/>
      <c r="H2975" s="14"/>
      <c r="I2975" s="567"/>
      <c r="J2975" s="18"/>
      <c r="N2975" s="14"/>
      <c r="O2975" s="14"/>
      <c r="P2975" s="14"/>
    </row>
    <row r="2976" spans="2:16" ht="15.75" customHeight="1">
      <c r="B2976" s="14"/>
      <c r="H2976" s="14"/>
      <c r="I2976" s="567"/>
      <c r="J2976" s="18"/>
      <c r="N2976" s="14"/>
      <c r="O2976" s="14"/>
      <c r="P2976" s="14"/>
    </row>
    <row r="2977" spans="2:16" ht="15.75" customHeight="1">
      <c r="B2977" s="14"/>
      <c r="H2977" s="14"/>
      <c r="I2977" s="567"/>
      <c r="J2977" s="18"/>
      <c r="N2977" s="14"/>
      <c r="O2977" s="14"/>
      <c r="P2977" s="14"/>
    </row>
    <row r="2978" spans="2:16" ht="15.75" customHeight="1">
      <c r="B2978" s="14"/>
      <c r="H2978" s="14"/>
      <c r="I2978" s="567"/>
      <c r="J2978" s="18"/>
      <c r="N2978" s="14"/>
      <c r="O2978" s="14"/>
      <c r="P2978" s="14"/>
    </row>
    <row r="2979" spans="2:16" ht="15.75" customHeight="1">
      <c r="B2979" s="14"/>
      <c r="H2979" s="14"/>
      <c r="I2979" s="567"/>
      <c r="J2979" s="18"/>
      <c r="N2979" s="14"/>
      <c r="O2979" s="14"/>
      <c r="P2979" s="14"/>
    </row>
    <row r="2980" spans="2:16" ht="15.75" customHeight="1">
      <c r="B2980" s="14"/>
      <c r="H2980" s="14"/>
      <c r="I2980" s="567"/>
      <c r="J2980" s="18"/>
      <c r="N2980" s="14"/>
      <c r="O2980" s="14"/>
      <c r="P2980" s="14"/>
    </row>
    <row r="2981" spans="2:16" ht="15.75" customHeight="1">
      <c r="B2981" s="14"/>
      <c r="H2981" s="14"/>
      <c r="I2981" s="567"/>
      <c r="J2981" s="18"/>
      <c r="N2981" s="14"/>
      <c r="O2981" s="14"/>
      <c r="P2981" s="14"/>
    </row>
    <row r="2982" spans="2:16" ht="15.75" customHeight="1">
      <c r="B2982" s="14"/>
      <c r="H2982" s="14"/>
      <c r="I2982" s="567"/>
      <c r="J2982" s="18"/>
      <c r="N2982" s="14"/>
      <c r="O2982" s="14"/>
      <c r="P2982" s="14"/>
    </row>
    <row r="2983" spans="2:16" ht="15.75" customHeight="1">
      <c r="B2983" s="14"/>
      <c r="H2983" s="14"/>
      <c r="I2983" s="567"/>
      <c r="J2983" s="18"/>
      <c r="N2983" s="14"/>
      <c r="O2983" s="14"/>
      <c r="P2983" s="14"/>
    </row>
    <row r="2984" spans="2:16" ht="15.75" customHeight="1">
      <c r="B2984" s="14"/>
      <c r="H2984" s="14"/>
      <c r="I2984" s="567"/>
      <c r="J2984" s="18"/>
      <c r="N2984" s="14"/>
      <c r="O2984" s="14"/>
      <c r="P2984" s="14"/>
    </row>
    <row r="2985" spans="2:16" ht="15.75" customHeight="1">
      <c r="B2985" s="14"/>
      <c r="H2985" s="14"/>
      <c r="I2985" s="567"/>
      <c r="J2985" s="18"/>
      <c r="N2985" s="14"/>
      <c r="O2985" s="14"/>
      <c r="P2985" s="14"/>
    </row>
    <row r="2986" spans="2:16" ht="15.75" customHeight="1">
      <c r="B2986" s="14"/>
      <c r="H2986" s="14"/>
      <c r="I2986" s="567"/>
      <c r="J2986" s="18"/>
      <c r="N2986" s="14"/>
      <c r="O2986" s="14"/>
      <c r="P2986" s="14"/>
    </row>
    <row r="2987" spans="2:16" ht="15.75" customHeight="1">
      <c r="B2987" s="14"/>
      <c r="H2987" s="14"/>
      <c r="I2987" s="567"/>
      <c r="J2987" s="18"/>
      <c r="N2987" s="14"/>
      <c r="O2987" s="14"/>
      <c r="P2987" s="14"/>
    </row>
    <row r="2988" spans="2:16" ht="15.75" customHeight="1">
      <c r="B2988" s="14"/>
      <c r="H2988" s="14"/>
      <c r="I2988" s="567"/>
      <c r="J2988" s="18"/>
      <c r="N2988" s="14"/>
      <c r="O2988" s="14"/>
      <c r="P2988" s="14"/>
    </row>
    <row r="2989" spans="2:16" ht="15.75" customHeight="1">
      <c r="B2989" s="14"/>
      <c r="H2989" s="14"/>
      <c r="I2989" s="567"/>
      <c r="J2989" s="18"/>
      <c r="N2989" s="14"/>
      <c r="O2989" s="14"/>
      <c r="P2989" s="14"/>
    </row>
    <row r="2990" spans="2:16" ht="15.75" customHeight="1">
      <c r="B2990" s="14"/>
      <c r="H2990" s="14"/>
      <c r="I2990" s="567"/>
      <c r="J2990" s="18"/>
      <c r="N2990" s="14"/>
      <c r="O2990" s="14"/>
      <c r="P2990" s="14"/>
    </row>
    <row r="2991" spans="2:16" ht="15.75" customHeight="1">
      <c r="B2991" s="14"/>
      <c r="H2991" s="14"/>
      <c r="I2991" s="567"/>
      <c r="J2991" s="18"/>
      <c r="N2991" s="14"/>
      <c r="O2991" s="14"/>
      <c r="P2991" s="14"/>
    </row>
    <row r="2992" spans="2:16" ht="15.75" customHeight="1">
      <c r="B2992" s="14"/>
      <c r="H2992" s="14"/>
      <c r="I2992" s="567"/>
      <c r="J2992" s="18"/>
      <c r="N2992" s="14"/>
      <c r="O2992" s="14"/>
      <c r="P2992" s="14"/>
    </row>
    <row r="2993" spans="2:16" ht="15.75" customHeight="1">
      <c r="B2993" s="14"/>
      <c r="H2993" s="14"/>
      <c r="I2993" s="567"/>
      <c r="J2993" s="18"/>
      <c r="N2993" s="14"/>
      <c r="O2993" s="14"/>
      <c r="P2993" s="14"/>
    </row>
    <row r="2994" spans="2:16" ht="15.75" customHeight="1">
      <c r="B2994" s="14"/>
      <c r="H2994" s="14"/>
      <c r="I2994" s="567"/>
      <c r="J2994" s="18"/>
      <c r="N2994" s="14"/>
      <c r="O2994" s="14"/>
      <c r="P2994" s="14"/>
    </row>
    <row r="2995" spans="2:16" ht="15.75" customHeight="1">
      <c r="B2995" s="14"/>
      <c r="H2995" s="14"/>
      <c r="I2995" s="567"/>
      <c r="J2995" s="18"/>
      <c r="N2995" s="14"/>
      <c r="O2995" s="14"/>
      <c r="P2995" s="14"/>
    </row>
    <row r="2996" spans="2:16" ht="15.75" customHeight="1">
      <c r="B2996" s="14"/>
      <c r="H2996" s="14"/>
      <c r="I2996" s="567"/>
      <c r="J2996" s="18"/>
      <c r="N2996" s="14"/>
      <c r="O2996" s="14"/>
      <c r="P2996" s="14"/>
    </row>
    <row r="2997" spans="2:16" ht="15.75" customHeight="1">
      <c r="B2997" s="14"/>
      <c r="H2997" s="14"/>
      <c r="I2997" s="567"/>
      <c r="J2997" s="18"/>
      <c r="N2997" s="14"/>
      <c r="O2997" s="14"/>
      <c r="P2997" s="14"/>
    </row>
    <row r="2998" spans="2:16" ht="15.75" customHeight="1">
      <c r="B2998" s="14"/>
      <c r="H2998" s="14"/>
      <c r="I2998" s="567"/>
      <c r="J2998" s="18"/>
      <c r="N2998" s="14"/>
      <c r="O2998" s="14"/>
      <c r="P2998" s="14"/>
    </row>
    <row r="2999" spans="2:16" ht="15.75" customHeight="1">
      <c r="B2999" s="14"/>
      <c r="H2999" s="14"/>
      <c r="I2999" s="567"/>
      <c r="J2999" s="18"/>
      <c r="N2999" s="14"/>
      <c r="O2999" s="14"/>
      <c r="P2999" s="14"/>
    </row>
    <row r="3000" spans="2:16" ht="15.75" customHeight="1">
      <c r="B3000" s="14"/>
      <c r="H3000" s="14"/>
      <c r="I3000" s="567"/>
      <c r="J3000" s="18"/>
      <c r="N3000" s="14"/>
      <c r="O3000" s="14"/>
      <c r="P3000" s="14"/>
    </row>
    <row r="3001" spans="2:16" ht="15.75" customHeight="1">
      <c r="B3001" s="14"/>
      <c r="H3001" s="14"/>
      <c r="I3001" s="567"/>
      <c r="J3001" s="18"/>
      <c r="N3001" s="14"/>
      <c r="O3001" s="14"/>
      <c r="P3001" s="14"/>
    </row>
    <row r="3002" spans="2:16" ht="15.75" customHeight="1">
      <c r="B3002" s="14"/>
      <c r="H3002" s="14"/>
      <c r="I3002" s="567"/>
      <c r="J3002" s="18"/>
      <c r="N3002" s="14"/>
      <c r="O3002" s="14"/>
      <c r="P3002" s="14"/>
    </row>
    <row r="3003" spans="2:16" ht="15.75" customHeight="1">
      <c r="B3003" s="14"/>
      <c r="H3003" s="14"/>
      <c r="I3003" s="567"/>
      <c r="J3003" s="18"/>
      <c r="N3003" s="14"/>
      <c r="O3003" s="14"/>
      <c r="P3003" s="14"/>
    </row>
    <row r="3004" spans="2:16" ht="15.75" customHeight="1">
      <c r="B3004" s="14"/>
      <c r="H3004" s="14"/>
      <c r="I3004" s="567"/>
      <c r="J3004" s="18"/>
      <c r="N3004" s="14"/>
      <c r="O3004" s="14"/>
      <c r="P3004" s="14"/>
    </row>
    <row r="3005" spans="2:16" ht="15.75" customHeight="1">
      <c r="B3005" s="14"/>
      <c r="H3005" s="14"/>
      <c r="I3005" s="567"/>
      <c r="J3005" s="18"/>
      <c r="N3005" s="14"/>
      <c r="O3005" s="14"/>
      <c r="P3005" s="14"/>
    </row>
    <row r="3006" spans="2:16" ht="15.75" customHeight="1">
      <c r="B3006" s="14"/>
      <c r="H3006" s="14"/>
      <c r="I3006" s="567"/>
      <c r="J3006" s="18"/>
      <c r="N3006" s="14"/>
      <c r="O3006" s="14"/>
      <c r="P3006" s="14"/>
    </row>
    <row r="3007" spans="2:16" ht="15.75" customHeight="1">
      <c r="B3007" s="14"/>
      <c r="H3007" s="14"/>
      <c r="I3007" s="567"/>
      <c r="J3007" s="18"/>
      <c r="N3007" s="14"/>
      <c r="O3007" s="14"/>
      <c r="P3007" s="14"/>
    </row>
    <row r="3008" spans="2:16" ht="15.75" customHeight="1">
      <c r="B3008" s="14"/>
      <c r="H3008" s="14"/>
      <c r="I3008" s="567"/>
      <c r="J3008" s="18"/>
      <c r="N3008" s="14"/>
      <c r="O3008" s="14"/>
      <c r="P3008" s="14"/>
    </row>
    <row r="3009" spans="2:16" ht="15.75" customHeight="1">
      <c r="B3009" s="14"/>
      <c r="H3009" s="14"/>
      <c r="I3009" s="567"/>
      <c r="J3009" s="18"/>
      <c r="N3009" s="14"/>
      <c r="O3009" s="14"/>
      <c r="P3009" s="14"/>
    </row>
    <row r="3010" spans="2:16" ht="15.75" customHeight="1">
      <c r="B3010" s="14"/>
      <c r="H3010" s="14"/>
      <c r="I3010" s="567"/>
      <c r="J3010" s="18"/>
      <c r="N3010" s="14"/>
      <c r="O3010" s="14"/>
      <c r="P3010" s="14"/>
    </row>
    <row r="3011" spans="2:16" ht="15.75" customHeight="1">
      <c r="B3011" s="14"/>
      <c r="H3011" s="14"/>
      <c r="I3011" s="567"/>
      <c r="J3011" s="18"/>
      <c r="N3011" s="14"/>
      <c r="O3011" s="14"/>
      <c r="P3011" s="14"/>
    </row>
    <row r="3012" spans="2:16" ht="15.75" customHeight="1">
      <c r="B3012" s="14"/>
      <c r="H3012" s="14"/>
      <c r="I3012" s="567"/>
      <c r="J3012" s="18"/>
      <c r="N3012" s="14"/>
      <c r="O3012" s="14"/>
      <c r="P3012" s="14"/>
    </row>
    <row r="3013" spans="2:16" ht="15.75" customHeight="1">
      <c r="B3013" s="14"/>
      <c r="H3013" s="14"/>
      <c r="I3013" s="567"/>
      <c r="J3013" s="18"/>
      <c r="N3013" s="14"/>
      <c r="O3013" s="14"/>
      <c r="P3013" s="14"/>
    </row>
    <row r="3014" spans="2:16" ht="15.75" customHeight="1">
      <c r="B3014" s="14"/>
      <c r="H3014" s="14"/>
      <c r="I3014" s="567"/>
      <c r="J3014" s="18"/>
      <c r="N3014" s="14"/>
      <c r="O3014" s="14"/>
      <c r="P3014" s="14"/>
    </row>
    <row r="3015" spans="2:16" ht="15.75" customHeight="1">
      <c r="B3015" s="14"/>
      <c r="H3015" s="14"/>
      <c r="I3015" s="567"/>
      <c r="J3015" s="18"/>
      <c r="N3015" s="14"/>
      <c r="O3015" s="14"/>
      <c r="P3015" s="14"/>
    </row>
    <row r="3016" spans="2:16" ht="15.75" customHeight="1">
      <c r="B3016" s="14"/>
      <c r="H3016" s="14"/>
      <c r="I3016" s="567"/>
      <c r="J3016" s="18"/>
      <c r="N3016" s="14"/>
      <c r="O3016" s="14"/>
      <c r="P3016" s="14"/>
    </row>
    <row r="3017" spans="2:16" ht="15.75" customHeight="1">
      <c r="B3017" s="14"/>
      <c r="H3017" s="14"/>
      <c r="I3017" s="567"/>
      <c r="J3017" s="18"/>
      <c r="N3017" s="14"/>
      <c r="O3017" s="14"/>
      <c r="P3017" s="14"/>
    </row>
    <row r="3018" spans="2:16" ht="15.75" customHeight="1">
      <c r="B3018" s="14"/>
      <c r="H3018" s="14"/>
      <c r="I3018" s="567"/>
      <c r="J3018" s="18"/>
      <c r="N3018" s="14"/>
      <c r="O3018" s="14"/>
      <c r="P3018" s="14"/>
    </row>
    <row r="3019" spans="2:16" ht="15.75" customHeight="1">
      <c r="B3019" s="14"/>
      <c r="H3019" s="14"/>
      <c r="I3019" s="567"/>
      <c r="J3019" s="18"/>
      <c r="N3019" s="14"/>
      <c r="O3019" s="14"/>
      <c r="P3019" s="14"/>
    </row>
    <row r="3020" spans="2:16" ht="15.75" customHeight="1">
      <c r="B3020" s="14"/>
      <c r="H3020" s="14"/>
      <c r="I3020" s="567"/>
      <c r="J3020" s="18"/>
      <c r="N3020" s="14"/>
      <c r="O3020" s="14"/>
      <c r="P3020" s="14"/>
    </row>
    <row r="3021" spans="2:16" ht="15.75" customHeight="1">
      <c r="B3021" s="14"/>
      <c r="H3021" s="14"/>
      <c r="I3021" s="567"/>
      <c r="J3021" s="18"/>
      <c r="N3021" s="14"/>
      <c r="O3021" s="14"/>
      <c r="P3021" s="14"/>
    </row>
    <row r="3022" spans="2:16" ht="15.75" customHeight="1">
      <c r="B3022" s="14"/>
      <c r="H3022" s="14"/>
      <c r="I3022" s="567"/>
      <c r="J3022" s="18"/>
      <c r="N3022" s="14"/>
      <c r="O3022" s="14"/>
      <c r="P3022" s="14"/>
    </row>
    <row r="3023" spans="2:16" ht="15.75" customHeight="1">
      <c r="B3023" s="14"/>
      <c r="H3023" s="14"/>
      <c r="I3023" s="567"/>
      <c r="J3023" s="18"/>
      <c r="N3023" s="14"/>
      <c r="O3023" s="14"/>
      <c r="P3023" s="14"/>
    </row>
    <row r="3024" spans="2:16" ht="15.75" customHeight="1">
      <c r="B3024" s="14"/>
      <c r="H3024" s="14"/>
      <c r="I3024" s="567"/>
      <c r="J3024" s="18"/>
      <c r="N3024" s="14"/>
      <c r="O3024" s="14"/>
      <c r="P3024" s="14"/>
    </row>
    <row r="3025" spans="2:16" ht="15.75" customHeight="1">
      <c r="B3025" s="14"/>
      <c r="H3025" s="14"/>
      <c r="I3025" s="567"/>
      <c r="J3025" s="18"/>
      <c r="N3025" s="14"/>
      <c r="O3025" s="14"/>
      <c r="P3025" s="14"/>
    </row>
    <row r="3026" spans="2:16" ht="15.75" customHeight="1">
      <c r="B3026" s="14"/>
      <c r="H3026" s="14"/>
      <c r="I3026" s="567"/>
      <c r="J3026" s="18"/>
      <c r="N3026" s="14"/>
      <c r="O3026" s="14"/>
      <c r="P3026" s="14"/>
    </row>
    <row r="3027" spans="2:16" ht="15.75" customHeight="1">
      <c r="B3027" s="14"/>
      <c r="H3027" s="14"/>
      <c r="I3027" s="567"/>
      <c r="J3027" s="18"/>
      <c r="N3027" s="14"/>
      <c r="O3027" s="14"/>
      <c r="P3027" s="14"/>
    </row>
    <row r="3028" spans="2:16" ht="15.75" customHeight="1">
      <c r="B3028" s="14"/>
      <c r="H3028" s="14"/>
      <c r="I3028" s="567"/>
      <c r="J3028" s="18"/>
      <c r="N3028" s="14"/>
      <c r="O3028" s="14"/>
      <c r="P3028" s="14"/>
    </row>
    <row r="3029" spans="2:16" ht="15.75" customHeight="1">
      <c r="B3029" s="14"/>
      <c r="H3029" s="14"/>
      <c r="I3029" s="567"/>
      <c r="J3029" s="18"/>
      <c r="N3029" s="14"/>
      <c r="O3029" s="14"/>
      <c r="P3029" s="14"/>
    </row>
    <row r="3030" spans="2:16" ht="15.75" customHeight="1">
      <c r="B3030" s="14"/>
      <c r="H3030" s="14"/>
      <c r="I3030" s="567"/>
      <c r="J3030" s="18"/>
      <c r="N3030" s="14"/>
      <c r="O3030" s="14"/>
      <c r="P3030" s="14"/>
    </row>
    <row r="3031" spans="2:16" ht="15.75" customHeight="1">
      <c r="B3031" s="14"/>
      <c r="H3031" s="14"/>
      <c r="I3031" s="567"/>
      <c r="J3031" s="18"/>
      <c r="N3031" s="14"/>
      <c r="O3031" s="14"/>
      <c r="P3031" s="14"/>
    </row>
    <row r="3032" spans="2:16" ht="15.75" customHeight="1">
      <c r="B3032" s="14"/>
      <c r="H3032" s="14"/>
      <c r="I3032" s="567"/>
      <c r="J3032" s="18"/>
      <c r="N3032" s="14"/>
      <c r="O3032" s="14"/>
      <c r="P3032" s="14"/>
    </row>
    <row r="3033" spans="2:16" ht="15.75" customHeight="1">
      <c r="B3033" s="14"/>
      <c r="H3033" s="14"/>
      <c r="I3033" s="567"/>
      <c r="J3033" s="18"/>
      <c r="N3033" s="14"/>
      <c r="O3033" s="14"/>
      <c r="P3033" s="14"/>
    </row>
    <row r="3034" spans="2:16" ht="15.75" customHeight="1">
      <c r="B3034" s="14"/>
      <c r="H3034" s="14"/>
      <c r="I3034" s="567"/>
      <c r="J3034" s="18"/>
      <c r="N3034" s="14"/>
      <c r="O3034" s="14"/>
      <c r="P3034" s="14"/>
    </row>
    <row r="3035" spans="2:16" ht="15.75" customHeight="1">
      <c r="B3035" s="14"/>
      <c r="H3035" s="14"/>
      <c r="I3035" s="567"/>
      <c r="J3035" s="18"/>
      <c r="N3035" s="14"/>
      <c r="O3035" s="14"/>
      <c r="P3035" s="14"/>
    </row>
    <row r="3036" spans="2:16" ht="15.75" customHeight="1">
      <c r="B3036" s="14"/>
      <c r="H3036" s="14"/>
      <c r="I3036" s="567"/>
      <c r="J3036" s="18"/>
      <c r="N3036" s="14"/>
      <c r="O3036" s="14"/>
      <c r="P3036" s="14"/>
    </row>
    <row r="3037" spans="2:16" ht="15.75" customHeight="1">
      <c r="B3037" s="14"/>
      <c r="H3037" s="14"/>
      <c r="I3037" s="567"/>
      <c r="J3037" s="18"/>
      <c r="N3037" s="14"/>
      <c r="O3037" s="14"/>
      <c r="P3037" s="14"/>
    </row>
    <row r="3038" spans="2:16" ht="15.75" customHeight="1">
      <c r="B3038" s="14"/>
      <c r="H3038" s="14"/>
      <c r="I3038" s="567"/>
      <c r="J3038" s="18"/>
      <c r="N3038" s="14"/>
      <c r="O3038" s="14"/>
      <c r="P3038" s="14"/>
    </row>
    <row r="3039" spans="2:16" ht="15.75" customHeight="1">
      <c r="B3039" s="14"/>
      <c r="H3039" s="14"/>
      <c r="I3039" s="567"/>
      <c r="J3039" s="18"/>
      <c r="N3039" s="14"/>
      <c r="O3039" s="14"/>
      <c r="P3039" s="14"/>
    </row>
    <row r="3040" spans="2:16" ht="15.75" customHeight="1">
      <c r="B3040" s="14"/>
      <c r="H3040" s="14"/>
      <c r="I3040" s="567"/>
      <c r="J3040" s="18"/>
      <c r="N3040" s="14"/>
      <c r="O3040" s="14"/>
      <c r="P3040" s="14"/>
    </row>
    <row r="3041" spans="2:16" ht="15.75" customHeight="1">
      <c r="B3041" s="14"/>
      <c r="H3041" s="14"/>
      <c r="I3041" s="567"/>
      <c r="J3041" s="18"/>
      <c r="N3041" s="14"/>
      <c r="O3041" s="14"/>
      <c r="P3041" s="14"/>
    </row>
    <row r="3042" spans="2:16" ht="15.75" customHeight="1">
      <c r="B3042" s="14"/>
      <c r="H3042" s="14"/>
      <c r="I3042" s="567"/>
      <c r="J3042" s="18"/>
      <c r="N3042" s="14"/>
      <c r="O3042" s="14"/>
      <c r="P3042" s="14"/>
    </row>
    <row r="3043" spans="2:16" ht="15.75" customHeight="1">
      <c r="B3043" s="14"/>
      <c r="H3043" s="14"/>
      <c r="I3043" s="567"/>
      <c r="J3043" s="18"/>
      <c r="N3043" s="14"/>
      <c r="O3043" s="14"/>
      <c r="P3043" s="14"/>
    </row>
    <row r="3044" spans="2:16" ht="15.75" customHeight="1">
      <c r="B3044" s="14"/>
      <c r="H3044" s="14"/>
      <c r="I3044" s="567"/>
      <c r="J3044" s="18"/>
      <c r="N3044" s="14"/>
      <c r="O3044" s="14"/>
      <c r="P3044" s="14"/>
    </row>
    <row r="3045" spans="2:16" ht="15.75" customHeight="1">
      <c r="B3045" s="14"/>
      <c r="H3045" s="14"/>
      <c r="I3045" s="567"/>
      <c r="J3045" s="18"/>
      <c r="N3045" s="14"/>
      <c r="O3045" s="14"/>
      <c r="P3045" s="14"/>
    </row>
    <row r="3046" spans="2:16" ht="15.75" customHeight="1">
      <c r="B3046" s="14"/>
      <c r="H3046" s="14"/>
      <c r="I3046" s="567"/>
      <c r="J3046" s="18"/>
      <c r="N3046" s="14"/>
      <c r="O3046" s="14"/>
      <c r="P3046" s="14"/>
    </row>
    <row r="3047" spans="2:16" ht="15.75" customHeight="1">
      <c r="B3047" s="14"/>
      <c r="H3047" s="14"/>
      <c r="I3047" s="567"/>
      <c r="J3047" s="18"/>
      <c r="N3047" s="14"/>
      <c r="O3047" s="14"/>
      <c r="P3047" s="14"/>
    </row>
    <row r="3048" spans="2:16" ht="15.75" customHeight="1">
      <c r="B3048" s="14"/>
      <c r="H3048" s="14"/>
      <c r="I3048" s="567"/>
      <c r="J3048" s="18"/>
      <c r="N3048" s="14"/>
      <c r="O3048" s="14"/>
      <c r="P3048" s="14"/>
    </row>
    <row r="3049" spans="2:16" ht="15.75" customHeight="1">
      <c r="B3049" s="14"/>
      <c r="H3049" s="14"/>
      <c r="I3049" s="567"/>
      <c r="J3049" s="18"/>
      <c r="N3049" s="14"/>
      <c r="O3049" s="14"/>
      <c r="P3049" s="14"/>
    </row>
    <row r="3050" spans="2:16" ht="15.75" customHeight="1">
      <c r="B3050" s="14"/>
      <c r="H3050" s="14"/>
      <c r="I3050" s="567"/>
      <c r="J3050" s="18"/>
      <c r="N3050" s="14"/>
      <c r="O3050" s="14"/>
      <c r="P3050" s="14"/>
    </row>
    <row r="3051" spans="2:16" ht="15.75" customHeight="1">
      <c r="B3051" s="14"/>
      <c r="H3051" s="14"/>
      <c r="I3051" s="567"/>
      <c r="J3051" s="18"/>
      <c r="N3051" s="14"/>
      <c r="O3051" s="14"/>
      <c r="P3051" s="14"/>
    </row>
    <row r="3052" spans="2:16" ht="15.75" customHeight="1">
      <c r="B3052" s="14"/>
      <c r="H3052" s="14"/>
      <c r="I3052" s="567"/>
      <c r="J3052" s="18"/>
      <c r="N3052" s="14"/>
      <c r="O3052" s="14"/>
      <c r="P3052" s="14"/>
    </row>
    <row r="3053" spans="2:16" ht="15.75" customHeight="1">
      <c r="B3053" s="14"/>
      <c r="H3053" s="14"/>
      <c r="I3053" s="567"/>
      <c r="J3053" s="18"/>
      <c r="N3053" s="14"/>
      <c r="O3053" s="14"/>
      <c r="P3053" s="14"/>
    </row>
    <row r="3054" spans="2:16" ht="15.75" customHeight="1">
      <c r="B3054" s="14"/>
      <c r="H3054" s="14"/>
      <c r="I3054" s="567"/>
      <c r="J3054" s="18"/>
      <c r="N3054" s="14"/>
      <c r="O3054" s="14"/>
      <c r="P3054" s="14"/>
    </row>
    <row r="3055" spans="2:16" ht="15.75" customHeight="1">
      <c r="B3055" s="14"/>
      <c r="H3055" s="14"/>
      <c r="I3055" s="567"/>
      <c r="J3055" s="18"/>
      <c r="N3055" s="14"/>
      <c r="O3055" s="14"/>
      <c r="P3055" s="14"/>
    </row>
    <row r="3056" spans="2:16" ht="15.75" customHeight="1">
      <c r="B3056" s="14"/>
      <c r="H3056" s="14"/>
      <c r="I3056" s="567"/>
      <c r="J3056" s="18"/>
      <c r="N3056" s="14"/>
      <c r="O3056" s="14"/>
      <c r="P3056" s="14"/>
    </row>
    <row r="3057" spans="2:16" ht="15.75" customHeight="1">
      <c r="B3057" s="14"/>
      <c r="H3057" s="14"/>
      <c r="I3057" s="567"/>
      <c r="J3057" s="18"/>
      <c r="N3057" s="14"/>
      <c r="O3057" s="14"/>
      <c r="P3057" s="14"/>
    </row>
    <row r="3058" spans="2:16" ht="15.75" customHeight="1">
      <c r="B3058" s="14"/>
      <c r="H3058" s="14"/>
      <c r="I3058" s="567"/>
      <c r="J3058" s="18"/>
      <c r="N3058" s="14"/>
      <c r="O3058" s="14"/>
      <c r="P3058" s="14"/>
    </row>
    <row r="3059" spans="2:16" ht="15.75" customHeight="1">
      <c r="B3059" s="14"/>
      <c r="H3059" s="14"/>
      <c r="I3059" s="567"/>
      <c r="J3059" s="18"/>
      <c r="N3059" s="14"/>
      <c r="O3059" s="14"/>
      <c r="P3059" s="14"/>
    </row>
    <row r="3060" spans="2:16" ht="15.75" customHeight="1">
      <c r="B3060" s="14"/>
      <c r="H3060" s="14"/>
      <c r="I3060" s="567"/>
      <c r="J3060" s="18"/>
      <c r="N3060" s="14"/>
      <c r="O3060" s="14"/>
      <c r="P3060" s="14"/>
    </row>
    <row r="3061" spans="2:16" ht="15.75" customHeight="1">
      <c r="B3061" s="14"/>
      <c r="H3061" s="14"/>
      <c r="I3061" s="567"/>
      <c r="J3061" s="18"/>
      <c r="N3061" s="14"/>
      <c r="O3061" s="14"/>
      <c r="P3061" s="14"/>
    </row>
    <row r="3062" spans="2:16" ht="15.75" customHeight="1">
      <c r="B3062" s="14"/>
      <c r="H3062" s="14"/>
      <c r="I3062" s="567"/>
      <c r="J3062" s="18"/>
      <c r="N3062" s="14"/>
      <c r="O3062" s="14"/>
      <c r="P3062" s="14"/>
    </row>
    <row r="3063" spans="2:16" ht="15.75" customHeight="1">
      <c r="B3063" s="14"/>
      <c r="H3063" s="14"/>
      <c r="I3063" s="567"/>
      <c r="J3063" s="18"/>
      <c r="N3063" s="14"/>
      <c r="O3063" s="14"/>
      <c r="P3063" s="14"/>
    </row>
    <row r="3064" spans="2:16" ht="15.75" customHeight="1">
      <c r="B3064" s="14"/>
      <c r="H3064" s="14"/>
      <c r="I3064" s="567"/>
      <c r="J3064" s="18"/>
      <c r="N3064" s="14"/>
      <c r="O3064" s="14"/>
      <c r="P3064" s="14"/>
    </row>
    <row r="3065" spans="2:16" ht="15.75" customHeight="1">
      <c r="B3065" s="14"/>
      <c r="H3065" s="14"/>
      <c r="I3065" s="567"/>
      <c r="J3065" s="18"/>
      <c r="N3065" s="14"/>
      <c r="O3065" s="14"/>
      <c r="P3065" s="14"/>
    </row>
    <row r="3066" spans="2:16" ht="15.75" customHeight="1">
      <c r="B3066" s="14"/>
      <c r="H3066" s="14"/>
      <c r="I3066" s="567"/>
      <c r="J3066" s="18"/>
      <c r="N3066" s="14"/>
      <c r="O3066" s="14"/>
      <c r="P3066" s="14"/>
    </row>
    <row r="3067" spans="2:16" ht="15.75" customHeight="1">
      <c r="B3067" s="14"/>
      <c r="H3067" s="14"/>
      <c r="I3067" s="567"/>
      <c r="J3067" s="18"/>
      <c r="N3067" s="14"/>
      <c r="O3067" s="14"/>
      <c r="P3067" s="14"/>
    </row>
    <row r="3068" spans="2:16" ht="15.75" customHeight="1">
      <c r="B3068" s="14"/>
      <c r="H3068" s="14"/>
      <c r="I3068" s="567"/>
      <c r="J3068" s="18"/>
      <c r="N3068" s="14"/>
      <c r="O3068" s="14"/>
      <c r="P3068" s="14"/>
    </row>
    <row r="3069" spans="2:16" ht="15.75" customHeight="1">
      <c r="B3069" s="14"/>
      <c r="H3069" s="14"/>
      <c r="I3069" s="567"/>
      <c r="J3069" s="18"/>
      <c r="N3069" s="14"/>
      <c r="O3069" s="14"/>
      <c r="P3069" s="14"/>
    </row>
    <row r="3070" spans="2:16" ht="15.75" customHeight="1">
      <c r="B3070" s="14"/>
      <c r="H3070" s="14"/>
      <c r="I3070" s="567"/>
      <c r="J3070" s="18"/>
      <c r="N3070" s="14"/>
      <c r="O3070" s="14"/>
      <c r="P3070" s="14"/>
    </row>
    <row r="3071" spans="2:16" ht="15.75" customHeight="1">
      <c r="B3071" s="14"/>
      <c r="H3071" s="14"/>
      <c r="I3071" s="567"/>
      <c r="J3071" s="18"/>
      <c r="N3071" s="14"/>
      <c r="O3071" s="14"/>
      <c r="P3071" s="14"/>
    </row>
    <row r="3072" spans="2:16" ht="15.75" customHeight="1">
      <c r="B3072" s="14"/>
      <c r="H3072" s="14"/>
      <c r="I3072" s="567"/>
      <c r="J3072" s="18"/>
      <c r="N3072" s="14"/>
      <c r="O3072" s="14"/>
      <c r="P3072" s="14"/>
    </row>
    <row r="3073" spans="2:16" ht="15.75" customHeight="1">
      <c r="B3073" s="14"/>
      <c r="H3073" s="14"/>
      <c r="I3073" s="567"/>
      <c r="J3073" s="18"/>
      <c r="N3073" s="14"/>
      <c r="O3073" s="14"/>
      <c r="P3073" s="14"/>
    </row>
    <row r="3074" spans="2:16" ht="15.75" customHeight="1">
      <c r="B3074" s="14"/>
      <c r="H3074" s="14"/>
      <c r="I3074" s="567"/>
      <c r="J3074" s="18"/>
      <c r="N3074" s="14"/>
      <c r="O3074" s="14"/>
      <c r="P3074" s="14"/>
    </row>
    <row r="3075" spans="2:16" ht="15.75" customHeight="1">
      <c r="B3075" s="14"/>
      <c r="H3075" s="14"/>
      <c r="I3075" s="567"/>
      <c r="J3075" s="18"/>
      <c r="N3075" s="14"/>
      <c r="O3075" s="14"/>
      <c r="P3075" s="14"/>
    </row>
    <row r="3076" spans="2:16" ht="15.75" customHeight="1">
      <c r="B3076" s="14"/>
      <c r="H3076" s="14"/>
      <c r="I3076" s="567"/>
      <c r="J3076" s="18"/>
      <c r="N3076" s="14"/>
      <c r="O3076" s="14"/>
      <c r="P3076" s="14"/>
    </row>
    <row r="3077" spans="2:16" ht="15.75" customHeight="1">
      <c r="B3077" s="14"/>
      <c r="H3077" s="14"/>
      <c r="I3077" s="567"/>
      <c r="J3077" s="18"/>
      <c r="N3077" s="14"/>
      <c r="O3077" s="14"/>
      <c r="P3077" s="14"/>
    </row>
    <row r="3078" spans="2:16" ht="15.75" customHeight="1">
      <c r="B3078" s="14"/>
      <c r="H3078" s="14"/>
      <c r="I3078" s="567"/>
      <c r="J3078" s="18"/>
      <c r="N3078" s="14"/>
      <c r="O3078" s="14"/>
      <c r="P3078" s="14"/>
    </row>
    <row r="3079" spans="2:16" ht="15.75" customHeight="1">
      <c r="B3079" s="14"/>
      <c r="H3079" s="14"/>
      <c r="I3079" s="567"/>
      <c r="J3079" s="18"/>
      <c r="N3079" s="14"/>
      <c r="O3079" s="14"/>
      <c r="P3079" s="14"/>
    </row>
    <row r="3080" spans="2:16" ht="15.75" customHeight="1">
      <c r="B3080" s="14"/>
      <c r="H3080" s="14"/>
      <c r="I3080" s="567"/>
      <c r="J3080" s="18"/>
      <c r="N3080" s="14"/>
      <c r="O3080" s="14"/>
      <c r="P3080" s="14"/>
    </row>
    <row r="3081" spans="2:16" ht="15.75" customHeight="1">
      <c r="B3081" s="14"/>
      <c r="H3081" s="14"/>
      <c r="I3081" s="567"/>
      <c r="J3081" s="18"/>
      <c r="N3081" s="14"/>
      <c r="O3081" s="14"/>
      <c r="P3081" s="14"/>
    </row>
    <row r="3082" spans="2:16" ht="15.75" customHeight="1">
      <c r="B3082" s="14"/>
      <c r="H3082" s="14"/>
      <c r="I3082" s="567"/>
      <c r="J3082" s="18"/>
      <c r="N3082" s="14"/>
      <c r="O3082" s="14"/>
      <c r="P3082" s="14"/>
    </row>
    <row r="3083" spans="2:16" ht="15.75" customHeight="1">
      <c r="B3083" s="14"/>
      <c r="H3083" s="14"/>
      <c r="I3083" s="567"/>
      <c r="J3083" s="18"/>
      <c r="N3083" s="14"/>
      <c r="O3083" s="14"/>
      <c r="P3083" s="14"/>
    </row>
    <row r="3084" spans="2:16" ht="15.75" customHeight="1">
      <c r="B3084" s="14"/>
      <c r="H3084" s="14"/>
      <c r="I3084" s="567"/>
      <c r="J3084" s="18"/>
      <c r="N3084" s="14"/>
      <c r="O3084" s="14"/>
      <c r="P3084" s="14"/>
    </row>
    <row r="3085" spans="2:16" ht="15.75" customHeight="1">
      <c r="B3085" s="14"/>
      <c r="H3085" s="14"/>
      <c r="I3085" s="567"/>
      <c r="J3085" s="18"/>
      <c r="N3085" s="14"/>
      <c r="O3085" s="14"/>
      <c r="P3085" s="14"/>
    </row>
    <row r="3086" spans="2:16" ht="15.75" customHeight="1">
      <c r="B3086" s="14"/>
      <c r="H3086" s="14"/>
      <c r="I3086" s="567"/>
      <c r="J3086" s="18"/>
      <c r="N3086" s="14"/>
      <c r="O3086" s="14"/>
      <c r="P3086" s="14"/>
    </row>
    <row r="3087" spans="2:16" ht="15.75" customHeight="1">
      <c r="B3087" s="14"/>
      <c r="H3087" s="14"/>
      <c r="I3087" s="567"/>
      <c r="J3087" s="18"/>
      <c r="N3087" s="14"/>
      <c r="O3087" s="14"/>
      <c r="P3087" s="14"/>
    </row>
    <row r="3088" spans="2:16" ht="15.75" customHeight="1">
      <c r="B3088" s="14"/>
      <c r="H3088" s="14"/>
      <c r="I3088" s="567"/>
      <c r="J3088" s="18"/>
      <c r="N3088" s="14"/>
      <c r="O3088" s="14"/>
      <c r="P3088" s="14"/>
    </row>
    <row r="3089" spans="2:16" ht="15.75" customHeight="1">
      <c r="B3089" s="14"/>
      <c r="H3089" s="14"/>
      <c r="I3089" s="567"/>
      <c r="J3089" s="18"/>
      <c r="N3089" s="14"/>
      <c r="O3089" s="14"/>
      <c r="P3089" s="14"/>
    </row>
    <row r="3090" spans="2:16" ht="15.75" customHeight="1">
      <c r="B3090" s="14"/>
      <c r="H3090" s="14"/>
      <c r="I3090" s="567"/>
      <c r="J3090" s="18"/>
      <c r="N3090" s="14"/>
      <c r="O3090" s="14"/>
      <c r="P3090" s="14"/>
    </row>
    <row r="3091" spans="2:16" ht="15.75" customHeight="1">
      <c r="B3091" s="14"/>
      <c r="H3091" s="14"/>
      <c r="I3091" s="567"/>
      <c r="J3091" s="18"/>
      <c r="N3091" s="14"/>
      <c r="O3091" s="14"/>
      <c r="P3091" s="14"/>
    </row>
    <row r="3092" spans="2:16" ht="15.75" customHeight="1">
      <c r="B3092" s="14"/>
      <c r="H3092" s="14"/>
      <c r="I3092" s="567"/>
      <c r="J3092" s="18"/>
      <c r="N3092" s="14"/>
      <c r="O3092" s="14"/>
      <c r="P3092" s="14"/>
    </row>
    <row r="3093" spans="2:16" ht="15.75" customHeight="1">
      <c r="B3093" s="14"/>
      <c r="H3093" s="14"/>
      <c r="I3093" s="567"/>
      <c r="J3093" s="18"/>
      <c r="N3093" s="14"/>
      <c r="O3093" s="14"/>
      <c r="P3093" s="14"/>
    </row>
    <row r="3094" spans="2:16" ht="15.75" customHeight="1">
      <c r="B3094" s="14"/>
      <c r="H3094" s="14"/>
      <c r="I3094" s="567"/>
      <c r="J3094" s="18"/>
      <c r="N3094" s="14"/>
      <c r="O3094" s="14"/>
      <c r="P3094" s="14"/>
    </row>
    <row r="3095" spans="2:16" ht="15.75" customHeight="1">
      <c r="B3095" s="14"/>
      <c r="H3095" s="14"/>
      <c r="I3095" s="567"/>
      <c r="J3095" s="18"/>
      <c r="N3095" s="14"/>
      <c r="O3095" s="14"/>
      <c r="P3095" s="14"/>
    </row>
    <row r="3096" spans="2:16" ht="15.75" customHeight="1">
      <c r="B3096" s="14"/>
      <c r="H3096" s="14"/>
      <c r="I3096" s="567"/>
      <c r="J3096" s="18"/>
      <c r="N3096" s="14"/>
      <c r="O3096" s="14"/>
      <c r="P3096" s="14"/>
    </row>
    <row r="3097" spans="2:16" ht="15.75" customHeight="1">
      <c r="B3097" s="14"/>
      <c r="H3097" s="14"/>
      <c r="I3097" s="567"/>
      <c r="J3097" s="18"/>
      <c r="N3097" s="14"/>
      <c r="O3097" s="14"/>
      <c r="P3097" s="14"/>
    </row>
    <row r="3098" spans="2:16" ht="15.75" customHeight="1">
      <c r="B3098" s="14"/>
      <c r="H3098" s="14"/>
      <c r="I3098" s="567"/>
      <c r="J3098" s="18"/>
      <c r="N3098" s="14"/>
      <c r="O3098" s="14"/>
      <c r="P3098" s="14"/>
    </row>
    <row r="3099" spans="2:16" ht="15.75" customHeight="1">
      <c r="B3099" s="14"/>
      <c r="H3099" s="14"/>
      <c r="I3099" s="567"/>
      <c r="J3099" s="18"/>
      <c r="N3099" s="14"/>
      <c r="O3099" s="14"/>
      <c r="P3099" s="14"/>
    </row>
    <row r="3100" spans="2:16" ht="15.75" customHeight="1">
      <c r="B3100" s="14"/>
      <c r="H3100" s="14"/>
      <c r="I3100" s="567"/>
      <c r="J3100" s="18"/>
      <c r="N3100" s="14"/>
      <c r="O3100" s="14"/>
      <c r="P3100" s="14"/>
    </row>
    <row r="3101" spans="2:16" ht="15.75" customHeight="1">
      <c r="B3101" s="14"/>
      <c r="H3101" s="14"/>
      <c r="I3101" s="567"/>
      <c r="J3101" s="18"/>
      <c r="N3101" s="14"/>
      <c r="O3101" s="14"/>
      <c r="P3101" s="14"/>
    </row>
    <row r="3102" spans="2:16" ht="15.75" customHeight="1">
      <c r="B3102" s="14"/>
      <c r="H3102" s="14"/>
      <c r="I3102" s="567"/>
      <c r="J3102" s="18"/>
      <c r="N3102" s="14"/>
      <c r="O3102" s="14"/>
      <c r="P3102" s="14"/>
    </row>
    <row r="3103" spans="2:16" ht="15.75" customHeight="1">
      <c r="B3103" s="14"/>
      <c r="H3103" s="14"/>
      <c r="I3103" s="567"/>
      <c r="J3103" s="18"/>
      <c r="N3103" s="14"/>
      <c r="O3103" s="14"/>
      <c r="P3103" s="14"/>
    </row>
    <row r="3104" spans="2:16" ht="15.75" customHeight="1">
      <c r="B3104" s="14"/>
      <c r="H3104" s="14"/>
      <c r="I3104" s="567"/>
      <c r="J3104" s="18"/>
      <c r="N3104" s="14"/>
      <c r="O3104" s="14"/>
      <c r="P3104" s="14"/>
    </row>
    <row r="3105" spans="2:16" ht="15.75" customHeight="1">
      <c r="B3105" s="14"/>
      <c r="H3105" s="14"/>
      <c r="I3105" s="567"/>
      <c r="J3105" s="18"/>
      <c r="N3105" s="14"/>
      <c r="O3105" s="14"/>
      <c r="P3105" s="14"/>
    </row>
    <row r="3106" spans="2:16" ht="15.75" customHeight="1">
      <c r="B3106" s="14"/>
      <c r="H3106" s="14"/>
      <c r="I3106" s="567"/>
      <c r="J3106" s="18"/>
      <c r="N3106" s="14"/>
      <c r="O3106" s="14"/>
      <c r="P3106" s="14"/>
    </row>
    <row r="3107" spans="2:16" ht="15.75" customHeight="1">
      <c r="B3107" s="14"/>
      <c r="H3107" s="14"/>
      <c r="I3107" s="567"/>
      <c r="J3107" s="18"/>
      <c r="N3107" s="14"/>
      <c r="O3107" s="14"/>
      <c r="P3107" s="14"/>
    </row>
    <row r="3108" spans="2:16" ht="15.75" customHeight="1">
      <c r="B3108" s="14"/>
      <c r="H3108" s="14"/>
      <c r="I3108" s="567"/>
      <c r="J3108" s="18"/>
      <c r="N3108" s="14"/>
      <c r="O3108" s="14"/>
      <c r="P3108" s="14"/>
    </row>
    <row r="3109" spans="2:16" ht="15.75" customHeight="1">
      <c r="B3109" s="14"/>
      <c r="H3109" s="14"/>
      <c r="I3109" s="567"/>
      <c r="J3109" s="18"/>
      <c r="N3109" s="14"/>
      <c r="O3109" s="14"/>
      <c r="P3109" s="14"/>
    </row>
    <row r="3110" spans="2:16" ht="15.75" customHeight="1">
      <c r="B3110" s="14"/>
      <c r="H3110" s="14"/>
      <c r="I3110" s="567"/>
      <c r="J3110" s="18"/>
      <c r="N3110" s="14"/>
      <c r="O3110" s="14"/>
      <c r="P3110" s="14"/>
    </row>
    <row r="3111" spans="2:16" ht="15.75" customHeight="1">
      <c r="B3111" s="14"/>
      <c r="H3111" s="14"/>
      <c r="I3111" s="567"/>
      <c r="J3111" s="18"/>
      <c r="N3111" s="14"/>
      <c r="O3111" s="14"/>
      <c r="P3111" s="14"/>
    </row>
    <row r="3112" spans="2:16" ht="15.75" customHeight="1">
      <c r="B3112" s="14"/>
      <c r="H3112" s="14"/>
      <c r="I3112" s="567"/>
      <c r="J3112" s="18"/>
      <c r="N3112" s="14"/>
      <c r="O3112" s="14"/>
      <c r="P3112" s="14"/>
    </row>
    <row r="3113" spans="2:16" ht="15.75" customHeight="1">
      <c r="B3113" s="14"/>
      <c r="H3113" s="14"/>
      <c r="I3113" s="567"/>
      <c r="J3113" s="18"/>
      <c r="N3113" s="14"/>
      <c r="O3113" s="14"/>
      <c r="P3113" s="14"/>
    </row>
    <row r="3114" spans="2:16" ht="15.75" customHeight="1">
      <c r="B3114" s="14"/>
      <c r="H3114" s="14"/>
      <c r="I3114" s="567"/>
      <c r="J3114" s="18"/>
      <c r="N3114" s="14"/>
      <c r="O3114" s="14"/>
      <c r="P3114" s="14"/>
    </row>
    <row r="3115" spans="2:16" ht="15.75" customHeight="1">
      <c r="B3115" s="14"/>
      <c r="H3115" s="14"/>
      <c r="I3115" s="567"/>
      <c r="J3115" s="18"/>
      <c r="N3115" s="14"/>
      <c r="O3115" s="14"/>
      <c r="P3115" s="14"/>
    </row>
    <row r="3116" spans="2:16" ht="15.75" customHeight="1">
      <c r="B3116" s="14"/>
      <c r="H3116" s="14"/>
      <c r="I3116" s="567"/>
      <c r="J3116" s="18"/>
      <c r="N3116" s="14"/>
      <c r="O3116" s="14"/>
      <c r="P3116" s="14"/>
    </row>
    <row r="3117" spans="2:16" ht="15.75" customHeight="1">
      <c r="B3117" s="14"/>
      <c r="H3117" s="14"/>
      <c r="I3117" s="567"/>
      <c r="J3117" s="18"/>
      <c r="N3117" s="14"/>
      <c r="O3117" s="14"/>
      <c r="P3117" s="14"/>
    </row>
    <row r="3118" spans="2:16" ht="15.75" customHeight="1">
      <c r="B3118" s="14"/>
      <c r="H3118" s="14"/>
      <c r="I3118" s="567"/>
      <c r="J3118" s="18"/>
      <c r="N3118" s="14"/>
      <c r="O3118" s="14"/>
      <c r="P3118" s="14"/>
    </row>
    <row r="3119" spans="2:16" ht="15.75" customHeight="1">
      <c r="B3119" s="14"/>
      <c r="H3119" s="14"/>
      <c r="I3119" s="567"/>
      <c r="J3119" s="18"/>
      <c r="N3119" s="14"/>
      <c r="O3119" s="14"/>
      <c r="P3119" s="14"/>
    </row>
    <row r="3120" spans="2:16" ht="15.75" customHeight="1">
      <c r="B3120" s="14"/>
      <c r="H3120" s="14"/>
      <c r="I3120" s="567"/>
      <c r="J3120" s="18"/>
      <c r="N3120" s="14"/>
      <c r="O3120" s="14"/>
      <c r="P3120" s="14"/>
    </row>
    <row r="3121" spans="2:16" ht="15.75" customHeight="1">
      <c r="B3121" s="14"/>
      <c r="H3121" s="14"/>
      <c r="I3121" s="567"/>
      <c r="J3121" s="18"/>
      <c r="N3121" s="14"/>
      <c r="O3121" s="14"/>
      <c r="P3121" s="14"/>
    </row>
    <row r="3122" spans="2:16" ht="15.75" customHeight="1">
      <c r="B3122" s="14"/>
      <c r="H3122" s="14"/>
      <c r="I3122" s="567"/>
      <c r="J3122" s="18"/>
      <c r="N3122" s="14"/>
      <c r="O3122" s="14"/>
      <c r="P3122" s="14"/>
    </row>
    <row r="3123" spans="2:16" ht="15.75" customHeight="1">
      <c r="B3123" s="14"/>
      <c r="H3123" s="14"/>
      <c r="I3123" s="567"/>
      <c r="J3123" s="18"/>
      <c r="N3123" s="14"/>
      <c r="O3123" s="14"/>
      <c r="P3123" s="14"/>
    </row>
    <row r="3124" spans="2:16" ht="15.75" customHeight="1">
      <c r="B3124" s="14"/>
      <c r="H3124" s="14"/>
      <c r="I3124" s="567"/>
      <c r="J3124" s="18"/>
      <c r="N3124" s="14"/>
      <c r="O3124" s="14"/>
      <c r="P3124" s="14"/>
    </row>
    <row r="3125" spans="2:16" ht="15.75" customHeight="1">
      <c r="B3125" s="14"/>
      <c r="H3125" s="14"/>
      <c r="I3125" s="567"/>
      <c r="J3125" s="18"/>
      <c r="N3125" s="14"/>
      <c r="O3125" s="14"/>
      <c r="P3125" s="14"/>
    </row>
    <row r="3126" spans="2:16" ht="15.75" customHeight="1">
      <c r="B3126" s="14"/>
      <c r="H3126" s="14"/>
      <c r="I3126" s="567"/>
      <c r="J3126" s="18"/>
      <c r="N3126" s="14"/>
      <c r="O3126" s="14"/>
      <c r="P3126" s="14"/>
    </row>
    <row r="3127" spans="2:16" ht="15.75" customHeight="1">
      <c r="B3127" s="14"/>
      <c r="H3127" s="14"/>
      <c r="I3127" s="567"/>
      <c r="J3127" s="18"/>
      <c r="N3127" s="14"/>
      <c r="O3127" s="14"/>
      <c r="P3127" s="14"/>
    </row>
    <row r="3128" spans="2:16" ht="15.75" customHeight="1">
      <c r="B3128" s="14"/>
      <c r="H3128" s="14"/>
      <c r="I3128" s="567"/>
      <c r="J3128" s="18"/>
      <c r="N3128" s="14"/>
      <c r="O3128" s="14"/>
      <c r="P3128" s="14"/>
    </row>
    <row r="3129" spans="2:16" ht="15.75" customHeight="1">
      <c r="B3129" s="14"/>
      <c r="H3129" s="14"/>
      <c r="I3129" s="567"/>
      <c r="J3129" s="18"/>
      <c r="N3129" s="14"/>
      <c r="O3129" s="14"/>
      <c r="P3129" s="14"/>
    </row>
    <row r="3130" spans="2:16" ht="15.75" customHeight="1">
      <c r="B3130" s="14"/>
      <c r="H3130" s="14"/>
      <c r="I3130" s="567"/>
      <c r="J3130" s="18"/>
      <c r="N3130" s="14"/>
      <c r="O3130" s="14"/>
      <c r="P3130" s="14"/>
    </row>
    <row r="3131" spans="2:16" ht="15.75" customHeight="1">
      <c r="B3131" s="14"/>
      <c r="H3131" s="14"/>
      <c r="I3131" s="567"/>
      <c r="J3131" s="18"/>
      <c r="N3131" s="14"/>
      <c r="O3131" s="14"/>
      <c r="P3131" s="14"/>
    </row>
    <row r="3132" spans="2:16" ht="15.75" customHeight="1">
      <c r="B3132" s="14"/>
      <c r="H3132" s="14"/>
      <c r="I3132" s="567"/>
      <c r="J3132" s="18"/>
      <c r="N3132" s="14"/>
      <c r="O3132" s="14"/>
      <c r="P3132" s="14"/>
    </row>
    <row r="3133" spans="2:16" ht="15.75" customHeight="1">
      <c r="B3133" s="14"/>
      <c r="H3133" s="14"/>
      <c r="I3133" s="567"/>
      <c r="J3133" s="18"/>
      <c r="N3133" s="14"/>
      <c r="O3133" s="14"/>
      <c r="P3133" s="14"/>
    </row>
    <row r="3134" spans="2:16" ht="15.75" customHeight="1">
      <c r="B3134" s="14"/>
      <c r="H3134" s="14"/>
      <c r="I3134" s="567"/>
      <c r="J3134" s="18"/>
      <c r="N3134" s="14"/>
      <c r="O3134" s="14"/>
      <c r="P3134" s="14"/>
    </row>
    <row r="3135" spans="2:16" ht="15.75" customHeight="1">
      <c r="B3135" s="14"/>
      <c r="H3135" s="14"/>
      <c r="I3135" s="567"/>
      <c r="J3135" s="18"/>
      <c r="N3135" s="14"/>
      <c r="O3135" s="14"/>
      <c r="P3135" s="14"/>
    </row>
    <row r="3136" spans="2:16" ht="15.75" customHeight="1">
      <c r="B3136" s="14"/>
      <c r="H3136" s="14"/>
      <c r="I3136" s="567"/>
      <c r="J3136" s="18"/>
      <c r="N3136" s="14"/>
      <c r="O3136" s="14"/>
      <c r="P3136" s="14"/>
    </row>
    <row r="3137" spans="2:16" ht="15.75" customHeight="1">
      <c r="B3137" s="14"/>
      <c r="H3137" s="14"/>
      <c r="I3137" s="567"/>
      <c r="J3137" s="18"/>
      <c r="N3137" s="14"/>
      <c r="O3137" s="14"/>
      <c r="P3137" s="14"/>
    </row>
    <row r="3138" spans="2:16" ht="15.75" customHeight="1">
      <c r="B3138" s="14"/>
      <c r="H3138" s="14"/>
      <c r="I3138" s="567"/>
      <c r="J3138" s="18"/>
      <c r="N3138" s="14"/>
      <c r="O3138" s="14"/>
      <c r="P3138" s="14"/>
    </row>
    <row r="3139" spans="2:16" ht="15.75" customHeight="1">
      <c r="B3139" s="14"/>
      <c r="H3139" s="14"/>
      <c r="I3139" s="567"/>
      <c r="J3139" s="18"/>
      <c r="N3139" s="14"/>
      <c r="O3139" s="14"/>
      <c r="P3139" s="14"/>
    </row>
    <row r="3140" spans="2:16" ht="15.75" customHeight="1">
      <c r="B3140" s="14"/>
      <c r="H3140" s="14"/>
      <c r="I3140" s="567"/>
      <c r="J3140" s="18"/>
      <c r="N3140" s="14"/>
      <c r="O3140" s="14"/>
      <c r="P3140" s="14"/>
    </row>
    <row r="3141" spans="2:16" ht="15.75" customHeight="1">
      <c r="B3141" s="14"/>
      <c r="H3141" s="14"/>
      <c r="I3141" s="567"/>
      <c r="J3141" s="18"/>
      <c r="N3141" s="14"/>
      <c r="O3141" s="14"/>
      <c r="P3141" s="14"/>
    </row>
    <row r="3142" spans="2:16" ht="15.75" customHeight="1">
      <c r="B3142" s="14"/>
      <c r="H3142" s="14"/>
      <c r="I3142" s="567"/>
      <c r="J3142" s="18"/>
      <c r="N3142" s="14"/>
      <c r="O3142" s="14"/>
      <c r="P3142" s="14"/>
    </row>
    <row r="3143" spans="2:16" ht="15.75" customHeight="1">
      <c r="B3143" s="14"/>
      <c r="H3143" s="14"/>
      <c r="I3143" s="567"/>
      <c r="J3143" s="18"/>
      <c r="N3143" s="14"/>
      <c r="O3143" s="14"/>
      <c r="P3143" s="14"/>
    </row>
    <row r="3144" spans="2:16" ht="15.75" customHeight="1">
      <c r="B3144" s="14"/>
      <c r="H3144" s="14"/>
      <c r="I3144" s="567"/>
      <c r="J3144" s="18"/>
      <c r="N3144" s="14"/>
      <c r="O3144" s="14"/>
      <c r="P3144" s="14"/>
    </row>
    <row r="3145" spans="2:16" ht="15.75" customHeight="1">
      <c r="B3145" s="14"/>
      <c r="H3145" s="14"/>
      <c r="I3145" s="567"/>
      <c r="J3145" s="18"/>
      <c r="N3145" s="14"/>
      <c r="O3145" s="14"/>
      <c r="P3145" s="14"/>
    </row>
    <row r="3146" spans="2:16" ht="15.75" customHeight="1">
      <c r="B3146" s="14"/>
      <c r="H3146" s="14"/>
      <c r="I3146" s="567"/>
      <c r="J3146" s="18"/>
      <c r="N3146" s="14"/>
      <c r="O3146" s="14"/>
      <c r="P3146" s="14"/>
    </row>
    <row r="3147" spans="2:16" ht="15.75" customHeight="1">
      <c r="B3147" s="14"/>
      <c r="H3147" s="14"/>
      <c r="I3147" s="567"/>
      <c r="J3147" s="18"/>
      <c r="N3147" s="14"/>
      <c r="O3147" s="14"/>
      <c r="P3147" s="14"/>
    </row>
    <row r="3148" spans="2:16" ht="15.75" customHeight="1">
      <c r="B3148" s="14"/>
      <c r="H3148" s="14"/>
      <c r="I3148" s="567"/>
      <c r="J3148" s="18"/>
      <c r="N3148" s="14"/>
      <c r="O3148" s="14"/>
      <c r="P3148" s="14"/>
    </row>
    <row r="3149" spans="2:16" ht="15.75" customHeight="1">
      <c r="B3149" s="14"/>
      <c r="H3149" s="14"/>
      <c r="I3149" s="567"/>
      <c r="J3149" s="18"/>
      <c r="N3149" s="14"/>
      <c r="O3149" s="14"/>
      <c r="P3149" s="14"/>
    </row>
    <row r="3150" spans="2:16" ht="15.75" customHeight="1">
      <c r="B3150" s="14"/>
      <c r="H3150" s="14"/>
      <c r="I3150" s="567"/>
      <c r="J3150" s="18"/>
      <c r="N3150" s="14"/>
      <c r="O3150" s="14"/>
      <c r="P3150" s="14"/>
    </row>
    <row r="3151" spans="2:16" ht="15.75" customHeight="1">
      <c r="B3151" s="14"/>
      <c r="H3151" s="14"/>
      <c r="I3151" s="567"/>
      <c r="J3151" s="18"/>
      <c r="N3151" s="14"/>
      <c r="O3151" s="14"/>
      <c r="P3151" s="14"/>
    </row>
    <row r="3152" spans="2:16" ht="15.75" customHeight="1">
      <c r="B3152" s="14"/>
      <c r="H3152" s="14"/>
      <c r="I3152" s="567"/>
      <c r="J3152" s="18"/>
      <c r="N3152" s="14"/>
      <c r="O3152" s="14"/>
      <c r="P3152" s="14"/>
    </row>
    <row r="3153" spans="2:16" ht="15.75" customHeight="1">
      <c r="B3153" s="14"/>
      <c r="H3153" s="14"/>
      <c r="I3153" s="567"/>
      <c r="J3153" s="18"/>
      <c r="N3153" s="14"/>
      <c r="O3153" s="14"/>
      <c r="P3153" s="14"/>
    </row>
    <row r="3154" spans="2:16" ht="15.75" customHeight="1">
      <c r="B3154" s="14"/>
      <c r="H3154" s="14"/>
      <c r="I3154" s="567"/>
      <c r="J3154" s="18"/>
      <c r="N3154" s="14"/>
      <c r="O3154" s="14"/>
      <c r="P3154" s="14"/>
    </row>
    <row r="3155" spans="2:16" ht="15.75" customHeight="1">
      <c r="B3155" s="14"/>
      <c r="H3155" s="14"/>
      <c r="I3155" s="567"/>
      <c r="J3155" s="18"/>
      <c r="N3155" s="14"/>
      <c r="O3155" s="14"/>
      <c r="P3155" s="14"/>
    </row>
    <row r="3156" spans="2:16" ht="15.75" customHeight="1">
      <c r="B3156" s="14"/>
      <c r="H3156" s="14"/>
      <c r="I3156" s="567"/>
      <c r="J3156" s="18"/>
      <c r="N3156" s="14"/>
      <c r="O3156" s="14"/>
      <c r="P3156" s="14"/>
    </row>
    <row r="3157" spans="2:16" ht="15.75" customHeight="1">
      <c r="B3157" s="14"/>
      <c r="H3157" s="14"/>
      <c r="I3157" s="567"/>
      <c r="J3157" s="18"/>
      <c r="N3157" s="14"/>
      <c r="O3157" s="14"/>
      <c r="P3157" s="14"/>
    </row>
    <row r="3158" spans="2:16" ht="15.75" customHeight="1">
      <c r="B3158" s="14"/>
      <c r="H3158" s="14"/>
      <c r="I3158" s="567"/>
      <c r="J3158" s="18"/>
      <c r="N3158" s="14"/>
      <c r="O3158" s="14"/>
      <c r="P3158" s="14"/>
    </row>
    <row r="3159" spans="2:16" ht="15.75" customHeight="1">
      <c r="B3159" s="14"/>
      <c r="H3159" s="14"/>
      <c r="I3159" s="567"/>
      <c r="J3159" s="18"/>
      <c r="N3159" s="14"/>
      <c r="O3159" s="14"/>
      <c r="P3159" s="14"/>
    </row>
    <row r="3160" spans="2:16" ht="15.75" customHeight="1">
      <c r="B3160" s="14"/>
      <c r="H3160" s="14"/>
      <c r="I3160" s="567"/>
      <c r="J3160" s="18"/>
      <c r="N3160" s="14"/>
      <c r="O3160" s="14"/>
      <c r="P3160" s="14"/>
    </row>
    <row r="3161" spans="2:16" ht="15.75" customHeight="1">
      <c r="B3161" s="14"/>
      <c r="H3161" s="14"/>
      <c r="I3161" s="567"/>
      <c r="J3161" s="18"/>
      <c r="N3161" s="14"/>
      <c r="O3161" s="14"/>
      <c r="P3161" s="14"/>
    </row>
    <row r="3162" spans="2:16" ht="15.75" customHeight="1">
      <c r="B3162" s="14"/>
      <c r="H3162" s="14"/>
      <c r="I3162" s="567"/>
      <c r="J3162" s="18"/>
      <c r="N3162" s="14"/>
      <c r="O3162" s="14"/>
      <c r="P3162" s="14"/>
    </row>
    <row r="3163" spans="2:16" ht="15.75" customHeight="1">
      <c r="B3163" s="14"/>
      <c r="H3163" s="14"/>
      <c r="I3163" s="567"/>
      <c r="J3163" s="18"/>
      <c r="N3163" s="14"/>
      <c r="O3163" s="14"/>
      <c r="P3163" s="14"/>
    </row>
    <row r="3164" spans="2:16" ht="15.75" customHeight="1">
      <c r="B3164" s="14"/>
      <c r="H3164" s="14"/>
      <c r="I3164" s="567"/>
      <c r="J3164" s="18"/>
      <c r="N3164" s="14"/>
      <c r="O3164" s="14"/>
      <c r="P3164" s="14"/>
    </row>
    <row r="3165" spans="2:16" ht="15.75" customHeight="1">
      <c r="B3165" s="14"/>
      <c r="H3165" s="14"/>
      <c r="I3165" s="567"/>
      <c r="J3165" s="18"/>
      <c r="N3165" s="14"/>
      <c r="O3165" s="14"/>
      <c r="P3165" s="14"/>
    </row>
    <row r="3166" spans="2:16" ht="15.75" customHeight="1">
      <c r="B3166" s="14"/>
      <c r="H3166" s="14"/>
      <c r="I3166" s="567"/>
      <c r="J3166" s="18"/>
      <c r="N3166" s="14"/>
      <c r="O3166" s="14"/>
      <c r="P3166" s="14"/>
    </row>
    <row r="3167" spans="2:16" ht="15.75" customHeight="1">
      <c r="B3167" s="14"/>
      <c r="H3167" s="14"/>
      <c r="I3167" s="567"/>
      <c r="J3167" s="18"/>
      <c r="N3167" s="14"/>
      <c r="O3167" s="14"/>
      <c r="P3167" s="14"/>
    </row>
    <row r="3168" spans="2:16" ht="15.75" customHeight="1">
      <c r="B3168" s="14"/>
      <c r="H3168" s="14"/>
      <c r="I3168" s="567"/>
      <c r="J3168" s="18"/>
      <c r="N3168" s="14"/>
      <c r="O3168" s="14"/>
      <c r="P3168" s="14"/>
    </row>
    <row r="3169" spans="2:16" ht="15.75" customHeight="1">
      <c r="B3169" s="14"/>
      <c r="H3169" s="14"/>
      <c r="I3169" s="567"/>
      <c r="J3169" s="18"/>
      <c r="N3169" s="14"/>
      <c r="O3169" s="14"/>
      <c r="P3169" s="14"/>
    </row>
    <row r="3170" spans="2:16" ht="15.75" customHeight="1">
      <c r="B3170" s="14"/>
      <c r="H3170" s="14"/>
      <c r="I3170" s="567"/>
      <c r="J3170" s="18"/>
      <c r="N3170" s="14"/>
      <c r="O3170" s="14"/>
      <c r="P3170" s="14"/>
    </row>
    <row r="3171" spans="2:16" ht="15.75" customHeight="1">
      <c r="B3171" s="14"/>
      <c r="H3171" s="14"/>
      <c r="I3171" s="567"/>
      <c r="J3171" s="18"/>
      <c r="N3171" s="14"/>
      <c r="O3171" s="14"/>
      <c r="P3171" s="14"/>
    </row>
    <row r="3172" spans="2:16" ht="15.75" customHeight="1">
      <c r="B3172" s="14"/>
      <c r="H3172" s="14"/>
      <c r="I3172" s="567"/>
      <c r="J3172" s="18"/>
      <c r="N3172" s="14"/>
      <c r="O3172" s="14"/>
      <c r="P3172" s="14"/>
    </row>
    <row r="3173" spans="2:16" ht="15.75" customHeight="1">
      <c r="B3173" s="14"/>
      <c r="H3173" s="14"/>
      <c r="I3173" s="567"/>
      <c r="J3173" s="18"/>
      <c r="N3173" s="14"/>
      <c r="O3173" s="14"/>
      <c r="P3173" s="14"/>
    </row>
    <row r="3174" spans="2:16" ht="15.75" customHeight="1">
      <c r="B3174" s="14"/>
      <c r="H3174" s="14"/>
      <c r="I3174" s="567"/>
      <c r="J3174" s="18"/>
      <c r="N3174" s="14"/>
      <c r="O3174" s="14"/>
      <c r="P3174" s="14"/>
    </row>
    <row r="3175" spans="2:16" ht="15.75" customHeight="1">
      <c r="B3175" s="14"/>
      <c r="H3175" s="14"/>
      <c r="I3175" s="567"/>
      <c r="J3175" s="18"/>
      <c r="N3175" s="14"/>
      <c r="O3175" s="14"/>
      <c r="P3175" s="14"/>
    </row>
    <row r="3176" spans="2:16" ht="15.75" customHeight="1">
      <c r="B3176" s="14"/>
      <c r="H3176" s="14"/>
      <c r="I3176" s="567"/>
      <c r="J3176" s="18"/>
      <c r="N3176" s="14"/>
      <c r="O3176" s="14"/>
      <c r="P3176" s="14"/>
    </row>
    <row r="3177" spans="2:16" ht="15.75" customHeight="1">
      <c r="B3177" s="14"/>
      <c r="H3177" s="14"/>
      <c r="I3177" s="567"/>
      <c r="J3177" s="18"/>
      <c r="N3177" s="14"/>
      <c r="O3177" s="14"/>
      <c r="P3177" s="14"/>
    </row>
    <row r="3178" spans="2:16" ht="15.75" customHeight="1">
      <c r="B3178" s="14"/>
      <c r="H3178" s="14"/>
      <c r="I3178" s="567"/>
      <c r="J3178" s="18"/>
      <c r="N3178" s="14"/>
      <c r="O3178" s="14"/>
      <c r="P3178" s="14"/>
    </row>
    <row r="3179" spans="2:16" ht="15.75" customHeight="1">
      <c r="B3179" s="14"/>
      <c r="H3179" s="14"/>
      <c r="I3179" s="567"/>
      <c r="J3179" s="18"/>
      <c r="N3179" s="14"/>
      <c r="O3179" s="14"/>
      <c r="P3179" s="14"/>
    </row>
    <row r="3180" spans="2:16" ht="15.75" customHeight="1">
      <c r="B3180" s="14"/>
      <c r="H3180" s="14"/>
      <c r="I3180" s="567"/>
      <c r="J3180" s="18"/>
      <c r="N3180" s="14"/>
      <c r="O3180" s="14"/>
      <c r="P3180" s="14"/>
    </row>
    <row r="3181" spans="2:16" ht="15.75" customHeight="1">
      <c r="B3181" s="14"/>
      <c r="H3181" s="14"/>
      <c r="I3181" s="567"/>
      <c r="J3181" s="18"/>
      <c r="N3181" s="14"/>
      <c r="O3181" s="14"/>
      <c r="P3181" s="14"/>
    </row>
    <row r="3182" spans="2:16" ht="15.75" customHeight="1">
      <c r="B3182" s="14"/>
      <c r="H3182" s="14"/>
      <c r="I3182" s="567"/>
      <c r="J3182" s="18"/>
      <c r="N3182" s="14"/>
      <c r="O3182" s="14"/>
      <c r="P3182" s="14"/>
    </row>
    <row r="3183" spans="2:16" ht="15.75" customHeight="1">
      <c r="B3183" s="14"/>
      <c r="H3183" s="14"/>
      <c r="I3183" s="567"/>
      <c r="J3183" s="18"/>
      <c r="N3183" s="14"/>
      <c r="O3183" s="14"/>
      <c r="P3183" s="14"/>
    </row>
    <row r="3184" spans="2:16" ht="15.75" customHeight="1">
      <c r="B3184" s="14"/>
      <c r="H3184" s="14"/>
      <c r="I3184" s="567"/>
      <c r="J3184" s="18"/>
      <c r="N3184" s="14"/>
      <c r="O3184" s="14"/>
      <c r="P3184" s="14"/>
    </row>
    <row r="3185" spans="2:16" ht="15.75" customHeight="1">
      <c r="B3185" s="14"/>
      <c r="H3185" s="14"/>
      <c r="I3185" s="567"/>
      <c r="J3185" s="18"/>
      <c r="N3185" s="14"/>
      <c r="O3185" s="14"/>
      <c r="P3185" s="14"/>
    </row>
    <row r="3186" spans="2:16" ht="15.75" customHeight="1">
      <c r="B3186" s="14"/>
      <c r="H3186" s="14"/>
      <c r="I3186" s="567"/>
      <c r="J3186" s="18"/>
      <c r="N3186" s="14"/>
      <c r="O3186" s="14"/>
      <c r="P3186" s="14"/>
    </row>
    <row r="3187" spans="2:16" ht="15.75" customHeight="1">
      <c r="B3187" s="14"/>
      <c r="H3187" s="14"/>
      <c r="I3187" s="567"/>
      <c r="J3187" s="18"/>
      <c r="N3187" s="14"/>
      <c r="O3187" s="14"/>
      <c r="P3187" s="14"/>
    </row>
    <row r="3188" spans="2:16" ht="15.75" customHeight="1">
      <c r="B3188" s="14"/>
      <c r="H3188" s="14"/>
      <c r="I3188" s="567"/>
      <c r="J3188" s="18"/>
      <c r="N3188" s="14"/>
      <c r="O3188" s="14"/>
      <c r="P3188" s="14"/>
    </row>
    <row r="3189" spans="2:16" ht="15.75" customHeight="1">
      <c r="B3189" s="14"/>
      <c r="H3189" s="14"/>
      <c r="I3189" s="567"/>
      <c r="J3189" s="18"/>
      <c r="N3189" s="14"/>
      <c r="O3189" s="14"/>
      <c r="P3189" s="14"/>
    </row>
    <row r="3190" spans="2:16" ht="15.75" customHeight="1">
      <c r="B3190" s="14"/>
      <c r="H3190" s="14"/>
      <c r="I3190" s="567"/>
      <c r="J3190" s="18"/>
      <c r="N3190" s="14"/>
      <c r="O3190" s="14"/>
      <c r="P3190" s="14"/>
    </row>
    <row r="3191" spans="2:16" ht="15.75" customHeight="1">
      <c r="B3191" s="14"/>
      <c r="H3191" s="14"/>
      <c r="I3191" s="567"/>
      <c r="J3191" s="18"/>
      <c r="N3191" s="14"/>
      <c r="O3191" s="14"/>
      <c r="P3191" s="14"/>
    </row>
    <row r="3192" spans="2:16" ht="15.75" customHeight="1">
      <c r="B3192" s="14"/>
      <c r="H3192" s="14"/>
      <c r="I3192" s="567"/>
      <c r="J3192" s="18"/>
      <c r="N3192" s="14"/>
      <c r="O3192" s="14"/>
      <c r="P3192" s="14"/>
    </row>
    <row r="3193" spans="2:16" ht="15.75" customHeight="1">
      <c r="B3193" s="14"/>
      <c r="H3193" s="14"/>
      <c r="I3193" s="567"/>
      <c r="J3193" s="18"/>
      <c r="N3193" s="14"/>
      <c r="O3193" s="14"/>
      <c r="P3193" s="14"/>
    </row>
    <row r="3194" spans="2:16" ht="15.75" customHeight="1">
      <c r="B3194" s="14"/>
      <c r="H3194" s="14"/>
      <c r="I3194" s="567"/>
      <c r="J3194" s="18"/>
      <c r="N3194" s="14"/>
      <c r="O3194" s="14"/>
      <c r="P3194" s="14"/>
    </row>
    <row r="3195" spans="2:16" ht="15.75" customHeight="1">
      <c r="B3195" s="14"/>
      <c r="H3195" s="14"/>
      <c r="I3195" s="567"/>
      <c r="J3195" s="18"/>
      <c r="N3195" s="14"/>
      <c r="O3195" s="14"/>
      <c r="P3195" s="14"/>
    </row>
    <row r="3196" spans="2:16" ht="15.75" customHeight="1">
      <c r="B3196" s="14"/>
      <c r="H3196" s="14"/>
      <c r="I3196" s="567"/>
      <c r="J3196" s="18"/>
      <c r="N3196" s="14"/>
      <c r="O3196" s="14"/>
      <c r="P3196" s="14"/>
    </row>
    <row r="3197" spans="2:16" ht="15.75" customHeight="1">
      <c r="B3197" s="14"/>
      <c r="H3197" s="14"/>
      <c r="I3197" s="567"/>
      <c r="J3197" s="18"/>
      <c r="N3197" s="14"/>
      <c r="O3197" s="14"/>
      <c r="P3197" s="14"/>
    </row>
    <row r="3198" spans="2:16" ht="15.75" customHeight="1">
      <c r="B3198" s="14"/>
      <c r="H3198" s="14"/>
      <c r="I3198" s="567"/>
      <c r="J3198" s="18"/>
      <c r="N3198" s="14"/>
      <c r="O3198" s="14"/>
      <c r="P3198" s="14"/>
    </row>
    <row r="3199" spans="2:16" ht="15.75" customHeight="1">
      <c r="B3199" s="14"/>
      <c r="H3199" s="14"/>
      <c r="I3199" s="567"/>
      <c r="J3199" s="18"/>
      <c r="N3199" s="14"/>
      <c r="O3199" s="14"/>
      <c r="P3199" s="14"/>
    </row>
    <row r="3200" spans="2:16" ht="15.75" customHeight="1">
      <c r="B3200" s="14"/>
      <c r="H3200" s="14"/>
      <c r="I3200" s="567"/>
      <c r="J3200" s="18"/>
      <c r="N3200" s="14"/>
      <c r="O3200" s="14"/>
      <c r="P3200" s="14"/>
    </row>
    <row r="3201" spans="2:16" ht="15.75" customHeight="1">
      <c r="B3201" s="14"/>
      <c r="H3201" s="14"/>
      <c r="I3201" s="567"/>
      <c r="J3201" s="18"/>
      <c r="N3201" s="14"/>
      <c r="O3201" s="14"/>
      <c r="P3201" s="14"/>
    </row>
    <row r="3202" spans="2:16" ht="15.75" customHeight="1">
      <c r="B3202" s="14"/>
      <c r="H3202" s="14"/>
      <c r="I3202" s="567"/>
      <c r="J3202" s="18"/>
      <c r="N3202" s="14"/>
      <c r="O3202" s="14"/>
      <c r="P3202" s="14"/>
    </row>
    <row r="3203" spans="2:16" ht="15.75" customHeight="1">
      <c r="B3203" s="14"/>
      <c r="H3203" s="14"/>
      <c r="I3203" s="567"/>
      <c r="J3203" s="18"/>
      <c r="N3203" s="14"/>
      <c r="O3203" s="14"/>
      <c r="P3203" s="14"/>
    </row>
    <row r="3204" spans="2:16" ht="15.75" customHeight="1">
      <c r="B3204" s="14"/>
      <c r="H3204" s="14"/>
      <c r="I3204" s="567"/>
      <c r="J3204" s="18"/>
      <c r="N3204" s="14"/>
      <c r="O3204" s="14"/>
      <c r="P3204" s="14"/>
    </row>
    <row r="3205" spans="2:16" ht="15.75" customHeight="1">
      <c r="B3205" s="14"/>
      <c r="H3205" s="14"/>
      <c r="I3205" s="567"/>
      <c r="J3205" s="18"/>
      <c r="N3205" s="14"/>
      <c r="O3205" s="14"/>
      <c r="P3205" s="14"/>
    </row>
    <row r="3206" spans="2:16" ht="15.75" customHeight="1">
      <c r="B3206" s="14"/>
      <c r="H3206" s="14"/>
      <c r="I3206" s="567"/>
      <c r="J3206" s="18"/>
      <c r="N3206" s="14"/>
      <c r="O3206" s="14"/>
      <c r="P3206" s="14"/>
    </row>
    <row r="3207" spans="2:16" ht="15.75" customHeight="1">
      <c r="B3207" s="14"/>
      <c r="H3207" s="14"/>
      <c r="I3207" s="567"/>
      <c r="J3207" s="18"/>
      <c r="N3207" s="14"/>
      <c r="O3207" s="14"/>
      <c r="P3207" s="14"/>
    </row>
    <row r="3208" spans="2:16" ht="15.75" customHeight="1">
      <c r="B3208" s="14"/>
      <c r="H3208" s="14"/>
      <c r="I3208" s="567"/>
      <c r="J3208" s="18"/>
      <c r="N3208" s="14"/>
      <c r="O3208" s="14"/>
      <c r="P3208" s="14"/>
    </row>
    <row r="3209" spans="2:16" ht="15.75" customHeight="1">
      <c r="B3209" s="14"/>
      <c r="H3209" s="14"/>
      <c r="I3209" s="567"/>
      <c r="J3209" s="18"/>
      <c r="N3209" s="14"/>
      <c r="O3209" s="14"/>
      <c r="P3209" s="14"/>
    </row>
    <row r="3210" spans="2:16" ht="15.75" customHeight="1">
      <c r="B3210" s="14"/>
      <c r="H3210" s="14"/>
      <c r="I3210" s="567"/>
      <c r="J3210" s="18"/>
      <c r="N3210" s="14"/>
      <c r="O3210" s="14"/>
      <c r="P3210" s="14"/>
    </row>
    <row r="3211" spans="2:16" ht="15.75" customHeight="1">
      <c r="B3211" s="14"/>
      <c r="H3211" s="14"/>
      <c r="I3211" s="567"/>
      <c r="J3211" s="18"/>
      <c r="N3211" s="14"/>
      <c r="O3211" s="14"/>
      <c r="P3211" s="14"/>
    </row>
    <row r="3212" spans="2:16" ht="15.75" customHeight="1">
      <c r="B3212" s="14"/>
      <c r="H3212" s="14"/>
      <c r="I3212" s="567"/>
      <c r="J3212" s="18"/>
      <c r="N3212" s="14"/>
      <c r="O3212" s="14"/>
      <c r="P3212" s="14"/>
    </row>
    <row r="3213" spans="2:16" ht="15.75" customHeight="1">
      <c r="B3213" s="14"/>
      <c r="H3213" s="14"/>
      <c r="I3213" s="567"/>
      <c r="J3213" s="18"/>
      <c r="N3213" s="14"/>
      <c r="O3213" s="14"/>
      <c r="P3213" s="14"/>
    </row>
    <row r="3214" spans="2:16" ht="15.75" customHeight="1">
      <c r="B3214" s="14"/>
      <c r="H3214" s="14"/>
      <c r="I3214" s="567"/>
      <c r="J3214" s="18"/>
      <c r="N3214" s="14"/>
      <c r="O3214" s="14"/>
      <c r="P3214" s="14"/>
    </row>
    <row r="3215" spans="2:16" ht="15.75" customHeight="1">
      <c r="B3215" s="14"/>
      <c r="H3215" s="14"/>
      <c r="I3215" s="567"/>
      <c r="J3215" s="18"/>
      <c r="N3215" s="14"/>
      <c r="O3215" s="14"/>
      <c r="P3215" s="14"/>
    </row>
    <row r="3216" spans="2:16" ht="15.75" customHeight="1">
      <c r="B3216" s="14"/>
      <c r="H3216" s="14"/>
      <c r="I3216" s="567"/>
      <c r="J3216" s="18"/>
      <c r="N3216" s="14"/>
      <c r="O3216" s="14"/>
      <c r="P3216" s="14"/>
    </row>
    <row r="3217" spans="2:16" ht="15.75" customHeight="1">
      <c r="B3217" s="14"/>
      <c r="H3217" s="14"/>
      <c r="I3217" s="567"/>
      <c r="J3217" s="18"/>
      <c r="N3217" s="14"/>
      <c r="O3217" s="14"/>
      <c r="P3217" s="14"/>
    </row>
    <row r="3218" spans="2:16" ht="15.75" customHeight="1">
      <c r="B3218" s="14"/>
      <c r="H3218" s="14"/>
      <c r="I3218" s="567"/>
      <c r="J3218" s="18"/>
      <c r="N3218" s="14"/>
      <c r="O3218" s="14"/>
      <c r="P3218" s="14"/>
    </row>
    <row r="3219" spans="2:16" ht="15.75" customHeight="1">
      <c r="B3219" s="14"/>
      <c r="H3219" s="14"/>
      <c r="I3219" s="567"/>
      <c r="J3219" s="18"/>
      <c r="N3219" s="14"/>
      <c r="O3219" s="14"/>
      <c r="P3219" s="14"/>
    </row>
    <row r="3220" spans="2:16" ht="15.75" customHeight="1">
      <c r="B3220" s="14"/>
      <c r="H3220" s="14"/>
      <c r="I3220" s="567"/>
      <c r="J3220" s="18"/>
      <c r="N3220" s="14"/>
      <c r="O3220" s="14"/>
      <c r="P3220" s="14"/>
    </row>
    <row r="3221" spans="2:16" ht="15.75" customHeight="1">
      <c r="B3221" s="14"/>
      <c r="H3221" s="14"/>
      <c r="I3221" s="567"/>
      <c r="J3221" s="18"/>
      <c r="N3221" s="14"/>
      <c r="O3221" s="14"/>
      <c r="P3221" s="14"/>
    </row>
    <row r="3222" spans="2:16" ht="15.75" customHeight="1">
      <c r="B3222" s="14"/>
      <c r="H3222" s="14"/>
      <c r="I3222" s="567"/>
      <c r="J3222" s="18"/>
      <c r="N3222" s="14"/>
      <c r="O3222" s="14"/>
      <c r="P3222" s="14"/>
    </row>
    <row r="3223" spans="2:16" ht="15.75" customHeight="1">
      <c r="B3223" s="14"/>
      <c r="H3223" s="14"/>
      <c r="I3223" s="567"/>
      <c r="J3223" s="18"/>
      <c r="N3223" s="14"/>
      <c r="O3223" s="14"/>
      <c r="P3223" s="14"/>
    </row>
    <row r="3224" spans="2:16" ht="15.75" customHeight="1">
      <c r="B3224" s="14"/>
      <c r="H3224" s="14"/>
      <c r="I3224" s="567"/>
      <c r="J3224" s="18"/>
      <c r="N3224" s="14"/>
      <c r="O3224" s="14"/>
      <c r="P3224" s="14"/>
    </row>
    <row r="3225" spans="2:16" ht="15.75" customHeight="1">
      <c r="B3225" s="14"/>
      <c r="H3225" s="14"/>
      <c r="I3225" s="567"/>
      <c r="J3225" s="18"/>
      <c r="N3225" s="14"/>
      <c r="O3225" s="14"/>
      <c r="P3225" s="14"/>
    </row>
    <row r="3226" spans="2:16" ht="15.75" customHeight="1">
      <c r="B3226" s="14"/>
      <c r="H3226" s="14"/>
      <c r="I3226" s="567"/>
      <c r="J3226" s="18"/>
      <c r="N3226" s="14"/>
      <c r="O3226" s="14"/>
      <c r="P3226" s="14"/>
    </row>
    <row r="3227" spans="2:16" ht="15.75" customHeight="1">
      <c r="B3227" s="14"/>
      <c r="H3227" s="14"/>
      <c r="I3227" s="567"/>
      <c r="J3227" s="18"/>
      <c r="N3227" s="14"/>
      <c r="O3227" s="14"/>
      <c r="P3227" s="14"/>
    </row>
    <row r="3228" spans="2:16" ht="15.75" customHeight="1">
      <c r="B3228" s="14"/>
      <c r="H3228" s="14"/>
      <c r="I3228" s="567"/>
      <c r="J3228" s="18"/>
      <c r="N3228" s="14"/>
      <c r="O3228" s="14"/>
      <c r="P3228" s="14"/>
    </row>
    <row r="3229" spans="2:16" ht="15.75" customHeight="1">
      <c r="B3229" s="14"/>
      <c r="H3229" s="14"/>
      <c r="I3229" s="567"/>
      <c r="J3229" s="18"/>
      <c r="N3229" s="14"/>
      <c r="O3229" s="14"/>
      <c r="P3229" s="14"/>
    </row>
    <row r="3230" spans="2:16" ht="15.75" customHeight="1">
      <c r="B3230" s="14"/>
      <c r="H3230" s="14"/>
      <c r="I3230" s="567"/>
      <c r="J3230" s="18"/>
      <c r="N3230" s="14"/>
      <c r="O3230" s="14"/>
      <c r="P3230" s="14"/>
    </row>
    <row r="3231" spans="2:16" ht="15.75" customHeight="1">
      <c r="B3231" s="14"/>
      <c r="H3231" s="14"/>
      <c r="I3231" s="567"/>
      <c r="J3231" s="18"/>
      <c r="N3231" s="14"/>
      <c r="O3231" s="14"/>
      <c r="P3231" s="14"/>
    </row>
    <row r="3232" spans="2:16" ht="15.75" customHeight="1">
      <c r="B3232" s="14"/>
      <c r="H3232" s="14"/>
      <c r="I3232" s="567"/>
      <c r="J3232" s="18"/>
      <c r="N3232" s="14"/>
      <c r="O3232" s="14"/>
      <c r="P3232" s="14"/>
    </row>
    <row r="3233" spans="2:16" ht="15.75" customHeight="1">
      <c r="B3233" s="14"/>
      <c r="H3233" s="14"/>
      <c r="I3233" s="567"/>
      <c r="J3233" s="18"/>
      <c r="N3233" s="14"/>
      <c r="O3233" s="14"/>
      <c r="P3233" s="14"/>
    </row>
    <row r="3234" spans="2:16" ht="15.75" customHeight="1">
      <c r="B3234" s="14"/>
      <c r="H3234" s="14"/>
      <c r="I3234" s="567"/>
      <c r="J3234" s="18"/>
      <c r="N3234" s="14"/>
      <c r="O3234" s="14"/>
      <c r="P3234" s="14"/>
    </row>
    <row r="3235" spans="2:16" ht="15.75" customHeight="1">
      <c r="B3235" s="14"/>
      <c r="H3235" s="14"/>
      <c r="I3235" s="567"/>
      <c r="J3235" s="18"/>
      <c r="N3235" s="14"/>
      <c r="O3235" s="14"/>
      <c r="P3235" s="14"/>
    </row>
    <row r="3236" spans="2:16" ht="15.75" customHeight="1">
      <c r="B3236" s="14"/>
      <c r="H3236" s="14"/>
      <c r="I3236" s="567"/>
      <c r="J3236" s="18"/>
      <c r="N3236" s="14"/>
      <c r="O3236" s="14"/>
      <c r="P3236" s="14"/>
    </row>
    <row r="3237" spans="2:16" ht="15.75" customHeight="1">
      <c r="B3237" s="14"/>
      <c r="H3237" s="14"/>
      <c r="I3237" s="567"/>
      <c r="J3237" s="18"/>
      <c r="N3237" s="14"/>
      <c r="O3237" s="14"/>
      <c r="P3237" s="14"/>
    </row>
    <row r="3238" spans="2:16" ht="15.75" customHeight="1">
      <c r="B3238" s="14"/>
      <c r="H3238" s="14"/>
      <c r="I3238" s="567"/>
      <c r="J3238" s="18"/>
      <c r="N3238" s="14"/>
      <c r="O3238" s="14"/>
      <c r="P3238" s="14"/>
    </row>
    <row r="3239" spans="2:16" ht="15.75" customHeight="1">
      <c r="B3239" s="14"/>
      <c r="H3239" s="14"/>
      <c r="I3239" s="567"/>
      <c r="J3239" s="18"/>
      <c r="N3239" s="14"/>
      <c r="O3239" s="14"/>
      <c r="P3239" s="14"/>
    </row>
    <row r="3240" spans="2:16" ht="15.75" customHeight="1">
      <c r="B3240" s="14"/>
      <c r="H3240" s="14"/>
      <c r="I3240" s="567"/>
      <c r="J3240" s="18"/>
      <c r="N3240" s="14"/>
      <c r="O3240" s="14"/>
      <c r="P3240" s="14"/>
    </row>
    <row r="3241" spans="2:16" ht="15.75" customHeight="1">
      <c r="B3241" s="14"/>
      <c r="H3241" s="14"/>
      <c r="I3241" s="567"/>
      <c r="J3241" s="18"/>
      <c r="N3241" s="14"/>
      <c r="O3241" s="14"/>
      <c r="P3241" s="14"/>
    </row>
    <row r="3242" spans="2:16" ht="15.75" customHeight="1">
      <c r="B3242" s="14"/>
      <c r="H3242" s="14"/>
      <c r="I3242" s="567"/>
      <c r="J3242" s="18"/>
      <c r="N3242" s="14"/>
      <c r="O3242" s="14"/>
      <c r="P3242" s="14"/>
    </row>
    <row r="3243" spans="2:16" ht="15.75" customHeight="1">
      <c r="B3243" s="14"/>
      <c r="H3243" s="14"/>
      <c r="I3243" s="567"/>
      <c r="J3243" s="18"/>
      <c r="N3243" s="14"/>
      <c r="O3243" s="14"/>
      <c r="P3243" s="14"/>
    </row>
    <row r="3244" spans="2:16" ht="15.75" customHeight="1">
      <c r="B3244" s="14"/>
      <c r="H3244" s="14"/>
      <c r="I3244" s="567"/>
      <c r="J3244" s="18"/>
      <c r="N3244" s="14"/>
      <c r="O3244" s="14"/>
      <c r="P3244" s="14"/>
    </row>
    <row r="3245" spans="2:16" ht="15.75" customHeight="1">
      <c r="B3245" s="14"/>
      <c r="H3245" s="14"/>
      <c r="I3245" s="567"/>
      <c r="J3245" s="18"/>
      <c r="N3245" s="14"/>
      <c r="O3245" s="14"/>
      <c r="P3245" s="14"/>
    </row>
    <row r="3246" spans="2:16" ht="15.75" customHeight="1">
      <c r="B3246" s="14"/>
      <c r="H3246" s="14"/>
      <c r="I3246" s="567"/>
      <c r="J3246" s="18"/>
      <c r="N3246" s="14"/>
      <c r="O3246" s="14"/>
      <c r="P3246" s="14"/>
    </row>
    <row r="3247" spans="2:16" ht="15.75" customHeight="1">
      <c r="B3247" s="14"/>
      <c r="H3247" s="14"/>
      <c r="I3247" s="567"/>
      <c r="J3247" s="18"/>
      <c r="N3247" s="14"/>
      <c r="O3247" s="14"/>
      <c r="P3247" s="14"/>
    </row>
    <row r="3248" spans="2:16" ht="15.75" customHeight="1">
      <c r="B3248" s="14"/>
      <c r="H3248" s="14"/>
      <c r="I3248" s="567"/>
      <c r="J3248" s="18"/>
      <c r="N3248" s="14"/>
      <c r="O3248" s="14"/>
      <c r="P3248" s="14"/>
    </row>
    <row r="3249" spans="2:16" ht="15.75" customHeight="1">
      <c r="B3249" s="14"/>
      <c r="H3249" s="14"/>
      <c r="I3249" s="567"/>
      <c r="J3249" s="18"/>
      <c r="N3249" s="14"/>
      <c r="O3249" s="14"/>
      <c r="P3249" s="14"/>
    </row>
    <row r="3250" spans="2:16" ht="15.75" customHeight="1">
      <c r="B3250" s="14"/>
      <c r="H3250" s="14"/>
      <c r="I3250" s="567"/>
      <c r="J3250" s="18"/>
      <c r="N3250" s="14"/>
      <c r="O3250" s="14"/>
      <c r="P3250" s="14"/>
    </row>
    <row r="3251" spans="2:16" ht="15.75" customHeight="1">
      <c r="B3251" s="14"/>
      <c r="H3251" s="14"/>
      <c r="I3251" s="567"/>
      <c r="J3251" s="18"/>
      <c r="N3251" s="14"/>
      <c r="O3251" s="14"/>
      <c r="P3251" s="14"/>
    </row>
    <row r="3252" spans="2:16" ht="15.75" customHeight="1">
      <c r="B3252" s="14"/>
      <c r="H3252" s="14"/>
      <c r="I3252" s="567"/>
      <c r="J3252" s="18"/>
      <c r="N3252" s="14"/>
      <c r="O3252" s="14"/>
      <c r="P3252" s="14"/>
    </row>
    <row r="3253" spans="2:16" ht="15.75" customHeight="1">
      <c r="B3253" s="14"/>
      <c r="H3253" s="14"/>
      <c r="I3253" s="567"/>
      <c r="J3253" s="18"/>
      <c r="N3253" s="14"/>
      <c r="O3253" s="14"/>
      <c r="P3253" s="14"/>
    </row>
    <row r="3254" spans="2:16" ht="15.75" customHeight="1">
      <c r="B3254" s="14"/>
      <c r="H3254" s="14"/>
      <c r="I3254" s="567"/>
      <c r="J3254" s="18"/>
      <c r="N3254" s="14"/>
      <c r="O3254" s="14"/>
      <c r="P3254" s="14"/>
    </row>
    <row r="3255" spans="2:16" ht="15.75" customHeight="1">
      <c r="B3255" s="14"/>
      <c r="H3255" s="14"/>
      <c r="I3255" s="567"/>
      <c r="J3255" s="18"/>
      <c r="N3255" s="14"/>
      <c r="O3255" s="14"/>
      <c r="P3255" s="14"/>
    </row>
    <row r="3256" spans="2:16" ht="15.75" customHeight="1">
      <c r="B3256" s="14"/>
      <c r="H3256" s="14"/>
      <c r="I3256" s="567"/>
      <c r="J3256" s="18"/>
      <c r="N3256" s="14"/>
      <c r="O3256" s="14"/>
      <c r="P3256" s="14"/>
    </row>
    <row r="3257" spans="2:16" ht="15.75" customHeight="1">
      <c r="B3257" s="14"/>
      <c r="H3257" s="14"/>
      <c r="I3257" s="567"/>
      <c r="J3257" s="18"/>
      <c r="N3257" s="14"/>
      <c r="O3257" s="14"/>
      <c r="P3257" s="14"/>
    </row>
    <row r="3258" spans="2:16" ht="15.75" customHeight="1">
      <c r="B3258" s="14"/>
      <c r="H3258" s="14"/>
      <c r="I3258" s="567"/>
      <c r="J3258" s="18"/>
      <c r="N3258" s="14"/>
      <c r="O3258" s="14"/>
      <c r="P3258" s="14"/>
    </row>
    <row r="3259" spans="2:16" ht="15.75" customHeight="1">
      <c r="B3259" s="14"/>
      <c r="H3259" s="14"/>
      <c r="I3259" s="567"/>
      <c r="J3259" s="18"/>
      <c r="N3259" s="14"/>
      <c r="O3259" s="14"/>
      <c r="P3259" s="14"/>
    </row>
    <row r="3260" spans="2:16" ht="15.75" customHeight="1">
      <c r="B3260" s="14"/>
      <c r="H3260" s="14"/>
      <c r="I3260" s="567"/>
      <c r="J3260" s="18"/>
      <c r="N3260" s="14"/>
      <c r="O3260" s="14"/>
      <c r="P3260" s="14"/>
    </row>
    <row r="3261" spans="2:16" ht="15.75" customHeight="1">
      <c r="B3261" s="14"/>
      <c r="H3261" s="14"/>
      <c r="I3261" s="567"/>
      <c r="J3261" s="18"/>
      <c r="N3261" s="14"/>
      <c r="O3261" s="14"/>
      <c r="P3261" s="14"/>
    </row>
    <row r="3262" spans="2:16" ht="15.75" customHeight="1">
      <c r="B3262" s="14"/>
      <c r="H3262" s="14"/>
      <c r="I3262" s="567"/>
      <c r="J3262" s="18"/>
      <c r="N3262" s="14"/>
      <c r="O3262" s="14"/>
      <c r="P3262" s="14"/>
    </row>
    <row r="3263" spans="2:16" ht="15.75" customHeight="1">
      <c r="B3263" s="14"/>
      <c r="H3263" s="14"/>
      <c r="I3263" s="567"/>
      <c r="J3263" s="18"/>
      <c r="N3263" s="14"/>
      <c r="O3263" s="14"/>
      <c r="P3263" s="14"/>
    </row>
    <row r="3264" spans="2:16" ht="15.75" customHeight="1">
      <c r="B3264" s="14"/>
      <c r="H3264" s="14"/>
      <c r="I3264" s="567"/>
      <c r="J3264" s="18"/>
      <c r="N3264" s="14"/>
      <c r="O3264" s="14"/>
      <c r="P3264" s="14"/>
    </row>
    <row r="3265" spans="2:16" ht="15.75" customHeight="1">
      <c r="B3265" s="14"/>
      <c r="H3265" s="14"/>
      <c r="I3265" s="567"/>
      <c r="J3265" s="18"/>
      <c r="N3265" s="14"/>
      <c r="O3265" s="14"/>
      <c r="P3265" s="14"/>
    </row>
    <row r="3266" spans="2:16" ht="15.75" customHeight="1">
      <c r="B3266" s="14"/>
      <c r="H3266" s="14"/>
      <c r="I3266" s="567"/>
      <c r="J3266" s="18"/>
      <c r="N3266" s="14"/>
      <c r="O3266" s="14"/>
      <c r="P3266" s="14"/>
    </row>
    <row r="3267" spans="2:16" ht="15.75" customHeight="1">
      <c r="B3267" s="14"/>
      <c r="H3267" s="14"/>
      <c r="I3267" s="567"/>
      <c r="J3267" s="18"/>
      <c r="N3267" s="14"/>
      <c r="O3267" s="14"/>
      <c r="P3267" s="14"/>
    </row>
    <row r="3268" spans="2:16" ht="15.75" customHeight="1">
      <c r="B3268" s="14"/>
      <c r="H3268" s="14"/>
      <c r="I3268" s="567"/>
      <c r="J3268" s="18"/>
      <c r="N3268" s="14"/>
      <c r="O3268" s="14"/>
      <c r="P3268" s="14"/>
    </row>
    <row r="3269" spans="2:16" ht="15.75" customHeight="1">
      <c r="B3269" s="14"/>
      <c r="H3269" s="14"/>
      <c r="I3269" s="567"/>
      <c r="J3269" s="18"/>
      <c r="N3269" s="14"/>
      <c r="O3269" s="14"/>
      <c r="P3269" s="14"/>
    </row>
    <row r="3270" spans="2:16" ht="15.75" customHeight="1">
      <c r="B3270" s="14"/>
      <c r="H3270" s="14"/>
      <c r="I3270" s="567"/>
      <c r="J3270" s="18"/>
      <c r="N3270" s="14"/>
      <c r="O3270" s="14"/>
      <c r="P3270" s="14"/>
    </row>
    <row r="3271" spans="2:16" ht="15.75" customHeight="1">
      <c r="B3271" s="14"/>
      <c r="H3271" s="14"/>
      <c r="I3271" s="567"/>
      <c r="J3271" s="18"/>
      <c r="N3271" s="14"/>
      <c r="O3271" s="14"/>
      <c r="P3271" s="14"/>
    </row>
    <row r="3272" spans="2:16" ht="15.75" customHeight="1">
      <c r="B3272" s="14"/>
      <c r="H3272" s="14"/>
      <c r="I3272" s="567"/>
      <c r="J3272" s="18"/>
      <c r="N3272" s="14"/>
      <c r="O3272" s="14"/>
      <c r="P3272" s="14"/>
    </row>
    <row r="3273" spans="2:16" ht="15.75" customHeight="1">
      <c r="B3273" s="14"/>
      <c r="H3273" s="14"/>
      <c r="I3273" s="567"/>
      <c r="J3273" s="18"/>
      <c r="N3273" s="14"/>
      <c r="O3273" s="14"/>
      <c r="P3273" s="14"/>
    </row>
    <row r="3274" spans="2:16" ht="15.75" customHeight="1">
      <c r="B3274" s="14"/>
      <c r="H3274" s="14"/>
      <c r="I3274" s="567"/>
      <c r="J3274" s="18"/>
      <c r="N3274" s="14"/>
      <c r="O3274" s="14"/>
      <c r="P3274" s="14"/>
    </row>
    <row r="3275" spans="2:16" ht="15.75" customHeight="1">
      <c r="B3275" s="14"/>
      <c r="H3275" s="14"/>
      <c r="I3275" s="567"/>
      <c r="J3275" s="18"/>
      <c r="N3275" s="14"/>
      <c r="O3275" s="14"/>
      <c r="P3275" s="14"/>
    </row>
    <row r="3276" spans="2:16" ht="15.75" customHeight="1">
      <c r="B3276" s="14"/>
      <c r="H3276" s="14"/>
      <c r="I3276" s="567"/>
      <c r="J3276" s="18"/>
      <c r="N3276" s="14"/>
      <c r="O3276" s="14"/>
      <c r="P3276" s="14"/>
    </row>
    <row r="3277" spans="2:16" ht="15.75" customHeight="1">
      <c r="B3277" s="14"/>
      <c r="H3277" s="14"/>
      <c r="I3277" s="567"/>
      <c r="J3277" s="18"/>
      <c r="N3277" s="14"/>
      <c r="O3277" s="14"/>
      <c r="P3277" s="14"/>
    </row>
    <row r="3278" spans="2:16" ht="15.75" customHeight="1">
      <c r="B3278" s="14"/>
      <c r="H3278" s="14"/>
      <c r="I3278" s="567"/>
      <c r="J3278" s="18"/>
      <c r="N3278" s="14"/>
      <c r="O3278" s="14"/>
      <c r="P3278" s="14"/>
    </row>
    <row r="3279" spans="2:16" ht="15.75" customHeight="1">
      <c r="B3279" s="14"/>
      <c r="H3279" s="14"/>
      <c r="I3279" s="567"/>
      <c r="J3279" s="18"/>
      <c r="N3279" s="14"/>
      <c r="O3279" s="14"/>
      <c r="P3279" s="14"/>
    </row>
    <row r="3280" spans="2:16" ht="15.75" customHeight="1">
      <c r="B3280" s="14"/>
      <c r="H3280" s="14"/>
      <c r="I3280" s="567"/>
      <c r="J3280" s="18"/>
      <c r="N3280" s="14"/>
      <c r="O3280" s="14"/>
      <c r="P3280" s="14"/>
    </row>
    <row r="3281" spans="2:16" ht="15.75" customHeight="1">
      <c r="B3281" s="14"/>
      <c r="H3281" s="14"/>
      <c r="I3281" s="567"/>
      <c r="J3281" s="18"/>
      <c r="N3281" s="14"/>
      <c r="O3281" s="14"/>
      <c r="P3281" s="14"/>
    </row>
    <row r="3282" spans="2:16" ht="15.75" customHeight="1">
      <c r="B3282" s="14"/>
      <c r="H3282" s="14"/>
      <c r="I3282" s="567"/>
      <c r="J3282" s="18"/>
      <c r="N3282" s="14"/>
      <c r="O3282" s="14"/>
      <c r="P3282" s="14"/>
    </row>
    <row r="3283" spans="2:16" ht="15.75" customHeight="1">
      <c r="B3283" s="14"/>
      <c r="H3283" s="14"/>
      <c r="I3283" s="567"/>
      <c r="J3283" s="18"/>
      <c r="N3283" s="14"/>
      <c r="O3283" s="14"/>
      <c r="P3283" s="14"/>
    </row>
    <row r="3284" spans="2:16" ht="15.75" customHeight="1">
      <c r="B3284" s="14"/>
      <c r="H3284" s="14"/>
      <c r="I3284" s="567"/>
      <c r="J3284" s="18"/>
      <c r="N3284" s="14"/>
      <c r="O3284" s="14"/>
      <c r="P3284" s="14"/>
    </row>
    <row r="3285" spans="2:16" ht="15.75" customHeight="1">
      <c r="B3285" s="14"/>
      <c r="H3285" s="14"/>
      <c r="I3285" s="567"/>
      <c r="J3285" s="18"/>
      <c r="N3285" s="14"/>
      <c r="O3285" s="14"/>
      <c r="P3285" s="14"/>
    </row>
    <row r="3286" spans="2:16" ht="15.75" customHeight="1">
      <c r="B3286" s="14"/>
      <c r="H3286" s="14"/>
      <c r="I3286" s="567"/>
      <c r="J3286" s="18"/>
      <c r="N3286" s="14"/>
      <c r="O3286" s="14"/>
      <c r="P3286" s="14"/>
    </row>
    <row r="3287" spans="2:16" ht="15.75" customHeight="1">
      <c r="B3287" s="14"/>
      <c r="H3287" s="14"/>
      <c r="I3287" s="567"/>
      <c r="J3287" s="18"/>
      <c r="N3287" s="14"/>
      <c r="O3287" s="14"/>
      <c r="P3287" s="14"/>
    </row>
    <row r="3288" spans="2:16" ht="15.75" customHeight="1">
      <c r="B3288" s="14"/>
      <c r="H3288" s="14"/>
      <c r="I3288" s="567"/>
      <c r="J3288" s="18"/>
      <c r="N3288" s="14"/>
      <c r="O3288" s="14"/>
      <c r="P3288" s="14"/>
    </row>
    <row r="3289" spans="2:16" ht="15.75" customHeight="1">
      <c r="B3289" s="14"/>
      <c r="H3289" s="14"/>
      <c r="I3289" s="567"/>
      <c r="J3289" s="18"/>
      <c r="N3289" s="14"/>
      <c r="O3289" s="14"/>
      <c r="P3289" s="14"/>
    </row>
    <row r="3290" spans="2:16" ht="15.75" customHeight="1">
      <c r="B3290" s="14"/>
      <c r="H3290" s="14"/>
      <c r="I3290" s="567"/>
      <c r="J3290" s="18"/>
      <c r="N3290" s="14"/>
      <c r="O3290" s="14"/>
      <c r="P3290" s="14"/>
    </row>
    <row r="3291" spans="2:16" ht="15.75" customHeight="1">
      <c r="B3291" s="14"/>
      <c r="H3291" s="14"/>
      <c r="I3291" s="567"/>
      <c r="J3291" s="18"/>
      <c r="N3291" s="14"/>
      <c r="O3291" s="14"/>
      <c r="P3291" s="14"/>
    </row>
    <row r="3292" spans="2:16" ht="15.75" customHeight="1">
      <c r="B3292" s="14"/>
      <c r="H3292" s="14"/>
      <c r="I3292" s="567"/>
      <c r="J3292" s="18"/>
      <c r="N3292" s="14"/>
      <c r="O3292" s="14"/>
      <c r="P3292" s="14"/>
    </row>
    <row r="3293" spans="2:16" ht="15.75" customHeight="1">
      <c r="B3293" s="14"/>
      <c r="H3293" s="14"/>
      <c r="I3293" s="567"/>
      <c r="J3293" s="18"/>
      <c r="N3293" s="14"/>
      <c r="O3293" s="14"/>
      <c r="P3293" s="14"/>
    </row>
    <row r="3294" spans="2:16" ht="15.75" customHeight="1">
      <c r="B3294" s="14"/>
      <c r="H3294" s="14"/>
      <c r="I3294" s="567"/>
      <c r="J3294" s="18"/>
      <c r="N3294" s="14"/>
      <c r="O3294" s="14"/>
      <c r="P3294" s="14"/>
    </row>
    <row r="3295" spans="2:16" ht="15.75" customHeight="1">
      <c r="B3295" s="14"/>
      <c r="H3295" s="14"/>
      <c r="I3295" s="567"/>
      <c r="J3295" s="18"/>
      <c r="N3295" s="14"/>
      <c r="O3295" s="14"/>
      <c r="P3295" s="14"/>
    </row>
    <row r="3296" spans="2:16" ht="15.75" customHeight="1">
      <c r="B3296" s="14"/>
      <c r="H3296" s="14"/>
      <c r="I3296" s="567"/>
      <c r="J3296" s="18"/>
      <c r="N3296" s="14"/>
      <c r="O3296" s="14"/>
      <c r="P3296" s="14"/>
    </row>
    <row r="3297" spans="2:16" ht="15.75" customHeight="1">
      <c r="B3297" s="14"/>
      <c r="H3297" s="14"/>
      <c r="I3297" s="567"/>
      <c r="J3297" s="18"/>
      <c r="N3297" s="14"/>
      <c r="O3297" s="14"/>
      <c r="P3297" s="14"/>
    </row>
    <row r="3298" spans="2:16" ht="15.75" customHeight="1">
      <c r="B3298" s="14"/>
      <c r="H3298" s="14"/>
      <c r="I3298" s="567"/>
      <c r="J3298" s="18"/>
      <c r="N3298" s="14"/>
      <c r="O3298" s="14"/>
      <c r="P3298" s="14"/>
    </row>
    <row r="3299" spans="2:16" ht="15.75" customHeight="1">
      <c r="B3299" s="14"/>
      <c r="H3299" s="14"/>
      <c r="I3299" s="567"/>
      <c r="J3299" s="18"/>
      <c r="N3299" s="14"/>
      <c r="O3299" s="14"/>
      <c r="P3299" s="14"/>
    </row>
    <row r="3300" spans="2:16" ht="15.75" customHeight="1">
      <c r="B3300" s="14"/>
      <c r="H3300" s="14"/>
      <c r="I3300" s="567"/>
      <c r="J3300" s="18"/>
      <c r="N3300" s="14"/>
      <c r="O3300" s="14"/>
      <c r="P3300" s="14"/>
    </row>
    <row r="3301" spans="2:16" ht="15.75" customHeight="1">
      <c r="B3301" s="14"/>
      <c r="H3301" s="14"/>
      <c r="I3301" s="567"/>
      <c r="J3301" s="18"/>
      <c r="N3301" s="14"/>
      <c r="O3301" s="14"/>
      <c r="P3301" s="14"/>
    </row>
    <row r="3302" spans="2:16" ht="15.75" customHeight="1">
      <c r="B3302" s="14"/>
      <c r="H3302" s="14"/>
      <c r="I3302" s="567"/>
      <c r="J3302" s="18"/>
      <c r="N3302" s="14"/>
      <c r="O3302" s="14"/>
      <c r="P3302" s="14"/>
    </row>
    <row r="3303" spans="2:16" ht="15.75" customHeight="1">
      <c r="B3303" s="14"/>
      <c r="H3303" s="14"/>
      <c r="I3303" s="567"/>
      <c r="J3303" s="18"/>
      <c r="N3303" s="14"/>
      <c r="O3303" s="14"/>
      <c r="P3303" s="14"/>
    </row>
    <row r="3304" spans="2:16" ht="15.75" customHeight="1">
      <c r="B3304" s="14"/>
      <c r="H3304" s="14"/>
      <c r="I3304" s="567"/>
      <c r="J3304" s="18"/>
      <c r="N3304" s="14"/>
      <c r="O3304" s="14"/>
      <c r="P3304" s="14"/>
    </row>
    <row r="3305" spans="2:16" ht="15.75" customHeight="1">
      <c r="B3305" s="14"/>
      <c r="H3305" s="14"/>
      <c r="I3305" s="567"/>
      <c r="J3305" s="18"/>
      <c r="N3305" s="14"/>
      <c r="O3305" s="14"/>
      <c r="P3305" s="14"/>
    </row>
    <row r="3306" spans="2:16" ht="15.75" customHeight="1">
      <c r="B3306" s="14"/>
      <c r="H3306" s="14"/>
      <c r="I3306" s="567"/>
      <c r="J3306" s="18"/>
      <c r="N3306" s="14"/>
      <c r="O3306" s="14"/>
      <c r="P3306" s="14"/>
    </row>
    <row r="3307" spans="2:16" ht="15.75" customHeight="1">
      <c r="B3307" s="14"/>
      <c r="H3307" s="14"/>
      <c r="I3307" s="567"/>
      <c r="J3307" s="18"/>
      <c r="N3307" s="14"/>
      <c r="O3307" s="14"/>
      <c r="P3307" s="14"/>
    </row>
    <row r="3308" spans="2:16" ht="15.75" customHeight="1">
      <c r="B3308" s="14"/>
      <c r="H3308" s="14"/>
      <c r="I3308" s="567"/>
      <c r="J3308" s="18"/>
      <c r="N3308" s="14"/>
      <c r="O3308" s="14"/>
      <c r="P3308" s="14"/>
    </row>
    <row r="3309" spans="2:16" ht="15.75" customHeight="1">
      <c r="B3309" s="14"/>
      <c r="H3309" s="14"/>
      <c r="I3309" s="567"/>
      <c r="J3309" s="18"/>
      <c r="N3309" s="14"/>
      <c r="O3309" s="14"/>
      <c r="P3309" s="14"/>
    </row>
    <row r="3310" spans="2:16" ht="15.75" customHeight="1">
      <c r="B3310" s="14"/>
      <c r="H3310" s="14"/>
      <c r="I3310" s="567"/>
      <c r="J3310" s="18"/>
      <c r="N3310" s="14"/>
      <c r="O3310" s="14"/>
      <c r="P3310" s="14"/>
    </row>
    <row r="3311" spans="2:16" ht="15.75" customHeight="1">
      <c r="B3311" s="14"/>
      <c r="H3311" s="14"/>
      <c r="I3311" s="567"/>
      <c r="J3311" s="18"/>
      <c r="N3311" s="14"/>
      <c r="O3311" s="14"/>
      <c r="P3311" s="14"/>
    </row>
    <row r="3312" spans="2:16" ht="15.75" customHeight="1">
      <c r="B3312" s="14"/>
      <c r="H3312" s="14"/>
      <c r="I3312" s="567"/>
      <c r="J3312" s="18"/>
      <c r="N3312" s="14"/>
      <c r="O3312" s="14"/>
      <c r="P3312" s="14"/>
    </row>
    <row r="3313" spans="2:16" ht="15.75" customHeight="1">
      <c r="B3313" s="14"/>
      <c r="H3313" s="14"/>
      <c r="I3313" s="567"/>
      <c r="J3313" s="18"/>
      <c r="N3313" s="14"/>
      <c r="O3313" s="14"/>
      <c r="P3313" s="14"/>
    </row>
    <row r="3314" spans="2:16" ht="15.75" customHeight="1">
      <c r="B3314" s="14"/>
      <c r="H3314" s="14"/>
      <c r="I3314" s="567"/>
      <c r="J3314" s="18"/>
      <c r="N3314" s="14"/>
      <c r="O3314" s="14"/>
      <c r="P3314" s="14"/>
    </row>
    <row r="3315" spans="2:16" ht="15.75" customHeight="1">
      <c r="B3315" s="14"/>
      <c r="H3315" s="14"/>
      <c r="I3315" s="567"/>
      <c r="J3315" s="18"/>
      <c r="N3315" s="14"/>
      <c r="O3315" s="14"/>
      <c r="P3315" s="14"/>
    </row>
    <row r="3316" spans="2:16" ht="15.75" customHeight="1">
      <c r="B3316" s="14"/>
      <c r="H3316" s="14"/>
      <c r="I3316" s="567"/>
      <c r="J3316" s="18"/>
      <c r="N3316" s="14"/>
      <c r="O3316" s="14"/>
      <c r="P3316" s="14"/>
    </row>
    <row r="3317" spans="2:16" ht="15.75" customHeight="1">
      <c r="B3317" s="14"/>
      <c r="H3317" s="14"/>
      <c r="I3317" s="567"/>
      <c r="J3317" s="18"/>
      <c r="N3317" s="14"/>
      <c r="O3317" s="14"/>
      <c r="P3317" s="14"/>
    </row>
    <row r="3318" spans="2:16" ht="15.75" customHeight="1">
      <c r="B3318" s="14"/>
      <c r="H3318" s="14"/>
      <c r="I3318" s="567"/>
      <c r="J3318" s="18"/>
      <c r="N3318" s="14"/>
      <c r="O3318" s="14"/>
      <c r="P3318" s="14"/>
    </row>
    <row r="3319" spans="2:16" ht="15.75" customHeight="1">
      <c r="B3319" s="14"/>
      <c r="H3319" s="14"/>
      <c r="I3319" s="567"/>
      <c r="J3319" s="18"/>
      <c r="N3319" s="14"/>
      <c r="O3319" s="14"/>
      <c r="P3319" s="14"/>
    </row>
    <row r="3320" spans="2:16" ht="15.75" customHeight="1">
      <c r="B3320" s="14"/>
      <c r="H3320" s="14"/>
      <c r="I3320" s="567"/>
      <c r="J3320" s="18"/>
      <c r="N3320" s="14"/>
      <c r="O3320" s="14"/>
      <c r="P3320" s="14"/>
    </row>
    <row r="3321" spans="2:16" ht="15.75" customHeight="1">
      <c r="B3321" s="14"/>
      <c r="H3321" s="14"/>
      <c r="I3321" s="567"/>
      <c r="J3321" s="18"/>
      <c r="N3321" s="14"/>
      <c r="O3321" s="14"/>
      <c r="P3321" s="14"/>
    </row>
    <row r="3322" spans="2:16" ht="15.75" customHeight="1">
      <c r="B3322" s="14"/>
      <c r="H3322" s="14"/>
      <c r="I3322" s="567"/>
      <c r="J3322" s="18"/>
      <c r="N3322" s="14"/>
      <c r="O3322" s="14"/>
      <c r="P3322" s="14"/>
    </row>
    <row r="3323" spans="2:16" ht="15.75" customHeight="1">
      <c r="B3323" s="14"/>
      <c r="H3323" s="14"/>
      <c r="I3323" s="567"/>
      <c r="J3323" s="18"/>
      <c r="N3323" s="14"/>
      <c r="O3323" s="14"/>
      <c r="P3323" s="14"/>
    </row>
    <row r="3324" spans="2:16" ht="15.75" customHeight="1">
      <c r="B3324" s="14"/>
      <c r="H3324" s="14"/>
      <c r="I3324" s="567"/>
      <c r="J3324" s="18"/>
      <c r="N3324" s="14"/>
      <c r="O3324" s="14"/>
      <c r="P3324" s="14"/>
    </row>
    <row r="3325" spans="2:16" ht="15.75" customHeight="1">
      <c r="B3325" s="14"/>
      <c r="H3325" s="14"/>
      <c r="I3325" s="567"/>
      <c r="J3325" s="18"/>
      <c r="N3325" s="14"/>
      <c r="O3325" s="14"/>
      <c r="P3325" s="14"/>
    </row>
    <row r="3326" spans="2:16" ht="15.75" customHeight="1">
      <c r="B3326" s="14"/>
      <c r="H3326" s="14"/>
      <c r="I3326" s="567"/>
      <c r="J3326" s="18"/>
      <c r="N3326" s="14"/>
      <c r="O3326" s="14"/>
      <c r="P3326" s="14"/>
    </row>
    <row r="3327" spans="2:16" ht="15.75" customHeight="1">
      <c r="B3327" s="14"/>
      <c r="H3327" s="14"/>
      <c r="I3327" s="567"/>
      <c r="J3327" s="18"/>
      <c r="N3327" s="14"/>
      <c r="O3327" s="14"/>
      <c r="P3327" s="14"/>
    </row>
    <row r="3328" spans="2:16" ht="15.75" customHeight="1">
      <c r="B3328" s="14"/>
      <c r="H3328" s="14"/>
      <c r="I3328" s="567"/>
      <c r="J3328" s="18"/>
      <c r="N3328" s="14"/>
      <c r="O3328" s="14"/>
      <c r="P3328" s="14"/>
    </row>
    <row r="3329" spans="2:16" ht="15.75" customHeight="1">
      <c r="B3329" s="14"/>
      <c r="H3329" s="14"/>
      <c r="I3329" s="567"/>
      <c r="J3329" s="18"/>
      <c r="N3329" s="14"/>
      <c r="O3329" s="14"/>
      <c r="P3329" s="14"/>
    </row>
    <row r="3330" spans="2:16" ht="15.75" customHeight="1">
      <c r="B3330" s="14"/>
      <c r="H3330" s="14"/>
      <c r="I3330" s="567"/>
      <c r="J3330" s="18"/>
      <c r="N3330" s="14"/>
      <c r="O3330" s="14"/>
      <c r="P3330" s="14"/>
    </row>
    <row r="3331" spans="2:16" ht="15.75" customHeight="1">
      <c r="B3331" s="14"/>
      <c r="H3331" s="14"/>
      <c r="I3331" s="567"/>
      <c r="J3331" s="18"/>
      <c r="N3331" s="14"/>
      <c r="O3331" s="14"/>
      <c r="P3331" s="14"/>
    </row>
    <row r="3332" spans="2:16" ht="15.75" customHeight="1">
      <c r="B3332" s="14"/>
      <c r="H3332" s="14"/>
      <c r="I3332" s="567"/>
      <c r="J3332" s="18"/>
      <c r="N3332" s="14"/>
      <c r="O3332" s="14"/>
      <c r="P3332" s="14"/>
    </row>
    <row r="3333" spans="2:16" ht="15.75" customHeight="1">
      <c r="B3333" s="14"/>
      <c r="H3333" s="14"/>
      <c r="I3333" s="567"/>
      <c r="J3333" s="18"/>
      <c r="N3333" s="14"/>
      <c r="O3333" s="14"/>
      <c r="P3333" s="14"/>
    </row>
    <row r="3334" spans="2:16" ht="15.75" customHeight="1">
      <c r="B3334" s="14"/>
      <c r="H3334" s="14"/>
      <c r="I3334" s="567"/>
      <c r="J3334" s="18"/>
      <c r="N3334" s="14"/>
      <c r="O3334" s="14"/>
      <c r="P3334" s="14"/>
    </row>
    <row r="3335" spans="2:16" ht="15.75" customHeight="1">
      <c r="B3335" s="14"/>
      <c r="H3335" s="14"/>
      <c r="I3335" s="567"/>
      <c r="J3335" s="18"/>
      <c r="N3335" s="14"/>
      <c r="O3335" s="14"/>
      <c r="P3335" s="14"/>
    </row>
    <row r="3336" spans="2:16" ht="15.75" customHeight="1">
      <c r="B3336" s="14"/>
      <c r="H3336" s="14"/>
      <c r="I3336" s="567"/>
      <c r="J3336" s="18"/>
      <c r="N3336" s="14"/>
      <c r="O3336" s="14"/>
      <c r="P3336" s="14"/>
    </row>
    <row r="3337" spans="2:16" ht="15.75" customHeight="1">
      <c r="B3337" s="14"/>
      <c r="H3337" s="14"/>
      <c r="I3337" s="567"/>
      <c r="J3337" s="18"/>
      <c r="N3337" s="14"/>
      <c r="O3337" s="14"/>
      <c r="P3337" s="14"/>
    </row>
    <row r="3338" spans="2:16" ht="15.75" customHeight="1">
      <c r="B3338" s="14"/>
      <c r="H3338" s="14"/>
      <c r="I3338" s="567"/>
      <c r="J3338" s="18"/>
      <c r="N3338" s="14"/>
      <c r="O3338" s="14"/>
      <c r="P3338" s="14"/>
    </row>
    <row r="3339" spans="2:16" ht="15.75" customHeight="1">
      <c r="B3339" s="14"/>
      <c r="H3339" s="14"/>
      <c r="I3339" s="567"/>
      <c r="J3339" s="18"/>
      <c r="N3339" s="14"/>
      <c r="O3339" s="14"/>
      <c r="P3339" s="14"/>
    </row>
    <row r="3340" spans="2:16" ht="15.75" customHeight="1">
      <c r="B3340" s="14"/>
      <c r="H3340" s="14"/>
      <c r="I3340" s="567"/>
      <c r="J3340" s="18"/>
      <c r="N3340" s="14"/>
      <c r="O3340" s="14"/>
      <c r="P3340" s="14"/>
    </row>
    <row r="3341" spans="2:16" ht="15.75" customHeight="1">
      <c r="B3341" s="14"/>
      <c r="H3341" s="14"/>
      <c r="I3341" s="567"/>
      <c r="J3341" s="18"/>
      <c r="N3341" s="14"/>
      <c r="O3341" s="14"/>
      <c r="P3341" s="14"/>
    </row>
    <row r="3342" spans="2:16" ht="15.75" customHeight="1">
      <c r="B3342" s="14"/>
      <c r="H3342" s="14"/>
      <c r="I3342" s="567"/>
      <c r="J3342" s="18"/>
      <c r="N3342" s="14"/>
      <c r="O3342" s="14"/>
      <c r="P3342" s="14"/>
    </row>
    <row r="3343" spans="2:16" ht="15.75" customHeight="1">
      <c r="B3343" s="14"/>
      <c r="H3343" s="14"/>
      <c r="I3343" s="567"/>
      <c r="J3343" s="18"/>
      <c r="N3343" s="14"/>
      <c r="O3343" s="14"/>
      <c r="P3343" s="14"/>
    </row>
    <row r="3344" spans="2:16" ht="15.75" customHeight="1">
      <c r="B3344" s="14"/>
      <c r="H3344" s="14"/>
      <c r="I3344" s="567"/>
      <c r="J3344" s="18"/>
      <c r="N3344" s="14"/>
      <c r="O3344" s="14"/>
      <c r="P3344" s="14"/>
    </row>
    <row r="3345" spans="2:16" ht="15.75" customHeight="1">
      <c r="B3345" s="14"/>
      <c r="H3345" s="14"/>
      <c r="I3345" s="567"/>
      <c r="J3345" s="18"/>
      <c r="N3345" s="14"/>
      <c r="O3345" s="14"/>
      <c r="P3345" s="14"/>
    </row>
    <row r="3346" spans="2:16" ht="15.75" customHeight="1">
      <c r="B3346" s="14"/>
      <c r="H3346" s="14"/>
      <c r="I3346" s="567"/>
      <c r="J3346" s="18"/>
      <c r="N3346" s="14"/>
      <c r="O3346" s="14"/>
      <c r="P3346" s="14"/>
    </row>
    <row r="3347" spans="2:16" ht="15.75" customHeight="1">
      <c r="B3347" s="14"/>
      <c r="H3347" s="14"/>
      <c r="I3347" s="567"/>
      <c r="J3347" s="18"/>
      <c r="N3347" s="14"/>
      <c r="O3347" s="14"/>
      <c r="P3347" s="14"/>
    </row>
    <row r="3348" spans="2:16" ht="15.75" customHeight="1">
      <c r="B3348" s="14"/>
      <c r="H3348" s="14"/>
      <c r="I3348" s="567"/>
      <c r="J3348" s="18"/>
      <c r="N3348" s="14"/>
      <c r="O3348" s="14"/>
      <c r="P3348" s="14"/>
    </row>
    <row r="3349" spans="2:16" ht="15.75" customHeight="1">
      <c r="B3349" s="14"/>
      <c r="H3349" s="14"/>
      <c r="I3349" s="567"/>
      <c r="J3349" s="18"/>
      <c r="N3349" s="14"/>
      <c r="O3349" s="14"/>
      <c r="P3349" s="14"/>
    </row>
    <row r="3350" spans="2:16" ht="15.75" customHeight="1">
      <c r="B3350" s="14"/>
      <c r="H3350" s="14"/>
      <c r="I3350" s="567"/>
      <c r="J3350" s="18"/>
      <c r="N3350" s="14"/>
      <c r="O3350" s="14"/>
      <c r="P3350" s="14"/>
    </row>
    <row r="3351" spans="2:16" ht="15.75" customHeight="1">
      <c r="B3351" s="14"/>
      <c r="H3351" s="14"/>
      <c r="I3351" s="567"/>
      <c r="J3351" s="18"/>
      <c r="N3351" s="14"/>
      <c r="O3351" s="14"/>
      <c r="P3351" s="14"/>
    </row>
    <row r="3352" spans="2:16" ht="15.75" customHeight="1">
      <c r="B3352" s="14"/>
      <c r="H3352" s="14"/>
      <c r="I3352" s="567"/>
      <c r="J3352" s="18"/>
      <c r="N3352" s="14"/>
      <c r="O3352" s="14"/>
      <c r="P3352" s="14"/>
    </row>
    <row r="3353" spans="2:16" ht="15.75" customHeight="1">
      <c r="B3353" s="14"/>
      <c r="H3353" s="14"/>
      <c r="I3353" s="567"/>
      <c r="J3353" s="18"/>
      <c r="N3353" s="14"/>
      <c r="O3353" s="14"/>
      <c r="P3353" s="14"/>
    </row>
    <row r="3354" spans="2:16" ht="15.75" customHeight="1">
      <c r="B3354" s="14"/>
      <c r="H3354" s="14"/>
      <c r="I3354" s="567"/>
      <c r="J3354" s="18"/>
      <c r="N3354" s="14"/>
      <c r="O3354" s="14"/>
      <c r="P3354" s="14"/>
    </row>
    <row r="3355" spans="2:16" ht="15.75" customHeight="1">
      <c r="B3355" s="14"/>
      <c r="H3355" s="14"/>
      <c r="I3355" s="567"/>
      <c r="J3355" s="18"/>
      <c r="N3355" s="14"/>
      <c r="O3355" s="14"/>
      <c r="P3355" s="14"/>
    </row>
    <row r="3356" spans="2:16" ht="15.75" customHeight="1">
      <c r="B3356" s="14"/>
      <c r="H3356" s="14"/>
      <c r="I3356" s="567"/>
      <c r="J3356" s="18"/>
      <c r="N3356" s="14"/>
      <c r="O3356" s="14"/>
      <c r="P3356" s="14"/>
    </row>
    <row r="3357" spans="2:16" ht="15.75" customHeight="1">
      <c r="B3357" s="14"/>
      <c r="H3357" s="14"/>
      <c r="I3357" s="567"/>
      <c r="J3357" s="18"/>
      <c r="N3357" s="14"/>
      <c r="O3357" s="14"/>
      <c r="P3357" s="14"/>
    </row>
    <row r="3358" spans="2:16" ht="15.75" customHeight="1">
      <c r="B3358" s="14"/>
      <c r="H3358" s="14"/>
      <c r="I3358" s="567"/>
      <c r="J3358" s="18"/>
      <c r="N3358" s="14"/>
      <c r="O3358" s="14"/>
      <c r="P3358" s="14"/>
    </row>
    <row r="3359" spans="2:16" ht="15.75" customHeight="1">
      <c r="B3359" s="14"/>
      <c r="H3359" s="14"/>
      <c r="I3359" s="567"/>
      <c r="J3359" s="18"/>
      <c r="N3359" s="14"/>
      <c r="O3359" s="14"/>
      <c r="P3359" s="14"/>
    </row>
    <row r="3360" spans="2:16" ht="15.75" customHeight="1">
      <c r="B3360" s="14"/>
      <c r="H3360" s="14"/>
      <c r="I3360" s="567"/>
      <c r="J3360" s="18"/>
      <c r="N3360" s="14"/>
      <c r="O3360" s="14"/>
      <c r="P3360" s="14"/>
    </row>
    <row r="3361" spans="2:16" ht="15.75" customHeight="1">
      <c r="B3361" s="14"/>
      <c r="H3361" s="14"/>
      <c r="I3361" s="567"/>
      <c r="J3361" s="18"/>
      <c r="N3361" s="14"/>
      <c r="O3361" s="14"/>
      <c r="P3361" s="14"/>
    </row>
    <row r="3362" spans="2:16" ht="15.75" customHeight="1">
      <c r="B3362" s="14"/>
      <c r="H3362" s="14"/>
      <c r="I3362" s="567"/>
      <c r="J3362" s="18"/>
      <c r="N3362" s="14"/>
      <c r="O3362" s="14"/>
      <c r="P3362" s="14"/>
    </row>
    <row r="3363" spans="2:16" ht="15.75" customHeight="1">
      <c r="B3363" s="14"/>
      <c r="H3363" s="14"/>
      <c r="I3363" s="567"/>
      <c r="J3363" s="18"/>
      <c r="N3363" s="14"/>
      <c r="O3363" s="14"/>
      <c r="P3363" s="14"/>
    </row>
    <row r="3364" spans="2:16" ht="15.75" customHeight="1">
      <c r="B3364" s="14"/>
      <c r="H3364" s="14"/>
      <c r="I3364" s="567"/>
      <c r="J3364" s="18"/>
      <c r="N3364" s="14"/>
      <c r="O3364" s="14"/>
      <c r="P3364" s="14"/>
    </row>
    <row r="3365" spans="2:16" ht="15.75" customHeight="1">
      <c r="B3365" s="14"/>
      <c r="H3365" s="14"/>
      <c r="I3365" s="567"/>
      <c r="J3365" s="18"/>
      <c r="N3365" s="14"/>
      <c r="O3365" s="14"/>
      <c r="P3365" s="14"/>
    </row>
    <row r="3366" spans="2:16" ht="15.75" customHeight="1">
      <c r="B3366" s="14"/>
      <c r="H3366" s="14"/>
      <c r="I3366" s="567"/>
      <c r="J3366" s="18"/>
      <c r="N3366" s="14"/>
      <c r="O3366" s="14"/>
      <c r="P3366" s="14"/>
    </row>
    <row r="3367" spans="2:16" ht="15.75" customHeight="1">
      <c r="B3367" s="14"/>
      <c r="H3367" s="14"/>
      <c r="I3367" s="567"/>
      <c r="J3367" s="18"/>
      <c r="N3367" s="14"/>
      <c r="O3367" s="14"/>
      <c r="P3367" s="14"/>
    </row>
    <row r="3368" spans="2:16" ht="15.75" customHeight="1">
      <c r="B3368" s="14"/>
      <c r="H3368" s="14"/>
      <c r="I3368" s="567"/>
      <c r="J3368" s="18"/>
      <c r="N3368" s="14"/>
      <c r="O3368" s="14"/>
      <c r="P3368" s="14"/>
    </row>
    <row r="3369" spans="2:16" ht="15.75" customHeight="1">
      <c r="B3369" s="14"/>
      <c r="H3369" s="14"/>
      <c r="I3369" s="567"/>
      <c r="J3369" s="18"/>
      <c r="N3369" s="14"/>
      <c r="O3369" s="14"/>
      <c r="P3369" s="14"/>
    </row>
    <row r="3370" spans="2:16" ht="15.75" customHeight="1">
      <c r="B3370" s="14"/>
      <c r="H3370" s="14"/>
      <c r="I3370" s="567"/>
      <c r="J3370" s="18"/>
      <c r="N3370" s="14"/>
      <c r="O3370" s="14"/>
      <c r="P3370" s="14"/>
    </row>
    <row r="3371" spans="2:16" ht="15.75" customHeight="1">
      <c r="B3371" s="14"/>
      <c r="H3371" s="14"/>
      <c r="I3371" s="567"/>
      <c r="J3371" s="18"/>
      <c r="N3371" s="14"/>
      <c r="O3371" s="14"/>
      <c r="P3371" s="14"/>
    </row>
    <row r="3372" spans="2:16" ht="15.75" customHeight="1">
      <c r="B3372" s="14"/>
      <c r="H3372" s="14"/>
      <c r="I3372" s="567"/>
      <c r="J3372" s="18"/>
      <c r="N3372" s="14"/>
      <c r="O3372" s="14"/>
      <c r="P3372" s="14"/>
    </row>
    <row r="3373" spans="2:16" ht="15.75" customHeight="1">
      <c r="B3373" s="14"/>
      <c r="H3373" s="14"/>
      <c r="I3373" s="567"/>
      <c r="J3373" s="18"/>
      <c r="N3373" s="14"/>
      <c r="O3373" s="14"/>
      <c r="P3373" s="14"/>
    </row>
    <row r="3374" spans="2:16" ht="15.75" customHeight="1">
      <c r="B3374" s="14"/>
      <c r="H3374" s="14"/>
      <c r="I3374" s="567"/>
      <c r="J3374" s="18"/>
      <c r="N3374" s="14"/>
      <c r="O3374" s="14"/>
      <c r="P3374" s="14"/>
    </row>
    <row r="3375" spans="2:16" ht="15.75" customHeight="1">
      <c r="B3375" s="14"/>
      <c r="H3375" s="14"/>
      <c r="I3375" s="567"/>
      <c r="J3375" s="18"/>
      <c r="N3375" s="14"/>
      <c r="O3375" s="14"/>
      <c r="P3375" s="14"/>
    </row>
    <row r="3376" spans="2:16" ht="15.75" customHeight="1">
      <c r="B3376" s="14"/>
      <c r="H3376" s="14"/>
      <c r="I3376" s="567"/>
      <c r="J3376" s="18"/>
      <c r="N3376" s="14"/>
      <c r="O3376" s="14"/>
      <c r="P3376" s="14"/>
    </row>
    <row r="3377" spans="2:16" ht="15.75" customHeight="1">
      <c r="B3377" s="14"/>
      <c r="H3377" s="14"/>
      <c r="I3377" s="567"/>
      <c r="J3377" s="18"/>
      <c r="N3377" s="14"/>
      <c r="O3377" s="14"/>
      <c r="P3377" s="14"/>
    </row>
    <row r="3378" spans="2:16" ht="15.75" customHeight="1">
      <c r="B3378" s="14"/>
      <c r="H3378" s="14"/>
      <c r="I3378" s="567"/>
      <c r="J3378" s="18"/>
      <c r="N3378" s="14"/>
      <c r="O3378" s="14"/>
      <c r="P3378" s="14"/>
    </row>
    <row r="3379" spans="2:16" ht="15.75" customHeight="1">
      <c r="B3379" s="14"/>
      <c r="H3379" s="14"/>
      <c r="I3379" s="567"/>
      <c r="J3379" s="18"/>
      <c r="N3379" s="14"/>
      <c r="O3379" s="14"/>
      <c r="P3379" s="14"/>
    </row>
    <row r="3380" spans="2:16" ht="15.75" customHeight="1">
      <c r="B3380" s="14"/>
      <c r="H3380" s="14"/>
      <c r="I3380" s="567"/>
      <c r="J3380" s="18"/>
      <c r="N3380" s="14"/>
      <c r="O3380" s="14"/>
      <c r="P3380" s="14"/>
    </row>
    <row r="3381" spans="2:16" ht="15.75" customHeight="1">
      <c r="B3381" s="14"/>
      <c r="H3381" s="14"/>
      <c r="I3381" s="567"/>
      <c r="J3381" s="18"/>
      <c r="N3381" s="14"/>
      <c r="O3381" s="14"/>
      <c r="P3381" s="14"/>
    </row>
    <row r="3382" spans="2:16" ht="15.75" customHeight="1">
      <c r="B3382" s="14"/>
      <c r="H3382" s="14"/>
      <c r="I3382" s="567"/>
      <c r="J3382" s="18"/>
      <c r="N3382" s="14"/>
      <c r="O3382" s="14"/>
      <c r="P3382" s="14"/>
    </row>
    <row r="3383" spans="2:16" ht="15.75" customHeight="1">
      <c r="B3383" s="14"/>
      <c r="H3383" s="14"/>
      <c r="I3383" s="567"/>
      <c r="J3383" s="18"/>
      <c r="N3383" s="14"/>
      <c r="O3383" s="14"/>
      <c r="P3383" s="14"/>
    </row>
    <row r="3384" spans="2:16" ht="15.75" customHeight="1">
      <c r="B3384" s="14"/>
      <c r="H3384" s="14"/>
      <c r="I3384" s="567"/>
      <c r="J3384" s="18"/>
      <c r="N3384" s="14"/>
      <c r="O3384" s="14"/>
      <c r="P3384" s="14"/>
    </row>
    <row r="3385" spans="2:16" ht="15.75" customHeight="1">
      <c r="B3385" s="14"/>
      <c r="H3385" s="14"/>
      <c r="I3385" s="567"/>
      <c r="J3385" s="18"/>
      <c r="N3385" s="14"/>
      <c r="O3385" s="14"/>
      <c r="P3385" s="14"/>
    </row>
    <row r="3386" spans="2:16" ht="15.75" customHeight="1">
      <c r="B3386" s="14"/>
      <c r="H3386" s="14"/>
      <c r="I3386" s="567"/>
      <c r="J3386" s="18"/>
      <c r="N3386" s="14"/>
      <c r="O3386" s="14"/>
      <c r="P3386" s="14"/>
    </row>
    <row r="3387" spans="2:16" ht="15.75" customHeight="1">
      <c r="B3387" s="14"/>
      <c r="H3387" s="14"/>
      <c r="I3387" s="567"/>
      <c r="J3387" s="18"/>
      <c r="N3387" s="14"/>
      <c r="O3387" s="14"/>
      <c r="P3387" s="14"/>
    </row>
    <row r="3388" spans="2:16" ht="15.75" customHeight="1">
      <c r="B3388" s="14"/>
      <c r="H3388" s="14"/>
      <c r="I3388" s="567"/>
      <c r="J3388" s="18"/>
      <c r="N3388" s="14"/>
      <c r="O3388" s="14"/>
      <c r="P3388" s="14"/>
    </row>
    <row r="3389" spans="2:16" ht="15.75" customHeight="1">
      <c r="B3389" s="14"/>
      <c r="H3389" s="14"/>
      <c r="I3389" s="567"/>
      <c r="J3389" s="18"/>
      <c r="N3389" s="14"/>
      <c r="O3389" s="14"/>
      <c r="P3389" s="14"/>
    </row>
    <row r="3390" spans="2:16" ht="15.75" customHeight="1">
      <c r="B3390" s="14"/>
      <c r="H3390" s="14"/>
      <c r="I3390" s="567"/>
      <c r="J3390" s="18"/>
      <c r="N3390" s="14"/>
      <c r="O3390" s="14"/>
      <c r="P3390" s="14"/>
    </row>
    <row r="3391" spans="2:16" ht="15.75" customHeight="1">
      <c r="B3391" s="14"/>
      <c r="H3391" s="14"/>
      <c r="I3391" s="567"/>
      <c r="J3391" s="18"/>
      <c r="N3391" s="14"/>
      <c r="O3391" s="14"/>
      <c r="P3391" s="14"/>
    </row>
    <row r="3392" spans="2:16" ht="15.75" customHeight="1">
      <c r="B3392" s="14"/>
      <c r="H3392" s="14"/>
      <c r="I3392" s="567"/>
      <c r="J3392" s="18"/>
      <c r="N3392" s="14"/>
      <c r="O3392" s="14"/>
      <c r="P3392" s="14"/>
    </row>
    <row r="3393" spans="2:16" ht="15.75" customHeight="1">
      <c r="B3393" s="14"/>
      <c r="H3393" s="14"/>
      <c r="I3393" s="567"/>
      <c r="J3393" s="18"/>
      <c r="N3393" s="14"/>
      <c r="O3393" s="14"/>
      <c r="P3393" s="14"/>
    </row>
    <row r="3394" spans="2:16" ht="15.75" customHeight="1">
      <c r="B3394" s="14"/>
      <c r="H3394" s="14"/>
      <c r="I3394" s="567"/>
      <c r="J3394" s="18"/>
      <c r="N3394" s="14"/>
      <c r="O3394" s="14"/>
      <c r="P3394" s="14"/>
    </row>
    <row r="3395" spans="2:16" ht="15.75" customHeight="1">
      <c r="B3395" s="14"/>
      <c r="H3395" s="14"/>
      <c r="I3395" s="567"/>
      <c r="J3395" s="18"/>
      <c r="N3395" s="14"/>
      <c r="O3395" s="14"/>
      <c r="P3395" s="14"/>
    </row>
    <row r="3396" spans="2:16" ht="15.75" customHeight="1">
      <c r="B3396" s="14"/>
      <c r="H3396" s="14"/>
      <c r="I3396" s="567"/>
      <c r="J3396" s="18"/>
      <c r="N3396" s="14"/>
      <c r="O3396" s="14"/>
      <c r="P3396" s="14"/>
    </row>
    <row r="3397" spans="2:16" ht="15.75" customHeight="1">
      <c r="B3397" s="14"/>
      <c r="H3397" s="14"/>
      <c r="I3397" s="567"/>
      <c r="J3397" s="18"/>
      <c r="N3397" s="14"/>
      <c r="O3397" s="14"/>
      <c r="P3397" s="14"/>
    </row>
    <row r="3398" spans="2:16" ht="15.75" customHeight="1">
      <c r="B3398" s="14"/>
      <c r="H3398" s="14"/>
      <c r="I3398" s="567"/>
      <c r="J3398" s="18"/>
      <c r="N3398" s="14"/>
      <c r="O3398" s="14"/>
      <c r="P3398" s="14"/>
    </row>
    <row r="3399" spans="2:16" ht="15.75" customHeight="1">
      <c r="B3399" s="14"/>
      <c r="H3399" s="14"/>
      <c r="I3399" s="567"/>
      <c r="J3399" s="18"/>
      <c r="N3399" s="14"/>
      <c r="O3399" s="14"/>
      <c r="P3399" s="14"/>
    </row>
    <row r="3400" spans="2:16" ht="15.75" customHeight="1">
      <c r="B3400" s="14"/>
      <c r="H3400" s="14"/>
      <c r="I3400" s="567"/>
      <c r="J3400" s="18"/>
      <c r="N3400" s="14"/>
      <c r="O3400" s="14"/>
      <c r="P3400" s="14"/>
    </row>
    <row r="3401" spans="2:16" ht="15.75" customHeight="1">
      <c r="B3401" s="14"/>
      <c r="H3401" s="14"/>
      <c r="I3401" s="567"/>
      <c r="J3401" s="18"/>
      <c r="N3401" s="14"/>
      <c r="O3401" s="14"/>
      <c r="P3401" s="14"/>
    </row>
    <row r="3402" spans="2:16" ht="15.75" customHeight="1">
      <c r="B3402" s="14"/>
      <c r="H3402" s="14"/>
      <c r="I3402" s="567"/>
      <c r="J3402" s="18"/>
      <c r="N3402" s="14"/>
      <c r="O3402" s="14"/>
      <c r="P3402" s="14"/>
    </row>
    <row r="3403" spans="2:16" ht="15.75" customHeight="1">
      <c r="B3403" s="14"/>
      <c r="H3403" s="14"/>
      <c r="I3403" s="567"/>
      <c r="J3403" s="18"/>
      <c r="N3403" s="14"/>
      <c r="O3403" s="14"/>
      <c r="P3403" s="14"/>
    </row>
    <row r="3404" spans="2:16" ht="15.75" customHeight="1">
      <c r="B3404" s="14"/>
      <c r="H3404" s="14"/>
      <c r="I3404" s="567"/>
      <c r="J3404" s="18"/>
      <c r="N3404" s="14"/>
      <c r="O3404" s="14"/>
      <c r="P3404" s="14"/>
    </row>
    <row r="3405" spans="2:16" ht="15.75" customHeight="1">
      <c r="B3405" s="14"/>
      <c r="H3405" s="14"/>
      <c r="I3405" s="567"/>
      <c r="J3405" s="18"/>
      <c r="N3405" s="14"/>
      <c r="O3405" s="14"/>
      <c r="P3405" s="14"/>
    </row>
    <row r="3406" spans="2:16" ht="15.75" customHeight="1">
      <c r="B3406" s="14"/>
      <c r="H3406" s="14"/>
      <c r="I3406" s="567"/>
      <c r="J3406" s="18"/>
      <c r="N3406" s="14"/>
      <c r="O3406" s="14"/>
      <c r="P3406" s="14"/>
    </row>
    <row r="3407" spans="2:16" ht="15.75" customHeight="1">
      <c r="B3407" s="14"/>
      <c r="H3407" s="14"/>
      <c r="I3407" s="567"/>
      <c r="J3407" s="18"/>
      <c r="N3407" s="14"/>
      <c r="O3407" s="14"/>
      <c r="P3407" s="14"/>
    </row>
    <row r="3408" spans="2:16" ht="15.75" customHeight="1">
      <c r="B3408" s="14"/>
      <c r="H3408" s="14"/>
      <c r="I3408" s="567"/>
      <c r="J3408" s="18"/>
      <c r="N3408" s="14"/>
      <c r="O3408" s="14"/>
      <c r="P3408" s="14"/>
    </row>
    <row r="3409" spans="2:16" ht="15.75" customHeight="1">
      <c r="B3409" s="14"/>
      <c r="H3409" s="14"/>
      <c r="I3409" s="567"/>
      <c r="J3409" s="18"/>
      <c r="N3409" s="14"/>
      <c r="O3409" s="14"/>
      <c r="P3409" s="14"/>
    </row>
    <row r="3410" spans="2:16" ht="15.75" customHeight="1">
      <c r="B3410" s="14"/>
      <c r="H3410" s="14"/>
      <c r="I3410" s="567"/>
      <c r="J3410" s="18"/>
      <c r="N3410" s="14"/>
      <c r="O3410" s="14"/>
      <c r="P3410" s="14"/>
    </row>
    <row r="3411" spans="2:16" ht="15.75" customHeight="1">
      <c r="B3411" s="14"/>
      <c r="H3411" s="14"/>
      <c r="I3411" s="567"/>
      <c r="J3411" s="18"/>
      <c r="N3411" s="14"/>
      <c r="O3411" s="14"/>
      <c r="P3411" s="14"/>
    </row>
    <row r="3412" spans="2:16" ht="15.75" customHeight="1">
      <c r="B3412" s="14"/>
      <c r="H3412" s="14"/>
      <c r="I3412" s="567"/>
      <c r="J3412" s="18"/>
      <c r="N3412" s="14"/>
      <c r="O3412" s="14"/>
      <c r="P3412" s="14"/>
    </row>
    <row r="3413" spans="2:16" ht="15.75" customHeight="1">
      <c r="B3413" s="14"/>
      <c r="H3413" s="14"/>
      <c r="I3413" s="567"/>
      <c r="J3413" s="18"/>
      <c r="N3413" s="14"/>
      <c r="O3413" s="14"/>
      <c r="P3413" s="14"/>
    </row>
    <row r="3414" spans="2:16" ht="15.75" customHeight="1">
      <c r="B3414" s="14"/>
      <c r="H3414" s="14"/>
      <c r="I3414" s="567"/>
      <c r="J3414" s="18"/>
      <c r="N3414" s="14"/>
      <c r="O3414" s="14"/>
      <c r="P3414" s="14"/>
    </row>
    <row r="3415" spans="2:16" ht="15.75" customHeight="1">
      <c r="B3415" s="14"/>
      <c r="H3415" s="14"/>
      <c r="I3415" s="567"/>
      <c r="J3415" s="18"/>
      <c r="N3415" s="14"/>
      <c r="O3415" s="14"/>
      <c r="P3415" s="14"/>
    </row>
    <row r="3416" spans="2:16" ht="15.75" customHeight="1">
      <c r="B3416" s="14"/>
      <c r="H3416" s="14"/>
      <c r="I3416" s="567"/>
      <c r="J3416" s="18"/>
      <c r="N3416" s="14"/>
      <c r="O3416" s="14"/>
      <c r="P3416" s="14"/>
    </row>
    <row r="3417" spans="2:16" ht="15.75" customHeight="1">
      <c r="B3417" s="14"/>
      <c r="H3417" s="14"/>
      <c r="I3417" s="567"/>
      <c r="J3417" s="18"/>
      <c r="N3417" s="14"/>
      <c r="O3417" s="14"/>
      <c r="P3417" s="14"/>
    </row>
    <row r="3418" spans="2:16" ht="15.75" customHeight="1">
      <c r="B3418" s="14"/>
      <c r="H3418" s="14"/>
      <c r="I3418" s="567"/>
      <c r="J3418" s="18"/>
      <c r="N3418" s="14"/>
      <c r="O3418" s="14"/>
      <c r="P3418" s="14"/>
    </row>
    <row r="3419" spans="2:16" ht="15.75" customHeight="1">
      <c r="B3419" s="14"/>
      <c r="H3419" s="14"/>
      <c r="I3419" s="567"/>
      <c r="J3419" s="18"/>
      <c r="N3419" s="14"/>
      <c r="O3419" s="14"/>
      <c r="P3419" s="14"/>
    </row>
    <row r="3420" spans="2:16" ht="15.75" customHeight="1">
      <c r="B3420" s="14"/>
      <c r="H3420" s="14"/>
      <c r="I3420" s="567"/>
      <c r="J3420" s="18"/>
      <c r="N3420" s="14"/>
      <c r="O3420" s="14"/>
      <c r="P3420" s="14"/>
    </row>
    <row r="3421" spans="2:16" ht="15.75" customHeight="1">
      <c r="B3421" s="14"/>
      <c r="H3421" s="14"/>
      <c r="I3421" s="567"/>
      <c r="J3421" s="18"/>
      <c r="N3421" s="14"/>
      <c r="O3421" s="14"/>
      <c r="P3421" s="14"/>
    </row>
    <row r="3422" spans="2:16" ht="15.75" customHeight="1">
      <c r="B3422" s="14"/>
      <c r="H3422" s="14"/>
      <c r="I3422" s="567"/>
      <c r="J3422" s="18"/>
      <c r="N3422" s="14"/>
      <c r="O3422" s="14"/>
      <c r="P3422" s="14"/>
    </row>
    <row r="3423" spans="2:16" ht="15.75" customHeight="1">
      <c r="B3423" s="14"/>
      <c r="H3423" s="14"/>
      <c r="I3423" s="567"/>
      <c r="J3423" s="18"/>
      <c r="N3423" s="14"/>
      <c r="O3423" s="14"/>
      <c r="P3423" s="14"/>
    </row>
    <row r="3424" spans="2:16" ht="15.75" customHeight="1">
      <c r="B3424" s="14"/>
      <c r="H3424" s="14"/>
      <c r="I3424" s="567"/>
      <c r="J3424" s="18"/>
      <c r="N3424" s="14"/>
      <c r="O3424" s="14"/>
      <c r="P3424" s="14"/>
    </row>
    <row r="3425" spans="2:16" ht="15.75" customHeight="1">
      <c r="B3425" s="14"/>
      <c r="H3425" s="14"/>
      <c r="I3425" s="567"/>
      <c r="J3425" s="18"/>
      <c r="N3425" s="14"/>
      <c r="O3425" s="14"/>
      <c r="P3425" s="14"/>
    </row>
    <row r="3426" spans="2:16" ht="15.75" customHeight="1">
      <c r="B3426" s="14"/>
      <c r="H3426" s="14"/>
      <c r="I3426" s="567"/>
      <c r="J3426" s="18"/>
      <c r="N3426" s="14"/>
      <c r="O3426" s="14"/>
      <c r="P3426" s="14"/>
    </row>
    <row r="3427" spans="2:16" ht="15.75" customHeight="1">
      <c r="B3427" s="14"/>
      <c r="H3427" s="14"/>
      <c r="I3427" s="567"/>
      <c r="J3427" s="18"/>
      <c r="N3427" s="14"/>
      <c r="O3427" s="14"/>
      <c r="P3427" s="14"/>
    </row>
    <row r="3428" spans="2:16" ht="15.75" customHeight="1">
      <c r="B3428" s="14"/>
      <c r="H3428" s="14"/>
      <c r="I3428" s="567"/>
      <c r="J3428" s="18"/>
      <c r="N3428" s="14"/>
      <c r="O3428" s="14"/>
      <c r="P3428" s="14"/>
    </row>
    <row r="3429" spans="2:16" ht="15.75" customHeight="1">
      <c r="B3429" s="14"/>
      <c r="H3429" s="14"/>
      <c r="I3429" s="567"/>
      <c r="J3429" s="18"/>
      <c r="N3429" s="14"/>
      <c r="O3429" s="14"/>
      <c r="P3429" s="14"/>
    </row>
    <row r="3430" spans="2:16" ht="15.75" customHeight="1">
      <c r="B3430" s="14"/>
      <c r="H3430" s="14"/>
      <c r="I3430" s="567"/>
      <c r="J3430" s="18"/>
      <c r="N3430" s="14"/>
      <c r="O3430" s="14"/>
      <c r="P3430" s="14"/>
    </row>
    <row r="3431" spans="2:16" ht="15.75" customHeight="1">
      <c r="B3431" s="14"/>
      <c r="H3431" s="14"/>
      <c r="I3431" s="567"/>
      <c r="J3431" s="18"/>
      <c r="N3431" s="14"/>
      <c r="O3431" s="14"/>
      <c r="P3431" s="14"/>
    </row>
    <row r="3432" spans="2:16" ht="15.75" customHeight="1">
      <c r="B3432" s="14"/>
      <c r="H3432" s="14"/>
      <c r="I3432" s="567"/>
      <c r="J3432" s="18"/>
      <c r="N3432" s="14"/>
      <c r="O3432" s="14"/>
      <c r="P3432" s="14"/>
    </row>
    <row r="3433" spans="2:16" ht="15.75" customHeight="1">
      <c r="B3433" s="14"/>
      <c r="H3433" s="14"/>
      <c r="I3433" s="567"/>
      <c r="J3433" s="18"/>
      <c r="N3433" s="14"/>
      <c r="O3433" s="14"/>
      <c r="P3433" s="14"/>
    </row>
    <row r="3434" spans="2:16" ht="15.75" customHeight="1">
      <c r="B3434" s="14"/>
      <c r="H3434" s="14"/>
      <c r="I3434" s="567"/>
      <c r="J3434" s="18"/>
      <c r="N3434" s="14"/>
      <c r="O3434" s="14"/>
      <c r="P3434" s="14"/>
    </row>
    <row r="3435" spans="2:16" ht="15.75" customHeight="1">
      <c r="B3435" s="14"/>
      <c r="H3435" s="14"/>
      <c r="I3435" s="567"/>
      <c r="J3435" s="18"/>
      <c r="N3435" s="14"/>
      <c r="O3435" s="14"/>
      <c r="P3435" s="14"/>
    </row>
    <row r="3436" spans="2:16" ht="15.75" customHeight="1">
      <c r="B3436" s="14"/>
      <c r="H3436" s="14"/>
      <c r="I3436" s="567"/>
      <c r="J3436" s="18"/>
      <c r="N3436" s="14"/>
      <c r="O3436" s="14"/>
      <c r="P3436" s="14"/>
    </row>
    <row r="3437" spans="2:16" ht="15.75" customHeight="1">
      <c r="B3437" s="14"/>
      <c r="H3437" s="14"/>
      <c r="I3437" s="567"/>
      <c r="J3437" s="18"/>
      <c r="N3437" s="14"/>
      <c r="O3437" s="14"/>
      <c r="P3437" s="14"/>
    </row>
    <row r="3438" spans="2:16" ht="15.75" customHeight="1">
      <c r="B3438" s="14"/>
      <c r="H3438" s="14"/>
      <c r="I3438" s="567"/>
      <c r="J3438" s="18"/>
      <c r="N3438" s="14"/>
      <c r="O3438" s="14"/>
      <c r="P3438" s="14"/>
    </row>
    <row r="3439" spans="2:16" ht="15.75" customHeight="1">
      <c r="B3439" s="14"/>
      <c r="H3439" s="14"/>
      <c r="I3439" s="567"/>
      <c r="J3439" s="18"/>
      <c r="N3439" s="14"/>
      <c r="O3439" s="14"/>
      <c r="P3439" s="14"/>
    </row>
    <row r="3440" spans="2:16" ht="15.75" customHeight="1">
      <c r="B3440" s="14"/>
      <c r="H3440" s="14"/>
      <c r="I3440" s="567"/>
      <c r="J3440" s="18"/>
      <c r="N3440" s="14"/>
      <c r="O3440" s="14"/>
      <c r="P3440" s="14"/>
    </row>
    <row r="3441" spans="2:16" ht="15.75" customHeight="1">
      <c r="B3441" s="14"/>
      <c r="H3441" s="14"/>
      <c r="I3441" s="567"/>
      <c r="J3441" s="18"/>
      <c r="N3441" s="14"/>
      <c r="O3441" s="14"/>
      <c r="P3441" s="14"/>
    </row>
    <row r="3442" spans="2:16" ht="15.75" customHeight="1">
      <c r="B3442" s="14"/>
      <c r="H3442" s="14"/>
      <c r="I3442" s="567"/>
      <c r="J3442" s="18"/>
      <c r="N3442" s="14"/>
      <c r="O3442" s="14"/>
      <c r="P3442" s="14"/>
    </row>
    <row r="3443" spans="2:16" ht="15.75" customHeight="1">
      <c r="B3443" s="14"/>
      <c r="H3443" s="14"/>
      <c r="I3443" s="567"/>
      <c r="J3443" s="18"/>
      <c r="N3443" s="14"/>
      <c r="O3443" s="14"/>
      <c r="P3443" s="14"/>
    </row>
    <row r="3444" spans="2:16" ht="15.75" customHeight="1">
      <c r="B3444" s="14"/>
      <c r="H3444" s="14"/>
      <c r="I3444" s="567"/>
      <c r="J3444" s="18"/>
      <c r="N3444" s="14"/>
      <c r="O3444" s="14"/>
      <c r="P3444" s="14"/>
    </row>
    <row r="3445" spans="2:16" ht="15.75" customHeight="1">
      <c r="B3445" s="14"/>
      <c r="H3445" s="14"/>
      <c r="I3445" s="567"/>
      <c r="J3445" s="18"/>
      <c r="N3445" s="14"/>
      <c r="O3445" s="14"/>
      <c r="P3445" s="14"/>
    </row>
    <row r="3446" spans="2:16" ht="15.75" customHeight="1">
      <c r="B3446" s="14"/>
      <c r="H3446" s="14"/>
      <c r="I3446" s="567"/>
      <c r="J3446" s="18"/>
      <c r="N3446" s="14"/>
      <c r="O3446" s="14"/>
      <c r="P3446" s="14"/>
    </row>
    <row r="3447" spans="2:16" ht="15.75" customHeight="1">
      <c r="B3447" s="14"/>
      <c r="H3447" s="14"/>
      <c r="I3447" s="567"/>
      <c r="J3447" s="18"/>
      <c r="N3447" s="14"/>
      <c r="O3447" s="14"/>
      <c r="P3447" s="14"/>
    </row>
    <row r="3448" spans="2:16" ht="15.75" customHeight="1">
      <c r="B3448" s="14"/>
      <c r="H3448" s="14"/>
      <c r="I3448" s="567"/>
      <c r="J3448" s="18"/>
      <c r="N3448" s="14"/>
      <c r="O3448" s="14"/>
      <c r="P3448" s="14"/>
    </row>
    <row r="3449" spans="2:16" ht="15.75" customHeight="1">
      <c r="B3449" s="14"/>
      <c r="H3449" s="14"/>
      <c r="I3449" s="567"/>
      <c r="J3449" s="18"/>
      <c r="N3449" s="14"/>
      <c r="O3449" s="14"/>
      <c r="P3449" s="14"/>
    </row>
    <row r="3450" spans="2:16" ht="15.75" customHeight="1">
      <c r="B3450" s="14"/>
      <c r="H3450" s="14"/>
      <c r="I3450" s="567"/>
      <c r="J3450" s="18"/>
      <c r="N3450" s="14"/>
      <c r="O3450" s="14"/>
      <c r="P3450" s="14"/>
    </row>
    <row r="3451" spans="2:16" ht="15.75" customHeight="1">
      <c r="B3451" s="14"/>
      <c r="H3451" s="14"/>
      <c r="I3451" s="567"/>
      <c r="J3451" s="18"/>
      <c r="N3451" s="14"/>
      <c r="O3451" s="14"/>
      <c r="P3451" s="14"/>
    </row>
    <row r="3452" spans="2:16" ht="15.75" customHeight="1">
      <c r="B3452" s="14"/>
      <c r="H3452" s="14"/>
      <c r="I3452" s="567"/>
      <c r="J3452" s="18"/>
      <c r="N3452" s="14"/>
      <c r="O3452" s="14"/>
      <c r="P3452" s="14"/>
    </row>
    <row r="3453" spans="2:16" ht="15.75" customHeight="1">
      <c r="B3453" s="14"/>
      <c r="H3453" s="14"/>
      <c r="I3453" s="567"/>
      <c r="J3453" s="18"/>
      <c r="N3453" s="14"/>
      <c r="O3453" s="14"/>
      <c r="P3453" s="14"/>
    </row>
    <row r="3454" spans="2:16" ht="15.75" customHeight="1">
      <c r="B3454" s="14"/>
      <c r="H3454" s="14"/>
      <c r="I3454" s="567"/>
      <c r="J3454" s="18"/>
      <c r="N3454" s="14"/>
      <c r="O3454" s="14"/>
      <c r="P3454" s="14"/>
    </row>
    <row r="3455" spans="2:16" ht="15.75" customHeight="1">
      <c r="B3455" s="14"/>
      <c r="H3455" s="14"/>
      <c r="I3455" s="567"/>
      <c r="J3455" s="18"/>
      <c r="N3455" s="14"/>
      <c r="O3455" s="14"/>
      <c r="P3455" s="14"/>
    </row>
    <row r="3456" spans="2:16" ht="15.75" customHeight="1">
      <c r="B3456" s="14"/>
      <c r="H3456" s="14"/>
      <c r="I3456" s="567"/>
      <c r="J3456" s="18"/>
      <c r="N3456" s="14"/>
      <c r="O3456" s="14"/>
      <c r="P3456" s="14"/>
    </row>
    <row r="3457" spans="2:16" ht="15.75" customHeight="1">
      <c r="B3457" s="14"/>
      <c r="H3457" s="14"/>
      <c r="I3457" s="567"/>
      <c r="J3457" s="18"/>
      <c r="N3457" s="14"/>
      <c r="O3457" s="14"/>
      <c r="P3457" s="14"/>
    </row>
    <row r="3458" spans="2:16" ht="15.75" customHeight="1">
      <c r="B3458" s="14"/>
      <c r="H3458" s="14"/>
      <c r="I3458" s="567"/>
      <c r="J3458" s="18"/>
      <c r="N3458" s="14"/>
      <c r="O3458" s="14"/>
      <c r="P3458" s="14"/>
    </row>
    <row r="3459" spans="2:16" ht="15.75" customHeight="1">
      <c r="B3459" s="14"/>
      <c r="H3459" s="14"/>
      <c r="I3459" s="567"/>
      <c r="J3459" s="18"/>
      <c r="N3459" s="14"/>
      <c r="O3459" s="14"/>
      <c r="P3459" s="14"/>
    </row>
    <row r="3460" spans="2:16" ht="15.75" customHeight="1">
      <c r="B3460" s="14"/>
      <c r="H3460" s="14"/>
      <c r="I3460" s="567"/>
      <c r="J3460" s="18"/>
      <c r="N3460" s="14"/>
      <c r="O3460" s="14"/>
      <c r="P3460" s="14"/>
    </row>
    <row r="3461" spans="2:16" ht="15.75" customHeight="1">
      <c r="B3461" s="14"/>
      <c r="H3461" s="14"/>
      <c r="I3461" s="567"/>
      <c r="J3461" s="18"/>
      <c r="N3461" s="14"/>
      <c r="O3461" s="14"/>
      <c r="P3461" s="14"/>
    </row>
    <row r="3462" spans="2:16" ht="15.75" customHeight="1">
      <c r="B3462" s="14"/>
      <c r="H3462" s="14"/>
      <c r="I3462" s="567"/>
      <c r="J3462" s="18"/>
      <c r="N3462" s="14"/>
      <c r="O3462" s="14"/>
      <c r="P3462" s="14"/>
    </row>
    <row r="3463" spans="2:16" ht="15.75" customHeight="1">
      <c r="B3463" s="14"/>
      <c r="H3463" s="14"/>
      <c r="I3463" s="567"/>
      <c r="J3463" s="18"/>
      <c r="N3463" s="14"/>
      <c r="O3463" s="14"/>
      <c r="P3463" s="14"/>
    </row>
    <row r="3464" spans="2:16" ht="15.75" customHeight="1">
      <c r="B3464" s="14"/>
      <c r="H3464" s="14"/>
      <c r="I3464" s="567"/>
      <c r="J3464" s="18"/>
      <c r="N3464" s="14"/>
      <c r="O3464" s="14"/>
      <c r="P3464" s="14"/>
    </row>
    <row r="3465" spans="2:16" ht="15.75" customHeight="1">
      <c r="B3465" s="14"/>
      <c r="H3465" s="14"/>
      <c r="I3465" s="567"/>
      <c r="J3465" s="18"/>
      <c r="N3465" s="14"/>
      <c r="O3465" s="14"/>
      <c r="P3465" s="14"/>
    </row>
    <row r="3466" spans="2:16" ht="15.75" customHeight="1">
      <c r="B3466" s="14"/>
      <c r="H3466" s="14"/>
      <c r="I3466" s="567"/>
      <c r="J3466" s="18"/>
      <c r="N3466" s="14"/>
      <c r="O3466" s="14"/>
      <c r="P3466" s="14"/>
    </row>
    <row r="3467" spans="2:16" ht="15.75" customHeight="1">
      <c r="B3467" s="14"/>
      <c r="H3467" s="14"/>
      <c r="I3467" s="567"/>
      <c r="J3467" s="18"/>
      <c r="N3467" s="14"/>
      <c r="O3467" s="14"/>
      <c r="P3467" s="14"/>
    </row>
    <row r="3468" spans="2:16" ht="15.75" customHeight="1">
      <c r="B3468" s="14"/>
      <c r="H3468" s="14"/>
      <c r="I3468" s="567"/>
      <c r="J3468" s="18"/>
      <c r="N3468" s="14"/>
      <c r="O3468" s="14"/>
      <c r="P3468" s="14"/>
    </row>
    <row r="3469" spans="2:16" ht="15.75" customHeight="1">
      <c r="B3469" s="14"/>
      <c r="H3469" s="14"/>
      <c r="I3469" s="567"/>
      <c r="J3469" s="18"/>
      <c r="N3469" s="14"/>
      <c r="O3469" s="14"/>
      <c r="P3469" s="14"/>
    </row>
    <row r="3470" spans="2:16" ht="15.75" customHeight="1">
      <c r="B3470" s="14"/>
      <c r="H3470" s="14"/>
      <c r="I3470" s="567"/>
      <c r="J3470" s="18"/>
      <c r="N3470" s="14"/>
      <c r="O3470" s="14"/>
      <c r="P3470" s="14"/>
    </row>
    <row r="3471" spans="2:16" ht="15.75" customHeight="1">
      <c r="B3471" s="14"/>
      <c r="H3471" s="14"/>
      <c r="I3471" s="567"/>
      <c r="J3471" s="18"/>
      <c r="N3471" s="14"/>
      <c r="O3471" s="14"/>
      <c r="P3471" s="14"/>
    </row>
    <row r="3472" spans="2:16" ht="15.75" customHeight="1">
      <c r="B3472" s="14"/>
      <c r="H3472" s="14"/>
      <c r="I3472" s="567"/>
      <c r="J3472" s="18"/>
      <c r="N3472" s="14"/>
      <c r="O3472" s="14"/>
      <c r="P3472" s="14"/>
    </row>
    <row r="3473" spans="2:16" ht="15.75" customHeight="1">
      <c r="B3473" s="14"/>
      <c r="H3473" s="14"/>
      <c r="I3473" s="567"/>
      <c r="J3473" s="18"/>
      <c r="N3473" s="14"/>
      <c r="O3473" s="14"/>
      <c r="P3473" s="14"/>
    </row>
    <row r="3474" spans="2:16" ht="15.75" customHeight="1">
      <c r="B3474" s="14"/>
      <c r="H3474" s="14"/>
      <c r="I3474" s="567"/>
      <c r="J3474" s="18"/>
      <c r="N3474" s="14"/>
      <c r="O3474" s="14"/>
      <c r="P3474" s="14"/>
    </row>
    <row r="3475" spans="2:16" ht="15.75" customHeight="1">
      <c r="B3475" s="14"/>
      <c r="H3475" s="14"/>
      <c r="I3475" s="567"/>
      <c r="J3475" s="18"/>
      <c r="N3475" s="14"/>
      <c r="O3475" s="14"/>
      <c r="P3475" s="14"/>
    </row>
    <row r="3476" spans="2:16" ht="15.75" customHeight="1">
      <c r="B3476" s="14"/>
      <c r="H3476" s="14"/>
      <c r="I3476" s="567"/>
      <c r="J3476" s="18"/>
      <c r="N3476" s="14"/>
      <c r="O3476" s="14"/>
      <c r="P3476" s="14"/>
    </row>
    <row r="3477" spans="2:16" ht="15.75" customHeight="1">
      <c r="B3477" s="14"/>
      <c r="H3477" s="14"/>
      <c r="I3477" s="567"/>
      <c r="J3477" s="18"/>
      <c r="N3477" s="14"/>
      <c r="O3477" s="14"/>
      <c r="P3477" s="14"/>
    </row>
    <row r="3478" spans="2:16" ht="15.75" customHeight="1">
      <c r="B3478" s="14"/>
      <c r="H3478" s="14"/>
      <c r="I3478" s="567"/>
      <c r="J3478" s="18"/>
      <c r="N3478" s="14"/>
      <c r="O3478" s="14"/>
      <c r="P3478" s="14"/>
    </row>
    <row r="3479" spans="2:16" ht="15.75" customHeight="1">
      <c r="B3479" s="14"/>
      <c r="H3479" s="14"/>
      <c r="I3479" s="567"/>
      <c r="J3479" s="18"/>
      <c r="N3479" s="14"/>
      <c r="O3479" s="14"/>
      <c r="P3479" s="14"/>
    </row>
    <row r="3480" spans="2:16" ht="15.75" customHeight="1">
      <c r="B3480" s="14"/>
      <c r="H3480" s="14"/>
      <c r="I3480" s="567"/>
      <c r="J3480" s="18"/>
      <c r="N3480" s="14"/>
      <c r="O3480" s="14"/>
      <c r="P3480" s="14"/>
    </row>
    <row r="3481" spans="2:16" ht="15.75" customHeight="1">
      <c r="B3481" s="14"/>
      <c r="H3481" s="14"/>
      <c r="I3481" s="567"/>
      <c r="J3481" s="18"/>
      <c r="N3481" s="14"/>
      <c r="O3481" s="14"/>
      <c r="P3481" s="14"/>
    </row>
    <row r="3482" spans="2:16" ht="15.75" customHeight="1">
      <c r="B3482" s="14"/>
      <c r="H3482" s="14"/>
      <c r="I3482" s="567"/>
      <c r="J3482" s="18"/>
      <c r="N3482" s="14"/>
      <c r="O3482" s="14"/>
      <c r="P3482" s="14"/>
    </row>
    <row r="3483" spans="2:16" ht="15.75" customHeight="1">
      <c r="B3483" s="14"/>
      <c r="H3483" s="14"/>
      <c r="I3483" s="567"/>
      <c r="J3483" s="18"/>
      <c r="N3483" s="14"/>
      <c r="O3483" s="14"/>
      <c r="P3483" s="14"/>
    </row>
    <row r="3484" spans="2:16" ht="15.75" customHeight="1">
      <c r="B3484" s="14"/>
      <c r="H3484" s="14"/>
      <c r="I3484" s="567"/>
      <c r="J3484" s="18"/>
      <c r="N3484" s="14"/>
      <c r="O3484" s="14"/>
      <c r="P3484" s="14"/>
    </row>
    <row r="3485" spans="2:16" ht="15.75" customHeight="1">
      <c r="B3485" s="14"/>
      <c r="H3485" s="14"/>
      <c r="I3485" s="567"/>
      <c r="J3485" s="18"/>
      <c r="N3485" s="14"/>
      <c r="O3485" s="14"/>
      <c r="P3485" s="14"/>
    </row>
    <row r="3486" spans="2:16" ht="15.75" customHeight="1">
      <c r="B3486" s="14"/>
      <c r="H3486" s="14"/>
      <c r="I3486" s="567"/>
      <c r="J3486" s="18"/>
      <c r="N3486" s="14"/>
      <c r="O3486" s="14"/>
      <c r="P3486" s="14"/>
    </row>
    <row r="3487" spans="2:16" ht="15.75" customHeight="1">
      <c r="B3487" s="14"/>
      <c r="H3487" s="14"/>
      <c r="I3487" s="567"/>
      <c r="J3487" s="18"/>
      <c r="N3487" s="14"/>
      <c r="O3487" s="14"/>
      <c r="P3487" s="14"/>
    </row>
    <row r="3488" spans="2:16" ht="15.75" customHeight="1">
      <c r="B3488" s="14"/>
      <c r="H3488" s="14"/>
      <c r="I3488" s="567"/>
      <c r="J3488" s="18"/>
      <c r="N3488" s="14"/>
      <c r="O3488" s="14"/>
      <c r="P3488" s="14"/>
    </row>
    <row r="3489" spans="2:16" ht="15.75" customHeight="1">
      <c r="B3489" s="14"/>
      <c r="H3489" s="14"/>
      <c r="I3489" s="567"/>
      <c r="J3489" s="18"/>
      <c r="N3489" s="14"/>
      <c r="O3489" s="14"/>
      <c r="P3489" s="14"/>
    </row>
    <row r="3490" spans="2:16" ht="15.75" customHeight="1">
      <c r="B3490" s="14"/>
      <c r="H3490" s="14"/>
      <c r="I3490" s="567"/>
      <c r="J3490" s="18"/>
      <c r="N3490" s="14"/>
      <c r="O3490" s="14"/>
      <c r="P3490" s="14"/>
    </row>
    <row r="3491" spans="2:16" ht="15.75" customHeight="1">
      <c r="B3491" s="14"/>
      <c r="H3491" s="14"/>
      <c r="I3491" s="567"/>
      <c r="J3491" s="18"/>
      <c r="N3491" s="14"/>
      <c r="O3491" s="14"/>
      <c r="P3491" s="14"/>
    </row>
    <row r="3492" spans="2:16" ht="15.75" customHeight="1">
      <c r="B3492" s="14"/>
      <c r="H3492" s="14"/>
      <c r="I3492" s="567"/>
      <c r="J3492" s="18"/>
      <c r="N3492" s="14"/>
      <c r="O3492" s="14"/>
      <c r="P3492" s="14"/>
    </row>
    <row r="3493" spans="2:16" ht="15.75" customHeight="1">
      <c r="B3493" s="14"/>
      <c r="H3493" s="14"/>
      <c r="I3493" s="567"/>
      <c r="J3493" s="18"/>
      <c r="N3493" s="14"/>
      <c r="O3493" s="14"/>
      <c r="P3493" s="14"/>
    </row>
    <row r="3494" spans="2:16" ht="15.75" customHeight="1">
      <c r="B3494" s="14"/>
      <c r="H3494" s="14"/>
      <c r="I3494" s="567"/>
      <c r="J3494" s="18"/>
      <c r="N3494" s="14"/>
      <c r="O3494" s="14"/>
      <c r="P3494" s="14"/>
    </row>
    <row r="3495" spans="2:16" ht="15.75" customHeight="1">
      <c r="B3495" s="14"/>
      <c r="H3495" s="14"/>
      <c r="I3495" s="567"/>
      <c r="J3495" s="18"/>
      <c r="N3495" s="14"/>
      <c r="O3495" s="14"/>
      <c r="P3495" s="14"/>
    </row>
    <row r="3496" spans="2:16" ht="15.75" customHeight="1">
      <c r="B3496" s="14"/>
      <c r="H3496" s="14"/>
      <c r="I3496" s="567"/>
      <c r="J3496" s="18"/>
      <c r="N3496" s="14"/>
      <c r="O3496" s="14"/>
      <c r="P3496" s="14"/>
    </row>
    <row r="3497" spans="2:16" ht="15.75" customHeight="1">
      <c r="B3497" s="14"/>
      <c r="H3497" s="14"/>
      <c r="I3497" s="567"/>
      <c r="J3497" s="18"/>
      <c r="N3497" s="14"/>
      <c r="O3497" s="14"/>
      <c r="P3497" s="14"/>
    </row>
    <row r="3498" spans="2:16" ht="15.75" customHeight="1">
      <c r="B3498" s="14"/>
      <c r="H3498" s="14"/>
      <c r="I3498" s="567"/>
      <c r="J3498" s="18"/>
      <c r="N3498" s="14"/>
      <c r="O3498" s="14"/>
      <c r="P3498" s="14"/>
    </row>
    <row r="3499" spans="2:16" ht="15.75" customHeight="1">
      <c r="B3499" s="14"/>
      <c r="H3499" s="14"/>
      <c r="I3499" s="567"/>
      <c r="J3499" s="18"/>
      <c r="N3499" s="14"/>
      <c r="O3499" s="14"/>
      <c r="P3499" s="14"/>
    </row>
    <row r="3500" spans="2:16" ht="15.75" customHeight="1">
      <c r="B3500" s="14"/>
      <c r="H3500" s="14"/>
      <c r="I3500" s="567"/>
      <c r="J3500" s="18"/>
      <c r="N3500" s="14"/>
      <c r="O3500" s="14"/>
      <c r="P3500" s="14"/>
    </row>
    <row r="3501" spans="2:16" ht="15.75" customHeight="1">
      <c r="B3501" s="14"/>
      <c r="H3501" s="14"/>
      <c r="I3501" s="567"/>
      <c r="J3501" s="18"/>
      <c r="N3501" s="14"/>
      <c r="O3501" s="14"/>
      <c r="P3501" s="14"/>
    </row>
    <row r="3502" spans="2:16" ht="15.75" customHeight="1">
      <c r="B3502" s="14"/>
      <c r="H3502" s="14"/>
      <c r="I3502" s="567"/>
      <c r="J3502" s="18"/>
      <c r="N3502" s="14"/>
      <c r="O3502" s="14"/>
      <c r="P3502" s="14"/>
    </row>
    <row r="3503" spans="2:16" ht="15.75" customHeight="1">
      <c r="B3503" s="14"/>
      <c r="H3503" s="14"/>
      <c r="I3503" s="567"/>
      <c r="J3503" s="18"/>
      <c r="N3503" s="14"/>
      <c r="O3503" s="14"/>
      <c r="P3503" s="14"/>
    </row>
    <row r="3504" spans="2:16" ht="15.75" customHeight="1">
      <c r="B3504" s="14"/>
      <c r="H3504" s="14"/>
      <c r="I3504" s="567"/>
      <c r="J3504" s="18"/>
      <c r="N3504" s="14"/>
      <c r="O3504" s="14"/>
      <c r="P3504" s="14"/>
    </row>
    <row r="3505" spans="2:16" ht="15.75" customHeight="1">
      <c r="B3505" s="14"/>
      <c r="H3505" s="14"/>
      <c r="I3505" s="567"/>
      <c r="J3505" s="18"/>
      <c r="N3505" s="14"/>
      <c r="O3505" s="14"/>
      <c r="P3505" s="14"/>
    </row>
    <row r="3506" spans="2:16" ht="15.75" customHeight="1">
      <c r="B3506" s="14"/>
      <c r="H3506" s="14"/>
      <c r="I3506" s="567"/>
      <c r="J3506" s="18"/>
      <c r="N3506" s="14"/>
      <c r="O3506" s="14"/>
      <c r="P3506" s="14"/>
    </row>
    <row r="3507" spans="2:16" ht="15.75" customHeight="1">
      <c r="B3507" s="14"/>
      <c r="H3507" s="14"/>
      <c r="I3507" s="567"/>
      <c r="J3507" s="18"/>
      <c r="N3507" s="14"/>
      <c r="O3507" s="14"/>
      <c r="P3507" s="14"/>
    </row>
    <row r="3508" spans="2:16" ht="15.75" customHeight="1">
      <c r="B3508" s="14"/>
      <c r="H3508" s="14"/>
      <c r="I3508" s="567"/>
      <c r="J3508" s="18"/>
      <c r="N3508" s="14"/>
      <c r="O3508" s="14"/>
      <c r="P3508" s="14"/>
    </row>
    <row r="3509" spans="2:16" ht="15.75" customHeight="1">
      <c r="B3509" s="14"/>
      <c r="H3509" s="14"/>
      <c r="I3509" s="567"/>
      <c r="J3509" s="18"/>
      <c r="N3509" s="14"/>
      <c r="O3509" s="14"/>
      <c r="P3509" s="14"/>
    </row>
    <row r="3510" spans="2:16" ht="15.75" customHeight="1">
      <c r="B3510" s="14"/>
      <c r="H3510" s="14"/>
      <c r="I3510" s="567"/>
      <c r="J3510" s="18"/>
      <c r="N3510" s="14"/>
      <c r="O3510" s="14"/>
      <c r="P3510" s="14"/>
    </row>
    <row r="3511" spans="2:16" ht="15.75" customHeight="1">
      <c r="B3511" s="14"/>
      <c r="H3511" s="14"/>
      <c r="I3511" s="567"/>
      <c r="J3511" s="18"/>
      <c r="N3511" s="14"/>
      <c r="O3511" s="14"/>
      <c r="P3511" s="14"/>
    </row>
    <row r="3512" spans="2:16" ht="15.75" customHeight="1">
      <c r="B3512" s="14"/>
      <c r="H3512" s="14"/>
      <c r="I3512" s="567"/>
      <c r="J3512" s="18"/>
      <c r="N3512" s="14"/>
      <c r="O3512" s="14"/>
      <c r="P3512" s="14"/>
    </row>
    <row r="3513" spans="2:16" ht="15.75" customHeight="1">
      <c r="B3513" s="14"/>
      <c r="H3513" s="14"/>
      <c r="I3513" s="567"/>
      <c r="J3513" s="18"/>
      <c r="N3513" s="14"/>
      <c r="O3513" s="14"/>
      <c r="P3513" s="14"/>
    </row>
    <row r="3514" spans="2:16" ht="15.75" customHeight="1">
      <c r="B3514" s="14"/>
      <c r="H3514" s="14"/>
      <c r="I3514" s="567"/>
      <c r="J3514" s="18"/>
      <c r="N3514" s="14"/>
      <c r="O3514" s="14"/>
      <c r="P3514" s="14"/>
    </row>
    <row r="3515" spans="2:16" ht="15.75" customHeight="1">
      <c r="B3515" s="14"/>
      <c r="H3515" s="14"/>
      <c r="I3515" s="567"/>
      <c r="J3515" s="18"/>
      <c r="N3515" s="14"/>
      <c r="O3515" s="14"/>
      <c r="P3515" s="14"/>
    </row>
    <row r="3516" spans="2:16" ht="15.75" customHeight="1">
      <c r="B3516" s="14"/>
      <c r="H3516" s="14"/>
      <c r="I3516" s="567"/>
      <c r="J3516" s="18"/>
      <c r="N3516" s="14"/>
      <c r="O3516" s="14"/>
      <c r="P3516" s="14"/>
    </row>
    <row r="3517" spans="2:16" ht="15.75" customHeight="1">
      <c r="B3517" s="14"/>
      <c r="H3517" s="14"/>
      <c r="I3517" s="567"/>
      <c r="J3517" s="18"/>
      <c r="N3517" s="14"/>
      <c r="O3517" s="14"/>
      <c r="P3517" s="14"/>
    </row>
    <row r="3518" spans="2:16" ht="15.75" customHeight="1">
      <c r="B3518" s="14"/>
      <c r="H3518" s="14"/>
      <c r="I3518" s="567"/>
      <c r="J3518" s="18"/>
      <c r="N3518" s="14"/>
      <c r="O3518" s="14"/>
      <c r="P3518" s="14"/>
    </row>
    <row r="3519" spans="2:16" ht="15.75" customHeight="1">
      <c r="B3519" s="14"/>
      <c r="H3519" s="14"/>
      <c r="I3519" s="567"/>
      <c r="J3519" s="18"/>
      <c r="N3519" s="14"/>
      <c r="O3519" s="14"/>
      <c r="P3519" s="14"/>
    </row>
    <row r="3520" spans="2:16" ht="15.75" customHeight="1">
      <c r="B3520" s="14"/>
      <c r="H3520" s="14"/>
      <c r="I3520" s="567"/>
      <c r="J3520" s="18"/>
      <c r="N3520" s="14"/>
      <c r="O3520" s="14"/>
      <c r="P3520" s="14"/>
    </row>
    <row r="3521" spans="2:16" ht="15.75" customHeight="1">
      <c r="B3521" s="14"/>
      <c r="H3521" s="14"/>
      <c r="I3521" s="567"/>
      <c r="J3521" s="18"/>
      <c r="N3521" s="14"/>
      <c r="O3521" s="14"/>
      <c r="P3521" s="14"/>
    </row>
    <row r="3522" spans="2:16" ht="15.75" customHeight="1">
      <c r="B3522" s="14"/>
      <c r="H3522" s="14"/>
      <c r="I3522" s="567"/>
      <c r="J3522" s="18"/>
      <c r="N3522" s="14"/>
      <c r="O3522" s="14"/>
      <c r="P3522" s="14"/>
    </row>
    <row r="3523" spans="2:16" ht="15.75" customHeight="1">
      <c r="B3523" s="14"/>
      <c r="H3523" s="14"/>
      <c r="I3523" s="567"/>
      <c r="J3523" s="18"/>
      <c r="N3523" s="14"/>
      <c r="O3523" s="14"/>
      <c r="P3523" s="14"/>
    </row>
    <row r="3524" spans="2:16" ht="15.75" customHeight="1">
      <c r="B3524" s="14"/>
      <c r="H3524" s="14"/>
      <c r="I3524" s="567"/>
      <c r="J3524" s="18"/>
      <c r="N3524" s="14"/>
      <c r="O3524" s="14"/>
      <c r="P3524" s="14"/>
    </row>
    <row r="3525" spans="2:16" ht="15.75" customHeight="1">
      <c r="B3525" s="14"/>
      <c r="H3525" s="14"/>
      <c r="I3525" s="567"/>
      <c r="J3525" s="18"/>
      <c r="N3525" s="14"/>
      <c r="O3525" s="14"/>
      <c r="P3525" s="14"/>
    </row>
    <row r="3526" spans="2:16" ht="15.75" customHeight="1">
      <c r="B3526" s="14"/>
      <c r="H3526" s="14"/>
      <c r="I3526" s="567"/>
      <c r="J3526" s="18"/>
      <c r="N3526" s="14"/>
      <c r="O3526" s="14"/>
      <c r="P3526" s="14"/>
    </row>
    <row r="3527" spans="2:16" ht="15.75" customHeight="1">
      <c r="B3527" s="14"/>
      <c r="H3527" s="14"/>
      <c r="I3527" s="567"/>
      <c r="J3527" s="18"/>
      <c r="N3527" s="14"/>
      <c r="O3527" s="14"/>
      <c r="P3527" s="14"/>
    </row>
    <row r="3528" spans="2:16" ht="15.75" customHeight="1">
      <c r="B3528" s="14"/>
      <c r="H3528" s="14"/>
      <c r="I3528" s="567"/>
      <c r="J3528" s="18"/>
      <c r="N3528" s="14"/>
      <c r="O3528" s="14"/>
      <c r="P3528" s="14"/>
    </row>
    <row r="3529" spans="2:16" ht="15.75" customHeight="1">
      <c r="B3529" s="14"/>
      <c r="H3529" s="14"/>
      <c r="I3529" s="567"/>
      <c r="J3529" s="18"/>
      <c r="N3529" s="14"/>
      <c r="O3529" s="14"/>
      <c r="P3529" s="14"/>
    </row>
    <row r="3530" spans="2:16" ht="15.75" customHeight="1">
      <c r="B3530" s="14"/>
      <c r="H3530" s="14"/>
      <c r="I3530" s="567"/>
      <c r="J3530" s="18"/>
      <c r="N3530" s="14"/>
      <c r="O3530" s="14"/>
      <c r="P3530" s="14"/>
    </row>
    <row r="3531" spans="2:16" ht="15.75" customHeight="1">
      <c r="B3531" s="14"/>
      <c r="H3531" s="14"/>
      <c r="I3531" s="567"/>
      <c r="J3531" s="18"/>
      <c r="N3531" s="14"/>
      <c r="O3531" s="14"/>
      <c r="P3531" s="14"/>
    </row>
    <row r="3532" spans="2:16" ht="15.75" customHeight="1">
      <c r="B3532" s="14"/>
      <c r="H3532" s="14"/>
      <c r="I3532" s="567"/>
      <c r="J3532" s="18"/>
      <c r="N3532" s="14"/>
      <c r="O3532" s="14"/>
      <c r="P3532" s="14"/>
    </row>
    <row r="3533" spans="2:16" ht="15.75" customHeight="1">
      <c r="B3533" s="14"/>
      <c r="H3533" s="14"/>
      <c r="I3533" s="567"/>
      <c r="J3533" s="18"/>
      <c r="N3533" s="14"/>
      <c r="O3533" s="14"/>
      <c r="P3533" s="14"/>
    </row>
    <row r="3534" spans="2:16" ht="15.75" customHeight="1">
      <c r="B3534" s="14"/>
      <c r="H3534" s="14"/>
      <c r="I3534" s="567"/>
      <c r="J3534" s="18"/>
      <c r="N3534" s="14"/>
      <c r="O3534" s="14"/>
      <c r="P3534" s="14"/>
    </row>
    <row r="3535" spans="2:16" ht="15.75" customHeight="1">
      <c r="B3535" s="14"/>
      <c r="H3535" s="14"/>
      <c r="I3535" s="567"/>
      <c r="J3535" s="18"/>
      <c r="N3535" s="14"/>
      <c r="O3535" s="14"/>
      <c r="P3535" s="14"/>
    </row>
    <row r="3536" spans="2:16" ht="15.75" customHeight="1">
      <c r="B3536" s="14"/>
      <c r="H3536" s="14"/>
      <c r="I3536" s="567"/>
      <c r="J3536" s="18"/>
      <c r="N3536" s="14"/>
      <c r="O3536" s="14"/>
      <c r="P3536" s="14"/>
    </row>
    <row r="3537" spans="2:16" ht="15.75" customHeight="1">
      <c r="B3537" s="14"/>
      <c r="H3537" s="14"/>
      <c r="I3537" s="567"/>
      <c r="J3537" s="18"/>
      <c r="N3537" s="14"/>
      <c r="O3537" s="14"/>
      <c r="P3537" s="14"/>
    </row>
    <row r="3538" spans="2:16" ht="15.75" customHeight="1">
      <c r="B3538" s="14"/>
      <c r="H3538" s="14"/>
      <c r="I3538" s="567"/>
      <c r="J3538" s="18"/>
      <c r="N3538" s="14"/>
      <c r="O3538" s="14"/>
      <c r="P3538" s="14"/>
    </row>
    <row r="3539" spans="2:16" ht="15.75" customHeight="1">
      <c r="B3539" s="14"/>
      <c r="H3539" s="14"/>
      <c r="I3539" s="567"/>
      <c r="J3539" s="18"/>
      <c r="N3539" s="14"/>
      <c r="O3539" s="14"/>
      <c r="P3539" s="14"/>
    </row>
    <row r="3540" spans="2:16" ht="15.75" customHeight="1">
      <c r="B3540" s="14"/>
      <c r="H3540" s="14"/>
      <c r="I3540" s="567"/>
      <c r="J3540" s="18"/>
      <c r="N3540" s="14"/>
      <c r="O3540" s="14"/>
      <c r="P3540" s="14"/>
    </row>
    <row r="3541" spans="2:16" ht="15.75" customHeight="1">
      <c r="B3541" s="14"/>
      <c r="H3541" s="14"/>
      <c r="I3541" s="567"/>
      <c r="J3541" s="18"/>
      <c r="N3541" s="14"/>
      <c r="O3541" s="14"/>
      <c r="P3541" s="14"/>
    </row>
    <row r="3542" spans="2:16" ht="15.75" customHeight="1">
      <c r="B3542" s="14"/>
      <c r="H3542" s="14"/>
      <c r="I3542" s="567"/>
      <c r="J3542" s="18"/>
      <c r="N3542" s="14"/>
      <c r="O3542" s="14"/>
      <c r="P3542" s="14"/>
    </row>
    <row r="3543" spans="2:16" ht="15.75" customHeight="1">
      <c r="B3543" s="14"/>
      <c r="H3543" s="14"/>
      <c r="I3543" s="567"/>
      <c r="J3543" s="18"/>
      <c r="N3543" s="14"/>
      <c r="O3543" s="14"/>
      <c r="P3543" s="14"/>
    </row>
    <row r="3544" spans="2:16" ht="15.75" customHeight="1">
      <c r="B3544" s="14"/>
      <c r="H3544" s="14"/>
      <c r="I3544" s="567"/>
      <c r="J3544" s="18"/>
      <c r="N3544" s="14"/>
      <c r="O3544" s="14"/>
      <c r="P3544" s="14"/>
    </row>
    <row r="3545" spans="2:16" ht="15.75" customHeight="1">
      <c r="B3545" s="14"/>
      <c r="H3545" s="14"/>
      <c r="I3545" s="567"/>
      <c r="J3545" s="18"/>
      <c r="N3545" s="14"/>
      <c r="O3545" s="14"/>
      <c r="P3545" s="14"/>
    </row>
    <row r="3546" spans="2:16" ht="15.75" customHeight="1">
      <c r="B3546" s="14"/>
      <c r="H3546" s="14"/>
      <c r="I3546" s="567"/>
      <c r="J3546" s="18"/>
      <c r="N3546" s="14"/>
      <c r="O3546" s="14"/>
      <c r="P3546" s="14"/>
    </row>
    <row r="3547" spans="2:16" ht="15.75" customHeight="1">
      <c r="B3547" s="14"/>
      <c r="H3547" s="14"/>
      <c r="I3547" s="567"/>
      <c r="J3547" s="18"/>
      <c r="N3547" s="14"/>
      <c r="O3547" s="14"/>
      <c r="P3547" s="14"/>
    </row>
    <row r="3548" spans="2:16" ht="15.75" customHeight="1">
      <c r="B3548" s="14"/>
      <c r="H3548" s="14"/>
      <c r="I3548" s="567"/>
      <c r="J3548" s="18"/>
      <c r="N3548" s="14"/>
      <c r="O3548" s="14"/>
      <c r="P3548" s="14"/>
    </row>
    <row r="3549" spans="2:16" ht="15.75" customHeight="1">
      <c r="B3549" s="14"/>
      <c r="H3549" s="14"/>
      <c r="I3549" s="567"/>
      <c r="J3549" s="18"/>
      <c r="N3549" s="14"/>
      <c r="O3549" s="14"/>
      <c r="P3549" s="14"/>
    </row>
    <row r="3550" spans="2:16" ht="15.75" customHeight="1">
      <c r="B3550" s="14"/>
      <c r="H3550" s="14"/>
      <c r="I3550" s="567"/>
      <c r="J3550" s="18"/>
      <c r="N3550" s="14"/>
      <c r="O3550" s="14"/>
      <c r="P3550" s="14"/>
    </row>
    <row r="3551" spans="2:16" ht="15.75" customHeight="1">
      <c r="B3551" s="14"/>
      <c r="H3551" s="14"/>
      <c r="I3551" s="567"/>
      <c r="J3551" s="18"/>
      <c r="N3551" s="14"/>
      <c r="O3551" s="14"/>
      <c r="P3551" s="14"/>
    </row>
    <row r="3552" spans="2:16" ht="15.75" customHeight="1">
      <c r="B3552" s="14"/>
      <c r="H3552" s="14"/>
      <c r="I3552" s="567"/>
      <c r="J3552" s="18"/>
      <c r="N3552" s="14"/>
      <c r="O3552" s="14"/>
      <c r="P3552" s="14"/>
    </row>
    <row r="3553" spans="2:16" ht="15.75" customHeight="1">
      <c r="B3553" s="14"/>
      <c r="H3553" s="14"/>
      <c r="I3553" s="567"/>
      <c r="J3553" s="18"/>
      <c r="N3553" s="14"/>
      <c r="O3553" s="14"/>
      <c r="P3553" s="14"/>
    </row>
    <row r="3554" spans="2:16" ht="15.75" customHeight="1">
      <c r="B3554" s="14"/>
      <c r="H3554" s="14"/>
      <c r="I3554" s="567"/>
      <c r="J3554" s="18"/>
      <c r="N3554" s="14"/>
      <c r="O3554" s="14"/>
      <c r="P3554" s="14"/>
    </row>
    <row r="3555" spans="2:16" ht="15.75" customHeight="1">
      <c r="B3555" s="14"/>
      <c r="H3555" s="14"/>
      <c r="I3555" s="567"/>
      <c r="J3555" s="18"/>
      <c r="N3555" s="14"/>
      <c r="O3555" s="14"/>
      <c r="P3555" s="14"/>
    </row>
    <row r="3556" spans="2:16" ht="15.75" customHeight="1">
      <c r="B3556" s="14"/>
      <c r="H3556" s="14"/>
      <c r="I3556" s="567"/>
      <c r="J3556" s="18"/>
      <c r="N3556" s="14"/>
      <c r="O3556" s="14"/>
      <c r="P3556" s="14"/>
    </row>
    <row r="3557" spans="2:16" ht="15.75" customHeight="1">
      <c r="B3557" s="14"/>
      <c r="H3557" s="14"/>
      <c r="I3557" s="567"/>
      <c r="J3557" s="18"/>
      <c r="N3557" s="14"/>
      <c r="O3557" s="14"/>
      <c r="P3557" s="14"/>
    </row>
    <row r="3558" spans="2:16" ht="15.75" customHeight="1">
      <c r="B3558" s="14"/>
      <c r="H3558" s="14"/>
      <c r="I3558" s="567"/>
      <c r="J3558" s="18"/>
      <c r="N3558" s="14"/>
      <c r="O3558" s="14"/>
      <c r="P3558" s="14"/>
    </row>
    <row r="3559" spans="2:16" ht="15.75" customHeight="1">
      <c r="B3559" s="14"/>
      <c r="H3559" s="14"/>
      <c r="I3559" s="567"/>
      <c r="J3559" s="18"/>
      <c r="N3559" s="14"/>
      <c r="O3559" s="14"/>
      <c r="P3559" s="14"/>
    </row>
    <row r="3560" spans="2:16" ht="15.75" customHeight="1">
      <c r="B3560" s="14"/>
      <c r="H3560" s="14"/>
      <c r="I3560" s="567"/>
      <c r="J3560" s="18"/>
      <c r="N3560" s="14"/>
      <c r="O3560" s="14"/>
      <c r="P3560" s="14"/>
    </row>
    <row r="3561" spans="2:16" ht="15.75" customHeight="1">
      <c r="B3561" s="14"/>
      <c r="H3561" s="14"/>
      <c r="I3561" s="567"/>
      <c r="J3561" s="18"/>
      <c r="N3561" s="14"/>
      <c r="O3561" s="14"/>
      <c r="P3561" s="14"/>
    </row>
    <row r="3562" spans="2:16" ht="15.75" customHeight="1">
      <c r="B3562" s="14"/>
      <c r="H3562" s="14"/>
      <c r="I3562" s="567"/>
      <c r="J3562" s="18"/>
      <c r="N3562" s="14"/>
      <c r="O3562" s="14"/>
      <c r="P3562" s="14"/>
    </row>
    <row r="3563" spans="2:16" ht="15.75" customHeight="1">
      <c r="B3563" s="14"/>
      <c r="H3563" s="14"/>
      <c r="I3563" s="567"/>
      <c r="J3563" s="18"/>
      <c r="N3563" s="14"/>
      <c r="O3563" s="14"/>
      <c r="P3563" s="14"/>
    </row>
    <row r="3564" spans="2:16" ht="15.75" customHeight="1">
      <c r="B3564" s="14"/>
      <c r="H3564" s="14"/>
      <c r="I3564" s="567"/>
      <c r="J3564" s="18"/>
      <c r="N3564" s="14"/>
      <c r="O3564" s="14"/>
      <c r="P3564" s="14"/>
    </row>
    <row r="3565" spans="2:16" ht="15.75" customHeight="1">
      <c r="B3565" s="14"/>
      <c r="H3565" s="14"/>
      <c r="I3565" s="567"/>
      <c r="J3565" s="18"/>
      <c r="N3565" s="14"/>
      <c r="O3565" s="14"/>
      <c r="P3565" s="14"/>
    </row>
    <row r="3566" spans="2:16" ht="15.75" customHeight="1">
      <c r="B3566" s="14"/>
      <c r="H3566" s="14"/>
      <c r="I3566" s="567"/>
      <c r="J3566" s="18"/>
      <c r="N3566" s="14"/>
      <c r="O3566" s="14"/>
      <c r="P3566" s="14"/>
    </row>
    <row r="3567" spans="2:16" ht="15.75" customHeight="1">
      <c r="B3567" s="14"/>
      <c r="H3567" s="14"/>
      <c r="I3567" s="567"/>
      <c r="J3567" s="18"/>
      <c r="N3567" s="14"/>
      <c r="O3567" s="14"/>
      <c r="P3567" s="14"/>
    </row>
    <row r="3568" spans="2:16" ht="15.75" customHeight="1">
      <c r="B3568" s="14"/>
      <c r="H3568" s="14"/>
      <c r="I3568" s="567"/>
      <c r="J3568" s="18"/>
      <c r="N3568" s="14"/>
      <c r="O3568" s="14"/>
      <c r="P3568" s="14"/>
    </row>
    <row r="3569" spans="2:16" ht="15.75" customHeight="1">
      <c r="B3569" s="14"/>
      <c r="H3569" s="14"/>
      <c r="I3569" s="567"/>
      <c r="J3569" s="18"/>
      <c r="N3569" s="14"/>
      <c r="O3569" s="14"/>
      <c r="P3569" s="14"/>
    </row>
    <row r="3570" spans="2:16" ht="15.75" customHeight="1">
      <c r="B3570" s="14"/>
      <c r="H3570" s="14"/>
      <c r="I3570" s="567"/>
      <c r="J3570" s="18"/>
      <c r="N3570" s="14"/>
      <c r="O3570" s="14"/>
      <c r="P3570" s="14"/>
    </row>
    <row r="3571" spans="2:16" ht="15.75" customHeight="1">
      <c r="B3571" s="14"/>
      <c r="H3571" s="14"/>
      <c r="I3571" s="567"/>
      <c r="J3571" s="18"/>
      <c r="N3571" s="14"/>
      <c r="O3571" s="14"/>
      <c r="P3571" s="14"/>
    </row>
    <row r="3572" spans="2:16" ht="15.75" customHeight="1">
      <c r="B3572" s="14"/>
      <c r="H3572" s="14"/>
      <c r="I3572" s="567"/>
      <c r="J3572" s="18"/>
      <c r="N3572" s="14"/>
      <c r="O3572" s="14"/>
      <c r="P3572" s="14"/>
    </row>
    <row r="3573" spans="2:16" ht="15.75" customHeight="1">
      <c r="B3573" s="14"/>
      <c r="H3573" s="14"/>
      <c r="I3573" s="567"/>
      <c r="J3573" s="18"/>
      <c r="N3573" s="14"/>
      <c r="O3573" s="14"/>
      <c r="P3573" s="14"/>
    </row>
    <row r="3574" spans="2:16" ht="15.75" customHeight="1">
      <c r="B3574" s="14"/>
      <c r="H3574" s="14"/>
      <c r="I3574" s="567"/>
      <c r="J3574" s="18"/>
      <c r="N3574" s="14"/>
      <c r="O3574" s="14"/>
      <c r="P3574" s="14"/>
    </row>
    <row r="3575" spans="2:16" ht="15.75" customHeight="1">
      <c r="B3575" s="14"/>
      <c r="H3575" s="14"/>
      <c r="I3575" s="567"/>
      <c r="J3575" s="18"/>
      <c r="N3575" s="14"/>
      <c r="O3575" s="14"/>
      <c r="P3575" s="14"/>
    </row>
    <row r="3576" spans="2:16" ht="15.75" customHeight="1">
      <c r="B3576" s="14"/>
      <c r="H3576" s="14"/>
      <c r="I3576" s="567"/>
      <c r="J3576" s="18"/>
      <c r="N3576" s="14"/>
      <c r="O3576" s="14"/>
      <c r="P3576" s="14"/>
    </row>
    <row r="3577" spans="2:16" ht="15.75" customHeight="1">
      <c r="B3577" s="14"/>
      <c r="H3577" s="14"/>
      <c r="I3577" s="567"/>
      <c r="J3577" s="18"/>
      <c r="N3577" s="14"/>
      <c r="O3577" s="14"/>
      <c r="P3577" s="14"/>
    </row>
    <row r="3578" spans="2:16" ht="15.75" customHeight="1">
      <c r="B3578" s="14"/>
      <c r="H3578" s="14"/>
      <c r="I3578" s="567"/>
      <c r="J3578" s="18"/>
      <c r="N3578" s="14"/>
      <c r="O3578" s="14"/>
      <c r="P3578" s="14"/>
    </row>
    <row r="3579" spans="2:16" ht="15.75" customHeight="1">
      <c r="B3579" s="14"/>
      <c r="H3579" s="14"/>
      <c r="I3579" s="567"/>
      <c r="J3579" s="18"/>
      <c r="N3579" s="14"/>
      <c r="O3579" s="14"/>
      <c r="P3579" s="14"/>
    </row>
    <row r="3580" spans="2:16" ht="15.75" customHeight="1">
      <c r="B3580" s="14"/>
      <c r="H3580" s="14"/>
      <c r="I3580" s="567"/>
      <c r="J3580" s="18"/>
      <c r="N3580" s="14"/>
      <c r="O3580" s="14"/>
      <c r="P3580" s="14"/>
    </row>
    <row r="3581" spans="2:16" ht="15.75" customHeight="1">
      <c r="B3581" s="14"/>
      <c r="H3581" s="14"/>
      <c r="I3581" s="567"/>
      <c r="J3581" s="18"/>
      <c r="N3581" s="14"/>
      <c r="O3581" s="14"/>
      <c r="P3581" s="14"/>
    </row>
    <row r="3582" spans="2:16" ht="15.75" customHeight="1">
      <c r="B3582" s="14"/>
      <c r="H3582" s="14"/>
      <c r="I3582" s="567"/>
      <c r="J3582" s="18"/>
      <c r="N3582" s="14"/>
      <c r="O3582" s="14"/>
      <c r="P3582" s="14"/>
    </row>
    <row r="3583" spans="2:16" ht="15.75" customHeight="1">
      <c r="B3583" s="14"/>
      <c r="H3583" s="14"/>
      <c r="I3583" s="567"/>
      <c r="J3583" s="18"/>
      <c r="N3583" s="14"/>
      <c r="O3583" s="14"/>
      <c r="P3583" s="14"/>
    </row>
    <row r="3584" spans="2:16" ht="15.75" customHeight="1">
      <c r="B3584" s="14"/>
      <c r="H3584" s="14"/>
      <c r="I3584" s="567"/>
      <c r="J3584" s="18"/>
      <c r="N3584" s="14"/>
      <c r="O3584" s="14"/>
      <c r="P3584" s="14"/>
    </row>
    <row r="3585" spans="2:16" ht="15.75" customHeight="1">
      <c r="B3585" s="14"/>
      <c r="H3585" s="14"/>
      <c r="I3585" s="567"/>
      <c r="J3585" s="18"/>
      <c r="N3585" s="14"/>
      <c r="O3585" s="14"/>
      <c r="P3585" s="14"/>
    </row>
    <row r="3586" spans="2:16" ht="15.75" customHeight="1">
      <c r="B3586" s="14"/>
      <c r="H3586" s="14"/>
      <c r="I3586" s="567"/>
      <c r="J3586" s="18"/>
      <c r="N3586" s="14"/>
      <c r="O3586" s="14"/>
      <c r="P3586" s="14"/>
    </row>
    <row r="3587" spans="2:16" ht="15.75" customHeight="1">
      <c r="B3587" s="14"/>
      <c r="H3587" s="14"/>
      <c r="I3587" s="567"/>
      <c r="J3587" s="18"/>
      <c r="N3587" s="14"/>
      <c r="O3587" s="14"/>
      <c r="P3587" s="14"/>
    </row>
    <row r="3588" spans="2:16" ht="15.75" customHeight="1">
      <c r="B3588" s="14"/>
      <c r="H3588" s="14"/>
      <c r="I3588" s="567"/>
      <c r="J3588" s="18"/>
      <c r="N3588" s="14"/>
      <c r="O3588" s="14"/>
      <c r="P3588" s="14"/>
    </row>
    <row r="3589" spans="2:16" ht="15.75" customHeight="1">
      <c r="B3589" s="14"/>
      <c r="H3589" s="14"/>
      <c r="I3589" s="567"/>
      <c r="J3589" s="18"/>
      <c r="N3589" s="14"/>
      <c r="O3589" s="14"/>
      <c r="P3589" s="14"/>
    </row>
    <row r="3590" spans="2:16" ht="15.75" customHeight="1">
      <c r="B3590" s="14"/>
      <c r="H3590" s="14"/>
      <c r="I3590" s="567"/>
      <c r="J3590" s="18"/>
      <c r="N3590" s="14"/>
      <c r="O3590" s="14"/>
      <c r="P3590" s="14"/>
    </row>
    <row r="3591" spans="2:16" ht="15.75" customHeight="1">
      <c r="B3591" s="14"/>
      <c r="H3591" s="14"/>
      <c r="I3591" s="567"/>
      <c r="J3591" s="18"/>
      <c r="N3591" s="14"/>
      <c r="O3591" s="14"/>
      <c r="P3591" s="14"/>
    </row>
    <row r="3592" spans="2:16" ht="15.75" customHeight="1">
      <c r="B3592" s="14"/>
      <c r="H3592" s="14"/>
      <c r="I3592" s="567"/>
      <c r="J3592" s="18"/>
      <c r="N3592" s="14"/>
      <c r="O3592" s="14"/>
      <c r="P3592" s="14"/>
    </row>
    <row r="3593" spans="2:16" ht="15.75" customHeight="1">
      <c r="B3593" s="14"/>
      <c r="H3593" s="14"/>
      <c r="I3593" s="567"/>
      <c r="J3593" s="18"/>
      <c r="N3593" s="14"/>
      <c r="O3593" s="14"/>
      <c r="P3593" s="14"/>
    </row>
    <row r="3594" spans="2:16" ht="15.75" customHeight="1">
      <c r="B3594" s="14"/>
      <c r="H3594" s="14"/>
      <c r="I3594" s="567"/>
      <c r="J3594" s="18"/>
      <c r="N3594" s="14"/>
      <c r="O3594" s="14"/>
      <c r="P3594" s="14"/>
    </row>
    <row r="3595" spans="2:16" ht="15.75" customHeight="1">
      <c r="B3595" s="14"/>
      <c r="H3595" s="14"/>
      <c r="I3595" s="567"/>
      <c r="J3595" s="18"/>
      <c r="N3595" s="14"/>
      <c r="O3595" s="14"/>
      <c r="P3595" s="14"/>
    </row>
    <row r="3596" spans="2:16" ht="15.75" customHeight="1">
      <c r="B3596" s="14"/>
      <c r="H3596" s="14"/>
      <c r="I3596" s="567"/>
      <c r="J3596" s="18"/>
      <c r="N3596" s="14"/>
      <c r="O3596" s="14"/>
      <c r="P3596" s="14"/>
    </row>
    <row r="3597" spans="2:16" ht="15.75" hidden="1" customHeight="1">
      <c r="B3597" s="14"/>
      <c r="H3597" s="14"/>
      <c r="I3597" s="567"/>
      <c r="J3597" s="18"/>
      <c r="N3597" s="14"/>
      <c r="O3597" s="14"/>
      <c r="P3597" s="14"/>
    </row>
    <row r="3598" spans="2:16" ht="15.75" hidden="1" customHeight="1">
      <c r="B3598" s="14"/>
      <c r="H3598" s="14"/>
      <c r="I3598" s="567"/>
      <c r="J3598" s="18"/>
      <c r="N3598" s="14"/>
      <c r="O3598" s="14"/>
      <c r="P3598" s="14"/>
    </row>
    <row r="3599" spans="2:16" ht="15.75" hidden="1" customHeight="1">
      <c r="B3599" s="14"/>
      <c r="H3599" s="14"/>
      <c r="I3599" s="567"/>
      <c r="J3599" s="18"/>
      <c r="N3599" s="14"/>
      <c r="O3599" s="14"/>
      <c r="P3599" s="14"/>
    </row>
    <row r="3600" spans="2:16" ht="15.75" hidden="1" customHeight="1">
      <c r="B3600" s="14"/>
      <c r="H3600" s="14"/>
      <c r="I3600" s="567"/>
      <c r="J3600" s="18"/>
      <c r="N3600" s="14"/>
      <c r="O3600" s="14"/>
      <c r="P3600" s="14"/>
    </row>
    <row r="3601" spans="2:16" ht="15.75" hidden="1" customHeight="1">
      <c r="B3601" s="14"/>
      <c r="H3601" s="14"/>
      <c r="I3601" s="567"/>
      <c r="J3601" s="18"/>
      <c r="N3601" s="14"/>
      <c r="O3601" s="14"/>
      <c r="P3601" s="14"/>
    </row>
    <row r="3602" spans="2:16" ht="15.75" hidden="1" customHeight="1">
      <c r="B3602" s="14"/>
      <c r="H3602" s="14"/>
      <c r="I3602" s="567"/>
      <c r="J3602" s="18"/>
      <c r="N3602" s="14"/>
      <c r="O3602" s="14"/>
      <c r="P3602" s="14"/>
    </row>
    <row r="3603" spans="2:16" ht="15.75" hidden="1" customHeight="1">
      <c r="B3603" s="14"/>
      <c r="H3603" s="14"/>
      <c r="I3603" s="567"/>
      <c r="J3603" s="18"/>
      <c r="N3603" s="14"/>
      <c r="O3603" s="14"/>
      <c r="P3603" s="14"/>
    </row>
    <row r="3604" spans="2:16" ht="15.75" hidden="1" customHeight="1">
      <c r="B3604" s="14"/>
      <c r="H3604" s="14"/>
      <c r="I3604" s="567"/>
      <c r="J3604" s="18"/>
      <c r="N3604" s="14"/>
      <c r="O3604" s="14"/>
      <c r="P3604" s="14"/>
    </row>
    <row r="3605" spans="2:16" ht="15.75" hidden="1" customHeight="1">
      <c r="B3605" s="14"/>
      <c r="H3605" s="14"/>
      <c r="I3605" s="567"/>
      <c r="J3605" s="18"/>
      <c r="N3605" s="14"/>
      <c r="O3605" s="14"/>
      <c r="P3605" s="14"/>
    </row>
    <row r="3606" spans="2:16" ht="15.75" hidden="1" customHeight="1">
      <c r="B3606" s="14"/>
      <c r="H3606" s="14"/>
      <c r="I3606" s="567"/>
      <c r="J3606" s="18"/>
      <c r="N3606" s="14"/>
      <c r="O3606" s="14"/>
      <c r="P3606" s="14"/>
    </row>
    <row r="3607" spans="2:16" ht="15.75" hidden="1" customHeight="1">
      <c r="B3607" s="14"/>
      <c r="H3607" s="14"/>
      <c r="I3607" s="567"/>
      <c r="J3607" s="18"/>
      <c r="N3607" s="14"/>
      <c r="O3607" s="14"/>
      <c r="P3607" s="14"/>
    </row>
    <row r="3608" spans="2:16" ht="15.75" hidden="1" customHeight="1">
      <c r="B3608" s="14"/>
      <c r="H3608" s="14"/>
      <c r="I3608" s="567"/>
      <c r="J3608" s="18"/>
      <c r="N3608" s="14"/>
      <c r="O3608" s="14"/>
      <c r="P3608" s="14"/>
    </row>
    <row r="3609" spans="2:16" ht="15.75" hidden="1" customHeight="1">
      <c r="B3609" s="14"/>
      <c r="H3609" s="14"/>
      <c r="I3609" s="567"/>
      <c r="J3609" s="18"/>
      <c r="N3609" s="14"/>
      <c r="O3609" s="14"/>
      <c r="P3609" s="14"/>
    </row>
    <row r="3610" spans="2:16" ht="15.75" hidden="1" customHeight="1">
      <c r="H3610" s="14"/>
      <c r="I3610" s="567"/>
      <c r="J3610" s="18"/>
      <c r="N3610" s="14"/>
      <c r="O3610" s="14"/>
      <c r="P3610" s="14"/>
    </row>
    <row r="3611" spans="2:16" ht="15.75" hidden="1" customHeight="1">
      <c r="H3611" s="14"/>
      <c r="I3611" s="567"/>
      <c r="J3611" s="18"/>
      <c r="N3611" s="14"/>
      <c r="O3611" s="14"/>
      <c r="P3611" s="14"/>
    </row>
    <row r="3612" spans="2:16" ht="15.75" hidden="1" customHeight="1">
      <c r="H3612" s="14"/>
      <c r="I3612" s="567"/>
      <c r="J3612" s="18"/>
      <c r="N3612" s="14"/>
      <c r="O3612" s="14"/>
      <c r="P3612" s="14"/>
    </row>
    <row r="3613" spans="2:16" ht="15.75" hidden="1" customHeight="1">
      <c r="H3613" s="14"/>
      <c r="I3613" s="567"/>
      <c r="J3613" s="18"/>
      <c r="N3613" s="14"/>
      <c r="O3613" s="14"/>
      <c r="P3613" s="14"/>
    </row>
    <row r="3614" spans="2:16" ht="15.75" hidden="1" customHeight="1">
      <c r="H3614" s="14"/>
      <c r="I3614" s="567"/>
      <c r="J3614" s="18"/>
      <c r="N3614" s="14"/>
      <c r="O3614" s="14"/>
      <c r="P3614" s="14"/>
    </row>
    <row r="3615" spans="2:16" ht="15.75" hidden="1" customHeight="1">
      <c r="H3615" s="14"/>
      <c r="I3615" s="567"/>
      <c r="J3615" s="18"/>
      <c r="N3615" s="14"/>
      <c r="O3615" s="14"/>
      <c r="P3615" s="14"/>
    </row>
    <row r="3616" spans="2:16" ht="15.75" hidden="1" customHeight="1">
      <c r="H3616" s="14"/>
      <c r="I3616" s="567"/>
      <c r="J3616" s="18"/>
      <c r="N3616" s="14"/>
      <c r="O3616" s="14"/>
      <c r="P3616" s="14"/>
    </row>
    <row r="3617" spans="8:16" ht="15.75" hidden="1" customHeight="1">
      <c r="H3617" s="14"/>
      <c r="I3617" s="567"/>
      <c r="J3617" s="18"/>
      <c r="N3617" s="14"/>
      <c r="O3617" s="14"/>
      <c r="P3617" s="14"/>
    </row>
    <row r="3618" spans="8:16" ht="15.75" hidden="1" customHeight="1">
      <c r="H3618" s="14"/>
      <c r="I3618" s="567"/>
      <c r="J3618" s="18"/>
      <c r="N3618" s="14"/>
      <c r="O3618" s="14"/>
      <c r="P3618" s="14"/>
    </row>
    <row r="3619" spans="8:16" ht="15.75" hidden="1" customHeight="1">
      <c r="H3619" s="14"/>
      <c r="I3619" s="567"/>
      <c r="J3619" s="18"/>
      <c r="N3619" s="14"/>
      <c r="O3619" s="14"/>
      <c r="P3619" s="14"/>
    </row>
    <row r="3620" spans="8:16" ht="15.75" hidden="1" customHeight="1">
      <c r="H3620" s="14"/>
      <c r="I3620" s="567"/>
      <c r="J3620" s="18"/>
      <c r="N3620" s="14"/>
      <c r="O3620" s="14"/>
      <c r="P3620" s="14"/>
    </row>
    <row r="3621" spans="8:16" ht="15.75" hidden="1" customHeight="1">
      <c r="H3621" s="14"/>
      <c r="I3621" s="567"/>
      <c r="J3621" s="18"/>
      <c r="N3621" s="14"/>
      <c r="O3621" s="14"/>
      <c r="P3621" s="14"/>
    </row>
    <row r="3622" spans="8:16" ht="15.75" hidden="1" customHeight="1">
      <c r="H3622" s="14"/>
      <c r="I3622" s="567"/>
      <c r="J3622" s="18"/>
      <c r="N3622" s="14"/>
      <c r="O3622" s="14"/>
      <c r="P3622" s="14"/>
    </row>
    <row r="3623" spans="8:16" ht="15.75" hidden="1" customHeight="1">
      <c r="H3623" s="14"/>
      <c r="I3623" s="567"/>
      <c r="J3623" s="18"/>
      <c r="N3623" s="14"/>
      <c r="O3623" s="14"/>
      <c r="P3623" s="14"/>
    </row>
    <row r="3624" spans="8:16" ht="15.75" hidden="1" customHeight="1">
      <c r="H3624" s="14"/>
      <c r="I3624" s="567"/>
      <c r="J3624" s="18"/>
      <c r="N3624" s="14"/>
      <c r="O3624" s="14"/>
      <c r="P3624" s="14"/>
    </row>
    <row r="3625" spans="8:16" ht="15.75" hidden="1" customHeight="1">
      <c r="H3625" s="14"/>
      <c r="I3625" s="567"/>
      <c r="J3625" s="18"/>
      <c r="N3625" s="14"/>
      <c r="O3625" s="14"/>
      <c r="P3625" s="14"/>
    </row>
    <row r="3626" spans="8:16" ht="15.75" hidden="1" customHeight="1">
      <c r="H3626" s="14"/>
      <c r="I3626" s="567"/>
      <c r="J3626" s="18"/>
      <c r="N3626" s="14"/>
      <c r="O3626" s="14"/>
      <c r="P3626" s="14"/>
    </row>
    <row r="3627" spans="8:16" ht="15.75" hidden="1" customHeight="1">
      <c r="H3627" s="14"/>
      <c r="I3627" s="567"/>
      <c r="J3627" s="18"/>
      <c r="N3627" s="14"/>
      <c r="O3627" s="14"/>
      <c r="P3627" s="14"/>
    </row>
    <row r="3628" spans="8:16" ht="15.75" hidden="1" customHeight="1">
      <c r="H3628" s="14"/>
      <c r="I3628" s="567"/>
      <c r="J3628" s="18"/>
      <c r="N3628" s="14"/>
      <c r="O3628" s="14"/>
      <c r="P3628" s="14"/>
    </row>
    <row r="3629" spans="8:16" ht="15.75" hidden="1" customHeight="1">
      <c r="H3629" s="14"/>
      <c r="I3629" s="567"/>
      <c r="J3629" s="18"/>
      <c r="N3629" s="14"/>
      <c r="O3629" s="14"/>
      <c r="P3629" s="14"/>
    </row>
    <row r="3630" spans="8:16" ht="15.75" hidden="1" customHeight="1">
      <c r="H3630" s="14"/>
      <c r="I3630" s="567"/>
      <c r="J3630" s="18"/>
      <c r="N3630" s="14"/>
      <c r="O3630" s="14"/>
      <c r="P3630" s="14"/>
    </row>
    <row r="3631" spans="8:16" ht="15.75" hidden="1" customHeight="1">
      <c r="H3631" s="14"/>
      <c r="I3631" s="567"/>
      <c r="J3631" s="18"/>
      <c r="N3631" s="14"/>
      <c r="O3631" s="14"/>
      <c r="P3631" s="14"/>
    </row>
    <row r="3632" spans="8:16" ht="15.75" hidden="1" customHeight="1">
      <c r="H3632" s="14"/>
      <c r="I3632" s="567"/>
      <c r="J3632" s="18"/>
      <c r="N3632" s="14"/>
      <c r="O3632" s="14"/>
      <c r="P3632" s="14"/>
    </row>
    <row r="3633" spans="8:16" ht="15.75" hidden="1" customHeight="1">
      <c r="H3633" s="14"/>
      <c r="I3633" s="567"/>
      <c r="J3633" s="18"/>
      <c r="N3633" s="14"/>
      <c r="O3633" s="14"/>
      <c r="P3633" s="14"/>
    </row>
    <row r="3634" spans="8:16" ht="15.75" hidden="1" customHeight="1">
      <c r="H3634" s="14"/>
      <c r="I3634" s="567"/>
      <c r="J3634" s="18"/>
      <c r="N3634" s="14"/>
      <c r="O3634" s="14"/>
      <c r="P3634" s="14"/>
    </row>
    <row r="3635" spans="8:16" ht="15.75" hidden="1" customHeight="1">
      <c r="H3635" s="14"/>
      <c r="I3635" s="567"/>
      <c r="J3635" s="18"/>
      <c r="N3635" s="14"/>
      <c r="O3635" s="14"/>
      <c r="P3635" s="14"/>
    </row>
    <row r="3636" spans="8:16" ht="15.75" hidden="1" customHeight="1">
      <c r="H3636" s="14"/>
      <c r="I3636" s="567"/>
      <c r="J3636" s="18"/>
      <c r="N3636" s="14"/>
      <c r="O3636" s="14"/>
      <c r="P3636" s="14"/>
    </row>
    <row r="3637" spans="8:16" ht="15.75" hidden="1" customHeight="1">
      <c r="H3637" s="14"/>
      <c r="I3637" s="567"/>
      <c r="J3637" s="18"/>
      <c r="N3637" s="14"/>
      <c r="O3637" s="14"/>
      <c r="P3637" s="14"/>
    </row>
    <row r="3638" spans="8:16" ht="15.75" hidden="1" customHeight="1">
      <c r="H3638" s="14"/>
      <c r="I3638" s="567"/>
      <c r="J3638" s="18"/>
      <c r="N3638" s="14"/>
      <c r="O3638" s="14"/>
      <c r="P3638" s="14"/>
    </row>
    <row r="3639" spans="8:16" ht="15.75" hidden="1" customHeight="1">
      <c r="H3639" s="14"/>
      <c r="I3639" s="567"/>
      <c r="J3639" s="18"/>
      <c r="N3639" s="14"/>
      <c r="O3639" s="14"/>
      <c r="P3639" s="14"/>
    </row>
    <row r="3640" spans="8:16" ht="15.75" hidden="1" customHeight="1">
      <c r="H3640" s="14"/>
      <c r="I3640" s="567"/>
      <c r="J3640" s="18"/>
      <c r="N3640" s="14"/>
      <c r="O3640" s="14"/>
      <c r="P3640" s="14"/>
    </row>
    <row r="3641" spans="8:16" ht="15.75" hidden="1" customHeight="1">
      <c r="H3641" s="14"/>
      <c r="I3641" s="567"/>
      <c r="J3641" s="18"/>
      <c r="N3641" s="14"/>
      <c r="O3641" s="14"/>
      <c r="P3641" s="14"/>
    </row>
    <row r="3642" spans="8:16" ht="15.75" hidden="1" customHeight="1">
      <c r="H3642" s="14"/>
      <c r="I3642" s="567"/>
      <c r="J3642" s="18"/>
      <c r="N3642" s="14"/>
      <c r="O3642" s="14"/>
      <c r="P3642" s="14"/>
    </row>
    <row r="3643" spans="8:16" ht="15.75" hidden="1" customHeight="1">
      <c r="H3643" s="14"/>
      <c r="I3643" s="567"/>
      <c r="J3643" s="18"/>
      <c r="N3643" s="14"/>
      <c r="O3643" s="14"/>
      <c r="P3643" s="14"/>
    </row>
    <row r="3644" spans="8:16" ht="15.75" hidden="1" customHeight="1">
      <c r="H3644" s="14"/>
      <c r="I3644" s="567"/>
      <c r="J3644" s="18"/>
      <c r="N3644" s="14"/>
      <c r="O3644" s="14"/>
      <c r="P3644" s="14"/>
    </row>
    <row r="3645" spans="8:16" ht="15.75" hidden="1" customHeight="1">
      <c r="H3645" s="14"/>
      <c r="I3645" s="567"/>
      <c r="J3645" s="18"/>
      <c r="N3645" s="14"/>
      <c r="O3645" s="14"/>
      <c r="P3645" s="14"/>
    </row>
    <row r="3646" spans="8:16" ht="15.75" hidden="1" customHeight="1">
      <c r="H3646" s="14"/>
      <c r="I3646" s="567"/>
      <c r="J3646" s="18"/>
      <c r="N3646" s="14"/>
      <c r="O3646" s="14"/>
      <c r="P3646" s="14"/>
    </row>
    <row r="3647" spans="8:16" ht="15.75" hidden="1" customHeight="1">
      <c r="H3647" s="14"/>
      <c r="I3647" s="567"/>
      <c r="J3647" s="18"/>
      <c r="N3647" s="14"/>
      <c r="O3647" s="14"/>
      <c r="P3647" s="14"/>
    </row>
    <row r="3648" spans="8:16" ht="15.75" hidden="1" customHeight="1">
      <c r="H3648" s="14"/>
      <c r="I3648" s="567"/>
      <c r="J3648" s="18"/>
      <c r="N3648" s="14"/>
      <c r="O3648" s="14"/>
      <c r="P3648" s="14"/>
    </row>
    <row r="3649" spans="8:16" ht="15.75" hidden="1" customHeight="1">
      <c r="H3649" s="14"/>
      <c r="I3649" s="567"/>
      <c r="J3649" s="18"/>
      <c r="N3649" s="14"/>
      <c r="O3649" s="14"/>
      <c r="P3649" s="14"/>
    </row>
    <row r="3650" spans="8:16" ht="15.75" hidden="1" customHeight="1">
      <c r="H3650" s="14"/>
      <c r="I3650" s="567"/>
      <c r="J3650" s="18"/>
      <c r="N3650" s="14"/>
      <c r="O3650" s="14"/>
      <c r="P3650" s="14"/>
    </row>
    <row r="3651" spans="8:16" ht="15.75" hidden="1" customHeight="1">
      <c r="H3651" s="14"/>
      <c r="I3651" s="567"/>
      <c r="J3651" s="18"/>
      <c r="N3651" s="14"/>
      <c r="O3651" s="14"/>
      <c r="P3651" s="14"/>
    </row>
    <row r="3652" spans="8:16" ht="15.75" hidden="1" customHeight="1">
      <c r="H3652" s="14"/>
      <c r="I3652" s="567"/>
      <c r="J3652" s="18"/>
      <c r="N3652" s="14"/>
      <c r="O3652" s="14"/>
      <c r="P3652" s="14"/>
    </row>
    <row r="3653" spans="8:16" ht="15.75" hidden="1" customHeight="1">
      <c r="H3653" s="14"/>
      <c r="I3653" s="567"/>
      <c r="J3653" s="18"/>
      <c r="N3653" s="14"/>
      <c r="O3653" s="14"/>
      <c r="P3653" s="14"/>
    </row>
    <row r="3654" spans="8:16" ht="15.75" hidden="1" customHeight="1">
      <c r="H3654" s="14"/>
      <c r="I3654" s="567"/>
      <c r="J3654" s="18"/>
      <c r="N3654" s="14"/>
      <c r="O3654" s="14"/>
      <c r="P3654" s="14"/>
    </row>
    <row r="3655" spans="8:16" ht="15.75" hidden="1" customHeight="1">
      <c r="H3655" s="14"/>
      <c r="I3655" s="567"/>
      <c r="J3655" s="18"/>
      <c r="N3655" s="14"/>
      <c r="O3655" s="14"/>
      <c r="P3655" s="14"/>
    </row>
    <row r="3656" spans="8:16" ht="15.75" hidden="1" customHeight="1">
      <c r="H3656" s="14"/>
      <c r="I3656" s="567"/>
      <c r="J3656" s="18"/>
      <c r="N3656" s="14"/>
      <c r="O3656" s="14"/>
      <c r="P3656" s="14"/>
    </row>
    <row r="3657" spans="8:16" ht="15.75" hidden="1" customHeight="1">
      <c r="H3657" s="14"/>
      <c r="I3657" s="567"/>
      <c r="J3657" s="18"/>
      <c r="N3657" s="14"/>
      <c r="O3657" s="14"/>
      <c r="P3657" s="14"/>
    </row>
    <row r="3658" spans="8:16" ht="15.75" hidden="1" customHeight="1">
      <c r="H3658" s="14"/>
      <c r="I3658" s="567"/>
      <c r="J3658" s="18"/>
      <c r="N3658" s="14"/>
      <c r="O3658" s="14"/>
      <c r="P3658" s="14"/>
    </row>
    <row r="3659" spans="8:16" ht="15.75" hidden="1" customHeight="1">
      <c r="H3659" s="14"/>
      <c r="I3659" s="567"/>
      <c r="J3659" s="18"/>
      <c r="N3659" s="14"/>
      <c r="O3659" s="14"/>
      <c r="P3659" s="14"/>
    </row>
    <row r="3660" spans="8:16" ht="15.75" hidden="1" customHeight="1">
      <c r="H3660" s="14"/>
      <c r="I3660" s="567"/>
      <c r="J3660" s="18"/>
      <c r="N3660" s="14"/>
      <c r="O3660" s="14"/>
      <c r="P3660" s="14"/>
    </row>
    <row r="3661" spans="8:16" ht="15.75" hidden="1" customHeight="1">
      <c r="H3661" s="14"/>
      <c r="I3661" s="567"/>
      <c r="J3661" s="18"/>
      <c r="N3661" s="14"/>
      <c r="O3661" s="14"/>
      <c r="P3661" s="14"/>
    </row>
    <row r="3662" spans="8:16" ht="15.75" hidden="1" customHeight="1">
      <c r="H3662" s="14"/>
      <c r="I3662" s="567"/>
      <c r="J3662" s="18"/>
      <c r="N3662" s="14"/>
      <c r="O3662" s="14"/>
      <c r="P3662" s="14"/>
    </row>
    <row r="3663" spans="8:16" ht="15.75" hidden="1" customHeight="1">
      <c r="H3663" s="14"/>
      <c r="I3663" s="567"/>
      <c r="J3663" s="18"/>
      <c r="N3663" s="14"/>
      <c r="O3663" s="14"/>
      <c r="P3663" s="14"/>
    </row>
    <row r="3664" spans="8:16" ht="15.75" hidden="1" customHeight="1">
      <c r="H3664" s="14"/>
      <c r="I3664" s="567"/>
      <c r="J3664" s="18"/>
      <c r="N3664" s="14"/>
      <c r="O3664" s="14"/>
      <c r="P3664" s="14"/>
    </row>
    <row r="3665" spans="8:16" ht="15.75" hidden="1" customHeight="1">
      <c r="H3665" s="14"/>
      <c r="I3665" s="567"/>
      <c r="J3665" s="18"/>
      <c r="N3665" s="14"/>
      <c r="O3665" s="14"/>
      <c r="P3665" s="14"/>
    </row>
    <row r="3666" spans="8:16" ht="15.75" hidden="1" customHeight="1">
      <c r="H3666" s="14"/>
      <c r="I3666" s="567"/>
      <c r="J3666" s="18"/>
      <c r="N3666" s="14"/>
      <c r="O3666" s="14"/>
      <c r="P3666" s="14"/>
    </row>
    <row r="3667" spans="8:16" ht="15.75" hidden="1" customHeight="1">
      <c r="H3667" s="14"/>
      <c r="I3667" s="567"/>
      <c r="J3667" s="18"/>
      <c r="N3667" s="14"/>
      <c r="O3667" s="14"/>
      <c r="P3667" s="14"/>
    </row>
    <row r="3668" spans="8:16" ht="15.75" hidden="1" customHeight="1">
      <c r="H3668" s="14"/>
      <c r="I3668" s="567"/>
      <c r="J3668" s="18"/>
      <c r="N3668" s="14"/>
      <c r="O3668" s="14"/>
      <c r="P3668" s="14"/>
    </row>
    <row r="3669" spans="8:16" ht="15.75" hidden="1" customHeight="1">
      <c r="H3669" s="14"/>
      <c r="I3669" s="567"/>
      <c r="J3669" s="18"/>
      <c r="N3669" s="14"/>
      <c r="O3669" s="14"/>
      <c r="P3669" s="14"/>
    </row>
    <row r="3670" spans="8:16" ht="15.75" hidden="1" customHeight="1">
      <c r="H3670" s="14"/>
      <c r="I3670" s="567"/>
      <c r="J3670" s="18"/>
      <c r="N3670" s="14"/>
      <c r="O3670" s="14"/>
      <c r="P3670" s="14"/>
    </row>
    <row r="3671" spans="8:16" ht="15.75" hidden="1" customHeight="1">
      <c r="H3671" s="14"/>
      <c r="I3671" s="567"/>
      <c r="J3671" s="18"/>
      <c r="N3671" s="14"/>
      <c r="O3671" s="14"/>
      <c r="P3671" s="14"/>
    </row>
    <row r="3672" spans="8:16" ht="15.75" hidden="1" customHeight="1">
      <c r="H3672" s="14"/>
      <c r="I3672" s="567"/>
      <c r="J3672" s="18"/>
      <c r="N3672" s="14"/>
      <c r="O3672" s="14"/>
      <c r="P3672" s="14"/>
    </row>
    <row r="3673" spans="8:16" ht="15.75" hidden="1" customHeight="1">
      <c r="H3673" s="14"/>
      <c r="I3673" s="567"/>
      <c r="J3673" s="18"/>
      <c r="N3673" s="14"/>
      <c r="O3673" s="14"/>
      <c r="P3673" s="14"/>
    </row>
    <row r="3674" spans="8:16" ht="15.75" hidden="1" customHeight="1">
      <c r="H3674" s="14"/>
      <c r="I3674" s="567"/>
      <c r="J3674" s="18"/>
      <c r="N3674" s="14"/>
      <c r="O3674" s="14"/>
      <c r="P3674" s="14"/>
    </row>
    <row r="3675" spans="8:16" ht="15.75" hidden="1" customHeight="1">
      <c r="H3675" s="14"/>
      <c r="I3675" s="567"/>
      <c r="J3675" s="18"/>
      <c r="N3675" s="14"/>
      <c r="O3675" s="14"/>
      <c r="P3675" s="14"/>
    </row>
    <row r="3676" spans="8:16" ht="15.75" hidden="1" customHeight="1">
      <c r="H3676" s="14"/>
      <c r="I3676" s="567"/>
      <c r="J3676" s="18"/>
      <c r="N3676" s="14"/>
      <c r="O3676" s="14"/>
      <c r="P3676" s="14"/>
    </row>
    <row r="3677" spans="8:16" ht="15.75" hidden="1" customHeight="1">
      <c r="H3677" s="14"/>
      <c r="I3677" s="567"/>
      <c r="J3677" s="18"/>
      <c r="N3677" s="14"/>
      <c r="O3677" s="14"/>
      <c r="P3677" s="14"/>
    </row>
    <row r="3678" spans="8:16" ht="15.75" hidden="1" customHeight="1">
      <c r="H3678" s="14"/>
      <c r="I3678" s="567"/>
      <c r="J3678" s="18"/>
      <c r="N3678" s="14"/>
      <c r="O3678" s="14"/>
      <c r="P3678" s="14"/>
    </row>
    <row r="3679" spans="8:16" ht="15.75" hidden="1" customHeight="1">
      <c r="H3679" s="14"/>
      <c r="I3679" s="567"/>
      <c r="J3679" s="18"/>
      <c r="N3679" s="14"/>
      <c r="O3679" s="14"/>
      <c r="P3679" s="14"/>
    </row>
    <row r="3680" spans="8:16" ht="15.75" hidden="1" customHeight="1">
      <c r="H3680" s="14"/>
      <c r="I3680" s="567"/>
      <c r="J3680" s="18"/>
      <c r="N3680" s="14"/>
      <c r="O3680" s="14"/>
      <c r="P3680" s="14"/>
    </row>
    <row r="3681" spans="8:33" ht="15.75" hidden="1" customHeight="1">
      <c r="H3681" s="14"/>
      <c r="I3681" s="567"/>
      <c r="J3681" s="18"/>
      <c r="N3681" s="14"/>
      <c r="O3681" s="14"/>
      <c r="P3681" s="14"/>
    </row>
    <row r="3682" spans="8:33" ht="15.75" hidden="1" customHeight="1">
      <c r="H3682" s="14"/>
      <c r="I3682" s="567"/>
      <c r="J3682" s="18"/>
      <c r="N3682" s="14"/>
      <c r="O3682" s="14"/>
      <c r="P3682" s="14"/>
    </row>
    <row r="3683" spans="8:33" ht="15.75" hidden="1" customHeight="1">
      <c r="H3683" s="14"/>
      <c r="I3683" s="567"/>
      <c r="J3683" s="18"/>
      <c r="N3683" s="14"/>
      <c r="O3683" s="14"/>
      <c r="P3683" s="14"/>
    </row>
    <row r="3684" spans="8:33" ht="15.75" hidden="1" customHeight="1">
      <c r="H3684" s="14"/>
      <c r="I3684" s="567"/>
      <c r="J3684" s="18"/>
      <c r="N3684" s="14"/>
      <c r="O3684" s="14"/>
      <c r="P3684" s="14"/>
    </row>
    <row r="3685" spans="8:33" ht="15.75" hidden="1" customHeight="1">
      <c r="H3685" s="14"/>
      <c r="I3685" s="567"/>
      <c r="J3685" s="18"/>
      <c r="N3685" s="14"/>
      <c r="O3685" s="14"/>
      <c r="P3685" s="14"/>
    </row>
    <row r="3686" spans="8:33" ht="15.75" hidden="1" customHeight="1">
      <c r="H3686" s="14"/>
      <c r="I3686" s="567"/>
      <c r="J3686" s="18"/>
      <c r="N3686" s="14"/>
      <c r="O3686" s="14"/>
      <c r="P3686" s="14"/>
    </row>
    <row r="3687" spans="8:33" ht="15.75" hidden="1" customHeight="1">
      <c r="H3687" s="14"/>
      <c r="I3687" s="567"/>
      <c r="J3687" s="18"/>
      <c r="N3687" s="14"/>
      <c r="O3687" s="14"/>
      <c r="P3687" s="14"/>
    </row>
    <row r="3688" spans="8:33" ht="15.75" hidden="1" customHeight="1">
      <c r="H3688" s="14"/>
      <c r="I3688" s="567"/>
      <c r="J3688" s="18"/>
      <c r="N3688" s="14"/>
      <c r="O3688" s="14"/>
      <c r="P3688" s="14"/>
      <c r="AG3688" s="87"/>
    </row>
    <row r="3689" spans="8:33" ht="15.75" hidden="1" customHeight="1">
      <c r="H3689" s="14"/>
      <c r="I3689" s="567"/>
      <c r="J3689" s="18"/>
      <c r="N3689" s="14"/>
      <c r="O3689" s="14"/>
      <c r="P3689" s="14"/>
    </row>
    <row r="3690" spans="8:33" ht="15.75" hidden="1" customHeight="1">
      <c r="H3690" s="14"/>
      <c r="I3690" s="567"/>
      <c r="J3690" s="18"/>
      <c r="N3690" s="14"/>
      <c r="O3690" s="14"/>
      <c r="P3690" s="14"/>
    </row>
    <row r="3691" spans="8:33" ht="15.75" hidden="1" customHeight="1">
      <c r="H3691" s="14"/>
      <c r="I3691" s="567"/>
      <c r="J3691" s="18"/>
      <c r="N3691" s="14"/>
      <c r="O3691" s="14"/>
      <c r="P3691" s="14"/>
    </row>
    <row r="3692" spans="8:33" ht="15.75" hidden="1" customHeight="1">
      <c r="H3692" s="14"/>
      <c r="I3692" s="567"/>
      <c r="J3692" s="18"/>
      <c r="N3692" s="14"/>
      <c r="O3692" s="14"/>
      <c r="P3692" s="14"/>
    </row>
    <row r="3693" spans="8:33" ht="15.75" hidden="1" customHeight="1">
      <c r="H3693" s="14"/>
      <c r="I3693" s="567"/>
      <c r="J3693" s="18"/>
      <c r="N3693" s="14"/>
      <c r="O3693" s="14"/>
      <c r="P3693" s="14"/>
    </row>
    <row r="3694" spans="8:33" ht="15.75" hidden="1" customHeight="1">
      <c r="H3694" s="14"/>
      <c r="I3694" s="567"/>
      <c r="J3694" s="18"/>
      <c r="N3694" s="14"/>
      <c r="O3694" s="14"/>
      <c r="P3694" s="14"/>
    </row>
    <row r="3695" spans="8:33" ht="15.75" hidden="1" customHeight="1">
      <c r="H3695" s="14"/>
      <c r="I3695" s="567"/>
      <c r="J3695" s="18"/>
      <c r="N3695" s="14"/>
      <c r="O3695" s="14"/>
      <c r="P3695" s="14"/>
    </row>
    <row r="3696" spans="8:33" ht="15.75" hidden="1" customHeight="1">
      <c r="H3696" s="14"/>
      <c r="I3696" s="567"/>
      <c r="J3696" s="18"/>
      <c r="N3696" s="14"/>
      <c r="O3696" s="14"/>
      <c r="P3696" s="14"/>
    </row>
    <row r="3697" spans="8:16" ht="15.75" hidden="1" customHeight="1">
      <c r="H3697" s="14"/>
      <c r="I3697" s="567"/>
      <c r="J3697" s="18"/>
      <c r="N3697" s="14"/>
      <c r="O3697" s="14"/>
      <c r="P3697" s="14"/>
    </row>
    <row r="3698" spans="8:16" ht="15.75" hidden="1" customHeight="1">
      <c r="H3698" s="14"/>
      <c r="I3698" s="567"/>
      <c r="J3698" s="18"/>
      <c r="N3698" s="14"/>
      <c r="O3698" s="14"/>
      <c r="P3698" s="14"/>
    </row>
    <row r="3699" spans="8:16" ht="15.75" hidden="1" customHeight="1">
      <c r="H3699" s="14"/>
      <c r="I3699" s="567"/>
      <c r="J3699" s="18"/>
      <c r="N3699" s="14"/>
      <c r="O3699" s="14"/>
      <c r="P3699" s="14"/>
    </row>
    <row r="3700" spans="8:16" ht="15.75" hidden="1" customHeight="1">
      <c r="H3700" s="14"/>
      <c r="I3700" s="567"/>
      <c r="J3700" s="18"/>
      <c r="N3700" s="14"/>
      <c r="O3700" s="14"/>
      <c r="P3700" s="14"/>
    </row>
    <row r="3701" spans="8:16" ht="15.75" hidden="1" customHeight="1">
      <c r="H3701" s="14"/>
      <c r="I3701" s="567"/>
      <c r="J3701" s="18"/>
      <c r="N3701" s="14"/>
      <c r="O3701" s="14"/>
      <c r="P3701" s="14"/>
    </row>
    <row r="3702" spans="8:16" ht="15.75" hidden="1" customHeight="1">
      <c r="H3702" s="14"/>
      <c r="I3702" s="567"/>
      <c r="J3702" s="18"/>
      <c r="N3702" s="14"/>
      <c r="O3702" s="14"/>
      <c r="P3702" s="14"/>
    </row>
    <row r="3703" spans="8:16" ht="15.75" hidden="1" customHeight="1">
      <c r="H3703" s="14"/>
      <c r="I3703" s="567"/>
      <c r="J3703" s="18"/>
      <c r="N3703" s="14"/>
      <c r="O3703" s="14"/>
      <c r="P3703" s="14"/>
    </row>
    <row r="3704" spans="8:16" ht="15.75" hidden="1" customHeight="1">
      <c r="H3704" s="14"/>
      <c r="I3704" s="567"/>
      <c r="J3704" s="18"/>
      <c r="N3704" s="14"/>
      <c r="O3704" s="14"/>
      <c r="P3704" s="14"/>
    </row>
    <row r="3705" spans="8:16" ht="15.75" hidden="1" customHeight="1">
      <c r="H3705" s="14"/>
      <c r="I3705" s="567"/>
      <c r="J3705" s="18"/>
      <c r="N3705" s="14"/>
      <c r="O3705" s="14"/>
      <c r="P3705" s="14"/>
    </row>
    <row r="3706" spans="8:16" ht="15.75" hidden="1" customHeight="1">
      <c r="H3706" s="14"/>
      <c r="I3706" s="567"/>
      <c r="J3706" s="18"/>
      <c r="N3706" s="14"/>
      <c r="O3706" s="14"/>
      <c r="P3706" s="14"/>
    </row>
    <row r="3707" spans="8:16" ht="15.75" hidden="1" customHeight="1">
      <c r="H3707" s="14"/>
      <c r="I3707" s="567"/>
      <c r="J3707" s="18"/>
      <c r="N3707" s="14"/>
      <c r="O3707" s="14"/>
      <c r="P3707" s="14"/>
    </row>
    <row r="3708" spans="8:16" ht="15.75" hidden="1" customHeight="1">
      <c r="H3708" s="14"/>
      <c r="I3708" s="567"/>
      <c r="J3708" s="18"/>
      <c r="N3708" s="14"/>
      <c r="O3708" s="14"/>
      <c r="P3708" s="14"/>
    </row>
    <row r="3709" spans="8:16" ht="15.75" hidden="1" customHeight="1">
      <c r="H3709" s="14"/>
      <c r="I3709" s="567"/>
      <c r="J3709" s="18"/>
      <c r="N3709" s="14"/>
      <c r="O3709" s="14"/>
      <c r="P3709" s="14"/>
    </row>
    <row r="3710" spans="8:16" ht="15.75" hidden="1" customHeight="1">
      <c r="H3710" s="14"/>
      <c r="I3710" s="567"/>
      <c r="J3710" s="18"/>
      <c r="N3710" s="14"/>
      <c r="O3710" s="14"/>
      <c r="P3710" s="14"/>
    </row>
    <row r="3711" spans="8:16" ht="15.75" hidden="1" customHeight="1">
      <c r="H3711" s="14"/>
      <c r="I3711" s="567"/>
      <c r="J3711" s="18"/>
      <c r="N3711" s="14"/>
      <c r="O3711" s="14"/>
      <c r="P3711" s="14"/>
    </row>
    <row r="3712" spans="8:16" ht="15.75" hidden="1" customHeight="1">
      <c r="H3712" s="14"/>
      <c r="I3712" s="567"/>
      <c r="J3712" s="18"/>
      <c r="N3712" s="14"/>
      <c r="O3712" s="14"/>
      <c r="P3712" s="14"/>
    </row>
    <row r="3713" spans="8:16" ht="15.75" hidden="1" customHeight="1">
      <c r="H3713" s="14"/>
      <c r="I3713" s="567"/>
      <c r="J3713" s="18"/>
      <c r="N3713" s="14"/>
      <c r="O3713" s="14"/>
      <c r="P3713" s="14"/>
    </row>
    <row r="3714" spans="8:16" ht="15.75" hidden="1" customHeight="1">
      <c r="H3714" s="14"/>
      <c r="I3714" s="567"/>
      <c r="J3714" s="18"/>
      <c r="N3714" s="14"/>
      <c r="O3714" s="14"/>
      <c r="P3714" s="14"/>
    </row>
    <row r="3715" spans="8:16" ht="15.75" hidden="1" customHeight="1">
      <c r="H3715" s="14"/>
      <c r="I3715" s="567"/>
      <c r="J3715" s="18"/>
      <c r="N3715" s="14"/>
      <c r="O3715" s="14"/>
      <c r="P3715" s="14"/>
    </row>
    <row r="3716" spans="8:16" ht="15.75" hidden="1" customHeight="1">
      <c r="H3716" s="14"/>
      <c r="I3716" s="567"/>
      <c r="J3716" s="18"/>
      <c r="N3716" s="14"/>
      <c r="O3716" s="14"/>
      <c r="P3716" s="14"/>
    </row>
    <row r="3717" spans="8:16" ht="15.75" hidden="1" customHeight="1">
      <c r="H3717" s="14"/>
      <c r="I3717" s="567"/>
      <c r="J3717" s="18"/>
      <c r="N3717" s="14"/>
      <c r="O3717" s="14"/>
      <c r="P3717" s="14"/>
    </row>
    <row r="3718" spans="8:16" ht="15.75" hidden="1" customHeight="1">
      <c r="H3718" s="14"/>
      <c r="I3718" s="567"/>
      <c r="J3718" s="18"/>
      <c r="N3718" s="14"/>
      <c r="O3718" s="14"/>
      <c r="P3718" s="14"/>
    </row>
    <row r="3719" spans="8:16" ht="15.75" hidden="1" customHeight="1">
      <c r="H3719" s="14"/>
      <c r="I3719" s="567"/>
      <c r="J3719" s="18"/>
      <c r="N3719" s="14"/>
      <c r="O3719" s="14"/>
      <c r="P3719" s="14"/>
    </row>
    <row r="3720" spans="8:16" ht="15.75" hidden="1" customHeight="1">
      <c r="H3720" s="14"/>
      <c r="I3720" s="567"/>
      <c r="J3720" s="18"/>
      <c r="N3720" s="14"/>
      <c r="O3720" s="14"/>
      <c r="P3720" s="14"/>
    </row>
    <row r="3721" spans="8:16" ht="15.75" hidden="1" customHeight="1">
      <c r="H3721" s="14"/>
      <c r="I3721" s="567"/>
      <c r="J3721" s="18"/>
      <c r="N3721" s="14"/>
      <c r="O3721" s="14"/>
      <c r="P3721" s="14"/>
    </row>
    <row r="3722" spans="8:16" ht="15.75" hidden="1" customHeight="1">
      <c r="H3722" s="14"/>
      <c r="I3722" s="567"/>
      <c r="J3722" s="18"/>
      <c r="N3722" s="14"/>
      <c r="O3722" s="14"/>
      <c r="P3722" s="14"/>
    </row>
    <row r="3723" spans="8:16" ht="15.75" hidden="1" customHeight="1">
      <c r="H3723" s="14"/>
      <c r="I3723" s="567"/>
      <c r="J3723" s="18"/>
      <c r="N3723" s="14"/>
      <c r="O3723" s="14"/>
      <c r="P3723" s="14"/>
    </row>
    <row r="3724" spans="8:16" ht="15.75" hidden="1" customHeight="1">
      <c r="H3724" s="14"/>
      <c r="I3724" s="567"/>
      <c r="J3724" s="18"/>
      <c r="N3724" s="14"/>
      <c r="O3724" s="14"/>
      <c r="P3724" s="14"/>
    </row>
    <row r="3725" spans="8:16" ht="15.75" hidden="1" customHeight="1">
      <c r="H3725" s="14"/>
      <c r="I3725" s="567"/>
      <c r="J3725" s="18"/>
      <c r="N3725" s="14"/>
      <c r="O3725" s="14"/>
      <c r="P3725" s="14"/>
    </row>
    <row r="3726" spans="8:16" ht="15.75" hidden="1" customHeight="1">
      <c r="H3726" s="14"/>
      <c r="I3726" s="567"/>
      <c r="J3726" s="18"/>
      <c r="N3726" s="14"/>
      <c r="O3726" s="14"/>
      <c r="P3726" s="14"/>
    </row>
    <row r="3727" spans="8:16" ht="15.75" hidden="1" customHeight="1">
      <c r="H3727" s="14"/>
      <c r="I3727" s="567"/>
      <c r="J3727" s="18"/>
      <c r="N3727" s="14"/>
      <c r="O3727" s="14"/>
      <c r="P3727" s="14"/>
    </row>
    <row r="3728" spans="8:16" ht="15.75" hidden="1" customHeight="1">
      <c r="H3728" s="14"/>
      <c r="I3728" s="567"/>
      <c r="J3728" s="18"/>
      <c r="N3728" s="14"/>
      <c r="O3728" s="14"/>
      <c r="P3728" s="14"/>
    </row>
    <row r="3729" spans="8:16" ht="15.75" hidden="1" customHeight="1">
      <c r="H3729" s="14"/>
      <c r="I3729" s="567"/>
      <c r="J3729" s="18"/>
      <c r="N3729" s="14"/>
      <c r="O3729" s="14"/>
      <c r="P3729" s="14"/>
    </row>
    <row r="3730" spans="8:16" ht="15.75" hidden="1" customHeight="1">
      <c r="H3730" s="14"/>
      <c r="I3730" s="567"/>
      <c r="J3730" s="18"/>
      <c r="N3730" s="14"/>
      <c r="O3730" s="14"/>
      <c r="P3730" s="14"/>
    </row>
    <row r="3731" spans="8:16" ht="15.75" hidden="1" customHeight="1">
      <c r="H3731" s="14"/>
      <c r="I3731" s="567"/>
      <c r="J3731" s="18"/>
      <c r="N3731" s="14"/>
      <c r="O3731" s="14"/>
      <c r="P3731" s="14"/>
    </row>
    <row r="3732" spans="8:16" ht="15.75" hidden="1" customHeight="1">
      <c r="H3732" s="14"/>
      <c r="I3732" s="567"/>
      <c r="J3732" s="18"/>
      <c r="N3732" s="14"/>
      <c r="O3732" s="14"/>
      <c r="P3732" s="14"/>
    </row>
    <row r="3733" spans="8:16" ht="15.75" hidden="1" customHeight="1">
      <c r="H3733" s="14"/>
      <c r="I3733" s="567"/>
      <c r="J3733" s="18"/>
      <c r="N3733" s="14"/>
      <c r="O3733" s="14"/>
      <c r="P3733" s="14"/>
    </row>
    <row r="3734" spans="8:16" ht="15.75" hidden="1" customHeight="1">
      <c r="H3734" s="14"/>
      <c r="I3734" s="567"/>
      <c r="J3734" s="18"/>
      <c r="N3734" s="14"/>
      <c r="O3734" s="14"/>
      <c r="P3734" s="14"/>
    </row>
    <row r="3735" spans="8:16" ht="15.75" hidden="1" customHeight="1">
      <c r="H3735" s="14"/>
      <c r="I3735" s="567"/>
      <c r="J3735" s="18"/>
      <c r="N3735" s="14"/>
      <c r="O3735" s="14"/>
      <c r="P3735" s="14"/>
    </row>
    <row r="3736" spans="8:16" ht="15.75" hidden="1" customHeight="1">
      <c r="H3736" s="14"/>
      <c r="I3736" s="567"/>
      <c r="J3736" s="18"/>
      <c r="N3736" s="14"/>
      <c r="O3736" s="14"/>
      <c r="P3736" s="14"/>
    </row>
    <row r="3737" spans="8:16" ht="15.75" hidden="1" customHeight="1">
      <c r="H3737" s="14"/>
      <c r="I3737" s="567"/>
      <c r="J3737" s="18"/>
      <c r="N3737" s="14"/>
      <c r="O3737" s="14"/>
      <c r="P3737" s="14"/>
    </row>
    <row r="3738" spans="8:16" ht="15.75" hidden="1" customHeight="1">
      <c r="H3738" s="14"/>
      <c r="I3738" s="567"/>
      <c r="J3738" s="18"/>
      <c r="N3738" s="14"/>
      <c r="O3738" s="14"/>
      <c r="P3738" s="14"/>
    </row>
    <row r="3739" spans="8:16" ht="15.75" hidden="1" customHeight="1">
      <c r="H3739" s="14"/>
      <c r="I3739" s="567"/>
      <c r="J3739" s="18"/>
      <c r="N3739" s="14"/>
      <c r="O3739" s="14"/>
      <c r="P3739" s="14"/>
    </row>
    <row r="3740" spans="8:16" ht="15.75" hidden="1" customHeight="1">
      <c r="H3740" s="14"/>
      <c r="I3740" s="567"/>
      <c r="J3740" s="18"/>
      <c r="N3740" s="14"/>
      <c r="O3740" s="14"/>
      <c r="P3740" s="14"/>
    </row>
    <row r="3741" spans="8:16" ht="15.75" hidden="1" customHeight="1">
      <c r="H3741" s="14"/>
      <c r="I3741" s="567"/>
      <c r="J3741" s="18"/>
      <c r="N3741" s="14"/>
      <c r="O3741" s="14"/>
      <c r="P3741" s="14"/>
    </row>
    <row r="3742" spans="8:16" ht="15.75" hidden="1" customHeight="1">
      <c r="H3742" s="14"/>
      <c r="I3742" s="567"/>
      <c r="J3742" s="18"/>
      <c r="N3742" s="14"/>
      <c r="O3742" s="14"/>
      <c r="P3742" s="14"/>
    </row>
    <row r="3743" spans="8:16" ht="15.75" hidden="1" customHeight="1">
      <c r="H3743" s="14"/>
      <c r="I3743" s="567"/>
      <c r="J3743" s="18"/>
      <c r="N3743" s="14"/>
      <c r="O3743" s="14"/>
      <c r="P3743" s="14"/>
    </row>
    <row r="3744" spans="8:16" ht="15.75" hidden="1" customHeight="1">
      <c r="H3744" s="14"/>
      <c r="I3744" s="567"/>
      <c r="J3744" s="18"/>
      <c r="N3744" s="14"/>
      <c r="O3744" s="14"/>
      <c r="P3744" s="14"/>
    </row>
    <row r="3745" spans="8:16" ht="15.75" hidden="1" customHeight="1">
      <c r="H3745" s="14"/>
      <c r="I3745" s="567"/>
      <c r="J3745" s="18"/>
      <c r="N3745" s="14"/>
      <c r="O3745" s="14"/>
      <c r="P3745" s="14"/>
    </row>
    <row r="3746" spans="8:16" ht="15.75" hidden="1" customHeight="1">
      <c r="H3746" s="14"/>
      <c r="I3746" s="567"/>
      <c r="J3746" s="18"/>
      <c r="N3746" s="14"/>
      <c r="O3746" s="14"/>
      <c r="P3746" s="14"/>
    </row>
    <row r="3747" spans="8:16" ht="15.75" hidden="1" customHeight="1">
      <c r="H3747" s="14"/>
      <c r="I3747" s="567"/>
      <c r="J3747" s="18"/>
      <c r="N3747" s="14"/>
      <c r="O3747" s="14"/>
      <c r="P3747" s="14"/>
    </row>
    <row r="3748" spans="8:16" ht="15.75" hidden="1" customHeight="1">
      <c r="H3748" s="14"/>
      <c r="I3748" s="567"/>
      <c r="J3748" s="18"/>
      <c r="N3748" s="14"/>
      <c r="O3748" s="14"/>
      <c r="P3748" s="14"/>
    </row>
    <row r="3749" spans="8:16" ht="15.75" hidden="1" customHeight="1">
      <c r="H3749" s="14"/>
      <c r="I3749" s="567"/>
      <c r="J3749" s="18"/>
      <c r="N3749" s="14"/>
      <c r="O3749" s="14"/>
      <c r="P3749" s="14"/>
    </row>
    <row r="3750" spans="8:16" ht="15.75" hidden="1" customHeight="1">
      <c r="H3750" s="14"/>
      <c r="I3750" s="567"/>
      <c r="J3750" s="18"/>
      <c r="N3750" s="14"/>
      <c r="O3750" s="14"/>
      <c r="P3750" s="14"/>
    </row>
    <row r="3751" spans="8:16" ht="15.75" hidden="1" customHeight="1">
      <c r="H3751" s="14"/>
      <c r="I3751" s="567"/>
      <c r="J3751" s="18"/>
      <c r="N3751" s="14"/>
      <c r="O3751" s="14"/>
      <c r="P3751" s="14"/>
    </row>
    <row r="3752" spans="8:16" ht="15.75" hidden="1" customHeight="1">
      <c r="H3752" s="14"/>
      <c r="I3752" s="567"/>
      <c r="J3752" s="18"/>
      <c r="N3752" s="14"/>
      <c r="O3752" s="14"/>
      <c r="P3752" s="14"/>
    </row>
    <row r="3753" spans="8:16" ht="15.75" hidden="1" customHeight="1">
      <c r="H3753" s="14"/>
      <c r="I3753" s="567"/>
      <c r="J3753" s="18"/>
      <c r="N3753" s="14"/>
      <c r="O3753" s="14"/>
      <c r="P3753" s="14"/>
    </row>
    <row r="3754" spans="8:16" ht="15.75" hidden="1" customHeight="1">
      <c r="H3754" s="14"/>
      <c r="I3754" s="567"/>
      <c r="J3754" s="18"/>
      <c r="N3754" s="14"/>
      <c r="O3754" s="14"/>
      <c r="P3754" s="14"/>
    </row>
    <row r="3755" spans="8:16" ht="15.75" hidden="1" customHeight="1">
      <c r="H3755" s="14"/>
      <c r="I3755" s="567"/>
      <c r="J3755" s="18"/>
      <c r="N3755" s="14"/>
      <c r="O3755" s="14"/>
      <c r="P3755" s="14"/>
    </row>
    <row r="3756" spans="8:16" ht="15.75" hidden="1" customHeight="1">
      <c r="H3756" s="14"/>
      <c r="I3756" s="567"/>
      <c r="J3756" s="18"/>
      <c r="N3756" s="14"/>
      <c r="O3756" s="14"/>
      <c r="P3756" s="14"/>
    </row>
    <row r="3757" spans="8:16" ht="15.75" hidden="1" customHeight="1">
      <c r="H3757" s="14"/>
      <c r="I3757" s="567"/>
      <c r="J3757" s="18"/>
      <c r="N3757" s="14"/>
      <c r="O3757" s="14"/>
      <c r="P3757" s="14"/>
    </row>
    <row r="3758" spans="8:16" ht="15.75" hidden="1" customHeight="1">
      <c r="H3758" s="14"/>
      <c r="I3758" s="567"/>
      <c r="J3758" s="18"/>
      <c r="N3758" s="14"/>
      <c r="O3758" s="14"/>
      <c r="P3758" s="14"/>
    </row>
    <row r="3759" spans="8:16" ht="15.75" hidden="1" customHeight="1">
      <c r="H3759" s="14"/>
      <c r="I3759" s="567"/>
      <c r="J3759" s="18"/>
      <c r="N3759" s="14"/>
      <c r="O3759" s="14"/>
      <c r="P3759" s="14"/>
    </row>
    <row r="3760" spans="8:16" ht="15.75" hidden="1" customHeight="1">
      <c r="H3760" s="14"/>
      <c r="I3760" s="567"/>
      <c r="J3760" s="18"/>
      <c r="N3760" s="14"/>
      <c r="O3760" s="14"/>
      <c r="P3760" s="14"/>
    </row>
    <row r="3761" spans="8:16" ht="15.75" hidden="1" customHeight="1">
      <c r="H3761" s="14"/>
      <c r="I3761" s="567"/>
      <c r="J3761" s="18"/>
      <c r="N3761" s="14"/>
      <c r="O3761" s="14"/>
      <c r="P3761" s="14"/>
    </row>
    <row r="3762" spans="8:16" ht="15.75" hidden="1" customHeight="1">
      <c r="H3762" s="14"/>
      <c r="I3762" s="567"/>
      <c r="J3762" s="18"/>
      <c r="N3762" s="14"/>
      <c r="O3762" s="14"/>
      <c r="P3762" s="14"/>
    </row>
    <row r="3763" spans="8:16" ht="15.75" hidden="1" customHeight="1">
      <c r="H3763" s="14"/>
      <c r="I3763" s="567"/>
      <c r="J3763" s="18"/>
      <c r="N3763" s="14"/>
      <c r="O3763" s="14"/>
      <c r="P3763" s="14"/>
    </row>
    <row r="3764" spans="8:16" ht="15.75" hidden="1" customHeight="1">
      <c r="H3764" s="14"/>
      <c r="I3764" s="567"/>
      <c r="J3764" s="18"/>
      <c r="N3764" s="14"/>
      <c r="O3764" s="14"/>
      <c r="P3764" s="14"/>
    </row>
    <row r="3765" spans="8:16" ht="15.75" hidden="1" customHeight="1">
      <c r="H3765" s="14"/>
      <c r="I3765" s="567"/>
      <c r="J3765" s="18"/>
      <c r="N3765" s="14"/>
      <c r="O3765" s="14"/>
      <c r="P3765" s="14"/>
    </row>
    <row r="3766" spans="8:16" ht="15.75" hidden="1" customHeight="1">
      <c r="H3766" s="14"/>
      <c r="I3766" s="567"/>
      <c r="J3766" s="18"/>
      <c r="N3766" s="14"/>
      <c r="O3766" s="14"/>
      <c r="P3766" s="14"/>
    </row>
    <row r="3767" spans="8:16" ht="15.75" hidden="1" customHeight="1">
      <c r="H3767" s="14"/>
      <c r="I3767" s="567"/>
      <c r="J3767" s="18"/>
      <c r="N3767" s="14"/>
      <c r="O3767" s="14"/>
      <c r="P3767" s="14"/>
    </row>
    <row r="3768" spans="8:16" ht="15.75" hidden="1" customHeight="1">
      <c r="H3768" s="14"/>
      <c r="I3768" s="567"/>
      <c r="J3768" s="18"/>
      <c r="N3768" s="14"/>
      <c r="O3768" s="14"/>
      <c r="P3768" s="14"/>
    </row>
    <row r="3769" spans="8:16" ht="15.75" hidden="1" customHeight="1">
      <c r="H3769" s="14"/>
      <c r="I3769" s="567"/>
      <c r="J3769" s="18"/>
      <c r="N3769" s="14"/>
      <c r="O3769" s="14"/>
      <c r="P3769" s="14"/>
    </row>
    <row r="3770" spans="8:16" ht="15.75" hidden="1" customHeight="1">
      <c r="H3770" s="14"/>
      <c r="I3770" s="567"/>
      <c r="J3770" s="18"/>
      <c r="N3770" s="14"/>
      <c r="O3770" s="14"/>
      <c r="P3770" s="14"/>
    </row>
    <row r="3771" spans="8:16" ht="15.75" hidden="1" customHeight="1">
      <c r="H3771" s="14"/>
      <c r="I3771" s="567"/>
      <c r="J3771" s="18"/>
      <c r="N3771" s="14"/>
      <c r="O3771" s="14"/>
      <c r="P3771" s="14"/>
    </row>
    <row r="3772" spans="8:16" ht="15.75" hidden="1" customHeight="1">
      <c r="H3772" s="14"/>
      <c r="I3772" s="567"/>
      <c r="J3772" s="18"/>
      <c r="N3772" s="14"/>
      <c r="O3772" s="14"/>
      <c r="P3772" s="14"/>
    </row>
    <row r="3773" spans="8:16" ht="15.75" hidden="1" customHeight="1">
      <c r="H3773" s="14"/>
      <c r="I3773" s="567"/>
      <c r="J3773" s="18"/>
      <c r="N3773" s="14"/>
      <c r="O3773" s="14"/>
      <c r="P3773" s="14"/>
    </row>
    <row r="3774" spans="8:16" ht="15.75" hidden="1" customHeight="1">
      <c r="H3774" s="14"/>
      <c r="I3774" s="567"/>
      <c r="J3774" s="18"/>
      <c r="N3774" s="14"/>
      <c r="O3774" s="14"/>
      <c r="P3774" s="14"/>
    </row>
    <row r="3775" spans="8:16" ht="15.75" hidden="1" customHeight="1">
      <c r="H3775" s="14"/>
      <c r="I3775" s="567"/>
      <c r="J3775" s="18"/>
      <c r="N3775" s="14"/>
      <c r="O3775" s="14"/>
      <c r="P3775" s="14"/>
    </row>
    <row r="3776" spans="8:16" ht="15.75" hidden="1" customHeight="1">
      <c r="H3776" s="14"/>
      <c r="I3776" s="567"/>
      <c r="J3776" s="18"/>
      <c r="N3776" s="14"/>
      <c r="O3776" s="14"/>
      <c r="P3776" s="14"/>
    </row>
    <row r="3777" spans="8:16" ht="15.75" hidden="1" customHeight="1">
      <c r="H3777" s="14"/>
      <c r="I3777" s="567"/>
      <c r="J3777" s="18"/>
      <c r="N3777" s="14"/>
      <c r="O3777" s="14"/>
      <c r="P3777" s="14"/>
    </row>
    <row r="3778" spans="8:16" ht="15.75" hidden="1" customHeight="1">
      <c r="H3778" s="14"/>
      <c r="I3778" s="567"/>
      <c r="J3778" s="18"/>
      <c r="N3778" s="14"/>
      <c r="O3778" s="14"/>
      <c r="P3778" s="14"/>
    </row>
    <row r="3779" spans="8:16" ht="15.75" hidden="1" customHeight="1">
      <c r="H3779" s="14"/>
      <c r="I3779" s="567"/>
      <c r="J3779" s="18"/>
      <c r="N3779" s="14"/>
      <c r="O3779" s="14"/>
      <c r="P3779" s="14"/>
    </row>
    <row r="3780" spans="8:16" ht="15.75" hidden="1" customHeight="1">
      <c r="H3780" s="14"/>
      <c r="I3780" s="567"/>
      <c r="J3780" s="18"/>
      <c r="N3780" s="14"/>
      <c r="O3780" s="14"/>
      <c r="P3780" s="14"/>
    </row>
    <row r="3781" spans="8:16" ht="15.75" hidden="1" customHeight="1">
      <c r="H3781" s="14"/>
      <c r="I3781" s="567"/>
      <c r="J3781" s="18"/>
      <c r="N3781" s="14"/>
      <c r="O3781" s="14"/>
      <c r="P3781" s="14"/>
    </row>
    <row r="3782" spans="8:16" ht="15.75" hidden="1" customHeight="1">
      <c r="H3782" s="14"/>
      <c r="I3782" s="567"/>
      <c r="J3782" s="18"/>
      <c r="N3782" s="14"/>
      <c r="O3782" s="14"/>
      <c r="P3782" s="14"/>
    </row>
    <row r="3783" spans="8:16" ht="15.75" hidden="1" customHeight="1">
      <c r="H3783" s="14"/>
      <c r="I3783" s="567"/>
      <c r="J3783" s="18"/>
      <c r="N3783" s="14"/>
      <c r="O3783" s="14"/>
      <c r="P3783" s="14"/>
    </row>
    <row r="3784" spans="8:16" ht="15.75" hidden="1" customHeight="1">
      <c r="H3784" s="14"/>
      <c r="I3784" s="567"/>
      <c r="J3784" s="18"/>
      <c r="N3784" s="14"/>
      <c r="O3784" s="14"/>
      <c r="P3784" s="14"/>
    </row>
    <row r="3785" spans="8:16" ht="15.75" hidden="1" customHeight="1">
      <c r="H3785" s="14"/>
      <c r="I3785" s="567"/>
      <c r="J3785" s="18"/>
      <c r="N3785" s="14"/>
      <c r="O3785" s="14"/>
      <c r="P3785" s="14"/>
    </row>
    <row r="3786" spans="8:16" ht="15.75" hidden="1" customHeight="1">
      <c r="H3786" s="14"/>
      <c r="I3786" s="567"/>
      <c r="J3786" s="18"/>
      <c r="N3786" s="14"/>
      <c r="O3786" s="14"/>
      <c r="P3786" s="14"/>
    </row>
    <row r="3787" spans="8:16" ht="15.75" hidden="1" customHeight="1">
      <c r="H3787" s="14"/>
      <c r="I3787" s="567"/>
      <c r="J3787" s="18"/>
      <c r="N3787" s="14"/>
      <c r="O3787" s="14"/>
      <c r="P3787" s="14"/>
    </row>
    <row r="3788" spans="8:16" ht="15.75" hidden="1" customHeight="1">
      <c r="H3788" s="14"/>
      <c r="I3788" s="567"/>
      <c r="J3788" s="18"/>
      <c r="N3788" s="14"/>
      <c r="O3788" s="14"/>
      <c r="P3788" s="14"/>
    </row>
    <row r="3789" spans="8:16" ht="15.75" hidden="1" customHeight="1">
      <c r="H3789" s="14"/>
      <c r="I3789" s="567"/>
      <c r="J3789" s="18"/>
      <c r="N3789" s="14"/>
      <c r="O3789" s="14"/>
      <c r="P3789" s="14"/>
    </row>
    <row r="3790" spans="8:16" ht="15.75" hidden="1" customHeight="1">
      <c r="H3790" s="14"/>
      <c r="I3790" s="567"/>
      <c r="J3790" s="18"/>
      <c r="N3790" s="14"/>
      <c r="O3790" s="14"/>
      <c r="P3790" s="14"/>
    </row>
    <row r="3791" spans="8:16" ht="15.75" hidden="1" customHeight="1">
      <c r="H3791" s="14"/>
      <c r="I3791" s="567"/>
      <c r="J3791" s="18"/>
      <c r="N3791" s="14"/>
      <c r="O3791" s="14"/>
      <c r="P3791" s="14"/>
    </row>
    <row r="3792" spans="8:16" ht="15.75" hidden="1" customHeight="1">
      <c r="H3792" s="14"/>
      <c r="I3792" s="567"/>
      <c r="J3792" s="18"/>
      <c r="N3792" s="14"/>
      <c r="O3792" s="14"/>
      <c r="P3792" s="14"/>
    </row>
    <row r="3793" spans="8:16" ht="15.75" hidden="1" customHeight="1">
      <c r="H3793" s="14"/>
      <c r="I3793" s="567"/>
      <c r="J3793" s="18"/>
      <c r="N3793" s="14"/>
      <c r="O3793" s="14"/>
      <c r="P3793" s="14"/>
    </row>
    <row r="3794" spans="8:16" ht="15.75" hidden="1" customHeight="1">
      <c r="H3794" s="14"/>
      <c r="I3794" s="567"/>
      <c r="J3794" s="18"/>
      <c r="N3794" s="14"/>
      <c r="O3794" s="14"/>
      <c r="P3794" s="14"/>
    </row>
    <row r="3795" spans="8:16" ht="15.75" hidden="1" customHeight="1">
      <c r="H3795" s="14"/>
      <c r="I3795" s="567"/>
      <c r="J3795" s="18"/>
      <c r="N3795" s="14"/>
      <c r="O3795" s="14"/>
      <c r="P3795" s="14"/>
    </row>
    <row r="3796" spans="8:16" ht="15.75" hidden="1" customHeight="1">
      <c r="H3796" s="14"/>
      <c r="I3796" s="567"/>
      <c r="J3796" s="18"/>
      <c r="N3796" s="14"/>
      <c r="O3796" s="14"/>
      <c r="P3796" s="14"/>
    </row>
    <row r="3797" spans="8:16" ht="15.75" hidden="1" customHeight="1">
      <c r="H3797" s="14"/>
      <c r="I3797" s="567"/>
      <c r="J3797" s="18"/>
      <c r="N3797" s="14"/>
      <c r="O3797" s="14"/>
      <c r="P3797" s="14"/>
    </row>
    <row r="3798" spans="8:16" ht="15.75" hidden="1" customHeight="1">
      <c r="H3798" s="14"/>
      <c r="I3798" s="567"/>
      <c r="J3798" s="18"/>
      <c r="N3798" s="14"/>
      <c r="O3798" s="14"/>
      <c r="P3798" s="14"/>
    </row>
    <row r="3799" spans="8:16" ht="15.75" hidden="1" customHeight="1">
      <c r="H3799" s="14"/>
      <c r="I3799" s="567"/>
      <c r="J3799" s="18"/>
      <c r="N3799" s="14"/>
      <c r="O3799" s="14"/>
      <c r="P3799" s="14"/>
    </row>
    <row r="3800" spans="8:16" ht="15.75" hidden="1" customHeight="1">
      <c r="H3800" s="14"/>
      <c r="I3800" s="567"/>
      <c r="J3800" s="18"/>
      <c r="N3800" s="14"/>
      <c r="O3800" s="14"/>
      <c r="P3800" s="14"/>
    </row>
    <row r="3801" spans="8:16" ht="15.75" hidden="1" customHeight="1">
      <c r="H3801" s="14"/>
      <c r="I3801" s="567"/>
      <c r="J3801" s="18"/>
      <c r="N3801" s="14"/>
      <c r="O3801" s="14"/>
      <c r="P3801" s="14"/>
    </row>
    <row r="3802" spans="8:16" ht="15.75" hidden="1" customHeight="1">
      <c r="H3802" s="14"/>
      <c r="I3802" s="567"/>
      <c r="J3802" s="18"/>
      <c r="N3802" s="14"/>
      <c r="O3802" s="14"/>
      <c r="P3802" s="14"/>
    </row>
    <row r="3803" spans="8:16" ht="15.75" hidden="1" customHeight="1">
      <c r="H3803" s="14"/>
      <c r="I3803" s="567"/>
      <c r="J3803" s="18"/>
      <c r="N3803" s="14"/>
      <c r="O3803" s="14"/>
      <c r="P3803" s="14"/>
    </row>
    <row r="3804" spans="8:16" ht="15.75" hidden="1" customHeight="1">
      <c r="H3804" s="14"/>
      <c r="I3804" s="567"/>
      <c r="J3804" s="18"/>
      <c r="N3804" s="14"/>
      <c r="O3804" s="14"/>
      <c r="P3804" s="14"/>
    </row>
    <row r="3805" spans="8:16" ht="15.75" hidden="1" customHeight="1">
      <c r="H3805" s="14"/>
      <c r="I3805" s="567"/>
      <c r="J3805" s="18"/>
      <c r="N3805" s="14"/>
      <c r="O3805" s="14"/>
      <c r="P3805" s="14"/>
    </row>
    <row r="3806" spans="8:16" ht="15.75" hidden="1" customHeight="1">
      <c r="H3806" s="14"/>
      <c r="I3806" s="567"/>
      <c r="J3806" s="18"/>
      <c r="N3806" s="14"/>
      <c r="O3806" s="14"/>
      <c r="P3806" s="14"/>
    </row>
    <row r="3807" spans="8:16" ht="15.75" hidden="1" customHeight="1">
      <c r="H3807" s="14"/>
      <c r="I3807" s="567"/>
      <c r="J3807" s="18"/>
      <c r="N3807" s="14"/>
      <c r="O3807" s="14"/>
      <c r="P3807" s="14"/>
    </row>
    <row r="3808" spans="8:16" ht="15.75" hidden="1" customHeight="1">
      <c r="H3808" s="14"/>
      <c r="I3808" s="567"/>
      <c r="J3808" s="18"/>
      <c r="N3808" s="14"/>
      <c r="O3808" s="14"/>
      <c r="P3808" s="14"/>
    </row>
    <row r="3809" spans="8:16" ht="15.75" hidden="1" customHeight="1">
      <c r="H3809" s="14"/>
      <c r="I3809" s="567"/>
      <c r="J3809" s="18"/>
      <c r="N3809" s="14"/>
      <c r="O3809" s="14"/>
      <c r="P3809" s="14"/>
    </row>
    <row r="3810" spans="8:16" ht="15.75" hidden="1" customHeight="1">
      <c r="H3810" s="14"/>
      <c r="I3810" s="567"/>
      <c r="J3810" s="18"/>
      <c r="N3810" s="14"/>
      <c r="O3810" s="14"/>
      <c r="P3810" s="14"/>
    </row>
    <row r="3811" spans="8:16" ht="15.75" hidden="1" customHeight="1">
      <c r="H3811" s="14"/>
      <c r="I3811" s="567"/>
      <c r="J3811" s="18"/>
      <c r="N3811" s="14"/>
      <c r="O3811" s="14"/>
      <c r="P3811" s="14"/>
    </row>
    <row r="3812" spans="8:16" ht="15.75" hidden="1" customHeight="1">
      <c r="H3812" s="14"/>
      <c r="I3812" s="567"/>
      <c r="J3812" s="18"/>
      <c r="N3812" s="14"/>
      <c r="O3812" s="14"/>
      <c r="P3812" s="14"/>
    </row>
    <row r="3813" spans="8:16" ht="15.75" hidden="1" customHeight="1">
      <c r="H3813" s="14"/>
      <c r="I3813" s="567"/>
      <c r="J3813" s="18"/>
      <c r="N3813" s="14"/>
      <c r="O3813" s="14"/>
      <c r="P3813" s="14"/>
    </row>
    <row r="3814" spans="8:16" ht="15.75" hidden="1" customHeight="1">
      <c r="H3814" s="14"/>
      <c r="I3814" s="567"/>
      <c r="J3814" s="18"/>
      <c r="N3814" s="14"/>
      <c r="O3814" s="14"/>
      <c r="P3814" s="14"/>
    </row>
    <row r="3815" spans="8:16" ht="15.75" hidden="1" customHeight="1">
      <c r="H3815" s="14"/>
      <c r="I3815" s="567"/>
      <c r="J3815" s="18"/>
      <c r="N3815" s="14"/>
      <c r="O3815" s="14"/>
      <c r="P3815" s="14"/>
    </row>
    <row r="3816" spans="8:16" ht="15.75" hidden="1" customHeight="1">
      <c r="H3816" s="14"/>
      <c r="I3816" s="567"/>
      <c r="J3816" s="18"/>
      <c r="N3816" s="14"/>
      <c r="O3816" s="14"/>
      <c r="P3816" s="14"/>
    </row>
    <row r="3817" spans="8:16" ht="15.75" hidden="1" customHeight="1">
      <c r="H3817" s="14"/>
      <c r="I3817" s="567"/>
      <c r="J3817" s="18"/>
      <c r="N3817" s="14"/>
      <c r="O3817" s="14"/>
      <c r="P3817" s="14"/>
    </row>
    <row r="3818" spans="8:16" ht="15.75" hidden="1" customHeight="1">
      <c r="H3818" s="14"/>
      <c r="I3818" s="567"/>
      <c r="J3818" s="18"/>
      <c r="N3818" s="14"/>
      <c r="O3818" s="14"/>
      <c r="P3818" s="14"/>
    </row>
    <row r="3819" spans="8:16" ht="15.75" hidden="1" customHeight="1">
      <c r="H3819" s="14"/>
      <c r="I3819" s="567"/>
      <c r="J3819" s="18"/>
      <c r="N3819" s="14"/>
      <c r="O3819" s="14"/>
      <c r="P3819" s="14"/>
    </row>
    <row r="3820" spans="8:16" ht="15.75" hidden="1" customHeight="1">
      <c r="H3820" s="14"/>
      <c r="I3820" s="567"/>
      <c r="J3820" s="18"/>
      <c r="N3820" s="14"/>
      <c r="O3820" s="14"/>
      <c r="P3820" s="14"/>
    </row>
    <row r="3821" spans="8:16" ht="15.75" hidden="1" customHeight="1">
      <c r="H3821" s="14"/>
      <c r="I3821" s="567"/>
      <c r="J3821" s="18"/>
      <c r="N3821" s="14"/>
      <c r="O3821" s="14"/>
      <c r="P3821" s="14"/>
    </row>
    <row r="3822" spans="8:16" ht="15.75" hidden="1" customHeight="1">
      <c r="H3822" s="14"/>
      <c r="I3822" s="567"/>
      <c r="J3822" s="18"/>
      <c r="N3822" s="14"/>
      <c r="O3822" s="14"/>
      <c r="P3822" s="14"/>
    </row>
    <row r="3823" spans="8:16" ht="15.75" hidden="1" customHeight="1">
      <c r="H3823" s="14"/>
      <c r="I3823" s="567"/>
      <c r="J3823" s="18"/>
      <c r="N3823" s="14"/>
      <c r="O3823" s="14"/>
      <c r="P3823" s="14"/>
    </row>
    <row r="3824" spans="8:16" ht="15.75" hidden="1" customHeight="1">
      <c r="H3824" s="14"/>
      <c r="I3824" s="567"/>
      <c r="J3824" s="18"/>
      <c r="N3824" s="14"/>
      <c r="O3824" s="14"/>
      <c r="P3824" s="14"/>
    </row>
    <row r="3825" spans="8:16" ht="15.75" hidden="1" customHeight="1">
      <c r="H3825" s="14"/>
      <c r="I3825" s="567"/>
      <c r="J3825" s="18"/>
      <c r="N3825" s="14"/>
      <c r="O3825" s="14"/>
      <c r="P3825" s="14"/>
    </row>
    <row r="3826" spans="8:16" ht="15.75" hidden="1" customHeight="1">
      <c r="H3826" s="14"/>
      <c r="I3826" s="567"/>
      <c r="J3826" s="18"/>
      <c r="N3826" s="14"/>
      <c r="O3826" s="14"/>
      <c r="P3826" s="14"/>
    </row>
    <row r="3827" spans="8:16" ht="15.75" hidden="1" customHeight="1">
      <c r="H3827" s="14"/>
      <c r="I3827" s="567"/>
      <c r="J3827" s="18"/>
      <c r="N3827" s="14"/>
      <c r="O3827" s="14"/>
      <c r="P3827" s="14"/>
    </row>
    <row r="3828" spans="8:16" ht="15.75" hidden="1" customHeight="1">
      <c r="H3828" s="14"/>
      <c r="I3828" s="567"/>
      <c r="J3828" s="18"/>
      <c r="N3828" s="14"/>
      <c r="O3828" s="14"/>
      <c r="P3828" s="14"/>
    </row>
    <row r="3829" spans="8:16" ht="15.75" hidden="1" customHeight="1">
      <c r="H3829" s="14"/>
      <c r="I3829" s="567"/>
      <c r="J3829" s="18"/>
      <c r="N3829" s="14"/>
      <c r="O3829" s="14"/>
      <c r="P3829" s="14"/>
    </row>
    <row r="3830" spans="8:16" ht="15.75" hidden="1" customHeight="1">
      <c r="H3830" s="14"/>
      <c r="I3830" s="567"/>
      <c r="J3830" s="18"/>
      <c r="N3830" s="14"/>
      <c r="O3830" s="14"/>
      <c r="P3830" s="14"/>
    </row>
    <row r="3831" spans="8:16" ht="15.75" hidden="1" customHeight="1">
      <c r="H3831" s="14"/>
      <c r="I3831" s="567"/>
      <c r="J3831" s="18"/>
      <c r="N3831" s="14"/>
      <c r="O3831" s="14"/>
      <c r="P3831" s="14"/>
    </row>
    <row r="3832" spans="8:16" ht="15.75" hidden="1" customHeight="1">
      <c r="H3832" s="14"/>
      <c r="I3832" s="567"/>
      <c r="J3832" s="18"/>
      <c r="N3832" s="14"/>
      <c r="O3832" s="14"/>
      <c r="P3832" s="14"/>
    </row>
    <row r="3833" spans="8:16" ht="15.75" hidden="1" customHeight="1">
      <c r="H3833" s="14"/>
      <c r="I3833" s="567"/>
      <c r="J3833" s="18"/>
      <c r="N3833" s="14"/>
      <c r="O3833" s="14"/>
      <c r="P3833" s="14"/>
    </row>
    <row r="3834" spans="8:16" ht="15.75" hidden="1" customHeight="1">
      <c r="H3834" s="14"/>
      <c r="I3834" s="567"/>
      <c r="J3834" s="18"/>
      <c r="N3834" s="14"/>
      <c r="O3834" s="14"/>
      <c r="P3834" s="14"/>
    </row>
    <row r="3835" spans="8:16" ht="15.75" hidden="1" customHeight="1">
      <c r="H3835" s="14"/>
      <c r="I3835" s="567"/>
      <c r="J3835" s="18"/>
      <c r="N3835" s="14"/>
      <c r="O3835" s="14"/>
      <c r="P3835" s="14"/>
    </row>
    <row r="3836" spans="8:16" ht="15.75" hidden="1" customHeight="1">
      <c r="H3836" s="14"/>
      <c r="I3836" s="567"/>
      <c r="J3836" s="18"/>
      <c r="N3836" s="14"/>
      <c r="O3836" s="14"/>
      <c r="P3836" s="14"/>
    </row>
    <row r="3837" spans="8:16" ht="15.75" hidden="1" customHeight="1">
      <c r="H3837" s="14"/>
      <c r="I3837" s="567"/>
      <c r="J3837" s="18"/>
      <c r="N3837" s="14"/>
      <c r="O3837" s="14"/>
      <c r="P3837" s="14"/>
    </row>
    <row r="3838" spans="8:16" ht="15.75" hidden="1" customHeight="1">
      <c r="H3838" s="14"/>
      <c r="I3838" s="567"/>
      <c r="J3838" s="18"/>
      <c r="N3838" s="14"/>
      <c r="O3838" s="14"/>
      <c r="P3838" s="14"/>
    </row>
    <row r="3839" spans="8:16" ht="15.75" hidden="1" customHeight="1">
      <c r="H3839" s="14"/>
      <c r="I3839" s="567"/>
      <c r="J3839" s="18"/>
      <c r="N3839" s="14"/>
      <c r="O3839" s="14"/>
      <c r="P3839" s="14"/>
    </row>
    <row r="3840" spans="8:16" ht="15.75" hidden="1" customHeight="1">
      <c r="H3840" s="14"/>
      <c r="I3840" s="567"/>
      <c r="J3840" s="18"/>
      <c r="N3840" s="14"/>
      <c r="O3840" s="14"/>
      <c r="P3840" s="14"/>
    </row>
    <row r="3841" spans="8:16" ht="15.75" hidden="1" customHeight="1">
      <c r="H3841" s="14"/>
      <c r="I3841" s="567"/>
      <c r="J3841" s="18"/>
      <c r="N3841" s="14"/>
      <c r="O3841" s="14"/>
      <c r="P3841" s="14"/>
    </row>
    <row r="3842" spans="8:16" ht="15.75" hidden="1" customHeight="1">
      <c r="H3842" s="14"/>
      <c r="I3842" s="567"/>
      <c r="J3842" s="18"/>
      <c r="N3842" s="14"/>
      <c r="O3842" s="14"/>
      <c r="P3842" s="14"/>
    </row>
    <row r="3843" spans="8:16" ht="15.75" hidden="1" customHeight="1">
      <c r="H3843" s="14"/>
      <c r="I3843" s="567"/>
      <c r="J3843" s="18"/>
      <c r="N3843" s="14"/>
      <c r="O3843" s="14"/>
      <c r="P3843" s="14"/>
    </row>
    <row r="3844" spans="8:16" ht="15.75" hidden="1" customHeight="1">
      <c r="H3844" s="14"/>
      <c r="I3844" s="567"/>
      <c r="J3844" s="18"/>
      <c r="N3844" s="14"/>
      <c r="O3844" s="14"/>
      <c r="P3844" s="14"/>
    </row>
    <row r="3845" spans="8:16" ht="15.75" hidden="1" customHeight="1">
      <c r="H3845" s="14"/>
      <c r="I3845" s="567"/>
      <c r="J3845" s="18"/>
      <c r="N3845" s="14"/>
      <c r="O3845" s="14"/>
      <c r="P3845" s="14"/>
    </row>
    <row r="3846" spans="8:16" ht="15.75" hidden="1" customHeight="1">
      <c r="H3846" s="14"/>
      <c r="I3846" s="567"/>
      <c r="J3846" s="18"/>
      <c r="N3846" s="14"/>
      <c r="O3846" s="14"/>
      <c r="P3846" s="14"/>
    </row>
    <row r="3847" spans="8:16" ht="15.75" hidden="1" customHeight="1">
      <c r="H3847" s="14"/>
      <c r="I3847" s="567"/>
      <c r="J3847" s="18"/>
      <c r="N3847" s="14"/>
      <c r="O3847" s="14"/>
      <c r="P3847" s="14"/>
    </row>
    <row r="3848" spans="8:16" ht="15.75" hidden="1" customHeight="1">
      <c r="H3848" s="14"/>
      <c r="I3848" s="567"/>
      <c r="J3848" s="18"/>
      <c r="N3848" s="14"/>
      <c r="O3848" s="14"/>
      <c r="P3848" s="14"/>
    </row>
    <row r="3849" spans="8:16" ht="15.75" hidden="1" customHeight="1">
      <c r="H3849" s="14"/>
      <c r="I3849" s="567"/>
      <c r="J3849" s="18"/>
      <c r="N3849" s="14"/>
      <c r="O3849" s="14"/>
      <c r="P3849" s="14"/>
    </row>
    <row r="3850" spans="8:16" ht="15.75" hidden="1" customHeight="1">
      <c r="H3850" s="14"/>
      <c r="I3850" s="567"/>
      <c r="J3850" s="18"/>
      <c r="N3850" s="14"/>
      <c r="O3850" s="14"/>
      <c r="P3850" s="14"/>
    </row>
    <row r="3851" spans="8:16" ht="15.75" hidden="1" customHeight="1">
      <c r="H3851" s="14"/>
      <c r="I3851" s="567"/>
      <c r="J3851" s="18"/>
      <c r="N3851" s="14"/>
      <c r="O3851" s="14"/>
      <c r="P3851" s="14"/>
    </row>
    <row r="3852" spans="8:16" ht="15.75" hidden="1" customHeight="1">
      <c r="H3852" s="14"/>
      <c r="I3852" s="567"/>
      <c r="J3852" s="18"/>
      <c r="N3852" s="14"/>
      <c r="O3852" s="14"/>
      <c r="P3852" s="14"/>
    </row>
    <row r="3853" spans="8:16" ht="15.75" hidden="1" customHeight="1">
      <c r="H3853" s="14"/>
      <c r="I3853" s="567"/>
      <c r="J3853" s="18"/>
      <c r="N3853" s="14"/>
      <c r="O3853" s="14"/>
      <c r="P3853" s="14"/>
    </row>
    <row r="3854" spans="8:16" ht="15.75" hidden="1" customHeight="1">
      <c r="H3854" s="14"/>
      <c r="I3854" s="567"/>
      <c r="J3854" s="18"/>
      <c r="N3854" s="14"/>
      <c r="O3854" s="14"/>
      <c r="P3854" s="14"/>
    </row>
    <row r="3855" spans="8:16" ht="15.75" hidden="1" customHeight="1">
      <c r="H3855" s="14"/>
      <c r="I3855" s="567"/>
      <c r="J3855" s="18"/>
      <c r="N3855" s="14"/>
      <c r="O3855" s="14"/>
      <c r="P3855" s="14"/>
    </row>
    <row r="3856" spans="8:16" ht="15.75" hidden="1" customHeight="1">
      <c r="H3856" s="14"/>
      <c r="I3856" s="567"/>
      <c r="J3856" s="18"/>
      <c r="N3856" s="14"/>
      <c r="O3856" s="14"/>
      <c r="P3856" s="14"/>
    </row>
    <row r="3857" spans="8:16" ht="15.75" hidden="1" customHeight="1">
      <c r="H3857" s="14"/>
      <c r="I3857" s="567"/>
      <c r="J3857" s="18"/>
      <c r="N3857" s="14"/>
      <c r="O3857" s="14"/>
      <c r="P3857" s="14"/>
    </row>
    <row r="3858" spans="8:16" ht="15.75" hidden="1" customHeight="1">
      <c r="H3858" s="14"/>
      <c r="I3858" s="567"/>
      <c r="J3858" s="18"/>
      <c r="N3858" s="14"/>
      <c r="O3858" s="14"/>
      <c r="P3858" s="14"/>
    </row>
    <row r="3859" spans="8:16" ht="15.75" hidden="1" customHeight="1">
      <c r="H3859" s="14"/>
      <c r="I3859" s="567"/>
      <c r="J3859" s="18"/>
      <c r="N3859" s="14"/>
      <c r="O3859" s="14"/>
      <c r="P3859" s="14"/>
    </row>
    <row r="3860" spans="8:16" ht="15.75" hidden="1" customHeight="1">
      <c r="H3860" s="14"/>
      <c r="I3860" s="567"/>
      <c r="J3860" s="18"/>
      <c r="N3860" s="14"/>
      <c r="O3860" s="14"/>
      <c r="P3860" s="14"/>
    </row>
    <row r="3861" spans="8:16" ht="15.75" hidden="1" customHeight="1">
      <c r="H3861" s="14"/>
      <c r="I3861" s="567"/>
      <c r="J3861" s="18"/>
      <c r="N3861" s="14"/>
      <c r="O3861" s="14"/>
      <c r="P3861" s="14"/>
    </row>
    <row r="3862" spans="8:16" ht="15.75" hidden="1" customHeight="1">
      <c r="H3862" s="14"/>
      <c r="I3862" s="567"/>
      <c r="J3862" s="18"/>
      <c r="N3862" s="14"/>
      <c r="O3862" s="14"/>
      <c r="P3862" s="14"/>
    </row>
    <row r="3863" spans="8:16" ht="15.75" hidden="1" customHeight="1">
      <c r="H3863" s="14"/>
      <c r="I3863" s="567"/>
      <c r="J3863" s="18"/>
      <c r="N3863" s="14"/>
      <c r="O3863" s="14"/>
      <c r="P3863" s="14"/>
    </row>
    <row r="3864" spans="8:16" ht="15.75" hidden="1" customHeight="1">
      <c r="H3864" s="14"/>
      <c r="I3864" s="567"/>
      <c r="J3864" s="18"/>
      <c r="N3864" s="14"/>
      <c r="O3864" s="14"/>
      <c r="P3864" s="14"/>
    </row>
    <row r="3865" spans="8:16" ht="15.75" hidden="1" customHeight="1">
      <c r="H3865" s="14"/>
      <c r="I3865" s="567"/>
      <c r="J3865" s="18"/>
      <c r="N3865" s="14"/>
      <c r="O3865" s="14"/>
      <c r="P3865" s="14"/>
    </row>
    <row r="3866" spans="8:16" ht="15.75" hidden="1" customHeight="1">
      <c r="H3866" s="14"/>
      <c r="I3866" s="567"/>
      <c r="J3866" s="18"/>
      <c r="N3866" s="14"/>
      <c r="O3866" s="14"/>
      <c r="P3866" s="14"/>
    </row>
    <row r="3867" spans="8:16" ht="15.75" hidden="1" customHeight="1">
      <c r="H3867" s="14"/>
      <c r="I3867" s="567"/>
      <c r="J3867" s="18"/>
      <c r="N3867" s="14"/>
      <c r="O3867" s="14"/>
      <c r="P3867" s="14"/>
    </row>
    <row r="3868" spans="8:16" ht="15.75" hidden="1" customHeight="1">
      <c r="H3868" s="14"/>
      <c r="I3868" s="567"/>
      <c r="J3868" s="18"/>
      <c r="N3868" s="14"/>
      <c r="O3868" s="14"/>
      <c r="P3868" s="14"/>
    </row>
    <row r="3869" spans="8:16" ht="15.75" hidden="1" customHeight="1">
      <c r="H3869" s="14"/>
      <c r="I3869" s="567"/>
      <c r="J3869" s="18"/>
      <c r="N3869" s="14"/>
      <c r="O3869" s="14"/>
      <c r="P3869" s="14"/>
    </row>
    <row r="3870" spans="8:16" ht="15.75" hidden="1" customHeight="1">
      <c r="H3870" s="14"/>
      <c r="I3870" s="567"/>
      <c r="J3870" s="18"/>
      <c r="N3870" s="14"/>
      <c r="O3870" s="14"/>
      <c r="P3870" s="14"/>
    </row>
    <row r="3871" spans="8:16" ht="15.75" hidden="1" customHeight="1">
      <c r="H3871" s="14"/>
      <c r="I3871" s="567"/>
      <c r="J3871" s="18"/>
      <c r="N3871" s="14"/>
      <c r="O3871" s="14"/>
      <c r="P3871" s="14"/>
    </row>
    <row r="3872" spans="8:16" ht="15.75" hidden="1" customHeight="1">
      <c r="H3872" s="14"/>
      <c r="I3872" s="567"/>
      <c r="J3872" s="18"/>
      <c r="N3872" s="14"/>
      <c r="O3872" s="14"/>
      <c r="P3872" s="14"/>
    </row>
    <row r="3873" spans="8:16" ht="15.75" hidden="1" customHeight="1">
      <c r="H3873" s="14"/>
      <c r="I3873" s="567"/>
      <c r="J3873" s="18"/>
      <c r="N3873" s="14"/>
      <c r="O3873" s="14"/>
      <c r="P3873" s="14"/>
    </row>
    <row r="3874" spans="8:16" ht="15.75" hidden="1" customHeight="1">
      <c r="H3874" s="14"/>
      <c r="I3874" s="567"/>
      <c r="J3874" s="18"/>
      <c r="N3874" s="14"/>
      <c r="O3874" s="14"/>
      <c r="P3874" s="14"/>
    </row>
    <row r="3875" spans="8:16" ht="15.75" hidden="1" customHeight="1">
      <c r="H3875" s="14"/>
      <c r="I3875" s="567"/>
      <c r="J3875" s="18"/>
      <c r="N3875" s="14"/>
      <c r="O3875" s="14"/>
      <c r="P3875" s="14"/>
    </row>
    <row r="3876" spans="8:16" ht="15.75" hidden="1" customHeight="1">
      <c r="H3876" s="14"/>
      <c r="I3876" s="567"/>
      <c r="J3876" s="18"/>
      <c r="N3876" s="14"/>
      <c r="O3876" s="14"/>
      <c r="P3876" s="14"/>
    </row>
    <row r="3877" spans="8:16" ht="15.75" hidden="1" customHeight="1">
      <c r="H3877" s="14"/>
      <c r="I3877" s="567"/>
      <c r="J3877" s="18"/>
      <c r="N3877" s="14"/>
      <c r="O3877" s="14"/>
      <c r="P3877" s="14"/>
    </row>
    <row r="3878" spans="8:16" ht="15.75" hidden="1" customHeight="1">
      <c r="H3878" s="14"/>
      <c r="I3878" s="567"/>
      <c r="J3878" s="18"/>
      <c r="N3878" s="14"/>
      <c r="O3878" s="14"/>
      <c r="P3878" s="14"/>
    </row>
    <row r="3879" spans="8:16" ht="15.75" hidden="1" customHeight="1">
      <c r="H3879" s="14"/>
      <c r="I3879" s="567"/>
      <c r="J3879" s="18"/>
      <c r="N3879" s="14"/>
      <c r="O3879" s="14"/>
      <c r="P3879" s="14"/>
    </row>
    <row r="3880" spans="8:16" ht="15.75" hidden="1" customHeight="1">
      <c r="H3880" s="14"/>
      <c r="I3880" s="567"/>
      <c r="J3880" s="18"/>
      <c r="N3880" s="14"/>
      <c r="O3880" s="14"/>
      <c r="P3880" s="14"/>
    </row>
    <row r="3881" spans="8:16" ht="15.75" hidden="1" customHeight="1">
      <c r="H3881" s="14"/>
      <c r="I3881" s="567"/>
      <c r="J3881" s="18"/>
      <c r="N3881" s="14"/>
      <c r="O3881" s="14"/>
      <c r="P3881" s="14"/>
    </row>
    <row r="3882" spans="8:16" ht="15.75" hidden="1" customHeight="1">
      <c r="H3882" s="14"/>
      <c r="I3882" s="567"/>
      <c r="J3882" s="18"/>
      <c r="N3882" s="14"/>
      <c r="O3882" s="14"/>
      <c r="P3882" s="14"/>
    </row>
    <row r="3883" spans="8:16" ht="15.75" hidden="1" customHeight="1">
      <c r="H3883" s="14"/>
      <c r="I3883" s="567"/>
      <c r="J3883" s="18"/>
      <c r="N3883" s="14"/>
      <c r="O3883" s="14"/>
      <c r="P3883" s="14"/>
    </row>
    <row r="3884" spans="8:16" ht="15.75" hidden="1" customHeight="1">
      <c r="H3884" s="14"/>
      <c r="I3884" s="567"/>
      <c r="J3884" s="18"/>
      <c r="N3884" s="14"/>
      <c r="O3884" s="14"/>
      <c r="P3884" s="14"/>
    </row>
    <row r="3885" spans="8:16" ht="15.75" hidden="1" customHeight="1">
      <c r="H3885" s="14"/>
      <c r="I3885" s="567"/>
      <c r="J3885" s="18"/>
      <c r="N3885" s="14"/>
      <c r="O3885" s="14"/>
      <c r="P3885" s="14"/>
    </row>
    <row r="3886" spans="8:16" ht="15.75" hidden="1" customHeight="1">
      <c r="H3886" s="14"/>
      <c r="I3886" s="567"/>
      <c r="J3886" s="18"/>
      <c r="N3886" s="14"/>
      <c r="O3886" s="14"/>
      <c r="P3886" s="14"/>
    </row>
    <row r="3887" spans="8:16" ht="15.75" hidden="1" customHeight="1">
      <c r="H3887" s="14"/>
      <c r="I3887" s="567"/>
      <c r="J3887" s="18"/>
      <c r="N3887" s="14"/>
      <c r="O3887" s="14"/>
      <c r="P3887" s="14"/>
    </row>
    <row r="3888" spans="8:16" ht="15.75" hidden="1" customHeight="1">
      <c r="H3888" s="14"/>
      <c r="I3888" s="567"/>
      <c r="J3888" s="18"/>
      <c r="N3888" s="14"/>
      <c r="O3888" s="14"/>
      <c r="P3888" s="14"/>
    </row>
    <row r="3889" spans="8:16" ht="15.75" hidden="1" customHeight="1">
      <c r="H3889" s="14"/>
      <c r="I3889" s="567"/>
      <c r="J3889" s="18"/>
      <c r="N3889" s="14"/>
      <c r="O3889" s="14"/>
      <c r="P3889" s="14"/>
    </row>
    <row r="3890" spans="8:16" ht="15.75" hidden="1" customHeight="1">
      <c r="H3890" s="14"/>
      <c r="I3890" s="567"/>
      <c r="J3890" s="18"/>
      <c r="N3890" s="14"/>
      <c r="O3890" s="14"/>
      <c r="P3890" s="14"/>
    </row>
    <row r="3891" spans="8:16" ht="15.75" hidden="1" customHeight="1">
      <c r="H3891" s="14"/>
      <c r="I3891" s="567"/>
      <c r="J3891" s="18"/>
      <c r="N3891" s="14"/>
      <c r="O3891" s="14"/>
      <c r="P3891" s="14"/>
    </row>
    <row r="3892" spans="8:16" ht="15.75" hidden="1" customHeight="1">
      <c r="H3892" s="14"/>
      <c r="I3892" s="567"/>
      <c r="J3892" s="18"/>
      <c r="N3892" s="14"/>
      <c r="O3892" s="14"/>
      <c r="P3892" s="14"/>
    </row>
    <row r="3893" spans="8:16" ht="15.75" hidden="1" customHeight="1">
      <c r="H3893" s="14"/>
      <c r="I3893" s="567"/>
      <c r="J3893" s="18"/>
      <c r="N3893" s="14"/>
      <c r="O3893" s="14"/>
      <c r="P3893" s="14"/>
    </row>
    <row r="3894" spans="8:16" ht="15.75" hidden="1" customHeight="1">
      <c r="H3894" s="14"/>
      <c r="I3894" s="567"/>
      <c r="J3894" s="18"/>
      <c r="N3894" s="14"/>
      <c r="O3894" s="14"/>
      <c r="P3894" s="14"/>
    </row>
    <row r="3895" spans="8:16" ht="15.75" hidden="1" customHeight="1">
      <c r="H3895" s="14"/>
      <c r="I3895" s="567"/>
      <c r="J3895" s="18"/>
      <c r="N3895" s="14"/>
      <c r="O3895" s="14"/>
      <c r="P3895" s="14"/>
    </row>
    <row r="3896" spans="8:16" ht="15.75" hidden="1" customHeight="1">
      <c r="H3896" s="14"/>
      <c r="I3896" s="567"/>
      <c r="J3896" s="18"/>
      <c r="N3896" s="14"/>
      <c r="O3896" s="14"/>
      <c r="P3896" s="14"/>
    </row>
    <row r="3897" spans="8:16" ht="15.75" hidden="1" customHeight="1">
      <c r="H3897" s="14"/>
      <c r="I3897" s="567"/>
      <c r="J3897" s="18"/>
      <c r="N3897" s="14"/>
      <c r="O3897" s="14"/>
      <c r="P3897" s="14"/>
    </row>
    <row r="3898" spans="8:16" ht="15.75" hidden="1" customHeight="1">
      <c r="H3898" s="14"/>
      <c r="I3898" s="567"/>
      <c r="J3898" s="18"/>
      <c r="N3898" s="14"/>
      <c r="O3898" s="14"/>
      <c r="P3898" s="14"/>
    </row>
    <row r="3899" spans="8:16" ht="15.75" hidden="1" customHeight="1">
      <c r="H3899" s="14"/>
      <c r="I3899" s="567"/>
      <c r="J3899" s="18"/>
      <c r="N3899" s="14"/>
      <c r="O3899" s="14"/>
      <c r="P3899" s="14"/>
    </row>
    <row r="3900" spans="8:16" ht="15.75" hidden="1" customHeight="1">
      <c r="H3900" s="14"/>
      <c r="I3900" s="567"/>
      <c r="J3900" s="18"/>
      <c r="N3900" s="14"/>
      <c r="O3900" s="14"/>
      <c r="P3900" s="14"/>
    </row>
    <row r="3901" spans="8:16" ht="15.75" hidden="1" customHeight="1">
      <c r="H3901" s="14"/>
      <c r="I3901" s="567"/>
      <c r="J3901" s="18"/>
      <c r="N3901" s="14"/>
      <c r="O3901" s="14"/>
      <c r="P3901" s="14"/>
    </row>
    <row r="3902" spans="8:16" ht="15.75" hidden="1" customHeight="1">
      <c r="H3902" s="14"/>
      <c r="I3902" s="567"/>
      <c r="J3902" s="18"/>
      <c r="N3902" s="14"/>
      <c r="O3902" s="14"/>
      <c r="P3902" s="14"/>
    </row>
    <row r="3903" spans="8:16" ht="15.75" hidden="1" customHeight="1">
      <c r="H3903" s="14"/>
      <c r="I3903" s="567"/>
      <c r="J3903" s="18"/>
      <c r="N3903" s="14"/>
      <c r="O3903" s="14"/>
      <c r="P3903" s="14"/>
    </row>
    <row r="3904" spans="8:16" ht="15.75" hidden="1" customHeight="1">
      <c r="H3904" s="14"/>
      <c r="I3904" s="567"/>
      <c r="J3904" s="18"/>
      <c r="N3904" s="14"/>
      <c r="O3904" s="14"/>
      <c r="P3904" s="14"/>
    </row>
    <row r="3905" spans="8:16" ht="15.75" hidden="1" customHeight="1">
      <c r="H3905" s="14"/>
      <c r="I3905" s="567"/>
      <c r="J3905" s="18"/>
      <c r="N3905" s="14"/>
      <c r="O3905" s="14"/>
      <c r="P3905" s="14"/>
    </row>
    <row r="3906" spans="8:16" ht="15.75" hidden="1" customHeight="1">
      <c r="H3906" s="14"/>
      <c r="I3906" s="567"/>
      <c r="J3906" s="18"/>
      <c r="N3906" s="14"/>
      <c r="O3906" s="14"/>
      <c r="P3906" s="14"/>
    </row>
    <row r="3907" spans="8:16" ht="15.75" hidden="1" customHeight="1">
      <c r="H3907" s="14"/>
      <c r="I3907" s="567"/>
      <c r="J3907" s="18"/>
      <c r="N3907" s="14"/>
      <c r="O3907" s="14"/>
      <c r="P3907" s="14"/>
    </row>
    <row r="3908" spans="8:16" ht="15.75" hidden="1" customHeight="1">
      <c r="H3908" s="14"/>
      <c r="I3908" s="567"/>
      <c r="J3908" s="18"/>
      <c r="N3908" s="14"/>
      <c r="O3908" s="14"/>
      <c r="P3908" s="14"/>
    </row>
    <row r="3909" spans="8:16" ht="15.75" hidden="1" customHeight="1">
      <c r="H3909" s="14"/>
      <c r="I3909" s="567"/>
      <c r="J3909" s="18"/>
      <c r="N3909" s="14"/>
      <c r="O3909" s="14"/>
      <c r="P3909" s="14"/>
    </row>
    <row r="3910" spans="8:16" ht="15.75" hidden="1" customHeight="1">
      <c r="H3910" s="14"/>
      <c r="I3910" s="567"/>
      <c r="J3910" s="18"/>
      <c r="N3910" s="14"/>
      <c r="O3910" s="14"/>
      <c r="P3910" s="14"/>
    </row>
    <row r="3911" spans="8:16" ht="15.75" hidden="1" customHeight="1">
      <c r="H3911" s="14"/>
      <c r="I3911" s="567"/>
      <c r="J3911" s="18"/>
      <c r="N3911" s="14"/>
      <c r="O3911" s="14"/>
      <c r="P3911" s="14"/>
    </row>
    <row r="3912" spans="8:16" ht="15.75" hidden="1" customHeight="1">
      <c r="H3912" s="14"/>
      <c r="I3912" s="567"/>
      <c r="J3912" s="18"/>
      <c r="N3912" s="14"/>
      <c r="O3912" s="14"/>
      <c r="P3912" s="14"/>
    </row>
    <row r="3913" spans="8:16" ht="15.75" hidden="1" customHeight="1">
      <c r="H3913" s="14"/>
      <c r="I3913" s="567"/>
      <c r="J3913" s="18"/>
      <c r="N3913" s="14"/>
      <c r="O3913" s="14"/>
      <c r="P3913" s="14"/>
    </row>
    <row r="3914" spans="8:16" ht="15.75" hidden="1" customHeight="1">
      <c r="H3914" s="14"/>
      <c r="I3914" s="567"/>
      <c r="J3914" s="18"/>
      <c r="N3914" s="14"/>
      <c r="O3914" s="14"/>
      <c r="P3914" s="14"/>
    </row>
    <row r="3915" spans="8:16" ht="15.75" hidden="1" customHeight="1">
      <c r="H3915" s="14"/>
      <c r="I3915" s="567"/>
      <c r="J3915" s="18"/>
      <c r="N3915" s="14"/>
      <c r="O3915" s="14"/>
      <c r="P3915" s="14"/>
    </row>
    <row r="3916" spans="8:16" ht="15.75" hidden="1" customHeight="1">
      <c r="H3916" s="14"/>
      <c r="I3916" s="567"/>
      <c r="J3916" s="18"/>
      <c r="N3916" s="14"/>
      <c r="O3916" s="14"/>
      <c r="P3916" s="14"/>
    </row>
    <row r="3917" spans="8:16" ht="15.75" hidden="1" customHeight="1">
      <c r="H3917" s="14"/>
      <c r="I3917" s="567"/>
      <c r="J3917" s="18"/>
      <c r="N3917" s="14"/>
      <c r="O3917" s="14"/>
      <c r="P3917" s="14"/>
    </row>
    <row r="3918" spans="8:16" ht="15.75" hidden="1" customHeight="1">
      <c r="H3918" s="14"/>
      <c r="I3918" s="567"/>
      <c r="J3918" s="18"/>
      <c r="N3918" s="14"/>
      <c r="O3918" s="14"/>
      <c r="P3918" s="14"/>
    </row>
    <row r="3919" spans="8:16" ht="15.75" hidden="1" customHeight="1">
      <c r="H3919" s="14"/>
      <c r="I3919" s="567"/>
      <c r="J3919" s="18"/>
      <c r="N3919" s="14"/>
      <c r="O3919" s="14"/>
      <c r="P3919" s="14"/>
    </row>
    <row r="3920" spans="8:16" ht="15.75" hidden="1" customHeight="1">
      <c r="H3920" s="14"/>
      <c r="I3920" s="567"/>
      <c r="J3920" s="18"/>
      <c r="N3920" s="14"/>
      <c r="O3920" s="14"/>
      <c r="P3920" s="14"/>
    </row>
    <row r="3921" spans="8:16" ht="15.75" hidden="1" customHeight="1">
      <c r="H3921" s="14"/>
      <c r="I3921" s="567"/>
      <c r="J3921" s="18"/>
      <c r="N3921" s="14"/>
      <c r="O3921" s="14"/>
      <c r="P3921" s="14"/>
    </row>
    <row r="3922" spans="8:16" ht="15.75" hidden="1" customHeight="1">
      <c r="H3922" s="14"/>
      <c r="I3922" s="567"/>
      <c r="J3922" s="18"/>
      <c r="N3922" s="14"/>
      <c r="O3922" s="14"/>
      <c r="P3922" s="14"/>
    </row>
    <row r="3923" spans="8:16" ht="15.75" hidden="1" customHeight="1">
      <c r="H3923" s="14"/>
      <c r="I3923" s="567"/>
      <c r="J3923" s="18"/>
      <c r="N3923" s="14"/>
      <c r="O3923" s="14"/>
      <c r="P3923" s="14"/>
    </row>
    <row r="3924" spans="8:16" ht="15.75" hidden="1" customHeight="1">
      <c r="H3924" s="14"/>
      <c r="I3924" s="567"/>
      <c r="J3924" s="18"/>
      <c r="N3924" s="14"/>
      <c r="O3924" s="14"/>
      <c r="P3924" s="14"/>
    </row>
    <row r="3925" spans="8:16" ht="15.75" hidden="1" customHeight="1">
      <c r="H3925" s="14"/>
      <c r="I3925" s="567"/>
      <c r="J3925" s="18"/>
      <c r="N3925" s="14"/>
      <c r="O3925" s="14"/>
      <c r="P3925" s="14"/>
    </row>
    <row r="3926" spans="8:16" ht="15.75" hidden="1" customHeight="1">
      <c r="H3926" s="14"/>
      <c r="I3926" s="567"/>
      <c r="J3926" s="18"/>
      <c r="N3926" s="14"/>
      <c r="O3926" s="14"/>
      <c r="P3926" s="14"/>
    </row>
    <row r="3927" spans="8:16" ht="15.75" hidden="1" customHeight="1">
      <c r="H3927" s="14"/>
      <c r="I3927" s="567"/>
      <c r="J3927" s="18"/>
      <c r="N3927" s="14"/>
      <c r="O3927" s="14"/>
      <c r="P3927" s="14"/>
    </row>
    <row r="3928" spans="8:16" ht="15.75" hidden="1" customHeight="1">
      <c r="H3928" s="14"/>
      <c r="I3928" s="567"/>
      <c r="J3928" s="18"/>
      <c r="N3928" s="14"/>
      <c r="O3928" s="14"/>
      <c r="P3928" s="14"/>
    </row>
    <row r="3929" spans="8:16" ht="15.75" hidden="1" customHeight="1">
      <c r="H3929" s="14"/>
      <c r="I3929" s="567"/>
      <c r="J3929" s="18"/>
      <c r="N3929" s="14"/>
      <c r="O3929" s="14"/>
      <c r="P3929" s="14"/>
    </row>
    <row r="3930" spans="8:16" ht="15.75" hidden="1" customHeight="1">
      <c r="H3930" s="14"/>
      <c r="I3930" s="567"/>
      <c r="J3930" s="18"/>
      <c r="N3930" s="14"/>
      <c r="O3930" s="14"/>
      <c r="P3930" s="14"/>
    </row>
    <row r="3931" spans="8:16" ht="15.75" hidden="1" customHeight="1">
      <c r="H3931" s="14"/>
      <c r="I3931" s="567"/>
      <c r="J3931" s="18"/>
      <c r="N3931" s="14"/>
      <c r="O3931" s="14"/>
      <c r="P3931" s="14"/>
    </row>
    <row r="3932" spans="8:16" ht="15.75" hidden="1" customHeight="1">
      <c r="H3932" s="14"/>
      <c r="I3932" s="567"/>
      <c r="J3932" s="18"/>
      <c r="N3932" s="14"/>
      <c r="O3932" s="14"/>
      <c r="P3932" s="14"/>
    </row>
    <row r="3933" spans="8:16" ht="15.75" hidden="1" customHeight="1">
      <c r="H3933" s="14"/>
      <c r="I3933" s="567"/>
      <c r="J3933" s="18"/>
      <c r="N3933" s="14"/>
      <c r="O3933" s="14"/>
      <c r="P3933" s="14"/>
    </row>
    <row r="3934" spans="8:16" ht="15.75" hidden="1" customHeight="1">
      <c r="H3934" s="14"/>
      <c r="I3934" s="567"/>
      <c r="J3934" s="18"/>
      <c r="N3934" s="14"/>
      <c r="O3934" s="14"/>
      <c r="P3934" s="14"/>
    </row>
    <row r="3935" spans="8:16" ht="15.75" hidden="1" customHeight="1">
      <c r="H3935" s="14"/>
      <c r="I3935" s="567"/>
      <c r="J3935" s="18"/>
      <c r="N3935" s="14"/>
      <c r="O3935" s="14"/>
      <c r="P3935" s="14"/>
    </row>
    <row r="3936" spans="8:16" ht="15.75" hidden="1" customHeight="1">
      <c r="H3936" s="14"/>
      <c r="I3936" s="567"/>
      <c r="J3936" s="18"/>
      <c r="N3936" s="14"/>
      <c r="O3936" s="14"/>
      <c r="P3936" s="14"/>
    </row>
    <row r="3937" spans="8:16" ht="15.75" hidden="1" customHeight="1">
      <c r="H3937" s="14"/>
      <c r="I3937" s="567"/>
      <c r="J3937" s="18"/>
      <c r="N3937" s="14"/>
      <c r="O3937" s="14"/>
      <c r="P3937" s="14"/>
    </row>
    <row r="3938" spans="8:16" ht="15.75" hidden="1" customHeight="1">
      <c r="H3938" s="14"/>
      <c r="I3938" s="567"/>
      <c r="J3938" s="18"/>
      <c r="N3938" s="14"/>
      <c r="O3938" s="14"/>
      <c r="P3938" s="14"/>
    </row>
    <row r="3939" spans="8:16" ht="15.75" hidden="1" customHeight="1">
      <c r="H3939" s="14"/>
      <c r="I3939" s="567"/>
      <c r="J3939" s="18"/>
      <c r="N3939" s="14"/>
      <c r="O3939" s="14"/>
      <c r="P3939" s="14"/>
    </row>
    <row r="3940" spans="8:16" ht="15.75" hidden="1" customHeight="1">
      <c r="H3940" s="14"/>
      <c r="I3940" s="567"/>
      <c r="J3940" s="18"/>
      <c r="N3940" s="14"/>
      <c r="O3940" s="14"/>
      <c r="P3940" s="14"/>
    </row>
    <row r="3941" spans="8:16" ht="15.75" hidden="1" customHeight="1">
      <c r="H3941" s="14"/>
      <c r="I3941" s="567"/>
      <c r="J3941" s="18"/>
      <c r="N3941" s="14"/>
      <c r="O3941" s="14"/>
      <c r="P3941" s="14"/>
    </row>
    <row r="3942" spans="8:16" ht="15.75" hidden="1" customHeight="1">
      <c r="H3942" s="14"/>
      <c r="I3942" s="567"/>
      <c r="J3942" s="18"/>
      <c r="N3942" s="14"/>
      <c r="O3942" s="14"/>
      <c r="P3942" s="14"/>
    </row>
    <row r="3943" spans="8:16" ht="15.75" hidden="1" customHeight="1">
      <c r="H3943" s="14"/>
      <c r="I3943" s="567"/>
      <c r="J3943" s="18"/>
      <c r="N3943" s="14"/>
      <c r="O3943" s="14"/>
      <c r="P3943" s="14"/>
    </row>
    <row r="3944" spans="8:16" ht="15.75" hidden="1" customHeight="1">
      <c r="H3944" s="14"/>
      <c r="I3944" s="567"/>
      <c r="J3944" s="18"/>
      <c r="N3944" s="14"/>
      <c r="O3944" s="14"/>
      <c r="P3944" s="14"/>
    </row>
    <row r="3945" spans="8:16" ht="15.75" hidden="1" customHeight="1">
      <c r="H3945" s="14"/>
      <c r="I3945" s="567"/>
      <c r="J3945" s="18"/>
      <c r="N3945" s="14"/>
      <c r="O3945" s="14"/>
      <c r="P3945" s="14"/>
    </row>
    <row r="3946" spans="8:16" ht="15.75" hidden="1" customHeight="1">
      <c r="H3946" s="14"/>
      <c r="I3946" s="567"/>
      <c r="J3946" s="18"/>
      <c r="N3946" s="14"/>
      <c r="O3946" s="14"/>
      <c r="P3946" s="14"/>
    </row>
    <row r="3947" spans="8:16" ht="15.75" hidden="1" customHeight="1">
      <c r="H3947" s="14"/>
      <c r="I3947" s="567"/>
      <c r="J3947" s="18"/>
      <c r="N3947" s="14"/>
      <c r="O3947" s="14"/>
      <c r="P3947" s="14"/>
    </row>
    <row r="3948" spans="8:16" ht="15.75" hidden="1" customHeight="1">
      <c r="H3948" s="14"/>
      <c r="I3948" s="567"/>
      <c r="J3948" s="18"/>
      <c r="N3948" s="14"/>
      <c r="O3948" s="14"/>
      <c r="P3948" s="14"/>
    </row>
    <row r="3949" spans="8:16" ht="15.75" hidden="1" customHeight="1">
      <c r="H3949" s="14"/>
      <c r="I3949" s="567"/>
      <c r="J3949" s="18"/>
      <c r="N3949" s="14"/>
      <c r="O3949" s="14"/>
      <c r="P3949" s="14"/>
    </row>
    <row r="3950" spans="8:16" ht="15.75" hidden="1" customHeight="1">
      <c r="H3950" s="14"/>
      <c r="I3950" s="567"/>
      <c r="J3950" s="18"/>
      <c r="N3950" s="14"/>
      <c r="O3950" s="14"/>
      <c r="P3950" s="14"/>
    </row>
    <row r="3951" spans="8:16" ht="15.75" hidden="1" customHeight="1">
      <c r="H3951" s="14"/>
      <c r="I3951" s="567"/>
      <c r="J3951" s="18"/>
      <c r="N3951" s="14"/>
      <c r="O3951" s="14"/>
      <c r="P3951" s="14"/>
    </row>
    <row r="3952" spans="8:16" ht="15.75" hidden="1" customHeight="1">
      <c r="H3952" s="14"/>
      <c r="I3952" s="567"/>
      <c r="J3952" s="18"/>
      <c r="N3952" s="14"/>
      <c r="O3952" s="14"/>
      <c r="P3952" s="14"/>
    </row>
    <row r="3953" spans="8:16" ht="15.75" hidden="1" customHeight="1">
      <c r="H3953" s="14"/>
      <c r="I3953" s="567"/>
      <c r="J3953" s="18"/>
      <c r="N3953" s="14"/>
      <c r="O3953" s="14"/>
      <c r="P3953" s="14"/>
    </row>
    <row r="3954" spans="8:16" ht="15.75" hidden="1" customHeight="1">
      <c r="H3954" s="14"/>
      <c r="I3954" s="567"/>
      <c r="J3954" s="18"/>
      <c r="N3954" s="14"/>
      <c r="O3954" s="14"/>
      <c r="P3954" s="14"/>
    </row>
    <row r="3955" spans="8:16" ht="15.75" hidden="1" customHeight="1">
      <c r="H3955" s="14"/>
      <c r="I3955" s="567"/>
      <c r="J3955" s="18"/>
      <c r="N3955" s="14"/>
      <c r="O3955" s="14"/>
      <c r="P3955" s="14"/>
    </row>
    <row r="3956" spans="8:16" ht="15.75" hidden="1" customHeight="1">
      <c r="H3956" s="14"/>
      <c r="I3956" s="567"/>
      <c r="J3956" s="18"/>
      <c r="N3956" s="14"/>
      <c r="O3956" s="14"/>
      <c r="P3956" s="14"/>
    </row>
    <row r="3957" spans="8:16" ht="15.75" hidden="1" customHeight="1">
      <c r="H3957" s="14"/>
      <c r="I3957" s="567"/>
      <c r="J3957" s="18"/>
      <c r="N3957" s="14"/>
      <c r="O3957" s="14"/>
      <c r="P3957" s="14"/>
    </row>
    <row r="3958" spans="8:16" ht="15.75" hidden="1" customHeight="1">
      <c r="H3958" s="14"/>
      <c r="I3958" s="567"/>
      <c r="J3958" s="18"/>
      <c r="N3958" s="14"/>
      <c r="O3958" s="14"/>
      <c r="P3958" s="14"/>
    </row>
    <row r="3959" spans="8:16" ht="15.75" hidden="1" customHeight="1">
      <c r="H3959" s="14"/>
      <c r="I3959" s="567"/>
      <c r="J3959" s="18"/>
      <c r="N3959" s="14"/>
      <c r="O3959" s="14"/>
      <c r="P3959" s="14"/>
    </row>
    <row r="3960" spans="8:16" ht="15.75" hidden="1" customHeight="1">
      <c r="H3960" s="14"/>
      <c r="I3960" s="567"/>
      <c r="J3960" s="18"/>
      <c r="N3960" s="14"/>
      <c r="O3960" s="14"/>
      <c r="P3960" s="14"/>
    </row>
    <row r="3961" spans="8:16" ht="15.75" hidden="1" customHeight="1">
      <c r="H3961" s="14"/>
      <c r="I3961" s="567"/>
      <c r="J3961" s="18"/>
      <c r="N3961" s="14"/>
      <c r="O3961" s="14"/>
      <c r="P3961" s="14"/>
    </row>
    <row r="3962" spans="8:16" ht="15.75" hidden="1" customHeight="1">
      <c r="H3962" s="14"/>
      <c r="I3962" s="567"/>
      <c r="J3962" s="18"/>
      <c r="N3962" s="14"/>
      <c r="O3962" s="14"/>
      <c r="P3962" s="14"/>
    </row>
    <row r="3963" spans="8:16" ht="15.75" hidden="1" customHeight="1">
      <c r="H3963" s="14"/>
      <c r="I3963" s="567"/>
      <c r="J3963" s="18"/>
      <c r="N3963" s="14"/>
      <c r="O3963" s="14"/>
      <c r="P3963" s="14"/>
    </row>
    <row r="3964" spans="8:16" ht="15.75" hidden="1" customHeight="1">
      <c r="H3964" s="14"/>
      <c r="I3964" s="567"/>
      <c r="J3964" s="18"/>
      <c r="N3964" s="14"/>
      <c r="O3964" s="14"/>
      <c r="P3964" s="14"/>
    </row>
    <row r="3965" spans="8:16" ht="15.75" hidden="1" customHeight="1">
      <c r="H3965" s="14"/>
      <c r="I3965" s="567"/>
      <c r="J3965" s="18"/>
      <c r="N3965" s="14"/>
      <c r="O3965" s="14"/>
      <c r="P3965" s="14"/>
    </row>
    <row r="3966" spans="8:16" ht="15.75" hidden="1" customHeight="1">
      <c r="H3966" s="14"/>
      <c r="I3966" s="567"/>
      <c r="J3966" s="18"/>
      <c r="N3966" s="14"/>
      <c r="O3966" s="14"/>
      <c r="P3966" s="14"/>
    </row>
    <row r="3967" spans="8:16" ht="15.75" hidden="1" customHeight="1">
      <c r="H3967" s="14"/>
      <c r="I3967" s="567"/>
      <c r="J3967" s="18"/>
      <c r="N3967" s="14"/>
      <c r="O3967" s="14"/>
      <c r="P3967" s="14"/>
    </row>
    <row r="3968" spans="8:16" ht="15.75" hidden="1" customHeight="1">
      <c r="H3968" s="14"/>
      <c r="I3968" s="567"/>
      <c r="J3968" s="18"/>
      <c r="N3968" s="14"/>
      <c r="O3968" s="14"/>
      <c r="P3968" s="14"/>
    </row>
    <row r="3969" spans="8:16" ht="15.75" hidden="1" customHeight="1">
      <c r="H3969" s="14"/>
      <c r="I3969" s="567"/>
      <c r="J3969" s="18"/>
      <c r="N3969" s="14"/>
      <c r="O3969" s="14"/>
      <c r="P3969" s="14"/>
    </row>
    <row r="3970" spans="8:16" ht="15.75" hidden="1" customHeight="1">
      <c r="H3970" s="14"/>
      <c r="I3970" s="567"/>
      <c r="J3970" s="18"/>
      <c r="N3970" s="14"/>
      <c r="O3970" s="14"/>
      <c r="P3970" s="14"/>
    </row>
    <row r="3971" spans="8:16" ht="15.75" hidden="1" customHeight="1">
      <c r="H3971" s="14"/>
      <c r="I3971" s="567"/>
      <c r="J3971" s="18"/>
      <c r="N3971" s="14"/>
      <c r="O3971" s="14"/>
      <c r="P3971" s="14"/>
    </row>
    <row r="3972" spans="8:16" ht="15.75" hidden="1" customHeight="1">
      <c r="H3972" s="14"/>
      <c r="I3972" s="567"/>
      <c r="J3972" s="18"/>
      <c r="N3972" s="14"/>
      <c r="O3972" s="14"/>
      <c r="P3972" s="14"/>
    </row>
    <row r="3973" spans="8:16" ht="15.75" hidden="1" customHeight="1">
      <c r="H3973" s="14"/>
      <c r="I3973" s="567"/>
      <c r="J3973" s="18"/>
      <c r="N3973" s="14"/>
      <c r="O3973" s="14"/>
      <c r="P3973" s="14"/>
    </row>
    <row r="3974" spans="8:16" ht="15.75" hidden="1" customHeight="1">
      <c r="H3974" s="14"/>
      <c r="I3974" s="567"/>
      <c r="J3974" s="18"/>
      <c r="N3974" s="14"/>
      <c r="O3974" s="14"/>
      <c r="P3974" s="14"/>
    </row>
    <row r="3975" spans="8:16" ht="15.75" hidden="1" customHeight="1">
      <c r="H3975" s="14"/>
      <c r="I3975" s="567"/>
      <c r="J3975" s="18"/>
      <c r="N3975" s="14"/>
      <c r="O3975" s="14"/>
      <c r="P3975" s="14"/>
    </row>
    <row r="3976" spans="8:16" ht="15.75" hidden="1" customHeight="1">
      <c r="H3976" s="14"/>
      <c r="I3976" s="567"/>
      <c r="J3976" s="18"/>
      <c r="N3976" s="14"/>
      <c r="O3976" s="14"/>
      <c r="P3976" s="14"/>
    </row>
    <row r="3977" spans="8:16" ht="15.75" hidden="1" customHeight="1">
      <c r="H3977" s="14"/>
      <c r="I3977" s="567"/>
      <c r="J3977" s="18"/>
      <c r="N3977" s="14"/>
      <c r="O3977" s="14"/>
      <c r="P3977" s="14"/>
    </row>
    <row r="3978" spans="8:16" ht="15.75" hidden="1" customHeight="1">
      <c r="H3978" s="14"/>
      <c r="I3978" s="567"/>
      <c r="J3978" s="18"/>
      <c r="N3978" s="14"/>
      <c r="O3978" s="14"/>
      <c r="P3978" s="14"/>
    </row>
    <row r="3979" spans="8:16" ht="15.75" hidden="1" customHeight="1">
      <c r="H3979" s="14"/>
      <c r="I3979" s="567"/>
      <c r="J3979" s="18"/>
      <c r="N3979" s="14"/>
      <c r="O3979" s="14"/>
      <c r="P3979" s="14"/>
    </row>
    <row r="3980" spans="8:16" ht="15.75" hidden="1" customHeight="1">
      <c r="H3980" s="14"/>
      <c r="I3980" s="567"/>
      <c r="J3980" s="18"/>
      <c r="N3980" s="14"/>
      <c r="O3980" s="14"/>
      <c r="P3980" s="14"/>
    </row>
    <row r="3981" spans="8:16" ht="15.75" hidden="1" customHeight="1">
      <c r="H3981" s="14"/>
      <c r="I3981" s="567"/>
      <c r="J3981" s="18"/>
      <c r="N3981" s="14"/>
      <c r="O3981" s="14"/>
      <c r="P3981" s="14"/>
    </row>
    <row r="3982" spans="8:16" ht="15.75" hidden="1" customHeight="1">
      <c r="H3982" s="14"/>
      <c r="I3982" s="567"/>
      <c r="J3982" s="18"/>
      <c r="N3982" s="14"/>
      <c r="O3982" s="14"/>
      <c r="P3982" s="14"/>
    </row>
    <row r="3983" spans="8:16" ht="15.75" hidden="1" customHeight="1">
      <c r="H3983" s="14"/>
      <c r="I3983" s="567"/>
      <c r="J3983" s="18"/>
      <c r="N3983" s="14"/>
      <c r="O3983" s="14"/>
      <c r="P3983" s="14"/>
    </row>
    <row r="3984" spans="8:16" ht="15.75" hidden="1" customHeight="1">
      <c r="H3984" s="14"/>
      <c r="I3984" s="567"/>
      <c r="J3984" s="18"/>
      <c r="N3984" s="14"/>
      <c r="O3984" s="14"/>
      <c r="P3984" s="14"/>
    </row>
    <row r="3985" spans="8:16" ht="15.75" hidden="1" customHeight="1">
      <c r="H3985" s="14"/>
      <c r="I3985" s="567"/>
      <c r="J3985" s="18"/>
      <c r="N3985" s="14"/>
      <c r="O3985" s="14"/>
      <c r="P3985" s="14"/>
    </row>
    <row r="3986" spans="8:16" ht="15.75" hidden="1" customHeight="1">
      <c r="H3986" s="14"/>
      <c r="I3986" s="567"/>
      <c r="J3986" s="18"/>
      <c r="N3986" s="14"/>
      <c r="O3986" s="14"/>
      <c r="P3986" s="14"/>
    </row>
    <row r="3987" spans="8:16" ht="15.75" hidden="1" customHeight="1">
      <c r="H3987" s="14"/>
      <c r="I3987" s="567"/>
      <c r="J3987" s="18"/>
      <c r="N3987" s="14"/>
      <c r="O3987" s="14"/>
      <c r="P3987" s="14"/>
    </row>
    <row r="3988" spans="8:16" ht="15.75" hidden="1" customHeight="1">
      <c r="H3988" s="14"/>
      <c r="I3988" s="567"/>
      <c r="J3988" s="18"/>
      <c r="N3988" s="14"/>
      <c r="O3988" s="14"/>
      <c r="P3988" s="14"/>
    </row>
    <row r="3989" spans="8:16" ht="15.75" hidden="1" customHeight="1">
      <c r="H3989" s="14"/>
      <c r="I3989" s="567"/>
      <c r="J3989" s="18"/>
      <c r="N3989" s="14"/>
      <c r="O3989" s="14"/>
      <c r="P3989" s="14"/>
    </row>
    <row r="3990" spans="8:16" ht="15.75" hidden="1" customHeight="1">
      <c r="H3990" s="14"/>
      <c r="I3990" s="567"/>
      <c r="J3990" s="18"/>
      <c r="N3990" s="14"/>
      <c r="O3990" s="14"/>
      <c r="P3990" s="14"/>
    </row>
    <row r="3991" spans="8:16" ht="15.75" hidden="1" customHeight="1">
      <c r="H3991" s="14"/>
      <c r="I3991" s="567"/>
      <c r="J3991" s="18"/>
      <c r="N3991" s="14"/>
      <c r="O3991" s="14"/>
      <c r="P3991" s="14"/>
    </row>
    <row r="3992" spans="8:16" ht="15.75" hidden="1" customHeight="1">
      <c r="H3992" s="14"/>
      <c r="I3992" s="567"/>
      <c r="J3992" s="18"/>
      <c r="N3992" s="14"/>
      <c r="O3992" s="14"/>
      <c r="P3992" s="14"/>
    </row>
    <row r="3993" spans="8:16" ht="15.75" hidden="1" customHeight="1">
      <c r="H3993" s="14"/>
      <c r="I3993" s="567"/>
      <c r="J3993" s="18"/>
      <c r="N3993" s="14"/>
      <c r="O3993" s="14"/>
      <c r="P3993" s="14"/>
    </row>
    <row r="3994" spans="8:16" ht="15.75" hidden="1" customHeight="1">
      <c r="H3994" s="14"/>
      <c r="I3994" s="567"/>
      <c r="J3994" s="18"/>
      <c r="N3994" s="14"/>
      <c r="O3994" s="14"/>
      <c r="P3994" s="14"/>
    </row>
    <row r="3995" spans="8:16" ht="15.75" hidden="1" customHeight="1">
      <c r="H3995" s="14"/>
      <c r="I3995" s="567"/>
      <c r="J3995" s="18"/>
      <c r="N3995" s="14"/>
      <c r="O3995" s="14"/>
      <c r="P3995" s="14"/>
    </row>
    <row r="3996" spans="8:16" ht="15.75" hidden="1" customHeight="1">
      <c r="H3996" s="14"/>
      <c r="I3996" s="567"/>
      <c r="J3996" s="18"/>
      <c r="N3996" s="14"/>
      <c r="O3996" s="14"/>
      <c r="P3996" s="14"/>
    </row>
    <row r="3997" spans="8:16" ht="15.75" hidden="1" customHeight="1">
      <c r="H3997" s="14"/>
      <c r="I3997" s="567"/>
      <c r="J3997" s="18"/>
      <c r="N3997" s="14"/>
      <c r="O3997" s="14"/>
      <c r="P3997" s="14"/>
    </row>
    <row r="3998" spans="8:16" ht="15.75" hidden="1" customHeight="1">
      <c r="H3998" s="14"/>
      <c r="I3998" s="567"/>
      <c r="J3998" s="18"/>
      <c r="N3998" s="14"/>
      <c r="O3998" s="14"/>
      <c r="P3998" s="14"/>
    </row>
    <row r="3999" spans="8:16" ht="15.75" hidden="1" customHeight="1">
      <c r="H3999" s="14"/>
      <c r="I3999" s="567"/>
      <c r="J3999" s="18"/>
      <c r="N3999" s="14"/>
      <c r="O3999" s="14"/>
      <c r="P3999" s="14"/>
    </row>
    <row r="4000" spans="8:16" ht="15.75" hidden="1" customHeight="1">
      <c r="H4000" s="14"/>
      <c r="I4000" s="567"/>
      <c r="J4000" s="18"/>
      <c r="N4000" s="14"/>
      <c r="O4000" s="14"/>
      <c r="P4000" s="14"/>
    </row>
    <row r="4001" spans="8:16" ht="15.75" hidden="1" customHeight="1">
      <c r="H4001" s="14"/>
      <c r="I4001" s="567"/>
      <c r="J4001" s="18"/>
      <c r="N4001" s="14"/>
      <c r="O4001" s="14"/>
      <c r="P4001" s="14"/>
    </row>
    <row r="4002" spans="8:16" ht="15.75" hidden="1" customHeight="1">
      <c r="H4002" s="14"/>
      <c r="I4002" s="567"/>
      <c r="J4002" s="18"/>
      <c r="N4002" s="14"/>
      <c r="O4002" s="14"/>
      <c r="P4002" s="14"/>
    </row>
    <row r="4003" spans="8:16" ht="15.75" hidden="1" customHeight="1">
      <c r="H4003" s="14"/>
      <c r="I4003" s="567"/>
      <c r="J4003" s="18"/>
      <c r="N4003" s="14"/>
      <c r="O4003" s="14"/>
      <c r="P4003" s="14"/>
    </row>
    <row r="4004" spans="8:16" ht="15.75" hidden="1" customHeight="1">
      <c r="H4004" s="14"/>
      <c r="I4004" s="567"/>
      <c r="J4004" s="18"/>
      <c r="N4004" s="14"/>
      <c r="O4004" s="14"/>
      <c r="P4004" s="14"/>
    </row>
    <row r="4005" spans="8:16" ht="15.75" hidden="1" customHeight="1">
      <c r="H4005" s="14"/>
      <c r="I4005" s="567"/>
      <c r="J4005" s="18"/>
      <c r="N4005" s="14"/>
      <c r="O4005" s="14"/>
      <c r="P4005" s="14"/>
    </row>
    <row r="4006" spans="8:16" ht="15.75" hidden="1" customHeight="1">
      <c r="H4006" s="14"/>
      <c r="I4006" s="567"/>
      <c r="J4006" s="18"/>
      <c r="N4006" s="14"/>
      <c r="O4006" s="14"/>
      <c r="P4006" s="14"/>
    </row>
    <row r="4007" spans="8:16" ht="15.75" hidden="1" customHeight="1">
      <c r="H4007" s="14"/>
      <c r="I4007" s="567"/>
      <c r="J4007" s="18"/>
      <c r="N4007" s="14"/>
      <c r="O4007" s="14"/>
      <c r="P4007" s="14"/>
    </row>
    <row r="4008" spans="8:16" ht="15.75" hidden="1" customHeight="1">
      <c r="H4008" s="14"/>
      <c r="I4008" s="567"/>
      <c r="J4008" s="18"/>
      <c r="N4008" s="14"/>
      <c r="O4008" s="14"/>
      <c r="P4008" s="14"/>
    </row>
    <row r="4009" spans="8:16" ht="15.75" hidden="1" customHeight="1">
      <c r="H4009" s="14"/>
      <c r="I4009" s="567"/>
      <c r="J4009" s="18"/>
      <c r="N4009" s="14"/>
      <c r="O4009" s="14"/>
      <c r="P4009" s="14"/>
    </row>
    <row r="4010" spans="8:16" ht="15.75" hidden="1" customHeight="1">
      <c r="H4010" s="14"/>
      <c r="I4010" s="567"/>
      <c r="J4010" s="18"/>
      <c r="N4010" s="14"/>
      <c r="O4010" s="14"/>
      <c r="P4010" s="14"/>
    </row>
    <row r="4011" spans="8:16" ht="15.75" hidden="1" customHeight="1">
      <c r="H4011" s="14"/>
      <c r="I4011" s="567"/>
      <c r="J4011" s="18"/>
      <c r="N4011" s="14"/>
      <c r="O4011" s="14"/>
      <c r="P4011" s="14"/>
    </row>
    <row r="4012" spans="8:16" ht="15.75" hidden="1" customHeight="1">
      <c r="H4012" s="14"/>
      <c r="I4012" s="567"/>
      <c r="J4012" s="18"/>
      <c r="N4012" s="14"/>
      <c r="O4012" s="14"/>
      <c r="P4012" s="14"/>
    </row>
    <row r="4013" spans="8:16" ht="15.75" hidden="1" customHeight="1">
      <c r="H4013" s="14"/>
      <c r="I4013" s="567"/>
      <c r="J4013" s="18"/>
      <c r="N4013" s="14"/>
      <c r="O4013" s="14"/>
      <c r="P4013" s="14"/>
    </row>
    <row r="4014" spans="8:16" ht="15.75" hidden="1" customHeight="1">
      <c r="H4014" s="14"/>
      <c r="I4014" s="567"/>
      <c r="J4014" s="18"/>
      <c r="N4014" s="14"/>
      <c r="O4014" s="14"/>
      <c r="P4014" s="14"/>
    </row>
    <row r="4015" spans="8:16" ht="15.75" hidden="1" customHeight="1">
      <c r="H4015" s="14"/>
      <c r="I4015" s="567"/>
      <c r="J4015" s="18"/>
      <c r="N4015" s="14"/>
      <c r="O4015" s="14"/>
      <c r="P4015" s="14"/>
    </row>
    <row r="4016" spans="8:16" ht="15.75" hidden="1" customHeight="1">
      <c r="H4016" s="14"/>
      <c r="I4016" s="567"/>
      <c r="J4016" s="18"/>
      <c r="N4016" s="14"/>
      <c r="O4016" s="14"/>
      <c r="P4016" s="14"/>
    </row>
    <row r="4017" spans="8:16" ht="15.75" hidden="1" customHeight="1">
      <c r="H4017" s="14"/>
      <c r="I4017" s="567"/>
      <c r="J4017" s="18"/>
      <c r="N4017" s="14"/>
      <c r="O4017" s="14"/>
      <c r="P4017" s="14"/>
    </row>
    <row r="4018" spans="8:16" ht="15.75" hidden="1" customHeight="1">
      <c r="H4018" s="14"/>
      <c r="I4018" s="567"/>
      <c r="J4018" s="18"/>
      <c r="N4018" s="14"/>
      <c r="O4018" s="14"/>
      <c r="P4018" s="14"/>
    </row>
    <row r="4019" spans="8:16" ht="15.75" hidden="1" customHeight="1">
      <c r="H4019" s="14"/>
      <c r="I4019" s="567"/>
      <c r="J4019" s="18"/>
      <c r="N4019" s="14"/>
      <c r="O4019" s="14"/>
      <c r="P4019" s="14"/>
    </row>
    <row r="4020" spans="8:16" ht="15.75" hidden="1" customHeight="1">
      <c r="H4020" s="14"/>
      <c r="I4020" s="567"/>
      <c r="J4020" s="18"/>
      <c r="N4020" s="14"/>
      <c r="O4020" s="14"/>
      <c r="P4020" s="14"/>
    </row>
    <row r="4021" spans="8:16" ht="15.75" hidden="1" customHeight="1">
      <c r="H4021" s="14"/>
      <c r="I4021" s="567"/>
      <c r="J4021" s="18"/>
      <c r="N4021" s="14"/>
      <c r="O4021" s="14"/>
      <c r="P4021" s="14"/>
    </row>
    <row r="4022" spans="8:16" ht="15.75" hidden="1" customHeight="1">
      <c r="H4022" s="14"/>
      <c r="I4022" s="567"/>
      <c r="J4022" s="18"/>
      <c r="N4022" s="14"/>
      <c r="O4022" s="14"/>
      <c r="P4022" s="14"/>
    </row>
    <row r="4023" spans="8:16" ht="15.75" hidden="1" customHeight="1">
      <c r="H4023" s="14"/>
      <c r="I4023" s="567"/>
      <c r="J4023" s="18"/>
      <c r="N4023" s="14"/>
      <c r="O4023" s="14"/>
      <c r="P4023" s="14"/>
    </row>
    <row r="4024" spans="8:16" ht="15.75" hidden="1" customHeight="1">
      <c r="H4024" s="14"/>
      <c r="I4024" s="567"/>
      <c r="J4024" s="18"/>
      <c r="N4024" s="14"/>
      <c r="O4024" s="14"/>
      <c r="P4024" s="14"/>
    </row>
    <row r="4025" spans="8:16" ht="15.75" hidden="1" customHeight="1">
      <c r="H4025" s="14"/>
      <c r="I4025" s="567"/>
      <c r="J4025" s="18"/>
      <c r="N4025" s="14"/>
      <c r="O4025" s="14"/>
      <c r="P4025" s="14"/>
    </row>
    <row r="4026" spans="8:16" ht="15.75" hidden="1" customHeight="1">
      <c r="H4026" s="14"/>
      <c r="I4026" s="567"/>
      <c r="J4026" s="18"/>
      <c r="N4026" s="14"/>
      <c r="O4026" s="14"/>
      <c r="P4026" s="14"/>
    </row>
    <row r="4027" spans="8:16" ht="15.75" hidden="1" customHeight="1">
      <c r="H4027" s="14"/>
      <c r="I4027" s="567"/>
      <c r="J4027" s="18"/>
      <c r="N4027" s="14"/>
      <c r="O4027" s="14"/>
      <c r="P4027" s="14"/>
    </row>
    <row r="4028" spans="8:16" ht="15.75" hidden="1" customHeight="1">
      <c r="H4028" s="14"/>
      <c r="I4028" s="567"/>
      <c r="J4028" s="18"/>
      <c r="N4028" s="14"/>
      <c r="O4028" s="14"/>
      <c r="P4028" s="14"/>
    </row>
    <row r="4029" spans="8:16" ht="15.75" hidden="1" customHeight="1">
      <c r="H4029" s="14"/>
      <c r="I4029" s="567"/>
      <c r="J4029" s="18"/>
      <c r="N4029" s="14"/>
      <c r="O4029" s="14"/>
      <c r="P4029" s="14"/>
    </row>
    <row r="4030" spans="8:16" ht="15.75" hidden="1" customHeight="1">
      <c r="H4030" s="14"/>
      <c r="I4030" s="567"/>
      <c r="J4030" s="18"/>
      <c r="N4030" s="14"/>
      <c r="O4030" s="14"/>
      <c r="P4030" s="14"/>
    </row>
    <row r="4031" spans="8:16" ht="15.75" hidden="1" customHeight="1">
      <c r="H4031" s="14"/>
      <c r="I4031" s="567"/>
      <c r="J4031" s="18"/>
      <c r="N4031" s="14"/>
      <c r="O4031" s="14"/>
      <c r="P4031" s="14"/>
    </row>
    <row r="4032" spans="8:16" ht="15.75" hidden="1" customHeight="1">
      <c r="H4032" s="14"/>
      <c r="I4032" s="567"/>
      <c r="J4032" s="18"/>
      <c r="N4032" s="14"/>
      <c r="O4032" s="14"/>
      <c r="P4032" s="14"/>
    </row>
    <row r="4033" spans="8:16" ht="15.75" hidden="1" customHeight="1">
      <c r="H4033" s="14"/>
      <c r="I4033" s="567"/>
      <c r="J4033" s="18"/>
      <c r="N4033" s="14"/>
      <c r="O4033" s="14"/>
      <c r="P4033" s="14"/>
    </row>
    <row r="4034" spans="8:16" ht="15.75" hidden="1" customHeight="1">
      <c r="H4034" s="14"/>
      <c r="I4034" s="567"/>
      <c r="J4034" s="18"/>
      <c r="N4034" s="14"/>
      <c r="O4034" s="14"/>
      <c r="P4034" s="14"/>
    </row>
    <row r="4035" spans="8:16" ht="15.75" hidden="1" customHeight="1">
      <c r="H4035" s="14"/>
      <c r="I4035" s="567"/>
      <c r="J4035" s="18"/>
      <c r="N4035" s="14"/>
      <c r="O4035" s="14"/>
      <c r="P4035" s="14"/>
    </row>
    <row r="4036" spans="8:16" ht="15.75" hidden="1" customHeight="1">
      <c r="H4036" s="14"/>
      <c r="I4036" s="567"/>
      <c r="J4036" s="18"/>
      <c r="N4036" s="14"/>
      <c r="O4036" s="14"/>
      <c r="P4036" s="14"/>
    </row>
    <row r="4037" spans="8:16" ht="15.75" hidden="1" customHeight="1">
      <c r="H4037" s="14"/>
      <c r="I4037" s="567"/>
      <c r="J4037" s="18"/>
      <c r="N4037" s="14"/>
      <c r="O4037" s="14"/>
      <c r="P4037" s="14"/>
    </row>
    <row r="4038" spans="8:16" ht="15.75" hidden="1" customHeight="1">
      <c r="H4038" s="14"/>
      <c r="I4038" s="567"/>
      <c r="J4038" s="18"/>
      <c r="N4038" s="14"/>
      <c r="O4038" s="14"/>
      <c r="P4038" s="14"/>
    </row>
    <row r="4039" spans="8:16" ht="15.75" hidden="1" customHeight="1">
      <c r="H4039" s="14"/>
      <c r="I4039" s="567"/>
      <c r="J4039" s="18"/>
      <c r="N4039" s="14"/>
      <c r="O4039" s="14"/>
      <c r="P4039" s="14"/>
    </row>
    <row r="4040" spans="8:16" ht="15.75" hidden="1" customHeight="1">
      <c r="H4040" s="14"/>
      <c r="I4040" s="567"/>
      <c r="J4040" s="18"/>
      <c r="N4040" s="14"/>
      <c r="O4040" s="14"/>
      <c r="P4040" s="14"/>
    </row>
    <row r="4041" spans="8:16" ht="15.75" hidden="1" customHeight="1">
      <c r="H4041" s="14"/>
      <c r="I4041" s="567"/>
      <c r="J4041" s="18"/>
      <c r="N4041" s="14"/>
      <c r="O4041" s="14"/>
      <c r="P4041" s="14"/>
    </row>
    <row r="4042" spans="8:16" ht="15.75" hidden="1" customHeight="1">
      <c r="H4042" s="14"/>
      <c r="I4042" s="567"/>
      <c r="J4042" s="18"/>
      <c r="N4042" s="14"/>
      <c r="O4042" s="14"/>
      <c r="P4042" s="14"/>
    </row>
    <row r="4043" spans="8:16" ht="15.75" hidden="1" customHeight="1">
      <c r="H4043" s="14"/>
      <c r="I4043" s="567"/>
      <c r="J4043" s="18"/>
      <c r="N4043" s="14"/>
      <c r="O4043" s="14"/>
      <c r="P4043" s="14"/>
    </row>
    <row r="4044" spans="8:16" ht="15.75" hidden="1" customHeight="1">
      <c r="H4044" s="14"/>
      <c r="I4044" s="567"/>
      <c r="J4044" s="18"/>
      <c r="N4044" s="14"/>
      <c r="O4044" s="14"/>
      <c r="P4044" s="14"/>
    </row>
    <row r="4045" spans="8:16" ht="15.75" hidden="1" customHeight="1">
      <c r="H4045" s="14"/>
      <c r="I4045" s="567"/>
      <c r="J4045" s="18"/>
      <c r="N4045" s="14"/>
      <c r="O4045" s="14"/>
      <c r="P4045" s="14"/>
    </row>
    <row r="4046" spans="8:16" ht="15.75" hidden="1" customHeight="1">
      <c r="H4046" s="14"/>
      <c r="I4046" s="567"/>
      <c r="J4046" s="18"/>
      <c r="N4046" s="14"/>
      <c r="O4046" s="14"/>
      <c r="P4046" s="14"/>
    </row>
    <row r="4047" spans="8:16" ht="15.75" hidden="1" customHeight="1">
      <c r="H4047" s="14"/>
      <c r="I4047" s="567"/>
      <c r="J4047" s="18"/>
      <c r="N4047" s="14"/>
      <c r="O4047" s="14"/>
      <c r="P4047" s="14"/>
    </row>
    <row r="4048" spans="8:16" ht="15.75" hidden="1" customHeight="1">
      <c r="H4048" s="14"/>
      <c r="I4048" s="567"/>
      <c r="J4048" s="18"/>
      <c r="N4048" s="14"/>
      <c r="O4048" s="14"/>
      <c r="P4048" s="14"/>
    </row>
    <row r="4049" spans="8:16" ht="15.75" hidden="1" customHeight="1">
      <c r="H4049" s="14"/>
      <c r="I4049" s="567"/>
      <c r="J4049" s="18"/>
      <c r="N4049" s="14"/>
      <c r="O4049" s="14"/>
      <c r="P4049" s="14"/>
    </row>
    <row r="4050" spans="8:16" ht="15.75" hidden="1" customHeight="1">
      <c r="H4050" s="14"/>
      <c r="I4050" s="567"/>
      <c r="J4050" s="18"/>
      <c r="N4050" s="14"/>
      <c r="O4050" s="14"/>
      <c r="P4050" s="14"/>
    </row>
    <row r="4051" spans="8:16" ht="15.75" hidden="1" customHeight="1">
      <c r="H4051" s="14"/>
      <c r="I4051" s="567"/>
      <c r="J4051" s="18"/>
      <c r="N4051" s="14"/>
      <c r="O4051" s="14"/>
      <c r="P4051" s="14"/>
    </row>
    <row r="4052" spans="8:16" ht="15.75" hidden="1" customHeight="1">
      <c r="H4052" s="14"/>
      <c r="I4052" s="567"/>
      <c r="J4052" s="18"/>
      <c r="N4052" s="14"/>
      <c r="O4052" s="14"/>
      <c r="P4052" s="14"/>
    </row>
    <row r="4053" spans="8:16" ht="15.75" hidden="1" customHeight="1">
      <c r="H4053" s="14"/>
      <c r="I4053" s="567"/>
      <c r="J4053" s="18"/>
      <c r="N4053" s="14"/>
      <c r="O4053" s="14"/>
      <c r="P4053" s="14"/>
    </row>
    <row r="4054" spans="8:16" ht="15.75" hidden="1" customHeight="1">
      <c r="H4054" s="14"/>
      <c r="I4054" s="567"/>
      <c r="J4054" s="18"/>
      <c r="N4054" s="14"/>
      <c r="O4054" s="14"/>
      <c r="P4054" s="14"/>
    </row>
    <row r="4055" spans="8:16" ht="15.75" hidden="1" customHeight="1">
      <c r="H4055" s="14"/>
      <c r="I4055" s="567"/>
      <c r="J4055" s="18"/>
      <c r="N4055" s="14"/>
      <c r="O4055" s="14"/>
      <c r="P4055" s="14"/>
    </row>
    <row r="4056" spans="8:16" ht="15.75" hidden="1" customHeight="1">
      <c r="H4056" s="14"/>
      <c r="I4056" s="567"/>
      <c r="J4056" s="18"/>
      <c r="N4056" s="14"/>
      <c r="O4056" s="14"/>
      <c r="P4056" s="14"/>
    </row>
    <row r="4057" spans="8:16" ht="15.75" hidden="1" customHeight="1">
      <c r="H4057" s="14"/>
      <c r="I4057" s="567"/>
      <c r="J4057" s="18"/>
      <c r="N4057" s="14"/>
      <c r="O4057" s="14"/>
      <c r="P4057" s="14"/>
    </row>
    <row r="4058" spans="8:16" ht="15.75" hidden="1" customHeight="1">
      <c r="H4058" s="14"/>
      <c r="I4058" s="567"/>
      <c r="J4058" s="18"/>
      <c r="N4058" s="14"/>
      <c r="O4058" s="14"/>
      <c r="P4058" s="14"/>
    </row>
    <row r="4059" spans="8:16" ht="15.75" hidden="1" customHeight="1">
      <c r="H4059" s="14"/>
      <c r="I4059" s="567"/>
      <c r="J4059" s="18"/>
      <c r="N4059" s="14"/>
      <c r="O4059" s="14"/>
      <c r="P4059" s="14"/>
    </row>
    <row r="4060" spans="8:16" ht="15.75" hidden="1" customHeight="1">
      <c r="H4060" s="14"/>
      <c r="I4060" s="567"/>
      <c r="J4060" s="18"/>
      <c r="N4060" s="14"/>
      <c r="O4060" s="14"/>
      <c r="P4060" s="14"/>
    </row>
    <row r="4061" spans="8:16" ht="15.75" hidden="1" customHeight="1">
      <c r="H4061" s="14"/>
      <c r="I4061" s="567"/>
      <c r="J4061" s="18"/>
      <c r="N4061" s="14"/>
      <c r="O4061" s="14"/>
      <c r="P4061" s="14"/>
    </row>
    <row r="4062" spans="8:16" ht="15.75" hidden="1" customHeight="1">
      <c r="H4062" s="14"/>
      <c r="I4062" s="567"/>
      <c r="J4062" s="18"/>
      <c r="N4062" s="14"/>
      <c r="O4062" s="14"/>
      <c r="P4062" s="14"/>
    </row>
    <row r="4063" spans="8:16" ht="15.75" hidden="1" customHeight="1">
      <c r="H4063" s="14"/>
      <c r="I4063" s="567"/>
      <c r="J4063" s="18"/>
      <c r="N4063" s="14"/>
      <c r="O4063" s="14"/>
      <c r="P4063" s="14"/>
    </row>
    <row r="4064" spans="8:16" ht="15.75" hidden="1" customHeight="1">
      <c r="H4064" s="14"/>
      <c r="I4064" s="567"/>
      <c r="J4064" s="18"/>
      <c r="N4064" s="14"/>
      <c r="O4064" s="14"/>
      <c r="P4064" s="14"/>
    </row>
    <row r="4065" spans="8:16" ht="15.75" hidden="1" customHeight="1">
      <c r="H4065" s="14"/>
      <c r="I4065" s="567"/>
      <c r="J4065" s="18"/>
      <c r="N4065" s="14"/>
      <c r="O4065" s="14"/>
      <c r="P4065" s="14"/>
    </row>
    <row r="4066" spans="8:16" ht="15.75" hidden="1" customHeight="1">
      <c r="H4066" s="14"/>
      <c r="I4066" s="567"/>
      <c r="J4066" s="18"/>
      <c r="N4066" s="14"/>
      <c r="O4066" s="14"/>
      <c r="P4066" s="14"/>
    </row>
    <row r="4067" spans="8:16" ht="15.75" hidden="1" customHeight="1">
      <c r="H4067" s="14"/>
      <c r="I4067" s="567"/>
      <c r="J4067" s="18"/>
      <c r="N4067" s="14"/>
      <c r="O4067" s="14"/>
      <c r="P4067" s="14"/>
    </row>
    <row r="4068" spans="8:16" ht="15.75" hidden="1" customHeight="1">
      <c r="H4068" s="14"/>
      <c r="I4068" s="567"/>
      <c r="J4068" s="18"/>
      <c r="N4068" s="14"/>
      <c r="O4068" s="14"/>
      <c r="P4068" s="14"/>
    </row>
    <row r="4069" spans="8:16" ht="15.75" hidden="1" customHeight="1">
      <c r="H4069" s="14"/>
      <c r="I4069" s="567"/>
      <c r="J4069" s="18"/>
      <c r="N4069" s="14"/>
      <c r="O4069" s="14"/>
      <c r="P4069" s="14"/>
    </row>
    <row r="4070" spans="8:16" ht="15.75" hidden="1" customHeight="1">
      <c r="H4070" s="14"/>
      <c r="I4070" s="567"/>
      <c r="J4070" s="18"/>
      <c r="N4070" s="14"/>
      <c r="O4070" s="14"/>
      <c r="P4070" s="14"/>
    </row>
    <row r="4071" spans="8:16" ht="15.75" hidden="1" customHeight="1">
      <c r="H4071" s="14"/>
      <c r="I4071" s="567"/>
      <c r="J4071" s="18"/>
      <c r="N4071" s="14"/>
      <c r="O4071" s="14"/>
      <c r="P4071" s="14"/>
    </row>
    <row r="4072" spans="8:16" ht="15.75" hidden="1" customHeight="1">
      <c r="H4072" s="14"/>
      <c r="I4072" s="567"/>
      <c r="J4072" s="18"/>
      <c r="N4072" s="14"/>
      <c r="O4072" s="14"/>
      <c r="P4072" s="14"/>
    </row>
    <row r="4073" spans="8:16" ht="15.75" hidden="1" customHeight="1">
      <c r="H4073" s="14"/>
      <c r="I4073" s="567"/>
      <c r="J4073" s="18"/>
      <c r="N4073" s="14"/>
      <c r="O4073" s="14"/>
      <c r="P4073" s="14"/>
    </row>
    <row r="4074" spans="8:16" ht="15.75" hidden="1" customHeight="1">
      <c r="H4074" s="14"/>
      <c r="I4074" s="567"/>
      <c r="J4074" s="18"/>
      <c r="N4074" s="14"/>
      <c r="O4074" s="14"/>
      <c r="P4074" s="14"/>
    </row>
    <row r="4075" spans="8:16" ht="15.75" hidden="1" customHeight="1">
      <c r="H4075" s="14"/>
      <c r="I4075" s="567"/>
      <c r="J4075" s="18"/>
      <c r="N4075" s="14"/>
      <c r="O4075" s="14"/>
      <c r="P4075" s="14"/>
    </row>
    <row r="4076" spans="8:16" ht="15.75" hidden="1" customHeight="1">
      <c r="H4076" s="14"/>
      <c r="I4076" s="567"/>
      <c r="J4076" s="18"/>
      <c r="N4076" s="14"/>
      <c r="O4076" s="14"/>
      <c r="P4076" s="14"/>
    </row>
    <row r="4077" spans="8:16" ht="15.75" hidden="1" customHeight="1">
      <c r="H4077" s="14"/>
      <c r="I4077" s="567"/>
      <c r="J4077" s="18"/>
      <c r="N4077" s="14"/>
      <c r="O4077" s="14"/>
      <c r="P4077" s="14"/>
    </row>
    <row r="4078" spans="8:16" ht="15.75" hidden="1" customHeight="1">
      <c r="H4078" s="14"/>
      <c r="I4078" s="567"/>
      <c r="J4078" s="18"/>
      <c r="N4078" s="14"/>
      <c r="O4078" s="14"/>
      <c r="P4078" s="14"/>
    </row>
    <row r="4079" spans="8:16" ht="15.75" hidden="1" customHeight="1">
      <c r="H4079" s="14"/>
      <c r="I4079" s="567"/>
      <c r="J4079" s="18"/>
      <c r="N4079" s="14"/>
      <c r="O4079" s="14"/>
      <c r="P4079" s="14"/>
    </row>
    <row r="4080" spans="8:16" ht="15.75" hidden="1" customHeight="1">
      <c r="H4080" s="14"/>
      <c r="I4080" s="567"/>
      <c r="J4080" s="18"/>
      <c r="N4080" s="14"/>
      <c r="O4080" s="14"/>
      <c r="P4080" s="14"/>
    </row>
    <row r="4081" spans="8:16" ht="15.75" hidden="1" customHeight="1">
      <c r="H4081" s="14"/>
      <c r="I4081" s="567"/>
      <c r="J4081" s="18"/>
      <c r="N4081" s="14"/>
      <c r="O4081" s="14"/>
      <c r="P4081" s="14"/>
    </row>
    <row r="4082" spans="8:16" ht="15.75" hidden="1" customHeight="1">
      <c r="H4082" s="14"/>
      <c r="I4082" s="567"/>
      <c r="J4082" s="18"/>
      <c r="N4082" s="14"/>
      <c r="O4082" s="14"/>
      <c r="P4082" s="14"/>
    </row>
    <row r="4083" spans="8:16" ht="15.75" hidden="1" customHeight="1">
      <c r="H4083" s="14"/>
      <c r="I4083" s="567"/>
      <c r="J4083" s="18"/>
      <c r="N4083" s="14"/>
      <c r="O4083" s="14"/>
      <c r="P4083" s="14"/>
    </row>
    <row r="4084" spans="8:16" ht="15.75" hidden="1" customHeight="1">
      <c r="H4084" s="14"/>
      <c r="I4084" s="567"/>
      <c r="J4084" s="18"/>
      <c r="N4084" s="14"/>
      <c r="O4084" s="14"/>
      <c r="P4084" s="14"/>
    </row>
    <row r="4085" spans="8:16" ht="15.75" hidden="1" customHeight="1">
      <c r="H4085" s="14"/>
      <c r="I4085" s="567"/>
      <c r="J4085" s="18"/>
      <c r="N4085" s="14"/>
      <c r="O4085" s="14"/>
      <c r="P4085" s="14"/>
    </row>
    <row r="4086" spans="8:16" ht="15.75" hidden="1" customHeight="1">
      <c r="H4086" s="14"/>
      <c r="I4086" s="567"/>
      <c r="J4086" s="18"/>
      <c r="N4086" s="14"/>
      <c r="O4086" s="14"/>
      <c r="P4086" s="14"/>
    </row>
    <row r="4087" spans="8:16" ht="15.75" hidden="1" customHeight="1">
      <c r="H4087" s="14"/>
      <c r="I4087" s="567"/>
      <c r="J4087" s="18"/>
      <c r="N4087" s="14"/>
      <c r="O4087" s="14"/>
      <c r="P4087" s="14"/>
    </row>
    <row r="4088" spans="8:16" ht="15.75" hidden="1" customHeight="1">
      <c r="H4088" s="14"/>
      <c r="I4088" s="567"/>
      <c r="J4088" s="18"/>
      <c r="N4088" s="14"/>
      <c r="O4088" s="14"/>
      <c r="P4088" s="14"/>
    </row>
    <row r="4089" spans="8:16" ht="15.75" hidden="1" customHeight="1">
      <c r="H4089" s="14"/>
      <c r="I4089" s="567"/>
      <c r="J4089" s="18"/>
      <c r="N4089" s="14"/>
      <c r="O4089" s="14"/>
      <c r="P4089" s="14"/>
    </row>
    <row r="4090" spans="8:16" ht="15.75" hidden="1" customHeight="1">
      <c r="H4090" s="14"/>
      <c r="I4090" s="567"/>
      <c r="J4090" s="18"/>
      <c r="N4090" s="14"/>
      <c r="O4090" s="14"/>
      <c r="P4090" s="14"/>
    </row>
    <row r="4091" spans="8:16" ht="15.75" hidden="1" customHeight="1">
      <c r="H4091" s="14"/>
      <c r="I4091" s="567"/>
      <c r="J4091" s="18"/>
      <c r="N4091" s="14"/>
      <c r="O4091" s="14"/>
      <c r="P4091" s="14"/>
    </row>
    <row r="4092" spans="8:16" ht="15.75" hidden="1" customHeight="1">
      <c r="H4092" s="14"/>
      <c r="I4092" s="567"/>
      <c r="J4092" s="18"/>
      <c r="N4092" s="14"/>
      <c r="O4092" s="14"/>
      <c r="P4092" s="14"/>
    </row>
    <row r="4093" spans="8:16" ht="15.75" hidden="1" customHeight="1">
      <c r="H4093" s="14"/>
      <c r="I4093" s="567"/>
      <c r="J4093" s="18"/>
      <c r="N4093" s="14"/>
      <c r="O4093" s="14"/>
      <c r="P4093" s="14"/>
    </row>
    <row r="4094" spans="8:16" ht="15.75" hidden="1" customHeight="1">
      <c r="H4094" s="14"/>
      <c r="I4094" s="567"/>
      <c r="J4094" s="18"/>
      <c r="N4094" s="14"/>
      <c r="O4094" s="14"/>
      <c r="P4094" s="14"/>
    </row>
    <row r="4095" spans="8:16" ht="15.75" hidden="1" customHeight="1">
      <c r="H4095" s="14"/>
      <c r="I4095" s="567"/>
      <c r="J4095" s="18"/>
      <c r="N4095" s="14"/>
      <c r="O4095" s="14"/>
      <c r="P4095" s="14"/>
    </row>
    <row r="4096" spans="8:16" ht="15.75" hidden="1" customHeight="1">
      <c r="H4096" s="14"/>
      <c r="I4096" s="567"/>
      <c r="J4096" s="18"/>
      <c r="N4096" s="14"/>
      <c r="O4096" s="14"/>
      <c r="P4096" s="14"/>
    </row>
    <row r="4097" spans="8:16" ht="15.75" hidden="1" customHeight="1">
      <c r="H4097" s="14"/>
      <c r="I4097" s="567"/>
      <c r="J4097" s="18"/>
      <c r="N4097" s="14"/>
      <c r="O4097" s="14"/>
      <c r="P4097" s="14"/>
    </row>
    <row r="4098" spans="8:16" ht="15.75" hidden="1" customHeight="1">
      <c r="H4098" s="14"/>
      <c r="I4098" s="567"/>
      <c r="J4098" s="18"/>
      <c r="N4098" s="14"/>
      <c r="O4098" s="14"/>
      <c r="P4098" s="14"/>
    </row>
    <row r="4099" spans="8:16" ht="15.75" hidden="1" customHeight="1">
      <c r="H4099" s="14"/>
      <c r="I4099" s="567"/>
      <c r="J4099" s="18"/>
      <c r="N4099" s="14"/>
      <c r="O4099" s="14"/>
      <c r="P4099" s="14"/>
    </row>
    <row r="4100" spans="8:16" ht="15.75" hidden="1" customHeight="1">
      <c r="H4100" s="14"/>
      <c r="I4100" s="567"/>
      <c r="J4100" s="18"/>
      <c r="N4100" s="14"/>
      <c r="O4100" s="14"/>
      <c r="P4100" s="14"/>
    </row>
    <row r="4101" spans="8:16" ht="15.75" hidden="1" customHeight="1">
      <c r="H4101" s="14"/>
      <c r="I4101" s="567"/>
      <c r="J4101" s="18"/>
      <c r="N4101" s="14"/>
      <c r="O4101" s="14"/>
      <c r="P4101" s="14"/>
    </row>
    <row r="4102" spans="8:16" ht="15.75" hidden="1" customHeight="1">
      <c r="H4102" s="14"/>
      <c r="I4102" s="567"/>
      <c r="J4102" s="18"/>
      <c r="N4102" s="14"/>
      <c r="O4102" s="14"/>
      <c r="P4102" s="14"/>
    </row>
    <row r="4103" spans="8:16" ht="15.75" hidden="1" customHeight="1">
      <c r="H4103" s="14"/>
      <c r="I4103" s="567"/>
      <c r="J4103" s="18"/>
      <c r="N4103" s="14"/>
      <c r="O4103" s="14"/>
      <c r="P4103" s="14"/>
    </row>
    <row r="4104" spans="8:16" ht="15.75" hidden="1" customHeight="1">
      <c r="H4104" s="14"/>
      <c r="I4104" s="567"/>
      <c r="J4104" s="18"/>
      <c r="N4104" s="14"/>
      <c r="O4104" s="14"/>
      <c r="P4104" s="14"/>
    </row>
    <row r="4105" spans="8:16" ht="15.75" hidden="1" customHeight="1">
      <c r="H4105" s="14"/>
      <c r="I4105" s="567"/>
      <c r="J4105" s="18"/>
      <c r="N4105" s="14"/>
      <c r="O4105" s="14"/>
      <c r="P4105" s="14"/>
    </row>
    <row r="4106" spans="8:16" ht="15.75" hidden="1" customHeight="1">
      <c r="H4106" s="14"/>
      <c r="I4106" s="567"/>
      <c r="J4106" s="18"/>
      <c r="N4106" s="14"/>
      <c r="O4106" s="14"/>
      <c r="P4106" s="14"/>
    </row>
    <row r="4107" spans="8:16" ht="15.75" hidden="1" customHeight="1">
      <c r="H4107" s="14"/>
      <c r="I4107" s="567"/>
      <c r="J4107" s="18"/>
      <c r="N4107" s="14"/>
      <c r="O4107" s="14"/>
      <c r="P4107" s="14"/>
    </row>
    <row r="4108" spans="8:16" ht="15.75" hidden="1" customHeight="1">
      <c r="H4108" s="14"/>
      <c r="I4108" s="567"/>
      <c r="J4108" s="18"/>
      <c r="N4108" s="14"/>
      <c r="O4108" s="14"/>
      <c r="P4108" s="14"/>
    </row>
    <row r="4109" spans="8:16" ht="15.75" hidden="1" customHeight="1">
      <c r="H4109" s="14"/>
      <c r="I4109" s="567"/>
      <c r="J4109" s="18"/>
      <c r="N4109" s="14"/>
      <c r="O4109" s="14"/>
      <c r="P4109" s="14"/>
    </row>
    <row r="4110" spans="8:16" ht="15.75" hidden="1" customHeight="1">
      <c r="H4110" s="14"/>
      <c r="I4110" s="567"/>
      <c r="J4110" s="18"/>
      <c r="N4110" s="14"/>
      <c r="O4110" s="14"/>
      <c r="P4110" s="14"/>
    </row>
    <row r="4111" spans="8:16" ht="15.75" hidden="1" customHeight="1">
      <c r="H4111" s="14"/>
      <c r="I4111" s="567"/>
      <c r="J4111" s="18"/>
      <c r="N4111" s="14"/>
      <c r="O4111" s="14"/>
      <c r="P4111" s="14"/>
    </row>
    <row r="4112" spans="8:16" ht="15.75" hidden="1" customHeight="1">
      <c r="H4112" s="14"/>
      <c r="I4112" s="567"/>
      <c r="J4112" s="18"/>
      <c r="N4112" s="14"/>
      <c r="O4112" s="14"/>
      <c r="P4112" s="14"/>
    </row>
    <row r="4113" spans="8:16" ht="15.75" hidden="1" customHeight="1">
      <c r="H4113" s="14"/>
      <c r="I4113" s="567"/>
      <c r="J4113" s="18"/>
      <c r="N4113" s="14"/>
      <c r="O4113" s="14"/>
      <c r="P4113" s="14"/>
    </row>
    <row r="4114" spans="8:16" ht="15.75" hidden="1" customHeight="1">
      <c r="H4114" s="14"/>
      <c r="I4114" s="567"/>
      <c r="J4114" s="18"/>
      <c r="N4114" s="14"/>
      <c r="O4114" s="14"/>
      <c r="P4114" s="14"/>
    </row>
    <row r="4115" spans="8:16" ht="15.75" hidden="1" customHeight="1">
      <c r="H4115" s="14"/>
      <c r="I4115" s="567"/>
      <c r="J4115" s="18"/>
      <c r="N4115" s="14"/>
      <c r="O4115" s="14"/>
      <c r="P4115" s="14"/>
    </row>
    <row r="4116" spans="8:16" ht="15.75" hidden="1" customHeight="1">
      <c r="H4116" s="14"/>
      <c r="I4116" s="567"/>
      <c r="J4116" s="18"/>
      <c r="N4116" s="14"/>
      <c r="O4116" s="14"/>
      <c r="P4116" s="14"/>
    </row>
    <row r="4117" spans="8:16" ht="15.75" hidden="1" customHeight="1">
      <c r="H4117" s="14"/>
      <c r="I4117" s="567"/>
      <c r="J4117" s="18"/>
      <c r="N4117" s="14"/>
      <c r="O4117" s="14"/>
      <c r="P4117" s="14"/>
    </row>
    <row r="4118" spans="8:16" ht="15.75" hidden="1" customHeight="1">
      <c r="H4118" s="14"/>
      <c r="I4118" s="567"/>
      <c r="J4118" s="18"/>
      <c r="N4118" s="14"/>
      <c r="O4118" s="14"/>
      <c r="P4118" s="14"/>
    </row>
    <row r="4119" spans="8:16" ht="15.75" hidden="1" customHeight="1">
      <c r="H4119" s="14"/>
      <c r="I4119" s="567"/>
      <c r="J4119" s="18"/>
      <c r="N4119" s="14"/>
      <c r="O4119" s="14"/>
      <c r="P4119" s="14"/>
    </row>
    <row r="4120" spans="8:16" ht="15.75" hidden="1" customHeight="1">
      <c r="H4120" s="14"/>
      <c r="I4120" s="567"/>
      <c r="J4120" s="18"/>
      <c r="N4120" s="14"/>
      <c r="O4120" s="14"/>
      <c r="P4120" s="14"/>
    </row>
    <row r="4121" spans="8:16" ht="15.75" hidden="1" customHeight="1">
      <c r="H4121" s="14"/>
      <c r="I4121" s="567"/>
      <c r="J4121" s="18"/>
      <c r="N4121" s="14"/>
      <c r="O4121" s="14"/>
      <c r="P4121" s="14"/>
    </row>
    <row r="4122" spans="8:16" ht="15.75" hidden="1" customHeight="1">
      <c r="H4122" s="14"/>
      <c r="I4122" s="567"/>
      <c r="J4122" s="18"/>
      <c r="N4122" s="14"/>
      <c r="O4122" s="14"/>
      <c r="P4122" s="14"/>
    </row>
    <row r="4123" spans="8:16" ht="15.75" hidden="1" customHeight="1">
      <c r="H4123" s="14"/>
      <c r="I4123" s="567"/>
      <c r="J4123" s="18"/>
      <c r="N4123" s="14"/>
      <c r="O4123" s="14"/>
      <c r="P4123" s="14"/>
    </row>
    <row r="4124" spans="8:16" ht="15.75" hidden="1" customHeight="1">
      <c r="H4124" s="14"/>
      <c r="I4124" s="567"/>
      <c r="J4124" s="18"/>
      <c r="N4124" s="14"/>
      <c r="O4124" s="14"/>
      <c r="P4124" s="14"/>
    </row>
    <row r="4125" spans="8:16" ht="15.75" hidden="1" customHeight="1">
      <c r="H4125" s="14"/>
      <c r="I4125" s="567"/>
      <c r="J4125" s="18"/>
      <c r="N4125" s="14"/>
      <c r="O4125" s="14"/>
      <c r="P4125" s="14"/>
    </row>
    <row r="4126" spans="8:16" ht="15.75" hidden="1" customHeight="1">
      <c r="H4126" s="14"/>
      <c r="I4126" s="567"/>
      <c r="J4126" s="18"/>
      <c r="N4126" s="14"/>
      <c r="O4126" s="14"/>
      <c r="P4126" s="14"/>
    </row>
    <row r="4127" spans="8:16" ht="15.75" hidden="1" customHeight="1">
      <c r="H4127" s="14"/>
      <c r="I4127" s="567"/>
      <c r="J4127" s="18"/>
      <c r="N4127" s="14"/>
      <c r="O4127" s="14"/>
      <c r="P4127" s="14"/>
    </row>
    <row r="4128" spans="8:16" ht="15.75" hidden="1" customHeight="1">
      <c r="H4128" s="14"/>
      <c r="I4128" s="567"/>
      <c r="J4128" s="18"/>
      <c r="N4128" s="14"/>
      <c r="O4128" s="14"/>
      <c r="P4128" s="14"/>
    </row>
    <row r="4129" spans="8:16" ht="15.75" hidden="1" customHeight="1">
      <c r="H4129" s="14"/>
      <c r="I4129" s="567"/>
      <c r="J4129" s="18"/>
      <c r="N4129" s="14"/>
      <c r="O4129" s="14"/>
      <c r="P4129" s="14"/>
    </row>
    <row r="4130" spans="8:16" ht="15.75" hidden="1" customHeight="1">
      <c r="H4130" s="14"/>
      <c r="I4130" s="567"/>
      <c r="J4130" s="18"/>
      <c r="N4130" s="14"/>
      <c r="O4130" s="14"/>
      <c r="P4130" s="14"/>
    </row>
    <row r="4131" spans="8:16" ht="15.75" hidden="1" customHeight="1">
      <c r="H4131" s="14"/>
      <c r="I4131" s="567"/>
      <c r="J4131" s="18"/>
      <c r="N4131" s="14"/>
      <c r="O4131" s="14"/>
      <c r="P4131" s="14"/>
    </row>
    <row r="4132" spans="8:16" ht="15.75" hidden="1" customHeight="1">
      <c r="H4132" s="14"/>
      <c r="I4132" s="567"/>
      <c r="J4132" s="18"/>
      <c r="N4132" s="14"/>
      <c r="O4132" s="14"/>
      <c r="P4132" s="14"/>
    </row>
    <row r="4133" spans="8:16" ht="15.75" hidden="1" customHeight="1">
      <c r="H4133" s="14"/>
      <c r="I4133" s="567"/>
      <c r="J4133" s="18"/>
      <c r="N4133" s="14"/>
      <c r="O4133" s="14"/>
      <c r="P4133" s="14"/>
    </row>
    <row r="4134" spans="8:16" ht="15.75" hidden="1" customHeight="1">
      <c r="H4134" s="14"/>
      <c r="I4134" s="567"/>
      <c r="J4134" s="18"/>
      <c r="N4134" s="14"/>
      <c r="O4134" s="14"/>
      <c r="P4134" s="14"/>
    </row>
    <row r="4135" spans="8:16" ht="15.75" hidden="1" customHeight="1">
      <c r="H4135" s="14"/>
      <c r="I4135" s="567"/>
      <c r="J4135" s="18"/>
      <c r="N4135" s="14"/>
      <c r="O4135" s="14"/>
      <c r="P4135" s="14"/>
    </row>
    <row r="4136" spans="8:16" ht="15.75" hidden="1" customHeight="1">
      <c r="H4136" s="14"/>
      <c r="I4136" s="567"/>
      <c r="J4136" s="18"/>
      <c r="N4136" s="14"/>
      <c r="O4136" s="14"/>
      <c r="P4136" s="14"/>
    </row>
    <row r="4137" spans="8:16" ht="15.75" hidden="1" customHeight="1">
      <c r="H4137" s="14"/>
      <c r="I4137" s="567"/>
      <c r="J4137" s="18"/>
      <c r="N4137" s="14"/>
      <c r="O4137" s="14"/>
      <c r="P4137" s="14"/>
    </row>
    <row r="4138" spans="8:16" ht="15.75" hidden="1" customHeight="1">
      <c r="H4138" s="14"/>
      <c r="I4138" s="567"/>
      <c r="J4138" s="18"/>
      <c r="N4138" s="14"/>
      <c r="O4138" s="14"/>
      <c r="P4138" s="14"/>
    </row>
    <row r="4139" spans="8:16" ht="15.75" hidden="1" customHeight="1">
      <c r="H4139" s="14"/>
      <c r="I4139" s="567"/>
      <c r="J4139" s="18"/>
      <c r="N4139" s="14"/>
      <c r="O4139" s="14"/>
      <c r="P4139" s="14"/>
    </row>
    <row r="4140" spans="8:16" ht="15.75" hidden="1" customHeight="1">
      <c r="H4140" s="14"/>
      <c r="I4140" s="567"/>
      <c r="J4140" s="18"/>
      <c r="N4140" s="14"/>
      <c r="O4140" s="14"/>
      <c r="P4140" s="14"/>
    </row>
    <row r="4141" spans="8:16" ht="15.75" hidden="1" customHeight="1">
      <c r="H4141" s="14"/>
      <c r="I4141" s="567"/>
      <c r="J4141" s="18"/>
      <c r="N4141" s="14"/>
      <c r="O4141" s="14"/>
      <c r="P4141" s="14"/>
    </row>
    <row r="4142" spans="8:16" ht="15.75" hidden="1" customHeight="1">
      <c r="H4142" s="14"/>
      <c r="I4142" s="567"/>
      <c r="J4142" s="18"/>
      <c r="N4142" s="14"/>
      <c r="O4142" s="14"/>
      <c r="P4142" s="14"/>
    </row>
    <row r="4143" spans="8:16" ht="15.75" hidden="1" customHeight="1">
      <c r="H4143" s="14"/>
      <c r="I4143" s="567"/>
      <c r="J4143" s="18"/>
      <c r="N4143" s="14"/>
      <c r="O4143" s="14"/>
      <c r="P4143" s="14"/>
    </row>
    <row r="4144" spans="8:16" ht="15.75" hidden="1" customHeight="1">
      <c r="H4144" s="14"/>
      <c r="I4144" s="567"/>
      <c r="J4144" s="18"/>
      <c r="N4144" s="14"/>
      <c r="O4144" s="14"/>
      <c r="P4144" s="14"/>
    </row>
    <row r="4145" spans="8:16" ht="15.75" hidden="1" customHeight="1">
      <c r="H4145" s="14"/>
      <c r="I4145" s="567"/>
      <c r="J4145" s="18"/>
      <c r="N4145" s="14"/>
      <c r="O4145" s="14"/>
      <c r="P4145" s="14"/>
    </row>
    <row r="4146" spans="8:16" ht="15.75" hidden="1" customHeight="1">
      <c r="H4146" s="14"/>
      <c r="I4146" s="567"/>
      <c r="J4146" s="18"/>
      <c r="N4146" s="14"/>
      <c r="O4146" s="14"/>
      <c r="P4146" s="14"/>
    </row>
    <row r="4147" spans="8:16" ht="15.75" hidden="1" customHeight="1">
      <c r="H4147" s="14"/>
      <c r="I4147" s="567"/>
      <c r="J4147" s="18"/>
      <c r="N4147" s="14"/>
      <c r="O4147" s="14"/>
      <c r="P4147" s="14"/>
    </row>
    <row r="4148" spans="8:16" ht="15.75" hidden="1" customHeight="1">
      <c r="H4148" s="14"/>
      <c r="I4148" s="567"/>
      <c r="J4148" s="18"/>
      <c r="N4148" s="14"/>
      <c r="O4148" s="14"/>
      <c r="P4148" s="14"/>
    </row>
    <row r="4149" spans="8:16" ht="15.75" hidden="1" customHeight="1">
      <c r="H4149" s="14"/>
      <c r="I4149" s="567"/>
      <c r="J4149" s="18"/>
      <c r="N4149" s="14"/>
      <c r="O4149" s="14"/>
      <c r="P4149" s="14"/>
    </row>
    <row r="4150" spans="8:16" ht="15.75" hidden="1" customHeight="1">
      <c r="H4150" s="14"/>
      <c r="I4150" s="567"/>
      <c r="J4150" s="18"/>
      <c r="N4150" s="14"/>
      <c r="O4150" s="14"/>
      <c r="P4150" s="14"/>
    </row>
    <row r="4151" spans="8:16" ht="15.75" hidden="1" customHeight="1">
      <c r="H4151" s="14"/>
      <c r="I4151" s="567"/>
      <c r="J4151" s="18"/>
      <c r="N4151" s="14"/>
      <c r="O4151" s="14"/>
      <c r="P4151" s="14"/>
    </row>
    <row r="4152" spans="8:16" ht="15.75" hidden="1" customHeight="1">
      <c r="H4152" s="14"/>
      <c r="I4152" s="567"/>
      <c r="J4152" s="18"/>
      <c r="N4152" s="14"/>
      <c r="O4152" s="14"/>
      <c r="P4152" s="14"/>
    </row>
    <row r="4153" spans="8:16" ht="15.75" hidden="1" customHeight="1">
      <c r="H4153" s="14"/>
      <c r="I4153" s="567"/>
      <c r="J4153" s="18"/>
      <c r="N4153" s="14"/>
      <c r="O4153" s="14"/>
      <c r="P4153" s="14"/>
    </row>
    <row r="4154" spans="8:16" ht="15.75" hidden="1" customHeight="1">
      <c r="H4154" s="14"/>
      <c r="I4154" s="567"/>
      <c r="J4154" s="18"/>
      <c r="N4154" s="14"/>
      <c r="O4154" s="14"/>
      <c r="P4154" s="14"/>
    </row>
    <row r="4155" spans="8:16" ht="15.75" hidden="1" customHeight="1">
      <c r="H4155" s="14"/>
      <c r="I4155" s="567"/>
      <c r="J4155" s="18"/>
      <c r="N4155" s="14"/>
      <c r="O4155" s="14"/>
      <c r="P4155" s="14"/>
    </row>
    <row r="4156" spans="8:16" ht="15.75" hidden="1" customHeight="1">
      <c r="H4156" s="14"/>
      <c r="I4156" s="567"/>
      <c r="J4156" s="18"/>
      <c r="N4156" s="14"/>
      <c r="O4156" s="14"/>
      <c r="P4156" s="14"/>
    </row>
    <row r="4157" spans="8:16" ht="15.75" hidden="1" customHeight="1">
      <c r="H4157" s="14"/>
      <c r="I4157" s="567"/>
      <c r="J4157" s="18"/>
      <c r="N4157" s="14"/>
      <c r="O4157" s="14"/>
      <c r="P4157" s="14"/>
    </row>
    <row r="4158" spans="8:16" ht="15.75" hidden="1" customHeight="1">
      <c r="H4158" s="14"/>
      <c r="I4158" s="567"/>
      <c r="J4158" s="18"/>
      <c r="N4158" s="14"/>
      <c r="O4158" s="14"/>
      <c r="P4158" s="14"/>
    </row>
    <row r="4159" spans="8:16" ht="15.75" hidden="1" customHeight="1">
      <c r="H4159" s="14"/>
      <c r="I4159" s="567"/>
      <c r="J4159" s="18"/>
      <c r="N4159" s="14"/>
      <c r="O4159" s="14"/>
      <c r="P4159" s="14"/>
    </row>
    <row r="4160" spans="8:16" ht="15.75" hidden="1" customHeight="1">
      <c r="H4160" s="14"/>
      <c r="I4160" s="567"/>
      <c r="J4160" s="18"/>
      <c r="N4160" s="14"/>
      <c r="O4160" s="14"/>
      <c r="P4160" s="14"/>
    </row>
    <row r="4161" spans="8:16" ht="15.75" hidden="1" customHeight="1">
      <c r="H4161" s="14"/>
      <c r="I4161" s="567"/>
      <c r="J4161" s="18"/>
      <c r="N4161" s="14"/>
      <c r="O4161" s="14"/>
      <c r="P4161" s="14"/>
    </row>
    <row r="4162" spans="8:16" ht="15.75" hidden="1" customHeight="1">
      <c r="H4162" s="14"/>
      <c r="I4162" s="567"/>
      <c r="J4162" s="18"/>
      <c r="N4162" s="14"/>
      <c r="O4162" s="14"/>
      <c r="P4162" s="14"/>
    </row>
    <row r="4163" spans="8:16" ht="15.75" hidden="1" customHeight="1">
      <c r="H4163" s="14"/>
      <c r="I4163" s="567"/>
      <c r="J4163" s="18"/>
      <c r="N4163" s="14"/>
      <c r="O4163" s="14"/>
      <c r="P4163" s="14"/>
    </row>
    <row r="4164" spans="8:16" ht="15.75" hidden="1" customHeight="1">
      <c r="H4164" s="14"/>
      <c r="I4164" s="567"/>
      <c r="J4164" s="18"/>
      <c r="N4164" s="14"/>
      <c r="O4164" s="14"/>
      <c r="P4164" s="14"/>
    </row>
    <row r="4165" spans="8:16" ht="15.75" hidden="1" customHeight="1">
      <c r="H4165" s="14"/>
      <c r="I4165" s="567"/>
      <c r="J4165" s="18"/>
      <c r="N4165" s="14"/>
      <c r="O4165" s="14"/>
      <c r="P4165" s="14"/>
    </row>
    <row r="4166" spans="8:16" ht="15.75" hidden="1" customHeight="1">
      <c r="H4166" s="14"/>
      <c r="I4166" s="567"/>
      <c r="J4166" s="18"/>
      <c r="N4166" s="14"/>
      <c r="O4166" s="14"/>
      <c r="P4166" s="14"/>
    </row>
    <row r="4167" spans="8:16" ht="15.75" hidden="1" customHeight="1">
      <c r="H4167" s="14"/>
      <c r="I4167" s="567"/>
      <c r="J4167" s="18"/>
      <c r="N4167" s="14"/>
      <c r="O4167" s="14"/>
      <c r="P4167" s="14"/>
    </row>
    <row r="4168" spans="8:16" ht="15.75" hidden="1" customHeight="1">
      <c r="H4168" s="14"/>
      <c r="I4168" s="567"/>
      <c r="J4168" s="18"/>
      <c r="N4168" s="14"/>
      <c r="O4168" s="14"/>
      <c r="P4168" s="14"/>
    </row>
    <row r="4169" spans="8:16" ht="15.75" hidden="1" customHeight="1">
      <c r="H4169" s="14"/>
      <c r="I4169" s="567"/>
      <c r="J4169" s="18"/>
      <c r="N4169" s="14"/>
      <c r="O4169" s="14"/>
      <c r="P4169" s="14"/>
    </row>
    <row r="4170" spans="8:16" ht="15.75" hidden="1" customHeight="1">
      <c r="H4170" s="14"/>
      <c r="I4170" s="567"/>
      <c r="J4170" s="18"/>
      <c r="N4170" s="14"/>
      <c r="O4170" s="14"/>
      <c r="P4170" s="14"/>
    </row>
    <row r="4171" spans="8:16" ht="15.75" hidden="1" customHeight="1">
      <c r="H4171" s="14"/>
      <c r="I4171" s="567"/>
      <c r="J4171" s="18"/>
      <c r="N4171" s="14"/>
      <c r="O4171" s="14"/>
      <c r="P4171" s="14"/>
    </row>
    <row r="4172" spans="8:16" ht="15.75" hidden="1" customHeight="1">
      <c r="H4172" s="14"/>
      <c r="I4172" s="567"/>
      <c r="J4172" s="18"/>
      <c r="N4172" s="14"/>
      <c r="O4172" s="14"/>
      <c r="P4172" s="14"/>
    </row>
    <row r="4173" spans="8:16" ht="15.75" hidden="1" customHeight="1">
      <c r="H4173" s="14"/>
      <c r="I4173" s="567"/>
      <c r="J4173" s="18"/>
      <c r="N4173" s="14"/>
      <c r="O4173" s="14"/>
      <c r="P4173" s="14"/>
    </row>
    <row r="4174" spans="8:16" ht="15.75" hidden="1" customHeight="1">
      <c r="H4174" s="14"/>
      <c r="I4174" s="567"/>
      <c r="J4174" s="18"/>
      <c r="N4174" s="14"/>
      <c r="O4174" s="14"/>
      <c r="P4174" s="14"/>
    </row>
    <row r="4175" spans="8:16" ht="15.75" hidden="1" customHeight="1">
      <c r="H4175" s="14"/>
      <c r="I4175" s="567"/>
      <c r="J4175" s="18"/>
      <c r="N4175" s="14"/>
      <c r="O4175" s="14"/>
      <c r="P4175" s="14"/>
    </row>
    <row r="4176" spans="8:16" ht="15.75" hidden="1" customHeight="1">
      <c r="H4176" s="14"/>
      <c r="I4176" s="567"/>
      <c r="J4176" s="18"/>
      <c r="N4176" s="14"/>
      <c r="O4176" s="14"/>
      <c r="P4176" s="14"/>
    </row>
    <row r="4177" spans="8:16" ht="15.75" hidden="1" customHeight="1">
      <c r="H4177" s="14"/>
      <c r="I4177" s="567"/>
      <c r="J4177" s="18"/>
      <c r="N4177" s="14"/>
      <c r="O4177" s="14"/>
      <c r="P4177" s="14"/>
    </row>
    <row r="4178" spans="8:16" ht="15.75" hidden="1" customHeight="1">
      <c r="H4178" s="14"/>
      <c r="I4178" s="567"/>
      <c r="J4178" s="18"/>
      <c r="N4178" s="14"/>
      <c r="O4178" s="14"/>
      <c r="P4178" s="14"/>
    </row>
    <row r="4179" spans="8:16" ht="15.75" hidden="1" customHeight="1">
      <c r="H4179" s="14"/>
      <c r="I4179" s="567"/>
      <c r="J4179" s="18"/>
      <c r="N4179" s="14"/>
      <c r="O4179" s="14"/>
      <c r="P4179" s="14"/>
    </row>
    <row r="4180" spans="8:16" ht="15.75" hidden="1" customHeight="1">
      <c r="H4180" s="14"/>
      <c r="I4180" s="567"/>
      <c r="J4180" s="18"/>
      <c r="N4180" s="14"/>
      <c r="O4180" s="14"/>
      <c r="P4180" s="14"/>
    </row>
    <row r="4181" spans="8:16" ht="15.75" hidden="1" customHeight="1">
      <c r="H4181" s="14"/>
      <c r="I4181" s="567"/>
      <c r="J4181" s="18"/>
      <c r="N4181" s="14"/>
      <c r="O4181" s="14"/>
      <c r="P4181" s="14"/>
    </row>
    <row r="4182" spans="8:16" ht="15.75" hidden="1" customHeight="1">
      <c r="H4182" s="14"/>
      <c r="I4182" s="567"/>
      <c r="J4182" s="18"/>
      <c r="N4182" s="14"/>
      <c r="O4182" s="14"/>
      <c r="P4182" s="14"/>
    </row>
    <row r="4183" spans="8:16" ht="15.75" hidden="1" customHeight="1">
      <c r="H4183" s="14"/>
      <c r="I4183" s="567"/>
      <c r="J4183" s="18"/>
      <c r="N4183" s="14"/>
      <c r="O4183" s="14"/>
      <c r="P4183" s="14"/>
    </row>
    <row r="4184" spans="8:16" ht="15.75" hidden="1" customHeight="1">
      <c r="H4184" s="14"/>
      <c r="I4184" s="567"/>
      <c r="J4184" s="18"/>
      <c r="N4184" s="14"/>
      <c r="O4184" s="14"/>
      <c r="P4184" s="14"/>
    </row>
    <row r="4185" spans="8:16" ht="15.75" hidden="1" customHeight="1">
      <c r="H4185" s="14"/>
      <c r="I4185" s="567"/>
      <c r="J4185" s="18"/>
      <c r="N4185" s="14"/>
      <c r="O4185" s="14"/>
      <c r="P4185" s="14"/>
    </row>
    <row r="4186" spans="8:16" ht="15.75" hidden="1" customHeight="1">
      <c r="H4186" s="14"/>
      <c r="I4186" s="567"/>
      <c r="J4186" s="18"/>
      <c r="N4186" s="14"/>
      <c r="O4186" s="14"/>
      <c r="P4186" s="14"/>
    </row>
    <row r="4187" spans="8:16" ht="15.75" hidden="1" customHeight="1">
      <c r="H4187" s="14"/>
      <c r="I4187" s="567"/>
      <c r="J4187" s="18"/>
      <c r="N4187" s="14"/>
      <c r="O4187" s="14"/>
      <c r="P4187" s="14"/>
    </row>
    <row r="4188" spans="8:16" ht="15.75" hidden="1" customHeight="1">
      <c r="H4188" s="14"/>
      <c r="I4188" s="567"/>
      <c r="J4188" s="18"/>
      <c r="N4188" s="14"/>
      <c r="O4188" s="14"/>
      <c r="P4188" s="14"/>
    </row>
    <row r="4189" spans="8:16" ht="15.75" hidden="1" customHeight="1">
      <c r="H4189" s="14"/>
      <c r="I4189" s="567"/>
      <c r="J4189" s="18"/>
      <c r="N4189" s="14"/>
      <c r="O4189" s="14"/>
      <c r="P4189" s="14"/>
    </row>
    <row r="4190" spans="8:16" ht="15.75" hidden="1" customHeight="1">
      <c r="H4190" s="14"/>
      <c r="I4190" s="567"/>
      <c r="J4190" s="18"/>
      <c r="N4190" s="14"/>
      <c r="O4190" s="14"/>
      <c r="P4190" s="14"/>
    </row>
    <row r="4191" spans="8:16" ht="15.75" hidden="1" customHeight="1">
      <c r="H4191" s="14"/>
      <c r="I4191" s="567"/>
      <c r="J4191" s="18"/>
      <c r="N4191" s="14"/>
      <c r="O4191" s="14"/>
      <c r="P4191" s="14"/>
    </row>
    <row r="4192" spans="8:16" ht="15.75" hidden="1" customHeight="1">
      <c r="H4192" s="14"/>
      <c r="I4192" s="567"/>
      <c r="J4192" s="18"/>
      <c r="N4192" s="14"/>
      <c r="O4192" s="14"/>
      <c r="P4192" s="14"/>
    </row>
    <row r="4193" spans="8:16" ht="15.75" hidden="1" customHeight="1">
      <c r="H4193" s="14"/>
      <c r="I4193" s="567"/>
      <c r="J4193" s="18"/>
      <c r="N4193" s="14"/>
      <c r="O4193" s="14"/>
      <c r="P4193" s="14"/>
    </row>
    <row r="4194" spans="8:16" ht="15.75" hidden="1" customHeight="1">
      <c r="H4194" s="14"/>
      <c r="I4194" s="567"/>
      <c r="J4194" s="18"/>
      <c r="N4194" s="14"/>
      <c r="O4194" s="14"/>
      <c r="P4194" s="14"/>
    </row>
    <row r="4195" spans="8:16" ht="15.75" hidden="1" customHeight="1">
      <c r="H4195" s="14"/>
      <c r="I4195" s="567"/>
      <c r="J4195" s="18"/>
      <c r="N4195" s="14"/>
      <c r="O4195" s="14"/>
      <c r="P4195" s="14"/>
    </row>
    <row r="4196" spans="8:16" ht="15.75" hidden="1" customHeight="1">
      <c r="H4196" s="14"/>
      <c r="I4196" s="567"/>
      <c r="J4196" s="18"/>
      <c r="N4196" s="14"/>
      <c r="O4196" s="14"/>
      <c r="P4196" s="14"/>
    </row>
    <row r="4197" spans="8:16" ht="15.75" hidden="1" customHeight="1">
      <c r="H4197" s="14"/>
      <c r="I4197" s="567"/>
      <c r="J4197" s="18"/>
      <c r="N4197" s="14"/>
      <c r="O4197" s="14"/>
      <c r="P4197" s="14"/>
    </row>
    <row r="4198" spans="8:16" ht="15.75" hidden="1" customHeight="1">
      <c r="H4198" s="14"/>
      <c r="I4198" s="567"/>
      <c r="J4198" s="18"/>
      <c r="N4198" s="14"/>
      <c r="O4198" s="14"/>
      <c r="P4198" s="14"/>
    </row>
    <row r="4199" spans="8:16" ht="15.75" hidden="1" customHeight="1">
      <c r="H4199" s="14"/>
      <c r="I4199" s="567"/>
      <c r="J4199" s="18"/>
      <c r="N4199" s="14"/>
      <c r="O4199" s="14"/>
      <c r="P4199" s="14"/>
    </row>
    <row r="4200" spans="8:16" ht="15.75" hidden="1" customHeight="1">
      <c r="H4200" s="14"/>
      <c r="I4200" s="567"/>
      <c r="J4200" s="18"/>
      <c r="N4200" s="14"/>
      <c r="O4200" s="14"/>
      <c r="P4200" s="14"/>
    </row>
    <row r="4201" spans="8:16" ht="15.75" hidden="1" customHeight="1">
      <c r="H4201" s="14"/>
      <c r="I4201" s="567"/>
      <c r="J4201" s="18"/>
      <c r="N4201" s="14"/>
      <c r="O4201" s="14"/>
      <c r="P4201" s="14"/>
    </row>
    <row r="4202" spans="8:16" ht="15.75" hidden="1" customHeight="1">
      <c r="H4202" s="14"/>
      <c r="I4202" s="567"/>
      <c r="J4202" s="18"/>
      <c r="N4202" s="14"/>
      <c r="O4202" s="14"/>
      <c r="P4202" s="14"/>
    </row>
    <row r="4203" spans="8:16" ht="15.75" hidden="1" customHeight="1">
      <c r="H4203" s="14"/>
      <c r="I4203" s="567"/>
      <c r="J4203" s="18"/>
      <c r="N4203" s="14"/>
      <c r="O4203" s="14"/>
      <c r="P4203" s="14"/>
    </row>
    <row r="4204" spans="8:16" ht="15.75" hidden="1" customHeight="1">
      <c r="H4204" s="14"/>
      <c r="I4204" s="567"/>
      <c r="J4204" s="18"/>
      <c r="N4204" s="14"/>
      <c r="O4204" s="14"/>
      <c r="P4204" s="14"/>
    </row>
    <row r="4205" spans="8:16" ht="15.75" hidden="1" customHeight="1">
      <c r="H4205" s="14"/>
      <c r="I4205" s="567"/>
      <c r="J4205" s="18"/>
      <c r="N4205" s="14"/>
      <c r="O4205" s="14"/>
      <c r="P4205" s="14"/>
    </row>
    <row r="4206" spans="8:16" ht="15.75" hidden="1" customHeight="1">
      <c r="H4206" s="14"/>
      <c r="I4206" s="567"/>
      <c r="J4206" s="18"/>
      <c r="N4206" s="14"/>
      <c r="O4206" s="14"/>
      <c r="P4206" s="14"/>
    </row>
    <row r="4207" spans="8:16" ht="15.75" hidden="1" customHeight="1">
      <c r="H4207" s="14"/>
      <c r="I4207" s="567"/>
      <c r="J4207" s="18"/>
      <c r="N4207" s="14"/>
      <c r="O4207" s="14"/>
      <c r="P4207" s="14"/>
    </row>
    <row r="4208" spans="8:16" ht="15.75" hidden="1" customHeight="1">
      <c r="H4208" s="14"/>
      <c r="I4208" s="567"/>
      <c r="J4208" s="18"/>
      <c r="N4208" s="14"/>
      <c r="O4208" s="14"/>
      <c r="P4208" s="14"/>
    </row>
    <row r="4209" spans="8:16" ht="15.75" hidden="1" customHeight="1">
      <c r="H4209" s="14"/>
      <c r="I4209" s="567"/>
      <c r="J4209" s="18"/>
      <c r="N4209" s="14"/>
      <c r="O4209" s="14"/>
      <c r="P4209" s="14"/>
    </row>
    <row r="4210" spans="8:16" ht="15.75" hidden="1" customHeight="1">
      <c r="H4210" s="14"/>
      <c r="I4210" s="567"/>
      <c r="J4210" s="18"/>
      <c r="N4210" s="14"/>
      <c r="O4210" s="14"/>
      <c r="P4210" s="14"/>
    </row>
    <row r="4211" spans="8:16" ht="15.75" hidden="1" customHeight="1">
      <c r="H4211" s="14"/>
      <c r="I4211" s="567"/>
      <c r="J4211" s="18"/>
      <c r="N4211" s="14"/>
      <c r="O4211" s="14"/>
      <c r="P4211" s="14"/>
    </row>
    <row r="4212" spans="8:16" ht="15.75" hidden="1" customHeight="1">
      <c r="H4212" s="14"/>
      <c r="I4212" s="567"/>
      <c r="J4212" s="18"/>
      <c r="N4212" s="14"/>
      <c r="O4212" s="14"/>
      <c r="P4212" s="14"/>
    </row>
    <row r="4213" spans="8:16" ht="15.75" hidden="1" customHeight="1">
      <c r="H4213" s="14"/>
      <c r="I4213" s="567"/>
      <c r="J4213" s="18"/>
      <c r="N4213" s="14"/>
      <c r="O4213" s="14"/>
      <c r="P4213" s="14"/>
    </row>
    <row r="4214" spans="8:16" ht="15.75" hidden="1" customHeight="1">
      <c r="H4214" s="14"/>
      <c r="I4214" s="567"/>
      <c r="J4214" s="18"/>
      <c r="N4214" s="14"/>
      <c r="O4214" s="14"/>
      <c r="P4214" s="14"/>
    </row>
    <row r="4215" spans="8:16" ht="15.75" hidden="1" customHeight="1">
      <c r="H4215" s="14"/>
      <c r="I4215" s="567"/>
      <c r="J4215" s="18"/>
      <c r="N4215" s="14"/>
      <c r="O4215" s="14"/>
      <c r="P4215" s="14"/>
    </row>
    <row r="4216" spans="8:16" ht="15.75" hidden="1" customHeight="1">
      <c r="H4216" s="14"/>
      <c r="I4216" s="567"/>
      <c r="J4216" s="18"/>
      <c r="N4216" s="14"/>
      <c r="O4216" s="14"/>
      <c r="P4216" s="14"/>
    </row>
    <row r="4217" spans="8:16" ht="15.75" hidden="1" customHeight="1">
      <c r="H4217" s="14"/>
      <c r="I4217" s="567"/>
      <c r="J4217" s="18"/>
      <c r="N4217" s="14"/>
      <c r="O4217" s="14"/>
      <c r="P4217" s="14"/>
    </row>
    <row r="4218" spans="8:16" ht="15.75" hidden="1" customHeight="1">
      <c r="H4218" s="14"/>
      <c r="I4218" s="567"/>
      <c r="J4218" s="18"/>
      <c r="N4218" s="14"/>
      <c r="O4218" s="14"/>
      <c r="P4218" s="14"/>
    </row>
    <row r="4219" spans="8:16" ht="15.75" hidden="1" customHeight="1">
      <c r="H4219" s="14"/>
      <c r="I4219" s="567"/>
      <c r="J4219" s="18"/>
      <c r="N4219" s="14"/>
      <c r="O4219" s="14"/>
      <c r="P4219" s="14"/>
    </row>
    <row r="4220" spans="8:16" ht="15.75" hidden="1" customHeight="1">
      <c r="H4220" s="14"/>
      <c r="I4220" s="567"/>
      <c r="J4220" s="18"/>
      <c r="N4220" s="14"/>
      <c r="O4220" s="14"/>
      <c r="P4220" s="14"/>
    </row>
    <row r="4221" spans="8:16" ht="15.75" hidden="1" customHeight="1">
      <c r="H4221" s="14"/>
      <c r="I4221" s="567"/>
      <c r="J4221" s="18"/>
      <c r="N4221" s="14"/>
      <c r="O4221" s="14"/>
      <c r="P4221" s="14"/>
    </row>
    <row r="4222" spans="8:16" ht="15.75" hidden="1" customHeight="1">
      <c r="H4222" s="14"/>
      <c r="I4222" s="567"/>
      <c r="J4222" s="18"/>
      <c r="N4222" s="14"/>
      <c r="O4222" s="14"/>
      <c r="P4222" s="14"/>
    </row>
    <row r="4223" spans="8:16" ht="15.75" hidden="1" customHeight="1">
      <c r="H4223" s="14"/>
      <c r="I4223" s="567"/>
      <c r="J4223" s="18"/>
      <c r="N4223" s="14"/>
      <c r="O4223" s="14"/>
      <c r="P4223" s="14"/>
    </row>
    <row r="4224" spans="8:16" ht="15.75" hidden="1" customHeight="1">
      <c r="H4224" s="14"/>
      <c r="I4224" s="567"/>
      <c r="J4224" s="18"/>
      <c r="N4224" s="14"/>
      <c r="O4224" s="14"/>
      <c r="P4224" s="14"/>
    </row>
    <row r="4225" spans="8:16" ht="15.75" hidden="1" customHeight="1">
      <c r="H4225" s="14"/>
      <c r="I4225" s="567"/>
      <c r="J4225" s="18"/>
      <c r="N4225" s="14"/>
      <c r="O4225" s="14"/>
      <c r="P4225" s="14"/>
    </row>
    <row r="4226" spans="8:16" ht="15.75" hidden="1" customHeight="1">
      <c r="H4226" s="14"/>
      <c r="I4226" s="567"/>
      <c r="J4226" s="18"/>
      <c r="N4226" s="14"/>
      <c r="O4226" s="14"/>
      <c r="P4226" s="14"/>
    </row>
    <row r="4227" spans="8:16" ht="15.75" hidden="1" customHeight="1">
      <c r="H4227" s="14"/>
      <c r="I4227" s="567"/>
      <c r="J4227" s="18"/>
      <c r="N4227" s="14"/>
      <c r="O4227" s="14"/>
      <c r="P4227" s="14"/>
    </row>
    <row r="4228" spans="8:16" ht="15.75" hidden="1" customHeight="1">
      <c r="H4228" s="14"/>
      <c r="I4228" s="567"/>
      <c r="J4228" s="18"/>
      <c r="N4228" s="14"/>
      <c r="O4228" s="14"/>
      <c r="P4228" s="14"/>
    </row>
    <row r="4229" spans="8:16" ht="15.75" hidden="1" customHeight="1">
      <c r="H4229" s="14"/>
      <c r="I4229" s="567"/>
      <c r="J4229" s="18"/>
      <c r="N4229" s="14"/>
      <c r="O4229" s="14"/>
      <c r="P4229" s="14"/>
    </row>
    <row r="4230" spans="8:16" ht="15.75" hidden="1" customHeight="1">
      <c r="H4230" s="14"/>
      <c r="I4230" s="567"/>
      <c r="J4230" s="18"/>
      <c r="N4230" s="14"/>
      <c r="O4230" s="14"/>
      <c r="P4230" s="14"/>
    </row>
    <row r="4231" spans="8:16" ht="15.75" hidden="1" customHeight="1">
      <c r="H4231" s="14"/>
      <c r="I4231" s="567"/>
      <c r="J4231" s="18"/>
      <c r="N4231" s="14"/>
      <c r="O4231" s="14"/>
      <c r="P4231" s="14"/>
    </row>
    <row r="4232" spans="8:16" ht="15.75" hidden="1" customHeight="1">
      <c r="H4232" s="14"/>
      <c r="I4232" s="567"/>
      <c r="J4232" s="18"/>
      <c r="N4232" s="14"/>
      <c r="O4232" s="14"/>
      <c r="P4232" s="14"/>
    </row>
    <row r="4233" spans="8:16" ht="15.75" hidden="1" customHeight="1">
      <c r="H4233" s="14"/>
      <c r="I4233" s="567"/>
      <c r="J4233" s="18"/>
      <c r="N4233" s="14"/>
      <c r="O4233" s="14"/>
      <c r="P4233" s="14"/>
    </row>
    <row r="4234" spans="8:16" ht="15.75" hidden="1" customHeight="1">
      <c r="H4234" s="14"/>
      <c r="I4234" s="567"/>
      <c r="J4234" s="18"/>
      <c r="N4234" s="14"/>
      <c r="O4234" s="14"/>
      <c r="P4234" s="14"/>
    </row>
    <row r="4235" spans="8:16" ht="15.75" hidden="1" customHeight="1">
      <c r="H4235" s="14"/>
      <c r="I4235" s="567"/>
      <c r="J4235" s="18"/>
      <c r="N4235" s="14"/>
      <c r="O4235" s="14"/>
      <c r="P4235" s="14"/>
    </row>
    <row r="4236" spans="8:16" ht="15.75" hidden="1" customHeight="1">
      <c r="H4236" s="14"/>
      <c r="I4236" s="567"/>
      <c r="J4236" s="18"/>
      <c r="N4236" s="14"/>
      <c r="O4236" s="14"/>
      <c r="P4236" s="14"/>
    </row>
    <row r="4237" spans="8:16" ht="15.75" hidden="1" customHeight="1">
      <c r="H4237" s="14"/>
      <c r="I4237" s="567"/>
      <c r="J4237" s="18"/>
      <c r="N4237" s="14"/>
      <c r="O4237" s="14"/>
      <c r="P4237" s="14"/>
    </row>
    <row r="4238" spans="8:16" ht="15.75" hidden="1" customHeight="1">
      <c r="H4238" s="14"/>
      <c r="I4238" s="567"/>
      <c r="J4238" s="18"/>
      <c r="N4238" s="14"/>
      <c r="O4238" s="14"/>
      <c r="P4238" s="14"/>
    </row>
    <row r="4239" spans="8:16" ht="15.75" hidden="1" customHeight="1">
      <c r="H4239" s="14"/>
      <c r="I4239" s="567"/>
      <c r="J4239" s="18"/>
      <c r="N4239" s="14"/>
      <c r="O4239" s="14"/>
      <c r="P4239" s="14"/>
    </row>
    <row r="4240" spans="8:16" ht="15.75" hidden="1" customHeight="1">
      <c r="H4240" s="14"/>
      <c r="I4240" s="567"/>
      <c r="J4240" s="18"/>
      <c r="N4240" s="14"/>
      <c r="O4240" s="14"/>
      <c r="P4240" s="14"/>
    </row>
    <row r="4241" spans="8:16" ht="15.75" hidden="1" customHeight="1">
      <c r="H4241" s="14"/>
      <c r="I4241" s="567"/>
      <c r="J4241" s="18"/>
      <c r="N4241" s="14"/>
      <c r="O4241" s="14"/>
      <c r="P4241" s="14"/>
    </row>
    <row r="4242" spans="8:16" ht="15.75" hidden="1" customHeight="1">
      <c r="H4242" s="14"/>
      <c r="I4242" s="567"/>
      <c r="J4242" s="18"/>
      <c r="N4242" s="14"/>
      <c r="O4242" s="14"/>
      <c r="P4242" s="14"/>
    </row>
    <row r="4243" spans="8:16" ht="15.75" hidden="1" customHeight="1">
      <c r="H4243" s="14"/>
      <c r="I4243" s="567"/>
      <c r="J4243" s="18"/>
      <c r="N4243" s="14"/>
      <c r="O4243" s="14"/>
      <c r="P4243" s="14"/>
    </row>
    <row r="4244" spans="8:16" ht="15.75" hidden="1" customHeight="1">
      <c r="H4244" s="14"/>
      <c r="I4244" s="567"/>
      <c r="J4244" s="18"/>
      <c r="N4244" s="14"/>
      <c r="O4244" s="14"/>
      <c r="P4244" s="14"/>
    </row>
    <row r="4245" spans="8:16" ht="15.75" hidden="1" customHeight="1">
      <c r="H4245" s="14"/>
      <c r="I4245" s="567"/>
      <c r="J4245" s="18"/>
      <c r="N4245" s="14"/>
      <c r="O4245" s="14"/>
      <c r="P4245" s="14"/>
    </row>
    <row r="4246" spans="8:16" ht="15.75" hidden="1" customHeight="1">
      <c r="H4246" s="14"/>
      <c r="I4246" s="567"/>
      <c r="J4246" s="18"/>
      <c r="N4246" s="14"/>
      <c r="O4246" s="14"/>
      <c r="P4246" s="14"/>
    </row>
    <row r="4247" spans="8:16" ht="15.75" hidden="1" customHeight="1">
      <c r="H4247" s="14"/>
      <c r="I4247" s="567"/>
      <c r="J4247" s="18"/>
      <c r="N4247" s="14"/>
      <c r="O4247" s="14"/>
      <c r="P4247" s="14"/>
    </row>
    <row r="4248" spans="8:16" ht="15.75" hidden="1" customHeight="1">
      <c r="H4248" s="14"/>
      <c r="I4248" s="567"/>
      <c r="J4248" s="18"/>
      <c r="N4248" s="14"/>
      <c r="O4248" s="14"/>
      <c r="P4248" s="14"/>
    </row>
    <row r="4249" spans="8:16" ht="15.75" hidden="1" customHeight="1">
      <c r="H4249" s="14"/>
      <c r="I4249" s="567"/>
      <c r="J4249" s="18"/>
      <c r="N4249" s="14"/>
      <c r="O4249" s="14"/>
      <c r="P4249" s="14"/>
    </row>
    <row r="4250" spans="8:16" ht="15.75" hidden="1" customHeight="1">
      <c r="H4250" s="14"/>
      <c r="I4250" s="567"/>
      <c r="J4250" s="18"/>
      <c r="N4250" s="14"/>
      <c r="O4250" s="14"/>
      <c r="P4250" s="14"/>
    </row>
    <row r="4251" spans="8:16" ht="15.75" hidden="1" customHeight="1">
      <c r="H4251" s="14"/>
      <c r="I4251" s="567"/>
      <c r="J4251" s="18"/>
      <c r="N4251" s="14"/>
      <c r="O4251" s="14"/>
      <c r="P4251" s="14"/>
    </row>
    <row r="4252" spans="8:16" ht="15.75" hidden="1" customHeight="1">
      <c r="H4252" s="14"/>
      <c r="I4252" s="567"/>
      <c r="J4252" s="18"/>
      <c r="N4252" s="14"/>
      <c r="O4252" s="14"/>
      <c r="P4252" s="14"/>
    </row>
    <row r="4253" spans="8:16" ht="15.75" hidden="1" customHeight="1">
      <c r="H4253" s="14"/>
      <c r="I4253" s="567"/>
      <c r="J4253" s="18"/>
      <c r="N4253" s="14"/>
      <c r="O4253" s="14"/>
      <c r="P4253" s="14"/>
    </row>
    <row r="4254" spans="8:16" ht="15.75" hidden="1" customHeight="1">
      <c r="H4254" s="14"/>
      <c r="I4254" s="567"/>
      <c r="J4254" s="18"/>
      <c r="N4254" s="14"/>
      <c r="O4254" s="14"/>
      <c r="P4254" s="14"/>
    </row>
    <row r="4255" spans="8:16" ht="15.75" hidden="1" customHeight="1">
      <c r="H4255" s="14"/>
      <c r="I4255" s="567"/>
      <c r="J4255" s="18"/>
      <c r="N4255" s="14"/>
      <c r="O4255" s="14"/>
      <c r="P4255" s="14"/>
    </row>
    <row r="4256" spans="8:16" ht="15.75" hidden="1" customHeight="1">
      <c r="H4256" s="14"/>
      <c r="I4256" s="567"/>
      <c r="J4256" s="18"/>
      <c r="N4256" s="14"/>
      <c r="O4256" s="14"/>
      <c r="P4256" s="14"/>
    </row>
    <row r="4257" spans="8:16" ht="15.75" hidden="1" customHeight="1">
      <c r="H4257" s="14"/>
      <c r="I4257" s="567"/>
      <c r="J4257" s="18"/>
      <c r="N4257" s="14"/>
      <c r="O4257" s="14"/>
      <c r="P4257" s="14"/>
    </row>
    <row r="4258" spans="8:16" ht="15.75" hidden="1" customHeight="1">
      <c r="H4258" s="14"/>
      <c r="I4258" s="567"/>
      <c r="J4258" s="18"/>
      <c r="N4258" s="14"/>
      <c r="O4258" s="14"/>
      <c r="P4258" s="14"/>
    </row>
    <row r="4259" spans="8:16" ht="15.75" hidden="1" customHeight="1">
      <c r="H4259" s="14"/>
      <c r="I4259" s="567"/>
      <c r="J4259" s="18"/>
      <c r="N4259" s="14"/>
      <c r="O4259" s="14"/>
      <c r="P4259" s="14"/>
    </row>
    <row r="4260" spans="8:16" ht="15.75" hidden="1" customHeight="1">
      <c r="H4260" s="14"/>
      <c r="I4260" s="567"/>
      <c r="J4260" s="18"/>
      <c r="N4260" s="14"/>
      <c r="O4260" s="14"/>
      <c r="P4260" s="14"/>
    </row>
    <row r="4261" spans="8:16" ht="15.75" hidden="1" customHeight="1">
      <c r="H4261" s="14"/>
      <c r="I4261" s="567"/>
      <c r="J4261" s="18"/>
      <c r="N4261" s="14"/>
      <c r="O4261" s="14"/>
      <c r="P4261" s="14"/>
    </row>
    <row r="4262" spans="8:16" ht="15.75" hidden="1" customHeight="1">
      <c r="H4262" s="14"/>
      <c r="I4262" s="567"/>
      <c r="J4262" s="18"/>
      <c r="N4262" s="14"/>
      <c r="O4262" s="14"/>
      <c r="P4262" s="14"/>
    </row>
    <row r="4263" spans="8:16" ht="15.75" hidden="1" customHeight="1">
      <c r="H4263" s="14"/>
      <c r="I4263" s="567"/>
      <c r="J4263" s="18"/>
      <c r="N4263" s="14"/>
      <c r="O4263" s="14"/>
      <c r="P4263" s="14"/>
    </row>
    <row r="4264" spans="8:16" ht="15.75" hidden="1" customHeight="1">
      <c r="H4264" s="14"/>
      <c r="I4264" s="567"/>
      <c r="J4264" s="18"/>
      <c r="N4264" s="14"/>
      <c r="O4264" s="14"/>
      <c r="P4264" s="14"/>
    </row>
    <row r="4265" spans="8:16" ht="15.75" hidden="1" customHeight="1">
      <c r="H4265" s="14"/>
      <c r="I4265" s="567"/>
      <c r="J4265" s="18"/>
      <c r="N4265" s="14"/>
      <c r="O4265" s="14"/>
      <c r="P4265" s="14"/>
    </row>
    <row r="4266" spans="8:16" ht="15.75" hidden="1" customHeight="1">
      <c r="H4266" s="14"/>
      <c r="I4266" s="567"/>
      <c r="J4266" s="18"/>
      <c r="N4266" s="14"/>
      <c r="O4266" s="14"/>
      <c r="P4266" s="14"/>
    </row>
    <row r="4267" spans="8:16" ht="15.75" hidden="1" customHeight="1">
      <c r="H4267" s="14"/>
      <c r="I4267" s="567"/>
      <c r="J4267" s="18"/>
      <c r="N4267" s="14"/>
      <c r="O4267" s="14"/>
      <c r="P4267" s="14"/>
    </row>
    <row r="4268" spans="8:16" ht="15.75" hidden="1" customHeight="1">
      <c r="H4268" s="14"/>
      <c r="I4268" s="567"/>
      <c r="J4268" s="18"/>
      <c r="N4268" s="14"/>
      <c r="O4268" s="14"/>
      <c r="P4268" s="14"/>
    </row>
    <row r="4269" spans="8:16" ht="15.75" hidden="1" customHeight="1">
      <c r="H4269" s="14"/>
      <c r="I4269" s="567"/>
      <c r="J4269" s="18"/>
      <c r="N4269" s="14"/>
      <c r="O4269" s="14"/>
      <c r="P4269" s="14"/>
    </row>
    <row r="4270" spans="8:16" ht="15.75" hidden="1" customHeight="1">
      <c r="H4270" s="14"/>
      <c r="I4270" s="567"/>
      <c r="J4270" s="18"/>
      <c r="N4270" s="14"/>
      <c r="O4270" s="14"/>
      <c r="P4270" s="14"/>
    </row>
    <row r="4271" spans="8:16" ht="15.75" hidden="1" customHeight="1">
      <c r="H4271" s="14"/>
      <c r="I4271" s="567"/>
      <c r="J4271" s="18"/>
      <c r="N4271" s="14"/>
      <c r="O4271" s="14"/>
      <c r="P4271" s="14"/>
    </row>
    <row r="4272" spans="8:16" ht="15.75" hidden="1" customHeight="1">
      <c r="H4272" s="14"/>
      <c r="I4272" s="567"/>
      <c r="J4272" s="18"/>
      <c r="N4272" s="14"/>
      <c r="O4272" s="14"/>
      <c r="P4272" s="14"/>
    </row>
    <row r="4273" spans="8:16" ht="15.75" hidden="1" customHeight="1">
      <c r="H4273" s="14"/>
      <c r="I4273" s="567"/>
      <c r="J4273" s="18"/>
      <c r="N4273" s="14"/>
      <c r="O4273" s="14"/>
      <c r="P4273" s="14"/>
    </row>
    <row r="4274" spans="8:16" ht="15.75" hidden="1" customHeight="1">
      <c r="H4274" s="14"/>
      <c r="I4274" s="567"/>
      <c r="J4274" s="18"/>
      <c r="N4274" s="14"/>
      <c r="O4274" s="14"/>
      <c r="P4274" s="14"/>
    </row>
    <row r="4275" spans="8:16" ht="15.75" hidden="1" customHeight="1">
      <c r="H4275" s="14"/>
      <c r="I4275" s="567"/>
      <c r="J4275" s="18"/>
      <c r="N4275" s="14"/>
      <c r="O4275" s="14"/>
      <c r="P4275" s="14"/>
    </row>
    <row r="4276" spans="8:16" ht="15.75" hidden="1" customHeight="1">
      <c r="H4276" s="14"/>
      <c r="I4276" s="567"/>
      <c r="J4276" s="18"/>
      <c r="N4276" s="14"/>
      <c r="O4276" s="14"/>
      <c r="P4276" s="14"/>
    </row>
    <row r="4277" spans="8:16" ht="15.75" hidden="1" customHeight="1">
      <c r="H4277" s="14"/>
      <c r="I4277" s="567"/>
      <c r="J4277" s="18"/>
      <c r="N4277" s="14"/>
      <c r="O4277" s="14"/>
      <c r="P4277" s="14"/>
    </row>
    <row r="4278" spans="8:16" ht="15.75" hidden="1" customHeight="1">
      <c r="H4278" s="14"/>
      <c r="I4278" s="567"/>
      <c r="J4278" s="18"/>
      <c r="N4278" s="14"/>
      <c r="O4278" s="14"/>
      <c r="P4278" s="14"/>
    </row>
    <row r="4279" spans="8:16" ht="15.75" hidden="1" customHeight="1">
      <c r="H4279" s="14"/>
      <c r="I4279" s="567"/>
      <c r="J4279" s="18"/>
      <c r="N4279" s="14"/>
      <c r="O4279" s="14"/>
      <c r="P4279" s="14"/>
    </row>
    <row r="4280" spans="8:16" ht="15.75" hidden="1" customHeight="1">
      <c r="H4280" s="14"/>
      <c r="I4280" s="567"/>
      <c r="J4280" s="18"/>
      <c r="N4280" s="14"/>
      <c r="O4280" s="14"/>
      <c r="P4280" s="14"/>
    </row>
    <row r="4281" spans="8:16" ht="15.75" hidden="1" customHeight="1">
      <c r="H4281" s="14"/>
      <c r="I4281" s="567"/>
      <c r="J4281" s="18"/>
      <c r="N4281" s="14"/>
      <c r="O4281" s="14"/>
      <c r="P4281" s="14"/>
    </row>
    <row r="4282" spans="8:16" ht="15.75" hidden="1" customHeight="1">
      <c r="H4282" s="14"/>
      <c r="I4282" s="567"/>
      <c r="J4282" s="18"/>
      <c r="N4282" s="14"/>
      <c r="O4282" s="14"/>
      <c r="P4282" s="14"/>
    </row>
    <row r="4283" spans="8:16" ht="15.75" hidden="1" customHeight="1">
      <c r="H4283" s="14"/>
      <c r="I4283" s="567"/>
      <c r="J4283" s="18"/>
      <c r="N4283" s="14"/>
      <c r="O4283" s="14"/>
      <c r="P4283" s="14"/>
    </row>
    <row r="4284" spans="8:16" ht="15.75" hidden="1" customHeight="1">
      <c r="H4284" s="14"/>
      <c r="I4284" s="567"/>
      <c r="J4284" s="18"/>
      <c r="N4284" s="14"/>
      <c r="O4284" s="14"/>
      <c r="P4284" s="14"/>
    </row>
    <row r="4285" spans="8:16" ht="15.75" hidden="1" customHeight="1">
      <c r="H4285" s="14"/>
      <c r="I4285" s="567"/>
      <c r="J4285" s="18"/>
      <c r="N4285" s="14"/>
      <c r="O4285" s="14"/>
      <c r="P4285" s="14"/>
    </row>
    <row r="4286" spans="8:16" ht="15.75" hidden="1" customHeight="1">
      <c r="H4286" s="14"/>
      <c r="I4286" s="567"/>
      <c r="J4286" s="18"/>
      <c r="N4286" s="14"/>
      <c r="O4286" s="14"/>
      <c r="P4286" s="14"/>
    </row>
    <row r="4287" spans="8:16" ht="15.75" hidden="1" customHeight="1">
      <c r="H4287" s="14"/>
      <c r="I4287" s="567"/>
      <c r="J4287" s="18"/>
      <c r="N4287" s="14"/>
      <c r="O4287" s="14"/>
      <c r="P4287" s="14"/>
    </row>
    <row r="4288" spans="8:16" ht="15.75" hidden="1" customHeight="1">
      <c r="H4288" s="14"/>
      <c r="I4288" s="567"/>
      <c r="J4288" s="18"/>
      <c r="N4288" s="14"/>
      <c r="O4288" s="14"/>
      <c r="P4288" s="14"/>
    </row>
    <row r="4289" spans="8:16" ht="15.75" hidden="1" customHeight="1">
      <c r="H4289" s="14"/>
      <c r="I4289" s="567"/>
      <c r="J4289" s="18"/>
      <c r="N4289" s="14"/>
      <c r="O4289" s="14"/>
      <c r="P4289" s="14"/>
    </row>
    <row r="4290" spans="8:16" ht="15.75" hidden="1" customHeight="1">
      <c r="H4290" s="14"/>
      <c r="I4290" s="567"/>
      <c r="J4290" s="18"/>
      <c r="N4290" s="14"/>
      <c r="O4290" s="14"/>
      <c r="P4290" s="14"/>
    </row>
    <row r="4291" spans="8:16" ht="15.75" hidden="1" customHeight="1">
      <c r="H4291" s="14"/>
      <c r="I4291" s="567"/>
      <c r="J4291" s="18"/>
      <c r="N4291" s="14"/>
      <c r="O4291" s="14"/>
      <c r="P4291" s="14"/>
    </row>
    <row r="4292" spans="8:16" ht="15.75" hidden="1" customHeight="1">
      <c r="H4292" s="14"/>
      <c r="I4292" s="567"/>
      <c r="J4292" s="18"/>
      <c r="N4292" s="14"/>
      <c r="O4292" s="14"/>
      <c r="P4292" s="14"/>
    </row>
    <row r="4293" spans="8:16" ht="15.75" hidden="1" customHeight="1">
      <c r="H4293" s="14"/>
      <c r="I4293" s="567"/>
      <c r="J4293" s="18"/>
      <c r="N4293" s="14"/>
      <c r="O4293" s="14"/>
      <c r="P4293" s="14"/>
    </row>
    <row r="4294" spans="8:16" ht="15.75" hidden="1" customHeight="1">
      <c r="H4294" s="14"/>
      <c r="I4294" s="567"/>
      <c r="J4294" s="18"/>
      <c r="N4294" s="14"/>
      <c r="O4294" s="14"/>
      <c r="P4294" s="14"/>
    </row>
    <row r="4295" spans="8:16" ht="15.75" hidden="1" customHeight="1">
      <c r="H4295" s="14"/>
      <c r="I4295" s="567"/>
      <c r="J4295" s="18"/>
      <c r="N4295" s="14"/>
      <c r="O4295" s="14"/>
      <c r="P4295" s="14"/>
    </row>
    <row r="4296" spans="8:16" ht="15.75" hidden="1" customHeight="1">
      <c r="H4296" s="14"/>
      <c r="I4296" s="567"/>
      <c r="J4296" s="18"/>
      <c r="N4296" s="14"/>
      <c r="O4296" s="14"/>
      <c r="P4296" s="14"/>
    </row>
    <row r="4297" spans="8:16" ht="15.75" hidden="1" customHeight="1">
      <c r="H4297" s="14"/>
      <c r="I4297" s="567"/>
      <c r="J4297" s="18"/>
      <c r="N4297" s="14"/>
      <c r="O4297" s="14"/>
      <c r="P4297" s="14"/>
    </row>
    <row r="4298" spans="8:16" ht="15.75" hidden="1" customHeight="1">
      <c r="H4298" s="14"/>
      <c r="I4298" s="567"/>
      <c r="J4298" s="18"/>
      <c r="N4298" s="14"/>
      <c r="O4298" s="14"/>
      <c r="P4298" s="14"/>
    </row>
    <row r="4299" spans="8:16" ht="15.75" hidden="1" customHeight="1">
      <c r="H4299" s="14"/>
      <c r="I4299" s="567"/>
      <c r="J4299" s="18"/>
      <c r="N4299" s="14"/>
      <c r="O4299" s="14"/>
      <c r="P4299" s="14"/>
    </row>
    <row r="4300" spans="8:16" ht="15.75" hidden="1" customHeight="1">
      <c r="H4300" s="14"/>
      <c r="I4300" s="567"/>
      <c r="J4300" s="18"/>
      <c r="N4300" s="14"/>
      <c r="O4300" s="14"/>
      <c r="P4300" s="14"/>
    </row>
    <row r="4301" spans="8:16" ht="15.75" hidden="1" customHeight="1">
      <c r="H4301" s="14"/>
      <c r="I4301" s="567"/>
      <c r="J4301" s="18"/>
      <c r="N4301" s="14"/>
      <c r="O4301" s="14"/>
      <c r="P4301" s="14"/>
    </row>
    <row r="4302" spans="8:16" ht="15.75" hidden="1" customHeight="1">
      <c r="H4302" s="14"/>
      <c r="I4302" s="567"/>
      <c r="J4302" s="18"/>
      <c r="N4302" s="14"/>
      <c r="O4302" s="14"/>
      <c r="P4302" s="14"/>
    </row>
    <row r="4303" spans="8:16" ht="15.75" hidden="1" customHeight="1">
      <c r="H4303" s="14"/>
      <c r="I4303" s="567"/>
      <c r="J4303" s="18"/>
      <c r="N4303" s="14"/>
      <c r="O4303" s="14"/>
      <c r="P4303" s="14"/>
    </row>
    <row r="4304" spans="8:16" ht="15.75" hidden="1" customHeight="1">
      <c r="H4304" s="14"/>
      <c r="I4304" s="567"/>
      <c r="J4304" s="18"/>
      <c r="N4304" s="14"/>
      <c r="O4304" s="14"/>
      <c r="P4304" s="14"/>
    </row>
    <row r="4305" spans="8:16" ht="15.75" hidden="1" customHeight="1">
      <c r="H4305" s="14"/>
      <c r="I4305" s="567"/>
      <c r="J4305" s="18"/>
      <c r="N4305" s="14"/>
      <c r="O4305" s="14"/>
      <c r="P4305" s="14"/>
    </row>
    <row r="4306" spans="8:16" ht="15.75" hidden="1" customHeight="1">
      <c r="H4306" s="14"/>
      <c r="I4306" s="567"/>
      <c r="J4306" s="18"/>
      <c r="N4306" s="14"/>
      <c r="O4306" s="14"/>
      <c r="P4306" s="14"/>
    </row>
    <row r="4307" spans="8:16" ht="15.75" hidden="1" customHeight="1">
      <c r="H4307" s="14"/>
      <c r="I4307" s="567"/>
      <c r="J4307" s="18"/>
      <c r="N4307" s="14"/>
      <c r="O4307" s="14"/>
      <c r="P4307" s="14"/>
    </row>
    <row r="4308" spans="8:16" ht="15.75" hidden="1" customHeight="1">
      <c r="H4308" s="14"/>
      <c r="I4308" s="567"/>
      <c r="J4308" s="18"/>
      <c r="N4308" s="14"/>
      <c r="O4308" s="14"/>
      <c r="P4308" s="14"/>
    </row>
    <row r="4309" spans="8:16" ht="15.75" hidden="1" customHeight="1">
      <c r="H4309" s="14"/>
      <c r="I4309" s="567"/>
      <c r="J4309" s="18"/>
      <c r="N4309" s="14"/>
      <c r="O4309" s="14"/>
      <c r="P4309" s="14"/>
    </row>
    <row r="4310" spans="8:16" ht="15.75" hidden="1" customHeight="1">
      <c r="H4310" s="14"/>
      <c r="I4310" s="567"/>
      <c r="J4310" s="18"/>
      <c r="N4310" s="14"/>
      <c r="O4310" s="14"/>
      <c r="P4310" s="14"/>
    </row>
    <row r="4311" spans="8:16" ht="15.75" hidden="1" customHeight="1">
      <c r="H4311" s="14"/>
      <c r="I4311" s="567"/>
      <c r="J4311" s="18"/>
      <c r="N4311" s="14"/>
      <c r="O4311" s="14"/>
      <c r="P4311" s="14"/>
    </row>
    <row r="4312" spans="8:16" ht="15.75" hidden="1" customHeight="1">
      <c r="H4312" s="14"/>
      <c r="I4312" s="567"/>
      <c r="J4312" s="18"/>
      <c r="N4312" s="14"/>
      <c r="O4312" s="14"/>
      <c r="P4312" s="14"/>
    </row>
    <row r="4313" spans="8:16" ht="15.75" hidden="1" customHeight="1">
      <c r="H4313" s="14"/>
      <c r="I4313" s="567"/>
      <c r="J4313" s="18"/>
      <c r="N4313" s="14"/>
      <c r="O4313" s="14"/>
      <c r="P4313" s="14"/>
    </row>
    <row r="4314" spans="8:16" ht="15.75" hidden="1" customHeight="1">
      <c r="H4314" s="14"/>
      <c r="I4314" s="567"/>
      <c r="J4314" s="18"/>
      <c r="N4314" s="14"/>
      <c r="O4314" s="14"/>
      <c r="P4314" s="14"/>
    </row>
    <row r="4315" spans="8:16" ht="15.75" hidden="1" customHeight="1">
      <c r="H4315" s="14"/>
      <c r="I4315" s="567"/>
      <c r="J4315" s="18"/>
      <c r="N4315" s="14"/>
      <c r="O4315" s="14"/>
      <c r="P4315" s="14"/>
    </row>
    <row r="4316" spans="8:16" ht="15.75" hidden="1" customHeight="1">
      <c r="H4316" s="14"/>
      <c r="I4316" s="567"/>
      <c r="J4316" s="18"/>
      <c r="N4316" s="14"/>
      <c r="O4316" s="14"/>
      <c r="P4316" s="14"/>
    </row>
    <row r="4317" spans="8:16" ht="15.75" hidden="1" customHeight="1">
      <c r="H4317" s="14"/>
      <c r="I4317" s="567"/>
      <c r="J4317" s="18"/>
      <c r="N4317" s="14"/>
      <c r="O4317" s="14"/>
      <c r="P4317" s="14"/>
    </row>
    <row r="4318" spans="8:16" ht="15.75" hidden="1" customHeight="1">
      <c r="H4318" s="14"/>
      <c r="I4318" s="567"/>
      <c r="J4318" s="18"/>
      <c r="N4318" s="14"/>
      <c r="O4318" s="14"/>
      <c r="P4318" s="14"/>
    </row>
    <row r="4319" spans="8:16" ht="15.75" hidden="1" customHeight="1">
      <c r="H4319" s="14"/>
      <c r="I4319" s="567"/>
      <c r="J4319" s="18"/>
      <c r="N4319" s="14"/>
      <c r="O4319" s="14"/>
      <c r="P4319" s="14"/>
    </row>
    <row r="4320" spans="8:16" ht="15.75" hidden="1" customHeight="1">
      <c r="H4320" s="14"/>
      <c r="I4320" s="567"/>
      <c r="J4320" s="18"/>
      <c r="N4320" s="14"/>
      <c r="O4320" s="14"/>
      <c r="P4320" s="14"/>
    </row>
    <row r="4321" spans="8:16" ht="15.75" hidden="1" customHeight="1">
      <c r="H4321" s="14"/>
      <c r="I4321" s="567"/>
      <c r="J4321" s="18"/>
      <c r="N4321" s="14"/>
      <c r="O4321" s="14"/>
      <c r="P4321" s="14"/>
    </row>
    <row r="4322" spans="8:16" ht="15.75" hidden="1" customHeight="1">
      <c r="H4322" s="14"/>
      <c r="I4322" s="567"/>
      <c r="J4322" s="18"/>
      <c r="N4322" s="14"/>
      <c r="O4322" s="14"/>
      <c r="P4322" s="14"/>
    </row>
    <row r="4323" spans="8:16" ht="15.75" hidden="1" customHeight="1">
      <c r="H4323" s="14"/>
      <c r="I4323" s="567"/>
      <c r="J4323" s="18"/>
      <c r="N4323" s="14"/>
      <c r="O4323" s="14"/>
      <c r="P4323" s="14"/>
    </row>
    <row r="4324" spans="8:16" ht="15.75" hidden="1" customHeight="1">
      <c r="H4324" s="14"/>
      <c r="I4324" s="567"/>
      <c r="J4324" s="18"/>
      <c r="N4324" s="14"/>
      <c r="O4324" s="14"/>
      <c r="P4324" s="14"/>
    </row>
    <row r="4325" spans="8:16" ht="15.75" hidden="1" customHeight="1">
      <c r="H4325" s="14"/>
      <c r="I4325" s="567"/>
      <c r="J4325" s="18"/>
      <c r="N4325" s="14"/>
      <c r="O4325" s="14"/>
      <c r="P4325" s="14"/>
    </row>
    <row r="4326" spans="8:16" ht="15.75" hidden="1" customHeight="1">
      <c r="H4326" s="14"/>
      <c r="I4326" s="567"/>
      <c r="J4326" s="18"/>
      <c r="N4326" s="14"/>
      <c r="O4326" s="14"/>
      <c r="P4326" s="14"/>
    </row>
    <row r="4327" spans="8:16" ht="15.75" hidden="1" customHeight="1">
      <c r="H4327" s="14"/>
      <c r="I4327" s="567"/>
      <c r="J4327" s="18"/>
      <c r="N4327" s="14"/>
      <c r="O4327" s="14"/>
      <c r="P4327" s="14"/>
    </row>
    <row r="4328" spans="8:16" ht="15.75" hidden="1" customHeight="1">
      <c r="H4328" s="14"/>
      <c r="I4328" s="567"/>
      <c r="J4328" s="18"/>
      <c r="N4328" s="14"/>
      <c r="O4328" s="14"/>
      <c r="P4328" s="14"/>
    </row>
    <row r="4329" spans="8:16" ht="15.75" hidden="1" customHeight="1">
      <c r="H4329" s="14"/>
      <c r="I4329" s="567"/>
      <c r="J4329" s="18"/>
      <c r="N4329" s="14"/>
      <c r="O4329" s="14"/>
      <c r="P4329" s="14"/>
    </row>
    <row r="4330" spans="8:16" ht="15.75" hidden="1" customHeight="1">
      <c r="H4330" s="14"/>
      <c r="I4330" s="567"/>
      <c r="J4330" s="18"/>
      <c r="N4330" s="14"/>
      <c r="O4330" s="14"/>
      <c r="P4330" s="14"/>
    </row>
    <row r="4331" spans="8:16" ht="15.75" hidden="1" customHeight="1">
      <c r="H4331" s="14"/>
      <c r="I4331" s="567"/>
      <c r="J4331" s="18"/>
      <c r="N4331" s="14"/>
      <c r="O4331" s="14"/>
      <c r="P4331" s="14"/>
    </row>
    <row r="4332" spans="8:16" ht="15.75" hidden="1" customHeight="1">
      <c r="H4332" s="14"/>
      <c r="I4332" s="567"/>
      <c r="J4332" s="18"/>
      <c r="N4332" s="14"/>
      <c r="O4332" s="14"/>
      <c r="P4332" s="14"/>
    </row>
    <row r="4333" spans="8:16" ht="15.75" hidden="1" customHeight="1">
      <c r="H4333" s="14"/>
      <c r="I4333" s="567"/>
      <c r="J4333" s="18"/>
      <c r="N4333" s="14"/>
      <c r="O4333" s="14"/>
      <c r="P4333" s="14"/>
    </row>
    <row r="4334" spans="8:16" ht="15.75" hidden="1" customHeight="1">
      <c r="H4334" s="14"/>
      <c r="I4334" s="567"/>
      <c r="J4334" s="18"/>
      <c r="N4334" s="14"/>
      <c r="O4334" s="14"/>
      <c r="P4334" s="14"/>
    </row>
    <row r="4335" spans="8:16" ht="15.75" hidden="1" customHeight="1">
      <c r="H4335" s="14"/>
      <c r="I4335" s="567"/>
      <c r="J4335" s="18"/>
      <c r="N4335" s="14"/>
      <c r="O4335" s="14"/>
      <c r="P4335" s="14"/>
    </row>
    <row r="4336" spans="8:16" ht="15.75" hidden="1" customHeight="1">
      <c r="H4336" s="14"/>
      <c r="I4336" s="567"/>
      <c r="J4336" s="18"/>
      <c r="N4336" s="14"/>
      <c r="O4336" s="14"/>
      <c r="P4336" s="14"/>
    </row>
    <row r="4337" spans="8:16" ht="15.75" hidden="1" customHeight="1">
      <c r="H4337" s="14"/>
      <c r="I4337" s="567"/>
      <c r="J4337" s="18"/>
      <c r="N4337" s="14"/>
      <c r="O4337" s="14"/>
      <c r="P4337" s="14"/>
    </row>
    <row r="4338" spans="8:16" ht="15.75" hidden="1" customHeight="1">
      <c r="H4338" s="14"/>
      <c r="I4338" s="567"/>
      <c r="J4338" s="18"/>
      <c r="N4338" s="14"/>
      <c r="O4338" s="14"/>
      <c r="P4338" s="14"/>
    </row>
    <row r="4339" spans="8:16" ht="15.75" hidden="1" customHeight="1">
      <c r="H4339" s="14"/>
      <c r="I4339" s="567"/>
      <c r="J4339" s="18"/>
      <c r="N4339" s="14"/>
      <c r="O4339" s="14"/>
      <c r="P4339" s="14"/>
    </row>
    <row r="4340" spans="8:16" ht="15.75" hidden="1" customHeight="1">
      <c r="H4340" s="14"/>
      <c r="I4340" s="567"/>
      <c r="J4340" s="18"/>
      <c r="N4340" s="14"/>
      <c r="O4340" s="14"/>
      <c r="P4340" s="14"/>
    </row>
    <row r="4341" spans="8:16" ht="15.75" hidden="1" customHeight="1">
      <c r="H4341" s="14"/>
      <c r="I4341" s="567"/>
      <c r="J4341" s="18"/>
      <c r="N4341" s="14"/>
      <c r="O4341" s="14"/>
      <c r="P4341" s="14"/>
    </row>
    <row r="4342" spans="8:16" ht="15.75" hidden="1" customHeight="1">
      <c r="H4342" s="14"/>
      <c r="I4342" s="567"/>
      <c r="J4342" s="18"/>
      <c r="N4342" s="14"/>
      <c r="O4342" s="14"/>
      <c r="P4342" s="14"/>
    </row>
    <row r="4343" spans="8:16" ht="15.75" hidden="1" customHeight="1">
      <c r="H4343" s="14"/>
      <c r="I4343" s="567"/>
      <c r="J4343" s="18"/>
      <c r="N4343" s="14"/>
      <c r="O4343" s="14"/>
      <c r="P4343" s="14"/>
    </row>
    <row r="4344" spans="8:16" ht="15.75" hidden="1" customHeight="1">
      <c r="H4344" s="14"/>
      <c r="I4344" s="567"/>
      <c r="J4344" s="18"/>
      <c r="N4344" s="14"/>
      <c r="O4344" s="14"/>
      <c r="P4344" s="14"/>
    </row>
    <row r="4345" spans="8:16" ht="15.75" hidden="1" customHeight="1">
      <c r="H4345" s="14"/>
      <c r="I4345" s="567"/>
      <c r="J4345" s="18"/>
      <c r="N4345" s="14"/>
      <c r="O4345" s="14"/>
      <c r="P4345" s="14"/>
    </row>
    <row r="4346" spans="8:16" ht="15.75" hidden="1" customHeight="1">
      <c r="H4346" s="14"/>
      <c r="I4346" s="567"/>
      <c r="J4346" s="18"/>
      <c r="N4346" s="14"/>
      <c r="O4346" s="14"/>
      <c r="P4346" s="14"/>
    </row>
    <row r="4347" spans="8:16" ht="15.75" hidden="1" customHeight="1">
      <c r="H4347" s="14"/>
      <c r="I4347" s="567"/>
      <c r="J4347" s="18"/>
      <c r="N4347" s="14"/>
      <c r="O4347" s="14"/>
      <c r="P4347" s="14"/>
    </row>
    <row r="4348" spans="8:16" ht="15.75" hidden="1" customHeight="1">
      <c r="H4348" s="14"/>
      <c r="I4348" s="567"/>
      <c r="J4348" s="18"/>
      <c r="N4348" s="14"/>
      <c r="O4348" s="14"/>
      <c r="P4348" s="14"/>
    </row>
    <row r="4349" spans="8:16" ht="15.75" hidden="1" customHeight="1">
      <c r="H4349" s="14"/>
      <c r="I4349" s="567"/>
      <c r="J4349" s="18"/>
      <c r="N4349" s="14"/>
      <c r="O4349" s="14"/>
      <c r="P4349" s="14"/>
    </row>
    <row r="4350" spans="8:16" ht="15.75" hidden="1" customHeight="1">
      <c r="H4350" s="14"/>
      <c r="I4350" s="567"/>
      <c r="J4350" s="18"/>
      <c r="N4350" s="14"/>
      <c r="O4350" s="14"/>
      <c r="P4350" s="14"/>
    </row>
    <row r="4351" spans="8:16" ht="15.75" hidden="1" customHeight="1">
      <c r="H4351" s="14"/>
      <c r="I4351" s="567"/>
      <c r="J4351" s="18"/>
      <c r="N4351" s="14"/>
      <c r="O4351" s="14"/>
      <c r="P4351" s="14"/>
    </row>
    <row r="4352" spans="8:16" ht="15.75" hidden="1" customHeight="1">
      <c r="H4352" s="14"/>
      <c r="I4352" s="567"/>
      <c r="J4352" s="18"/>
      <c r="N4352" s="14"/>
      <c r="O4352" s="14"/>
      <c r="P4352" s="14"/>
    </row>
    <row r="4353" spans="8:16" ht="15.75" hidden="1" customHeight="1">
      <c r="H4353" s="14"/>
      <c r="I4353" s="567"/>
      <c r="J4353" s="18"/>
      <c r="N4353" s="14"/>
      <c r="O4353" s="14"/>
      <c r="P4353" s="14"/>
    </row>
    <row r="4354" spans="8:16" ht="15.75" hidden="1" customHeight="1">
      <c r="H4354" s="14"/>
      <c r="I4354" s="567"/>
      <c r="J4354" s="18"/>
      <c r="N4354" s="14"/>
      <c r="O4354" s="14"/>
      <c r="P4354" s="14"/>
    </row>
    <row r="4355" spans="8:16" ht="15.75" hidden="1" customHeight="1">
      <c r="H4355" s="14"/>
      <c r="I4355" s="567"/>
      <c r="J4355" s="18"/>
      <c r="N4355" s="14"/>
      <c r="O4355" s="14"/>
      <c r="P4355" s="14"/>
    </row>
    <row r="4356" spans="8:16" ht="15.75" hidden="1" customHeight="1">
      <c r="H4356" s="14"/>
      <c r="I4356" s="567"/>
      <c r="J4356" s="18"/>
      <c r="N4356" s="14"/>
      <c r="O4356" s="14"/>
      <c r="P4356" s="14"/>
    </row>
    <row r="4357" spans="8:16" ht="15.75" hidden="1" customHeight="1">
      <c r="H4357" s="14"/>
      <c r="I4357" s="567"/>
      <c r="J4357" s="18"/>
      <c r="N4357" s="14"/>
      <c r="O4357" s="14"/>
      <c r="P4357" s="14"/>
    </row>
    <row r="4358" spans="8:16" ht="15.75" hidden="1" customHeight="1">
      <c r="H4358" s="14"/>
      <c r="I4358" s="567"/>
      <c r="J4358" s="18"/>
      <c r="N4358" s="14"/>
      <c r="O4358" s="14"/>
      <c r="P4358" s="14"/>
    </row>
    <row r="4359" spans="8:16" ht="15.75" hidden="1" customHeight="1">
      <c r="H4359" s="14"/>
      <c r="I4359" s="567"/>
      <c r="J4359" s="18"/>
      <c r="N4359" s="14"/>
      <c r="O4359" s="14"/>
      <c r="P4359" s="14"/>
    </row>
    <row r="4360" spans="8:16" ht="15.75" hidden="1" customHeight="1">
      <c r="H4360" s="14"/>
      <c r="I4360" s="567"/>
      <c r="J4360" s="18"/>
      <c r="N4360" s="14"/>
      <c r="O4360" s="14"/>
      <c r="P4360" s="14"/>
    </row>
    <row r="4361" spans="8:16" ht="15.75" hidden="1" customHeight="1">
      <c r="H4361" s="14"/>
      <c r="I4361" s="567"/>
      <c r="J4361" s="18"/>
      <c r="N4361" s="14"/>
      <c r="O4361" s="14"/>
      <c r="P4361" s="14"/>
    </row>
    <row r="4362" spans="8:16" ht="15.75" hidden="1" customHeight="1">
      <c r="H4362" s="14"/>
      <c r="I4362" s="567"/>
      <c r="J4362" s="18"/>
      <c r="N4362" s="14"/>
      <c r="O4362" s="14"/>
      <c r="P4362" s="14"/>
    </row>
    <row r="4363" spans="8:16" ht="15.75" hidden="1" customHeight="1">
      <c r="H4363" s="14"/>
      <c r="I4363" s="567"/>
      <c r="J4363" s="18"/>
      <c r="N4363" s="14"/>
      <c r="O4363" s="14"/>
      <c r="P4363" s="14"/>
    </row>
    <row r="4364" spans="8:16" ht="15.75" hidden="1" customHeight="1">
      <c r="H4364" s="14"/>
      <c r="I4364" s="567"/>
      <c r="J4364" s="18"/>
      <c r="N4364" s="14"/>
      <c r="O4364" s="14"/>
      <c r="P4364" s="14"/>
    </row>
    <row r="4365" spans="8:16" ht="15.75" hidden="1" customHeight="1">
      <c r="H4365" s="14"/>
      <c r="I4365" s="567"/>
      <c r="J4365" s="18"/>
      <c r="N4365" s="14"/>
      <c r="O4365" s="14"/>
      <c r="P4365" s="14"/>
    </row>
    <row r="4366" spans="8:16" ht="15.75" hidden="1" customHeight="1">
      <c r="H4366" s="14"/>
      <c r="I4366" s="567"/>
      <c r="J4366" s="18"/>
      <c r="N4366" s="14"/>
      <c r="O4366" s="14"/>
      <c r="P4366" s="14"/>
    </row>
    <row r="4367" spans="8:16" ht="15.75" hidden="1" customHeight="1">
      <c r="H4367" s="14"/>
      <c r="I4367" s="567"/>
      <c r="J4367" s="18"/>
      <c r="N4367" s="14"/>
      <c r="O4367" s="14"/>
      <c r="P4367" s="14"/>
    </row>
    <row r="4368" spans="8:16" ht="15.75" hidden="1" customHeight="1">
      <c r="H4368" s="14"/>
      <c r="I4368" s="567"/>
      <c r="J4368" s="18"/>
      <c r="N4368" s="14"/>
      <c r="O4368" s="14"/>
      <c r="P4368" s="14"/>
    </row>
    <row r="4369" spans="8:16" ht="15.75" hidden="1" customHeight="1">
      <c r="H4369" s="14"/>
      <c r="I4369" s="567"/>
      <c r="J4369" s="18"/>
      <c r="N4369" s="14"/>
      <c r="O4369" s="14"/>
      <c r="P4369" s="14"/>
    </row>
    <row r="4370" spans="8:16" ht="15.75" hidden="1" customHeight="1">
      <c r="H4370" s="14"/>
      <c r="I4370" s="567"/>
      <c r="J4370" s="18"/>
      <c r="N4370" s="14"/>
      <c r="O4370" s="14"/>
      <c r="P4370" s="14"/>
    </row>
    <row r="4371" spans="8:16" ht="15.75" hidden="1" customHeight="1">
      <c r="H4371" s="14"/>
      <c r="I4371" s="567"/>
      <c r="J4371" s="18"/>
      <c r="N4371" s="14"/>
      <c r="O4371" s="14"/>
      <c r="P4371" s="14"/>
    </row>
    <row r="4372" spans="8:16" ht="15.75" hidden="1" customHeight="1">
      <c r="H4372" s="14"/>
      <c r="I4372" s="567"/>
      <c r="J4372" s="18"/>
      <c r="N4372" s="14"/>
      <c r="O4372" s="14"/>
      <c r="P4372" s="14"/>
    </row>
    <row r="4373" spans="8:16" ht="15.75" hidden="1" customHeight="1">
      <c r="H4373" s="14"/>
      <c r="I4373" s="567"/>
      <c r="J4373" s="18"/>
      <c r="N4373" s="14"/>
      <c r="O4373" s="14"/>
      <c r="P4373" s="14"/>
    </row>
    <row r="4374" spans="8:16" ht="15.75" hidden="1" customHeight="1">
      <c r="H4374" s="14"/>
      <c r="I4374" s="567"/>
      <c r="J4374" s="18"/>
      <c r="N4374" s="14"/>
      <c r="O4374" s="14"/>
      <c r="P4374" s="14"/>
    </row>
    <row r="4375" spans="8:16" ht="15.75" hidden="1" customHeight="1">
      <c r="H4375" s="14"/>
      <c r="I4375" s="567"/>
      <c r="J4375" s="18"/>
      <c r="N4375" s="14"/>
      <c r="O4375" s="14"/>
      <c r="P4375" s="14"/>
    </row>
    <row r="4376" spans="8:16" ht="15.75" hidden="1" customHeight="1">
      <c r="H4376" s="14"/>
      <c r="I4376" s="567"/>
      <c r="J4376" s="18"/>
      <c r="N4376" s="14"/>
      <c r="O4376" s="14"/>
      <c r="P4376" s="14"/>
    </row>
    <row r="4377" spans="8:16" ht="15.75" hidden="1" customHeight="1">
      <c r="H4377" s="14"/>
      <c r="I4377" s="567"/>
      <c r="J4377" s="18"/>
      <c r="N4377" s="14"/>
      <c r="O4377" s="14"/>
      <c r="P4377" s="14"/>
    </row>
    <row r="4378" spans="8:16" ht="15.75" hidden="1" customHeight="1">
      <c r="H4378" s="14"/>
      <c r="I4378" s="567"/>
      <c r="J4378" s="18"/>
      <c r="N4378" s="14"/>
      <c r="O4378" s="14"/>
      <c r="P4378" s="14"/>
    </row>
    <row r="4379" spans="8:16" ht="15.75" hidden="1" customHeight="1">
      <c r="H4379" s="14"/>
      <c r="I4379" s="567"/>
      <c r="J4379" s="18"/>
      <c r="N4379" s="14"/>
      <c r="O4379" s="14"/>
      <c r="P4379" s="14"/>
    </row>
    <row r="4380" spans="8:16" ht="15.75" hidden="1" customHeight="1">
      <c r="H4380" s="14"/>
      <c r="I4380" s="567"/>
      <c r="J4380" s="18"/>
      <c r="N4380" s="14"/>
      <c r="O4380" s="14"/>
      <c r="P4380" s="14"/>
    </row>
    <row r="4381" spans="8:16" ht="15.75" hidden="1" customHeight="1">
      <c r="H4381" s="14"/>
      <c r="I4381" s="567"/>
      <c r="J4381" s="18"/>
      <c r="N4381" s="14"/>
      <c r="O4381" s="14"/>
      <c r="P4381" s="14"/>
    </row>
    <row r="4382" spans="8:16" ht="15.75" hidden="1" customHeight="1">
      <c r="H4382" s="14"/>
      <c r="I4382" s="567"/>
      <c r="J4382" s="18"/>
      <c r="N4382" s="14"/>
      <c r="O4382" s="14"/>
      <c r="P4382" s="14"/>
    </row>
    <row r="4383" spans="8:16" ht="15.75" hidden="1" customHeight="1">
      <c r="H4383" s="14"/>
      <c r="I4383" s="567"/>
      <c r="J4383" s="18"/>
      <c r="N4383" s="14"/>
      <c r="O4383" s="14"/>
      <c r="P4383" s="14"/>
    </row>
    <row r="4384" spans="8:16" ht="15.75" hidden="1" customHeight="1">
      <c r="H4384" s="14"/>
      <c r="I4384" s="567"/>
      <c r="J4384" s="18"/>
      <c r="N4384" s="14"/>
      <c r="O4384" s="14"/>
      <c r="P4384" s="14"/>
    </row>
    <row r="4385" spans="8:16" ht="15.75" hidden="1" customHeight="1">
      <c r="H4385" s="14"/>
      <c r="I4385" s="567"/>
      <c r="J4385" s="18"/>
      <c r="N4385" s="14"/>
      <c r="O4385" s="14"/>
      <c r="P4385" s="14"/>
    </row>
    <row r="4386" spans="8:16" ht="15.75" hidden="1" customHeight="1">
      <c r="H4386" s="14"/>
      <c r="I4386" s="567"/>
      <c r="J4386" s="18"/>
      <c r="N4386" s="14"/>
      <c r="O4386" s="14"/>
      <c r="P4386" s="14"/>
    </row>
    <row r="4387" spans="8:16" ht="15.75" hidden="1" customHeight="1">
      <c r="H4387" s="14"/>
      <c r="I4387" s="567"/>
      <c r="J4387" s="18"/>
      <c r="N4387" s="14"/>
      <c r="O4387" s="14"/>
      <c r="P4387" s="14"/>
    </row>
    <row r="4388" spans="8:16" ht="15.75" hidden="1" customHeight="1">
      <c r="H4388" s="14"/>
      <c r="I4388" s="567"/>
      <c r="J4388" s="18"/>
      <c r="N4388" s="14"/>
      <c r="O4388" s="14"/>
      <c r="P4388" s="14"/>
    </row>
    <row r="4389" spans="8:16" ht="15.75" hidden="1" customHeight="1">
      <c r="H4389" s="14"/>
      <c r="I4389" s="567"/>
      <c r="J4389" s="18"/>
      <c r="N4389" s="14"/>
      <c r="O4389" s="14"/>
      <c r="P4389" s="14"/>
    </row>
    <row r="4390" spans="8:16" ht="15.75" hidden="1" customHeight="1">
      <c r="H4390" s="14"/>
      <c r="I4390" s="567"/>
      <c r="J4390" s="18"/>
      <c r="N4390" s="14"/>
      <c r="O4390" s="14"/>
      <c r="P4390" s="14"/>
    </row>
    <row r="4391" spans="8:16" ht="15.75" hidden="1" customHeight="1">
      <c r="H4391" s="14"/>
      <c r="I4391" s="567"/>
      <c r="J4391" s="18"/>
      <c r="N4391" s="14"/>
      <c r="O4391" s="14"/>
      <c r="P4391" s="14"/>
    </row>
    <row r="4392" spans="8:16" ht="15.75" hidden="1" customHeight="1">
      <c r="H4392" s="14"/>
      <c r="I4392" s="567"/>
      <c r="J4392" s="18"/>
      <c r="N4392" s="14"/>
      <c r="O4392" s="14"/>
      <c r="P4392" s="14"/>
    </row>
    <row r="4393" spans="8:16" ht="15.75" hidden="1" customHeight="1">
      <c r="H4393" s="14"/>
      <c r="I4393" s="567"/>
      <c r="J4393" s="18"/>
      <c r="N4393" s="14"/>
      <c r="O4393" s="14"/>
      <c r="P4393" s="14"/>
    </row>
    <row r="4394" spans="8:16" ht="15.75" hidden="1" customHeight="1">
      <c r="H4394" s="14"/>
      <c r="I4394" s="567"/>
      <c r="J4394" s="18"/>
      <c r="N4394" s="14"/>
      <c r="O4394" s="14"/>
      <c r="P4394" s="14"/>
    </row>
    <row r="4395" spans="8:16" ht="15.75" hidden="1" customHeight="1">
      <c r="H4395" s="14"/>
      <c r="I4395" s="567"/>
      <c r="J4395" s="18"/>
      <c r="N4395" s="14"/>
      <c r="O4395" s="14"/>
      <c r="P4395" s="14"/>
    </row>
    <row r="4396" spans="8:16" ht="15.75" hidden="1" customHeight="1">
      <c r="H4396" s="14"/>
      <c r="I4396" s="567"/>
      <c r="J4396" s="18"/>
      <c r="N4396" s="14"/>
      <c r="O4396" s="14"/>
      <c r="P4396" s="14"/>
    </row>
    <row r="4397" spans="8:16" ht="15.75" hidden="1" customHeight="1">
      <c r="H4397" s="14"/>
      <c r="I4397" s="567"/>
      <c r="J4397" s="18"/>
      <c r="N4397" s="14"/>
      <c r="O4397" s="14"/>
      <c r="P4397" s="14"/>
    </row>
    <row r="4398" spans="8:16" ht="15.75" hidden="1" customHeight="1">
      <c r="H4398" s="14"/>
      <c r="I4398" s="567"/>
      <c r="J4398" s="18"/>
      <c r="N4398" s="14"/>
      <c r="O4398" s="14"/>
      <c r="P4398" s="14"/>
    </row>
    <row r="4399" spans="8:16" ht="15.75" hidden="1" customHeight="1">
      <c r="H4399" s="14"/>
      <c r="I4399" s="567"/>
      <c r="J4399" s="18"/>
      <c r="N4399" s="14"/>
      <c r="O4399" s="14"/>
      <c r="P4399" s="14"/>
    </row>
    <row r="4400" spans="8:16" ht="15.75" hidden="1" customHeight="1">
      <c r="H4400" s="14"/>
      <c r="I4400" s="567"/>
      <c r="J4400" s="18"/>
      <c r="N4400" s="14"/>
      <c r="O4400" s="14"/>
      <c r="P4400" s="14"/>
    </row>
    <row r="4401" spans="8:16" ht="15.75" hidden="1" customHeight="1">
      <c r="H4401" s="14"/>
      <c r="I4401" s="567"/>
      <c r="J4401" s="18"/>
      <c r="N4401" s="14"/>
      <c r="O4401" s="14"/>
      <c r="P4401" s="14"/>
    </row>
    <row r="4402" spans="8:16" ht="15.75" hidden="1" customHeight="1">
      <c r="H4402" s="14"/>
      <c r="I4402" s="567"/>
      <c r="J4402" s="18"/>
      <c r="N4402" s="14"/>
      <c r="O4402" s="14"/>
      <c r="P4402" s="14"/>
    </row>
    <row r="4403" spans="8:16" ht="15.75" hidden="1" customHeight="1">
      <c r="H4403" s="14"/>
      <c r="I4403" s="567"/>
      <c r="J4403" s="18"/>
      <c r="N4403" s="14"/>
      <c r="O4403" s="14"/>
      <c r="P4403" s="14"/>
    </row>
    <row r="4404" spans="8:16" ht="15.75" hidden="1" customHeight="1">
      <c r="H4404" s="14"/>
      <c r="I4404" s="567"/>
      <c r="J4404" s="18"/>
      <c r="N4404" s="14"/>
      <c r="O4404" s="14"/>
      <c r="P4404" s="14"/>
    </row>
    <row r="4405" spans="8:16" ht="15.75" hidden="1" customHeight="1">
      <c r="H4405" s="14"/>
      <c r="I4405" s="567"/>
      <c r="J4405" s="18"/>
      <c r="N4405" s="14"/>
      <c r="O4405" s="14"/>
      <c r="P4405" s="14"/>
    </row>
    <row r="4406" spans="8:16" ht="15.75" hidden="1" customHeight="1">
      <c r="H4406" s="14"/>
      <c r="I4406" s="567"/>
      <c r="J4406" s="18"/>
      <c r="N4406" s="14"/>
      <c r="O4406" s="14"/>
      <c r="P4406" s="14"/>
    </row>
    <row r="4407" spans="8:16" ht="15.75" hidden="1" customHeight="1">
      <c r="H4407" s="14"/>
      <c r="I4407" s="567"/>
      <c r="J4407" s="18"/>
      <c r="N4407" s="14"/>
      <c r="O4407" s="14"/>
      <c r="P4407" s="14"/>
    </row>
    <row r="4408" spans="8:16" ht="15.75" hidden="1" customHeight="1">
      <c r="H4408" s="14"/>
      <c r="I4408" s="567"/>
      <c r="J4408" s="18"/>
      <c r="N4408" s="14"/>
      <c r="O4408" s="14"/>
      <c r="P4408" s="14"/>
    </row>
    <row r="4409" spans="8:16" ht="15.75" hidden="1" customHeight="1">
      <c r="H4409" s="14"/>
      <c r="I4409" s="567"/>
      <c r="J4409" s="18"/>
      <c r="N4409" s="14"/>
      <c r="O4409" s="14"/>
      <c r="P4409" s="14"/>
    </row>
    <row r="4410" spans="8:16" ht="15.75" hidden="1" customHeight="1">
      <c r="H4410" s="14"/>
      <c r="I4410" s="567"/>
      <c r="J4410" s="18"/>
      <c r="N4410" s="14"/>
      <c r="O4410" s="14"/>
      <c r="P4410" s="14"/>
    </row>
    <row r="4411" spans="8:16" ht="15.75" hidden="1" customHeight="1">
      <c r="H4411" s="14"/>
      <c r="I4411" s="567"/>
      <c r="J4411" s="18"/>
      <c r="N4411" s="14"/>
      <c r="O4411" s="14"/>
      <c r="P4411" s="14"/>
    </row>
    <row r="4412" spans="8:16" ht="15.75" hidden="1" customHeight="1">
      <c r="H4412" s="14"/>
      <c r="I4412" s="567"/>
      <c r="J4412" s="18"/>
      <c r="N4412" s="14"/>
      <c r="O4412" s="14"/>
      <c r="P4412" s="14"/>
    </row>
    <row r="4413" spans="8:16" ht="15.75" hidden="1" customHeight="1">
      <c r="H4413" s="14"/>
      <c r="I4413" s="567"/>
      <c r="J4413" s="18"/>
      <c r="N4413" s="14"/>
      <c r="O4413" s="14"/>
      <c r="P4413" s="14"/>
    </row>
    <row r="4414" spans="8:16" ht="15.75" hidden="1" customHeight="1">
      <c r="H4414" s="14"/>
      <c r="I4414" s="567"/>
      <c r="J4414" s="18"/>
      <c r="N4414" s="14"/>
      <c r="O4414" s="14"/>
      <c r="P4414" s="14"/>
    </row>
    <row r="4415" spans="8:16" ht="15.75" hidden="1" customHeight="1">
      <c r="H4415" s="14"/>
      <c r="I4415" s="567"/>
      <c r="J4415" s="18"/>
      <c r="N4415" s="14"/>
      <c r="O4415" s="14"/>
      <c r="P4415" s="14"/>
    </row>
    <row r="4416" spans="8:16" ht="15.75" hidden="1" customHeight="1">
      <c r="H4416" s="14"/>
      <c r="I4416" s="567"/>
      <c r="J4416" s="18"/>
      <c r="N4416" s="14"/>
      <c r="O4416" s="14"/>
      <c r="P4416" s="14"/>
    </row>
    <row r="4417" spans="8:16" ht="15.75" hidden="1" customHeight="1">
      <c r="H4417" s="14"/>
      <c r="I4417" s="567"/>
      <c r="J4417" s="18"/>
      <c r="N4417" s="14"/>
      <c r="O4417" s="14"/>
      <c r="P4417" s="14"/>
    </row>
    <row r="4418" spans="8:16" ht="15.75" hidden="1" customHeight="1">
      <c r="H4418" s="14"/>
      <c r="I4418" s="567"/>
      <c r="J4418" s="18"/>
      <c r="N4418" s="14"/>
      <c r="O4418" s="14"/>
      <c r="P4418" s="14"/>
    </row>
    <row r="4419" spans="8:16" ht="15.75" hidden="1" customHeight="1">
      <c r="H4419" s="14"/>
      <c r="I4419" s="567"/>
      <c r="J4419" s="18"/>
      <c r="N4419" s="14"/>
      <c r="O4419" s="14"/>
      <c r="P4419" s="14"/>
    </row>
    <row r="4420" spans="8:16" ht="15.75" hidden="1" customHeight="1">
      <c r="H4420" s="14"/>
      <c r="I4420" s="567"/>
      <c r="J4420" s="18"/>
      <c r="N4420" s="14"/>
      <c r="O4420" s="14"/>
      <c r="P4420" s="14"/>
    </row>
    <row r="4421" spans="8:16" ht="15.75" hidden="1" customHeight="1">
      <c r="H4421" s="14"/>
      <c r="I4421" s="567"/>
      <c r="J4421" s="18"/>
      <c r="N4421" s="14"/>
      <c r="O4421" s="14"/>
      <c r="P4421" s="14"/>
    </row>
    <row r="4422" spans="8:16" ht="15.75" hidden="1" customHeight="1">
      <c r="H4422" s="14"/>
      <c r="I4422" s="567"/>
      <c r="J4422" s="18"/>
      <c r="N4422" s="14"/>
      <c r="O4422" s="14"/>
      <c r="P4422" s="14"/>
    </row>
    <row r="4423" spans="8:16" ht="15.75" hidden="1" customHeight="1">
      <c r="H4423" s="14"/>
      <c r="I4423" s="567"/>
      <c r="J4423" s="18"/>
      <c r="N4423" s="14"/>
      <c r="O4423" s="14"/>
      <c r="P4423" s="14"/>
    </row>
    <row r="4424" spans="8:16" ht="15.75" hidden="1" customHeight="1">
      <c r="H4424" s="14"/>
      <c r="I4424" s="567"/>
      <c r="J4424" s="18"/>
      <c r="N4424" s="14"/>
      <c r="O4424" s="14"/>
      <c r="P4424" s="14"/>
    </row>
    <row r="4425" spans="8:16" ht="15.75" hidden="1" customHeight="1">
      <c r="H4425" s="14"/>
      <c r="I4425" s="567"/>
      <c r="J4425" s="18"/>
      <c r="N4425" s="14"/>
      <c r="O4425" s="14"/>
      <c r="P4425" s="14"/>
    </row>
    <row r="4426" spans="8:16" ht="15.75" hidden="1" customHeight="1">
      <c r="H4426" s="14"/>
      <c r="I4426" s="567"/>
      <c r="J4426" s="18"/>
      <c r="N4426" s="14"/>
      <c r="O4426" s="14"/>
      <c r="P4426" s="14"/>
    </row>
    <row r="4427" spans="8:16" ht="15.75" hidden="1" customHeight="1">
      <c r="H4427" s="14"/>
      <c r="I4427" s="567"/>
      <c r="J4427" s="18"/>
      <c r="N4427" s="14"/>
      <c r="O4427" s="14"/>
      <c r="P4427" s="14"/>
    </row>
    <row r="4428" spans="8:16" ht="15.75" hidden="1" customHeight="1">
      <c r="H4428" s="14"/>
      <c r="I4428" s="567"/>
      <c r="J4428" s="18"/>
      <c r="N4428" s="14"/>
      <c r="O4428" s="14"/>
      <c r="P4428" s="14"/>
    </row>
    <row r="4429" spans="8:16" ht="15.75" hidden="1" customHeight="1">
      <c r="H4429" s="14"/>
      <c r="I4429" s="567"/>
      <c r="J4429" s="18"/>
      <c r="N4429" s="14"/>
      <c r="O4429" s="14"/>
      <c r="P4429" s="14"/>
    </row>
    <row r="4430" spans="8:16" ht="15.75" hidden="1" customHeight="1">
      <c r="H4430" s="14"/>
      <c r="I4430" s="567"/>
      <c r="J4430" s="18"/>
      <c r="N4430" s="14"/>
      <c r="O4430" s="14"/>
      <c r="P4430" s="14"/>
    </row>
    <row r="4431" spans="8:16" ht="15.75" hidden="1" customHeight="1">
      <c r="H4431" s="14"/>
      <c r="I4431" s="567"/>
      <c r="J4431" s="18"/>
      <c r="N4431" s="14"/>
      <c r="O4431" s="14"/>
      <c r="P4431" s="14"/>
    </row>
    <row r="4432" spans="8:16" ht="15.75" hidden="1" customHeight="1">
      <c r="H4432" s="14"/>
      <c r="I4432" s="567"/>
      <c r="J4432" s="18"/>
      <c r="N4432" s="14"/>
      <c r="O4432" s="14"/>
      <c r="P4432" s="14"/>
    </row>
    <row r="4433" spans="8:16" ht="15.75" hidden="1" customHeight="1">
      <c r="H4433" s="14"/>
      <c r="I4433" s="567"/>
      <c r="J4433" s="18"/>
      <c r="N4433" s="14"/>
      <c r="O4433" s="14"/>
      <c r="P4433" s="14"/>
    </row>
    <row r="4434" spans="8:16" ht="15.75" hidden="1" customHeight="1">
      <c r="H4434" s="14"/>
      <c r="I4434" s="567"/>
      <c r="J4434" s="18"/>
      <c r="N4434" s="14"/>
      <c r="O4434" s="14"/>
      <c r="P4434" s="14"/>
    </row>
    <row r="4435" spans="8:16" ht="15.75" hidden="1" customHeight="1">
      <c r="H4435" s="14"/>
      <c r="I4435" s="567"/>
      <c r="J4435" s="18"/>
      <c r="N4435" s="14"/>
      <c r="O4435" s="14"/>
      <c r="P4435" s="14"/>
    </row>
    <row r="4436" spans="8:16" ht="15.75" hidden="1" customHeight="1">
      <c r="H4436" s="14"/>
      <c r="I4436" s="567"/>
      <c r="J4436" s="18"/>
      <c r="N4436" s="14"/>
      <c r="O4436" s="14"/>
      <c r="P4436" s="14"/>
    </row>
    <row r="4437" spans="8:16" ht="15.75" hidden="1" customHeight="1">
      <c r="H4437" s="14"/>
      <c r="I4437" s="567"/>
      <c r="J4437" s="18"/>
      <c r="N4437" s="14"/>
      <c r="O4437" s="14"/>
      <c r="P4437" s="14"/>
    </row>
    <row r="4438" spans="8:16" ht="15.75" hidden="1" customHeight="1">
      <c r="H4438" s="14"/>
      <c r="I4438" s="567"/>
      <c r="J4438" s="18"/>
      <c r="N4438" s="14"/>
      <c r="O4438" s="14"/>
      <c r="P4438" s="14"/>
    </row>
    <row r="4439" spans="8:16" ht="15.75" hidden="1" customHeight="1">
      <c r="H4439" s="14"/>
      <c r="I4439" s="567"/>
      <c r="J4439" s="18"/>
      <c r="N4439" s="14"/>
      <c r="O4439" s="14"/>
      <c r="P4439" s="14"/>
    </row>
    <row r="4440" spans="8:16" ht="15.75" hidden="1" customHeight="1">
      <c r="H4440" s="14"/>
      <c r="I4440" s="567"/>
      <c r="J4440" s="18"/>
      <c r="N4440" s="14"/>
      <c r="O4440" s="14"/>
      <c r="P4440" s="14"/>
    </row>
    <row r="4441" spans="8:16" ht="15.75" hidden="1" customHeight="1">
      <c r="H4441" s="14"/>
      <c r="I4441" s="567"/>
      <c r="J4441" s="18"/>
      <c r="N4441" s="14"/>
      <c r="O4441" s="14"/>
      <c r="P4441" s="14"/>
    </row>
    <row r="4442" spans="8:16" ht="15.75" hidden="1" customHeight="1">
      <c r="H4442" s="14"/>
      <c r="I4442" s="567"/>
      <c r="J4442" s="18"/>
      <c r="N4442" s="14"/>
      <c r="O4442" s="14"/>
      <c r="P4442" s="14"/>
    </row>
    <row r="4443" spans="8:16" ht="15.75" hidden="1" customHeight="1">
      <c r="H4443" s="14"/>
      <c r="I4443" s="567"/>
      <c r="J4443" s="18"/>
      <c r="N4443" s="14"/>
      <c r="O4443" s="14"/>
      <c r="P4443" s="14"/>
    </row>
    <row r="4444" spans="8:16" ht="15.75" hidden="1" customHeight="1">
      <c r="H4444" s="14"/>
      <c r="I4444" s="567"/>
      <c r="J4444" s="18"/>
      <c r="N4444" s="14"/>
      <c r="O4444" s="14"/>
      <c r="P4444" s="14"/>
    </row>
    <row r="4445" spans="8:16" ht="15.75" hidden="1" customHeight="1">
      <c r="H4445" s="14"/>
      <c r="I4445" s="567"/>
      <c r="J4445" s="18"/>
      <c r="N4445" s="14"/>
      <c r="O4445" s="14"/>
      <c r="P4445" s="14"/>
    </row>
    <row r="4446" spans="8:16" ht="15.75" hidden="1" customHeight="1">
      <c r="H4446" s="14"/>
      <c r="I4446" s="567"/>
      <c r="J4446" s="18"/>
      <c r="N4446" s="14"/>
      <c r="O4446" s="14"/>
      <c r="P4446" s="14"/>
    </row>
    <row r="4447" spans="8:16" ht="15.75" hidden="1" customHeight="1">
      <c r="H4447" s="14"/>
      <c r="I4447" s="567"/>
      <c r="J4447" s="18"/>
      <c r="N4447" s="14"/>
      <c r="O4447" s="14"/>
      <c r="P4447" s="14"/>
    </row>
    <row r="4448" spans="8:16" ht="15.75" hidden="1" customHeight="1">
      <c r="H4448" s="14"/>
      <c r="I4448" s="567"/>
      <c r="J4448" s="18"/>
      <c r="N4448" s="14"/>
      <c r="O4448" s="14"/>
      <c r="P4448" s="14"/>
    </row>
    <row r="4449" spans="8:16" ht="15.75" hidden="1" customHeight="1">
      <c r="H4449" s="14"/>
      <c r="I4449" s="567"/>
      <c r="J4449" s="18"/>
      <c r="N4449" s="14"/>
      <c r="O4449" s="14"/>
      <c r="P4449" s="14"/>
    </row>
    <row r="4450" spans="8:16" ht="15.75" hidden="1" customHeight="1">
      <c r="H4450" s="14"/>
      <c r="I4450" s="567"/>
      <c r="J4450" s="18"/>
      <c r="N4450" s="14"/>
      <c r="O4450" s="14"/>
      <c r="P4450" s="14"/>
    </row>
    <row r="4451" spans="8:16" ht="15.75" hidden="1" customHeight="1">
      <c r="H4451" s="14"/>
      <c r="I4451" s="567"/>
      <c r="J4451" s="18"/>
      <c r="N4451" s="14"/>
      <c r="O4451" s="14"/>
      <c r="P4451" s="14"/>
    </row>
    <row r="4452" spans="8:16" ht="15.75" hidden="1" customHeight="1">
      <c r="H4452" s="14"/>
      <c r="I4452" s="567"/>
      <c r="J4452" s="18"/>
      <c r="N4452" s="14"/>
      <c r="O4452" s="14"/>
      <c r="P4452" s="14"/>
    </row>
    <row r="4453" spans="8:16" ht="15.75" hidden="1" customHeight="1">
      <c r="H4453" s="14"/>
      <c r="I4453" s="567"/>
      <c r="J4453" s="18"/>
      <c r="N4453" s="14"/>
      <c r="O4453" s="14"/>
      <c r="P4453" s="14"/>
    </row>
    <row r="4454" spans="8:16" ht="15.75" hidden="1" customHeight="1">
      <c r="H4454" s="14"/>
      <c r="I4454" s="567"/>
      <c r="J4454" s="18"/>
      <c r="N4454" s="14"/>
      <c r="O4454" s="14"/>
      <c r="P4454" s="14"/>
    </row>
    <row r="4455" spans="8:16" ht="15.75" hidden="1" customHeight="1">
      <c r="H4455" s="14"/>
      <c r="I4455" s="567"/>
      <c r="J4455" s="18"/>
      <c r="N4455" s="14"/>
      <c r="O4455" s="14"/>
      <c r="P4455" s="14"/>
    </row>
    <row r="4456" spans="8:16" ht="15.75" hidden="1" customHeight="1">
      <c r="H4456" s="14"/>
      <c r="I4456" s="567"/>
      <c r="J4456" s="18"/>
      <c r="N4456" s="14"/>
      <c r="O4456" s="14"/>
      <c r="P4456" s="14"/>
    </row>
    <row r="4457" spans="8:16" ht="15.75" hidden="1" customHeight="1">
      <c r="H4457" s="14"/>
      <c r="I4457" s="567"/>
      <c r="J4457" s="18"/>
      <c r="N4457" s="14"/>
      <c r="O4457" s="14"/>
      <c r="P4457" s="14"/>
    </row>
    <row r="4458" spans="8:16" ht="15.75" hidden="1" customHeight="1">
      <c r="H4458" s="14"/>
      <c r="I4458" s="567"/>
      <c r="J4458" s="18"/>
      <c r="N4458" s="14"/>
      <c r="O4458" s="14"/>
      <c r="P4458" s="14"/>
    </row>
    <row r="4459" spans="8:16" ht="15.75" hidden="1" customHeight="1">
      <c r="H4459" s="14"/>
      <c r="I4459" s="567"/>
      <c r="J4459" s="18"/>
      <c r="N4459" s="14"/>
      <c r="O4459" s="14"/>
      <c r="P4459" s="14"/>
    </row>
    <row r="4460" spans="8:16" ht="15.75" hidden="1" customHeight="1">
      <c r="H4460" s="14"/>
      <c r="I4460" s="567"/>
      <c r="J4460" s="18"/>
      <c r="N4460" s="14"/>
      <c r="O4460" s="14"/>
      <c r="P4460" s="14"/>
    </row>
    <row r="4461" spans="8:16" ht="15.75" hidden="1" customHeight="1">
      <c r="H4461" s="14"/>
      <c r="I4461" s="567"/>
      <c r="J4461" s="18"/>
      <c r="N4461" s="14"/>
      <c r="O4461" s="14"/>
      <c r="P4461" s="14"/>
    </row>
    <row r="4462" spans="8:16" ht="15.75" hidden="1" customHeight="1">
      <c r="H4462" s="14"/>
      <c r="I4462" s="567"/>
      <c r="J4462" s="18"/>
      <c r="N4462" s="14"/>
      <c r="O4462" s="14"/>
      <c r="P4462" s="14"/>
    </row>
    <row r="4463" spans="8:16" ht="15.75" hidden="1" customHeight="1">
      <c r="H4463" s="14"/>
      <c r="I4463" s="567"/>
      <c r="J4463" s="18"/>
      <c r="N4463" s="14"/>
      <c r="O4463" s="14"/>
      <c r="P4463" s="14"/>
    </row>
    <row r="4464" spans="8:16" ht="15.75" hidden="1" customHeight="1">
      <c r="H4464" s="14"/>
      <c r="I4464" s="567"/>
      <c r="J4464" s="18"/>
      <c r="N4464" s="14"/>
      <c r="O4464" s="14"/>
      <c r="P4464" s="14"/>
    </row>
    <row r="4465" spans="8:16" ht="15.75" hidden="1" customHeight="1">
      <c r="H4465" s="14"/>
      <c r="I4465" s="567"/>
      <c r="J4465" s="18"/>
      <c r="N4465" s="14"/>
      <c r="O4465" s="14"/>
      <c r="P4465" s="14"/>
    </row>
    <row r="4466" spans="8:16" ht="15.75" hidden="1" customHeight="1">
      <c r="H4466" s="14"/>
      <c r="I4466" s="567"/>
      <c r="J4466" s="18"/>
      <c r="N4466" s="14"/>
      <c r="O4466" s="14"/>
      <c r="P4466" s="14"/>
    </row>
    <row r="4467" spans="8:16" ht="15.75" hidden="1" customHeight="1">
      <c r="H4467" s="14"/>
      <c r="I4467" s="567"/>
      <c r="J4467" s="18"/>
      <c r="N4467" s="14"/>
      <c r="O4467" s="14"/>
      <c r="P4467" s="14"/>
    </row>
    <row r="4468" spans="8:16" ht="15.75" hidden="1" customHeight="1">
      <c r="H4468" s="14"/>
      <c r="I4468" s="567"/>
      <c r="J4468" s="18"/>
      <c r="N4468" s="14"/>
      <c r="O4468" s="14"/>
      <c r="P4468" s="14"/>
    </row>
    <row r="4469" spans="8:16" ht="15.75" hidden="1" customHeight="1">
      <c r="H4469" s="14"/>
      <c r="I4469" s="567"/>
      <c r="J4469" s="18"/>
      <c r="N4469" s="14"/>
      <c r="O4469" s="14"/>
      <c r="P4469" s="14"/>
    </row>
    <row r="4470" spans="8:16" ht="15.75" hidden="1" customHeight="1">
      <c r="H4470" s="14"/>
      <c r="I4470" s="567"/>
      <c r="J4470" s="18"/>
      <c r="N4470" s="14"/>
      <c r="O4470" s="14"/>
      <c r="P4470" s="14"/>
    </row>
    <row r="4471" spans="8:16" ht="15.75" hidden="1" customHeight="1">
      <c r="H4471" s="14"/>
      <c r="I4471" s="567"/>
      <c r="J4471" s="18"/>
      <c r="N4471" s="14"/>
      <c r="O4471" s="14"/>
      <c r="P4471" s="14"/>
    </row>
    <row r="4472" spans="8:16" ht="15.75" hidden="1" customHeight="1">
      <c r="H4472" s="14"/>
      <c r="I4472" s="567"/>
      <c r="J4472" s="18"/>
      <c r="N4472" s="14"/>
      <c r="O4472" s="14"/>
      <c r="P4472" s="14"/>
    </row>
    <row r="4473" spans="8:16" ht="15.75" hidden="1" customHeight="1">
      <c r="H4473" s="14"/>
      <c r="I4473" s="567"/>
      <c r="J4473" s="18"/>
      <c r="N4473" s="14"/>
      <c r="O4473" s="14"/>
      <c r="P4473" s="14"/>
    </row>
    <row r="4474" spans="8:16" ht="15.75" hidden="1" customHeight="1">
      <c r="H4474" s="14"/>
      <c r="I4474" s="567"/>
      <c r="J4474" s="18"/>
      <c r="N4474" s="14"/>
      <c r="O4474" s="14"/>
      <c r="P4474" s="14"/>
    </row>
    <row r="4475" spans="8:16" ht="15.75" hidden="1" customHeight="1">
      <c r="H4475" s="14"/>
      <c r="I4475" s="567"/>
      <c r="J4475" s="18"/>
      <c r="N4475" s="14"/>
      <c r="O4475" s="14"/>
      <c r="P4475" s="14"/>
    </row>
    <row r="4476" spans="8:16" ht="15.75" hidden="1" customHeight="1">
      <c r="H4476" s="14"/>
      <c r="I4476" s="567"/>
      <c r="J4476" s="18"/>
      <c r="N4476" s="14"/>
      <c r="O4476" s="14"/>
      <c r="P4476" s="14"/>
    </row>
    <row r="4477" spans="8:16" ht="15.75" hidden="1" customHeight="1">
      <c r="H4477" s="14"/>
      <c r="I4477" s="567"/>
      <c r="J4477" s="18"/>
      <c r="N4477" s="14"/>
      <c r="O4477" s="14"/>
      <c r="P4477" s="14"/>
    </row>
    <row r="4478" spans="8:16" ht="15.75" hidden="1" customHeight="1">
      <c r="H4478" s="14"/>
      <c r="I4478" s="567"/>
      <c r="J4478" s="18"/>
      <c r="N4478" s="14"/>
      <c r="O4478" s="14"/>
      <c r="P4478" s="14"/>
    </row>
    <row r="4479" spans="8:16" ht="15.75" hidden="1" customHeight="1">
      <c r="H4479" s="14"/>
      <c r="I4479" s="567"/>
      <c r="J4479" s="18"/>
      <c r="N4479" s="14"/>
      <c r="O4479" s="14"/>
      <c r="P4479" s="14"/>
    </row>
    <row r="4480" spans="8:16" ht="15.75" hidden="1" customHeight="1">
      <c r="H4480" s="14"/>
      <c r="I4480" s="567"/>
      <c r="J4480" s="18"/>
      <c r="N4480" s="14"/>
      <c r="O4480" s="14"/>
      <c r="P4480" s="14"/>
    </row>
    <row r="4481" spans="8:16" ht="15.75" hidden="1" customHeight="1">
      <c r="H4481" s="14"/>
      <c r="I4481" s="567"/>
      <c r="J4481" s="18"/>
      <c r="N4481" s="14"/>
      <c r="O4481" s="14"/>
      <c r="P4481" s="14"/>
    </row>
    <row r="4482" spans="8:16" ht="15.75" hidden="1" customHeight="1">
      <c r="H4482" s="14"/>
      <c r="I4482" s="567"/>
      <c r="J4482" s="18"/>
      <c r="N4482" s="14"/>
      <c r="O4482" s="14"/>
      <c r="P4482" s="14"/>
    </row>
    <row r="4483" spans="8:16" ht="15.75" hidden="1" customHeight="1">
      <c r="H4483" s="14"/>
      <c r="I4483" s="567"/>
      <c r="J4483" s="18"/>
      <c r="N4483" s="14"/>
      <c r="O4483" s="14"/>
      <c r="P4483" s="14"/>
    </row>
    <row r="4484" spans="8:16" ht="15.75" hidden="1" customHeight="1">
      <c r="H4484" s="14"/>
      <c r="I4484" s="567"/>
      <c r="J4484" s="18"/>
      <c r="N4484" s="14"/>
      <c r="O4484" s="14"/>
      <c r="P4484" s="14"/>
    </row>
    <row r="4485" spans="8:16" ht="15.75" hidden="1" customHeight="1">
      <c r="H4485" s="14"/>
      <c r="I4485" s="567"/>
      <c r="J4485" s="18"/>
      <c r="N4485" s="14"/>
      <c r="O4485" s="14"/>
      <c r="P4485" s="14"/>
    </row>
    <row r="4486" spans="8:16" ht="15.75" hidden="1" customHeight="1">
      <c r="H4486" s="14"/>
      <c r="I4486" s="567"/>
      <c r="J4486" s="18"/>
      <c r="N4486" s="14"/>
      <c r="O4486" s="14"/>
      <c r="P4486" s="14"/>
    </row>
    <row r="4487" spans="8:16" ht="15.75" hidden="1" customHeight="1">
      <c r="H4487" s="14"/>
      <c r="I4487" s="567"/>
      <c r="J4487" s="18"/>
      <c r="N4487" s="14"/>
      <c r="O4487" s="14"/>
      <c r="P4487" s="14"/>
    </row>
    <row r="4488" spans="8:16" ht="15.75" hidden="1" customHeight="1">
      <c r="H4488" s="14"/>
      <c r="I4488" s="567"/>
      <c r="J4488" s="18"/>
      <c r="N4488" s="14"/>
      <c r="O4488" s="14"/>
      <c r="P4488" s="14"/>
    </row>
    <row r="4489" spans="8:16" ht="15.75" hidden="1" customHeight="1">
      <c r="H4489" s="14"/>
      <c r="I4489" s="567"/>
      <c r="J4489" s="18"/>
      <c r="N4489" s="14"/>
      <c r="O4489" s="14"/>
      <c r="P4489" s="14"/>
    </row>
    <row r="4490" spans="8:16" ht="15.75" hidden="1" customHeight="1">
      <c r="H4490" s="14"/>
      <c r="I4490" s="567"/>
      <c r="J4490" s="18"/>
      <c r="N4490" s="14"/>
      <c r="O4490" s="14"/>
      <c r="P4490" s="14"/>
    </row>
    <row r="4491" spans="8:16" ht="15.75" hidden="1" customHeight="1">
      <c r="H4491" s="14"/>
      <c r="I4491" s="567"/>
      <c r="J4491" s="18"/>
      <c r="N4491" s="14"/>
      <c r="O4491" s="14"/>
      <c r="P4491" s="14"/>
    </row>
    <row r="4492" spans="8:16" ht="15.75" hidden="1" customHeight="1">
      <c r="H4492" s="14"/>
      <c r="I4492" s="567"/>
      <c r="J4492" s="18"/>
      <c r="N4492" s="14"/>
      <c r="O4492" s="14"/>
      <c r="P4492" s="14"/>
    </row>
    <row r="4493" spans="8:16" ht="15.75" hidden="1" customHeight="1">
      <c r="H4493" s="14"/>
      <c r="I4493" s="567"/>
      <c r="J4493" s="18"/>
      <c r="N4493" s="14"/>
      <c r="O4493" s="14"/>
      <c r="P4493" s="14"/>
    </row>
    <row r="4494" spans="8:16" ht="15.75" hidden="1" customHeight="1">
      <c r="H4494" s="14"/>
      <c r="I4494" s="567"/>
      <c r="J4494" s="18"/>
      <c r="N4494" s="14"/>
      <c r="O4494" s="14"/>
      <c r="P4494" s="14"/>
    </row>
    <row r="4495" spans="8:16" ht="15.75" hidden="1" customHeight="1">
      <c r="H4495" s="14"/>
      <c r="I4495" s="567"/>
      <c r="J4495" s="18"/>
      <c r="N4495" s="14"/>
      <c r="O4495" s="14"/>
      <c r="P4495" s="14"/>
    </row>
    <row r="4496" spans="8:16" ht="15.75" hidden="1" customHeight="1">
      <c r="H4496" s="14"/>
      <c r="I4496" s="567"/>
      <c r="J4496" s="18"/>
      <c r="N4496" s="14"/>
      <c r="O4496" s="14"/>
      <c r="P4496" s="14"/>
    </row>
    <row r="4497" spans="8:16" ht="15.75" hidden="1" customHeight="1">
      <c r="H4497" s="14"/>
      <c r="I4497" s="567"/>
      <c r="J4497" s="18"/>
      <c r="N4497" s="14"/>
      <c r="O4497" s="14"/>
      <c r="P4497" s="14"/>
    </row>
    <row r="4498" spans="8:16" ht="15.75" hidden="1" customHeight="1">
      <c r="H4498" s="14"/>
      <c r="I4498" s="567"/>
      <c r="J4498" s="18"/>
      <c r="N4498" s="14"/>
      <c r="O4498" s="14"/>
      <c r="P4498" s="14"/>
    </row>
    <row r="4499" spans="8:16" ht="15.75" hidden="1" customHeight="1">
      <c r="H4499" s="14"/>
      <c r="I4499" s="567"/>
      <c r="J4499" s="18"/>
      <c r="N4499" s="14"/>
      <c r="O4499" s="14"/>
      <c r="P4499" s="14"/>
    </row>
    <row r="4500" spans="8:16" ht="15.75" hidden="1" customHeight="1">
      <c r="H4500" s="14"/>
      <c r="I4500" s="567"/>
      <c r="J4500" s="18"/>
      <c r="N4500" s="14"/>
      <c r="O4500" s="14"/>
      <c r="P4500" s="14"/>
    </row>
    <row r="4501" spans="8:16" ht="15.75" hidden="1" customHeight="1">
      <c r="H4501" s="14"/>
      <c r="I4501" s="567"/>
      <c r="J4501" s="18"/>
      <c r="N4501" s="14"/>
      <c r="O4501" s="14"/>
      <c r="P4501" s="14"/>
    </row>
    <row r="4502" spans="8:16" ht="15.75" hidden="1" customHeight="1">
      <c r="H4502" s="14"/>
      <c r="I4502" s="567"/>
      <c r="J4502" s="18"/>
      <c r="N4502" s="14"/>
      <c r="O4502" s="14"/>
      <c r="P4502" s="14"/>
    </row>
    <row r="4503" spans="8:16" ht="15.75" hidden="1" customHeight="1">
      <c r="H4503" s="14"/>
      <c r="I4503" s="567"/>
      <c r="J4503" s="18"/>
      <c r="N4503" s="14"/>
      <c r="O4503" s="14"/>
      <c r="P4503" s="14"/>
    </row>
    <row r="4504" spans="8:16" ht="15.75" hidden="1" customHeight="1">
      <c r="H4504" s="14"/>
      <c r="I4504" s="567"/>
      <c r="J4504" s="18"/>
      <c r="N4504" s="14"/>
      <c r="O4504" s="14"/>
      <c r="P4504" s="14"/>
    </row>
    <row r="4505" spans="8:16" ht="15.75" hidden="1" customHeight="1">
      <c r="H4505" s="14"/>
      <c r="I4505" s="567"/>
      <c r="J4505" s="18"/>
      <c r="N4505" s="14"/>
      <c r="O4505" s="14"/>
      <c r="P4505" s="14"/>
    </row>
    <row r="4506" spans="8:16" ht="15.75" hidden="1" customHeight="1">
      <c r="H4506" s="14"/>
      <c r="I4506" s="567"/>
      <c r="J4506" s="18"/>
      <c r="N4506" s="14"/>
      <c r="O4506" s="14"/>
      <c r="P4506" s="14"/>
    </row>
    <row r="4507" spans="8:16" ht="15.75" hidden="1" customHeight="1">
      <c r="H4507" s="14"/>
      <c r="I4507" s="567"/>
      <c r="J4507" s="18"/>
      <c r="N4507" s="14"/>
      <c r="O4507" s="14"/>
      <c r="P4507" s="14"/>
    </row>
    <row r="4508" spans="8:16" ht="15.75" hidden="1" customHeight="1">
      <c r="H4508" s="14"/>
      <c r="I4508" s="567"/>
      <c r="J4508" s="18"/>
      <c r="N4508" s="14"/>
      <c r="O4508" s="14"/>
      <c r="P4508" s="14"/>
    </row>
    <row r="4509" spans="8:16" ht="15.75" hidden="1" customHeight="1">
      <c r="H4509" s="14"/>
      <c r="I4509" s="567"/>
      <c r="J4509" s="18"/>
      <c r="N4509" s="14"/>
      <c r="O4509" s="14"/>
      <c r="P4509" s="14"/>
    </row>
    <row r="4510" spans="8:16" ht="15.75" hidden="1" customHeight="1">
      <c r="H4510" s="14"/>
      <c r="I4510" s="567"/>
      <c r="J4510" s="18"/>
      <c r="N4510" s="14"/>
      <c r="O4510" s="14"/>
      <c r="P4510" s="14"/>
    </row>
    <row r="4511" spans="8:16" ht="15.75" hidden="1" customHeight="1">
      <c r="H4511" s="14"/>
      <c r="I4511" s="567"/>
      <c r="J4511" s="18"/>
      <c r="N4511" s="14"/>
      <c r="O4511" s="14"/>
      <c r="P4511" s="14"/>
    </row>
    <row r="4512" spans="8:16" ht="15.75" hidden="1" customHeight="1">
      <c r="H4512" s="14"/>
      <c r="I4512" s="567"/>
      <c r="J4512" s="18"/>
      <c r="N4512" s="14"/>
      <c r="O4512" s="14"/>
      <c r="P4512" s="14"/>
    </row>
    <row r="4513" spans="8:16" ht="15.75" hidden="1" customHeight="1">
      <c r="H4513" s="14"/>
      <c r="I4513" s="567"/>
      <c r="J4513" s="18"/>
      <c r="N4513" s="14"/>
      <c r="O4513" s="14"/>
      <c r="P4513" s="14"/>
    </row>
    <row r="4514" spans="8:16" ht="15.75" hidden="1" customHeight="1">
      <c r="H4514" s="14"/>
      <c r="I4514" s="567"/>
      <c r="J4514" s="18"/>
      <c r="N4514" s="14"/>
      <c r="O4514" s="14"/>
      <c r="P4514" s="14"/>
    </row>
    <row r="4515" spans="8:16" ht="15.75" hidden="1" customHeight="1">
      <c r="H4515" s="14"/>
      <c r="I4515" s="567"/>
      <c r="J4515" s="18"/>
      <c r="N4515" s="14"/>
      <c r="O4515" s="14"/>
      <c r="P4515" s="14"/>
    </row>
    <row r="4516" spans="8:16" ht="15.75" hidden="1" customHeight="1">
      <c r="H4516" s="14"/>
      <c r="I4516" s="567"/>
      <c r="J4516" s="18"/>
      <c r="N4516" s="14"/>
      <c r="O4516" s="14"/>
      <c r="P4516" s="14"/>
    </row>
    <row r="4517" spans="8:16" ht="15.75" hidden="1" customHeight="1">
      <c r="H4517" s="14"/>
      <c r="I4517" s="567"/>
      <c r="J4517" s="18"/>
      <c r="N4517" s="14"/>
      <c r="O4517" s="14"/>
      <c r="P4517" s="14"/>
    </row>
    <row r="4518" spans="8:16" ht="15.75" hidden="1" customHeight="1">
      <c r="H4518" s="14"/>
      <c r="I4518" s="567"/>
      <c r="J4518" s="18"/>
      <c r="N4518" s="14"/>
      <c r="O4518" s="14"/>
      <c r="P4518" s="14"/>
    </row>
    <row r="4519" spans="8:16" ht="15.75" hidden="1" customHeight="1">
      <c r="H4519" s="14"/>
      <c r="I4519" s="567"/>
      <c r="J4519" s="18"/>
      <c r="N4519" s="14"/>
      <c r="O4519" s="14"/>
      <c r="P4519" s="14"/>
    </row>
    <row r="4520" spans="8:16" ht="15.75" hidden="1" customHeight="1">
      <c r="H4520" s="14"/>
      <c r="I4520" s="567"/>
      <c r="J4520" s="18"/>
      <c r="N4520" s="14"/>
      <c r="O4520" s="14"/>
      <c r="P4520" s="14"/>
    </row>
    <row r="4521" spans="8:16" ht="15.75" hidden="1" customHeight="1">
      <c r="H4521" s="14"/>
      <c r="I4521" s="567"/>
      <c r="J4521" s="18"/>
      <c r="N4521" s="14"/>
      <c r="O4521" s="14"/>
      <c r="P4521" s="14"/>
    </row>
    <row r="4522" spans="8:16" ht="15.75" hidden="1" customHeight="1">
      <c r="H4522" s="14"/>
      <c r="I4522" s="567"/>
      <c r="J4522" s="18"/>
      <c r="N4522" s="14"/>
      <c r="O4522" s="14"/>
      <c r="P4522" s="14"/>
    </row>
    <row r="4523" spans="8:16" ht="15.75" hidden="1" customHeight="1">
      <c r="H4523" s="14"/>
      <c r="I4523" s="567"/>
      <c r="J4523" s="18"/>
      <c r="N4523" s="14"/>
      <c r="O4523" s="14"/>
      <c r="P4523" s="14"/>
    </row>
    <row r="4524" spans="8:16" ht="15.75" hidden="1" customHeight="1">
      <c r="H4524" s="14"/>
      <c r="I4524" s="567"/>
      <c r="J4524" s="18"/>
      <c r="N4524" s="14"/>
      <c r="O4524" s="14"/>
      <c r="P4524" s="14"/>
    </row>
    <row r="4525" spans="8:16" ht="15.75" hidden="1" customHeight="1">
      <c r="H4525" s="14"/>
      <c r="I4525" s="567"/>
      <c r="J4525" s="18"/>
      <c r="N4525" s="14"/>
      <c r="O4525" s="14"/>
      <c r="P4525" s="14"/>
    </row>
    <row r="4526" spans="8:16" ht="15.75" hidden="1" customHeight="1">
      <c r="H4526" s="14"/>
      <c r="I4526" s="567"/>
      <c r="J4526" s="18"/>
      <c r="N4526" s="14"/>
      <c r="O4526" s="14"/>
      <c r="P4526" s="14"/>
    </row>
    <row r="4527" spans="8:16" ht="15.75" hidden="1" customHeight="1">
      <c r="H4527" s="14"/>
      <c r="I4527" s="567"/>
      <c r="J4527" s="18"/>
      <c r="N4527" s="14"/>
      <c r="O4527" s="14"/>
      <c r="P4527" s="14"/>
    </row>
    <row r="4528" spans="8:16" ht="15.75" hidden="1" customHeight="1">
      <c r="H4528" s="14"/>
      <c r="I4528" s="567"/>
      <c r="J4528" s="18"/>
      <c r="N4528" s="14"/>
      <c r="O4528" s="14"/>
      <c r="P4528" s="14"/>
    </row>
    <row r="4529" spans="8:16" ht="15.75" hidden="1" customHeight="1">
      <c r="H4529" s="14"/>
      <c r="I4529" s="567"/>
      <c r="J4529" s="18"/>
      <c r="N4529" s="14"/>
      <c r="O4529" s="14"/>
      <c r="P4529" s="14"/>
    </row>
    <row r="4530" spans="8:16" ht="15.75" hidden="1" customHeight="1">
      <c r="H4530" s="14"/>
      <c r="I4530" s="567"/>
      <c r="J4530" s="18"/>
      <c r="N4530" s="14"/>
      <c r="O4530" s="14"/>
      <c r="P4530" s="14"/>
    </row>
    <row r="4531" spans="8:16" ht="15.75" hidden="1" customHeight="1">
      <c r="H4531" s="14"/>
      <c r="I4531" s="567"/>
      <c r="J4531" s="18"/>
      <c r="N4531" s="14"/>
      <c r="O4531" s="14"/>
      <c r="P4531" s="14"/>
    </row>
    <row r="4532" spans="8:16" ht="15.75" hidden="1" customHeight="1">
      <c r="H4532" s="14"/>
      <c r="I4532" s="567"/>
      <c r="J4532" s="18"/>
      <c r="N4532" s="14"/>
      <c r="O4532" s="14"/>
      <c r="P4532" s="14"/>
    </row>
    <row r="4533" spans="8:16" ht="15.75" hidden="1" customHeight="1">
      <c r="H4533" s="14"/>
      <c r="I4533" s="567"/>
      <c r="J4533" s="18"/>
      <c r="N4533" s="14"/>
      <c r="O4533" s="14"/>
      <c r="P4533" s="14"/>
    </row>
    <row r="4534" spans="8:16" ht="15.75" hidden="1" customHeight="1">
      <c r="H4534" s="14"/>
      <c r="I4534" s="567"/>
      <c r="J4534" s="18"/>
      <c r="N4534" s="14"/>
      <c r="O4534" s="14"/>
      <c r="P4534" s="14"/>
    </row>
    <row r="4535" spans="8:16" ht="15.75" hidden="1" customHeight="1">
      <c r="H4535" s="14"/>
      <c r="I4535" s="567"/>
      <c r="J4535" s="18"/>
      <c r="N4535" s="14"/>
      <c r="O4535" s="14"/>
      <c r="P4535" s="14"/>
    </row>
    <row r="4536" spans="8:16" ht="15.75" hidden="1" customHeight="1">
      <c r="H4536" s="14"/>
      <c r="I4536" s="567"/>
      <c r="J4536" s="18"/>
      <c r="N4536" s="14"/>
      <c r="O4536" s="14"/>
      <c r="P4536" s="14"/>
    </row>
    <row r="4537" spans="8:16" ht="15.75" hidden="1" customHeight="1">
      <c r="H4537" s="14"/>
      <c r="I4537" s="567"/>
      <c r="J4537" s="18"/>
      <c r="N4537" s="14"/>
      <c r="O4537" s="14"/>
      <c r="P4537" s="14"/>
    </row>
    <row r="4538" spans="8:16" ht="15.75" hidden="1" customHeight="1">
      <c r="H4538" s="14"/>
      <c r="I4538" s="567"/>
      <c r="J4538" s="18"/>
      <c r="N4538" s="14"/>
      <c r="O4538" s="14"/>
      <c r="P4538" s="14"/>
    </row>
    <row r="4539" spans="8:16" ht="15.75" hidden="1" customHeight="1">
      <c r="H4539" s="14"/>
      <c r="I4539" s="567"/>
      <c r="J4539" s="18"/>
      <c r="N4539" s="14"/>
      <c r="O4539" s="14"/>
      <c r="P4539" s="14"/>
    </row>
    <row r="4540" spans="8:16" ht="15.75" hidden="1" customHeight="1">
      <c r="H4540" s="14"/>
      <c r="I4540" s="567"/>
      <c r="J4540" s="18"/>
      <c r="N4540" s="14"/>
      <c r="O4540" s="14"/>
      <c r="P4540" s="14"/>
    </row>
    <row r="4541" spans="8:16" ht="15.75" hidden="1" customHeight="1">
      <c r="H4541" s="14"/>
      <c r="I4541" s="567"/>
      <c r="J4541" s="18"/>
      <c r="N4541" s="14"/>
      <c r="O4541" s="14"/>
      <c r="P4541" s="14"/>
    </row>
    <row r="4542" spans="8:16" ht="15.75" hidden="1" customHeight="1">
      <c r="H4542" s="14"/>
      <c r="I4542" s="567"/>
      <c r="J4542" s="18"/>
      <c r="N4542" s="14"/>
      <c r="O4542" s="14"/>
      <c r="P4542" s="14"/>
    </row>
    <row r="4543" spans="8:16" ht="15.75" hidden="1" customHeight="1">
      <c r="H4543" s="14"/>
      <c r="I4543" s="567"/>
      <c r="J4543" s="18"/>
      <c r="N4543" s="14"/>
      <c r="O4543" s="14"/>
      <c r="P4543" s="14"/>
    </row>
    <row r="4544" spans="8:16" ht="15.75" hidden="1" customHeight="1">
      <c r="H4544" s="14"/>
      <c r="I4544" s="567"/>
      <c r="J4544" s="18"/>
      <c r="N4544" s="14"/>
      <c r="O4544" s="14"/>
      <c r="P4544" s="14"/>
    </row>
    <row r="4545" spans="8:16" ht="15.75" hidden="1" customHeight="1">
      <c r="H4545" s="14"/>
      <c r="I4545" s="567"/>
      <c r="J4545" s="18"/>
      <c r="N4545" s="14"/>
      <c r="O4545" s="14"/>
      <c r="P4545" s="14"/>
    </row>
    <row r="4546" spans="8:16" ht="15.75" hidden="1" customHeight="1">
      <c r="H4546" s="14"/>
      <c r="I4546" s="567"/>
      <c r="J4546" s="18"/>
      <c r="N4546" s="14"/>
      <c r="O4546" s="14"/>
      <c r="P4546" s="14"/>
    </row>
    <row r="4547" spans="8:16" ht="15.75" hidden="1" customHeight="1">
      <c r="H4547" s="14"/>
      <c r="I4547" s="567"/>
      <c r="J4547" s="18"/>
      <c r="N4547" s="14"/>
      <c r="O4547" s="14"/>
      <c r="P4547" s="14"/>
    </row>
    <row r="4548" spans="8:16" ht="15.75" hidden="1" customHeight="1">
      <c r="H4548" s="14"/>
      <c r="I4548" s="567"/>
      <c r="J4548" s="18"/>
      <c r="N4548" s="14"/>
      <c r="O4548" s="14"/>
      <c r="P4548" s="14"/>
    </row>
    <row r="4549" spans="8:16" ht="15.75" hidden="1" customHeight="1">
      <c r="H4549" s="14"/>
      <c r="I4549" s="567"/>
      <c r="J4549" s="18"/>
      <c r="N4549" s="14"/>
      <c r="O4549" s="14"/>
      <c r="P4549" s="14"/>
    </row>
    <row r="4550" spans="8:16" ht="15.75" hidden="1" customHeight="1">
      <c r="H4550" s="14"/>
      <c r="I4550" s="567"/>
      <c r="J4550" s="18"/>
      <c r="N4550" s="14"/>
      <c r="O4550" s="14"/>
      <c r="P4550" s="14"/>
    </row>
    <row r="4551" spans="8:16" ht="15.75" hidden="1" customHeight="1">
      <c r="H4551" s="14"/>
      <c r="I4551" s="567"/>
      <c r="J4551" s="18"/>
      <c r="N4551" s="14"/>
      <c r="O4551" s="14"/>
      <c r="P4551" s="14"/>
    </row>
    <row r="4552" spans="8:16" ht="15.75" hidden="1" customHeight="1">
      <c r="H4552" s="14"/>
      <c r="I4552" s="567"/>
      <c r="J4552" s="18"/>
      <c r="N4552" s="14"/>
      <c r="O4552" s="14"/>
      <c r="P4552" s="14"/>
    </row>
    <row r="4553" spans="8:16" ht="15.75" hidden="1" customHeight="1">
      <c r="H4553" s="14"/>
      <c r="I4553" s="567"/>
      <c r="J4553" s="18"/>
      <c r="N4553" s="14"/>
      <c r="O4553" s="14"/>
      <c r="P4553" s="14"/>
    </row>
    <row r="4554" spans="8:16" ht="15.75" hidden="1" customHeight="1">
      <c r="H4554" s="14"/>
      <c r="I4554" s="567"/>
      <c r="J4554" s="18"/>
      <c r="N4554" s="14"/>
      <c r="O4554" s="14"/>
      <c r="P4554" s="14"/>
    </row>
    <row r="4555" spans="8:16" ht="15.75" hidden="1" customHeight="1">
      <c r="H4555" s="14"/>
      <c r="I4555" s="567"/>
      <c r="J4555" s="18"/>
      <c r="N4555" s="14"/>
      <c r="O4555" s="14"/>
      <c r="P4555" s="14"/>
    </row>
    <row r="4556" spans="8:16" ht="15.75" hidden="1" customHeight="1">
      <c r="H4556" s="14"/>
      <c r="I4556" s="567"/>
      <c r="J4556" s="18"/>
      <c r="N4556" s="14"/>
      <c r="O4556" s="14"/>
      <c r="P4556" s="14"/>
    </row>
    <row r="4557" spans="8:16" ht="15.75" hidden="1" customHeight="1">
      <c r="H4557" s="14"/>
      <c r="I4557" s="567"/>
      <c r="J4557" s="18"/>
      <c r="N4557" s="14"/>
      <c r="O4557" s="14"/>
      <c r="P4557" s="14"/>
    </row>
    <row r="4558" spans="8:16" ht="15.75" hidden="1" customHeight="1">
      <c r="H4558" s="14"/>
      <c r="I4558" s="567"/>
      <c r="J4558" s="18"/>
      <c r="N4558" s="14"/>
      <c r="O4558" s="14"/>
      <c r="P4558" s="14"/>
    </row>
    <row r="4559" spans="8:16" ht="15.75" hidden="1" customHeight="1">
      <c r="H4559" s="14"/>
      <c r="I4559" s="567"/>
      <c r="J4559" s="18"/>
      <c r="N4559" s="14"/>
      <c r="O4559" s="14"/>
      <c r="P4559" s="14"/>
    </row>
    <row r="4560" spans="8:16" ht="15.75" hidden="1" customHeight="1">
      <c r="H4560" s="14"/>
      <c r="I4560" s="567"/>
      <c r="J4560" s="18"/>
      <c r="N4560" s="14"/>
      <c r="O4560" s="14"/>
      <c r="P4560" s="14"/>
    </row>
    <row r="4561" spans="8:16" ht="15.75" hidden="1" customHeight="1">
      <c r="H4561" s="14"/>
      <c r="I4561" s="567"/>
      <c r="J4561" s="18"/>
      <c r="N4561" s="14"/>
      <c r="O4561" s="14"/>
      <c r="P4561" s="14"/>
    </row>
    <row r="4562" spans="8:16" ht="15.75" hidden="1" customHeight="1">
      <c r="H4562" s="14"/>
      <c r="I4562" s="567"/>
      <c r="J4562" s="18"/>
      <c r="N4562" s="14"/>
      <c r="O4562" s="14"/>
      <c r="P4562" s="14"/>
    </row>
    <row r="4563" spans="8:16" ht="15.75" hidden="1" customHeight="1">
      <c r="H4563" s="14"/>
      <c r="I4563" s="567"/>
      <c r="J4563" s="18"/>
      <c r="N4563" s="14"/>
      <c r="O4563" s="14"/>
      <c r="P4563" s="14"/>
    </row>
    <row r="4564" spans="8:16" ht="15.75" hidden="1" customHeight="1">
      <c r="H4564" s="14"/>
      <c r="I4564" s="567"/>
      <c r="J4564" s="18"/>
      <c r="N4564" s="14"/>
      <c r="O4564" s="14"/>
      <c r="P4564" s="14"/>
    </row>
    <row r="4565" spans="8:16" ht="15.75" hidden="1" customHeight="1">
      <c r="H4565" s="14"/>
      <c r="I4565" s="567"/>
      <c r="J4565" s="18"/>
      <c r="N4565" s="14"/>
      <c r="O4565" s="14"/>
      <c r="P4565" s="14"/>
    </row>
    <row r="4566" spans="8:16" ht="15.75" hidden="1" customHeight="1">
      <c r="H4566" s="14"/>
      <c r="I4566" s="567"/>
      <c r="J4566" s="18"/>
      <c r="N4566" s="14"/>
      <c r="O4566" s="14"/>
      <c r="P4566" s="14"/>
    </row>
    <row r="4567" spans="8:16" ht="15.75" hidden="1" customHeight="1">
      <c r="H4567" s="14"/>
      <c r="I4567" s="567"/>
      <c r="J4567" s="18"/>
      <c r="N4567" s="14"/>
      <c r="O4567" s="14"/>
      <c r="P4567" s="14"/>
    </row>
    <row r="4568" spans="8:16" ht="15.75" hidden="1" customHeight="1">
      <c r="H4568" s="14"/>
      <c r="I4568" s="567"/>
      <c r="J4568" s="18"/>
      <c r="N4568" s="14"/>
      <c r="O4568" s="14"/>
      <c r="P4568" s="14"/>
    </row>
    <row r="4569" spans="8:16" ht="15.75" hidden="1" customHeight="1">
      <c r="H4569" s="14"/>
      <c r="I4569" s="567"/>
      <c r="J4569" s="18"/>
      <c r="N4569" s="14"/>
      <c r="O4569" s="14"/>
      <c r="P4569" s="14"/>
    </row>
    <row r="4570" spans="8:16" ht="15.75" hidden="1" customHeight="1">
      <c r="H4570" s="14"/>
      <c r="I4570" s="567"/>
      <c r="J4570" s="18"/>
      <c r="N4570" s="14"/>
      <c r="O4570" s="14"/>
      <c r="P4570" s="14"/>
    </row>
    <row r="4571" spans="8:16" ht="15.75" hidden="1" customHeight="1">
      <c r="H4571" s="14"/>
      <c r="I4571" s="567"/>
      <c r="J4571" s="18"/>
      <c r="N4571" s="14"/>
      <c r="O4571" s="14"/>
      <c r="P4571" s="14"/>
    </row>
    <row r="4572" spans="8:16" ht="15.75" hidden="1" customHeight="1">
      <c r="H4572" s="14"/>
      <c r="I4572" s="567"/>
      <c r="J4572" s="18"/>
      <c r="N4572" s="14"/>
      <c r="O4572" s="14"/>
      <c r="P4572" s="14"/>
    </row>
    <row r="4573" spans="8:16" ht="15.75" hidden="1" customHeight="1">
      <c r="H4573" s="14"/>
      <c r="I4573" s="567"/>
      <c r="J4573" s="18"/>
      <c r="N4573" s="14"/>
      <c r="O4573" s="14"/>
      <c r="P4573" s="14"/>
    </row>
    <row r="4574" spans="8:16" ht="15.75" hidden="1" customHeight="1">
      <c r="H4574" s="14"/>
      <c r="I4574" s="567"/>
      <c r="J4574" s="18"/>
      <c r="N4574" s="14"/>
      <c r="O4574" s="14"/>
      <c r="P4574" s="14"/>
    </row>
    <row r="4575" spans="8:16" ht="15.75" hidden="1" customHeight="1">
      <c r="H4575" s="14"/>
      <c r="I4575" s="567"/>
      <c r="J4575" s="18"/>
      <c r="N4575" s="14"/>
      <c r="O4575" s="14"/>
      <c r="P4575" s="14"/>
    </row>
    <row r="4576" spans="8:16" ht="15.75" hidden="1" customHeight="1">
      <c r="H4576" s="14"/>
      <c r="I4576" s="567"/>
      <c r="J4576" s="18"/>
      <c r="N4576" s="14"/>
      <c r="O4576" s="14"/>
      <c r="P4576" s="14"/>
    </row>
    <row r="4577" spans="8:16" ht="15.75" hidden="1" customHeight="1">
      <c r="H4577" s="14"/>
      <c r="I4577" s="567"/>
      <c r="J4577" s="18"/>
      <c r="N4577" s="14"/>
      <c r="O4577" s="14"/>
      <c r="P4577" s="14"/>
    </row>
    <row r="4578" spans="8:16" ht="15.75" hidden="1" customHeight="1">
      <c r="H4578" s="14"/>
      <c r="I4578" s="567"/>
      <c r="J4578" s="18"/>
      <c r="N4578" s="14"/>
      <c r="O4578" s="14"/>
      <c r="P4578" s="14"/>
    </row>
    <row r="4579" spans="8:16" ht="15.75" hidden="1" customHeight="1">
      <c r="H4579" s="14"/>
      <c r="I4579" s="567"/>
      <c r="J4579" s="18"/>
      <c r="N4579" s="14"/>
      <c r="O4579" s="14"/>
      <c r="P4579" s="14"/>
    </row>
    <row r="4580" spans="8:16" ht="15.75" hidden="1" customHeight="1">
      <c r="H4580" s="14"/>
      <c r="I4580" s="567"/>
      <c r="J4580" s="18"/>
      <c r="N4580" s="14"/>
      <c r="O4580" s="14"/>
      <c r="P4580" s="14"/>
    </row>
    <row r="4581" spans="8:16" ht="15.75" hidden="1" customHeight="1">
      <c r="H4581" s="14"/>
      <c r="I4581" s="567"/>
      <c r="J4581" s="18"/>
      <c r="N4581" s="14"/>
      <c r="O4581" s="14"/>
      <c r="P4581" s="14"/>
    </row>
    <row r="4582" spans="8:16" ht="15.75" hidden="1" customHeight="1">
      <c r="H4582" s="14"/>
      <c r="I4582" s="567"/>
      <c r="J4582" s="18"/>
      <c r="N4582" s="14"/>
      <c r="O4582" s="14"/>
      <c r="P4582" s="14"/>
    </row>
    <row r="4583" spans="8:16" ht="15.75" hidden="1" customHeight="1">
      <c r="H4583" s="14"/>
      <c r="I4583" s="567"/>
      <c r="J4583" s="18"/>
      <c r="N4583" s="14"/>
      <c r="O4583" s="14"/>
      <c r="P4583" s="14"/>
    </row>
    <row r="4584" spans="8:16" ht="15.75" hidden="1" customHeight="1">
      <c r="H4584" s="14"/>
      <c r="I4584" s="567"/>
      <c r="J4584" s="18"/>
      <c r="N4584" s="14"/>
      <c r="O4584" s="14"/>
      <c r="P4584" s="14"/>
    </row>
    <row r="4585" spans="8:16" ht="15.75" hidden="1" customHeight="1">
      <c r="H4585" s="14"/>
      <c r="I4585" s="567"/>
      <c r="J4585" s="18"/>
      <c r="N4585" s="14"/>
      <c r="O4585" s="14"/>
      <c r="P4585" s="14"/>
    </row>
    <row r="4586" spans="8:16" ht="15.75" hidden="1" customHeight="1">
      <c r="H4586" s="14"/>
      <c r="I4586" s="567"/>
      <c r="J4586" s="18"/>
      <c r="N4586" s="14"/>
      <c r="O4586" s="14"/>
      <c r="P4586" s="14"/>
    </row>
    <row r="4587" spans="8:16" ht="15.75" hidden="1" customHeight="1">
      <c r="H4587" s="14"/>
      <c r="I4587" s="567"/>
      <c r="J4587" s="18"/>
      <c r="N4587" s="14"/>
      <c r="O4587" s="14"/>
      <c r="P4587" s="14"/>
    </row>
    <row r="4588" spans="8:16" ht="15.75" hidden="1" customHeight="1">
      <c r="H4588" s="14"/>
      <c r="I4588" s="567"/>
      <c r="J4588" s="18"/>
      <c r="N4588" s="14"/>
      <c r="O4588" s="14"/>
      <c r="P4588" s="14"/>
    </row>
    <row r="4589" spans="8:16" ht="15.75" hidden="1" customHeight="1">
      <c r="H4589" s="14"/>
      <c r="I4589" s="567"/>
      <c r="J4589" s="18"/>
      <c r="N4589" s="14"/>
      <c r="O4589" s="14"/>
      <c r="P4589" s="14"/>
    </row>
    <row r="4590" spans="8:16" ht="15.75" hidden="1" customHeight="1">
      <c r="H4590" s="14"/>
      <c r="I4590" s="567"/>
      <c r="J4590" s="18"/>
      <c r="N4590" s="14"/>
      <c r="O4590" s="14"/>
      <c r="P4590" s="14"/>
    </row>
    <row r="4591" spans="8:16" ht="15.75" hidden="1" customHeight="1">
      <c r="H4591" s="14"/>
      <c r="I4591" s="567"/>
      <c r="J4591" s="18"/>
      <c r="N4591" s="14"/>
      <c r="O4591" s="14"/>
      <c r="P4591" s="14"/>
    </row>
    <row r="4592" spans="8:16" ht="15.75" hidden="1" customHeight="1">
      <c r="H4592" s="14"/>
      <c r="I4592" s="567"/>
      <c r="J4592" s="18"/>
      <c r="N4592" s="14"/>
      <c r="O4592" s="14"/>
      <c r="P4592" s="14"/>
    </row>
    <row r="4593" spans="8:16" ht="15.75" hidden="1" customHeight="1">
      <c r="H4593" s="14"/>
      <c r="I4593" s="567"/>
      <c r="J4593" s="18"/>
      <c r="N4593" s="14"/>
      <c r="O4593" s="14"/>
      <c r="P4593" s="14"/>
    </row>
    <row r="4594" spans="8:16" ht="15.75" hidden="1" customHeight="1">
      <c r="H4594" s="14"/>
      <c r="I4594" s="567"/>
      <c r="J4594" s="18"/>
      <c r="N4594" s="14"/>
      <c r="O4594" s="14"/>
      <c r="P4594" s="14"/>
    </row>
    <row r="4595" spans="8:16" ht="15.75" hidden="1" customHeight="1">
      <c r="H4595" s="14"/>
      <c r="I4595" s="567"/>
      <c r="J4595" s="18"/>
      <c r="N4595" s="14"/>
      <c r="O4595" s="14"/>
      <c r="P4595" s="14"/>
    </row>
    <row r="4596" spans="8:16" ht="15.75" hidden="1" customHeight="1">
      <c r="H4596" s="14"/>
      <c r="I4596" s="567"/>
      <c r="J4596" s="18"/>
      <c r="N4596" s="14"/>
      <c r="O4596" s="14"/>
      <c r="P4596" s="14"/>
    </row>
    <row r="4597" spans="8:16" ht="15.75" hidden="1" customHeight="1">
      <c r="H4597" s="14"/>
      <c r="I4597" s="567"/>
      <c r="J4597" s="18"/>
      <c r="N4597" s="14"/>
      <c r="O4597" s="14"/>
      <c r="P4597" s="14"/>
    </row>
    <row r="4598" spans="8:16" ht="15.75" hidden="1" customHeight="1">
      <c r="H4598" s="14"/>
      <c r="I4598" s="567"/>
      <c r="J4598" s="18"/>
      <c r="N4598" s="14"/>
      <c r="O4598" s="14"/>
      <c r="P4598" s="14"/>
    </row>
    <row r="4599" spans="8:16" ht="15.75" hidden="1" customHeight="1">
      <c r="H4599" s="14"/>
      <c r="I4599" s="567"/>
      <c r="J4599" s="18"/>
      <c r="N4599" s="14"/>
      <c r="O4599" s="14"/>
      <c r="P4599" s="14"/>
    </row>
    <row r="4600" spans="8:16" ht="15.75" hidden="1" customHeight="1">
      <c r="H4600" s="14"/>
      <c r="I4600" s="567"/>
      <c r="J4600" s="18"/>
      <c r="N4600" s="14"/>
      <c r="O4600" s="14"/>
      <c r="P4600" s="14"/>
    </row>
    <row r="4601" spans="8:16" ht="15.75" hidden="1" customHeight="1">
      <c r="H4601" s="14"/>
      <c r="I4601" s="567"/>
      <c r="J4601" s="18"/>
      <c r="N4601" s="14"/>
      <c r="O4601" s="14"/>
      <c r="P4601" s="14"/>
    </row>
    <row r="4602" spans="8:16" ht="15.75" hidden="1" customHeight="1">
      <c r="H4602" s="14"/>
      <c r="I4602" s="567"/>
      <c r="J4602" s="18"/>
      <c r="N4602" s="14"/>
      <c r="O4602" s="14"/>
      <c r="P4602" s="14"/>
    </row>
    <row r="4603" spans="8:16" ht="15.75" hidden="1" customHeight="1">
      <c r="H4603" s="14"/>
      <c r="I4603" s="567"/>
      <c r="J4603" s="18"/>
      <c r="N4603" s="14"/>
      <c r="O4603" s="14"/>
      <c r="P4603" s="14"/>
    </row>
    <row r="4604" spans="8:16" ht="15.75" hidden="1" customHeight="1">
      <c r="H4604" s="14"/>
      <c r="I4604" s="567"/>
      <c r="J4604" s="18"/>
      <c r="N4604" s="14"/>
      <c r="O4604" s="14"/>
      <c r="P4604" s="14"/>
    </row>
    <row r="4605" spans="8:16" ht="15.75" hidden="1" customHeight="1">
      <c r="H4605" s="14"/>
      <c r="I4605" s="567"/>
      <c r="J4605" s="18"/>
      <c r="N4605" s="14"/>
      <c r="O4605" s="14"/>
      <c r="P4605" s="14"/>
    </row>
    <row r="4606" spans="8:16" ht="15.75" hidden="1" customHeight="1">
      <c r="H4606" s="14"/>
      <c r="I4606" s="567"/>
      <c r="J4606" s="18"/>
      <c r="N4606" s="14"/>
      <c r="O4606" s="14"/>
      <c r="P4606" s="14"/>
    </row>
    <row r="4607" spans="8:16" ht="15.75" hidden="1" customHeight="1">
      <c r="H4607" s="14"/>
      <c r="I4607" s="567"/>
      <c r="J4607" s="18"/>
      <c r="N4607" s="14"/>
      <c r="O4607" s="14"/>
      <c r="P4607" s="14"/>
    </row>
    <row r="4608" spans="8:16" ht="15.75" hidden="1" customHeight="1">
      <c r="H4608" s="14"/>
      <c r="I4608" s="567"/>
      <c r="J4608" s="18"/>
      <c r="N4608" s="14"/>
      <c r="O4608" s="14"/>
      <c r="P4608" s="14"/>
    </row>
    <row r="4609" spans="8:16" ht="15.75" hidden="1" customHeight="1">
      <c r="H4609" s="14"/>
      <c r="I4609" s="567"/>
      <c r="J4609" s="18"/>
      <c r="N4609" s="14"/>
      <c r="O4609" s="14"/>
      <c r="P4609" s="14"/>
    </row>
    <row r="4610" spans="8:16" ht="15.75" hidden="1" customHeight="1">
      <c r="H4610" s="14"/>
      <c r="I4610" s="567"/>
      <c r="J4610" s="18"/>
      <c r="N4610" s="14"/>
      <c r="O4610" s="14"/>
      <c r="P4610" s="14"/>
    </row>
    <row r="4611" spans="8:16" ht="15.75" hidden="1" customHeight="1">
      <c r="H4611" s="14"/>
      <c r="I4611" s="567"/>
      <c r="J4611" s="18"/>
      <c r="N4611" s="14"/>
      <c r="O4611" s="14"/>
      <c r="P4611" s="14"/>
    </row>
    <row r="4612" spans="8:16" ht="15.75" hidden="1" customHeight="1">
      <c r="H4612" s="14"/>
      <c r="I4612" s="567"/>
      <c r="J4612" s="18"/>
      <c r="N4612" s="14"/>
      <c r="O4612" s="14"/>
      <c r="P4612" s="14"/>
    </row>
    <row r="4613" spans="8:16" ht="15.75" hidden="1" customHeight="1">
      <c r="H4613" s="14"/>
      <c r="I4613" s="567"/>
      <c r="J4613" s="18"/>
      <c r="N4613" s="14"/>
      <c r="O4613" s="14"/>
      <c r="P4613" s="14"/>
    </row>
    <row r="4614" spans="8:16" ht="15.75" hidden="1" customHeight="1">
      <c r="H4614" s="14"/>
      <c r="I4614" s="567"/>
      <c r="J4614" s="18"/>
      <c r="N4614" s="14"/>
      <c r="O4614" s="14"/>
      <c r="P4614" s="14"/>
    </row>
    <row r="4615" spans="8:16" ht="15.75" hidden="1" customHeight="1">
      <c r="H4615" s="14"/>
      <c r="I4615" s="567"/>
      <c r="J4615" s="18"/>
      <c r="N4615" s="14"/>
      <c r="O4615" s="14"/>
      <c r="P4615" s="14"/>
    </row>
    <row r="4616" spans="8:16" ht="15.75" hidden="1" customHeight="1">
      <c r="H4616" s="14"/>
      <c r="I4616" s="567"/>
      <c r="J4616" s="18"/>
      <c r="N4616" s="14"/>
      <c r="O4616" s="14"/>
      <c r="P4616" s="14"/>
    </row>
    <row r="4617" spans="8:16" ht="15.75" hidden="1" customHeight="1">
      <c r="H4617" s="14"/>
      <c r="I4617" s="567"/>
      <c r="J4617" s="18"/>
      <c r="N4617" s="14"/>
      <c r="O4617" s="14"/>
      <c r="P4617" s="14"/>
    </row>
    <row r="4618" spans="8:16" ht="15.75" hidden="1" customHeight="1">
      <c r="H4618" s="14"/>
      <c r="I4618" s="567"/>
      <c r="J4618" s="18"/>
      <c r="N4618" s="14"/>
      <c r="O4618" s="14"/>
      <c r="P4618" s="14"/>
    </row>
    <row r="4619" spans="8:16" ht="15.75" hidden="1" customHeight="1">
      <c r="H4619" s="14"/>
      <c r="I4619" s="567"/>
      <c r="J4619" s="18"/>
      <c r="N4619" s="14"/>
      <c r="O4619" s="14"/>
      <c r="P4619" s="14"/>
    </row>
    <row r="4620" spans="8:16" ht="15.75" hidden="1" customHeight="1">
      <c r="H4620" s="14"/>
      <c r="I4620" s="567"/>
      <c r="J4620" s="18"/>
      <c r="N4620" s="14"/>
      <c r="O4620" s="14"/>
      <c r="P4620" s="14"/>
    </row>
    <row r="4621" spans="8:16" ht="15.75" hidden="1" customHeight="1">
      <c r="H4621" s="14"/>
      <c r="I4621" s="567"/>
      <c r="J4621" s="18"/>
      <c r="N4621" s="14"/>
      <c r="O4621" s="14"/>
      <c r="P4621" s="14"/>
    </row>
    <row r="4622" spans="8:16" ht="15.75" hidden="1" customHeight="1">
      <c r="H4622" s="14"/>
      <c r="I4622" s="567"/>
      <c r="J4622" s="18"/>
      <c r="N4622" s="14"/>
      <c r="O4622" s="14"/>
      <c r="P4622" s="14"/>
    </row>
    <row r="4623" spans="8:16" ht="15.75" hidden="1" customHeight="1">
      <c r="H4623" s="14"/>
      <c r="I4623" s="567"/>
      <c r="J4623" s="18"/>
      <c r="N4623" s="14"/>
      <c r="O4623" s="14"/>
      <c r="P4623" s="14"/>
    </row>
    <row r="4624" spans="8:16" ht="15.75" hidden="1" customHeight="1">
      <c r="H4624" s="14"/>
      <c r="I4624" s="567"/>
      <c r="J4624" s="18"/>
      <c r="N4624" s="14"/>
      <c r="O4624" s="14"/>
      <c r="P4624" s="14"/>
    </row>
    <row r="4625" spans="8:16" ht="15.75" hidden="1" customHeight="1">
      <c r="H4625" s="14"/>
      <c r="I4625" s="567"/>
      <c r="J4625" s="18"/>
      <c r="N4625" s="14"/>
      <c r="O4625" s="14"/>
      <c r="P4625" s="14"/>
    </row>
    <row r="4626" spans="8:16" ht="15.75" hidden="1" customHeight="1">
      <c r="H4626" s="14"/>
      <c r="I4626" s="567"/>
      <c r="J4626" s="18"/>
      <c r="N4626" s="14"/>
      <c r="O4626" s="14"/>
      <c r="P4626" s="14"/>
    </row>
    <row r="4627" spans="8:16" ht="15.75" hidden="1" customHeight="1">
      <c r="H4627" s="14"/>
      <c r="I4627" s="567"/>
      <c r="J4627" s="18"/>
      <c r="N4627" s="14"/>
      <c r="O4627" s="14"/>
      <c r="P4627" s="14"/>
    </row>
    <row r="4628" spans="8:16" ht="15.75" hidden="1" customHeight="1">
      <c r="H4628" s="14"/>
      <c r="I4628" s="567"/>
      <c r="J4628" s="18"/>
      <c r="N4628" s="14"/>
      <c r="O4628" s="14"/>
      <c r="P4628" s="14"/>
    </row>
    <row r="4629" spans="8:16" ht="15.75" hidden="1" customHeight="1">
      <c r="H4629" s="14"/>
      <c r="I4629" s="567"/>
      <c r="J4629" s="18"/>
      <c r="N4629" s="14"/>
      <c r="O4629" s="14"/>
      <c r="P4629" s="14"/>
    </row>
    <row r="4630" spans="8:16" ht="15.75" hidden="1" customHeight="1">
      <c r="H4630" s="14"/>
      <c r="I4630" s="567"/>
      <c r="J4630" s="18"/>
      <c r="N4630" s="14"/>
      <c r="O4630" s="14"/>
      <c r="P4630" s="14"/>
    </row>
    <row r="4631" spans="8:16" ht="15.75" hidden="1" customHeight="1">
      <c r="H4631" s="14"/>
      <c r="I4631" s="567"/>
      <c r="J4631" s="18"/>
      <c r="N4631" s="14"/>
      <c r="O4631" s="14"/>
      <c r="P4631" s="14"/>
    </row>
    <row r="4632" spans="8:16" ht="15.75" hidden="1" customHeight="1">
      <c r="H4632" s="14"/>
      <c r="I4632" s="567"/>
      <c r="J4632" s="18"/>
      <c r="N4632" s="14"/>
      <c r="O4632" s="14"/>
      <c r="P4632" s="14"/>
    </row>
    <row r="4633" spans="8:16" ht="15.75" hidden="1" customHeight="1">
      <c r="H4633" s="14"/>
      <c r="I4633" s="567"/>
      <c r="J4633" s="18"/>
      <c r="N4633" s="14"/>
      <c r="O4633" s="14"/>
      <c r="P4633" s="14"/>
    </row>
    <row r="4634" spans="8:16" ht="15.75" hidden="1" customHeight="1">
      <c r="H4634" s="14"/>
      <c r="I4634" s="567"/>
      <c r="J4634" s="18"/>
      <c r="N4634" s="14"/>
      <c r="O4634" s="14"/>
      <c r="P4634" s="14"/>
    </row>
    <row r="4635" spans="8:16" ht="15.75" hidden="1" customHeight="1">
      <c r="H4635" s="14"/>
      <c r="I4635" s="567"/>
      <c r="J4635" s="18"/>
      <c r="N4635" s="14"/>
      <c r="O4635" s="14"/>
      <c r="P4635" s="14"/>
    </row>
    <row r="4636" spans="8:16" ht="15.75" hidden="1" customHeight="1">
      <c r="H4636" s="14"/>
      <c r="I4636" s="567"/>
      <c r="J4636" s="18"/>
      <c r="N4636" s="14"/>
      <c r="O4636" s="14"/>
      <c r="P4636" s="14"/>
    </row>
    <row r="4637" spans="8:16" ht="15.75" hidden="1" customHeight="1">
      <c r="H4637" s="14"/>
      <c r="I4637" s="567"/>
      <c r="J4637" s="18"/>
      <c r="N4637" s="14"/>
      <c r="O4637" s="14"/>
      <c r="P4637" s="14"/>
    </row>
    <row r="4638" spans="8:16" ht="15.75" hidden="1" customHeight="1">
      <c r="H4638" s="14"/>
      <c r="I4638" s="567"/>
      <c r="J4638" s="18"/>
      <c r="N4638" s="14"/>
      <c r="O4638" s="14"/>
      <c r="P4638" s="14"/>
    </row>
    <row r="4639" spans="8:16" ht="15.75" hidden="1" customHeight="1">
      <c r="H4639" s="14"/>
      <c r="I4639" s="567"/>
      <c r="J4639" s="18"/>
      <c r="N4639" s="14"/>
      <c r="O4639" s="14"/>
      <c r="P4639" s="14"/>
    </row>
    <row r="4640" spans="8:16" ht="15.75" hidden="1" customHeight="1">
      <c r="H4640" s="14"/>
      <c r="I4640" s="567"/>
      <c r="J4640" s="18"/>
      <c r="N4640" s="14"/>
      <c r="O4640" s="14"/>
      <c r="P4640" s="14"/>
    </row>
    <row r="4641" spans="8:16" ht="15.75" hidden="1" customHeight="1">
      <c r="H4641" s="14"/>
      <c r="I4641" s="567"/>
      <c r="J4641" s="18"/>
      <c r="N4641" s="14"/>
      <c r="O4641" s="14"/>
      <c r="P4641" s="14"/>
    </row>
    <row r="4642" spans="8:16" ht="15.75" hidden="1" customHeight="1">
      <c r="H4642" s="14"/>
      <c r="I4642" s="567"/>
      <c r="J4642" s="18"/>
      <c r="N4642" s="14"/>
      <c r="O4642" s="14"/>
      <c r="P4642" s="14"/>
    </row>
    <row r="4643" spans="8:16" ht="15.75" hidden="1" customHeight="1">
      <c r="H4643" s="14"/>
      <c r="I4643" s="567"/>
      <c r="J4643" s="18"/>
      <c r="N4643" s="14"/>
      <c r="O4643" s="14"/>
      <c r="P4643" s="14"/>
    </row>
    <row r="4644" spans="8:16" ht="15.75" hidden="1" customHeight="1">
      <c r="H4644" s="14"/>
      <c r="I4644" s="567"/>
      <c r="J4644" s="18"/>
      <c r="N4644" s="14"/>
      <c r="O4644" s="14"/>
      <c r="P4644" s="14"/>
    </row>
    <row r="4645" spans="8:16" ht="15.75" hidden="1" customHeight="1">
      <c r="H4645" s="14"/>
      <c r="I4645" s="567"/>
      <c r="J4645" s="18"/>
      <c r="N4645" s="14"/>
      <c r="O4645" s="14"/>
      <c r="P4645" s="14"/>
    </row>
    <row r="4646" spans="8:16" ht="15.75" hidden="1" customHeight="1">
      <c r="H4646" s="14"/>
      <c r="I4646" s="567"/>
      <c r="J4646" s="18"/>
      <c r="N4646" s="14"/>
      <c r="O4646" s="14"/>
      <c r="P4646" s="14"/>
    </row>
    <row r="4647" spans="8:16" ht="15.75" hidden="1" customHeight="1">
      <c r="H4647" s="14"/>
      <c r="I4647" s="567"/>
      <c r="J4647" s="18"/>
      <c r="N4647" s="14"/>
      <c r="O4647" s="14"/>
      <c r="P4647" s="14"/>
    </row>
    <row r="4648" spans="8:16" ht="15.75" hidden="1" customHeight="1">
      <c r="H4648" s="14"/>
      <c r="I4648" s="567"/>
      <c r="J4648" s="18"/>
      <c r="N4648" s="14"/>
      <c r="O4648" s="14"/>
      <c r="P4648" s="14"/>
    </row>
    <row r="4649" spans="8:16" ht="15.75" hidden="1" customHeight="1">
      <c r="H4649" s="14"/>
      <c r="I4649" s="567"/>
      <c r="J4649" s="18"/>
      <c r="N4649" s="14"/>
      <c r="O4649" s="14"/>
      <c r="P4649" s="14"/>
    </row>
    <row r="4650" spans="8:16" ht="15.75" hidden="1" customHeight="1">
      <c r="H4650" s="14"/>
      <c r="I4650" s="567"/>
      <c r="J4650" s="18"/>
      <c r="N4650" s="14"/>
      <c r="O4650" s="14"/>
      <c r="P4650" s="14"/>
    </row>
    <row r="4651" spans="8:16" ht="15.75" hidden="1" customHeight="1">
      <c r="H4651" s="14"/>
      <c r="I4651" s="567"/>
      <c r="J4651" s="18"/>
      <c r="N4651" s="14"/>
      <c r="O4651" s="14"/>
      <c r="P4651" s="14"/>
    </row>
    <row r="4652" spans="8:16" ht="15.75" hidden="1" customHeight="1">
      <c r="H4652" s="14"/>
      <c r="I4652" s="567"/>
      <c r="J4652" s="18"/>
      <c r="N4652" s="14"/>
      <c r="O4652" s="14"/>
      <c r="P4652" s="14"/>
    </row>
    <row r="4653" spans="8:16" ht="15.75" hidden="1" customHeight="1">
      <c r="H4653" s="14"/>
      <c r="I4653" s="567"/>
      <c r="J4653" s="18"/>
      <c r="N4653" s="14"/>
      <c r="O4653" s="14"/>
      <c r="P4653" s="14"/>
    </row>
    <row r="4654" spans="8:16" ht="15.75" hidden="1" customHeight="1">
      <c r="H4654" s="14"/>
      <c r="I4654" s="567"/>
      <c r="J4654" s="18"/>
      <c r="N4654" s="14"/>
      <c r="O4654" s="14"/>
      <c r="P4654" s="14"/>
    </row>
    <row r="4655" spans="8:16" ht="15.75" hidden="1" customHeight="1">
      <c r="H4655" s="14"/>
      <c r="I4655" s="567"/>
      <c r="J4655" s="18"/>
      <c r="N4655" s="14"/>
      <c r="O4655" s="14"/>
      <c r="P4655" s="14"/>
    </row>
    <row r="4656" spans="8:16" ht="15.75" hidden="1" customHeight="1">
      <c r="H4656" s="14"/>
      <c r="I4656" s="567"/>
      <c r="J4656" s="18"/>
      <c r="N4656" s="14"/>
      <c r="O4656" s="14"/>
      <c r="P4656" s="14"/>
    </row>
    <row r="4657" spans="8:16" ht="15.75" hidden="1" customHeight="1">
      <c r="H4657" s="14"/>
      <c r="I4657" s="567"/>
      <c r="J4657" s="18"/>
      <c r="N4657" s="14"/>
      <c r="O4657" s="14"/>
      <c r="P4657" s="14"/>
    </row>
    <row r="4658" spans="8:16" ht="15.75" hidden="1" customHeight="1">
      <c r="H4658" s="14"/>
      <c r="I4658" s="567"/>
      <c r="J4658" s="18"/>
      <c r="N4658" s="14"/>
      <c r="O4658" s="14"/>
      <c r="P4658" s="14"/>
    </row>
    <row r="4659" spans="8:16" ht="15.75" hidden="1" customHeight="1">
      <c r="H4659" s="14"/>
      <c r="I4659" s="567"/>
      <c r="J4659" s="18"/>
      <c r="N4659" s="14"/>
      <c r="O4659" s="14"/>
      <c r="P4659" s="14"/>
    </row>
    <row r="4660" spans="8:16" ht="15.75" hidden="1" customHeight="1">
      <c r="H4660" s="14"/>
      <c r="I4660" s="567"/>
      <c r="J4660" s="18"/>
      <c r="N4660" s="14"/>
      <c r="O4660" s="14"/>
      <c r="P4660" s="14"/>
    </row>
    <row r="4661" spans="8:16" ht="15.75" hidden="1" customHeight="1">
      <c r="H4661" s="14"/>
      <c r="I4661" s="567"/>
      <c r="J4661" s="18"/>
      <c r="N4661" s="14"/>
      <c r="O4661" s="14"/>
      <c r="P4661" s="14"/>
    </row>
    <row r="4662" spans="8:16" ht="15.75" hidden="1" customHeight="1">
      <c r="H4662" s="14"/>
      <c r="I4662" s="567"/>
      <c r="J4662" s="18"/>
      <c r="N4662" s="14"/>
      <c r="O4662" s="14"/>
      <c r="P4662" s="14"/>
    </row>
    <row r="4663" spans="8:16" ht="15.75" hidden="1" customHeight="1">
      <c r="H4663" s="14"/>
      <c r="I4663" s="567"/>
      <c r="J4663" s="18"/>
      <c r="N4663" s="14"/>
      <c r="O4663" s="14"/>
      <c r="P4663" s="14"/>
    </row>
    <row r="4664" spans="8:16" ht="15.75" hidden="1" customHeight="1">
      <c r="H4664" s="14"/>
      <c r="I4664" s="567"/>
      <c r="J4664" s="18"/>
      <c r="N4664" s="14"/>
      <c r="O4664" s="14"/>
      <c r="P4664" s="14"/>
    </row>
    <row r="4665" spans="8:16" ht="15.75" hidden="1" customHeight="1">
      <c r="H4665" s="14"/>
      <c r="I4665" s="567"/>
      <c r="J4665" s="18"/>
      <c r="N4665" s="14"/>
      <c r="O4665" s="14"/>
      <c r="P4665" s="14"/>
    </row>
    <row r="4666" spans="8:16" ht="15.75" hidden="1" customHeight="1">
      <c r="H4666" s="14"/>
      <c r="I4666" s="567"/>
      <c r="J4666" s="18"/>
      <c r="N4666" s="14"/>
      <c r="O4666" s="14"/>
      <c r="P4666" s="14"/>
    </row>
    <row r="4667" spans="8:16" ht="15.75" hidden="1" customHeight="1">
      <c r="H4667" s="14"/>
      <c r="I4667" s="567"/>
      <c r="J4667" s="18"/>
      <c r="N4667" s="14"/>
      <c r="O4667" s="14"/>
      <c r="P4667" s="14"/>
    </row>
    <row r="4668" spans="8:16" ht="15.75" hidden="1" customHeight="1">
      <c r="H4668" s="14"/>
      <c r="I4668" s="567"/>
      <c r="J4668" s="18"/>
      <c r="N4668" s="14"/>
      <c r="O4668" s="14"/>
      <c r="P4668" s="14"/>
    </row>
    <row r="4669" spans="8:16" ht="15.75" hidden="1" customHeight="1">
      <c r="H4669" s="14"/>
      <c r="I4669" s="567"/>
      <c r="J4669" s="18"/>
      <c r="N4669" s="14"/>
      <c r="O4669" s="14"/>
      <c r="P4669" s="14"/>
    </row>
    <row r="4670" spans="8:16" ht="15.75" hidden="1" customHeight="1">
      <c r="H4670" s="14"/>
      <c r="I4670" s="567"/>
      <c r="J4670" s="18"/>
      <c r="N4670" s="14"/>
      <c r="O4670" s="14"/>
      <c r="P4670" s="14"/>
    </row>
    <row r="4671" spans="8:16" ht="15.75" hidden="1" customHeight="1">
      <c r="H4671" s="14"/>
      <c r="I4671" s="567"/>
      <c r="J4671" s="18"/>
      <c r="N4671" s="14"/>
      <c r="O4671" s="14"/>
      <c r="P4671" s="14"/>
    </row>
    <row r="4672" spans="8:16" ht="15.75" hidden="1" customHeight="1">
      <c r="H4672" s="14"/>
      <c r="I4672" s="567"/>
      <c r="J4672" s="18"/>
      <c r="N4672" s="14"/>
      <c r="O4672" s="14"/>
      <c r="P4672" s="14"/>
    </row>
    <row r="4673" spans="8:16" ht="15.75" hidden="1" customHeight="1">
      <c r="H4673" s="14"/>
      <c r="I4673" s="567"/>
      <c r="J4673" s="18"/>
      <c r="N4673" s="14"/>
      <c r="O4673" s="14"/>
      <c r="P4673" s="14"/>
    </row>
    <row r="4674" spans="8:16" ht="15.75" hidden="1" customHeight="1">
      <c r="H4674" s="14"/>
      <c r="I4674" s="567"/>
      <c r="J4674" s="18"/>
      <c r="N4674" s="14"/>
      <c r="O4674" s="14"/>
      <c r="P4674" s="14"/>
    </row>
    <row r="4675" spans="8:16" ht="15.75" hidden="1" customHeight="1">
      <c r="H4675" s="14"/>
      <c r="I4675" s="567"/>
      <c r="J4675" s="18"/>
      <c r="N4675" s="14"/>
      <c r="O4675" s="14"/>
      <c r="P4675" s="14"/>
    </row>
    <row r="4676" spans="8:16" ht="15.75" hidden="1" customHeight="1">
      <c r="H4676" s="14"/>
      <c r="I4676" s="567"/>
      <c r="J4676" s="18"/>
      <c r="N4676" s="14"/>
      <c r="O4676" s="14"/>
      <c r="P4676" s="14"/>
    </row>
    <row r="4677" spans="8:16" ht="15.75" hidden="1" customHeight="1">
      <c r="H4677" s="14"/>
      <c r="I4677" s="567"/>
      <c r="J4677" s="18"/>
      <c r="N4677" s="14"/>
      <c r="O4677" s="14"/>
      <c r="P4677" s="14"/>
    </row>
    <row r="4678" spans="8:16" ht="15.75" hidden="1" customHeight="1">
      <c r="H4678" s="14"/>
      <c r="I4678" s="567"/>
      <c r="J4678" s="18"/>
      <c r="N4678" s="14"/>
      <c r="O4678" s="14"/>
      <c r="P4678" s="14"/>
    </row>
    <row r="4679" spans="8:16" ht="15.75" hidden="1" customHeight="1">
      <c r="H4679" s="14"/>
      <c r="I4679" s="567"/>
      <c r="J4679" s="18"/>
      <c r="N4679" s="14"/>
      <c r="O4679" s="14"/>
      <c r="P4679" s="14"/>
    </row>
    <row r="4680" spans="8:16" ht="15.75" hidden="1" customHeight="1">
      <c r="H4680" s="14"/>
      <c r="I4680" s="567"/>
      <c r="J4680" s="18"/>
      <c r="N4680" s="14"/>
      <c r="O4680" s="14"/>
      <c r="P4680" s="14"/>
    </row>
    <row r="4681" spans="8:16" ht="15.75" hidden="1" customHeight="1">
      <c r="H4681" s="14"/>
      <c r="I4681" s="567"/>
      <c r="J4681" s="18"/>
      <c r="N4681" s="14"/>
      <c r="O4681" s="14"/>
      <c r="P4681" s="14"/>
    </row>
    <row r="4682" spans="8:16" ht="15.75" hidden="1" customHeight="1">
      <c r="H4682" s="14"/>
      <c r="I4682" s="567"/>
      <c r="J4682" s="18"/>
      <c r="N4682" s="14"/>
      <c r="O4682" s="14"/>
      <c r="P4682" s="14"/>
    </row>
    <row r="4683" spans="8:16" ht="15.75" hidden="1" customHeight="1">
      <c r="H4683" s="14"/>
      <c r="I4683" s="567"/>
      <c r="J4683" s="18"/>
      <c r="N4683" s="14"/>
      <c r="O4683" s="14"/>
      <c r="P4683" s="14"/>
    </row>
    <row r="4684" spans="8:16" ht="15.75" hidden="1" customHeight="1">
      <c r="H4684" s="14"/>
      <c r="I4684" s="567"/>
      <c r="J4684" s="18"/>
      <c r="N4684" s="14"/>
      <c r="O4684" s="14"/>
      <c r="P4684" s="14"/>
    </row>
    <row r="4685" spans="8:16" ht="15.75" hidden="1" customHeight="1">
      <c r="H4685" s="14"/>
      <c r="I4685" s="567"/>
      <c r="J4685" s="18"/>
      <c r="N4685" s="14"/>
      <c r="O4685" s="14"/>
      <c r="P4685" s="14"/>
    </row>
    <row r="4686" spans="8:16" ht="15.75" hidden="1" customHeight="1">
      <c r="H4686" s="14"/>
      <c r="I4686" s="567"/>
      <c r="J4686" s="18"/>
      <c r="N4686" s="14"/>
      <c r="O4686" s="14"/>
      <c r="P4686" s="14"/>
    </row>
    <row r="4687" spans="8:16" ht="15.75" hidden="1" customHeight="1">
      <c r="H4687" s="14"/>
      <c r="I4687" s="567"/>
      <c r="J4687" s="18"/>
      <c r="N4687" s="14"/>
      <c r="O4687" s="14"/>
      <c r="P4687" s="14"/>
    </row>
    <row r="4688" spans="8:16" ht="15.75" hidden="1" customHeight="1">
      <c r="H4688" s="14"/>
      <c r="I4688" s="567"/>
      <c r="J4688" s="18"/>
      <c r="N4688" s="14"/>
      <c r="O4688" s="14"/>
      <c r="P4688" s="14"/>
    </row>
    <row r="4689" spans="8:16" ht="15.75" hidden="1" customHeight="1">
      <c r="H4689" s="14"/>
      <c r="I4689" s="567"/>
      <c r="J4689" s="18"/>
      <c r="N4689" s="14"/>
      <c r="O4689" s="14"/>
      <c r="P4689" s="14"/>
    </row>
    <row r="4690" spans="8:16" ht="15.75" hidden="1" customHeight="1">
      <c r="H4690" s="14"/>
      <c r="I4690" s="567"/>
      <c r="J4690" s="18"/>
      <c r="N4690" s="14"/>
      <c r="O4690" s="14"/>
      <c r="P4690" s="14"/>
    </row>
    <row r="4691" spans="8:16" ht="15.75" hidden="1" customHeight="1">
      <c r="H4691" s="14"/>
      <c r="I4691" s="567"/>
      <c r="J4691" s="18"/>
      <c r="N4691" s="14"/>
      <c r="O4691" s="14"/>
      <c r="P4691" s="14"/>
    </row>
    <row r="4692" spans="8:16" ht="15.75" hidden="1" customHeight="1">
      <c r="H4692" s="14"/>
      <c r="I4692" s="567"/>
      <c r="J4692" s="18"/>
      <c r="N4692" s="14"/>
      <c r="O4692" s="14"/>
      <c r="P4692" s="14"/>
    </row>
    <row r="4693" spans="8:16" ht="15.75" hidden="1" customHeight="1">
      <c r="H4693" s="14"/>
      <c r="I4693" s="567"/>
      <c r="J4693" s="18"/>
      <c r="N4693" s="14"/>
      <c r="O4693" s="14"/>
      <c r="P4693" s="14"/>
    </row>
    <row r="4694" spans="8:16" ht="15.75" hidden="1" customHeight="1">
      <c r="H4694" s="14"/>
      <c r="I4694" s="567"/>
      <c r="J4694" s="18"/>
      <c r="N4694" s="14"/>
      <c r="O4694" s="14"/>
      <c r="P4694" s="14"/>
    </row>
    <row r="4695" spans="8:16" ht="15.75" hidden="1" customHeight="1">
      <c r="H4695" s="14"/>
      <c r="I4695" s="567"/>
      <c r="J4695" s="18"/>
      <c r="N4695" s="14"/>
      <c r="O4695" s="14"/>
      <c r="P4695" s="14"/>
    </row>
    <row r="4696" spans="8:16" ht="15.75" hidden="1" customHeight="1">
      <c r="H4696" s="14"/>
      <c r="I4696" s="567"/>
      <c r="J4696" s="18"/>
      <c r="N4696" s="14"/>
      <c r="O4696" s="14"/>
      <c r="P4696" s="14"/>
    </row>
    <row r="4697" spans="8:16" ht="15.75" hidden="1" customHeight="1">
      <c r="H4697" s="14"/>
      <c r="I4697" s="567"/>
      <c r="J4697" s="18"/>
      <c r="N4697" s="14"/>
      <c r="O4697" s="14"/>
      <c r="P4697" s="14"/>
    </row>
    <row r="4698" spans="8:16" ht="15.75" hidden="1" customHeight="1">
      <c r="H4698" s="14"/>
      <c r="I4698" s="567"/>
      <c r="J4698" s="18"/>
      <c r="N4698" s="14"/>
      <c r="O4698" s="14"/>
      <c r="P4698" s="14"/>
    </row>
    <row r="4699" spans="8:16" ht="15.75" hidden="1" customHeight="1">
      <c r="H4699" s="14"/>
      <c r="I4699" s="567"/>
      <c r="J4699" s="18"/>
      <c r="N4699" s="14"/>
      <c r="O4699" s="14"/>
      <c r="P4699" s="14"/>
    </row>
    <row r="4700" spans="8:16" ht="15.75" hidden="1" customHeight="1">
      <c r="H4700" s="14"/>
      <c r="I4700" s="567"/>
      <c r="J4700" s="18"/>
      <c r="N4700" s="14"/>
      <c r="O4700" s="14"/>
      <c r="P4700" s="14"/>
    </row>
    <row r="4701" spans="8:16" ht="15.75" hidden="1" customHeight="1">
      <c r="H4701" s="14"/>
      <c r="I4701" s="567"/>
      <c r="J4701" s="18"/>
      <c r="N4701" s="14"/>
      <c r="O4701" s="14"/>
      <c r="P4701" s="14"/>
    </row>
    <row r="4702" spans="8:16" ht="15.75" hidden="1" customHeight="1">
      <c r="H4702" s="14"/>
      <c r="I4702" s="567"/>
      <c r="J4702" s="18"/>
      <c r="N4702" s="14"/>
      <c r="O4702" s="14"/>
      <c r="P4702" s="14"/>
    </row>
    <row r="4703" spans="8:16" ht="15.75" hidden="1" customHeight="1">
      <c r="H4703" s="14"/>
      <c r="I4703" s="567"/>
      <c r="J4703" s="18"/>
      <c r="N4703" s="14"/>
      <c r="O4703" s="14"/>
      <c r="P4703" s="14"/>
    </row>
    <row r="4704" spans="8:16" ht="15.75" hidden="1" customHeight="1">
      <c r="H4704" s="14"/>
      <c r="I4704" s="567"/>
      <c r="J4704" s="18"/>
      <c r="N4704" s="14"/>
      <c r="O4704" s="14"/>
      <c r="P4704" s="14"/>
    </row>
    <row r="4705" spans="8:16" ht="15.75" hidden="1" customHeight="1">
      <c r="H4705" s="14"/>
      <c r="I4705" s="567"/>
      <c r="J4705" s="18"/>
      <c r="N4705" s="14"/>
      <c r="O4705" s="14"/>
      <c r="P4705" s="14"/>
    </row>
    <row r="4706" spans="8:16" ht="15.75" hidden="1" customHeight="1">
      <c r="H4706" s="14"/>
      <c r="I4706" s="567"/>
      <c r="J4706" s="18"/>
      <c r="N4706" s="14"/>
      <c r="O4706" s="14"/>
      <c r="P4706" s="14"/>
    </row>
    <row r="4707" spans="8:16" ht="15.75" hidden="1" customHeight="1">
      <c r="H4707" s="14"/>
      <c r="I4707" s="567"/>
      <c r="J4707" s="18"/>
      <c r="N4707" s="14"/>
      <c r="O4707" s="14"/>
      <c r="P4707" s="14"/>
    </row>
    <row r="4708" spans="8:16" ht="15.75" hidden="1" customHeight="1">
      <c r="H4708" s="14"/>
      <c r="I4708" s="567"/>
      <c r="J4708" s="18"/>
      <c r="N4708" s="14"/>
      <c r="O4708" s="14"/>
      <c r="P4708" s="14"/>
    </row>
    <row r="4709" spans="8:16" ht="15.75" hidden="1" customHeight="1">
      <c r="H4709" s="14"/>
      <c r="I4709" s="567"/>
      <c r="J4709" s="18"/>
      <c r="N4709" s="14"/>
      <c r="O4709" s="14"/>
      <c r="P4709" s="14"/>
    </row>
    <row r="4710" spans="8:16" ht="15.75" hidden="1" customHeight="1">
      <c r="H4710" s="14"/>
      <c r="I4710" s="567"/>
      <c r="J4710" s="18"/>
      <c r="N4710" s="14"/>
      <c r="O4710" s="14"/>
      <c r="P4710" s="14"/>
    </row>
    <row r="4711" spans="8:16" ht="15.75" hidden="1" customHeight="1">
      <c r="H4711" s="14"/>
      <c r="I4711" s="567"/>
      <c r="J4711" s="18"/>
      <c r="N4711" s="14"/>
      <c r="O4711" s="14"/>
      <c r="P4711" s="14"/>
    </row>
    <row r="4712" spans="8:16" ht="15.75" hidden="1" customHeight="1">
      <c r="H4712" s="14"/>
      <c r="I4712" s="567"/>
      <c r="J4712" s="18"/>
      <c r="N4712" s="14"/>
      <c r="O4712" s="14"/>
      <c r="P4712" s="14"/>
    </row>
    <row r="4713" spans="8:16" ht="15.75" hidden="1" customHeight="1">
      <c r="H4713" s="14"/>
      <c r="I4713" s="567"/>
      <c r="J4713" s="18"/>
      <c r="N4713" s="14"/>
      <c r="O4713" s="14"/>
      <c r="P4713" s="14"/>
    </row>
    <row r="4714" spans="8:16" ht="15.75" hidden="1" customHeight="1">
      <c r="H4714" s="14"/>
      <c r="I4714" s="567"/>
      <c r="J4714" s="18"/>
      <c r="N4714" s="14"/>
      <c r="O4714" s="14"/>
      <c r="P4714" s="14"/>
    </row>
    <row r="4715" spans="8:16" ht="15.75" hidden="1" customHeight="1">
      <c r="H4715" s="14"/>
      <c r="I4715" s="567"/>
      <c r="J4715" s="18"/>
      <c r="N4715" s="14"/>
      <c r="O4715" s="14"/>
      <c r="P4715" s="14"/>
    </row>
    <row r="4716" spans="8:16" ht="15.75" hidden="1" customHeight="1">
      <c r="H4716" s="14"/>
      <c r="I4716" s="567"/>
      <c r="J4716" s="18"/>
      <c r="N4716" s="14"/>
      <c r="O4716" s="14"/>
      <c r="P4716" s="14"/>
    </row>
    <row r="4717" spans="8:16" ht="15.75" hidden="1" customHeight="1">
      <c r="H4717" s="14"/>
      <c r="I4717" s="567"/>
      <c r="J4717" s="18"/>
      <c r="N4717" s="14"/>
      <c r="O4717" s="14"/>
      <c r="P4717" s="14"/>
    </row>
    <row r="4718" spans="8:16" ht="15.75" hidden="1" customHeight="1">
      <c r="H4718" s="14"/>
      <c r="I4718" s="567"/>
      <c r="J4718" s="18"/>
      <c r="N4718" s="14"/>
      <c r="O4718" s="14"/>
      <c r="P4718" s="14"/>
    </row>
    <row r="4719" spans="8:16" ht="15.75" hidden="1" customHeight="1">
      <c r="H4719" s="14"/>
      <c r="I4719" s="567"/>
      <c r="J4719" s="18"/>
      <c r="N4719" s="14"/>
      <c r="O4719" s="14"/>
      <c r="P4719" s="14"/>
    </row>
    <row r="4720" spans="8:16" ht="15.75" hidden="1" customHeight="1">
      <c r="H4720" s="14"/>
      <c r="I4720" s="567"/>
      <c r="J4720" s="18"/>
      <c r="N4720" s="14"/>
      <c r="O4720" s="14"/>
      <c r="P4720" s="14"/>
    </row>
    <row r="4721" spans="8:16" ht="15.75" hidden="1" customHeight="1">
      <c r="H4721" s="14"/>
      <c r="I4721" s="567"/>
      <c r="J4721" s="18"/>
      <c r="N4721" s="14"/>
      <c r="O4721" s="14"/>
      <c r="P4721" s="14"/>
    </row>
    <row r="4722" spans="8:16" ht="15.75" hidden="1" customHeight="1">
      <c r="H4722" s="14"/>
      <c r="I4722" s="567"/>
      <c r="J4722" s="18"/>
      <c r="N4722" s="14"/>
      <c r="O4722" s="14"/>
      <c r="P4722" s="14"/>
    </row>
    <row r="4723" spans="8:16" ht="15.75" hidden="1" customHeight="1">
      <c r="H4723" s="14"/>
      <c r="I4723" s="567"/>
      <c r="J4723" s="18"/>
      <c r="N4723" s="14"/>
      <c r="O4723" s="14"/>
      <c r="P4723" s="14"/>
    </row>
    <row r="4724" spans="8:16" ht="15.75" hidden="1" customHeight="1">
      <c r="H4724" s="14"/>
      <c r="I4724" s="567"/>
      <c r="J4724" s="18"/>
      <c r="N4724" s="14"/>
      <c r="O4724" s="14"/>
      <c r="P4724" s="14"/>
    </row>
    <row r="4725" spans="8:16" ht="15.75" hidden="1" customHeight="1">
      <c r="H4725" s="14"/>
      <c r="I4725" s="567"/>
      <c r="J4725" s="18"/>
      <c r="N4725" s="14"/>
      <c r="O4725" s="14"/>
      <c r="P4725" s="14"/>
    </row>
    <row r="4726" spans="8:16" ht="15.75" hidden="1" customHeight="1">
      <c r="H4726" s="14"/>
      <c r="I4726" s="567"/>
      <c r="J4726" s="18"/>
      <c r="N4726" s="14"/>
      <c r="O4726" s="14"/>
      <c r="P4726" s="14"/>
    </row>
    <row r="4727" spans="8:16" ht="15.75" hidden="1" customHeight="1">
      <c r="H4727" s="14"/>
      <c r="I4727" s="567"/>
      <c r="J4727" s="18"/>
      <c r="N4727" s="14"/>
      <c r="O4727" s="14"/>
      <c r="P4727" s="14"/>
    </row>
    <row r="4728" spans="8:16" ht="15.75" hidden="1" customHeight="1">
      <c r="H4728" s="14"/>
      <c r="I4728" s="567"/>
      <c r="J4728" s="18"/>
      <c r="N4728" s="14"/>
      <c r="O4728" s="14"/>
      <c r="P4728" s="14"/>
    </row>
    <row r="4729" spans="8:16" ht="15.75" hidden="1" customHeight="1">
      <c r="H4729" s="14"/>
      <c r="I4729" s="567"/>
      <c r="J4729" s="18"/>
      <c r="N4729" s="14"/>
      <c r="O4729" s="14"/>
      <c r="P4729" s="14"/>
    </row>
    <row r="4730" spans="8:16" ht="15.75" hidden="1" customHeight="1">
      <c r="H4730" s="14"/>
      <c r="I4730" s="567"/>
      <c r="J4730" s="18"/>
      <c r="N4730" s="14"/>
      <c r="O4730" s="14"/>
      <c r="P4730" s="14"/>
    </row>
    <row r="4731" spans="8:16" ht="15.75" hidden="1" customHeight="1">
      <c r="H4731" s="14"/>
      <c r="I4731" s="567"/>
      <c r="J4731" s="18"/>
      <c r="N4731" s="14"/>
      <c r="O4731" s="14"/>
      <c r="P4731" s="14"/>
    </row>
    <row r="4732" spans="8:16" ht="15.75" hidden="1" customHeight="1">
      <c r="H4732" s="14"/>
      <c r="I4732" s="567"/>
      <c r="J4732" s="18"/>
      <c r="N4732" s="14"/>
      <c r="O4732" s="14"/>
      <c r="P4732" s="14"/>
    </row>
    <row r="4733" spans="8:16" ht="15.75" hidden="1" customHeight="1">
      <c r="H4733" s="14"/>
      <c r="I4733" s="567"/>
      <c r="J4733" s="18"/>
      <c r="N4733" s="14"/>
      <c r="O4733" s="14"/>
      <c r="P4733" s="14"/>
    </row>
    <row r="4734" spans="8:16" ht="15.75" hidden="1" customHeight="1">
      <c r="H4734" s="14"/>
      <c r="I4734" s="567"/>
      <c r="J4734" s="18"/>
      <c r="N4734" s="14"/>
      <c r="O4734" s="14"/>
      <c r="P4734" s="14"/>
    </row>
    <row r="4735" spans="8:16" ht="15.75" hidden="1" customHeight="1">
      <c r="H4735" s="14"/>
      <c r="I4735" s="567"/>
      <c r="J4735" s="18"/>
      <c r="N4735" s="14"/>
      <c r="O4735" s="14"/>
      <c r="P4735" s="14"/>
    </row>
    <row r="4736" spans="8:16" ht="15.75" hidden="1" customHeight="1">
      <c r="H4736" s="14"/>
      <c r="I4736" s="567"/>
      <c r="J4736" s="18"/>
      <c r="N4736" s="14"/>
      <c r="O4736" s="14"/>
      <c r="P4736" s="14"/>
    </row>
    <row r="4737" spans="8:16" ht="15.75" hidden="1" customHeight="1">
      <c r="H4737" s="14"/>
      <c r="I4737" s="567"/>
      <c r="J4737" s="18"/>
      <c r="N4737" s="14"/>
      <c r="O4737" s="14"/>
      <c r="P4737" s="14"/>
    </row>
    <row r="4738" spans="8:16" ht="15.75" hidden="1" customHeight="1">
      <c r="H4738" s="14"/>
      <c r="I4738" s="567"/>
      <c r="J4738" s="18"/>
      <c r="N4738" s="14"/>
      <c r="O4738" s="14"/>
      <c r="P4738" s="14"/>
    </row>
    <row r="4739" spans="8:16" ht="15.75" hidden="1" customHeight="1">
      <c r="H4739" s="14"/>
      <c r="I4739" s="567"/>
      <c r="J4739" s="18"/>
      <c r="N4739" s="14"/>
      <c r="O4739" s="14"/>
      <c r="P4739" s="14"/>
    </row>
    <row r="4740" spans="8:16" ht="15.75" hidden="1" customHeight="1">
      <c r="H4740" s="14"/>
      <c r="I4740" s="567"/>
      <c r="J4740" s="18"/>
      <c r="N4740" s="14"/>
      <c r="O4740" s="14"/>
      <c r="P4740" s="14"/>
    </row>
    <row r="4741" spans="8:16" ht="15.75" hidden="1" customHeight="1">
      <c r="H4741" s="14"/>
      <c r="I4741" s="567"/>
      <c r="J4741" s="18"/>
      <c r="N4741" s="14"/>
      <c r="O4741" s="14"/>
      <c r="P4741" s="14"/>
    </row>
    <row r="4742" spans="8:16" ht="15.75" hidden="1" customHeight="1">
      <c r="H4742" s="14"/>
      <c r="I4742" s="567"/>
      <c r="J4742" s="18"/>
      <c r="N4742" s="14"/>
      <c r="O4742" s="14"/>
      <c r="P4742" s="14"/>
    </row>
    <row r="4743" spans="8:16" ht="15.75" hidden="1" customHeight="1">
      <c r="H4743" s="14"/>
      <c r="I4743" s="567"/>
      <c r="J4743" s="18"/>
      <c r="N4743" s="14"/>
      <c r="O4743" s="14"/>
      <c r="P4743" s="14"/>
    </row>
    <row r="4744" spans="8:16" ht="15.75" hidden="1" customHeight="1">
      <c r="H4744" s="14"/>
      <c r="I4744" s="567"/>
      <c r="J4744" s="18"/>
      <c r="N4744" s="14"/>
      <c r="O4744" s="14"/>
      <c r="P4744" s="14"/>
    </row>
    <row r="4745" spans="8:16" ht="15.75" hidden="1" customHeight="1">
      <c r="H4745" s="14"/>
      <c r="I4745" s="567"/>
      <c r="J4745" s="18"/>
      <c r="N4745" s="14"/>
      <c r="O4745" s="14"/>
      <c r="P4745" s="14"/>
    </row>
    <row r="4746" spans="8:16" ht="15.75" hidden="1" customHeight="1">
      <c r="H4746" s="14"/>
      <c r="I4746" s="567"/>
      <c r="J4746" s="18"/>
      <c r="N4746" s="14"/>
      <c r="O4746" s="14"/>
      <c r="P4746" s="14"/>
    </row>
    <row r="4747" spans="8:16" ht="15.75" hidden="1" customHeight="1">
      <c r="H4747" s="14"/>
      <c r="I4747" s="567"/>
      <c r="J4747" s="18"/>
      <c r="N4747" s="14"/>
      <c r="O4747" s="14"/>
      <c r="P4747" s="14"/>
    </row>
    <row r="4748" spans="8:16" ht="15.75" hidden="1" customHeight="1">
      <c r="H4748" s="14"/>
      <c r="I4748" s="567"/>
      <c r="J4748" s="18"/>
      <c r="N4748" s="14"/>
      <c r="O4748" s="14"/>
      <c r="P4748" s="14"/>
    </row>
    <row r="4749" spans="8:16" ht="15.75" hidden="1" customHeight="1">
      <c r="H4749" s="14"/>
      <c r="I4749" s="567"/>
      <c r="J4749" s="18"/>
      <c r="N4749" s="14"/>
      <c r="O4749" s="14"/>
      <c r="P4749" s="14"/>
    </row>
    <row r="4750" spans="8:16" ht="15.75" hidden="1" customHeight="1">
      <c r="H4750" s="14"/>
      <c r="I4750" s="567"/>
      <c r="J4750" s="18"/>
      <c r="N4750" s="14"/>
      <c r="O4750" s="14"/>
      <c r="P4750" s="14"/>
    </row>
    <row r="4751" spans="8:16" ht="15.75" hidden="1" customHeight="1">
      <c r="H4751" s="14"/>
      <c r="I4751" s="567"/>
      <c r="J4751" s="18"/>
      <c r="N4751" s="14"/>
      <c r="O4751" s="14"/>
      <c r="P4751" s="14"/>
    </row>
    <row r="4752" spans="8:16" ht="15.75" hidden="1" customHeight="1">
      <c r="H4752" s="14"/>
      <c r="I4752" s="567"/>
      <c r="J4752" s="18"/>
      <c r="N4752" s="14"/>
      <c r="O4752" s="14"/>
      <c r="P4752" s="14"/>
    </row>
    <row r="4753" spans="8:16" ht="15.75" hidden="1" customHeight="1">
      <c r="H4753" s="14"/>
      <c r="I4753" s="567"/>
      <c r="J4753" s="18"/>
      <c r="P4753" s="14"/>
    </row>
    <row r="4754" spans="8:16" ht="15.75" hidden="1" customHeight="1">
      <c r="H4754" s="14"/>
      <c r="I4754" s="567"/>
      <c r="J4754" s="18"/>
      <c r="P4754" s="14"/>
    </row>
    <row r="4755" spans="8:16" ht="15.75" hidden="1" customHeight="1">
      <c r="H4755" s="14"/>
      <c r="I4755" s="567"/>
      <c r="J4755" s="18"/>
      <c r="P4755" s="14"/>
    </row>
    <row r="4756" spans="8:16" ht="15.75" hidden="1" customHeight="1">
      <c r="H4756" s="14"/>
      <c r="I4756" s="567"/>
      <c r="J4756" s="18"/>
      <c r="P4756" s="14"/>
    </row>
    <row r="4757" spans="8:16" ht="15.75" hidden="1" customHeight="1">
      <c r="H4757" s="14"/>
      <c r="I4757" s="567"/>
      <c r="J4757" s="18"/>
      <c r="P4757" s="14"/>
    </row>
    <row r="4758" spans="8:16" ht="15.75" hidden="1" customHeight="1">
      <c r="H4758" s="14"/>
      <c r="I4758" s="567"/>
      <c r="J4758" s="18"/>
      <c r="P4758" s="14"/>
    </row>
    <row r="4759" spans="8:16" ht="15.75" hidden="1" customHeight="1">
      <c r="H4759" s="14"/>
      <c r="I4759" s="567"/>
      <c r="J4759" s="18"/>
      <c r="P4759" s="14"/>
    </row>
    <row r="4760" spans="8:16" ht="15.75" hidden="1" customHeight="1">
      <c r="H4760" s="14"/>
      <c r="I4760" s="567"/>
      <c r="J4760" s="18"/>
      <c r="P4760" s="14"/>
    </row>
    <row r="4761" spans="8:16" ht="15.75" hidden="1" customHeight="1">
      <c r="H4761" s="14"/>
      <c r="I4761" s="567"/>
      <c r="J4761" s="18"/>
      <c r="P4761" s="14"/>
    </row>
    <row r="4762" spans="8:16" ht="15.75" hidden="1" customHeight="1">
      <c r="H4762" s="14"/>
      <c r="I4762" s="567"/>
      <c r="J4762" s="18"/>
      <c r="P4762" s="14"/>
    </row>
    <row r="4763" spans="8:16" ht="15.75" hidden="1" customHeight="1">
      <c r="H4763" s="14"/>
      <c r="I4763" s="567"/>
      <c r="J4763" s="18"/>
      <c r="P4763" s="14"/>
    </row>
    <row r="4764" spans="8:16" ht="15.75" hidden="1" customHeight="1">
      <c r="H4764" s="14"/>
      <c r="I4764" s="567"/>
      <c r="J4764" s="18"/>
      <c r="P4764" s="14"/>
    </row>
    <row r="4765" spans="8:16" ht="15.75" hidden="1" customHeight="1">
      <c r="H4765" s="14"/>
      <c r="I4765" s="567"/>
      <c r="J4765" s="18"/>
      <c r="P4765" s="14"/>
    </row>
    <row r="4766" spans="8:16" ht="15.75" hidden="1" customHeight="1">
      <c r="H4766" s="14"/>
      <c r="I4766" s="567"/>
      <c r="J4766" s="18"/>
    </row>
    <row r="4767" spans="8:16" ht="15.75" hidden="1" customHeight="1">
      <c r="H4767" s="14"/>
      <c r="I4767" s="567"/>
      <c r="J4767" s="18"/>
    </row>
    <row r="4768" spans="8:16" ht="15.75" hidden="1" customHeight="1">
      <c r="H4768" s="14"/>
      <c r="I4768" s="567"/>
      <c r="J4768" s="18"/>
    </row>
    <row r="4769" spans="8:10" ht="15.75" hidden="1" customHeight="1">
      <c r="H4769" s="14"/>
      <c r="I4769" s="567"/>
      <c r="J4769" s="18"/>
    </row>
    <row r="4770" spans="8:10" ht="15.75" hidden="1" customHeight="1">
      <c r="H4770" s="14"/>
      <c r="I4770" s="567"/>
      <c r="J4770" s="18"/>
    </row>
    <row r="4771" spans="8:10" ht="15.75" hidden="1" customHeight="1">
      <c r="H4771" s="14"/>
      <c r="I4771" s="567"/>
      <c r="J4771" s="18"/>
    </row>
    <row r="4772" spans="8:10" ht="15.75" hidden="1" customHeight="1">
      <c r="H4772" s="14"/>
      <c r="I4772" s="567"/>
      <c r="J4772" s="18"/>
    </row>
    <row r="4773" spans="8:10" ht="15.75" hidden="1" customHeight="1">
      <c r="H4773" s="14"/>
      <c r="I4773" s="567"/>
      <c r="J4773" s="18"/>
    </row>
    <row r="4774" spans="8:10" ht="15.75" hidden="1" customHeight="1">
      <c r="H4774" s="14"/>
      <c r="I4774" s="567"/>
      <c r="J4774" s="18"/>
    </row>
    <row r="4775" spans="8:10" ht="15.75" hidden="1" customHeight="1">
      <c r="H4775" s="14"/>
      <c r="I4775" s="567"/>
      <c r="J4775" s="18"/>
    </row>
    <row r="4776" spans="8:10" ht="15.75" hidden="1" customHeight="1">
      <c r="H4776" s="14"/>
      <c r="I4776" s="567"/>
      <c r="J4776" s="18"/>
    </row>
    <row r="4777" spans="8:10" ht="15.75" hidden="1" customHeight="1">
      <c r="H4777" s="14"/>
      <c r="I4777" s="567"/>
      <c r="J4777" s="18"/>
    </row>
    <row r="4778" spans="8:10" ht="15.75" hidden="1" customHeight="1">
      <c r="H4778" s="14"/>
      <c r="I4778" s="567"/>
      <c r="J4778" s="18"/>
    </row>
    <row r="4779" spans="8:10" ht="15.75" hidden="1" customHeight="1">
      <c r="H4779" s="14"/>
      <c r="I4779" s="567"/>
      <c r="J4779" s="18"/>
    </row>
    <row r="4780" spans="8:10" ht="15.75" hidden="1" customHeight="1">
      <c r="H4780" s="14"/>
      <c r="I4780" s="567"/>
      <c r="J4780" s="18"/>
    </row>
    <row r="4781" spans="8:10" ht="15.75" hidden="1" customHeight="1">
      <c r="H4781" s="14"/>
      <c r="I4781" s="567"/>
      <c r="J4781" s="18"/>
    </row>
    <row r="4782" spans="8:10" ht="15.75" hidden="1" customHeight="1">
      <c r="H4782" s="14"/>
      <c r="I4782" s="567"/>
      <c r="J4782" s="18"/>
    </row>
    <row r="4783" spans="8:10" ht="15.75" hidden="1" customHeight="1">
      <c r="H4783" s="14"/>
      <c r="I4783" s="567"/>
      <c r="J4783" s="18"/>
    </row>
    <row r="4784" spans="8:10" ht="15.75" hidden="1" customHeight="1">
      <c r="H4784" s="14"/>
      <c r="I4784" s="567"/>
      <c r="J4784" s="18"/>
    </row>
    <row r="4785" spans="8:10" ht="15.75" hidden="1" customHeight="1">
      <c r="H4785" s="14"/>
      <c r="I4785" s="567"/>
      <c r="J4785" s="18"/>
    </row>
    <row r="4786" spans="8:10" ht="15.75" hidden="1" customHeight="1">
      <c r="H4786" s="14"/>
      <c r="I4786" s="567"/>
      <c r="J4786" s="18"/>
    </row>
    <row r="4787" spans="8:10" ht="15.75" hidden="1" customHeight="1">
      <c r="H4787" s="14"/>
      <c r="I4787" s="567"/>
      <c r="J4787" s="18"/>
    </row>
    <row r="4788" spans="8:10" ht="15.75" hidden="1" customHeight="1">
      <c r="H4788" s="14"/>
      <c r="I4788" s="567"/>
      <c r="J4788" s="18"/>
    </row>
    <row r="4789" spans="8:10" ht="15.75" hidden="1" customHeight="1">
      <c r="H4789" s="14"/>
      <c r="I4789" s="567"/>
      <c r="J4789" s="18"/>
    </row>
    <row r="4790" spans="8:10" ht="15.75" hidden="1" customHeight="1">
      <c r="H4790" s="14"/>
      <c r="I4790" s="567"/>
      <c r="J4790" s="18"/>
    </row>
    <row r="4791" spans="8:10" ht="15.75" hidden="1" customHeight="1">
      <c r="H4791" s="14"/>
      <c r="I4791" s="567"/>
      <c r="J4791" s="18"/>
    </row>
    <row r="4792" spans="8:10" ht="15.75" hidden="1" customHeight="1">
      <c r="H4792" s="14"/>
      <c r="I4792" s="567"/>
      <c r="J4792" s="18"/>
    </row>
    <row r="4793" spans="8:10" ht="15.75" hidden="1" customHeight="1">
      <c r="H4793" s="14"/>
      <c r="I4793" s="567"/>
      <c r="J4793" s="18"/>
    </row>
    <row r="4794" spans="8:10" ht="15.75" hidden="1" customHeight="1">
      <c r="H4794" s="14"/>
      <c r="I4794" s="567"/>
      <c r="J4794" s="18"/>
    </row>
    <row r="4795" spans="8:10" ht="15.75" hidden="1" customHeight="1">
      <c r="H4795" s="14"/>
      <c r="I4795" s="567"/>
      <c r="J4795" s="18"/>
    </row>
    <row r="4796" spans="8:10" ht="15.75" hidden="1" customHeight="1">
      <c r="H4796" s="14"/>
      <c r="I4796" s="567"/>
      <c r="J4796" s="18"/>
    </row>
    <row r="4797" spans="8:10" ht="15.75" hidden="1" customHeight="1">
      <c r="H4797" s="14"/>
      <c r="I4797" s="567"/>
      <c r="J4797" s="18"/>
    </row>
    <row r="4798" spans="8:10" ht="15.75" hidden="1" customHeight="1">
      <c r="H4798" s="14"/>
      <c r="I4798" s="567"/>
      <c r="J4798" s="18"/>
    </row>
    <row r="4799" spans="8:10" ht="15.75" hidden="1" customHeight="1">
      <c r="H4799" s="14"/>
      <c r="I4799" s="567"/>
      <c r="J4799" s="18"/>
    </row>
    <row r="4800" spans="8:10" ht="15.75" hidden="1" customHeight="1">
      <c r="H4800" s="14"/>
      <c r="I4800" s="567"/>
      <c r="J4800" s="18"/>
    </row>
    <row r="4801" spans="8:10" ht="15.75" hidden="1" customHeight="1">
      <c r="H4801" s="14"/>
      <c r="I4801" s="567"/>
      <c r="J4801" s="18"/>
    </row>
    <row r="4802" spans="8:10" ht="15.75" hidden="1" customHeight="1">
      <c r="H4802" s="14"/>
      <c r="I4802" s="567"/>
      <c r="J4802" s="18"/>
    </row>
    <row r="4803" spans="8:10" ht="15.75" hidden="1" customHeight="1">
      <c r="H4803" s="14"/>
      <c r="I4803" s="567"/>
      <c r="J4803" s="18"/>
    </row>
    <row r="4804" spans="8:10" ht="15.75" hidden="1" customHeight="1">
      <c r="H4804" s="14"/>
      <c r="I4804" s="567"/>
      <c r="J4804" s="18"/>
    </row>
    <row r="4805" spans="8:10" ht="15.75" hidden="1" customHeight="1">
      <c r="H4805" s="14"/>
      <c r="I4805" s="567"/>
      <c r="J4805" s="18"/>
    </row>
    <row r="4806" spans="8:10" ht="15.75" hidden="1" customHeight="1">
      <c r="H4806" s="14"/>
      <c r="I4806" s="567"/>
      <c r="J4806" s="18"/>
    </row>
    <row r="4807" spans="8:10" ht="15.75" hidden="1" customHeight="1">
      <c r="H4807" s="14"/>
      <c r="I4807" s="567"/>
      <c r="J4807" s="18"/>
    </row>
    <row r="4808" spans="8:10" ht="15.75" hidden="1" customHeight="1">
      <c r="H4808" s="14"/>
      <c r="I4808" s="567"/>
      <c r="J4808" s="18"/>
    </row>
    <row r="4809" spans="8:10" ht="15.75" hidden="1" customHeight="1">
      <c r="H4809" s="14"/>
      <c r="I4809" s="567"/>
      <c r="J4809" s="18"/>
    </row>
    <row r="4810" spans="8:10" ht="15.75" hidden="1" customHeight="1">
      <c r="H4810" s="14"/>
      <c r="I4810" s="567"/>
      <c r="J4810" s="18"/>
    </row>
    <row r="4811" spans="8:10" ht="15.75" hidden="1" customHeight="1">
      <c r="H4811" s="14"/>
      <c r="I4811" s="567"/>
      <c r="J4811" s="18"/>
    </row>
    <row r="4812" spans="8:10" ht="15.75" hidden="1" customHeight="1">
      <c r="H4812" s="14"/>
      <c r="I4812" s="567"/>
      <c r="J4812" s="18"/>
    </row>
    <row r="4813" spans="8:10" ht="15.75" hidden="1" customHeight="1">
      <c r="H4813" s="14"/>
      <c r="I4813" s="567"/>
      <c r="J4813" s="18"/>
    </row>
    <row r="4814" spans="8:10" ht="15.75" hidden="1" customHeight="1">
      <c r="H4814" s="14"/>
      <c r="I4814" s="567"/>
      <c r="J4814" s="18"/>
    </row>
    <row r="4815" spans="8:10" ht="15.75" hidden="1" customHeight="1">
      <c r="H4815" s="14"/>
      <c r="I4815" s="567"/>
      <c r="J4815" s="18"/>
    </row>
    <row r="4816" spans="8:10" ht="15.75" hidden="1" customHeight="1">
      <c r="H4816" s="14"/>
      <c r="I4816" s="567"/>
      <c r="J4816" s="18"/>
    </row>
    <row r="4817" spans="8:10" ht="15.75" hidden="1" customHeight="1">
      <c r="H4817" s="14"/>
      <c r="I4817" s="567"/>
      <c r="J4817" s="18"/>
    </row>
    <row r="4818" spans="8:10" ht="15.75" hidden="1" customHeight="1">
      <c r="H4818" s="14"/>
      <c r="I4818" s="567"/>
      <c r="J4818" s="18"/>
    </row>
    <row r="4819" spans="8:10" ht="15.75" hidden="1" customHeight="1">
      <c r="H4819" s="14"/>
      <c r="I4819" s="567"/>
      <c r="J4819" s="18"/>
    </row>
    <row r="4820" spans="8:10" ht="15.75" hidden="1" customHeight="1">
      <c r="H4820" s="14"/>
      <c r="I4820" s="567"/>
      <c r="J4820" s="18"/>
    </row>
    <row r="4821" spans="8:10" ht="15.75" hidden="1" customHeight="1">
      <c r="H4821" s="14"/>
      <c r="I4821" s="567"/>
      <c r="J4821" s="18"/>
    </row>
    <row r="4822" spans="8:10" ht="15.75" hidden="1" customHeight="1">
      <c r="H4822" s="14"/>
      <c r="I4822" s="567"/>
      <c r="J4822" s="18"/>
    </row>
    <row r="4823" spans="8:10" ht="15.75" hidden="1" customHeight="1">
      <c r="H4823" s="14"/>
      <c r="I4823" s="567"/>
      <c r="J4823" s="18"/>
    </row>
    <row r="4824" spans="8:10" ht="15.75" hidden="1" customHeight="1">
      <c r="H4824" s="14"/>
      <c r="I4824" s="567"/>
      <c r="J4824" s="18"/>
    </row>
    <row r="4825" spans="8:10" ht="15.75" hidden="1" customHeight="1">
      <c r="H4825" s="14"/>
      <c r="I4825" s="567"/>
      <c r="J4825" s="18"/>
    </row>
    <row r="4826" spans="8:10" ht="15.75" hidden="1" customHeight="1">
      <c r="H4826" s="14"/>
      <c r="I4826" s="567"/>
      <c r="J4826" s="18"/>
    </row>
    <row r="4827" spans="8:10" ht="15.75" hidden="1" customHeight="1">
      <c r="H4827" s="14"/>
      <c r="I4827" s="567"/>
      <c r="J4827" s="18"/>
    </row>
    <row r="4828" spans="8:10" ht="15.75" hidden="1" customHeight="1">
      <c r="H4828" s="14"/>
      <c r="I4828" s="567"/>
      <c r="J4828" s="18"/>
    </row>
    <row r="4829" spans="8:10" ht="15.75" hidden="1" customHeight="1">
      <c r="H4829" s="14"/>
      <c r="I4829" s="567"/>
      <c r="J4829" s="18"/>
    </row>
    <row r="4830" spans="8:10" ht="15.75" hidden="1" customHeight="1">
      <c r="H4830" s="14"/>
      <c r="I4830" s="567"/>
      <c r="J4830" s="18"/>
    </row>
    <row r="4831" spans="8:10" ht="15.75" hidden="1" customHeight="1">
      <c r="H4831" s="14"/>
      <c r="I4831" s="567"/>
      <c r="J4831" s="18"/>
    </row>
    <row r="4832" spans="8:10" ht="15.75" hidden="1" customHeight="1">
      <c r="H4832" s="14"/>
      <c r="I4832" s="567"/>
      <c r="J4832" s="18"/>
    </row>
    <row r="4833" spans="8:10" ht="15.75" hidden="1" customHeight="1">
      <c r="H4833" s="14"/>
      <c r="I4833" s="567"/>
      <c r="J4833" s="18"/>
    </row>
    <row r="4834" spans="8:10" ht="15.75" hidden="1" customHeight="1">
      <c r="H4834" s="14"/>
      <c r="I4834" s="567"/>
      <c r="J4834" s="18"/>
    </row>
    <row r="4835" spans="8:10" ht="15.75" hidden="1" customHeight="1">
      <c r="H4835" s="14"/>
      <c r="I4835" s="567"/>
      <c r="J4835" s="18"/>
    </row>
    <row r="4836" spans="8:10" ht="15.75" hidden="1" customHeight="1">
      <c r="H4836" s="14"/>
      <c r="I4836" s="567"/>
      <c r="J4836" s="18"/>
    </row>
    <row r="4837" spans="8:10" ht="15.75" hidden="1" customHeight="1">
      <c r="H4837" s="14"/>
      <c r="I4837" s="567"/>
      <c r="J4837" s="18"/>
    </row>
    <row r="4838" spans="8:10" ht="15.75" hidden="1" customHeight="1">
      <c r="H4838" s="14"/>
      <c r="I4838" s="567"/>
      <c r="J4838" s="18"/>
    </row>
    <row r="4839" spans="8:10" ht="15.75" hidden="1" customHeight="1">
      <c r="H4839" s="14"/>
      <c r="I4839" s="567"/>
      <c r="J4839" s="18"/>
    </row>
    <row r="4840" spans="8:10" ht="15.75" hidden="1" customHeight="1">
      <c r="H4840" s="14"/>
      <c r="I4840" s="567"/>
      <c r="J4840" s="18"/>
    </row>
    <row r="4841" spans="8:10" ht="15.75" hidden="1" customHeight="1">
      <c r="H4841" s="14"/>
      <c r="I4841" s="567"/>
      <c r="J4841" s="18"/>
    </row>
    <row r="4842" spans="8:10" ht="15.75" hidden="1" customHeight="1">
      <c r="H4842" s="14"/>
      <c r="I4842" s="567"/>
      <c r="J4842" s="18"/>
    </row>
    <row r="4843" spans="8:10" ht="15.75" hidden="1" customHeight="1">
      <c r="H4843" s="14"/>
      <c r="I4843" s="567"/>
      <c r="J4843" s="18"/>
    </row>
    <row r="4844" spans="8:10" ht="15.75" hidden="1" customHeight="1">
      <c r="H4844" s="14"/>
      <c r="I4844" s="567"/>
      <c r="J4844" s="18"/>
    </row>
    <row r="4845" spans="8:10" ht="15.75" hidden="1" customHeight="1">
      <c r="H4845" s="14"/>
      <c r="I4845" s="567"/>
      <c r="J4845" s="18"/>
    </row>
    <row r="4846" spans="8:10" ht="15.75" hidden="1" customHeight="1">
      <c r="H4846" s="14"/>
      <c r="I4846" s="567"/>
      <c r="J4846" s="18"/>
    </row>
    <row r="4847" spans="8:10" ht="15.75" hidden="1" customHeight="1">
      <c r="H4847" s="14"/>
      <c r="I4847" s="567"/>
      <c r="J4847" s="18"/>
    </row>
    <row r="4848" spans="8:10" ht="15.75" hidden="1" customHeight="1">
      <c r="H4848" s="14"/>
      <c r="I4848" s="567"/>
      <c r="J4848" s="18"/>
    </row>
    <row r="4849" spans="8:10" ht="15.75" hidden="1" customHeight="1">
      <c r="H4849" s="14"/>
      <c r="I4849" s="567"/>
      <c r="J4849" s="18"/>
    </row>
    <row r="4850" spans="8:10" ht="15.75" hidden="1" customHeight="1">
      <c r="H4850" s="14"/>
      <c r="I4850" s="567"/>
      <c r="J4850" s="18"/>
    </row>
    <row r="4851" spans="8:10" ht="15.75" hidden="1" customHeight="1">
      <c r="H4851" s="14"/>
      <c r="I4851" s="567"/>
      <c r="J4851" s="18"/>
    </row>
    <row r="4852" spans="8:10" ht="15.75" hidden="1" customHeight="1">
      <c r="H4852" s="14"/>
      <c r="I4852" s="567"/>
      <c r="J4852" s="18"/>
    </row>
    <row r="4853" spans="8:10" ht="15.75" hidden="1" customHeight="1">
      <c r="H4853" s="14"/>
      <c r="I4853" s="567"/>
      <c r="J4853" s="18"/>
    </row>
    <row r="4854" spans="8:10" ht="15.75" hidden="1" customHeight="1">
      <c r="H4854" s="14"/>
      <c r="I4854" s="567"/>
      <c r="J4854" s="18"/>
    </row>
    <row r="4855" spans="8:10" ht="15.75" hidden="1" customHeight="1">
      <c r="H4855" s="14"/>
      <c r="I4855" s="567"/>
      <c r="J4855" s="18"/>
    </row>
    <row r="4856" spans="8:10" ht="15.75" hidden="1" customHeight="1">
      <c r="H4856" s="14"/>
      <c r="I4856" s="567"/>
      <c r="J4856" s="18"/>
    </row>
    <row r="4857" spans="8:10" ht="15.75" hidden="1" customHeight="1">
      <c r="H4857" s="14"/>
      <c r="I4857" s="567"/>
      <c r="J4857" s="18"/>
    </row>
    <row r="4858" spans="8:10" ht="15.75" hidden="1" customHeight="1">
      <c r="H4858" s="14"/>
      <c r="I4858" s="567"/>
      <c r="J4858" s="18"/>
    </row>
    <row r="4859" spans="8:10" ht="15.75" hidden="1" customHeight="1">
      <c r="H4859" s="14"/>
      <c r="I4859" s="567"/>
      <c r="J4859" s="18"/>
    </row>
    <row r="4860" spans="8:10" ht="15.75" hidden="1" customHeight="1">
      <c r="H4860" s="14"/>
      <c r="I4860" s="567"/>
      <c r="J4860" s="18"/>
    </row>
    <row r="4861" spans="8:10" ht="15.75" hidden="1" customHeight="1">
      <c r="H4861" s="14"/>
      <c r="I4861" s="567"/>
      <c r="J4861" s="18"/>
    </row>
    <row r="4862" spans="8:10" ht="15.75" hidden="1" customHeight="1">
      <c r="H4862" s="14"/>
      <c r="I4862" s="567"/>
      <c r="J4862" s="18"/>
    </row>
    <row r="4863" spans="8:10" ht="15.75" hidden="1" customHeight="1">
      <c r="H4863" s="14"/>
      <c r="I4863" s="567"/>
      <c r="J4863" s="18"/>
    </row>
    <row r="4864" spans="8:10" ht="15.75" hidden="1" customHeight="1">
      <c r="H4864" s="14"/>
      <c r="I4864" s="567"/>
      <c r="J4864" s="18"/>
    </row>
    <row r="4865" spans="8:10" ht="15.75" hidden="1" customHeight="1">
      <c r="H4865" s="14"/>
      <c r="I4865" s="567"/>
      <c r="J4865" s="18"/>
    </row>
    <row r="4866" spans="8:10" ht="15.75" hidden="1" customHeight="1">
      <c r="H4866" s="14"/>
      <c r="I4866" s="567"/>
      <c r="J4866" s="18"/>
    </row>
    <row r="4867" spans="8:10" ht="15.75" hidden="1" customHeight="1">
      <c r="H4867" s="14"/>
      <c r="I4867" s="567"/>
      <c r="J4867" s="18"/>
    </row>
    <row r="4868" spans="8:10" ht="15.75" hidden="1" customHeight="1">
      <c r="H4868" s="14"/>
      <c r="I4868" s="567"/>
      <c r="J4868" s="18"/>
    </row>
    <row r="4869" spans="8:10" ht="15.75" hidden="1" customHeight="1">
      <c r="H4869" s="14"/>
      <c r="I4869" s="567"/>
      <c r="J4869" s="18"/>
    </row>
    <row r="4870" spans="8:10" ht="15.75" hidden="1" customHeight="1">
      <c r="H4870" s="14"/>
      <c r="I4870" s="567"/>
      <c r="J4870" s="18"/>
    </row>
    <row r="4871" spans="8:10" ht="15.75" hidden="1" customHeight="1">
      <c r="H4871" s="14"/>
      <c r="I4871" s="567"/>
      <c r="J4871" s="18"/>
    </row>
    <row r="4872" spans="8:10" ht="15.75" hidden="1" customHeight="1">
      <c r="H4872" s="14"/>
      <c r="I4872" s="567"/>
      <c r="J4872" s="18"/>
    </row>
    <row r="4873" spans="8:10" ht="15.75" hidden="1" customHeight="1">
      <c r="H4873" s="14"/>
      <c r="I4873" s="567"/>
      <c r="J4873" s="18"/>
    </row>
    <row r="4874" spans="8:10" ht="15.75" hidden="1" customHeight="1">
      <c r="H4874" s="14"/>
      <c r="I4874" s="567"/>
      <c r="J4874" s="18"/>
    </row>
    <row r="4875" spans="8:10" ht="15.75" hidden="1" customHeight="1">
      <c r="H4875" s="14"/>
      <c r="I4875" s="567"/>
      <c r="J4875" s="18"/>
    </row>
    <row r="4876" spans="8:10" ht="15.75" hidden="1" customHeight="1">
      <c r="H4876" s="14"/>
      <c r="I4876" s="567"/>
      <c r="J4876" s="18"/>
    </row>
    <row r="4877" spans="8:10" ht="15.75" hidden="1" customHeight="1">
      <c r="H4877" s="14"/>
      <c r="I4877" s="567"/>
      <c r="J4877" s="18"/>
    </row>
    <row r="4878" spans="8:10" ht="15.75" hidden="1" customHeight="1">
      <c r="H4878" s="14"/>
      <c r="I4878" s="567"/>
      <c r="J4878" s="18"/>
    </row>
    <row r="4879" spans="8:10" ht="15.75" hidden="1" customHeight="1">
      <c r="H4879" s="14"/>
      <c r="I4879" s="567"/>
      <c r="J4879" s="18"/>
    </row>
    <row r="4880" spans="8:10" ht="15.75" hidden="1" customHeight="1">
      <c r="H4880" s="14"/>
      <c r="I4880" s="567"/>
      <c r="J4880" s="18"/>
    </row>
    <row r="4881" spans="8:10" ht="15.75" hidden="1" customHeight="1">
      <c r="H4881" s="14"/>
      <c r="I4881" s="567"/>
      <c r="J4881" s="18"/>
    </row>
    <row r="4882" spans="8:10" ht="15.75" hidden="1" customHeight="1">
      <c r="H4882" s="14"/>
      <c r="I4882" s="567"/>
      <c r="J4882" s="18"/>
    </row>
    <row r="4883" spans="8:10" ht="15.75" hidden="1" customHeight="1">
      <c r="H4883" s="14"/>
      <c r="I4883" s="567"/>
      <c r="J4883" s="18"/>
    </row>
    <row r="4884" spans="8:10" ht="15.75" hidden="1" customHeight="1">
      <c r="H4884" s="14"/>
      <c r="I4884" s="567"/>
      <c r="J4884" s="18"/>
    </row>
    <row r="4885" spans="8:10" ht="15.75" hidden="1" customHeight="1">
      <c r="H4885" s="14"/>
      <c r="I4885" s="567"/>
      <c r="J4885" s="18"/>
    </row>
    <row r="4886" spans="8:10" ht="15.75" hidden="1" customHeight="1">
      <c r="H4886" s="14"/>
      <c r="I4886" s="567"/>
      <c r="J4886" s="18"/>
    </row>
    <row r="4887" spans="8:10" ht="15.75" hidden="1" customHeight="1">
      <c r="H4887" s="14"/>
      <c r="I4887" s="567"/>
      <c r="J4887" s="18"/>
    </row>
    <row r="4888" spans="8:10" ht="15.75" hidden="1" customHeight="1">
      <c r="H4888" s="14"/>
      <c r="I4888" s="567"/>
      <c r="J4888" s="18"/>
    </row>
    <row r="4889" spans="8:10" ht="15.75" hidden="1" customHeight="1">
      <c r="H4889" s="14"/>
      <c r="I4889" s="567"/>
      <c r="J4889" s="18"/>
    </row>
    <row r="4890" spans="8:10" ht="15.75" hidden="1" customHeight="1">
      <c r="H4890" s="14"/>
      <c r="I4890" s="567"/>
      <c r="J4890" s="18"/>
    </row>
    <row r="4891" spans="8:10" ht="15.75" hidden="1" customHeight="1">
      <c r="H4891" s="14"/>
      <c r="I4891" s="567"/>
      <c r="J4891" s="18"/>
    </row>
    <row r="4892" spans="8:10" ht="15.75" hidden="1" customHeight="1">
      <c r="H4892" s="14"/>
      <c r="I4892" s="567"/>
      <c r="J4892" s="18"/>
    </row>
    <row r="4893" spans="8:10" ht="15.75" hidden="1" customHeight="1">
      <c r="H4893" s="14"/>
      <c r="I4893" s="567"/>
      <c r="J4893" s="18"/>
    </row>
    <row r="4894" spans="8:10" ht="15.75" hidden="1" customHeight="1">
      <c r="H4894" s="14"/>
      <c r="I4894" s="567"/>
      <c r="J4894" s="18"/>
    </row>
    <row r="4895" spans="8:10" ht="15.75" hidden="1" customHeight="1">
      <c r="H4895" s="14"/>
      <c r="I4895" s="567"/>
      <c r="J4895" s="18"/>
    </row>
    <row r="4896" spans="8:10" ht="15.75" hidden="1" customHeight="1">
      <c r="H4896" s="14"/>
      <c r="I4896" s="567"/>
      <c r="J4896" s="18"/>
    </row>
    <row r="4897" spans="8:10" ht="15.75" hidden="1" customHeight="1">
      <c r="H4897" s="14"/>
      <c r="I4897" s="567"/>
      <c r="J4897" s="18"/>
    </row>
    <row r="4898" spans="8:10" ht="15.75" hidden="1" customHeight="1">
      <c r="H4898" s="14"/>
      <c r="I4898" s="567"/>
      <c r="J4898" s="18"/>
    </row>
    <row r="4899" spans="8:10" ht="15.75" hidden="1" customHeight="1">
      <c r="H4899" s="14"/>
      <c r="I4899" s="567"/>
      <c r="J4899" s="18"/>
    </row>
    <row r="4900" spans="8:10" ht="15.75" hidden="1" customHeight="1">
      <c r="H4900" s="14"/>
      <c r="I4900" s="567"/>
      <c r="J4900" s="18"/>
    </row>
    <row r="4901" spans="8:10" ht="15.75" hidden="1" customHeight="1">
      <c r="H4901" s="14"/>
      <c r="I4901" s="567"/>
      <c r="J4901" s="18"/>
    </row>
    <row r="4902" spans="8:10" ht="15.75" hidden="1" customHeight="1">
      <c r="H4902" s="14"/>
      <c r="I4902" s="567"/>
      <c r="J4902" s="18"/>
    </row>
    <row r="4903" spans="8:10" ht="15.75" hidden="1" customHeight="1">
      <c r="H4903" s="14"/>
      <c r="I4903" s="567"/>
      <c r="J4903" s="18"/>
    </row>
    <row r="4904" spans="8:10" ht="15.75" hidden="1" customHeight="1">
      <c r="H4904" s="14"/>
      <c r="I4904" s="567"/>
      <c r="J4904" s="18"/>
    </row>
    <row r="4905" spans="8:10" ht="15.75" hidden="1" customHeight="1">
      <c r="H4905" s="14"/>
      <c r="I4905" s="567"/>
      <c r="J4905" s="18"/>
    </row>
    <row r="4906" spans="8:10" ht="15.75" hidden="1" customHeight="1">
      <c r="H4906" s="14"/>
      <c r="I4906" s="567"/>
      <c r="J4906" s="18"/>
    </row>
    <row r="4907" spans="8:10" ht="15.75" hidden="1" customHeight="1">
      <c r="H4907" s="14"/>
      <c r="I4907" s="567"/>
      <c r="J4907" s="18"/>
    </row>
    <row r="4908" spans="8:10" ht="15.75" hidden="1" customHeight="1">
      <c r="H4908" s="14"/>
      <c r="I4908" s="567"/>
      <c r="J4908" s="18"/>
    </row>
    <row r="4909" spans="8:10" ht="15.75" hidden="1" customHeight="1">
      <c r="H4909" s="14"/>
      <c r="I4909" s="567"/>
      <c r="J4909" s="18"/>
    </row>
    <row r="4910" spans="8:10" ht="15.75" hidden="1" customHeight="1">
      <c r="H4910" s="14"/>
      <c r="I4910" s="567"/>
      <c r="J4910" s="18"/>
    </row>
    <row r="4911" spans="8:10" ht="15.75" hidden="1" customHeight="1">
      <c r="H4911" s="14"/>
      <c r="I4911" s="567"/>
      <c r="J4911" s="18"/>
    </row>
    <row r="4912" spans="8:10" ht="15.75" hidden="1" customHeight="1">
      <c r="H4912" s="14"/>
      <c r="I4912" s="567"/>
      <c r="J4912" s="18"/>
    </row>
    <row r="4913" spans="8:10" ht="15.75" hidden="1" customHeight="1">
      <c r="H4913" s="14"/>
      <c r="I4913" s="567"/>
      <c r="J4913" s="18"/>
    </row>
    <row r="4914" spans="8:10" ht="15.75" hidden="1" customHeight="1">
      <c r="H4914" s="14"/>
      <c r="I4914" s="567"/>
      <c r="J4914" s="18"/>
    </row>
    <row r="4915" spans="8:10" ht="15.75" hidden="1" customHeight="1">
      <c r="H4915" s="14"/>
      <c r="I4915" s="567"/>
      <c r="J4915" s="18"/>
    </row>
    <row r="4916" spans="8:10" ht="15.75" hidden="1" customHeight="1">
      <c r="H4916" s="14"/>
      <c r="I4916" s="567"/>
      <c r="J4916" s="18"/>
    </row>
    <row r="4917" spans="8:10" ht="15.75" hidden="1" customHeight="1">
      <c r="H4917" s="14"/>
      <c r="I4917" s="567"/>
      <c r="J4917" s="18"/>
    </row>
    <row r="4918" spans="8:10" ht="15.75" hidden="1" customHeight="1">
      <c r="H4918" s="14"/>
      <c r="I4918" s="567"/>
      <c r="J4918" s="18"/>
    </row>
    <row r="4919" spans="8:10" ht="15.75" hidden="1" customHeight="1">
      <c r="H4919" s="14"/>
      <c r="I4919" s="567"/>
      <c r="J4919" s="18"/>
    </row>
    <row r="4920" spans="8:10" ht="15.75" hidden="1" customHeight="1">
      <c r="H4920" s="14"/>
      <c r="I4920" s="567"/>
      <c r="J4920" s="18"/>
    </row>
    <row r="4921" spans="8:10" ht="15.75" hidden="1" customHeight="1">
      <c r="H4921" s="14"/>
      <c r="I4921" s="567"/>
      <c r="J4921" s="18"/>
    </row>
    <row r="4922" spans="8:10" ht="15.75" hidden="1" customHeight="1">
      <c r="H4922" s="14"/>
      <c r="I4922" s="567"/>
      <c r="J4922" s="18"/>
    </row>
    <row r="4923" spans="8:10" ht="15.75" hidden="1" customHeight="1">
      <c r="H4923" s="14"/>
      <c r="I4923" s="567"/>
      <c r="J4923" s="18"/>
    </row>
    <row r="4924" spans="8:10" ht="15.75" hidden="1" customHeight="1">
      <c r="H4924" s="14"/>
      <c r="I4924" s="567"/>
      <c r="J4924" s="18"/>
    </row>
    <row r="4925" spans="8:10" ht="15.75" hidden="1" customHeight="1">
      <c r="H4925" s="14"/>
      <c r="I4925" s="567"/>
      <c r="J4925" s="18"/>
    </row>
    <row r="4926" spans="8:10" ht="15.75" hidden="1" customHeight="1">
      <c r="H4926" s="14"/>
      <c r="I4926" s="567"/>
      <c r="J4926" s="18"/>
    </row>
    <row r="4927" spans="8:10" ht="15.75" hidden="1" customHeight="1">
      <c r="H4927" s="14"/>
      <c r="I4927" s="567"/>
      <c r="J4927" s="18"/>
    </row>
    <row r="4928" spans="8:10" ht="15.75" hidden="1" customHeight="1">
      <c r="H4928" s="14"/>
      <c r="I4928" s="567"/>
      <c r="J4928" s="18"/>
    </row>
    <row r="4929" spans="1:10" ht="15.75" hidden="1" customHeight="1">
      <c r="H4929" s="14"/>
      <c r="I4929" s="567"/>
      <c r="J4929" s="18"/>
    </row>
    <row r="4930" spans="1:10" ht="15.75" hidden="1" customHeight="1">
      <c r="H4930" s="14"/>
      <c r="I4930" s="567"/>
      <c r="J4930" s="18"/>
    </row>
    <row r="4931" spans="1:10" ht="15.75" hidden="1" customHeight="1">
      <c r="H4931" s="14"/>
      <c r="I4931" s="567"/>
      <c r="J4931" s="18"/>
    </row>
    <row r="4932" spans="1:10" ht="15.75" hidden="1" customHeight="1">
      <c r="H4932" s="14"/>
      <c r="I4932" s="567"/>
      <c r="J4932" s="18"/>
    </row>
    <row r="4933" spans="1:10" ht="15.75" hidden="1" customHeight="1">
      <c r="H4933" s="14"/>
      <c r="I4933" s="567"/>
      <c r="J4933" s="18"/>
    </row>
    <row r="4934" spans="1:10" ht="15.75" hidden="1" customHeight="1">
      <c r="H4934" s="14"/>
      <c r="I4934" s="567"/>
      <c r="J4934" s="18"/>
    </row>
    <row r="4935" spans="1:10" ht="15.75" hidden="1" customHeight="1">
      <c r="H4935" s="14"/>
      <c r="I4935" s="567"/>
      <c r="J4935" s="18"/>
    </row>
    <row r="4936" spans="1:10" ht="15.75" hidden="1" customHeight="1">
      <c r="H4936" s="14"/>
      <c r="I4936" s="567"/>
      <c r="J4936" s="18"/>
    </row>
    <row r="4937" spans="1:10" ht="15.75" hidden="1" customHeight="1">
      <c r="A4937" s="8"/>
      <c r="C4937" s="8"/>
      <c r="F4937" s="8"/>
      <c r="H4937" s="14"/>
      <c r="I4937" s="567"/>
      <c r="J4937" s="18"/>
    </row>
    <row r="4938" spans="1:10" ht="15.75" hidden="1" customHeight="1">
      <c r="A4938" s="8"/>
      <c r="C4938" s="8"/>
      <c r="F4938" s="8"/>
      <c r="H4938" s="14"/>
      <c r="I4938" s="567"/>
      <c r="J4938" s="18"/>
    </row>
    <row r="4939" spans="1:10" ht="15.75" hidden="1" customHeight="1">
      <c r="A4939" s="8"/>
      <c r="C4939" s="8"/>
      <c r="F4939" s="8"/>
      <c r="H4939" s="14"/>
      <c r="I4939" s="567"/>
      <c r="J4939" s="18"/>
    </row>
    <row r="4940" spans="1:10" ht="15.75" hidden="1" customHeight="1">
      <c r="A4940" s="8"/>
      <c r="C4940" s="8"/>
      <c r="F4940" s="8"/>
      <c r="H4940" s="14"/>
      <c r="I4940" s="567"/>
      <c r="J4940" s="18"/>
    </row>
    <row r="4941" spans="1:10" ht="15.75" hidden="1" customHeight="1">
      <c r="A4941" s="8"/>
      <c r="C4941" s="8"/>
      <c r="F4941" s="8"/>
      <c r="H4941" s="14"/>
      <c r="I4941" s="567"/>
      <c r="J4941" s="18"/>
    </row>
    <row r="4942" spans="1:10" ht="15.75" hidden="1" customHeight="1">
      <c r="A4942" s="8"/>
      <c r="C4942" s="8"/>
      <c r="F4942" s="8"/>
      <c r="H4942" s="14"/>
      <c r="I4942" s="567"/>
      <c r="J4942" s="18"/>
    </row>
    <row r="4943" spans="1:10" ht="15.75" hidden="1" customHeight="1">
      <c r="A4943" s="8"/>
      <c r="C4943" s="8"/>
      <c r="F4943" s="8"/>
      <c r="H4943" s="14"/>
      <c r="I4943" s="567"/>
      <c r="J4943" s="18"/>
    </row>
    <row r="4944" spans="1:10" ht="15.75" hidden="1" customHeight="1">
      <c r="A4944" s="8"/>
      <c r="C4944" s="8"/>
      <c r="F4944" s="8"/>
      <c r="H4944" s="14"/>
      <c r="I4944" s="567"/>
      <c r="J4944" s="18"/>
    </row>
    <row r="4945" spans="1:10" ht="15.75" hidden="1" customHeight="1">
      <c r="A4945" s="8"/>
      <c r="C4945" s="8"/>
      <c r="F4945" s="8"/>
      <c r="H4945" s="14"/>
      <c r="I4945" s="567"/>
      <c r="J4945" s="18"/>
    </row>
    <row r="4946" spans="1:10" ht="15.75" hidden="1" customHeight="1">
      <c r="A4946" s="8"/>
      <c r="C4946" s="8"/>
      <c r="F4946" s="8"/>
      <c r="H4946" s="14"/>
      <c r="I4946" s="567"/>
      <c r="J4946" s="18"/>
    </row>
    <row r="4947" spans="1:10" ht="15.75" hidden="1" customHeight="1">
      <c r="A4947" s="8"/>
      <c r="C4947" s="8"/>
      <c r="F4947" s="8"/>
      <c r="H4947" s="14"/>
      <c r="I4947" s="567"/>
      <c r="J4947" s="18"/>
    </row>
    <row r="4948" spans="1:10" ht="15.75" hidden="1" customHeight="1">
      <c r="A4948" s="8"/>
      <c r="C4948" s="8"/>
      <c r="F4948" s="8"/>
      <c r="H4948" s="14"/>
      <c r="I4948" s="567"/>
      <c r="J4948" s="18"/>
    </row>
    <row r="4949" spans="1:10" ht="15.75" hidden="1" customHeight="1">
      <c r="A4949" s="8"/>
      <c r="C4949" s="8"/>
      <c r="F4949" s="8"/>
      <c r="H4949" s="14"/>
      <c r="I4949" s="567"/>
      <c r="J4949" s="18"/>
    </row>
    <row r="4950" spans="1:10" ht="15.75" hidden="1" customHeight="1">
      <c r="A4950" s="8"/>
      <c r="C4950" s="8"/>
      <c r="F4950" s="8"/>
      <c r="H4950" s="14"/>
      <c r="I4950" s="567"/>
      <c r="J4950" s="18"/>
    </row>
    <row r="4951" spans="1:10" ht="15.75" hidden="1" customHeight="1">
      <c r="A4951" s="8"/>
      <c r="C4951" s="8"/>
      <c r="F4951" s="8"/>
      <c r="H4951" s="14"/>
      <c r="I4951" s="567"/>
      <c r="J4951" s="18"/>
    </row>
    <row r="4952" spans="1:10" ht="15.75" hidden="1" customHeight="1">
      <c r="A4952" s="8"/>
      <c r="C4952" s="8"/>
      <c r="F4952" s="8"/>
      <c r="H4952" s="14"/>
      <c r="I4952" s="567"/>
      <c r="J4952" s="18"/>
    </row>
    <row r="4953" spans="1:10" ht="15.75" hidden="1" customHeight="1">
      <c r="A4953" s="8"/>
      <c r="C4953" s="8"/>
      <c r="F4953" s="8"/>
      <c r="H4953" s="14"/>
      <c r="I4953" s="567"/>
      <c r="J4953" s="18"/>
    </row>
    <row r="4954" spans="1:10" ht="15.75" hidden="1" customHeight="1">
      <c r="A4954" s="8"/>
      <c r="C4954" s="8"/>
      <c r="F4954" s="8"/>
      <c r="H4954" s="14"/>
      <c r="I4954" s="567"/>
      <c r="J4954" s="18"/>
    </row>
    <row r="4955" spans="1:10" ht="15.75" hidden="1" customHeight="1">
      <c r="A4955" s="8"/>
      <c r="C4955" s="8"/>
      <c r="F4955" s="8"/>
      <c r="H4955" s="14"/>
      <c r="I4955" s="567"/>
      <c r="J4955" s="18"/>
    </row>
    <row r="4956" spans="1:10" ht="15.75" hidden="1" customHeight="1">
      <c r="A4956" s="8"/>
      <c r="C4956" s="8"/>
      <c r="F4956" s="8"/>
      <c r="H4956" s="14"/>
      <c r="I4956" s="567"/>
      <c r="J4956" s="18"/>
    </row>
    <row r="4957" spans="1:10" ht="15.75" hidden="1" customHeight="1">
      <c r="A4957" s="8"/>
      <c r="C4957" s="8"/>
      <c r="F4957" s="8"/>
      <c r="H4957" s="14"/>
      <c r="I4957" s="567"/>
      <c r="J4957" s="18"/>
    </row>
    <row r="4958" spans="1:10" ht="15.75" hidden="1" customHeight="1">
      <c r="A4958" s="8"/>
      <c r="C4958" s="8"/>
      <c r="F4958" s="8"/>
      <c r="H4958" s="14"/>
      <c r="I4958" s="567"/>
      <c r="J4958" s="18"/>
    </row>
    <row r="4959" spans="1:10" ht="15.75" hidden="1" customHeight="1">
      <c r="A4959" s="8"/>
      <c r="C4959" s="8"/>
      <c r="F4959" s="8"/>
      <c r="H4959" s="14"/>
      <c r="I4959" s="567"/>
      <c r="J4959" s="18"/>
    </row>
    <row r="4960" spans="1:10" ht="15.75" hidden="1" customHeight="1">
      <c r="A4960" s="8"/>
      <c r="C4960" s="8"/>
      <c r="F4960" s="8"/>
      <c r="H4960" s="14"/>
      <c r="I4960" s="567"/>
      <c r="J4960" s="18"/>
    </row>
    <row r="4961" spans="1:10" ht="15.75" hidden="1" customHeight="1">
      <c r="A4961" s="8"/>
      <c r="C4961" s="8"/>
      <c r="F4961" s="8"/>
      <c r="H4961" s="14"/>
      <c r="I4961" s="567"/>
      <c r="J4961" s="18"/>
    </row>
    <row r="4962" spans="1:10" ht="15.75" hidden="1" customHeight="1">
      <c r="A4962" s="8"/>
      <c r="C4962" s="8"/>
      <c r="F4962" s="8"/>
      <c r="H4962" s="14"/>
      <c r="I4962" s="567"/>
      <c r="J4962" s="18"/>
    </row>
    <row r="4963" spans="1:10" ht="15.75" hidden="1" customHeight="1">
      <c r="A4963" s="8"/>
      <c r="C4963" s="8"/>
      <c r="F4963" s="8"/>
      <c r="H4963" s="14"/>
      <c r="I4963" s="567"/>
      <c r="J4963" s="18"/>
    </row>
    <row r="4964" spans="1:10" ht="15.75" hidden="1" customHeight="1">
      <c r="A4964" s="8"/>
      <c r="C4964" s="8"/>
      <c r="F4964" s="8"/>
      <c r="H4964" s="14"/>
      <c r="I4964" s="567"/>
      <c r="J4964" s="18"/>
    </row>
    <row r="4965" spans="1:10" ht="15.75" hidden="1" customHeight="1">
      <c r="A4965" s="8"/>
      <c r="C4965" s="8"/>
      <c r="F4965" s="8"/>
      <c r="H4965" s="14"/>
      <c r="I4965" s="567"/>
      <c r="J4965" s="18"/>
    </row>
    <row r="4966" spans="1:10" ht="15.75" hidden="1" customHeight="1">
      <c r="A4966" s="8"/>
      <c r="C4966" s="8"/>
      <c r="F4966" s="8"/>
      <c r="H4966" s="14"/>
      <c r="I4966" s="567"/>
      <c r="J4966" s="18"/>
    </row>
    <row r="4967" spans="1:10" ht="15.75" hidden="1" customHeight="1">
      <c r="A4967" s="8"/>
      <c r="C4967" s="8"/>
      <c r="F4967" s="8"/>
      <c r="H4967" s="14"/>
      <c r="I4967" s="567"/>
      <c r="J4967" s="18"/>
    </row>
    <row r="4968" spans="1:10" ht="15.75" hidden="1" customHeight="1">
      <c r="A4968" s="8"/>
      <c r="C4968" s="8"/>
      <c r="F4968" s="8"/>
      <c r="H4968" s="14"/>
      <c r="I4968" s="567"/>
      <c r="J4968" s="18"/>
    </row>
    <row r="4969" spans="1:10" ht="15.75" hidden="1" customHeight="1">
      <c r="A4969" s="8"/>
      <c r="C4969" s="8"/>
      <c r="F4969" s="8"/>
      <c r="H4969" s="14"/>
      <c r="I4969" s="567"/>
      <c r="J4969" s="18"/>
    </row>
    <row r="4970" spans="1:10" ht="15.75" hidden="1" customHeight="1">
      <c r="A4970" s="8"/>
      <c r="C4970" s="8"/>
      <c r="F4970" s="8"/>
      <c r="H4970" s="14"/>
      <c r="I4970" s="567"/>
      <c r="J4970" s="18"/>
    </row>
    <row r="4971" spans="1:10" ht="15.75" hidden="1" customHeight="1">
      <c r="A4971" s="8"/>
      <c r="C4971" s="8"/>
      <c r="F4971" s="8"/>
      <c r="H4971" s="14"/>
      <c r="I4971" s="567"/>
      <c r="J4971" s="18"/>
    </row>
    <row r="4972" spans="1:10" ht="15.75" hidden="1" customHeight="1">
      <c r="A4972" s="8"/>
      <c r="C4972" s="8"/>
      <c r="F4972" s="8"/>
      <c r="H4972" s="14"/>
      <c r="I4972" s="567"/>
      <c r="J4972" s="18"/>
    </row>
    <row r="4973" spans="1:10" ht="15.75" hidden="1" customHeight="1">
      <c r="A4973" s="8"/>
      <c r="C4973" s="8"/>
      <c r="F4973" s="8"/>
      <c r="H4973" s="14"/>
      <c r="I4973" s="567"/>
      <c r="J4973" s="18"/>
    </row>
    <row r="4974" spans="1:10" ht="15.75" hidden="1" customHeight="1">
      <c r="A4974" s="8"/>
      <c r="C4974" s="8"/>
      <c r="F4974" s="8"/>
      <c r="H4974" s="14"/>
      <c r="I4974" s="567"/>
      <c r="J4974" s="18"/>
    </row>
    <row r="4975" spans="1:10" ht="15.75" hidden="1" customHeight="1">
      <c r="A4975" s="8"/>
      <c r="C4975" s="8"/>
      <c r="F4975" s="8"/>
      <c r="H4975" s="14"/>
      <c r="I4975" s="567"/>
      <c r="J4975" s="18"/>
    </row>
    <row r="4976" spans="1:10" ht="15.75" hidden="1" customHeight="1">
      <c r="A4976" s="8"/>
      <c r="C4976" s="8"/>
      <c r="F4976" s="8"/>
      <c r="H4976" s="14"/>
      <c r="I4976" s="567"/>
      <c r="J4976" s="18"/>
    </row>
    <row r="4977" spans="1:10" ht="15.75" hidden="1" customHeight="1">
      <c r="A4977" s="8"/>
      <c r="C4977" s="8"/>
      <c r="F4977" s="8"/>
      <c r="H4977" s="14"/>
      <c r="I4977" s="567"/>
      <c r="J4977" s="18"/>
    </row>
    <row r="4978" spans="1:10" ht="15.75" hidden="1" customHeight="1">
      <c r="A4978" s="8"/>
      <c r="C4978" s="8"/>
      <c r="F4978" s="8"/>
      <c r="H4978" s="14"/>
      <c r="I4978" s="567"/>
      <c r="J4978" s="18"/>
    </row>
    <row r="4979" spans="1:10" ht="15.75" hidden="1" customHeight="1">
      <c r="A4979" s="8"/>
      <c r="C4979" s="8"/>
      <c r="F4979" s="8"/>
      <c r="H4979" s="14"/>
      <c r="I4979" s="567"/>
      <c r="J4979" s="18"/>
    </row>
    <row r="4980" spans="1:10" ht="15.75" hidden="1" customHeight="1">
      <c r="A4980" s="8"/>
      <c r="C4980" s="8"/>
      <c r="F4980" s="8"/>
      <c r="H4980" s="14"/>
      <c r="I4980" s="567"/>
      <c r="J4980" s="18"/>
    </row>
    <row r="4981" spans="1:10" ht="15.75" hidden="1" customHeight="1">
      <c r="A4981" s="8"/>
      <c r="C4981" s="8"/>
      <c r="F4981" s="8"/>
      <c r="H4981" s="14"/>
      <c r="I4981" s="567"/>
      <c r="J4981" s="18"/>
    </row>
    <row r="4982" spans="1:10" ht="15.75" hidden="1" customHeight="1">
      <c r="A4982" s="8"/>
      <c r="C4982" s="8"/>
      <c r="F4982" s="8"/>
      <c r="H4982" s="14"/>
      <c r="I4982" s="567"/>
      <c r="J4982" s="18"/>
    </row>
    <row r="4983" spans="1:10" ht="15.75" hidden="1" customHeight="1">
      <c r="A4983" s="8"/>
      <c r="C4983" s="8"/>
      <c r="F4983" s="8"/>
      <c r="H4983" s="14"/>
      <c r="I4983" s="567"/>
      <c r="J4983" s="18"/>
    </row>
    <row r="4984" spans="1:10" ht="15.75" hidden="1" customHeight="1">
      <c r="A4984" s="8"/>
      <c r="C4984" s="8"/>
      <c r="F4984" s="8"/>
      <c r="H4984" s="14"/>
      <c r="I4984" s="567"/>
      <c r="J4984" s="18"/>
    </row>
    <row r="4985" spans="1:10" ht="15.75" hidden="1" customHeight="1">
      <c r="A4985" s="8"/>
      <c r="C4985" s="8"/>
      <c r="F4985" s="8"/>
      <c r="H4985" s="14"/>
      <c r="I4985" s="567"/>
      <c r="J4985" s="18"/>
    </row>
    <row r="4986" spans="1:10" ht="15.75" hidden="1" customHeight="1">
      <c r="A4986" s="8"/>
      <c r="C4986" s="8"/>
      <c r="F4986" s="8"/>
      <c r="H4986" s="14"/>
      <c r="I4986" s="567"/>
      <c r="J4986" s="18"/>
    </row>
    <row r="4987" spans="1:10" ht="15.75" hidden="1" customHeight="1">
      <c r="A4987" s="8"/>
      <c r="C4987" s="8"/>
      <c r="F4987" s="8"/>
      <c r="H4987" s="14"/>
      <c r="I4987" s="567"/>
      <c r="J4987" s="18"/>
    </row>
    <row r="4988" spans="1:10" ht="15.75" hidden="1" customHeight="1">
      <c r="A4988" s="8"/>
      <c r="C4988" s="8"/>
      <c r="F4988" s="8"/>
      <c r="H4988" s="14"/>
      <c r="I4988" s="567"/>
      <c r="J4988" s="18"/>
    </row>
    <row r="4989" spans="1:10" ht="15.75" hidden="1" customHeight="1">
      <c r="A4989" s="8"/>
      <c r="C4989" s="8"/>
      <c r="F4989" s="8"/>
      <c r="H4989" s="14"/>
      <c r="I4989" s="567"/>
      <c r="J4989" s="18"/>
    </row>
    <row r="4990" spans="1:10" ht="15.75" hidden="1" customHeight="1">
      <c r="A4990" s="8"/>
      <c r="C4990" s="8"/>
      <c r="F4990" s="8"/>
      <c r="H4990" s="14"/>
      <c r="I4990" s="567"/>
      <c r="J4990" s="18"/>
    </row>
    <row r="4991" spans="1:10" ht="15.75" hidden="1" customHeight="1">
      <c r="A4991" s="8"/>
      <c r="C4991" s="8"/>
      <c r="F4991" s="8"/>
      <c r="H4991" s="14"/>
      <c r="I4991" s="567"/>
      <c r="J4991" s="18"/>
    </row>
    <row r="4992" spans="1:10" ht="15.75" hidden="1" customHeight="1">
      <c r="A4992" s="8"/>
      <c r="C4992" s="8"/>
      <c r="F4992" s="8"/>
      <c r="H4992" s="14"/>
      <c r="I4992" s="567"/>
      <c r="J4992" s="18"/>
    </row>
    <row r="4993" spans="1:10" ht="15.75" hidden="1" customHeight="1">
      <c r="A4993" s="8"/>
      <c r="C4993" s="8"/>
      <c r="F4993" s="8"/>
      <c r="H4993" s="14"/>
      <c r="I4993" s="567"/>
      <c r="J4993" s="18"/>
    </row>
    <row r="4994" spans="1:10" ht="15.75" hidden="1" customHeight="1">
      <c r="A4994" s="8"/>
      <c r="C4994" s="8"/>
      <c r="F4994" s="8"/>
      <c r="H4994" s="14"/>
      <c r="I4994" s="567"/>
      <c r="J4994" s="18"/>
    </row>
    <row r="4995" spans="1:10" ht="15.75" hidden="1" customHeight="1">
      <c r="A4995" s="8"/>
      <c r="C4995" s="8"/>
      <c r="F4995" s="8"/>
      <c r="H4995" s="14"/>
      <c r="I4995" s="567"/>
      <c r="J4995" s="18"/>
    </row>
    <row r="4996" spans="1:10" ht="15.75" hidden="1" customHeight="1">
      <c r="A4996" s="8"/>
      <c r="C4996" s="8"/>
      <c r="F4996" s="8"/>
      <c r="H4996" s="14"/>
      <c r="I4996" s="567"/>
      <c r="J4996" s="18"/>
    </row>
    <row r="4997" spans="1:10" ht="15.75" hidden="1" customHeight="1">
      <c r="A4997" s="8"/>
      <c r="C4997" s="8"/>
      <c r="F4997" s="8"/>
      <c r="H4997" s="14"/>
      <c r="I4997" s="567"/>
      <c r="J4997" s="18"/>
    </row>
    <row r="4998" spans="1:10" ht="15.75" hidden="1" customHeight="1">
      <c r="A4998" s="8"/>
      <c r="C4998" s="8"/>
      <c r="F4998" s="8"/>
      <c r="H4998" s="14"/>
      <c r="I4998" s="567"/>
      <c r="J4998" s="18"/>
    </row>
    <row r="4999" spans="1:10" ht="15.75" hidden="1" customHeight="1">
      <c r="A4999" s="8"/>
      <c r="C4999" s="8"/>
      <c r="F4999" s="8"/>
      <c r="H4999" s="14"/>
      <c r="I4999" s="567"/>
      <c r="J4999" s="18"/>
    </row>
    <row r="5000" spans="1:10" ht="15.75" hidden="1" customHeight="1">
      <c r="A5000" s="8"/>
      <c r="C5000" s="8"/>
      <c r="F5000" s="8"/>
      <c r="H5000" s="14"/>
      <c r="I5000" s="567"/>
      <c r="J5000" s="18"/>
    </row>
    <row r="5001" spans="1:10" ht="15.75" hidden="1" customHeight="1">
      <c r="A5001" s="8"/>
      <c r="C5001" s="8"/>
      <c r="F5001" s="8"/>
      <c r="H5001" s="14"/>
      <c r="I5001" s="567"/>
      <c r="J5001" s="18"/>
    </row>
    <row r="5002" spans="1:10" ht="15.75" hidden="1" customHeight="1">
      <c r="A5002" s="8"/>
      <c r="C5002" s="8"/>
      <c r="F5002" s="8"/>
      <c r="H5002" s="14"/>
      <c r="I5002" s="567"/>
      <c r="J5002" s="18"/>
    </row>
    <row r="5003" spans="1:10" ht="15.75" hidden="1" customHeight="1">
      <c r="A5003" s="8"/>
      <c r="C5003" s="8"/>
      <c r="F5003" s="8"/>
      <c r="H5003" s="14"/>
      <c r="I5003" s="567"/>
      <c r="J5003" s="18"/>
    </row>
    <row r="5004" spans="1:10" ht="15.75" hidden="1" customHeight="1">
      <c r="A5004" s="8"/>
      <c r="C5004" s="8"/>
      <c r="F5004" s="8"/>
      <c r="H5004" s="14"/>
      <c r="I5004" s="567"/>
      <c r="J5004" s="18"/>
    </row>
    <row r="5005" spans="1:10" ht="15.75" hidden="1" customHeight="1">
      <c r="A5005" s="8"/>
      <c r="C5005" s="8"/>
      <c r="F5005" s="8"/>
      <c r="H5005" s="14"/>
      <c r="I5005" s="567"/>
      <c r="J5005" s="18"/>
    </row>
    <row r="5006" spans="1:10" ht="15.75" hidden="1" customHeight="1">
      <c r="A5006" s="8"/>
      <c r="C5006" s="8"/>
      <c r="F5006" s="8"/>
      <c r="H5006" s="14"/>
      <c r="I5006" s="567"/>
      <c r="J5006" s="18"/>
    </row>
    <row r="5007" spans="1:10" ht="15.75" hidden="1" customHeight="1">
      <c r="A5007" s="8"/>
      <c r="C5007" s="8"/>
      <c r="F5007" s="8"/>
      <c r="H5007" s="14"/>
      <c r="I5007" s="567"/>
      <c r="J5007" s="18"/>
    </row>
    <row r="5008" spans="1:10" ht="15.75" hidden="1" customHeight="1">
      <c r="A5008" s="8"/>
      <c r="C5008" s="8"/>
      <c r="F5008" s="8"/>
      <c r="H5008" s="14"/>
      <c r="I5008" s="567"/>
      <c r="J5008" s="18"/>
    </row>
    <row r="5009" spans="1:10" ht="15.75" hidden="1" customHeight="1">
      <c r="A5009" s="8"/>
      <c r="C5009" s="8"/>
      <c r="F5009" s="8"/>
      <c r="H5009" s="14"/>
      <c r="I5009" s="567"/>
      <c r="J5009" s="18"/>
    </row>
    <row r="5010" spans="1:10" ht="15.75" hidden="1" customHeight="1">
      <c r="A5010" s="8"/>
      <c r="C5010" s="8"/>
      <c r="F5010" s="8"/>
      <c r="H5010" s="14"/>
      <c r="I5010" s="567"/>
      <c r="J5010" s="18"/>
    </row>
    <row r="5011" spans="1:10" ht="15.75" hidden="1" customHeight="1">
      <c r="A5011" s="8"/>
      <c r="C5011" s="8"/>
      <c r="F5011" s="8"/>
      <c r="H5011" s="14"/>
      <c r="I5011" s="567"/>
      <c r="J5011" s="18"/>
    </row>
    <row r="5012" spans="1:10" ht="15.75" hidden="1" customHeight="1">
      <c r="A5012" s="8"/>
      <c r="C5012" s="8"/>
      <c r="F5012" s="8"/>
      <c r="H5012" s="14"/>
      <c r="I5012" s="567"/>
      <c r="J5012" s="18"/>
    </row>
    <row r="5013" spans="1:10" ht="15.75" hidden="1" customHeight="1">
      <c r="A5013" s="8"/>
      <c r="C5013" s="8"/>
      <c r="F5013" s="8"/>
      <c r="H5013" s="14"/>
      <c r="I5013" s="567"/>
      <c r="J5013" s="18"/>
    </row>
    <row r="5014" spans="1:10" ht="15.75" hidden="1" customHeight="1">
      <c r="A5014" s="8"/>
      <c r="C5014" s="8"/>
      <c r="F5014" s="8"/>
      <c r="H5014" s="14"/>
      <c r="I5014" s="567"/>
      <c r="J5014" s="18"/>
    </row>
    <row r="5015" spans="1:10" ht="15.75" hidden="1" customHeight="1">
      <c r="A5015" s="8"/>
      <c r="C5015" s="8"/>
      <c r="F5015" s="8"/>
      <c r="H5015" s="14"/>
      <c r="I5015" s="567"/>
      <c r="J5015" s="18"/>
    </row>
    <row r="5016" spans="1:10" ht="15.75" hidden="1" customHeight="1">
      <c r="A5016" s="8"/>
      <c r="C5016" s="8"/>
      <c r="F5016" s="8"/>
      <c r="H5016" s="14"/>
      <c r="I5016" s="567"/>
      <c r="J5016" s="18"/>
    </row>
    <row r="5017" spans="1:10" ht="15.75" hidden="1" customHeight="1">
      <c r="A5017" s="8"/>
      <c r="C5017" s="8"/>
      <c r="F5017" s="8"/>
      <c r="H5017" s="14"/>
      <c r="I5017" s="567"/>
      <c r="J5017" s="18"/>
    </row>
    <row r="5018" spans="1:10" ht="15.75" hidden="1" customHeight="1">
      <c r="A5018" s="8"/>
      <c r="C5018" s="8"/>
      <c r="F5018" s="8"/>
      <c r="H5018" s="14"/>
      <c r="I5018" s="567"/>
      <c r="J5018" s="18"/>
    </row>
    <row r="5019" spans="1:10" ht="15.75" hidden="1" customHeight="1">
      <c r="A5019" s="8"/>
      <c r="C5019" s="8"/>
      <c r="F5019" s="8"/>
      <c r="H5019" s="14"/>
      <c r="I5019" s="567"/>
      <c r="J5019" s="18"/>
    </row>
    <row r="5020" spans="1:10" ht="15.75" hidden="1" customHeight="1">
      <c r="A5020" s="8"/>
      <c r="C5020" s="8"/>
      <c r="F5020" s="8"/>
      <c r="H5020" s="14"/>
      <c r="I5020" s="567"/>
      <c r="J5020" s="18"/>
    </row>
    <row r="5021" spans="1:10" ht="15.75" hidden="1" customHeight="1">
      <c r="A5021" s="8"/>
      <c r="C5021" s="8"/>
      <c r="F5021" s="8"/>
      <c r="H5021" s="14"/>
      <c r="I5021" s="567"/>
      <c r="J5021" s="18"/>
    </row>
    <row r="5022" spans="1:10" ht="15.75" hidden="1" customHeight="1">
      <c r="A5022" s="8"/>
      <c r="C5022" s="8"/>
      <c r="F5022" s="8"/>
      <c r="H5022" s="14"/>
      <c r="I5022" s="567"/>
      <c r="J5022" s="18"/>
    </row>
    <row r="5023" spans="1:10" ht="15.75" hidden="1" customHeight="1">
      <c r="A5023" s="8"/>
      <c r="C5023" s="8"/>
      <c r="F5023" s="8"/>
      <c r="H5023" s="14"/>
      <c r="I5023" s="567"/>
      <c r="J5023" s="18"/>
    </row>
    <row r="5024" spans="1:10" ht="15.75" hidden="1" customHeight="1">
      <c r="A5024" s="8"/>
      <c r="C5024" s="8"/>
      <c r="F5024" s="8"/>
      <c r="H5024" s="14"/>
      <c r="I5024" s="567"/>
      <c r="J5024" s="18"/>
    </row>
    <row r="5025" spans="1:10" ht="15.75" hidden="1" customHeight="1">
      <c r="A5025" s="8"/>
      <c r="C5025" s="8"/>
      <c r="F5025" s="8"/>
      <c r="H5025" s="14"/>
      <c r="I5025" s="567"/>
      <c r="J5025" s="18"/>
    </row>
    <row r="5026" spans="1:10" ht="15.75" hidden="1" customHeight="1">
      <c r="A5026" s="8"/>
      <c r="C5026" s="8"/>
      <c r="F5026" s="8"/>
      <c r="H5026" s="14"/>
      <c r="I5026" s="567"/>
      <c r="J5026" s="18"/>
    </row>
    <row r="5027" spans="1:10" ht="15.75" hidden="1" customHeight="1">
      <c r="A5027" s="8"/>
      <c r="C5027" s="8"/>
      <c r="F5027" s="8"/>
      <c r="H5027" s="14"/>
      <c r="I5027" s="567"/>
      <c r="J5027" s="18"/>
    </row>
    <row r="5028" spans="1:10" ht="15.75" hidden="1" customHeight="1">
      <c r="A5028" s="8"/>
      <c r="C5028" s="8"/>
      <c r="F5028" s="8"/>
      <c r="H5028" s="14"/>
      <c r="I5028" s="567"/>
      <c r="J5028" s="18"/>
    </row>
    <row r="5029" spans="1:10" ht="15.75" hidden="1" customHeight="1">
      <c r="A5029" s="8"/>
      <c r="C5029" s="8"/>
      <c r="F5029" s="8"/>
      <c r="H5029" s="14"/>
      <c r="I5029" s="567"/>
      <c r="J5029" s="18"/>
    </row>
    <row r="5030" spans="1:10" ht="15.75" hidden="1" customHeight="1">
      <c r="A5030" s="8"/>
      <c r="C5030" s="8"/>
      <c r="F5030" s="8"/>
      <c r="H5030" s="14"/>
      <c r="I5030" s="567"/>
      <c r="J5030" s="18"/>
    </row>
    <row r="5031" spans="1:10" ht="15.75" hidden="1" customHeight="1">
      <c r="A5031" s="8"/>
      <c r="C5031" s="8"/>
      <c r="F5031" s="8"/>
      <c r="H5031" s="14"/>
      <c r="I5031" s="567"/>
      <c r="J5031" s="18"/>
    </row>
    <row r="5032" spans="1:10" ht="15.75" hidden="1" customHeight="1">
      <c r="A5032" s="8"/>
      <c r="C5032" s="8"/>
      <c r="F5032" s="8"/>
      <c r="H5032" s="14"/>
      <c r="I5032" s="567"/>
      <c r="J5032" s="18"/>
    </row>
    <row r="5033" spans="1:10" ht="15.75" hidden="1" customHeight="1">
      <c r="A5033" s="8"/>
      <c r="C5033" s="8"/>
      <c r="F5033" s="8"/>
      <c r="H5033" s="14"/>
      <c r="I5033" s="567"/>
      <c r="J5033" s="18"/>
    </row>
    <row r="5034" spans="1:10" ht="15.75" hidden="1" customHeight="1">
      <c r="A5034" s="8"/>
      <c r="C5034" s="8"/>
      <c r="F5034" s="8"/>
      <c r="H5034" s="14"/>
      <c r="I5034" s="567"/>
      <c r="J5034" s="18"/>
    </row>
    <row r="5035" spans="1:10" ht="15.75" hidden="1" customHeight="1">
      <c r="A5035" s="8"/>
      <c r="C5035" s="8"/>
      <c r="F5035" s="8"/>
      <c r="H5035" s="14"/>
      <c r="I5035" s="567"/>
      <c r="J5035" s="18"/>
    </row>
    <row r="5036" spans="1:10" ht="15.75" hidden="1" customHeight="1">
      <c r="A5036" s="8"/>
      <c r="C5036" s="8"/>
      <c r="F5036" s="8"/>
      <c r="H5036" s="14"/>
      <c r="I5036" s="567"/>
      <c r="J5036" s="18"/>
    </row>
    <row r="5037" spans="1:10" ht="15.75" hidden="1" customHeight="1">
      <c r="A5037" s="8"/>
      <c r="C5037" s="8"/>
      <c r="F5037" s="8"/>
      <c r="H5037" s="14"/>
      <c r="I5037" s="567"/>
      <c r="J5037" s="18"/>
    </row>
    <row r="5038" spans="1:10" ht="15.75" hidden="1" customHeight="1">
      <c r="A5038" s="8"/>
      <c r="C5038" s="8"/>
      <c r="F5038" s="8"/>
      <c r="H5038" s="14"/>
      <c r="I5038" s="567"/>
      <c r="J5038" s="18"/>
    </row>
    <row r="5039" spans="1:10" ht="15.75" hidden="1" customHeight="1">
      <c r="A5039" s="8"/>
      <c r="C5039" s="8"/>
      <c r="F5039" s="8"/>
      <c r="H5039" s="14"/>
      <c r="I5039" s="567"/>
      <c r="J5039" s="18"/>
    </row>
    <row r="5040" spans="1:10" ht="15.75" hidden="1" customHeight="1">
      <c r="A5040" s="8"/>
      <c r="C5040" s="8"/>
      <c r="F5040" s="8"/>
      <c r="H5040" s="14"/>
      <c r="I5040" s="567"/>
      <c r="J5040" s="18"/>
    </row>
    <row r="5041" spans="1:10" ht="15.75" hidden="1" customHeight="1">
      <c r="A5041" s="8"/>
      <c r="C5041" s="8"/>
      <c r="F5041" s="8"/>
      <c r="H5041" s="14"/>
      <c r="I5041" s="567"/>
      <c r="J5041" s="18"/>
    </row>
    <row r="5042" spans="1:10" ht="15.75" hidden="1" customHeight="1">
      <c r="A5042" s="8"/>
      <c r="C5042" s="8"/>
      <c r="F5042" s="8"/>
      <c r="H5042" s="14"/>
      <c r="I5042" s="567"/>
      <c r="J5042" s="18"/>
    </row>
    <row r="5043" spans="1:10" ht="15.75" hidden="1" customHeight="1">
      <c r="A5043" s="8"/>
      <c r="C5043" s="8"/>
      <c r="F5043" s="8"/>
      <c r="H5043" s="14"/>
      <c r="I5043" s="567"/>
      <c r="J5043" s="18"/>
    </row>
    <row r="5044" spans="1:10" ht="15.75" hidden="1" customHeight="1">
      <c r="A5044" s="8"/>
      <c r="C5044" s="8"/>
      <c r="F5044" s="8"/>
      <c r="H5044" s="14"/>
      <c r="I5044" s="567"/>
      <c r="J5044" s="18"/>
    </row>
    <row r="5045" spans="1:10" ht="15.75" hidden="1" customHeight="1">
      <c r="A5045" s="8"/>
      <c r="C5045" s="8"/>
      <c r="F5045" s="8"/>
      <c r="H5045" s="14"/>
      <c r="I5045" s="567"/>
      <c r="J5045" s="18"/>
    </row>
    <row r="5046" spans="1:10" ht="15.75" hidden="1" customHeight="1">
      <c r="A5046" s="8"/>
      <c r="C5046" s="8"/>
      <c r="F5046" s="8"/>
      <c r="H5046" s="14"/>
      <c r="I5046" s="567"/>
      <c r="J5046" s="18"/>
    </row>
    <row r="5047" spans="1:10" ht="15.75" hidden="1" customHeight="1">
      <c r="A5047" s="8"/>
      <c r="C5047" s="8"/>
      <c r="F5047" s="8"/>
      <c r="H5047" s="14"/>
      <c r="I5047" s="567"/>
      <c r="J5047" s="18"/>
    </row>
    <row r="5048" spans="1:10" ht="15.75" hidden="1" customHeight="1">
      <c r="A5048" s="8"/>
      <c r="C5048" s="8"/>
      <c r="F5048" s="8"/>
      <c r="H5048" s="14"/>
      <c r="I5048" s="567"/>
      <c r="J5048" s="18"/>
    </row>
    <row r="5049" spans="1:10" ht="15.75" hidden="1" customHeight="1">
      <c r="A5049" s="8"/>
      <c r="C5049" s="8"/>
      <c r="F5049" s="8"/>
      <c r="H5049" s="14"/>
      <c r="I5049" s="567"/>
      <c r="J5049" s="18"/>
    </row>
    <row r="5050" spans="1:10" ht="15.75" hidden="1" customHeight="1">
      <c r="A5050" s="8"/>
      <c r="C5050" s="8"/>
      <c r="F5050" s="8"/>
      <c r="H5050" s="14"/>
      <c r="I5050" s="567"/>
      <c r="J5050" s="18"/>
    </row>
    <row r="5051" spans="1:10" ht="15.75" hidden="1" customHeight="1">
      <c r="A5051" s="8"/>
      <c r="C5051" s="8"/>
      <c r="F5051" s="8"/>
      <c r="H5051" s="14"/>
      <c r="I5051" s="567"/>
      <c r="J5051" s="18"/>
    </row>
    <row r="5052" spans="1:10" ht="15.75" hidden="1" customHeight="1">
      <c r="A5052" s="8"/>
      <c r="C5052" s="8"/>
      <c r="F5052" s="8"/>
      <c r="H5052" s="14"/>
      <c r="I5052" s="567"/>
      <c r="J5052" s="18"/>
    </row>
    <row r="5053" spans="1:10" ht="15.75" hidden="1" customHeight="1">
      <c r="A5053" s="8"/>
      <c r="C5053" s="8"/>
      <c r="F5053" s="8"/>
      <c r="H5053" s="14"/>
      <c r="I5053" s="567"/>
      <c r="J5053" s="18"/>
    </row>
    <row r="5054" spans="1:10" ht="15.75" hidden="1" customHeight="1">
      <c r="A5054" s="8"/>
      <c r="C5054" s="8"/>
      <c r="F5054" s="8"/>
      <c r="H5054" s="14"/>
      <c r="I5054" s="567"/>
      <c r="J5054" s="18"/>
    </row>
    <row r="5055" spans="1:10" ht="15.75" hidden="1" customHeight="1">
      <c r="A5055" s="8"/>
      <c r="C5055" s="8"/>
      <c r="F5055" s="8"/>
      <c r="H5055" s="14"/>
      <c r="I5055" s="567"/>
      <c r="J5055" s="18"/>
    </row>
    <row r="5056" spans="1:10" ht="15.75" hidden="1" customHeight="1">
      <c r="A5056" s="8"/>
      <c r="C5056" s="8"/>
      <c r="F5056" s="8"/>
      <c r="H5056" s="14"/>
      <c r="I5056" s="567"/>
      <c r="J5056" s="18"/>
    </row>
    <row r="5057" spans="1:10" ht="15.75" hidden="1" customHeight="1">
      <c r="A5057" s="8"/>
      <c r="C5057" s="8"/>
      <c r="F5057" s="8"/>
      <c r="H5057" s="14"/>
      <c r="I5057" s="567"/>
      <c r="J5057" s="18"/>
    </row>
    <row r="5058" spans="1:10" ht="15.75" hidden="1" customHeight="1">
      <c r="A5058" s="8"/>
      <c r="C5058" s="8"/>
      <c r="F5058" s="8"/>
      <c r="H5058" s="14"/>
      <c r="I5058" s="567"/>
      <c r="J5058" s="18"/>
    </row>
    <row r="5059" spans="1:10" ht="15.75" hidden="1" customHeight="1">
      <c r="A5059" s="8"/>
      <c r="C5059" s="8"/>
      <c r="F5059" s="8"/>
      <c r="H5059" s="14"/>
      <c r="I5059" s="567"/>
      <c r="J5059" s="18"/>
    </row>
    <row r="5060" spans="1:10" ht="15.75" hidden="1" customHeight="1">
      <c r="A5060" s="8"/>
      <c r="C5060" s="8"/>
      <c r="F5060" s="8"/>
      <c r="H5060" s="14"/>
      <c r="I5060" s="567"/>
      <c r="J5060" s="18"/>
    </row>
    <row r="5061" spans="1:10" ht="15.75" hidden="1" customHeight="1">
      <c r="A5061" s="8"/>
      <c r="C5061" s="8"/>
      <c r="F5061" s="8"/>
      <c r="H5061" s="14"/>
      <c r="I5061" s="567"/>
      <c r="J5061" s="18"/>
    </row>
    <row r="5062" spans="1:10" ht="15.75" hidden="1" customHeight="1">
      <c r="A5062" s="8"/>
      <c r="C5062" s="8"/>
      <c r="F5062" s="8"/>
      <c r="H5062" s="14"/>
      <c r="I5062" s="567"/>
      <c r="J5062" s="18"/>
    </row>
    <row r="5063" spans="1:10" ht="15.75" hidden="1" customHeight="1">
      <c r="A5063" s="8"/>
      <c r="C5063" s="8"/>
      <c r="F5063" s="8"/>
      <c r="H5063" s="14"/>
      <c r="I5063" s="567"/>
      <c r="J5063" s="18"/>
    </row>
    <row r="5064" spans="1:10" ht="15.75" hidden="1" customHeight="1">
      <c r="A5064" s="8"/>
      <c r="C5064" s="8"/>
      <c r="F5064" s="8"/>
      <c r="H5064" s="14"/>
      <c r="I5064" s="567"/>
      <c r="J5064" s="18"/>
    </row>
    <row r="5065" spans="1:10" ht="15.75" hidden="1" customHeight="1">
      <c r="A5065" s="8"/>
      <c r="C5065" s="8"/>
      <c r="F5065" s="8"/>
      <c r="H5065" s="14"/>
      <c r="I5065" s="567"/>
      <c r="J5065" s="18"/>
    </row>
    <row r="5066" spans="1:10" ht="15.75" hidden="1" customHeight="1">
      <c r="A5066" s="8"/>
      <c r="C5066" s="8"/>
      <c r="F5066" s="8"/>
      <c r="H5066" s="14"/>
      <c r="I5066" s="567"/>
      <c r="J5066" s="18"/>
    </row>
    <row r="5067" spans="1:10" ht="15.75" hidden="1" customHeight="1">
      <c r="A5067" s="8"/>
      <c r="C5067" s="8"/>
      <c r="F5067" s="8"/>
      <c r="H5067" s="14"/>
      <c r="I5067" s="567"/>
      <c r="J5067" s="18"/>
    </row>
    <row r="5068" spans="1:10" ht="15.75" hidden="1" customHeight="1">
      <c r="A5068" s="8"/>
      <c r="C5068" s="8"/>
      <c r="F5068" s="8"/>
      <c r="H5068" s="14"/>
      <c r="I5068" s="567"/>
      <c r="J5068" s="18"/>
    </row>
    <row r="5069" spans="1:10" ht="15.75" hidden="1" customHeight="1">
      <c r="A5069" s="8"/>
      <c r="C5069" s="8"/>
      <c r="F5069" s="8"/>
      <c r="H5069" s="14"/>
      <c r="I5069" s="567"/>
      <c r="J5069" s="18"/>
    </row>
    <row r="5070" spans="1:10" ht="15.75" hidden="1" customHeight="1">
      <c r="A5070" s="8"/>
      <c r="C5070" s="8"/>
      <c r="F5070" s="8"/>
      <c r="H5070" s="14"/>
      <c r="I5070" s="567"/>
      <c r="J5070" s="18"/>
    </row>
    <row r="5071" spans="1:10" ht="15.75" hidden="1" customHeight="1">
      <c r="A5071" s="8"/>
      <c r="C5071" s="8"/>
      <c r="F5071" s="8"/>
      <c r="H5071" s="14"/>
      <c r="I5071" s="567"/>
      <c r="J5071" s="18"/>
    </row>
    <row r="5072" spans="1:10" ht="15.75" hidden="1" customHeight="1">
      <c r="A5072" s="8"/>
      <c r="C5072" s="8"/>
      <c r="F5072" s="8"/>
      <c r="H5072" s="14"/>
      <c r="I5072" s="567"/>
      <c r="J5072" s="18"/>
    </row>
    <row r="5073" spans="1:10" ht="15.75" hidden="1" customHeight="1">
      <c r="A5073" s="8"/>
      <c r="C5073" s="8"/>
      <c r="F5073" s="8"/>
      <c r="H5073" s="14"/>
      <c r="I5073" s="567"/>
      <c r="J5073" s="18"/>
    </row>
    <row r="5074" spans="1:10" ht="15.75" hidden="1" customHeight="1">
      <c r="A5074" s="8"/>
      <c r="C5074" s="8"/>
      <c r="F5074" s="8"/>
      <c r="H5074" s="14"/>
      <c r="I5074" s="567"/>
      <c r="J5074" s="18"/>
    </row>
    <row r="5075" spans="1:10" ht="15.75" hidden="1" customHeight="1">
      <c r="A5075" s="8"/>
      <c r="C5075" s="8"/>
      <c r="F5075" s="8"/>
      <c r="H5075" s="14"/>
      <c r="I5075" s="567"/>
      <c r="J5075" s="18"/>
    </row>
    <row r="5076" spans="1:10" ht="15.75" hidden="1" customHeight="1">
      <c r="A5076" s="8"/>
      <c r="C5076" s="8"/>
      <c r="F5076" s="8"/>
      <c r="H5076" s="14"/>
      <c r="I5076" s="567"/>
      <c r="J5076" s="18"/>
    </row>
    <row r="5077" spans="1:10" ht="15.75" hidden="1" customHeight="1">
      <c r="A5077" s="8"/>
      <c r="C5077" s="8"/>
      <c r="F5077" s="8"/>
      <c r="H5077" s="14"/>
      <c r="I5077" s="567"/>
      <c r="J5077" s="18"/>
    </row>
    <row r="5078" spans="1:10" ht="15.75" hidden="1" customHeight="1">
      <c r="A5078" s="8"/>
      <c r="C5078" s="8"/>
      <c r="F5078" s="8"/>
      <c r="H5078" s="14"/>
      <c r="I5078" s="567"/>
      <c r="J5078" s="18"/>
    </row>
    <row r="5079" spans="1:10" ht="15.75" hidden="1" customHeight="1">
      <c r="A5079" s="8"/>
      <c r="C5079" s="8"/>
      <c r="F5079" s="8"/>
      <c r="H5079" s="14"/>
      <c r="I5079" s="567"/>
      <c r="J5079" s="18"/>
    </row>
    <row r="5080" spans="1:10" ht="15.75" hidden="1" customHeight="1">
      <c r="A5080" s="8"/>
      <c r="C5080" s="8"/>
      <c r="F5080" s="8"/>
      <c r="H5080" s="14"/>
      <c r="I5080" s="567"/>
      <c r="J5080" s="18"/>
    </row>
    <row r="5081" spans="1:10" ht="15.75" hidden="1" customHeight="1">
      <c r="A5081" s="8"/>
      <c r="C5081" s="8"/>
      <c r="F5081" s="8"/>
      <c r="H5081" s="14"/>
      <c r="I5081" s="567"/>
      <c r="J5081" s="18"/>
    </row>
    <row r="5082" spans="1:10" ht="15.75" hidden="1" customHeight="1">
      <c r="A5082" s="8"/>
      <c r="C5082" s="8"/>
      <c r="F5082" s="8"/>
      <c r="H5082" s="14"/>
      <c r="I5082" s="567"/>
      <c r="J5082" s="18"/>
    </row>
    <row r="5083" spans="1:10" ht="15.75" hidden="1" customHeight="1">
      <c r="A5083" s="8"/>
      <c r="C5083" s="8"/>
      <c r="F5083" s="8"/>
      <c r="H5083" s="14"/>
      <c r="I5083" s="567"/>
      <c r="J5083" s="18"/>
    </row>
    <row r="5084" spans="1:10" ht="15.75" hidden="1" customHeight="1">
      <c r="A5084" s="8"/>
      <c r="C5084" s="8"/>
      <c r="F5084" s="8"/>
      <c r="H5084" s="14"/>
      <c r="I5084" s="567"/>
      <c r="J5084" s="18"/>
    </row>
    <row r="5085" spans="1:10" ht="15.75" hidden="1" customHeight="1">
      <c r="A5085" s="8"/>
      <c r="C5085" s="8"/>
      <c r="F5085" s="8"/>
      <c r="H5085" s="14"/>
      <c r="I5085" s="567"/>
      <c r="J5085" s="18"/>
    </row>
    <row r="5086" spans="1:10" ht="15.75" hidden="1" customHeight="1">
      <c r="A5086" s="8"/>
      <c r="C5086" s="8"/>
      <c r="F5086" s="8"/>
      <c r="H5086" s="14"/>
      <c r="I5086" s="567"/>
      <c r="J5086" s="18"/>
    </row>
    <row r="5087" spans="1:10" ht="15.75" hidden="1" customHeight="1">
      <c r="A5087" s="8"/>
      <c r="C5087" s="8"/>
      <c r="F5087" s="8"/>
      <c r="H5087" s="14"/>
      <c r="I5087" s="567"/>
      <c r="J5087" s="18"/>
    </row>
    <row r="5088" spans="1:10" ht="15.75" hidden="1" customHeight="1">
      <c r="A5088" s="8"/>
      <c r="C5088" s="8"/>
      <c r="F5088" s="8"/>
      <c r="H5088" s="14"/>
      <c r="I5088" s="567"/>
      <c r="J5088" s="18"/>
    </row>
    <row r="5089" spans="1:10" ht="15.75" hidden="1" customHeight="1">
      <c r="A5089" s="8"/>
      <c r="C5089" s="8"/>
      <c r="F5089" s="8"/>
      <c r="H5089" s="14"/>
      <c r="I5089" s="567"/>
      <c r="J5089" s="18"/>
    </row>
    <row r="5090" spans="1:10" ht="15.75" hidden="1" customHeight="1">
      <c r="A5090" s="8"/>
      <c r="C5090" s="8"/>
      <c r="F5090" s="8"/>
      <c r="H5090" s="14"/>
      <c r="I5090" s="567"/>
      <c r="J5090" s="18"/>
    </row>
    <row r="5091" spans="1:10" ht="15.75" hidden="1" customHeight="1">
      <c r="A5091" s="8"/>
      <c r="C5091" s="8"/>
      <c r="F5091" s="8"/>
      <c r="H5091" s="14"/>
      <c r="I5091" s="567"/>
      <c r="J5091" s="18"/>
    </row>
    <row r="5092" spans="1:10" ht="15.75" hidden="1" customHeight="1">
      <c r="A5092" s="8"/>
      <c r="C5092" s="8"/>
      <c r="F5092" s="8"/>
      <c r="H5092" s="14"/>
      <c r="I5092" s="567"/>
      <c r="J5092" s="18"/>
    </row>
    <row r="5093" spans="1:10" ht="15.75" hidden="1" customHeight="1">
      <c r="A5093" s="8"/>
      <c r="C5093" s="8"/>
      <c r="F5093" s="8"/>
      <c r="H5093" s="14"/>
      <c r="I5093" s="567"/>
      <c r="J5093" s="18"/>
    </row>
    <row r="5094" spans="1:10" ht="15.75" hidden="1" customHeight="1">
      <c r="A5094" s="8"/>
      <c r="C5094" s="8"/>
      <c r="F5094" s="8"/>
      <c r="H5094" s="14"/>
      <c r="I5094" s="567"/>
      <c r="J5094" s="18"/>
    </row>
    <row r="5095" spans="1:10" ht="15.75" hidden="1" customHeight="1">
      <c r="A5095" s="8"/>
      <c r="C5095" s="8"/>
      <c r="F5095" s="8"/>
      <c r="H5095" s="14"/>
      <c r="I5095" s="567"/>
      <c r="J5095" s="18"/>
    </row>
    <row r="5096" spans="1:10" ht="15.75" hidden="1" customHeight="1">
      <c r="A5096" s="8"/>
      <c r="C5096" s="8"/>
      <c r="F5096" s="8"/>
      <c r="H5096" s="14"/>
      <c r="I5096" s="567"/>
      <c r="J5096" s="18"/>
    </row>
    <row r="5097" spans="1:10" ht="15.75" hidden="1" customHeight="1">
      <c r="A5097" s="8"/>
      <c r="C5097" s="8"/>
      <c r="F5097" s="8"/>
      <c r="H5097" s="14"/>
      <c r="I5097" s="567"/>
      <c r="J5097" s="18"/>
    </row>
    <row r="5098" spans="1:10" ht="15.75" hidden="1" customHeight="1">
      <c r="A5098" s="8"/>
      <c r="C5098" s="8"/>
      <c r="F5098" s="8"/>
      <c r="H5098" s="14"/>
      <c r="I5098" s="567"/>
      <c r="J5098" s="18"/>
    </row>
    <row r="5099" spans="1:10" ht="15.75" hidden="1" customHeight="1">
      <c r="A5099" s="8"/>
      <c r="C5099" s="8"/>
      <c r="F5099" s="8"/>
      <c r="H5099" s="14"/>
      <c r="I5099" s="567"/>
      <c r="J5099" s="18"/>
    </row>
    <row r="5100" spans="1:10" ht="15.75" hidden="1" customHeight="1">
      <c r="A5100" s="8"/>
      <c r="C5100" s="8"/>
      <c r="F5100" s="8"/>
      <c r="H5100" s="14"/>
      <c r="I5100" s="567"/>
      <c r="J5100" s="18"/>
    </row>
    <row r="5101" spans="1:10" ht="15.75" hidden="1" customHeight="1">
      <c r="A5101" s="8"/>
      <c r="C5101" s="8"/>
      <c r="F5101" s="8"/>
      <c r="H5101" s="14"/>
      <c r="I5101" s="567"/>
      <c r="J5101" s="18"/>
    </row>
    <row r="5102" spans="1:10" ht="15.75" hidden="1" customHeight="1">
      <c r="A5102" s="8"/>
      <c r="C5102" s="8"/>
      <c r="F5102" s="8"/>
      <c r="H5102" s="14"/>
      <c r="I5102" s="567"/>
      <c r="J5102" s="18"/>
    </row>
    <row r="5103" spans="1:10" ht="15.75" hidden="1" customHeight="1">
      <c r="A5103" s="8"/>
      <c r="C5103" s="8"/>
      <c r="F5103" s="8"/>
      <c r="H5103" s="14"/>
      <c r="I5103" s="567"/>
      <c r="J5103" s="18"/>
    </row>
    <row r="5104" spans="1:10" ht="15.75" hidden="1" customHeight="1">
      <c r="A5104" s="8"/>
      <c r="C5104" s="8"/>
      <c r="F5104" s="8"/>
      <c r="H5104" s="14"/>
      <c r="I5104" s="567"/>
      <c r="J5104" s="18"/>
    </row>
    <row r="5105" spans="1:10" ht="15.75" hidden="1" customHeight="1">
      <c r="A5105" s="8"/>
      <c r="C5105" s="8"/>
      <c r="F5105" s="8"/>
      <c r="H5105" s="14"/>
      <c r="I5105" s="567"/>
      <c r="J5105" s="18"/>
    </row>
    <row r="5106" spans="1:10" ht="15.75" hidden="1" customHeight="1">
      <c r="A5106" s="8"/>
      <c r="C5106" s="8"/>
      <c r="F5106" s="8"/>
      <c r="H5106" s="14"/>
      <c r="I5106" s="567"/>
      <c r="J5106" s="18"/>
    </row>
    <row r="5107" spans="1:10" ht="15.75" hidden="1" customHeight="1">
      <c r="A5107" s="8"/>
      <c r="C5107" s="8"/>
      <c r="F5107" s="8"/>
      <c r="H5107" s="14"/>
      <c r="I5107" s="567"/>
      <c r="J5107" s="18"/>
    </row>
    <row r="5108" spans="1:10" ht="15.75" hidden="1" customHeight="1">
      <c r="A5108" s="8"/>
      <c r="C5108" s="8"/>
      <c r="F5108" s="8"/>
      <c r="H5108" s="14"/>
      <c r="I5108" s="567"/>
      <c r="J5108" s="18"/>
    </row>
    <row r="5109" spans="1:10" ht="15.75" hidden="1" customHeight="1">
      <c r="A5109" s="8"/>
      <c r="C5109" s="8"/>
      <c r="F5109" s="8"/>
      <c r="H5109" s="14"/>
      <c r="I5109" s="567"/>
      <c r="J5109" s="18"/>
    </row>
    <row r="5110" spans="1:10" ht="15.75" hidden="1" customHeight="1">
      <c r="A5110" s="8"/>
      <c r="C5110" s="8"/>
      <c r="F5110" s="8"/>
      <c r="H5110" s="14"/>
      <c r="I5110" s="567"/>
      <c r="J5110" s="18"/>
    </row>
    <row r="5111" spans="1:10" ht="15.75" hidden="1" customHeight="1">
      <c r="A5111" s="8"/>
      <c r="C5111" s="8"/>
      <c r="F5111" s="8"/>
      <c r="H5111" s="14"/>
      <c r="I5111" s="567"/>
      <c r="J5111" s="18"/>
    </row>
    <row r="5112" spans="1:10" ht="15.75" hidden="1" customHeight="1">
      <c r="A5112" s="8"/>
      <c r="C5112" s="8"/>
      <c r="F5112" s="8"/>
      <c r="H5112" s="14"/>
      <c r="I5112" s="567"/>
      <c r="J5112" s="18"/>
    </row>
    <row r="5113" spans="1:10" ht="15.75" hidden="1" customHeight="1">
      <c r="A5113" s="8"/>
      <c r="C5113" s="8"/>
      <c r="F5113" s="8"/>
      <c r="H5113" s="14"/>
      <c r="I5113" s="567"/>
      <c r="J5113" s="18"/>
    </row>
    <row r="5114" spans="1:10" ht="15.75" hidden="1" customHeight="1">
      <c r="A5114" s="8"/>
      <c r="C5114" s="8"/>
      <c r="F5114" s="8"/>
      <c r="H5114" s="14"/>
      <c r="I5114" s="567"/>
      <c r="J5114" s="18"/>
    </row>
    <row r="5115" spans="1:10" ht="15.75" hidden="1" customHeight="1">
      <c r="A5115" s="8"/>
      <c r="C5115" s="8"/>
      <c r="F5115" s="8"/>
      <c r="H5115" s="14"/>
      <c r="I5115" s="567"/>
      <c r="J5115" s="18"/>
    </row>
    <row r="5116" spans="1:10" ht="15.75" hidden="1" customHeight="1">
      <c r="A5116" s="8"/>
      <c r="C5116" s="8"/>
      <c r="F5116" s="8"/>
      <c r="H5116" s="14"/>
      <c r="I5116" s="567"/>
      <c r="J5116" s="18"/>
    </row>
    <row r="5117" spans="1:10" ht="15.75" hidden="1" customHeight="1">
      <c r="A5117" s="8"/>
      <c r="C5117" s="8"/>
      <c r="F5117" s="8"/>
      <c r="H5117" s="14"/>
      <c r="I5117" s="567"/>
      <c r="J5117" s="18"/>
    </row>
    <row r="5118" spans="1:10" ht="15.75" hidden="1" customHeight="1">
      <c r="A5118" s="8"/>
      <c r="C5118" s="8"/>
      <c r="F5118" s="8"/>
      <c r="H5118" s="14"/>
      <c r="I5118" s="567"/>
      <c r="J5118" s="18"/>
    </row>
    <row r="5119" spans="1:10" ht="15.75" hidden="1" customHeight="1">
      <c r="A5119" s="8"/>
      <c r="C5119" s="8"/>
      <c r="F5119" s="8"/>
      <c r="H5119" s="14"/>
      <c r="I5119" s="567"/>
      <c r="J5119" s="18"/>
    </row>
    <row r="5120" spans="1:10" ht="15.75" hidden="1" customHeight="1">
      <c r="A5120" s="8"/>
      <c r="C5120" s="8"/>
      <c r="F5120" s="8"/>
      <c r="H5120" s="14"/>
      <c r="I5120" s="567"/>
      <c r="J5120" s="18"/>
    </row>
    <row r="5121" spans="1:10" ht="15.75" hidden="1" customHeight="1">
      <c r="A5121" s="8"/>
      <c r="C5121" s="8"/>
      <c r="F5121" s="8"/>
      <c r="H5121" s="14"/>
      <c r="I5121" s="567"/>
      <c r="J5121" s="18"/>
    </row>
    <row r="5122" spans="1:10" ht="15.75" hidden="1" customHeight="1">
      <c r="A5122" s="8"/>
      <c r="C5122" s="8"/>
      <c r="F5122" s="8"/>
      <c r="H5122" s="14"/>
      <c r="I5122" s="567"/>
      <c r="J5122" s="18"/>
    </row>
    <row r="5123" spans="1:10" ht="15.75" hidden="1" customHeight="1">
      <c r="A5123" s="8"/>
      <c r="C5123" s="8"/>
      <c r="F5123" s="8"/>
      <c r="H5123" s="14"/>
      <c r="I5123" s="567"/>
      <c r="J5123" s="18"/>
    </row>
    <row r="5124" spans="1:10" ht="15.75" hidden="1" customHeight="1">
      <c r="A5124" s="8"/>
      <c r="C5124" s="8"/>
      <c r="F5124" s="8"/>
      <c r="H5124" s="14"/>
      <c r="I5124" s="567"/>
      <c r="J5124" s="18"/>
    </row>
    <row r="5125" spans="1:10" ht="15.75" hidden="1" customHeight="1">
      <c r="A5125" s="8"/>
      <c r="C5125" s="8"/>
      <c r="F5125" s="8"/>
      <c r="H5125" s="14"/>
      <c r="I5125" s="567"/>
      <c r="J5125" s="18"/>
    </row>
    <row r="5126" spans="1:10" ht="15.75" hidden="1" customHeight="1">
      <c r="A5126" s="8"/>
      <c r="C5126" s="8"/>
      <c r="F5126" s="8"/>
      <c r="H5126" s="14"/>
      <c r="I5126" s="567"/>
      <c r="J5126" s="18"/>
    </row>
    <row r="5127" spans="1:10" ht="15.75" hidden="1" customHeight="1">
      <c r="A5127" s="8"/>
      <c r="C5127" s="8"/>
      <c r="F5127" s="8"/>
      <c r="H5127" s="14"/>
      <c r="I5127" s="567"/>
      <c r="J5127" s="18"/>
    </row>
    <row r="5128" spans="1:10" ht="15.75" hidden="1" customHeight="1">
      <c r="A5128" s="8"/>
      <c r="C5128" s="8"/>
      <c r="F5128" s="8"/>
      <c r="H5128" s="14"/>
      <c r="I5128" s="567"/>
      <c r="J5128" s="18"/>
    </row>
    <row r="5129" spans="1:10" ht="15.75" hidden="1" customHeight="1">
      <c r="A5129" s="8"/>
      <c r="C5129" s="8"/>
      <c r="F5129" s="8"/>
      <c r="H5129" s="14"/>
      <c r="I5129" s="567"/>
      <c r="J5129" s="18"/>
    </row>
    <row r="5130" spans="1:10" ht="15.75" hidden="1" customHeight="1">
      <c r="A5130" s="8"/>
      <c r="C5130" s="8"/>
      <c r="F5130" s="8"/>
      <c r="H5130" s="14"/>
      <c r="I5130" s="567"/>
      <c r="J5130" s="18"/>
    </row>
    <row r="5131" spans="1:10" ht="15.75" hidden="1" customHeight="1">
      <c r="A5131" s="8"/>
      <c r="C5131" s="8"/>
      <c r="F5131" s="8"/>
      <c r="H5131" s="14"/>
      <c r="I5131" s="567"/>
      <c r="J5131" s="18"/>
    </row>
    <row r="5132" spans="1:10" ht="15.75" hidden="1" customHeight="1">
      <c r="A5132" s="8"/>
      <c r="C5132" s="8"/>
      <c r="F5132" s="8"/>
      <c r="H5132" s="14"/>
      <c r="I5132" s="567"/>
      <c r="J5132" s="18"/>
    </row>
    <row r="5133" spans="1:10" ht="15.75" hidden="1" customHeight="1">
      <c r="A5133" s="8"/>
      <c r="C5133" s="8"/>
      <c r="F5133" s="8"/>
      <c r="H5133" s="14"/>
      <c r="I5133" s="567"/>
      <c r="J5133" s="18"/>
    </row>
    <row r="5134" spans="1:10" ht="15.75" hidden="1" customHeight="1">
      <c r="A5134" s="8"/>
      <c r="C5134" s="8"/>
      <c r="F5134" s="8"/>
      <c r="H5134" s="14"/>
      <c r="I5134" s="567"/>
      <c r="J5134" s="18"/>
    </row>
    <row r="5135" spans="1:10" ht="15.75" hidden="1" customHeight="1">
      <c r="A5135" s="8"/>
      <c r="C5135" s="8"/>
      <c r="F5135" s="8"/>
      <c r="H5135" s="14"/>
      <c r="I5135" s="567"/>
      <c r="J5135" s="18"/>
    </row>
    <row r="5136" spans="1:10" ht="15.75" hidden="1" customHeight="1">
      <c r="A5136" s="8"/>
      <c r="C5136" s="8"/>
      <c r="F5136" s="8"/>
      <c r="H5136" s="14"/>
      <c r="I5136" s="567"/>
      <c r="J5136" s="18"/>
    </row>
    <row r="5137" spans="1:10" ht="15.75" hidden="1" customHeight="1">
      <c r="A5137" s="8"/>
      <c r="C5137" s="8"/>
      <c r="F5137" s="8"/>
      <c r="H5137" s="14"/>
      <c r="I5137" s="567"/>
      <c r="J5137" s="18"/>
    </row>
    <row r="5138" spans="1:10" ht="15.75" hidden="1" customHeight="1">
      <c r="A5138" s="8"/>
      <c r="C5138" s="8"/>
      <c r="F5138" s="8"/>
      <c r="H5138" s="14"/>
      <c r="I5138" s="567"/>
      <c r="J5138" s="18"/>
    </row>
    <row r="5139" spans="1:10" ht="15.75" hidden="1" customHeight="1">
      <c r="A5139" s="8"/>
      <c r="C5139" s="8"/>
      <c r="F5139" s="8"/>
      <c r="H5139" s="14"/>
      <c r="I5139" s="567"/>
      <c r="J5139" s="18"/>
    </row>
    <row r="5140" spans="1:10" ht="15.75" hidden="1" customHeight="1">
      <c r="A5140" s="8"/>
      <c r="C5140" s="8"/>
      <c r="F5140" s="8"/>
      <c r="H5140" s="14"/>
      <c r="I5140" s="567"/>
      <c r="J5140" s="18"/>
    </row>
    <row r="5141" spans="1:10" ht="15.75" hidden="1" customHeight="1">
      <c r="A5141" s="8"/>
      <c r="C5141" s="8"/>
      <c r="F5141" s="8"/>
      <c r="H5141" s="14"/>
      <c r="I5141" s="567"/>
      <c r="J5141" s="18"/>
    </row>
    <row r="5142" spans="1:10" ht="15.75" hidden="1" customHeight="1">
      <c r="A5142" s="8"/>
      <c r="C5142" s="8"/>
      <c r="F5142" s="8"/>
      <c r="H5142" s="14"/>
      <c r="I5142" s="567"/>
      <c r="J5142" s="18"/>
    </row>
    <row r="5143" spans="1:10" ht="15.75" hidden="1" customHeight="1">
      <c r="A5143" s="8"/>
      <c r="C5143" s="8"/>
      <c r="F5143" s="8"/>
      <c r="H5143" s="14"/>
      <c r="I5143" s="567"/>
      <c r="J5143" s="18"/>
    </row>
    <row r="5144" spans="1:10" ht="15.75" hidden="1" customHeight="1">
      <c r="A5144" s="8"/>
      <c r="C5144" s="8"/>
      <c r="F5144" s="8"/>
      <c r="H5144" s="14"/>
      <c r="I5144" s="567"/>
      <c r="J5144" s="18"/>
    </row>
    <row r="5145" spans="1:10" ht="15.75" hidden="1" customHeight="1">
      <c r="A5145" s="8"/>
      <c r="C5145" s="8"/>
      <c r="F5145" s="8"/>
      <c r="H5145" s="14"/>
      <c r="I5145" s="567"/>
      <c r="J5145" s="18"/>
    </row>
    <row r="5146" spans="1:10" ht="15.75" hidden="1" customHeight="1">
      <c r="A5146" s="8"/>
      <c r="C5146" s="8"/>
      <c r="F5146" s="8"/>
      <c r="H5146" s="14"/>
      <c r="I5146" s="567"/>
      <c r="J5146" s="18"/>
    </row>
    <row r="5147" spans="1:10" ht="15.75" hidden="1" customHeight="1">
      <c r="A5147" s="8"/>
      <c r="C5147" s="8"/>
      <c r="F5147" s="8"/>
      <c r="H5147" s="14"/>
      <c r="I5147" s="567"/>
      <c r="J5147" s="18"/>
    </row>
    <row r="5148" spans="1:10" ht="15.75" hidden="1" customHeight="1">
      <c r="A5148" s="8"/>
      <c r="C5148" s="8"/>
      <c r="F5148" s="8"/>
      <c r="H5148" s="14"/>
      <c r="I5148" s="567"/>
      <c r="J5148" s="18"/>
    </row>
    <row r="5149" spans="1:10" ht="15.75" hidden="1" customHeight="1">
      <c r="A5149" s="8"/>
      <c r="C5149" s="8"/>
      <c r="F5149" s="8"/>
      <c r="H5149" s="14"/>
      <c r="I5149" s="567"/>
      <c r="J5149" s="18"/>
    </row>
    <row r="5150" spans="1:10" ht="15.75" hidden="1" customHeight="1">
      <c r="A5150" s="8"/>
      <c r="C5150" s="8"/>
      <c r="F5150" s="8"/>
      <c r="H5150" s="14"/>
      <c r="I5150" s="567"/>
      <c r="J5150" s="18"/>
    </row>
    <row r="5151" spans="1:10" ht="15.75" hidden="1" customHeight="1">
      <c r="A5151" s="8"/>
      <c r="C5151" s="8"/>
      <c r="F5151" s="8"/>
      <c r="H5151" s="14"/>
      <c r="I5151" s="567"/>
      <c r="J5151" s="18"/>
    </row>
    <row r="5152" spans="1:10" ht="15.75" hidden="1" customHeight="1">
      <c r="A5152" s="8"/>
      <c r="C5152" s="8"/>
      <c r="F5152" s="8"/>
      <c r="H5152" s="14"/>
      <c r="I5152" s="567"/>
      <c r="J5152" s="18"/>
    </row>
    <row r="5153" spans="1:10" ht="15.75" hidden="1" customHeight="1">
      <c r="A5153" s="8"/>
      <c r="C5153" s="8"/>
      <c r="F5153" s="8"/>
      <c r="H5153" s="14"/>
      <c r="I5153" s="567"/>
      <c r="J5153" s="18"/>
    </row>
    <row r="5154" spans="1:10" ht="15.75" hidden="1" customHeight="1">
      <c r="A5154" s="8"/>
      <c r="C5154" s="8"/>
      <c r="F5154" s="8"/>
      <c r="H5154" s="14"/>
      <c r="I5154" s="567"/>
      <c r="J5154" s="18"/>
    </row>
    <row r="5155" spans="1:10" ht="15.75" hidden="1" customHeight="1">
      <c r="A5155" s="8"/>
      <c r="C5155" s="8"/>
      <c r="F5155" s="8"/>
      <c r="H5155" s="14"/>
      <c r="I5155" s="567"/>
      <c r="J5155" s="18"/>
    </row>
    <row r="5156" spans="1:10" ht="15.75" hidden="1" customHeight="1">
      <c r="A5156" s="8"/>
      <c r="C5156" s="8"/>
      <c r="F5156" s="8"/>
      <c r="H5156" s="14"/>
      <c r="I5156" s="567"/>
      <c r="J5156" s="18"/>
    </row>
    <row r="5157" spans="1:10" ht="15.75" hidden="1" customHeight="1">
      <c r="A5157" s="8"/>
      <c r="C5157" s="8"/>
      <c r="F5157" s="8"/>
      <c r="H5157" s="14"/>
      <c r="I5157" s="567"/>
      <c r="J5157" s="18"/>
    </row>
    <row r="5158" spans="1:10" ht="15.75" hidden="1" customHeight="1">
      <c r="A5158" s="8"/>
      <c r="C5158" s="8"/>
      <c r="F5158" s="8"/>
      <c r="H5158" s="14"/>
      <c r="I5158" s="567"/>
      <c r="J5158" s="18"/>
    </row>
    <row r="5159" spans="1:10" ht="15.75" hidden="1" customHeight="1">
      <c r="A5159" s="8"/>
      <c r="C5159" s="8"/>
      <c r="F5159" s="8"/>
      <c r="H5159" s="14"/>
      <c r="I5159" s="567"/>
      <c r="J5159" s="18"/>
    </row>
    <row r="5160" spans="1:10" ht="15.75" hidden="1" customHeight="1">
      <c r="A5160" s="8"/>
      <c r="C5160" s="8"/>
      <c r="F5160" s="8"/>
      <c r="H5160" s="14"/>
      <c r="I5160" s="567"/>
      <c r="J5160" s="18"/>
    </row>
    <row r="5161" spans="1:10" ht="15.75" hidden="1" customHeight="1">
      <c r="A5161" s="8"/>
      <c r="C5161" s="8"/>
      <c r="F5161" s="8"/>
      <c r="H5161" s="14"/>
      <c r="I5161" s="567"/>
      <c r="J5161" s="18"/>
    </row>
    <row r="5162" spans="1:10" ht="15.75" hidden="1" customHeight="1">
      <c r="A5162" s="8"/>
      <c r="C5162" s="8"/>
      <c r="F5162" s="8"/>
      <c r="H5162" s="14"/>
      <c r="I5162" s="567"/>
      <c r="J5162" s="18"/>
    </row>
    <row r="5163" spans="1:10" ht="15.75" hidden="1" customHeight="1">
      <c r="A5163" s="8"/>
      <c r="C5163" s="8"/>
      <c r="F5163" s="8"/>
      <c r="H5163" s="14"/>
      <c r="I5163" s="567"/>
      <c r="J5163" s="18"/>
    </row>
    <row r="5164" spans="1:10" ht="15.75" hidden="1" customHeight="1">
      <c r="A5164" s="8"/>
      <c r="C5164" s="8"/>
      <c r="F5164" s="8"/>
      <c r="H5164" s="14"/>
      <c r="I5164" s="567"/>
      <c r="J5164" s="18"/>
    </row>
    <row r="5165" spans="1:10" ht="15.75" hidden="1" customHeight="1">
      <c r="A5165" s="8"/>
      <c r="C5165" s="8"/>
      <c r="F5165" s="8"/>
      <c r="H5165" s="14"/>
      <c r="I5165" s="567"/>
      <c r="J5165" s="18"/>
    </row>
    <row r="5166" spans="1:10" ht="15.75" hidden="1" customHeight="1">
      <c r="A5166" s="8"/>
      <c r="C5166" s="8"/>
      <c r="F5166" s="8"/>
      <c r="H5166" s="14"/>
      <c r="I5166" s="567"/>
      <c r="J5166" s="18"/>
    </row>
    <row r="5167" spans="1:10" ht="15.75" hidden="1" customHeight="1">
      <c r="A5167" s="8"/>
      <c r="C5167" s="8"/>
      <c r="F5167" s="8"/>
      <c r="H5167" s="14"/>
      <c r="I5167" s="567"/>
      <c r="J5167" s="18"/>
    </row>
    <row r="5168" spans="1:10" ht="15.75" hidden="1" customHeight="1">
      <c r="A5168" s="8"/>
      <c r="C5168" s="8"/>
      <c r="F5168" s="8"/>
      <c r="H5168" s="14"/>
      <c r="I5168" s="567"/>
      <c r="J5168" s="18"/>
    </row>
    <row r="5169" spans="1:10" ht="15.75" hidden="1" customHeight="1">
      <c r="A5169" s="8"/>
      <c r="C5169" s="8"/>
      <c r="F5169" s="8"/>
      <c r="H5169" s="14"/>
      <c r="I5169" s="567"/>
      <c r="J5169" s="18"/>
    </row>
    <row r="5170" spans="1:10" ht="15.75" hidden="1" customHeight="1">
      <c r="A5170" s="8"/>
      <c r="C5170" s="8"/>
      <c r="F5170" s="8"/>
      <c r="H5170" s="14"/>
      <c r="I5170" s="567"/>
      <c r="J5170" s="18"/>
    </row>
    <row r="5171" spans="1:10" ht="15.75" hidden="1" customHeight="1">
      <c r="A5171" s="8"/>
      <c r="C5171" s="8"/>
      <c r="F5171" s="8"/>
      <c r="H5171" s="14"/>
      <c r="I5171" s="567"/>
      <c r="J5171" s="18"/>
    </row>
    <row r="5172" spans="1:10" ht="15.75" hidden="1" customHeight="1">
      <c r="A5172" s="8"/>
      <c r="C5172" s="8"/>
      <c r="F5172" s="8"/>
      <c r="H5172" s="14"/>
      <c r="I5172" s="567"/>
      <c r="J5172" s="18"/>
    </row>
    <row r="5173" spans="1:10" ht="15.75" hidden="1" customHeight="1">
      <c r="A5173" s="8"/>
      <c r="C5173" s="8"/>
      <c r="F5173" s="8"/>
      <c r="H5173" s="14"/>
      <c r="I5173" s="567"/>
      <c r="J5173" s="18"/>
    </row>
    <row r="5174" spans="1:10" ht="15.75" hidden="1" customHeight="1">
      <c r="A5174" s="8"/>
      <c r="C5174" s="8"/>
      <c r="F5174" s="8"/>
      <c r="H5174" s="14"/>
      <c r="I5174" s="567"/>
      <c r="J5174" s="18"/>
    </row>
    <row r="5175" spans="1:10" ht="15.75" hidden="1" customHeight="1">
      <c r="A5175" s="8"/>
      <c r="C5175" s="8"/>
      <c r="F5175" s="8"/>
      <c r="H5175" s="14"/>
      <c r="I5175" s="567"/>
      <c r="J5175" s="18"/>
    </row>
    <row r="5176" spans="1:10" ht="15.75" hidden="1" customHeight="1">
      <c r="A5176" s="8"/>
      <c r="C5176" s="8"/>
      <c r="F5176" s="8"/>
      <c r="H5176" s="14"/>
      <c r="I5176" s="567"/>
      <c r="J5176" s="18"/>
    </row>
    <row r="5177" spans="1:10" ht="15.75" hidden="1" customHeight="1">
      <c r="A5177" s="8"/>
      <c r="C5177" s="8"/>
      <c r="F5177" s="8"/>
      <c r="H5177" s="14"/>
      <c r="I5177" s="567"/>
      <c r="J5177" s="18"/>
    </row>
    <row r="5178" spans="1:10" ht="15.75" hidden="1" customHeight="1">
      <c r="A5178" s="8"/>
      <c r="C5178" s="8"/>
      <c r="F5178" s="8"/>
      <c r="H5178" s="14"/>
      <c r="I5178" s="567"/>
      <c r="J5178" s="18"/>
    </row>
    <row r="5179" spans="1:10" ht="15.75" hidden="1" customHeight="1">
      <c r="A5179" s="8"/>
      <c r="C5179" s="8"/>
      <c r="F5179" s="8"/>
      <c r="H5179" s="14"/>
      <c r="I5179" s="567"/>
      <c r="J5179" s="18"/>
    </row>
    <row r="5180" spans="1:10" ht="15.75" hidden="1" customHeight="1">
      <c r="A5180" s="8"/>
      <c r="C5180" s="8"/>
      <c r="F5180" s="8"/>
      <c r="H5180" s="14"/>
      <c r="I5180" s="567"/>
      <c r="J5180" s="18"/>
    </row>
    <row r="5181" spans="1:10" ht="15.75" hidden="1" customHeight="1">
      <c r="A5181" s="8"/>
      <c r="C5181" s="8"/>
      <c r="F5181" s="8"/>
      <c r="H5181" s="14"/>
      <c r="I5181" s="567"/>
      <c r="J5181" s="18"/>
    </row>
    <row r="5182" spans="1:10" ht="15.75" hidden="1" customHeight="1">
      <c r="A5182" s="8"/>
      <c r="C5182" s="8"/>
      <c r="F5182" s="8"/>
      <c r="H5182" s="14"/>
      <c r="I5182" s="567"/>
      <c r="J5182" s="18"/>
    </row>
    <row r="5183" spans="1:10" ht="15.75" hidden="1" customHeight="1">
      <c r="A5183" s="8"/>
      <c r="C5183" s="8"/>
      <c r="F5183" s="8"/>
      <c r="H5183" s="14"/>
      <c r="I5183" s="567"/>
      <c r="J5183" s="18"/>
    </row>
    <row r="5184" spans="1:10" ht="15.75" hidden="1" customHeight="1">
      <c r="A5184" s="8"/>
      <c r="C5184" s="8"/>
      <c r="F5184" s="8"/>
      <c r="H5184" s="14"/>
      <c r="I5184" s="567"/>
      <c r="J5184" s="18"/>
    </row>
    <row r="5185" spans="1:10" ht="15.75" hidden="1" customHeight="1">
      <c r="A5185" s="8"/>
      <c r="C5185" s="8"/>
      <c r="F5185" s="8"/>
      <c r="H5185" s="14"/>
      <c r="I5185" s="567"/>
      <c r="J5185" s="18"/>
    </row>
    <row r="5186" spans="1:10" ht="15.75" hidden="1" customHeight="1">
      <c r="A5186" s="8"/>
      <c r="C5186" s="8"/>
      <c r="F5186" s="8"/>
      <c r="H5186" s="14"/>
      <c r="I5186" s="567"/>
      <c r="J5186" s="18"/>
    </row>
    <row r="5187" spans="1:10" ht="15.75" hidden="1" customHeight="1">
      <c r="A5187" s="8"/>
      <c r="C5187" s="8"/>
      <c r="F5187" s="8"/>
      <c r="H5187" s="14"/>
      <c r="I5187" s="567"/>
      <c r="J5187" s="18"/>
    </row>
    <row r="5188" spans="1:10" ht="15.75" hidden="1" customHeight="1">
      <c r="A5188" s="8"/>
      <c r="C5188" s="8"/>
      <c r="F5188" s="8"/>
      <c r="H5188" s="14"/>
      <c r="I5188" s="567"/>
      <c r="J5188" s="18"/>
    </row>
    <row r="5189" spans="1:10" ht="15.75" hidden="1" customHeight="1">
      <c r="A5189" s="8"/>
      <c r="C5189" s="8"/>
      <c r="F5189" s="8"/>
      <c r="H5189" s="14"/>
      <c r="I5189" s="567"/>
      <c r="J5189" s="18"/>
    </row>
    <row r="5190" spans="1:10" ht="15.75" hidden="1" customHeight="1">
      <c r="A5190" s="8"/>
      <c r="C5190" s="8"/>
      <c r="F5190" s="8"/>
      <c r="H5190" s="14"/>
      <c r="I5190" s="567"/>
      <c r="J5190" s="18"/>
    </row>
    <row r="5191" spans="1:10" ht="15.75" hidden="1" customHeight="1">
      <c r="A5191" s="8"/>
      <c r="C5191" s="8"/>
      <c r="F5191" s="8"/>
      <c r="H5191" s="14"/>
      <c r="I5191" s="567"/>
      <c r="J5191" s="18"/>
    </row>
    <row r="5192" spans="1:10" ht="15.75" hidden="1" customHeight="1">
      <c r="A5192" s="8"/>
      <c r="C5192" s="8"/>
      <c r="F5192" s="8"/>
      <c r="H5192" s="14"/>
      <c r="I5192" s="567"/>
      <c r="J5192" s="18"/>
    </row>
    <row r="5193" spans="1:10" ht="15.75" hidden="1" customHeight="1">
      <c r="A5193" s="8"/>
      <c r="C5193" s="8"/>
      <c r="F5193" s="8"/>
      <c r="H5193" s="14"/>
      <c r="I5193" s="567"/>
      <c r="J5193" s="18"/>
    </row>
    <row r="5194" spans="1:10" ht="15.75" hidden="1" customHeight="1">
      <c r="A5194" s="8"/>
      <c r="C5194" s="8"/>
      <c r="F5194" s="8"/>
      <c r="H5194" s="14"/>
      <c r="I5194" s="567"/>
      <c r="J5194" s="18"/>
    </row>
    <row r="5195" spans="1:10" ht="15.75" hidden="1" customHeight="1">
      <c r="A5195" s="8"/>
      <c r="C5195" s="8"/>
      <c r="F5195" s="8"/>
      <c r="H5195" s="14"/>
      <c r="I5195" s="567"/>
      <c r="J5195" s="18"/>
    </row>
    <row r="5196" spans="1:10" ht="15.75" hidden="1" customHeight="1">
      <c r="A5196" s="8"/>
      <c r="C5196" s="8"/>
      <c r="F5196" s="8"/>
      <c r="H5196" s="14"/>
      <c r="I5196" s="567"/>
      <c r="J5196" s="18"/>
    </row>
    <row r="5197" spans="1:10" ht="15.75" hidden="1" customHeight="1">
      <c r="A5197" s="8"/>
      <c r="C5197" s="8"/>
      <c r="F5197" s="8"/>
      <c r="H5197" s="14"/>
      <c r="I5197" s="567"/>
      <c r="J5197" s="18"/>
    </row>
    <row r="5198" spans="1:10" ht="15.75" hidden="1" customHeight="1">
      <c r="A5198" s="8"/>
      <c r="C5198" s="8"/>
      <c r="F5198" s="8"/>
      <c r="H5198" s="14"/>
      <c r="I5198" s="567"/>
      <c r="J5198" s="18"/>
    </row>
    <row r="5199" spans="1:10" ht="15.75" hidden="1" customHeight="1">
      <c r="A5199" s="8"/>
      <c r="C5199" s="8"/>
      <c r="F5199" s="8"/>
      <c r="H5199" s="14"/>
      <c r="I5199" s="567"/>
      <c r="J5199" s="18"/>
    </row>
    <row r="5200" spans="1:10" ht="15.75" hidden="1" customHeight="1">
      <c r="A5200" s="8"/>
      <c r="C5200" s="8"/>
      <c r="F5200" s="8"/>
      <c r="H5200" s="14"/>
      <c r="I5200" s="567"/>
      <c r="J5200" s="18"/>
    </row>
    <row r="5201" spans="1:10" ht="15.75" hidden="1" customHeight="1">
      <c r="A5201" s="8"/>
      <c r="C5201" s="8"/>
      <c r="F5201" s="8"/>
      <c r="H5201" s="14"/>
      <c r="I5201" s="567"/>
      <c r="J5201" s="18"/>
    </row>
    <row r="5202" spans="1:10" ht="15.75" hidden="1" customHeight="1">
      <c r="A5202" s="8"/>
      <c r="C5202" s="8"/>
      <c r="F5202" s="8"/>
      <c r="H5202" s="14"/>
      <c r="I5202" s="567"/>
      <c r="J5202" s="18"/>
    </row>
    <row r="5203" spans="1:10" ht="15.75" hidden="1" customHeight="1">
      <c r="A5203" s="8"/>
      <c r="C5203" s="8"/>
      <c r="F5203" s="8"/>
      <c r="H5203" s="14"/>
      <c r="I5203" s="567"/>
      <c r="J5203" s="18"/>
    </row>
    <row r="5204" spans="1:10" ht="15.75" hidden="1" customHeight="1">
      <c r="A5204" s="8"/>
      <c r="C5204" s="8"/>
      <c r="F5204" s="8"/>
      <c r="H5204" s="14"/>
      <c r="I5204" s="567"/>
      <c r="J5204" s="18"/>
    </row>
    <row r="5205" spans="1:10" ht="15.75" hidden="1" customHeight="1">
      <c r="A5205" s="8"/>
      <c r="C5205" s="8"/>
      <c r="F5205" s="8"/>
      <c r="H5205" s="14"/>
      <c r="I5205" s="567"/>
      <c r="J5205" s="18"/>
    </row>
    <row r="5206" spans="1:10" ht="15.75" hidden="1" customHeight="1">
      <c r="A5206" s="8"/>
      <c r="C5206" s="8"/>
      <c r="F5206" s="8"/>
      <c r="H5206" s="14"/>
      <c r="I5206" s="567"/>
      <c r="J5206" s="18"/>
    </row>
    <row r="5207" spans="1:10" ht="15.75" hidden="1" customHeight="1">
      <c r="A5207" s="8"/>
      <c r="C5207" s="8"/>
      <c r="F5207" s="8"/>
      <c r="H5207" s="14"/>
      <c r="I5207" s="567"/>
      <c r="J5207" s="18"/>
    </row>
    <row r="5208" spans="1:10" ht="15.75" hidden="1" customHeight="1">
      <c r="A5208" s="8"/>
      <c r="C5208" s="8"/>
      <c r="F5208" s="8"/>
      <c r="H5208" s="14"/>
      <c r="I5208" s="567"/>
      <c r="J5208" s="18"/>
    </row>
    <row r="5209" spans="1:10" ht="15.75" hidden="1" customHeight="1">
      <c r="A5209" s="8"/>
      <c r="C5209" s="8"/>
      <c r="F5209" s="8"/>
      <c r="H5209" s="14"/>
      <c r="I5209" s="567"/>
      <c r="J5209" s="18"/>
    </row>
    <row r="5210" spans="1:10" ht="15.75" hidden="1" customHeight="1">
      <c r="A5210" s="8"/>
      <c r="C5210" s="8"/>
      <c r="F5210" s="8"/>
      <c r="H5210" s="14"/>
      <c r="I5210" s="567"/>
      <c r="J5210" s="18"/>
    </row>
    <row r="5211" spans="1:10" ht="15.75" hidden="1" customHeight="1">
      <c r="A5211" s="8"/>
      <c r="C5211" s="8"/>
      <c r="F5211" s="8"/>
      <c r="H5211" s="14"/>
      <c r="I5211" s="567"/>
      <c r="J5211" s="18"/>
    </row>
    <row r="5212" spans="1:10" ht="15.75" hidden="1" customHeight="1">
      <c r="A5212" s="8"/>
      <c r="C5212" s="8"/>
      <c r="F5212" s="8"/>
      <c r="H5212" s="14"/>
      <c r="I5212" s="567"/>
      <c r="J5212" s="18"/>
    </row>
    <row r="5213" spans="1:10" ht="15.75" hidden="1" customHeight="1">
      <c r="A5213" s="8"/>
      <c r="C5213" s="8"/>
      <c r="F5213" s="8"/>
      <c r="H5213" s="14"/>
      <c r="I5213" s="567"/>
      <c r="J5213" s="18"/>
    </row>
    <row r="5214" spans="1:10" ht="15.75" hidden="1" customHeight="1">
      <c r="A5214" s="8"/>
      <c r="C5214" s="8"/>
      <c r="F5214" s="8"/>
      <c r="H5214" s="14"/>
      <c r="I5214" s="567"/>
      <c r="J5214" s="18"/>
    </row>
    <row r="5215" spans="1:10" ht="15.75" hidden="1" customHeight="1">
      <c r="A5215" s="8"/>
      <c r="C5215" s="8"/>
      <c r="F5215" s="8"/>
      <c r="H5215" s="14"/>
      <c r="I5215" s="567"/>
      <c r="J5215" s="18"/>
    </row>
    <row r="5216" spans="1:10" ht="15.75" hidden="1" customHeight="1">
      <c r="A5216" s="8"/>
      <c r="C5216" s="8"/>
      <c r="F5216" s="8"/>
      <c r="H5216" s="14"/>
      <c r="I5216" s="567"/>
      <c r="J5216" s="18"/>
    </row>
    <row r="5217" spans="1:10" ht="15.75" hidden="1" customHeight="1">
      <c r="A5217" s="8"/>
      <c r="C5217" s="8"/>
      <c r="F5217" s="8"/>
      <c r="H5217" s="14"/>
      <c r="I5217" s="567"/>
      <c r="J5217" s="18"/>
    </row>
    <row r="5218" spans="1:10" ht="15.75" hidden="1" customHeight="1">
      <c r="A5218" s="8"/>
      <c r="C5218" s="8"/>
      <c r="F5218" s="8"/>
      <c r="H5218" s="14"/>
      <c r="I5218" s="567"/>
      <c r="J5218" s="18"/>
    </row>
    <row r="5219" spans="1:10" ht="15.75" hidden="1" customHeight="1">
      <c r="A5219" s="8"/>
      <c r="C5219" s="8"/>
      <c r="F5219" s="8"/>
      <c r="H5219" s="14"/>
      <c r="I5219" s="567"/>
      <c r="J5219" s="18"/>
    </row>
    <row r="5220" spans="1:10" ht="15.75" hidden="1" customHeight="1">
      <c r="A5220" s="8"/>
      <c r="C5220" s="8"/>
      <c r="F5220" s="8"/>
      <c r="H5220" s="14"/>
      <c r="I5220" s="567"/>
      <c r="J5220" s="18"/>
    </row>
    <row r="5221" spans="1:10" ht="15.75" hidden="1" customHeight="1">
      <c r="A5221" s="8"/>
      <c r="C5221" s="8"/>
      <c r="F5221" s="8"/>
      <c r="H5221" s="14"/>
      <c r="I5221" s="567"/>
      <c r="J5221" s="18"/>
    </row>
    <row r="5222" spans="1:10" ht="15.75" hidden="1" customHeight="1">
      <c r="A5222" s="8"/>
      <c r="C5222" s="8"/>
      <c r="F5222" s="8"/>
      <c r="H5222" s="14"/>
      <c r="I5222" s="567"/>
      <c r="J5222" s="18"/>
    </row>
    <row r="5223" spans="1:10" ht="15.75" hidden="1" customHeight="1">
      <c r="A5223" s="8"/>
      <c r="C5223" s="8"/>
      <c r="F5223" s="8"/>
      <c r="H5223" s="14"/>
      <c r="I5223" s="567"/>
      <c r="J5223" s="18"/>
    </row>
    <row r="5224" spans="1:10" ht="15.75" hidden="1" customHeight="1">
      <c r="A5224" s="8"/>
      <c r="C5224" s="8"/>
      <c r="F5224" s="8"/>
      <c r="H5224" s="14"/>
      <c r="I5224" s="567"/>
      <c r="J5224" s="18"/>
    </row>
    <row r="5225" spans="1:10" ht="15.75" hidden="1" customHeight="1">
      <c r="A5225" s="8"/>
      <c r="C5225" s="8"/>
      <c r="F5225" s="8"/>
      <c r="H5225" s="14"/>
      <c r="I5225" s="567"/>
      <c r="J5225" s="18"/>
    </row>
    <row r="5226" spans="1:10" ht="15.75" hidden="1" customHeight="1">
      <c r="A5226" s="8"/>
      <c r="C5226" s="8"/>
      <c r="F5226" s="8"/>
      <c r="H5226" s="14"/>
      <c r="I5226" s="567"/>
      <c r="J5226" s="18"/>
    </row>
    <row r="5227" spans="1:10" ht="15.75" hidden="1" customHeight="1">
      <c r="A5227" s="8"/>
      <c r="C5227" s="8"/>
      <c r="F5227" s="8"/>
      <c r="H5227" s="14"/>
      <c r="I5227" s="567"/>
      <c r="J5227" s="18"/>
    </row>
    <row r="5228" spans="1:10" ht="15.75" hidden="1" customHeight="1">
      <c r="A5228" s="8"/>
      <c r="C5228" s="8"/>
      <c r="F5228" s="8"/>
      <c r="H5228" s="14"/>
      <c r="I5228" s="567"/>
      <c r="J5228" s="18"/>
    </row>
    <row r="5229" spans="1:10" ht="15.75" hidden="1" customHeight="1">
      <c r="A5229" s="8"/>
      <c r="C5229" s="8"/>
      <c r="F5229" s="8"/>
      <c r="H5229" s="14"/>
      <c r="I5229" s="567"/>
      <c r="J5229" s="18"/>
    </row>
    <row r="5230" spans="1:10" ht="15.75" hidden="1" customHeight="1">
      <c r="A5230" s="8"/>
      <c r="C5230" s="8"/>
      <c r="F5230" s="8"/>
      <c r="H5230" s="14"/>
      <c r="I5230" s="567"/>
      <c r="J5230" s="18"/>
    </row>
    <row r="5231" spans="1:10" ht="15.75" hidden="1" customHeight="1">
      <c r="A5231" s="8"/>
      <c r="C5231" s="8"/>
      <c r="F5231" s="8"/>
      <c r="H5231" s="14"/>
      <c r="I5231" s="567"/>
      <c r="J5231" s="18"/>
    </row>
    <row r="5232" spans="1:10" ht="15.75" hidden="1" customHeight="1">
      <c r="A5232" s="8"/>
      <c r="C5232" s="8"/>
      <c r="F5232" s="8"/>
      <c r="H5232" s="14"/>
      <c r="I5232" s="567"/>
      <c r="J5232" s="18"/>
    </row>
    <row r="5233" spans="1:10" ht="15.75" hidden="1" customHeight="1">
      <c r="A5233" s="8"/>
      <c r="C5233" s="8"/>
      <c r="F5233" s="8"/>
      <c r="H5233" s="14"/>
      <c r="I5233" s="567"/>
      <c r="J5233" s="18"/>
    </row>
    <row r="5234" spans="1:10" ht="15.75" hidden="1" customHeight="1">
      <c r="A5234" s="8"/>
      <c r="C5234" s="8"/>
      <c r="F5234" s="8"/>
      <c r="H5234" s="14"/>
      <c r="I5234" s="567"/>
      <c r="J5234" s="18"/>
    </row>
    <row r="5235" spans="1:10" ht="15.75" hidden="1" customHeight="1">
      <c r="A5235" s="8"/>
      <c r="C5235" s="8"/>
      <c r="F5235" s="8"/>
      <c r="H5235" s="14"/>
      <c r="I5235" s="567"/>
      <c r="J5235" s="18"/>
    </row>
    <row r="5236" spans="1:10" ht="15.75" hidden="1" customHeight="1">
      <c r="A5236" s="8"/>
      <c r="C5236" s="8"/>
      <c r="F5236" s="8"/>
      <c r="H5236" s="14"/>
      <c r="I5236" s="567"/>
      <c r="J5236" s="18"/>
    </row>
    <row r="5237" spans="1:10" ht="15.75" hidden="1" customHeight="1">
      <c r="A5237" s="8"/>
      <c r="C5237" s="8"/>
      <c r="F5237" s="8"/>
      <c r="H5237" s="14"/>
      <c r="I5237" s="567"/>
      <c r="J5237" s="18"/>
    </row>
    <row r="5238" spans="1:10" ht="15.75" hidden="1" customHeight="1">
      <c r="A5238" s="8"/>
      <c r="C5238" s="8"/>
      <c r="F5238" s="8"/>
      <c r="H5238" s="14"/>
      <c r="I5238" s="567"/>
      <c r="J5238" s="18"/>
    </row>
    <row r="5239" spans="1:10" ht="15.75" hidden="1" customHeight="1">
      <c r="A5239" s="8"/>
      <c r="C5239" s="8"/>
      <c r="F5239" s="8"/>
      <c r="H5239" s="14"/>
      <c r="I5239" s="567"/>
      <c r="J5239" s="18"/>
    </row>
    <row r="5240" spans="1:10" ht="15.75" hidden="1" customHeight="1">
      <c r="A5240" s="8"/>
      <c r="C5240" s="8"/>
      <c r="F5240" s="8"/>
      <c r="H5240" s="14"/>
      <c r="I5240" s="567"/>
      <c r="J5240" s="18"/>
    </row>
    <row r="5241" spans="1:10" ht="15.75" hidden="1" customHeight="1">
      <c r="A5241" s="8"/>
      <c r="C5241" s="8"/>
      <c r="F5241" s="8"/>
      <c r="H5241" s="14"/>
      <c r="I5241" s="567"/>
      <c r="J5241" s="18"/>
    </row>
    <row r="5242" spans="1:10" ht="15.75" hidden="1" customHeight="1">
      <c r="A5242" s="8"/>
      <c r="C5242" s="8"/>
      <c r="F5242" s="8"/>
      <c r="H5242" s="14"/>
      <c r="I5242" s="567"/>
      <c r="J5242" s="18"/>
    </row>
    <row r="5243" spans="1:10" ht="15.75" hidden="1" customHeight="1">
      <c r="A5243" s="8"/>
      <c r="C5243" s="8"/>
      <c r="F5243" s="8"/>
      <c r="H5243" s="14"/>
      <c r="I5243" s="567"/>
      <c r="J5243" s="18"/>
    </row>
    <row r="5244" spans="1:10" ht="15.75" hidden="1" customHeight="1">
      <c r="A5244" s="8"/>
      <c r="C5244" s="8"/>
      <c r="F5244" s="8"/>
      <c r="H5244" s="14"/>
      <c r="I5244" s="567"/>
      <c r="J5244" s="18"/>
    </row>
    <row r="5245" spans="1:10" ht="15.75" hidden="1" customHeight="1">
      <c r="A5245" s="8"/>
      <c r="C5245" s="8"/>
      <c r="F5245" s="8"/>
      <c r="H5245" s="14"/>
      <c r="I5245" s="567"/>
      <c r="J5245" s="18"/>
    </row>
    <row r="5246" spans="1:10" ht="15.75" hidden="1" customHeight="1">
      <c r="A5246" s="8"/>
      <c r="C5246" s="8"/>
      <c r="F5246" s="8"/>
      <c r="H5246" s="14"/>
      <c r="I5246" s="567"/>
      <c r="J5246" s="18"/>
    </row>
    <row r="5247" spans="1:10" ht="15.75" hidden="1" customHeight="1">
      <c r="A5247" s="8"/>
      <c r="C5247" s="8"/>
      <c r="F5247" s="8"/>
      <c r="H5247" s="14"/>
      <c r="I5247" s="567"/>
      <c r="J5247" s="18"/>
    </row>
    <row r="5248" spans="1:10" ht="15.75" hidden="1" customHeight="1">
      <c r="A5248" s="8"/>
      <c r="C5248" s="8"/>
      <c r="F5248" s="8"/>
      <c r="H5248" s="14"/>
      <c r="I5248" s="567"/>
      <c r="J5248" s="18"/>
    </row>
    <row r="5249" spans="1:10" ht="15.75" hidden="1" customHeight="1">
      <c r="A5249" s="8"/>
      <c r="C5249" s="8"/>
      <c r="F5249" s="8"/>
      <c r="H5249" s="14"/>
      <c r="I5249" s="567"/>
      <c r="J5249" s="18"/>
    </row>
    <row r="5250" spans="1:10" ht="15.75" hidden="1" customHeight="1">
      <c r="A5250" s="8"/>
      <c r="C5250" s="8"/>
      <c r="F5250" s="8"/>
      <c r="H5250" s="14"/>
      <c r="I5250" s="567"/>
      <c r="J5250" s="18"/>
    </row>
    <row r="5251" spans="1:10" ht="15.75" hidden="1" customHeight="1">
      <c r="A5251" s="8"/>
      <c r="C5251" s="8"/>
      <c r="F5251" s="8"/>
      <c r="H5251" s="14"/>
      <c r="I5251" s="567"/>
      <c r="J5251" s="18"/>
    </row>
    <row r="5252" spans="1:10" ht="15.75" hidden="1" customHeight="1">
      <c r="A5252" s="8"/>
      <c r="C5252" s="8"/>
      <c r="F5252" s="8"/>
      <c r="H5252" s="14"/>
      <c r="I5252" s="567"/>
      <c r="J5252" s="18"/>
    </row>
    <row r="5253" spans="1:10" ht="15.75" hidden="1" customHeight="1">
      <c r="A5253" s="8"/>
      <c r="C5253" s="8"/>
      <c r="F5253" s="8"/>
      <c r="H5253" s="14"/>
      <c r="I5253" s="567"/>
      <c r="J5253" s="18"/>
    </row>
    <row r="5254" spans="1:10" ht="15.75" hidden="1" customHeight="1">
      <c r="A5254" s="8"/>
      <c r="C5254" s="8"/>
      <c r="F5254" s="8"/>
      <c r="H5254" s="14"/>
      <c r="I5254" s="567"/>
      <c r="J5254" s="18"/>
    </row>
    <row r="5255" spans="1:10" ht="15.75" hidden="1" customHeight="1">
      <c r="A5255" s="8"/>
      <c r="C5255" s="8"/>
      <c r="F5255" s="8"/>
      <c r="H5255" s="14"/>
      <c r="I5255" s="567"/>
      <c r="J5255" s="18"/>
    </row>
    <row r="5256" spans="1:10" ht="15.75" hidden="1" customHeight="1">
      <c r="A5256" s="8"/>
      <c r="C5256" s="8"/>
      <c r="F5256" s="8"/>
      <c r="H5256" s="14"/>
      <c r="I5256" s="567"/>
      <c r="J5256" s="18"/>
    </row>
    <row r="5257" spans="1:10" ht="15.75" hidden="1" customHeight="1">
      <c r="A5257" s="8"/>
      <c r="C5257" s="8"/>
      <c r="F5257" s="8"/>
      <c r="H5257" s="14"/>
      <c r="I5257" s="567"/>
      <c r="J5257" s="18"/>
    </row>
    <row r="5258" spans="1:10" ht="15.75" hidden="1" customHeight="1">
      <c r="A5258" s="8"/>
      <c r="C5258" s="8"/>
      <c r="F5258" s="8"/>
      <c r="H5258" s="14"/>
      <c r="I5258" s="567"/>
      <c r="J5258" s="18"/>
    </row>
    <row r="5259" spans="1:10" ht="15.75" hidden="1" customHeight="1">
      <c r="A5259" s="8"/>
      <c r="C5259" s="8"/>
      <c r="F5259" s="8"/>
      <c r="H5259" s="14"/>
      <c r="I5259" s="567"/>
      <c r="J5259" s="18"/>
    </row>
    <row r="5260" spans="1:10" ht="15.75" hidden="1" customHeight="1">
      <c r="A5260" s="8"/>
      <c r="C5260" s="8"/>
      <c r="F5260" s="8"/>
      <c r="H5260" s="14"/>
      <c r="I5260" s="567"/>
      <c r="J5260" s="18"/>
    </row>
    <row r="5261" spans="1:10" ht="15.75" hidden="1" customHeight="1">
      <c r="A5261" s="8"/>
      <c r="C5261" s="8"/>
      <c r="F5261" s="8"/>
      <c r="H5261" s="14"/>
      <c r="I5261" s="567"/>
      <c r="J5261" s="18"/>
    </row>
    <row r="5262" spans="1:10" ht="15.75" hidden="1" customHeight="1">
      <c r="A5262" s="8"/>
      <c r="C5262" s="8"/>
      <c r="F5262" s="8"/>
      <c r="H5262" s="14"/>
      <c r="I5262" s="567"/>
      <c r="J5262" s="18"/>
    </row>
    <row r="5263" spans="1:10" ht="15.75" hidden="1" customHeight="1">
      <c r="A5263" s="8"/>
      <c r="C5263" s="8"/>
      <c r="F5263" s="8"/>
      <c r="H5263" s="14"/>
      <c r="I5263" s="567"/>
      <c r="J5263" s="18"/>
    </row>
    <row r="5264" spans="1:10" ht="15.75" hidden="1" customHeight="1">
      <c r="A5264" s="8"/>
      <c r="C5264" s="8"/>
      <c r="F5264" s="8"/>
      <c r="H5264" s="14"/>
      <c r="I5264" s="567"/>
      <c r="J5264" s="18"/>
    </row>
    <row r="5265" spans="1:10" ht="15.75" hidden="1" customHeight="1">
      <c r="A5265" s="8"/>
      <c r="C5265" s="8"/>
      <c r="F5265" s="8"/>
      <c r="H5265" s="14"/>
      <c r="I5265" s="567"/>
      <c r="J5265" s="18"/>
    </row>
    <row r="5266" spans="1:10" ht="15.75" hidden="1" customHeight="1">
      <c r="A5266" s="8"/>
      <c r="C5266" s="8"/>
      <c r="F5266" s="8"/>
      <c r="H5266" s="14"/>
      <c r="I5266" s="567"/>
      <c r="J5266" s="18"/>
    </row>
    <row r="5267" spans="1:10" ht="15.75" hidden="1" customHeight="1">
      <c r="A5267" s="8"/>
      <c r="C5267" s="8"/>
      <c r="F5267" s="8"/>
      <c r="H5267" s="14"/>
      <c r="I5267" s="567"/>
      <c r="J5267" s="18"/>
    </row>
    <row r="5268" spans="1:10" ht="15.75" hidden="1" customHeight="1">
      <c r="A5268" s="8"/>
      <c r="C5268" s="8"/>
      <c r="F5268" s="8"/>
      <c r="H5268" s="14"/>
      <c r="I5268" s="567"/>
      <c r="J5268" s="18"/>
    </row>
    <row r="5269" spans="1:10" ht="15.75" hidden="1" customHeight="1">
      <c r="A5269" s="8"/>
      <c r="C5269" s="8"/>
      <c r="F5269" s="8"/>
      <c r="H5269" s="14"/>
      <c r="I5269" s="567"/>
      <c r="J5269" s="18"/>
    </row>
    <row r="5270" spans="1:10" ht="15.75" hidden="1" customHeight="1">
      <c r="A5270" s="8"/>
      <c r="C5270" s="8"/>
      <c r="F5270" s="8"/>
      <c r="H5270" s="14"/>
      <c r="I5270" s="567"/>
      <c r="J5270" s="18"/>
    </row>
    <row r="5271" spans="1:10" ht="15.75" hidden="1" customHeight="1">
      <c r="A5271" s="8"/>
      <c r="C5271" s="8"/>
      <c r="F5271" s="8"/>
      <c r="H5271" s="14"/>
      <c r="I5271" s="567"/>
      <c r="J5271" s="18"/>
    </row>
    <row r="5272" spans="1:10" ht="15.75" hidden="1" customHeight="1">
      <c r="A5272" s="8"/>
      <c r="C5272" s="8"/>
      <c r="F5272" s="8"/>
      <c r="H5272" s="14"/>
      <c r="I5272" s="567"/>
      <c r="J5272" s="18"/>
    </row>
    <row r="5273" spans="1:10" ht="15.75" hidden="1" customHeight="1">
      <c r="A5273" s="8"/>
      <c r="C5273" s="8"/>
      <c r="F5273" s="8"/>
      <c r="H5273" s="14"/>
      <c r="I5273" s="567"/>
      <c r="J5273" s="18"/>
    </row>
    <row r="5274" spans="1:10" ht="15.75" hidden="1" customHeight="1">
      <c r="A5274" s="8"/>
      <c r="C5274" s="8"/>
      <c r="F5274" s="8"/>
      <c r="H5274" s="14"/>
      <c r="I5274" s="567"/>
      <c r="J5274" s="18"/>
    </row>
    <row r="5275" spans="1:10" ht="15.75" hidden="1" customHeight="1">
      <c r="A5275" s="8"/>
      <c r="C5275" s="8"/>
      <c r="F5275" s="8"/>
      <c r="H5275" s="14"/>
      <c r="I5275" s="567"/>
      <c r="J5275" s="18"/>
    </row>
    <row r="5276" spans="1:10" ht="15.75" hidden="1" customHeight="1">
      <c r="A5276" s="8"/>
      <c r="C5276" s="8"/>
      <c r="F5276" s="8"/>
      <c r="H5276" s="14"/>
      <c r="I5276" s="567"/>
      <c r="J5276" s="18"/>
    </row>
    <row r="5277" spans="1:10" ht="15.75" hidden="1" customHeight="1">
      <c r="A5277" s="8"/>
      <c r="C5277" s="8"/>
      <c r="F5277" s="8"/>
      <c r="H5277" s="14"/>
      <c r="I5277" s="567"/>
      <c r="J5277" s="18"/>
    </row>
    <row r="5278" spans="1:10" ht="15.75" hidden="1" customHeight="1">
      <c r="A5278" s="8"/>
      <c r="C5278" s="8"/>
      <c r="F5278" s="8"/>
      <c r="H5278" s="14"/>
      <c r="I5278" s="567"/>
      <c r="J5278" s="18"/>
    </row>
    <row r="5279" spans="1:10" ht="15.75" hidden="1" customHeight="1">
      <c r="A5279" s="8"/>
      <c r="C5279" s="8"/>
      <c r="F5279" s="8"/>
      <c r="H5279" s="14"/>
      <c r="I5279" s="567"/>
      <c r="J5279" s="18"/>
    </row>
    <row r="5280" spans="1:10" ht="15.75" hidden="1" customHeight="1">
      <c r="A5280" s="8"/>
      <c r="C5280" s="8"/>
      <c r="F5280" s="8"/>
      <c r="H5280" s="14"/>
      <c r="I5280" s="567"/>
      <c r="J5280" s="18"/>
    </row>
    <row r="5281" spans="1:10" ht="15.75" hidden="1" customHeight="1">
      <c r="A5281" s="8"/>
      <c r="C5281" s="8"/>
      <c r="F5281" s="8"/>
      <c r="H5281" s="14"/>
      <c r="I5281" s="567"/>
      <c r="J5281" s="18"/>
    </row>
    <row r="5282" spans="1:10" ht="15.75" hidden="1" customHeight="1">
      <c r="A5282" s="8"/>
      <c r="C5282" s="8"/>
      <c r="F5282" s="8"/>
      <c r="H5282" s="14"/>
      <c r="I5282" s="567"/>
      <c r="J5282" s="18"/>
    </row>
    <row r="5283" spans="1:10" ht="15.75" hidden="1" customHeight="1">
      <c r="A5283" s="8"/>
      <c r="C5283" s="8"/>
      <c r="F5283" s="8"/>
      <c r="H5283" s="14"/>
      <c r="I5283" s="567"/>
      <c r="J5283" s="18"/>
    </row>
    <row r="5284" spans="1:10" ht="15.75" hidden="1" customHeight="1">
      <c r="A5284" s="8"/>
      <c r="C5284" s="8"/>
      <c r="F5284" s="8"/>
      <c r="H5284" s="14"/>
      <c r="I5284" s="567"/>
      <c r="J5284" s="18"/>
    </row>
    <row r="5285" spans="1:10" ht="15.75" hidden="1" customHeight="1">
      <c r="A5285" s="8"/>
      <c r="C5285" s="8"/>
      <c r="F5285" s="8"/>
      <c r="H5285" s="14"/>
      <c r="I5285" s="567"/>
      <c r="J5285" s="18"/>
    </row>
    <row r="5286" spans="1:10" ht="15.75" hidden="1" customHeight="1">
      <c r="A5286" s="8"/>
      <c r="C5286" s="8"/>
      <c r="F5286" s="8"/>
      <c r="H5286" s="14"/>
      <c r="I5286" s="567"/>
      <c r="J5286" s="18"/>
    </row>
    <row r="5287" spans="1:10" ht="15.75" hidden="1" customHeight="1">
      <c r="A5287" s="8"/>
      <c r="C5287" s="8"/>
      <c r="F5287" s="8"/>
      <c r="H5287" s="14"/>
      <c r="I5287" s="567"/>
      <c r="J5287" s="18"/>
    </row>
    <row r="5288" spans="1:10" ht="15.75" hidden="1" customHeight="1">
      <c r="A5288" s="8"/>
      <c r="C5288" s="8"/>
      <c r="F5288" s="8"/>
      <c r="H5288" s="14"/>
      <c r="I5288" s="567"/>
      <c r="J5288" s="18"/>
    </row>
    <row r="5289" spans="1:10" ht="15.75" hidden="1" customHeight="1">
      <c r="A5289" s="8"/>
      <c r="C5289" s="8"/>
      <c r="F5289" s="8"/>
      <c r="H5289" s="14"/>
      <c r="I5289" s="567"/>
      <c r="J5289" s="18"/>
    </row>
    <row r="5290" spans="1:10" ht="15.75" hidden="1" customHeight="1">
      <c r="A5290" s="8"/>
      <c r="C5290" s="8"/>
      <c r="F5290" s="8"/>
      <c r="H5290" s="14"/>
      <c r="I5290" s="567"/>
      <c r="J5290" s="18"/>
    </row>
    <row r="5291" spans="1:10" ht="15.75" hidden="1" customHeight="1">
      <c r="A5291" s="8"/>
      <c r="C5291" s="8"/>
      <c r="F5291" s="8"/>
      <c r="H5291" s="14"/>
      <c r="I5291" s="567"/>
      <c r="J5291" s="18"/>
    </row>
    <row r="5292" spans="1:10" ht="15.75" hidden="1" customHeight="1">
      <c r="A5292" s="8"/>
      <c r="C5292" s="8"/>
      <c r="F5292" s="8"/>
      <c r="H5292" s="14"/>
      <c r="I5292" s="567"/>
      <c r="J5292" s="18"/>
    </row>
    <row r="5293" spans="1:10" ht="15.75" hidden="1" customHeight="1">
      <c r="A5293" s="8"/>
      <c r="C5293" s="8"/>
      <c r="F5293" s="8"/>
      <c r="H5293" s="14"/>
      <c r="I5293" s="567"/>
      <c r="J5293" s="18"/>
    </row>
    <row r="5294" spans="1:10" ht="15.75" hidden="1" customHeight="1">
      <c r="A5294" s="8"/>
      <c r="C5294" s="8"/>
      <c r="F5294" s="8"/>
      <c r="H5294" s="14"/>
      <c r="I5294" s="567"/>
      <c r="J5294" s="18"/>
    </row>
    <row r="5295" spans="1:10" ht="15.75" hidden="1" customHeight="1">
      <c r="A5295" s="8"/>
      <c r="C5295" s="8"/>
      <c r="F5295" s="8"/>
      <c r="H5295" s="14"/>
      <c r="I5295" s="567"/>
      <c r="J5295" s="18"/>
    </row>
    <row r="5296" spans="1:10" ht="15.75" hidden="1" customHeight="1">
      <c r="A5296" s="8"/>
      <c r="C5296" s="8"/>
      <c r="F5296" s="8"/>
      <c r="H5296" s="14"/>
      <c r="I5296" s="567"/>
      <c r="J5296" s="18"/>
    </row>
    <row r="5297" spans="1:10" ht="15.75" hidden="1" customHeight="1">
      <c r="A5297" s="8"/>
      <c r="C5297" s="8"/>
      <c r="F5297" s="8"/>
      <c r="H5297" s="14"/>
      <c r="I5297" s="567"/>
      <c r="J5297" s="18"/>
    </row>
    <row r="5298" spans="1:10" ht="15.75" hidden="1" customHeight="1">
      <c r="A5298" s="8"/>
      <c r="C5298" s="8"/>
      <c r="F5298" s="8"/>
      <c r="H5298" s="14"/>
      <c r="I5298" s="567"/>
      <c r="J5298" s="18"/>
    </row>
    <row r="5299" spans="1:10" ht="15.75" hidden="1" customHeight="1">
      <c r="A5299" s="8"/>
      <c r="C5299" s="8"/>
      <c r="F5299" s="8"/>
      <c r="H5299" s="14"/>
      <c r="I5299" s="567"/>
      <c r="J5299" s="18"/>
    </row>
    <row r="5300" spans="1:10" ht="15.75" hidden="1" customHeight="1">
      <c r="A5300" s="8"/>
      <c r="C5300" s="8"/>
      <c r="F5300" s="8"/>
      <c r="H5300" s="14"/>
      <c r="I5300" s="567"/>
      <c r="J5300" s="18"/>
    </row>
    <row r="5301" spans="1:10" ht="15.75" hidden="1" customHeight="1">
      <c r="A5301" s="8"/>
      <c r="C5301" s="8"/>
      <c r="F5301" s="8"/>
      <c r="H5301" s="14"/>
      <c r="I5301" s="567"/>
      <c r="J5301" s="18"/>
    </row>
    <row r="5302" spans="1:10" ht="15.75" hidden="1" customHeight="1">
      <c r="A5302" s="8"/>
      <c r="C5302" s="8"/>
      <c r="F5302" s="8"/>
      <c r="H5302" s="14"/>
      <c r="I5302" s="567"/>
      <c r="J5302" s="18"/>
    </row>
    <row r="5303" spans="1:10" ht="15.75" hidden="1" customHeight="1">
      <c r="A5303" s="8"/>
      <c r="C5303" s="8"/>
      <c r="F5303" s="8"/>
      <c r="H5303" s="14"/>
      <c r="I5303" s="567"/>
      <c r="J5303" s="18"/>
    </row>
    <row r="5304" spans="1:10" ht="15.75" hidden="1" customHeight="1">
      <c r="A5304" s="8"/>
      <c r="C5304" s="8"/>
      <c r="F5304" s="8"/>
      <c r="H5304" s="14"/>
      <c r="I5304" s="567"/>
      <c r="J5304" s="18"/>
    </row>
    <row r="5305" spans="1:10" ht="15.75" hidden="1" customHeight="1">
      <c r="A5305" s="8"/>
      <c r="C5305" s="8"/>
      <c r="F5305" s="8"/>
      <c r="H5305" s="14"/>
      <c r="I5305" s="567"/>
      <c r="J5305" s="18"/>
    </row>
    <row r="5306" spans="1:10" ht="15.75" hidden="1" customHeight="1">
      <c r="A5306" s="8"/>
      <c r="C5306" s="8"/>
      <c r="F5306" s="8"/>
      <c r="H5306" s="14"/>
      <c r="I5306" s="567"/>
      <c r="J5306" s="18"/>
    </row>
    <row r="5307" spans="1:10" ht="15.75" hidden="1" customHeight="1">
      <c r="A5307" s="8"/>
      <c r="C5307" s="8"/>
      <c r="F5307" s="8"/>
      <c r="H5307" s="14"/>
      <c r="I5307" s="567"/>
      <c r="J5307" s="18"/>
    </row>
    <row r="5308" spans="1:10" ht="15.75" hidden="1" customHeight="1">
      <c r="A5308" s="8"/>
      <c r="C5308" s="8"/>
      <c r="F5308" s="8"/>
      <c r="H5308" s="14"/>
      <c r="I5308" s="567"/>
      <c r="J5308" s="18"/>
    </row>
    <row r="5309" spans="1:10" ht="15.75" hidden="1" customHeight="1">
      <c r="A5309" s="8"/>
      <c r="C5309" s="8"/>
      <c r="F5309" s="8"/>
      <c r="H5309" s="14"/>
      <c r="I5309" s="567"/>
      <c r="J5309" s="18"/>
    </row>
    <row r="5310" spans="1:10" ht="15.75" hidden="1" customHeight="1">
      <c r="A5310" s="8"/>
      <c r="C5310" s="8"/>
      <c r="F5310" s="8"/>
      <c r="H5310" s="14"/>
      <c r="I5310" s="567"/>
      <c r="J5310" s="18"/>
    </row>
    <row r="5311" spans="1:10" ht="15.75" hidden="1" customHeight="1">
      <c r="A5311" s="8"/>
      <c r="C5311" s="8"/>
      <c r="F5311" s="8"/>
      <c r="H5311" s="14"/>
      <c r="I5311" s="567"/>
      <c r="J5311" s="18"/>
    </row>
    <row r="5312" spans="1:10" ht="15.75" hidden="1" customHeight="1">
      <c r="A5312" s="8"/>
      <c r="C5312" s="8"/>
      <c r="F5312" s="8"/>
      <c r="H5312" s="14"/>
      <c r="I5312" s="567"/>
      <c r="J5312" s="18"/>
    </row>
    <row r="5313" spans="1:10" ht="15.75" hidden="1" customHeight="1">
      <c r="A5313" s="8"/>
      <c r="C5313" s="8"/>
      <c r="F5313" s="8"/>
      <c r="H5313" s="14"/>
      <c r="I5313" s="567"/>
      <c r="J5313" s="18"/>
    </row>
    <row r="5314" spans="1:10" ht="15.75" hidden="1" customHeight="1">
      <c r="A5314" s="8"/>
      <c r="C5314" s="8"/>
      <c r="F5314" s="8"/>
      <c r="H5314" s="14"/>
      <c r="I5314" s="567"/>
      <c r="J5314" s="18"/>
    </row>
    <row r="5315" spans="1:10" ht="15.75" hidden="1" customHeight="1">
      <c r="A5315" s="8"/>
      <c r="C5315" s="8"/>
      <c r="F5315" s="8"/>
      <c r="H5315" s="14"/>
      <c r="I5315" s="567"/>
      <c r="J5315" s="18"/>
    </row>
    <row r="5316" spans="1:10" ht="15.75" hidden="1" customHeight="1">
      <c r="A5316" s="8"/>
      <c r="C5316" s="8"/>
      <c r="F5316" s="8"/>
      <c r="H5316" s="14"/>
      <c r="I5316" s="567"/>
      <c r="J5316" s="18"/>
    </row>
    <row r="5317" spans="1:10" ht="15.75" hidden="1" customHeight="1">
      <c r="A5317" s="8"/>
      <c r="C5317" s="8"/>
      <c r="F5317" s="8"/>
      <c r="H5317" s="14"/>
      <c r="I5317" s="567"/>
      <c r="J5317" s="18"/>
    </row>
    <row r="5318" spans="1:10" ht="15.75" hidden="1" customHeight="1">
      <c r="A5318" s="8"/>
      <c r="C5318" s="8"/>
      <c r="F5318" s="8"/>
      <c r="H5318" s="14"/>
      <c r="I5318" s="567"/>
      <c r="J5318" s="18"/>
    </row>
    <row r="5319" spans="1:10" ht="15.75" hidden="1" customHeight="1">
      <c r="A5319" s="8"/>
      <c r="C5319" s="8"/>
      <c r="F5319" s="8"/>
      <c r="H5319" s="14"/>
      <c r="I5319" s="567"/>
      <c r="J5319" s="18"/>
    </row>
    <row r="5320" spans="1:10" ht="15.75" hidden="1" customHeight="1">
      <c r="A5320" s="8"/>
      <c r="C5320" s="8"/>
      <c r="F5320" s="8"/>
      <c r="H5320" s="14"/>
      <c r="I5320" s="567"/>
      <c r="J5320" s="18"/>
    </row>
    <row r="5321" spans="1:10" ht="15.75" hidden="1" customHeight="1">
      <c r="A5321" s="8"/>
      <c r="C5321" s="8"/>
      <c r="F5321" s="8"/>
      <c r="H5321" s="14"/>
      <c r="I5321" s="567"/>
      <c r="J5321" s="18"/>
    </row>
    <row r="5322" spans="1:10" ht="15.75" hidden="1" customHeight="1">
      <c r="A5322" s="8"/>
      <c r="C5322" s="8"/>
      <c r="F5322" s="8"/>
      <c r="H5322" s="14"/>
      <c r="I5322" s="567"/>
      <c r="J5322" s="18"/>
    </row>
    <row r="5323" spans="1:10" ht="15.75" hidden="1" customHeight="1">
      <c r="A5323" s="8"/>
      <c r="C5323" s="8"/>
      <c r="F5323" s="8"/>
      <c r="H5323" s="14"/>
      <c r="I5323" s="567"/>
      <c r="J5323" s="18"/>
    </row>
    <row r="5324" spans="1:10" ht="15.75" hidden="1" customHeight="1">
      <c r="A5324" s="8"/>
      <c r="C5324" s="8"/>
      <c r="F5324" s="8"/>
      <c r="H5324" s="14"/>
      <c r="I5324" s="567"/>
      <c r="J5324" s="18"/>
    </row>
    <row r="5325" spans="1:10" ht="15.75" hidden="1" customHeight="1">
      <c r="A5325" s="8"/>
      <c r="C5325" s="8"/>
      <c r="F5325" s="8"/>
      <c r="H5325" s="14"/>
      <c r="I5325" s="567"/>
      <c r="J5325" s="18"/>
    </row>
    <row r="5326" spans="1:10" ht="15.75" hidden="1" customHeight="1">
      <c r="A5326" s="8"/>
      <c r="C5326" s="8"/>
      <c r="F5326" s="8"/>
      <c r="H5326" s="14"/>
      <c r="I5326" s="567"/>
      <c r="J5326" s="18"/>
    </row>
    <row r="5327" spans="1:10" ht="15.75" hidden="1" customHeight="1">
      <c r="A5327" s="8"/>
      <c r="C5327" s="8"/>
      <c r="F5327" s="8"/>
      <c r="H5327" s="14"/>
      <c r="I5327" s="567"/>
      <c r="J5327" s="18"/>
    </row>
    <row r="5328" spans="1:10" ht="15.75" hidden="1" customHeight="1">
      <c r="A5328" s="8"/>
      <c r="C5328" s="8"/>
      <c r="F5328" s="8"/>
      <c r="H5328" s="14"/>
      <c r="I5328" s="567"/>
      <c r="J5328" s="18"/>
    </row>
    <row r="5329" spans="1:10" ht="15.75" hidden="1" customHeight="1">
      <c r="A5329" s="8"/>
      <c r="C5329" s="8"/>
      <c r="F5329" s="8"/>
      <c r="H5329" s="14"/>
      <c r="I5329" s="567"/>
      <c r="J5329" s="18"/>
    </row>
    <row r="5330" spans="1:10" ht="15.75" hidden="1" customHeight="1">
      <c r="A5330" s="8"/>
      <c r="C5330" s="8"/>
      <c r="F5330" s="8"/>
      <c r="H5330" s="14"/>
      <c r="I5330" s="567"/>
      <c r="J5330" s="18"/>
    </row>
    <row r="5331" spans="1:10" ht="15.75" hidden="1" customHeight="1">
      <c r="A5331" s="8"/>
      <c r="C5331" s="8"/>
      <c r="F5331" s="8"/>
      <c r="H5331" s="14"/>
      <c r="I5331" s="567"/>
      <c r="J5331" s="18"/>
    </row>
    <row r="5332" spans="1:10" ht="15.75" hidden="1" customHeight="1">
      <c r="A5332" s="8"/>
      <c r="C5332" s="8"/>
      <c r="F5332" s="8"/>
      <c r="H5332" s="14"/>
      <c r="I5332" s="567"/>
      <c r="J5332" s="18"/>
    </row>
    <row r="5333" spans="1:10" ht="15.75" hidden="1" customHeight="1">
      <c r="A5333" s="8"/>
      <c r="C5333" s="8"/>
      <c r="F5333" s="8"/>
      <c r="H5333" s="14"/>
      <c r="I5333" s="567"/>
      <c r="J5333" s="18"/>
    </row>
    <row r="5334" spans="1:10" ht="15.75" hidden="1" customHeight="1">
      <c r="A5334" s="8"/>
      <c r="C5334" s="8"/>
      <c r="F5334" s="8"/>
      <c r="H5334" s="14"/>
      <c r="I5334" s="567"/>
      <c r="J5334" s="18"/>
    </row>
    <row r="5335" spans="1:10" ht="15.75" hidden="1" customHeight="1">
      <c r="A5335" s="8"/>
      <c r="C5335" s="8"/>
      <c r="F5335" s="8"/>
      <c r="H5335" s="14"/>
      <c r="I5335" s="567"/>
      <c r="J5335" s="18"/>
    </row>
    <row r="5336" spans="1:10" ht="15.75" hidden="1" customHeight="1">
      <c r="A5336" s="8"/>
      <c r="C5336" s="8"/>
      <c r="F5336" s="8"/>
      <c r="H5336" s="14"/>
      <c r="I5336" s="567"/>
      <c r="J5336" s="18"/>
    </row>
    <row r="5337" spans="1:10" ht="15.75" hidden="1" customHeight="1">
      <c r="A5337" s="8"/>
      <c r="C5337" s="8"/>
      <c r="F5337" s="8"/>
      <c r="H5337" s="14"/>
      <c r="I5337" s="567"/>
      <c r="J5337" s="18"/>
    </row>
    <row r="5338" spans="1:10" ht="15.75" hidden="1" customHeight="1">
      <c r="A5338" s="8"/>
      <c r="C5338" s="8"/>
      <c r="F5338" s="8"/>
      <c r="H5338" s="14"/>
      <c r="I5338" s="567"/>
      <c r="J5338" s="18"/>
    </row>
    <row r="5339" spans="1:10" ht="15.75" hidden="1" customHeight="1">
      <c r="A5339" s="8"/>
      <c r="C5339" s="8"/>
      <c r="F5339" s="8"/>
      <c r="H5339" s="14"/>
      <c r="I5339" s="567"/>
      <c r="J5339" s="18"/>
    </row>
    <row r="5340" spans="1:10" ht="15.75" hidden="1" customHeight="1">
      <c r="A5340" s="8"/>
      <c r="C5340" s="8"/>
      <c r="F5340" s="8"/>
      <c r="H5340" s="14"/>
      <c r="I5340" s="567"/>
      <c r="J5340" s="18"/>
    </row>
    <row r="5341" spans="1:10" ht="15.75" hidden="1" customHeight="1">
      <c r="A5341" s="8"/>
      <c r="C5341" s="8"/>
      <c r="F5341" s="8"/>
      <c r="H5341" s="14"/>
      <c r="I5341" s="567"/>
      <c r="J5341" s="18"/>
    </row>
    <row r="5342" spans="1:10" ht="15.75" hidden="1" customHeight="1">
      <c r="A5342" s="8"/>
      <c r="C5342" s="8"/>
      <c r="F5342" s="8"/>
      <c r="H5342" s="14"/>
      <c r="I5342" s="567"/>
      <c r="J5342" s="18"/>
    </row>
    <row r="5343" spans="1:10" ht="15.75" hidden="1" customHeight="1">
      <c r="A5343" s="8"/>
      <c r="C5343" s="8"/>
      <c r="F5343" s="8"/>
      <c r="H5343" s="14"/>
      <c r="I5343" s="567"/>
      <c r="J5343" s="18"/>
    </row>
    <row r="5344" spans="1:10" ht="15.75" hidden="1" customHeight="1">
      <c r="A5344" s="8"/>
      <c r="C5344" s="8"/>
      <c r="F5344" s="8"/>
      <c r="H5344" s="14"/>
      <c r="I5344" s="567"/>
      <c r="J5344" s="18"/>
    </row>
    <row r="5345" spans="1:10" ht="15.75" hidden="1" customHeight="1">
      <c r="A5345" s="8"/>
      <c r="C5345" s="8"/>
      <c r="F5345" s="8"/>
      <c r="H5345" s="14"/>
      <c r="I5345" s="567"/>
      <c r="J5345" s="18"/>
    </row>
    <row r="5346" spans="1:10" ht="15.75" hidden="1" customHeight="1">
      <c r="A5346" s="8"/>
      <c r="C5346" s="8"/>
      <c r="F5346" s="8"/>
      <c r="H5346" s="14"/>
      <c r="I5346" s="567"/>
      <c r="J5346" s="18"/>
    </row>
    <row r="5347" spans="1:10" ht="15.75" hidden="1" customHeight="1">
      <c r="A5347" s="8"/>
      <c r="C5347" s="8"/>
      <c r="F5347" s="8"/>
      <c r="H5347" s="14"/>
      <c r="I5347" s="567"/>
      <c r="J5347" s="18"/>
    </row>
    <row r="5348" spans="1:10" ht="15.75" hidden="1" customHeight="1">
      <c r="A5348" s="8"/>
      <c r="C5348" s="8"/>
      <c r="F5348" s="8"/>
      <c r="H5348" s="14"/>
      <c r="I5348" s="567"/>
      <c r="J5348" s="18"/>
    </row>
    <row r="5349" spans="1:10" ht="15.75" hidden="1" customHeight="1">
      <c r="A5349" s="8"/>
      <c r="C5349" s="8"/>
      <c r="F5349" s="8"/>
      <c r="H5349" s="14"/>
      <c r="I5349" s="567"/>
      <c r="J5349" s="18"/>
    </row>
    <row r="5350" spans="1:10" ht="15.75" hidden="1" customHeight="1">
      <c r="A5350" s="8"/>
      <c r="C5350" s="8"/>
      <c r="F5350" s="8"/>
      <c r="H5350" s="14"/>
      <c r="I5350" s="567"/>
      <c r="J5350" s="18"/>
    </row>
    <row r="5351" spans="1:10" ht="15.75" hidden="1" customHeight="1">
      <c r="A5351" s="8"/>
      <c r="C5351" s="8"/>
      <c r="F5351" s="8"/>
      <c r="H5351" s="14"/>
      <c r="I5351" s="567"/>
      <c r="J5351" s="18"/>
    </row>
    <row r="5352" spans="1:10" ht="15.75" hidden="1" customHeight="1">
      <c r="A5352" s="8"/>
      <c r="C5352" s="8"/>
      <c r="F5352" s="8"/>
      <c r="H5352" s="14"/>
      <c r="I5352" s="567"/>
      <c r="J5352" s="18"/>
    </row>
    <row r="5353" spans="1:10" ht="15.75" hidden="1" customHeight="1">
      <c r="A5353" s="8"/>
      <c r="C5353" s="8"/>
      <c r="F5353" s="8"/>
      <c r="H5353" s="14"/>
      <c r="I5353" s="567"/>
      <c r="J5353" s="18"/>
    </row>
    <row r="5354" spans="1:10" ht="15.75" hidden="1" customHeight="1">
      <c r="A5354" s="8"/>
      <c r="C5354" s="8"/>
      <c r="F5354" s="8"/>
      <c r="H5354" s="14"/>
      <c r="I5354" s="567"/>
      <c r="J5354" s="18"/>
    </row>
    <row r="5355" spans="1:10" ht="15.75" hidden="1" customHeight="1">
      <c r="A5355" s="8"/>
      <c r="C5355" s="8"/>
      <c r="F5355" s="8"/>
      <c r="H5355" s="14"/>
      <c r="I5355" s="567"/>
      <c r="J5355" s="18"/>
    </row>
    <row r="5356" spans="1:10" ht="15.75" hidden="1" customHeight="1">
      <c r="A5356" s="8"/>
      <c r="C5356" s="8"/>
      <c r="F5356" s="8"/>
      <c r="H5356" s="14"/>
      <c r="I5356" s="567"/>
      <c r="J5356" s="18"/>
    </row>
    <row r="5357" spans="1:10" ht="15.75" hidden="1" customHeight="1">
      <c r="A5357" s="8"/>
      <c r="C5357" s="8"/>
      <c r="F5357" s="8"/>
      <c r="H5357" s="14"/>
      <c r="I5357" s="567"/>
      <c r="J5357" s="18"/>
    </row>
    <row r="5358" spans="1:10" ht="15.75" hidden="1" customHeight="1">
      <c r="A5358" s="8"/>
      <c r="C5358" s="8"/>
      <c r="F5358" s="8"/>
      <c r="H5358" s="14"/>
      <c r="I5358" s="567"/>
      <c r="J5358" s="18"/>
    </row>
    <row r="5359" spans="1:10" ht="15.75" hidden="1" customHeight="1">
      <c r="A5359" s="8"/>
      <c r="C5359" s="8"/>
      <c r="F5359" s="8"/>
      <c r="H5359" s="14"/>
      <c r="I5359" s="567"/>
      <c r="J5359" s="18"/>
    </row>
    <row r="5360" spans="1:10" ht="15.75" hidden="1" customHeight="1">
      <c r="A5360" s="8"/>
      <c r="C5360" s="8"/>
      <c r="F5360" s="8"/>
      <c r="H5360" s="14"/>
      <c r="I5360" s="567"/>
      <c r="J5360" s="18"/>
    </row>
    <row r="5361" spans="1:10" ht="15.75" hidden="1" customHeight="1">
      <c r="A5361" s="8"/>
      <c r="C5361" s="8"/>
      <c r="F5361" s="8"/>
      <c r="H5361" s="14"/>
      <c r="I5361" s="567"/>
      <c r="J5361" s="18"/>
    </row>
    <row r="5362" spans="1:10" ht="15.75" hidden="1" customHeight="1">
      <c r="A5362" s="8"/>
      <c r="C5362" s="8"/>
      <c r="F5362" s="8"/>
      <c r="H5362" s="14"/>
      <c r="I5362" s="567"/>
      <c r="J5362" s="18"/>
    </row>
    <row r="5363" spans="1:10" ht="15.75" hidden="1" customHeight="1">
      <c r="A5363" s="8"/>
      <c r="C5363" s="8"/>
      <c r="F5363" s="8"/>
      <c r="H5363" s="14"/>
      <c r="I5363" s="567"/>
      <c r="J5363" s="18"/>
    </row>
    <row r="5364" spans="1:10" ht="15.75" hidden="1" customHeight="1">
      <c r="A5364" s="8"/>
      <c r="C5364" s="8"/>
      <c r="F5364" s="8"/>
      <c r="H5364" s="14"/>
      <c r="I5364" s="567"/>
      <c r="J5364" s="18"/>
    </row>
    <row r="5365" spans="1:10" ht="15.75" hidden="1" customHeight="1">
      <c r="A5365" s="8"/>
      <c r="C5365" s="8"/>
      <c r="F5365" s="8"/>
      <c r="H5365" s="14"/>
      <c r="I5365" s="567"/>
      <c r="J5365" s="18"/>
    </row>
    <row r="5366" spans="1:10" ht="15.75" hidden="1" customHeight="1">
      <c r="A5366" s="8"/>
      <c r="C5366" s="8"/>
      <c r="F5366" s="8"/>
      <c r="H5366" s="14"/>
      <c r="I5366" s="567"/>
      <c r="J5366" s="18"/>
    </row>
    <row r="5367" spans="1:10" ht="15.75" hidden="1" customHeight="1">
      <c r="A5367" s="8"/>
      <c r="C5367" s="8"/>
      <c r="F5367" s="8"/>
      <c r="H5367" s="14"/>
      <c r="I5367" s="567"/>
      <c r="J5367" s="18"/>
    </row>
    <row r="5368" spans="1:10" ht="15.75" hidden="1" customHeight="1">
      <c r="A5368" s="8"/>
      <c r="C5368" s="8"/>
      <c r="F5368" s="8"/>
      <c r="H5368" s="14"/>
      <c r="I5368" s="567"/>
      <c r="J5368" s="18"/>
    </row>
    <row r="5369" spans="1:10" ht="15.75" hidden="1" customHeight="1">
      <c r="A5369" s="8"/>
      <c r="C5369" s="8"/>
      <c r="F5369" s="8"/>
      <c r="H5369" s="14"/>
      <c r="I5369" s="567"/>
      <c r="J5369" s="18"/>
    </row>
    <row r="5370" spans="1:10" ht="15.75" hidden="1" customHeight="1">
      <c r="A5370" s="8"/>
      <c r="C5370" s="8"/>
      <c r="F5370" s="8"/>
      <c r="H5370" s="14"/>
      <c r="I5370" s="567"/>
      <c r="J5370" s="18"/>
    </row>
    <row r="5371" spans="1:10" ht="15.75" hidden="1" customHeight="1">
      <c r="A5371" s="8"/>
      <c r="C5371" s="8"/>
      <c r="F5371" s="8"/>
      <c r="H5371" s="14"/>
      <c r="I5371" s="567"/>
      <c r="J5371" s="18"/>
    </row>
    <row r="5372" spans="1:10" ht="15.75" hidden="1" customHeight="1">
      <c r="A5372" s="8"/>
      <c r="C5372" s="8"/>
      <c r="F5372" s="8"/>
      <c r="H5372" s="14"/>
      <c r="I5372" s="567"/>
      <c r="J5372" s="18"/>
    </row>
    <row r="5373" spans="1:10" ht="15.75" hidden="1" customHeight="1">
      <c r="A5373" s="8"/>
      <c r="C5373" s="8"/>
      <c r="F5373" s="8"/>
      <c r="H5373" s="14"/>
      <c r="I5373" s="567"/>
      <c r="J5373" s="18"/>
    </row>
    <row r="5374" spans="1:10" ht="15.75" hidden="1" customHeight="1">
      <c r="A5374" s="8"/>
      <c r="C5374" s="8"/>
      <c r="F5374" s="8"/>
      <c r="H5374" s="14"/>
      <c r="I5374" s="567"/>
      <c r="J5374" s="18"/>
    </row>
    <row r="5375" spans="1:10" ht="15.75" hidden="1" customHeight="1">
      <c r="A5375" s="8"/>
      <c r="C5375" s="8"/>
      <c r="F5375" s="8"/>
      <c r="H5375" s="14"/>
      <c r="I5375" s="567"/>
      <c r="J5375" s="18"/>
    </row>
    <row r="5376" spans="1:10" ht="15.75" hidden="1" customHeight="1">
      <c r="A5376" s="8"/>
      <c r="C5376" s="8"/>
      <c r="F5376" s="8"/>
      <c r="H5376" s="14"/>
      <c r="I5376" s="567"/>
      <c r="J5376" s="18"/>
    </row>
    <row r="5377" spans="1:10" ht="15.75" hidden="1" customHeight="1">
      <c r="A5377" s="8"/>
      <c r="C5377" s="8"/>
      <c r="F5377" s="8"/>
      <c r="H5377" s="14"/>
      <c r="I5377" s="567"/>
      <c r="J5377" s="18"/>
    </row>
    <row r="5378" spans="1:10" ht="15.75" hidden="1" customHeight="1">
      <c r="A5378" s="8"/>
      <c r="C5378" s="8"/>
      <c r="F5378" s="8"/>
      <c r="H5378" s="14"/>
      <c r="I5378" s="567"/>
      <c r="J5378" s="18"/>
    </row>
    <row r="5379" spans="1:10" ht="15.75" hidden="1" customHeight="1">
      <c r="A5379" s="8"/>
      <c r="C5379" s="8"/>
      <c r="F5379" s="8"/>
      <c r="H5379" s="14"/>
      <c r="I5379" s="567"/>
      <c r="J5379" s="18"/>
    </row>
    <row r="5380" spans="1:10" ht="15.75" hidden="1" customHeight="1">
      <c r="A5380" s="8"/>
      <c r="C5380" s="8"/>
      <c r="F5380" s="8"/>
      <c r="H5380" s="14"/>
      <c r="I5380" s="567"/>
      <c r="J5380" s="18"/>
    </row>
    <row r="5381" spans="1:10" ht="15.75" hidden="1" customHeight="1">
      <c r="A5381" s="8"/>
      <c r="C5381" s="8"/>
      <c r="F5381" s="8"/>
      <c r="H5381" s="14"/>
      <c r="I5381" s="567"/>
      <c r="J5381" s="18"/>
    </row>
    <row r="5382" spans="1:10" ht="15.75" hidden="1" customHeight="1">
      <c r="A5382" s="8"/>
      <c r="C5382" s="8"/>
      <c r="F5382" s="8"/>
      <c r="H5382" s="14"/>
      <c r="I5382" s="567"/>
      <c r="J5382" s="18"/>
    </row>
    <row r="5383" spans="1:10" ht="15.75" hidden="1" customHeight="1">
      <c r="A5383" s="8"/>
      <c r="C5383" s="8"/>
      <c r="F5383" s="8"/>
      <c r="H5383" s="14"/>
      <c r="I5383" s="567"/>
      <c r="J5383" s="18"/>
    </row>
    <row r="5384" spans="1:10" ht="15.75" hidden="1" customHeight="1">
      <c r="A5384" s="8"/>
      <c r="C5384" s="8"/>
      <c r="F5384" s="8"/>
      <c r="H5384" s="14"/>
      <c r="I5384" s="567"/>
      <c r="J5384" s="18"/>
    </row>
    <row r="5385" spans="1:10" ht="15.75" hidden="1" customHeight="1">
      <c r="A5385" s="8"/>
      <c r="C5385" s="8"/>
      <c r="F5385" s="8"/>
      <c r="H5385" s="14"/>
      <c r="I5385" s="567"/>
      <c r="J5385" s="18"/>
    </row>
    <row r="5386" spans="1:10" ht="15.75" hidden="1" customHeight="1">
      <c r="A5386" s="8"/>
      <c r="C5386" s="8"/>
      <c r="F5386" s="8"/>
      <c r="H5386" s="14"/>
      <c r="I5386" s="567"/>
      <c r="J5386" s="18"/>
    </row>
    <row r="5387" spans="1:10" ht="15.75" hidden="1" customHeight="1">
      <c r="A5387" s="8"/>
      <c r="C5387" s="8"/>
      <c r="F5387" s="8"/>
      <c r="H5387" s="14"/>
      <c r="I5387" s="567"/>
      <c r="J5387" s="18"/>
    </row>
    <row r="5388" spans="1:10" ht="15.75" hidden="1" customHeight="1">
      <c r="A5388" s="8"/>
      <c r="C5388" s="8"/>
      <c r="F5388" s="8"/>
      <c r="H5388" s="14"/>
      <c r="I5388" s="567"/>
      <c r="J5388" s="18"/>
    </row>
    <row r="5389" spans="1:10" ht="15.75" hidden="1" customHeight="1">
      <c r="A5389" s="8"/>
      <c r="C5389" s="8"/>
      <c r="F5389" s="8"/>
      <c r="H5389" s="14"/>
      <c r="I5389" s="567"/>
      <c r="J5389" s="18"/>
    </row>
    <row r="5390" spans="1:10" ht="15.75" hidden="1" customHeight="1">
      <c r="A5390" s="8"/>
      <c r="C5390" s="8"/>
      <c r="F5390" s="8"/>
      <c r="H5390" s="14"/>
      <c r="I5390" s="567"/>
      <c r="J5390" s="18"/>
    </row>
    <row r="5391" spans="1:10" ht="15.75" hidden="1" customHeight="1">
      <c r="A5391" s="8"/>
      <c r="C5391" s="8"/>
      <c r="F5391" s="8"/>
      <c r="H5391" s="14"/>
      <c r="I5391" s="567"/>
      <c r="J5391" s="18"/>
    </row>
    <row r="5392" spans="1:10" ht="15.75" hidden="1" customHeight="1">
      <c r="A5392" s="8"/>
      <c r="C5392" s="8"/>
      <c r="F5392" s="8"/>
      <c r="H5392" s="14"/>
      <c r="I5392" s="567"/>
      <c r="J5392" s="18"/>
    </row>
    <row r="5393" spans="1:10" ht="15.75" hidden="1" customHeight="1">
      <c r="A5393" s="8"/>
      <c r="C5393" s="8"/>
      <c r="F5393" s="8"/>
      <c r="H5393" s="14"/>
      <c r="I5393" s="567"/>
      <c r="J5393" s="18"/>
    </row>
    <row r="5394" spans="1:10" ht="15.75" hidden="1" customHeight="1">
      <c r="A5394" s="8"/>
      <c r="C5394" s="8"/>
      <c r="F5394" s="8"/>
      <c r="H5394" s="14"/>
      <c r="I5394" s="567"/>
      <c r="J5394" s="18"/>
    </row>
    <row r="5395" spans="1:10" ht="15.75" hidden="1" customHeight="1">
      <c r="A5395" s="8"/>
      <c r="C5395" s="8"/>
      <c r="F5395" s="8"/>
      <c r="H5395" s="14"/>
      <c r="I5395" s="567"/>
      <c r="J5395" s="18"/>
    </row>
    <row r="5396" spans="1:10" ht="15.75" hidden="1" customHeight="1">
      <c r="A5396" s="8"/>
      <c r="C5396" s="8"/>
      <c r="F5396" s="8"/>
      <c r="H5396" s="14"/>
      <c r="I5396" s="567"/>
      <c r="J5396" s="18"/>
    </row>
    <row r="5397" spans="1:10" ht="15.75" hidden="1" customHeight="1">
      <c r="A5397" s="8"/>
      <c r="C5397" s="8"/>
      <c r="F5397" s="8"/>
      <c r="H5397" s="14"/>
      <c r="I5397" s="567"/>
      <c r="J5397" s="18"/>
    </row>
    <row r="5398" spans="1:10" ht="15.75" hidden="1" customHeight="1">
      <c r="A5398" s="8"/>
      <c r="C5398" s="8"/>
      <c r="F5398" s="8"/>
      <c r="H5398" s="14"/>
      <c r="I5398" s="567"/>
      <c r="J5398" s="18"/>
    </row>
    <row r="5399" spans="1:10" ht="15.75" hidden="1" customHeight="1">
      <c r="A5399" s="8"/>
      <c r="C5399" s="8"/>
      <c r="F5399" s="8"/>
      <c r="H5399" s="14"/>
      <c r="I5399" s="567"/>
      <c r="J5399" s="18"/>
    </row>
    <row r="5400" spans="1:10" ht="15.75" hidden="1" customHeight="1">
      <c r="A5400" s="8"/>
      <c r="C5400" s="8"/>
      <c r="F5400" s="8"/>
      <c r="H5400" s="14"/>
      <c r="I5400" s="567"/>
      <c r="J5400" s="18"/>
    </row>
    <row r="5401" spans="1:10" ht="15.75" hidden="1" customHeight="1">
      <c r="A5401" s="8"/>
      <c r="C5401" s="8"/>
      <c r="F5401" s="8"/>
      <c r="H5401" s="14"/>
      <c r="I5401" s="567"/>
      <c r="J5401" s="18"/>
    </row>
    <row r="5402" spans="1:10" ht="15.75" hidden="1" customHeight="1">
      <c r="A5402" s="8"/>
      <c r="C5402" s="8"/>
      <c r="F5402" s="8"/>
      <c r="H5402" s="14"/>
      <c r="I5402" s="567"/>
      <c r="J5402" s="18"/>
    </row>
    <row r="5403" spans="1:10" ht="15.75" hidden="1" customHeight="1">
      <c r="A5403" s="8"/>
      <c r="C5403" s="8"/>
      <c r="F5403" s="8"/>
      <c r="H5403" s="14"/>
      <c r="I5403" s="567"/>
      <c r="J5403" s="18"/>
    </row>
    <row r="5404" spans="1:10" ht="15.75" hidden="1" customHeight="1">
      <c r="A5404" s="8"/>
      <c r="C5404" s="8"/>
      <c r="F5404" s="8"/>
      <c r="H5404" s="14"/>
      <c r="I5404" s="567"/>
      <c r="J5404" s="18"/>
    </row>
    <row r="5405" spans="1:10" ht="15.75" hidden="1" customHeight="1">
      <c r="A5405" s="8"/>
      <c r="C5405" s="8"/>
      <c r="F5405" s="8"/>
      <c r="H5405" s="14"/>
      <c r="I5405" s="567"/>
      <c r="J5405" s="18"/>
    </row>
    <row r="5406" spans="1:10" ht="15.75" hidden="1" customHeight="1">
      <c r="A5406" s="8"/>
      <c r="C5406" s="8"/>
      <c r="F5406" s="8"/>
      <c r="H5406" s="14"/>
      <c r="I5406" s="567"/>
      <c r="J5406" s="18"/>
    </row>
    <row r="5407" spans="1:10" ht="15.75" hidden="1" customHeight="1">
      <c r="A5407" s="8"/>
      <c r="C5407" s="8"/>
      <c r="F5407" s="8"/>
      <c r="H5407" s="14"/>
      <c r="I5407" s="567"/>
      <c r="J5407" s="18"/>
    </row>
    <row r="5408" spans="1:10" ht="15.75" hidden="1" customHeight="1">
      <c r="A5408" s="8"/>
      <c r="C5408" s="8"/>
      <c r="F5408" s="8"/>
      <c r="H5408" s="14"/>
      <c r="I5408" s="567"/>
      <c r="J5408" s="18"/>
    </row>
    <row r="5409" spans="1:10" ht="15.75" hidden="1" customHeight="1">
      <c r="A5409" s="8"/>
      <c r="C5409" s="8"/>
      <c r="F5409" s="8"/>
      <c r="H5409" s="14"/>
      <c r="I5409" s="567"/>
      <c r="J5409" s="18"/>
    </row>
    <row r="5410" spans="1:10" ht="15.75" hidden="1" customHeight="1">
      <c r="A5410" s="8"/>
      <c r="C5410" s="8"/>
      <c r="F5410" s="8"/>
      <c r="H5410" s="14"/>
      <c r="I5410" s="567"/>
      <c r="J5410" s="18"/>
    </row>
    <row r="5411" spans="1:10" ht="15.75" hidden="1" customHeight="1">
      <c r="A5411" s="8"/>
      <c r="C5411" s="8"/>
      <c r="F5411" s="8"/>
      <c r="H5411" s="14"/>
      <c r="I5411" s="567"/>
      <c r="J5411" s="18"/>
    </row>
    <row r="5412" spans="1:10" ht="15.75" hidden="1" customHeight="1">
      <c r="A5412" s="8"/>
      <c r="C5412" s="8"/>
      <c r="F5412" s="8"/>
      <c r="H5412" s="14"/>
      <c r="I5412" s="567"/>
      <c r="J5412" s="18"/>
    </row>
    <row r="5413" spans="1:10" ht="15.75" hidden="1" customHeight="1">
      <c r="A5413" s="8"/>
      <c r="C5413" s="8"/>
      <c r="F5413" s="8"/>
      <c r="H5413" s="14"/>
      <c r="I5413" s="567"/>
      <c r="J5413" s="18"/>
    </row>
    <row r="5414" spans="1:10" ht="15.75" hidden="1" customHeight="1">
      <c r="A5414" s="8"/>
      <c r="C5414" s="8"/>
      <c r="F5414" s="8"/>
      <c r="H5414" s="14"/>
      <c r="I5414" s="567"/>
      <c r="J5414" s="18"/>
    </row>
    <row r="5415" spans="1:10" ht="15.75" hidden="1" customHeight="1">
      <c r="A5415" s="8"/>
      <c r="C5415" s="8"/>
      <c r="F5415" s="8"/>
      <c r="H5415" s="14"/>
      <c r="I5415" s="567"/>
      <c r="J5415" s="18"/>
    </row>
    <row r="5416" spans="1:10" ht="15.75" hidden="1" customHeight="1">
      <c r="A5416" s="8"/>
      <c r="C5416" s="8"/>
      <c r="F5416" s="8"/>
      <c r="H5416" s="14"/>
      <c r="I5416" s="567"/>
      <c r="J5416" s="18"/>
    </row>
    <row r="5417" spans="1:10" ht="15.75" hidden="1" customHeight="1">
      <c r="A5417" s="8"/>
      <c r="C5417" s="8"/>
      <c r="F5417" s="8"/>
      <c r="H5417" s="14"/>
      <c r="I5417" s="567"/>
      <c r="J5417" s="18"/>
    </row>
    <row r="5418" spans="1:10" ht="15.75" hidden="1" customHeight="1">
      <c r="A5418" s="8"/>
      <c r="C5418" s="8"/>
      <c r="F5418" s="8"/>
      <c r="H5418" s="14"/>
      <c r="I5418" s="567"/>
      <c r="J5418" s="18"/>
    </row>
    <row r="5419" spans="1:10" ht="15.75" hidden="1" customHeight="1">
      <c r="A5419" s="8"/>
      <c r="C5419" s="8"/>
      <c r="F5419" s="8"/>
      <c r="H5419" s="14"/>
      <c r="I5419" s="567"/>
      <c r="J5419" s="18"/>
    </row>
    <row r="5420" spans="1:10" ht="15.75" hidden="1" customHeight="1">
      <c r="A5420" s="8"/>
      <c r="C5420" s="8"/>
      <c r="F5420" s="8"/>
      <c r="H5420" s="14"/>
      <c r="I5420" s="567"/>
      <c r="J5420" s="18"/>
    </row>
    <row r="5421" spans="1:10" ht="15.75" hidden="1" customHeight="1">
      <c r="A5421" s="8"/>
      <c r="C5421" s="8"/>
      <c r="F5421" s="8"/>
      <c r="H5421" s="14"/>
      <c r="I5421" s="567"/>
      <c r="J5421" s="18"/>
    </row>
    <row r="5422" spans="1:10" ht="15.75" hidden="1" customHeight="1">
      <c r="A5422" s="8"/>
      <c r="C5422" s="8"/>
      <c r="F5422" s="8"/>
      <c r="H5422" s="14"/>
      <c r="I5422" s="567"/>
      <c r="J5422" s="18"/>
    </row>
    <row r="5423" spans="1:10" ht="15.75" hidden="1" customHeight="1">
      <c r="A5423" s="8"/>
      <c r="C5423" s="8"/>
      <c r="F5423" s="8"/>
      <c r="H5423" s="14"/>
      <c r="I5423" s="567"/>
      <c r="J5423" s="18"/>
    </row>
    <row r="5424" spans="1:10" ht="15.75" hidden="1" customHeight="1">
      <c r="A5424" s="8"/>
      <c r="C5424" s="8"/>
      <c r="F5424" s="8"/>
      <c r="H5424" s="14"/>
      <c r="I5424" s="567"/>
      <c r="J5424" s="18"/>
    </row>
    <row r="5425" spans="1:10" ht="15.75" hidden="1" customHeight="1">
      <c r="A5425" s="8"/>
      <c r="C5425" s="8"/>
      <c r="F5425" s="8"/>
      <c r="H5425" s="14"/>
      <c r="I5425" s="567"/>
      <c r="J5425" s="18"/>
    </row>
    <row r="5426" spans="1:10" ht="15.75" hidden="1" customHeight="1">
      <c r="A5426" s="8"/>
      <c r="C5426" s="8"/>
      <c r="F5426" s="8"/>
      <c r="H5426" s="14"/>
      <c r="I5426" s="567"/>
      <c r="J5426" s="18"/>
    </row>
    <row r="5427" spans="1:10" ht="15.75" hidden="1" customHeight="1">
      <c r="A5427" s="8"/>
      <c r="C5427" s="8"/>
      <c r="F5427" s="8"/>
      <c r="H5427" s="14"/>
      <c r="I5427" s="567"/>
      <c r="J5427" s="18"/>
    </row>
    <row r="5428" spans="1:10" ht="15.75" hidden="1" customHeight="1">
      <c r="A5428" s="8"/>
      <c r="C5428" s="8"/>
      <c r="F5428" s="8"/>
      <c r="H5428" s="14"/>
      <c r="I5428" s="567"/>
      <c r="J5428" s="18"/>
    </row>
    <row r="5429" spans="1:10" ht="15.75" hidden="1" customHeight="1">
      <c r="A5429" s="8"/>
      <c r="C5429" s="8"/>
      <c r="F5429" s="8"/>
      <c r="H5429" s="14"/>
      <c r="I5429" s="567"/>
      <c r="J5429" s="18"/>
    </row>
    <row r="5430" spans="1:10" ht="15.75" hidden="1" customHeight="1">
      <c r="A5430" s="8"/>
      <c r="C5430" s="8"/>
      <c r="F5430" s="8"/>
      <c r="H5430" s="14"/>
      <c r="I5430" s="567"/>
      <c r="J5430" s="18"/>
    </row>
    <row r="5431" spans="1:10" ht="15.75" hidden="1" customHeight="1">
      <c r="A5431" s="8"/>
      <c r="C5431" s="8"/>
      <c r="F5431" s="8"/>
      <c r="H5431" s="14"/>
      <c r="I5431" s="567"/>
      <c r="J5431" s="18"/>
    </row>
    <row r="5432" spans="1:10" ht="15.75" hidden="1" customHeight="1">
      <c r="A5432" s="8"/>
      <c r="C5432" s="8"/>
      <c r="F5432" s="8"/>
      <c r="H5432" s="14"/>
      <c r="I5432" s="567"/>
      <c r="J5432" s="18"/>
    </row>
    <row r="5433" spans="1:10" ht="15.75" hidden="1" customHeight="1">
      <c r="A5433" s="8"/>
      <c r="C5433" s="8"/>
      <c r="F5433" s="8"/>
      <c r="H5433" s="14"/>
      <c r="I5433" s="567"/>
      <c r="J5433" s="18"/>
    </row>
    <row r="5434" spans="1:10" ht="15.75" hidden="1" customHeight="1">
      <c r="A5434" s="8"/>
      <c r="C5434" s="8"/>
      <c r="F5434" s="8"/>
      <c r="H5434" s="14"/>
      <c r="I5434" s="567"/>
      <c r="J5434" s="18"/>
    </row>
    <row r="5435" spans="1:10" ht="15.75" hidden="1" customHeight="1">
      <c r="A5435" s="8"/>
      <c r="C5435" s="8"/>
      <c r="F5435" s="8"/>
      <c r="H5435" s="14"/>
      <c r="I5435" s="567"/>
      <c r="J5435" s="18"/>
    </row>
    <row r="5436" spans="1:10" ht="15.75" hidden="1" customHeight="1">
      <c r="A5436" s="8"/>
      <c r="C5436" s="8"/>
      <c r="F5436" s="8"/>
      <c r="H5436" s="14"/>
      <c r="I5436" s="567"/>
      <c r="J5436" s="18"/>
    </row>
    <row r="5437" spans="1:10" ht="15.75" hidden="1" customHeight="1">
      <c r="A5437" s="8"/>
      <c r="C5437" s="8"/>
      <c r="F5437" s="8"/>
      <c r="H5437" s="14"/>
      <c r="I5437" s="567"/>
      <c r="J5437" s="18"/>
    </row>
    <row r="5438" spans="1:10" ht="15.75" hidden="1" customHeight="1">
      <c r="A5438" s="8"/>
      <c r="C5438" s="8"/>
      <c r="F5438" s="8"/>
      <c r="H5438" s="14"/>
      <c r="I5438" s="567"/>
      <c r="J5438" s="18"/>
    </row>
    <row r="5439" spans="1:10" ht="15.75" hidden="1" customHeight="1">
      <c r="A5439" s="8"/>
      <c r="C5439" s="8"/>
      <c r="F5439" s="8"/>
      <c r="H5439" s="14"/>
      <c r="I5439" s="567"/>
      <c r="J5439" s="18"/>
    </row>
    <row r="5440" spans="1:10" ht="15.75" hidden="1" customHeight="1">
      <c r="A5440" s="8"/>
      <c r="C5440" s="8"/>
      <c r="F5440" s="8"/>
      <c r="H5440" s="14"/>
      <c r="I5440" s="567"/>
      <c r="J5440" s="18"/>
    </row>
    <row r="5441" spans="1:10" ht="15.75" hidden="1" customHeight="1">
      <c r="A5441" s="8"/>
      <c r="C5441" s="8"/>
      <c r="F5441" s="8"/>
      <c r="H5441" s="14"/>
      <c r="I5441" s="567"/>
      <c r="J5441" s="18"/>
    </row>
    <row r="5442" spans="1:10" ht="15.75" hidden="1" customHeight="1">
      <c r="A5442" s="8"/>
      <c r="C5442" s="8"/>
      <c r="F5442" s="8"/>
      <c r="H5442" s="14"/>
      <c r="I5442" s="567"/>
      <c r="J5442" s="18"/>
    </row>
    <row r="5443" spans="1:10" ht="15.75" hidden="1" customHeight="1">
      <c r="A5443" s="8"/>
      <c r="C5443" s="8"/>
      <c r="F5443" s="8"/>
      <c r="H5443" s="14"/>
      <c r="I5443" s="567"/>
      <c r="J5443" s="18"/>
    </row>
    <row r="5444" spans="1:10" ht="15.75" hidden="1" customHeight="1">
      <c r="A5444" s="8"/>
      <c r="C5444" s="8"/>
      <c r="F5444" s="8"/>
      <c r="H5444" s="14"/>
      <c r="I5444" s="567"/>
      <c r="J5444" s="18"/>
    </row>
    <row r="5445" spans="1:10" ht="15.75" hidden="1" customHeight="1">
      <c r="A5445" s="8"/>
      <c r="C5445" s="8"/>
      <c r="F5445" s="8"/>
      <c r="H5445" s="14"/>
      <c r="I5445" s="567"/>
      <c r="J5445" s="18"/>
    </row>
    <row r="5446" spans="1:10" ht="15.75" hidden="1" customHeight="1">
      <c r="A5446" s="8"/>
      <c r="C5446" s="8"/>
      <c r="F5446" s="8"/>
      <c r="H5446" s="14"/>
      <c r="I5446" s="567"/>
      <c r="J5446" s="18"/>
    </row>
    <row r="5447" spans="1:10" ht="15.75" hidden="1" customHeight="1">
      <c r="A5447" s="8"/>
      <c r="C5447" s="8"/>
      <c r="F5447" s="8"/>
      <c r="H5447" s="14"/>
      <c r="I5447" s="567"/>
      <c r="J5447" s="18"/>
    </row>
    <row r="5448" spans="1:10" ht="15.75" hidden="1" customHeight="1">
      <c r="A5448" s="8"/>
      <c r="C5448" s="8"/>
      <c r="F5448" s="8"/>
      <c r="H5448" s="14"/>
      <c r="I5448" s="567"/>
      <c r="J5448" s="18"/>
    </row>
    <row r="5449" spans="1:10" ht="15.75" hidden="1" customHeight="1">
      <c r="A5449" s="8"/>
      <c r="C5449" s="8"/>
      <c r="F5449" s="8"/>
      <c r="H5449" s="14"/>
      <c r="I5449" s="567"/>
      <c r="J5449" s="18"/>
    </row>
    <row r="5450" spans="1:10" ht="15.75" hidden="1" customHeight="1">
      <c r="A5450" s="8"/>
      <c r="C5450" s="8"/>
      <c r="F5450" s="8"/>
      <c r="H5450" s="14"/>
      <c r="I5450" s="567"/>
      <c r="J5450" s="18"/>
    </row>
    <row r="5451" spans="1:10" ht="15.75" hidden="1" customHeight="1">
      <c r="A5451" s="8"/>
      <c r="C5451" s="8"/>
      <c r="F5451" s="8"/>
      <c r="H5451" s="14"/>
      <c r="I5451" s="567"/>
      <c r="J5451" s="18"/>
    </row>
    <row r="5452" spans="1:10" ht="15.75" hidden="1" customHeight="1">
      <c r="A5452" s="8"/>
      <c r="C5452" s="8"/>
      <c r="F5452" s="8"/>
      <c r="H5452" s="14"/>
      <c r="I5452" s="567"/>
      <c r="J5452" s="18"/>
    </row>
    <row r="5453" spans="1:10" ht="15.75" hidden="1" customHeight="1">
      <c r="A5453" s="8"/>
      <c r="C5453" s="8"/>
      <c r="F5453" s="8"/>
      <c r="H5453" s="14"/>
      <c r="I5453" s="567"/>
      <c r="J5453" s="18"/>
    </row>
    <row r="5454" spans="1:10" ht="15.75" hidden="1" customHeight="1">
      <c r="A5454" s="8"/>
      <c r="C5454" s="8"/>
      <c r="F5454" s="8"/>
      <c r="H5454" s="14"/>
      <c r="I5454" s="567"/>
      <c r="J5454" s="18"/>
    </row>
    <row r="5455" spans="1:10" ht="15.75" hidden="1" customHeight="1">
      <c r="A5455" s="8"/>
      <c r="C5455" s="8"/>
      <c r="F5455" s="8"/>
      <c r="H5455" s="14"/>
      <c r="I5455" s="567"/>
      <c r="J5455" s="18"/>
    </row>
    <row r="5456" spans="1:10" ht="15.75" hidden="1" customHeight="1">
      <c r="A5456" s="8"/>
      <c r="C5456" s="8"/>
      <c r="F5456" s="8"/>
      <c r="H5456" s="14"/>
      <c r="I5456" s="567"/>
      <c r="J5456" s="18"/>
    </row>
    <row r="5457" spans="1:10" ht="15.75" hidden="1" customHeight="1">
      <c r="A5457" s="8"/>
      <c r="C5457" s="8"/>
      <c r="F5457" s="8"/>
      <c r="H5457" s="14"/>
      <c r="I5457" s="567"/>
      <c r="J5457" s="18"/>
    </row>
    <row r="5458" spans="1:10" ht="15.75" hidden="1" customHeight="1">
      <c r="A5458" s="8"/>
      <c r="C5458" s="8"/>
      <c r="F5458" s="8"/>
      <c r="H5458" s="14"/>
      <c r="I5458" s="567"/>
      <c r="J5458" s="18"/>
    </row>
    <row r="5459" spans="1:10" ht="15.75" hidden="1" customHeight="1">
      <c r="A5459" s="8"/>
      <c r="C5459" s="8"/>
      <c r="F5459" s="8"/>
      <c r="H5459" s="14"/>
      <c r="I5459" s="567"/>
      <c r="J5459" s="18"/>
    </row>
    <row r="5460" spans="1:10" ht="15.75" hidden="1" customHeight="1">
      <c r="A5460" s="8"/>
      <c r="C5460" s="8"/>
      <c r="F5460" s="8"/>
      <c r="H5460" s="14"/>
      <c r="I5460" s="567"/>
      <c r="J5460" s="18"/>
    </row>
    <row r="5461" spans="1:10" ht="15.75" hidden="1" customHeight="1">
      <c r="A5461" s="8"/>
      <c r="C5461" s="8"/>
      <c r="F5461" s="8"/>
      <c r="H5461" s="14"/>
      <c r="I5461" s="567"/>
      <c r="J5461" s="18"/>
    </row>
    <row r="5462" spans="1:10" ht="15.75" hidden="1" customHeight="1">
      <c r="A5462" s="8"/>
      <c r="C5462" s="8"/>
      <c r="F5462" s="8"/>
      <c r="H5462" s="14"/>
      <c r="I5462" s="567"/>
      <c r="J5462" s="18"/>
    </row>
    <row r="5463" spans="1:10" ht="15.75" hidden="1" customHeight="1">
      <c r="A5463" s="8"/>
      <c r="C5463" s="8"/>
      <c r="F5463" s="8"/>
      <c r="H5463" s="14"/>
      <c r="I5463" s="567"/>
      <c r="J5463" s="18"/>
    </row>
    <row r="5464" spans="1:10" ht="15.75" hidden="1" customHeight="1">
      <c r="A5464" s="8"/>
      <c r="C5464" s="8"/>
      <c r="F5464" s="8"/>
      <c r="H5464" s="14"/>
      <c r="I5464" s="567"/>
      <c r="J5464" s="18"/>
    </row>
    <row r="5465" spans="1:10" ht="15.75" hidden="1" customHeight="1">
      <c r="A5465" s="8"/>
      <c r="C5465" s="8"/>
      <c r="F5465" s="8"/>
      <c r="H5465" s="14"/>
      <c r="I5465" s="567"/>
      <c r="J5465" s="18"/>
    </row>
    <row r="5466" spans="1:10" ht="15.75" hidden="1" customHeight="1">
      <c r="A5466" s="8"/>
      <c r="C5466" s="8"/>
      <c r="F5466" s="8"/>
      <c r="H5466" s="14"/>
      <c r="I5466" s="567"/>
      <c r="J5466" s="18"/>
    </row>
    <row r="5467" spans="1:10" ht="15.75" hidden="1" customHeight="1">
      <c r="A5467" s="8"/>
      <c r="C5467" s="8"/>
      <c r="F5467" s="8"/>
      <c r="H5467" s="14"/>
      <c r="I5467" s="567"/>
      <c r="J5467" s="18"/>
    </row>
    <row r="5468" spans="1:10" ht="15.75" hidden="1" customHeight="1">
      <c r="A5468" s="8"/>
      <c r="C5468" s="8"/>
      <c r="F5468" s="8"/>
      <c r="H5468" s="14"/>
      <c r="I5468" s="567"/>
      <c r="J5468" s="18"/>
    </row>
    <row r="5469" spans="1:10" ht="15.75" hidden="1" customHeight="1">
      <c r="A5469" s="8"/>
      <c r="C5469" s="8"/>
      <c r="F5469" s="8"/>
      <c r="H5469" s="14"/>
      <c r="I5469" s="567"/>
      <c r="J5469" s="18"/>
    </row>
    <row r="5470" spans="1:10" ht="15.75" hidden="1" customHeight="1">
      <c r="A5470" s="8"/>
      <c r="C5470" s="8"/>
      <c r="F5470" s="8"/>
      <c r="H5470" s="14"/>
      <c r="I5470" s="567"/>
      <c r="J5470" s="18"/>
    </row>
    <row r="5471" spans="1:10" ht="15.75" hidden="1" customHeight="1">
      <c r="A5471" s="8"/>
      <c r="C5471" s="8"/>
      <c r="F5471" s="8"/>
      <c r="H5471" s="14"/>
      <c r="I5471" s="567"/>
      <c r="J5471" s="18"/>
    </row>
    <row r="5472" spans="1:10" ht="15.75" hidden="1" customHeight="1">
      <c r="A5472" s="8"/>
      <c r="C5472" s="8"/>
      <c r="F5472" s="8"/>
      <c r="H5472" s="14"/>
      <c r="I5472" s="567"/>
      <c r="J5472" s="18"/>
    </row>
    <row r="5473" spans="1:10" ht="15.75" hidden="1" customHeight="1">
      <c r="A5473" s="8"/>
      <c r="C5473" s="8"/>
      <c r="F5473" s="8"/>
      <c r="H5473" s="14"/>
      <c r="I5473" s="567"/>
      <c r="J5473" s="18"/>
    </row>
    <row r="5474" spans="1:10" ht="15.75" hidden="1" customHeight="1">
      <c r="A5474" s="8"/>
      <c r="C5474" s="8"/>
      <c r="F5474" s="8"/>
      <c r="H5474" s="14"/>
      <c r="I5474" s="567"/>
      <c r="J5474" s="18"/>
    </row>
    <row r="5475" spans="1:10" ht="15.75" hidden="1" customHeight="1">
      <c r="A5475" s="8"/>
      <c r="C5475" s="8"/>
      <c r="F5475" s="8"/>
      <c r="H5475" s="14"/>
      <c r="I5475" s="567"/>
      <c r="J5475" s="18"/>
    </row>
    <row r="5476" spans="1:10" ht="15.75" hidden="1" customHeight="1">
      <c r="A5476" s="8"/>
      <c r="C5476" s="8"/>
      <c r="F5476" s="8"/>
      <c r="H5476" s="14"/>
      <c r="I5476" s="567"/>
      <c r="J5476" s="18"/>
    </row>
    <row r="5477" spans="1:10" ht="15.75" hidden="1" customHeight="1">
      <c r="A5477" s="8"/>
      <c r="C5477" s="8"/>
      <c r="F5477" s="8"/>
      <c r="H5477" s="14"/>
      <c r="I5477" s="567"/>
      <c r="J5477" s="18"/>
    </row>
    <row r="5478" spans="1:10" ht="15.75" hidden="1" customHeight="1">
      <c r="A5478" s="8"/>
      <c r="C5478" s="8"/>
      <c r="F5478" s="8"/>
      <c r="H5478" s="14"/>
      <c r="I5478" s="567"/>
      <c r="J5478" s="18"/>
    </row>
    <row r="5479" spans="1:10" ht="15.75" hidden="1" customHeight="1">
      <c r="A5479" s="8"/>
      <c r="C5479" s="8"/>
      <c r="F5479" s="8"/>
      <c r="H5479" s="14"/>
      <c r="I5479" s="567"/>
      <c r="J5479" s="18"/>
    </row>
    <row r="5480" spans="1:10" ht="15.75" hidden="1" customHeight="1">
      <c r="A5480" s="8"/>
      <c r="C5480" s="8"/>
      <c r="F5480" s="8"/>
      <c r="H5480" s="14"/>
      <c r="I5480" s="567"/>
      <c r="J5480" s="18"/>
    </row>
    <row r="5481" spans="1:10" ht="15.75" hidden="1" customHeight="1">
      <c r="A5481" s="8"/>
      <c r="C5481" s="8"/>
      <c r="F5481" s="8"/>
      <c r="H5481" s="14"/>
      <c r="I5481" s="567"/>
      <c r="J5481" s="18"/>
    </row>
    <row r="5482" spans="1:10" ht="15.75" hidden="1" customHeight="1">
      <c r="A5482" s="8"/>
      <c r="C5482" s="8"/>
      <c r="F5482" s="8"/>
      <c r="H5482" s="14"/>
      <c r="I5482" s="567"/>
      <c r="J5482" s="18"/>
    </row>
    <row r="5483" spans="1:10" ht="15.75" hidden="1" customHeight="1">
      <c r="A5483" s="8"/>
      <c r="C5483" s="8"/>
      <c r="F5483" s="8"/>
      <c r="H5483" s="14"/>
      <c r="I5483" s="567"/>
      <c r="J5483" s="18"/>
    </row>
    <row r="5484" spans="1:10" ht="15.75" hidden="1" customHeight="1">
      <c r="A5484" s="8"/>
      <c r="C5484" s="8"/>
      <c r="F5484" s="8"/>
      <c r="H5484" s="14"/>
      <c r="I5484" s="567"/>
      <c r="J5484" s="18"/>
    </row>
    <row r="5485" spans="1:10" ht="15.75" hidden="1" customHeight="1">
      <c r="A5485" s="8"/>
      <c r="C5485" s="8"/>
      <c r="F5485" s="8"/>
      <c r="H5485" s="14"/>
      <c r="I5485" s="567"/>
      <c r="J5485" s="18"/>
    </row>
    <row r="5486" spans="1:10" ht="15.75" hidden="1" customHeight="1">
      <c r="A5486" s="8"/>
      <c r="C5486" s="8"/>
      <c r="F5486" s="8"/>
      <c r="H5486" s="14"/>
      <c r="I5486" s="567"/>
      <c r="J5486" s="18"/>
    </row>
    <row r="5487" spans="1:10" ht="15.75" hidden="1" customHeight="1">
      <c r="A5487" s="8"/>
      <c r="C5487" s="8"/>
      <c r="F5487" s="8"/>
      <c r="H5487" s="14"/>
      <c r="I5487" s="567"/>
      <c r="J5487" s="18"/>
    </row>
    <row r="5488" spans="1:10" ht="15.75" hidden="1" customHeight="1">
      <c r="A5488" s="8"/>
      <c r="C5488" s="8"/>
      <c r="F5488" s="8"/>
      <c r="H5488" s="14"/>
      <c r="I5488" s="567"/>
      <c r="J5488" s="18"/>
    </row>
    <row r="5489" spans="1:10" ht="15.75" hidden="1" customHeight="1">
      <c r="A5489" s="8"/>
      <c r="C5489" s="8"/>
      <c r="F5489" s="8"/>
      <c r="H5489" s="14"/>
      <c r="I5489" s="567"/>
      <c r="J5489" s="18"/>
    </row>
    <row r="5490" spans="1:10" ht="15.75" hidden="1" customHeight="1">
      <c r="A5490" s="8"/>
      <c r="C5490" s="8"/>
      <c r="F5490" s="8"/>
      <c r="H5490" s="14"/>
      <c r="I5490" s="567"/>
      <c r="J5490" s="18"/>
    </row>
    <row r="5491" spans="1:10" ht="15.75" hidden="1" customHeight="1">
      <c r="A5491" s="8"/>
      <c r="C5491" s="8"/>
      <c r="F5491" s="8"/>
      <c r="H5491" s="14"/>
      <c r="I5491" s="567"/>
      <c r="J5491" s="18"/>
    </row>
    <row r="5492" spans="1:10" ht="15.75" hidden="1" customHeight="1">
      <c r="A5492" s="8"/>
      <c r="C5492" s="8"/>
      <c r="F5492" s="8"/>
      <c r="H5492" s="14"/>
      <c r="I5492" s="567"/>
      <c r="J5492" s="18"/>
    </row>
    <row r="5493" spans="1:10" ht="15.75" hidden="1" customHeight="1">
      <c r="A5493" s="8"/>
      <c r="C5493" s="8"/>
      <c r="F5493" s="8"/>
      <c r="H5493" s="14"/>
      <c r="I5493" s="567"/>
      <c r="J5493" s="18"/>
    </row>
    <row r="5494" spans="1:10" ht="15.75" hidden="1" customHeight="1">
      <c r="A5494" s="8"/>
      <c r="C5494" s="8"/>
      <c r="F5494" s="8"/>
      <c r="H5494" s="14"/>
      <c r="I5494" s="567"/>
      <c r="J5494" s="18"/>
    </row>
    <row r="5495" spans="1:10" ht="15.75" hidden="1" customHeight="1">
      <c r="A5495" s="8"/>
      <c r="C5495" s="8"/>
      <c r="F5495" s="8"/>
      <c r="H5495" s="14"/>
      <c r="I5495" s="567"/>
      <c r="J5495" s="18"/>
    </row>
    <row r="5496" spans="1:10" ht="15.75" hidden="1" customHeight="1">
      <c r="A5496" s="8"/>
      <c r="C5496" s="8"/>
      <c r="F5496" s="8"/>
      <c r="H5496" s="14"/>
      <c r="I5496" s="567"/>
      <c r="J5496" s="18"/>
    </row>
    <row r="5497" spans="1:10" ht="15.75" hidden="1" customHeight="1">
      <c r="A5497" s="8"/>
      <c r="C5497" s="8"/>
      <c r="F5497" s="8"/>
      <c r="H5497" s="14"/>
      <c r="I5497" s="567"/>
      <c r="J5497" s="18"/>
    </row>
    <row r="5498" spans="1:10" ht="15.75" hidden="1" customHeight="1">
      <c r="A5498" s="8"/>
      <c r="C5498" s="8"/>
      <c r="F5498" s="8"/>
      <c r="H5498" s="14"/>
      <c r="I5498" s="567"/>
      <c r="J5498" s="18"/>
    </row>
    <row r="5499" spans="1:10" ht="15.75" hidden="1" customHeight="1">
      <c r="A5499" s="8"/>
      <c r="C5499" s="8"/>
      <c r="F5499" s="8"/>
      <c r="H5499" s="14"/>
      <c r="I5499" s="567"/>
      <c r="J5499" s="18"/>
    </row>
    <row r="5500" spans="1:10" ht="15.75" hidden="1" customHeight="1">
      <c r="A5500" s="8"/>
      <c r="C5500" s="8"/>
      <c r="F5500" s="8"/>
      <c r="H5500" s="14"/>
      <c r="I5500" s="567"/>
      <c r="J5500" s="18"/>
    </row>
    <row r="5501" spans="1:10" ht="15.75" hidden="1" customHeight="1">
      <c r="A5501" s="8"/>
      <c r="C5501" s="8"/>
      <c r="F5501" s="8"/>
      <c r="H5501" s="14"/>
      <c r="I5501" s="567"/>
      <c r="J5501" s="18"/>
    </row>
    <row r="5502" spans="1:10" ht="15.75" hidden="1" customHeight="1">
      <c r="A5502" s="8"/>
      <c r="C5502" s="8"/>
      <c r="F5502" s="8"/>
      <c r="H5502" s="14"/>
      <c r="I5502" s="567"/>
      <c r="J5502" s="18"/>
    </row>
    <row r="5503" spans="1:10" ht="15.75" hidden="1" customHeight="1">
      <c r="A5503" s="8"/>
      <c r="C5503" s="8"/>
      <c r="F5503" s="8"/>
      <c r="H5503" s="14"/>
      <c r="I5503" s="567"/>
      <c r="J5503" s="18"/>
    </row>
    <row r="5504" spans="1:10" ht="15.75" hidden="1" customHeight="1">
      <c r="A5504" s="8"/>
      <c r="C5504" s="8"/>
      <c r="F5504" s="8"/>
      <c r="H5504" s="14"/>
      <c r="I5504" s="567"/>
      <c r="J5504" s="18"/>
    </row>
    <row r="5505" spans="1:10" ht="15.75" hidden="1" customHeight="1">
      <c r="A5505" s="8"/>
      <c r="C5505" s="8"/>
      <c r="F5505" s="8"/>
      <c r="H5505" s="14"/>
      <c r="I5505" s="567"/>
      <c r="J5505" s="18"/>
    </row>
    <row r="5506" spans="1:10" ht="15.75" hidden="1" customHeight="1">
      <c r="A5506" s="8"/>
      <c r="C5506" s="8"/>
      <c r="F5506" s="8"/>
      <c r="H5506" s="14"/>
      <c r="I5506" s="567"/>
      <c r="J5506" s="18"/>
    </row>
    <row r="5507" spans="1:10" ht="15.75" hidden="1" customHeight="1">
      <c r="A5507" s="8"/>
      <c r="C5507" s="8"/>
      <c r="F5507" s="8"/>
      <c r="H5507" s="14"/>
      <c r="I5507" s="567"/>
      <c r="J5507" s="18"/>
    </row>
    <row r="5508" spans="1:10" ht="15.75" hidden="1" customHeight="1">
      <c r="A5508" s="8"/>
      <c r="C5508" s="8"/>
      <c r="F5508" s="8"/>
      <c r="H5508" s="14"/>
      <c r="I5508" s="567"/>
      <c r="J5508" s="18"/>
    </row>
    <row r="5509" spans="1:10" ht="15.75" hidden="1" customHeight="1">
      <c r="A5509" s="8"/>
      <c r="C5509" s="8"/>
      <c r="F5509" s="8"/>
      <c r="H5509" s="14"/>
      <c r="I5509" s="567"/>
      <c r="J5509" s="18"/>
    </row>
    <row r="5510" spans="1:10" ht="15.75" hidden="1" customHeight="1">
      <c r="A5510" s="8"/>
      <c r="C5510" s="8"/>
      <c r="F5510" s="8"/>
      <c r="H5510" s="14"/>
      <c r="I5510" s="567"/>
      <c r="J5510" s="18"/>
    </row>
    <row r="5511" spans="1:10" ht="15.75" hidden="1" customHeight="1">
      <c r="A5511" s="8"/>
      <c r="C5511" s="8"/>
      <c r="F5511" s="8"/>
      <c r="H5511" s="14"/>
      <c r="I5511" s="567"/>
      <c r="J5511" s="18"/>
    </row>
    <row r="5512" spans="1:10" ht="15.75" hidden="1" customHeight="1">
      <c r="A5512" s="8"/>
      <c r="C5512" s="8"/>
      <c r="F5512" s="8"/>
      <c r="H5512" s="14"/>
      <c r="I5512" s="567"/>
      <c r="J5512" s="18"/>
    </row>
    <row r="5513" spans="1:10" ht="15.75" hidden="1" customHeight="1">
      <c r="A5513" s="8"/>
      <c r="C5513" s="8"/>
      <c r="F5513" s="8"/>
      <c r="H5513" s="14"/>
      <c r="I5513" s="567"/>
      <c r="J5513" s="18"/>
    </row>
    <row r="5514" spans="1:10" ht="15.75" hidden="1" customHeight="1">
      <c r="A5514" s="8"/>
      <c r="C5514" s="8"/>
      <c r="F5514" s="8"/>
      <c r="H5514" s="14"/>
      <c r="I5514" s="567"/>
      <c r="J5514" s="18"/>
    </row>
    <row r="5515" spans="1:10" ht="15.75" hidden="1" customHeight="1">
      <c r="A5515" s="8"/>
      <c r="C5515" s="8"/>
      <c r="F5515" s="8"/>
      <c r="H5515" s="14"/>
      <c r="I5515" s="567"/>
      <c r="J5515" s="18"/>
    </row>
    <row r="5516" spans="1:10" ht="15.75" hidden="1" customHeight="1">
      <c r="A5516" s="8"/>
      <c r="C5516" s="8"/>
      <c r="F5516" s="8"/>
      <c r="H5516" s="14"/>
      <c r="I5516" s="567"/>
      <c r="J5516" s="18"/>
    </row>
    <row r="5517" spans="1:10" ht="15.75" hidden="1" customHeight="1">
      <c r="A5517" s="8"/>
      <c r="C5517" s="8"/>
      <c r="F5517" s="8"/>
      <c r="H5517" s="14"/>
      <c r="I5517" s="567"/>
      <c r="J5517" s="18"/>
    </row>
    <row r="5518" spans="1:10" ht="15.75" hidden="1" customHeight="1">
      <c r="A5518" s="8"/>
      <c r="C5518" s="8"/>
      <c r="F5518" s="8"/>
      <c r="H5518" s="14"/>
      <c r="I5518" s="567"/>
      <c r="J5518" s="18"/>
    </row>
    <row r="5519" spans="1:10" ht="15.75" hidden="1" customHeight="1">
      <c r="A5519" s="8"/>
      <c r="C5519" s="8"/>
      <c r="F5519" s="8"/>
      <c r="H5519" s="14"/>
      <c r="I5519" s="567"/>
      <c r="J5519" s="18"/>
    </row>
    <row r="5520" spans="1:10" ht="15.75" hidden="1" customHeight="1">
      <c r="A5520" s="8"/>
      <c r="C5520" s="8"/>
      <c r="F5520" s="8"/>
      <c r="H5520" s="14"/>
      <c r="I5520" s="567"/>
      <c r="J5520" s="18"/>
    </row>
    <row r="5521" spans="1:10" ht="15.75" hidden="1" customHeight="1">
      <c r="A5521" s="8"/>
      <c r="C5521" s="8"/>
      <c r="F5521" s="8"/>
      <c r="H5521" s="14"/>
      <c r="I5521" s="567"/>
      <c r="J5521" s="18"/>
    </row>
    <row r="5522" spans="1:10" ht="15.75" hidden="1" customHeight="1">
      <c r="A5522" s="8"/>
      <c r="C5522" s="8"/>
      <c r="F5522" s="8"/>
      <c r="H5522" s="14"/>
      <c r="I5522" s="567"/>
      <c r="J5522" s="18"/>
    </row>
    <row r="5523" spans="1:10" ht="15.75" hidden="1" customHeight="1">
      <c r="A5523" s="8"/>
      <c r="C5523" s="8"/>
      <c r="F5523" s="8"/>
      <c r="H5523" s="14"/>
      <c r="I5523" s="567"/>
      <c r="J5523" s="18"/>
    </row>
    <row r="5524" spans="1:10" ht="15.75" hidden="1" customHeight="1">
      <c r="A5524" s="8"/>
      <c r="C5524" s="8"/>
      <c r="F5524" s="8"/>
      <c r="H5524" s="14"/>
      <c r="I5524" s="567"/>
      <c r="J5524" s="18"/>
    </row>
    <row r="5525" spans="1:10" ht="15.75" hidden="1" customHeight="1">
      <c r="A5525" s="8"/>
      <c r="C5525" s="8"/>
      <c r="F5525" s="8"/>
      <c r="H5525" s="14"/>
      <c r="I5525" s="567"/>
      <c r="J5525" s="18"/>
    </row>
    <row r="5526" spans="1:10" ht="15.75" hidden="1" customHeight="1">
      <c r="A5526" s="8"/>
      <c r="C5526" s="8"/>
      <c r="F5526" s="8"/>
      <c r="H5526" s="14"/>
      <c r="I5526" s="567"/>
      <c r="J5526" s="18"/>
    </row>
    <row r="5527" spans="1:10" ht="15.75" hidden="1" customHeight="1">
      <c r="A5527" s="8"/>
      <c r="C5527" s="8"/>
      <c r="F5527" s="8"/>
      <c r="H5527" s="14"/>
      <c r="I5527" s="567"/>
      <c r="J5527" s="18"/>
    </row>
    <row r="5528" spans="1:10" ht="15.75" hidden="1" customHeight="1">
      <c r="A5528" s="8"/>
      <c r="C5528" s="8"/>
      <c r="F5528" s="8"/>
      <c r="H5528" s="14"/>
      <c r="I5528" s="567"/>
      <c r="J5528" s="18"/>
    </row>
    <row r="5529" spans="1:10" ht="15.75" hidden="1" customHeight="1">
      <c r="A5529" s="8"/>
      <c r="C5529" s="8"/>
      <c r="F5529" s="8"/>
      <c r="H5529" s="14"/>
      <c r="I5529" s="567"/>
      <c r="J5529" s="18"/>
    </row>
    <row r="5530" spans="1:10" ht="15.75" hidden="1" customHeight="1">
      <c r="A5530" s="8"/>
      <c r="C5530" s="8"/>
      <c r="F5530" s="8"/>
      <c r="H5530" s="14"/>
      <c r="I5530" s="567"/>
      <c r="J5530" s="18"/>
    </row>
    <row r="5531" spans="1:10" ht="15.75" hidden="1" customHeight="1">
      <c r="A5531" s="8"/>
      <c r="C5531" s="8"/>
      <c r="F5531" s="8"/>
      <c r="H5531" s="14"/>
      <c r="I5531" s="567"/>
      <c r="J5531" s="18"/>
    </row>
    <row r="5532" spans="1:10" ht="15.75" hidden="1" customHeight="1">
      <c r="A5532" s="8"/>
      <c r="C5532" s="8"/>
      <c r="F5532" s="8"/>
      <c r="H5532" s="14"/>
      <c r="I5532" s="567"/>
      <c r="J5532" s="18"/>
    </row>
    <row r="5533" spans="1:10" ht="15.75" hidden="1" customHeight="1">
      <c r="A5533" s="8"/>
      <c r="C5533" s="8"/>
      <c r="F5533" s="8"/>
      <c r="H5533" s="14"/>
      <c r="I5533" s="567"/>
      <c r="J5533" s="18"/>
    </row>
    <row r="5534" spans="1:10" ht="15.75" hidden="1" customHeight="1">
      <c r="A5534" s="8"/>
      <c r="C5534" s="8"/>
      <c r="F5534" s="8"/>
      <c r="H5534" s="14"/>
      <c r="I5534" s="567"/>
      <c r="J5534" s="18"/>
    </row>
    <row r="5535" spans="1:10" ht="15.75" hidden="1" customHeight="1">
      <c r="A5535" s="8"/>
      <c r="C5535" s="8"/>
      <c r="F5535" s="8"/>
      <c r="H5535" s="14"/>
      <c r="I5535" s="567"/>
      <c r="J5535" s="18"/>
    </row>
    <row r="5536" spans="1:10" ht="15.75" hidden="1" customHeight="1">
      <c r="A5536" s="8"/>
      <c r="C5536" s="8"/>
      <c r="F5536" s="8"/>
      <c r="H5536" s="14"/>
      <c r="I5536" s="567"/>
      <c r="J5536" s="18"/>
    </row>
    <row r="5537" spans="1:10" ht="15.75" hidden="1" customHeight="1">
      <c r="A5537" s="8"/>
      <c r="C5537" s="8"/>
      <c r="F5537" s="8"/>
      <c r="H5537" s="14"/>
      <c r="I5537" s="567"/>
      <c r="J5537" s="18"/>
    </row>
    <row r="5538" spans="1:10" ht="15.75" hidden="1" customHeight="1">
      <c r="A5538" s="8"/>
      <c r="C5538" s="8"/>
      <c r="F5538" s="8"/>
      <c r="H5538" s="14"/>
      <c r="I5538" s="567"/>
      <c r="J5538" s="18"/>
    </row>
    <row r="5539" spans="1:10" ht="15.75" hidden="1" customHeight="1">
      <c r="A5539" s="8"/>
      <c r="C5539" s="8"/>
      <c r="F5539" s="8"/>
      <c r="H5539" s="14"/>
      <c r="I5539" s="567"/>
      <c r="J5539" s="18"/>
    </row>
    <row r="5540" spans="1:10" ht="15.75" hidden="1" customHeight="1">
      <c r="A5540" s="8"/>
      <c r="C5540" s="8"/>
      <c r="F5540" s="8"/>
      <c r="H5540" s="14"/>
      <c r="I5540" s="567"/>
      <c r="J5540" s="18"/>
    </row>
    <row r="5541" spans="1:10" ht="15.75" hidden="1" customHeight="1">
      <c r="A5541" s="8"/>
      <c r="C5541" s="8"/>
      <c r="F5541" s="8"/>
      <c r="H5541" s="14"/>
      <c r="I5541" s="567"/>
      <c r="J5541" s="18"/>
    </row>
    <row r="5542" spans="1:10" ht="15.75" hidden="1" customHeight="1">
      <c r="A5542" s="8"/>
      <c r="C5542" s="8"/>
      <c r="F5542" s="8"/>
      <c r="H5542" s="14"/>
      <c r="I5542" s="567"/>
      <c r="J5542" s="18"/>
    </row>
    <row r="5543" spans="1:10" ht="15.75" hidden="1" customHeight="1">
      <c r="A5543" s="8"/>
      <c r="C5543" s="8"/>
      <c r="F5543" s="8"/>
      <c r="H5543" s="14"/>
      <c r="I5543" s="567"/>
      <c r="J5543" s="18"/>
    </row>
    <row r="5544" spans="1:10" ht="15.75" hidden="1" customHeight="1">
      <c r="A5544" s="8"/>
      <c r="C5544" s="8"/>
      <c r="F5544" s="8"/>
      <c r="H5544" s="14"/>
      <c r="I5544" s="567"/>
      <c r="J5544" s="18"/>
    </row>
    <row r="5545" spans="1:10" ht="15.75" hidden="1" customHeight="1">
      <c r="A5545" s="8"/>
      <c r="C5545" s="8"/>
      <c r="F5545" s="8"/>
      <c r="H5545" s="14"/>
      <c r="I5545" s="567"/>
      <c r="J5545" s="18"/>
    </row>
    <row r="5546" spans="1:10" ht="15.75" hidden="1" customHeight="1">
      <c r="A5546" s="8"/>
      <c r="C5546" s="8"/>
      <c r="F5546" s="8"/>
      <c r="H5546" s="14"/>
      <c r="I5546" s="567"/>
      <c r="J5546" s="18"/>
    </row>
    <row r="5547" spans="1:10" ht="15.75" hidden="1" customHeight="1">
      <c r="A5547" s="8"/>
      <c r="C5547" s="8"/>
      <c r="F5547" s="8"/>
      <c r="H5547" s="14"/>
      <c r="I5547" s="567"/>
      <c r="J5547" s="18"/>
    </row>
    <row r="5548" spans="1:10" ht="15.75" hidden="1" customHeight="1">
      <c r="A5548" s="8"/>
      <c r="C5548" s="8"/>
      <c r="F5548" s="8"/>
      <c r="H5548" s="14"/>
      <c r="I5548" s="567"/>
      <c r="J5548" s="18"/>
    </row>
    <row r="5549" spans="1:10" ht="15.75" hidden="1" customHeight="1">
      <c r="A5549" s="8"/>
      <c r="C5549" s="8"/>
      <c r="F5549" s="8"/>
      <c r="H5549" s="14"/>
      <c r="I5549" s="567"/>
      <c r="J5549" s="18"/>
    </row>
    <row r="5550" spans="1:10" ht="15.75" hidden="1" customHeight="1">
      <c r="A5550" s="8"/>
      <c r="C5550" s="8"/>
      <c r="F5550" s="8"/>
      <c r="H5550" s="14"/>
      <c r="I5550" s="567"/>
      <c r="J5550" s="18"/>
    </row>
    <row r="5551" spans="1:10" ht="15.75" hidden="1" customHeight="1">
      <c r="A5551" s="8"/>
      <c r="C5551" s="8"/>
      <c r="F5551" s="8"/>
      <c r="H5551" s="14"/>
      <c r="I5551" s="567"/>
      <c r="J5551" s="18"/>
    </row>
    <row r="5552" spans="1:10" ht="15.75" hidden="1" customHeight="1">
      <c r="A5552" s="8"/>
      <c r="C5552" s="8"/>
      <c r="F5552" s="8"/>
      <c r="H5552" s="14"/>
      <c r="I5552" s="567"/>
      <c r="J5552" s="18"/>
    </row>
    <row r="5553" spans="1:10" ht="15.75" hidden="1" customHeight="1">
      <c r="A5553" s="8"/>
      <c r="C5553" s="8"/>
      <c r="F5553" s="8"/>
      <c r="H5553" s="14"/>
      <c r="I5553" s="567"/>
      <c r="J5553" s="18"/>
    </row>
    <row r="5554" spans="1:10" ht="15.75" hidden="1" customHeight="1">
      <c r="A5554" s="8"/>
      <c r="C5554" s="8"/>
      <c r="F5554" s="8"/>
      <c r="H5554" s="14"/>
      <c r="I5554" s="567"/>
      <c r="J5554" s="18"/>
    </row>
    <row r="5555" spans="1:10" ht="15.75" hidden="1" customHeight="1">
      <c r="A5555" s="8"/>
      <c r="C5555" s="8"/>
      <c r="F5555" s="8"/>
      <c r="H5555" s="14"/>
      <c r="I5555" s="567"/>
      <c r="J5555" s="18"/>
    </row>
    <row r="5556" spans="1:10" ht="15.75" hidden="1" customHeight="1">
      <c r="A5556" s="8"/>
      <c r="C5556" s="8"/>
      <c r="F5556" s="8"/>
      <c r="H5556" s="14"/>
      <c r="I5556" s="567"/>
      <c r="J5556" s="18"/>
    </row>
    <row r="5557" spans="1:10" ht="15.75" hidden="1" customHeight="1">
      <c r="A5557" s="8"/>
      <c r="C5557" s="8"/>
      <c r="F5557" s="8"/>
      <c r="H5557" s="14"/>
      <c r="I5557" s="567"/>
      <c r="J5557" s="18"/>
    </row>
    <row r="5558" spans="1:10" ht="15.75" hidden="1" customHeight="1">
      <c r="A5558" s="8"/>
      <c r="C5558" s="8"/>
      <c r="F5558" s="8"/>
      <c r="H5558" s="14"/>
      <c r="I5558" s="567"/>
      <c r="J5558" s="18"/>
    </row>
    <row r="5559" spans="1:10" ht="15.75" hidden="1" customHeight="1">
      <c r="A5559" s="8"/>
      <c r="C5559" s="8"/>
      <c r="F5559" s="8"/>
      <c r="H5559" s="14"/>
      <c r="I5559" s="567"/>
      <c r="J5559" s="18"/>
    </row>
    <row r="5560" spans="1:10" ht="15.75" hidden="1" customHeight="1">
      <c r="A5560" s="8"/>
      <c r="C5560" s="8"/>
      <c r="F5560" s="8"/>
      <c r="H5560" s="14"/>
      <c r="I5560" s="567"/>
      <c r="J5560" s="18"/>
    </row>
    <row r="5561" spans="1:10" ht="15.75" hidden="1" customHeight="1">
      <c r="A5561" s="8"/>
      <c r="C5561" s="8"/>
      <c r="F5561" s="8"/>
      <c r="H5561" s="14"/>
      <c r="I5561" s="567"/>
      <c r="J5561" s="18"/>
    </row>
    <row r="5562" spans="1:10" ht="15.75" hidden="1" customHeight="1">
      <c r="A5562" s="8"/>
      <c r="C5562" s="8"/>
      <c r="F5562" s="8"/>
      <c r="H5562" s="14"/>
      <c r="I5562" s="567"/>
      <c r="J5562" s="18"/>
    </row>
    <row r="5563" spans="1:10" ht="15.75" hidden="1" customHeight="1">
      <c r="A5563" s="8"/>
      <c r="C5563" s="8"/>
      <c r="F5563" s="8"/>
      <c r="H5563" s="14"/>
      <c r="I5563" s="567"/>
      <c r="J5563" s="18"/>
    </row>
    <row r="5564" spans="1:10" ht="15.75" hidden="1" customHeight="1">
      <c r="A5564" s="8"/>
      <c r="C5564" s="8"/>
      <c r="F5564" s="8"/>
      <c r="H5564" s="14"/>
      <c r="I5564" s="567"/>
      <c r="J5564" s="18"/>
    </row>
    <row r="5565" spans="1:10" ht="15.75" hidden="1" customHeight="1">
      <c r="A5565" s="8"/>
      <c r="C5565" s="8"/>
      <c r="F5565" s="8"/>
      <c r="H5565" s="14"/>
      <c r="I5565" s="567"/>
      <c r="J5565" s="18"/>
    </row>
    <row r="5566" spans="1:10" ht="15.75" hidden="1" customHeight="1">
      <c r="A5566" s="8"/>
      <c r="C5566" s="8"/>
      <c r="F5566" s="8"/>
      <c r="H5566" s="14"/>
      <c r="I5566" s="567"/>
      <c r="J5566" s="18"/>
    </row>
    <row r="5567" spans="1:10" ht="15.75" hidden="1" customHeight="1">
      <c r="A5567" s="8"/>
      <c r="C5567" s="8"/>
      <c r="F5567" s="8"/>
      <c r="H5567" s="14"/>
      <c r="I5567" s="567"/>
      <c r="J5567" s="18"/>
    </row>
    <row r="5568" spans="1:10" ht="15.75" hidden="1" customHeight="1">
      <c r="A5568" s="8"/>
      <c r="C5568" s="8"/>
      <c r="F5568" s="8"/>
      <c r="H5568" s="14"/>
      <c r="I5568" s="567"/>
      <c r="J5568" s="18"/>
    </row>
    <row r="5569" spans="1:10" ht="15.75" hidden="1" customHeight="1">
      <c r="A5569" s="8"/>
      <c r="C5569" s="8"/>
      <c r="F5569" s="8"/>
      <c r="H5569" s="14"/>
      <c r="I5569" s="567"/>
      <c r="J5569" s="18"/>
    </row>
    <row r="5570" spans="1:10" ht="15.75" hidden="1" customHeight="1">
      <c r="A5570" s="8"/>
      <c r="C5570" s="8"/>
      <c r="F5570" s="8"/>
      <c r="H5570" s="14"/>
      <c r="I5570" s="567"/>
      <c r="J5570" s="18"/>
    </row>
    <row r="5571" spans="1:10" ht="15.75" hidden="1" customHeight="1">
      <c r="A5571" s="8"/>
      <c r="C5571" s="8"/>
      <c r="F5571" s="8"/>
      <c r="H5571" s="14"/>
      <c r="I5571" s="567"/>
      <c r="J5571" s="18"/>
    </row>
    <row r="5572" spans="1:10" ht="15.75" hidden="1" customHeight="1">
      <c r="A5572" s="8"/>
      <c r="C5572" s="8"/>
      <c r="F5572" s="8"/>
      <c r="H5572" s="14"/>
      <c r="I5572" s="567"/>
      <c r="J5572" s="18"/>
    </row>
    <row r="5573" spans="1:10" ht="15.75" hidden="1" customHeight="1">
      <c r="A5573" s="8"/>
      <c r="C5573" s="8"/>
      <c r="F5573" s="8"/>
      <c r="H5573" s="14"/>
      <c r="I5573" s="567"/>
      <c r="J5573" s="18"/>
    </row>
    <row r="5574" spans="1:10" ht="15.75" hidden="1" customHeight="1">
      <c r="A5574" s="8"/>
      <c r="C5574" s="8"/>
      <c r="F5574" s="8"/>
      <c r="H5574" s="14"/>
      <c r="I5574" s="567"/>
      <c r="J5574" s="18"/>
    </row>
    <row r="5575" spans="1:10" ht="15.75" hidden="1" customHeight="1">
      <c r="A5575" s="8"/>
      <c r="C5575" s="8"/>
      <c r="F5575" s="8"/>
      <c r="H5575" s="14"/>
      <c r="I5575" s="567"/>
      <c r="J5575" s="18"/>
    </row>
    <row r="5576" spans="1:10" ht="15.75" hidden="1" customHeight="1">
      <c r="A5576" s="8"/>
      <c r="C5576" s="8"/>
      <c r="F5576" s="8"/>
      <c r="H5576" s="14"/>
      <c r="I5576" s="567"/>
      <c r="J5576" s="18"/>
    </row>
    <row r="5577" spans="1:10" ht="15.75" hidden="1" customHeight="1">
      <c r="A5577" s="8"/>
      <c r="C5577" s="8"/>
      <c r="F5577" s="8"/>
      <c r="H5577" s="14"/>
      <c r="I5577" s="567"/>
      <c r="J5577" s="18"/>
    </row>
    <row r="5578" spans="1:10" ht="15.75" hidden="1" customHeight="1">
      <c r="A5578" s="8"/>
      <c r="C5578" s="8"/>
      <c r="F5578" s="8"/>
      <c r="H5578" s="14"/>
      <c r="I5578" s="567"/>
      <c r="J5578" s="18"/>
    </row>
    <row r="5579" spans="1:10" ht="15.75" hidden="1" customHeight="1">
      <c r="A5579" s="8"/>
      <c r="C5579" s="8"/>
      <c r="F5579" s="8"/>
      <c r="H5579" s="14"/>
      <c r="I5579" s="567"/>
      <c r="J5579" s="18"/>
    </row>
    <row r="5580" spans="1:10" ht="15.75" hidden="1" customHeight="1">
      <c r="A5580" s="8"/>
      <c r="C5580" s="8"/>
      <c r="F5580" s="8"/>
      <c r="H5580" s="14"/>
      <c r="I5580" s="567"/>
      <c r="J5580" s="18"/>
    </row>
    <row r="5581" spans="1:10" ht="15.75" hidden="1" customHeight="1">
      <c r="A5581" s="8"/>
      <c r="C5581" s="8"/>
      <c r="F5581" s="8"/>
      <c r="H5581" s="14"/>
      <c r="I5581" s="567"/>
      <c r="J5581" s="18"/>
    </row>
    <row r="5582" spans="1:10" ht="15.75" hidden="1" customHeight="1">
      <c r="A5582" s="8"/>
      <c r="C5582" s="8"/>
      <c r="F5582" s="8"/>
      <c r="H5582" s="14"/>
      <c r="I5582" s="567"/>
      <c r="J5582" s="18"/>
    </row>
    <row r="5583" spans="1:10" ht="15.75" hidden="1" customHeight="1">
      <c r="A5583" s="8"/>
      <c r="C5583" s="8"/>
      <c r="F5583" s="8"/>
      <c r="H5583" s="14"/>
      <c r="I5583" s="567"/>
      <c r="J5583" s="18"/>
    </row>
    <row r="5584" spans="1:10" ht="15.75" hidden="1" customHeight="1">
      <c r="A5584" s="8"/>
      <c r="C5584" s="8"/>
      <c r="F5584" s="8"/>
      <c r="H5584" s="14"/>
      <c r="I5584" s="567"/>
      <c r="J5584" s="18"/>
    </row>
    <row r="5585" spans="1:10" ht="15.75" hidden="1" customHeight="1">
      <c r="A5585" s="8"/>
      <c r="C5585" s="8"/>
      <c r="F5585" s="8"/>
      <c r="H5585" s="14"/>
      <c r="I5585" s="567"/>
      <c r="J5585" s="18"/>
    </row>
    <row r="5586" spans="1:10" ht="15.75" hidden="1" customHeight="1">
      <c r="A5586" s="8"/>
      <c r="C5586" s="8"/>
      <c r="F5586" s="8"/>
      <c r="H5586" s="14"/>
      <c r="I5586" s="567"/>
      <c r="J5586" s="18"/>
    </row>
    <row r="5587" spans="1:10" ht="15.75" hidden="1" customHeight="1">
      <c r="A5587" s="8"/>
      <c r="C5587" s="8"/>
      <c r="F5587" s="8"/>
      <c r="H5587" s="14"/>
      <c r="I5587" s="567"/>
      <c r="J5587" s="18"/>
    </row>
    <row r="5588" spans="1:10" ht="15.75" hidden="1" customHeight="1">
      <c r="A5588" s="8"/>
      <c r="C5588" s="8"/>
      <c r="F5588" s="8"/>
      <c r="H5588" s="14"/>
      <c r="I5588" s="567"/>
      <c r="J5588" s="18"/>
    </row>
    <row r="5589" spans="1:10" ht="15.75" hidden="1" customHeight="1">
      <c r="A5589" s="8"/>
      <c r="C5589" s="8"/>
      <c r="F5589" s="8"/>
      <c r="H5589" s="14"/>
      <c r="I5589" s="567"/>
      <c r="J5589" s="18"/>
    </row>
    <row r="5590" spans="1:10" ht="15.75" hidden="1" customHeight="1">
      <c r="A5590" s="8"/>
      <c r="C5590" s="8"/>
      <c r="F5590" s="8"/>
      <c r="H5590" s="14"/>
      <c r="I5590" s="567"/>
      <c r="J5590" s="18"/>
    </row>
    <row r="5591" spans="1:10" ht="15.75" hidden="1" customHeight="1">
      <c r="A5591" s="8"/>
      <c r="C5591" s="8"/>
      <c r="F5591" s="8"/>
      <c r="H5591" s="14"/>
      <c r="I5591" s="567"/>
      <c r="J5591" s="18"/>
    </row>
    <row r="5592" spans="1:10" ht="15.75" hidden="1" customHeight="1">
      <c r="A5592" s="8"/>
      <c r="C5592" s="8"/>
      <c r="F5592" s="8"/>
      <c r="H5592" s="14"/>
      <c r="I5592" s="567"/>
      <c r="J5592" s="18"/>
    </row>
    <row r="5593" spans="1:10" ht="15.75" hidden="1" customHeight="1">
      <c r="A5593" s="8"/>
      <c r="C5593" s="8"/>
      <c r="F5593" s="8"/>
      <c r="H5593" s="14"/>
      <c r="I5593" s="567"/>
      <c r="J5593" s="18"/>
    </row>
    <row r="5594" spans="1:10" ht="15.75" hidden="1" customHeight="1">
      <c r="A5594" s="8"/>
      <c r="C5594" s="8"/>
      <c r="F5594" s="8"/>
      <c r="H5594" s="14"/>
      <c r="I5594" s="567"/>
      <c r="J5594" s="18"/>
    </row>
    <row r="5595" spans="1:10" ht="15.75" hidden="1" customHeight="1">
      <c r="A5595" s="8"/>
      <c r="C5595" s="8"/>
      <c r="F5595" s="8"/>
      <c r="H5595" s="14"/>
      <c r="I5595" s="567"/>
      <c r="J5595" s="18"/>
    </row>
    <row r="5596" spans="1:10" ht="15.75" hidden="1" customHeight="1">
      <c r="A5596" s="8"/>
      <c r="C5596" s="8"/>
      <c r="F5596" s="8"/>
      <c r="H5596" s="14"/>
      <c r="I5596" s="567"/>
      <c r="J5596" s="18"/>
    </row>
    <row r="5597" spans="1:10" ht="15.75" hidden="1" customHeight="1">
      <c r="A5597" s="8"/>
      <c r="C5597" s="8"/>
      <c r="F5597" s="8"/>
      <c r="H5597" s="14"/>
      <c r="I5597" s="567"/>
      <c r="J5597" s="18"/>
    </row>
    <row r="5598" spans="1:10" ht="15.75" hidden="1" customHeight="1">
      <c r="A5598" s="8"/>
      <c r="C5598" s="8"/>
      <c r="F5598" s="8"/>
      <c r="H5598" s="14"/>
      <c r="I5598" s="567"/>
      <c r="J5598" s="18"/>
    </row>
    <row r="5599" spans="1:10" ht="15.75" hidden="1" customHeight="1">
      <c r="A5599" s="8"/>
      <c r="C5599" s="8"/>
      <c r="F5599" s="8"/>
      <c r="H5599" s="14"/>
      <c r="I5599" s="567"/>
      <c r="J5599" s="18"/>
    </row>
    <row r="5600" spans="1:10" ht="15.75" hidden="1" customHeight="1">
      <c r="A5600" s="8"/>
      <c r="C5600" s="8"/>
      <c r="F5600" s="8"/>
      <c r="H5600" s="14"/>
      <c r="I5600" s="567"/>
      <c r="J5600" s="18"/>
    </row>
    <row r="5601" spans="1:10" ht="15.75" hidden="1" customHeight="1">
      <c r="A5601" s="8"/>
      <c r="C5601" s="8"/>
      <c r="F5601" s="8"/>
      <c r="H5601" s="14"/>
      <c r="I5601" s="567"/>
      <c r="J5601" s="18"/>
    </row>
    <row r="5602" spans="1:10" ht="15.75" hidden="1" customHeight="1">
      <c r="A5602" s="8"/>
      <c r="C5602" s="8"/>
      <c r="F5602" s="8"/>
      <c r="H5602" s="14"/>
      <c r="I5602" s="567"/>
      <c r="J5602" s="18"/>
    </row>
    <row r="5603" spans="1:10" ht="15.75" hidden="1" customHeight="1">
      <c r="A5603" s="8"/>
      <c r="C5603" s="8"/>
      <c r="F5603" s="8"/>
      <c r="H5603" s="14"/>
      <c r="I5603" s="567"/>
      <c r="J5603" s="18"/>
    </row>
    <row r="5604" spans="1:10" ht="15.75" hidden="1" customHeight="1">
      <c r="A5604" s="8"/>
      <c r="C5604" s="8"/>
      <c r="F5604" s="8"/>
      <c r="H5604" s="14"/>
      <c r="I5604" s="567"/>
      <c r="J5604" s="18"/>
    </row>
    <row r="5605" spans="1:10" ht="15.75" hidden="1" customHeight="1">
      <c r="A5605" s="8"/>
      <c r="C5605" s="8"/>
      <c r="F5605" s="8"/>
      <c r="H5605" s="14"/>
      <c r="I5605" s="567"/>
      <c r="J5605" s="18"/>
    </row>
    <row r="5606" spans="1:10" ht="15.75" hidden="1" customHeight="1">
      <c r="A5606" s="8"/>
      <c r="C5606" s="8"/>
      <c r="F5606" s="8"/>
      <c r="H5606" s="14"/>
      <c r="I5606" s="567"/>
      <c r="J5606" s="18"/>
    </row>
    <row r="5607" spans="1:10" ht="15.75" hidden="1" customHeight="1">
      <c r="A5607" s="8"/>
      <c r="C5607" s="8"/>
      <c r="F5607" s="8"/>
      <c r="H5607" s="14"/>
      <c r="I5607" s="567"/>
      <c r="J5607" s="18"/>
    </row>
    <row r="5608" spans="1:10" ht="15.75" hidden="1" customHeight="1">
      <c r="A5608" s="8"/>
      <c r="C5608" s="8"/>
      <c r="F5608" s="8"/>
      <c r="H5608" s="14"/>
      <c r="I5608" s="567"/>
      <c r="J5608" s="18"/>
    </row>
    <row r="5609" spans="1:10" ht="15.75" hidden="1" customHeight="1">
      <c r="A5609" s="8"/>
      <c r="C5609" s="8"/>
      <c r="F5609" s="8"/>
      <c r="H5609" s="14"/>
      <c r="I5609" s="567"/>
      <c r="J5609" s="18"/>
    </row>
    <row r="5610" spans="1:10" ht="15.75" hidden="1" customHeight="1">
      <c r="A5610" s="8"/>
      <c r="C5610" s="8"/>
      <c r="F5610" s="8"/>
      <c r="H5610" s="14"/>
      <c r="I5610" s="567"/>
      <c r="J5610" s="18"/>
    </row>
    <row r="5611" spans="1:10" ht="15.75" hidden="1" customHeight="1">
      <c r="A5611" s="8"/>
      <c r="C5611" s="8"/>
      <c r="F5611" s="8"/>
      <c r="H5611" s="14"/>
      <c r="I5611" s="567"/>
      <c r="J5611" s="18"/>
    </row>
    <row r="5612" spans="1:10" ht="15.75" hidden="1" customHeight="1">
      <c r="A5612" s="8"/>
      <c r="C5612" s="8"/>
      <c r="F5612" s="8"/>
      <c r="H5612" s="14"/>
      <c r="I5612" s="567"/>
      <c r="J5612" s="18"/>
    </row>
    <row r="5613" spans="1:10" ht="15.75" hidden="1" customHeight="1">
      <c r="A5613" s="8"/>
      <c r="C5613" s="8"/>
      <c r="F5613" s="8"/>
      <c r="H5613" s="14"/>
      <c r="I5613" s="567"/>
      <c r="J5613" s="18"/>
    </row>
    <row r="5614" spans="1:10" ht="15.75" hidden="1" customHeight="1">
      <c r="A5614" s="8"/>
      <c r="C5614" s="8"/>
      <c r="F5614" s="8"/>
      <c r="H5614" s="14"/>
      <c r="I5614" s="567"/>
      <c r="J5614" s="18"/>
    </row>
    <row r="5615" spans="1:10" ht="15.75" hidden="1" customHeight="1">
      <c r="A5615" s="8"/>
      <c r="C5615" s="8"/>
      <c r="F5615" s="8"/>
      <c r="H5615" s="14"/>
      <c r="I5615" s="567"/>
      <c r="J5615" s="18"/>
    </row>
    <row r="5616" spans="1:10" ht="15.75" hidden="1" customHeight="1">
      <c r="A5616" s="8"/>
      <c r="C5616" s="8"/>
      <c r="F5616" s="8"/>
      <c r="H5616" s="14"/>
      <c r="I5616" s="567"/>
      <c r="J5616" s="18"/>
    </row>
    <row r="5617" spans="1:10" ht="15.75" hidden="1" customHeight="1">
      <c r="A5617" s="8"/>
      <c r="C5617" s="8"/>
      <c r="F5617" s="8"/>
      <c r="H5617" s="14"/>
      <c r="I5617" s="567"/>
      <c r="J5617" s="18"/>
    </row>
    <row r="5618" spans="1:10" ht="15.75" hidden="1" customHeight="1">
      <c r="A5618" s="8"/>
      <c r="C5618" s="8"/>
      <c r="F5618" s="8"/>
      <c r="H5618" s="14"/>
      <c r="I5618" s="567"/>
      <c r="J5618" s="18"/>
    </row>
    <row r="5619" spans="1:10" ht="15.75" hidden="1" customHeight="1">
      <c r="A5619" s="8"/>
      <c r="C5619" s="8"/>
      <c r="F5619" s="8"/>
      <c r="H5619" s="14"/>
      <c r="I5619" s="567"/>
      <c r="J5619" s="18"/>
    </row>
    <row r="5620" spans="1:10" ht="15.75" hidden="1" customHeight="1">
      <c r="A5620" s="8"/>
      <c r="C5620" s="8"/>
      <c r="F5620" s="8"/>
      <c r="H5620" s="14"/>
      <c r="I5620" s="567"/>
      <c r="J5620" s="18"/>
    </row>
    <row r="5621" spans="1:10" ht="15.75" hidden="1" customHeight="1">
      <c r="A5621" s="8"/>
      <c r="C5621" s="8"/>
      <c r="F5621" s="8"/>
      <c r="H5621" s="14"/>
      <c r="I5621" s="567"/>
      <c r="J5621" s="18"/>
    </row>
    <row r="5622" spans="1:10" ht="15.75" hidden="1" customHeight="1">
      <c r="A5622" s="8"/>
      <c r="C5622" s="8"/>
      <c r="F5622" s="8"/>
      <c r="H5622" s="14"/>
      <c r="I5622" s="567"/>
      <c r="J5622" s="18"/>
    </row>
    <row r="5623" spans="1:10" ht="15.75" hidden="1" customHeight="1">
      <c r="A5623" s="8"/>
      <c r="C5623" s="8"/>
      <c r="F5623" s="8"/>
      <c r="H5623" s="14"/>
      <c r="I5623" s="567"/>
      <c r="J5623" s="18"/>
    </row>
    <row r="5624" spans="1:10" ht="15.75" hidden="1" customHeight="1">
      <c r="A5624" s="8"/>
      <c r="C5624" s="8"/>
      <c r="F5624" s="8"/>
      <c r="H5624" s="14"/>
      <c r="I5624" s="567"/>
      <c r="J5624" s="18"/>
    </row>
    <row r="5625" spans="1:10" ht="15.75" hidden="1" customHeight="1">
      <c r="A5625" s="8"/>
      <c r="C5625" s="8"/>
      <c r="F5625" s="8"/>
      <c r="H5625" s="14"/>
      <c r="I5625" s="567"/>
      <c r="J5625" s="18"/>
    </row>
    <row r="5626" spans="1:10" ht="15.75" hidden="1" customHeight="1">
      <c r="A5626" s="8"/>
      <c r="C5626" s="8"/>
      <c r="F5626" s="8"/>
      <c r="H5626" s="14"/>
      <c r="I5626" s="567"/>
      <c r="J5626" s="18"/>
    </row>
    <row r="5627" spans="1:10" ht="15.75" hidden="1" customHeight="1">
      <c r="A5627" s="8"/>
      <c r="C5627" s="8"/>
      <c r="F5627" s="8"/>
      <c r="H5627" s="14"/>
      <c r="I5627" s="567"/>
      <c r="J5627" s="18"/>
    </row>
    <row r="5628" spans="1:10" ht="15.75" hidden="1" customHeight="1">
      <c r="A5628" s="8"/>
      <c r="C5628" s="8"/>
      <c r="F5628" s="8"/>
      <c r="H5628" s="14"/>
      <c r="I5628" s="567"/>
      <c r="J5628" s="18"/>
    </row>
    <row r="5629" spans="1:10" ht="15.75" hidden="1" customHeight="1">
      <c r="A5629" s="8"/>
      <c r="C5629" s="8"/>
      <c r="F5629" s="8"/>
      <c r="H5629" s="14"/>
      <c r="I5629" s="567"/>
      <c r="J5629" s="18"/>
    </row>
    <row r="5630" spans="1:10" ht="15.75" hidden="1" customHeight="1">
      <c r="A5630" s="8"/>
      <c r="C5630" s="8"/>
      <c r="F5630" s="8"/>
      <c r="H5630" s="14"/>
      <c r="I5630" s="567"/>
      <c r="J5630" s="18"/>
    </row>
    <row r="5631" spans="1:10" ht="15.75" hidden="1" customHeight="1">
      <c r="A5631" s="8"/>
      <c r="C5631" s="8"/>
      <c r="F5631" s="8"/>
      <c r="H5631" s="14"/>
      <c r="I5631" s="567"/>
      <c r="J5631" s="18"/>
    </row>
    <row r="5632" spans="1:10" ht="15.75" hidden="1" customHeight="1">
      <c r="A5632" s="8"/>
      <c r="C5632" s="8"/>
      <c r="F5632" s="8"/>
      <c r="H5632" s="14"/>
      <c r="I5632" s="567"/>
      <c r="J5632" s="18"/>
    </row>
    <row r="5633" spans="1:10" ht="15.75" hidden="1" customHeight="1">
      <c r="A5633" s="8"/>
      <c r="C5633" s="8"/>
      <c r="F5633" s="8"/>
      <c r="H5633" s="14"/>
      <c r="I5633" s="567"/>
      <c r="J5633" s="18"/>
    </row>
    <row r="5634" spans="1:10" ht="15.75" hidden="1" customHeight="1">
      <c r="A5634" s="8"/>
      <c r="C5634" s="8"/>
      <c r="F5634" s="8"/>
      <c r="H5634" s="14"/>
      <c r="I5634" s="567"/>
      <c r="J5634" s="18"/>
    </row>
    <row r="5635" spans="1:10" ht="15.75" hidden="1" customHeight="1">
      <c r="A5635" s="8"/>
      <c r="C5635" s="8"/>
      <c r="F5635" s="8"/>
      <c r="H5635" s="14"/>
      <c r="I5635" s="567"/>
      <c r="J5635" s="18"/>
    </row>
    <row r="5636" spans="1:10" ht="15.75" hidden="1" customHeight="1">
      <c r="A5636" s="8"/>
      <c r="C5636" s="8"/>
      <c r="F5636" s="8"/>
      <c r="H5636" s="14"/>
      <c r="I5636" s="567"/>
      <c r="J5636" s="18"/>
    </row>
    <row r="5637" spans="1:10" ht="15.75" hidden="1" customHeight="1">
      <c r="A5637" s="8"/>
      <c r="C5637" s="8"/>
      <c r="F5637" s="8"/>
      <c r="H5637" s="14"/>
      <c r="I5637" s="567"/>
      <c r="J5637" s="18"/>
    </row>
    <row r="5638" spans="1:10" ht="15.75" hidden="1" customHeight="1">
      <c r="A5638" s="8"/>
      <c r="C5638" s="8"/>
      <c r="F5638" s="8"/>
      <c r="H5638" s="14"/>
      <c r="I5638" s="567"/>
      <c r="J5638" s="18"/>
    </row>
    <row r="5639" spans="1:10" ht="15.75" hidden="1" customHeight="1">
      <c r="A5639" s="8"/>
      <c r="C5639" s="8"/>
      <c r="F5639" s="8"/>
      <c r="H5639" s="14"/>
      <c r="I5639" s="567"/>
      <c r="J5639" s="18"/>
    </row>
    <row r="5640" spans="1:10" ht="15.75" hidden="1" customHeight="1">
      <c r="A5640" s="8"/>
      <c r="C5640" s="8"/>
      <c r="F5640" s="8"/>
      <c r="H5640" s="14"/>
      <c r="I5640" s="567"/>
      <c r="J5640" s="18"/>
    </row>
    <row r="5641" spans="1:10" ht="15.75" hidden="1" customHeight="1">
      <c r="A5641" s="8"/>
      <c r="C5641" s="8"/>
      <c r="F5641" s="8"/>
      <c r="H5641" s="14"/>
      <c r="I5641" s="567"/>
      <c r="J5641" s="18"/>
    </row>
    <row r="5642" spans="1:10" ht="15.75" hidden="1" customHeight="1">
      <c r="A5642" s="8"/>
      <c r="C5642" s="8"/>
      <c r="F5642" s="8"/>
      <c r="H5642" s="14"/>
      <c r="I5642" s="567"/>
      <c r="J5642" s="18"/>
    </row>
    <row r="5643" spans="1:10" ht="15.75" hidden="1" customHeight="1">
      <c r="A5643" s="8"/>
      <c r="C5643" s="8"/>
      <c r="F5643" s="8"/>
      <c r="H5643" s="14"/>
      <c r="I5643" s="567"/>
      <c r="J5643" s="18"/>
    </row>
    <row r="5644" spans="1:10" ht="15.75" hidden="1" customHeight="1">
      <c r="A5644" s="8"/>
      <c r="C5644" s="8"/>
      <c r="F5644" s="8"/>
      <c r="H5644" s="14"/>
      <c r="I5644" s="567"/>
      <c r="J5644" s="18"/>
    </row>
    <row r="5645" spans="1:10" ht="15.75" hidden="1" customHeight="1">
      <c r="A5645" s="8"/>
      <c r="C5645" s="8"/>
      <c r="F5645" s="8"/>
      <c r="H5645" s="14"/>
      <c r="I5645" s="567"/>
      <c r="J5645" s="18"/>
    </row>
    <row r="5646" spans="1:10" ht="15.75" hidden="1" customHeight="1">
      <c r="A5646" s="8"/>
      <c r="C5646" s="8"/>
      <c r="F5646" s="8"/>
      <c r="H5646" s="14"/>
      <c r="I5646" s="567"/>
      <c r="J5646" s="18"/>
    </row>
    <row r="5647" spans="1:10" ht="15.75" hidden="1" customHeight="1">
      <c r="A5647" s="8"/>
      <c r="C5647" s="8"/>
      <c r="F5647" s="8"/>
      <c r="H5647" s="14"/>
      <c r="I5647" s="567"/>
      <c r="J5647" s="18"/>
    </row>
    <row r="5648" spans="1:10" ht="15.75" hidden="1" customHeight="1">
      <c r="A5648" s="8"/>
      <c r="C5648" s="8"/>
      <c r="F5648" s="8"/>
      <c r="H5648" s="14"/>
      <c r="I5648" s="567"/>
      <c r="J5648" s="18"/>
    </row>
    <row r="5649" spans="1:10" ht="15.75" hidden="1" customHeight="1">
      <c r="A5649" s="8"/>
      <c r="C5649" s="8"/>
      <c r="F5649" s="8"/>
      <c r="H5649" s="14"/>
      <c r="I5649" s="567"/>
      <c r="J5649" s="18"/>
    </row>
    <row r="5650" spans="1:10" ht="15.75" hidden="1" customHeight="1">
      <c r="A5650" s="8"/>
      <c r="C5650" s="8"/>
      <c r="F5650" s="8"/>
      <c r="H5650" s="14"/>
      <c r="I5650" s="567"/>
      <c r="J5650" s="18"/>
    </row>
    <row r="5651" spans="1:10" ht="15.75" hidden="1" customHeight="1">
      <c r="A5651" s="8"/>
      <c r="C5651" s="8"/>
      <c r="F5651" s="8"/>
      <c r="H5651" s="14"/>
      <c r="I5651" s="567"/>
      <c r="J5651" s="18"/>
    </row>
    <row r="5652" spans="1:10" ht="15.75" hidden="1" customHeight="1">
      <c r="A5652" s="8"/>
      <c r="C5652" s="8"/>
      <c r="F5652" s="8"/>
      <c r="H5652" s="14"/>
      <c r="I5652" s="567"/>
      <c r="J5652" s="18"/>
    </row>
    <row r="5653" spans="1:10" ht="15.75" hidden="1" customHeight="1">
      <c r="A5653" s="8"/>
      <c r="C5653" s="8"/>
      <c r="F5653" s="8"/>
      <c r="H5653" s="14"/>
      <c r="I5653" s="567"/>
      <c r="J5653" s="18"/>
    </row>
    <row r="5654" spans="1:10" ht="15.75" hidden="1" customHeight="1">
      <c r="A5654" s="8"/>
      <c r="C5654" s="8"/>
      <c r="F5654" s="8"/>
      <c r="H5654" s="14"/>
      <c r="I5654" s="567"/>
      <c r="J5654" s="18"/>
    </row>
    <row r="5655" spans="1:10" ht="15.75" hidden="1" customHeight="1">
      <c r="A5655" s="8"/>
      <c r="C5655" s="8"/>
      <c r="F5655" s="8"/>
      <c r="H5655" s="14"/>
      <c r="I5655" s="567"/>
      <c r="J5655" s="18"/>
    </row>
    <row r="5656" spans="1:10" ht="15.75" hidden="1" customHeight="1">
      <c r="A5656" s="8"/>
      <c r="C5656" s="8"/>
      <c r="F5656" s="8"/>
      <c r="H5656" s="14"/>
      <c r="I5656" s="567"/>
      <c r="J5656" s="18"/>
    </row>
    <row r="5657" spans="1:10" ht="15.75" hidden="1" customHeight="1">
      <c r="A5657" s="8"/>
      <c r="C5657" s="8"/>
      <c r="F5657" s="8"/>
      <c r="H5657" s="14"/>
      <c r="I5657" s="567"/>
      <c r="J5657" s="18"/>
    </row>
    <row r="5658" spans="1:10" ht="15.75" hidden="1" customHeight="1">
      <c r="A5658" s="8"/>
      <c r="C5658" s="8"/>
      <c r="F5658" s="8"/>
      <c r="H5658" s="14"/>
      <c r="I5658" s="567"/>
      <c r="J5658" s="18"/>
    </row>
    <row r="5659" spans="1:10" ht="15.75" hidden="1" customHeight="1">
      <c r="A5659" s="8"/>
      <c r="C5659" s="8"/>
      <c r="F5659" s="8"/>
      <c r="H5659" s="14"/>
      <c r="I5659" s="567"/>
      <c r="J5659" s="18"/>
    </row>
    <row r="5660" spans="1:10" ht="15.75" hidden="1" customHeight="1">
      <c r="A5660" s="8"/>
      <c r="C5660" s="8"/>
      <c r="F5660" s="8"/>
      <c r="H5660" s="14"/>
      <c r="I5660" s="567"/>
      <c r="J5660" s="18"/>
    </row>
    <row r="5661" spans="1:10" ht="15.75" hidden="1" customHeight="1">
      <c r="A5661" s="8"/>
      <c r="C5661" s="8"/>
      <c r="F5661" s="8"/>
      <c r="H5661" s="14"/>
      <c r="I5661" s="567"/>
      <c r="J5661" s="18"/>
    </row>
    <row r="5662" spans="1:10" ht="15.75" hidden="1" customHeight="1">
      <c r="A5662" s="8"/>
      <c r="C5662" s="8"/>
      <c r="F5662" s="8"/>
      <c r="H5662" s="14"/>
      <c r="I5662" s="567"/>
      <c r="J5662" s="18"/>
    </row>
    <row r="5663" spans="1:10" ht="15.75" hidden="1" customHeight="1">
      <c r="A5663" s="8"/>
      <c r="C5663" s="8"/>
      <c r="F5663" s="8"/>
      <c r="H5663" s="14"/>
      <c r="I5663" s="567"/>
      <c r="J5663" s="18"/>
    </row>
    <row r="5664" spans="1:10" ht="15.75" hidden="1" customHeight="1">
      <c r="A5664" s="8"/>
      <c r="C5664" s="8"/>
      <c r="F5664" s="8"/>
      <c r="H5664" s="14"/>
      <c r="I5664" s="567"/>
      <c r="J5664" s="18"/>
    </row>
    <row r="5665" spans="1:10" ht="15.75" hidden="1" customHeight="1">
      <c r="A5665" s="8"/>
      <c r="C5665" s="8"/>
      <c r="F5665" s="8"/>
      <c r="H5665" s="14"/>
      <c r="I5665" s="567"/>
      <c r="J5665" s="18"/>
    </row>
    <row r="5666" spans="1:10" ht="15.75" hidden="1" customHeight="1">
      <c r="A5666" s="8"/>
      <c r="C5666" s="8"/>
      <c r="F5666" s="8"/>
      <c r="H5666" s="14"/>
      <c r="I5666" s="567"/>
      <c r="J5666" s="18"/>
    </row>
    <row r="5667" spans="1:10" ht="15.75" hidden="1" customHeight="1">
      <c r="A5667" s="8"/>
      <c r="C5667" s="8"/>
      <c r="F5667" s="8"/>
      <c r="H5667" s="14"/>
      <c r="I5667" s="567"/>
      <c r="J5667" s="18"/>
    </row>
    <row r="5668" spans="1:10" ht="15.75" hidden="1" customHeight="1">
      <c r="A5668" s="8"/>
      <c r="C5668" s="8"/>
      <c r="F5668" s="8"/>
      <c r="H5668" s="14"/>
      <c r="I5668" s="567"/>
      <c r="J5668" s="18"/>
    </row>
    <row r="5669" spans="1:10" ht="15.75" hidden="1" customHeight="1">
      <c r="A5669" s="8"/>
      <c r="C5669" s="8"/>
      <c r="F5669" s="8"/>
      <c r="H5669" s="14"/>
      <c r="I5669" s="567"/>
      <c r="J5669" s="18"/>
    </row>
    <row r="5670" spans="1:10" ht="15.75" hidden="1" customHeight="1">
      <c r="A5670" s="8"/>
      <c r="C5670" s="8"/>
      <c r="F5670" s="8"/>
      <c r="H5670" s="14"/>
      <c r="I5670" s="567"/>
      <c r="J5670" s="18"/>
    </row>
    <row r="5671" spans="1:10" ht="15.75" hidden="1" customHeight="1">
      <c r="A5671" s="8"/>
      <c r="C5671" s="8"/>
      <c r="F5671" s="8"/>
      <c r="H5671" s="14"/>
      <c r="I5671" s="567"/>
      <c r="J5671" s="18"/>
    </row>
    <row r="5672" spans="1:10" ht="15.75" hidden="1" customHeight="1">
      <c r="A5672" s="8"/>
      <c r="C5672" s="8"/>
      <c r="F5672" s="8"/>
      <c r="H5672" s="14"/>
      <c r="I5672" s="567"/>
      <c r="J5672" s="18"/>
    </row>
    <row r="5673" spans="1:10" ht="15.75" hidden="1" customHeight="1">
      <c r="A5673" s="8"/>
      <c r="C5673" s="8"/>
      <c r="F5673" s="8"/>
      <c r="H5673" s="14"/>
      <c r="I5673" s="567"/>
      <c r="J5673" s="18"/>
    </row>
    <row r="5674" spans="1:10" ht="15.75" hidden="1" customHeight="1">
      <c r="A5674" s="8"/>
      <c r="C5674" s="8"/>
      <c r="F5674" s="8"/>
      <c r="H5674" s="14"/>
      <c r="I5674" s="567"/>
      <c r="J5674" s="18"/>
    </row>
    <row r="5675" spans="1:10" ht="15.75" hidden="1" customHeight="1">
      <c r="A5675" s="8"/>
      <c r="C5675" s="8"/>
      <c r="F5675" s="8"/>
      <c r="H5675" s="14"/>
      <c r="I5675" s="567"/>
      <c r="J5675" s="18"/>
    </row>
    <row r="5676" spans="1:10" ht="15.75" hidden="1" customHeight="1">
      <c r="A5676" s="8"/>
      <c r="C5676" s="8"/>
      <c r="F5676" s="8"/>
      <c r="H5676" s="14"/>
      <c r="I5676" s="567"/>
      <c r="J5676" s="18"/>
    </row>
    <row r="5677" spans="1:10" ht="15.75" hidden="1" customHeight="1">
      <c r="A5677" s="8"/>
      <c r="C5677" s="8"/>
      <c r="F5677" s="8"/>
      <c r="H5677" s="14"/>
      <c r="I5677" s="567"/>
      <c r="J5677" s="18"/>
    </row>
    <row r="5678" spans="1:10" ht="15.75" hidden="1" customHeight="1">
      <c r="A5678" s="8"/>
      <c r="C5678" s="8"/>
      <c r="F5678" s="8"/>
      <c r="H5678" s="14"/>
      <c r="I5678" s="567"/>
      <c r="J5678" s="18"/>
    </row>
    <row r="5679" spans="1:10" ht="15.75" hidden="1" customHeight="1">
      <c r="A5679" s="8"/>
      <c r="C5679" s="8"/>
      <c r="F5679" s="8"/>
      <c r="H5679" s="14"/>
      <c r="I5679" s="567"/>
      <c r="J5679" s="18"/>
    </row>
    <row r="5680" spans="1:10" ht="15.75" hidden="1" customHeight="1">
      <c r="A5680" s="8"/>
      <c r="C5680" s="8"/>
      <c r="F5680" s="8"/>
      <c r="H5680" s="14"/>
      <c r="I5680" s="567"/>
      <c r="J5680" s="18"/>
    </row>
    <row r="5681" spans="1:10" ht="15.75" hidden="1" customHeight="1">
      <c r="A5681" s="8"/>
      <c r="C5681" s="8"/>
      <c r="F5681" s="8"/>
      <c r="H5681" s="14"/>
      <c r="I5681" s="567"/>
      <c r="J5681" s="18"/>
    </row>
    <row r="5682" spans="1:10" ht="15.75" hidden="1" customHeight="1">
      <c r="A5682" s="8"/>
      <c r="C5682" s="8"/>
      <c r="F5682" s="8"/>
      <c r="H5682" s="14"/>
      <c r="I5682" s="567"/>
      <c r="J5682" s="18"/>
    </row>
    <row r="5683" spans="1:10" ht="15.75" hidden="1" customHeight="1">
      <c r="A5683" s="8"/>
      <c r="C5683" s="8"/>
      <c r="F5683" s="8"/>
      <c r="H5683" s="14"/>
      <c r="I5683" s="567"/>
      <c r="J5683" s="18"/>
    </row>
    <row r="5684" spans="1:10" ht="15.75" hidden="1" customHeight="1">
      <c r="A5684" s="8"/>
      <c r="C5684" s="8"/>
      <c r="F5684" s="8"/>
      <c r="H5684" s="14"/>
      <c r="I5684" s="567"/>
      <c r="J5684" s="18"/>
    </row>
    <row r="5685" spans="1:10" ht="15.75" hidden="1" customHeight="1">
      <c r="A5685" s="8"/>
      <c r="C5685" s="8"/>
      <c r="F5685" s="8"/>
      <c r="H5685" s="14"/>
      <c r="I5685" s="567"/>
      <c r="J5685" s="18"/>
    </row>
    <row r="5686" spans="1:10" ht="15.75" hidden="1" customHeight="1">
      <c r="A5686" s="8"/>
      <c r="C5686" s="8"/>
      <c r="F5686" s="8"/>
      <c r="H5686" s="14"/>
      <c r="I5686" s="567"/>
      <c r="J5686" s="18"/>
    </row>
    <row r="5687" spans="1:10" ht="15.75" hidden="1" customHeight="1">
      <c r="A5687" s="8"/>
      <c r="C5687" s="8"/>
      <c r="F5687" s="8"/>
      <c r="H5687" s="14"/>
      <c r="I5687" s="567"/>
      <c r="J5687" s="18"/>
    </row>
    <row r="5688" spans="1:10" ht="15.75" hidden="1" customHeight="1">
      <c r="A5688" s="8"/>
      <c r="C5688" s="8"/>
      <c r="F5688" s="8"/>
      <c r="H5688" s="14"/>
      <c r="I5688" s="567"/>
      <c r="J5688" s="18"/>
    </row>
    <row r="5689" spans="1:10" ht="15.75" hidden="1" customHeight="1">
      <c r="A5689" s="8"/>
      <c r="C5689" s="8"/>
      <c r="F5689" s="8"/>
      <c r="H5689" s="14"/>
      <c r="I5689" s="567"/>
      <c r="J5689" s="18"/>
    </row>
    <row r="5690" spans="1:10" ht="15.75" hidden="1" customHeight="1">
      <c r="A5690" s="8"/>
      <c r="C5690" s="8"/>
      <c r="F5690" s="8"/>
      <c r="H5690" s="14"/>
      <c r="I5690" s="567"/>
      <c r="J5690" s="18"/>
    </row>
    <row r="5691" spans="1:10" ht="15.75" hidden="1" customHeight="1">
      <c r="A5691" s="8"/>
      <c r="C5691" s="8"/>
      <c r="F5691" s="8"/>
      <c r="H5691" s="14"/>
      <c r="I5691" s="567"/>
      <c r="J5691" s="18"/>
    </row>
    <row r="5692" spans="1:10" ht="15.75" hidden="1" customHeight="1">
      <c r="A5692" s="8"/>
      <c r="C5692" s="8"/>
      <c r="F5692" s="8"/>
      <c r="H5692" s="14"/>
      <c r="I5692" s="567"/>
      <c r="J5692" s="18"/>
    </row>
    <row r="5693" spans="1:10" ht="15.75" hidden="1" customHeight="1">
      <c r="A5693" s="8"/>
      <c r="C5693" s="8"/>
      <c r="F5693" s="8"/>
      <c r="H5693" s="14"/>
      <c r="I5693" s="567"/>
      <c r="J5693" s="18"/>
    </row>
    <row r="5694" spans="1:10" ht="15.75" hidden="1" customHeight="1">
      <c r="A5694" s="8"/>
      <c r="C5694" s="8"/>
      <c r="F5694" s="8"/>
      <c r="H5694" s="14"/>
      <c r="I5694" s="567"/>
      <c r="J5694" s="18"/>
    </row>
    <row r="5695" spans="1:10" ht="15.75" hidden="1" customHeight="1">
      <c r="A5695" s="8"/>
      <c r="C5695" s="8"/>
      <c r="F5695" s="8"/>
      <c r="H5695" s="14"/>
      <c r="I5695" s="567"/>
      <c r="J5695" s="18"/>
    </row>
    <row r="5696" spans="1:10" ht="15.75" hidden="1" customHeight="1">
      <c r="A5696" s="8"/>
      <c r="C5696" s="8"/>
      <c r="F5696" s="8"/>
      <c r="H5696" s="14"/>
      <c r="I5696" s="567"/>
      <c r="J5696" s="18"/>
    </row>
    <row r="5697" spans="1:10" ht="15.75" hidden="1" customHeight="1">
      <c r="A5697" s="8"/>
      <c r="C5697" s="8"/>
      <c r="F5697" s="8"/>
      <c r="H5697" s="14"/>
      <c r="I5697" s="567"/>
      <c r="J5697" s="18"/>
    </row>
    <row r="5698" spans="1:10" ht="15.75" hidden="1" customHeight="1">
      <c r="A5698" s="8"/>
      <c r="C5698" s="8"/>
      <c r="F5698" s="8"/>
      <c r="H5698" s="14"/>
      <c r="I5698" s="567"/>
      <c r="J5698" s="18"/>
    </row>
    <row r="5699" spans="1:10" ht="15.75" hidden="1" customHeight="1">
      <c r="A5699" s="8"/>
      <c r="C5699" s="8"/>
      <c r="F5699" s="8"/>
      <c r="H5699" s="14"/>
      <c r="I5699" s="567"/>
      <c r="J5699" s="18"/>
    </row>
    <row r="5700" spans="1:10" ht="15.75" hidden="1" customHeight="1">
      <c r="A5700" s="8"/>
      <c r="C5700" s="8"/>
      <c r="F5700" s="8"/>
      <c r="H5700" s="14"/>
      <c r="I5700" s="567"/>
      <c r="J5700" s="18"/>
    </row>
    <row r="5701" spans="1:10" ht="15.75" hidden="1" customHeight="1">
      <c r="A5701" s="8"/>
      <c r="C5701" s="8"/>
      <c r="F5701" s="8"/>
      <c r="H5701" s="14"/>
      <c r="I5701" s="567"/>
      <c r="J5701" s="18"/>
    </row>
    <row r="5702" spans="1:10" ht="15.75" hidden="1" customHeight="1">
      <c r="A5702" s="8"/>
      <c r="C5702" s="8"/>
      <c r="F5702" s="8"/>
      <c r="H5702" s="14"/>
      <c r="I5702" s="567"/>
      <c r="J5702" s="18"/>
    </row>
    <row r="5703" spans="1:10" ht="15.75" hidden="1" customHeight="1">
      <c r="A5703" s="8"/>
      <c r="C5703" s="8"/>
      <c r="F5703" s="8"/>
      <c r="H5703" s="14"/>
      <c r="I5703" s="567"/>
      <c r="J5703" s="18"/>
    </row>
    <row r="5704" spans="1:10" ht="15.75" hidden="1" customHeight="1">
      <c r="A5704" s="8"/>
      <c r="C5704" s="8"/>
      <c r="F5704" s="8"/>
      <c r="H5704" s="14"/>
      <c r="I5704" s="567"/>
      <c r="J5704" s="18"/>
    </row>
    <row r="5705" spans="1:10" ht="15.75" hidden="1" customHeight="1">
      <c r="A5705" s="8"/>
      <c r="C5705" s="8"/>
      <c r="F5705" s="8"/>
      <c r="H5705" s="14"/>
      <c r="I5705" s="567"/>
      <c r="J5705" s="18"/>
    </row>
    <row r="5706" spans="1:10" ht="15.75" hidden="1" customHeight="1">
      <c r="A5706" s="8"/>
      <c r="C5706" s="8"/>
      <c r="F5706" s="8"/>
      <c r="H5706" s="14"/>
      <c r="I5706" s="567"/>
      <c r="J5706" s="18"/>
    </row>
    <row r="5707" spans="1:10" ht="15.75" hidden="1" customHeight="1">
      <c r="A5707" s="8"/>
      <c r="C5707" s="8"/>
      <c r="F5707" s="8"/>
      <c r="H5707" s="14"/>
      <c r="I5707" s="567"/>
      <c r="J5707" s="18"/>
    </row>
    <row r="5708" spans="1:10" ht="15.75" hidden="1" customHeight="1">
      <c r="A5708" s="8"/>
      <c r="C5708" s="8"/>
      <c r="F5708" s="8"/>
      <c r="H5708" s="14"/>
      <c r="I5708" s="567"/>
      <c r="J5708" s="18"/>
    </row>
    <row r="5709" spans="1:10" ht="15.75" hidden="1" customHeight="1">
      <c r="A5709" s="8"/>
      <c r="C5709" s="8"/>
      <c r="F5709" s="8"/>
      <c r="H5709" s="14"/>
      <c r="I5709" s="567"/>
      <c r="J5709" s="18"/>
    </row>
    <row r="5710" spans="1:10" ht="15.75" hidden="1" customHeight="1">
      <c r="A5710" s="8"/>
      <c r="C5710" s="8"/>
      <c r="F5710" s="8"/>
      <c r="H5710" s="14"/>
      <c r="I5710" s="567"/>
      <c r="J5710" s="18"/>
    </row>
    <row r="5711" spans="1:10" ht="15.75" hidden="1" customHeight="1">
      <c r="A5711" s="8"/>
      <c r="C5711" s="8"/>
      <c r="F5711" s="8"/>
      <c r="H5711" s="14"/>
      <c r="I5711" s="567"/>
      <c r="J5711" s="18"/>
    </row>
    <row r="5712" spans="1:10" ht="15.75" hidden="1" customHeight="1">
      <c r="A5712" s="8"/>
      <c r="C5712" s="8"/>
      <c r="F5712" s="8"/>
      <c r="H5712" s="14"/>
      <c r="I5712" s="567"/>
      <c r="J5712" s="18"/>
    </row>
    <row r="5713" spans="1:10" ht="15.75" hidden="1" customHeight="1">
      <c r="A5713" s="8"/>
      <c r="C5713" s="8"/>
      <c r="F5713" s="8"/>
      <c r="H5713" s="14"/>
      <c r="I5713" s="567"/>
      <c r="J5713" s="18"/>
    </row>
    <row r="5714" spans="1:10" ht="15.75" hidden="1" customHeight="1">
      <c r="A5714" s="8"/>
      <c r="C5714" s="8"/>
      <c r="F5714" s="8"/>
      <c r="H5714" s="14"/>
      <c r="I5714" s="567"/>
      <c r="J5714" s="18"/>
    </row>
    <row r="5715" spans="1:10" ht="15.75" hidden="1" customHeight="1">
      <c r="A5715" s="8"/>
      <c r="C5715" s="8"/>
      <c r="F5715" s="8"/>
      <c r="H5715" s="14"/>
      <c r="I5715" s="567"/>
      <c r="J5715" s="18"/>
    </row>
    <row r="5716" spans="1:10" ht="15.75" hidden="1" customHeight="1">
      <c r="A5716" s="8"/>
      <c r="C5716" s="8"/>
      <c r="F5716" s="8"/>
      <c r="H5716" s="14"/>
      <c r="I5716" s="567"/>
      <c r="J5716" s="18"/>
    </row>
    <row r="5717" spans="1:10" ht="15.75" hidden="1" customHeight="1">
      <c r="A5717" s="8"/>
      <c r="C5717" s="8"/>
      <c r="F5717" s="8"/>
      <c r="H5717" s="14"/>
      <c r="I5717" s="567"/>
      <c r="J5717" s="18"/>
    </row>
    <row r="5718" spans="1:10" ht="15.75" hidden="1" customHeight="1">
      <c r="A5718" s="8"/>
      <c r="C5718" s="8"/>
      <c r="F5718" s="8"/>
      <c r="H5718" s="14"/>
      <c r="I5718" s="567"/>
      <c r="J5718" s="18"/>
    </row>
    <row r="5719" spans="1:10" ht="15.75" hidden="1" customHeight="1">
      <c r="A5719" s="8"/>
      <c r="C5719" s="8"/>
      <c r="F5719" s="8"/>
      <c r="H5719" s="14"/>
      <c r="I5719" s="567"/>
      <c r="J5719" s="18"/>
    </row>
    <row r="5720" spans="1:10" ht="15.75" hidden="1" customHeight="1">
      <c r="A5720" s="8"/>
      <c r="C5720" s="8"/>
      <c r="F5720" s="8"/>
      <c r="H5720" s="14"/>
      <c r="I5720" s="567"/>
      <c r="J5720" s="18"/>
    </row>
    <row r="5721" spans="1:10" ht="15.75" hidden="1" customHeight="1">
      <c r="A5721" s="8"/>
      <c r="C5721" s="8"/>
      <c r="F5721" s="8"/>
      <c r="H5721" s="14"/>
      <c r="I5721" s="567"/>
      <c r="J5721" s="18"/>
    </row>
    <row r="5722" spans="1:10" ht="15.75" hidden="1" customHeight="1">
      <c r="A5722" s="8"/>
      <c r="C5722" s="8"/>
      <c r="F5722" s="8"/>
      <c r="H5722" s="14"/>
      <c r="I5722" s="567"/>
      <c r="J5722" s="18"/>
    </row>
    <row r="5723" spans="1:10" ht="15.75" hidden="1" customHeight="1">
      <c r="A5723" s="8"/>
      <c r="C5723" s="8"/>
      <c r="F5723" s="8"/>
      <c r="H5723" s="14"/>
      <c r="I5723" s="567"/>
      <c r="J5723" s="18"/>
    </row>
    <row r="5724" spans="1:10" ht="15.75" hidden="1" customHeight="1">
      <c r="A5724" s="8"/>
      <c r="C5724" s="8"/>
      <c r="F5724" s="8"/>
      <c r="H5724" s="14"/>
      <c r="I5724" s="567"/>
      <c r="J5724" s="18"/>
    </row>
    <row r="5725" spans="1:10" ht="15.75" hidden="1" customHeight="1">
      <c r="A5725" s="8"/>
      <c r="C5725" s="8"/>
      <c r="F5725" s="8"/>
      <c r="H5725" s="14"/>
      <c r="I5725" s="567"/>
      <c r="J5725" s="18"/>
    </row>
    <row r="5726" spans="1:10" ht="15.75" hidden="1" customHeight="1">
      <c r="A5726" s="8"/>
      <c r="C5726" s="8"/>
      <c r="F5726" s="8"/>
      <c r="H5726" s="14"/>
      <c r="I5726" s="567"/>
      <c r="J5726" s="18"/>
    </row>
    <row r="5727" spans="1:10" ht="15.75" hidden="1" customHeight="1">
      <c r="A5727" s="8"/>
      <c r="C5727" s="8"/>
      <c r="F5727" s="8"/>
      <c r="H5727" s="14"/>
      <c r="I5727" s="567"/>
      <c r="J5727" s="18"/>
    </row>
    <row r="5728" spans="1:10" ht="15.75" hidden="1" customHeight="1">
      <c r="A5728" s="8"/>
      <c r="C5728" s="8"/>
      <c r="F5728" s="8"/>
      <c r="H5728" s="14"/>
      <c r="I5728" s="567"/>
      <c r="J5728" s="18"/>
    </row>
    <row r="5729" spans="1:10" ht="15.75" hidden="1" customHeight="1">
      <c r="A5729" s="8"/>
      <c r="C5729" s="8"/>
      <c r="F5729" s="8"/>
      <c r="H5729" s="14"/>
      <c r="I5729" s="567"/>
      <c r="J5729" s="18"/>
    </row>
    <row r="5730" spans="1:10" ht="15.75" hidden="1" customHeight="1">
      <c r="A5730" s="8"/>
      <c r="C5730" s="8"/>
      <c r="F5730" s="8"/>
      <c r="H5730" s="14"/>
      <c r="I5730" s="567"/>
      <c r="J5730" s="18"/>
    </row>
    <row r="5731" spans="1:10" ht="15.75" hidden="1" customHeight="1">
      <c r="A5731" s="8"/>
      <c r="C5731" s="8"/>
      <c r="F5731" s="8"/>
      <c r="H5731" s="14"/>
      <c r="I5731" s="567"/>
      <c r="J5731" s="18"/>
    </row>
    <row r="5732" spans="1:10" ht="15.75" hidden="1" customHeight="1">
      <c r="A5732" s="8"/>
      <c r="C5732" s="8"/>
      <c r="F5732" s="8"/>
      <c r="H5732" s="14"/>
      <c r="I5732" s="567"/>
      <c r="J5732" s="18"/>
    </row>
    <row r="5733" spans="1:10" ht="15.75" hidden="1" customHeight="1">
      <c r="A5733" s="8"/>
      <c r="C5733" s="8"/>
      <c r="F5733" s="8"/>
      <c r="H5733" s="14"/>
      <c r="I5733" s="567"/>
      <c r="J5733" s="18"/>
    </row>
    <row r="5734" spans="1:10" ht="15.75" hidden="1" customHeight="1">
      <c r="A5734" s="8"/>
      <c r="C5734" s="8"/>
      <c r="F5734" s="8"/>
      <c r="H5734" s="14"/>
      <c r="I5734" s="567"/>
      <c r="J5734" s="18"/>
    </row>
    <row r="5735" spans="1:10" ht="15.75" hidden="1" customHeight="1">
      <c r="A5735" s="8"/>
      <c r="C5735" s="8"/>
      <c r="F5735" s="8"/>
      <c r="H5735" s="14"/>
      <c r="I5735" s="567"/>
      <c r="J5735" s="18"/>
    </row>
    <row r="5736" spans="1:10" ht="15.75" hidden="1" customHeight="1">
      <c r="A5736" s="8"/>
      <c r="C5736" s="8"/>
      <c r="F5736" s="8"/>
      <c r="H5736" s="14"/>
      <c r="I5736" s="567"/>
      <c r="J5736" s="18"/>
    </row>
    <row r="5737" spans="1:10" ht="15.75" hidden="1" customHeight="1">
      <c r="A5737" s="8"/>
      <c r="C5737" s="8"/>
      <c r="F5737" s="8"/>
      <c r="H5737" s="14"/>
      <c r="I5737" s="567"/>
      <c r="J5737" s="18"/>
    </row>
    <row r="5738" spans="1:10" ht="15.75" hidden="1" customHeight="1">
      <c r="A5738" s="8"/>
      <c r="C5738" s="8"/>
      <c r="F5738" s="8"/>
      <c r="H5738" s="14"/>
      <c r="I5738" s="567"/>
      <c r="J5738" s="18"/>
    </row>
    <row r="5739" spans="1:10" ht="15.75" hidden="1" customHeight="1">
      <c r="A5739" s="8"/>
      <c r="C5739" s="8"/>
      <c r="F5739" s="8"/>
      <c r="H5739" s="14"/>
      <c r="I5739" s="567"/>
      <c r="J5739" s="18"/>
    </row>
    <row r="5740" spans="1:10" ht="15.75" hidden="1" customHeight="1">
      <c r="A5740" s="8"/>
      <c r="C5740" s="8"/>
      <c r="F5740" s="8"/>
      <c r="H5740" s="14"/>
      <c r="I5740" s="567"/>
      <c r="J5740" s="18"/>
    </row>
    <row r="5741" spans="1:10" ht="15.75" hidden="1" customHeight="1">
      <c r="A5741" s="8"/>
      <c r="C5741" s="8"/>
      <c r="F5741" s="8"/>
      <c r="H5741" s="14"/>
      <c r="I5741" s="567"/>
      <c r="J5741" s="18"/>
    </row>
    <row r="5742" spans="1:10" ht="15.75" hidden="1" customHeight="1">
      <c r="A5742" s="8"/>
      <c r="C5742" s="8"/>
      <c r="F5742" s="8"/>
      <c r="H5742" s="14"/>
      <c r="I5742" s="567"/>
      <c r="J5742" s="18"/>
    </row>
    <row r="5743" spans="1:10" ht="15.75" hidden="1" customHeight="1">
      <c r="A5743" s="8"/>
      <c r="C5743" s="8"/>
      <c r="F5743" s="8"/>
      <c r="H5743" s="14"/>
      <c r="I5743" s="567"/>
      <c r="J5743" s="18"/>
    </row>
    <row r="5744" spans="1:10" ht="15.75" hidden="1" customHeight="1">
      <c r="A5744" s="8"/>
      <c r="C5744" s="8"/>
      <c r="F5744" s="8"/>
      <c r="H5744" s="14"/>
      <c r="I5744" s="567"/>
      <c r="J5744" s="18"/>
    </row>
    <row r="5745" spans="1:10" ht="15.75" hidden="1" customHeight="1">
      <c r="A5745" s="8"/>
      <c r="C5745" s="8"/>
      <c r="F5745" s="8"/>
      <c r="H5745" s="14"/>
      <c r="I5745" s="567"/>
      <c r="J5745" s="18"/>
    </row>
    <row r="5746" spans="1:10" ht="15.75" hidden="1" customHeight="1">
      <c r="A5746" s="8"/>
      <c r="C5746" s="8"/>
      <c r="F5746" s="8"/>
      <c r="H5746" s="14"/>
      <c r="I5746" s="567"/>
      <c r="J5746" s="18"/>
    </row>
    <row r="5747" spans="1:10" ht="15.75" hidden="1" customHeight="1">
      <c r="A5747" s="8"/>
      <c r="C5747" s="8"/>
      <c r="F5747" s="8"/>
      <c r="H5747" s="14"/>
      <c r="I5747" s="567"/>
      <c r="J5747" s="18"/>
    </row>
    <row r="5748" spans="1:10" ht="15.75" hidden="1" customHeight="1">
      <c r="A5748" s="8"/>
      <c r="C5748" s="8"/>
      <c r="F5748" s="8"/>
      <c r="H5748" s="14"/>
      <c r="I5748" s="567"/>
      <c r="J5748" s="18"/>
    </row>
    <row r="5749" spans="1:10" ht="15.75" hidden="1" customHeight="1">
      <c r="A5749" s="8"/>
      <c r="C5749" s="8"/>
      <c r="F5749" s="8"/>
      <c r="H5749" s="14"/>
      <c r="I5749" s="567"/>
      <c r="J5749" s="18"/>
    </row>
    <row r="5750" spans="1:10" ht="15.75" hidden="1" customHeight="1">
      <c r="A5750" s="8"/>
      <c r="C5750" s="8"/>
      <c r="F5750" s="8"/>
      <c r="H5750" s="14"/>
      <c r="I5750" s="567"/>
      <c r="J5750" s="18"/>
    </row>
    <row r="5751" spans="1:10" ht="15.75" hidden="1" customHeight="1">
      <c r="A5751" s="8"/>
      <c r="C5751" s="8"/>
      <c r="F5751" s="8"/>
      <c r="H5751" s="14"/>
      <c r="I5751" s="567"/>
      <c r="J5751" s="18"/>
    </row>
    <row r="5752" spans="1:10" ht="15.75" hidden="1" customHeight="1">
      <c r="A5752" s="8"/>
      <c r="C5752" s="8"/>
      <c r="F5752" s="8"/>
      <c r="H5752" s="14"/>
      <c r="I5752" s="567"/>
      <c r="J5752" s="18"/>
    </row>
    <row r="5753" spans="1:10" ht="15.75" hidden="1" customHeight="1">
      <c r="A5753" s="8"/>
      <c r="C5753" s="8"/>
      <c r="F5753" s="8"/>
      <c r="H5753" s="14"/>
      <c r="I5753" s="567"/>
      <c r="J5753" s="18"/>
    </row>
    <row r="5754" spans="1:10" ht="15.75" hidden="1" customHeight="1">
      <c r="A5754" s="8"/>
      <c r="C5754" s="8"/>
      <c r="F5754" s="8"/>
      <c r="H5754" s="14"/>
      <c r="I5754" s="567"/>
      <c r="J5754" s="18"/>
    </row>
    <row r="5755" spans="1:10" ht="15.75" hidden="1" customHeight="1">
      <c r="A5755" s="8"/>
      <c r="C5755" s="8"/>
      <c r="F5755" s="8"/>
      <c r="H5755" s="14"/>
      <c r="I5755" s="567"/>
      <c r="J5755" s="18"/>
    </row>
    <row r="5756" spans="1:10" ht="15.75" hidden="1" customHeight="1">
      <c r="A5756" s="8"/>
      <c r="C5756" s="8"/>
      <c r="F5756" s="8"/>
      <c r="H5756" s="14"/>
      <c r="I5756" s="567"/>
      <c r="J5756" s="18"/>
    </row>
    <row r="5757" spans="1:10" ht="15.75" hidden="1" customHeight="1">
      <c r="A5757" s="8"/>
      <c r="C5757" s="8"/>
      <c r="F5757" s="8"/>
      <c r="H5757" s="14"/>
      <c r="I5757" s="567"/>
      <c r="J5757" s="18"/>
    </row>
    <row r="5758" spans="1:10" ht="15.75" hidden="1" customHeight="1">
      <c r="A5758" s="8"/>
      <c r="C5758" s="8"/>
      <c r="F5758" s="8"/>
      <c r="H5758" s="14"/>
      <c r="I5758" s="567"/>
      <c r="J5758" s="18"/>
    </row>
    <row r="5759" spans="1:10" ht="15.75" hidden="1" customHeight="1">
      <c r="A5759" s="8"/>
      <c r="C5759" s="8"/>
      <c r="F5759" s="8"/>
      <c r="H5759" s="14"/>
      <c r="I5759" s="567"/>
      <c r="J5759" s="18"/>
    </row>
    <row r="5760" spans="1:10" ht="15.75" hidden="1" customHeight="1">
      <c r="A5760" s="8"/>
      <c r="C5760" s="8"/>
      <c r="F5760" s="8"/>
      <c r="H5760" s="14"/>
      <c r="I5760" s="567"/>
      <c r="J5760" s="18"/>
    </row>
    <row r="5761" spans="1:10" ht="15.75" hidden="1" customHeight="1">
      <c r="A5761" s="8"/>
      <c r="C5761" s="8"/>
      <c r="F5761" s="8"/>
      <c r="H5761" s="14"/>
      <c r="I5761" s="567"/>
      <c r="J5761" s="18"/>
    </row>
    <row r="5762" spans="1:10" ht="15.75" hidden="1" customHeight="1">
      <c r="A5762" s="8"/>
      <c r="C5762" s="8"/>
      <c r="F5762" s="8"/>
      <c r="H5762" s="14"/>
      <c r="I5762" s="567"/>
      <c r="J5762" s="18"/>
    </row>
    <row r="5763" spans="1:10" ht="15.75" hidden="1" customHeight="1">
      <c r="A5763" s="8"/>
      <c r="C5763" s="8"/>
      <c r="F5763" s="8"/>
      <c r="H5763" s="14"/>
      <c r="I5763" s="567"/>
      <c r="J5763" s="18"/>
    </row>
    <row r="5764" spans="1:10" ht="15.75" hidden="1" customHeight="1">
      <c r="A5764" s="8"/>
      <c r="C5764" s="8"/>
      <c r="F5764" s="8"/>
      <c r="H5764" s="14"/>
      <c r="I5764" s="567"/>
      <c r="J5764" s="18"/>
    </row>
    <row r="5765" spans="1:10" ht="15.75" hidden="1" customHeight="1">
      <c r="A5765" s="8"/>
      <c r="C5765" s="8"/>
      <c r="F5765" s="8"/>
      <c r="H5765" s="14"/>
      <c r="I5765" s="567"/>
      <c r="J5765" s="18"/>
    </row>
    <row r="5766" spans="1:10" ht="15.75" hidden="1" customHeight="1">
      <c r="A5766" s="8"/>
      <c r="C5766" s="8"/>
      <c r="F5766" s="8"/>
      <c r="H5766" s="14"/>
      <c r="I5766" s="567"/>
      <c r="J5766" s="18"/>
    </row>
    <row r="5767" spans="1:10" ht="15.75" hidden="1" customHeight="1">
      <c r="A5767" s="8"/>
      <c r="C5767" s="8"/>
      <c r="F5767" s="8"/>
      <c r="H5767" s="14"/>
      <c r="I5767" s="567"/>
      <c r="J5767" s="18"/>
    </row>
    <row r="5768" spans="1:10" ht="15.75" hidden="1" customHeight="1">
      <c r="A5768" s="8"/>
      <c r="C5768" s="8"/>
      <c r="F5768" s="8"/>
      <c r="H5768" s="14"/>
      <c r="I5768" s="567"/>
      <c r="J5768" s="18"/>
    </row>
    <row r="5769" spans="1:10" ht="15.75" hidden="1" customHeight="1">
      <c r="A5769" s="8"/>
      <c r="C5769" s="8"/>
      <c r="F5769" s="8"/>
      <c r="H5769" s="14"/>
      <c r="I5769" s="567"/>
      <c r="J5769" s="18"/>
    </row>
    <row r="5770" spans="1:10" ht="15.75" hidden="1" customHeight="1">
      <c r="A5770" s="8"/>
      <c r="C5770" s="8"/>
      <c r="F5770" s="8"/>
      <c r="H5770" s="14"/>
      <c r="I5770" s="567"/>
      <c r="J5770" s="18"/>
    </row>
    <row r="5771" spans="1:10" ht="15.75" hidden="1" customHeight="1">
      <c r="A5771" s="8"/>
      <c r="C5771" s="8"/>
      <c r="F5771" s="8"/>
      <c r="H5771" s="14"/>
      <c r="I5771" s="567"/>
      <c r="J5771" s="18"/>
    </row>
    <row r="5772" spans="1:10" ht="15.75" hidden="1" customHeight="1">
      <c r="A5772" s="8"/>
      <c r="C5772" s="8"/>
      <c r="F5772" s="8"/>
      <c r="H5772" s="14"/>
      <c r="I5772" s="567"/>
      <c r="J5772" s="18"/>
    </row>
    <row r="5773" spans="1:10" ht="15.75" hidden="1" customHeight="1">
      <c r="A5773" s="8"/>
      <c r="C5773" s="8"/>
      <c r="F5773" s="8"/>
      <c r="H5773" s="14"/>
      <c r="I5773" s="567"/>
      <c r="J5773" s="18"/>
    </row>
    <row r="5774" spans="1:10" ht="15.75" hidden="1" customHeight="1">
      <c r="A5774" s="8"/>
      <c r="C5774" s="8"/>
      <c r="F5774" s="8"/>
      <c r="H5774" s="14"/>
      <c r="I5774" s="567"/>
      <c r="J5774" s="18"/>
    </row>
    <row r="5775" spans="1:10" ht="15.75" hidden="1" customHeight="1">
      <c r="A5775" s="8"/>
      <c r="C5775" s="8"/>
      <c r="F5775" s="8"/>
      <c r="H5775" s="14"/>
      <c r="I5775" s="567"/>
      <c r="J5775" s="18"/>
    </row>
    <row r="5776" spans="1:10" ht="15.75" hidden="1" customHeight="1">
      <c r="A5776" s="8"/>
      <c r="C5776" s="8"/>
      <c r="F5776" s="8"/>
      <c r="H5776" s="14"/>
      <c r="I5776" s="567"/>
      <c r="J5776" s="18"/>
    </row>
    <row r="5777" spans="1:10" ht="15.75" hidden="1" customHeight="1">
      <c r="A5777" s="8"/>
      <c r="C5777" s="8"/>
      <c r="F5777" s="8"/>
      <c r="H5777" s="14"/>
      <c r="I5777" s="567"/>
      <c r="J5777" s="18"/>
    </row>
    <row r="5778" spans="1:10" ht="15.75" hidden="1" customHeight="1">
      <c r="A5778" s="8"/>
      <c r="C5778" s="8"/>
      <c r="F5778" s="8"/>
      <c r="H5778" s="14"/>
      <c r="I5778" s="567"/>
      <c r="J5778" s="18"/>
    </row>
    <row r="5779" spans="1:10" ht="15.75" hidden="1" customHeight="1">
      <c r="A5779" s="8"/>
      <c r="C5779" s="8"/>
      <c r="F5779" s="8"/>
      <c r="H5779" s="14"/>
      <c r="I5779" s="567"/>
      <c r="J5779" s="18"/>
    </row>
    <row r="5780" spans="1:10" ht="15.75" hidden="1" customHeight="1">
      <c r="A5780" s="8"/>
      <c r="C5780" s="8"/>
      <c r="F5780" s="8"/>
      <c r="H5780" s="14"/>
      <c r="I5780" s="567"/>
      <c r="J5780" s="18"/>
    </row>
    <row r="5781" spans="1:10" ht="15.75" hidden="1" customHeight="1">
      <c r="A5781" s="8"/>
      <c r="C5781" s="8"/>
      <c r="F5781" s="8"/>
      <c r="H5781" s="14"/>
      <c r="I5781" s="567"/>
      <c r="J5781" s="18"/>
    </row>
    <row r="5782" spans="1:10" ht="15.75" hidden="1" customHeight="1">
      <c r="A5782" s="8"/>
      <c r="C5782" s="8"/>
      <c r="F5782" s="8"/>
      <c r="H5782" s="14"/>
      <c r="I5782" s="567"/>
      <c r="J5782" s="18"/>
    </row>
    <row r="5783" spans="1:10" ht="15.75" hidden="1" customHeight="1">
      <c r="A5783" s="8"/>
      <c r="C5783" s="8"/>
      <c r="F5783" s="8"/>
      <c r="H5783" s="14"/>
      <c r="I5783" s="567"/>
      <c r="J5783" s="18"/>
    </row>
    <row r="5784" spans="1:10" ht="15.75" hidden="1" customHeight="1">
      <c r="A5784" s="8"/>
      <c r="C5784" s="8"/>
      <c r="F5784" s="8"/>
      <c r="H5784" s="14"/>
      <c r="I5784" s="567"/>
      <c r="J5784" s="18"/>
    </row>
    <row r="5785" spans="1:10" ht="15.75" hidden="1" customHeight="1">
      <c r="A5785" s="8"/>
      <c r="C5785" s="8"/>
      <c r="F5785" s="8"/>
      <c r="H5785" s="14"/>
      <c r="I5785" s="567"/>
      <c r="J5785" s="18"/>
    </row>
    <row r="5786" spans="1:10" ht="15.75" hidden="1" customHeight="1">
      <c r="A5786" s="8"/>
      <c r="C5786" s="8"/>
      <c r="F5786" s="8"/>
      <c r="H5786" s="14"/>
      <c r="I5786" s="567"/>
      <c r="J5786" s="18"/>
    </row>
    <row r="5787" spans="1:10" ht="15.75" hidden="1" customHeight="1">
      <c r="A5787" s="8"/>
      <c r="C5787" s="8"/>
      <c r="F5787" s="8"/>
      <c r="H5787" s="14"/>
      <c r="I5787" s="567"/>
      <c r="J5787" s="18"/>
    </row>
    <row r="5788" spans="1:10" ht="15.75" hidden="1" customHeight="1">
      <c r="A5788" s="8"/>
      <c r="C5788" s="8"/>
      <c r="F5788" s="8"/>
      <c r="H5788" s="14"/>
      <c r="I5788" s="567"/>
      <c r="J5788" s="18"/>
    </row>
    <row r="5789" spans="1:10" ht="15.75" hidden="1" customHeight="1">
      <c r="A5789" s="8"/>
      <c r="C5789" s="8"/>
      <c r="F5789" s="8"/>
      <c r="H5789" s="14"/>
      <c r="I5789" s="567"/>
      <c r="J5789" s="18"/>
    </row>
    <row r="5790" spans="1:10" ht="15.75" hidden="1" customHeight="1">
      <c r="A5790" s="8"/>
      <c r="C5790" s="8"/>
      <c r="F5790" s="8"/>
      <c r="H5790" s="14"/>
      <c r="I5790" s="567"/>
      <c r="J5790" s="18"/>
    </row>
    <row r="5791" spans="1:10" ht="15.75" hidden="1" customHeight="1">
      <c r="A5791" s="8"/>
      <c r="C5791" s="8"/>
      <c r="F5791" s="8"/>
      <c r="H5791" s="14"/>
      <c r="I5791" s="567"/>
      <c r="J5791" s="18"/>
    </row>
    <row r="5792" spans="1:10" ht="15.75" hidden="1" customHeight="1">
      <c r="A5792" s="8"/>
      <c r="C5792" s="8"/>
      <c r="F5792" s="8"/>
      <c r="H5792" s="14"/>
      <c r="I5792" s="567"/>
      <c r="J5792" s="18"/>
    </row>
    <row r="5793" spans="1:10" ht="15.75" hidden="1" customHeight="1">
      <c r="A5793" s="8"/>
      <c r="C5793" s="8"/>
      <c r="F5793" s="8"/>
      <c r="H5793" s="14"/>
      <c r="I5793" s="567"/>
      <c r="J5793" s="18"/>
    </row>
    <row r="5794" spans="1:10" ht="15.75" hidden="1" customHeight="1">
      <c r="A5794" s="8"/>
      <c r="C5794" s="8"/>
      <c r="F5794" s="8"/>
      <c r="H5794" s="14"/>
      <c r="I5794" s="567"/>
      <c r="J5794" s="18"/>
    </row>
    <row r="5795" spans="1:10" ht="15.75" hidden="1" customHeight="1">
      <c r="A5795" s="8"/>
      <c r="C5795" s="8"/>
      <c r="F5795" s="8"/>
      <c r="H5795" s="14"/>
      <c r="I5795" s="567"/>
      <c r="J5795" s="18"/>
    </row>
    <row r="5796" spans="1:10" ht="15.75" hidden="1" customHeight="1">
      <c r="A5796" s="8"/>
      <c r="C5796" s="8"/>
      <c r="F5796" s="8"/>
      <c r="H5796" s="14"/>
      <c r="I5796" s="567"/>
      <c r="J5796" s="18"/>
    </row>
    <row r="5797" spans="1:10" ht="15.75" hidden="1" customHeight="1">
      <c r="A5797" s="8"/>
      <c r="C5797" s="8"/>
      <c r="F5797" s="8"/>
      <c r="H5797" s="14"/>
      <c r="I5797" s="567"/>
      <c r="J5797" s="18"/>
    </row>
    <row r="5798" spans="1:10" ht="15.75" hidden="1" customHeight="1">
      <c r="A5798" s="8"/>
      <c r="C5798" s="8"/>
      <c r="F5798" s="8"/>
      <c r="H5798" s="14"/>
      <c r="I5798" s="567"/>
      <c r="J5798" s="18"/>
    </row>
    <row r="5799" spans="1:10" ht="15.75" hidden="1" customHeight="1">
      <c r="A5799" s="8"/>
      <c r="C5799" s="8"/>
      <c r="F5799" s="8"/>
      <c r="H5799" s="14"/>
      <c r="I5799" s="567"/>
      <c r="J5799" s="18"/>
    </row>
    <row r="5800" spans="1:10" ht="15.75" hidden="1" customHeight="1">
      <c r="A5800" s="8"/>
      <c r="C5800" s="8"/>
      <c r="F5800" s="8"/>
      <c r="H5800" s="14"/>
      <c r="I5800" s="567"/>
      <c r="J5800" s="18"/>
    </row>
    <row r="5801" spans="1:10" ht="15.75" hidden="1" customHeight="1">
      <c r="A5801" s="8"/>
      <c r="C5801" s="8"/>
      <c r="F5801" s="8"/>
      <c r="H5801" s="14"/>
      <c r="I5801" s="567"/>
      <c r="J5801" s="18"/>
    </row>
    <row r="5802" spans="1:10" ht="15.75" hidden="1" customHeight="1">
      <c r="A5802" s="8"/>
      <c r="C5802" s="8"/>
      <c r="F5802" s="8"/>
      <c r="H5802" s="14"/>
      <c r="I5802" s="567"/>
      <c r="J5802" s="18"/>
    </row>
    <row r="5803" spans="1:10" ht="15.75" hidden="1" customHeight="1">
      <c r="A5803" s="8"/>
      <c r="C5803" s="8"/>
      <c r="F5803" s="8"/>
      <c r="H5803" s="14"/>
      <c r="I5803" s="567"/>
      <c r="J5803" s="18"/>
    </row>
    <row r="5804" spans="1:10" ht="15.75" hidden="1" customHeight="1">
      <c r="A5804" s="8"/>
      <c r="C5804" s="8"/>
      <c r="F5804" s="8"/>
      <c r="H5804" s="14"/>
      <c r="I5804" s="567"/>
      <c r="J5804" s="18"/>
    </row>
    <row r="5805" spans="1:10" ht="15.75" hidden="1" customHeight="1">
      <c r="A5805" s="8"/>
      <c r="C5805" s="8"/>
      <c r="F5805" s="8"/>
      <c r="H5805" s="14"/>
      <c r="I5805" s="567"/>
      <c r="J5805" s="18"/>
    </row>
    <row r="5806" spans="1:10" ht="15.75" hidden="1" customHeight="1">
      <c r="A5806" s="8"/>
      <c r="C5806" s="8"/>
      <c r="F5806" s="8"/>
      <c r="H5806" s="14"/>
      <c r="I5806" s="567"/>
      <c r="J5806" s="18"/>
    </row>
    <row r="5807" spans="1:10" ht="15.75" hidden="1" customHeight="1">
      <c r="A5807" s="8"/>
      <c r="C5807" s="8"/>
      <c r="F5807" s="8"/>
      <c r="H5807" s="14"/>
      <c r="I5807" s="567"/>
      <c r="J5807" s="18"/>
    </row>
    <row r="5808" spans="1:10" ht="15.75" hidden="1" customHeight="1">
      <c r="A5808" s="8"/>
      <c r="C5808" s="8"/>
      <c r="F5808" s="8"/>
      <c r="H5808" s="14"/>
      <c r="I5808" s="567"/>
      <c r="J5808" s="18"/>
    </row>
    <row r="5809" spans="1:10" ht="15.75" hidden="1" customHeight="1">
      <c r="A5809" s="8"/>
      <c r="C5809" s="8"/>
      <c r="F5809" s="8"/>
      <c r="H5809" s="14"/>
      <c r="I5809" s="567"/>
      <c r="J5809" s="18"/>
    </row>
    <row r="5810" spans="1:10" ht="15.75" hidden="1" customHeight="1">
      <c r="A5810" s="8"/>
      <c r="C5810" s="8"/>
      <c r="F5810" s="8"/>
      <c r="H5810" s="14"/>
      <c r="I5810" s="567"/>
      <c r="J5810" s="18"/>
    </row>
    <row r="5811" spans="1:10" ht="15.75" hidden="1" customHeight="1">
      <c r="A5811" s="8"/>
      <c r="C5811" s="8"/>
      <c r="F5811" s="8"/>
      <c r="H5811" s="14"/>
      <c r="I5811" s="567"/>
      <c r="J5811" s="18"/>
    </row>
    <row r="5812" spans="1:10" ht="15.75" hidden="1" customHeight="1">
      <c r="A5812" s="8"/>
      <c r="C5812" s="8"/>
      <c r="F5812" s="8"/>
      <c r="H5812" s="14"/>
      <c r="I5812" s="567"/>
      <c r="J5812" s="18"/>
    </row>
    <row r="5813" spans="1:10" ht="15.75" hidden="1" customHeight="1">
      <c r="A5813" s="8"/>
      <c r="C5813" s="8"/>
      <c r="F5813" s="8"/>
      <c r="H5813" s="14"/>
      <c r="I5813" s="567"/>
      <c r="J5813" s="18"/>
    </row>
    <row r="5814" spans="1:10" ht="15.75" hidden="1" customHeight="1">
      <c r="A5814" s="8"/>
      <c r="C5814" s="8"/>
      <c r="F5814" s="8"/>
      <c r="H5814" s="14"/>
      <c r="I5814" s="567"/>
      <c r="J5814" s="18"/>
    </row>
    <row r="5815" spans="1:10" ht="15.75" hidden="1" customHeight="1">
      <c r="A5815" s="8"/>
      <c r="C5815" s="8"/>
      <c r="F5815" s="8"/>
      <c r="H5815" s="14"/>
      <c r="I5815" s="567"/>
      <c r="J5815" s="18"/>
    </row>
    <row r="5816" spans="1:10" ht="15.75" hidden="1" customHeight="1">
      <c r="A5816" s="8"/>
      <c r="C5816" s="8"/>
      <c r="F5816" s="8"/>
      <c r="H5816" s="14"/>
      <c r="I5816" s="567"/>
      <c r="J5816" s="18"/>
    </row>
    <row r="5817" spans="1:10" ht="15.75" hidden="1" customHeight="1">
      <c r="A5817" s="8"/>
      <c r="C5817" s="8"/>
      <c r="F5817" s="8"/>
      <c r="H5817" s="14"/>
      <c r="I5817" s="567"/>
      <c r="J5817" s="18"/>
    </row>
    <row r="5818" spans="1:10" ht="15.75" hidden="1" customHeight="1">
      <c r="A5818" s="8"/>
      <c r="C5818" s="8"/>
      <c r="F5818" s="8"/>
      <c r="H5818" s="14"/>
      <c r="I5818" s="567"/>
      <c r="J5818" s="18"/>
    </row>
    <row r="5819" spans="1:10" ht="15.75" hidden="1" customHeight="1">
      <c r="A5819" s="8"/>
      <c r="C5819" s="8"/>
      <c r="F5819" s="8"/>
      <c r="H5819" s="14"/>
      <c r="I5819" s="567"/>
      <c r="J5819" s="18"/>
    </row>
    <row r="5820" spans="1:10" ht="15.75" hidden="1" customHeight="1">
      <c r="A5820" s="8"/>
      <c r="C5820" s="8"/>
      <c r="F5820" s="8"/>
      <c r="H5820" s="14"/>
      <c r="I5820" s="567"/>
      <c r="J5820" s="18"/>
    </row>
    <row r="5821" spans="1:10" ht="15.75" hidden="1" customHeight="1">
      <c r="A5821" s="8"/>
      <c r="C5821" s="8"/>
      <c r="F5821" s="8"/>
      <c r="H5821" s="14"/>
      <c r="I5821" s="567"/>
      <c r="J5821" s="18"/>
    </row>
    <row r="5822" spans="1:10" ht="15.75" hidden="1" customHeight="1">
      <c r="A5822" s="8"/>
      <c r="C5822" s="8"/>
      <c r="F5822" s="8"/>
      <c r="H5822" s="14"/>
      <c r="I5822" s="567"/>
      <c r="J5822" s="18"/>
    </row>
    <row r="5823" spans="1:10" ht="15.75" hidden="1" customHeight="1">
      <c r="A5823" s="8"/>
      <c r="C5823" s="8"/>
      <c r="F5823" s="8"/>
      <c r="H5823" s="14"/>
      <c r="I5823" s="567"/>
      <c r="J5823" s="18"/>
    </row>
    <row r="5824" spans="1:10" ht="15.75" hidden="1" customHeight="1">
      <c r="A5824" s="8"/>
      <c r="C5824" s="8"/>
      <c r="F5824" s="8"/>
      <c r="H5824" s="14"/>
      <c r="I5824" s="567"/>
      <c r="J5824" s="18"/>
    </row>
    <row r="5825" spans="1:10" ht="15.75" hidden="1" customHeight="1">
      <c r="A5825" s="8"/>
      <c r="C5825" s="8"/>
      <c r="F5825" s="8"/>
      <c r="H5825" s="14"/>
      <c r="I5825" s="567"/>
      <c r="J5825" s="18"/>
    </row>
    <row r="5826" spans="1:10" ht="15.75" hidden="1" customHeight="1">
      <c r="A5826" s="8"/>
      <c r="C5826" s="8"/>
      <c r="F5826" s="8"/>
      <c r="H5826" s="14"/>
      <c r="I5826" s="567"/>
      <c r="J5826" s="18"/>
    </row>
    <row r="5827" spans="1:10" ht="15.75" hidden="1" customHeight="1">
      <c r="A5827" s="8"/>
      <c r="C5827" s="8"/>
      <c r="F5827" s="8"/>
      <c r="H5827" s="14"/>
      <c r="I5827" s="567"/>
      <c r="J5827" s="18"/>
    </row>
    <row r="5828" spans="1:10" ht="15.75" hidden="1" customHeight="1">
      <c r="A5828" s="8"/>
      <c r="C5828" s="8"/>
      <c r="F5828" s="8"/>
      <c r="H5828" s="14"/>
      <c r="I5828" s="567"/>
      <c r="J5828" s="18"/>
    </row>
    <row r="5829" spans="1:10" ht="15.75" hidden="1" customHeight="1">
      <c r="A5829" s="8"/>
      <c r="C5829" s="8"/>
      <c r="F5829" s="8"/>
      <c r="H5829" s="14"/>
      <c r="I5829" s="567"/>
      <c r="J5829" s="18"/>
    </row>
    <row r="5830" spans="1:10" ht="15.75" hidden="1" customHeight="1">
      <c r="A5830" s="8"/>
      <c r="C5830" s="8"/>
      <c r="F5830" s="8"/>
      <c r="H5830" s="14"/>
      <c r="I5830" s="567"/>
      <c r="J5830" s="18"/>
    </row>
    <row r="5831" spans="1:10" ht="15.75" hidden="1" customHeight="1">
      <c r="A5831" s="8"/>
      <c r="C5831" s="8"/>
      <c r="F5831" s="8"/>
      <c r="H5831" s="14"/>
      <c r="I5831" s="567"/>
      <c r="J5831" s="18"/>
    </row>
    <row r="5832" spans="1:10" ht="15.75" hidden="1" customHeight="1">
      <c r="A5832" s="8"/>
      <c r="C5832" s="8"/>
      <c r="F5832" s="8"/>
      <c r="H5832" s="14"/>
      <c r="I5832" s="567"/>
      <c r="J5832" s="18"/>
    </row>
    <row r="5833" spans="1:10" ht="15.75" hidden="1" customHeight="1">
      <c r="A5833" s="8"/>
      <c r="C5833" s="8"/>
      <c r="F5833" s="8"/>
      <c r="H5833" s="14"/>
      <c r="I5833" s="567"/>
      <c r="J5833" s="18"/>
    </row>
    <row r="5834" spans="1:10" ht="15.75" hidden="1" customHeight="1">
      <c r="A5834" s="8"/>
      <c r="C5834" s="8"/>
      <c r="F5834" s="8"/>
      <c r="H5834" s="14"/>
      <c r="I5834" s="567"/>
      <c r="J5834" s="18"/>
    </row>
    <row r="5835" spans="1:10" ht="15.75" hidden="1" customHeight="1">
      <c r="A5835" s="8"/>
      <c r="C5835" s="8"/>
      <c r="F5835" s="8"/>
      <c r="H5835" s="14"/>
      <c r="I5835" s="567"/>
      <c r="J5835" s="18"/>
    </row>
    <row r="5836" spans="1:10" ht="15.75" hidden="1" customHeight="1">
      <c r="A5836" s="8"/>
      <c r="C5836" s="8"/>
      <c r="F5836" s="8"/>
      <c r="H5836" s="14"/>
      <c r="I5836" s="567"/>
      <c r="J5836" s="18"/>
    </row>
    <row r="5837" spans="1:10" ht="15.75" hidden="1" customHeight="1">
      <c r="A5837" s="8"/>
      <c r="C5837" s="8"/>
      <c r="F5837" s="8"/>
      <c r="H5837" s="14"/>
      <c r="I5837" s="567"/>
      <c r="J5837" s="18"/>
    </row>
    <row r="5838" spans="1:10" ht="15.75" hidden="1" customHeight="1">
      <c r="A5838" s="8"/>
      <c r="C5838" s="8"/>
      <c r="F5838" s="8"/>
      <c r="H5838" s="14"/>
      <c r="I5838" s="567"/>
      <c r="J5838" s="18"/>
    </row>
    <row r="5839" spans="1:10" ht="15.75" hidden="1" customHeight="1">
      <c r="A5839" s="8"/>
      <c r="C5839" s="8"/>
      <c r="F5839" s="8"/>
      <c r="H5839" s="14"/>
      <c r="I5839" s="567"/>
      <c r="J5839" s="18"/>
    </row>
    <row r="5840" spans="1:10" ht="15.75" hidden="1" customHeight="1">
      <c r="A5840" s="8"/>
      <c r="C5840" s="8"/>
      <c r="F5840" s="8"/>
      <c r="H5840" s="14"/>
      <c r="I5840" s="567"/>
      <c r="J5840" s="18"/>
    </row>
    <row r="5841" spans="1:10" ht="15.75" hidden="1" customHeight="1">
      <c r="A5841" s="8"/>
      <c r="C5841" s="8"/>
      <c r="F5841" s="8"/>
      <c r="H5841" s="14"/>
      <c r="I5841" s="567"/>
      <c r="J5841" s="18"/>
    </row>
    <row r="5842" spans="1:10" ht="15.75" hidden="1" customHeight="1">
      <c r="A5842" s="8"/>
      <c r="C5842" s="8"/>
      <c r="F5842" s="8"/>
      <c r="H5842" s="14"/>
      <c r="I5842" s="567"/>
      <c r="J5842" s="18"/>
    </row>
    <row r="5843" spans="1:10" ht="15.75" hidden="1" customHeight="1">
      <c r="A5843" s="8"/>
      <c r="C5843" s="8"/>
      <c r="F5843" s="8"/>
      <c r="H5843" s="14"/>
      <c r="I5843" s="567"/>
      <c r="J5843" s="18"/>
    </row>
    <row r="5844" spans="1:10" ht="15.75" hidden="1" customHeight="1">
      <c r="A5844" s="8"/>
      <c r="C5844" s="8"/>
      <c r="F5844" s="8"/>
      <c r="H5844" s="14"/>
      <c r="I5844" s="567"/>
      <c r="J5844" s="18"/>
    </row>
    <row r="5845" spans="1:10" ht="15.75" hidden="1" customHeight="1">
      <c r="A5845" s="8"/>
      <c r="C5845" s="8"/>
      <c r="F5845" s="8"/>
      <c r="H5845" s="14"/>
      <c r="I5845" s="567"/>
      <c r="J5845" s="18"/>
    </row>
    <row r="5846" spans="1:10" ht="15.75" hidden="1" customHeight="1">
      <c r="A5846" s="8"/>
      <c r="C5846" s="8"/>
      <c r="F5846" s="8"/>
      <c r="H5846" s="14"/>
      <c r="I5846" s="567"/>
      <c r="J5846" s="18"/>
    </row>
    <row r="5847" spans="1:10" ht="15.75" hidden="1" customHeight="1">
      <c r="A5847" s="8"/>
      <c r="C5847" s="8"/>
      <c r="F5847" s="8"/>
      <c r="H5847" s="14"/>
      <c r="I5847" s="567"/>
      <c r="J5847" s="18"/>
    </row>
    <row r="5848" spans="1:10" ht="15.75" hidden="1" customHeight="1">
      <c r="A5848" s="8"/>
      <c r="C5848" s="8"/>
      <c r="F5848" s="8"/>
      <c r="H5848" s="14"/>
      <c r="I5848" s="567"/>
      <c r="J5848" s="18"/>
    </row>
    <row r="5849" spans="1:10" ht="15.75" hidden="1" customHeight="1">
      <c r="A5849" s="8"/>
      <c r="C5849" s="8"/>
      <c r="F5849" s="8"/>
      <c r="H5849" s="14"/>
      <c r="I5849" s="567"/>
      <c r="J5849" s="18"/>
    </row>
    <row r="5850" spans="1:10" ht="15.75" hidden="1" customHeight="1">
      <c r="A5850" s="8"/>
      <c r="C5850" s="8"/>
      <c r="F5850" s="8"/>
      <c r="H5850" s="14"/>
      <c r="I5850" s="567"/>
      <c r="J5850" s="18"/>
    </row>
    <row r="5851" spans="1:10" ht="15.75" hidden="1" customHeight="1">
      <c r="A5851" s="8"/>
      <c r="C5851" s="8"/>
      <c r="F5851" s="8"/>
      <c r="H5851" s="14"/>
      <c r="I5851" s="567"/>
      <c r="J5851" s="18"/>
    </row>
    <row r="5852" spans="1:10" ht="15.75" hidden="1" customHeight="1">
      <c r="A5852" s="8"/>
      <c r="C5852" s="8"/>
      <c r="F5852" s="8"/>
      <c r="H5852" s="14"/>
      <c r="I5852" s="567"/>
      <c r="J5852" s="18"/>
    </row>
    <row r="5853" spans="1:10" ht="15.75" hidden="1" customHeight="1">
      <c r="A5853" s="8"/>
      <c r="C5853" s="8"/>
      <c r="F5853" s="8"/>
      <c r="H5853" s="14"/>
      <c r="I5853" s="567"/>
      <c r="J5853" s="18"/>
    </row>
    <row r="5854" spans="1:10" ht="15.75" hidden="1" customHeight="1">
      <c r="A5854" s="8"/>
      <c r="C5854" s="8"/>
      <c r="F5854" s="8"/>
      <c r="H5854" s="14"/>
      <c r="I5854" s="567"/>
      <c r="J5854" s="18"/>
    </row>
    <row r="5855" spans="1:10" ht="15.75" hidden="1" customHeight="1">
      <c r="A5855" s="8"/>
      <c r="C5855" s="8"/>
      <c r="F5855" s="8"/>
      <c r="H5855" s="14"/>
      <c r="I5855" s="567"/>
      <c r="J5855" s="18"/>
    </row>
    <row r="5856" spans="1:10" ht="15.75" hidden="1" customHeight="1">
      <c r="A5856" s="8"/>
      <c r="C5856" s="8"/>
      <c r="F5856" s="8"/>
      <c r="H5856" s="14"/>
      <c r="I5856" s="567"/>
      <c r="J5856" s="18"/>
    </row>
    <row r="5857" spans="1:10" ht="15.75" hidden="1" customHeight="1">
      <c r="A5857" s="8"/>
      <c r="C5857" s="8"/>
      <c r="F5857" s="8"/>
      <c r="H5857" s="14"/>
      <c r="I5857" s="567"/>
      <c r="J5857" s="18"/>
    </row>
    <row r="5858" spans="1:10" ht="15.75" hidden="1" customHeight="1">
      <c r="A5858" s="8"/>
      <c r="C5858" s="8"/>
      <c r="F5858" s="8"/>
      <c r="H5858" s="14"/>
      <c r="I5858" s="567"/>
      <c r="J5858" s="18"/>
    </row>
    <row r="5859" spans="1:10" ht="15.75" hidden="1" customHeight="1">
      <c r="A5859" s="8"/>
      <c r="C5859" s="8"/>
      <c r="F5859" s="8"/>
      <c r="H5859" s="14"/>
      <c r="I5859" s="567"/>
      <c r="J5859" s="18"/>
    </row>
    <row r="5860" spans="1:10" ht="15.75" hidden="1" customHeight="1">
      <c r="A5860" s="8"/>
      <c r="C5860" s="8"/>
      <c r="F5860" s="8"/>
      <c r="H5860" s="14"/>
      <c r="I5860" s="567"/>
      <c r="J5860" s="18"/>
    </row>
    <row r="5861" spans="1:10" ht="15.75" hidden="1" customHeight="1">
      <c r="A5861" s="8"/>
      <c r="C5861" s="8"/>
      <c r="F5861" s="8"/>
      <c r="H5861" s="14"/>
      <c r="I5861" s="567"/>
      <c r="J5861" s="18"/>
    </row>
    <row r="5862" spans="1:10" ht="15.75" hidden="1" customHeight="1">
      <c r="A5862" s="8"/>
      <c r="C5862" s="8"/>
      <c r="F5862" s="8"/>
      <c r="H5862" s="14"/>
      <c r="I5862" s="567"/>
      <c r="J5862" s="18"/>
    </row>
    <row r="5863" spans="1:10" ht="15.75" hidden="1" customHeight="1">
      <c r="A5863" s="8"/>
      <c r="C5863" s="8"/>
      <c r="F5863" s="8"/>
      <c r="H5863" s="14"/>
      <c r="I5863" s="567"/>
      <c r="J5863" s="18"/>
    </row>
    <row r="5864" spans="1:10" ht="15.75" hidden="1" customHeight="1">
      <c r="A5864" s="8"/>
      <c r="C5864" s="8"/>
      <c r="F5864" s="8"/>
      <c r="H5864" s="14"/>
      <c r="I5864" s="567"/>
      <c r="J5864" s="18"/>
    </row>
    <row r="5865" spans="1:10" ht="15.75" hidden="1" customHeight="1">
      <c r="A5865" s="8"/>
      <c r="C5865" s="8"/>
      <c r="F5865" s="8"/>
      <c r="H5865" s="14"/>
      <c r="I5865" s="567"/>
      <c r="J5865" s="18"/>
    </row>
    <row r="5866" spans="1:10" ht="15.75" hidden="1" customHeight="1">
      <c r="A5866" s="8"/>
      <c r="C5866" s="8"/>
      <c r="F5866" s="8"/>
      <c r="H5866" s="14"/>
      <c r="I5866" s="567"/>
      <c r="J5866" s="18"/>
    </row>
    <row r="5867" spans="1:10" ht="15.75" hidden="1" customHeight="1">
      <c r="A5867" s="8"/>
      <c r="C5867" s="8"/>
      <c r="F5867" s="8"/>
      <c r="H5867" s="14"/>
      <c r="I5867" s="567"/>
      <c r="J5867" s="18"/>
    </row>
    <row r="5868" spans="1:10" ht="15.75" hidden="1" customHeight="1">
      <c r="A5868" s="8"/>
      <c r="C5868" s="8"/>
      <c r="F5868" s="8"/>
      <c r="H5868" s="14"/>
      <c r="I5868" s="567"/>
      <c r="J5868" s="18"/>
    </row>
    <row r="5869" spans="1:10" ht="15.75" hidden="1" customHeight="1">
      <c r="A5869" s="8"/>
      <c r="C5869" s="8"/>
      <c r="F5869" s="8"/>
      <c r="H5869" s="14"/>
      <c r="I5869" s="567"/>
      <c r="J5869" s="18"/>
    </row>
    <row r="5870" spans="1:10" ht="15.75" hidden="1" customHeight="1">
      <c r="A5870" s="8"/>
      <c r="C5870" s="8"/>
      <c r="F5870" s="8"/>
      <c r="H5870" s="14"/>
      <c r="I5870" s="567"/>
      <c r="J5870" s="18"/>
    </row>
    <row r="5871" spans="1:10" ht="15.75" hidden="1" customHeight="1">
      <c r="A5871" s="8"/>
      <c r="C5871" s="8"/>
      <c r="F5871" s="8"/>
      <c r="H5871" s="14"/>
      <c r="I5871" s="567"/>
      <c r="J5871" s="18"/>
    </row>
    <row r="5872" spans="1:10" ht="15.75" hidden="1" customHeight="1">
      <c r="A5872" s="8"/>
      <c r="C5872" s="8"/>
      <c r="F5872" s="8"/>
      <c r="H5872" s="14"/>
      <c r="I5872" s="567"/>
      <c r="J5872" s="18"/>
    </row>
    <row r="5873" spans="1:10" ht="15.75" hidden="1" customHeight="1">
      <c r="A5873" s="8"/>
      <c r="C5873" s="8"/>
      <c r="F5873" s="8"/>
      <c r="H5873" s="14"/>
      <c r="I5873" s="567"/>
      <c r="J5873" s="18"/>
    </row>
    <row r="5874" spans="1:10" ht="15.75" hidden="1" customHeight="1">
      <c r="A5874" s="8"/>
      <c r="C5874" s="8"/>
      <c r="F5874" s="8"/>
      <c r="H5874" s="14"/>
      <c r="I5874" s="567"/>
      <c r="J5874" s="18"/>
    </row>
    <row r="5875" spans="1:10" ht="15.75" hidden="1" customHeight="1">
      <c r="A5875" s="8"/>
      <c r="C5875" s="8"/>
      <c r="F5875" s="8"/>
      <c r="H5875" s="14"/>
      <c r="I5875" s="567"/>
      <c r="J5875" s="18"/>
    </row>
    <row r="5876" spans="1:10" ht="15.75" hidden="1" customHeight="1">
      <c r="A5876" s="8"/>
      <c r="C5876" s="8"/>
      <c r="F5876" s="8"/>
      <c r="H5876" s="14"/>
      <c r="I5876" s="567"/>
      <c r="J5876" s="18"/>
    </row>
    <row r="5877" spans="1:10" ht="15.75" hidden="1" customHeight="1">
      <c r="A5877" s="8"/>
      <c r="C5877" s="8"/>
      <c r="F5877" s="8"/>
      <c r="H5877" s="14"/>
      <c r="I5877" s="567"/>
      <c r="J5877" s="18"/>
    </row>
    <row r="5878" spans="1:10" ht="15.75" hidden="1" customHeight="1">
      <c r="A5878" s="8"/>
      <c r="C5878" s="8"/>
      <c r="F5878" s="8"/>
      <c r="H5878" s="14"/>
      <c r="I5878" s="567"/>
      <c r="J5878" s="18"/>
    </row>
    <row r="5879" spans="1:10" ht="15.75" hidden="1" customHeight="1">
      <c r="A5879" s="8"/>
      <c r="C5879" s="8"/>
      <c r="F5879" s="8"/>
      <c r="H5879" s="14"/>
      <c r="I5879" s="567"/>
      <c r="J5879" s="18"/>
    </row>
    <row r="5880" spans="1:10" ht="15.75" hidden="1" customHeight="1">
      <c r="A5880" s="8"/>
      <c r="C5880" s="8"/>
      <c r="F5880" s="8"/>
      <c r="H5880" s="14"/>
      <c r="I5880" s="567"/>
      <c r="J5880" s="18"/>
    </row>
    <row r="5881" spans="1:10" ht="15.75" hidden="1" customHeight="1">
      <c r="A5881" s="8"/>
      <c r="C5881" s="8"/>
      <c r="F5881" s="8"/>
      <c r="H5881" s="14"/>
      <c r="I5881" s="567"/>
      <c r="J5881" s="18"/>
    </row>
    <row r="5882" spans="1:10" ht="15.75" hidden="1" customHeight="1">
      <c r="A5882" s="8"/>
      <c r="C5882" s="8"/>
      <c r="F5882" s="8"/>
      <c r="H5882" s="14"/>
      <c r="I5882" s="567"/>
      <c r="J5882" s="18"/>
    </row>
    <row r="5883" spans="1:10" ht="15.75" hidden="1" customHeight="1">
      <c r="A5883" s="8"/>
      <c r="C5883" s="8"/>
      <c r="F5883" s="8"/>
      <c r="H5883" s="14"/>
      <c r="I5883" s="567"/>
      <c r="J5883" s="18"/>
    </row>
    <row r="5884" spans="1:10" ht="15.75" hidden="1" customHeight="1">
      <c r="A5884" s="8"/>
      <c r="C5884" s="8"/>
      <c r="F5884" s="8"/>
      <c r="H5884" s="14"/>
      <c r="I5884" s="567"/>
      <c r="J5884" s="18"/>
    </row>
    <row r="5885" spans="1:10" ht="15.75" hidden="1" customHeight="1">
      <c r="A5885" s="8"/>
      <c r="C5885" s="8"/>
      <c r="F5885" s="8"/>
      <c r="H5885" s="14"/>
      <c r="I5885" s="567"/>
      <c r="J5885" s="18"/>
    </row>
    <row r="5886" spans="1:10" ht="15.75" hidden="1" customHeight="1">
      <c r="A5886" s="8"/>
      <c r="C5886" s="8"/>
      <c r="F5886" s="8"/>
      <c r="H5886" s="14"/>
      <c r="I5886" s="567"/>
      <c r="J5886" s="18"/>
    </row>
    <row r="5887" spans="1:10" ht="15.75" hidden="1" customHeight="1">
      <c r="A5887" s="8"/>
      <c r="C5887" s="8"/>
      <c r="F5887" s="8"/>
      <c r="H5887" s="14"/>
      <c r="I5887" s="567"/>
      <c r="J5887" s="18"/>
    </row>
    <row r="5888" spans="1:10" ht="15.75" hidden="1" customHeight="1">
      <c r="A5888" s="8"/>
      <c r="C5888" s="8"/>
      <c r="F5888" s="8"/>
      <c r="H5888" s="14"/>
      <c r="I5888" s="567"/>
      <c r="J5888" s="18"/>
    </row>
    <row r="5889" spans="1:10" ht="15.75" hidden="1" customHeight="1">
      <c r="A5889" s="8"/>
      <c r="C5889" s="8"/>
      <c r="F5889" s="8"/>
      <c r="H5889" s="14"/>
      <c r="I5889" s="567"/>
      <c r="J5889" s="18"/>
    </row>
    <row r="5890" spans="1:10" ht="15.75" hidden="1" customHeight="1">
      <c r="A5890" s="8"/>
      <c r="C5890" s="8"/>
      <c r="F5890" s="8"/>
      <c r="H5890" s="14"/>
      <c r="I5890" s="567"/>
      <c r="J5890" s="18"/>
    </row>
    <row r="5891" spans="1:10" ht="15.75" hidden="1" customHeight="1">
      <c r="A5891" s="8"/>
      <c r="C5891" s="8"/>
      <c r="F5891" s="8"/>
      <c r="H5891" s="14"/>
      <c r="I5891" s="567"/>
      <c r="J5891" s="18"/>
    </row>
    <row r="5892" spans="1:10" ht="15.75" hidden="1" customHeight="1">
      <c r="A5892" s="8"/>
      <c r="C5892" s="8"/>
      <c r="F5892" s="8"/>
      <c r="H5892" s="14"/>
      <c r="I5892" s="567"/>
      <c r="J5892" s="18"/>
    </row>
    <row r="5893" spans="1:10" ht="15.75" hidden="1" customHeight="1">
      <c r="A5893" s="8"/>
      <c r="C5893" s="8"/>
      <c r="F5893" s="8"/>
      <c r="H5893" s="14"/>
      <c r="I5893" s="567"/>
      <c r="J5893" s="18"/>
    </row>
    <row r="5894" spans="1:10" ht="15.75" hidden="1" customHeight="1">
      <c r="A5894" s="8"/>
      <c r="C5894" s="8"/>
      <c r="F5894" s="8"/>
      <c r="H5894" s="14"/>
      <c r="I5894" s="567"/>
      <c r="J5894" s="18"/>
    </row>
    <row r="5895" spans="1:10" ht="15.75" hidden="1" customHeight="1">
      <c r="A5895" s="8"/>
      <c r="C5895" s="8"/>
      <c r="F5895" s="8"/>
      <c r="H5895" s="14"/>
      <c r="I5895" s="567"/>
      <c r="J5895" s="18"/>
    </row>
    <row r="5896" spans="1:10" ht="15.75" hidden="1" customHeight="1">
      <c r="A5896" s="8"/>
      <c r="C5896" s="8"/>
      <c r="F5896" s="8"/>
      <c r="H5896" s="14"/>
      <c r="I5896" s="567"/>
      <c r="J5896" s="18"/>
    </row>
    <row r="5897" spans="1:10" ht="15.75" hidden="1" customHeight="1">
      <c r="A5897" s="8"/>
      <c r="C5897" s="8"/>
      <c r="F5897" s="8"/>
      <c r="H5897" s="14"/>
      <c r="I5897" s="567"/>
      <c r="J5897" s="18"/>
    </row>
    <row r="5898" spans="1:10" ht="15.75" hidden="1" customHeight="1">
      <c r="A5898" s="8"/>
      <c r="C5898" s="8"/>
      <c r="F5898" s="8"/>
      <c r="H5898" s="14"/>
      <c r="I5898" s="567"/>
      <c r="J5898" s="18"/>
    </row>
    <row r="5899" spans="1:10" ht="15.75" hidden="1" customHeight="1">
      <c r="A5899" s="8"/>
      <c r="C5899" s="8"/>
      <c r="F5899" s="8"/>
      <c r="H5899" s="14"/>
      <c r="I5899" s="567"/>
      <c r="J5899" s="18"/>
    </row>
    <row r="5900" spans="1:10" ht="15.75" hidden="1" customHeight="1">
      <c r="A5900" s="8"/>
      <c r="C5900" s="8"/>
      <c r="F5900" s="8"/>
      <c r="H5900" s="14"/>
      <c r="I5900" s="567"/>
      <c r="J5900" s="18"/>
    </row>
    <row r="5901" spans="1:10" ht="15.75" hidden="1" customHeight="1">
      <c r="A5901" s="8"/>
      <c r="C5901" s="8"/>
      <c r="F5901" s="8"/>
      <c r="H5901" s="14"/>
      <c r="I5901" s="567"/>
      <c r="J5901" s="18"/>
    </row>
    <row r="5902" spans="1:10" ht="15.75" hidden="1" customHeight="1">
      <c r="A5902" s="8"/>
      <c r="C5902" s="8"/>
      <c r="F5902" s="8"/>
      <c r="H5902" s="14"/>
      <c r="I5902" s="567"/>
      <c r="J5902" s="18"/>
    </row>
    <row r="5903" spans="1:10" ht="15.75" hidden="1" customHeight="1">
      <c r="A5903" s="8"/>
      <c r="C5903" s="8"/>
      <c r="F5903" s="8"/>
      <c r="H5903" s="14"/>
      <c r="I5903" s="567"/>
      <c r="J5903" s="18"/>
    </row>
    <row r="5904" spans="1:10" ht="15.75" hidden="1" customHeight="1">
      <c r="A5904" s="8"/>
      <c r="C5904" s="8"/>
      <c r="F5904" s="8"/>
      <c r="H5904" s="14"/>
      <c r="I5904" s="567"/>
      <c r="J5904" s="18"/>
    </row>
    <row r="5905" spans="1:10" ht="15.75" hidden="1" customHeight="1">
      <c r="A5905" s="8"/>
      <c r="C5905" s="8"/>
      <c r="F5905" s="8"/>
      <c r="H5905" s="14"/>
      <c r="I5905" s="567"/>
      <c r="J5905" s="18"/>
    </row>
    <row r="5906" spans="1:10" ht="15.75" hidden="1" customHeight="1">
      <c r="A5906" s="8"/>
      <c r="C5906" s="8"/>
      <c r="F5906" s="8"/>
      <c r="H5906" s="14"/>
      <c r="I5906" s="567"/>
      <c r="J5906" s="18"/>
    </row>
    <row r="5907" spans="1:10" ht="15.75" hidden="1" customHeight="1">
      <c r="A5907" s="8"/>
      <c r="C5907" s="8"/>
      <c r="F5907" s="8"/>
      <c r="H5907" s="14"/>
      <c r="I5907" s="567"/>
      <c r="J5907" s="18"/>
    </row>
    <row r="5908" spans="1:10" ht="15.75" hidden="1" customHeight="1">
      <c r="A5908" s="8"/>
      <c r="C5908" s="8"/>
      <c r="F5908" s="8"/>
      <c r="H5908" s="14"/>
      <c r="I5908" s="567"/>
      <c r="J5908" s="18"/>
    </row>
    <row r="5909" spans="1:10" ht="15.75" hidden="1" customHeight="1">
      <c r="A5909" s="8"/>
      <c r="C5909" s="8"/>
      <c r="F5909" s="8"/>
      <c r="H5909" s="14"/>
      <c r="I5909" s="567"/>
      <c r="J5909" s="18"/>
    </row>
    <row r="5910" spans="1:10" ht="15.75" hidden="1" customHeight="1">
      <c r="A5910" s="8"/>
      <c r="C5910" s="8"/>
      <c r="F5910" s="8"/>
      <c r="H5910" s="14"/>
      <c r="I5910" s="567"/>
      <c r="J5910" s="18"/>
    </row>
    <row r="5911" spans="1:10" ht="15.75" hidden="1" customHeight="1">
      <c r="A5911" s="8"/>
      <c r="C5911" s="8"/>
      <c r="F5911" s="8"/>
      <c r="H5911" s="14"/>
      <c r="I5911" s="567"/>
      <c r="J5911" s="18"/>
    </row>
    <row r="5912" spans="1:10" ht="15.75" hidden="1" customHeight="1">
      <c r="A5912" s="8"/>
      <c r="C5912" s="8"/>
      <c r="F5912" s="8"/>
      <c r="H5912" s="14"/>
      <c r="I5912" s="567"/>
      <c r="J5912" s="18"/>
    </row>
    <row r="5913" spans="1:10" ht="15.75" hidden="1" customHeight="1">
      <c r="A5913" s="8"/>
      <c r="C5913" s="8"/>
      <c r="F5913" s="8"/>
      <c r="H5913" s="14"/>
      <c r="I5913" s="567"/>
      <c r="J5913" s="18"/>
    </row>
    <row r="5914" spans="1:10" ht="15.75" hidden="1" customHeight="1">
      <c r="A5914" s="8"/>
      <c r="C5914" s="8"/>
      <c r="F5914" s="8"/>
      <c r="H5914" s="14"/>
      <c r="I5914" s="567"/>
      <c r="J5914" s="18"/>
    </row>
    <row r="5915" spans="1:10" ht="15.75" hidden="1" customHeight="1">
      <c r="A5915" s="8"/>
      <c r="C5915" s="8"/>
      <c r="F5915" s="8"/>
      <c r="H5915" s="14"/>
      <c r="I5915" s="567"/>
      <c r="J5915" s="18"/>
    </row>
    <row r="5916" spans="1:10" ht="15.75" hidden="1" customHeight="1">
      <c r="A5916" s="8"/>
      <c r="C5916" s="8"/>
      <c r="F5916" s="8"/>
      <c r="H5916" s="14"/>
      <c r="I5916" s="567"/>
      <c r="J5916" s="18"/>
    </row>
    <row r="5917" spans="1:10" ht="15.75" hidden="1" customHeight="1">
      <c r="A5917" s="8"/>
      <c r="C5917" s="8"/>
      <c r="F5917" s="8"/>
      <c r="H5917" s="14"/>
      <c r="I5917" s="567"/>
      <c r="J5917" s="18"/>
    </row>
    <row r="5918" spans="1:10" ht="15.75" hidden="1" customHeight="1">
      <c r="A5918" s="8"/>
      <c r="C5918" s="8"/>
      <c r="F5918" s="8"/>
      <c r="H5918" s="14"/>
      <c r="I5918" s="567"/>
      <c r="J5918" s="18"/>
    </row>
    <row r="5919" spans="1:10" ht="15.75" hidden="1" customHeight="1">
      <c r="A5919" s="8"/>
      <c r="C5919" s="8"/>
      <c r="F5919" s="8"/>
      <c r="H5919" s="14"/>
      <c r="I5919" s="567"/>
      <c r="J5919" s="18"/>
    </row>
    <row r="5920" spans="1:10" ht="15.75" hidden="1" customHeight="1">
      <c r="A5920" s="8"/>
      <c r="C5920" s="8"/>
      <c r="F5920" s="8"/>
      <c r="H5920" s="14"/>
      <c r="I5920" s="567"/>
      <c r="J5920" s="18"/>
    </row>
    <row r="5921" spans="1:10" ht="15.75" hidden="1" customHeight="1">
      <c r="A5921" s="8"/>
      <c r="C5921" s="8"/>
      <c r="F5921" s="8"/>
      <c r="H5921" s="14"/>
      <c r="I5921" s="567"/>
      <c r="J5921" s="18"/>
    </row>
    <row r="5922" spans="1:10" ht="15.75" customHeight="1"/>
    <row r="5923" spans="1:10" ht="15.75" customHeight="1"/>
    <row r="5924" spans="1:10" ht="15.75" customHeight="1"/>
    <row r="5925" spans="1:10" ht="15.75" customHeight="1"/>
    <row r="5926" spans="1:10" ht="15.75" customHeight="1"/>
    <row r="5927" spans="1:10" ht="15.75" customHeight="1"/>
    <row r="5928" spans="1:10" ht="15.75" customHeight="1"/>
    <row r="5929" spans="1:10" ht="15.75" customHeight="1"/>
    <row r="5930" spans="1:10" ht="15.75" customHeight="1"/>
    <row r="5931" spans="1:10" ht="15.75" customHeight="1"/>
    <row r="5932" spans="1:10" ht="15.75" customHeight="1"/>
    <row r="5933" spans="1:10" ht="15.75" customHeight="1"/>
    <row r="5934" spans="1:10" ht="15.75" customHeight="1"/>
    <row r="5935" spans="1:10" ht="15.75" customHeight="1"/>
    <row r="5936" spans="1:10" ht="15.75" customHeight="1"/>
    <row r="5937" ht="15.75" customHeight="1"/>
    <row r="5938" ht="15.75" customHeight="1"/>
    <row r="5939" ht="15.75" customHeight="1"/>
    <row r="5940" ht="15.75" customHeight="1"/>
    <row r="5941" ht="15.75" customHeight="1"/>
    <row r="5942" ht="15.75" customHeight="1"/>
    <row r="5943" ht="15.75" customHeight="1"/>
    <row r="5944" ht="15.75" customHeight="1"/>
    <row r="5945" ht="15.75" customHeight="1"/>
    <row r="5946" ht="15.75" customHeight="1"/>
    <row r="5947" ht="15.75" customHeight="1"/>
    <row r="5948" ht="15.75" customHeight="1"/>
    <row r="5949" ht="15.75" customHeight="1"/>
    <row r="5950" ht="15.75" customHeight="1"/>
    <row r="5951" ht="15.75" customHeight="1"/>
    <row r="5952" ht="15.75" customHeight="1"/>
    <row r="5953" ht="15.75" customHeight="1"/>
    <row r="5954" ht="15.75" customHeight="1"/>
    <row r="5955" ht="15.75" customHeight="1"/>
    <row r="5956" ht="15.75" customHeight="1"/>
    <row r="5957" ht="15.75" customHeight="1"/>
    <row r="5958" ht="15.75" customHeight="1"/>
    <row r="5959" ht="15.75" customHeight="1"/>
  </sheetData>
  <autoFilter ref="A2:BD1272" xr:uid="{258D5F19-28A4-456A-89E2-DEC9277D84DB}">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filterColumn colId="52" showButton="0"/>
    <filterColumn colId="53" showButton="0"/>
  </autoFilter>
  <mergeCells count="12">
    <mergeCell ref="A1272:BD1272"/>
    <mergeCell ref="BF1:BI1"/>
    <mergeCell ref="A1:BD1"/>
    <mergeCell ref="AT2:AV2"/>
    <mergeCell ref="N2:P2"/>
    <mergeCell ref="T2:V2"/>
    <mergeCell ref="W2:Y2"/>
    <mergeCell ref="Z2:AB2"/>
    <mergeCell ref="AC2:AE2"/>
    <mergeCell ref="AN2:AP2"/>
    <mergeCell ref="AQ2:AS2"/>
    <mergeCell ref="BA2:BC2"/>
  </mergeCells>
  <phoneticPr fontId="0" type="noConversion"/>
  <conditionalFormatting sqref="BE4">
    <cfRule type="expression" dxfId="24277" priority="4179">
      <formula>$M4="NON DEFINED"</formula>
    </cfRule>
    <cfRule type="expression" dxfId="24276" priority="4180">
      <formula>$AY4="N.D."</formula>
    </cfRule>
  </conditionalFormatting>
  <conditionalFormatting sqref="BE4">
    <cfRule type="cellIs" dxfId="24275" priority="4178" operator="equal">
      <formula>0</formula>
    </cfRule>
  </conditionalFormatting>
  <conditionalFormatting sqref="BA4:BC4">
    <cfRule type="expression" dxfId="24274" priority="4142">
      <formula>$BE4="R"</formula>
    </cfRule>
  </conditionalFormatting>
  <conditionalFormatting sqref="B4:E4 J4 AG4 AN4:AS4 AY4:BC4 G4:H4">
    <cfRule type="expression" dxfId="24273" priority="4140">
      <formula>$M4="NON DEFINED"</formula>
    </cfRule>
    <cfRule type="expression" dxfId="24272" priority="4141">
      <formula>$AY4="N.D."</formula>
    </cfRule>
  </conditionalFormatting>
  <conditionalFormatting sqref="A4:E4 J4 AG4 AN4:AS4 AY4:BD4 G4:H4">
    <cfRule type="cellIs" dxfId="24271" priority="4139" operator="equal">
      <formula>0</formula>
    </cfRule>
  </conditionalFormatting>
  <conditionalFormatting sqref="I4">
    <cfRule type="expression" dxfId="24270" priority="4120">
      <formula>$M4="NON DEFINED"</formula>
    </cfRule>
    <cfRule type="expression" dxfId="24269" priority="4121">
      <formula>$AY4="N.D."</formula>
    </cfRule>
  </conditionalFormatting>
  <conditionalFormatting sqref="I4">
    <cfRule type="cellIs" dxfId="24268" priority="4119" operator="equal">
      <formula>0</formula>
    </cfRule>
  </conditionalFormatting>
  <conditionalFormatting sqref="K4">
    <cfRule type="expression" dxfId="24267" priority="4103">
      <formula>$M4="NON DEFINED"</formula>
    </cfRule>
    <cfRule type="expression" dxfId="24266" priority="4104">
      <formula>$AY4="N.D."</formula>
    </cfRule>
  </conditionalFormatting>
  <conditionalFormatting sqref="K4">
    <cfRule type="cellIs" dxfId="24265" priority="4102" operator="equal">
      <formula>0</formula>
    </cfRule>
  </conditionalFormatting>
  <conditionalFormatting sqref="L4">
    <cfRule type="expression" dxfId="24264" priority="4086">
      <formula>$M4="NON DEFINED"</formula>
    </cfRule>
    <cfRule type="expression" dxfId="24263" priority="4087">
      <formula>$AY4="N.D."</formula>
    </cfRule>
  </conditionalFormatting>
  <conditionalFormatting sqref="L4">
    <cfRule type="cellIs" dxfId="24262" priority="4085" operator="equal">
      <formula>0</formula>
    </cfRule>
  </conditionalFormatting>
  <conditionalFormatting sqref="M4">
    <cfRule type="expression" dxfId="24261" priority="4069">
      <formula>$M4="NON DEFINED"</formula>
    </cfRule>
    <cfRule type="expression" dxfId="24260" priority="4070">
      <formula>$AY4="N.D."</formula>
    </cfRule>
  </conditionalFormatting>
  <conditionalFormatting sqref="M4">
    <cfRule type="cellIs" dxfId="24259" priority="4068" operator="equal">
      <formula>0</formula>
    </cfRule>
  </conditionalFormatting>
  <conditionalFormatting sqref="N4">
    <cfRule type="expression" dxfId="24258" priority="4049">
      <formula>$M4="NON DEFINED"</formula>
    </cfRule>
    <cfRule type="expression" dxfId="24257" priority="4050">
      <formula>$AY4="N.D."</formula>
    </cfRule>
  </conditionalFormatting>
  <conditionalFormatting sqref="N4">
    <cfRule type="cellIs" dxfId="24256" priority="4048" operator="equal">
      <formula>0</formula>
    </cfRule>
  </conditionalFormatting>
  <conditionalFormatting sqref="O4">
    <cfRule type="expression" dxfId="24255" priority="4032">
      <formula>$M4="NON DEFINED"</formula>
    </cfRule>
    <cfRule type="expression" dxfId="24254" priority="4033">
      <formula>$AY4="N.D."</formula>
    </cfRule>
  </conditionalFormatting>
  <conditionalFormatting sqref="O4">
    <cfRule type="cellIs" dxfId="24253" priority="4031" operator="equal">
      <formula>0</formula>
    </cfRule>
  </conditionalFormatting>
  <conditionalFormatting sqref="P4">
    <cfRule type="expression" dxfId="24252" priority="4015">
      <formula>$M4="NON DEFINED"</formula>
    </cfRule>
    <cfRule type="expression" dxfId="24251" priority="4016">
      <formula>$AY4="N.D."</formula>
    </cfRule>
  </conditionalFormatting>
  <conditionalFormatting sqref="P4">
    <cfRule type="cellIs" dxfId="24250" priority="4014" operator="equal">
      <formula>0</formula>
    </cfRule>
  </conditionalFormatting>
  <conditionalFormatting sqref="AC4">
    <cfRule type="expression" dxfId="24249" priority="3981">
      <formula>$M4="NON DEFINED"</formula>
    </cfRule>
    <cfRule type="expression" dxfId="24248" priority="3982">
      <formula>$AY4="N.D."</formula>
    </cfRule>
  </conditionalFormatting>
  <conditionalFormatting sqref="AC4">
    <cfRule type="cellIs" dxfId="24247" priority="3980" operator="equal">
      <formula>0</formula>
    </cfRule>
  </conditionalFormatting>
  <conditionalFormatting sqref="AD4">
    <cfRule type="expression" dxfId="24246" priority="3964">
      <formula>$M4="NON DEFINED"</formula>
    </cfRule>
    <cfRule type="expression" dxfId="24245" priority="3965">
      <formula>$AY4="N.D."</formula>
    </cfRule>
  </conditionalFormatting>
  <conditionalFormatting sqref="AD4">
    <cfRule type="cellIs" dxfId="24244" priority="3963" operator="equal">
      <formula>0</formula>
    </cfRule>
  </conditionalFormatting>
  <conditionalFormatting sqref="AE4">
    <cfRule type="expression" dxfId="24243" priority="3947">
      <formula>$M4="NON DEFINED"</formula>
    </cfRule>
    <cfRule type="expression" dxfId="24242" priority="3948">
      <formula>$AY4="N.D."</formula>
    </cfRule>
  </conditionalFormatting>
  <conditionalFormatting sqref="AE4">
    <cfRule type="cellIs" dxfId="24241" priority="3946" operator="equal">
      <formula>0</formula>
    </cfRule>
  </conditionalFormatting>
  <conditionalFormatting sqref="AJ4">
    <cfRule type="expression" dxfId="24240" priority="3930">
      <formula>$M4="NON DEFINED"</formula>
    </cfRule>
    <cfRule type="expression" dxfId="24239" priority="3931">
      <formula>$AY4="N.D."</formula>
    </cfRule>
  </conditionalFormatting>
  <conditionalFormatting sqref="AJ4">
    <cfRule type="cellIs" dxfId="24238" priority="3929" operator="equal">
      <formula>0</formula>
    </cfRule>
  </conditionalFormatting>
  <conditionalFormatting sqref="AK4">
    <cfRule type="expression" dxfId="24237" priority="3913">
      <formula>$M4="NON DEFINED"</formula>
    </cfRule>
    <cfRule type="expression" dxfId="24236" priority="3914">
      <formula>$AY4="N.D."</formula>
    </cfRule>
  </conditionalFormatting>
  <conditionalFormatting sqref="AK4">
    <cfRule type="cellIs" dxfId="24235" priority="3912" operator="equal">
      <formula>0</formula>
    </cfRule>
  </conditionalFormatting>
  <conditionalFormatting sqref="AL4">
    <cfRule type="expression" dxfId="24234" priority="3896">
      <formula>$M4="NON DEFINED"</formula>
    </cfRule>
    <cfRule type="expression" dxfId="24233" priority="3897">
      <formula>$AY4="N.D."</formula>
    </cfRule>
  </conditionalFormatting>
  <conditionalFormatting sqref="AL4">
    <cfRule type="cellIs" dxfId="24232" priority="3895" operator="equal">
      <formula>0</formula>
    </cfRule>
  </conditionalFormatting>
  <conditionalFormatting sqref="AM4">
    <cfRule type="expression" dxfId="24231" priority="3879">
      <formula>$M4="NON DEFINED"</formula>
    </cfRule>
    <cfRule type="expression" dxfId="24230" priority="3880">
      <formula>$AY4="N.D."</formula>
    </cfRule>
  </conditionalFormatting>
  <conditionalFormatting sqref="AM4">
    <cfRule type="cellIs" dxfId="24229" priority="3878" operator="equal">
      <formula>0</formula>
    </cfRule>
  </conditionalFormatting>
  <conditionalFormatting sqref="AT4">
    <cfRule type="expression" dxfId="24228" priority="3862">
      <formula>$M4="NON DEFINED"</formula>
    </cfRule>
    <cfRule type="expression" dxfId="24227" priority="3863">
      <formula>$AY4="N.D."</formula>
    </cfRule>
  </conditionalFormatting>
  <conditionalFormatting sqref="AT4">
    <cfRule type="cellIs" dxfId="24226" priority="3861" operator="equal">
      <formula>0</formula>
    </cfRule>
  </conditionalFormatting>
  <conditionalFormatting sqref="AU4">
    <cfRule type="expression" dxfId="24225" priority="3845">
      <formula>$M4="NON DEFINED"</formula>
    </cfRule>
    <cfRule type="expression" dxfId="24224" priority="3846">
      <formula>$AY4="N.D."</formula>
    </cfRule>
  </conditionalFormatting>
  <conditionalFormatting sqref="AU4">
    <cfRule type="cellIs" dxfId="24223" priority="3844" operator="equal">
      <formula>0</formula>
    </cfRule>
  </conditionalFormatting>
  <conditionalFormatting sqref="AV4">
    <cfRule type="expression" dxfId="24222" priority="3828">
      <formula>$M4="NON DEFINED"</formula>
    </cfRule>
    <cfRule type="expression" dxfId="24221" priority="3829">
      <formula>$AY4="N.D."</formula>
    </cfRule>
  </conditionalFormatting>
  <conditionalFormatting sqref="AV4">
    <cfRule type="cellIs" dxfId="24220" priority="3827" operator="equal">
      <formula>0</formula>
    </cfRule>
  </conditionalFormatting>
  <conditionalFormatting sqref="AW4">
    <cfRule type="expression" dxfId="24219" priority="3811">
      <formula>$M4="NON DEFINED"</formula>
    </cfRule>
    <cfRule type="expression" dxfId="24218" priority="3812">
      <formula>$AY4="N.D."</formula>
    </cfRule>
  </conditionalFormatting>
  <conditionalFormatting sqref="AW4">
    <cfRule type="cellIs" dxfId="24217" priority="3810" operator="equal">
      <formula>0</formula>
    </cfRule>
  </conditionalFormatting>
  <conditionalFormatting sqref="AX4">
    <cfRule type="expression" dxfId="24216" priority="3794">
      <formula>$M4="NON DEFINED"</formula>
    </cfRule>
    <cfRule type="expression" dxfId="24215" priority="3795">
      <formula>$AY4="N.D."</formula>
    </cfRule>
  </conditionalFormatting>
  <conditionalFormatting sqref="AX4">
    <cfRule type="cellIs" dxfId="24214" priority="3793" operator="equal">
      <formula>0</formula>
    </cfRule>
  </conditionalFormatting>
  <conditionalFormatting sqref="F4">
    <cfRule type="expression" dxfId="24213" priority="3777">
      <formula>$M4="NON DEFINED"</formula>
    </cfRule>
    <cfRule type="expression" dxfId="24212" priority="3778">
      <formula>$AY4="N.D."</formula>
    </cfRule>
  </conditionalFormatting>
  <conditionalFormatting sqref="F4">
    <cfRule type="cellIs" dxfId="24211" priority="3776" operator="equal">
      <formula>0</formula>
    </cfRule>
  </conditionalFormatting>
  <conditionalFormatting sqref="Q4">
    <cfRule type="expression" dxfId="24210" priority="3760">
      <formula>$M4="NON DEFINED"</formula>
    </cfRule>
    <cfRule type="expression" dxfId="24209" priority="3761">
      <formula>$AY4="N.D."</formula>
    </cfRule>
  </conditionalFormatting>
  <conditionalFormatting sqref="Q4">
    <cfRule type="cellIs" dxfId="24208" priority="3759" operator="equal">
      <formula>0</formula>
    </cfRule>
  </conditionalFormatting>
  <conditionalFormatting sqref="T4">
    <cfRule type="expression" dxfId="24207" priority="3743">
      <formula>$M4="NON DEFINED"</formula>
    </cfRule>
    <cfRule type="expression" dxfId="24206" priority="3744">
      <formula>$AY4="N.D."</formula>
    </cfRule>
  </conditionalFormatting>
  <conditionalFormatting sqref="T4">
    <cfRule type="cellIs" dxfId="24205" priority="3742" operator="equal">
      <formula>0</formula>
    </cfRule>
  </conditionalFormatting>
  <conditionalFormatting sqref="U4">
    <cfRule type="expression" dxfId="24204" priority="3726">
      <formula>$M4="NON DEFINED"</formula>
    </cfRule>
    <cfRule type="expression" dxfId="24203" priority="3727">
      <formula>$AY4="N.D."</formula>
    </cfRule>
  </conditionalFormatting>
  <conditionalFormatting sqref="U4">
    <cfRule type="cellIs" dxfId="24202" priority="3725" operator="equal">
      <formula>0</formula>
    </cfRule>
  </conditionalFormatting>
  <conditionalFormatting sqref="V4">
    <cfRule type="expression" dxfId="24201" priority="3709">
      <formula>$M4="NON DEFINED"</formula>
    </cfRule>
    <cfRule type="expression" dxfId="24200" priority="3710">
      <formula>$AY4="N.D."</formula>
    </cfRule>
  </conditionalFormatting>
  <conditionalFormatting sqref="V4">
    <cfRule type="cellIs" dxfId="24199" priority="3708" operator="equal">
      <formula>0</formula>
    </cfRule>
  </conditionalFormatting>
  <conditionalFormatting sqref="AF4">
    <cfRule type="expression" dxfId="24198" priority="3692">
      <formula>$M4="NON DEFINED"</formula>
    </cfRule>
    <cfRule type="expression" dxfId="24197" priority="3693">
      <formula>$AY4="N.D."</formula>
    </cfRule>
  </conditionalFormatting>
  <conditionalFormatting sqref="AF4">
    <cfRule type="cellIs" dxfId="24196" priority="3691" operator="equal">
      <formula>0</formula>
    </cfRule>
  </conditionalFormatting>
  <conditionalFormatting sqref="AH4">
    <cfRule type="expression" dxfId="24195" priority="3675">
      <formula>$M4="NON DEFINED"</formula>
    </cfRule>
    <cfRule type="expression" dxfId="24194" priority="3676">
      <formula>$AY4="N.D."</formula>
    </cfRule>
  </conditionalFormatting>
  <conditionalFormatting sqref="AH4">
    <cfRule type="cellIs" dxfId="24193" priority="3674" operator="equal">
      <formula>0</formula>
    </cfRule>
  </conditionalFormatting>
  <conditionalFormatting sqref="AI4">
    <cfRule type="expression" dxfId="24192" priority="3658">
      <formula>$M4="NON DEFINED"</formula>
    </cfRule>
    <cfRule type="expression" dxfId="24191" priority="3659">
      <formula>$AY4="N.D."</formula>
    </cfRule>
  </conditionalFormatting>
  <conditionalFormatting sqref="AI4">
    <cfRule type="cellIs" dxfId="24190" priority="3657" operator="equal">
      <formula>0</formula>
    </cfRule>
  </conditionalFormatting>
  <conditionalFormatting sqref="R4">
    <cfRule type="expression" dxfId="24189" priority="3641">
      <formula>$M4="NON DEFINED"</formula>
    </cfRule>
    <cfRule type="expression" dxfId="24188" priority="3642">
      <formula>$AY4="N.D."</formula>
    </cfRule>
  </conditionalFormatting>
  <conditionalFormatting sqref="R4">
    <cfRule type="cellIs" dxfId="24187" priority="3640" operator="equal">
      <formula>0</formula>
    </cfRule>
  </conditionalFormatting>
  <conditionalFormatting sqref="S4">
    <cfRule type="expression" dxfId="24186" priority="3624">
      <formula>$M4="NON DEFINED"</formula>
    </cfRule>
    <cfRule type="expression" dxfId="24185" priority="3625">
      <formula>$AY4="N.D."</formula>
    </cfRule>
  </conditionalFormatting>
  <conditionalFormatting sqref="S4">
    <cfRule type="cellIs" dxfId="24184" priority="3623" operator="equal">
      <formula>0</formula>
    </cfRule>
  </conditionalFormatting>
  <conditionalFormatting sqref="W4">
    <cfRule type="expression" dxfId="24183" priority="3607">
      <formula>$M4="NON DEFINED"</formula>
    </cfRule>
    <cfRule type="expression" dxfId="24182" priority="3608">
      <formula>$AY4="N.D."</formula>
    </cfRule>
  </conditionalFormatting>
  <conditionalFormatting sqref="W4">
    <cfRule type="cellIs" dxfId="24181" priority="3606" operator="equal">
      <formula>0</formula>
    </cfRule>
  </conditionalFormatting>
  <conditionalFormatting sqref="X4">
    <cfRule type="expression" dxfId="24180" priority="3573">
      <formula>$M4="NON DEFINED"</formula>
    </cfRule>
    <cfRule type="expression" dxfId="24179" priority="3574">
      <formula>$AY4="N.D."</formula>
    </cfRule>
  </conditionalFormatting>
  <conditionalFormatting sqref="X4">
    <cfRule type="cellIs" dxfId="24178" priority="3572" operator="equal">
      <formula>0</formula>
    </cfRule>
  </conditionalFormatting>
  <conditionalFormatting sqref="Y4">
    <cfRule type="expression" dxfId="24177" priority="3556">
      <formula>$M4="NON DEFINED"</formula>
    </cfRule>
    <cfRule type="expression" dxfId="24176" priority="3557">
      <formula>$AY4="N.D."</formula>
    </cfRule>
  </conditionalFormatting>
  <conditionalFormatting sqref="Y4">
    <cfRule type="cellIs" dxfId="24175" priority="3555" operator="equal">
      <formula>0</formula>
    </cfRule>
  </conditionalFormatting>
  <conditionalFormatting sqref="Z4">
    <cfRule type="expression" dxfId="24174" priority="3539">
      <formula>$M4="NON DEFINED"</formula>
    </cfRule>
    <cfRule type="expression" dxfId="24173" priority="3540">
      <formula>$AY4="N.D."</formula>
    </cfRule>
  </conditionalFormatting>
  <conditionalFormatting sqref="Z4">
    <cfRule type="cellIs" dxfId="24172" priority="3538" operator="equal">
      <formula>0</formula>
    </cfRule>
  </conditionalFormatting>
  <conditionalFormatting sqref="AA4">
    <cfRule type="expression" dxfId="24171" priority="3522">
      <formula>$M4="NON DEFINED"</formula>
    </cfRule>
    <cfRule type="expression" dxfId="24170" priority="3523">
      <formula>$AY4="N.D."</formula>
    </cfRule>
  </conditionalFormatting>
  <conditionalFormatting sqref="AA4">
    <cfRule type="cellIs" dxfId="24169" priority="3521" operator="equal">
      <formula>0</formula>
    </cfRule>
  </conditionalFormatting>
  <conditionalFormatting sqref="AB4">
    <cfRule type="expression" dxfId="24168" priority="3505">
      <formula>$M4="NON DEFINED"</formula>
    </cfRule>
    <cfRule type="expression" dxfId="24167" priority="3506">
      <formula>$AY4="N.D."</formula>
    </cfRule>
  </conditionalFormatting>
  <conditionalFormatting sqref="AB4">
    <cfRule type="cellIs" dxfId="24166" priority="3504" operator="equal">
      <formula>0</formula>
    </cfRule>
  </conditionalFormatting>
  <conditionalFormatting sqref="J41:J89 J97:J105 J115:J121 I391:K402 L78:AZ78 L76:AZ76 L75:AC75 L80:AZ80 L81:AB81 L41:AZ41 L248:AZ248 AE247:AZ247 AD253:AZ253 L250:AZ250 AD249:AZ249 L252:AZ252 AE251:AZ251 L43:AZ43 M42:AZ42 L47:AZ47 M46:AZ46 L49:AZ49 M48:AZ48 L51:AZ51 M50:AZ50 L53:AZ53 M52:AZ52 L55:AZ55 M54:AZ54 L57:AZ57 M56:AZ56 L45:AZ45 M44:AZ44 L59:AZ59 M58:AZ58 L61:AZ61 M60:AZ60 L63:AZ63 M62:AZ62 M64:AZ64 AE75:AZ75 AE77:AZ77 AE79:AZ79 AD81:AZ81 L65:AZ74 L77:AB77 L79:AC79 L247:AC247 L249:AB249 L251:AB251 L253:AB253 I353:I354 I350 L254:AZ277 J279:J388 B279:F402 G279:H316 G350:H354 H317:H349 H356:H402 B411:G453 H411:AZ449 H503:AZ509 G503:G528 B503:F535 G573:G631 H529:AZ535 B719:AZ719 B859:F893 H859:AZ893 G880:G893 L279:AZ402 B894:AZ901 B1129:AZ1133 B721:AZ721 Y720:AZ720 B723:AZ725 B722:N722 Y722:AZ722 B720:V720 P722:V722 B726:AB726 B727:AZ731 AD726:AV726 B773:AZ795 B1135:AZ1175 B1134:L1134 N1134:AV1134 B903:AZ950 B902:AV902 B1177:AZ1215 B1216:AV1218 B1219:AZ1271 B1273:AZ1289 B633:G691 H658:AZ658 J134:J277 B41:H277 K134:K266 L82:AZ246 I134:I266 I122:K133 H538:AZ632 B538:F631">
    <cfRule type="expression" dxfId="24165" priority="2986">
      <formula>$M41="NON DEFINED"</formula>
    </cfRule>
    <cfRule type="expression" dxfId="24164" priority="2987">
      <formula>$AZ41="N.D."</formula>
    </cfRule>
    <cfRule type="expression" dxfId="24163" priority="2988">
      <formula>$AY41="N.D."</formula>
    </cfRule>
  </conditionalFormatting>
  <conditionalFormatting sqref="J41:J89 J97:J105 J115:J121 B109:E109 I391:K402 L78:AZ78 L76:AZ76 L75:AC75 L80:AZ80 L81:AB81 L41:AZ41 L248:AZ248 AE247:AZ247 AD253:AZ253 L250:AZ250 AD249:AZ249 L252:AZ252 AE251:AZ251 L43:AZ43 M42:AZ42 L47:AZ47 M46:AZ46 L49:AZ49 M48:AZ48 L51:AZ51 M50:AZ50 L53:AZ53 M52:AZ52 L55:AZ55 M54:AZ54 L57:AZ57 M56:AZ56 L45:AZ45 M44:AZ44 L59:AZ59 M58:AZ58 L61:AZ61 M60:AZ60 L63:AZ63 M62:AZ62 M64:AZ64 A41:E108 AE75:AZ75 AE77:AZ77 AE79:AZ79 AD81:AZ81 L65:AZ74 L77:AB77 L79:AC79 L247:AC247 L249:AB249 L251:AB251 L253:AB253 I353:I354 I350 L254:AZ277 J279:J388 A279:F402 G279:H316 G350:H354 H317:H349 H356:H402 A411:F448 H411:AZ449 G411:G453 H503:AZ509 G503:G528 A503:F535 G573:G631 H529:AZ535 A719:AZ719 A859:F892 H859:AZ893 G880:G893 L279:AZ402 A930:AZ950 A1129:AZ1133 A721:AZ721 Y720:AZ720 A723:AZ725 A722:N722 Y722:AZ722 A720:V720 P722:V722 A726:AB726 A727:AZ731 AD726:AV726 A773:AZ795 A1135:AZ1175 A1134:L1134 N1134:AV1134 A1177:AZ1215 A1219:AZ1271 B1216:AV1217 A1218:AV1218 A1273:AZ1289 A633:G691 H658:AZ658 J134:J277 A110:E277 F41:H277 K134:K266 L82:AZ246 I134:I266 I122:K133 H538:AZ632 A538:F631">
    <cfRule type="expression" dxfId="24162" priority="2966">
      <formula>$A41="Overhead Cable"</formula>
    </cfRule>
    <cfRule type="expression" dxfId="24161" priority="2967">
      <formula>$A41="Level Crossing"</formula>
    </cfRule>
    <cfRule type="expression" dxfId="24160" priority="2968">
      <formula>$A41="Neutral Section"</formula>
    </cfRule>
    <cfRule type="expression" dxfId="24159" priority="2969">
      <formula>$A41="Tunnel"</formula>
    </cfRule>
    <cfRule type="expression" dxfId="24158" priority="2970">
      <formula>$A41="Bridge"</formula>
    </cfRule>
    <cfRule type="expression" dxfId="24157" priority="2971">
      <formula>$A41="Drainage Works"</formula>
    </cfRule>
    <cfRule type="expression" dxfId="24156" priority="2972">
      <formula>$A41="Underpass"</formula>
    </cfRule>
    <cfRule type="expression" dxfId="24155" priority="2973">
      <formula>$A41="Overcrossing"</formula>
    </cfRule>
    <cfRule type="expression" dxfId="24154" priority="2974">
      <formula>$A41="Overpass"</formula>
    </cfRule>
    <cfRule type="expression" dxfId="24153" priority="2975">
      <formula>$A41="Station"</formula>
    </cfRule>
    <cfRule type="expression" dxfId="24152" priority="2976">
      <formula>$A41="Overlap between sections"</formula>
    </cfRule>
  </conditionalFormatting>
  <conditionalFormatting sqref="AN1273:AP1289 AN279:AP535 AN41:AP277 AN538:AP1271">
    <cfRule type="cellIs" dxfId="24151" priority="2965" operator="notEqual">
      <formula>5.5</formula>
    </cfRule>
  </conditionalFormatting>
  <conditionalFormatting sqref="B1273:B1289 B279:B535 B41:B277 B538:B1271">
    <cfRule type="expression" dxfId="24150" priority="2964">
      <formula>AND($AH41&gt;2499,$AH41&lt;2901)</formula>
    </cfRule>
  </conditionalFormatting>
  <conditionalFormatting sqref="I41:I72 I84:I89 I97:I105 I115:I121 I279:I296 I308:I348 I356:I388">
    <cfRule type="expression" dxfId="24149" priority="2961">
      <formula>$M41="NON DEFINED"</formula>
    </cfRule>
    <cfRule type="expression" dxfId="24148" priority="2962">
      <formula>$AZ41="N.D."</formula>
    </cfRule>
    <cfRule type="expression" dxfId="24147" priority="2963">
      <formula>$AY41="N.D."</formula>
    </cfRule>
  </conditionalFormatting>
  <conditionalFormatting sqref="I41:I72 I84:I89 I97:I105 I115:I121 I279:I296 I308:I348 I356:I388">
    <cfRule type="expression" dxfId="24146" priority="2950">
      <formula>$A41="Overhead Cable"</formula>
    </cfRule>
    <cfRule type="expression" dxfId="24145" priority="2951">
      <formula>$A41="Level Crossing"</formula>
    </cfRule>
    <cfRule type="expression" dxfId="24144" priority="2952">
      <formula>$A41="Neutral Section"</formula>
    </cfRule>
    <cfRule type="expression" dxfId="24143" priority="2953">
      <formula>$A41="Tunnel"</formula>
    </cfRule>
    <cfRule type="expression" dxfId="24142" priority="2954">
      <formula>$A41="Bridge"</formula>
    </cfRule>
    <cfRule type="expression" dxfId="24141" priority="2955">
      <formula>$A41="Drainage Works"</formula>
    </cfRule>
    <cfRule type="expression" dxfId="24140" priority="2956">
      <formula>$A41="Underpass"</formula>
    </cfRule>
    <cfRule type="expression" dxfId="24139" priority="2957">
      <formula>$A41="Overcrossing"</formula>
    </cfRule>
    <cfRule type="expression" dxfId="24138" priority="2958">
      <formula>$A41="Overpass"</formula>
    </cfRule>
    <cfRule type="expression" dxfId="24137" priority="2959">
      <formula>$A41="Station"</formula>
    </cfRule>
    <cfRule type="expression" dxfId="24136" priority="2960">
      <formula>$A41="Overlap between sections"</formula>
    </cfRule>
  </conditionalFormatting>
  <conditionalFormatting sqref="K41:K89 K97:K105 K115:K121 K279:K314 K268:K276 K320:K348 K352:K354 K350 K356:K388">
    <cfRule type="expression" dxfId="24135" priority="2947">
      <formula>$M41="NON DEFINED"</formula>
    </cfRule>
    <cfRule type="expression" dxfId="24134" priority="2948">
      <formula>$AZ41="N.D."</formula>
    </cfRule>
    <cfRule type="expression" dxfId="24133" priority="2949">
      <formula>$AY41="N.D."</formula>
    </cfRule>
  </conditionalFormatting>
  <conditionalFormatting sqref="K41:K89 K97:K105 K115:K121 K279:K314 K268:K276 K320:K348 K352:K354 K350 K356:K388">
    <cfRule type="expression" dxfId="24132" priority="2936">
      <formula>$A41="Overhead Cable"</formula>
    </cfRule>
    <cfRule type="expression" dxfId="24131" priority="2937">
      <formula>$A41="Level Crossing"</formula>
    </cfRule>
    <cfRule type="expression" dxfId="24130" priority="2938">
      <formula>$A41="Neutral Section"</formula>
    </cfRule>
    <cfRule type="expression" dxfId="24129" priority="2939">
      <formula>$A41="Tunnel"</formula>
    </cfRule>
    <cfRule type="expression" dxfId="24128" priority="2940">
      <formula>$A41="Bridge"</formula>
    </cfRule>
    <cfRule type="expression" dxfId="24127" priority="2941">
      <formula>$A41="Drainage Works"</formula>
    </cfRule>
    <cfRule type="expression" dxfId="24126" priority="2942">
      <formula>$A41="Underpass"</formula>
    </cfRule>
    <cfRule type="expression" dxfId="24125" priority="2943">
      <formula>$A41="Overcrossing"</formula>
    </cfRule>
    <cfRule type="expression" dxfId="24124" priority="2944">
      <formula>$A41="Overpass"</formula>
    </cfRule>
    <cfRule type="expression" dxfId="24123" priority="2945">
      <formula>$A41="Station"</formula>
    </cfRule>
    <cfRule type="expression" dxfId="24122" priority="2946">
      <formula>$A41="Overlap between sections"</formula>
    </cfRule>
  </conditionalFormatting>
  <conditionalFormatting sqref="BE5:BE535 BE538:BE1271">
    <cfRule type="containsText" dxfId="24121" priority="2448" operator="containsText" text="a">
      <formula>NOT(ISERROR(SEARCH("a",BE5)))</formula>
    </cfRule>
    <cfRule type="containsText" dxfId="24120" priority="2449" operator="containsText" text="R">
      <formula>NOT(ISERROR(SEARCH("R",BE5)))</formula>
    </cfRule>
  </conditionalFormatting>
  <conditionalFormatting sqref="I73:I83">
    <cfRule type="expression" dxfId="24119" priority="2266">
      <formula>$M73="NON DEFINED"</formula>
    </cfRule>
    <cfRule type="expression" dxfId="24118" priority="2267">
      <formula>$AZ73="N.D."</formula>
    </cfRule>
    <cfRule type="expression" dxfId="24117" priority="2268">
      <formula>$AY73="N.D."</formula>
    </cfRule>
  </conditionalFormatting>
  <conditionalFormatting sqref="I73:I83">
    <cfRule type="expression" dxfId="24116" priority="2255">
      <formula>$A73="Overhead Cable"</formula>
    </cfRule>
    <cfRule type="expression" dxfId="24115" priority="2256">
      <formula>$A73="Level Crossing"</formula>
    </cfRule>
    <cfRule type="expression" dxfId="24114" priority="2257">
      <formula>$A73="Neutral Section"</formula>
    </cfRule>
    <cfRule type="expression" dxfId="24113" priority="2258">
      <formula>$A73="Tunnel"</formula>
    </cfRule>
    <cfRule type="expression" dxfId="24112" priority="2259">
      <formula>$A73="Bridge"</formula>
    </cfRule>
    <cfRule type="expression" dxfId="24111" priority="2260">
      <formula>$A73="Drainage Works"</formula>
    </cfRule>
    <cfRule type="expression" dxfId="24110" priority="2261">
      <formula>$A73="Underpass"</formula>
    </cfRule>
    <cfRule type="expression" dxfId="24109" priority="2262">
      <formula>$A73="Overcrossing"</formula>
    </cfRule>
    <cfRule type="expression" dxfId="24108" priority="2263">
      <formula>$A73="Overpass"</formula>
    </cfRule>
    <cfRule type="expression" dxfId="24107" priority="2264">
      <formula>$A73="Station"</formula>
    </cfRule>
    <cfRule type="expression" dxfId="24106" priority="2265">
      <formula>$A73="Overlap between sections"</formula>
    </cfRule>
  </conditionalFormatting>
  <conditionalFormatting sqref="J90:J96">
    <cfRule type="expression" dxfId="24105" priority="2252">
      <formula>$M90="NON DEFINED"</formula>
    </cfRule>
    <cfRule type="expression" dxfId="24104" priority="2253">
      <formula>$AZ90="N.D."</formula>
    </cfRule>
    <cfRule type="expression" dxfId="24103" priority="2254">
      <formula>$AY90="N.D."</formula>
    </cfRule>
  </conditionalFormatting>
  <conditionalFormatting sqref="J90:J96">
    <cfRule type="expression" dxfId="24102" priority="2241">
      <formula>$A90="Overhead Cable"</formula>
    </cfRule>
    <cfRule type="expression" dxfId="24101" priority="2242">
      <formula>$A90="Level Crossing"</formula>
    </cfRule>
    <cfRule type="expression" dxfId="24100" priority="2243">
      <formula>$A90="Neutral Section"</formula>
    </cfRule>
    <cfRule type="expression" dxfId="24099" priority="2244">
      <formula>$A90="Tunnel"</formula>
    </cfRule>
    <cfRule type="expression" dxfId="24098" priority="2245">
      <formula>$A90="Bridge"</formula>
    </cfRule>
    <cfRule type="expression" dxfId="24097" priority="2246">
      <formula>$A90="Drainage Works"</formula>
    </cfRule>
    <cfRule type="expression" dxfId="24096" priority="2247">
      <formula>$A90="Underpass"</formula>
    </cfRule>
    <cfRule type="expression" dxfId="24095" priority="2248">
      <formula>$A90="Overcrossing"</formula>
    </cfRule>
    <cfRule type="expression" dxfId="24094" priority="2249">
      <formula>$A90="Overpass"</formula>
    </cfRule>
    <cfRule type="expression" dxfId="24093" priority="2250">
      <formula>$A90="Station"</formula>
    </cfRule>
    <cfRule type="expression" dxfId="24092" priority="2251">
      <formula>$A90="Overlap between sections"</formula>
    </cfRule>
  </conditionalFormatting>
  <conditionalFormatting sqref="I90:I96">
    <cfRule type="expression" dxfId="24091" priority="2238">
      <formula>$M90="NON DEFINED"</formula>
    </cfRule>
    <cfRule type="expression" dxfId="24090" priority="2239">
      <formula>$AZ90="N.D."</formula>
    </cfRule>
    <cfRule type="expression" dxfId="24089" priority="2240">
      <formula>$AY90="N.D."</formula>
    </cfRule>
  </conditionalFormatting>
  <conditionalFormatting sqref="I90:I96">
    <cfRule type="expression" dxfId="24088" priority="2227">
      <formula>$A90="Overhead Cable"</formula>
    </cfRule>
    <cfRule type="expression" dxfId="24087" priority="2228">
      <formula>$A90="Level Crossing"</formula>
    </cfRule>
    <cfRule type="expression" dxfId="24086" priority="2229">
      <formula>$A90="Neutral Section"</formula>
    </cfRule>
    <cfRule type="expression" dxfId="24085" priority="2230">
      <formula>$A90="Tunnel"</formula>
    </cfRule>
    <cfRule type="expression" dxfId="24084" priority="2231">
      <formula>$A90="Bridge"</formula>
    </cfRule>
    <cfRule type="expression" dxfId="24083" priority="2232">
      <formula>$A90="Drainage Works"</formula>
    </cfRule>
    <cfRule type="expression" dxfId="24082" priority="2233">
      <formula>$A90="Underpass"</formula>
    </cfRule>
    <cfRule type="expression" dxfId="24081" priority="2234">
      <formula>$A90="Overcrossing"</formula>
    </cfRule>
    <cfRule type="expression" dxfId="24080" priority="2235">
      <formula>$A90="Overpass"</formula>
    </cfRule>
    <cfRule type="expression" dxfId="24079" priority="2236">
      <formula>$A90="Station"</formula>
    </cfRule>
    <cfRule type="expression" dxfId="24078" priority="2237">
      <formula>$A90="Overlap between sections"</formula>
    </cfRule>
  </conditionalFormatting>
  <conditionalFormatting sqref="K90:K96">
    <cfRule type="expression" dxfId="24077" priority="2224">
      <formula>$M90="NON DEFINED"</formula>
    </cfRule>
    <cfRule type="expression" dxfId="24076" priority="2225">
      <formula>$AZ90="N.D."</formula>
    </cfRule>
    <cfRule type="expression" dxfId="24075" priority="2226">
      <formula>$AY90="N.D."</formula>
    </cfRule>
  </conditionalFormatting>
  <conditionalFormatting sqref="K90:K96">
    <cfRule type="expression" dxfId="24074" priority="2213">
      <formula>$A90="Overhead Cable"</formula>
    </cfRule>
    <cfRule type="expression" dxfId="24073" priority="2214">
      <formula>$A90="Level Crossing"</formula>
    </cfRule>
    <cfRule type="expression" dxfId="24072" priority="2215">
      <formula>$A90="Neutral Section"</formula>
    </cfRule>
    <cfRule type="expression" dxfId="24071" priority="2216">
      <formula>$A90="Tunnel"</formula>
    </cfRule>
    <cfRule type="expression" dxfId="24070" priority="2217">
      <formula>$A90="Bridge"</formula>
    </cfRule>
    <cfRule type="expression" dxfId="24069" priority="2218">
      <formula>$A90="Drainage Works"</formula>
    </cfRule>
    <cfRule type="expression" dxfId="24068" priority="2219">
      <formula>$A90="Underpass"</formula>
    </cfRule>
    <cfRule type="expression" dxfId="24067" priority="2220">
      <formula>$A90="Overcrossing"</formula>
    </cfRule>
    <cfRule type="expression" dxfId="24066" priority="2221">
      <formula>$A90="Overpass"</formula>
    </cfRule>
    <cfRule type="expression" dxfId="24065" priority="2222">
      <formula>$A90="Station"</formula>
    </cfRule>
    <cfRule type="expression" dxfId="24064" priority="2223">
      <formula>$A90="Overlap between sections"</formula>
    </cfRule>
  </conditionalFormatting>
  <conditionalFormatting sqref="J106:J114">
    <cfRule type="expression" dxfId="24063" priority="2210">
      <formula>$M106="NON DEFINED"</formula>
    </cfRule>
    <cfRule type="expression" dxfId="24062" priority="2211">
      <formula>$AZ106="N.D."</formula>
    </cfRule>
    <cfRule type="expression" dxfId="24061" priority="2212">
      <formula>$AY106="N.D."</formula>
    </cfRule>
  </conditionalFormatting>
  <conditionalFormatting sqref="J106:J114">
    <cfRule type="expression" dxfId="24060" priority="2199">
      <formula>$A106="Overhead Cable"</formula>
    </cfRule>
    <cfRule type="expression" dxfId="24059" priority="2200">
      <formula>$A106="Level Crossing"</formula>
    </cfRule>
    <cfRule type="expression" dxfId="24058" priority="2201">
      <formula>$A106="Neutral Section"</formula>
    </cfRule>
    <cfRule type="expression" dxfId="24057" priority="2202">
      <formula>$A106="Tunnel"</formula>
    </cfRule>
    <cfRule type="expression" dxfId="24056" priority="2203">
      <formula>$A106="Bridge"</formula>
    </cfRule>
    <cfRule type="expression" dxfId="24055" priority="2204">
      <formula>$A106="Drainage Works"</formula>
    </cfRule>
    <cfRule type="expression" dxfId="24054" priority="2205">
      <formula>$A106="Underpass"</formula>
    </cfRule>
    <cfRule type="expression" dxfId="24053" priority="2206">
      <formula>$A106="Overcrossing"</formula>
    </cfRule>
    <cfRule type="expression" dxfId="24052" priority="2207">
      <formula>$A106="Overpass"</formula>
    </cfRule>
    <cfRule type="expression" dxfId="24051" priority="2208">
      <formula>$A106="Station"</formula>
    </cfRule>
    <cfRule type="expression" dxfId="24050" priority="2209">
      <formula>$A106="Overlap between sections"</formula>
    </cfRule>
  </conditionalFormatting>
  <conditionalFormatting sqref="I106:I114">
    <cfRule type="expression" dxfId="24049" priority="2196">
      <formula>$M106="NON DEFINED"</formula>
    </cfRule>
    <cfRule type="expression" dxfId="24048" priority="2197">
      <formula>$AZ106="N.D."</formula>
    </cfRule>
    <cfRule type="expression" dxfId="24047" priority="2198">
      <formula>$AY106="N.D."</formula>
    </cfRule>
  </conditionalFormatting>
  <conditionalFormatting sqref="I106:I114">
    <cfRule type="expression" dxfId="24046" priority="2185">
      <formula>$A106="Overhead Cable"</formula>
    </cfRule>
    <cfRule type="expression" dxfId="24045" priority="2186">
      <formula>$A106="Level Crossing"</formula>
    </cfRule>
    <cfRule type="expression" dxfId="24044" priority="2187">
      <formula>$A106="Neutral Section"</formula>
    </cfRule>
    <cfRule type="expression" dxfId="24043" priority="2188">
      <formula>$A106="Tunnel"</formula>
    </cfRule>
    <cfRule type="expression" dxfId="24042" priority="2189">
      <formula>$A106="Bridge"</formula>
    </cfRule>
    <cfRule type="expression" dxfId="24041" priority="2190">
      <formula>$A106="Drainage Works"</formula>
    </cfRule>
    <cfRule type="expression" dxfId="24040" priority="2191">
      <formula>$A106="Underpass"</formula>
    </cfRule>
    <cfRule type="expression" dxfId="24039" priority="2192">
      <formula>$A106="Overcrossing"</formula>
    </cfRule>
    <cfRule type="expression" dxfId="24038" priority="2193">
      <formula>$A106="Overpass"</formula>
    </cfRule>
    <cfRule type="expression" dxfId="24037" priority="2194">
      <formula>$A106="Station"</formula>
    </cfRule>
    <cfRule type="expression" dxfId="24036" priority="2195">
      <formula>$A106="Overlap between sections"</formula>
    </cfRule>
  </conditionalFormatting>
  <conditionalFormatting sqref="K106:K114">
    <cfRule type="expression" dxfId="24035" priority="2182">
      <formula>$M106="NON DEFINED"</formula>
    </cfRule>
    <cfRule type="expression" dxfId="24034" priority="2183">
      <formula>$AZ106="N.D."</formula>
    </cfRule>
    <cfRule type="expression" dxfId="24033" priority="2184">
      <formula>$AY106="N.D."</formula>
    </cfRule>
  </conditionalFormatting>
  <conditionalFormatting sqref="K106:K114">
    <cfRule type="expression" dxfId="24032" priority="2171">
      <formula>$A106="Overhead Cable"</formula>
    </cfRule>
    <cfRule type="expression" dxfId="24031" priority="2172">
      <formula>$A106="Level Crossing"</formula>
    </cfRule>
    <cfRule type="expression" dxfId="24030" priority="2173">
      <formula>$A106="Neutral Section"</formula>
    </cfRule>
    <cfRule type="expression" dxfId="24029" priority="2174">
      <formula>$A106="Tunnel"</formula>
    </cfRule>
    <cfRule type="expression" dxfId="24028" priority="2175">
      <formula>$A106="Bridge"</formula>
    </cfRule>
    <cfRule type="expression" dxfId="24027" priority="2176">
      <formula>$A106="Drainage Works"</formula>
    </cfRule>
    <cfRule type="expression" dxfId="24026" priority="2177">
      <formula>$A106="Underpass"</formula>
    </cfRule>
    <cfRule type="expression" dxfId="24025" priority="2178">
      <formula>$A106="Overcrossing"</formula>
    </cfRule>
    <cfRule type="expression" dxfId="24024" priority="2179">
      <formula>$A106="Overpass"</formula>
    </cfRule>
    <cfRule type="expression" dxfId="24023" priority="2180">
      <formula>$A106="Station"</formula>
    </cfRule>
    <cfRule type="expression" dxfId="24022" priority="2181">
      <formula>$A106="Overlap between sections"</formula>
    </cfRule>
  </conditionalFormatting>
  <conditionalFormatting sqref="A109">
    <cfRule type="expression" dxfId="24021" priority="2160">
      <formula>$A109="Overhead Cable"</formula>
    </cfRule>
    <cfRule type="expression" dxfId="24020" priority="2161">
      <formula>$A109="Level Crossing"</formula>
    </cfRule>
    <cfRule type="expression" dxfId="24019" priority="2162">
      <formula>$A109="Neutral Section"</formula>
    </cfRule>
    <cfRule type="expression" dxfId="24018" priority="2163">
      <formula>$A109="Tunnel"</formula>
    </cfRule>
    <cfRule type="expression" dxfId="24017" priority="2164">
      <formula>$A109="Bridge"</formula>
    </cfRule>
    <cfRule type="expression" dxfId="24016" priority="2165">
      <formula>$A109="Drainage Works"</formula>
    </cfRule>
    <cfRule type="expression" dxfId="24015" priority="2166">
      <formula>$A109="Underpass"</formula>
    </cfRule>
    <cfRule type="expression" dxfId="24014" priority="2167">
      <formula>$A109="Overcrossing"</formula>
    </cfRule>
    <cfRule type="expression" dxfId="24013" priority="2168">
      <formula>$A109="Overpass"</formula>
    </cfRule>
    <cfRule type="expression" dxfId="24012" priority="2169">
      <formula>$A109="Station"</formula>
    </cfRule>
    <cfRule type="expression" dxfId="24011" priority="2170">
      <formula>$A109="Overlap between sections"</formula>
    </cfRule>
  </conditionalFormatting>
  <conditionalFormatting sqref="I267:I277">
    <cfRule type="expression" dxfId="24010" priority="2115">
      <formula>$M267="NON DEFINED"</formula>
    </cfRule>
    <cfRule type="expression" dxfId="24009" priority="2116">
      <formula>$AZ267="N.D."</formula>
    </cfRule>
    <cfRule type="expression" dxfId="24008" priority="2117">
      <formula>$AY267="N.D."</formula>
    </cfRule>
  </conditionalFormatting>
  <conditionalFormatting sqref="I267:I277">
    <cfRule type="expression" dxfId="24007" priority="2104">
      <formula>$A267="Overhead Cable"</formula>
    </cfRule>
    <cfRule type="expression" dxfId="24006" priority="2105">
      <formula>$A267="Level Crossing"</formula>
    </cfRule>
    <cfRule type="expression" dxfId="24005" priority="2106">
      <formula>$A267="Neutral Section"</formula>
    </cfRule>
    <cfRule type="expression" dxfId="24004" priority="2107">
      <formula>$A267="Tunnel"</formula>
    </cfRule>
    <cfRule type="expression" dxfId="24003" priority="2108">
      <formula>$A267="Bridge"</formula>
    </cfRule>
    <cfRule type="expression" dxfId="24002" priority="2109">
      <formula>$A267="Drainage Works"</formula>
    </cfRule>
    <cfRule type="expression" dxfId="24001" priority="2110">
      <formula>$A267="Underpass"</formula>
    </cfRule>
    <cfRule type="expression" dxfId="24000" priority="2111">
      <formula>$A267="Overcrossing"</formula>
    </cfRule>
    <cfRule type="expression" dxfId="23999" priority="2112">
      <formula>$A267="Overpass"</formula>
    </cfRule>
    <cfRule type="expression" dxfId="23998" priority="2113">
      <formula>$A267="Station"</formula>
    </cfRule>
    <cfRule type="expression" dxfId="23997" priority="2114">
      <formula>$A267="Overlap between sections"</formula>
    </cfRule>
  </conditionalFormatting>
  <conditionalFormatting sqref="K277">
    <cfRule type="expression" dxfId="23996" priority="2101">
      <formula>$M277="NON DEFINED"</formula>
    </cfRule>
    <cfRule type="expression" dxfId="23995" priority="2102">
      <formula>$AZ277="N.D."</formula>
    </cfRule>
    <cfRule type="expression" dxfId="23994" priority="2103">
      <formula>$AY277="N.D."</formula>
    </cfRule>
  </conditionalFormatting>
  <conditionalFormatting sqref="K277">
    <cfRule type="expression" dxfId="23993" priority="2090">
      <formula>$A277="Overhead Cable"</formula>
    </cfRule>
    <cfRule type="expression" dxfId="23992" priority="2091">
      <formula>$A277="Level Crossing"</formula>
    </cfRule>
    <cfRule type="expression" dxfId="23991" priority="2092">
      <formula>$A277="Neutral Section"</formula>
    </cfRule>
    <cfRule type="expression" dxfId="23990" priority="2093">
      <formula>$A277="Tunnel"</formula>
    </cfRule>
    <cfRule type="expression" dxfId="23989" priority="2094">
      <formula>$A277="Bridge"</formula>
    </cfRule>
    <cfRule type="expression" dxfId="23988" priority="2095">
      <formula>$A277="Drainage Works"</formula>
    </cfRule>
    <cfRule type="expression" dxfId="23987" priority="2096">
      <formula>$A277="Underpass"</formula>
    </cfRule>
    <cfRule type="expression" dxfId="23986" priority="2097">
      <formula>$A277="Overcrossing"</formula>
    </cfRule>
    <cfRule type="expression" dxfId="23985" priority="2098">
      <formula>$A277="Overpass"</formula>
    </cfRule>
    <cfRule type="expression" dxfId="23984" priority="2099">
      <formula>$A277="Station"</formula>
    </cfRule>
    <cfRule type="expression" dxfId="23983" priority="2100">
      <formula>$A277="Overlap between sections"</formula>
    </cfRule>
  </conditionalFormatting>
  <conditionalFormatting sqref="K267">
    <cfRule type="expression" dxfId="23982" priority="2087">
      <formula>$M267="NON DEFINED"</formula>
    </cfRule>
    <cfRule type="expression" dxfId="23981" priority="2088">
      <formula>$AZ267="N.D."</formula>
    </cfRule>
    <cfRule type="expression" dxfId="23980" priority="2089">
      <formula>$AY267="N.D."</formula>
    </cfRule>
  </conditionalFormatting>
  <conditionalFormatting sqref="K267">
    <cfRule type="expression" dxfId="23979" priority="2076">
      <formula>$A267="Overhead Cable"</formula>
    </cfRule>
    <cfRule type="expression" dxfId="23978" priority="2077">
      <formula>$A267="Level Crossing"</formula>
    </cfRule>
    <cfRule type="expression" dxfId="23977" priority="2078">
      <formula>$A267="Neutral Section"</formula>
    </cfRule>
    <cfRule type="expression" dxfId="23976" priority="2079">
      <formula>$A267="Tunnel"</formula>
    </cfRule>
    <cfRule type="expression" dxfId="23975" priority="2080">
      <formula>$A267="Bridge"</formula>
    </cfRule>
    <cfRule type="expression" dxfId="23974" priority="2081">
      <formula>$A267="Drainage Works"</formula>
    </cfRule>
    <cfRule type="expression" dxfId="23973" priority="2082">
      <formula>$A267="Underpass"</formula>
    </cfRule>
    <cfRule type="expression" dxfId="23972" priority="2083">
      <formula>$A267="Overcrossing"</formula>
    </cfRule>
    <cfRule type="expression" dxfId="23971" priority="2084">
      <formula>$A267="Overpass"</formula>
    </cfRule>
    <cfRule type="expression" dxfId="23970" priority="2085">
      <formula>$A267="Station"</formula>
    </cfRule>
    <cfRule type="expression" dxfId="23969" priority="2086">
      <formula>$A267="Overlap between sections"</formula>
    </cfRule>
  </conditionalFormatting>
  <conditionalFormatting sqref="I297:I307">
    <cfRule type="expression" dxfId="23968" priority="2073">
      <formula>$M297="NON DEFINED"</formula>
    </cfRule>
    <cfRule type="expression" dxfId="23967" priority="2074">
      <formula>$AZ297="N.D."</formula>
    </cfRule>
    <cfRule type="expression" dxfId="23966" priority="2075">
      <formula>$AY297="N.D."</formula>
    </cfRule>
  </conditionalFormatting>
  <conditionalFormatting sqref="I297:I307">
    <cfRule type="expression" dxfId="23965" priority="2062">
      <formula>$A297="Overhead Cable"</formula>
    </cfRule>
    <cfRule type="expression" dxfId="23964" priority="2063">
      <formula>$A297="Level Crossing"</formula>
    </cfRule>
    <cfRule type="expression" dxfId="23963" priority="2064">
      <formula>$A297="Neutral Section"</formula>
    </cfRule>
    <cfRule type="expression" dxfId="23962" priority="2065">
      <formula>$A297="Tunnel"</formula>
    </cfRule>
    <cfRule type="expression" dxfId="23961" priority="2066">
      <formula>$A297="Bridge"</formula>
    </cfRule>
    <cfRule type="expression" dxfId="23960" priority="2067">
      <formula>$A297="Drainage Works"</formula>
    </cfRule>
    <cfRule type="expression" dxfId="23959" priority="2068">
      <formula>$A297="Underpass"</formula>
    </cfRule>
    <cfRule type="expression" dxfId="23958" priority="2069">
      <formula>$A297="Overcrossing"</formula>
    </cfRule>
    <cfRule type="expression" dxfId="23957" priority="2070">
      <formula>$A297="Overpass"</formula>
    </cfRule>
    <cfRule type="expression" dxfId="23956" priority="2071">
      <formula>$A297="Station"</formula>
    </cfRule>
    <cfRule type="expression" dxfId="23955" priority="2072">
      <formula>$A297="Overlap between sections"</formula>
    </cfRule>
  </conditionalFormatting>
  <conditionalFormatting sqref="K316:K318">
    <cfRule type="expression" dxfId="23954" priority="2059">
      <formula>$M316="NON DEFINED"</formula>
    </cfRule>
    <cfRule type="expression" dxfId="23953" priority="2060">
      <formula>$AZ316="N.D."</formula>
    </cfRule>
    <cfRule type="expression" dxfId="23952" priority="2061">
      <formula>$AY316="N.D."</formula>
    </cfRule>
  </conditionalFormatting>
  <conditionalFormatting sqref="K316:K318">
    <cfRule type="expression" dxfId="23951" priority="2048">
      <formula>$A316="Overhead Cable"</formula>
    </cfRule>
    <cfRule type="expression" dxfId="23950" priority="2049">
      <formula>$A316="Level Crossing"</formula>
    </cfRule>
    <cfRule type="expression" dxfId="23949" priority="2050">
      <formula>$A316="Neutral Section"</formula>
    </cfRule>
    <cfRule type="expression" dxfId="23948" priority="2051">
      <formula>$A316="Tunnel"</formula>
    </cfRule>
    <cfRule type="expression" dxfId="23947" priority="2052">
      <formula>$A316="Bridge"</formula>
    </cfRule>
    <cfRule type="expression" dxfId="23946" priority="2053">
      <formula>$A316="Drainage Works"</formula>
    </cfRule>
    <cfRule type="expression" dxfId="23945" priority="2054">
      <formula>$A316="Underpass"</formula>
    </cfRule>
    <cfRule type="expression" dxfId="23944" priority="2055">
      <formula>$A316="Overcrossing"</formula>
    </cfRule>
    <cfRule type="expression" dxfId="23943" priority="2056">
      <formula>$A316="Overpass"</formula>
    </cfRule>
    <cfRule type="expression" dxfId="23942" priority="2057">
      <formula>$A316="Station"</formula>
    </cfRule>
    <cfRule type="expression" dxfId="23941" priority="2058">
      <formula>$A316="Overlap between sections"</formula>
    </cfRule>
  </conditionalFormatting>
  <conditionalFormatting sqref="K315">
    <cfRule type="expression" dxfId="23940" priority="2045">
      <formula>$M315="NON DEFINED"</formula>
    </cfRule>
    <cfRule type="expression" dxfId="23939" priority="2046">
      <formula>$AZ315="N.D."</formula>
    </cfRule>
    <cfRule type="expression" dxfId="23938" priority="2047">
      <formula>$AY315="N.D."</formula>
    </cfRule>
  </conditionalFormatting>
  <conditionalFormatting sqref="K315">
    <cfRule type="expression" dxfId="23937" priority="2034">
      <formula>$A315="Overhead Cable"</formula>
    </cfRule>
    <cfRule type="expression" dxfId="23936" priority="2035">
      <formula>$A315="Level Crossing"</formula>
    </cfRule>
    <cfRule type="expression" dxfId="23935" priority="2036">
      <formula>$A315="Neutral Section"</formula>
    </cfRule>
    <cfRule type="expression" dxfId="23934" priority="2037">
      <formula>$A315="Tunnel"</formula>
    </cfRule>
    <cfRule type="expression" dxfId="23933" priority="2038">
      <formula>$A315="Bridge"</formula>
    </cfRule>
    <cfRule type="expression" dxfId="23932" priority="2039">
      <formula>$A315="Drainage Works"</formula>
    </cfRule>
    <cfRule type="expression" dxfId="23931" priority="2040">
      <formula>$A315="Underpass"</formula>
    </cfRule>
    <cfRule type="expression" dxfId="23930" priority="2041">
      <formula>$A315="Overcrossing"</formula>
    </cfRule>
    <cfRule type="expression" dxfId="23929" priority="2042">
      <formula>$A315="Overpass"</formula>
    </cfRule>
    <cfRule type="expression" dxfId="23928" priority="2043">
      <formula>$A315="Station"</formula>
    </cfRule>
    <cfRule type="expression" dxfId="23927" priority="2044">
      <formula>$A315="Overlap between sections"</formula>
    </cfRule>
  </conditionalFormatting>
  <conditionalFormatting sqref="K319">
    <cfRule type="expression" dxfId="23926" priority="2031">
      <formula>$M319="NON DEFINED"</formula>
    </cfRule>
    <cfRule type="expression" dxfId="23925" priority="2032">
      <formula>$AZ319="N.D."</formula>
    </cfRule>
    <cfRule type="expression" dxfId="23924" priority="2033">
      <formula>$AY319="N.D."</formula>
    </cfRule>
  </conditionalFormatting>
  <conditionalFormatting sqref="K319">
    <cfRule type="expression" dxfId="23923" priority="2020">
      <formula>$A319="Overhead Cable"</formula>
    </cfRule>
    <cfRule type="expression" dxfId="23922" priority="2021">
      <formula>$A319="Level Crossing"</formula>
    </cfRule>
    <cfRule type="expression" dxfId="23921" priority="2022">
      <formula>$A319="Neutral Section"</formula>
    </cfRule>
    <cfRule type="expression" dxfId="23920" priority="2023">
      <formula>$A319="Tunnel"</formula>
    </cfRule>
    <cfRule type="expression" dxfId="23919" priority="2024">
      <formula>$A319="Bridge"</formula>
    </cfRule>
    <cfRule type="expression" dxfId="23918" priority="2025">
      <formula>$A319="Drainage Works"</formula>
    </cfRule>
    <cfRule type="expression" dxfId="23917" priority="2026">
      <formula>$A319="Underpass"</formula>
    </cfRule>
    <cfRule type="expression" dxfId="23916" priority="2027">
      <formula>$A319="Overcrossing"</formula>
    </cfRule>
    <cfRule type="expression" dxfId="23915" priority="2028">
      <formula>$A319="Overpass"</formula>
    </cfRule>
    <cfRule type="expression" dxfId="23914" priority="2029">
      <formula>$A319="Station"</formula>
    </cfRule>
    <cfRule type="expression" dxfId="23913" priority="2030">
      <formula>$A319="Overlap between sections"</formula>
    </cfRule>
  </conditionalFormatting>
  <conditionalFormatting sqref="K351">
    <cfRule type="expression" dxfId="23912" priority="2017">
      <formula>$M351="NON DEFINED"</formula>
    </cfRule>
    <cfRule type="expression" dxfId="23911" priority="2018">
      <formula>$AZ351="N.D."</formula>
    </cfRule>
    <cfRule type="expression" dxfId="23910" priority="2019">
      <formula>$AY351="N.D."</formula>
    </cfRule>
  </conditionalFormatting>
  <conditionalFormatting sqref="K351">
    <cfRule type="expression" dxfId="23909" priority="2006">
      <formula>$A351="Overhead Cable"</formula>
    </cfRule>
    <cfRule type="expression" dxfId="23908" priority="2007">
      <formula>$A351="Level Crossing"</formula>
    </cfRule>
    <cfRule type="expression" dxfId="23907" priority="2008">
      <formula>$A351="Neutral Section"</formula>
    </cfRule>
    <cfRule type="expression" dxfId="23906" priority="2009">
      <formula>$A351="Tunnel"</formula>
    </cfRule>
    <cfRule type="expression" dxfId="23905" priority="2010">
      <formula>$A351="Bridge"</formula>
    </cfRule>
    <cfRule type="expression" dxfId="23904" priority="2011">
      <formula>$A351="Drainage Works"</formula>
    </cfRule>
    <cfRule type="expression" dxfId="23903" priority="2012">
      <formula>$A351="Underpass"</formula>
    </cfRule>
    <cfRule type="expression" dxfId="23902" priority="2013">
      <formula>$A351="Overcrossing"</formula>
    </cfRule>
    <cfRule type="expression" dxfId="23901" priority="2014">
      <formula>$A351="Overpass"</formula>
    </cfRule>
    <cfRule type="expression" dxfId="23900" priority="2015">
      <formula>$A351="Station"</formula>
    </cfRule>
    <cfRule type="expression" dxfId="23899" priority="2016">
      <formula>$A351="Overlap between sections"</formula>
    </cfRule>
  </conditionalFormatting>
  <conditionalFormatting sqref="H355">
    <cfRule type="expression" dxfId="23898" priority="2003">
      <formula>$M355="NON DEFINED"</formula>
    </cfRule>
    <cfRule type="expression" dxfId="23897" priority="2004">
      <formula>$AZ355="N.D."</formula>
    </cfRule>
    <cfRule type="expression" dxfId="23896" priority="2005">
      <formula>$AY355="N.D."</formula>
    </cfRule>
  </conditionalFormatting>
  <conditionalFormatting sqref="H355">
    <cfRule type="expression" dxfId="23895" priority="1992">
      <formula>$A355="Overhead Cable"</formula>
    </cfRule>
    <cfRule type="expression" dxfId="23894" priority="1993">
      <formula>$A355="Level Crossing"</formula>
    </cfRule>
    <cfRule type="expression" dxfId="23893" priority="1994">
      <formula>$A355="Neutral Section"</formula>
    </cfRule>
    <cfRule type="expression" dxfId="23892" priority="1995">
      <formula>$A355="Tunnel"</formula>
    </cfRule>
    <cfRule type="expression" dxfId="23891" priority="1996">
      <formula>$A355="Bridge"</formula>
    </cfRule>
    <cfRule type="expression" dxfId="23890" priority="1997">
      <formula>$A355="Drainage Works"</formula>
    </cfRule>
    <cfRule type="expression" dxfId="23889" priority="1998">
      <formula>$A355="Underpass"</formula>
    </cfRule>
    <cfRule type="expression" dxfId="23888" priority="1999">
      <formula>$A355="Overcrossing"</formula>
    </cfRule>
    <cfRule type="expression" dxfId="23887" priority="2000">
      <formula>$A355="Overpass"</formula>
    </cfRule>
    <cfRule type="expression" dxfId="23886" priority="2001">
      <formula>$A355="Station"</formula>
    </cfRule>
    <cfRule type="expression" dxfId="23885" priority="2002">
      <formula>$A355="Overlap between sections"</formula>
    </cfRule>
  </conditionalFormatting>
  <conditionalFormatting sqref="I355">
    <cfRule type="expression" dxfId="23884" priority="1989">
      <formula>$M355="NON DEFINED"</formula>
    </cfRule>
    <cfRule type="expression" dxfId="23883" priority="1990">
      <formula>$AZ355="N.D."</formula>
    </cfRule>
    <cfRule type="expression" dxfId="23882" priority="1991">
      <formula>$AY355="N.D."</formula>
    </cfRule>
  </conditionalFormatting>
  <conditionalFormatting sqref="I355">
    <cfRule type="expression" dxfId="23881" priority="1978">
      <formula>$A355="Overhead Cable"</formula>
    </cfRule>
    <cfRule type="expression" dxfId="23880" priority="1979">
      <formula>$A355="Level Crossing"</formula>
    </cfRule>
    <cfRule type="expression" dxfId="23879" priority="1980">
      <formula>$A355="Neutral Section"</formula>
    </cfRule>
    <cfRule type="expression" dxfId="23878" priority="1981">
      <formula>$A355="Tunnel"</formula>
    </cfRule>
    <cfRule type="expression" dxfId="23877" priority="1982">
      <formula>$A355="Bridge"</formula>
    </cfRule>
    <cfRule type="expression" dxfId="23876" priority="1983">
      <formula>$A355="Drainage Works"</formula>
    </cfRule>
    <cfRule type="expression" dxfId="23875" priority="1984">
      <formula>$A355="Underpass"</formula>
    </cfRule>
    <cfRule type="expression" dxfId="23874" priority="1985">
      <formula>$A355="Overcrossing"</formula>
    </cfRule>
    <cfRule type="expression" dxfId="23873" priority="1986">
      <formula>$A355="Overpass"</formula>
    </cfRule>
    <cfRule type="expression" dxfId="23872" priority="1987">
      <formula>$A355="Station"</formula>
    </cfRule>
    <cfRule type="expression" dxfId="23871" priority="1988">
      <formula>$A355="Overlap between sections"</formula>
    </cfRule>
  </conditionalFormatting>
  <conditionalFormatting sqref="K355">
    <cfRule type="expression" dxfId="23870" priority="1975">
      <formula>$M355="NON DEFINED"</formula>
    </cfRule>
    <cfRule type="expression" dxfId="23869" priority="1976">
      <formula>$AZ355="N.D."</formula>
    </cfRule>
    <cfRule type="expression" dxfId="23868" priority="1977">
      <formula>$AY355="N.D."</formula>
    </cfRule>
  </conditionalFormatting>
  <conditionalFormatting sqref="K355">
    <cfRule type="expression" dxfId="23867" priority="1964">
      <formula>$A355="Overhead Cable"</formula>
    </cfRule>
    <cfRule type="expression" dxfId="23866" priority="1965">
      <formula>$A355="Level Crossing"</formula>
    </cfRule>
    <cfRule type="expression" dxfId="23865" priority="1966">
      <formula>$A355="Neutral Section"</formula>
    </cfRule>
    <cfRule type="expression" dxfId="23864" priority="1967">
      <formula>$A355="Tunnel"</formula>
    </cfRule>
    <cfRule type="expression" dxfId="23863" priority="1968">
      <formula>$A355="Bridge"</formula>
    </cfRule>
    <cfRule type="expression" dxfId="23862" priority="1969">
      <formula>$A355="Drainage Works"</formula>
    </cfRule>
    <cfRule type="expression" dxfId="23861" priority="1970">
      <formula>$A355="Underpass"</formula>
    </cfRule>
    <cfRule type="expression" dxfId="23860" priority="1971">
      <formula>$A355="Overcrossing"</formula>
    </cfRule>
    <cfRule type="expression" dxfId="23859" priority="1972">
      <formula>$A355="Overpass"</formula>
    </cfRule>
    <cfRule type="expression" dxfId="23858" priority="1973">
      <formula>$A355="Station"</formula>
    </cfRule>
    <cfRule type="expression" dxfId="23857" priority="1974">
      <formula>$A355="Overlap between sections"</formula>
    </cfRule>
  </conditionalFormatting>
  <conditionalFormatting sqref="I349">
    <cfRule type="expression" dxfId="23856" priority="1961">
      <formula>$M349="NON DEFINED"</formula>
    </cfRule>
    <cfRule type="expression" dxfId="23855" priority="1962">
      <formula>$AZ349="N.D."</formula>
    </cfRule>
    <cfRule type="expression" dxfId="23854" priority="1963">
      <formula>$AY349="N.D."</formula>
    </cfRule>
  </conditionalFormatting>
  <conditionalFormatting sqref="I349">
    <cfRule type="expression" dxfId="23853" priority="1950">
      <formula>$A349="Overhead Cable"</formula>
    </cfRule>
    <cfRule type="expression" dxfId="23852" priority="1951">
      <formula>$A349="Level Crossing"</formula>
    </cfRule>
    <cfRule type="expression" dxfId="23851" priority="1952">
      <formula>$A349="Neutral Section"</formula>
    </cfRule>
    <cfRule type="expression" dxfId="23850" priority="1953">
      <formula>$A349="Tunnel"</formula>
    </cfRule>
    <cfRule type="expression" dxfId="23849" priority="1954">
      <formula>$A349="Bridge"</formula>
    </cfRule>
    <cfRule type="expression" dxfId="23848" priority="1955">
      <formula>$A349="Drainage Works"</formula>
    </cfRule>
    <cfRule type="expression" dxfId="23847" priority="1956">
      <formula>$A349="Underpass"</formula>
    </cfRule>
    <cfRule type="expression" dxfId="23846" priority="1957">
      <formula>$A349="Overcrossing"</formula>
    </cfRule>
    <cfRule type="expression" dxfId="23845" priority="1958">
      <formula>$A349="Overpass"</formula>
    </cfRule>
    <cfRule type="expression" dxfId="23844" priority="1959">
      <formula>$A349="Station"</formula>
    </cfRule>
    <cfRule type="expression" dxfId="23843" priority="1960">
      <formula>$A349="Overlap between sections"</formula>
    </cfRule>
  </conditionalFormatting>
  <conditionalFormatting sqref="K349">
    <cfRule type="expression" dxfId="23842" priority="1947">
      <formula>$M349="NON DEFINED"</formula>
    </cfRule>
    <cfRule type="expression" dxfId="23841" priority="1948">
      <formula>$AZ349="N.D."</formula>
    </cfRule>
    <cfRule type="expression" dxfId="23840" priority="1949">
      <formula>$AY349="N.D."</formula>
    </cfRule>
  </conditionalFormatting>
  <conditionalFormatting sqref="K349">
    <cfRule type="expression" dxfId="23839" priority="1936">
      <formula>$A349="Overhead Cable"</formula>
    </cfRule>
    <cfRule type="expression" dxfId="23838" priority="1937">
      <formula>$A349="Level Crossing"</formula>
    </cfRule>
    <cfRule type="expression" dxfId="23837" priority="1938">
      <formula>$A349="Neutral Section"</formula>
    </cfRule>
    <cfRule type="expression" dxfId="23836" priority="1939">
      <formula>$A349="Tunnel"</formula>
    </cfRule>
    <cfRule type="expression" dxfId="23835" priority="1940">
      <formula>$A349="Bridge"</formula>
    </cfRule>
    <cfRule type="expression" dxfId="23834" priority="1941">
      <formula>$A349="Drainage Works"</formula>
    </cfRule>
    <cfRule type="expression" dxfId="23833" priority="1942">
      <formula>$A349="Underpass"</formula>
    </cfRule>
    <cfRule type="expression" dxfId="23832" priority="1943">
      <formula>$A349="Overcrossing"</formula>
    </cfRule>
    <cfRule type="expression" dxfId="23831" priority="1944">
      <formula>$A349="Overpass"</formula>
    </cfRule>
    <cfRule type="expression" dxfId="23830" priority="1945">
      <formula>$A349="Station"</formula>
    </cfRule>
    <cfRule type="expression" dxfId="23829" priority="1946">
      <formula>$A349="Overlap between sections"</formula>
    </cfRule>
  </conditionalFormatting>
  <conditionalFormatting sqref="J389:J390">
    <cfRule type="expression" dxfId="23828" priority="1933">
      <formula>$M389="NON DEFINED"</formula>
    </cfRule>
    <cfRule type="expression" dxfId="23827" priority="1934">
      <formula>$AZ389="N.D."</formula>
    </cfRule>
    <cfRule type="expression" dxfId="23826" priority="1935">
      <formula>$AY389="N.D."</formula>
    </cfRule>
  </conditionalFormatting>
  <conditionalFormatting sqref="J389:J390">
    <cfRule type="expression" dxfId="23825" priority="1922">
      <formula>$A389="Overhead Cable"</formula>
    </cfRule>
    <cfRule type="expression" dxfId="23824" priority="1923">
      <formula>$A389="Level Crossing"</formula>
    </cfRule>
    <cfRule type="expression" dxfId="23823" priority="1924">
      <formula>$A389="Neutral Section"</formula>
    </cfRule>
    <cfRule type="expression" dxfId="23822" priority="1925">
      <formula>$A389="Tunnel"</formula>
    </cfRule>
    <cfRule type="expression" dxfId="23821" priority="1926">
      <formula>$A389="Bridge"</formula>
    </cfRule>
    <cfRule type="expression" dxfId="23820" priority="1927">
      <formula>$A389="Drainage Works"</formula>
    </cfRule>
    <cfRule type="expression" dxfId="23819" priority="1928">
      <formula>$A389="Underpass"</formula>
    </cfRule>
    <cfRule type="expression" dxfId="23818" priority="1929">
      <formula>$A389="Overcrossing"</formula>
    </cfRule>
    <cfRule type="expression" dxfId="23817" priority="1930">
      <formula>$A389="Overpass"</formula>
    </cfRule>
    <cfRule type="expression" dxfId="23816" priority="1931">
      <formula>$A389="Station"</formula>
    </cfRule>
    <cfRule type="expression" dxfId="23815" priority="1932">
      <formula>$A389="Overlap between sections"</formula>
    </cfRule>
  </conditionalFormatting>
  <conditionalFormatting sqref="I389:I390">
    <cfRule type="expression" dxfId="23814" priority="1919">
      <formula>$M389="NON DEFINED"</formula>
    </cfRule>
    <cfRule type="expression" dxfId="23813" priority="1920">
      <formula>$AZ389="N.D."</formula>
    </cfRule>
    <cfRule type="expression" dxfId="23812" priority="1921">
      <formula>$AY389="N.D."</formula>
    </cfRule>
  </conditionalFormatting>
  <conditionalFormatting sqref="I389:I390">
    <cfRule type="expression" dxfId="23811" priority="1908">
      <formula>$A389="Overhead Cable"</formula>
    </cfRule>
    <cfRule type="expression" dxfId="23810" priority="1909">
      <formula>$A389="Level Crossing"</formula>
    </cfRule>
    <cfRule type="expression" dxfId="23809" priority="1910">
      <formula>$A389="Neutral Section"</formula>
    </cfRule>
    <cfRule type="expression" dxfId="23808" priority="1911">
      <formula>$A389="Tunnel"</formula>
    </cfRule>
    <cfRule type="expression" dxfId="23807" priority="1912">
      <formula>$A389="Bridge"</formula>
    </cfRule>
    <cfRule type="expression" dxfId="23806" priority="1913">
      <formula>$A389="Drainage Works"</formula>
    </cfRule>
    <cfRule type="expression" dxfId="23805" priority="1914">
      <formula>$A389="Underpass"</formula>
    </cfRule>
    <cfRule type="expression" dxfId="23804" priority="1915">
      <formula>$A389="Overcrossing"</formula>
    </cfRule>
    <cfRule type="expression" dxfId="23803" priority="1916">
      <formula>$A389="Overpass"</formula>
    </cfRule>
    <cfRule type="expression" dxfId="23802" priority="1917">
      <formula>$A389="Station"</formula>
    </cfRule>
    <cfRule type="expression" dxfId="23801" priority="1918">
      <formula>$A389="Overlap between sections"</formula>
    </cfRule>
  </conditionalFormatting>
  <conditionalFormatting sqref="K389:K390">
    <cfRule type="expression" dxfId="23800" priority="1905">
      <formula>$M389="NON DEFINED"</formula>
    </cfRule>
    <cfRule type="expression" dxfId="23799" priority="1906">
      <formula>$AZ389="N.D."</formula>
    </cfRule>
    <cfRule type="expression" dxfId="23798" priority="1907">
      <formula>$AY389="N.D."</formula>
    </cfRule>
  </conditionalFormatting>
  <conditionalFormatting sqref="K389:K390">
    <cfRule type="expression" dxfId="23797" priority="1894">
      <formula>$A389="Overhead Cable"</formula>
    </cfRule>
    <cfRule type="expression" dxfId="23796" priority="1895">
      <formula>$A389="Level Crossing"</formula>
    </cfRule>
    <cfRule type="expression" dxfId="23795" priority="1896">
      <formula>$A389="Neutral Section"</formula>
    </cfRule>
    <cfRule type="expression" dxfId="23794" priority="1897">
      <formula>$A389="Tunnel"</formula>
    </cfRule>
    <cfRule type="expression" dxfId="23793" priority="1898">
      <formula>$A389="Bridge"</formula>
    </cfRule>
    <cfRule type="expression" dxfId="23792" priority="1899">
      <formula>$A389="Drainage Works"</formula>
    </cfRule>
    <cfRule type="expression" dxfId="23791" priority="1900">
      <formula>$A389="Underpass"</formula>
    </cfRule>
    <cfRule type="expression" dxfId="23790" priority="1901">
      <formula>$A389="Overcrossing"</formula>
    </cfRule>
    <cfRule type="expression" dxfId="23789" priority="1902">
      <formula>$A389="Overpass"</formula>
    </cfRule>
    <cfRule type="expression" dxfId="23788" priority="1903">
      <formula>$A389="Station"</formula>
    </cfRule>
    <cfRule type="expression" dxfId="23787" priority="1904">
      <formula>$A389="Overlap between sections"</formula>
    </cfRule>
  </conditionalFormatting>
  <conditionalFormatting sqref="BA727:BC901 BA903:BC1133 BA1135:BC1215 BA1219:BC1271 BA1273:BC1289 BA41:BC535 BA538:BC725">
    <cfRule type="expression" dxfId="23786" priority="1892">
      <formula>$BE41="A"</formula>
    </cfRule>
    <cfRule type="expression" dxfId="23785" priority="1893">
      <formula>$BE41="R"</formula>
    </cfRule>
  </conditionalFormatting>
  <conditionalFormatting sqref="BD168 BD170 BD174 BD186:BD190 BD192 BD194 BD196 BD198 BD200 BD202 BD204 BD206 BD208 BD216 BD218 BD220 BD224 BD176:BD184 BD222 BD226:BD402 BD449:BD475 BD477:BD495 BD587 BD591 BD897 BD899:BD901 BD931:BD933 BD935 BD937 BD1127:BD1129 BD1131:BD1133 BD1175 BD1177 BD1179 BD1181 BD1263 BD1265 BD1267:BD1271 BD442:BD447 BD939:BD1125 BD210:BD214 BD823:BD827 BD829:BD895 BD747:BD821 BD1135:BD1173 BD903:BD929 BD497:BD535 BD1183:BD1215 BD1219:BD1261 BD1273:BD1289 BD593:BD745 BD41:BD166 BD538:BD585">
    <cfRule type="containsText" dxfId="23784" priority="1891" operator="containsText" text="Poner a mano">
      <formula>NOT(ISERROR(SEARCH("Poner a mano",BD41)))</formula>
    </cfRule>
  </conditionalFormatting>
  <conditionalFormatting sqref="BC727:BC901 BC903:BC1133 BC1135:BC1215 BC1219:BC1271 BC1273:BC1289 BC41:BC535 BC538:BC725">
    <cfRule type="expression" dxfId="23783" priority="1890">
      <formula>$M41="U.S. N.D."</formula>
    </cfRule>
  </conditionalFormatting>
  <conditionalFormatting sqref="BB727:BB901 BB903:BB1133 BB1135:BB1215 BB1219:BB1271 BB1273:BB1289 BB41:BB535 BB538:BB725">
    <cfRule type="expression" dxfId="23782" priority="1888">
      <formula>$AZ41="N.D."</formula>
    </cfRule>
  </conditionalFormatting>
  <conditionalFormatting sqref="BA727:BA901 BA903:BA1133 BA1135:BA1215 BA1219:BA1271 BA1273:BA1289 BA41:BA535 BA538:BA725">
    <cfRule type="expression" dxfId="23781" priority="1889">
      <formula>$AY41="N.D."</formula>
    </cfRule>
  </conditionalFormatting>
  <conditionalFormatting sqref="AC77">
    <cfRule type="expression" dxfId="23780" priority="1877">
      <formula>$A77="Overhead Cable"</formula>
    </cfRule>
    <cfRule type="expression" dxfId="23779" priority="1878">
      <formula>$A77="Level Crossing"</formula>
    </cfRule>
    <cfRule type="expression" dxfId="23778" priority="1879">
      <formula>$A77="Neutral Section"</formula>
    </cfRule>
    <cfRule type="expression" dxfId="23777" priority="1880">
      <formula>$A77="Tunnel"</formula>
    </cfRule>
    <cfRule type="expression" dxfId="23776" priority="1881">
      <formula>$A77="Bridge"</formula>
    </cfRule>
    <cfRule type="expression" dxfId="23775" priority="1882">
      <formula>$A77="Drainage Works"</formula>
    </cfRule>
    <cfRule type="expression" dxfId="23774" priority="1883">
      <formula>$A77="Underpass"</formula>
    </cfRule>
    <cfRule type="expression" dxfId="23773" priority="1884">
      <formula>$A77="Overcrossing"</formula>
    </cfRule>
    <cfRule type="expression" dxfId="23772" priority="1885">
      <formula>$A77="Overpass"</formula>
    </cfRule>
    <cfRule type="expression" dxfId="23771" priority="1886">
      <formula>$A77="Station"</formula>
    </cfRule>
    <cfRule type="expression" dxfId="23770" priority="1887">
      <formula>$A77="Overlap between sections"</formula>
    </cfRule>
  </conditionalFormatting>
  <conditionalFormatting sqref="AC77">
    <cfRule type="expression" dxfId="23769" priority="1874">
      <formula>$M77="NON DEFINED"</formula>
    </cfRule>
    <cfRule type="expression" dxfId="23768" priority="1875">
      <formula>$AZ77="N.D."</formula>
    </cfRule>
    <cfRule type="expression" dxfId="23767" priority="1876">
      <formula>$AY77="N.D."</formula>
    </cfRule>
  </conditionalFormatting>
  <conditionalFormatting sqref="AD77">
    <cfRule type="expression" dxfId="23766" priority="1863">
      <formula>$A77="Overhead Cable"</formula>
    </cfRule>
    <cfRule type="expression" dxfId="23765" priority="1864">
      <formula>$A77="Level Crossing"</formula>
    </cfRule>
    <cfRule type="expression" dxfId="23764" priority="1865">
      <formula>$A77="Neutral Section"</formula>
    </cfRule>
    <cfRule type="expression" dxfId="23763" priority="1866">
      <formula>$A77="Tunnel"</formula>
    </cfRule>
    <cfRule type="expression" dxfId="23762" priority="1867">
      <formula>$A77="Bridge"</formula>
    </cfRule>
    <cfRule type="expression" dxfId="23761" priority="1868">
      <formula>$A77="Drainage Works"</formula>
    </cfRule>
    <cfRule type="expression" dxfId="23760" priority="1869">
      <formula>$A77="Underpass"</formula>
    </cfRule>
    <cfRule type="expression" dxfId="23759" priority="1870">
      <formula>$A77="Overcrossing"</formula>
    </cfRule>
    <cfRule type="expression" dxfId="23758" priority="1871">
      <formula>$A77="Overpass"</formula>
    </cfRule>
    <cfRule type="expression" dxfId="23757" priority="1872">
      <formula>$A77="Station"</formula>
    </cfRule>
    <cfRule type="expression" dxfId="23756" priority="1873">
      <formula>$A77="Overlap between sections"</formula>
    </cfRule>
  </conditionalFormatting>
  <conditionalFormatting sqref="AD77">
    <cfRule type="expression" dxfId="23755" priority="1860">
      <formula>$M77="NON DEFINED"</formula>
    </cfRule>
    <cfRule type="expression" dxfId="23754" priority="1861">
      <formula>$AZ77="N.D."</formula>
    </cfRule>
    <cfRule type="expression" dxfId="23753" priority="1862">
      <formula>$AY77="N.D."</formula>
    </cfRule>
  </conditionalFormatting>
  <conditionalFormatting sqref="AD75">
    <cfRule type="expression" dxfId="23752" priority="1849">
      <formula>$A75="Overhead Cable"</formula>
    </cfRule>
    <cfRule type="expression" dxfId="23751" priority="1850">
      <formula>$A75="Level Crossing"</formula>
    </cfRule>
    <cfRule type="expression" dxfId="23750" priority="1851">
      <formula>$A75="Neutral Section"</formula>
    </cfRule>
    <cfRule type="expression" dxfId="23749" priority="1852">
      <formula>$A75="Tunnel"</formula>
    </cfRule>
    <cfRule type="expression" dxfId="23748" priority="1853">
      <formula>$A75="Bridge"</formula>
    </cfRule>
    <cfRule type="expression" dxfId="23747" priority="1854">
      <formula>$A75="Drainage Works"</formula>
    </cfRule>
    <cfRule type="expression" dxfId="23746" priority="1855">
      <formula>$A75="Underpass"</formula>
    </cfRule>
    <cfRule type="expression" dxfId="23745" priority="1856">
      <formula>$A75="Overcrossing"</formula>
    </cfRule>
    <cfRule type="expression" dxfId="23744" priority="1857">
      <formula>$A75="Overpass"</formula>
    </cfRule>
    <cfRule type="expression" dxfId="23743" priority="1858">
      <formula>$A75="Station"</formula>
    </cfRule>
    <cfRule type="expression" dxfId="23742" priority="1859">
      <formula>$A75="Overlap between sections"</formula>
    </cfRule>
  </conditionalFormatting>
  <conditionalFormatting sqref="AD75">
    <cfRule type="expression" dxfId="23741" priority="1846">
      <formula>$M75="NON DEFINED"</formula>
    </cfRule>
    <cfRule type="expression" dxfId="23740" priority="1847">
      <formula>$AZ75="N.D."</formula>
    </cfRule>
    <cfRule type="expression" dxfId="23739" priority="1848">
      <formula>$AY75="N.D."</formula>
    </cfRule>
  </conditionalFormatting>
  <conditionalFormatting sqref="AD79">
    <cfRule type="expression" dxfId="23738" priority="1835">
      <formula>$A79="Overhead Cable"</formula>
    </cfRule>
    <cfRule type="expression" dxfId="23737" priority="1836">
      <formula>$A79="Level Crossing"</formula>
    </cfRule>
    <cfRule type="expression" dxfId="23736" priority="1837">
      <formula>$A79="Neutral Section"</formula>
    </cfRule>
    <cfRule type="expression" dxfId="23735" priority="1838">
      <formula>$A79="Tunnel"</formula>
    </cfRule>
    <cfRule type="expression" dxfId="23734" priority="1839">
      <formula>$A79="Bridge"</formula>
    </cfRule>
    <cfRule type="expression" dxfId="23733" priority="1840">
      <formula>$A79="Drainage Works"</formula>
    </cfRule>
    <cfRule type="expression" dxfId="23732" priority="1841">
      <formula>$A79="Underpass"</formula>
    </cfRule>
    <cfRule type="expression" dxfId="23731" priority="1842">
      <formula>$A79="Overcrossing"</formula>
    </cfRule>
    <cfRule type="expression" dxfId="23730" priority="1843">
      <formula>$A79="Overpass"</formula>
    </cfRule>
    <cfRule type="expression" dxfId="23729" priority="1844">
      <formula>$A79="Station"</formula>
    </cfRule>
    <cfRule type="expression" dxfId="23728" priority="1845">
      <formula>$A79="Overlap between sections"</formula>
    </cfRule>
  </conditionalFormatting>
  <conditionalFormatting sqref="AD79">
    <cfRule type="expression" dxfId="23727" priority="1832">
      <formula>$M79="NON DEFINED"</formula>
    </cfRule>
    <cfRule type="expression" dxfId="23726" priority="1833">
      <formula>$AZ79="N.D."</formula>
    </cfRule>
    <cfRule type="expression" dxfId="23725" priority="1834">
      <formula>$AY79="N.D."</formula>
    </cfRule>
  </conditionalFormatting>
  <conditionalFormatting sqref="AC81">
    <cfRule type="expression" dxfId="23724" priority="1821">
      <formula>$A81="Overhead Cable"</formula>
    </cfRule>
    <cfRule type="expression" dxfId="23723" priority="1822">
      <formula>$A81="Level Crossing"</formula>
    </cfRule>
    <cfRule type="expression" dxfId="23722" priority="1823">
      <formula>$A81="Neutral Section"</formula>
    </cfRule>
    <cfRule type="expression" dxfId="23721" priority="1824">
      <formula>$A81="Tunnel"</formula>
    </cfRule>
    <cfRule type="expression" dxfId="23720" priority="1825">
      <formula>$A81="Bridge"</formula>
    </cfRule>
    <cfRule type="expression" dxfId="23719" priority="1826">
      <formula>$A81="Drainage Works"</formula>
    </cfRule>
    <cfRule type="expression" dxfId="23718" priority="1827">
      <formula>$A81="Underpass"</formula>
    </cfRule>
    <cfRule type="expression" dxfId="23717" priority="1828">
      <formula>$A81="Overcrossing"</formula>
    </cfRule>
    <cfRule type="expression" dxfId="23716" priority="1829">
      <formula>$A81="Overpass"</formula>
    </cfRule>
    <cfRule type="expression" dxfId="23715" priority="1830">
      <formula>$A81="Station"</formula>
    </cfRule>
    <cfRule type="expression" dxfId="23714" priority="1831">
      <formula>$A81="Overlap between sections"</formula>
    </cfRule>
  </conditionalFormatting>
  <conditionalFormatting sqref="AC81">
    <cfRule type="expression" dxfId="23713" priority="1818">
      <formula>$M81="NON DEFINED"</formula>
    </cfRule>
    <cfRule type="expression" dxfId="23712" priority="1819">
      <formula>$AZ81="N.D."</formula>
    </cfRule>
    <cfRule type="expression" dxfId="23711" priority="1820">
      <formula>$AY81="N.D."</formula>
    </cfRule>
  </conditionalFormatting>
  <conditionalFormatting sqref="AD247">
    <cfRule type="expression" dxfId="23710" priority="1807">
      <formula>$A247="Overhead Cable"</formula>
    </cfRule>
    <cfRule type="expression" dxfId="23709" priority="1808">
      <formula>$A247="Level Crossing"</formula>
    </cfRule>
    <cfRule type="expression" dxfId="23708" priority="1809">
      <formula>$A247="Neutral Section"</formula>
    </cfRule>
    <cfRule type="expression" dxfId="23707" priority="1810">
      <formula>$A247="Tunnel"</formula>
    </cfRule>
    <cfRule type="expression" dxfId="23706" priority="1811">
      <formula>$A247="Bridge"</formula>
    </cfRule>
    <cfRule type="expression" dxfId="23705" priority="1812">
      <formula>$A247="Drainage Works"</formula>
    </cfRule>
    <cfRule type="expression" dxfId="23704" priority="1813">
      <formula>$A247="Underpass"</formula>
    </cfRule>
    <cfRule type="expression" dxfId="23703" priority="1814">
      <formula>$A247="Overcrossing"</formula>
    </cfRule>
    <cfRule type="expression" dxfId="23702" priority="1815">
      <formula>$A247="Overpass"</formula>
    </cfRule>
    <cfRule type="expression" dxfId="23701" priority="1816">
      <formula>$A247="Station"</formula>
    </cfRule>
    <cfRule type="expression" dxfId="23700" priority="1817">
      <formula>$A247="Overlap between sections"</formula>
    </cfRule>
  </conditionalFormatting>
  <conditionalFormatting sqref="AD247">
    <cfRule type="expression" dxfId="23699" priority="1804">
      <formula>$M247="NON DEFINED"</formula>
    </cfRule>
    <cfRule type="expression" dxfId="23698" priority="1805">
      <formula>$AZ247="N.D."</formula>
    </cfRule>
    <cfRule type="expression" dxfId="23697" priority="1806">
      <formula>$AY247="N.D."</formula>
    </cfRule>
  </conditionalFormatting>
  <conditionalFormatting sqref="AC253">
    <cfRule type="expression" dxfId="23696" priority="1793">
      <formula>$A253="Overhead Cable"</formula>
    </cfRule>
    <cfRule type="expression" dxfId="23695" priority="1794">
      <formula>$A253="Level Crossing"</formula>
    </cfRule>
    <cfRule type="expression" dxfId="23694" priority="1795">
      <formula>$A253="Neutral Section"</formula>
    </cfRule>
    <cfRule type="expression" dxfId="23693" priority="1796">
      <formula>$A253="Tunnel"</formula>
    </cfRule>
    <cfRule type="expression" dxfId="23692" priority="1797">
      <formula>$A253="Bridge"</formula>
    </cfRule>
    <cfRule type="expression" dxfId="23691" priority="1798">
      <formula>$A253="Drainage Works"</formula>
    </cfRule>
    <cfRule type="expression" dxfId="23690" priority="1799">
      <formula>$A253="Underpass"</formula>
    </cfRule>
    <cfRule type="expression" dxfId="23689" priority="1800">
      <formula>$A253="Overcrossing"</formula>
    </cfRule>
    <cfRule type="expression" dxfId="23688" priority="1801">
      <formula>$A253="Overpass"</formula>
    </cfRule>
    <cfRule type="expression" dxfId="23687" priority="1802">
      <formula>$A253="Station"</formula>
    </cfRule>
    <cfRule type="expression" dxfId="23686" priority="1803">
      <formula>$A253="Overlap between sections"</formula>
    </cfRule>
  </conditionalFormatting>
  <conditionalFormatting sqref="AC253">
    <cfRule type="expression" dxfId="23685" priority="1790">
      <formula>$M253="NON DEFINED"</formula>
    </cfRule>
    <cfRule type="expression" dxfId="23684" priority="1791">
      <formula>$AZ253="N.D."</formula>
    </cfRule>
    <cfRule type="expression" dxfId="23683" priority="1792">
      <formula>$AY253="N.D."</formula>
    </cfRule>
  </conditionalFormatting>
  <conditionalFormatting sqref="AC249">
    <cfRule type="expression" dxfId="23682" priority="1779">
      <formula>$A249="Overhead Cable"</formula>
    </cfRule>
    <cfRule type="expression" dxfId="23681" priority="1780">
      <formula>$A249="Level Crossing"</formula>
    </cfRule>
    <cfRule type="expression" dxfId="23680" priority="1781">
      <formula>$A249="Neutral Section"</formula>
    </cfRule>
    <cfRule type="expression" dxfId="23679" priority="1782">
      <formula>$A249="Tunnel"</formula>
    </cfRule>
    <cfRule type="expression" dxfId="23678" priority="1783">
      <formula>$A249="Bridge"</formula>
    </cfRule>
    <cfRule type="expression" dxfId="23677" priority="1784">
      <formula>$A249="Drainage Works"</formula>
    </cfRule>
    <cfRule type="expression" dxfId="23676" priority="1785">
      <formula>$A249="Underpass"</formula>
    </cfRule>
    <cfRule type="expression" dxfId="23675" priority="1786">
      <formula>$A249="Overcrossing"</formula>
    </cfRule>
    <cfRule type="expression" dxfId="23674" priority="1787">
      <formula>$A249="Overpass"</formula>
    </cfRule>
    <cfRule type="expression" dxfId="23673" priority="1788">
      <formula>$A249="Station"</formula>
    </cfRule>
    <cfRule type="expression" dxfId="23672" priority="1789">
      <formula>$A249="Overlap between sections"</formula>
    </cfRule>
  </conditionalFormatting>
  <conditionalFormatting sqref="AC249">
    <cfRule type="expression" dxfId="23671" priority="1776">
      <formula>$M249="NON DEFINED"</formula>
    </cfRule>
    <cfRule type="expression" dxfId="23670" priority="1777">
      <formula>$AZ249="N.D."</formula>
    </cfRule>
    <cfRule type="expression" dxfId="23669" priority="1778">
      <formula>$AY249="N.D."</formula>
    </cfRule>
  </conditionalFormatting>
  <conditionalFormatting sqref="AC251">
    <cfRule type="expression" dxfId="23668" priority="1765">
      <formula>$A251="Overhead Cable"</formula>
    </cfRule>
    <cfRule type="expression" dxfId="23667" priority="1766">
      <formula>$A251="Level Crossing"</formula>
    </cfRule>
    <cfRule type="expression" dxfId="23666" priority="1767">
      <formula>$A251="Neutral Section"</formula>
    </cfRule>
    <cfRule type="expression" dxfId="23665" priority="1768">
      <formula>$A251="Tunnel"</formula>
    </cfRule>
    <cfRule type="expression" dxfId="23664" priority="1769">
      <formula>$A251="Bridge"</formula>
    </cfRule>
    <cfRule type="expression" dxfId="23663" priority="1770">
      <formula>$A251="Drainage Works"</formula>
    </cfRule>
    <cfRule type="expression" dxfId="23662" priority="1771">
      <formula>$A251="Underpass"</formula>
    </cfRule>
    <cfRule type="expression" dxfId="23661" priority="1772">
      <formula>$A251="Overcrossing"</formula>
    </cfRule>
    <cfRule type="expression" dxfId="23660" priority="1773">
      <formula>$A251="Overpass"</formula>
    </cfRule>
    <cfRule type="expression" dxfId="23659" priority="1774">
      <formula>$A251="Station"</formula>
    </cfRule>
    <cfRule type="expression" dxfId="23658" priority="1775">
      <formula>$A251="Overlap between sections"</formula>
    </cfRule>
  </conditionalFormatting>
  <conditionalFormatting sqref="AC251">
    <cfRule type="expression" dxfId="23657" priority="1762">
      <formula>$M251="NON DEFINED"</formula>
    </cfRule>
    <cfRule type="expression" dxfId="23656" priority="1763">
      <formula>$AZ251="N.D."</formula>
    </cfRule>
    <cfRule type="expression" dxfId="23655" priority="1764">
      <formula>$AY251="N.D."</formula>
    </cfRule>
  </conditionalFormatting>
  <conditionalFormatting sqref="AD251">
    <cfRule type="expression" dxfId="23654" priority="1751">
      <formula>$A251="Overhead Cable"</formula>
    </cfRule>
    <cfRule type="expression" dxfId="23653" priority="1752">
      <formula>$A251="Level Crossing"</formula>
    </cfRule>
    <cfRule type="expression" dxfId="23652" priority="1753">
      <formula>$A251="Neutral Section"</formula>
    </cfRule>
    <cfRule type="expression" dxfId="23651" priority="1754">
      <formula>$A251="Tunnel"</formula>
    </cfRule>
    <cfRule type="expression" dxfId="23650" priority="1755">
      <formula>$A251="Bridge"</formula>
    </cfRule>
    <cfRule type="expression" dxfId="23649" priority="1756">
      <formula>$A251="Drainage Works"</formula>
    </cfRule>
    <cfRule type="expression" dxfId="23648" priority="1757">
      <formula>$A251="Underpass"</formula>
    </cfRule>
    <cfRule type="expression" dxfId="23647" priority="1758">
      <formula>$A251="Overcrossing"</formula>
    </cfRule>
    <cfRule type="expression" dxfId="23646" priority="1759">
      <formula>$A251="Overpass"</formula>
    </cfRule>
    <cfRule type="expression" dxfId="23645" priority="1760">
      <formula>$A251="Station"</formula>
    </cfRule>
    <cfRule type="expression" dxfId="23644" priority="1761">
      <formula>$A251="Overlap between sections"</formula>
    </cfRule>
  </conditionalFormatting>
  <conditionalFormatting sqref="AD251">
    <cfRule type="expression" dxfId="23643" priority="1748">
      <formula>$M251="NON DEFINED"</formula>
    </cfRule>
    <cfRule type="expression" dxfId="23642" priority="1749">
      <formula>$AZ251="N.D."</formula>
    </cfRule>
    <cfRule type="expression" dxfId="23641" priority="1750">
      <formula>$AY251="N.D."</formula>
    </cfRule>
  </conditionalFormatting>
  <conditionalFormatting sqref="J5:J40 G19:G44 B5:H40 L5:AZ40">
    <cfRule type="expression" dxfId="23640" priority="1745">
      <formula>$M5="NON DEFINED"</formula>
    </cfRule>
    <cfRule type="expression" dxfId="23639" priority="1746">
      <formula>$AZ5="N.D."</formula>
    </cfRule>
    <cfRule type="expression" dxfId="23638" priority="1747">
      <formula>$AY5="N.D."</formula>
    </cfRule>
  </conditionalFormatting>
  <conditionalFormatting sqref="J5:J40 G19:G44 A5:H40 L5:AZ40">
    <cfRule type="expression" dxfId="23637" priority="1734">
      <formula>$A5="Overhead Cable"</formula>
    </cfRule>
    <cfRule type="expression" dxfId="23636" priority="1735">
      <formula>$A5="Level Crossing"</formula>
    </cfRule>
    <cfRule type="expression" dxfId="23635" priority="1736">
      <formula>$A5="Neutral Section"</formula>
    </cfRule>
    <cfRule type="expression" dxfId="23634" priority="1737">
      <formula>$A5="Tunnel"</formula>
    </cfRule>
    <cfRule type="expression" dxfId="23633" priority="1738">
      <formula>$A5="Bridge"</formula>
    </cfRule>
    <cfRule type="expression" dxfId="23632" priority="1739">
      <formula>$A5="Drainage Works"</formula>
    </cfRule>
    <cfRule type="expression" dxfId="23631" priority="1740">
      <formula>$A5="Underpass"</formula>
    </cfRule>
    <cfRule type="expression" dxfId="23630" priority="1741">
      <formula>$A5="Overcrossing"</formula>
    </cfRule>
    <cfRule type="expression" dxfId="23629" priority="1742">
      <formula>$A5="Overpass"</formula>
    </cfRule>
    <cfRule type="expression" dxfId="23628" priority="1743">
      <formula>$A5="Station"</formula>
    </cfRule>
    <cfRule type="expression" dxfId="23627" priority="1744">
      <formula>$A5="Overlap between sections"</formula>
    </cfRule>
  </conditionalFormatting>
  <conditionalFormatting sqref="AN5:AP40">
    <cfRule type="cellIs" dxfId="23626" priority="1733" operator="notEqual">
      <formula>5.5</formula>
    </cfRule>
  </conditionalFormatting>
  <conditionalFormatting sqref="B5:B40">
    <cfRule type="expression" dxfId="23625" priority="1732">
      <formula>AND($AH5&gt;2499,$AH5&lt;2901)</formula>
    </cfRule>
  </conditionalFormatting>
  <conditionalFormatting sqref="I5:I40">
    <cfRule type="expression" dxfId="23624" priority="1729">
      <formula>$M5="NON DEFINED"</formula>
    </cfRule>
    <cfRule type="expression" dxfId="23623" priority="1730">
      <formula>$AZ5="N.D."</formula>
    </cfRule>
    <cfRule type="expression" dxfId="23622" priority="1731">
      <formula>$AY5="N.D."</formula>
    </cfRule>
  </conditionalFormatting>
  <conditionalFormatting sqref="I5:I40">
    <cfRule type="expression" dxfId="23621" priority="1718">
      <formula>$A5="Overhead Cable"</formula>
    </cfRule>
    <cfRule type="expression" dxfId="23620" priority="1719">
      <formula>$A5="Level Crossing"</formula>
    </cfRule>
    <cfRule type="expression" dxfId="23619" priority="1720">
      <formula>$A5="Neutral Section"</formula>
    </cfRule>
    <cfRule type="expression" dxfId="23618" priority="1721">
      <formula>$A5="Tunnel"</formula>
    </cfRule>
    <cfRule type="expression" dxfId="23617" priority="1722">
      <formula>$A5="Bridge"</formula>
    </cfRule>
    <cfRule type="expression" dxfId="23616" priority="1723">
      <formula>$A5="Drainage Works"</formula>
    </cfRule>
    <cfRule type="expression" dxfId="23615" priority="1724">
      <formula>$A5="Underpass"</formula>
    </cfRule>
    <cfRule type="expression" dxfId="23614" priority="1725">
      <formula>$A5="Overcrossing"</formula>
    </cfRule>
    <cfRule type="expression" dxfId="23613" priority="1726">
      <formula>$A5="Overpass"</formula>
    </cfRule>
    <cfRule type="expression" dxfId="23612" priority="1727">
      <formula>$A5="Station"</formula>
    </cfRule>
    <cfRule type="expression" dxfId="23611" priority="1728">
      <formula>$A5="Overlap between sections"</formula>
    </cfRule>
  </conditionalFormatting>
  <conditionalFormatting sqref="K5:K40">
    <cfRule type="expression" dxfId="23610" priority="1715">
      <formula>$M5="NON DEFINED"</formula>
    </cfRule>
    <cfRule type="expression" dxfId="23609" priority="1716">
      <formula>$AZ5="N.D."</formula>
    </cfRule>
    <cfRule type="expression" dxfId="23608" priority="1717">
      <formula>$AY5="N.D."</formula>
    </cfRule>
  </conditionalFormatting>
  <conditionalFormatting sqref="K5:K40">
    <cfRule type="expression" dxfId="23607" priority="1704">
      <formula>$A5="Overhead Cable"</formula>
    </cfRule>
    <cfRule type="expression" dxfId="23606" priority="1705">
      <formula>$A5="Level Crossing"</formula>
    </cfRule>
    <cfRule type="expression" dxfId="23605" priority="1706">
      <formula>$A5="Neutral Section"</formula>
    </cfRule>
    <cfRule type="expression" dxfId="23604" priority="1707">
      <formula>$A5="Tunnel"</formula>
    </cfRule>
    <cfRule type="expression" dxfId="23603" priority="1708">
      <formula>$A5="Bridge"</formula>
    </cfRule>
    <cfRule type="expression" dxfId="23602" priority="1709">
      <formula>$A5="Drainage Works"</formula>
    </cfRule>
    <cfRule type="expression" dxfId="23601" priority="1710">
      <formula>$A5="Underpass"</formula>
    </cfRule>
    <cfRule type="expression" dxfId="23600" priority="1711">
      <formula>$A5="Overcrossing"</formula>
    </cfRule>
    <cfRule type="expression" dxfId="23599" priority="1712">
      <formula>$A5="Overpass"</formula>
    </cfRule>
    <cfRule type="expression" dxfId="23598" priority="1713">
      <formula>$A5="Station"</formula>
    </cfRule>
    <cfRule type="expression" dxfId="23597" priority="1714">
      <formula>$A5="Overlap between sections"</formula>
    </cfRule>
  </conditionalFormatting>
  <conditionalFormatting sqref="BA5:BC40">
    <cfRule type="expression" dxfId="23596" priority="1702">
      <formula>$BE5="A"</formula>
    </cfRule>
    <cfRule type="expression" dxfId="23595" priority="1703">
      <formula>$BE5="R"</formula>
    </cfRule>
  </conditionalFormatting>
  <conditionalFormatting sqref="BD5:BD40">
    <cfRule type="containsText" dxfId="23594" priority="1701" operator="containsText" text="Poner a mano">
      <formula>NOT(ISERROR(SEARCH("Poner a mano",BD5)))</formula>
    </cfRule>
  </conditionalFormatting>
  <conditionalFormatting sqref="BC5:BC40">
    <cfRule type="expression" dxfId="23593" priority="1700">
      <formula>$M5="U.S. N.D."</formula>
    </cfRule>
  </conditionalFormatting>
  <conditionalFormatting sqref="BB5:BB40">
    <cfRule type="expression" dxfId="23592" priority="1698">
      <formula>$AZ5="N.D."</formula>
    </cfRule>
  </conditionalFormatting>
  <conditionalFormatting sqref="BA5:BA40">
    <cfRule type="expression" dxfId="23591" priority="1699">
      <formula>$AY5="N.D."</formula>
    </cfRule>
  </conditionalFormatting>
  <conditionalFormatting sqref="L42">
    <cfRule type="expression" dxfId="23590" priority="1695">
      <formula>$M42="NON DEFINED"</formula>
    </cfRule>
    <cfRule type="expression" dxfId="23589" priority="1696">
      <formula>$AZ42="N.D."</formula>
    </cfRule>
    <cfRule type="expression" dxfId="23588" priority="1697">
      <formula>$AY42="N.D."</formula>
    </cfRule>
  </conditionalFormatting>
  <conditionalFormatting sqref="L42">
    <cfRule type="expression" dxfId="23587" priority="1684">
      <formula>$A42="Overhead Cable"</formula>
    </cfRule>
    <cfRule type="expression" dxfId="23586" priority="1685">
      <formula>$A42="Level Crossing"</formula>
    </cfRule>
    <cfRule type="expression" dxfId="23585" priority="1686">
      <formula>$A42="Neutral Section"</formula>
    </cfRule>
    <cfRule type="expression" dxfId="23584" priority="1687">
      <formula>$A42="Tunnel"</formula>
    </cfRule>
    <cfRule type="expression" dxfId="23583" priority="1688">
      <formula>$A42="Bridge"</formula>
    </cfRule>
    <cfRule type="expression" dxfId="23582" priority="1689">
      <formula>$A42="Drainage Works"</formula>
    </cfRule>
    <cfRule type="expression" dxfId="23581" priority="1690">
      <formula>$A42="Underpass"</formula>
    </cfRule>
    <cfRule type="expression" dxfId="23580" priority="1691">
      <formula>$A42="Overcrossing"</formula>
    </cfRule>
    <cfRule type="expression" dxfId="23579" priority="1692">
      <formula>$A42="Overpass"</formula>
    </cfRule>
    <cfRule type="expression" dxfId="23578" priority="1693">
      <formula>$A42="Station"</formula>
    </cfRule>
    <cfRule type="expression" dxfId="23577" priority="1694">
      <formula>$A42="Overlap between sections"</formula>
    </cfRule>
  </conditionalFormatting>
  <conditionalFormatting sqref="L46">
    <cfRule type="expression" dxfId="23576" priority="1681">
      <formula>$M46="NON DEFINED"</formula>
    </cfRule>
    <cfRule type="expression" dxfId="23575" priority="1682">
      <formula>$AZ46="N.D."</formula>
    </cfRule>
    <cfRule type="expression" dxfId="23574" priority="1683">
      <formula>$AY46="N.D."</formula>
    </cfRule>
  </conditionalFormatting>
  <conditionalFormatting sqref="L46">
    <cfRule type="expression" dxfId="23573" priority="1670">
      <formula>$A46="Overhead Cable"</formula>
    </cfRule>
    <cfRule type="expression" dxfId="23572" priority="1671">
      <formula>$A46="Level Crossing"</formula>
    </cfRule>
    <cfRule type="expression" dxfId="23571" priority="1672">
      <formula>$A46="Neutral Section"</formula>
    </cfRule>
    <cfRule type="expression" dxfId="23570" priority="1673">
      <formula>$A46="Tunnel"</formula>
    </cfRule>
    <cfRule type="expression" dxfId="23569" priority="1674">
      <formula>$A46="Bridge"</formula>
    </cfRule>
    <cfRule type="expression" dxfId="23568" priority="1675">
      <formula>$A46="Drainage Works"</formula>
    </cfRule>
    <cfRule type="expression" dxfId="23567" priority="1676">
      <formula>$A46="Underpass"</formula>
    </cfRule>
    <cfRule type="expression" dxfId="23566" priority="1677">
      <formula>$A46="Overcrossing"</formula>
    </cfRule>
    <cfRule type="expression" dxfId="23565" priority="1678">
      <formula>$A46="Overpass"</formula>
    </cfRule>
    <cfRule type="expression" dxfId="23564" priority="1679">
      <formula>$A46="Station"</formula>
    </cfRule>
    <cfRule type="expression" dxfId="23563" priority="1680">
      <formula>$A46="Overlap between sections"</formula>
    </cfRule>
  </conditionalFormatting>
  <conditionalFormatting sqref="L48">
    <cfRule type="expression" dxfId="23562" priority="1667">
      <formula>$M48="NON DEFINED"</formula>
    </cfRule>
    <cfRule type="expression" dxfId="23561" priority="1668">
      <formula>$AZ48="N.D."</formula>
    </cfRule>
    <cfRule type="expression" dxfId="23560" priority="1669">
      <formula>$AY48="N.D."</formula>
    </cfRule>
  </conditionalFormatting>
  <conditionalFormatting sqref="L48">
    <cfRule type="expression" dxfId="23559" priority="1656">
      <formula>$A48="Overhead Cable"</formula>
    </cfRule>
    <cfRule type="expression" dxfId="23558" priority="1657">
      <formula>$A48="Level Crossing"</formula>
    </cfRule>
    <cfRule type="expression" dxfId="23557" priority="1658">
      <formula>$A48="Neutral Section"</formula>
    </cfRule>
    <cfRule type="expression" dxfId="23556" priority="1659">
      <formula>$A48="Tunnel"</formula>
    </cfRule>
    <cfRule type="expression" dxfId="23555" priority="1660">
      <formula>$A48="Bridge"</formula>
    </cfRule>
    <cfRule type="expression" dxfId="23554" priority="1661">
      <formula>$A48="Drainage Works"</formula>
    </cfRule>
    <cfRule type="expression" dxfId="23553" priority="1662">
      <formula>$A48="Underpass"</formula>
    </cfRule>
    <cfRule type="expression" dxfId="23552" priority="1663">
      <formula>$A48="Overcrossing"</formula>
    </cfRule>
    <cfRule type="expression" dxfId="23551" priority="1664">
      <formula>$A48="Overpass"</formula>
    </cfRule>
    <cfRule type="expression" dxfId="23550" priority="1665">
      <formula>$A48="Station"</formula>
    </cfRule>
    <cfRule type="expression" dxfId="23549" priority="1666">
      <formula>$A48="Overlap between sections"</formula>
    </cfRule>
  </conditionalFormatting>
  <conditionalFormatting sqref="L50">
    <cfRule type="expression" dxfId="23548" priority="1653">
      <formula>$M50="NON DEFINED"</formula>
    </cfRule>
    <cfRule type="expression" dxfId="23547" priority="1654">
      <formula>$AZ50="N.D."</formula>
    </cfRule>
    <cfRule type="expression" dxfId="23546" priority="1655">
      <formula>$AY50="N.D."</formula>
    </cfRule>
  </conditionalFormatting>
  <conditionalFormatting sqref="L50">
    <cfRule type="expression" dxfId="23545" priority="1642">
      <formula>$A50="Overhead Cable"</formula>
    </cfRule>
    <cfRule type="expression" dxfId="23544" priority="1643">
      <formula>$A50="Level Crossing"</formula>
    </cfRule>
    <cfRule type="expression" dxfId="23543" priority="1644">
      <formula>$A50="Neutral Section"</formula>
    </cfRule>
    <cfRule type="expression" dxfId="23542" priority="1645">
      <formula>$A50="Tunnel"</formula>
    </cfRule>
    <cfRule type="expression" dxfId="23541" priority="1646">
      <formula>$A50="Bridge"</formula>
    </cfRule>
    <cfRule type="expression" dxfId="23540" priority="1647">
      <formula>$A50="Drainage Works"</formula>
    </cfRule>
    <cfRule type="expression" dxfId="23539" priority="1648">
      <formula>$A50="Underpass"</formula>
    </cfRule>
    <cfRule type="expression" dxfId="23538" priority="1649">
      <formula>$A50="Overcrossing"</formula>
    </cfRule>
    <cfRule type="expression" dxfId="23537" priority="1650">
      <formula>$A50="Overpass"</formula>
    </cfRule>
    <cfRule type="expression" dxfId="23536" priority="1651">
      <formula>$A50="Station"</formula>
    </cfRule>
    <cfRule type="expression" dxfId="23535" priority="1652">
      <formula>$A50="Overlap between sections"</formula>
    </cfRule>
  </conditionalFormatting>
  <conditionalFormatting sqref="L52">
    <cfRule type="expression" dxfId="23534" priority="1639">
      <formula>$M52="NON DEFINED"</formula>
    </cfRule>
    <cfRule type="expression" dxfId="23533" priority="1640">
      <formula>$AZ52="N.D."</formula>
    </cfRule>
    <cfRule type="expression" dxfId="23532" priority="1641">
      <formula>$AY52="N.D."</formula>
    </cfRule>
  </conditionalFormatting>
  <conditionalFormatting sqref="L52">
    <cfRule type="expression" dxfId="23531" priority="1628">
      <formula>$A52="Overhead Cable"</formula>
    </cfRule>
    <cfRule type="expression" dxfId="23530" priority="1629">
      <formula>$A52="Level Crossing"</formula>
    </cfRule>
    <cfRule type="expression" dxfId="23529" priority="1630">
      <formula>$A52="Neutral Section"</formula>
    </cfRule>
    <cfRule type="expression" dxfId="23528" priority="1631">
      <formula>$A52="Tunnel"</formula>
    </cfRule>
    <cfRule type="expression" dxfId="23527" priority="1632">
      <formula>$A52="Bridge"</formula>
    </cfRule>
    <cfRule type="expression" dxfId="23526" priority="1633">
      <formula>$A52="Drainage Works"</formula>
    </cfRule>
    <cfRule type="expression" dxfId="23525" priority="1634">
      <formula>$A52="Underpass"</formula>
    </cfRule>
    <cfRule type="expression" dxfId="23524" priority="1635">
      <formula>$A52="Overcrossing"</formula>
    </cfRule>
    <cfRule type="expression" dxfId="23523" priority="1636">
      <formula>$A52="Overpass"</formula>
    </cfRule>
    <cfRule type="expression" dxfId="23522" priority="1637">
      <formula>$A52="Station"</formula>
    </cfRule>
    <cfRule type="expression" dxfId="23521" priority="1638">
      <formula>$A52="Overlap between sections"</formula>
    </cfRule>
  </conditionalFormatting>
  <conditionalFormatting sqref="L54">
    <cfRule type="expression" dxfId="23520" priority="1625">
      <formula>$M54="NON DEFINED"</formula>
    </cfRule>
    <cfRule type="expression" dxfId="23519" priority="1626">
      <formula>$AZ54="N.D."</formula>
    </cfRule>
    <cfRule type="expression" dxfId="23518" priority="1627">
      <formula>$AY54="N.D."</formula>
    </cfRule>
  </conditionalFormatting>
  <conditionalFormatting sqref="L54">
    <cfRule type="expression" dxfId="23517" priority="1614">
      <formula>$A54="Overhead Cable"</formula>
    </cfRule>
    <cfRule type="expression" dxfId="23516" priority="1615">
      <formula>$A54="Level Crossing"</formula>
    </cfRule>
    <cfRule type="expression" dxfId="23515" priority="1616">
      <formula>$A54="Neutral Section"</formula>
    </cfRule>
    <cfRule type="expression" dxfId="23514" priority="1617">
      <formula>$A54="Tunnel"</formula>
    </cfRule>
    <cfRule type="expression" dxfId="23513" priority="1618">
      <formula>$A54="Bridge"</formula>
    </cfRule>
    <cfRule type="expression" dxfId="23512" priority="1619">
      <formula>$A54="Drainage Works"</formula>
    </cfRule>
    <cfRule type="expression" dxfId="23511" priority="1620">
      <formula>$A54="Underpass"</formula>
    </cfRule>
    <cfRule type="expression" dxfId="23510" priority="1621">
      <formula>$A54="Overcrossing"</formula>
    </cfRule>
    <cfRule type="expression" dxfId="23509" priority="1622">
      <formula>$A54="Overpass"</formula>
    </cfRule>
    <cfRule type="expression" dxfId="23508" priority="1623">
      <formula>$A54="Station"</formula>
    </cfRule>
    <cfRule type="expression" dxfId="23507" priority="1624">
      <formula>$A54="Overlap between sections"</formula>
    </cfRule>
  </conditionalFormatting>
  <conditionalFormatting sqref="L56">
    <cfRule type="expression" dxfId="23506" priority="1611">
      <formula>$M56="NON DEFINED"</formula>
    </cfRule>
    <cfRule type="expression" dxfId="23505" priority="1612">
      <formula>$AZ56="N.D."</formula>
    </cfRule>
    <cfRule type="expression" dxfId="23504" priority="1613">
      <formula>$AY56="N.D."</formula>
    </cfRule>
  </conditionalFormatting>
  <conditionalFormatting sqref="L56">
    <cfRule type="expression" dxfId="23503" priority="1600">
      <formula>$A56="Overhead Cable"</formula>
    </cfRule>
    <cfRule type="expression" dxfId="23502" priority="1601">
      <formula>$A56="Level Crossing"</formula>
    </cfRule>
    <cfRule type="expression" dxfId="23501" priority="1602">
      <formula>$A56="Neutral Section"</formula>
    </cfRule>
    <cfRule type="expression" dxfId="23500" priority="1603">
      <formula>$A56="Tunnel"</formula>
    </cfRule>
    <cfRule type="expression" dxfId="23499" priority="1604">
      <formula>$A56="Bridge"</formula>
    </cfRule>
    <cfRule type="expression" dxfId="23498" priority="1605">
      <formula>$A56="Drainage Works"</formula>
    </cfRule>
    <cfRule type="expression" dxfId="23497" priority="1606">
      <formula>$A56="Underpass"</formula>
    </cfRule>
    <cfRule type="expression" dxfId="23496" priority="1607">
      <formula>$A56="Overcrossing"</formula>
    </cfRule>
    <cfRule type="expression" dxfId="23495" priority="1608">
      <formula>$A56="Overpass"</formula>
    </cfRule>
    <cfRule type="expression" dxfId="23494" priority="1609">
      <formula>$A56="Station"</formula>
    </cfRule>
    <cfRule type="expression" dxfId="23493" priority="1610">
      <formula>$A56="Overlap between sections"</formula>
    </cfRule>
  </conditionalFormatting>
  <conditionalFormatting sqref="L44">
    <cfRule type="expression" dxfId="23492" priority="1597">
      <formula>$M44="NON DEFINED"</formula>
    </cfRule>
    <cfRule type="expression" dxfId="23491" priority="1598">
      <formula>$AZ44="N.D."</formula>
    </cfRule>
    <cfRule type="expression" dxfId="23490" priority="1599">
      <formula>$AY44="N.D."</formula>
    </cfRule>
  </conditionalFormatting>
  <conditionalFormatting sqref="L44">
    <cfRule type="expression" dxfId="23489" priority="1586">
      <formula>$A44="Overhead Cable"</formula>
    </cfRule>
    <cfRule type="expression" dxfId="23488" priority="1587">
      <formula>$A44="Level Crossing"</formula>
    </cfRule>
    <cfRule type="expression" dxfId="23487" priority="1588">
      <formula>$A44="Neutral Section"</formula>
    </cfRule>
    <cfRule type="expression" dxfId="23486" priority="1589">
      <formula>$A44="Tunnel"</formula>
    </cfRule>
    <cfRule type="expression" dxfId="23485" priority="1590">
      <formula>$A44="Bridge"</formula>
    </cfRule>
    <cfRule type="expression" dxfId="23484" priority="1591">
      <formula>$A44="Drainage Works"</formula>
    </cfRule>
    <cfRule type="expression" dxfId="23483" priority="1592">
      <formula>$A44="Underpass"</formula>
    </cfRule>
    <cfRule type="expression" dxfId="23482" priority="1593">
      <formula>$A44="Overcrossing"</formula>
    </cfRule>
    <cfRule type="expression" dxfId="23481" priority="1594">
      <formula>$A44="Overpass"</formula>
    </cfRule>
    <cfRule type="expression" dxfId="23480" priority="1595">
      <formula>$A44="Station"</formula>
    </cfRule>
    <cfRule type="expression" dxfId="23479" priority="1596">
      <formula>$A44="Overlap between sections"</formula>
    </cfRule>
  </conditionalFormatting>
  <conditionalFormatting sqref="L58">
    <cfRule type="expression" dxfId="23478" priority="1583">
      <formula>$M58="NON DEFINED"</formula>
    </cfRule>
    <cfRule type="expression" dxfId="23477" priority="1584">
      <formula>$AZ58="N.D."</formula>
    </cfRule>
    <cfRule type="expression" dxfId="23476" priority="1585">
      <formula>$AY58="N.D."</formula>
    </cfRule>
  </conditionalFormatting>
  <conditionalFormatting sqref="L58">
    <cfRule type="expression" dxfId="23475" priority="1572">
      <formula>$A58="Overhead Cable"</formula>
    </cfRule>
    <cfRule type="expression" dxfId="23474" priority="1573">
      <formula>$A58="Level Crossing"</formula>
    </cfRule>
    <cfRule type="expression" dxfId="23473" priority="1574">
      <formula>$A58="Neutral Section"</formula>
    </cfRule>
    <cfRule type="expression" dxfId="23472" priority="1575">
      <formula>$A58="Tunnel"</formula>
    </cfRule>
    <cfRule type="expression" dxfId="23471" priority="1576">
      <formula>$A58="Bridge"</formula>
    </cfRule>
    <cfRule type="expression" dxfId="23470" priority="1577">
      <formula>$A58="Drainage Works"</formula>
    </cfRule>
    <cfRule type="expression" dxfId="23469" priority="1578">
      <formula>$A58="Underpass"</formula>
    </cfRule>
    <cfRule type="expression" dxfId="23468" priority="1579">
      <formula>$A58="Overcrossing"</formula>
    </cfRule>
    <cfRule type="expression" dxfId="23467" priority="1580">
      <formula>$A58="Overpass"</formula>
    </cfRule>
    <cfRule type="expression" dxfId="23466" priority="1581">
      <formula>$A58="Station"</formula>
    </cfRule>
    <cfRule type="expression" dxfId="23465" priority="1582">
      <formula>$A58="Overlap between sections"</formula>
    </cfRule>
  </conditionalFormatting>
  <conditionalFormatting sqref="L60">
    <cfRule type="expression" dxfId="23464" priority="1569">
      <formula>$M60="NON DEFINED"</formula>
    </cfRule>
    <cfRule type="expression" dxfId="23463" priority="1570">
      <formula>$AZ60="N.D."</formula>
    </cfRule>
    <cfRule type="expression" dxfId="23462" priority="1571">
      <formula>$AY60="N.D."</formula>
    </cfRule>
  </conditionalFormatting>
  <conditionalFormatting sqref="L60">
    <cfRule type="expression" dxfId="23461" priority="1558">
      <formula>$A60="Overhead Cable"</formula>
    </cfRule>
    <cfRule type="expression" dxfId="23460" priority="1559">
      <formula>$A60="Level Crossing"</formula>
    </cfRule>
    <cfRule type="expression" dxfId="23459" priority="1560">
      <formula>$A60="Neutral Section"</formula>
    </cfRule>
    <cfRule type="expression" dxfId="23458" priority="1561">
      <formula>$A60="Tunnel"</formula>
    </cfRule>
    <cfRule type="expression" dxfId="23457" priority="1562">
      <formula>$A60="Bridge"</formula>
    </cfRule>
    <cfRule type="expression" dxfId="23456" priority="1563">
      <formula>$A60="Drainage Works"</formula>
    </cfRule>
    <cfRule type="expression" dxfId="23455" priority="1564">
      <formula>$A60="Underpass"</formula>
    </cfRule>
    <cfRule type="expression" dxfId="23454" priority="1565">
      <formula>$A60="Overcrossing"</formula>
    </cfRule>
    <cfRule type="expression" dxfId="23453" priority="1566">
      <formula>$A60="Overpass"</formula>
    </cfRule>
    <cfRule type="expression" dxfId="23452" priority="1567">
      <formula>$A60="Station"</formula>
    </cfRule>
    <cfRule type="expression" dxfId="23451" priority="1568">
      <formula>$A60="Overlap between sections"</formula>
    </cfRule>
  </conditionalFormatting>
  <conditionalFormatting sqref="L62">
    <cfRule type="expression" dxfId="23450" priority="1555">
      <formula>$M62="NON DEFINED"</formula>
    </cfRule>
    <cfRule type="expression" dxfId="23449" priority="1556">
      <formula>$AZ62="N.D."</formula>
    </cfRule>
    <cfRule type="expression" dxfId="23448" priority="1557">
      <formula>$AY62="N.D."</formula>
    </cfRule>
  </conditionalFormatting>
  <conditionalFormatting sqref="L62">
    <cfRule type="expression" dxfId="23447" priority="1544">
      <formula>$A62="Overhead Cable"</formula>
    </cfRule>
    <cfRule type="expression" dxfId="23446" priority="1545">
      <formula>$A62="Level Crossing"</formula>
    </cfRule>
    <cfRule type="expression" dxfId="23445" priority="1546">
      <formula>$A62="Neutral Section"</formula>
    </cfRule>
    <cfRule type="expression" dxfId="23444" priority="1547">
      <formula>$A62="Tunnel"</formula>
    </cfRule>
    <cfRule type="expression" dxfId="23443" priority="1548">
      <formula>$A62="Bridge"</formula>
    </cfRule>
    <cfRule type="expression" dxfId="23442" priority="1549">
      <formula>$A62="Drainage Works"</formula>
    </cfRule>
    <cfRule type="expression" dxfId="23441" priority="1550">
      <formula>$A62="Underpass"</formula>
    </cfRule>
    <cfRule type="expression" dxfId="23440" priority="1551">
      <formula>$A62="Overcrossing"</formula>
    </cfRule>
    <cfRule type="expression" dxfId="23439" priority="1552">
      <formula>$A62="Overpass"</formula>
    </cfRule>
    <cfRule type="expression" dxfId="23438" priority="1553">
      <formula>$A62="Station"</formula>
    </cfRule>
    <cfRule type="expression" dxfId="23437" priority="1554">
      <formula>$A62="Overlap between sections"</formula>
    </cfRule>
  </conditionalFormatting>
  <conditionalFormatting sqref="L64">
    <cfRule type="expression" dxfId="23436" priority="1527">
      <formula>$M64="NON DEFINED"</formula>
    </cfRule>
    <cfRule type="expression" dxfId="23435" priority="1528">
      <formula>$AZ64="N.D."</formula>
    </cfRule>
    <cfRule type="expression" dxfId="23434" priority="1529">
      <formula>$AY64="N.D."</formula>
    </cfRule>
  </conditionalFormatting>
  <conditionalFormatting sqref="L64">
    <cfRule type="expression" dxfId="23433" priority="1516">
      <formula>$A64="Overhead Cable"</formula>
    </cfRule>
    <cfRule type="expression" dxfId="23432" priority="1517">
      <formula>$A64="Level Crossing"</formula>
    </cfRule>
    <cfRule type="expression" dxfId="23431" priority="1518">
      <formula>$A64="Neutral Section"</formula>
    </cfRule>
    <cfRule type="expression" dxfId="23430" priority="1519">
      <formula>$A64="Tunnel"</formula>
    </cfRule>
    <cfRule type="expression" dxfId="23429" priority="1520">
      <formula>$A64="Bridge"</formula>
    </cfRule>
    <cfRule type="expression" dxfId="23428" priority="1521">
      <formula>$A64="Drainage Works"</formula>
    </cfRule>
    <cfRule type="expression" dxfId="23427" priority="1522">
      <formula>$A64="Underpass"</formula>
    </cfRule>
    <cfRule type="expression" dxfId="23426" priority="1523">
      <formula>$A64="Overcrossing"</formula>
    </cfRule>
    <cfRule type="expression" dxfId="23425" priority="1524">
      <formula>$A64="Overpass"</formula>
    </cfRule>
    <cfRule type="expression" dxfId="23424" priority="1525">
      <formula>$A64="Station"</formula>
    </cfRule>
    <cfRule type="expression" dxfId="23423" priority="1526">
      <formula>$A64="Overlap between sections"</formula>
    </cfRule>
  </conditionalFormatting>
  <conditionalFormatting sqref="BF6:BG6 BI6 BF8:BG8 BF10:BG10 BF12:BG12 BF14:BG14 BF16:BG16 BF18:BG18 BF20:BG20 BF22:BG22 BF24:BG24 BF26:BG26 BF28:BG28 BF30:BG30 BI8 BI10 BI12 BI14 BI16 BI18 BI20 BI22 BI24 BI26 BI28 BI30 BF32:BG32 BF34:BG34 BF36:BG36 BF38:BG38 BF40:BG40 BF42:BG42 BF44:BG44 BF46:BG46 BF48:BG48 BF50:BG50 BF52:BG52 BF54:BG54 BF56:BG56 BF58:BG58 BF60:BG60 BF62:BG62 BF64:BG64 BF66:BG66 BF68:BG68 BF70:BG70 BF72:BG72 BF74:BG74 BF76:BG76 BF78:BG78 BF80:BG80 BF82:BG82 BF84:BG84 BF86:BG86 BF88:BG88 BF90:BG90 BF92:BG92 BF94:BG94 BF96:BG96 BF98:BG98 BF100:BG100 BF102:BG102 BF104:BG104 BF106:BG106 BF108:BG108 BF110:BG110 BF112:BG112 BF114:BG114 BF116:BG116 BF118:BG118 BF120:BG120 BF122:BG122 BF124:BG124 BF126:BG126 BF128:BG128 BF130:BG130 BF132:BG132 BF134:BG134 BF136:BG136 BF138:BG138 BF140:BG140 BF142:BG142 BF144:BG144 BF146:BG146 BF148:BG148 BF150:BG150 BF152:BG152 BF154:BG154 BF156:BG156 BF158:BG158 BF160:BG160 BF162:BG162 BF164:BG164 BF166:BG166 BF168:BG168 BF170:BG170 BF172:BG172 BF174:BG174 BF176:BG176 BF178:BG178 BF180:BG180 BF182:BG182 BF184:BG184 BF186:BG186 BF188:BG188 BF190:BG190 BF192:BG192 BF194:BG194 BF196:BG196 BF198:BG198 BF200:BG200 BF202:BG202 BF204:BG204 BF206:BG206 BF208:BG208 BF210:BG210 BF212:BG212 BF214:BG214 BF216:BG216 BF218:BG218 BF220:BG220 BF222:BG222 BF224:BG224 BF226:BG226 BF228:BG228 BF230:BG230 BF232:BG232 BF234:BG234 BF236:BG236 BF238:BG238 BF240:BG240 BF242:BG242 BF244:BG244 BF246:BG246 BF248:BG248 BF250:BG250 BF252:BG252 BF254:BG254 BF256:BG256 BF258:BG258 BF260:BG260 BF262:BG262 BF264:BG264 BF266:BG266 BF268:BG268 BF270:BG270 BF272:BG272 BF274:BG274 BF276:BG276 BF278:BG278 BF280:BG280 BF282:BG282 BF284:BG284 BF286:BG286 BF288:BG288 BF290:BG290 BF292:BG292 BF294:BG294 BF296:BG296 BF298:BG298 BF300:BG300 BF302:BG302 BF304:BG304 BF306:BG306 BF308:BG308 BF310:BG310 BF312:BG312 BF314:BG314 BF316:BG316 BF318:BG318 BF320:BG320 BF322:BG322 BF324:BG324 BF326:BG326 BF328:BG328 BF330:BG330 BF332:BG332 BF334:BG334 BF336:BG336 BF338:BG338 BF340:BG340 BF342:BG342 BF344:BG344 BF346:BG346 BF348:BG348 BF350:BG350 BF352:BG352 BF354:BG354 BF356:BG356 BF358:BG358 BF360:BG360 BF362:BG362 BF364:BG364 BF366:BG366 BF368:BG368 BF370:BG370 BF372:BG372 BF374:BG374 BF376:BG376 BF378:BG378 BF380:BG380 BF382:BG382 BF384:BG384 BF386:BG386 BF388:BG388 BF390:BG390 BF392:BG392 BF394:BG394 BF396:BG396 BF398:BG398 BF400:BG400 BF402:BG402 BF404:BG404 BF406:BG406 BF408:BG408 BF410:BG410 BF412:BG412 BF414:BG414 BF416:BG416 BF418:BG418 BF420:BG420 BF422:BG422 BF424:BG424 BF426:BG426 BF428:BG428 BF430:BG430 BF432:BG432 BF434:BG434 BF436:BG436 BF438:BG438 BF440:BG440 BF442:BG442 BF444:BG444 BF446:BG446 BF448:BG448 BF450:BG450 BF452:BG452 BF454:BG454 BF456:BG456 BF458:BG458 BF460:BG460 BF462:BG462 BF464:BG464 BF466:BG466 BF468:BG468 BF470:BG470 BF472:BG472 BF474:BG474 BF476:BG476 BF478:BG478 BF480:BG480 BF482:BG482 BF484:BG484 BF486:BG486 BF488:BG488 BF490:BG490 BF492:BG492 BF494:BG494 BF496:BG496 BF498:BG498 BF500:BG500 BF502:BG502 BF504:BG504 BF506:BG506 BF508:BG508 BF510:BG510 BF512:BG512 BF514:BG514 BF516:BG516 BF518:BG518 BF520:BG520 BF522:BG522 BF524:BG524 BF526:BG526 BF528:BG528 BF530:BG530 BF532:BG532 BF534:BG534 BF538:BG538 BF540:BG540 BF542:BG542 BF544:BG544 BF546:BG546 BF548:BG548 BF550:BG550 BF552:BG552 BF554:BG554 BF556:BG556 BF558:BG558 BF560:BG560 BF562:BG562 BF564:BG564 BF566:BG566 BF568:BG568 BF570:BG570 BF572:BG572 BF574:BG574 BF576:BG576 BF578:BG578 BF580:BG580 BF582:BG582 BF584:BG584 BF586:BG586 BF588:BG588 BF590:BG590 BF592:BG592 BF594:BG594 BF596:BG596 BF598:BG598 BF600:BG600 BF602:BG602 BF604:BG604 BF606:BG606 BF608:BG608 BF610:BG610 BF612:BG612 BF614:BG614 BF616:BG616 BF618:BG618 BF620:BG620 BF622:BG622 BF624:BG624 BF626:BG626 BF628:BG628 BF630:BG630 BF632:BG632 BF634:BG634 BF636:BG636 BF638:BG638 BF640:BG640 BF642:BG642 BF644:BG644 BF646:BG646 BF648:BG648 BF650:BG650 BF660:BG660 BF662:BG662 BF664:BG664 BF666:BG666 BF668:BG668 BF670:BG670 BF672:BG672 BF674:BG674 BF676:BG676 BF678:BG678 BF680:BG680 BF682:BG682 BF684:BG684 BF686:BG686 BF688:BG688 BF690:BG690 BF692:BG692 BF694:BG694 BF696:BG696 BF698:BG698 BF700:BG700 BF702:BG702 BF704:BG704 BF706:BG706 BF708:BG708 BF710:BG710 BF712:BG712 BF714:BG714 BF716:BG716 BF718:BG718 BF720:BG720 BF722:BG722 BF724:BG724 BF728:BG728 BF730:BG730 BF732:BG732 BF734:BG734 BF736:BG736 BF738:BG738 BF740:BG740 BF742:BG742 BF744:BG744 BF746:BG746 BF748:BG748 BF750:BG750 BF752:BG752 BF754:BG754 BF756:BG756 BF758:BG758 BF760:BG760 BF762:BG762 BF764:BG764 BF766:BG766 BF768:BG768 BF770:BG770 BF772:BG772 BF774:BG774 BF776:BG776 BF778:BG778 BF780:BG780 BF782:BG782 BF784:BG784 BF786:BG786 BF788:BG788 BF790:BG790 BF792:BG792 BF794:BG794 BF796:BG796 BF798:BG798 BF800:BG800 BF802:BG802 BF804:BG804 BF806:BG806 BF808:BG808 BF810:BG810 BF812:BG812 BF814:BG814 BF838:BG838 BF840:BG840 BF842:BG842 BF844:BG844 BF846:BG846 BF848:BG848 BF850:BG850 BF852:BG852 BF854:BG854 BF856:BG856 BF858:BG858 BF860:BG860 BF862:BG862 BF864:BG864 BF866:BG866 BF868:BG868 BF870:BG870 BF872:BG872 BF874:BG874 BF876:BG876 BF878:BG878 BF880:BG880 BF882:BG882 BF884:BG884 BF886:BG886 BF888:BG888 BF890:BG890 BF892:BG892 BF894:BG894 BF896:BG896 BF898:BG898 BF900:BG900 BF902:BG902 BF904:BG904 BF906:BG906 BF908:BG908 BF910:BG910 BF912:BG912 BF914:BG914 BF916:BG916 BF918:BG918 BF920:BG920 BF922:BG922 BF924:BG924 BF926:BG926 BF928:BG928 BF930:BG930 BF932:BG932 BF934:BG934 BF936:BG936 BF938:BG938 BF940:BG940 BF942:BG942 BF944:BG944 BF946:BG946 BF948:BG948 BF950:BG950 BF952:BG952 BF954:BG954 BF956:BG956 BF958:BG958 BF960:BG960 BF962:BG962 BF964:BG964 BF966:BG966 BF968:BG968 BF970:BG970 BF972:BG972 BF974:BG974 BF976:BG976 BF978:BG978 BF980:BG980 BF982:BG982 BF984:BG984 BF986:BG986 BF988:BG988 BF990:BG990 BF992:BG992 BF994:BG994 BF996:BG996 BF998:BG998 BF1000:BG1000 BF1002:BG1002 BF1004:BG1004 BF1006:BG1006 BF1008:BG1008 BF1010:BG1010 BF1012:BG1012 BF1014:BG1014 BF1016:BG1016 BF1018:BG1018 BF1020:BG1020 BF1022:BG1022 BF1024:BG1024 BF1026:BG1026 BF1028:BG1028 BF1030:BG1030 BF1032:BG1032 BF1034:BG1034 BF1036:BG1036 BF1038:BG1038 BF1040:BG1040 BF1042:BG1042 BF1044:BG1044 BF1046:BG1046 BF1048:BG1048 BF1050:BG1050 BF1052:BG1052 BF1054:BG1054 BF1056:BG1056 BF1058:BG1058 BF1060:BG1060 BF1062:BG1062 BF1064:BG1064 BF1066:BG1066 BF1068:BG1068 BF1070:BG1070 BF1072:BG1072 BF1074:BG1074 BF1076:BG1076 BF1078:BG1078 BF1080:BG1080 BF1082:BG1082 BF1084:BG1084 BF1086:BG1086 BF1088:BG1088 BF1090:BG1090 BF1092:BG1092 BF1094:BG1094 BF1096:BG1096 BF1098:BG1098 BF1100:BG1100 BF1102:BG1102 BF1104:BG1104 BF1106:BG1106 BF1108:BG1108 BF1110:BG1110 BF1112:BG1112 BF1114:BG1114 BF1116:BG1116 BF1118:BG1118 BF1120:BG1120 BF1122:BG1122 BF1124:BG1124 BF1126:BG1126 BF1128:BG1128 BF1130:BG1130 BF1132:BG1132 BF1136:BG1136 BF1138:BG1138 BF1140:BG1140 BF1142:BG1142 BF1144:BG1144 BF1146:BG1146 BF1148:BG1148 BF1150:BG1150 BF1152:BG1152 BF1154:BG1154 BF1156:BG1156 BF1158:BG1158 BF1160:BG1160 BF1162:BG1162 BF1164:BG1164 BF1166:BG1166 BF1168:BG1168 BF1170:BG1170 BF1172:BG1172 BF1174:BG1174 BF1176:BG1176 BF1178:BG1178 BF1180:BG1180 BF1182:BG1182 BF1184:BG1184 BF1186:BG1186 BF1188:BG1188 BF1190:BG1190 BF1192:BG1192 BF1194:BG1194 BF1196:BG1196 BF1198:BG1198 BF1200:BG1200 BF1202:BG1202 BF1204:BG1204 BF1206:BG1206 BF1208:BG1208 BF1210:BG1210 BF1212:BG1212 BF1220:BG1220 BF1222:BG1222 BF1224:BG1224 BF1226:BG1226 BF1228:BG1228 BF1230:BG1230 BF1232:BG1232 BF1234:BG1234 BF1236:BG1236 BF1238:BG1238 BF1240:BG1240 BF1242:BG1242 BF1244:BG1244 BF1246:BG1246 BF1248:BG1248 BF1250:BG1250 BF1252:BG1252 BF1254:BG1254 BF1256:BG1256 BF1258:BG1258 BF1260:BG1260 BF1262:BG1262 BF1264:BG1264 BF1266:BG1266 BF1268:BG1268 BF1270:BG1270 BI32 BI34 BI36 BI38 BI40 BI42 BI44 BI46 BI48 BI50 BI52 BI54 BI56 BI58 BI60 BI62 BI64 BI66 BI68 BI70 BI72 BI74 BI76 BI78 BI80 BI82 BI84 BI86 BI88 BI90 BI92 BI94 BI96 BI98 BI100 BI102 BI104 BI106 BI108 BI110 BI112 BI114 BI116 BI118 BI120 BI122 BI124 BI126 BI128 BI130 BI132 BI134 BI136 BI138 BI140 BI142 BI144 BI146 BI148 BI150 BI152 BI154 BI156 BI158 BI160 BI162 BI164 BI166 BI168 BI170 BI172 BI174 BI176 BI178 BI180 BI182 BI184 BI186 BI188 BI190 BI192 BI194 BI196 BI198 BI200 BI202 BI204 BI206 BI208 BI210 BI212 BI214 BI216 BI218 BI220 BI222 BI224 BI226 BI228 BI230 BI232 BI234 BI236 BI238 BI240 BI242 BI244 BI246 BI248 BI250 BI252 BI254 BI256 BI258 BI260 BI262 BI264 BI266 BI268 BI270 BI272 BI274 BI276 BI278 BI280 BI282 BI284 BI286 BI288 BI290 BI292 BI294 BI296 BI298 BI300 BI302 BI304 BI306 BI308 BI310 BI312 BI314 BI316 BI318 BI320 BI322 BI324 BI326 BI328 BI330 BI332 BI334 BI336 BI338 BI340 BI342 BI344 BI346 BI348 BI350 BI352 BI354 BI356 BI358 BI360 BI362 BI364 BI366 BI368 BI370 BI372 BI374 BI376 BI378 BI380 BI382 BI384 BI386 BI388 BI390 BI392 BI394 BI396 BI398 BI400 BI402 BI404 BI406 BI408 BI410 BI412 BI414 BI416 BI418 BI420 BI422 BI424 BI426 BI428 BI430 BI432 BI434 BI436 BI438 BI440 BI442 BI444 BI446 BI448 BI450 BI452 BI454 BI456 BI458 BI460 BI462 BI464 BI466 BI468 BI470 BI472 BI474 BI476 BI478 BI480 BI482 BI484 BI486 BI488 BI490 BI492 BI494 BI496 BI498 BI500 BI502 BI504 BI506 BI508 BI510 BI512 BI514 BI516 BI518 BI520 BI522 BI524 BI526 BI528 BI530 BI532 BI534 BI538 BI540 BI542 BI544 BI546 BI548 BI550 BI552 BI554 BI556 BI558 BI560 BI562 BI564 BI566 BI568 BI570 BI572 BI574 BI576 BI578 BI580 BI582 BI584 BI586 BI588 BI590 BI592 BI594 BI596 BI598 BI600 BI602 BI604 BI606 BI608 BI610 BI612 BI614 BI616 BI618 BI620 BI622 BI624 BI626 BI628 BI630 BI632 BI634 BI636 BI638 BI640 BI642 BI644 BI646 BI648 BI650 BI660 BI662 BI664 BI666 BI668 BI670 BI672 BI674 BI676 BI678 BI680 BI682 BI684 BI686 BI688 BI690 BI692 BI694 BI696 BI698 BI700 BI702 BI704 BI706 BI708 BI710 BI712 BI714 BI716 BI718 BI720 BI722 BI724 BI728 BI730 BI732 BI734 BI736 BI738 BI740 BI742 BI744 BI746 BI748 BI750 BI752 BI754 BI756 BI758 BI760 BI762 BI764 BI766 BI768 BI770 BI772 BI774 BI776 BI778 BI780 BI782 BI784 BI786 BI788 BI790 BI792 BI794 BI796 BI798 BI800 BI802 BI804 BI806 BI808 BI810 BI812 BI814 BI838 BI840 BI842 BI844 BI846 BI848 BI850 BI852 BI854 BI856 BI858 BI860 BI862 BI864 BI866 BI868 BI870 BI872 BI874 BI876 BI878 BI880 BI882 BI884 BI886 BI888 BI890 BI892 BI894 BI896 BI898 BI900 BI902 BI904 BI906 BI908 BI910 BI912 BI914 BI916 BI918 BI920 BI922 BI924 BI926 BI928 BI930 BI932 BI934 BI936 BI938 BI940 BI942 BI944 BI946 BI948 BI950 BI952 BI954 BI956 BI958 BI960 BI962 BI964 BI966 BI968 BI970 BI972 BI974 BI976 BI978 BI980 BI982 BI984 BI986 BI988 BI990 BI992 BI994 BI996 BI998 BI1000 BI1002 BI1004 BI1006 BI1008 BI1010 BI1012 BI1014 BI1016 BI1018 BI1020 BI1022 BI1024 BI1026 BI1028 BI1030 BI1032 BI1034 BI1036 BI1038 BI1040 BI1042 BI1044 BI1046 BI1048 BI1050 BI1052 BI1054 BI1056 BI1058 BI1060 BI1062 BI1064 BI1066 BI1068 BI1070 BI1072 BI1074 BI1076 BI1078 BI1080 BI1082 BI1084 BI1086 BI1088 BI1090 BI1092 BI1094 BI1096 BI1098 BI1100 BI1102 BI1104 BI1106 BI1108 BI1110 BI1112 BI1114 BI1116 BI1118 BI1120 BI1122 BI1124 BI1126 BI1128 BI1130 BI1132 BI1136 BI1138 BI1140 BI1142 BI1144 BI1146 BI1148 BI1150 BI1152 BI1154 BI1156 BI1158 BI1160 BI1162 BI1164 BI1166 BI1168 BI1170 BI1172 BI1174 BI1176 BI1178 BI1180 BI1182 BI1184 BI1186 BI1188 BI1190 BI1192 BI1194 BI1196 BI1198 BI1200 BI1202 BI1204 BI1206 BI1208 BI1210 BI1212 BI1220 BI1222 BI1224 BI1226 BI1228 BI1230 BI1232 BI1234 BI1236 BI1238 BI1240 BI1242 BI1244 BI1246 BI1248 BI1250 BI1252 BI1254 BI1256 BI1258 BI1260 BI1262 BI1264 BI1266 BI1268 BI1270 BF816:BG816 BF818:BG818 BF820:BG820 BF822:BG822 BF824:BG824 BF826:BG826 BF828:BG828 BF830:BG830 BF832:BG832 BF834:BG834 BF836:BG836 BI816 BI818 BI820 BI822 BI824 BI826 BI828 BI830 BI832 BI834 BI836 BF1214:BG1214 BF1216:BG1216 BF1218:BG1218 BI1214 BI1216 BI1218 BF652:BG652 BF654:BG654 BF656:BG656 BF658:BG658 BI652 BI654 BI656 BI658">
    <cfRule type="containsBlanks" dxfId="23422" priority="1514">
      <formula>LEN(TRIM(BF6))=0</formula>
    </cfRule>
  </conditionalFormatting>
  <conditionalFormatting sqref="BD167">
    <cfRule type="containsText" dxfId="23421" priority="1512" operator="containsText" text="Poner a mano">
      <formula>NOT(ISERROR(SEARCH("Poner a mano",BD167)))</formula>
    </cfRule>
  </conditionalFormatting>
  <conditionalFormatting sqref="BD172">
    <cfRule type="containsText" dxfId="23420" priority="1511" operator="containsText" text="Poner a mano">
      <formula>NOT(ISERROR(SEARCH("Poner a mano",BD172)))</formula>
    </cfRule>
  </conditionalFormatting>
  <conditionalFormatting sqref="BD185">
    <cfRule type="containsText" dxfId="23419" priority="1507" operator="containsText" text="Poner a mano">
      <formula>NOT(ISERROR(SEARCH("Poner a mano",BD185)))</formula>
    </cfRule>
  </conditionalFormatting>
  <conditionalFormatting sqref="BD191">
    <cfRule type="containsText" dxfId="23418" priority="1506" operator="containsText" text="Poner a mano">
      <formula>NOT(ISERROR(SEARCH("Poner a mano",BD191)))</formula>
    </cfRule>
  </conditionalFormatting>
  <conditionalFormatting sqref="BD193">
    <cfRule type="containsText" dxfId="23417" priority="1505" operator="containsText" text="Poner a mano">
      <formula>NOT(ISERROR(SEARCH("Poner a mano",BD193)))</formula>
    </cfRule>
  </conditionalFormatting>
  <conditionalFormatting sqref="BD195">
    <cfRule type="containsText" dxfId="23416" priority="1504" operator="containsText" text="Poner a mano">
      <formula>NOT(ISERROR(SEARCH("Poner a mano",BD195)))</formula>
    </cfRule>
  </conditionalFormatting>
  <conditionalFormatting sqref="BD197">
    <cfRule type="containsText" dxfId="23415" priority="1503" operator="containsText" text="Poner a mano">
      <formula>NOT(ISERROR(SEARCH("Poner a mano",BD197)))</formula>
    </cfRule>
  </conditionalFormatting>
  <conditionalFormatting sqref="BD199">
    <cfRule type="containsText" dxfId="23414" priority="1502" operator="containsText" text="Poner a mano">
      <formula>NOT(ISERROR(SEARCH("Poner a mano",BD199)))</formula>
    </cfRule>
  </conditionalFormatting>
  <conditionalFormatting sqref="BD201">
    <cfRule type="containsText" dxfId="23413" priority="1501" operator="containsText" text="Poner a mano">
      <formula>NOT(ISERROR(SEARCH("Poner a mano",BD201)))</formula>
    </cfRule>
  </conditionalFormatting>
  <conditionalFormatting sqref="BD203">
    <cfRule type="containsText" dxfId="23412" priority="1500" operator="containsText" text="Poner a mano">
      <formula>NOT(ISERROR(SEARCH("Poner a mano",BD203)))</formula>
    </cfRule>
  </conditionalFormatting>
  <conditionalFormatting sqref="BD205">
    <cfRule type="containsText" dxfId="23411" priority="1499" operator="containsText" text="Poner a mano">
      <formula>NOT(ISERROR(SEARCH("Poner a mano",BD205)))</formula>
    </cfRule>
  </conditionalFormatting>
  <conditionalFormatting sqref="BD207">
    <cfRule type="containsText" dxfId="23410" priority="1498" operator="containsText" text="Poner a mano">
      <formula>NOT(ISERROR(SEARCH("Poner a mano",BD207)))</formula>
    </cfRule>
  </conditionalFormatting>
  <conditionalFormatting sqref="BD209">
    <cfRule type="containsText" dxfId="23409" priority="1497" operator="containsText" text="Poner a mano">
      <formula>NOT(ISERROR(SEARCH("Poner a mano",BD209)))</formula>
    </cfRule>
  </conditionalFormatting>
  <conditionalFormatting sqref="BD215">
    <cfRule type="containsText" dxfId="23408" priority="1496" operator="containsText" text="Poner a mano">
      <formula>NOT(ISERROR(SEARCH("Poner a mano",BD215)))</formula>
    </cfRule>
  </conditionalFormatting>
  <conditionalFormatting sqref="BD217">
    <cfRule type="containsText" dxfId="23407" priority="1495" operator="containsText" text="Poner a mano">
      <formula>NOT(ISERROR(SEARCH("Poner a mano",BD217)))</formula>
    </cfRule>
  </conditionalFormatting>
  <conditionalFormatting sqref="BD219">
    <cfRule type="containsText" dxfId="23406" priority="1494" operator="containsText" text="Poner a mano">
      <formula>NOT(ISERROR(SEARCH("Poner a mano",BD219)))</formula>
    </cfRule>
  </conditionalFormatting>
  <conditionalFormatting sqref="BD221">
    <cfRule type="containsText" dxfId="23405" priority="1493" operator="containsText" text="Poner a mano">
      <formula>NOT(ISERROR(SEARCH("Poner a mano",BD221)))</formula>
    </cfRule>
  </conditionalFormatting>
  <conditionalFormatting sqref="BD223">
    <cfRule type="containsText" dxfId="23404" priority="1492" operator="containsText" text="Poner a mano">
      <formula>NOT(ISERROR(SEARCH("Poner a mano",BD223)))</formula>
    </cfRule>
  </conditionalFormatting>
  <conditionalFormatting sqref="BD225">
    <cfRule type="containsText" dxfId="23403" priority="1491" operator="containsText" text="Poner a mano">
      <formula>NOT(ISERROR(SEARCH("Poner a mano",BD225)))</formula>
    </cfRule>
  </conditionalFormatting>
  <conditionalFormatting sqref="BD175">
    <cfRule type="containsText" dxfId="23402" priority="1490" operator="containsText" text="Poner a mano">
      <formula>NOT(ISERROR(SEARCH("Poner a mano",BD175)))</formula>
    </cfRule>
  </conditionalFormatting>
  <conditionalFormatting sqref="BD173">
    <cfRule type="containsText" dxfId="23401" priority="1489" operator="containsText" text="Poner a mano">
      <formula>NOT(ISERROR(SEARCH("Poner a mano",BD173)))</formula>
    </cfRule>
  </conditionalFormatting>
  <conditionalFormatting sqref="BD171">
    <cfRule type="containsText" dxfId="23400" priority="1488" operator="containsText" text="Poner a mano">
      <formula>NOT(ISERROR(SEARCH("Poner a mano",BD171)))</formula>
    </cfRule>
  </conditionalFormatting>
  <conditionalFormatting sqref="I352">
    <cfRule type="expression" dxfId="23399" priority="6780">
      <formula>$M351="NON DEFINED"</formula>
    </cfRule>
    <cfRule type="expression" dxfId="23398" priority="6781">
      <formula>$AZ351="N.D."</formula>
    </cfRule>
    <cfRule type="expression" dxfId="23397" priority="6782">
      <formula>$AY351="N.D."</formula>
    </cfRule>
  </conditionalFormatting>
  <conditionalFormatting sqref="I352">
    <cfRule type="expression" dxfId="23396" priority="6797">
      <formula>$A351="Overhead Cable"</formula>
    </cfRule>
    <cfRule type="expression" dxfId="23395" priority="6798">
      <formula>$A351="Level Crossing"</formula>
    </cfRule>
    <cfRule type="expression" dxfId="23394" priority="6799">
      <formula>$A351="Neutral Section"</formula>
    </cfRule>
    <cfRule type="expression" dxfId="23393" priority="6800">
      <formula>$A351="Tunnel"</formula>
    </cfRule>
    <cfRule type="expression" dxfId="23392" priority="6801">
      <formula>$A351="Bridge"</formula>
    </cfRule>
    <cfRule type="expression" dxfId="23391" priority="6802">
      <formula>$A351="Drainage Works"</formula>
    </cfRule>
    <cfRule type="expression" dxfId="23390" priority="6803">
      <formula>$A351="Underpass"</formula>
    </cfRule>
    <cfRule type="expression" dxfId="23389" priority="6804">
      <formula>$A351="Overcrossing"</formula>
    </cfRule>
    <cfRule type="expression" dxfId="23388" priority="6805">
      <formula>$A351="Overpass"</formula>
    </cfRule>
    <cfRule type="expression" dxfId="23387" priority="6806">
      <formula>$A351="Station"</formula>
    </cfRule>
    <cfRule type="expression" dxfId="23386" priority="6807">
      <formula>$A351="Overlap between sections"</formula>
    </cfRule>
  </conditionalFormatting>
  <conditionalFormatting sqref="AK639:AZ639 AK641:AZ641 AK643:AZ643 AK645:AZ645 AK647:AZ647 AK649:AZ649 AK651:AZ651 AK653:AZ653 AK655:AZ655 AK657:AZ657 AK659:AZ659 AK661:AZ661 AK665:AZ665 AK667:AZ667 AK669:AZ669 B692:AZ692 B403:F409 B454:AV454 H404:H410 B502:AZ502 B455:F501 B632:G632 H633:AZ633 H669:AI669 H667:AI667 H668:AZ668 H665:AI665 H666:AZ666 H661:AI661 H662:AZ664 H659:AI659 H660:AZ660 H657:AI657 H655:AI655 H653:AI653 H651:AI651 H652:AZ652 H649:AI649 H650:AZ650 H647:AI647 H648:AZ648 H645:AI645 H646:AZ646 H644:AZ644 H641:AI641 H642:AZ642 H639:AI639 H640:AZ640 B693:F718 B750:AZ750 B737:F749 H737:AZ749 B732:G736 B772:AZ772 B751:F771 B796:AZ796 B974:AZ974 B951:F973 B1012:AZ1012 B975:F1011 H975:AZ1011 B1052:AZ1052 B1013:F1051 H1013:AZ1051 B1090:AZ1090 B1053:F1089 B1091:F1110 H451:AZ451 H450:AV450 AY450:AZ450 H453:AZ453 H452:AV452 AY452:AZ452 AY454:AZ454 H455:AZ455 H457:AZ457 H456:AV456 AY456:AZ456 H459:AZ459 H458:AV458 AY458:AZ458 H461:AZ461 AY460:AZ460 H465:AZ465 AY464:AZ464 H467:AZ467 AY466:AZ466 H469:AZ469 AY468:AZ468 AY470:AZ470 H654:AZ654 H656:AZ656 H751:AZ771 H951:AZ973 H1053:AZ1089 H403:AZ409 B410:AZ410 H463:AZ463 AY462:AZ462 H462:AV462 H460:AV460 H464:AV464 H466:AV466 H468:AV468 H470:AV470 H471:AZ471 I510:AZ528 H1091:AZ1110 H473:AZ473 H472:AV472 AY472:AZ472 H475:AZ477 H474:AV474 AY474:AZ474 H479:AZ479 H478:AV478 AY478:AZ478 H481:AZ481 H480:AV480 AY480:AZ480 H483:AZ483 H482:AV482 AY482:AZ482 H485:AZ485 H484:AV484 AY484:AZ484 H487:AZ487 H486:AV486 AY486:AZ486 H489:AZ489 H488:AV488 AY488:AZ488 H491:AZ491 H490:AV490 AY490:AZ490 H493:AZ493 H492:AV492 AY492:AZ492 H495:AZ501 H494:AV494 AY494:AZ494 H670:AZ691 I732:AZ736 H693:AZ718 H797:AZ830 B797:F830 B831:AZ858 H635:AZ638 H634:M634 O634:AZ634 H643:AI643">
    <cfRule type="expression" dxfId="23385" priority="1485">
      <formula>$M403="NON DEFINED"</formula>
    </cfRule>
    <cfRule type="expression" dxfId="23384" priority="1486">
      <formula>$AZ403="N.D."</formula>
    </cfRule>
    <cfRule type="expression" dxfId="23383" priority="1487">
      <formula>$AY403="N.D."</formula>
    </cfRule>
  </conditionalFormatting>
  <conditionalFormatting sqref="AK639:AZ639 AK641:AZ641 AK643:AZ643 AK645:AZ645 AK647:AZ647 AK649:AZ649 AK651:AZ651 AK653:AZ653 AK655:AZ655 AK657:AZ657 AK659:AZ659 AK661:AZ661 AK665:AZ665 AK667:AZ667 AK669:AZ669 A692:AZ692 A403:F409 A454:AV454 H404:H410 A502:AZ502 A632:G632 H633:AZ633 H669:AI669 H667:AI667 H668:AZ668 H665:AI665 H666:AZ666 H661:AI661 H662:AZ664 H659:AI659 H660:AZ660 H657:AI657 H655:AI655 H653:AI653 H651:AI651 H652:AZ652 H649:AI649 H650:AZ650 H647:AI647 H648:AZ648 H645:AI645 H646:AZ646 H644:AZ644 H641:AI641 H642:AZ642 H639:AI639 H640:AZ640 A693:F718 A750:AZ750 A737:F749 H737:AZ749 A732:G736 A772:AZ772 A751:F771 A796:AZ796 A974:AZ974 A1012:AZ1012 A975:F1011 H975:AZ1011 A1052:AZ1052 A1013:F1051 H1013:AZ1051 A1090:AZ1090 A1053:F1089 A1091:F1110 H451:AZ451 H450:AV450 AY450:AZ450 H453:AZ453 H452:AV452 AY452:AZ452 AY454:AZ454 A450:F453 B449:F449 H455:AZ455 A455:F486 H457:AZ457 H456:AV456 AY456:AZ456 H459:AZ459 H458:AV458 AY458:AZ458 H461:AZ461 AY460:AZ460 H465:AZ465 AY464:AZ464 H467:AZ467 AY466:AZ466 H469:AZ469 AY468:AZ468 AY470:AZ470 A488:F501 B487:F487 H654:AZ654 H656:AZ656 H751:AZ771 B893:F893 B927:AZ927 A894:AZ901 A928:AZ928 B929:AZ929 A951:F973 H951:AZ973 H1053:AZ1089 H403:AZ409 A410:AZ410 H463:AZ463 AY462:AZ462 H462:AV462 H460:AV460 H464:AV464 H466:AV466 H468:AV468 H470:AV470 H471:AZ471 I510:AZ528 H1091:AZ1110 H473:AZ473 H472:AV472 AY472:AZ472 H475:AZ477 H474:AV474 AY474:AZ474 H479:AZ479 H478:AV478 AY478:AZ478 H481:AZ481 H480:AV480 AY480:AZ480 H483:AZ483 H482:AV482 AY482:AZ482 H485:AZ485 H484:AV484 AY484:AZ484 H487:AZ487 H486:AV486 AY486:AZ486 H489:AZ489 H488:AV488 AY488:AZ488 H491:AZ491 H490:AV490 AY490:AZ490 H493:AZ493 H492:AV492 AY492:AZ492 H495:AZ501 H494:AV494 AY494:AZ494 H670:AZ691 I732:AZ736 H693:AZ718 H797:AZ830 A797:F830 A831:AZ858 A903:AZ926 A902:AV902 H635:AZ638 H634:M634 O634:AZ634 H643:AI643">
    <cfRule type="expression" dxfId="23382" priority="1474">
      <formula>$A403="Overhead Cable"</formula>
    </cfRule>
    <cfRule type="expression" dxfId="23381" priority="1475">
      <formula>$A403="Level Crossing"</formula>
    </cfRule>
    <cfRule type="expression" dxfId="23380" priority="1476">
      <formula>$A403="Neutral Section"</formula>
    </cfRule>
    <cfRule type="expression" dxfId="23379" priority="1477">
      <formula>$A403="Tunnel"</formula>
    </cfRule>
    <cfRule type="expression" dxfId="23378" priority="1478">
      <formula>$A403="Bridge"</formula>
    </cfRule>
    <cfRule type="expression" dxfId="23377" priority="1479">
      <formula>$A403="Drainage Works"</formula>
    </cfRule>
    <cfRule type="expression" dxfId="23376" priority="1480">
      <formula>$A403="Underpass"</formula>
    </cfRule>
    <cfRule type="expression" dxfId="23375" priority="1481">
      <formula>$A403="Overcrossing"</formula>
    </cfRule>
    <cfRule type="expression" dxfId="23374" priority="1482">
      <formula>$A403="Overpass"</formula>
    </cfRule>
    <cfRule type="expression" dxfId="23373" priority="1483">
      <formula>$A403="Station"</formula>
    </cfRule>
    <cfRule type="expression" dxfId="23372" priority="1484">
      <formula>$A403="Overlap between sections"</formula>
    </cfRule>
  </conditionalFormatting>
  <conditionalFormatting sqref="BD403:BD413 BD415:BD417 BD419:BD440">
    <cfRule type="containsText" dxfId="23371" priority="1469" operator="containsText" text="Poner a mano">
      <formula>NOT(ISERROR(SEARCH("Poner a mano",BD403)))</formula>
    </cfRule>
  </conditionalFormatting>
  <conditionalFormatting sqref="BD441">
    <cfRule type="containsText" dxfId="23370" priority="1465" operator="containsText" text="Poner a mano">
      <formula>NOT(ISERROR(SEARCH("Poner a mano",BD441)))</formula>
    </cfRule>
  </conditionalFormatting>
  <conditionalFormatting sqref="AJ639">
    <cfRule type="expression" dxfId="23369" priority="1454">
      <formula>$A639="Overhead Cable"</formula>
    </cfRule>
    <cfRule type="expression" dxfId="23368" priority="1455">
      <formula>$A639="Level Crossing"</formula>
    </cfRule>
    <cfRule type="expression" dxfId="23367" priority="1456">
      <formula>$A639="Neutral Section"</formula>
    </cfRule>
    <cfRule type="expression" dxfId="23366" priority="1457">
      <formula>$A639="Tunnel"</formula>
    </cfRule>
    <cfRule type="expression" dxfId="23365" priority="1458">
      <formula>$A639="Bridge"</formula>
    </cfRule>
    <cfRule type="expression" dxfId="23364" priority="1459">
      <formula>$A639="Drainage Works"</formula>
    </cfRule>
    <cfRule type="expression" dxfId="23363" priority="1460">
      <formula>$A639="Underpass"</formula>
    </cfRule>
    <cfRule type="expression" dxfId="23362" priority="1461">
      <formula>$A639="Overcrossing"</formula>
    </cfRule>
    <cfRule type="expression" dxfId="23361" priority="1462">
      <formula>$A639="Overpass"</formula>
    </cfRule>
    <cfRule type="expression" dxfId="23360" priority="1463">
      <formula>$A639="Station"</formula>
    </cfRule>
    <cfRule type="expression" dxfId="23359" priority="1464">
      <formula>$A639="Overlap between sections"</formula>
    </cfRule>
  </conditionalFormatting>
  <conditionalFormatting sqref="AJ639">
    <cfRule type="expression" dxfId="23358" priority="1451">
      <formula>$M639="NON DEFINED"</formula>
    </cfRule>
    <cfRule type="expression" dxfId="23357" priority="1452">
      <formula>$AZ639="N.D."</formula>
    </cfRule>
    <cfRule type="expression" dxfId="23356" priority="1453">
      <formula>$AY639="N.D."</formula>
    </cfRule>
  </conditionalFormatting>
  <conditionalFormatting sqref="AJ641">
    <cfRule type="expression" dxfId="23355" priority="1440">
      <formula>$A641="Overhead Cable"</formula>
    </cfRule>
    <cfRule type="expression" dxfId="23354" priority="1441">
      <formula>$A641="Level Crossing"</formula>
    </cfRule>
    <cfRule type="expression" dxfId="23353" priority="1442">
      <formula>$A641="Neutral Section"</formula>
    </cfRule>
    <cfRule type="expression" dxfId="23352" priority="1443">
      <formula>$A641="Tunnel"</formula>
    </cfRule>
    <cfRule type="expression" dxfId="23351" priority="1444">
      <formula>$A641="Bridge"</formula>
    </cfRule>
    <cfRule type="expression" dxfId="23350" priority="1445">
      <formula>$A641="Drainage Works"</formula>
    </cfRule>
    <cfRule type="expression" dxfId="23349" priority="1446">
      <formula>$A641="Underpass"</formula>
    </cfRule>
    <cfRule type="expression" dxfId="23348" priority="1447">
      <formula>$A641="Overcrossing"</formula>
    </cfRule>
    <cfRule type="expression" dxfId="23347" priority="1448">
      <formula>$A641="Overpass"</formula>
    </cfRule>
    <cfRule type="expression" dxfId="23346" priority="1449">
      <formula>$A641="Station"</formula>
    </cfRule>
    <cfRule type="expression" dxfId="23345" priority="1450">
      <formula>$A641="Overlap between sections"</formula>
    </cfRule>
  </conditionalFormatting>
  <conditionalFormatting sqref="AJ641">
    <cfRule type="expression" dxfId="23344" priority="1437">
      <formula>$M641="NON DEFINED"</formula>
    </cfRule>
    <cfRule type="expression" dxfId="23343" priority="1438">
      <formula>$AZ641="N.D."</formula>
    </cfRule>
    <cfRule type="expression" dxfId="23342" priority="1439">
      <formula>$AY641="N.D."</formula>
    </cfRule>
  </conditionalFormatting>
  <conditionalFormatting sqref="AJ643">
    <cfRule type="expression" dxfId="23341" priority="1426">
      <formula>$A643="Overhead Cable"</formula>
    </cfRule>
    <cfRule type="expression" dxfId="23340" priority="1427">
      <formula>$A643="Level Crossing"</formula>
    </cfRule>
    <cfRule type="expression" dxfId="23339" priority="1428">
      <formula>$A643="Neutral Section"</formula>
    </cfRule>
    <cfRule type="expression" dxfId="23338" priority="1429">
      <formula>$A643="Tunnel"</formula>
    </cfRule>
    <cfRule type="expression" dxfId="23337" priority="1430">
      <formula>$A643="Bridge"</formula>
    </cfRule>
    <cfRule type="expression" dxfId="23336" priority="1431">
      <formula>$A643="Drainage Works"</formula>
    </cfRule>
    <cfRule type="expression" dxfId="23335" priority="1432">
      <formula>$A643="Underpass"</formula>
    </cfRule>
    <cfRule type="expression" dxfId="23334" priority="1433">
      <formula>$A643="Overcrossing"</formula>
    </cfRule>
    <cfRule type="expression" dxfId="23333" priority="1434">
      <formula>$A643="Overpass"</formula>
    </cfRule>
    <cfRule type="expression" dxfId="23332" priority="1435">
      <formula>$A643="Station"</formula>
    </cfRule>
    <cfRule type="expression" dxfId="23331" priority="1436">
      <formula>$A643="Overlap between sections"</formula>
    </cfRule>
  </conditionalFormatting>
  <conditionalFormatting sqref="AJ643">
    <cfRule type="expression" dxfId="23330" priority="1423">
      <formula>$M643="NON DEFINED"</formula>
    </cfRule>
    <cfRule type="expression" dxfId="23329" priority="1424">
      <formula>$AZ643="N.D."</formula>
    </cfRule>
    <cfRule type="expression" dxfId="23328" priority="1425">
      <formula>$AY643="N.D."</formula>
    </cfRule>
  </conditionalFormatting>
  <conditionalFormatting sqref="AJ645">
    <cfRule type="expression" dxfId="23327" priority="1412">
      <formula>$A645="Overhead Cable"</formula>
    </cfRule>
    <cfRule type="expression" dxfId="23326" priority="1413">
      <formula>$A645="Level Crossing"</formula>
    </cfRule>
    <cfRule type="expression" dxfId="23325" priority="1414">
      <formula>$A645="Neutral Section"</formula>
    </cfRule>
    <cfRule type="expression" dxfId="23324" priority="1415">
      <formula>$A645="Tunnel"</formula>
    </cfRule>
    <cfRule type="expression" dxfId="23323" priority="1416">
      <formula>$A645="Bridge"</formula>
    </cfRule>
    <cfRule type="expression" dxfId="23322" priority="1417">
      <formula>$A645="Drainage Works"</formula>
    </cfRule>
    <cfRule type="expression" dxfId="23321" priority="1418">
      <formula>$A645="Underpass"</formula>
    </cfRule>
    <cfRule type="expression" dxfId="23320" priority="1419">
      <formula>$A645="Overcrossing"</formula>
    </cfRule>
    <cfRule type="expression" dxfId="23319" priority="1420">
      <formula>$A645="Overpass"</formula>
    </cfRule>
    <cfRule type="expression" dxfId="23318" priority="1421">
      <formula>$A645="Station"</formula>
    </cfRule>
    <cfRule type="expression" dxfId="23317" priority="1422">
      <formula>$A645="Overlap between sections"</formula>
    </cfRule>
  </conditionalFormatting>
  <conditionalFormatting sqref="AJ645">
    <cfRule type="expression" dxfId="23316" priority="1409">
      <formula>$M645="NON DEFINED"</formula>
    </cfRule>
    <cfRule type="expression" dxfId="23315" priority="1410">
      <formula>$AZ645="N.D."</formula>
    </cfRule>
    <cfRule type="expression" dxfId="23314" priority="1411">
      <formula>$AY645="N.D."</formula>
    </cfRule>
  </conditionalFormatting>
  <conditionalFormatting sqref="AJ647">
    <cfRule type="expression" dxfId="23313" priority="1398">
      <formula>$A647="Overhead Cable"</formula>
    </cfRule>
    <cfRule type="expression" dxfId="23312" priority="1399">
      <formula>$A647="Level Crossing"</formula>
    </cfRule>
    <cfRule type="expression" dxfId="23311" priority="1400">
      <formula>$A647="Neutral Section"</formula>
    </cfRule>
    <cfRule type="expression" dxfId="23310" priority="1401">
      <formula>$A647="Tunnel"</formula>
    </cfRule>
    <cfRule type="expression" dxfId="23309" priority="1402">
      <formula>$A647="Bridge"</formula>
    </cfRule>
    <cfRule type="expression" dxfId="23308" priority="1403">
      <formula>$A647="Drainage Works"</formula>
    </cfRule>
    <cfRule type="expression" dxfId="23307" priority="1404">
      <formula>$A647="Underpass"</formula>
    </cfRule>
    <cfRule type="expression" dxfId="23306" priority="1405">
      <formula>$A647="Overcrossing"</formula>
    </cfRule>
    <cfRule type="expression" dxfId="23305" priority="1406">
      <formula>$A647="Overpass"</formula>
    </cfRule>
    <cfRule type="expression" dxfId="23304" priority="1407">
      <formula>$A647="Station"</formula>
    </cfRule>
    <cfRule type="expression" dxfId="23303" priority="1408">
      <formula>$A647="Overlap between sections"</formula>
    </cfRule>
  </conditionalFormatting>
  <conditionalFormatting sqref="AJ647">
    <cfRule type="expression" dxfId="23302" priority="1395">
      <formula>$M647="NON DEFINED"</formula>
    </cfRule>
    <cfRule type="expression" dxfId="23301" priority="1396">
      <formula>$AZ647="N.D."</formula>
    </cfRule>
    <cfRule type="expression" dxfId="23300" priority="1397">
      <formula>$AY647="N.D."</formula>
    </cfRule>
  </conditionalFormatting>
  <conditionalFormatting sqref="AJ649">
    <cfRule type="expression" dxfId="23299" priority="1384">
      <formula>$A649="Overhead Cable"</formula>
    </cfRule>
    <cfRule type="expression" dxfId="23298" priority="1385">
      <formula>$A649="Level Crossing"</formula>
    </cfRule>
    <cfRule type="expression" dxfId="23297" priority="1386">
      <formula>$A649="Neutral Section"</formula>
    </cfRule>
    <cfRule type="expression" dxfId="23296" priority="1387">
      <formula>$A649="Tunnel"</formula>
    </cfRule>
    <cfRule type="expression" dxfId="23295" priority="1388">
      <formula>$A649="Bridge"</formula>
    </cfRule>
    <cfRule type="expression" dxfId="23294" priority="1389">
      <formula>$A649="Drainage Works"</formula>
    </cfRule>
    <cfRule type="expression" dxfId="23293" priority="1390">
      <formula>$A649="Underpass"</formula>
    </cfRule>
    <cfRule type="expression" dxfId="23292" priority="1391">
      <formula>$A649="Overcrossing"</formula>
    </cfRule>
    <cfRule type="expression" dxfId="23291" priority="1392">
      <formula>$A649="Overpass"</formula>
    </cfRule>
    <cfRule type="expression" dxfId="23290" priority="1393">
      <formula>$A649="Station"</formula>
    </cfRule>
    <cfRule type="expression" dxfId="23289" priority="1394">
      <formula>$A649="Overlap between sections"</formula>
    </cfRule>
  </conditionalFormatting>
  <conditionalFormatting sqref="AJ649">
    <cfRule type="expression" dxfId="23288" priority="1381">
      <formula>$M649="NON DEFINED"</formula>
    </cfRule>
    <cfRule type="expression" dxfId="23287" priority="1382">
      <formula>$AZ649="N.D."</formula>
    </cfRule>
    <cfRule type="expression" dxfId="23286" priority="1383">
      <formula>$AY649="N.D."</formula>
    </cfRule>
  </conditionalFormatting>
  <conditionalFormatting sqref="AJ651">
    <cfRule type="expression" dxfId="23285" priority="1370">
      <formula>$A651="Overhead Cable"</formula>
    </cfRule>
    <cfRule type="expression" dxfId="23284" priority="1371">
      <formula>$A651="Level Crossing"</formula>
    </cfRule>
    <cfRule type="expression" dxfId="23283" priority="1372">
      <formula>$A651="Neutral Section"</formula>
    </cfRule>
    <cfRule type="expression" dxfId="23282" priority="1373">
      <formula>$A651="Tunnel"</formula>
    </cfRule>
    <cfRule type="expression" dxfId="23281" priority="1374">
      <formula>$A651="Bridge"</formula>
    </cfRule>
    <cfRule type="expression" dxfId="23280" priority="1375">
      <formula>$A651="Drainage Works"</formula>
    </cfRule>
    <cfRule type="expression" dxfId="23279" priority="1376">
      <formula>$A651="Underpass"</formula>
    </cfRule>
    <cfRule type="expression" dxfId="23278" priority="1377">
      <formula>$A651="Overcrossing"</formula>
    </cfRule>
    <cfRule type="expression" dxfId="23277" priority="1378">
      <formula>$A651="Overpass"</formula>
    </cfRule>
    <cfRule type="expression" dxfId="23276" priority="1379">
      <formula>$A651="Station"</formula>
    </cfRule>
    <cfRule type="expression" dxfId="23275" priority="1380">
      <formula>$A651="Overlap between sections"</formula>
    </cfRule>
  </conditionalFormatting>
  <conditionalFormatting sqref="AJ651">
    <cfRule type="expression" dxfId="23274" priority="1367">
      <formula>$M651="NON DEFINED"</formula>
    </cfRule>
    <cfRule type="expression" dxfId="23273" priority="1368">
      <formula>$AZ651="N.D."</formula>
    </cfRule>
    <cfRule type="expression" dxfId="23272" priority="1369">
      <formula>$AY651="N.D."</formula>
    </cfRule>
  </conditionalFormatting>
  <conditionalFormatting sqref="AJ653">
    <cfRule type="expression" dxfId="23271" priority="1356">
      <formula>$A653="Overhead Cable"</formula>
    </cfRule>
    <cfRule type="expression" dxfId="23270" priority="1357">
      <formula>$A653="Level Crossing"</formula>
    </cfRule>
    <cfRule type="expression" dxfId="23269" priority="1358">
      <formula>$A653="Neutral Section"</formula>
    </cfRule>
    <cfRule type="expression" dxfId="23268" priority="1359">
      <formula>$A653="Tunnel"</formula>
    </cfRule>
    <cfRule type="expression" dxfId="23267" priority="1360">
      <formula>$A653="Bridge"</formula>
    </cfRule>
    <cfRule type="expression" dxfId="23266" priority="1361">
      <formula>$A653="Drainage Works"</formula>
    </cfRule>
    <cfRule type="expression" dxfId="23265" priority="1362">
      <formula>$A653="Underpass"</formula>
    </cfRule>
    <cfRule type="expression" dxfId="23264" priority="1363">
      <formula>$A653="Overcrossing"</formula>
    </cfRule>
    <cfRule type="expression" dxfId="23263" priority="1364">
      <formula>$A653="Overpass"</formula>
    </cfRule>
    <cfRule type="expression" dxfId="23262" priority="1365">
      <formula>$A653="Station"</formula>
    </cfRule>
    <cfRule type="expression" dxfId="23261" priority="1366">
      <formula>$A653="Overlap between sections"</formula>
    </cfRule>
  </conditionalFormatting>
  <conditionalFormatting sqref="AJ653">
    <cfRule type="expression" dxfId="23260" priority="1353">
      <formula>$M653="NON DEFINED"</formula>
    </cfRule>
    <cfRule type="expression" dxfId="23259" priority="1354">
      <formula>$AZ653="N.D."</formula>
    </cfRule>
    <cfRule type="expression" dxfId="23258" priority="1355">
      <formula>$AY653="N.D."</formula>
    </cfRule>
  </conditionalFormatting>
  <conditionalFormatting sqref="AJ655">
    <cfRule type="expression" dxfId="23257" priority="1342">
      <formula>$A655="Overhead Cable"</formula>
    </cfRule>
    <cfRule type="expression" dxfId="23256" priority="1343">
      <formula>$A655="Level Crossing"</formula>
    </cfRule>
    <cfRule type="expression" dxfId="23255" priority="1344">
      <formula>$A655="Neutral Section"</formula>
    </cfRule>
    <cfRule type="expression" dxfId="23254" priority="1345">
      <formula>$A655="Tunnel"</formula>
    </cfRule>
    <cfRule type="expression" dxfId="23253" priority="1346">
      <formula>$A655="Bridge"</formula>
    </cfRule>
    <cfRule type="expression" dxfId="23252" priority="1347">
      <formula>$A655="Drainage Works"</formula>
    </cfRule>
    <cfRule type="expression" dxfId="23251" priority="1348">
      <formula>$A655="Underpass"</formula>
    </cfRule>
    <cfRule type="expression" dxfId="23250" priority="1349">
      <formula>$A655="Overcrossing"</formula>
    </cfRule>
    <cfRule type="expression" dxfId="23249" priority="1350">
      <formula>$A655="Overpass"</formula>
    </cfRule>
    <cfRule type="expression" dxfId="23248" priority="1351">
      <formula>$A655="Station"</formula>
    </cfRule>
    <cfRule type="expression" dxfId="23247" priority="1352">
      <formula>$A655="Overlap between sections"</formula>
    </cfRule>
  </conditionalFormatting>
  <conditionalFormatting sqref="AJ655">
    <cfRule type="expression" dxfId="23246" priority="1339">
      <formula>$M655="NON DEFINED"</formula>
    </cfRule>
    <cfRule type="expression" dxfId="23245" priority="1340">
      <formula>$AZ655="N.D."</formula>
    </cfRule>
    <cfRule type="expression" dxfId="23244" priority="1341">
      <formula>$AY655="N.D."</formula>
    </cfRule>
  </conditionalFormatting>
  <conditionalFormatting sqref="AJ657">
    <cfRule type="expression" dxfId="23243" priority="1328">
      <formula>$A657="Overhead Cable"</formula>
    </cfRule>
    <cfRule type="expression" dxfId="23242" priority="1329">
      <formula>$A657="Level Crossing"</formula>
    </cfRule>
    <cfRule type="expression" dxfId="23241" priority="1330">
      <formula>$A657="Neutral Section"</formula>
    </cfRule>
    <cfRule type="expression" dxfId="23240" priority="1331">
      <formula>$A657="Tunnel"</formula>
    </cfRule>
    <cfRule type="expression" dxfId="23239" priority="1332">
      <formula>$A657="Bridge"</formula>
    </cfRule>
    <cfRule type="expression" dxfId="23238" priority="1333">
      <formula>$A657="Drainage Works"</formula>
    </cfRule>
    <cfRule type="expression" dxfId="23237" priority="1334">
      <formula>$A657="Underpass"</formula>
    </cfRule>
    <cfRule type="expression" dxfId="23236" priority="1335">
      <formula>$A657="Overcrossing"</formula>
    </cfRule>
    <cfRule type="expression" dxfId="23235" priority="1336">
      <formula>$A657="Overpass"</formula>
    </cfRule>
    <cfRule type="expression" dxfId="23234" priority="1337">
      <formula>$A657="Station"</formula>
    </cfRule>
    <cfRule type="expression" dxfId="23233" priority="1338">
      <formula>$A657="Overlap between sections"</formula>
    </cfRule>
  </conditionalFormatting>
  <conditionalFormatting sqref="AJ657">
    <cfRule type="expression" dxfId="23232" priority="1325">
      <formula>$M657="NON DEFINED"</formula>
    </cfRule>
    <cfRule type="expression" dxfId="23231" priority="1326">
      <formula>$AZ657="N.D."</formula>
    </cfRule>
    <cfRule type="expression" dxfId="23230" priority="1327">
      <formula>$AY657="N.D."</formula>
    </cfRule>
  </conditionalFormatting>
  <conditionalFormatting sqref="AJ659">
    <cfRule type="expression" dxfId="23229" priority="1314">
      <formula>$A659="Overhead Cable"</formula>
    </cfRule>
    <cfRule type="expression" dxfId="23228" priority="1315">
      <formula>$A659="Level Crossing"</formula>
    </cfRule>
    <cfRule type="expression" dxfId="23227" priority="1316">
      <formula>$A659="Neutral Section"</formula>
    </cfRule>
    <cfRule type="expression" dxfId="23226" priority="1317">
      <formula>$A659="Tunnel"</formula>
    </cfRule>
    <cfRule type="expression" dxfId="23225" priority="1318">
      <formula>$A659="Bridge"</formula>
    </cfRule>
    <cfRule type="expression" dxfId="23224" priority="1319">
      <formula>$A659="Drainage Works"</formula>
    </cfRule>
    <cfRule type="expression" dxfId="23223" priority="1320">
      <formula>$A659="Underpass"</formula>
    </cfRule>
    <cfRule type="expression" dxfId="23222" priority="1321">
      <formula>$A659="Overcrossing"</formula>
    </cfRule>
    <cfRule type="expression" dxfId="23221" priority="1322">
      <formula>$A659="Overpass"</formula>
    </cfRule>
    <cfRule type="expression" dxfId="23220" priority="1323">
      <formula>$A659="Station"</formula>
    </cfRule>
    <cfRule type="expression" dxfId="23219" priority="1324">
      <formula>$A659="Overlap between sections"</formula>
    </cfRule>
  </conditionalFormatting>
  <conditionalFormatting sqref="AJ659">
    <cfRule type="expression" dxfId="23218" priority="1311">
      <formula>$M659="NON DEFINED"</formula>
    </cfRule>
    <cfRule type="expression" dxfId="23217" priority="1312">
      <formula>$AZ659="N.D."</formula>
    </cfRule>
    <cfRule type="expression" dxfId="23216" priority="1313">
      <formula>$AY659="N.D."</formula>
    </cfRule>
  </conditionalFormatting>
  <conditionalFormatting sqref="AJ661">
    <cfRule type="expression" dxfId="23215" priority="1300">
      <formula>$A661="Overhead Cable"</formula>
    </cfRule>
    <cfRule type="expression" dxfId="23214" priority="1301">
      <formula>$A661="Level Crossing"</formula>
    </cfRule>
    <cfRule type="expression" dxfId="23213" priority="1302">
      <formula>$A661="Neutral Section"</formula>
    </cfRule>
    <cfRule type="expression" dxfId="23212" priority="1303">
      <formula>$A661="Tunnel"</formula>
    </cfRule>
    <cfRule type="expression" dxfId="23211" priority="1304">
      <formula>$A661="Bridge"</formula>
    </cfRule>
    <cfRule type="expression" dxfId="23210" priority="1305">
      <formula>$A661="Drainage Works"</formula>
    </cfRule>
    <cfRule type="expression" dxfId="23209" priority="1306">
      <formula>$A661="Underpass"</formula>
    </cfRule>
    <cfRule type="expression" dxfId="23208" priority="1307">
      <formula>$A661="Overcrossing"</formula>
    </cfRule>
    <cfRule type="expression" dxfId="23207" priority="1308">
      <formula>$A661="Overpass"</formula>
    </cfRule>
    <cfRule type="expression" dxfId="23206" priority="1309">
      <formula>$A661="Station"</formula>
    </cfRule>
    <cfRule type="expression" dxfId="23205" priority="1310">
      <formula>$A661="Overlap between sections"</formula>
    </cfRule>
  </conditionalFormatting>
  <conditionalFormatting sqref="AJ661">
    <cfRule type="expression" dxfId="23204" priority="1297">
      <formula>$M661="NON DEFINED"</formula>
    </cfRule>
    <cfRule type="expression" dxfId="23203" priority="1298">
      <formula>$AZ661="N.D."</formula>
    </cfRule>
    <cfRule type="expression" dxfId="23202" priority="1299">
      <formula>$AY661="N.D."</formula>
    </cfRule>
  </conditionalFormatting>
  <conditionalFormatting sqref="AJ665">
    <cfRule type="expression" dxfId="23201" priority="1286">
      <formula>$A665="Overhead Cable"</formula>
    </cfRule>
    <cfRule type="expression" dxfId="23200" priority="1287">
      <formula>$A665="Level Crossing"</formula>
    </cfRule>
    <cfRule type="expression" dxfId="23199" priority="1288">
      <formula>$A665="Neutral Section"</formula>
    </cfRule>
    <cfRule type="expression" dxfId="23198" priority="1289">
      <formula>$A665="Tunnel"</formula>
    </cfRule>
    <cfRule type="expression" dxfId="23197" priority="1290">
      <formula>$A665="Bridge"</formula>
    </cfRule>
    <cfRule type="expression" dxfId="23196" priority="1291">
      <formula>$A665="Drainage Works"</formula>
    </cfRule>
    <cfRule type="expression" dxfId="23195" priority="1292">
      <formula>$A665="Underpass"</formula>
    </cfRule>
    <cfRule type="expression" dxfId="23194" priority="1293">
      <formula>$A665="Overcrossing"</formula>
    </cfRule>
    <cfRule type="expression" dxfId="23193" priority="1294">
      <formula>$A665="Overpass"</formula>
    </cfRule>
    <cfRule type="expression" dxfId="23192" priority="1295">
      <formula>$A665="Station"</formula>
    </cfRule>
    <cfRule type="expression" dxfId="23191" priority="1296">
      <formula>$A665="Overlap between sections"</formula>
    </cfRule>
  </conditionalFormatting>
  <conditionalFormatting sqref="AJ665">
    <cfRule type="expression" dxfId="23190" priority="1283">
      <formula>$M665="NON DEFINED"</formula>
    </cfRule>
    <cfRule type="expression" dxfId="23189" priority="1284">
      <formula>$AZ665="N.D."</formula>
    </cfRule>
    <cfRule type="expression" dxfId="23188" priority="1285">
      <formula>$AY665="N.D."</formula>
    </cfRule>
  </conditionalFormatting>
  <conditionalFormatting sqref="AJ667">
    <cfRule type="expression" dxfId="23187" priority="1272">
      <formula>$A667="Overhead Cable"</formula>
    </cfRule>
    <cfRule type="expression" dxfId="23186" priority="1273">
      <formula>$A667="Level Crossing"</formula>
    </cfRule>
    <cfRule type="expression" dxfId="23185" priority="1274">
      <formula>$A667="Neutral Section"</formula>
    </cfRule>
    <cfRule type="expression" dxfId="23184" priority="1275">
      <formula>$A667="Tunnel"</formula>
    </cfRule>
    <cfRule type="expression" dxfId="23183" priority="1276">
      <formula>$A667="Bridge"</formula>
    </cfRule>
    <cfRule type="expression" dxfId="23182" priority="1277">
      <formula>$A667="Drainage Works"</formula>
    </cfRule>
    <cfRule type="expression" dxfId="23181" priority="1278">
      <formula>$A667="Underpass"</formula>
    </cfRule>
    <cfRule type="expression" dxfId="23180" priority="1279">
      <formula>$A667="Overcrossing"</formula>
    </cfRule>
    <cfRule type="expression" dxfId="23179" priority="1280">
      <formula>$A667="Overpass"</formula>
    </cfRule>
    <cfRule type="expression" dxfId="23178" priority="1281">
      <formula>$A667="Station"</formula>
    </cfRule>
    <cfRule type="expression" dxfId="23177" priority="1282">
      <formula>$A667="Overlap between sections"</formula>
    </cfRule>
  </conditionalFormatting>
  <conditionalFormatting sqref="AJ667">
    <cfRule type="expression" dxfId="23176" priority="1269">
      <formula>$M667="NON DEFINED"</formula>
    </cfRule>
    <cfRule type="expression" dxfId="23175" priority="1270">
      <formula>$AZ667="N.D."</formula>
    </cfRule>
    <cfRule type="expression" dxfId="23174" priority="1271">
      <formula>$AY667="N.D."</formula>
    </cfRule>
  </conditionalFormatting>
  <conditionalFormatting sqref="AJ669">
    <cfRule type="expression" dxfId="23173" priority="1258">
      <formula>$A669="Overhead Cable"</formula>
    </cfRule>
    <cfRule type="expression" dxfId="23172" priority="1259">
      <formula>$A669="Level Crossing"</formula>
    </cfRule>
    <cfRule type="expression" dxfId="23171" priority="1260">
      <formula>$A669="Neutral Section"</formula>
    </cfRule>
    <cfRule type="expression" dxfId="23170" priority="1261">
      <formula>$A669="Tunnel"</formula>
    </cfRule>
    <cfRule type="expression" dxfId="23169" priority="1262">
      <formula>$A669="Bridge"</formula>
    </cfRule>
    <cfRule type="expression" dxfId="23168" priority="1263">
      <formula>$A669="Drainage Works"</formula>
    </cfRule>
    <cfRule type="expression" dxfId="23167" priority="1264">
      <formula>$A669="Underpass"</formula>
    </cfRule>
    <cfRule type="expression" dxfId="23166" priority="1265">
      <formula>$A669="Overcrossing"</formula>
    </cfRule>
    <cfRule type="expression" dxfId="23165" priority="1266">
      <formula>$A669="Overpass"</formula>
    </cfRule>
    <cfRule type="expression" dxfId="23164" priority="1267">
      <formula>$A669="Station"</formula>
    </cfRule>
    <cfRule type="expression" dxfId="23163" priority="1268">
      <formula>$A669="Overlap between sections"</formula>
    </cfRule>
  </conditionalFormatting>
  <conditionalFormatting sqref="AJ669">
    <cfRule type="expression" dxfId="23162" priority="1255">
      <formula>$M669="NON DEFINED"</formula>
    </cfRule>
    <cfRule type="expression" dxfId="23161" priority="1256">
      <formula>$AZ669="N.D."</formula>
    </cfRule>
    <cfRule type="expression" dxfId="23160" priority="1257">
      <formula>$AY669="N.D."</formula>
    </cfRule>
  </conditionalFormatting>
  <conditionalFormatting sqref="J278 B278:H278 L278:AZ278">
    <cfRule type="expression" dxfId="23159" priority="1252">
      <formula>$M278="NON DEFINED"</formula>
    </cfRule>
    <cfRule type="expression" dxfId="23158" priority="1253">
      <formula>$AZ278="N.D."</formula>
    </cfRule>
    <cfRule type="expression" dxfId="23157" priority="1254">
      <formula>$AY278="N.D."</formula>
    </cfRule>
  </conditionalFormatting>
  <conditionalFormatting sqref="J278 A278:H278 L278:AZ278">
    <cfRule type="expression" dxfId="23156" priority="1241">
      <formula>$A278="Overhead Cable"</formula>
    </cfRule>
    <cfRule type="expression" dxfId="23155" priority="1242">
      <formula>$A278="Level Crossing"</formula>
    </cfRule>
    <cfRule type="expression" dxfId="23154" priority="1243">
      <formula>$A278="Neutral Section"</formula>
    </cfRule>
    <cfRule type="expression" dxfId="23153" priority="1244">
      <formula>$A278="Tunnel"</formula>
    </cfRule>
    <cfRule type="expression" dxfId="23152" priority="1245">
      <formula>$A278="Bridge"</formula>
    </cfRule>
    <cfRule type="expression" dxfId="23151" priority="1246">
      <formula>$A278="Drainage Works"</formula>
    </cfRule>
    <cfRule type="expression" dxfId="23150" priority="1247">
      <formula>$A278="Underpass"</formula>
    </cfRule>
    <cfRule type="expression" dxfId="23149" priority="1248">
      <formula>$A278="Overcrossing"</formula>
    </cfRule>
    <cfRule type="expression" dxfId="23148" priority="1249">
      <formula>$A278="Overpass"</formula>
    </cfRule>
    <cfRule type="expression" dxfId="23147" priority="1250">
      <formula>$A278="Station"</formula>
    </cfRule>
    <cfRule type="expression" dxfId="23146" priority="1251">
      <formula>$A278="Overlap between sections"</formula>
    </cfRule>
  </conditionalFormatting>
  <conditionalFormatting sqref="AN278:AP278">
    <cfRule type="cellIs" dxfId="23145" priority="1240" operator="notEqual">
      <formula>5.5</formula>
    </cfRule>
  </conditionalFormatting>
  <conditionalFormatting sqref="B278">
    <cfRule type="expression" dxfId="23144" priority="1239">
      <formula>AND($AH278&gt;2499,$AH278&lt;2901)</formula>
    </cfRule>
  </conditionalFormatting>
  <conditionalFormatting sqref="K278">
    <cfRule type="expression" dxfId="23143" priority="1236">
      <formula>$M278="NON DEFINED"</formula>
    </cfRule>
    <cfRule type="expression" dxfId="23142" priority="1237">
      <formula>$AZ278="N.D."</formula>
    </cfRule>
    <cfRule type="expression" dxfId="23141" priority="1238">
      <formula>$AY278="N.D."</formula>
    </cfRule>
  </conditionalFormatting>
  <conditionalFormatting sqref="K278">
    <cfRule type="expression" dxfId="23140" priority="1225">
      <formula>$A278="Overhead Cable"</formula>
    </cfRule>
    <cfRule type="expression" dxfId="23139" priority="1226">
      <formula>$A278="Level Crossing"</formula>
    </cfRule>
    <cfRule type="expression" dxfId="23138" priority="1227">
      <formula>$A278="Neutral Section"</formula>
    </cfRule>
    <cfRule type="expression" dxfId="23137" priority="1228">
      <formula>$A278="Tunnel"</formula>
    </cfRule>
    <cfRule type="expression" dxfId="23136" priority="1229">
      <formula>$A278="Bridge"</formula>
    </cfRule>
    <cfRule type="expression" dxfId="23135" priority="1230">
      <formula>$A278="Drainage Works"</formula>
    </cfRule>
    <cfRule type="expression" dxfId="23134" priority="1231">
      <formula>$A278="Underpass"</formula>
    </cfRule>
    <cfRule type="expression" dxfId="23133" priority="1232">
      <formula>$A278="Overcrossing"</formula>
    </cfRule>
    <cfRule type="expression" dxfId="23132" priority="1233">
      <formula>$A278="Overpass"</formula>
    </cfRule>
    <cfRule type="expression" dxfId="23131" priority="1234">
      <formula>$A278="Station"</formula>
    </cfRule>
    <cfRule type="expression" dxfId="23130" priority="1235">
      <formula>$A278="Overlap between sections"</formula>
    </cfRule>
  </conditionalFormatting>
  <conditionalFormatting sqref="I278">
    <cfRule type="expression" dxfId="23129" priority="1222">
      <formula>$M278="NON DEFINED"</formula>
    </cfRule>
    <cfRule type="expression" dxfId="23128" priority="1223">
      <formula>$AZ278="N.D."</formula>
    </cfRule>
    <cfRule type="expression" dxfId="23127" priority="1224">
      <formula>$AY278="N.D."</formula>
    </cfRule>
  </conditionalFormatting>
  <conditionalFormatting sqref="I278">
    <cfRule type="expression" dxfId="23126" priority="1211">
      <formula>$A278="Overhead Cable"</formula>
    </cfRule>
    <cfRule type="expression" dxfId="23125" priority="1212">
      <formula>$A278="Level Crossing"</formula>
    </cfRule>
    <cfRule type="expression" dxfId="23124" priority="1213">
      <formula>$A278="Neutral Section"</formula>
    </cfRule>
    <cfRule type="expression" dxfId="23123" priority="1214">
      <formula>$A278="Tunnel"</formula>
    </cfRule>
    <cfRule type="expression" dxfId="23122" priority="1215">
      <formula>$A278="Bridge"</formula>
    </cfRule>
    <cfRule type="expression" dxfId="23121" priority="1216">
      <formula>$A278="Drainage Works"</formula>
    </cfRule>
    <cfRule type="expression" dxfId="23120" priority="1217">
      <formula>$A278="Underpass"</formula>
    </cfRule>
    <cfRule type="expression" dxfId="23119" priority="1218">
      <formula>$A278="Overcrossing"</formula>
    </cfRule>
    <cfRule type="expression" dxfId="23118" priority="1219">
      <formula>$A278="Overpass"</formula>
    </cfRule>
    <cfRule type="expression" dxfId="23117" priority="1220">
      <formula>$A278="Station"</formula>
    </cfRule>
    <cfRule type="expression" dxfId="23116" priority="1221">
      <formula>$A278="Overlap between sections"</formula>
    </cfRule>
  </conditionalFormatting>
  <conditionalFormatting sqref="BD169">
    <cfRule type="containsText" dxfId="23115" priority="1210" operator="containsText" text="Poner a mano">
      <formula>NOT(ISERROR(SEARCH("Poner a mano",BD169)))</formula>
    </cfRule>
  </conditionalFormatting>
  <conditionalFormatting sqref="G317:G349">
    <cfRule type="expression" dxfId="23114" priority="1199">
      <formula>$A317="Overhead Cable"</formula>
    </cfRule>
    <cfRule type="expression" dxfId="23113" priority="1200">
      <formula>$A317="Level Crossing"</formula>
    </cfRule>
    <cfRule type="expression" dxfId="23112" priority="1201">
      <formula>$A317="Neutral Section"</formula>
    </cfRule>
    <cfRule type="expression" dxfId="23111" priority="1202">
      <formula>$A317="Tunnel"</formula>
    </cfRule>
    <cfRule type="expression" dxfId="23110" priority="1203">
      <formula>$A317="Bridge"</formula>
    </cfRule>
    <cfRule type="expression" dxfId="23109" priority="1204">
      <formula>$A317="Drainage Works"</formula>
    </cfRule>
    <cfRule type="expression" dxfId="23108" priority="1205">
      <formula>$A317="Underpass"</formula>
    </cfRule>
    <cfRule type="expression" dxfId="23107" priority="1206">
      <formula>$A317="Overcrossing"</formula>
    </cfRule>
    <cfRule type="expression" dxfId="23106" priority="1207">
      <formula>$A317="Overpass"</formula>
    </cfRule>
    <cfRule type="expression" dxfId="23105" priority="1208">
      <formula>$A317="Station"</formula>
    </cfRule>
    <cfRule type="expression" dxfId="23104" priority="1209">
      <formula>$A317="Overlap between sections"</formula>
    </cfRule>
  </conditionalFormatting>
  <conditionalFormatting sqref="G317:G349">
    <cfRule type="expression" dxfId="23103" priority="1196">
      <formula>$M317="NON DEFINED"</formula>
    </cfRule>
    <cfRule type="expression" dxfId="23102" priority="1197">
      <formula>$AZ317="N.D."</formula>
    </cfRule>
    <cfRule type="expression" dxfId="23101" priority="1198">
      <formula>$AY317="N.D."</formula>
    </cfRule>
  </conditionalFormatting>
  <conditionalFormatting sqref="G355:G376">
    <cfRule type="expression" dxfId="23100" priority="1185">
      <formula>$A355="Overhead Cable"</formula>
    </cfRule>
    <cfRule type="expression" dxfId="23099" priority="1186">
      <formula>$A355="Level Crossing"</formula>
    </cfRule>
    <cfRule type="expression" dxfId="23098" priority="1187">
      <formula>$A355="Neutral Section"</formula>
    </cfRule>
    <cfRule type="expression" dxfId="23097" priority="1188">
      <formula>$A355="Tunnel"</formula>
    </cfRule>
    <cfRule type="expression" dxfId="23096" priority="1189">
      <formula>$A355="Bridge"</formula>
    </cfRule>
    <cfRule type="expression" dxfId="23095" priority="1190">
      <formula>$A355="Drainage Works"</formula>
    </cfRule>
    <cfRule type="expression" dxfId="23094" priority="1191">
      <formula>$A355="Underpass"</formula>
    </cfRule>
    <cfRule type="expression" dxfId="23093" priority="1192">
      <formula>$A355="Overcrossing"</formula>
    </cfRule>
    <cfRule type="expression" dxfId="23092" priority="1193">
      <formula>$A355="Overpass"</formula>
    </cfRule>
    <cfRule type="expression" dxfId="23091" priority="1194">
      <formula>$A355="Station"</formula>
    </cfRule>
    <cfRule type="expression" dxfId="23090" priority="1195">
      <formula>$A355="Overlap between sections"</formula>
    </cfRule>
  </conditionalFormatting>
  <conditionalFormatting sqref="G355:G376">
    <cfRule type="expression" dxfId="23089" priority="1182">
      <formula>$M355="NON DEFINED"</formula>
    </cfRule>
    <cfRule type="expression" dxfId="23088" priority="1183">
      <formula>$AZ355="N.D."</formula>
    </cfRule>
    <cfRule type="expression" dxfId="23087" priority="1184">
      <formula>$AY355="N.D."</formula>
    </cfRule>
  </conditionalFormatting>
  <conditionalFormatting sqref="G377:G406">
    <cfRule type="expression" dxfId="23086" priority="1171">
      <formula>$A377="Overhead Cable"</formula>
    </cfRule>
    <cfRule type="expression" dxfId="23085" priority="1172">
      <formula>$A377="Level Crossing"</formula>
    </cfRule>
    <cfRule type="expression" dxfId="23084" priority="1173">
      <formula>$A377="Neutral Section"</formula>
    </cfRule>
    <cfRule type="expression" dxfId="23083" priority="1174">
      <formula>$A377="Tunnel"</formula>
    </cfRule>
    <cfRule type="expression" dxfId="23082" priority="1175">
      <formula>$A377="Bridge"</formula>
    </cfRule>
    <cfRule type="expression" dxfId="23081" priority="1176">
      <formula>$A377="Drainage Works"</formula>
    </cfRule>
    <cfRule type="expression" dxfId="23080" priority="1177">
      <formula>$A377="Underpass"</formula>
    </cfRule>
    <cfRule type="expression" dxfId="23079" priority="1178">
      <formula>$A377="Overcrossing"</formula>
    </cfRule>
    <cfRule type="expression" dxfId="23078" priority="1179">
      <formula>$A377="Overpass"</formula>
    </cfRule>
    <cfRule type="expression" dxfId="23077" priority="1180">
      <formula>$A377="Station"</formula>
    </cfRule>
    <cfRule type="expression" dxfId="23076" priority="1181">
      <formula>$A377="Overlap between sections"</formula>
    </cfRule>
  </conditionalFormatting>
  <conditionalFormatting sqref="G377:G406">
    <cfRule type="expression" dxfId="23075" priority="1168">
      <formula>$M377="NON DEFINED"</formula>
    </cfRule>
    <cfRule type="expression" dxfId="23074" priority="1169">
      <formula>$AZ377="N.D."</formula>
    </cfRule>
    <cfRule type="expression" dxfId="23073" priority="1170">
      <formula>$AY377="N.D."</formula>
    </cfRule>
  </conditionalFormatting>
  <conditionalFormatting sqref="G407:G409">
    <cfRule type="expression" dxfId="23072" priority="1157">
      <formula>$A407="Overhead Cable"</formula>
    </cfRule>
    <cfRule type="expression" dxfId="23071" priority="1158">
      <formula>$A407="Level Crossing"</formula>
    </cfRule>
    <cfRule type="expression" dxfId="23070" priority="1159">
      <formula>$A407="Neutral Section"</formula>
    </cfRule>
    <cfRule type="expression" dxfId="23069" priority="1160">
      <formula>$A407="Tunnel"</formula>
    </cfRule>
    <cfRule type="expression" dxfId="23068" priority="1161">
      <formula>$A407="Bridge"</formula>
    </cfRule>
    <cfRule type="expression" dxfId="23067" priority="1162">
      <formula>$A407="Drainage Works"</formula>
    </cfRule>
    <cfRule type="expression" dxfId="23066" priority="1163">
      <formula>$A407="Underpass"</formula>
    </cfRule>
    <cfRule type="expression" dxfId="23065" priority="1164">
      <formula>$A407="Overcrossing"</formula>
    </cfRule>
    <cfRule type="expression" dxfId="23064" priority="1165">
      <formula>$A407="Overpass"</formula>
    </cfRule>
    <cfRule type="expression" dxfId="23063" priority="1166">
      <formula>$A407="Station"</formula>
    </cfRule>
    <cfRule type="expression" dxfId="23062" priority="1167">
      <formula>$A407="Overlap between sections"</formula>
    </cfRule>
  </conditionalFormatting>
  <conditionalFormatting sqref="G407:G409">
    <cfRule type="expression" dxfId="23061" priority="1154">
      <formula>$M407="NON DEFINED"</formula>
    </cfRule>
    <cfRule type="expression" dxfId="23060" priority="1155">
      <formula>$AZ407="N.D."</formula>
    </cfRule>
    <cfRule type="expression" dxfId="23059" priority="1156">
      <formula>$AY407="N.D."</formula>
    </cfRule>
  </conditionalFormatting>
  <conditionalFormatting sqref="G455:G501">
    <cfRule type="expression" dxfId="23058" priority="1129">
      <formula>$A455="Overhead Cable"</formula>
    </cfRule>
    <cfRule type="expression" dxfId="23057" priority="1130">
      <formula>$A455="Level Crossing"</formula>
    </cfRule>
    <cfRule type="expression" dxfId="23056" priority="1131">
      <formula>$A455="Neutral Section"</formula>
    </cfRule>
    <cfRule type="expression" dxfId="23055" priority="1132">
      <formula>$A455="Tunnel"</formula>
    </cfRule>
    <cfRule type="expression" dxfId="23054" priority="1133">
      <formula>$A455="Bridge"</formula>
    </cfRule>
    <cfRule type="expression" dxfId="23053" priority="1134">
      <formula>$A455="Drainage Works"</formula>
    </cfRule>
    <cfRule type="expression" dxfId="23052" priority="1135">
      <formula>$A455="Underpass"</formula>
    </cfRule>
    <cfRule type="expression" dxfId="23051" priority="1136">
      <formula>$A455="Overcrossing"</formula>
    </cfRule>
    <cfRule type="expression" dxfId="23050" priority="1137">
      <formula>$A455="Overpass"</formula>
    </cfRule>
    <cfRule type="expression" dxfId="23049" priority="1138">
      <formula>$A455="Station"</formula>
    </cfRule>
    <cfRule type="expression" dxfId="23048" priority="1139">
      <formula>$A455="Overlap between sections"</formula>
    </cfRule>
  </conditionalFormatting>
  <conditionalFormatting sqref="G455:G501">
    <cfRule type="expression" dxfId="23047" priority="1126">
      <formula>$M455="NON DEFINED"</formula>
    </cfRule>
    <cfRule type="expression" dxfId="23046" priority="1127">
      <formula>$AZ455="N.D."</formula>
    </cfRule>
    <cfRule type="expression" dxfId="23045" priority="1128">
      <formula>$AY455="N.D."</formula>
    </cfRule>
  </conditionalFormatting>
  <conditionalFormatting sqref="H510:H528">
    <cfRule type="expression" dxfId="23044" priority="1101">
      <formula>$A510="Overhead Cable"</formula>
    </cfRule>
    <cfRule type="expression" dxfId="23043" priority="1102">
      <formula>$A510="Level Crossing"</formula>
    </cfRule>
    <cfRule type="expression" dxfId="23042" priority="1103">
      <formula>$A510="Neutral Section"</formula>
    </cfRule>
    <cfRule type="expression" dxfId="23041" priority="1104">
      <formula>$A510="Tunnel"</formula>
    </cfRule>
    <cfRule type="expression" dxfId="23040" priority="1105">
      <formula>$A510="Bridge"</formula>
    </cfRule>
    <cfRule type="expression" dxfId="23039" priority="1106">
      <formula>$A510="Drainage Works"</formula>
    </cfRule>
    <cfRule type="expression" dxfId="23038" priority="1107">
      <formula>$A510="Underpass"</formula>
    </cfRule>
    <cfRule type="expression" dxfId="23037" priority="1108">
      <formula>$A510="Overcrossing"</formula>
    </cfRule>
    <cfRule type="expression" dxfId="23036" priority="1109">
      <formula>$A510="Overpass"</formula>
    </cfRule>
    <cfRule type="expression" dxfId="23035" priority="1110">
      <formula>$A510="Station"</formula>
    </cfRule>
    <cfRule type="expression" dxfId="23034" priority="1111">
      <formula>$A510="Overlap between sections"</formula>
    </cfRule>
  </conditionalFormatting>
  <conditionalFormatting sqref="H510:H528">
    <cfRule type="expression" dxfId="23033" priority="1098">
      <formula>$M510="NON DEFINED"</formula>
    </cfRule>
    <cfRule type="expression" dxfId="23032" priority="1099">
      <formula>$AZ510="N.D."</formula>
    </cfRule>
    <cfRule type="expression" dxfId="23031" priority="1100">
      <formula>$AY510="N.D."</formula>
    </cfRule>
  </conditionalFormatting>
  <conditionalFormatting sqref="G529:G535 G538:G572">
    <cfRule type="expression" dxfId="23030" priority="1087">
      <formula>$A529="Overhead Cable"</formula>
    </cfRule>
    <cfRule type="expression" dxfId="23029" priority="1088">
      <formula>$A529="Level Crossing"</formula>
    </cfRule>
    <cfRule type="expression" dxfId="23028" priority="1089">
      <formula>$A529="Neutral Section"</formula>
    </cfRule>
    <cfRule type="expression" dxfId="23027" priority="1090">
      <formula>$A529="Tunnel"</formula>
    </cfRule>
    <cfRule type="expression" dxfId="23026" priority="1091">
      <formula>$A529="Bridge"</formula>
    </cfRule>
    <cfRule type="expression" dxfId="23025" priority="1092">
      <formula>$A529="Drainage Works"</formula>
    </cfRule>
    <cfRule type="expression" dxfId="23024" priority="1093">
      <formula>$A529="Underpass"</formula>
    </cfRule>
    <cfRule type="expression" dxfId="23023" priority="1094">
      <formula>$A529="Overcrossing"</formula>
    </cfRule>
    <cfRule type="expression" dxfId="23022" priority="1095">
      <formula>$A529="Overpass"</formula>
    </cfRule>
    <cfRule type="expression" dxfId="23021" priority="1096">
      <formula>$A529="Station"</formula>
    </cfRule>
    <cfRule type="expression" dxfId="23020" priority="1097">
      <formula>$A529="Overlap between sections"</formula>
    </cfRule>
  </conditionalFormatting>
  <conditionalFormatting sqref="G529:G535 G538:G572">
    <cfRule type="expression" dxfId="23019" priority="1084">
      <formula>$M529="NON DEFINED"</formula>
    </cfRule>
    <cfRule type="expression" dxfId="23018" priority="1085">
      <formula>$AZ529="N.D."</formula>
    </cfRule>
    <cfRule type="expression" dxfId="23017" priority="1086">
      <formula>$AY529="N.D."</formula>
    </cfRule>
  </conditionalFormatting>
  <conditionalFormatting sqref="G693:G718">
    <cfRule type="expression" dxfId="23016" priority="1017">
      <formula>$A693="Overhead Cable"</formula>
    </cfRule>
    <cfRule type="expression" dxfId="23015" priority="1018">
      <formula>$A693="Level Crossing"</formula>
    </cfRule>
    <cfRule type="expression" dxfId="23014" priority="1019">
      <formula>$A693="Neutral Section"</formula>
    </cfRule>
    <cfRule type="expression" dxfId="23013" priority="1020">
      <formula>$A693="Tunnel"</formula>
    </cfRule>
    <cfRule type="expression" dxfId="23012" priority="1021">
      <formula>$A693="Bridge"</formula>
    </cfRule>
    <cfRule type="expression" dxfId="23011" priority="1022">
      <formula>$A693="Drainage Works"</formula>
    </cfRule>
    <cfRule type="expression" dxfId="23010" priority="1023">
      <formula>$A693="Underpass"</formula>
    </cfRule>
    <cfRule type="expression" dxfId="23009" priority="1024">
      <formula>$A693="Overcrossing"</formula>
    </cfRule>
    <cfRule type="expression" dxfId="23008" priority="1025">
      <formula>$A693="Overpass"</formula>
    </cfRule>
    <cfRule type="expression" dxfId="23007" priority="1026">
      <formula>$A693="Station"</formula>
    </cfRule>
    <cfRule type="expression" dxfId="23006" priority="1027">
      <formula>$A693="Overlap between sections"</formula>
    </cfRule>
  </conditionalFormatting>
  <conditionalFormatting sqref="G693:G718">
    <cfRule type="expression" dxfId="23005" priority="1014">
      <formula>$M693="NON DEFINED"</formula>
    </cfRule>
    <cfRule type="expression" dxfId="23004" priority="1015">
      <formula>$AZ693="N.D."</formula>
    </cfRule>
    <cfRule type="expression" dxfId="23003" priority="1016">
      <formula>$AY693="N.D."</formula>
    </cfRule>
  </conditionalFormatting>
  <conditionalFormatting sqref="B1128:AZ1128 B1111:F1127 H1111:AZ1127 B1176:AZ1176">
    <cfRule type="expression" dxfId="23002" priority="1011">
      <formula>$M1111="NON DEFINED"</formula>
    </cfRule>
    <cfRule type="expression" dxfId="23001" priority="1012">
      <formula>$AZ1111="N.D."</formula>
    </cfRule>
    <cfRule type="expression" dxfId="23000" priority="1013">
      <formula>$AY1111="N.D."</formula>
    </cfRule>
  </conditionalFormatting>
  <conditionalFormatting sqref="A1128:AZ1128 A1111:F1127 H1111:AZ1127 A1176:AZ1176">
    <cfRule type="expression" dxfId="22999" priority="1000">
      <formula>$A1111="Overhead Cable"</formula>
    </cfRule>
    <cfRule type="expression" dxfId="22998" priority="1001">
      <formula>$A1111="Level Crossing"</formula>
    </cfRule>
    <cfRule type="expression" dxfId="22997" priority="1002">
      <formula>$A1111="Neutral Section"</formula>
    </cfRule>
    <cfRule type="expression" dxfId="22996" priority="1003">
      <formula>$A1111="Tunnel"</formula>
    </cfRule>
    <cfRule type="expression" dxfId="22995" priority="1004">
      <formula>$A1111="Bridge"</formula>
    </cfRule>
    <cfRule type="expression" dxfId="22994" priority="1005">
      <formula>$A1111="Drainage Works"</formula>
    </cfRule>
    <cfRule type="expression" dxfId="22993" priority="1006">
      <formula>$A1111="Underpass"</formula>
    </cfRule>
    <cfRule type="expression" dxfId="22992" priority="1007">
      <formula>$A1111="Overcrossing"</formula>
    </cfRule>
    <cfRule type="expression" dxfId="22991" priority="1008">
      <formula>$A1111="Overpass"</formula>
    </cfRule>
    <cfRule type="expression" dxfId="22990" priority="1009">
      <formula>$A1111="Station"</formula>
    </cfRule>
    <cfRule type="expression" dxfId="22989" priority="1010">
      <formula>$A1111="Overlap between sections"</formula>
    </cfRule>
  </conditionalFormatting>
  <conditionalFormatting sqref="G737:G749">
    <cfRule type="expression" dxfId="22988" priority="989">
      <formula>$M737="NON DEFINED"</formula>
    </cfRule>
    <cfRule type="expression" dxfId="22987" priority="990">
      <formula>$AZ737="N.D."</formula>
    </cfRule>
    <cfRule type="expression" dxfId="22986" priority="991">
      <formula>$AY737="N.D."</formula>
    </cfRule>
  </conditionalFormatting>
  <conditionalFormatting sqref="G737:G749">
    <cfRule type="expression" dxfId="22985" priority="978">
      <formula>$A737="Overhead Cable"</formula>
    </cfRule>
    <cfRule type="expression" dxfId="22984" priority="979">
      <formula>$A737="Level Crossing"</formula>
    </cfRule>
    <cfRule type="expression" dxfId="22983" priority="980">
      <formula>$A737="Neutral Section"</formula>
    </cfRule>
    <cfRule type="expression" dxfId="22982" priority="981">
      <formula>$A737="Tunnel"</formula>
    </cfRule>
    <cfRule type="expression" dxfId="22981" priority="982">
      <formula>$A737="Bridge"</formula>
    </cfRule>
    <cfRule type="expression" dxfId="22980" priority="983">
      <formula>$A737="Drainage Works"</formula>
    </cfRule>
    <cfRule type="expression" dxfId="22979" priority="984">
      <formula>$A737="Underpass"</formula>
    </cfRule>
    <cfRule type="expression" dxfId="22978" priority="985">
      <formula>$A737="Overcrossing"</formula>
    </cfRule>
    <cfRule type="expression" dxfId="22977" priority="986">
      <formula>$A737="Overpass"</formula>
    </cfRule>
    <cfRule type="expression" dxfId="22976" priority="987">
      <formula>$A737="Station"</formula>
    </cfRule>
    <cfRule type="expression" dxfId="22975" priority="988">
      <formula>$A737="Overlap between sections"</formula>
    </cfRule>
  </conditionalFormatting>
  <conditionalFormatting sqref="H732:H736">
    <cfRule type="expression" dxfId="22974" priority="967">
      <formula>$A732="Overhead Cable"</formula>
    </cfRule>
    <cfRule type="expression" dxfId="22973" priority="968">
      <formula>$A732="Level Crossing"</formula>
    </cfRule>
    <cfRule type="expression" dxfId="22972" priority="969">
      <formula>$A732="Neutral Section"</formula>
    </cfRule>
    <cfRule type="expression" dxfId="22971" priority="970">
      <formula>$A732="Tunnel"</formula>
    </cfRule>
    <cfRule type="expression" dxfId="22970" priority="971">
      <formula>$A732="Bridge"</formula>
    </cfRule>
    <cfRule type="expression" dxfId="22969" priority="972">
      <formula>$A732="Drainage Works"</formula>
    </cfRule>
    <cfRule type="expression" dxfId="22968" priority="973">
      <formula>$A732="Underpass"</formula>
    </cfRule>
    <cfRule type="expression" dxfId="22967" priority="974">
      <formula>$A732="Overcrossing"</formula>
    </cfRule>
    <cfRule type="expression" dxfId="22966" priority="975">
      <formula>$A732="Overpass"</formula>
    </cfRule>
    <cfRule type="expression" dxfId="22965" priority="976">
      <formula>$A732="Station"</formula>
    </cfRule>
    <cfRule type="expression" dxfId="22964" priority="977">
      <formula>$A732="Overlap between sections"</formula>
    </cfRule>
  </conditionalFormatting>
  <conditionalFormatting sqref="H732:H736">
    <cfRule type="expression" dxfId="22963" priority="964">
      <formula>$M732="NON DEFINED"</formula>
    </cfRule>
    <cfRule type="expression" dxfId="22962" priority="965">
      <formula>$AZ732="N.D."</formula>
    </cfRule>
    <cfRule type="expression" dxfId="22961" priority="966">
      <formula>$AY732="N.D."</formula>
    </cfRule>
  </conditionalFormatting>
  <conditionalFormatting sqref="G751:G771">
    <cfRule type="expression" dxfId="22960" priority="953">
      <formula>$A751="Overhead Cable"</formula>
    </cfRule>
    <cfRule type="expression" dxfId="22959" priority="954">
      <formula>$A751="Level Crossing"</formula>
    </cfRule>
    <cfRule type="expression" dxfId="22958" priority="955">
      <formula>$A751="Neutral Section"</formula>
    </cfRule>
    <cfRule type="expression" dxfId="22957" priority="956">
      <formula>$A751="Tunnel"</formula>
    </cfRule>
    <cfRule type="expression" dxfId="22956" priority="957">
      <formula>$A751="Bridge"</formula>
    </cfRule>
    <cfRule type="expression" dxfId="22955" priority="958">
      <formula>$A751="Drainage Works"</formula>
    </cfRule>
    <cfRule type="expression" dxfId="22954" priority="959">
      <formula>$A751="Underpass"</formula>
    </cfRule>
    <cfRule type="expression" dxfId="22953" priority="960">
      <formula>$A751="Overcrossing"</formula>
    </cfRule>
    <cfRule type="expression" dxfId="22952" priority="961">
      <formula>$A751="Overpass"</formula>
    </cfRule>
    <cfRule type="expression" dxfId="22951" priority="962">
      <formula>$A751="Station"</formula>
    </cfRule>
    <cfRule type="expression" dxfId="22950" priority="963">
      <formula>$A751="Overlap between sections"</formula>
    </cfRule>
  </conditionalFormatting>
  <conditionalFormatting sqref="G751:G771">
    <cfRule type="expression" dxfId="22949" priority="950">
      <formula>$M751="NON DEFINED"</formula>
    </cfRule>
    <cfRule type="expression" dxfId="22948" priority="951">
      <formula>$AZ751="N.D."</formula>
    </cfRule>
    <cfRule type="expression" dxfId="22947" priority="952">
      <formula>$AY751="N.D."</formula>
    </cfRule>
  </conditionalFormatting>
  <conditionalFormatting sqref="G797:G830">
    <cfRule type="expression" dxfId="22946" priority="925">
      <formula>$A797="Overhead Cable"</formula>
    </cfRule>
    <cfRule type="expression" dxfId="22945" priority="926">
      <formula>$A797="Level Crossing"</formula>
    </cfRule>
    <cfRule type="expression" dxfId="22944" priority="927">
      <formula>$A797="Neutral Section"</formula>
    </cfRule>
    <cfRule type="expression" dxfId="22943" priority="928">
      <formula>$A797="Tunnel"</formula>
    </cfRule>
    <cfRule type="expression" dxfId="22942" priority="929">
      <formula>$A797="Bridge"</formula>
    </cfRule>
    <cfRule type="expression" dxfId="22941" priority="930">
      <formula>$A797="Drainage Works"</formula>
    </cfRule>
    <cfRule type="expression" dxfId="22940" priority="931">
      <formula>$A797="Underpass"</formula>
    </cfRule>
    <cfRule type="expression" dxfId="22939" priority="932">
      <formula>$A797="Overcrossing"</formula>
    </cfRule>
    <cfRule type="expression" dxfId="22938" priority="933">
      <formula>$A797="Overpass"</formula>
    </cfRule>
    <cfRule type="expression" dxfId="22937" priority="934">
      <formula>$A797="Station"</formula>
    </cfRule>
    <cfRule type="expression" dxfId="22936" priority="935">
      <formula>$A797="Overlap between sections"</formula>
    </cfRule>
  </conditionalFormatting>
  <conditionalFormatting sqref="G797:G830">
    <cfRule type="expression" dxfId="22935" priority="922">
      <formula>$M797="NON DEFINED"</formula>
    </cfRule>
    <cfRule type="expression" dxfId="22934" priority="923">
      <formula>$AZ797="N.D."</formula>
    </cfRule>
    <cfRule type="expression" dxfId="22933" priority="924">
      <formula>$AY797="N.D."</formula>
    </cfRule>
  </conditionalFormatting>
  <conditionalFormatting sqref="G859:G879">
    <cfRule type="expression" dxfId="22932" priority="905">
      <formula>$M859="NON DEFINED"</formula>
    </cfRule>
    <cfRule type="expression" dxfId="22931" priority="906">
      <formula>$AZ859="N.D."</formula>
    </cfRule>
    <cfRule type="expression" dxfId="22930" priority="907">
      <formula>$AY859="N.D."</formula>
    </cfRule>
  </conditionalFormatting>
  <conditionalFormatting sqref="G859:G879">
    <cfRule type="expression" dxfId="22929" priority="894">
      <formula>$A859="Overhead Cable"</formula>
    </cfRule>
    <cfRule type="expression" dxfId="22928" priority="895">
      <formula>$A859="Level Crossing"</formula>
    </cfRule>
    <cfRule type="expression" dxfId="22927" priority="896">
      <formula>$A859="Neutral Section"</formula>
    </cfRule>
    <cfRule type="expression" dxfId="22926" priority="897">
      <formula>$A859="Tunnel"</formula>
    </cfRule>
    <cfRule type="expression" dxfId="22925" priority="898">
      <formula>$A859="Bridge"</formula>
    </cfRule>
    <cfRule type="expression" dxfId="22924" priority="899">
      <formula>$A859="Drainage Works"</formula>
    </cfRule>
    <cfRule type="expression" dxfId="22923" priority="900">
      <formula>$A859="Underpass"</formula>
    </cfRule>
    <cfRule type="expression" dxfId="22922" priority="901">
      <formula>$A859="Overcrossing"</formula>
    </cfRule>
    <cfRule type="expression" dxfId="22921" priority="902">
      <formula>$A859="Overpass"</formula>
    </cfRule>
    <cfRule type="expression" dxfId="22920" priority="903">
      <formula>$A859="Station"</formula>
    </cfRule>
    <cfRule type="expression" dxfId="22919" priority="904">
      <formula>$A859="Overlap between sections"</formula>
    </cfRule>
  </conditionalFormatting>
  <conditionalFormatting sqref="G951:G973">
    <cfRule type="expression" dxfId="22918" priority="883">
      <formula>$A951="Overhead Cable"</formula>
    </cfRule>
    <cfRule type="expression" dxfId="22917" priority="884">
      <formula>$A951="Level Crossing"</formula>
    </cfRule>
    <cfRule type="expression" dxfId="22916" priority="885">
      <formula>$A951="Neutral Section"</formula>
    </cfRule>
    <cfRule type="expression" dxfId="22915" priority="886">
      <formula>$A951="Tunnel"</formula>
    </cfRule>
    <cfRule type="expression" dxfId="22914" priority="887">
      <formula>$A951="Bridge"</formula>
    </cfRule>
    <cfRule type="expression" dxfId="22913" priority="888">
      <formula>$A951="Drainage Works"</formula>
    </cfRule>
    <cfRule type="expression" dxfId="22912" priority="889">
      <formula>$A951="Underpass"</formula>
    </cfRule>
    <cfRule type="expression" dxfId="22911" priority="890">
      <formula>$A951="Overcrossing"</formula>
    </cfRule>
    <cfRule type="expression" dxfId="22910" priority="891">
      <formula>$A951="Overpass"</formula>
    </cfRule>
    <cfRule type="expression" dxfId="22909" priority="892">
      <formula>$A951="Station"</formula>
    </cfRule>
    <cfRule type="expression" dxfId="22908" priority="893">
      <formula>$A951="Overlap between sections"</formula>
    </cfRule>
  </conditionalFormatting>
  <conditionalFormatting sqref="G951:G973">
    <cfRule type="expression" dxfId="22907" priority="880">
      <formula>$M951="NON DEFINED"</formula>
    </cfRule>
    <cfRule type="expression" dxfId="22906" priority="881">
      <formula>$AZ951="N.D."</formula>
    </cfRule>
    <cfRule type="expression" dxfId="22905" priority="882">
      <formula>$AY951="N.D."</formula>
    </cfRule>
  </conditionalFormatting>
  <conditionalFormatting sqref="G975:G1011">
    <cfRule type="expression" dxfId="22904" priority="869">
      <formula>$A975="Overhead Cable"</formula>
    </cfRule>
    <cfRule type="expression" dxfId="22903" priority="870">
      <formula>$A975="Level Crossing"</formula>
    </cfRule>
    <cfRule type="expression" dxfId="22902" priority="871">
      <formula>$A975="Neutral Section"</formula>
    </cfRule>
    <cfRule type="expression" dxfId="22901" priority="872">
      <formula>$A975="Tunnel"</formula>
    </cfRule>
    <cfRule type="expression" dxfId="22900" priority="873">
      <formula>$A975="Bridge"</formula>
    </cfRule>
    <cfRule type="expression" dxfId="22899" priority="874">
      <formula>$A975="Drainage Works"</formula>
    </cfRule>
    <cfRule type="expression" dxfId="22898" priority="875">
      <formula>$A975="Underpass"</formula>
    </cfRule>
    <cfRule type="expression" dxfId="22897" priority="876">
      <formula>$A975="Overcrossing"</formula>
    </cfRule>
    <cfRule type="expression" dxfId="22896" priority="877">
      <formula>$A975="Overpass"</formula>
    </cfRule>
    <cfRule type="expression" dxfId="22895" priority="878">
      <formula>$A975="Station"</formula>
    </cfRule>
    <cfRule type="expression" dxfId="22894" priority="879">
      <formula>$A975="Overlap between sections"</formula>
    </cfRule>
  </conditionalFormatting>
  <conditionalFormatting sqref="G975:G1011">
    <cfRule type="expression" dxfId="22893" priority="866">
      <formula>$M975="NON DEFINED"</formula>
    </cfRule>
    <cfRule type="expression" dxfId="22892" priority="867">
      <formula>$AZ975="N.D."</formula>
    </cfRule>
    <cfRule type="expression" dxfId="22891" priority="868">
      <formula>$AY975="N.D."</formula>
    </cfRule>
  </conditionalFormatting>
  <conditionalFormatting sqref="G1013:G1051">
    <cfRule type="expression" dxfId="22890" priority="855">
      <formula>$A1013="Overhead Cable"</formula>
    </cfRule>
    <cfRule type="expression" dxfId="22889" priority="856">
      <formula>$A1013="Level Crossing"</formula>
    </cfRule>
    <cfRule type="expression" dxfId="22888" priority="857">
      <formula>$A1013="Neutral Section"</formula>
    </cfRule>
    <cfRule type="expression" dxfId="22887" priority="858">
      <formula>$A1013="Tunnel"</formula>
    </cfRule>
    <cfRule type="expression" dxfId="22886" priority="859">
      <formula>$A1013="Bridge"</formula>
    </cfRule>
    <cfRule type="expression" dxfId="22885" priority="860">
      <formula>$A1013="Drainage Works"</formula>
    </cfRule>
    <cfRule type="expression" dxfId="22884" priority="861">
      <formula>$A1013="Underpass"</formula>
    </cfRule>
    <cfRule type="expression" dxfId="22883" priority="862">
      <formula>$A1013="Overcrossing"</formula>
    </cfRule>
    <cfRule type="expression" dxfId="22882" priority="863">
      <formula>$A1013="Overpass"</formula>
    </cfRule>
    <cfRule type="expression" dxfId="22881" priority="864">
      <formula>$A1013="Station"</formula>
    </cfRule>
    <cfRule type="expression" dxfId="22880" priority="865">
      <formula>$A1013="Overlap between sections"</formula>
    </cfRule>
  </conditionalFormatting>
  <conditionalFormatting sqref="G1013:G1051">
    <cfRule type="expression" dxfId="22879" priority="852">
      <formula>$M1013="NON DEFINED"</formula>
    </cfRule>
    <cfRule type="expression" dxfId="22878" priority="853">
      <formula>$AZ1013="N.D."</formula>
    </cfRule>
    <cfRule type="expression" dxfId="22877" priority="854">
      <formula>$AY1013="N.D."</formula>
    </cfRule>
  </conditionalFormatting>
  <conditionalFormatting sqref="G1053:G1089">
    <cfRule type="expression" dxfId="22876" priority="841">
      <formula>$A1053="Overhead Cable"</formula>
    </cfRule>
    <cfRule type="expression" dxfId="22875" priority="842">
      <formula>$A1053="Level Crossing"</formula>
    </cfRule>
    <cfRule type="expression" dxfId="22874" priority="843">
      <formula>$A1053="Neutral Section"</formula>
    </cfRule>
    <cfRule type="expression" dxfId="22873" priority="844">
      <formula>$A1053="Tunnel"</formula>
    </cfRule>
    <cfRule type="expression" dxfId="22872" priority="845">
      <formula>$A1053="Bridge"</formula>
    </cfRule>
    <cfRule type="expression" dxfId="22871" priority="846">
      <formula>$A1053="Drainage Works"</formula>
    </cfRule>
    <cfRule type="expression" dxfId="22870" priority="847">
      <formula>$A1053="Underpass"</formula>
    </cfRule>
    <cfRule type="expression" dxfId="22869" priority="848">
      <formula>$A1053="Overcrossing"</formula>
    </cfRule>
    <cfRule type="expression" dxfId="22868" priority="849">
      <formula>$A1053="Overpass"</formula>
    </cfRule>
    <cfRule type="expression" dxfId="22867" priority="850">
      <formula>$A1053="Station"</formula>
    </cfRule>
    <cfRule type="expression" dxfId="22866" priority="851">
      <formula>$A1053="Overlap between sections"</formula>
    </cfRule>
  </conditionalFormatting>
  <conditionalFormatting sqref="G1053:G1089">
    <cfRule type="expression" dxfId="22865" priority="838">
      <formula>$M1053="NON DEFINED"</formula>
    </cfRule>
    <cfRule type="expression" dxfId="22864" priority="839">
      <formula>$AZ1053="N.D."</formula>
    </cfRule>
    <cfRule type="expression" dxfId="22863" priority="840">
      <formula>$AY1053="N.D."</formula>
    </cfRule>
  </conditionalFormatting>
  <conditionalFormatting sqref="G1091:G1110">
    <cfRule type="expression" dxfId="22862" priority="827">
      <formula>$A1091="Overhead Cable"</formula>
    </cfRule>
    <cfRule type="expression" dxfId="22861" priority="828">
      <formula>$A1091="Level Crossing"</formula>
    </cfRule>
    <cfRule type="expression" dxfId="22860" priority="829">
      <formula>$A1091="Neutral Section"</formula>
    </cfRule>
    <cfRule type="expression" dxfId="22859" priority="830">
      <formula>$A1091="Tunnel"</formula>
    </cfRule>
    <cfRule type="expression" dxfId="22858" priority="831">
      <formula>$A1091="Bridge"</formula>
    </cfRule>
    <cfRule type="expression" dxfId="22857" priority="832">
      <formula>$A1091="Drainage Works"</formula>
    </cfRule>
    <cfRule type="expression" dxfId="22856" priority="833">
      <formula>$A1091="Underpass"</formula>
    </cfRule>
    <cfRule type="expression" dxfId="22855" priority="834">
      <formula>$A1091="Overcrossing"</formula>
    </cfRule>
    <cfRule type="expression" dxfId="22854" priority="835">
      <formula>$A1091="Overpass"</formula>
    </cfRule>
    <cfRule type="expression" dxfId="22853" priority="836">
      <formula>$A1091="Station"</formula>
    </cfRule>
    <cfRule type="expression" dxfId="22852" priority="837">
      <formula>$A1091="Overlap between sections"</formula>
    </cfRule>
  </conditionalFormatting>
  <conditionalFormatting sqref="G1091:G1110">
    <cfRule type="expression" dxfId="22851" priority="824">
      <formula>$M1091="NON DEFINED"</formula>
    </cfRule>
    <cfRule type="expression" dxfId="22850" priority="825">
      <formula>$AZ1091="N.D."</formula>
    </cfRule>
    <cfRule type="expression" dxfId="22849" priority="826">
      <formula>$AY1091="N.D."</formula>
    </cfRule>
  </conditionalFormatting>
  <conditionalFormatting sqref="G1111:G1127">
    <cfRule type="expression" dxfId="22848" priority="813">
      <formula>$A1111="Overhead Cable"</formula>
    </cfRule>
    <cfRule type="expression" dxfId="22847" priority="814">
      <formula>$A1111="Level Crossing"</formula>
    </cfRule>
    <cfRule type="expression" dxfId="22846" priority="815">
      <formula>$A1111="Neutral Section"</formula>
    </cfRule>
    <cfRule type="expression" dxfId="22845" priority="816">
      <formula>$A1111="Tunnel"</formula>
    </cfRule>
    <cfRule type="expression" dxfId="22844" priority="817">
      <formula>$A1111="Bridge"</formula>
    </cfRule>
    <cfRule type="expression" dxfId="22843" priority="818">
      <formula>$A1111="Drainage Works"</formula>
    </cfRule>
    <cfRule type="expression" dxfId="22842" priority="819">
      <formula>$A1111="Underpass"</formula>
    </cfRule>
    <cfRule type="expression" dxfId="22841" priority="820">
      <formula>$A1111="Overcrossing"</formula>
    </cfRule>
    <cfRule type="expression" dxfId="22840" priority="821">
      <formula>$A1111="Overpass"</formula>
    </cfRule>
    <cfRule type="expression" dxfId="22839" priority="822">
      <formula>$A1111="Station"</formula>
    </cfRule>
    <cfRule type="expression" dxfId="22838" priority="823">
      <formula>$A1111="Overlap between sections"</formula>
    </cfRule>
  </conditionalFormatting>
  <conditionalFormatting sqref="G1111:G1127">
    <cfRule type="expression" dxfId="22837" priority="810">
      <formula>$M1111="NON DEFINED"</formula>
    </cfRule>
    <cfRule type="expression" dxfId="22836" priority="811">
      <formula>$AZ1111="N.D."</formula>
    </cfRule>
    <cfRule type="expression" dxfId="22835" priority="812">
      <formula>$AY1111="N.D."</formula>
    </cfRule>
  </conditionalFormatting>
  <conditionalFormatting sqref="AW450:AX450">
    <cfRule type="expression" dxfId="22834" priority="765">
      <formula>$M450="NON DEFINED"</formula>
    </cfRule>
    <cfRule type="expression" dxfId="22833" priority="766">
      <formula>$AZ450="N.D."</formula>
    </cfRule>
    <cfRule type="expression" dxfId="22832" priority="767">
      <formula>$AY450="N.D."</formula>
    </cfRule>
  </conditionalFormatting>
  <conditionalFormatting sqref="AW450:AX450">
    <cfRule type="expression" dxfId="22831" priority="754">
      <formula>$A450="Overhead Cable"</formula>
    </cfRule>
    <cfRule type="expression" dxfId="22830" priority="755">
      <formula>$A450="Level Crossing"</formula>
    </cfRule>
    <cfRule type="expression" dxfId="22829" priority="756">
      <formula>$A450="Neutral Section"</formula>
    </cfRule>
    <cfRule type="expression" dxfId="22828" priority="757">
      <formula>$A450="Tunnel"</formula>
    </cfRule>
    <cfRule type="expression" dxfId="22827" priority="758">
      <formula>$A450="Bridge"</formula>
    </cfRule>
    <cfRule type="expression" dxfId="22826" priority="759">
      <formula>$A450="Drainage Works"</formula>
    </cfRule>
    <cfRule type="expression" dxfId="22825" priority="760">
      <formula>$A450="Underpass"</formula>
    </cfRule>
    <cfRule type="expression" dxfId="22824" priority="761">
      <formula>$A450="Overcrossing"</formula>
    </cfRule>
    <cfRule type="expression" dxfId="22823" priority="762">
      <formula>$A450="Overpass"</formula>
    </cfRule>
    <cfRule type="expression" dxfId="22822" priority="763">
      <formula>$A450="Station"</formula>
    </cfRule>
    <cfRule type="expression" dxfId="22821" priority="764">
      <formula>$A450="Overlap between sections"</formula>
    </cfRule>
  </conditionalFormatting>
  <conditionalFormatting sqref="AW452:AX452">
    <cfRule type="expression" dxfId="22820" priority="751">
      <formula>$M452="NON DEFINED"</formula>
    </cfRule>
    <cfRule type="expression" dxfId="22819" priority="752">
      <formula>$AZ452="N.D."</formula>
    </cfRule>
    <cfRule type="expression" dxfId="22818" priority="753">
      <formula>$AY452="N.D."</formula>
    </cfRule>
  </conditionalFormatting>
  <conditionalFormatting sqref="AW452:AX452">
    <cfRule type="expression" dxfId="22817" priority="740">
      <formula>$A452="Overhead Cable"</formula>
    </cfRule>
    <cfRule type="expression" dxfId="22816" priority="741">
      <formula>$A452="Level Crossing"</formula>
    </cfRule>
    <cfRule type="expression" dxfId="22815" priority="742">
      <formula>$A452="Neutral Section"</formula>
    </cfRule>
    <cfRule type="expression" dxfId="22814" priority="743">
      <formula>$A452="Tunnel"</formula>
    </cfRule>
    <cfRule type="expression" dxfId="22813" priority="744">
      <formula>$A452="Bridge"</formula>
    </cfRule>
    <cfRule type="expression" dxfId="22812" priority="745">
      <formula>$A452="Drainage Works"</formula>
    </cfRule>
    <cfRule type="expression" dxfId="22811" priority="746">
      <formula>$A452="Underpass"</formula>
    </cfRule>
    <cfRule type="expression" dxfId="22810" priority="747">
      <formula>$A452="Overcrossing"</formula>
    </cfRule>
    <cfRule type="expression" dxfId="22809" priority="748">
      <formula>$A452="Overpass"</formula>
    </cfRule>
    <cfRule type="expression" dxfId="22808" priority="749">
      <formula>$A452="Station"</formula>
    </cfRule>
    <cfRule type="expression" dxfId="22807" priority="750">
      <formula>$A452="Overlap between sections"</formula>
    </cfRule>
  </conditionalFormatting>
  <conditionalFormatting sqref="AW454:AX454">
    <cfRule type="expression" dxfId="22806" priority="737">
      <formula>$M454="NON DEFINED"</formula>
    </cfRule>
    <cfRule type="expression" dxfId="22805" priority="738">
      <formula>$AZ454="N.D."</formula>
    </cfRule>
    <cfRule type="expression" dxfId="22804" priority="739">
      <formula>$AY454="N.D."</formula>
    </cfRule>
  </conditionalFormatting>
  <conditionalFormatting sqref="AW454:AX454">
    <cfRule type="expression" dxfId="22803" priority="726">
      <formula>$A454="Overhead Cable"</formula>
    </cfRule>
    <cfRule type="expression" dxfId="22802" priority="727">
      <formula>$A454="Level Crossing"</formula>
    </cfRule>
    <cfRule type="expression" dxfId="22801" priority="728">
      <formula>$A454="Neutral Section"</formula>
    </cfRule>
    <cfRule type="expression" dxfId="22800" priority="729">
      <formula>$A454="Tunnel"</formula>
    </cfRule>
    <cfRule type="expression" dxfId="22799" priority="730">
      <formula>$A454="Bridge"</formula>
    </cfRule>
    <cfRule type="expression" dxfId="22798" priority="731">
      <formula>$A454="Drainage Works"</formula>
    </cfRule>
    <cfRule type="expression" dxfId="22797" priority="732">
      <formula>$A454="Underpass"</formula>
    </cfRule>
    <cfRule type="expression" dxfId="22796" priority="733">
      <formula>$A454="Overcrossing"</formula>
    </cfRule>
    <cfRule type="expression" dxfId="22795" priority="734">
      <formula>$A454="Overpass"</formula>
    </cfRule>
    <cfRule type="expression" dxfId="22794" priority="735">
      <formula>$A454="Station"</formula>
    </cfRule>
    <cfRule type="expression" dxfId="22793" priority="736">
      <formula>$A454="Overlap between sections"</formula>
    </cfRule>
  </conditionalFormatting>
  <conditionalFormatting sqref="A449">
    <cfRule type="expression" dxfId="22792" priority="715">
      <formula>$A449="Overhead Cable"</formula>
    </cfRule>
    <cfRule type="expression" dxfId="22791" priority="716">
      <formula>$A449="Level Crossing"</formula>
    </cfRule>
    <cfRule type="expression" dxfId="22790" priority="717">
      <formula>$A449="Neutral Section"</formula>
    </cfRule>
    <cfRule type="expression" dxfId="22789" priority="718">
      <formula>$A449="Tunnel"</formula>
    </cfRule>
    <cfRule type="expression" dxfId="22788" priority="719">
      <formula>$A449="Bridge"</formula>
    </cfRule>
    <cfRule type="expression" dxfId="22787" priority="720">
      <formula>$A449="Drainage Works"</formula>
    </cfRule>
    <cfRule type="expression" dxfId="22786" priority="721">
      <formula>$A449="Underpass"</formula>
    </cfRule>
    <cfRule type="expression" dxfId="22785" priority="722">
      <formula>$A449="Overcrossing"</formula>
    </cfRule>
    <cfRule type="expression" dxfId="22784" priority="723">
      <formula>$A449="Overpass"</formula>
    </cfRule>
    <cfRule type="expression" dxfId="22783" priority="724">
      <formula>$A449="Station"</formula>
    </cfRule>
    <cfRule type="expression" dxfId="22782" priority="725">
      <formula>$A449="Overlap between sections"</formula>
    </cfRule>
  </conditionalFormatting>
  <conditionalFormatting sqref="AW456:AX456">
    <cfRule type="expression" dxfId="22781" priority="712">
      <formula>$M456="NON DEFINED"</formula>
    </cfRule>
    <cfRule type="expression" dxfId="22780" priority="713">
      <formula>$AZ456="N.D."</formula>
    </cfRule>
    <cfRule type="expression" dxfId="22779" priority="714">
      <formula>$AY456="N.D."</formula>
    </cfRule>
  </conditionalFormatting>
  <conditionalFormatting sqref="AW456:AX456">
    <cfRule type="expression" dxfId="22778" priority="701">
      <formula>$A456="Overhead Cable"</formula>
    </cfRule>
    <cfRule type="expression" dxfId="22777" priority="702">
      <formula>$A456="Level Crossing"</formula>
    </cfRule>
    <cfRule type="expression" dxfId="22776" priority="703">
      <formula>$A456="Neutral Section"</formula>
    </cfRule>
    <cfRule type="expression" dxfId="22775" priority="704">
      <formula>$A456="Tunnel"</formula>
    </cfRule>
    <cfRule type="expression" dxfId="22774" priority="705">
      <formula>$A456="Bridge"</formula>
    </cfRule>
    <cfRule type="expression" dxfId="22773" priority="706">
      <formula>$A456="Drainage Works"</formula>
    </cfRule>
    <cfRule type="expression" dxfId="22772" priority="707">
      <formula>$A456="Underpass"</formula>
    </cfRule>
    <cfRule type="expression" dxfId="22771" priority="708">
      <formula>$A456="Overcrossing"</formula>
    </cfRule>
    <cfRule type="expression" dxfId="22770" priority="709">
      <formula>$A456="Overpass"</formula>
    </cfRule>
    <cfRule type="expression" dxfId="22769" priority="710">
      <formula>$A456="Station"</formula>
    </cfRule>
    <cfRule type="expression" dxfId="22768" priority="711">
      <formula>$A456="Overlap between sections"</formula>
    </cfRule>
  </conditionalFormatting>
  <conditionalFormatting sqref="AW458:AX458">
    <cfRule type="expression" dxfId="22767" priority="698">
      <formula>$M458="NON DEFINED"</formula>
    </cfRule>
    <cfRule type="expression" dxfId="22766" priority="699">
      <formula>$AZ458="N.D."</formula>
    </cfRule>
    <cfRule type="expression" dxfId="22765" priority="700">
      <formula>$AY458="N.D."</formula>
    </cfRule>
  </conditionalFormatting>
  <conditionalFormatting sqref="AW458:AX458">
    <cfRule type="expression" dxfId="22764" priority="687">
      <formula>$A458="Overhead Cable"</formula>
    </cfRule>
    <cfRule type="expression" dxfId="22763" priority="688">
      <formula>$A458="Level Crossing"</formula>
    </cfRule>
    <cfRule type="expression" dxfId="22762" priority="689">
      <formula>$A458="Neutral Section"</formula>
    </cfRule>
    <cfRule type="expression" dxfId="22761" priority="690">
      <formula>$A458="Tunnel"</formula>
    </cfRule>
    <cfRule type="expression" dxfId="22760" priority="691">
      <formula>$A458="Bridge"</formula>
    </cfRule>
    <cfRule type="expression" dxfId="22759" priority="692">
      <formula>$A458="Drainage Works"</formula>
    </cfRule>
    <cfRule type="expression" dxfId="22758" priority="693">
      <formula>$A458="Underpass"</formula>
    </cfRule>
    <cfRule type="expression" dxfId="22757" priority="694">
      <formula>$A458="Overcrossing"</formula>
    </cfRule>
    <cfRule type="expression" dxfId="22756" priority="695">
      <formula>$A458="Overpass"</formula>
    </cfRule>
    <cfRule type="expression" dxfId="22755" priority="696">
      <formula>$A458="Station"</formula>
    </cfRule>
    <cfRule type="expression" dxfId="22754" priority="697">
      <formula>$A458="Overlap between sections"</formula>
    </cfRule>
  </conditionalFormatting>
  <conditionalFormatting sqref="AW460:AX460">
    <cfRule type="expression" dxfId="22753" priority="684">
      <formula>$M460="NON DEFINED"</formula>
    </cfRule>
    <cfRule type="expression" dxfId="22752" priority="685">
      <formula>$AZ460="N.D."</formula>
    </cfRule>
    <cfRule type="expression" dxfId="22751" priority="686">
      <formula>$AY460="N.D."</formula>
    </cfRule>
  </conditionalFormatting>
  <conditionalFormatting sqref="AW460:AX460">
    <cfRule type="expression" dxfId="22750" priority="673">
      <formula>$A460="Overhead Cable"</formula>
    </cfRule>
    <cfRule type="expression" dxfId="22749" priority="674">
      <formula>$A460="Level Crossing"</formula>
    </cfRule>
    <cfRule type="expression" dxfId="22748" priority="675">
      <formula>$A460="Neutral Section"</formula>
    </cfRule>
    <cfRule type="expression" dxfId="22747" priority="676">
      <formula>$A460="Tunnel"</formula>
    </cfRule>
    <cfRule type="expression" dxfId="22746" priority="677">
      <formula>$A460="Bridge"</formula>
    </cfRule>
    <cfRule type="expression" dxfId="22745" priority="678">
      <formula>$A460="Drainage Works"</formula>
    </cfRule>
    <cfRule type="expression" dxfId="22744" priority="679">
      <formula>$A460="Underpass"</formula>
    </cfRule>
    <cfRule type="expression" dxfId="22743" priority="680">
      <formula>$A460="Overcrossing"</formula>
    </cfRule>
    <cfRule type="expression" dxfId="22742" priority="681">
      <formula>$A460="Overpass"</formula>
    </cfRule>
    <cfRule type="expression" dxfId="22741" priority="682">
      <formula>$A460="Station"</formula>
    </cfRule>
    <cfRule type="expression" dxfId="22740" priority="683">
      <formula>$A460="Overlap between sections"</formula>
    </cfRule>
  </conditionalFormatting>
  <conditionalFormatting sqref="AW464:AX464">
    <cfRule type="expression" dxfId="22739" priority="670">
      <formula>$M464="NON DEFINED"</formula>
    </cfRule>
    <cfRule type="expression" dxfId="22738" priority="671">
      <formula>$AZ464="N.D."</formula>
    </cfRule>
    <cfRule type="expression" dxfId="22737" priority="672">
      <formula>$AY464="N.D."</formula>
    </cfRule>
  </conditionalFormatting>
  <conditionalFormatting sqref="AW464:AX464">
    <cfRule type="expression" dxfId="22736" priority="659">
      <formula>$A464="Overhead Cable"</formula>
    </cfRule>
    <cfRule type="expression" dxfId="22735" priority="660">
      <formula>$A464="Level Crossing"</formula>
    </cfRule>
    <cfRule type="expression" dxfId="22734" priority="661">
      <formula>$A464="Neutral Section"</formula>
    </cfRule>
    <cfRule type="expression" dxfId="22733" priority="662">
      <formula>$A464="Tunnel"</formula>
    </cfRule>
    <cfRule type="expression" dxfId="22732" priority="663">
      <formula>$A464="Bridge"</formula>
    </cfRule>
    <cfRule type="expression" dxfId="22731" priority="664">
      <formula>$A464="Drainage Works"</formula>
    </cfRule>
    <cfRule type="expression" dxfId="22730" priority="665">
      <formula>$A464="Underpass"</formula>
    </cfRule>
    <cfRule type="expression" dxfId="22729" priority="666">
      <formula>$A464="Overcrossing"</formula>
    </cfRule>
    <cfRule type="expression" dxfId="22728" priority="667">
      <formula>$A464="Overpass"</formula>
    </cfRule>
    <cfRule type="expression" dxfId="22727" priority="668">
      <formula>$A464="Station"</formula>
    </cfRule>
    <cfRule type="expression" dxfId="22726" priority="669">
      <formula>$A464="Overlap between sections"</formula>
    </cfRule>
  </conditionalFormatting>
  <conditionalFormatting sqref="AW466:AX466">
    <cfRule type="expression" dxfId="22725" priority="656">
      <formula>$M466="NON DEFINED"</formula>
    </cfRule>
    <cfRule type="expression" dxfId="22724" priority="657">
      <formula>$AZ466="N.D."</formula>
    </cfRule>
    <cfRule type="expression" dxfId="22723" priority="658">
      <formula>$AY466="N.D."</formula>
    </cfRule>
  </conditionalFormatting>
  <conditionalFormatting sqref="AW466:AX466">
    <cfRule type="expression" dxfId="22722" priority="645">
      <formula>$A466="Overhead Cable"</formula>
    </cfRule>
    <cfRule type="expression" dxfId="22721" priority="646">
      <formula>$A466="Level Crossing"</formula>
    </cfRule>
    <cfRule type="expression" dxfId="22720" priority="647">
      <formula>$A466="Neutral Section"</formula>
    </cfRule>
    <cfRule type="expression" dxfId="22719" priority="648">
      <formula>$A466="Tunnel"</formula>
    </cfRule>
    <cfRule type="expression" dxfId="22718" priority="649">
      <formula>$A466="Bridge"</formula>
    </cfRule>
    <cfRule type="expression" dxfId="22717" priority="650">
      <formula>$A466="Drainage Works"</formula>
    </cfRule>
    <cfRule type="expression" dxfId="22716" priority="651">
      <formula>$A466="Underpass"</formula>
    </cfRule>
    <cfRule type="expression" dxfId="22715" priority="652">
      <formula>$A466="Overcrossing"</formula>
    </cfRule>
    <cfRule type="expression" dxfId="22714" priority="653">
      <formula>$A466="Overpass"</formula>
    </cfRule>
    <cfRule type="expression" dxfId="22713" priority="654">
      <formula>$A466="Station"</formula>
    </cfRule>
    <cfRule type="expression" dxfId="22712" priority="655">
      <formula>$A466="Overlap between sections"</formula>
    </cfRule>
  </conditionalFormatting>
  <conditionalFormatting sqref="AW468:AX468">
    <cfRule type="expression" dxfId="22711" priority="642">
      <formula>$M468="NON DEFINED"</formula>
    </cfRule>
    <cfRule type="expression" dxfId="22710" priority="643">
      <formula>$AZ468="N.D."</formula>
    </cfRule>
    <cfRule type="expression" dxfId="22709" priority="644">
      <formula>$AY468="N.D."</formula>
    </cfRule>
  </conditionalFormatting>
  <conditionalFormatting sqref="AW468:AX468">
    <cfRule type="expression" dxfId="22708" priority="631">
      <formula>$A468="Overhead Cable"</formula>
    </cfRule>
    <cfRule type="expression" dxfId="22707" priority="632">
      <formula>$A468="Level Crossing"</formula>
    </cfRule>
    <cfRule type="expression" dxfId="22706" priority="633">
      <formula>$A468="Neutral Section"</formula>
    </cfRule>
    <cfRule type="expression" dxfId="22705" priority="634">
      <formula>$A468="Tunnel"</formula>
    </cfRule>
    <cfRule type="expression" dxfId="22704" priority="635">
      <formula>$A468="Bridge"</formula>
    </cfRule>
    <cfRule type="expression" dxfId="22703" priority="636">
      <formula>$A468="Drainage Works"</formula>
    </cfRule>
    <cfRule type="expression" dxfId="22702" priority="637">
      <formula>$A468="Underpass"</formula>
    </cfRule>
    <cfRule type="expression" dxfId="22701" priority="638">
      <formula>$A468="Overcrossing"</formula>
    </cfRule>
    <cfRule type="expression" dxfId="22700" priority="639">
      <formula>$A468="Overpass"</formula>
    </cfRule>
    <cfRule type="expression" dxfId="22699" priority="640">
      <formula>$A468="Station"</formula>
    </cfRule>
    <cfRule type="expression" dxfId="22698" priority="641">
      <formula>$A468="Overlap between sections"</formula>
    </cfRule>
  </conditionalFormatting>
  <conditionalFormatting sqref="AW470:AX470">
    <cfRule type="expression" dxfId="22697" priority="628">
      <formula>$M470="NON DEFINED"</formula>
    </cfRule>
    <cfRule type="expression" dxfId="22696" priority="629">
      <formula>$AZ470="N.D."</formula>
    </cfRule>
    <cfRule type="expression" dxfId="22695" priority="630">
      <formula>$AY470="N.D."</formula>
    </cfRule>
  </conditionalFormatting>
  <conditionalFormatting sqref="AW470:AX470">
    <cfRule type="expression" dxfId="22694" priority="617">
      <formula>$A470="Overhead Cable"</formula>
    </cfRule>
    <cfRule type="expression" dxfId="22693" priority="618">
      <formula>$A470="Level Crossing"</formula>
    </cfRule>
    <cfRule type="expression" dxfId="22692" priority="619">
      <formula>$A470="Neutral Section"</formula>
    </cfRule>
    <cfRule type="expression" dxfId="22691" priority="620">
      <formula>$A470="Tunnel"</formula>
    </cfRule>
    <cfRule type="expression" dxfId="22690" priority="621">
      <formula>$A470="Bridge"</formula>
    </cfRule>
    <cfRule type="expression" dxfId="22689" priority="622">
      <formula>$A470="Drainage Works"</formula>
    </cfRule>
    <cfRule type="expression" dxfId="22688" priority="623">
      <formula>$A470="Underpass"</formula>
    </cfRule>
    <cfRule type="expression" dxfId="22687" priority="624">
      <formula>$A470="Overcrossing"</formula>
    </cfRule>
    <cfRule type="expression" dxfId="22686" priority="625">
      <formula>$A470="Overpass"</formula>
    </cfRule>
    <cfRule type="expression" dxfId="22685" priority="626">
      <formula>$A470="Station"</formula>
    </cfRule>
    <cfRule type="expression" dxfId="22684" priority="627">
      <formula>$A470="Overlap between sections"</formula>
    </cfRule>
  </conditionalFormatting>
  <conditionalFormatting sqref="A487">
    <cfRule type="expression" dxfId="22683" priority="606">
      <formula>$A487="Overhead Cable"</formula>
    </cfRule>
    <cfRule type="expression" dxfId="22682" priority="607">
      <formula>$A487="Level Crossing"</formula>
    </cfRule>
    <cfRule type="expression" dxfId="22681" priority="608">
      <formula>$A487="Neutral Section"</formula>
    </cfRule>
    <cfRule type="expression" dxfId="22680" priority="609">
      <formula>$A487="Tunnel"</formula>
    </cfRule>
    <cfRule type="expression" dxfId="22679" priority="610">
      <formula>$A487="Bridge"</formula>
    </cfRule>
    <cfRule type="expression" dxfId="22678" priority="611">
      <formula>$A487="Drainage Works"</formula>
    </cfRule>
    <cfRule type="expression" dxfId="22677" priority="612">
      <formula>$A487="Underpass"</formula>
    </cfRule>
    <cfRule type="expression" dxfId="22676" priority="613">
      <formula>$A487="Overcrossing"</formula>
    </cfRule>
    <cfRule type="expression" dxfId="22675" priority="614">
      <formula>$A487="Overpass"</formula>
    </cfRule>
    <cfRule type="expression" dxfId="22674" priority="615">
      <formula>$A487="Station"</formula>
    </cfRule>
    <cfRule type="expression" dxfId="22673" priority="616">
      <formula>$A487="Overlap between sections"</formula>
    </cfRule>
  </conditionalFormatting>
  <conditionalFormatting sqref="A893">
    <cfRule type="expression" dxfId="22672" priority="595">
      <formula>$A893="Overhead Cable"</formula>
    </cfRule>
    <cfRule type="expression" dxfId="22671" priority="596">
      <formula>$A893="Level Crossing"</formula>
    </cfRule>
    <cfRule type="expression" dxfId="22670" priority="597">
      <formula>$A893="Neutral Section"</formula>
    </cfRule>
    <cfRule type="expression" dxfId="22669" priority="598">
      <formula>$A893="Tunnel"</formula>
    </cfRule>
    <cfRule type="expression" dxfId="22668" priority="599">
      <formula>$A893="Bridge"</formula>
    </cfRule>
    <cfRule type="expression" dxfId="22667" priority="600">
      <formula>$A893="Drainage Works"</formula>
    </cfRule>
    <cfRule type="expression" dxfId="22666" priority="601">
      <formula>$A893="Underpass"</formula>
    </cfRule>
    <cfRule type="expression" dxfId="22665" priority="602">
      <formula>$A893="Overcrossing"</formula>
    </cfRule>
    <cfRule type="expression" dxfId="22664" priority="603">
      <formula>$A893="Overpass"</formula>
    </cfRule>
    <cfRule type="expression" dxfId="22663" priority="604">
      <formula>$A893="Station"</formula>
    </cfRule>
    <cfRule type="expression" dxfId="22662" priority="605">
      <formula>$A893="Overlap between sections"</formula>
    </cfRule>
  </conditionalFormatting>
  <conditionalFormatting sqref="A927">
    <cfRule type="expression" dxfId="22661" priority="584">
      <formula>$A927="Overhead Cable"</formula>
    </cfRule>
    <cfRule type="expression" dxfId="22660" priority="585">
      <formula>$A927="Level Crossing"</formula>
    </cfRule>
    <cfRule type="expression" dxfId="22659" priority="586">
      <formula>$A927="Neutral Section"</formula>
    </cfRule>
    <cfRule type="expression" dxfId="22658" priority="587">
      <formula>$A927="Tunnel"</formula>
    </cfRule>
    <cfRule type="expression" dxfId="22657" priority="588">
      <formula>$A927="Bridge"</formula>
    </cfRule>
    <cfRule type="expression" dxfId="22656" priority="589">
      <formula>$A927="Drainage Works"</formula>
    </cfRule>
    <cfRule type="expression" dxfId="22655" priority="590">
      <formula>$A927="Underpass"</formula>
    </cfRule>
    <cfRule type="expression" dxfId="22654" priority="591">
      <formula>$A927="Overcrossing"</formula>
    </cfRule>
    <cfRule type="expression" dxfId="22653" priority="592">
      <formula>$A927="Overpass"</formula>
    </cfRule>
    <cfRule type="expression" dxfId="22652" priority="593">
      <formula>$A927="Station"</formula>
    </cfRule>
    <cfRule type="expression" dxfId="22651" priority="594">
      <formula>$A927="Overlap between sections"</formula>
    </cfRule>
  </conditionalFormatting>
  <conditionalFormatting sqref="A929">
    <cfRule type="expression" dxfId="22650" priority="573">
      <formula>$A929="Overhead Cable"</formula>
    </cfRule>
    <cfRule type="expression" dxfId="22649" priority="574">
      <formula>$A929="Level Crossing"</formula>
    </cfRule>
    <cfRule type="expression" dxfId="22648" priority="575">
      <formula>$A929="Neutral Section"</formula>
    </cfRule>
    <cfRule type="expression" dxfId="22647" priority="576">
      <formula>$A929="Tunnel"</formula>
    </cfRule>
    <cfRule type="expression" dxfId="22646" priority="577">
      <formula>$A929="Bridge"</formula>
    </cfRule>
    <cfRule type="expression" dxfId="22645" priority="578">
      <formula>$A929="Drainage Works"</formula>
    </cfRule>
    <cfRule type="expression" dxfId="22644" priority="579">
      <formula>$A929="Underpass"</formula>
    </cfRule>
    <cfRule type="expression" dxfId="22643" priority="580">
      <formula>$A929="Overcrossing"</formula>
    </cfRule>
    <cfRule type="expression" dxfId="22642" priority="581">
      <formula>$A929="Overpass"</formula>
    </cfRule>
    <cfRule type="expression" dxfId="22641" priority="582">
      <formula>$A929="Station"</formula>
    </cfRule>
    <cfRule type="expression" dxfId="22640" priority="583">
      <formula>$A929="Overlap between sections"</formula>
    </cfRule>
  </conditionalFormatting>
  <conditionalFormatting sqref="BD414">
    <cfRule type="containsText" dxfId="22639" priority="561" operator="containsText" text="Poner a mano">
      <formula>NOT(ISERROR(SEARCH("Poner a mano",BD414)))</formula>
    </cfRule>
  </conditionalFormatting>
  <conditionalFormatting sqref="BD418">
    <cfRule type="containsText" dxfId="22638" priority="560" operator="containsText" text="Poner a mano">
      <formula>NOT(ISERROR(SEARCH("Poner a mano",BD418)))</formula>
    </cfRule>
  </conditionalFormatting>
  <conditionalFormatting sqref="BD448">
    <cfRule type="containsText" dxfId="22637" priority="559" operator="containsText" text="Poner a mano">
      <formula>NOT(ISERROR(SEARCH("Poner a mano",BD448)))</formula>
    </cfRule>
  </conditionalFormatting>
  <conditionalFormatting sqref="BD476">
    <cfRule type="containsText" dxfId="22636" priority="558" operator="containsText" text="Poner a mano">
      <formula>NOT(ISERROR(SEARCH("Poner a mano",BD476)))</formula>
    </cfRule>
  </conditionalFormatting>
  <conditionalFormatting sqref="BD496">
    <cfRule type="containsText" dxfId="22635" priority="557" operator="containsText" text="Poner a mano">
      <formula>NOT(ISERROR(SEARCH("Poner a mano",BD496)))</formula>
    </cfRule>
  </conditionalFormatting>
  <conditionalFormatting sqref="BD746">
    <cfRule type="containsText" dxfId="22634" priority="552" operator="containsText" text="Poner a mano">
      <formula>NOT(ISERROR(SEARCH("Poner a mano",BD746)))</formula>
    </cfRule>
  </conditionalFormatting>
  <conditionalFormatting sqref="BD896">
    <cfRule type="containsText" dxfId="22633" priority="549" operator="containsText" text="Poner a mano">
      <formula>NOT(ISERROR(SEARCH("Poner a mano",BD896)))</formula>
    </cfRule>
  </conditionalFormatting>
  <conditionalFormatting sqref="BD898">
    <cfRule type="containsText" dxfId="22632" priority="548" operator="containsText" text="Poner a mano">
      <formula>NOT(ISERROR(SEARCH("Poner a mano",BD898)))</formula>
    </cfRule>
  </conditionalFormatting>
  <conditionalFormatting sqref="BD930">
    <cfRule type="containsText" dxfId="22631" priority="547" operator="containsText" text="Poner a mano">
      <formula>NOT(ISERROR(SEARCH("Poner a mano",BD930)))</formula>
    </cfRule>
  </conditionalFormatting>
  <conditionalFormatting sqref="BD934">
    <cfRule type="containsText" dxfId="22630" priority="546" operator="containsText" text="Poner a mano">
      <formula>NOT(ISERROR(SEARCH("Poner a mano",BD934)))</formula>
    </cfRule>
  </conditionalFormatting>
  <conditionalFormatting sqref="BD936">
    <cfRule type="containsText" dxfId="22629" priority="545" operator="containsText" text="Poner a mano">
      <formula>NOT(ISERROR(SEARCH("Poner a mano",BD936)))</formula>
    </cfRule>
  </conditionalFormatting>
  <conditionalFormatting sqref="BD938">
    <cfRule type="containsText" dxfId="22628" priority="544" operator="containsText" text="Poner a mano">
      <formula>NOT(ISERROR(SEARCH("Poner a mano",BD938)))</formula>
    </cfRule>
  </conditionalFormatting>
  <conditionalFormatting sqref="BD1126">
    <cfRule type="containsText" dxfId="22627" priority="543" operator="containsText" text="Poner a mano">
      <formula>NOT(ISERROR(SEARCH("Poner a mano",BD1126)))</formula>
    </cfRule>
  </conditionalFormatting>
  <conditionalFormatting sqref="BD1130">
    <cfRule type="containsText" dxfId="22626" priority="542" operator="containsText" text="Poner a mano">
      <formula>NOT(ISERROR(SEARCH("Poner a mano",BD1130)))</formula>
    </cfRule>
  </conditionalFormatting>
  <conditionalFormatting sqref="BD1174">
    <cfRule type="containsText" dxfId="22625" priority="541" operator="containsText" text="Poner a mano">
      <formula>NOT(ISERROR(SEARCH("Poner a mano",BD1174)))</formula>
    </cfRule>
  </conditionalFormatting>
  <conditionalFormatting sqref="BD1176">
    <cfRule type="containsText" dxfId="22624" priority="540" operator="containsText" text="Poner a mano">
      <formula>NOT(ISERROR(SEARCH("Poner a mano",BD1176)))</formula>
    </cfRule>
  </conditionalFormatting>
  <conditionalFormatting sqref="BD1178">
    <cfRule type="containsText" dxfId="22623" priority="539" operator="containsText" text="Poner a mano">
      <formula>NOT(ISERROR(SEARCH("Poner a mano",BD1178)))</formula>
    </cfRule>
  </conditionalFormatting>
  <conditionalFormatting sqref="BD1180">
    <cfRule type="containsText" dxfId="22622" priority="538" operator="containsText" text="Poner a mano">
      <formula>NOT(ISERROR(SEARCH("Poner a mano",BD1180)))</formula>
    </cfRule>
  </conditionalFormatting>
  <conditionalFormatting sqref="BD1182">
    <cfRule type="containsText" dxfId="22621" priority="537" operator="containsText" text="Poner a mano">
      <formula>NOT(ISERROR(SEARCH("Poner a mano",BD1182)))</formula>
    </cfRule>
  </conditionalFormatting>
  <conditionalFormatting sqref="BD1262">
    <cfRule type="containsText" dxfId="22620" priority="534" operator="containsText" text="Poner a mano">
      <formula>NOT(ISERROR(SEARCH("Poner a mano",BD1262)))</formula>
    </cfRule>
  </conditionalFormatting>
  <conditionalFormatting sqref="BD1264">
    <cfRule type="containsText" dxfId="22619" priority="533" operator="containsText" text="Poner a mano">
      <formula>NOT(ISERROR(SEARCH("Poner a mano",BD1264)))</formula>
    </cfRule>
  </conditionalFormatting>
  <conditionalFormatting sqref="BD1266">
    <cfRule type="containsText" dxfId="22618" priority="532" operator="containsText" text="Poner a mano">
      <formula>NOT(ISERROR(SEARCH("Poner a mano",BD1266)))</formula>
    </cfRule>
  </conditionalFormatting>
  <conditionalFormatting sqref="AW462:AX462">
    <cfRule type="expression" dxfId="22617" priority="529">
      <formula>$M462="NON DEFINED"</formula>
    </cfRule>
    <cfRule type="expression" dxfId="22616" priority="530">
      <formula>$AZ462="N.D."</formula>
    </cfRule>
    <cfRule type="expression" dxfId="22615" priority="531">
      <formula>$AY462="N.D."</formula>
    </cfRule>
  </conditionalFormatting>
  <conditionalFormatting sqref="AW462:AX462">
    <cfRule type="expression" dxfId="22614" priority="518">
      <formula>$A462="Overhead Cable"</formula>
    </cfRule>
    <cfRule type="expression" dxfId="22613" priority="519">
      <formula>$A462="Level Crossing"</formula>
    </cfRule>
    <cfRule type="expression" dxfId="22612" priority="520">
      <formula>$A462="Neutral Section"</formula>
    </cfRule>
    <cfRule type="expression" dxfId="22611" priority="521">
      <formula>$A462="Tunnel"</formula>
    </cfRule>
    <cfRule type="expression" dxfId="22610" priority="522">
      <formula>$A462="Bridge"</formula>
    </cfRule>
    <cfRule type="expression" dxfId="22609" priority="523">
      <formula>$A462="Drainage Works"</formula>
    </cfRule>
    <cfRule type="expression" dxfId="22608" priority="524">
      <formula>$A462="Underpass"</formula>
    </cfRule>
    <cfRule type="expression" dxfId="22607" priority="525">
      <formula>$A462="Overcrossing"</formula>
    </cfRule>
    <cfRule type="expression" dxfId="22606" priority="526">
      <formula>$A462="Overpass"</formula>
    </cfRule>
    <cfRule type="expression" dxfId="22605" priority="527">
      <formula>$A462="Station"</formula>
    </cfRule>
    <cfRule type="expression" dxfId="22604" priority="528">
      <formula>$A462="Overlap between sections"</formula>
    </cfRule>
  </conditionalFormatting>
  <conditionalFormatting sqref="AW472:AX472">
    <cfRule type="expression" dxfId="22603" priority="515">
      <formula>$M472="NON DEFINED"</formula>
    </cfRule>
    <cfRule type="expression" dxfId="22602" priority="516">
      <formula>$AZ472="N.D."</formula>
    </cfRule>
    <cfRule type="expression" dxfId="22601" priority="517">
      <formula>$AY472="N.D."</formula>
    </cfRule>
  </conditionalFormatting>
  <conditionalFormatting sqref="AW472:AX472">
    <cfRule type="expression" dxfId="22600" priority="504">
      <formula>$A472="Overhead Cable"</formula>
    </cfRule>
    <cfRule type="expression" dxfId="22599" priority="505">
      <formula>$A472="Level Crossing"</formula>
    </cfRule>
    <cfRule type="expression" dxfId="22598" priority="506">
      <formula>$A472="Neutral Section"</formula>
    </cfRule>
    <cfRule type="expression" dxfId="22597" priority="507">
      <formula>$A472="Tunnel"</formula>
    </cfRule>
    <cfRule type="expression" dxfId="22596" priority="508">
      <formula>$A472="Bridge"</formula>
    </cfRule>
    <cfRule type="expression" dxfId="22595" priority="509">
      <formula>$A472="Drainage Works"</formula>
    </cfRule>
    <cfRule type="expression" dxfId="22594" priority="510">
      <formula>$A472="Underpass"</formula>
    </cfRule>
    <cfRule type="expression" dxfId="22593" priority="511">
      <formula>$A472="Overcrossing"</formula>
    </cfRule>
    <cfRule type="expression" dxfId="22592" priority="512">
      <formula>$A472="Overpass"</formula>
    </cfRule>
    <cfRule type="expression" dxfId="22591" priority="513">
      <formula>$A472="Station"</formula>
    </cfRule>
    <cfRule type="expression" dxfId="22590" priority="514">
      <formula>$A472="Overlap between sections"</formula>
    </cfRule>
  </conditionalFormatting>
  <conditionalFormatting sqref="AW474:AX474">
    <cfRule type="expression" dxfId="22589" priority="501">
      <formula>$M474="NON DEFINED"</formula>
    </cfRule>
    <cfRule type="expression" dxfId="22588" priority="502">
      <formula>$AZ474="N.D."</formula>
    </cfRule>
    <cfRule type="expression" dxfId="22587" priority="503">
      <formula>$AY474="N.D."</formula>
    </cfRule>
  </conditionalFormatting>
  <conditionalFormatting sqref="AW474:AX474">
    <cfRule type="expression" dxfId="22586" priority="490">
      <formula>$A474="Overhead Cable"</formula>
    </cfRule>
    <cfRule type="expression" dxfId="22585" priority="491">
      <formula>$A474="Level Crossing"</formula>
    </cfRule>
    <cfRule type="expression" dxfId="22584" priority="492">
      <formula>$A474="Neutral Section"</formula>
    </cfRule>
    <cfRule type="expression" dxfId="22583" priority="493">
      <formula>$A474="Tunnel"</formula>
    </cfRule>
    <cfRule type="expression" dxfId="22582" priority="494">
      <formula>$A474="Bridge"</formula>
    </cfRule>
    <cfRule type="expression" dxfId="22581" priority="495">
      <formula>$A474="Drainage Works"</formula>
    </cfRule>
    <cfRule type="expression" dxfId="22580" priority="496">
      <formula>$A474="Underpass"</formula>
    </cfRule>
    <cfRule type="expression" dxfId="22579" priority="497">
      <formula>$A474="Overcrossing"</formula>
    </cfRule>
    <cfRule type="expression" dxfId="22578" priority="498">
      <formula>$A474="Overpass"</formula>
    </cfRule>
    <cfRule type="expression" dxfId="22577" priority="499">
      <formula>$A474="Station"</formula>
    </cfRule>
    <cfRule type="expression" dxfId="22576" priority="500">
      <formula>$A474="Overlap between sections"</formula>
    </cfRule>
  </conditionalFormatting>
  <conditionalFormatting sqref="AW478:AX478">
    <cfRule type="expression" dxfId="22575" priority="487">
      <formula>$M478="NON DEFINED"</formula>
    </cfRule>
    <cfRule type="expression" dxfId="22574" priority="488">
      <formula>$AZ478="N.D."</formula>
    </cfRule>
    <cfRule type="expression" dxfId="22573" priority="489">
      <formula>$AY478="N.D."</formula>
    </cfRule>
  </conditionalFormatting>
  <conditionalFormatting sqref="AW478:AX478">
    <cfRule type="expression" dxfId="22572" priority="476">
      <formula>$A478="Overhead Cable"</formula>
    </cfRule>
    <cfRule type="expression" dxfId="22571" priority="477">
      <formula>$A478="Level Crossing"</formula>
    </cfRule>
    <cfRule type="expression" dxfId="22570" priority="478">
      <formula>$A478="Neutral Section"</formula>
    </cfRule>
    <cfRule type="expression" dxfId="22569" priority="479">
      <formula>$A478="Tunnel"</formula>
    </cfRule>
    <cfRule type="expression" dxfId="22568" priority="480">
      <formula>$A478="Bridge"</formula>
    </cfRule>
    <cfRule type="expression" dxfId="22567" priority="481">
      <formula>$A478="Drainage Works"</formula>
    </cfRule>
    <cfRule type="expression" dxfId="22566" priority="482">
      <formula>$A478="Underpass"</formula>
    </cfRule>
    <cfRule type="expression" dxfId="22565" priority="483">
      <formula>$A478="Overcrossing"</formula>
    </cfRule>
    <cfRule type="expression" dxfId="22564" priority="484">
      <formula>$A478="Overpass"</formula>
    </cfRule>
    <cfRule type="expression" dxfId="22563" priority="485">
      <formula>$A478="Station"</formula>
    </cfRule>
    <cfRule type="expression" dxfId="22562" priority="486">
      <formula>$A478="Overlap between sections"</formula>
    </cfRule>
  </conditionalFormatting>
  <conditionalFormatting sqref="AW480:AX480">
    <cfRule type="expression" dxfId="22561" priority="473">
      <formula>$M480="NON DEFINED"</formula>
    </cfRule>
    <cfRule type="expression" dxfId="22560" priority="474">
      <formula>$AZ480="N.D."</formula>
    </cfRule>
    <cfRule type="expression" dxfId="22559" priority="475">
      <formula>$AY480="N.D."</formula>
    </cfRule>
  </conditionalFormatting>
  <conditionalFormatting sqref="AW480:AX480">
    <cfRule type="expression" dxfId="22558" priority="462">
      <formula>$A480="Overhead Cable"</formula>
    </cfRule>
    <cfRule type="expression" dxfId="22557" priority="463">
      <formula>$A480="Level Crossing"</formula>
    </cfRule>
    <cfRule type="expression" dxfId="22556" priority="464">
      <formula>$A480="Neutral Section"</formula>
    </cfRule>
    <cfRule type="expression" dxfId="22555" priority="465">
      <formula>$A480="Tunnel"</formula>
    </cfRule>
    <cfRule type="expression" dxfId="22554" priority="466">
      <formula>$A480="Bridge"</formula>
    </cfRule>
    <cfRule type="expression" dxfId="22553" priority="467">
      <formula>$A480="Drainage Works"</formula>
    </cfRule>
    <cfRule type="expression" dxfId="22552" priority="468">
      <formula>$A480="Underpass"</formula>
    </cfRule>
    <cfRule type="expression" dxfId="22551" priority="469">
      <formula>$A480="Overcrossing"</formula>
    </cfRule>
    <cfRule type="expression" dxfId="22550" priority="470">
      <formula>$A480="Overpass"</formula>
    </cfRule>
    <cfRule type="expression" dxfId="22549" priority="471">
      <formula>$A480="Station"</formula>
    </cfRule>
    <cfRule type="expression" dxfId="22548" priority="472">
      <formula>$A480="Overlap between sections"</formula>
    </cfRule>
  </conditionalFormatting>
  <conditionalFormatting sqref="AW482:AX482">
    <cfRule type="expression" dxfId="22547" priority="459">
      <formula>$M482="NON DEFINED"</formula>
    </cfRule>
    <cfRule type="expression" dxfId="22546" priority="460">
      <formula>$AZ482="N.D."</formula>
    </cfRule>
    <cfRule type="expression" dxfId="22545" priority="461">
      <formula>$AY482="N.D."</formula>
    </cfRule>
  </conditionalFormatting>
  <conditionalFormatting sqref="AW482:AX482">
    <cfRule type="expression" dxfId="22544" priority="448">
      <formula>$A482="Overhead Cable"</formula>
    </cfRule>
    <cfRule type="expression" dxfId="22543" priority="449">
      <formula>$A482="Level Crossing"</formula>
    </cfRule>
    <cfRule type="expression" dxfId="22542" priority="450">
      <formula>$A482="Neutral Section"</formula>
    </cfRule>
    <cfRule type="expression" dxfId="22541" priority="451">
      <formula>$A482="Tunnel"</formula>
    </cfRule>
    <cfRule type="expression" dxfId="22540" priority="452">
      <formula>$A482="Bridge"</formula>
    </cfRule>
    <cfRule type="expression" dxfId="22539" priority="453">
      <formula>$A482="Drainage Works"</formula>
    </cfRule>
    <cfRule type="expression" dxfId="22538" priority="454">
      <formula>$A482="Underpass"</formula>
    </cfRule>
    <cfRule type="expression" dxfId="22537" priority="455">
      <formula>$A482="Overcrossing"</formula>
    </cfRule>
    <cfRule type="expression" dxfId="22536" priority="456">
      <formula>$A482="Overpass"</formula>
    </cfRule>
    <cfRule type="expression" dxfId="22535" priority="457">
      <formula>$A482="Station"</formula>
    </cfRule>
    <cfRule type="expression" dxfId="22534" priority="458">
      <formula>$A482="Overlap between sections"</formula>
    </cfRule>
  </conditionalFormatting>
  <conditionalFormatting sqref="AW484:AX484">
    <cfRule type="expression" dxfId="22533" priority="445">
      <formula>$M484="NON DEFINED"</formula>
    </cfRule>
    <cfRule type="expression" dxfId="22532" priority="446">
      <formula>$AZ484="N.D."</formula>
    </cfRule>
    <cfRule type="expression" dxfId="22531" priority="447">
      <formula>$AY484="N.D."</formula>
    </cfRule>
  </conditionalFormatting>
  <conditionalFormatting sqref="AW484:AX484">
    <cfRule type="expression" dxfId="22530" priority="434">
      <formula>$A484="Overhead Cable"</formula>
    </cfRule>
    <cfRule type="expression" dxfId="22529" priority="435">
      <formula>$A484="Level Crossing"</formula>
    </cfRule>
    <cfRule type="expression" dxfId="22528" priority="436">
      <formula>$A484="Neutral Section"</formula>
    </cfRule>
    <cfRule type="expression" dxfId="22527" priority="437">
      <formula>$A484="Tunnel"</formula>
    </cfRule>
    <cfRule type="expression" dxfId="22526" priority="438">
      <formula>$A484="Bridge"</formula>
    </cfRule>
    <cfRule type="expression" dxfId="22525" priority="439">
      <formula>$A484="Drainage Works"</formula>
    </cfRule>
    <cfRule type="expression" dxfId="22524" priority="440">
      <formula>$A484="Underpass"</formula>
    </cfRule>
    <cfRule type="expression" dxfId="22523" priority="441">
      <formula>$A484="Overcrossing"</formula>
    </cfRule>
    <cfRule type="expression" dxfId="22522" priority="442">
      <formula>$A484="Overpass"</formula>
    </cfRule>
    <cfRule type="expression" dxfId="22521" priority="443">
      <formula>$A484="Station"</formula>
    </cfRule>
    <cfRule type="expression" dxfId="22520" priority="444">
      <formula>$A484="Overlap between sections"</formula>
    </cfRule>
  </conditionalFormatting>
  <conditionalFormatting sqref="AW486:AX486">
    <cfRule type="expression" dxfId="22519" priority="431">
      <formula>$M486="NON DEFINED"</formula>
    </cfRule>
    <cfRule type="expression" dxfId="22518" priority="432">
      <formula>$AZ486="N.D."</formula>
    </cfRule>
    <cfRule type="expression" dxfId="22517" priority="433">
      <formula>$AY486="N.D."</formula>
    </cfRule>
  </conditionalFormatting>
  <conditionalFormatting sqref="AW486:AX486">
    <cfRule type="expression" dxfId="22516" priority="420">
      <formula>$A486="Overhead Cable"</formula>
    </cfRule>
    <cfRule type="expression" dxfId="22515" priority="421">
      <formula>$A486="Level Crossing"</formula>
    </cfRule>
    <cfRule type="expression" dxfId="22514" priority="422">
      <formula>$A486="Neutral Section"</formula>
    </cfRule>
    <cfRule type="expression" dxfId="22513" priority="423">
      <formula>$A486="Tunnel"</formula>
    </cfRule>
    <cfRule type="expression" dxfId="22512" priority="424">
      <formula>$A486="Bridge"</formula>
    </cfRule>
    <cfRule type="expression" dxfId="22511" priority="425">
      <formula>$A486="Drainage Works"</formula>
    </cfRule>
    <cfRule type="expression" dxfId="22510" priority="426">
      <formula>$A486="Underpass"</formula>
    </cfRule>
    <cfRule type="expression" dxfId="22509" priority="427">
      <formula>$A486="Overcrossing"</formula>
    </cfRule>
    <cfRule type="expression" dxfId="22508" priority="428">
      <formula>$A486="Overpass"</formula>
    </cfRule>
    <cfRule type="expression" dxfId="22507" priority="429">
      <formula>$A486="Station"</formula>
    </cfRule>
    <cfRule type="expression" dxfId="22506" priority="430">
      <formula>$A486="Overlap between sections"</formula>
    </cfRule>
  </conditionalFormatting>
  <conditionalFormatting sqref="AW488:AX488">
    <cfRule type="expression" dxfId="22505" priority="417">
      <formula>$M488="NON DEFINED"</formula>
    </cfRule>
    <cfRule type="expression" dxfId="22504" priority="418">
      <formula>$AZ488="N.D."</formula>
    </cfRule>
    <cfRule type="expression" dxfId="22503" priority="419">
      <formula>$AY488="N.D."</formula>
    </cfRule>
  </conditionalFormatting>
  <conditionalFormatting sqref="AW488:AX488">
    <cfRule type="expression" dxfId="22502" priority="406">
      <formula>$A488="Overhead Cable"</formula>
    </cfRule>
    <cfRule type="expression" dxfId="22501" priority="407">
      <formula>$A488="Level Crossing"</formula>
    </cfRule>
    <cfRule type="expression" dxfId="22500" priority="408">
      <formula>$A488="Neutral Section"</formula>
    </cfRule>
    <cfRule type="expression" dxfId="22499" priority="409">
      <formula>$A488="Tunnel"</formula>
    </cfRule>
    <cfRule type="expression" dxfId="22498" priority="410">
      <formula>$A488="Bridge"</formula>
    </cfRule>
    <cfRule type="expression" dxfId="22497" priority="411">
      <formula>$A488="Drainage Works"</formula>
    </cfRule>
    <cfRule type="expression" dxfId="22496" priority="412">
      <formula>$A488="Underpass"</formula>
    </cfRule>
    <cfRule type="expression" dxfId="22495" priority="413">
      <formula>$A488="Overcrossing"</formula>
    </cfRule>
    <cfRule type="expression" dxfId="22494" priority="414">
      <formula>$A488="Overpass"</formula>
    </cfRule>
    <cfRule type="expression" dxfId="22493" priority="415">
      <formula>$A488="Station"</formula>
    </cfRule>
    <cfRule type="expression" dxfId="22492" priority="416">
      <formula>$A488="Overlap between sections"</formula>
    </cfRule>
  </conditionalFormatting>
  <conditionalFormatting sqref="AW490:AX490">
    <cfRule type="expression" dxfId="22491" priority="403">
      <formula>$M490="NON DEFINED"</formula>
    </cfRule>
    <cfRule type="expression" dxfId="22490" priority="404">
      <formula>$AZ490="N.D."</formula>
    </cfRule>
    <cfRule type="expression" dxfId="22489" priority="405">
      <formula>$AY490="N.D."</formula>
    </cfRule>
  </conditionalFormatting>
  <conditionalFormatting sqref="AW490:AX490">
    <cfRule type="expression" dxfId="22488" priority="392">
      <formula>$A490="Overhead Cable"</formula>
    </cfRule>
    <cfRule type="expression" dxfId="22487" priority="393">
      <formula>$A490="Level Crossing"</formula>
    </cfRule>
    <cfRule type="expression" dxfId="22486" priority="394">
      <formula>$A490="Neutral Section"</formula>
    </cfRule>
    <cfRule type="expression" dxfId="22485" priority="395">
      <formula>$A490="Tunnel"</formula>
    </cfRule>
    <cfRule type="expression" dxfId="22484" priority="396">
      <formula>$A490="Bridge"</formula>
    </cfRule>
    <cfRule type="expression" dxfId="22483" priority="397">
      <formula>$A490="Drainage Works"</formula>
    </cfRule>
    <cfRule type="expression" dxfId="22482" priority="398">
      <formula>$A490="Underpass"</formula>
    </cfRule>
    <cfRule type="expression" dxfId="22481" priority="399">
      <formula>$A490="Overcrossing"</formula>
    </cfRule>
    <cfRule type="expression" dxfId="22480" priority="400">
      <formula>$A490="Overpass"</formula>
    </cfRule>
    <cfRule type="expression" dxfId="22479" priority="401">
      <formula>$A490="Station"</formula>
    </cfRule>
    <cfRule type="expression" dxfId="22478" priority="402">
      <formula>$A490="Overlap between sections"</formula>
    </cfRule>
  </conditionalFormatting>
  <conditionalFormatting sqref="AW492:AX492">
    <cfRule type="expression" dxfId="22477" priority="389">
      <formula>$M492="NON DEFINED"</formula>
    </cfRule>
    <cfRule type="expression" dxfId="22476" priority="390">
      <formula>$AZ492="N.D."</formula>
    </cfRule>
    <cfRule type="expression" dxfId="22475" priority="391">
      <formula>$AY492="N.D."</formula>
    </cfRule>
  </conditionalFormatting>
  <conditionalFormatting sqref="AW492:AX492">
    <cfRule type="expression" dxfId="22474" priority="378">
      <formula>$A492="Overhead Cable"</formula>
    </cfRule>
    <cfRule type="expression" dxfId="22473" priority="379">
      <formula>$A492="Level Crossing"</formula>
    </cfRule>
    <cfRule type="expression" dxfId="22472" priority="380">
      <formula>$A492="Neutral Section"</formula>
    </cfRule>
    <cfRule type="expression" dxfId="22471" priority="381">
      <formula>$A492="Tunnel"</formula>
    </cfRule>
    <cfRule type="expression" dxfId="22470" priority="382">
      <formula>$A492="Bridge"</formula>
    </cfRule>
    <cfRule type="expression" dxfId="22469" priority="383">
      <formula>$A492="Drainage Works"</formula>
    </cfRule>
    <cfRule type="expression" dxfId="22468" priority="384">
      <formula>$A492="Underpass"</formula>
    </cfRule>
    <cfRule type="expression" dxfId="22467" priority="385">
      <formula>$A492="Overcrossing"</formula>
    </cfRule>
    <cfRule type="expression" dxfId="22466" priority="386">
      <formula>$A492="Overpass"</formula>
    </cfRule>
    <cfRule type="expression" dxfId="22465" priority="387">
      <formula>$A492="Station"</formula>
    </cfRule>
    <cfRule type="expression" dxfId="22464" priority="388">
      <formula>$A492="Overlap between sections"</formula>
    </cfRule>
  </conditionalFormatting>
  <conditionalFormatting sqref="AW494:AX494">
    <cfRule type="expression" dxfId="22463" priority="375">
      <formula>$M494="NON DEFINED"</formula>
    </cfRule>
    <cfRule type="expression" dxfId="22462" priority="376">
      <formula>$AZ494="N.D."</formula>
    </cfRule>
    <cfRule type="expression" dxfId="22461" priority="377">
      <formula>$AY494="N.D."</formula>
    </cfRule>
  </conditionalFormatting>
  <conditionalFormatting sqref="AW494:AX494">
    <cfRule type="expression" dxfId="22460" priority="364">
      <formula>$A494="Overhead Cable"</formula>
    </cfRule>
    <cfRule type="expression" dxfId="22459" priority="365">
      <formula>$A494="Level Crossing"</formula>
    </cfRule>
    <cfRule type="expression" dxfId="22458" priority="366">
      <formula>$A494="Neutral Section"</formula>
    </cfRule>
    <cfRule type="expression" dxfId="22457" priority="367">
      <formula>$A494="Tunnel"</formula>
    </cfRule>
    <cfRule type="expression" dxfId="22456" priority="368">
      <formula>$A494="Bridge"</formula>
    </cfRule>
    <cfRule type="expression" dxfId="22455" priority="369">
      <formula>$A494="Drainage Works"</formula>
    </cfRule>
    <cfRule type="expression" dxfId="22454" priority="370">
      <formula>$A494="Underpass"</formula>
    </cfRule>
    <cfRule type="expression" dxfId="22453" priority="371">
      <formula>$A494="Overcrossing"</formula>
    </cfRule>
    <cfRule type="expression" dxfId="22452" priority="372">
      <formula>$A494="Overpass"</formula>
    </cfRule>
    <cfRule type="expression" dxfId="22451" priority="373">
      <formula>$A494="Station"</formula>
    </cfRule>
    <cfRule type="expression" dxfId="22450" priority="374">
      <formula>$A494="Overlap between sections"</formula>
    </cfRule>
  </conditionalFormatting>
  <conditionalFormatting sqref="AW932:AX932">
    <cfRule type="expression" dxfId="22449" priority="353">
      <formula>$A932="Overhead Cable"</formula>
    </cfRule>
    <cfRule type="expression" dxfId="22448" priority="354">
      <formula>$A932="Level Crossing"</formula>
    </cfRule>
    <cfRule type="expression" dxfId="22447" priority="355">
      <formula>$A932="Neutral Section"</formula>
    </cfRule>
    <cfRule type="expression" dxfId="22446" priority="356">
      <formula>$A932="Tunnel"</formula>
    </cfRule>
    <cfRule type="expression" dxfId="22445" priority="357">
      <formula>$A932="Bridge"</formula>
    </cfRule>
    <cfRule type="expression" dxfId="22444" priority="358">
      <formula>$A932="Drainage Works"</formula>
    </cfRule>
    <cfRule type="expression" dxfId="22443" priority="359">
      <formula>$A932="Underpass"</formula>
    </cfRule>
    <cfRule type="expression" dxfId="22442" priority="360">
      <formula>$A932="Overcrossing"</formula>
    </cfRule>
    <cfRule type="expression" dxfId="22441" priority="361">
      <formula>$A932="Overpass"</formula>
    </cfRule>
    <cfRule type="expression" dxfId="22440" priority="362">
      <formula>$A932="Station"</formula>
    </cfRule>
    <cfRule type="expression" dxfId="22439" priority="363">
      <formula>$A932="Overlap between sections"</formula>
    </cfRule>
  </conditionalFormatting>
  <conditionalFormatting sqref="AW946:AX946">
    <cfRule type="expression" dxfId="22438" priority="342">
      <formula>$A946="Overhead Cable"</formula>
    </cfRule>
    <cfRule type="expression" dxfId="22437" priority="343">
      <formula>$A946="Level Crossing"</formula>
    </cfRule>
    <cfRule type="expression" dxfId="22436" priority="344">
      <formula>$A946="Neutral Section"</formula>
    </cfRule>
    <cfRule type="expression" dxfId="22435" priority="345">
      <formula>$A946="Tunnel"</formula>
    </cfRule>
    <cfRule type="expression" dxfId="22434" priority="346">
      <formula>$A946="Bridge"</formula>
    </cfRule>
    <cfRule type="expression" dxfId="22433" priority="347">
      <formula>$A946="Drainage Works"</formula>
    </cfRule>
    <cfRule type="expression" dxfId="22432" priority="348">
      <formula>$A946="Underpass"</formula>
    </cfRule>
    <cfRule type="expression" dxfId="22431" priority="349">
      <formula>$A946="Overcrossing"</formula>
    </cfRule>
    <cfRule type="expression" dxfId="22430" priority="350">
      <formula>$A946="Overpass"</formula>
    </cfRule>
    <cfRule type="expression" dxfId="22429" priority="351">
      <formula>$A946="Station"</formula>
    </cfRule>
    <cfRule type="expression" dxfId="22428" priority="352">
      <formula>$A946="Overlap between sections"</formula>
    </cfRule>
  </conditionalFormatting>
  <conditionalFormatting sqref="AW948:AX948">
    <cfRule type="expression" dxfId="22427" priority="331">
      <formula>$A948="Overhead Cable"</formula>
    </cfRule>
    <cfRule type="expression" dxfId="22426" priority="332">
      <formula>$A948="Level Crossing"</formula>
    </cfRule>
    <cfRule type="expression" dxfId="22425" priority="333">
      <formula>$A948="Neutral Section"</formula>
    </cfRule>
    <cfRule type="expression" dxfId="22424" priority="334">
      <formula>$A948="Tunnel"</formula>
    </cfRule>
    <cfRule type="expression" dxfId="22423" priority="335">
      <formula>$A948="Bridge"</formula>
    </cfRule>
    <cfRule type="expression" dxfId="22422" priority="336">
      <formula>$A948="Drainage Works"</formula>
    </cfRule>
    <cfRule type="expression" dxfId="22421" priority="337">
      <formula>$A948="Underpass"</formula>
    </cfRule>
    <cfRule type="expression" dxfId="22420" priority="338">
      <formula>$A948="Overcrossing"</formula>
    </cfRule>
    <cfRule type="expression" dxfId="22419" priority="339">
      <formula>$A948="Overpass"</formula>
    </cfRule>
    <cfRule type="expression" dxfId="22418" priority="340">
      <formula>$A948="Station"</formula>
    </cfRule>
    <cfRule type="expression" dxfId="22417" priority="341">
      <formula>$A948="Overlap between sections"</formula>
    </cfRule>
  </conditionalFormatting>
  <conditionalFormatting sqref="AW1136:AX1136">
    <cfRule type="expression" dxfId="22416" priority="320">
      <formula>$A1136="Overhead Cable"</formula>
    </cfRule>
    <cfRule type="expression" dxfId="22415" priority="321">
      <formula>$A1136="Level Crossing"</formula>
    </cfRule>
    <cfRule type="expression" dxfId="22414" priority="322">
      <formula>$A1136="Neutral Section"</formula>
    </cfRule>
    <cfRule type="expression" dxfId="22413" priority="323">
      <formula>$A1136="Tunnel"</formula>
    </cfRule>
    <cfRule type="expression" dxfId="22412" priority="324">
      <formula>$A1136="Bridge"</formula>
    </cfRule>
    <cfRule type="expression" dxfId="22411" priority="325">
      <formula>$A1136="Drainage Works"</formula>
    </cfRule>
    <cfRule type="expression" dxfId="22410" priority="326">
      <formula>$A1136="Underpass"</formula>
    </cfRule>
    <cfRule type="expression" dxfId="22409" priority="327">
      <formula>$A1136="Overcrossing"</formula>
    </cfRule>
    <cfRule type="expression" dxfId="22408" priority="328">
      <formula>$A1136="Overpass"</formula>
    </cfRule>
    <cfRule type="expression" dxfId="22407" priority="329">
      <formula>$A1136="Station"</formula>
    </cfRule>
    <cfRule type="expression" dxfId="22406" priority="330">
      <formula>$A1136="Overlap between sections"</formula>
    </cfRule>
  </conditionalFormatting>
  <conditionalFormatting sqref="AW1138:AX1138">
    <cfRule type="expression" dxfId="22405" priority="309">
      <formula>$A1138="Overhead Cable"</formula>
    </cfRule>
    <cfRule type="expression" dxfId="22404" priority="310">
      <formula>$A1138="Level Crossing"</formula>
    </cfRule>
    <cfRule type="expression" dxfId="22403" priority="311">
      <formula>$A1138="Neutral Section"</formula>
    </cfRule>
    <cfRule type="expression" dxfId="22402" priority="312">
      <formula>$A1138="Tunnel"</formula>
    </cfRule>
    <cfRule type="expression" dxfId="22401" priority="313">
      <formula>$A1138="Bridge"</formula>
    </cfRule>
    <cfRule type="expression" dxfId="22400" priority="314">
      <formula>$A1138="Drainage Works"</formula>
    </cfRule>
    <cfRule type="expression" dxfId="22399" priority="315">
      <formula>$A1138="Underpass"</formula>
    </cfRule>
    <cfRule type="expression" dxfId="22398" priority="316">
      <formula>$A1138="Overcrossing"</formula>
    </cfRule>
    <cfRule type="expression" dxfId="22397" priority="317">
      <formula>$A1138="Overpass"</formula>
    </cfRule>
    <cfRule type="expression" dxfId="22396" priority="318">
      <formula>$A1138="Station"</formula>
    </cfRule>
    <cfRule type="expression" dxfId="22395" priority="319">
      <formula>$A1138="Overlap between sections"</formula>
    </cfRule>
  </conditionalFormatting>
  <conditionalFormatting sqref="W720:X720">
    <cfRule type="expression" dxfId="22394" priority="306">
      <formula>$M720="NON DEFINED"</formula>
    </cfRule>
    <cfRule type="expression" dxfId="22393" priority="307">
      <formula>$AZ720="N.D."</formula>
    </cfRule>
    <cfRule type="expression" dxfId="22392" priority="308">
      <formula>$AY720="N.D."</formula>
    </cfRule>
  </conditionalFormatting>
  <conditionalFormatting sqref="W720:X720">
    <cfRule type="expression" dxfId="22391" priority="295">
      <formula>$A720="Overhead Cable"</formula>
    </cfRule>
    <cfRule type="expression" dxfId="22390" priority="296">
      <formula>$A720="Level Crossing"</formula>
    </cfRule>
    <cfRule type="expression" dxfId="22389" priority="297">
      <formula>$A720="Neutral Section"</formula>
    </cfRule>
    <cfRule type="expression" dxfId="22388" priority="298">
      <formula>$A720="Tunnel"</formula>
    </cfRule>
    <cfRule type="expression" dxfId="22387" priority="299">
      <formula>$A720="Bridge"</formula>
    </cfRule>
    <cfRule type="expression" dxfId="22386" priority="300">
      <formula>$A720="Drainage Works"</formula>
    </cfRule>
    <cfRule type="expression" dxfId="22385" priority="301">
      <formula>$A720="Underpass"</formula>
    </cfRule>
    <cfRule type="expression" dxfId="22384" priority="302">
      <formula>$A720="Overcrossing"</formula>
    </cfRule>
    <cfRule type="expression" dxfId="22383" priority="303">
      <formula>$A720="Overpass"</formula>
    </cfRule>
    <cfRule type="expression" dxfId="22382" priority="304">
      <formula>$A720="Station"</formula>
    </cfRule>
    <cfRule type="expression" dxfId="22381" priority="305">
      <formula>$A720="Overlap between sections"</formula>
    </cfRule>
  </conditionalFormatting>
  <conditionalFormatting sqref="W722:X722">
    <cfRule type="expression" dxfId="22380" priority="292">
      <formula>$M722="NON DEFINED"</formula>
    </cfRule>
    <cfRule type="expression" dxfId="22379" priority="293">
      <formula>$AZ722="N.D."</formula>
    </cfRule>
    <cfRule type="expression" dxfId="22378" priority="294">
      <formula>$AY722="N.D."</formula>
    </cfRule>
  </conditionalFormatting>
  <conditionalFormatting sqref="W722:X722">
    <cfRule type="expression" dxfId="22377" priority="281">
      <formula>$A722="Overhead Cable"</formula>
    </cfRule>
    <cfRule type="expression" dxfId="22376" priority="282">
      <formula>$A722="Level Crossing"</formula>
    </cfRule>
    <cfRule type="expression" dxfId="22375" priority="283">
      <formula>$A722="Neutral Section"</formula>
    </cfRule>
    <cfRule type="expression" dxfId="22374" priority="284">
      <formula>$A722="Tunnel"</formula>
    </cfRule>
    <cfRule type="expression" dxfId="22373" priority="285">
      <formula>$A722="Bridge"</formula>
    </cfRule>
    <cfRule type="expression" dxfId="22372" priority="286">
      <formula>$A722="Drainage Works"</formula>
    </cfRule>
    <cfRule type="expression" dxfId="22371" priority="287">
      <formula>$A722="Underpass"</formula>
    </cfRule>
    <cfRule type="expression" dxfId="22370" priority="288">
      <formula>$A722="Overcrossing"</formula>
    </cfRule>
    <cfRule type="expression" dxfId="22369" priority="289">
      <formula>$A722="Overpass"</formula>
    </cfRule>
    <cfRule type="expression" dxfId="22368" priority="290">
      <formula>$A722="Station"</formula>
    </cfRule>
    <cfRule type="expression" dxfId="22367" priority="291">
      <formula>$A722="Overlap between sections"</formula>
    </cfRule>
  </conditionalFormatting>
  <conditionalFormatting sqref="O722">
    <cfRule type="expression" dxfId="22366" priority="264">
      <formula>$M722="NON DEFINED"</formula>
    </cfRule>
    <cfRule type="expression" dxfId="22365" priority="265">
      <formula>$AZ722="N.D."</formula>
    </cfRule>
    <cfRule type="expression" dxfId="22364" priority="266">
      <formula>$AY722="N.D."</formula>
    </cfRule>
  </conditionalFormatting>
  <conditionalFormatting sqref="O722">
    <cfRule type="expression" dxfId="22363" priority="253">
      <formula>$A722="Overhead Cable"</formula>
    </cfRule>
    <cfRule type="expression" dxfId="22362" priority="254">
      <formula>$A722="Level Crossing"</formula>
    </cfRule>
    <cfRule type="expression" dxfId="22361" priority="255">
      <formula>$A722="Neutral Section"</formula>
    </cfRule>
    <cfRule type="expression" dxfId="22360" priority="256">
      <formula>$A722="Tunnel"</formula>
    </cfRule>
    <cfRule type="expression" dxfId="22359" priority="257">
      <formula>$A722="Bridge"</formula>
    </cfRule>
    <cfRule type="expression" dxfId="22358" priority="258">
      <formula>$A722="Drainage Works"</formula>
    </cfRule>
    <cfRule type="expression" dxfId="22357" priority="259">
      <formula>$A722="Underpass"</formula>
    </cfRule>
    <cfRule type="expression" dxfId="22356" priority="260">
      <formula>$A722="Overcrossing"</formula>
    </cfRule>
    <cfRule type="expression" dxfId="22355" priority="261">
      <formula>$A722="Overpass"</formula>
    </cfRule>
    <cfRule type="expression" dxfId="22354" priority="262">
      <formula>$A722="Station"</formula>
    </cfRule>
    <cfRule type="expression" dxfId="22353" priority="263">
      <formula>$A722="Overlap between sections"</formula>
    </cfRule>
  </conditionalFormatting>
  <conditionalFormatting sqref="AC726">
    <cfRule type="expression" dxfId="22352" priority="250">
      <formula>$M726="NON DEFINED"</formula>
    </cfRule>
    <cfRule type="expression" dxfId="22351" priority="251">
      <formula>$AZ726="N.D."</formula>
    </cfRule>
    <cfRule type="expression" dxfId="22350" priority="252">
      <formula>$AY726="N.D."</formula>
    </cfRule>
  </conditionalFormatting>
  <conditionalFormatting sqref="AC726">
    <cfRule type="expression" dxfId="22349" priority="239">
      <formula>$A726="Overhead Cable"</formula>
    </cfRule>
    <cfRule type="expression" dxfId="22348" priority="240">
      <formula>$A726="Level Crossing"</formula>
    </cfRule>
    <cfRule type="expression" dxfId="22347" priority="241">
      <formula>$A726="Neutral Section"</formula>
    </cfRule>
    <cfRule type="expression" dxfId="22346" priority="242">
      <formula>$A726="Tunnel"</formula>
    </cfRule>
    <cfRule type="expression" dxfId="22345" priority="243">
      <formula>$A726="Bridge"</formula>
    </cfRule>
    <cfRule type="expression" dxfId="22344" priority="244">
      <formula>$A726="Drainage Works"</formula>
    </cfRule>
    <cfRule type="expression" dxfId="22343" priority="245">
      <formula>$A726="Underpass"</formula>
    </cfRule>
    <cfRule type="expression" dxfId="22342" priority="246">
      <formula>$A726="Overcrossing"</formula>
    </cfRule>
    <cfRule type="expression" dxfId="22341" priority="247">
      <formula>$A726="Overpass"</formula>
    </cfRule>
    <cfRule type="expression" dxfId="22340" priority="248">
      <formula>$A726="Station"</formula>
    </cfRule>
    <cfRule type="expression" dxfId="22339" priority="249">
      <formula>$A726="Overlap between sections"</formula>
    </cfRule>
  </conditionalFormatting>
  <conditionalFormatting sqref="AW726:AZ726">
    <cfRule type="expression" dxfId="22338" priority="236">
      <formula>$M726="NON DEFINED"</formula>
    </cfRule>
    <cfRule type="expression" dxfId="22337" priority="237">
      <formula>$AZ726="N.D."</formula>
    </cfRule>
    <cfRule type="expression" dxfId="22336" priority="238">
      <formula>$AY726="N.D."</formula>
    </cfRule>
  </conditionalFormatting>
  <conditionalFormatting sqref="AW726:AZ726">
    <cfRule type="expression" dxfId="22335" priority="225">
      <formula>$A726="Overhead Cable"</formula>
    </cfRule>
    <cfRule type="expression" dxfId="22334" priority="226">
      <formula>$A726="Level Crossing"</formula>
    </cfRule>
    <cfRule type="expression" dxfId="22333" priority="227">
      <formula>$A726="Neutral Section"</formula>
    </cfRule>
    <cfRule type="expression" dxfId="22332" priority="228">
      <formula>$A726="Tunnel"</formula>
    </cfRule>
    <cfRule type="expression" dxfId="22331" priority="229">
      <formula>$A726="Bridge"</formula>
    </cfRule>
    <cfRule type="expression" dxfId="22330" priority="230">
      <formula>$A726="Drainage Works"</formula>
    </cfRule>
    <cfRule type="expression" dxfId="22329" priority="231">
      <formula>$A726="Underpass"</formula>
    </cfRule>
    <cfRule type="expression" dxfId="22328" priority="232">
      <formula>$A726="Overcrossing"</formula>
    </cfRule>
    <cfRule type="expression" dxfId="22327" priority="233">
      <formula>$A726="Overpass"</formula>
    </cfRule>
    <cfRule type="expression" dxfId="22326" priority="234">
      <formula>$A726="Station"</formula>
    </cfRule>
    <cfRule type="expression" dxfId="22325" priority="235">
      <formula>$A726="Overlap between sections"</formula>
    </cfRule>
  </conditionalFormatting>
  <conditionalFormatting sqref="BA726:BC726">
    <cfRule type="expression" dxfId="22324" priority="223">
      <formula>$BE726="A"</formula>
    </cfRule>
    <cfRule type="expression" dxfId="22323" priority="224">
      <formula>$BE726="R"</formula>
    </cfRule>
  </conditionalFormatting>
  <conditionalFormatting sqref="BC726">
    <cfRule type="expression" dxfId="22322" priority="222">
      <formula>$M726="U.S. N.D."</formula>
    </cfRule>
  </conditionalFormatting>
  <conditionalFormatting sqref="BB726">
    <cfRule type="expression" dxfId="22321" priority="220">
      <formula>$AZ726="N.D."</formula>
    </cfRule>
  </conditionalFormatting>
  <conditionalFormatting sqref="BA726">
    <cfRule type="expression" dxfId="22320" priority="221">
      <formula>$AY726="N.D."</formula>
    </cfRule>
  </conditionalFormatting>
  <conditionalFormatting sqref="BF726:BG726 BI726">
    <cfRule type="containsBlanks" dxfId="22319" priority="219">
      <formula>LEN(TRIM(BF726))=0</formula>
    </cfRule>
  </conditionalFormatting>
  <conditionalFormatting sqref="BD822">
    <cfRule type="containsText" dxfId="22318" priority="218" operator="containsText" text="Poner a mano">
      <formula>NOT(ISERROR(SEARCH("Poner a mano",BD822)))</formula>
    </cfRule>
  </conditionalFormatting>
  <conditionalFormatting sqref="BD828">
    <cfRule type="containsText" dxfId="22317" priority="217" operator="containsText" text="Poner a mano">
      <formula>NOT(ISERROR(SEARCH("Poner a mano",BD828)))</formula>
    </cfRule>
  </conditionalFormatting>
  <conditionalFormatting sqref="M1134">
    <cfRule type="expression" dxfId="22316" priority="214">
      <formula>$M1134="NON DEFINED"</formula>
    </cfRule>
    <cfRule type="expression" dxfId="22315" priority="215">
      <formula>$AZ1134="N.D."</formula>
    </cfRule>
    <cfRule type="expression" dxfId="22314" priority="216">
      <formula>$AY1134="N.D."</formula>
    </cfRule>
  </conditionalFormatting>
  <conditionalFormatting sqref="M1134">
    <cfRule type="expression" dxfId="22313" priority="203">
      <formula>$A1134="Overhead Cable"</formula>
    </cfRule>
    <cfRule type="expression" dxfId="22312" priority="204">
      <formula>$A1134="Level Crossing"</formula>
    </cfRule>
    <cfRule type="expression" dxfId="22311" priority="205">
      <formula>$A1134="Neutral Section"</formula>
    </cfRule>
    <cfRule type="expression" dxfId="22310" priority="206">
      <formula>$A1134="Tunnel"</formula>
    </cfRule>
    <cfRule type="expression" dxfId="22309" priority="207">
      <formula>$A1134="Bridge"</formula>
    </cfRule>
    <cfRule type="expression" dxfId="22308" priority="208">
      <formula>$A1134="Drainage Works"</formula>
    </cfRule>
    <cfRule type="expression" dxfId="22307" priority="209">
      <formula>$A1134="Underpass"</formula>
    </cfRule>
    <cfRule type="expression" dxfId="22306" priority="210">
      <formula>$A1134="Overcrossing"</formula>
    </cfRule>
    <cfRule type="expression" dxfId="22305" priority="211">
      <formula>$A1134="Overpass"</formula>
    </cfRule>
    <cfRule type="expression" dxfId="22304" priority="212">
      <formula>$A1134="Station"</formula>
    </cfRule>
    <cfRule type="expression" dxfId="22303" priority="213">
      <formula>$A1134="Overlap between sections"</formula>
    </cfRule>
  </conditionalFormatting>
  <conditionalFormatting sqref="BA1134:BC1134">
    <cfRule type="expression" dxfId="22302" priority="201">
      <formula>$BE1134="A"</formula>
    </cfRule>
    <cfRule type="expression" dxfId="22301" priority="202">
      <formula>$BE1134="R"</formula>
    </cfRule>
  </conditionalFormatting>
  <conditionalFormatting sqref="BD1134">
    <cfRule type="containsText" dxfId="22300" priority="200" operator="containsText" text="Poner a mano">
      <formula>NOT(ISERROR(SEARCH("Poner a mano",BD1134)))</formula>
    </cfRule>
  </conditionalFormatting>
  <conditionalFormatting sqref="BC1134">
    <cfRule type="expression" dxfId="22299" priority="199">
      <formula>$M1134="U.S. N.D."</formula>
    </cfRule>
  </conditionalFormatting>
  <conditionalFormatting sqref="BB1134">
    <cfRule type="expression" dxfId="22298" priority="197">
      <formula>$AZ1134="N.D."</formula>
    </cfRule>
  </conditionalFormatting>
  <conditionalFormatting sqref="BA1134">
    <cfRule type="expression" dxfId="22297" priority="198">
      <formula>$AY1134="N.D."</formula>
    </cfRule>
  </conditionalFormatting>
  <conditionalFormatting sqref="AW1134:AZ1134">
    <cfRule type="expression" dxfId="22296" priority="194">
      <formula>$M1134="NON DEFINED"</formula>
    </cfRule>
    <cfRule type="expression" dxfId="22295" priority="195">
      <formula>$AZ1134="N.D."</formula>
    </cfRule>
    <cfRule type="expression" dxfId="22294" priority="196">
      <formula>$AY1134="N.D."</formula>
    </cfRule>
  </conditionalFormatting>
  <conditionalFormatting sqref="AW1134:AZ1134">
    <cfRule type="expression" dxfId="22293" priority="183">
      <formula>$A1134="Overhead Cable"</formula>
    </cfRule>
    <cfRule type="expression" dxfId="22292" priority="184">
      <formula>$A1134="Level Crossing"</formula>
    </cfRule>
    <cfRule type="expression" dxfId="22291" priority="185">
      <formula>$A1134="Neutral Section"</formula>
    </cfRule>
    <cfRule type="expression" dxfId="22290" priority="186">
      <formula>$A1134="Tunnel"</formula>
    </cfRule>
    <cfRule type="expression" dxfId="22289" priority="187">
      <formula>$A1134="Bridge"</formula>
    </cfRule>
    <cfRule type="expression" dxfId="22288" priority="188">
      <formula>$A1134="Drainage Works"</formula>
    </cfRule>
    <cfRule type="expression" dxfId="22287" priority="189">
      <formula>$A1134="Underpass"</formula>
    </cfRule>
    <cfRule type="expression" dxfId="22286" priority="190">
      <formula>$A1134="Overcrossing"</formula>
    </cfRule>
    <cfRule type="expression" dxfId="22285" priority="191">
      <formula>$A1134="Overpass"</formula>
    </cfRule>
    <cfRule type="expression" dxfId="22284" priority="192">
      <formula>$A1134="Station"</formula>
    </cfRule>
    <cfRule type="expression" dxfId="22283" priority="193">
      <formula>$A1134="Overlap between sections"</formula>
    </cfRule>
  </conditionalFormatting>
  <conditionalFormatting sqref="AW902:AZ902">
    <cfRule type="expression" dxfId="22282" priority="180">
      <formula>$M902="NON DEFINED"</formula>
    </cfRule>
    <cfRule type="expression" dxfId="22281" priority="181">
      <formula>$AZ902="N.D."</formula>
    </cfRule>
    <cfRule type="expression" dxfId="22280" priority="182">
      <formula>$AY902="N.D."</formula>
    </cfRule>
  </conditionalFormatting>
  <conditionalFormatting sqref="BA902:BC902">
    <cfRule type="expression" dxfId="22279" priority="178">
      <formula>$BE902="A"</formula>
    </cfRule>
    <cfRule type="expression" dxfId="22278" priority="179">
      <formula>$BE902="R"</formula>
    </cfRule>
  </conditionalFormatting>
  <conditionalFormatting sqref="BC902">
    <cfRule type="expression" dxfId="22277" priority="177">
      <formula>$M902="U.S. N.D."</formula>
    </cfRule>
  </conditionalFormatting>
  <conditionalFormatting sqref="BB902">
    <cfRule type="expression" dxfId="22276" priority="175">
      <formula>$AZ902="N.D."</formula>
    </cfRule>
  </conditionalFormatting>
  <conditionalFormatting sqref="BA902">
    <cfRule type="expression" dxfId="22275" priority="176">
      <formula>$AY902="N.D."</formula>
    </cfRule>
  </conditionalFormatting>
  <conditionalFormatting sqref="AW902:AZ902">
    <cfRule type="expression" dxfId="22274" priority="164">
      <formula>$A902="Overhead Cable"</formula>
    </cfRule>
    <cfRule type="expression" dxfId="22273" priority="165">
      <formula>$A902="Level Crossing"</formula>
    </cfRule>
    <cfRule type="expression" dxfId="22272" priority="166">
      <formula>$A902="Neutral Section"</formula>
    </cfRule>
    <cfRule type="expression" dxfId="22271" priority="167">
      <formula>$A902="Tunnel"</formula>
    </cfRule>
    <cfRule type="expression" dxfId="22270" priority="168">
      <formula>$A902="Bridge"</formula>
    </cfRule>
    <cfRule type="expression" dxfId="22269" priority="169">
      <formula>$A902="Drainage Works"</formula>
    </cfRule>
    <cfRule type="expression" dxfId="22268" priority="170">
      <formula>$A902="Underpass"</formula>
    </cfRule>
    <cfRule type="expression" dxfId="22267" priority="171">
      <formula>$A902="Overcrossing"</formula>
    </cfRule>
    <cfRule type="expression" dxfId="22266" priority="172">
      <formula>$A902="Overpass"</formula>
    </cfRule>
    <cfRule type="expression" dxfId="22265" priority="173">
      <formula>$A902="Station"</formula>
    </cfRule>
    <cfRule type="expression" dxfId="22264" priority="174">
      <formula>$A902="Overlap between sections"</formula>
    </cfRule>
  </conditionalFormatting>
  <conditionalFormatting sqref="BD902">
    <cfRule type="containsText" dxfId="22263" priority="163" operator="containsText" text="Poner a mano">
      <formula>NOT(ISERROR(SEARCH("Poner a mano",BD902)))</formula>
    </cfRule>
  </conditionalFormatting>
  <conditionalFormatting sqref="BD586">
    <cfRule type="containsText" dxfId="22262" priority="162" operator="containsText" text="Poner a mano">
      <formula>NOT(ISERROR(SEARCH("Poner a mano",BD586)))</formula>
    </cfRule>
  </conditionalFormatting>
  <conditionalFormatting sqref="BD588">
    <cfRule type="containsText" dxfId="22261" priority="161" operator="containsText" text="Poner a mano">
      <formula>NOT(ISERROR(SEARCH("Poner a mano",BD588)))</formula>
    </cfRule>
  </conditionalFormatting>
  <conditionalFormatting sqref="BD589">
    <cfRule type="containsText" dxfId="22260" priority="160" operator="containsText" text="Poner a mano">
      <formula>NOT(ISERROR(SEARCH("Poner a mano",BD589)))</formula>
    </cfRule>
  </conditionalFormatting>
  <conditionalFormatting sqref="BD590">
    <cfRule type="containsText" dxfId="22259" priority="159" operator="containsText" text="Poner a mano">
      <formula>NOT(ISERROR(SEARCH("Poner a mano",BD590)))</formula>
    </cfRule>
  </conditionalFormatting>
  <conditionalFormatting sqref="BD592">
    <cfRule type="containsText" dxfId="22258" priority="158" operator="containsText" text="Poner a mano">
      <formula>NOT(ISERROR(SEARCH("Poner a mano",BD592)))</formula>
    </cfRule>
  </conditionalFormatting>
  <conditionalFormatting sqref="A1217">
    <cfRule type="expression" dxfId="22257" priority="147">
      <formula>$A1217="Overhead Cable"</formula>
    </cfRule>
    <cfRule type="expression" dxfId="22256" priority="148">
      <formula>$A1217="Level Crossing"</formula>
    </cfRule>
    <cfRule type="expression" dxfId="22255" priority="149">
      <formula>$A1217="Neutral Section"</formula>
    </cfRule>
    <cfRule type="expression" dxfId="22254" priority="150">
      <formula>$A1217="Tunnel"</formula>
    </cfRule>
    <cfRule type="expression" dxfId="22253" priority="151">
      <formula>$A1217="Bridge"</formula>
    </cfRule>
    <cfRule type="expression" dxfId="22252" priority="152">
      <formula>$A1217="Drainage Works"</formula>
    </cfRule>
    <cfRule type="expression" dxfId="22251" priority="153">
      <formula>$A1217="Underpass"</formula>
    </cfRule>
    <cfRule type="expression" dxfId="22250" priority="154">
      <formula>$A1217="Overcrossing"</formula>
    </cfRule>
    <cfRule type="expression" dxfId="22249" priority="155">
      <formula>$A1217="Overpass"</formula>
    </cfRule>
    <cfRule type="expression" dxfId="22248" priority="156">
      <formula>$A1217="Station"</formula>
    </cfRule>
    <cfRule type="expression" dxfId="22247" priority="157">
      <formula>$A1217="Overlap between sections"</formula>
    </cfRule>
  </conditionalFormatting>
  <conditionalFormatting sqref="A1216">
    <cfRule type="expression" dxfId="22246" priority="136">
      <formula>$A1216="Overhead Cable"</formula>
    </cfRule>
    <cfRule type="expression" dxfId="22245" priority="137">
      <formula>$A1216="Level Crossing"</formula>
    </cfRule>
    <cfRule type="expression" dxfId="22244" priority="138">
      <formula>$A1216="Neutral Section"</formula>
    </cfRule>
    <cfRule type="expression" dxfId="22243" priority="139">
      <formula>$A1216="Tunnel"</formula>
    </cfRule>
    <cfRule type="expression" dxfId="22242" priority="140">
      <formula>$A1216="Bridge"</formula>
    </cfRule>
    <cfRule type="expression" dxfId="22241" priority="141">
      <formula>$A1216="Drainage Works"</formula>
    </cfRule>
    <cfRule type="expression" dxfId="22240" priority="142">
      <formula>$A1216="Underpass"</formula>
    </cfRule>
    <cfRule type="expression" dxfId="22239" priority="143">
      <formula>$A1216="Overcrossing"</formula>
    </cfRule>
    <cfRule type="expression" dxfId="22238" priority="144">
      <formula>$A1216="Overpass"</formula>
    </cfRule>
    <cfRule type="expression" dxfId="22237" priority="145">
      <formula>$A1216="Station"</formula>
    </cfRule>
    <cfRule type="expression" dxfId="22236" priority="146">
      <formula>$A1216="Overlap between sections"</formula>
    </cfRule>
  </conditionalFormatting>
  <conditionalFormatting sqref="I1217">
    <cfRule type="expression" dxfId="22235" priority="125">
      <formula>$A1217="Overhead Cable"</formula>
    </cfRule>
    <cfRule type="expression" dxfId="22234" priority="126">
      <formula>$A1217="Level Crossing"</formula>
    </cfRule>
    <cfRule type="expression" dxfId="22233" priority="127">
      <formula>$A1217="Neutral Section"</formula>
    </cfRule>
    <cfRule type="expression" dxfId="22232" priority="128">
      <formula>$A1217="Tunnel"</formula>
    </cfRule>
    <cfRule type="expression" dxfId="22231" priority="129">
      <formula>$A1217="Bridge"</formula>
    </cfRule>
    <cfRule type="expression" dxfId="22230" priority="130">
      <formula>$A1217="Drainage Works"</formula>
    </cfRule>
    <cfRule type="expression" dxfId="22229" priority="131">
      <formula>$A1217="Underpass"</formula>
    </cfRule>
    <cfRule type="expression" dxfId="22228" priority="132">
      <formula>$A1217="Overcrossing"</formula>
    </cfRule>
    <cfRule type="expression" dxfId="22227" priority="133">
      <formula>$A1217="Overpass"</formula>
    </cfRule>
    <cfRule type="expression" dxfId="22226" priority="134">
      <formula>$A1217="Station"</formula>
    </cfRule>
    <cfRule type="expression" dxfId="22225" priority="135">
      <formula>$A1217="Overlap between sections"</formula>
    </cfRule>
  </conditionalFormatting>
  <conditionalFormatting sqref="L1216:L1218">
    <cfRule type="expression" dxfId="22224" priority="114">
      <formula>$A1216="Overhead Cable"</formula>
    </cfRule>
    <cfRule type="expression" dxfId="22223" priority="115">
      <formula>$A1216="Level Crossing"</formula>
    </cfRule>
    <cfRule type="expression" dxfId="22222" priority="116">
      <formula>$A1216="Neutral Section"</formula>
    </cfRule>
    <cfRule type="expression" dxfId="22221" priority="117">
      <formula>$A1216="Tunnel"</formula>
    </cfRule>
    <cfRule type="expression" dxfId="22220" priority="118">
      <formula>$A1216="Bridge"</formula>
    </cfRule>
    <cfRule type="expression" dxfId="22219" priority="119">
      <formula>$A1216="Drainage Works"</formula>
    </cfRule>
    <cfRule type="expression" dxfId="22218" priority="120">
      <formula>$A1216="Underpass"</formula>
    </cfRule>
    <cfRule type="expression" dxfId="22217" priority="121">
      <formula>$A1216="Overcrossing"</formula>
    </cfRule>
    <cfRule type="expression" dxfId="22216" priority="122">
      <formula>$A1216="Overpass"</formula>
    </cfRule>
    <cfRule type="expression" dxfId="22215" priority="123">
      <formula>$A1216="Station"</formula>
    </cfRule>
    <cfRule type="expression" dxfId="22214" priority="124">
      <formula>$A1216="Overlap between sections"</formula>
    </cfRule>
  </conditionalFormatting>
  <conditionalFormatting sqref="AW1216:AZ1218">
    <cfRule type="expression" dxfId="22213" priority="111">
      <formula>$M1216="NON DEFINED"</formula>
    </cfRule>
    <cfRule type="expression" dxfId="22212" priority="112">
      <formula>$AZ1216="N.D."</formula>
    </cfRule>
    <cfRule type="expression" dxfId="22211" priority="113">
      <formula>$AY1216="N.D."</formula>
    </cfRule>
  </conditionalFormatting>
  <conditionalFormatting sqref="BA1216:BC1218">
    <cfRule type="expression" dxfId="22210" priority="109">
      <formula>$BE1216="A"</formula>
    </cfRule>
    <cfRule type="expression" dxfId="22209" priority="110">
      <formula>$BE1216="R"</formula>
    </cfRule>
  </conditionalFormatting>
  <conditionalFormatting sqref="BD1217">
    <cfRule type="containsText" dxfId="22208" priority="108" operator="containsText" text="Poner a mano">
      <formula>NOT(ISERROR(SEARCH("Poner a mano",BD1217)))</formula>
    </cfRule>
  </conditionalFormatting>
  <conditionalFormatting sqref="BC1216:BC1218">
    <cfRule type="expression" dxfId="22207" priority="107">
      <formula>$M1216="U.S. N.D."</formula>
    </cfRule>
  </conditionalFormatting>
  <conditionalFormatting sqref="BB1216:BB1218">
    <cfRule type="expression" dxfId="22206" priority="105">
      <formula>$AZ1216="N.D."</formula>
    </cfRule>
  </conditionalFormatting>
  <conditionalFormatting sqref="BA1216:BA1218">
    <cfRule type="expression" dxfId="22205" priority="106">
      <formula>$AY1216="N.D."</formula>
    </cfRule>
  </conditionalFormatting>
  <conditionalFormatting sqref="AW1216:AZ1218">
    <cfRule type="expression" dxfId="22204" priority="94">
      <formula>$A1216="Overhead Cable"</formula>
    </cfRule>
    <cfRule type="expression" dxfId="22203" priority="95">
      <formula>$A1216="Level Crossing"</formula>
    </cfRule>
    <cfRule type="expression" dxfId="22202" priority="96">
      <formula>$A1216="Neutral Section"</formula>
    </cfRule>
    <cfRule type="expression" dxfId="22201" priority="97">
      <formula>$A1216="Tunnel"</formula>
    </cfRule>
    <cfRule type="expression" dxfId="22200" priority="98">
      <formula>$A1216="Bridge"</formula>
    </cfRule>
    <cfRule type="expression" dxfId="22199" priority="99">
      <formula>$A1216="Drainage Works"</formula>
    </cfRule>
    <cfRule type="expression" dxfId="22198" priority="100">
      <formula>$A1216="Underpass"</formula>
    </cfRule>
    <cfRule type="expression" dxfId="22197" priority="101">
      <formula>$A1216="Overcrossing"</formula>
    </cfRule>
    <cfRule type="expression" dxfId="22196" priority="102">
      <formula>$A1216="Overpass"</formula>
    </cfRule>
    <cfRule type="expression" dxfId="22195" priority="103">
      <formula>$A1216="Station"</formula>
    </cfRule>
    <cfRule type="expression" dxfId="22194" priority="104">
      <formula>$A1216="Overlap between sections"</formula>
    </cfRule>
  </conditionalFormatting>
  <conditionalFormatting sqref="BD1216">
    <cfRule type="containsText" dxfId="22193" priority="93" operator="containsText" text="Poner a mano">
      <formula>NOT(ISERROR(SEARCH("Poner a mano",BD1216)))</formula>
    </cfRule>
  </conditionalFormatting>
  <conditionalFormatting sqref="BD1218">
    <cfRule type="containsText" dxfId="22192" priority="92" operator="containsText" text="Poner a mano">
      <formula>NOT(ISERROR(SEARCH("Poner a mano",BD1218)))</formula>
    </cfRule>
  </conditionalFormatting>
  <conditionalFormatting sqref="I1218">
    <cfRule type="expression" dxfId="22191" priority="81">
      <formula>$A1218="Overhead Cable"</formula>
    </cfRule>
    <cfRule type="expression" dxfId="22190" priority="82">
      <formula>$A1218="Level Crossing"</formula>
    </cfRule>
    <cfRule type="expression" dxfId="22189" priority="83">
      <formula>$A1218="Neutral Section"</formula>
    </cfRule>
    <cfRule type="expression" dxfId="22188" priority="84">
      <formula>$A1218="Tunnel"</formula>
    </cfRule>
    <cfRule type="expression" dxfId="22187" priority="85">
      <formula>$A1218="Bridge"</formula>
    </cfRule>
    <cfRule type="expression" dxfId="22186" priority="86">
      <formula>$A1218="Drainage Works"</formula>
    </cfRule>
    <cfRule type="expression" dxfId="22185" priority="87">
      <formula>$A1218="Underpass"</formula>
    </cfRule>
    <cfRule type="expression" dxfId="22184" priority="88">
      <formula>$A1218="Overcrossing"</formula>
    </cfRule>
    <cfRule type="expression" dxfId="22183" priority="89">
      <formula>$A1218="Overpass"</formula>
    </cfRule>
    <cfRule type="expression" dxfId="22182" priority="90">
      <formula>$A1218="Station"</formula>
    </cfRule>
    <cfRule type="expression" dxfId="22181" priority="91">
      <formula>$A1218="Overlap between sections"</formula>
    </cfRule>
  </conditionalFormatting>
  <conditionalFormatting sqref="N634">
    <cfRule type="expression" dxfId="22180" priority="78">
      <formula>$M634="NON DEFINED"</formula>
    </cfRule>
    <cfRule type="expression" dxfId="22179" priority="79">
      <formula>$AZ634="N.D."</formula>
    </cfRule>
    <cfRule type="expression" dxfId="22178" priority="80">
      <formula>$AY634="N.D."</formula>
    </cfRule>
  </conditionalFormatting>
  <conditionalFormatting sqref="N634">
    <cfRule type="expression" dxfId="22177" priority="67">
      <formula>$A634="Overhead Cable"</formula>
    </cfRule>
    <cfRule type="expression" dxfId="22176" priority="68">
      <formula>$A634="Level Crossing"</formula>
    </cfRule>
    <cfRule type="expression" dxfId="22175" priority="69">
      <formula>$A634="Neutral Section"</formula>
    </cfRule>
    <cfRule type="expression" dxfId="22174" priority="70">
      <formula>$A634="Tunnel"</formula>
    </cfRule>
    <cfRule type="expression" dxfId="22173" priority="71">
      <formula>$A634="Bridge"</formula>
    </cfRule>
    <cfRule type="expression" dxfId="22172" priority="72">
      <formula>$A634="Drainage Works"</formula>
    </cfRule>
    <cfRule type="expression" dxfId="22171" priority="73">
      <formula>$A634="Underpass"</formula>
    </cfRule>
    <cfRule type="expression" dxfId="22170" priority="74">
      <formula>$A634="Overcrossing"</formula>
    </cfRule>
    <cfRule type="expression" dxfId="22169" priority="75">
      <formula>$A634="Overpass"</formula>
    </cfRule>
    <cfRule type="expression" dxfId="22168" priority="76">
      <formula>$A634="Station"</formula>
    </cfRule>
    <cfRule type="expression" dxfId="22167" priority="77">
      <formula>$A634="Overlap between sections"</formula>
    </cfRule>
  </conditionalFormatting>
  <conditionalFormatting sqref="A1272">
    <cfRule type="expression" dxfId="22166" priority="8483">
      <formula>$A1272="NON DEFINED"</formula>
    </cfRule>
    <cfRule type="expression" dxfId="22165" priority="8484">
      <formula>$AZ1272="N.D."</formula>
    </cfRule>
    <cfRule type="expression" dxfId="22164" priority="8485">
      <formula>$AY1272="N.D."</formula>
    </cfRule>
  </conditionalFormatting>
  <conditionalFormatting sqref="B536:F537 H536:AZ537">
    <cfRule type="expression" dxfId="22163" priority="37">
      <formula>$M536="NON DEFINED"</formula>
    </cfRule>
    <cfRule type="expression" dxfId="22162" priority="38">
      <formula>$AZ536="N.D."</formula>
    </cfRule>
    <cfRule type="expression" dxfId="22161" priority="39">
      <formula>$AY536="N.D."</formula>
    </cfRule>
  </conditionalFormatting>
  <conditionalFormatting sqref="A536:F537 H536:AZ537">
    <cfRule type="expression" dxfId="22160" priority="26">
      <formula>$A536="Overhead Cable"</formula>
    </cfRule>
    <cfRule type="expression" dxfId="22159" priority="27">
      <formula>$A536="Level Crossing"</formula>
    </cfRule>
    <cfRule type="expression" dxfId="22158" priority="28">
      <formula>$A536="Neutral Section"</formula>
    </cfRule>
    <cfRule type="expression" dxfId="22157" priority="29">
      <formula>$A536="Tunnel"</formula>
    </cfRule>
    <cfRule type="expression" dxfId="22156" priority="30">
      <formula>$A536="Bridge"</formula>
    </cfRule>
    <cfRule type="expression" dxfId="22155" priority="31">
      <formula>$A536="Drainage Works"</formula>
    </cfRule>
    <cfRule type="expression" dxfId="22154" priority="32">
      <formula>$A536="Underpass"</formula>
    </cfRule>
    <cfRule type="expression" dxfId="22153" priority="33">
      <formula>$A536="Overcrossing"</formula>
    </cfRule>
    <cfRule type="expression" dxfId="22152" priority="34">
      <formula>$A536="Overpass"</formula>
    </cfRule>
    <cfRule type="expression" dxfId="22151" priority="35">
      <formula>$A536="Station"</formula>
    </cfRule>
    <cfRule type="expression" dxfId="22150" priority="36">
      <formula>$A536="Overlap between sections"</formula>
    </cfRule>
  </conditionalFormatting>
  <conditionalFormatting sqref="AN536:AP537">
    <cfRule type="cellIs" dxfId="22149" priority="25" operator="notEqual">
      <formula>5.5</formula>
    </cfRule>
  </conditionalFormatting>
  <conditionalFormatting sqref="B536:B537">
    <cfRule type="expression" dxfId="22148" priority="24">
      <formula>AND($AH536&gt;2499,$AH536&lt;2901)</formula>
    </cfRule>
  </conditionalFormatting>
  <conditionalFormatting sqref="BE536:BE537">
    <cfRule type="containsText" dxfId="22147" priority="22" operator="containsText" text="a">
      <formula>NOT(ISERROR(SEARCH("a",BE536)))</formula>
    </cfRule>
    <cfRule type="containsText" dxfId="22146" priority="23" operator="containsText" text="R">
      <formula>NOT(ISERROR(SEARCH("R",BE536)))</formula>
    </cfRule>
  </conditionalFormatting>
  <conditionalFormatting sqref="BA536:BC537">
    <cfRule type="expression" dxfId="22145" priority="20">
      <formula>$BE536="A"</formula>
    </cfRule>
    <cfRule type="expression" dxfId="22144" priority="21">
      <formula>$BE536="R"</formula>
    </cfRule>
  </conditionalFormatting>
  <conditionalFormatting sqref="BD536:BD537">
    <cfRule type="containsText" dxfId="22143" priority="19" operator="containsText" text="Poner a mano">
      <formula>NOT(ISERROR(SEARCH("Poner a mano",BD536)))</formula>
    </cfRule>
  </conditionalFormatting>
  <conditionalFormatting sqref="BC536:BC537">
    <cfRule type="expression" dxfId="22142" priority="18">
      <formula>$M536="U.S. N.D."</formula>
    </cfRule>
  </conditionalFormatting>
  <conditionalFormatting sqref="BB536:BB537">
    <cfRule type="expression" dxfId="22141" priority="16">
      <formula>$AZ536="N.D."</formula>
    </cfRule>
  </conditionalFormatting>
  <conditionalFormatting sqref="BA536:BA537">
    <cfRule type="expression" dxfId="22140" priority="17">
      <formula>$AY536="N.D."</formula>
    </cfRule>
  </conditionalFormatting>
  <conditionalFormatting sqref="BF536:BG536 BI536">
    <cfRule type="containsBlanks" dxfId="22139" priority="15">
      <formula>LEN(TRIM(BF536))=0</formula>
    </cfRule>
  </conditionalFormatting>
  <conditionalFormatting sqref="G536:G537">
    <cfRule type="expression" dxfId="22138" priority="4">
      <formula>$A536="Overhead Cable"</formula>
    </cfRule>
    <cfRule type="expression" dxfId="22137" priority="5">
      <formula>$A536="Level Crossing"</formula>
    </cfRule>
    <cfRule type="expression" dxfId="22136" priority="6">
      <formula>$A536="Neutral Section"</formula>
    </cfRule>
    <cfRule type="expression" dxfId="22135" priority="7">
      <formula>$A536="Tunnel"</formula>
    </cfRule>
    <cfRule type="expression" dxfId="22134" priority="8">
      <formula>$A536="Bridge"</formula>
    </cfRule>
    <cfRule type="expression" dxfId="22133" priority="9">
      <formula>$A536="Drainage Works"</formula>
    </cfRule>
    <cfRule type="expression" dxfId="22132" priority="10">
      <formula>$A536="Underpass"</formula>
    </cfRule>
    <cfRule type="expression" dxfId="22131" priority="11">
      <formula>$A536="Overcrossing"</formula>
    </cfRule>
    <cfRule type="expression" dxfId="22130" priority="12">
      <formula>$A536="Overpass"</formula>
    </cfRule>
    <cfRule type="expression" dxfId="22129" priority="13">
      <formula>$A536="Station"</formula>
    </cfRule>
    <cfRule type="expression" dxfId="22128" priority="14">
      <formula>$A536="Overlap between sections"</formula>
    </cfRule>
  </conditionalFormatting>
  <conditionalFormatting sqref="G536:G537">
    <cfRule type="expression" dxfId="22127" priority="1">
      <formula>$M536="NON DEFINED"</formula>
    </cfRule>
    <cfRule type="expression" dxfId="22126" priority="2">
      <formula>$AZ536="N.D."</formula>
    </cfRule>
    <cfRule type="expression" dxfId="22125" priority="3">
      <formula>$AY536="N.D."</formula>
    </cfRule>
  </conditionalFormatting>
  <printOptions horizontalCentered="1" gridLines="1"/>
  <pageMargins left="0.39370078740157483" right="0.39370078740157483" top="0.78740157480314965" bottom="0.78740157480314965" header="0.31496062992125984" footer="0.31496062992125984"/>
  <pageSetup paperSize="9" scale="52" fitToHeight="0" orientation="landscape" cellComments="asDisplayed" r:id="rId1"/>
  <headerFooter alignWithMargins="0">
    <oddHeader>&amp;L&amp;G&amp;C
LAYOUT AND EQUIPMENT
EP 04 TRACK 2
KP 30+300 to 60+910
&amp;R&amp;G</oddHeader>
    <oddFooter>&amp;L&amp;G
&amp;F&amp;C&amp;D&amp;RPag &amp;P of &amp;N</oddFooter>
  </headerFooter>
  <legacyDrawing r:id="rId2"/>
  <legacyDrawingHF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tabColor theme="3" tint="0.59999389629810485"/>
    <pageSetUpPr fitToPage="1"/>
  </sheetPr>
  <dimension ref="A1:BK75"/>
  <sheetViews>
    <sheetView showGridLines="0" view="pageBreakPreview" zoomScale="80" zoomScaleNormal="80" zoomScaleSheetLayoutView="80" workbookViewId="0">
      <pane xSplit="3" ySplit="3" topLeftCell="F6" activePane="bottomRight" state="frozen"/>
      <selection pane="bottomRight" activeCell="K31" sqref="K31"/>
      <selection pane="bottomLeft" activeCell="K31" sqref="K31"/>
      <selection pane="topRight" activeCell="K31" sqref="K31"/>
    </sheetView>
  </sheetViews>
  <sheetFormatPr defaultColWidth="11.42578125" defaultRowHeight="15.75" customHeight="1" zeroHeight="1"/>
  <cols>
    <col min="1" max="1" width="20.7109375" style="14" customWidth="1"/>
    <col min="2" max="2" width="12.7109375" style="14" customWidth="1"/>
    <col min="3" max="3" width="12.7109375" style="18" customWidth="1"/>
    <col min="4" max="5" width="12.7109375" style="14" hidden="1" customWidth="1"/>
    <col min="6" max="7" width="12.7109375" style="14" customWidth="1"/>
    <col min="8" max="8" width="18.7109375" style="14" customWidth="1"/>
    <col min="9" max="9" width="12.7109375" style="14" customWidth="1"/>
    <col min="10" max="10" width="12.7109375" style="18" customWidth="1"/>
    <col min="11" max="11" width="12.7109375" style="14" customWidth="1"/>
    <col min="12" max="13" width="14.7109375" style="14" customWidth="1"/>
    <col min="14" max="16" width="8.7109375" style="14" hidden="1" customWidth="1"/>
    <col min="17" max="19" width="12.7109375" style="14" hidden="1" customWidth="1"/>
    <col min="20" max="28" width="8.7109375" style="14" hidden="1" customWidth="1"/>
    <col min="29" max="31" width="10.7109375" style="14" hidden="1" customWidth="1"/>
    <col min="32" max="36" width="12.7109375" style="14" hidden="1" customWidth="1"/>
    <col min="37" max="38" width="12.7109375" style="14" customWidth="1"/>
    <col min="39" max="39" width="12.7109375" style="14" hidden="1" customWidth="1"/>
    <col min="40" max="45" width="8.7109375" style="8" hidden="1" customWidth="1"/>
    <col min="46" max="46" width="8.7109375" style="16" hidden="1" customWidth="1"/>
    <col min="47" max="48" width="8.7109375" style="8" hidden="1" customWidth="1"/>
    <col min="49" max="52" width="12.7109375" style="8" customWidth="1"/>
    <col min="53" max="55" width="4.7109375" style="8" customWidth="1"/>
    <col min="56" max="56" width="21.7109375" style="14" customWidth="1"/>
    <col min="57" max="57" width="16.28515625" style="8" customWidth="1"/>
    <col min="58" max="61" width="14" style="8" customWidth="1"/>
    <col min="62" max="63" width="11.42578125" style="14" customWidth="1"/>
    <col min="64" max="16384" width="11.42578125" style="14"/>
  </cols>
  <sheetData>
    <row r="1" spans="1:63" s="435" customFormat="1" ht="36" customHeight="1" thickBot="1">
      <c r="A1" s="979" t="s">
        <v>1608</v>
      </c>
      <c r="B1" s="980"/>
      <c r="C1" s="980"/>
      <c r="D1" s="980"/>
      <c r="E1" s="980"/>
      <c r="F1" s="980"/>
      <c r="G1" s="980"/>
      <c r="H1" s="980"/>
      <c r="I1" s="980"/>
      <c r="J1" s="980"/>
      <c r="K1" s="980"/>
      <c r="L1" s="980"/>
      <c r="M1" s="980"/>
      <c r="N1" s="980"/>
      <c r="O1" s="980"/>
      <c r="P1" s="980"/>
      <c r="Q1" s="980"/>
      <c r="R1" s="980"/>
      <c r="S1" s="980"/>
      <c r="T1" s="980"/>
      <c r="U1" s="980"/>
      <c r="V1" s="980"/>
      <c r="W1" s="980"/>
      <c r="X1" s="980"/>
      <c r="Y1" s="980"/>
      <c r="Z1" s="980"/>
      <c r="AA1" s="980"/>
      <c r="AB1" s="980"/>
      <c r="AC1" s="980"/>
      <c r="AD1" s="980"/>
      <c r="AE1" s="980"/>
      <c r="AF1" s="980"/>
      <c r="AG1" s="980"/>
      <c r="AH1" s="980"/>
      <c r="AI1" s="980"/>
      <c r="AJ1" s="980"/>
      <c r="AK1" s="980"/>
      <c r="AL1" s="980"/>
      <c r="AM1" s="980"/>
      <c r="AN1" s="980"/>
      <c r="AO1" s="980"/>
      <c r="AP1" s="980"/>
      <c r="AQ1" s="980"/>
      <c r="AR1" s="980"/>
      <c r="AS1" s="980"/>
      <c r="AT1" s="980"/>
      <c r="AU1" s="980"/>
      <c r="AV1" s="980"/>
      <c r="AW1" s="980"/>
      <c r="AX1" s="980"/>
      <c r="AY1" s="980"/>
      <c r="AZ1" s="980"/>
      <c r="BA1" s="980"/>
      <c r="BB1" s="980"/>
      <c r="BC1" s="980"/>
      <c r="BD1" s="981"/>
      <c r="BE1" s="430" t="s">
        <v>933</v>
      </c>
      <c r="BF1" s="958" t="s">
        <v>50</v>
      </c>
      <c r="BG1" s="958"/>
      <c r="BH1" s="958"/>
      <c r="BI1" s="958"/>
    </row>
    <row r="2" spans="1:63" s="435" customFormat="1" ht="41.25" customHeight="1" thickBot="1">
      <c r="A2" s="466" t="s">
        <v>51</v>
      </c>
      <c r="B2" s="466" t="s">
        <v>52</v>
      </c>
      <c r="C2" s="466" t="s">
        <v>53</v>
      </c>
      <c r="D2" s="466" t="s">
        <v>54</v>
      </c>
      <c r="E2" s="466" t="s">
        <v>55</v>
      </c>
      <c r="F2" s="466" t="s">
        <v>56</v>
      </c>
      <c r="G2" s="466" t="s">
        <v>57</v>
      </c>
      <c r="H2" s="466" t="s">
        <v>58</v>
      </c>
      <c r="I2" s="466" t="s">
        <v>59</v>
      </c>
      <c r="J2" s="466" t="s">
        <v>60</v>
      </c>
      <c r="K2" s="466" t="s">
        <v>61</v>
      </c>
      <c r="L2" s="466" t="s">
        <v>62</v>
      </c>
      <c r="M2" s="466" t="s">
        <v>63</v>
      </c>
      <c r="N2" s="982" t="s">
        <v>64</v>
      </c>
      <c r="O2" s="983"/>
      <c r="P2" s="984"/>
      <c r="Q2" s="466" t="s">
        <v>65</v>
      </c>
      <c r="R2" s="466" t="s">
        <v>66</v>
      </c>
      <c r="S2" s="466" t="s">
        <v>67</v>
      </c>
      <c r="T2" s="982" t="s">
        <v>68</v>
      </c>
      <c r="U2" s="983"/>
      <c r="V2" s="984"/>
      <c r="W2" s="982" t="s">
        <v>69</v>
      </c>
      <c r="X2" s="983"/>
      <c r="Y2" s="984"/>
      <c r="Z2" s="982" t="s">
        <v>70</v>
      </c>
      <c r="AA2" s="983"/>
      <c r="AB2" s="984"/>
      <c r="AC2" s="982" t="s">
        <v>71</v>
      </c>
      <c r="AD2" s="983"/>
      <c r="AE2" s="984"/>
      <c r="AF2" s="466" t="s">
        <v>72</v>
      </c>
      <c r="AG2" s="466" t="s">
        <v>73</v>
      </c>
      <c r="AH2" s="466" t="s">
        <v>74</v>
      </c>
      <c r="AI2" s="466" t="s">
        <v>75</v>
      </c>
      <c r="AJ2" s="466" t="s">
        <v>76</v>
      </c>
      <c r="AK2" s="466" t="s">
        <v>77</v>
      </c>
      <c r="AL2" s="466" t="s">
        <v>78</v>
      </c>
      <c r="AM2" s="492" t="s">
        <v>79</v>
      </c>
      <c r="AN2" s="982" t="s">
        <v>80</v>
      </c>
      <c r="AO2" s="983"/>
      <c r="AP2" s="984"/>
      <c r="AQ2" s="982" t="s">
        <v>81</v>
      </c>
      <c r="AR2" s="983"/>
      <c r="AS2" s="984"/>
      <c r="AT2" s="982" t="s">
        <v>82</v>
      </c>
      <c r="AU2" s="983"/>
      <c r="AV2" s="984"/>
      <c r="AW2" s="466" t="s">
        <v>83</v>
      </c>
      <c r="AX2" s="466" t="s">
        <v>84</v>
      </c>
      <c r="AY2" s="492" t="s">
        <v>85</v>
      </c>
      <c r="AZ2" s="492" t="s">
        <v>86</v>
      </c>
      <c r="BA2" s="982" t="s">
        <v>87</v>
      </c>
      <c r="BB2" s="983"/>
      <c r="BC2" s="984"/>
      <c r="BD2" s="466" t="s">
        <v>88</v>
      </c>
      <c r="BE2" s="430" t="s">
        <v>89</v>
      </c>
      <c r="BF2" s="431" t="s">
        <v>63</v>
      </c>
      <c r="BG2" s="431" t="s">
        <v>90</v>
      </c>
      <c r="BH2" s="431" t="s">
        <v>91</v>
      </c>
      <c r="BI2" s="431" t="s">
        <v>64</v>
      </c>
    </row>
    <row r="3" spans="1:63" s="435" customFormat="1" ht="15.75" customHeight="1" thickBot="1">
      <c r="A3" s="436"/>
      <c r="B3" s="456"/>
      <c r="C3" s="437"/>
      <c r="D3" s="611"/>
      <c r="E3" s="437"/>
      <c r="F3" s="437"/>
      <c r="G3" s="437"/>
      <c r="H3" s="456"/>
      <c r="I3" s="456"/>
      <c r="J3" s="437"/>
      <c r="K3" s="467"/>
      <c r="L3" s="456"/>
      <c r="M3" s="456"/>
      <c r="N3" s="468" t="s">
        <v>92</v>
      </c>
      <c r="O3" s="468" t="s">
        <v>93</v>
      </c>
      <c r="P3" s="468" t="s">
        <v>94</v>
      </c>
      <c r="Q3" s="437"/>
      <c r="R3" s="437"/>
      <c r="S3" s="437"/>
      <c r="T3" s="445" t="s">
        <v>95</v>
      </c>
      <c r="U3" s="445" t="s">
        <v>96</v>
      </c>
      <c r="V3" s="445" t="s">
        <v>97</v>
      </c>
      <c r="W3" s="445" t="s">
        <v>98</v>
      </c>
      <c r="X3" s="445" t="s">
        <v>99</v>
      </c>
      <c r="Y3" s="445" t="s">
        <v>100</v>
      </c>
      <c r="Z3" s="445" t="s">
        <v>101</v>
      </c>
      <c r="AA3" s="445" t="s">
        <v>102</v>
      </c>
      <c r="AB3" s="445" t="s">
        <v>103</v>
      </c>
      <c r="AC3" s="468" t="s">
        <v>104</v>
      </c>
      <c r="AD3" s="468" t="s">
        <v>105</v>
      </c>
      <c r="AE3" s="468" t="s">
        <v>106</v>
      </c>
      <c r="AF3" s="437"/>
      <c r="AG3" s="437"/>
      <c r="AH3" s="437"/>
      <c r="AI3" s="437"/>
      <c r="AJ3" s="456"/>
      <c r="AK3" s="456"/>
      <c r="AL3" s="456"/>
      <c r="AM3" s="456"/>
      <c r="AN3" s="445" t="s">
        <v>98</v>
      </c>
      <c r="AO3" s="445" t="s">
        <v>99</v>
      </c>
      <c r="AP3" s="445" t="s">
        <v>100</v>
      </c>
      <c r="AQ3" s="445" t="s">
        <v>107</v>
      </c>
      <c r="AR3" s="445" t="s">
        <v>108</v>
      </c>
      <c r="AS3" s="445" t="s">
        <v>109</v>
      </c>
      <c r="AT3" s="557" t="s">
        <v>110</v>
      </c>
      <c r="AU3" s="445" t="s">
        <v>111</v>
      </c>
      <c r="AV3" s="445" t="s">
        <v>112</v>
      </c>
      <c r="AW3" s="456"/>
      <c r="AX3" s="456"/>
      <c r="AY3" s="437"/>
      <c r="AZ3" s="437"/>
      <c r="BA3" s="468" t="s">
        <v>113</v>
      </c>
      <c r="BB3" s="468" t="s">
        <v>114</v>
      </c>
      <c r="BC3" s="468" t="s">
        <v>115</v>
      </c>
      <c r="BD3" s="459"/>
      <c r="BE3" s="429"/>
      <c r="BF3" s="434"/>
      <c r="BG3" s="434"/>
      <c r="BH3" s="434"/>
      <c r="BI3" s="434"/>
    </row>
    <row r="4" spans="1:63" ht="16.149999999999999" customHeight="1" thickTop="1">
      <c r="A4" s="502"/>
      <c r="B4" s="503"/>
      <c r="C4" s="504"/>
      <c r="D4" s="612"/>
      <c r="E4" s="506"/>
      <c r="F4" s="506"/>
      <c r="G4" s="507"/>
      <c r="H4" s="508"/>
      <c r="I4" s="508"/>
      <c r="J4" s="509"/>
      <c r="K4" s="508"/>
      <c r="L4" s="508"/>
      <c r="M4" s="508"/>
      <c r="N4" s="508"/>
      <c r="O4" s="508"/>
      <c r="P4" s="508"/>
      <c r="Q4" s="506"/>
      <c r="R4" s="507"/>
      <c r="S4" s="507"/>
      <c r="T4" s="506"/>
      <c r="U4" s="506"/>
      <c r="V4" s="506"/>
      <c r="W4" s="510"/>
      <c r="X4" s="510"/>
      <c r="Y4" s="510"/>
      <c r="Z4" s="510"/>
      <c r="AA4" s="510"/>
      <c r="AB4" s="510"/>
      <c r="AC4" s="508"/>
      <c r="AD4" s="508"/>
      <c r="AE4" s="508"/>
      <c r="AF4" s="506"/>
      <c r="AG4" s="505"/>
      <c r="AH4" s="506"/>
      <c r="AI4" s="506"/>
      <c r="AJ4" s="508"/>
      <c r="AK4" s="508"/>
      <c r="AL4" s="508"/>
      <c r="AM4" s="508"/>
      <c r="AN4" s="510"/>
      <c r="AO4" s="508"/>
      <c r="AP4" s="508"/>
      <c r="AQ4" s="510"/>
      <c r="AR4" s="510"/>
      <c r="AS4" s="510"/>
      <c r="AT4" s="510"/>
      <c r="AU4" s="511"/>
      <c r="AV4" s="511"/>
      <c r="AW4" s="508"/>
      <c r="AX4" s="508"/>
      <c r="AY4" s="510"/>
      <c r="AZ4" s="510"/>
      <c r="BA4" s="491"/>
      <c r="BB4" s="491"/>
      <c r="BC4" s="491"/>
      <c r="BD4" s="512"/>
      <c r="BE4" s="498"/>
      <c r="BF4" s="1175"/>
      <c r="BG4" s="1175"/>
      <c r="BH4" s="1175"/>
      <c r="BI4" s="1175"/>
      <c r="BK4" s="292"/>
    </row>
    <row r="5" spans="1:63" ht="16.149999999999999" customHeight="1">
      <c r="A5" s="514"/>
      <c r="B5" s="450" t="s">
        <v>1609</v>
      </c>
      <c r="C5" s="3">
        <v>33891.94</v>
      </c>
      <c r="D5" s="613"/>
      <c r="E5" s="4"/>
      <c r="F5" s="4">
        <v>0</v>
      </c>
      <c r="G5" s="6"/>
      <c r="H5" s="449" t="s">
        <v>121</v>
      </c>
      <c r="I5" s="449" t="s">
        <v>122</v>
      </c>
      <c r="J5" s="3"/>
      <c r="K5" s="449"/>
      <c r="L5" s="449" t="s">
        <v>1610</v>
      </c>
      <c r="M5" s="449" t="str">
        <f>IF(L5="","",
IF(AX5="PT",VLOOKUP(L5,Foundation_Calc!$V$79:$X$113,VLOOKUP(AX5,Foundation_Calc!$I$10:$J$13,2,FALSE),0),
IF(AX5="K",VLOOKUP(L5,Foundation_Calc!$V$117:$X$151,VLOOKUP(AX5,Foundation_Calc!$I$10:$J$13,2,FALSE),0),"")))</f>
        <v>C8R</v>
      </c>
      <c r="N5" s="449" t="s">
        <v>201</v>
      </c>
      <c r="O5" s="449"/>
      <c r="P5" s="449"/>
      <c r="Q5" s="4"/>
      <c r="R5" s="6"/>
      <c r="S5" s="6"/>
      <c r="T5" s="4">
        <v>0</v>
      </c>
      <c r="U5" s="4"/>
      <c r="V5" s="4"/>
      <c r="W5" s="9"/>
      <c r="X5" s="9"/>
      <c r="Y5" s="9"/>
      <c r="Z5" s="9"/>
      <c r="AA5" s="9"/>
      <c r="AB5" s="9"/>
      <c r="AC5" s="449" t="str">
        <f t="shared" ref="AC5:AC68" si="0">IF(OR(AT5&gt;8,AT5&lt;-8),"PH",
IF(OR(AT5&gt;5,AT5&lt;-5),"PHQ",
IF(OR(AT5&gt;1,AT5&lt;-1),
"PHC","")))</f>
        <v/>
      </c>
      <c r="AD5" s="449"/>
      <c r="AE5" s="449"/>
      <c r="AF5" s="4"/>
      <c r="AG5" s="83"/>
      <c r="AH5" s="4"/>
      <c r="AI5" s="4"/>
      <c r="AJ5" s="449"/>
      <c r="AK5" s="449"/>
      <c r="AL5" s="449"/>
      <c r="AM5" s="449" t="s">
        <v>126</v>
      </c>
      <c r="AN5" s="10"/>
      <c r="AO5" s="9"/>
      <c r="AP5" s="9"/>
      <c r="AQ5" s="9"/>
      <c r="AR5" s="9"/>
      <c r="AS5" s="9"/>
      <c r="AT5" s="9"/>
      <c r="AU5" s="428"/>
      <c r="AV5" s="428"/>
      <c r="AW5" s="449" t="str">
        <f>IF(C5&gt;0,VLOOKUP(C5,Foundation_Calc!$A$2:$C$13,3,1),
IF(J5&gt;0,VLOOKUP(J5,Foundation_Calc!$A$2:$C$13,3,1),""))</f>
        <v>Multi Soil</v>
      </c>
      <c r="AX5" s="449" t="str">
        <f>IF(C5&gt;0,VLOOKUP(C5,Foundation_Calc!$E$2:$G$33,3,1),
IF(J5&gt;0,VLOOKUP(J5,Foundation_Calc!$E$2:$G$33,3,1),""))</f>
        <v>PT</v>
      </c>
      <c r="AY5" s="10">
        <f>IF(L5="","",
IF(AX5="PT",VLOOKUP(L5,Foundation_Calc!$K$79:$R$113,VLOOKUP(AW5,Foundation_Calc!$I$2:$J$8,2,FALSE),0),
IF(AX5="K",VLOOKUP(L5,Foundation_Calc!$K$117:$R$151,VLOOKUP(AW5,Foundation_Calc!$I$2:$J$8,2,FALSE),0),"")))</f>
        <v>4.5</v>
      </c>
      <c r="AZ5" s="10" t="str">
        <f>IF(K5="","",
IF(AX5="PT",VLOOKUP(K5,Foundation_Calc!$K$79:$R$113,VLOOKUP(AW5,Foundation_Calc!$I$2:$J$8,2,FALSE),0),
IF(AX5="K",VLOOKUP(K5,Foundation_Calc!$K$117:$R$151,VLOOKUP(AW5,Foundation_Calc!$I$2:$J$8,2,FALSE),0),"")))</f>
        <v/>
      </c>
      <c r="BA5" s="495" t="str">
        <f t="shared" ref="BA5:BA17" si="1">IF(AY5="","",IF(AY5&gt;0,"ü",""))</f>
        <v>ü</v>
      </c>
      <c r="BB5" s="495" t="str">
        <f t="shared" ref="BB5:BB17" si="2">IF(AZ5="","",IF(AZ5&gt;0,"ü",""))</f>
        <v/>
      </c>
      <c r="BC5" s="495" t="str">
        <f t="shared" ref="BC5:BC17" si="3">IF(M5="","",IF(M5="U.S.","ü",IF(M5="U.S. N.D.","ü","")))</f>
        <v/>
      </c>
      <c r="BD5" s="513" t="str">
        <f>Pole_Calc!A$199</f>
        <v>App.7-V11I-P11.1</v>
      </c>
      <c r="BE5" s="429" t="s">
        <v>118</v>
      </c>
      <c r="BF5" s="289"/>
      <c r="BG5" s="289"/>
      <c r="BH5" s="290"/>
      <c r="BI5" s="289"/>
    </row>
    <row r="6" spans="1:63" ht="16.149999999999999" customHeight="1">
      <c r="A6" s="514" t="s">
        <v>169</v>
      </c>
      <c r="B6" s="450"/>
      <c r="C6" s="3"/>
      <c r="D6" s="613"/>
      <c r="E6" s="4"/>
      <c r="F6" s="4"/>
      <c r="G6" s="6">
        <v>59.2</v>
      </c>
      <c r="H6" s="449"/>
      <c r="I6" s="449"/>
      <c r="J6" s="3"/>
      <c r="K6" s="449"/>
      <c r="L6" s="449"/>
      <c r="M6" s="449" t="str">
        <f>IF(L6="","",
IF(AX6="PT",VLOOKUP(L6,Foundation_Calc!$V$79:$X$113,VLOOKUP(AX6,Foundation_Calc!$I$10:$J$13,2,FALSE),0),
IF(AX6="K",VLOOKUP(L6,Foundation_Calc!$V$117:$X$151,VLOOKUP(AX6,Foundation_Calc!$I$10:$J$13,2,FALSE),0),"")))</f>
        <v/>
      </c>
      <c r="N6" s="449"/>
      <c r="O6" s="449"/>
      <c r="P6" s="449"/>
      <c r="Q6" s="4"/>
      <c r="R6" s="6"/>
      <c r="S6" s="6"/>
      <c r="T6" s="4"/>
      <c r="U6" s="4"/>
      <c r="V6" s="4"/>
      <c r="W6" s="9"/>
      <c r="X6" s="9"/>
      <c r="Y6" s="9"/>
      <c r="Z6" s="9"/>
      <c r="AA6" s="9"/>
      <c r="AB6" s="9"/>
      <c r="AC6" s="449" t="str">
        <f t="shared" si="0"/>
        <v/>
      </c>
      <c r="AD6" s="449"/>
      <c r="AE6" s="449"/>
      <c r="AF6" s="4"/>
      <c r="AG6" s="83"/>
      <c r="AH6" s="4"/>
      <c r="AI6" s="4"/>
      <c r="AJ6" s="449"/>
      <c r="AK6" s="449"/>
      <c r="AL6" s="449"/>
      <c r="AM6" s="449"/>
      <c r="AN6" s="10"/>
      <c r="AO6" s="9"/>
      <c r="AP6" s="9"/>
      <c r="AQ6" s="9">
        <f>+FL_1($T$7,$T$5,$G$6,1200,9.28, 1*$F$7)</f>
        <v>0.53638120720720717</v>
      </c>
      <c r="AR6" s="9"/>
      <c r="AS6" s="9"/>
      <c r="AT6" s="9"/>
      <c r="AU6" s="428"/>
      <c r="AV6" s="428"/>
      <c r="AW6" s="449" t="str">
        <f>IF(C6&gt;0,VLOOKUP(C6,Foundation_Calc!$A$2:$C$13,3,1),
IF(J6&gt;0,VLOOKUP(J6,Foundation_Calc!$A$2:$C$13,3,1),""))</f>
        <v/>
      </c>
      <c r="AX6" s="449" t="str">
        <f>IF(C6&gt;0,VLOOKUP(C6,Foundation_Calc!$E$2:$G$33,3,1),
IF(J6&gt;0,VLOOKUP(J6,Foundation_Calc!$E$2:$G$33,3,1),""))</f>
        <v/>
      </c>
      <c r="AY6" s="10" t="str">
        <f>IF(L6="","",
IF(AX6="PT",VLOOKUP(L6,Foundation_Calc!$K$79:$R$113,VLOOKUP(AW6,Foundation_Calc!$I$2:$J$8,2,FALSE),0),
IF(AX6="K",VLOOKUP(L6,Foundation_Calc!$K$117:$R$151,VLOOKUP(AW6,Foundation_Calc!$I$2:$J$8,2,FALSE),0),"")))</f>
        <v/>
      </c>
      <c r="AZ6" s="10" t="str">
        <f>IF(K6="","",
IF(AX6="PT",VLOOKUP(K6,Foundation_Calc!$K$79:$R$113,VLOOKUP(AW6,Foundation_Calc!$I$2:$J$8,2,FALSE),0),
IF(AX6="K",VLOOKUP(K6,Foundation_Calc!$K$117:$R$151,VLOOKUP(AW6,Foundation_Calc!$I$2:$J$8,2,FALSE),0),"")))</f>
        <v/>
      </c>
      <c r="BA6" s="495" t="str">
        <f t="shared" si="1"/>
        <v/>
      </c>
      <c r="BB6" s="495" t="str">
        <f t="shared" si="2"/>
        <v/>
      </c>
      <c r="BC6" s="495" t="str">
        <f t="shared" si="3"/>
        <v/>
      </c>
      <c r="BD6" s="513" t="str">
        <f>IF(AND(L6="",H6=""),"",
IF(H6="",Pole_Calc!A$22,
IF(H6="MP",Pole_Calc!A$23,
IF(H6="AnMP",Pole_Calc!A$24,
IF(H6="A",Pole_Calc!A$25,
IF(H6="S/A",Pole_Calc!A$26,
IF(H6="A/S",Pole_Calc!A$27,"Poner a mano")))))))</f>
        <v/>
      </c>
      <c r="BE6" s="429" t="s">
        <v>118</v>
      </c>
      <c r="BF6" s="290"/>
      <c r="BG6" s="290"/>
      <c r="BH6" s="290"/>
      <c r="BI6" s="290"/>
    </row>
    <row r="7" spans="1:63" ht="16.149999999999999" customHeight="1">
      <c r="A7" s="545"/>
      <c r="B7" s="450" t="s">
        <v>1611</v>
      </c>
      <c r="C7" s="3">
        <f>+$C$5+$G$6+0.01</f>
        <v>33951.15</v>
      </c>
      <c r="D7" s="83"/>
      <c r="E7" s="4"/>
      <c r="F7" s="4">
        <v>0</v>
      </c>
      <c r="G7" s="6"/>
      <c r="H7" s="449"/>
      <c r="I7" s="449"/>
      <c r="J7" s="3"/>
      <c r="K7" s="449"/>
      <c r="L7" s="449" t="s">
        <v>232</v>
      </c>
      <c r="M7" s="449" t="str">
        <f>IF(L7="","",
IF(AX7="PT",VLOOKUP(L7,Foundation_Calc!$V$79:$X$113,VLOOKUP(AX7,Foundation_Calc!$I$10:$J$13,2,FALSE),0),
IF(AX7="K",VLOOKUP(L7,Foundation_Calc!$V$117:$X$151,VLOOKUP(AX7,Foundation_Calc!$I$10:$J$13,2,FALSE),0),"")))</f>
        <v>C5R</v>
      </c>
      <c r="N7" s="449" t="s">
        <v>134</v>
      </c>
      <c r="O7" s="449"/>
      <c r="P7" s="449"/>
      <c r="Q7" s="4"/>
      <c r="R7" s="6"/>
      <c r="S7" s="6"/>
      <c r="T7" s="4">
        <v>35</v>
      </c>
      <c r="U7" s="4"/>
      <c r="V7" s="4"/>
      <c r="W7" s="9">
        <v>1.4</v>
      </c>
      <c r="X7" s="9"/>
      <c r="Y7" s="9"/>
      <c r="Z7" s="9"/>
      <c r="AA7" s="9"/>
      <c r="AB7" s="9"/>
      <c r="AC7" s="449" t="str">
        <f t="shared" si="0"/>
        <v>PH</v>
      </c>
      <c r="AD7" s="449"/>
      <c r="AE7" s="449"/>
      <c r="AF7" s="4"/>
      <c r="AG7" s="83"/>
      <c r="AH7" s="4"/>
      <c r="AI7" s="4"/>
      <c r="AJ7" s="449"/>
      <c r="AK7" s="449"/>
      <c r="AL7" s="449" t="s">
        <v>241</v>
      </c>
      <c r="AM7" s="449" t="s">
        <v>126</v>
      </c>
      <c r="AN7" s="10">
        <v>5.5</v>
      </c>
      <c r="AO7" s="9"/>
      <c r="AP7" s="9"/>
      <c r="AQ7" s="9"/>
      <c r="AR7" s="9"/>
      <c r="AS7" s="9"/>
      <c r="AT7" s="9">
        <f>+ab($T$7,$T$5,$T$9,$G$6,$G$8, 1*$F$7,1200)</f>
        <v>10.186257393781601</v>
      </c>
      <c r="AU7" s="428"/>
      <c r="AV7" s="428"/>
      <c r="AW7" s="449" t="str">
        <f>IF(C7&gt;0,VLOOKUP(C7,Foundation_Calc!$A$2:$C$13,3,1),
IF(J7&gt;0,VLOOKUP(J7,Foundation_Calc!$A$2:$C$13,3,1),""))</f>
        <v>Multi Soil</v>
      </c>
      <c r="AX7" s="449" t="str">
        <f>IF(C7&gt;0,VLOOKUP(C7,Foundation_Calc!$E$2:$G$33,3,1),
IF(J7&gt;0,VLOOKUP(J7,Foundation_Calc!$E$2:$G$33,3,1),""))</f>
        <v>PT</v>
      </c>
      <c r="AY7" s="10">
        <f>IF(L7="","",
IF(AX7="PT",VLOOKUP(L7,Foundation_Calc!$K$79:$R$113,VLOOKUP(AW7,Foundation_Calc!$I$2:$J$8,2,FALSE),0),
IF(AX7="K",VLOOKUP(L7,Foundation_Calc!$K$117:$R$151,VLOOKUP(AW7,Foundation_Calc!$I$2:$J$8,2,FALSE),0),"")))</f>
        <v>3.5</v>
      </c>
      <c r="AZ7" s="10" t="str">
        <f>IF(K7="","",
IF(AX7="PT",VLOOKUP(K7,Foundation_Calc!$K$79:$R$113,VLOOKUP(AW7,Foundation_Calc!$I$2:$J$8,2,FALSE),0),
IF(AX7="K",VLOOKUP(K7,Foundation_Calc!$K$117:$R$151,VLOOKUP(AW7,Foundation_Calc!$I$2:$J$8,2,FALSE),0),"")))</f>
        <v/>
      </c>
      <c r="BA7" s="495" t="str">
        <f t="shared" si="1"/>
        <v>ü</v>
      </c>
      <c r="BB7" s="495" t="str">
        <f t="shared" si="2"/>
        <v/>
      </c>
      <c r="BC7" s="495" t="str">
        <f t="shared" si="3"/>
        <v/>
      </c>
      <c r="BD7" s="513" t="str">
        <f>Pole_Calc!A$251</f>
        <v>App.8-V08H-P10.3</v>
      </c>
      <c r="BE7" s="429" t="s">
        <v>118</v>
      </c>
      <c r="BF7" s="289"/>
      <c r="BG7" s="289"/>
      <c r="BH7" s="290"/>
      <c r="BI7" s="289"/>
    </row>
    <row r="8" spans="1:63" ht="16.149999999999999" customHeight="1">
      <c r="A8" s="545"/>
      <c r="B8" s="450"/>
      <c r="C8" s="3"/>
      <c r="D8" s="83"/>
      <c r="E8" s="4"/>
      <c r="F8" s="4"/>
      <c r="G8" s="6">
        <v>55</v>
      </c>
      <c r="H8" s="449"/>
      <c r="I8" s="449"/>
      <c r="J8" s="3">
        <f>C9-7.5</f>
        <v>33998.65</v>
      </c>
      <c r="K8" s="449"/>
      <c r="L8" s="449"/>
      <c r="M8" s="449" t="str">
        <f>IF(L8="","",
IF(AX8="PT",VLOOKUP(L8,Foundation_Calc!$V$79:$X$113,VLOOKUP(AX8,Foundation_Calc!$I$10:$J$13,2,FALSE),0),
IF(AX8="K",VLOOKUP(L8,Foundation_Calc!$V$117:$X$151,VLOOKUP(AX8,Foundation_Calc!$I$10:$J$13,2,FALSE),0),"")))</f>
        <v/>
      </c>
      <c r="N8" s="449"/>
      <c r="O8" s="449"/>
      <c r="P8" s="449"/>
      <c r="Q8" s="4"/>
      <c r="R8" s="6"/>
      <c r="S8" s="6"/>
      <c r="T8" s="4"/>
      <c r="U8" s="4"/>
      <c r="V8" s="4"/>
      <c r="W8" s="9"/>
      <c r="X8" s="9"/>
      <c r="Y8" s="9"/>
      <c r="Z8" s="9"/>
      <c r="AA8" s="9"/>
      <c r="AB8" s="9"/>
      <c r="AC8" s="449" t="str">
        <f t="shared" si="0"/>
        <v/>
      </c>
      <c r="AD8" s="449"/>
      <c r="AE8" s="449"/>
      <c r="AF8" s="4"/>
      <c r="AG8" s="83"/>
      <c r="AH8" s="4"/>
      <c r="AI8" s="4"/>
      <c r="AJ8" s="449"/>
      <c r="AK8" s="449"/>
      <c r="AL8" s="449"/>
      <c r="AM8" s="449"/>
      <c r="AN8" s="10"/>
      <c r="AO8" s="9"/>
      <c r="AP8" s="9"/>
      <c r="AQ8" s="9">
        <f>+FL_1($T$9,$T$7,$G$8,1200,9.28, 1*$F$9)</f>
        <v>0.39714735709090898</v>
      </c>
      <c r="AR8" s="9"/>
      <c r="AS8" s="9"/>
      <c r="AT8" s="9"/>
      <c r="AU8" s="428"/>
      <c r="AV8" s="428"/>
      <c r="AW8" s="449" t="str">
        <f>IF(C8&gt;0,VLOOKUP(C8,Foundation_Calc!$A$2:$C$13,3,1),
IF(J8&gt;0,VLOOKUP(J8,Foundation_Calc!$A$2:$C$13,3,1),""))</f>
        <v>Multi Soil</v>
      </c>
      <c r="AX8" s="449" t="str">
        <f>IF(C8&gt;0,VLOOKUP(C8,Foundation_Calc!$E$2:$G$33,3,1),
IF(J8&gt;0,VLOOKUP(J8,Foundation_Calc!$E$2:$G$33,3,1),""))</f>
        <v>PT</v>
      </c>
      <c r="AY8" s="10" t="str">
        <f>IF(L8="","",
IF(AX8="PT",VLOOKUP(L8,Foundation_Calc!$K$79:$R$113,VLOOKUP(AW8,Foundation_Calc!$I$2:$J$8,2,FALSE),0),
IF(AX8="K",VLOOKUP(L8,Foundation_Calc!$K$117:$R$151,VLOOKUP(AW8,Foundation_Calc!$I$2:$J$8,2,FALSE),0),"")))</f>
        <v/>
      </c>
      <c r="AZ8" s="10" t="str">
        <f>IF(K8="","",
IF(AX8="PT",VLOOKUP(K8,Foundation_Calc!$K$79:$R$113,VLOOKUP(AW8,Foundation_Calc!$I$2:$J$8,2,FALSE),0),
IF(AX8="K",VLOOKUP(K8,Foundation_Calc!$K$117:$R$151,VLOOKUP(AW8,Foundation_Calc!$I$2:$J$8,2,FALSE),0),"")))</f>
        <v/>
      </c>
      <c r="BA8" s="495" t="str">
        <f t="shared" si="1"/>
        <v/>
      </c>
      <c r="BB8" s="495" t="str">
        <f t="shared" si="2"/>
        <v/>
      </c>
      <c r="BC8" s="495" t="str">
        <f t="shared" si="3"/>
        <v/>
      </c>
      <c r="BD8" s="513"/>
      <c r="BE8" s="429" t="s">
        <v>118</v>
      </c>
      <c r="BF8" s="290"/>
      <c r="BG8" s="290"/>
      <c r="BH8" s="290"/>
      <c r="BI8" s="290"/>
    </row>
    <row r="9" spans="1:63" ht="16.149999999999999" customHeight="1">
      <c r="A9" s="545"/>
      <c r="B9" s="450" t="s">
        <v>1612</v>
      </c>
      <c r="C9" s="3">
        <f>+$C$7+$G$8</f>
        <v>34006.15</v>
      </c>
      <c r="D9" s="83"/>
      <c r="E9" s="4"/>
      <c r="F9" s="4">
        <v>0</v>
      </c>
      <c r="G9" s="6"/>
      <c r="H9" s="449" t="s">
        <v>284</v>
      </c>
      <c r="I9" s="449" t="s">
        <v>122</v>
      </c>
      <c r="J9" s="3"/>
      <c r="K9" s="449"/>
      <c r="L9" s="449" t="s">
        <v>232</v>
      </c>
      <c r="M9" s="449" t="str">
        <f>IF(L9="","",
IF(AX9="PT",VLOOKUP(L9,Foundation_Calc!$V$79:$X$113,VLOOKUP(AX9,Foundation_Calc!$I$10:$J$13,2,FALSE),0),
IF(AX9="K",VLOOKUP(L9,Foundation_Calc!$V$117:$X$151,VLOOKUP(AX9,Foundation_Calc!$I$10:$J$13,2,FALSE),0),"")))</f>
        <v>C5R</v>
      </c>
      <c r="N9" s="449" t="s">
        <v>124</v>
      </c>
      <c r="O9" s="449"/>
      <c r="P9" s="575"/>
      <c r="Q9" s="4"/>
      <c r="R9" s="6"/>
      <c r="S9" s="6"/>
      <c r="T9" s="4">
        <v>-35</v>
      </c>
      <c r="U9" s="4"/>
      <c r="V9" s="4"/>
      <c r="W9" s="9">
        <v>1.4</v>
      </c>
      <c r="X9" s="9"/>
      <c r="Y9" s="9"/>
      <c r="Z9" s="9"/>
      <c r="AA9" s="9"/>
      <c r="AB9" s="9"/>
      <c r="AC9" s="449" t="str">
        <f t="shared" si="0"/>
        <v>PHQ</v>
      </c>
      <c r="AD9" s="449"/>
      <c r="AE9" s="449"/>
      <c r="AF9" s="4"/>
      <c r="AG9" s="83"/>
      <c r="AH9" s="4"/>
      <c r="AI9" s="4"/>
      <c r="AJ9" s="449"/>
      <c r="AK9" s="449"/>
      <c r="AL9" s="449" t="s">
        <v>241</v>
      </c>
      <c r="AM9" s="449" t="s">
        <v>126</v>
      </c>
      <c r="AN9" s="10">
        <v>5.5</v>
      </c>
      <c r="AO9" s="9"/>
      <c r="AP9" s="9"/>
      <c r="AQ9" s="9"/>
      <c r="AR9" s="9"/>
      <c r="AS9" s="9"/>
      <c r="AT9" s="9">
        <f>+ab($T$9,$T$7,$U$11,$G$8,$G$10, 1*$F$9,1200)</f>
        <v>-7.0752086319693017</v>
      </c>
      <c r="AU9" s="428"/>
      <c r="AV9" s="428"/>
      <c r="AW9" s="449" t="str">
        <f>IF(C9&gt;0,VLOOKUP(C9,Foundation_Calc!$A$2:$C$13,3,1),
IF(J9&gt;0,VLOOKUP(J9,Foundation_Calc!$A$2:$C$13,3,1),""))</f>
        <v>Multi Soil</v>
      </c>
      <c r="AX9" s="449" t="str">
        <f>IF(C9&gt;0,VLOOKUP(C9,Foundation_Calc!$E$2:$G$33,3,1),
IF(J9&gt;0,VLOOKUP(J9,Foundation_Calc!$E$2:$G$33,3,1),""))</f>
        <v>PT</v>
      </c>
      <c r="AY9" s="10">
        <f>IF(L9="","",
IF(AX9="PT",VLOOKUP(L9,Foundation_Calc!$K$79:$R$113,VLOOKUP(AW9,Foundation_Calc!$I$2:$J$8,2,FALSE),0),
IF(AX9="K",VLOOKUP(L9,Foundation_Calc!$K$117:$R$151,VLOOKUP(AW9,Foundation_Calc!$I$2:$J$8,2,FALSE),0),"")))</f>
        <v>3.5</v>
      </c>
      <c r="AZ9" s="10" t="str">
        <f>IF(K9="","",
IF(AX9="PT",VLOOKUP(K9,Foundation_Calc!$K$79:$R$113,VLOOKUP(AW9,Foundation_Calc!$I$2:$J$8,2,FALSE),0),
IF(AX9="K",VLOOKUP(K9,Foundation_Calc!$K$117:$R$151,VLOOKUP(AW9,Foundation_Calc!$I$2:$J$8,2,FALSE),0),"")))</f>
        <v/>
      </c>
      <c r="BA9" s="495" t="str">
        <f t="shared" si="1"/>
        <v>ü</v>
      </c>
      <c r="BB9" s="495" t="str">
        <f t="shared" si="2"/>
        <v/>
      </c>
      <c r="BC9" s="495" t="str">
        <f t="shared" si="3"/>
        <v/>
      </c>
      <c r="BD9" s="513" t="str">
        <f>Pole_Calc!A$251</f>
        <v>App.8-V08H-P10.3</v>
      </c>
      <c r="BE9" s="429" t="s">
        <v>118</v>
      </c>
      <c r="BF9" s="289"/>
      <c r="BG9" s="289"/>
      <c r="BH9" s="290"/>
      <c r="BI9" s="289"/>
    </row>
    <row r="10" spans="1:63" ht="16.149999999999999" customHeight="1">
      <c r="A10" s="545"/>
      <c r="B10" s="450"/>
      <c r="C10" s="3"/>
      <c r="D10" s="83"/>
      <c r="E10" s="4"/>
      <c r="F10" s="4"/>
      <c r="G10" s="6">
        <v>49.1</v>
      </c>
      <c r="H10" s="449"/>
      <c r="I10" s="449"/>
      <c r="J10" s="3"/>
      <c r="K10" s="449"/>
      <c r="L10" s="449"/>
      <c r="M10" s="449" t="str">
        <f>IF(L10="","",
IF(AX10="PT",VLOOKUP(L10,Foundation_Calc!$V$79:$X$113,VLOOKUP(AX10,Foundation_Calc!$I$10:$J$13,2,FALSE),0),
IF(AX10="K",VLOOKUP(L10,Foundation_Calc!$V$117:$X$151,VLOOKUP(AX10,Foundation_Calc!$I$10:$J$13,2,FALSE),0),"")))</f>
        <v/>
      </c>
      <c r="N10" s="449"/>
      <c r="O10" s="561"/>
      <c r="P10" s="449"/>
      <c r="Q10" s="4"/>
      <c r="R10" s="6"/>
      <c r="S10" s="6"/>
      <c r="T10" s="4"/>
      <c r="U10" s="4"/>
      <c r="V10" s="4"/>
      <c r="W10" s="9"/>
      <c r="X10" s="9"/>
      <c r="Y10" s="9"/>
      <c r="Z10" s="9"/>
      <c r="AA10" s="9"/>
      <c r="AB10" s="9"/>
      <c r="AC10" s="449" t="str">
        <f t="shared" si="0"/>
        <v/>
      </c>
      <c r="AD10" s="449"/>
      <c r="AE10" s="449"/>
      <c r="AF10" s="4"/>
      <c r="AG10" s="83"/>
      <c r="AH10" s="4"/>
      <c r="AI10" s="4"/>
      <c r="AJ10" s="449"/>
      <c r="AK10" s="449"/>
      <c r="AL10" s="449"/>
      <c r="AM10" s="449"/>
      <c r="AN10" s="10"/>
      <c r="AO10" s="9"/>
      <c r="AP10" s="9"/>
      <c r="AQ10" s="9">
        <f>+FL_1($U$11,$T$9,$G$10,1200,9.28, 1*$F$11)</f>
        <v>0.36445736502647658</v>
      </c>
      <c r="AR10" s="9"/>
      <c r="AS10" s="9"/>
      <c r="AT10" s="9"/>
      <c r="AU10" s="428"/>
      <c r="AV10" s="428"/>
      <c r="AW10" s="449" t="str">
        <f>IF(C10&gt;0,VLOOKUP(C10,Foundation_Calc!$A$2:$C$13,3,1),
IF(J10&gt;0,VLOOKUP(J10,Foundation_Calc!$A$2:$C$13,3,1),""))</f>
        <v/>
      </c>
      <c r="AX10" s="449" t="str">
        <f>IF(C10&gt;0,VLOOKUP(C10,Foundation_Calc!$E$2:$G$33,3,1),
IF(J10&gt;0,VLOOKUP(J10,Foundation_Calc!$E$2:$G$33,3,1),""))</f>
        <v/>
      </c>
      <c r="AY10" s="10" t="str">
        <f>IF(L10="","",
IF(AX10="PT",VLOOKUP(L10,Foundation_Calc!$K$79:$R$113,VLOOKUP(AW10,Foundation_Calc!$I$2:$J$8,2,FALSE),0),
IF(AX10="K",VLOOKUP(L10,Foundation_Calc!$K$117:$R$151,VLOOKUP(AW10,Foundation_Calc!$I$2:$J$8,2,FALSE),0),"")))</f>
        <v/>
      </c>
      <c r="AZ10" s="10" t="str">
        <f>IF(K10="","",
IF(AX10="PT",VLOOKUP(K10,Foundation_Calc!$K$79:$R$113,VLOOKUP(AW10,Foundation_Calc!$I$2:$J$8,2,FALSE),0),
IF(AX10="K",VLOOKUP(K10,Foundation_Calc!$K$117:$R$151,VLOOKUP(AW10,Foundation_Calc!$I$2:$J$8,2,FALSE),0),"")))</f>
        <v/>
      </c>
      <c r="BA10" s="495" t="str">
        <f t="shared" si="1"/>
        <v/>
      </c>
      <c r="BB10" s="495" t="str">
        <f t="shared" si="2"/>
        <v/>
      </c>
      <c r="BC10" s="495" t="str">
        <f t="shared" si="3"/>
        <v/>
      </c>
      <c r="BD10" s="513"/>
      <c r="BE10" s="429" t="s">
        <v>118</v>
      </c>
      <c r="BF10" s="290"/>
      <c r="BG10" s="290"/>
      <c r="BH10" s="290"/>
      <c r="BI10" s="290"/>
    </row>
    <row r="11" spans="1:63" ht="16.149999999999999" customHeight="1">
      <c r="A11" s="514" t="s">
        <v>1613</v>
      </c>
      <c r="B11" s="450" t="s">
        <v>1614</v>
      </c>
      <c r="C11" s="3">
        <f>+$C$9+$G$10</f>
        <v>34055.25</v>
      </c>
      <c r="D11" s="83"/>
      <c r="E11" s="4"/>
      <c r="F11" s="4">
        <v>0</v>
      </c>
      <c r="G11" s="6"/>
      <c r="H11" s="449" t="s">
        <v>1615</v>
      </c>
      <c r="I11" s="449"/>
      <c r="J11" s="3"/>
      <c r="K11" s="449"/>
      <c r="L11" s="449" t="s">
        <v>232</v>
      </c>
      <c r="M11" s="449" t="str">
        <f>IF(L11="","",
IF(AX11="PT",VLOOKUP(L11,Foundation_Calc!$V$79:$X$113,VLOOKUP(AX11,Foundation_Calc!$I$10:$J$13,2,FALSE),0),
IF(AX11="K",VLOOKUP(L11,Foundation_Calc!$V$117:$X$151,VLOOKUP(AX11,Foundation_Calc!$I$10:$J$13,2,FALSE),0),"")))</f>
        <v>C5R</v>
      </c>
      <c r="N11" s="554" t="s">
        <v>133</v>
      </c>
      <c r="O11" s="449" t="s">
        <v>134</v>
      </c>
      <c r="P11" s="554" t="s">
        <v>124</v>
      </c>
      <c r="Q11" s="4"/>
      <c r="R11" s="6"/>
      <c r="S11" s="6"/>
      <c r="T11" s="4">
        <v>55</v>
      </c>
      <c r="U11" s="4">
        <v>35</v>
      </c>
      <c r="V11" s="4">
        <v>20</v>
      </c>
      <c r="W11" s="9">
        <v>1.4</v>
      </c>
      <c r="X11" s="9">
        <v>1.8</v>
      </c>
      <c r="Y11" s="9">
        <v>2</v>
      </c>
      <c r="Z11" s="9">
        <v>0.3</v>
      </c>
      <c r="AA11" s="9"/>
      <c r="AB11" s="9"/>
      <c r="AC11" s="449"/>
      <c r="AD11" s="449"/>
      <c r="AE11" s="449"/>
      <c r="AF11" s="4"/>
      <c r="AG11" s="83"/>
      <c r="AH11" s="4"/>
      <c r="AI11" s="4"/>
      <c r="AJ11" s="449" t="s">
        <v>251</v>
      </c>
      <c r="AK11" s="449"/>
      <c r="AL11" s="449" t="s">
        <v>241</v>
      </c>
      <c r="AM11" s="449" t="s">
        <v>126</v>
      </c>
      <c r="AN11" s="10">
        <v>5.5</v>
      </c>
      <c r="AO11" s="9"/>
      <c r="AP11" s="9"/>
      <c r="AQ11" s="9"/>
      <c r="AR11" s="9"/>
      <c r="AS11" s="9"/>
      <c r="AT11" s="9">
        <f>+ab($U$11,$T$9,$U$13,$G$10,$G$12, 1*$F$11,1200)</f>
        <v>5.6207146786905149</v>
      </c>
      <c r="AU11" s="428"/>
      <c r="AV11" s="428"/>
      <c r="AW11" s="449" t="str">
        <f>IF(C11&gt;0,VLOOKUP(C11,Foundation_Calc!$A$2:$C$13,3,1),
IF(J11&gt;0,VLOOKUP(J11,Foundation_Calc!$A$2:$C$13,3,1),""))</f>
        <v>Multi Soil</v>
      </c>
      <c r="AX11" s="449" t="str">
        <f>IF(C11&gt;0,VLOOKUP(C11,Foundation_Calc!$E$2:$G$33,3,1),
IF(J11&gt;0,VLOOKUP(J11,Foundation_Calc!$E$2:$G$33,3,1),""))</f>
        <v>PT</v>
      </c>
      <c r="AY11" s="10">
        <f>IF(L11="","",
IF(AX11="PT",VLOOKUP(L11,Foundation_Calc!$K$79:$R$113,VLOOKUP(AW11,Foundation_Calc!$I$2:$J$8,2,FALSE),0),
IF(AX11="K",VLOOKUP(L11,Foundation_Calc!$K$117:$R$151,VLOOKUP(AW11,Foundation_Calc!$I$2:$J$8,2,FALSE),0),"")))</f>
        <v>3.5</v>
      </c>
      <c r="AZ11" s="10" t="str">
        <f>IF(K11="","",
IF(AX11="PT",VLOOKUP(K11,Foundation_Calc!$K$79:$R$113,VLOOKUP(AW11,Foundation_Calc!$I$2:$J$8,2,FALSE),0),
IF(AX11="K",VLOOKUP(K11,Foundation_Calc!$K$117:$R$151,VLOOKUP(AW11,Foundation_Calc!$I$2:$J$8,2,FALSE),0),"")))</f>
        <v/>
      </c>
      <c r="BA11" s="495" t="str">
        <f t="shared" si="1"/>
        <v>ü</v>
      </c>
      <c r="BB11" s="495" t="str">
        <f t="shared" si="2"/>
        <v/>
      </c>
      <c r="BC11" s="495" t="str">
        <f t="shared" si="3"/>
        <v/>
      </c>
      <c r="BD11" s="513" t="str">
        <f>Pole_Calc!A$251</f>
        <v>App.8-V08H-P10.3</v>
      </c>
      <c r="BE11" s="429" t="s">
        <v>118</v>
      </c>
      <c r="BF11" s="289"/>
      <c r="BG11" s="289"/>
      <c r="BH11" s="290"/>
      <c r="BI11" s="289"/>
    </row>
    <row r="12" spans="1:63" ht="16.149999999999999" customHeight="1">
      <c r="A12" s="545"/>
      <c r="B12" s="450"/>
      <c r="C12" s="3"/>
      <c r="D12" s="83"/>
      <c r="E12" s="4"/>
      <c r="F12" s="4"/>
      <c r="G12" s="6">
        <v>35.4</v>
      </c>
      <c r="H12" s="449"/>
      <c r="I12" s="449"/>
      <c r="J12" s="3"/>
      <c r="K12" s="449"/>
      <c r="L12" s="449"/>
      <c r="M12" s="449" t="str">
        <f>IF(L12="","",
IF(AX12="PT",VLOOKUP(L12,Foundation_Calc!$V$79:$X$113,VLOOKUP(AX12,Foundation_Calc!$I$10:$J$13,2,FALSE),0),
IF(AX12="K",VLOOKUP(L12,Foundation_Calc!$V$117:$X$151,VLOOKUP(AX12,Foundation_Calc!$I$10:$J$13,2,FALSE),0),"")))</f>
        <v/>
      </c>
      <c r="N12" s="449"/>
      <c r="O12" s="561"/>
      <c r="P12" s="449"/>
      <c r="Q12" s="4"/>
      <c r="R12" s="6"/>
      <c r="S12" s="6"/>
      <c r="T12" s="4"/>
      <c r="U12" s="4"/>
      <c r="V12" s="4"/>
      <c r="W12" s="9"/>
      <c r="X12" s="9"/>
      <c r="Y12" s="9"/>
      <c r="Z12" s="9"/>
      <c r="AA12" s="9"/>
      <c r="AB12" s="9"/>
      <c r="AC12" s="449" t="str">
        <f t="shared" si="0"/>
        <v/>
      </c>
      <c r="AD12" s="449"/>
      <c r="AE12" s="449"/>
      <c r="AF12" s="4"/>
      <c r="AG12" s="83"/>
      <c r="AH12" s="4"/>
      <c r="AI12" s="4"/>
      <c r="AJ12" s="449"/>
      <c r="AK12" s="449"/>
      <c r="AL12" s="449"/>
      <c r="AM12" s="449"/>
      <c r="AN12" s="10"/>
      <c r="AO12" s="9"/>
      <c r="AP12" s="9"/>
      <c r="AQ12" s="9">
        <f>+FL_1($U$13,$U$11,$G$12,1200,9.28, 1*$F$13)</f>
        <v>0.35000000000000925</v>
      </c>
      <c r="AR12" s="9"/>
      <c r="AS12" s="9"/>
      <c r="AT12" s="9"/>
      <c r="AU12" s="428"/>
      <c r="AV12" s="428"/>
      <c r="AW12" s="449" t="str">
        <f>IF(C12&gt;0,VLOOKUP(C12,Foundation_Calc!$A$2:$C$13,3,1),
IF(J12&gt;0,VLOOKUP(J12,Foundation_Calc!$A$2:$C$13,3,1),""))</f>
        <v/>
      </c>
      <c r="AX12" s="449" t="str">
        <f>IF(C12&gt;0,VLOOKUP(C12,Foundation_Calc!$E$2:$G$33,3,1),
IF(J12&gt;0,VLOOKUP(J12,Foundation_Calc!$E$2:$G$33,3,1),""))</f>
        <v/>
      </c>
      <c r="AY12" s="10" t="str">
        <f>IF(L12="","",
IF(AX12="PT",VLOOKUP(L12,Foundation_Calc!$K$79:$R$113,VLOOKUP(AW12,Foundation_Calc!$I$2:$J$8,2,FALSE),0),
IF(AX12="K",VLOOKUP(L12,Foundation_Calc!$K$117:$R$151,VLOOKUP(AW12,Foundation_Calc!$I$2:$J$8,2,FALSE),0),"")))</f>
        <v/>
      </c>
      <c r="AZ12" s="10" t="str">
        <f>IF(K12="","",
IF(AX12="PT",VLOOKUP(K12,Foundation_Calc!$K$79:$R$113,VLOOKUP(AW12,Foundation_Calc!$I$2:$J$8,2,FALSE),0),
IF(AX12="K",VLOOKUP(K12,Foundation_Calc!$K$117:$R$151,VLOOKUP(AW12,Foundation_Calc!$I$2:$J$8,2,FALSE),0),"")))</f>
        <v/>
      </c>
      <c r="BA12" s="495" t="str">
        <f t="shared" si="1"/>
        <v/>
      </c>
      <c r="BB12" s="495" t="str">
        <f t="shared" si="2"/>
        <v/>
      </c>
      <c r="BC12" s="495" t="str">
        <f t="shared" si="3"/>
        <v/>
      </c>
      <c r="BD12" s="513"/>
      <c r="BE12" s="429" t="s">
        <v>118</v>
      </c>
      <c r="BF12" s="290"/>
      <c r="BG12" s="290"/>
      <c r="BH12" s="290"/>
      <c r="BI12" s="290"/>
    </row>
    <row r="13" spans="1:63" ht="16.149999999999999" customHeight="1">
      <c r="A13" s="545"/>
      <c r="B13" s="450" t="s">
        <v>1616</v>
      </c>
      <c r="C13" s="3">
        <f>+$C$11+$G$12</f>
        <v>34090.65</v>
      </c>
      <c r="D13" s="83"/>
      <c r="E13" s="4"/>
      <c r="F13" s="4">
        <v>0</v>
      </c>
      <c r="G13" s="6"/>
      <c r="H13" s="449" t="s">
        <v>846</v>
      </c>
      <c r="I13" s="449"/>
      <c r="J13" s="3"/>
      <c r="K13" s="449"/>
      <c r="L13" s="449" t="s">
        <v>232</v>
      </c>
      <c r="M13" s="449" t="str">
        <f>IF(L13="","",
IF(AX13="PT",VLOOKUP(L13,Foundation_Calc!$V$79:$X$113,VLOOKUP(AX13,Foundation_Calc!$I$10:$J$13,2,FALSE),0),
IF(AX13="K",VLOOKUP(L13,Foundation_Calc!$V$117:$X$151,VLOOKUP(AX13,Foundation_Calc!$I$10:$J$13,2,FALSE),0),"")))</f>
        <v>C5R</v>
      </c>
      <c r="N13" s="554" t="s">
        <v>134</v>
      </c>
      <c r="O13" s="449" t="s">
        <v>124</v>
      </c>
      <c r="P13" s="554" t="s">
        <v>133</v>
      </c>
      <c r="Q13" s="4"/>
      <c r="R13" s="6"/>
      <c r="S13" s="6"/>
      <c r="T13" s="4">
        <v>-20</v>
      </c>
      <c r="U13" s="4">
        <v>-35</v>
      </c>
      <c r="V13" s="4">
        <v>-55</v>
      </c>
      <c r="W13" s="9">
        <v>1.4</v>
      </c>
      <c r="X13" s="9">
        <v>1.8</v>
      </c>
      <c r="Y13" s="9">
        <v>2</v>
      </c>
      <c r="Z13" s="9"/>
      <c r="AA13" s="9"/>
      <c r="AB13" s="9">
        <v>0.3</v>
      </c>
      <c r="AC13" s="449" t="str">
        <f t="shared" si="0"/>
        <v>PH</v>
      </c>
      <c r="AD13" s="449"/>
      <c r="AE13" s="449"/>
      <c r="AF13" s="4"/>
      <c r="AG13" s="83"/>
      <c r="AH13" s="4"/>
      <c r="AI13" s="4"/>
      <c r="AJ13" s="449" t="s">
        <v>239</v>
      </c>
      <c r="AK13" s="449"/>
      <c r="AL13" s="449" t="s">
        <v>241</v>
      </c>
      <c r="AM13" s="449" t="s">
        <v>126</v>
      </c>
      <c r="AN13" s="10">
        <v>5.5</v>
      </c>
      <c r="AO13" s="9"/>
      <c r="AP13" s="9"/>
      <c r="AQ13" s="9"/>
      <c r="AR13" s="9"/>
      <c r="AS13" s="9"/>
      <c r="AT13" s="9">
        <f>+ab($U$13,$U$11,$T$15,$G$12,$G$14, 1*$F$13,1200)</f>
        <v>-9.6130704912461908</v>
      </c>
      <c r="AU13" s="428"/>
      <c r="AV13" s="428"/>
      <c r="AW13" s="449" t="str">
        <f>IF(C13&gt;0,VLOOKUP(C13,Foundation_Calc!$A$2:$C$13,3,1),
IF(J13&gt;0,VLOOKUP(J13,Foundation_Calc!$A$2:$C$13,3,1),""))</f>
        <v>Multi Soil</v>
      </c>
      <c r="AX13" s="449" t="str">
        <f>IF(C13&gt;0,VLOOKUP(C13,Foundation_Calc!$E$2:$G$33,3,1),
IF(J13&gt;0,VLOOKUP(J13,Foundation_Calc!$E$2:$G$33,3,1),""))</f>
        <v>PT</v>
      </c>
      <c r="AY13" s="10">
        <f>IF(L13="","",
IF(AX13="PT",VLOOKUP(L13,Foundation_Calc!$K$79:$R$113,VLOOKUP(AW13,Foundation_Calc!$I$2:$J$8,2,FALSE),0),
IF(AX13="K",VLOOKUP(L13,Foundation_Calc!$K$117:$R$151,VLOOKUP(AW13,Foundation_Calc!$I$2:$J$8,2,FALSE),0),"")))</f>
        <v>3.5</v>
      </c>
      <c r="AZ13" s="10" t="str">
        <f>IF(K13="","",
IF(AX13="PT",VLOOKUP(K13,Foundation_Calc!$K$79:$R$113,VLOOKUP(AW13,Foundation_Calc!$I$2:$J$8,2,FALSE),0),
IF(AX13="K",VLOOKUP(K13,Foundation_Calc!$K$117:$R$151,VLOOKUP(AW13,Foundation_Calc!$I$2:$J$8,2,FALSE),0),"")))</f>
        <v/>
      </c>
      <c r="BA13" s="495" t="str">
        <f t="shared" si="1"/>
        <v>ü</v>
      </c>
      <c r="BB13" s="495" t="str">
        <f t="shared" si="2"/>
        <v/>
      </c>
      <c r="BC13" s="495" t="str">
        <f t="shared" si="3"/>
        <v/>
      </c>
      <c r="BD13" s="513" t="str">
        <f>Pole_Calc!A$251</f>
        <v>App.8-V08H-P10.3</v>
      </c>
      <c r="BE13" s="429" t="s">
        <v>118</v>
      </c>
      <c r="BF13" s="289"/>
      <c r="BG13" s="289"/>
      <c r="BH13" s="290"/>
      <c r="BI13" s="289"/>
    </row>
    <row r="14" spans="1:63" ht="16.149999999999999" customHeight="1">
      <c r="A14" s="545"/>
      <c r="B14" s="450"/>
      <c r="C14" s="3"/>
      <c r="D14" s="83"/>
      <c r="E14" s="4"/>
      <c r="F14" s="4"/>
      <c r="G14" s="6">
        <v>25</v>
      </c>
      <c r="H14" s="449"/>
      <c r="I14" s="449"/>
      <c r="J14" s="3"/>
      <c r="K14" s="449"/>
      <c r="L14" s="449"/>
      <c r="M14" s="449" t="str">
        <f>IF(L14="","",
IF(AX14="PT",VLOOKUP(L14,Foundation_Calc!$V$79:$X$113,VLOOKUP(AX14,Foundation_Calc!$I$10:$J$13,2,FALSE),0),
IF(AX14="K",VLOOKUP(L14,Foundation_Calc!$V$117:$X$151,VLOOKUP(AX14,Foundation_Calc!$I$10:$J$13,2,FALSE),0),"")))</f>
        <v/>
      </c>
      <c r="N14" s="449"/>
      <c r="O14" s="561"/>
      <c r="P14" s="449"/>
      <c r="Q14" s="4"/>
      <c r="R14" s="6"/>
      <c r="S14" s="6"/>
      <c r="T14" s="4"/>
      <c r="U14" s="4"/>
      <c r="V14" s="4"/>
      <c r="W14" s="9"/>
      <c r="X14" s="9"/>
      <c r="Y14" s="9"/>
      <c r="Z14" s="9"/>
      <c r="AA14" s="9"/>
      <c r="AB14" s="9"/>
      <c r="AC14" s="449" t="str">
        <f t="shared" si="0"/>
        <v/>
      </c>
      <c r="AD14" s="449"/>
      <c r="AE14" s="449"/>
      <c r="AF14" s="4"/>
      <c r="AG14" s="83"/>
      <c r="AH14" s="4"/>
      <c r="AI14" s="4"/>
      <c r="AJ14" s="449"/>
      <c r="AK14" s="449"/>
      <c r="AL14" s="449"/>
      <c r="AM14" s="449"/>
      <c r="AN14" s="10"/>
      <c r="AO14" s="9"/>
      <c r="AP14" s="9"/>
      <c r="AQ14" s="9">
        <f>+FL_2(-$T$15,$U$13,$G$14,1200,9.28, 1*$F$15)</f>
        <v>-0.35000000000002029</v>
      </c>
      <c r="AR14" s="9"/>
      <c r="AS14" s="9"/>
      <c r="AT14" s="9"/>
      <c r="AU14" s="428"/>
      <c r="AV14" s="428"/>
      <c r="AW14" s="449" t="str">
        <f>IF(C14&gt;0,VLOOKUP(C14,Foundation_Calc!$A$2:$C$13,3,1),
IF(J14&gt;0,VLOOKUP(J14,Foundation_Calc!$A$2:$C$13,3,1),""))</f>
        <v/>
      </c>
      <c r="AX14" s="449" t="str">
        <f>IF(C14&gt;0,VLOOKUP(C14,Foundation_Calc!$E$2:$G$33,3,1),
IF(J14&gt;0,VLOOKUP(J14,Foundation_Calc!$E$2:$G$33,3,1),""))</f>
        <v/>
      </c>
      <c r="AY14" s="10" t="str">
        <f>IF(L14="","",
IF(AX14="PT",VLOOKUP(L14,Foundation_Calc!$K$79:$R$113,VLOOKUP(AW14,Foundation_Calc!$I$2:$J$8,2,FALSE),0),
IF(AX14="K",VLOOKUP(L14,Foundation_Calc!$K$117:$R$151,VLOOKUP(AW14,Foundation_Calc!$I$2:$J$8,2,FALSE),0),"")))</f>
        <v/>
      </c>
      <c r="AZ14" s="10" t="str">
        <f>IF(K14="","",
IF(AX14="PT",VLOOKUP(K14,Foundation_Calc!$K$79:$R$113,VLOOKUP(AW14,Foundation_Calc!$I$2:$J$8,2,FALSE),0),
IF(AX14="K",VLOOKUP(K14,Foundation_Calc!$K$117:$R$151,VLOOKUP(AW14,Foundation_Calc!$I$2:$J$8,2,FALSE),0),"")))</f>
        <v/>
      </c>
      <c r="BA14" s="495" t="str">
        <f t="shared" si="1"/>
        <v/>
      </c>
      <c r="BB14" s="495" t="str">
        <f t="shared" si="2"/>
        <v/>
      </c>
      <c r="BC14" s="495" t="str">
        <f t="shared" si="3"/>
        <v/>
      </c>
      <c r="BD14" s="513"/>
      <c r="BE14" s="429" t="s">
        <v>118</v>
      </c>
      <c r="BF14" s="290"/>
      <c r="BG14" s="290"/>
      <c r="BH14" s="290"/>
      <c r="BI14" s="290"/>
    </row>
    <row r="15" spans="1:63" ht="16.149999999999999" customHeight="1">
      <c r="A15" s="514"/>
      <c r="B15" s="450" t="s">
        <v>1617</v>
      </c>
      <c r="C15" s="3">
        <f>+$C$13+$G$14</f>
        <v>34115.65</v>
      </c>
      <c r="D15" s="83"/>
      <c r="E15" s="4"/>
      <c r="F15" s="4">
        <v>0</v>
      </c>
      <c r="G15" s="6"/>
      <c r="H15" s="449"/>
      <c r="I15" s="449"/>
      <c r="J15" s="3"/>
      <c r="K15" s="449"/>
      <c r="L15" s="449" t="s">
        <v>201</v>
      </c>
      <c r="M15" s="449" t="str">
        <f>IF(L15="","",
IF(AX15="PT",VLOOKUP(L15,Foundation_Calc!$V$79:$X$113,VLOOKUP(AX15,Foundation_Calc!$I$10:$J$13,2,FALSE),0),
IF(AX15="K",VLOOKUP(L15,Foundation_Calc!$V$117:$X$151,VLOOKUP(AX15,Foundation_Calc!$I$10:$J$13,2,FALSE),0),"")))</f>
        <v/>
      </c>
      <c r="N15" s="553" t="s">
        <v>343</v>
      </c>
      <c r="O15" s="449"/>
      <c r="P15" s="449"/>
      <c r="Q15" s="4"/>
      <c r="R15" s="6"/>
      <c r="S15" s="6"/>
      <c r="T15" s="4">
        <v>-35</v>
      </c>
      <c r="U15" s="4"/>
      <c r="V15" s="4"/>
      <c r="W15" s="9">
        <v>1.4</v>
      </c>
      <c r="X15" s="9"/>
      <c r="Y15" s="9"/>
      <c r="Z15" s="9"/>
      <c r="AA15" s="9"/>
      <c r="AB15" s="9"/>
      <c r="AC15" s="449" t="str">
        <f t="shared" si="0"/>
        <v>PHC</v>
      </c>
      <c r="AD15" s="449"/>
      <c r="AE15" s="449"/>
      <c r="AF15" s="4"/>
      <c r="AG15" s="83"/>
      <c r="AH15" s="4"/>
      <c r="AI15" s="4"/>
      <c r="AJ15" s="449"/>
      <c r="AK15" s="449" t="s">
        <v>451</v>
      </c>
      <c r="AL15" s="449"/>
      <c r="AM15" s="449"/>
      <c r="AN15" s="10">
        <v>5.5</v>
      </c>
      <c r="AO15" s="9"/>
      <c r="AP15" s="9"/>
      <c r="AQ15" s="9"/>
      <c r="AR15" s="9"/>
      <c r="AS15" s="9"/>
      <c r="AT15" s="9">
        <f>+ab(-$T$15,$U$13,$T$17,$G$14,$G$16, 1*$F$15,1200)</f>
        <v>3.2579111633465723</v>
      </c>
      <c r="AU15" s="428"/>
      <c r="AV15" s="428"/>
      <c r="AW15" s="449" t="s">
        <v>201</v>
      </c>
      <c r="AX15" s="449" t="s">
        <v>201</v>
      </c>
      <c r="AY15" s="10" t="str">
        <f>IF(L15="","",
IF(AX15="PT",VLOOKUP(L15,Foundation_Calc!$K$79:$R$113,VLOOKUP(AW15,Foundation_Calc!$I$2:$J$8,2,FALSE),0),
IF(AX15="K",VLOOKUP(L15,Foundation_Calc!$K$117:$R$151,VLOOKUP(AW15,Foundation_Calc!$I$2:$J$8,2,FALSE),0),"")))</f>
        <v/>
      </c>
      <c r="AZ15" s="10" t="str">
        <f>IF(K15="","",
IF(AX15="PT",VLOOKUP(K15,Foundation_Calc!$K$79:$R$113,VLOOKUP(AW15,Foundation_Calc!$I$2:$J$8,2,FALSE),0),
IF(AX15="K",VLOOKUP(K15,Foundation_Calc!$K$117:$R$151,VLOOKUP(AW15,Foundation_Calc!$I$2:$J$8,2,FALSE),0),"")))</f>
        <v/>
      </c>
      <c r="BA15" s="495" t="str">
        <f t="shared" si="1"/>
        <v/>
      </c>
      <c r="BB15" s="495" t="str">
        <f t="shared" si="2"/>
        <v/>
      </c>
      <c r="BC15" s="495" t="str">
        <f t="shared" si="3"/>
        <v/>
      </c>
      <c r="BD15" s="513"/>
      <c r="BE15" s="429" t="s">
        <v>118</v>
      </c>
      <c r="BF15" s="289"/>
      <c r="BG15" s="289"/>
      <c r="BH15" s="290"/>
      <c r="BI15" s="289"/>
    </row>
    <row r="16" spans="1:63" ht="16.149999999999999" customHeight="1">
      <c r="A16" s="514"/>
      <c r="B16" s="450"/>
      <c r="C16" s="3"/>
      <c r="D16" s="83"/>
      <c r="E16" s="4"/>
      <c r="F16" s="4"/>
      <c r="G16" s="6">
        <v>22.7</v>
      </c>
      <c r="H16" s="449"/>
      <c r="I16" s="3"/>
      <c r="J16" s="3"/>
      <c r="K16" s="449"/>
      <c r="L16" s="449"/>
      <c r="M16" s="449" t="str">
        <f>IF(L16="","",
IF(AX16="PT",VLOOKUP(L16,Foundation_Calc!$V$79:$X$113,VLOOKUP(AX16,Foundation_Calc!$I$10:$J$13,2,FALSE),0),
IF(AX16="K",VLOOKUP(L16,Foundation_Calc!$V$117:$X$151,VLOOKUP(AX16,Foundation_Calc!$I$10:$J$13,2,FALSE),0),"")))</f>
        <v/>
      </c>
      <c r="N16" s="449"/>
      <c r="O16" s="449"/>
      <c r="P16" s="449"/>
      <c r="Q16" s="4"/>
      <c r="R16" s="6"/>
      <c r="S16" s="6"/>
      <c r="T16" s="4"/>
      <c r="U16" s="4"/>
      <c r="V16" s="4"/>
      <c r="W16" s="9"/>
      <c r="X16" s="9"/>
      <c r="Y16" s="9"/>
      <c r="Z16" s="9"/>
      <c r="AA16" s="9"/>
      <c r="AB16" s="9"/>
      <c r="AC16" s="449" t="str">
        <f t="shared" si="0"/>
        <v/>
      </c>
      <c r="AD16" s="449"/>
      <c r="AE16" s="449"/>
      <c r="AF16" s="4"/>
      <c r="AG16" s="83"/>
      <c r="AH16" s="4"/>
      <c r="AI16" s="4"/>
      <c r="AJ16" s="449"/>
      <c r="AK16" s="449"/>
      <c r="AL16" s="449"/>
      <c r="AM16" s="449"/>
      <c r="AN16" s="10"/>
      <c r="AO16" s="9"/>
      <c r="AP16" s="9"/>
      <c r="AQ16" s="9">
        <f>+FL_2($T$17,-$T$15,$G$16,1200,9.28, 1*$F$17)</f>
        <v>-0.34999999999999992</v>
      </c>
      <c r="AR16" s="9"/>
      <c r="AS16" s="9"/>
      <c r="AT16" s="9"/>
      <c r="AU16" s="428"/>
      <c r="AV16" s="428"/>
      <c r="AW16" s="449" t="str">
        <f>IF(C16&gt;0,VLOOKUP(C16,Foundation_Calc!$A$2:$C$13,3,1),
IF(J16&gt;0,VLOOKUP(J16,Foundation_Calc!$A$2:$C$13,3,1),""))</f>
        <v/>
      </c>
      <c r="AX16" s="449"/>
      <c r="AY16" s="10" t="str">
        <f>IF(L16="","",
IF(AX16="PT",VLOOKUP(L16,Foundation_Calc!$K$79:$R$113,VLOOKUP(AW16,Foundation_Calc!$I$2:$J$8,2,FALSE),0),
IF(AX16="K",VLOOKUP(L16,Foundation_Calc!$K$117:$R$151,VLOOKUP(AW16,Foundation_Calc!$I$2:$J$8,2,FALSE),0),"")))</f>
        <v/>
      </c>
      <c r="AZ16" s="10" t="str">
        <f>IF(K16="","",
IF(AX16="PT",VLOOKUP(K16,Foundation_Calc!$K$79:$R$113,VLOOKUP(AW16,Foundation_Calc!$I$2:$J$8,2,FALSE),0),
IF(AX16="K",VLOOKUP(K16,Foundation_Calc!$K$117:$R$151,VLOOKUP(AW16,Foundation_Calc!$I$2:$J$8,2,FALSE),0),"")))</f>
        <v/>
      </c>
      <c r="BA16" s="495" t="str">
        <f t="shared" si="1"/>
        <v/>
      </c>
      <c r="BB16" s="495" t="str">
        <f t="shared" si="2"/>
        <v/>
      </c>
      <c r="BC16" s="495" t="str">
        <f t="shared" si="3"/>
        <v/>
      </c>
      <c r="BD16" s="513"/>
      <c r="BE16" s="429" t="s">
        <v>118</v>
      </c>
      <c r="BF16" s="290"/>
      <c r="BG16" s="290"/>
      <c r="BH16" s="290"/>
      <c r="BI16" s="290"/>
    </row>
    <row r="17" spans="1:61" ht="16.149999999999999" customHeight="1">
      <c r="A17" s="514"/>
      <c r="B17" s="450" t="s">
        <v>1618</v>
      </c>
      <c r="C17" s="3">
        <f>+$C$15+$G$16</f>
        <v>34138.35</v>
      </c>
      <c r="D17" s="83"/>
      <c r="E17" s="4"/>
      <c r="F17" s="4">
        <v>0</v>
      </c>
      <c r="G17" s="6"/>
      <c r="H17" s="449"/>
      <c r="I17" s="449"/>
      <c r="J17" s="3"/>
      <c r="K17" s="449"/>
      <c r="L17" s="449" t="s">
        <v>201</v>
      </c>
      <c r="M17" s="449" t="str">
        <f>IF(L17="","",
IF(AX17="PT",VLOOKUP(L17,Foundation_Calc!$V$79:$X$113,VLOOKUP(AX17,Foundation_Calc!$I$10:$J$13,2,FALSE),0),
IF(AX17="K",VLOOKUP(L17,Foundation_Calc!$V$117:$X$151,VLOOKUP(AX17,Foundation_Calc!$I$10:$J$13,2,FALSE),0),"")))</f>
        <v/>
      </c>
      <c r="N17" s="449" t="s">
        <v>343</v>
      </c>
      <c r="O17" s="449"/>
      <c r="P17" s="449"/>
      <c r="Q17" s="4"/>
      <c r="R17" s="6"/>
      <c r="S17" s="6"/>
      <c r="T17" s="4">
        <v>-35</v>
      </c>
      <c r="U17" s="4"/>
      <c r="V17" s="4"/>
      <c r="W17" s="9">
        <v>1.4</v>
      </c>
      <c r="X17" s="9"/>
      <c r="Y17" s="9"/>
      <c r="Z17" s="9"/>
      <c r="AA17" s="9"/>
      <c r="AB17" s="9"/>
      <c r="AC17" s="449" t="str">
        <f t="shared" si="0"/>
        <v>PHC</v>
      </c>
      <c r="AD17" s="449"/>
      <c r="AE17" s="449"/>
      <c r="AF17" s="4"/>
      <c r="AG17" s="83"/>
      <c r="AH17" s="4"/>
      <c r="AI17" s="4"/>
      <c r="AJ17" s="449"/>
      <c r="AK17" s="449" t="s">
        <v>451</v>
      </c>
      <c r="AL17" s="449"/>
      <c r="AM17" s="449"/>
      <c r="AN17" s="10">
        <v>5.5</v>
      </c>
      <c r="AO17" s="9"/>
      <c r="AP17" s="9"/>
      <c r="AQ17" s="9"/>
      <c r="AR17" s="9"/>
      <c r="AS17" s="9"/>
      <c r="AT17" s="9">
        <f>+ab($T$17,-$T$15,$T$19,$G$16,$G$18, 1*$F$17,1200)</f>
        <v>-3.3766849743078033</v>
      </c>
      <c r="AU17" s="428"/>
      <c r="AV17" s="428"/>
      <c r="AW17" s="449" t="s">
        <v>201</v>
      </c>
      <c r="AX17" s="449" t="s">
        <v>201</v>
      </c>
      <c r="AY17" s="10" t="str">
        <f>IF(L17="","",
IF(AX17="PT",VLOOKUP(L17,Foundation_Calc!$K$79:$R$113,VLOOKUP(AW17,Foundation_Calc!$I$2:$J$8,2,FALSE),0),
IF(AX17="K",VLOOKUP(L17,Foundation_Calc!$K$117:$R$151,VLOOKUP(AW17,Foundation_Calc!$I$2:$J$8,2,FALSE),0),"")))</f>
        <v/>
      </c>
      <c r="AZ17" s="10" t="str">
        <f>IF(K17="","",
IF(AX17="PT",VLOOKUP(K17,Foundation_Calc!$K$79:$R$113,VLOOKUP(AW17,Foundation_Calc!$I$2:$J$8,2,FALSE),0),
IF(AX17="K",VLOOKUP(K17,Foundation_Calc!$K$117:$R$151,VLOOKUP(AW17,Foundation_Calc!$I$2:$J$8,2,FALSE),0),"")))</f>
        <v/>
      </c>
      <c r="BA17" s="495" t="str">
        <f t="shared" si="1"/>
        <v/>
      </c>
      <c r="BB17" s="495" t="str">
        <f t="shared" si="2"/>
        <v/>
      </c>
      <c r="BC17" s="495" t="str">
        <f t="shared" si="3"/>
        <v/>
      </c>
      <c r="BD17" s="513"/>
      <c r="BE17" s="429" t="s">
        <v>118</v>
      </c>
      <c r="BF17" s="289"/>
      <c r="BG17" s="289"/>
      <c r="BH17" s="290"/>
      <c r="BI17" s="289"/>
    </row>
    <row r="18" spans="1:61" ht="16.149999999999999" customHeight="1">
      <c r="A18" s="514"/>
      <c r="B18" s="450"/>
      <c r="C18" s="3"/>
      <c r="D18" s="83"/>
      <c r="E18" s="4"/>
      <c r="F18" s="4"/>
      <c r="G18" s="6">
        <v>27</v>
      </c>
      <c r="H18" s="449"/>
      <c r="I18" s="3"/>
      <c r="J18" s="3"/>
      <c r="K18" s="449"/>
      <c r="L18" s="449"/>
      <c r="M18" s="449" t="str">
        <f>IF(L18="","",
IF(AX18="PT",VLOOKUP(L18,Foundation_Calc!$V$79:$X$113,VLOOKUP(AX18,Foundation_Calc!$I$10:$J$13,2,FALSE),0),
IF(AX18="K",VLOOKUP(L18,Foundation_Calc!$V$117:$X$151,VLOOKUP(AX18,Foundation_Calc!$I$10:$J$13,2,FALSE),0),"")))</f>
        <v/>
      </c>
      <c r="N18" s="449"/>
      <c r="O18" s="449"/>
      <c r="P18" s="449"/>
      <c r="Q18" s="4"/>
      <c r="R18" s="6"/>
      <c r="S18" s="6"/>
      <c r="T18" s="4"/>
      <c r="U18" s="4"/>
      <c r="V18" s="4"/>
      <c r="W18" s="9"/>
      <c r="X18" s="9"/>
      <c r="Y18" s="9"/>
      <c r="Z18" s="9"/>
      <c r="AA18" s="9"/>
      <c r="AB18" s="9"/>
      <c r="AC18" s="449" t="str">
        <f t="shared" si="0"/>
        <v/>
      </c>
      <c r="AD18" s="449"/>
      <c r="AE18" s="449"/>
      <c r="AF18" s="4"/>
      <c r="AG18" s="83"/>
      <c r="AH18" s="4"/>
      <c r="AI18" s="4"/>
      <c r="AJ18" s="449"/>
      <c r="AK18" s="449"/>
      <c r="AL18" s="449"/>
      <c r="AM18" s="449"/>
      <c r="AN18" s="10"/>
      <c r="AO18" s="9"/>
      <c r="AP18" s="9"/>
      <c r="AQ18" s="9">
        <f>+FL_2($T$19,$T$17,$G$18,1200,9.28, 1*$F$19)</f>
        <v>-0.3500000000000219</v>
      </c>
      <c r="AR18" s="9"/>
      <c r="AS18" s="9"/>
      <c r="AT18" s="9"/>
      <c r="AU18" s="428"/>
      <c r="AV18" s="428"/>
      <c r="AW18" s="449" t="str">
        <f>IF(C18&gt;0,VLOOKUP(C18,Foundation_Calc!$A$2:$C$13,3,1),
IF(J18&gt;0,VLOOKUP(J18,Foundation_Calc!$A$2:$C$13,3,1),""))</f>
        <v/>
      </c>
      <c r="AX18" s="449"/>
      <c r="AY18" s="10" t="str">
        <f>IF(L18="","",
IF(AX18="PT",VLOOKUP(L18,Foundation_Calc!$K$79:$R$113,VLOOKUP(AW18,Foundation_Calc!$I$2:$J$8,2,FALSE),0),
IF(AX18="K",VLOOKUP(L18,Foundation_Calc!$K$117:$R$151,VLOOKUP(AW18,Foundation_Calc!$I$2:$J$8,2,FALSE),0),"")))</f>
        <v/>
      </c>
      <c r="AZ18" s="10" t="str">
        <f>IF(K18="","",
IF(AX18="PT",VLOOKUP(K18,Foundation_Calc!$K$79:$R$113,VLOOKUP(AW18,Foundation_Calc!$I$2:$J$8,2,FALSE),0),
IF(AX18="K",VLOOKUP(K18,Foundation_Calc!$K$117:$R$151,VLOOKUP(AW18,Foundation_Calc!$I$2:$J$8,2,FALSE),0),"")))</f>
        <v/>
      </c>
      <c r="BA18" s="495" t="str">
        <f t="shared" ref="BA18:BA28" si="4">IF(AY18="","",IF(AY18&gt;0,"ü",""))</f>
        <v/>
      </c>
      <c r="BB18" s="495" t="str">
        <f t="shared" ref="BB18:BB28" si="5">IF(AZ18="","",IF(AZ18&gt;0,"ü",""))</f>
        <v/>
      </c>
      <c r="BC18" s="495" t="str">
        <f t="shared" ref="BC18:BC28" si="6">IF(M18="","",IF(M18="U.S.","ü",IF(M18="U.S. N.D.","ü","")))</f>
        <v/>
      </c>
      <c r="BD18" s="513"/>
      <c r="BE18" s="429" t="s">
        <v>118</v>
      </c>
      <c r="BF18" s="290"/>
      <c r="BG18" s="290"/>
      <c r="BH18" s="290"/>
      <c r="BI18" s="290"/>
    </row>
    <row r="19" spans="1:61" ht="16.149999999999999" customHeight="1">
      <c r="A19" s="514"/>
      <c r="B19" s="450" t="s">
        <v>1619</v>
      </c>
      <c r="C19" s="3">
        <f>+$C$17+$G$18</f>
        <v>34165.35</v>
      </c>
      <c r="D19" s="83"/>
      <c r="E19" s="4"/>
      <c r="F19" s="4">
        <v>0</v>
      </c>
      <c r="G19" s="6"/>
      <c r="H19" s="449"/>
      <c r="I19" s="449"/>
      <c r="J19" s="3"/>
      <c r="K19" s="449"/>
      <c r="L19" s="449" t="s">
        <v>201</v>
      </c>
      <c r="M19" s="449" t="str">
        <f>IF(L19="","",
IF(AX19="PT",VLOOKUP(L19,Foundation_Calc!$V$79:$X$113,VLOOKUP(AX19,Foundation_Calc!$I$10:$J$13,2,FALSE),0),
IF(AX19="K",VLOOKUP(L19,Foundation_Calc!$V$117:$X$151,VLOOKUP(AX19,Foundation_Calc!$I$10:$J$13,2,FALSE),0),"")))</f>
        <v/>
      </c>
      <c r="N19" s="449" t="s">
        <v>453</v>
      </c>
      <c r="O19" s="449"/>
      <c r="P19" s="449"/>
      <c r="Q19" s="4"/>
      <c r="R19" s="6"/>
      <c r="S19" s="6"/>
      <c r="T19" s="4">
        <v>35</v>
      </c>
      <c r="U19" s="4"/>
      <c r="V19" s="4"/>
      <c r="W19" s="9">
        <v>1.4</v>
      </c>
      <c r="X19" s="9"/>
      <c r="Y19" s="9"/>
      <c r="Z19" s="9"/>
      <c r="AA19" s="9"/>
      <c r="AB19" s="9"/>
      <c r="AC19" s="449" t="str">
        <f t="shared" si="0"/>
        <v>PHC</v>
      </c>
      <c r="AD19" s="449"/>
      <c r="AE19" s="449"/>
      <c r="AF19" s="4"/>
      <c r="AG19" s="83"/>
      <c r="AH19" s="4"/>
      <c r="AI19" s="4"/>
      <c r="AJ19" s="449"/>
      <c r="AK19" s="449" t="s">
        <v>451</v>
      </c>
      <c r="AL19" s="449"/>
      <c r="AM19" s="449"/>
      <c r="AN19" s="10">
        <v>5.5</v>
      </c>
      <c r="AO19" s="9"/>
      <c r="AP19" s="9"/>
      <c r="AQ19" s="9"/>
      <c r="AR19" s="9"/>
      <c r="AS19" s="9"/>
      <c r="AT19" s="9">
        <f>+ab($T$19,$T$17,$T$21,$G$18,$G$20, 1*$F$19,1200)</f>
        <v>3.8895770490699246</v>
      </c>
      <c r="AU19" s="428"/>
      <c r="AV19" s="428"/>
      <c r="AW19" s="449" t="s">
        <v>201</v>
      </c>
      <c r="AX19" s="449" t="s">
        <v>201</v>
      </c>
      <c r="AY19" s="10" t="str">
        <f>IF(L19="","",
IF(AX19="PT",VLOOKUP(L19,Foundation_Calc!$K$79:$R$113,VLOOKUP(AW19,Foundation_Calc!$I$2:$J$8,2,FALSE),0),
IF(AX19="K",VLOOKUP(L19,Foundation_Calc!$K$117:$R$151,VLOOKUP(AW19,Foundation_Calc!$I$2:$J$8,2,FALSE),0),"")))</f>
        <v/>
      </c>
      <c r="AZ19" s="10" t="str">
        <f>IF(K19="","",
IF(AX19="PT",VLOOKUP(K19,Foundation_Calc!$K$79:$R$113,VLOOKUP(AW19,Foundation_Calc!$I$2:$J$8,2,FALSE),0),
IF(AX19="K",VLOOKUP(K19,Foundation_Calc!$K$117:$R$151,VLOOKUP(AW19,Foundation_Calc!$I$2:$J$8,2,FALSE),0),"")))</f>
        <v/>
      </c>
      <c r="BA19" s="495" t="str">
        <f t="shared" si="4"/>
        <v/>
      </c>
      <c r="BB19" s="495" t="str">
        <f t="shared" si="5"/>
        <v/>
      </c>
      <c r="BC19" s="495" t="str">
        <f t="shared" si="6"/>
        <v/>
      </c>
      <c r="BD19" s="513"/>
      <c r="BE19" s="429" t="s">
        <v>118</v>
      </c>
      <c r="BF19" s="289"/>
      <c r="BG19" s="289"/>
      <c r="BH19" s="290"/>
      <c r="BI19" s="289"/>
    </row>
    <row r="20" spans="1:61" ht="16.149999999999999" customHeight="1">
      <c r="A20" s="517"/>
      <c r="B20" s="450"/>
      <c r="C20" s="3"/>
      <c r="D20" s="83"/>
      <c r="E20" s="4"/>
      <c r="F20" s="4"/>
      <c r="G20" s="6">
        <v>30</v>
      </c>
      <c r="H20" s="449"/>
      <c r="I20" s="449"/>
      <c r="J20" s="3"/>
      <c r="K20" s="449"/>
      <c r="L20" s="449"/>
      <c r="M20" s="449" t="str">
        <f>IF(L20="","",
IF(AX20="PT",VLOOKUP(L20,Foundation_Calc!$V$79:$X$113,VLOOKUP(AX20,Foundation_Calc!$I$10:$J$13,2,FALSE),0),
IF(AX20="K",VLOOKUP(L20,Foundation_Calc!$V$117:$X$151,VLOOKUP(AX20,Foundation_Calc!$I$10:$J$13,2,FALSE),0),"")))</f>
        <v/>
      </c>
      <c r="N20" s="449"/>
      <c r="O20" s="449"/>
      <c r="P20" s="449"/>
      <c r="Q20" s="4"/>
      <c r="R20" s="6"/>
      <c r="S20" s="6"/>
      <c r="T20" s="4"/>
      <c r="U20" s="4"/>
      <c r="V20" s="4"/>
      <c r="W20" s="9"/>
      <c r="X20" s="9"/>
      <c r="Y20" s="9"/>
      <c r="Z20" s="9"/>
      <c r="AA20" s="9"/>
      <c r="AB20" s="9"/>
      <c r="AC20" s="449" t="str">
        <f t="shared" si="0"/>
        <v/>
      </c>
      <c r="AD20" s="449"/>
      <c r="AE20" s="449"/>
      <c r="AF20" s="4"/>
      <c r="AG20" s="83"/>
      <c r="AH20" s="4"/>
      <c r="AI20" s="4"/>
      <c r="AJ20" s="449"/>
      <c r="AK20" s="449"/>
      <c r="AL20" s="449"/>
      <c r="AM20" s="449"/>
      <c r="AN20" s="10"/>
      <c r="AO20" s="9"/>
      <c r="AP20" s="9"/>
      <c r="AQ20" s="9">
        <f>+FL_1($T$21,$T$19,$G$20,1200,9.28, 1*$F$21)</f>
        <v>0.35000000000002224</v>
      </c>
      <c r="AR20" s="9"/>
      <c r="AS20" s="9"/>
      <c r="AT20" s="9"/>
      <c r="AU20" s="428"/>
      <c r="AV20" s="428"/>
      <c r="AW20" s="449" t="str">
        <f>IF(C20&gt;0,VLOOKUP(C20,Foundation_Calc!$A$2:$C$13,3,1),
IF(J20&gt;0,VLOOKUP(J20,Foundation_Calc!$A$2:$C$13,3,1),""))</f>
        <v/>
      </c>
      <c r="AX20" s="449"/>
      <c r="AY20" s="10" t="str">
        <f>IF(L20="","",
IF(AX20="PT",VLOOKUP(L20,Foundation_Calc!$K$79:$R$113,VLOOKUP(AW20,Foundation_Calc!$I$2:$J$8,2,FALSE),0),
IF(AX20="K",VLOOKUP(L20,Foundation_Calc!$K$117:$R$151,VLOOKUP(AW20,Foundation_Calc!$I$2:$J$8,2,FALSE),0),"")))</f>
        <v/>
      </c>
      <c r="AZ20" s="10" t="str">
        <f>IF(K20="","",
IF(AX20="PT",VLOOKUP(K20,Foundation_Calc!$K$79:$R$113,VLOOKUP(AW20,Foundation_Calc!$I$2:$J$8,2,FALSE),0),
IF(AX20="K",VLOOKUP(K20,Foundation_Calc!$K$117:$R$151,VLOOKUP(AW20,Foundation_Calc!$I$2:$J$8,2,FALSE),0),"")))</f>
        <v/>
      </c>
      <c r="BA20" s="495" t="str">
        <f t="shared" si="4"/>
        <v/>
      </c>
      <c r="BB20" s="495" t="str">
        <f t="shared" si="5"/>
        <v/>
      </c>
      <c r="BC20" s="495" t="str">
        <f t="shared" si="6"/>
        <v/>
      </c>
      <c r="BD20" s="513"/>
      <c r="BE20" s="429" t="s">
        <v>118</v>
      </c>
      <c r="BF20" s="290"/>
      <c r="BG20" s="290"/>
      <c r="BH20" s="290"/>
      <c r="BI20" s="290"/>
    </row>
    <row r="21" spans="1:61" ht="16.149999999999999" customHeight="1">
      <c r="A21" s="517"/>
      <c r="B21" s="450" t="s">
        <v>1620</v>
      </c>
      <c r="C21" s="3">
        <f>+$C$19+$G$20</f>
        <v>34195.35</v>
      </c>
      <c r="D21" s="83"/>
      <c r="E21" s="4"/>
      <c r="F21" s="4">
        <v>0</v>
      </c>
      <c r="G21" s="6"/>
      <c r="H21" s="449"/>
      <c r="I21" s="449"/>
      <c r="J21" s="3"/>
      <c r="K21" s="449"/>
      <c r="L21" s="449" t="s">
        <v>201</v>
      </c>
      <c r="M21" s="449" t="str">
        <f>IF(L21="","",
IF(AX21="PT",VLOOKUP(L21,Foundation_Calc!$V$79:$X$113,VLOOKUP(AX21,Foundation_Calc!$I$10:$J$13,2,FALSE),0),
IF(AX21="K",VLOOKUP(L21,Foundation_Calc!$V$117:$X$151,VLOOKUP(AX21,Foundation_Calc!$I$10:$J$13,2,FALSE),0),"")))</f>
        <v/>
      </c>
      <c r="N21" s="449" t="s">
        <v>343</v>
      </c>
      <c r="O21" s="449"/>
      <c r="P21" s="449"/>
      <c r="Q21" s="4"/>
      <c r="R21" s="6"/>
      <c r="S21" s="6"/>
      <c r="T21" s="4">
        <v>-35</v>
      </c>
      <c r="U21" s="4"/>
      <c r="V21" s="4"/>
      <c r="W21" s="9">
        <v>1.4</v>
      </c>
      <c r="X21" s="9"/>
      <c r="Y21" s="9"/>
      <c r="Z21" s="9"/>
      <c r="AA21" s="9"/>
      <c r="AB21" s="9"/>
      <c r="AC21" s="449" t="str">
        <f t="shared" si="0"/>
        <v>PHC</v>
      </c>
      <c r="AD21" s="449"/>
      <c r="AE21" s="449"/>
      <c r="AF21" s="4"/>
      <c r="AG21" s="83"/>
      <c r="AH21" s="4"/>
      <c r="AI21" s="4"/>
      <c r="AJ21" s="449"/>
      <c r="AK21" s="449" t="s">
        <v>451</v>
      </c>
      <c r="AL21" s="449"/>
      <c r="AM21" s="449"/>
      <c r="AN21" s="10">
        <v>5.5</v>
      </c>
      <c r="AO21" s="9"/>
      <c r="AP21" s="9"/>
      <c r="AQ21" s="9"/>
      <c r="AR21" s="9"/>
      <c r="AS21" s="9"/>
      <c r="AT21" s="9">
        <f>+ab($T$21,$T$19,$T$23,$G$20,$G$22, 1*$F$21,1200)</f>
        <v>-4.4195095886841269</v>
      </c>
      <c r="AU21" s="428"/>
      <c r="AV21" s="428"/>
      <c r="AW21" s="449" t="s">
        <v>201</v>
      </c>
      <c r="AX21" s="449" t="s">
        <v>201</v>
      </c>
      <c r="AY21" s="10" t="str">
        <f>IF(L21="","",
IF(AX21="PT",VLOOKUP(L21,Foundation_Calc!$K$79:$R$113,VLOOKUP(AW21,Foundation_Calc!$I$2:$J$8,2,FALSE),0),
IF(AX21="K",VLOOKUP(L21,Foundation_Calc!$K$117:$R$151,VLOOKUP(AW21,Foundation_Calc!$I$2:$J$8,2,FALSE),0),"")))</f>
        <v/>
      </c>
      <c r="AZ21" s="10" t="str">
        <f>IF(K21="","",
IF(AX21="PT",VLOOKUP(K21,Foundation_Calc!$K$79:$R$113,VLOOKUP(AW21,Foundation_Calc!$I$2:$J$8,2,FALSE),0),
IF(AX21="K",VLOOKUP(K21,Foundation_Calc!$K$117:$R$151,VLOOKUP(AW21,Foundation_Calc!$I$2:$J$8,2,FALSE),0),"")))</f>
        <v/>
      </c>
      <c r="BA21" s="495" t="str">
        <f t="shared" si="4"/>
        <v/>
      </c>
      <c r="BB21" s="495" t="str">
        <f t="shared" si="5"/>
        <v/>
      </c>
      <c r="BC21" s="495" t="str">
        <f t="shared" si="6"/>
        <v/>
      </c>
      <c r="BD21" s="513"/>
      <c r="BE21" s="429" t="s">
        <v>118</v>
      </c>
      <c r="BF21" s="289"/>
      <c r="BG21" s="289"/>
      <c r="BH21" s="290"/>
      <c r="BI21" s="289"/>
    </row>
    <row r="22" spans="1:61" ht="16.149999999999999" customHeight="1">
      <c r="A22" s="517"/>
      <c r="B22" s="450"/>
      <c r="C22" s="3"/>
      <c r="D22" s="83"/>
      <c r="E22" s="4"/>
      <c r="F22" s="4"/>
      <c r="G22" s="6">
        <v>35</v>
      </c>
      <c r="H22" s="449"/>
      <c r="I22" s="449"/>
      <c r="J22" s="3"/>
      <c r="K22" s="449"/>
      <c r="L22" s="449"/>
      <c r="M22" s="449" t="str">
        <f>IF(L22="","",
IF(AX22="PT",VLOOKUP(L22,Foundation_Calc!$V$79:$X$113,VLOOKUP(AX22,Foundation_Calc!$I$10:$J$13,2,FALSE),0),
IF(AX22="K",VLOOKUP(L22,Foundation_Calc!$V$117:$X$151,VLOOKUP(AX22,Foundation_Calc!$I$10:$J$13,2,FALSE),0),"")))</f>
        <v/>
      </c>
      <c r="N22" s="449"/>
      <c r="O22" s="449"/>
      <c r="P22" s="449"/>
      <c r="Q22" s="4"/>
      <c r="R22" s="6"/>
      <c r="S22" s="6"/>
      <c r="T22" s="4"/>
      <c r="U22" s="4"/>
      <c r="V22" s="4"/>
      <c r="W22" s="9"/>
      <c r="X22" s="9"/>
      <c r="Y22" s="9"/>
      <c r="Z22" s="9"/>
      <c r="AA22" s="9"/>
      <c r="AB22" s="9"/>
      <c r="AC22" s="449" t="str">
        <f t="shared" si="0"/>
        <v/>
      </c>
      <c r="AD22" s="449"/>
      <c r="AE22" s="449"/>
      <c r="AF22" s="4"/>
      <c r="AG22" s="83"/>
      <c r="AH22" s="4"/>
      <c r="AI22" s="4"/>
      <c r="AJ22" s="449"/>
      <c r="AK22" s="449"/>
      <c r="AL22" s="449"/>
      <c r="AM22" s="449"/>
      <c r="AN22" s="10"/>
      <c r="AO22" s="9"/>
      <c r="AP22" s="9"/>
      <c r="AQ22" s="9">
        <f>+FL_2($T$23,$T$21,$G$22,1200,9.28, 1*$F$23)</f>
        <v>-0.35000000000001025</v>
      </c>
      <c r="AR22" s="9"/>
      <c r="AS22" s="9"/>
      <c r="AT22" s="9"/>
      <c r="AU22" s="428"/>
      <c r="AV22" s="428"/>
      <c r="AW22" s="449" t="str">
        <f>IF(C22&gt;0,VLOOKUP(C22,Foundation_Calc!$A$2:$C$13,3,1),
IF(J22&gt;0,VLOOKUP(J22,Foundation_Calc!$A$2:$C$13,3,1),""))</f>
        <v/>
      </c>
      <c r="AX22" s="449"/>
      <c r="AY22" s="10" t="str">
        <f>IF(L22="","",
IF(AX22="PT",VLOOKUP(L22,Foundation_Calc!$K$79:$R$113,VLOOKUP(AW22,Foundation_Calc!$I$2:$J$8,2,FALSE),0),
IF(AX22="K",VLOOKUP(L22,Foundation_Calc!$K$117:$R$151,VLOOKUP(AW22,Foundation_Calc!$I$2:$J$8,2,FALSE),0),"")))</f>
        <v/>
      </c>
      <c r="AZ22" s="10" t="str">
        <f>IF(K22="","",
IF(AX22="PT",VLOOKUP(K22,Foundation_Calc!$K$79:$R$113,VLOOKUP(AW22,Foundation_Calc!$I$2:$J$8,2,FALSE),0),
IF(AX22="K",VLOOKUP(K22,Foundation_Calc!$K$117:$R$151,VLOOKUP(AW22,Foundation_Calc!$I$2:$J$8,2,FALSE),0),"")))</f>
        <v/>
      </c>
      <c r="BA22" s="495" t="str">
        <f t="shared" si="4"/>
        <v/>
      </c>
      <c r="BB22" s="495" t="str">
        <f t="shared" si="5"/>
        <v/>
      </c>
      <c r="BC22" s="495" t="str">
        <f t="shared" si="6"/>
        <v/>
      </c>
      <c r="BD22" s="513"/>
      <c r="BE22" s="429" t="s">
        <v>118</v>
      </c>
      <c r="BF22" s="290"/>
      <c r="BG22" s="290"/>
      <c r="BH22" s="290"/>
      <c r="BI22" s="290"/>
    </row>
    <row r="23" spans="1:61" ht="16.149999999999999" customHeight="1">
      <c r="A23" s="518"/>
      <c r="B23" s="450" t="s">
        <v>1621</v>
      </c>
      <c r="C23" s="3">
        <f>+$C$21+$G$22</f>
        <v>34230.35</v>
      </c>
      <c r="D23" s="83"/>
      <c r="E23" s="4"/>
      <c r="F23" s="4">
        <v>0</v>
      </c>
      <c r="G23" s="6"/>
      <c r="H23" s="449"/>
      <c r="I23" s="449"/>
      <c r="J23" s="3"/>
      <c r="K23" s="449"/>
      <c r="L23" s="449" t="s">
        <v>201</v>
      </c>
      <c r="M23" s="449" t="str">
        <f>IF(L23="","",
IF(AX23="PT",VLOOKUP(L23,Foundation_Calc!$V$79:$X$113,VLOOKUP(AX23,Foundation_Calc!$I$10:$J$13,2,FALSE),0),
IF(AX23="K",VLOOKUP(L23,Foundation_Calc!$V$117:$X$151,VLOOKUP(AX23,Foundation_Calc!$I$10:$J$13,2,FALSE),0),"")))</f>
        <v/>
      </c>
      <c r="N23" s="449" t="s">
        <v>453</v>
      </c>
      <c r="O23" s="449"/>
      <c r="P23" s="449"/>
      <c r="Q23" s="4"/>
      <c r="R23" s="6"/>
      <c r="S23" s="6"/>
      <c r="T23" s="4">
        <v>35</v>
      </c>
      <c r="U23" s="4"/>
      <c r="V23" s="4"/>
      <c r="W23" s="9">
        <v>1.4</v>
      </c>
      <c r="X23" s="9"/>
      <c r="Y23" s="9"/>
      <c r="Z23" s="9"/>
      <c r="AA23" s="9"/>
      <c r="AB23" s="9"/>
      <c r="AC23" s="449" t="str">
        <f t="shared" si="0"/>
        <v>PHC</v>
      </c>
      <c r="AD23" s="449"/>
      <c r="AE23" s="449"/>
      <c r="AF23" s="4"/>
      <c r="AG23" s="83"/>
      <c r="AH23" s="4"/>
      <c r="AI23" s="4"/>
      <c r="AJ23" s="449"/>
      <c r="AK23" s="449" t="s">
        <v>451</v>
      </c>
      <c r="AL23" s="449"/>
      <c r="AM23" s="449"/>
      <c r="AN23" s="10">
        <v>5.5</v>
      </c>
      <c r="AO23" s="9"/>
      <c r="AP23" s="9"/>
      <c r="AQ23" s="9"/>
      <c r="AR23" s="9"/>
      <c r="AS23" s="9"/>
      <c r="AT23" s="9">
        <f>+ab($T$23,$T$21,$T$25,$G$22,$G$24, 1*$F$23,1200)</f>
        <v>4.7861487597277215</v>
      </c>
      <c r="AU23" s="428"/>
      <c r="AV23" s="428"/>
      <c r="AW23" s="449" t="s">
        <v>201</v>
      </c>
      <c r="AX23" s="449" t="s">
        <v>201</v>
      </c>
      <c r="AY23" s="10" t="str">
        <f>IF(L23="","",
IF(AX23="PT",VLOOKUP(L23,Foundation_Calc!$K$79:$R$113,VLOOKUP(AW23,Foundation_Calc!$I$2:$J$8,2,FALSE),0),
IF(AX23="K",VLOOKUP(L23,Foundation_Calc!$K$117:$R$151,VLOOKUP(AW23,Foundation_Calc!$I$2:$J$8,2,FALSE),0),"")))</f>
        <v/>
      </c>
      <c r="AZ23" s="10" t="str">
        <f>IF(K23="","",
IF(AX23="PT",VLOOKUP(K23,Foundation_Calc!$K$79:$R$113,VLOOKUP(AW23,Foundation_Calc!$I$2:$J$8,2,FALSE),0),
IF(AX23="K",VLOOKUP(K23,Foundation_Calc!$K$117:$R$151,VLOOKUP(AW23,Foundation_Calc!$I$2:$J$8,2,FALSE),0),"")))</f>
        <v/>
      </c>
      <c r="BA23" s="495" t="str">
        <f t="shared" si="4"/>
        <v/>
      </c>
      <c r="BB23" s="495" t="str">
        <f t="shared" si="5"/>
        <v/>
      </c>
      <c r="BC23" s="495" t="str">
        <f t="shared" si="6"/>
        <v/>
      </c>
      <c r="BD23" s="513"/>
      <c r="BE23" s="429" t="s">
        <v>118</v>
      </c>
      <c r="BF23" s="289"/>
      <c r="BG23" s="289"/>
      <c r="BH23" s="290"/>
      <c r="BI23" s="289"/>
    </row>
    <row r="24" spans="1:61" ht="16.149999999999999" customHeight="1">
      <c r="A24" s="514"/>
      <c r="B24" s="450"/>
      <c r="C24" s="3"/>
      <c r="D24" s="83"/>
      <c r="E24" s="4"/>
      <c r="F24" s="4"/>
      <c r="G24" s="6">
        <v>35</v>
      </c>
      <c r="H24" s="449"/>
      <c r="I24" s="449"/>
      <c r="J24" s="3"/>
      <c r="K24" s="449"/>
      <c r="L24" s="449"/>
      <c r="M24" s="449" t="str">
        <f>IF(L24="","",
IF(AX24="PT",VLOOKUP(L24,Foundation_Calc!$V$79:$X$113,VLOOKUP(AX24,Foundation_Calc!$I$10:$J$13,2,FALSE),0),
IF(AX24="K",VLOOKUP(L24,Foundation_Calc!$V$117:$X$151,VLOOKUP(AX24,Foundation_Calc!$I$10:$J$13,2,FALSE),0),"")))</f>
        <v/>
      </c>
      <c r="N24" s="449"/>
      <c r="O24" s="449"/>
      <c r="P24" s="449"/>
      <c r="Q24" s="4"/>
      <c r="R24" s="6"/>
      <c r="S24" s="6"/>
      <c r="T24" s="4"/>
      <c r="U24" s="4"/>
      <c r="V24" s="4"/>
      <c r="W24" s="9"/>
      <c r="X24" s="9"/>
      <c r="Y24" s="9"/>
      <c r="Z24" s="9"/>
      <c r="AA24" s="9"/>
      <c r="AB24" s="9"/>
      <c r="AC24" s="449" t="str">
        <f t="shared" si="0"/>
        <v/>
      </c>
      <c r="AD24" s="449"/>
      <c r="AE24" s="449"/>
      <c r="AF24" s="4"/>
      <c r="AG24" s="83"/>
      <c r="AH24" s="4"/>
      <c r="AI24" s="4"/>
      <c r="AJ24" s="449"/>
      <c r="AK24" s="449"/>
      <c r="AL24" s="449"/>
      <c r="AM24" s="449"/>
      <c r="AN24" s="10"/>
      <c r="AO24" s="9"/>
      <c r="AP24" s="9"/>
      <c r="AQ24" s="9">
        <f>+FL_1($T$25,$T$23,$G$24,1200,9.28, 1*$F$25)</f>
        <v>0.35000000000001025</v>
      </c>
      <c r="AR24" s="9"/>
      <c r="AS24" s="9"/>
      <c r="AT24" s="9"/>
      <c r="AU24" s="428"/>
      <c r="AV24" s="428"/>
      <c r="AW24" s="449" t="str">
        <f>IF(C24&gt;0,VLOOKUP(C24,Foundation_Calc!$A$2:$C$13,3,1),
IF(J24&gt;0,VLOOKUP(J24,Foundation_Calc!$A$2:$C$13,3,1),""))</f>
        <v/>
      </c>
      <c r="AX24" s="449"/>
      <c r="AY24" s="10" t="str">
        <f>IF(L24="","",
IF(AX24="PT",VLOOKUP(L24,Foundation_Calc!$K$79:$R$113,VLOOKUP(AW24,Foundation_Calc!$I$2:$J$8,2,FALSE),0),
IF(AX24="K",VLOOKUP(L24,Foundation_Calc!$K$117:$R$151,VLOOKUP(AW24,Foundation_Calc!$I$2:$J$8,2,FALSE),0),"")))</f>
        <v/>
      </c>
      <c r="AZ24" s="10" t="str">
        <f>IF(K24="","",
IF(AX24="PT",VLOOKUP(K24,Foundation_Calc!$K$79:$R$113,VLOOKUP(AW24,Foundation_Calc!$I$2:$J$8,2,FALSE),0),
IF(AX24="K",VLOOKUP(K24,Foundation_Calc!$K$117:$R$151,VLOOKUP(AW24,Foundation_Calc!$I$2:$J$8,2,FALSE),0),"")))</f>
        <v/>
      </c>
      <c r="BA24" s="495" t="str">
        <f t="shared" si="4"/>
        <v/>
      </c>
      <c r="BB24" s="495" t="str">
        <f t="shared" si="5"/>
        <v/>
      </c>
      <c r="BC24" s="495" t="str">
        <f t="shared" si="6"/>
        <v/>
      </c>
      <c r="BD24" s="513"/>
      <c r="BE24" s="429" t="s">
        <v>118</v>
      </c>
      <c r="BF24" s="290"/>
      <c r="BG24" s="290"/>
      <c r="BH24" s="290"/>
      <c r="BI24" s="290"/>
    </row>
    <row r="25" spans="1:61" ht="16.149999999999999" customHeight="1">
      <c r="A25" s="517"/>
      <c r="B25" s="450" t="s">
        <v>1622</v>
      </c>
      <c r="C25" s="3">
        <f>+$C$23+$G$24</f>
        <v>34265.35</v>
      </c>
      <c r="D25" s="83"/>
      <c r="E25" s="4"/>
      <c r="F25" s="4">
        <v>0</v>
      </c>
      <c r="G25" s="6"/>
      <c r="H25" s="449"/>
      <c r="I25" s="4"/>
      <c r="J25" s="3"/>
      <c r="K25" s="449"/>
      <c r="L25" s="449" t="s">
        <v>201</v>
      </c>
      <c r="M25" s="449" t="str">
        <f>IF(L25="","",
IF(AX25="PT",VLOOKUP(L25,Foundation_Calc!$V$79:$X$113,VLOOKUP(AX25,Foundation_Calc!$I$10:$J$13,2,FALSE),0),
IF(AX25="K",VLOOKUP(L25,Foundation_Calc!$V$117:$X$151,VLOOKUP(AX25,Foundation_Calc!$I$10:$J$13,2,FALSE),0),"")))</f>
        <v/>
      </c>
      <c r="N25" s="449" t="s">
        <v>343</v>
      </c>
      <c r="O25" s="449"/>
      <c r="P25" s="449"/>
      <c r="Q25" s="4"/>
      <c r="R25" s="6"/>
      <c r="S25" s="6"/>
      <c r="T25" s="4">
        <v>-35</v>
      </c>
      <c r="U25" s="4"/>
      <c r="V25" s="4"/>
      <c r="W25" s="9">
        <v>1.4</v>
      </c>
      <c r="X25" s="9"/>
      <c r="Y25" s="9"/>
      <c r="Z25" s="9"/>
      <c r="AA25" s="9"/>
      <c r="AB25" s="9"/>
      <c r="AC25" s="449" t="str">
        <f t="shared" si="0"/>
        <v>PHQ</v>
      </c>
      <c r="AD25" s="449"/>
      <c r="AE25" s="449"/>
      <c r="AF25" s="4"/>
      <c r="AG25" s="83"/>
      <c r="AH25" s="4"/>
      <c r="AI25" s="4"/>
      <c r="AJ25" s="449"/>
      <c r="AK25" s="449" t="s">
        <v>451</v>
      </c>
      <c r="AL25" s="449"/>
      <c r="AM25" s="449"/>
      <c r="AN25" s="10">
        <v>5.5</v>
      </c>
      <c r="AO25" s="9"/>
      <c r="AP25" s="9"/>
      <c r="AQ25" s="9"/>
      <c r="AR25" s="9"/>
      <c r="AS25" s="9"/>
      <c r="AT25" s="9">
        <f>+ab($T$25,$T$23,$T$27,$G$24,$G$26, 1*$F$25,1200)</f>
        <v>-5.3811096612138529</v>
      </c>
      <c r="AU25" s="428"/>
      <c r="AV25" s="428"/>
      <c r="AW25" s="449" t="s">
        <v>201</v>
      </c>
      <c r="AX25" s="449" t="s">
        <v>201</v>
      </c>
      <c r="AY25" s="10" t="str">
        <f>IF(L25="","",
IF(AX25="PT",VLOOKUP(L25,Foundation_Calc!$K$79:$R$113,VLOOKUP(AW25,Foundation_Calc!$I$2:$J$8,2,FALSE),0),
IF(AX25="K",VLOOKUP(L25,Foundation_Calc!$K$117:$R$151,VLOOKUP(AW25,Foundation_Calc!$I$2:$J$8,2,FALSE),0),"")))</f>
        <v/>
      </c>
      <c r="AZ25" s="10" t="str">
        <f>IF(K25="","",
IF(AX25="PT",VLOOKUP(K25,Foundation_Calc!$K$79:$R$113,VLOOKUP(AW25,Foundation_Calc!$I$2:$J$8,2,FALSE),0),
IF(AX25="K",VLOOKUP(K25,Foundation_Calc!$K$117:$R$151,VLOOKUP(AW25,Foundation_Calc!$I$2:$J$8,2,FALSE),0),"")))</f>
        <v/>
      </c>
      <c r="BA25" s="495" t="str">
        <f t="shared" si="4"/>
        <v/>
      </c>
      <c r="BB25" s="495" t="str">
        <f t="shared" si="5"/>
        <v/>
      </c>
      <c r="BC25" s="495" t="str">
        <f t="shared" si="6"/>
        <v/>
      </c>
      <c r="BD25" s="513"/>
      <c r="BE25" s="429" t="s">
        <v>118</v>
      </c>
      <c r="BF25" s="289"/>
      <c r="BG25" s="289"/>
      <c r="BH25" s="290"/>
      <c r="BI25" s="289"/>
    </row>
    <row r="26" spans="1:61" ht="16.149999999999999" customHeight="1">
      <c r="A26" s="514"/>
      <c r="B26" s="450"/>
      <c r="C26" s="3"/>
      <c r="D26" s="83"/>
      <c r="E26" s="4"/>
      <c r="F26" s="4"/>
      <c r="G26" s="6">
        <v>45</v>
      </c>
      <c r="H26" s="449"/>
      <c r="I26" s="4"/>
      <c r="J26" s="3"/>
      <c r="K26" s="449"/>
      <c r="L26" s="449"/>
      <c r="M26" s="449" t="str">
        <f>IF(L26="","",
IF(AX26="PT",VLOOKUP(L26,Foundation_Calc!$V$79:$X$113,VLOOKUP(AX26,Foundation_Calc!$I$10:$J$13,2,FALSE),0),
IF(AX26="K",VLOOKUP(L26,Foundation_Calc!$V$117:$X$151,VLOOKUP(AX26,Foundation_Calc!$I$10:$J$13,2,FALSE),0),"")))</f>
        <v/>
      </c>
      <c r="N26" s="449"/>
      <c r="O26" s="449"/>
      <c r="P26" s="449"/>
      <c r="Q26" s="4"/>
      <c r="R26" s="6"/>
      <c r="S26" s="6"/>
      <c r="T26" s="4"/>
      <c r="U26" s="4"/>
      <c r="V26" s="4"/>
      <c r="W26" s="9"/>
      <c r="X26" s="9"/>
      <c r="Y26" s="9"/>
      <c r="Z26" s="9"/>
      <c r="AA26" s="9"/>
      <c r="AB26" s="9"/>
      <c r="AC26" s="449" t="str">
        <f t="shared" si="0"/>
        <v/>
      </c>
      <c r="AD26" s="449"/>
      <c r="AE26" s="449"/>
      <c r="AF26" s="4"/>
      <c r="AG26" s="83"/>
      <c r="AH26" s="4"/>
      <c r="AI26" s="4"/>
      <c r="AJ26" s="449"/>
      <c r="AK26" s="449"/>
      <c r="AL26" s="449"/>
      <c r="AM26" s="449"/>
      <c r="AN26" s="10"/>
      <c r="AO26" s="9"/>
      <c r="AP26" s="9"/>
      <c r="AQ26" s="9">
        <f>+FL_1($T$27,$T$25,$G$26,1200,9.28, 1*$F$27)</f>
        <v>0.35219954355555555</v>
      </c>
      <c r="AR26" s="9"/>
      <c r="AS26" s="9"/>
      <c r="AT26" s="9"/>
      <c r="AU26" s="428"/>
      <c r="AV26" s="428"/>
      <c r="AW26" s="449" t="str">
        <f>IF(C26&gt;0,VLOOKUP(C26,Foundation_Calc!$A$2:$C$13,3,1),
IF(J26&gt;0,VLOOKUP(J26,Foundation_Calc!$A$2:$C$13,3,1),""))</f>
        <v/>
      </c>
      <c r="AX26" s="449"/>
      <c r="AY26" s="10" t="str">
        <f>IF(L26="","",
IF(AX26="PT",VLOOKUP(L26,Foundation_Calc!$K$79:$R$113,VLOOKUP(AW26,Foundation_Calc!$I$2:$J$8,2,FALSE),0),
IF(AX26="K",VLOOKUP(L26,Foundation_Calc!$K$117:$R$151,VLOOKUP(AW26,Foundation_Calc!$I$2:$J$8,2,FALSE),0),"")))</f>
        <v/>
      </c>
      <c r="AZ26" s="10" t="str">
        <f>IF(K26="","",
IF(AX26="PT",VLOOKUP(K26,Foundation_Calc!$K$79:$R$113,VLOOKUP(AW26,Foundation_Calc!$I$2:$J$8,2,FALSE),0),
IF(AX26="K",VLOOKUP(K26,Foundation_Calc!$K$117:$R$151,VLOOKUP(AW26,Foundation_Calc!$I$2:$J$8,2,FALSE),0),"")))</f>
        <v/>
      </c>
      <c r="BA26" s="495" t="str">
        <f t="shared" si="4"/>
        <v/>
      </c>
      <c r="BB26" s="495" t="str">
        <f t="shared" si="5"/>
        <v/>
      </c>
      <c r="BC26" s="495" t="str">
        <f t="shared" si="6"/>
        <v/>
      </c>
      <c r="BD26" s="513"/>
      <c r="BE26" s="429" t="s">
        <v>118</v>
      </c>
      <c r="BF26" s="290"/>
      <c r="BG26" s="290"/>
      <c r="BH26" s="290"/>
      <c r="BI26" s="290"/>
    </row>
    <row r="27" spans="1:61" ht="16.149999999999999" customHeight="1">
      <c r="A27" s="517"/>
      <c r="B27" s="450" t="s">
        <v>1623</v>
      </c>
      <c r="C27" s="3">
        <f>+$C$25+$G$26</f>
        <v>34310.35</v>
      </c>
      <c r="D27" s="83"/>
      <c r="E27" s="4"/>
      <c r="F27" s="4">
        <v>0</v>
      </c>
      <c r="G27" s="6"/>
      <c r="H27" s="449"/>
      <c r="I27" s="4"/>
      <c r="J27" s="3"/>
      <c r="K27" s="449"/>
      <c r="L27" s="449" t="s">
        <v>201</v>
      </c>
      <c r="M27" s="449" t="str">
        <f>IF(L27="","",
IF(AX27="PT",VLOOKUP(L27,Foundation_Calc!$V$79:$X$113,VLOOKUP(AX27,Foundation_Calc!$I$10:$J$13,2,FALSE),0),
IF(AX27="K",VLOOKUP(L27,Foundation_Calc!$V$117:$X$151,VLOOKUP(AX27,Foundation_Calc!$I$10:$J$13,2,FALSE),0),"")))</f>
        <v/>
      </c>
      <c r="N27" s="449" t="s">
        <v>453</v>
      </c>
      <c r="O27" s="449"/>
      <c r="P27" s="449"/>
      <c r="Q27" s="4"/>
      <c r="R27" s="6"/>
      <c r="S27" s="6"/>
      <c r="T27" s="4">
        <v>35</v>
      </c>
      <c r="U27" s="4"/>
      <c r="V27" s="4"/>
      <c r="W27" s="9">
        <v>1.4</v>
      </c>
      <c r="X27" s="9"/>
      <c r="Y27" s="9"/>
      <c r="Z27" s="9"/>
      <c r="AA27" s="9"/>
      <c r="AB27" s="9"/>
      <c r="AC27" s="449" t="str">
        <f t="shared" si="0"/>
        <v>PHQ</v>
      </c>
      <c r="AD27" s="449"/>
      <c r="AE27" s="449"/>
      <c r="AF27" s="4"/>
      <c r="AG27" s="83"/>
      <c r="AH27" s="4"/>
      <c r="AI27" s="4"/>
      <c r="AJ27" s="449"/>
      <c r="AK27" s="449" t="s">
        <v>451</v>
      </c>
      <c r="AL27" s="449"/>
      <c r="AM27" s="449"/>
      <c r="AN27" s="10">
        <v>5.5</v>
      </c>
      <c r="AO27" s="9"/>
      <c r="AP27" s="9"/>
      <c r="AQ27" s="9"/>
      <c r="AR27" s="9"/>
      <c r="AS27" s="9"/>
      <c r="AT27" s="9">
        <f>+ab($T$27,$T$25,$T$29,$G$26,$G$28, 1*$F$27,1200)</f>
        <v>6.1443073419873819</v>
      </c>
      <c r="AU27" s="428"/>
      <c r="AV27" s="428"/>
      <c r="AW27" s="449" t="s">
        <v>201</v>
      </c>
      <c r="AX27" s="449" t="s">
        <v>201</v>
      </c>
      <c r="AY27" s="10" t="str">
        <f>IF(L27="","",
IF(AX27="PT",VLOOKUP(L27,Foundation_Calc!$K$79:$R$113,VLOOKUP(AW27,Foundation_Calc!$I$2:$J$8,2,FALSE),0),
IF(AX27="K",VLOOKUP(L27,Foundation_Calc!$K$117:$R$151,VLOOKUP(AW27,Foundation_Calc!$I$2:$J$8,2,FALSE),0),"")))</f>
        <v/>
      </c>
      <c r="AZ27" s="10" t="str">
        <f>IF(K27="","",
IF(AX27="PT",VLOOKUP(K27,Foundation_Calc!$K$79:$R$113,VLOOKUP(AW27,Foundation_Calc!$I$2:$J$8,2,FALSE),0),
IF(AX27="K",VLOOKUP(K27,Foundation_Calc!$K$117:$R$151,VLOOKUP(AW27,Foundation_Calc!$I$2:$J$8,2,FALSE),0),"")))</f>
        <v/>
      </c>
      <c r="BA27" s="495" t="str">
        <f t="shared" si="4"/>
        <v/>
      </c>
      <c r="BB27" s="495" t="str">
        <f t="shared" si="5"/>
        <v/>
      </c>
      <c r="BC27" s="495" t="str">
        <f t="shared" si="6"/>
        <v/>
      </c>
      <c r="BD27" s="513"/>
      <c r="BE27" s="429" t="s">
        <v>118</v>
      </c>
      <c r="BF27" s="289"/>
      <c r="BG27" s="289"/>
      <c r="BH27" s="290"/>
      <c r="BI27" s="289"/>
    </row>
    <row r="28" spans="1:61" ht="16.149999999999999" customHeight="1">
      <c r="A28" s="514"/>
      <c r="B28" s="450"/>
      <c r="C28" s="3"/>
      <c r="D28" s="83"/>
      <c r="E28" s="4"/>
      <c r="F28" s="4"/>
      <c r="G28" s="540">
        <v>45</v>
      </c>
      <c r="H28" s="449"/>
      <c r="I28" s="4"/>
      <c r="J28" s="3"/>
      <c r="K28" s="449"/>
      <c r="L28" s="449"/>
      <c r="M28" s="449" t="str">
        <f>IF(L28="","",
IF(AX28="PT",VLOOKUP(L28,Foundation_Calc!$V$79:$X$113,VLOOKUP(AX28,Foundation_Calc!$I$10:$J$13,2,FALSE),0),
IF(AX28="K",VLOOKUP(L28,Foundation_Calc!$V$117:$X$151,VLOOKUP(AX28,Foundation_Calc!$I$10:$J$13,2,FALSE),0),"")))</f>
        <v/>
      </c>
      <c r="N28" s="449"/>
      <c r="O28" s="449"/>
      <c r="P28" s="449"/>
      <c r="Q28" s="4"/>
      <c r="R28" s="6"/>
      <c r="S28" s="6"/>
      <c r="T28" s="4"/>
      <c r="U28" s="4"/>
      <c r="V28" s="4"/>
      <c r="W28" s="9"/>
      <c r="X28" s="9"/>
      <c r="Y28" s="9"/>
      <c r="Z28" s="9"/>
      <c r="AA28" s="9"/>
      <c r="AB28" s="9"/>
      <c r="AC28" s="449" t="str">
        <f t="shared" si="0"/>
        <v/>
      </c>
      <c r="AD28" s="449"/>
      <c r="AE28" s="449"/>
      <c r="AF28" s="4"/>
      <c r="AG28" s="83"/>
      <c r="AH28" s="4"/>
      <c r="AI28" s="4"/>
      <c r="AJ28" s="449"/>
      <c r="AK28" s="449"/>
      <c r="AL28" s="449"/>
      <c r="AM28" s="449"/>
      <c r="AN28" s="10"/>
      <c r="AO28" s="9"/>
      <c r="AP28" s="9"/>
      <c r="AQ28" s="9">
        <f>+FL_2($T$29,$T$27,$G$28,1200,9.28, 1*$F$29)</f>
        <v>-0.35219954355555555</v>
      </c>
      <c r="AR28" s="9"/>
      <c r="AS28" s="9"/>
      <c r="AT28" s="9"/>
      <c r="AU28" s="428"/>
      <c r="AV28" s="428"/>
      <c r="AW28" s="449" t="str">
        <f>IF(C28&gt;0,VLOOKUP(C28,Foundation_Calc!$A$2:$C$13,3,1),
IF(J28&gt;0,VLOOKUP(J28,Foundation_Calc!$A$2:$C$13,3,1),""))</f>
        <v/>
      </c>
      <c r="AX28" s="449"/>
      <c r="AY28" s="10" t="str">
        <f>IF(L28="","",
IF(AX28="PT",VLOOKUP(L28,Foundation_Calc!$K$79:$R$113,VLOOKUP(AW28,Foundation_Calc!$I$2:$J$8,2,FALSE),0),
IF(AX28="K",VLOOKUP(L28,Foundation_Calc!$K$117:$R$151,VLOOKUP(AW28,Foundation_Calc!$I$2:$J$8,2,FALSE),0),"")))</f>
        <v/>
      </c>
      <c r="AZ28" s="10" t="str">
        <f>IF(K28="","",
IF(AX28="PT",VLOOKUP(K28,Foundation_Calc!$K$79:$R$113,VLOOKUP(AW28,Foundation_Calc!$I$2:$J$8,2,FALSE),0),
IF(AX28="K",VLOOKUP(K28,Foundation_Calc!$K$117:$R$151,VLOOKUP(AW28,Foundation_Calc!$I$2:$J$8,2,FALSE),0),"")))</f>
        <v/>
      </c>
      <c r="BA28" s="495" t="str">
        <f t="shared" si="4"/>
        <v/>
      </c>
      <c r="BB28" s="495" t="str">
        <f t="shared" si="5"/>
        <v/>
      </c>
      <c r="BC28" s="495" t="str">
        <f t="shared" si="6"/>
        <v/>
      </c>
      <c r="BD28" s="513"/>
      <c r="BE28" s="429" t="s">
        <v>118</v>
      </c>
      <c r="BF28" s="290"/>
      <c r="BG28" s="290"/>
      <c r="BH28" s="290"/>
      <c r="BI28" s="290"/>
    </row>
    <row r="29" spans="1:61" ht="16.149999999999999" customHeight="1">
      <c r="A29" s="514"/>
      <c r="B29" s="450" t="s">
        <v>1624</v>
      </c>
      <c r="C29" s="3">
        <f>+$C$27+$G$28</f>
        <v>34355.35</v>
      </c>
      <c r="D29" s="83"/>
      <c r="E29" s="4"/>
      <c r="F29" s="4">
        <v>0</v>
      </c>
      <c r="G29" s="6"/>
      <c r="H29" s="449"/>
      <c r="I29" s="449"/>
      <c r="J29" s="3"/>
      <c r="K29" s="449"/>
      <c r="L29" s="449" t="s">
        <v>201</v>
      </c>
      <c r="M29" s="449" t="str">
        <f>IF(L29="","",
IF(AX29="PT",VLOOKUP(L29,Foundation_Calc!$V$79:$X$113,VLOOKUP(AX29,Foundation_Calc!$I$10:$J$13,2,FALSE),0),
IF(AX29="K",VLOOKUP(L29,Foundation_Calc!$V$117:$X$151,VLOOKUP(AX29,Foundation_Calc!$I$10:$J$13,2,FALSE),0),"")))</f>
        <v/>
      </c>
      <c r="N29" s="449" t="s">
        <v>343</v>
      </c>
      <c r="O29" s="449"/>
      <c r="P29" s="449"/>
      <c r="Q29" s="4"/>
      <c r="R29" s="6"/>
      <c r="S29" s="6"/>
      <c r="T29" s="4">
        <v>-35</v>
      </c>
      <c r="U29" s="4"/>
      <c r="V29" s="4"/>
      <c r="W29" s="9">
        <v>1.4</v>
      </c>
      <c r="X29" s="9"/>
      <c r="Y29" s="9"/>
      <c r="Z29" s="9"/>
      <c r="AA29" s="9"/>
      <c r="AB29" s="9"/>
      <c r="AC29" s="449" t="str">
        <f t="shared" si="0"/>
        <v>PHQ</v>
      </c>
      <c r="AD29" s="449"/>
      <c r="AE29" s="449"/>
      <c r="AF29" s="4"/>
      <c r="AG29" s="83"/>
      <c r="AH29" s="4"/>
      <c r="AI29" s="4"/>
      <c r="AJ29" s="449"/>
      <c r="AK29" s="449" t="s">
        <v>451</v>
      </c>
      <c r="AL29" s="449"/>
      <c r="AM29" s="449"/>
      <c r="AN29" s="10">
        <v>5.5</v>
      </c>
      <c r="AO29" s="9"/>
      <c r="AP29" s="9"/>
      <c r="AQ29" s="9"/>
      <c r="AR29" s="9"/>
      <c r="AS29" s="9"/>
      <c r="AT29" s="9">
        <f>+ab($T$29,$T$27,$T$31,$G$28,$G$30, 1*$F$29,1200)</f>
        <v>-6.2311294543776423</v>
      </c>
      <c r="AU29" s="428"/>
      <c r="AV29" s="428"/>
      <c r="AW29" s="449" t="s">
        <v>201</v>
      </c>
      <c r="AX29" s="449" t="s">
        <v>201</v>
      </c>
      <c r="AY29" s="10" t="str">
        <f>IF(L29="","",
IF(AX29="PT",VLOOKUP(L29,Foundation_Calc!$K$79:$R$113,VLOOKUP(AW29,Foundation_Calc!$I$2:$J$8,2,FALSE),0),
IF(AX29="K",VLOOKUP(L29,Foundation_Calc!$K$117:$R$151,VLOOKUP(AW29,Foundation_Calc!$I$2:$J$8,2,FALSE),0),"")))</f>
        <v/>
      </c>
      <c r="AZ29" s="10" t="str">
        <f>IF(K29="","",
IF(AX29="PT",VLOOKUP(K29,Foundation_Calc!$K$79:$R$113,VLOOKUP(AW29,Foundation_Calc!$I$2:$J$8,2,FALSE),0),
IF(AX29="K",VLOOKUP(K29,Foundation_Calc!$K$117:$R$151,VLOOKUP(AW29,Foundation_Calc!$I$2:$J$8,2,FALSE),0),"")))</f>
        <v/>
      </c>
      <c r="BA29" s="495" t="str">
        <f t="shared" ref="BA29:BA51" si="7">IF(AY29="","",IF(AY29&gt;0,"ü",""))</f>
        <v/>
      </c>
      <c r="BB29" s="495" t="str">
        <f t="shared" ref="BB29:BB51" si="8">IF(AZ29="","",IF(AZ29&gt;0,"ü",""))</f>
        <v/>
      </c>
      <c r="BC29" s="495" t="str">
        <f t="shared" ref="BC29:BC51" si="9">IF(M29="","",IF(M29="U.S.","ü",IF(M29="U.S. N.D.","ü","")))</f>
        <v/>
      </c>
      <c r="BD29" s="513"/>
      <c r="BE29" s="429" t="s">
        <v>118</v>
      </c>
      <c r="BF29" s="289"/>
      <c r="BG29" s="289"/>
      <c r="BH29" s="290"/>
      <c r="BI29" s="289"/>
    </row>
    <row r="30" spans="1:61" ht="16.149999999999999" customHeight="1">
      <c r="A30" s="514"/>
      <c r="B30" s="450"/>
      <c r="C30" s="3"/>
      <c r="D30" s="83"/>
      <c r="E30" s="4"/>
      <c r="F30" s="4"/>
      <c r="G30" s="6">
        <v>46.3</v>
      </c>
      <c r="H30" s="449"/>
      <c r="I30" s="4">
        <f>SUM(G6:G30)</f>
        <v>509.7</v>
      </c>
      <c r="J30" s="3"/>
      <c r="K30" s="449"/>
      <c r="L30" s="449"/>
      <c r="M30" s="449" t="str">
        <f>IF(L30="","",
IF(AX30="PT",VLOOKUP(L30,Foundation_Calc!$V$79:$X$113,VLOOKUP(AX30,Foundation_Calc!$I$10:$J$13,2,FALSE),0),
IF(AX30="K",VLOOKUP(L30,Foundation_Calc!$V$117:$X$151,VLOOKUP(AX30,Foundation_Calc!$I$10:$J$13,2,FALSE),0),"")))</f>
        <v/>
      </c>
      <c r="N30" s="449"/>
      <c r="O30" s="449"/>
      <c r="P30" s="449"/>
      <c r="Q30" s="4"/>
      <c r="R30" s="6"/>
      <c r="S30" s="6"/>
      <c r="T30" s="4"/>
      <c r="U30" s="4"/>
      <c r="V30" s="4"/>
      <c r="W30" s="9"/>
      <c r="X30" s="9"/>
      <c r="Y30" s="9"/>
      <c r="Z30" s="9"/>
      <c r="AA30" s="9"/>
      <c r="AB30" s="9"/>
      <c r="AC30" s="449" t="str">
        <f t="shared" si="0"/>
        <v/>
      </c>
      <c r="AD30" s="449"/>
      <c r="AE30" s="449"/>
      <c r="AF30" s="4"/>
      <c r="AG30" s="83"/>
      <c r="AH30" s="4"/>
      <c r="AI30" s="4"/>
      <c r="AJ30" s="449"/>
      <c r="AK30" s="449" t="s">
        <v>872</v>
      </c>
      <c r="AL30" s="449"/>
      <c r="AM30" s="449"/>
      <c r="AN30" s="10"/>
      <c r="AO30" s="9"/>
      <c r="AP30" s="9"/>
      <c r="AQ30" s="9">
        <f>+FL_2($T$31,$T$29,$G$30,1200,9.28, 1*$F$31)</f>
        <v>-0.35501075421166295</v>
      </c>
      <c r="AR30" s="9"/>
      <c r="AS30" s="9"/>
      <c r="AT30" s="9"/>
      <c r="AU30" s="428"/>
      <c r="AV30" s="428"/>
      <c r="AW30" s="449"/>
      <c r="AX30" s="449"/>
      <c r="AY30" s="10" t="str">
        <f>IF(L30="","",
IF(AX30="PT",VLOOKUP(L30,Foundation_Calc!$K$79:$R$113,VLOOKUP(AW30,Foundation_Calc!$I$2:$J$8,2,FALSE),0),
IF(AX30="K",VLOOKUP(L30,Foundation_Calc!$K$117:$R$151,VLOOKUP(AW30,Foundation_Calc!$I$2:$J$8,2,FALSE),0),"")))</f>
        <v/>
      </c>
      <c r="AZ30" s="10" t="str">
        <f>IF(K30="","",
IF(AX30="PT",VLOOKUP(K30,Foundation_Calc!$K$79:$R$113,VLOOKUP(AW30,Foundation_Calc!$I$2:$J$8,2,FALSE),0),
IF(AX30="K",VLOOKUP(K30,Foundation_Calc!$K$117:$R$151,VLOOKUP(AW30,Foundation_Calc!$I$2:$J$8,2,FALSE),0),"")))</f>
        <v/>
      </c>
      <c r="BA30" s="495" t="str">
        <f t="shared" si="7"/>
        <v/>
      </c>
      <c r="BB30" s="495" t="str">
        <f t="shared" si="8"/>
        <v/>
      </c>
      <c r="BC30" s="495" t="str">
        <f t="shared" si="9"/>
        <v/>
      </c>
      <c r="BD30" s="513"/>
      <c r="BE30" s="429" t="s">
        <v>118</v>
      </c>
      <c r="BF30" s="290"/>
      <c r="BG30" s="290"/>
      <c r="BH30" s="290"/>
      <c r="BI30" s="290"/>
    </row>
    <row r="31" spans="1:61" ht="16.149999999999999" customHeight="1">
      <c r="A31" s="514"/>
      <c r="B31" s="450" t="s">
        <v>1625</v>
      </c>
      <c r="C31" s="3">
        <f>+$C$29+$G$30</f>
        <v>34401.65</v>
      </c>
      <c r="D31" s="83"/>
      <c r="E31" s="4"/>
      <c r="F31" s="4">
        <v>0</v>
      </c>
      <c r="G31" s="6"/>
      <c r="H31" s="449" t="s">
        <v>171</v>
      </c>
      <c r="I31" s="449"/>
      <c r="J31" s="3"/>
      <c r="K31" s="449"/>
      <c r="L31" s="449" t="s">
        <v>201</v>
      </c>
      <c r="M31" s="449" t="str">
        <f>IF(L31="","",
IF(AX31="PT",VLOOKUP(L31,Foundation_Calc!$V$79:$X$113,VLOOKUP(AX31,Foundation_Calc!$I$10:$J$13,2,FALSE),0),
IF(AX31="K",VLOOKUP(L31,Foundation_Calc!$V$117:$X$151,VLOOKUP(AX31,Foundation_Calc!$I$10:$J$13,2,FALSE),0),"")))</f>
        <v/>
      </c>
      <c r="N31" s="449" t="s">
        <v>453</v>
      </c>
      <c r="O31" s="449"/>
      <c r="P31" s="449"/>
      <c r="Q31" s="4"/>
      <c r="R31" s="6"/>
      <c r="S31" s="6"/>
      <c r="T31" s="4">
        <v>35</v>
      </c>
      <c r="U31" s="4"/>
      <c r="V31" s="4"/>
      <c r="W31" s="9">
        <v>1.4</v>
      </c>
      <c r="X31" s="9"/>
      <c r="Y31" s="9"/>
      <c r="Z31" s="9"/>
      <c r="AA31" s="9"/>
      <c r="AB31" s="9"/>
      <c r="AC31" s="449" t="str">
        <f t="shared" si="0"/>
        <v>PHQ</v>
      </c>
      <c r="AD31" s="449"/>
      <c r="AE31" s="449"/>
      <c r="AF31" s="4"/>
      <c r="AG31" s="83"/>
      <c r="AH31" s="4"/>
      <c r="AI31" s="4"/>
      <c r="AJ31" s="449"/>
      <c r="AK31" s="449" t="s">
        <v>451</v>
      </c>
      <c r="AL31" s="449"/>
      <c r="AM31" s="449"/>
      <c r="AN31" s="10">
        <v>5.5</v>
      </c>
      <c r="AO31" s="9"/>
      <c r="AP31" s="9"/>
      <c r="AQ31" s="9"/>
      <c r="AR31" s="9"/>
      <c r="AS31" s="9"/>
      <c r="AT31" s="9">
        <f>+ab($T$31,$T$29,$T$33,$G$30,$G$32, 1*$F$31,1200)</f>
        <v>6.5611524729057766</v>
      </c>
      <c r="AU31" s="428"/>
      <c r="AV31" s="428"/>
      <c r="AW31" s="449" t="s">
        <v>201</v>
      </c>
      <c r="AX31" s="449" t="s">
        <v>201</v>
      </c>
      <c r="AY31" s="10" t="str">
        <f>IF(L31="","",
IF(AX31="PT",VLOOKUP(L31,Foundation_Calc!$K$79:$R$113,VLOOKUP(AW31,Foundation_Calc!$I$2:$J$8,2,FALSE),0),
IF(AX31="K",VLOOKUP(L31,Foundation_Calc!$K$117:$R$151,VLOOKUP(AW31,Foundation_Calc!$I$2:$J$8,2,FALSE),0),"")))</f>
        <v/>
      </c>
      <c r="AZ31" s="10" t="str">
        <f>IF(K31="","",
IF(AX31="PT",VLOOKUP(K31,Foundation_Calc!$K$79:$R$113,VLOOKUP(AW31,Foundation_Calc!$I$2:$J$8,2,FALSE),0),
IF(AX31="K",VLOOKUP(K31,Foundation_Calc!$K$117:$R$151,VLOOKUP(AW31,Foundation_Calc!$I$2:$J$8,2,FALSE),0),"")))</f>
        <v/>
      </c>
      <c r="BA31" s="495" t="str">
        <f t="shared" si="7"/>
        <v/>
      </c>
      <c r="BB31" s="495" t="str">
        <f t="shared" si="8"/>
        <v/>
      </c>
      <c r="BC31" s="495" t="str">
        <f t="shared" si="9"/>
        <v/>
      </c>
      <c r="BD31" s="513"/>
      <c r="BE31" s="429" t="s">
        <v>118</v>
      </c>
      <c r="BF31" s="289"/>
      <c r="BG31" s="289"/>
      <c r="BH31" s="290"/>
      <c r="BI31" s="289"/>
    </row>
    <row r="32" spans="1:61" ht="16.149999999999999" customHeight="1">
      <c r="A32" s="514"/>
      <c r="B32" s="450"/>
      <c r="C32" s="3"/>
      <c r="D32" s="83"/>
      <c r="E32" s="4"/>
      <c r="F32" s="4"/>
      <c r="G32" s="6">
        <v>50</v>
      </c>
      <c r="H32" s="449"/>
      <c r="I32" s="4">
        <f>SUM(G32:G56)</f>
        <v>531.70000000000005</v>
      </c>
      <c r="J32" s="3"/>
      <c r="K32" s="449"/>
      <c r="L32" s="449"/>
      <c r="M32" s="449" t="str">
        <f>IF(L32="","",
IF(AX32="PT",VLOOKUP(L32,Foundation_Calc!$V$79:$X$113,VLOOKUP(AX32,Foundation_Calc!$I$10:$J$13,2,FALSE),0),
IF(AX32="K",VLOOKUP(L32,Foundation_Calc!$V$117:$X$151,VLOOKUP(AX32,Foundation_Calc!$I$10:$J$13,2,FALSE),0),"")))</f>
        <v/>
      </c>
      <c r="N32" s="449"/>
      <c r="O32" s="449"/>
      <c r="P32" s="449"/>
      <c r="Q32" s="4"/>
      <c r="R32" s="6"/>
      <c r="S32" s="6"/>
      <c r="T32" s="4"/>
      <c r="U32" s="4"/>
      <c r="V32" s="4"/>
      <c r="W32" s="9"/>
      <c r="X32" s="9"/>
      <c r="Y32" s="9"/>
      <c r="Z32" s="9"/>
      <c r="AA32" s="9"/>
      <c r="AB32" s="9"/>
      <c r="AC32" s="449" t="str">
        <f t="shared" si="0"/>
        <v/>
      </c>
      <c r="AD32" s="449"/>
      <c r="AE32" s="449"/>
      <c r="AF32" s="4"/>
      <c r="AG32" s="83"/>
      <c r="AH32" s="4"/>
      <c r="AI32" s="4"/>
      <c r="AJ32" s="449"/>
      <c r="AK32" s="449" t="s">
        <v>872</v>
      </c>
      <c r="AL32" s="449"/>
      <c r="AM32" s="449"/>
      <c r="AN32" s="10"/>
      <c r="AO32" s="9"/>
      <c r="AP32" s="9"/>
      <c r="AQ32" s="9">
        <f>+FL_2($T$33,$T$31,$G$32,1200,9.28, 1*$F$33)</f>
        <v>-0.36839079999999996</v>
      </c>
      <c r="AR32" s="9"/>
      <c r="AS32" s="9"/>
      <c r="AT32" s="9"/>
      <c r="AU32" s="428"/>
      <c r="AV32" s="428"/>
      <c r="AW32" s="449" t="str">
        <f>IF(C32&gt;0,VLOOKUP(C32,Foundation_Calc!$A$2:$C$13,3,1),
IF(J32&gt;0,VLOOKUP(J32,Foundation_Calc!$A$2:$C$13,3,1),""))</f>
        <v/>
      </c>
      <c r="AX32" s="449"/>
      <c r="AY32" s="10" t="str">
        <f>IF(L32="","",
IF(AX32="PT",VLOOKUP(L32,Foundation_Calc!$K$79:$R$113,VLOOKUP(AW32,Foundation_Calc!$I$2:$J$8,2,FALSE),0),
IF(AX32="K",VLOOKUP(L32,Foundation_Calc!$K$117:$R$151,VLOOKUP(AW32,Foundation_Calc!$I$2:$J$8,2,FALSE),0),"")))</f>
        <v/>
      </c>
      <c r="AZ32" s="10" t="str">
        <f>IF(K32="","",
IF(AX32="PT",VLOOKUP(K32,Foundation_Calc!$K$79:$R$113,VLOOKUP(AW32,Foundation_Calc!$I$2:$J$8,2,FALSE),0),
IF(AX32="K",VLOOKUP(K32,Foundation_Calc!$K$117:$R$151,VLOOKUP(AW32,Foundation_Calc!$I$2:$J$8,2,FALSE),0),"")))</f>
        <v/>
      </c>
      <c r="BA32" s="495" t="str">
        <f t="shared" si="7"/>
        <v/>
      </c>
      <c r="BB32" s="495" t="str">
        <f t="shared" si="8"/>
        <v/>
      </c>
      <c r="BC32" s="495" t="str">
        <f t="shared" si="9"/>
        <v/>
      </c>
      <c r="BD32" s="513"/>
      <c r="BE32" s="429" t="s">
        <v>118</v>
      </c>
      <c r="BF32" s="290"/>
      <c r="BG32" s="290"/>
      <c r="BH32" s="290"/>
      <c r="BI32" s="290"/>
    </row>
    <row r="33" spans="1:61" ht="16.149999999999999" customHeight="1">
      <c r="A33" s="514"/>
      <c r="B33" s="450" t="s">
        <v>1626</v>
      </c>
      <c r="C33" s="3">
        <f>+$C$31+$G$32</f>
        <v>34451.65</v>
      </c>
      <c r="D33" s="83"/>
      <c r="E33" s="4"/>
      <c r="F33" s="4">
        <v>0</v>
      </c>
      <c r="G33" s="6"/>
      <c r="H33" s="449"/>
      <c r="I33" s="449"/>
      <c r="J33" s="3"/>
      <c r="K33" s="449"/>
      <c r="L33" s="449" t="s">
        <v>201</v>
      </c>
      <c r="M33" s="449" t="str">
        <f>IF(L33="","",
IF(AX33="PT",VLOOKUP(L33,Foundation_Calc!$V$79:$X$113,VLOOKUP(AX33,Foundation_Calc!$I$10:$J$13,2,FALSE),0),
IF(AX33="K",VLOOKUP(L33,Foundation_Calc!$V$117:$X$151,VLOOKUP(AX33,Foundation_Calc!$I$10:$J$13,2,FALSE),0),"")))</f>
        <v/>
      </c>
      <c r="N33" s="449" t="s">
        <v>343</v>
      </c>
      <c r="O33" s="449"/>
      <c r="P33" s="449"/>
      <c r="Q33" s="4"/>
      <c r="R33" s="6"/>
      <c r="S33" s="6"/>
      <c r="T33" s="4">
        <v>-35</v>
      </c>
      <c r="U33" s="4"/>
      <c r="V33" s="4"/>
      <c r="W33" s="9">
        <v>1.4</v>
      </c>
      <c r="X33" s="9"/>
      <c r="Y33" s="9"/>
      <c r="Z33" s="9"/>
      <c r="AA33" s="9"/>
      <c r="AB33" s="9"/>
      <c r="AC33" s="449" t="str">
        <f t="shared" si="0"/>
        <v>PHQ</v>
      </c>
      <c r="AD33" s="449"/>
      <c r="AE33" s="449"/>
      <c r="AF33" s="4"/>
      <c r="AG33" s="83"/>
      <c r="AH33" s="4"/>
      <c r="AI33" s="4"/>
      <c r="AJ33" s="449"/>
      <c r="AK33" s="449" t="s">
        <v>451</v>
      </c>
      <c r="AL33" s="449"/>
      <c r="AM33" s="449"/>
      <c r="AN33" s="10">
        <v>5.5</v>
      </c>
      <c r="AO33" s="9"/>
      <c r="AP33" s="9"/>
      <c r="AQ33" s="9"/>
      <c r="AR33" s="9"/>
      <c r="AS33" s="9"/>
      <c r="AT33" s="9">
        <f>+ab($T$33,$T$31,$T$35,$G$32,$G$34, 1*$F$33,1200)</f>
        <v>-6.4650411729017883</v>
      </c>
      <c r="AU33" s="428"/>
      <c r="AV33" s="428"/>
      <c r="AW33" s="449" t="s">
        <v>201</v>
      </c>
      <c r="AX33" s="449" t="s">
        <v>201</v>
      </c>
      <c r="AY33" s="10" t="str">
        <f>IF(L33="","",
IF(AX33="PT",VLOOKUP(L33,Foundation_Calc!$K$79:$R$113,VLOOKUP(AW33,Foundation_Calc!$I$2:$J$8,2,FALSE),0),
IF(AX33="K",VLOOKUP(L33,Foundation_Calc!$K$117:$R$151,VLOOKUP(AW33,Foundation_Calc!$I$2:$J$8,2,FALSE),0),"")))</f>
        <v/>
      </c>
      <c r="AZ33" s="10" t="str">
        <f>IF(K33="","",
IF(AX33="PT",VLOOKUP(K33,Foundation_Calc!$K$79:$R$113,VLOOKUP(AW33,Foundation_Calc!$I$2:$J$8,2,FALSE),0),
IF(AX33="K",VLOOKUP(K33,Foundation_Calc!$K$117:$R$151,VLOOKUP(AW33,Foundation_Calc!$I$2:$J$8,2,FALSE),0),"")))</f>
        <v/>
      </c>
      <c r="BA33" s="495" t="str">
        <f t="shared" si="7"/>
        <v/>
      </c>
      <c r="BB33" s="495" t="str">
        <f t="shared" si="8"/>
        <v/>
      </c>
      <c r="BC33" s="495" t="str">
        <f t="shared" si="9"/>
        <v/>
      </c>
      <c r="BD33" s="513"/>
      <c r="BE33" s="429" t="s">
        <v>118</v>
      </c>
      <c r="BF33" s="289"/>
      <c r="BG33" s="289"/>
      <c r="BH33" s="290"/>
      <c r="BI33" s="289"/>
    </row>
    <row r="34" spans="1:61" ht="16.149999999999999" customHeight="1">
      <c r="A34" s="514"/>
      <c r="B34" s="450"/>
      <c r="C34" s="3"/>
      <c r="D34" s="83"/>
      <c r="E34" s="4"/>
      <c r="F34" s="4"/>
      <c r="G34" s="6">
        <v>45</v>
      </c>
      <c r="H34" s="449"/>
      <c r="I34" s="449"/>
      <c r="J34" s="3"/>
      <c r="K34" s="449"/>
      <c r="L34" s="449"/>
      <c r="M34" s="449" t="str">
        <f>IF(L34="","",
IF(AX34="PT",VLOOKUP(L34,Foundation_Calc!$V$79:$X$113,VLOOKUP(AX34,Foundation_Calc!$I$10:$J$13,2,FALSE),0),
IF(AX34="K",VLOOKUP(L34,Foundation_Calc!$V$117:$X$151,VLOOKUP(AX34,Foundation_Calc!$I$10:$J$13,2,FALSE),0),"")))</f>
        <v/>
      </c>
      <c r="N34" s="449"/>
      <c r="O34" s="449"/>
      <c r="P34" s="449"/>
      <c r="Q34" s="4"/>
      <c r="R34" s="6"/>
      <c r="S34" s="6"/>
      <c r="T34" s="4"/>
      <c r="U34" s="4"/>
      <c r="V34" s="4"/>
      <c r="W34" s="9"/>
      <c r="X34" s="9"/>
      <c r="Y34" s="9"/>
      <c r="Z34" s="9"/>
      <c r="AA34" s="9"/>
      <c r="AB34" s="9"/>
      <c r="AC34" s="449" t="str">
        <f t="shared" si="0"/>
        <v/>
      </c>
      <c r="AD34" s="449"/>
      <c r="AE34" s="449"/>
      <c r="AF34" s="4"/>
      <c r="AG34" s="83"/>
      <c r="AH34" s="4"/>
      <c r="AI34" s="4"/>
      <c r="AJ34" s="449"/>
      <c r="AK34" s="449"/>
      <c r="AL34" s="449"/>
      <c r="AM34" s="449"/>
      <c r="AN34" s="10"/>
      <c r="AO34" s="9"/>
      <c r="AP34" s="9"/>
      <c r="AQ34" s="9">
        <f>+FL_1($T$35,$T$33,$G$34,1200,9.28, 1*$F$35)</f>
        <v>0.35219954355555555</v>
      </c>
      <c r="AR34" s="9"/>
      <c r="AS34" s="9"/>
      <c r="AT34" s="9"/>
      <c r="AU34" s="428"/>
      <c r="AV34" s="428"/>
      <c r="AW34" s="449"/>
      <c r="AX34" s="449"/>
      <c r="AY34" s="10" t="str">
        <f>IF(L34="","",
IF(AX34="PT",VLOOKUP(L34,Foundation_Calc!$K$79:$R$113,VLOOKUP(AW34,Foundation_Calc!$I$2:$J$8,2,FALSE),0),
IF(AX34="K",VLOOKUP(L34,Foundation_Calc!$K$117:$R$151,VLOOKUP(AW34,Foundation_Calc!$I$2:$J$8,2,FALSE),0),"")))</f>
        <v/>
      </c>
      <c r="AZ34" s="10" t="str">
        <f>IF(K34="","",
IF(AX34="PT",VLOOKUP(K34,Foundation_Calc!$K$79:$R$113,VLOOKUP(AW34,Foundation_Calc!$I$2:$J$8,2,FALSE),0),
IF(AX34="K",VLOOKUP(K34,Foundation_Calc!$K$117:$R$151,VLOOKUP(AW34,Foundation_Calc!$I$2:$J$8,2,FALSE),0),"")))</f>
        <v/>
      </c>
      <c r="BA34" s="495" t="str">
        <f t="shared" si="7"/>
        <v/>
      </c>
      <c r="BB34" s="495" t="str">
        <f t="shared" si="8"/>
        <v/>
      </c>
      <c r="BC34" s="495" t="str">
        <f t="shared" si="9"/>
        <v/>
      </c>
      <c r="BD34" s="513"/>
      <c r="BE34" s="429" t="s">
        <v>118</v>
      </c>
      <c r="BF34" s="290"/>
      <c r="BG34" s="290"/>
      <c r="BH34" s="290"/>
      <c r="BI34" s="290"/>
    </row>
    <row r="35" spans="1:61" ht="16.149999999999999" customHeight="1">
      <c r="A35" s="545"/>
      <c r="B35" s="450" t="s">
        <v>1627</v>
      </c>
      <c r="C35" s="3">
        <f>+$C$33+$G$34</f>
        <v>34496.65</v>
      </c>
      <c r="D35" s="83"/>
      <c r="E35" s="4"/>
      <c r="F35" s="4">
        <v>0</v>
      </c>
      <c r="G35" s="6"/>
      <c r="H35" s="449"/>
      <c r="I35" s="449"/>
      <c r="J35" s="3"/>
      <c r="K35" s="449"/>
      <c r="L35" s="449" t="s">
        <v>201</v>
      </c>
      <c r="M35" s="449" t="str">
        <f>IF(L35="","",
IF(AX35="PT",VLOOKUP(L35,Foundation_Calc!$V$79:$X$113,VLOOKUP(AX35,Foundation_Calc!$I$10:$J$13,2,FALSE),0),
IF(AX35="K",VLOOKUP(L35,Foundation_Calc!$V$117:$X$151,VLOOKUP(AX35,Foundation_Calc!$I$10:$J$13,2,FALSE),0),"")))</f>
        <v/>
      </c>
      <c r="N35" s="449" t="s">
        <v>453</v>
      </c>
      <c r="O35" s="449"/>
      <c r="P35" s="449"/>
      <c r="Q35" s="4"/>
      <c r="R35" s="6"/>
      <c r="S35" s="6"/>
      <c r="T35" s="4">
        <v>35</v>
      </c>
      <c r="U35" s="4"/>
      <c r="V35" s="4"/>
      <c r="W35" s="9">
        <v>1.4</v>
      </c>
      <c r="X35" s="9"/>
      <c r="Y35" s="9"/>
      <c r="Z35" s="9"/>
      <c r="AA35" s="9"/>
      <c r="AB35" s="9"/>
      <c r="AC35" s="449" t="str">
        <f t="shared" si="0"/>
        <v>PHQ</v>
      </c>
      <c r="AD35" s="449"/>
      <c r="AE35" s="449"/>
      <c r="AF35" s="4"/>
      <c r="AG35" s="83"/>
      <c r="AH35" s="4"/>
      <c r="AI35" s="4"/>
      <c r="AJ35" s="449"/>
      <c r="AK35" s="449" t="s">
        <v>451</v>
      </c>
      <c r="AL35" s="449"/>
      <c r="AM35" s="449"/>
      <c r="AN35" s="10">
        <v>5.5</v>
      </c>
      <c r="AO35" s="9"/>
      <c r="AP35" s="9"/>
      <c r="AQ35" s="9"/>
      <c r="AR35" s="9"/>
      <c r="AS35" s="9"/>
      <c r="AT35" s="9">
        <f>+ab($T$35,$T$33,$T$37,$G$34,$G$36, 1*$F$35,1200)</f>
        <v>5.7854058789738403</v>
      </c>
      <c r="AU35" s="428"/>
      <c r="AV35" s="428"/>
      <c r="AW35" s="449" t="s">
        <v>201</v>
      </c>
      <c r="AX35" s="449" t="s">
        <v>201</v>
      </c>
      <c r="AY35" s="10" t="str">
        <f>IF(L35="","",
IF(AX35="PT",VLOOKUP(L35,Foundation_Calc!$K$79:$R$113,VLOOKUP(AW35,Foundation_Calc!$I$2:$J$8,2,FALSE),0),
IF(AX35="K",VLOOKUP(L35,Foundation_Calc!$K$117:$R$151,VLOOKUP(AW35,Foundation_Calc!$I$2:$J$8,2,FALSE),0),"")))</f>
        <v/>
      </c>
      <c r="AZ35" s="10" t="str">
        <f>IF(K35="","",
IF(AX35="PT",VLOOKUP(K35,Foundation_Calc!$K$79:$R$113,VLOOKUP(AW35,Foundation_Calc!$I$2:$J$8,2,FALSE),0),
IF(AX35="K",VLOOKUP(K35,Foundation_Calc!$K$117:$R$151,VLOOKUP(AW35,Foundation_Calc!$I$2:$J$8,2,FALSE),0),"")))</f>
        <v/>
      </c>
      <c r="BA35" s="495" t="str">
        <f t="shared" si="7"/>
        <v/>
      </c>
      <c r="BB35" s="495" t="str">
        <f t="shared" si="8"/>
        <v/>
      </c>
      <c r="BC35" s="495" t="str">
        <f t="shared" si="9"/>
        <v/>
      </c>
      <c r="BD35" s="513"/>
      <c r="BE35" s="429" t="s">
        <v>118</v>
      </c>
      <c r="BF35" s="289"/>
      <c r="BG35" s="289"/>
      <c r="BH35" s="290"/>
      <c r="BI35" s="289"/>
    </row>
    <row r="36" spans="1:61" ht="16.149999999999999" customHeight="1">
      <c r="A36" s="545"/>
      <c r="B36" s="450"/>
      <c r="C36" s="3"/>
      <c r="D36" s="83"/>
      <c r="E36" s="4"/>
      <c r="F36" s="4"/>
      <c r="G36" s="6">
        <v>40</v>
      </c>
      <c r="H36" s="449"/>
      <c r="I36" s="449"/>
      <c r="J36" s="3"/>
      <c r="K36" s="449"/>
      <c r="L36" s="449"/>
      <c r="M36" s="449" t="str">
        <f>IF(L36="","",
IF(AX36="PT",VLOOKUP(L36,Foundation_Calc!$V$79:$X$113,VLOOKUP(AX36,Foundation_Calc!$I$10:$J$13,2,FALSE),0),
IF(AX36="K",VLOOKUP(L36,Foundation_Calc!$V$117:$X$151,VLOOKUP(AX36,Foundation_Calc!$I$10:$J$13,2,FALSE),0),"")))</f>
        <v/>
      </c>
      <c r="N36" s="449"/>
      <c r="O36" s="449"/>
      <c r="P36" s="449"/>
      <c r="Q36" s="4"/>
      <c r="R36" s="6"/>
      <c r="S36" s="6"/>
      <c r="T36" s="4"/>
      <c r="U36" s="4"/>
      <c r="V36" s="4"/>
      <c r="W36" s="9"/>
      <c r="X36" s="9"/>
      <c r="Y36" s="9"/>
      <c r="Z36" s="9"/>
      <c r="AA36" s="9"/>
      <c r="AB36" s="9"/>
      <c r="AC36" s="449" t="str">
        <f t="shared" si="0"/>
        <v/>
      </c>
      <c r="AD36" s="449"/>
      <c r="AE36" s="449"/>
      <c r="AF36" s="4"/>
      <c r="AG36" s="83"/>
      <c r="AH36" s="4"/>
      <c r="AI36" s="4"/>
      <c r="AJ36" s="449"/>
      <c r="AK36" s="449"/>
      <c r="AL36" s="449"/>
      <c r="AM36" s="449"/>
      <c r="AN36" s="10"/>
      <c r="AO36" s="9"/>
      <c r="AP36" s="9"/>
      <c r="AQ36" s="9">
        <f>+FL_1($T$37,$T$35,$G$36,1200,9.28, 1*$F$37)</f>
        <v>0.35000000000000125</v>
      </c>
      <c r="AR36" s="9"/>
      <c r="AS36" s="9"/>
      <c r="AT36" s="9"/>
      <c r="AU36" s="428"/>
      <c r="AV36" s="428"/>
      <c r="AW36" s="449"/>
      <c r="AX36" s="449"/>
      <c r="AY36" s="10" t="str">
        <f>IF(L36="","",
IF(AX36="PT",VLOOKUP(L36,Foundation_Calc!$K$79:$R$113,VLOOKUP(AW36,Foundation_Calc!$I$2:$J$8,2,FALSE),0),
IF(AX36="K",VLOOKUP(L36,Foundation_Calc!$K$117:$R$151,VLOOKUP(AW36,Foundation_Calc!$I$2:$J$8,2,FALSE),0),"")))</f>
        <v/>
      </c>
      <c r="AZ36" s="10" t="str">
        <f>IF(K36="","",
IF(AX36="PT",VLOOKUP(K36,Foundation_Calc!$K$79:$R$113,VLOOKUP(AW36,Foundation_Calc!$I$2:$J$8,2,FALSE),0),
IF(AX36="K",VLOOKUP(K36,Foundation_Calc!$K$117:$R$151,VLOOKUP(AW36,Foundation_Calc!$I$2:$J$8,2,FALSE),0),"")))</f>
        <v/>
      </c>
      <c r="BA36" s="495" t="str">
        <f t="shared" si="7"/>
        <v/>
      </c>
      <c r="BB36" s="495" t="str">
        <f t="shared" si="8"/>
        <v/>
      </c>
      <c r="BC36" s="495" t="str">
        <f t="shared" si="9"/>
        <v/>
      </c>
      <c r="BD36" s="513"/>
      <c r="BE36" s="429" t="s">
        <v>118</v>
      </c>
      <c r="BF36" s="290"/>
      <c r="BG36" s="290"/>
      <c r="BH36" s="290"/>
      <c r="BI36" s="290"/>
    </row>
    <row r="37" spans="1:61" ht="16.149999999999999" customHeight="1">
      <c r="A37" s="545"/>
      <c r="B37" s="450" t="s">
        <v>1628</v>
      </c>
      <c r="C37" s="3">
        <f>+$C$35+$G$36</f>
        <v>34536.65</v>
      </c>
      <c r="D37" s="83"/>
      <c r="E37" s="4"/>
      <c r="F37" s="4">
        <v>0</v>
      </c>
      <c r="G37" s="6"/>
      <c r="H37" s="449"/>
      <c r="I37" s="449"/>
      <c r="J37" s="3"/>
      <c r="K37" s="449"/>
      <c r="L37" s="449" t="s">
        <v>201</v>
      </c>
      <c r="M37" s="449" t="str">
        <f>IF(L37="","",
IF(AX37="PT",VLOOKUP(L37,Foundation_Calc!$V$79:$X$113,VLOOKUP(AX37,Foundation_Calc!$I$10:$J$13,2,FALSE),0),
IF(AX37="K",VLOOKUP(L37,Foundation_Calc!$V$117:$X$151,VLOOKUP(AX37,Foundation_Calc!$I$10:$J$13,2,FALSE),0),"")))</f>
        <v/>
      </c>
      <c r="N37" s="449" t="s">
        <v>343</v>
      </c>
      <c r="O37" s="449"/>
      <c r="P37" s="449"/>
      <c r="Q37" s="4"/>
      <c r="R37" s="6"/>
      <c r="S37" s="6"/>
      <c r="T37" s="4">
        <v>-35</v>
      </c>
      <c r="U37" s="4"/>
      <c r="V37" s="4"/>
      <c r="W37" s="9">
        <v>1.4</v>
      </c>
      <c r="X37" s="9"/>
      <c r="Y37" s="9"/>
      <c r="Z37" s="9"/>
      <c r="AA37" s="9"/>
      <c r="AB37" s="9"/>
      <c r="AC37" s="449" t="str">
        <f t="shared" si="0"/>
        <v>PHQ</v>
      </c>
      <c r="AD37" s="449"/>
      <c r="AE37" s="449"/>
      <c r="AF37" s="4"/>
      <c r="AG37" s="83"/>
      <c r="AH37" s="4"/>
      <c r="AI37" s="4"/>
      <c r="AJ37" s="449"/>
      <c r="AK37" s="449" t="s">
        <v>451</v>
      </c>
      <c r="AL37" s="449"/>
      <c r="AM37" s="449"/>
      <c r="AN37" s="10">
        <v>5.5</v>
      </c>
      <c r="AO37" s="9"/>
      <c r="AP37" s="9"/>
      <c r="AQ37" s="9"/>
      <c r="AR37" s="9"/>
      <c r="AS37" s="9"/>
      <c r="AT37" s="9">
        <f>+ab($T$37,$T$35,$T$39,$G$36,$G$38, 1*$F$37,1200)</f>
        <v>-5.3045938144719873</v>
      </c>
      <c r="AU37" s="428"/>
      <c r="AV37" s="428"/>
      <c r="AW37" s="449" t="s">
        <v>201</v>
      </c>
      <c r="AX37" s="449" t="s">
        <v>201</v>
      </c>
      <c r="AY37" s="10" t="str">
        <f>IF(L37="","",
IF(AX37="PT",VLOOKUP(L37,Foundation_Calc!$K$79:$R$113,VLOOKUP(AW37,Foundation_Calc!$I$2:$J$8,2,FALSE),0),
IF(AX37="K",VLOOKUP(L37,Foundation_Calc!$K$117:$R$151,VLOOKUP(AW37,Foundation_Calc!$I$2:$J$8,2,FALSE),0),"")))</f>
        <v/>
      </c>
      <c r="AZ37" s="10" t="str">
        <f>IF(K37="","",
IF(AX37="PT",VLOOKUP(K37,Foundation_Calc!$K$79:$R$113,VLOOKUP(AW37,Foundation_Calc!$I$2:$J$8,2,FALSE),0),
IF(AX37="K",VLOOKUP(K37,Foundation_Calc!$K$117:$R$151,VLOOKUP(AW37,Foundation_Calc!$I$2:$J$8,2,FALSE),0),"")))</f>
        <v/>
      </c>
      <c r="BA37" s="495" t="str">
        <f t="shared" si="7"/>
        <v/>
      </c>
      <c r="BB37" s="495" t="str">
        <f t="shared" si="8"/>
        <v/>
      </c>
      <c r="BC37" s="495" t="str">
        <f t="shared" si="9"/>
        <v/>
      </c>
      <c r="BD37" s="513"/>
      <c r="BE37" s="429" t="s">
        <v>118</v>
      </c>
      <c r="BF37" s="289"/>
      <c r="BG37" s="289"/>
      <c r="BH37" s="290"/>
      <c r="BI37" s="289"/>
    </row>
    <row r="38" spans="1:61" ht="16.149999999999999" customHeight="1">
      <c r="A38" s="545"/>
      <c r="B38" s="450"/>
      <c r="C38" s="3"/>
      <c r="D38" s="83"/>
      <c r="E38" s="4"/>
      <c r="F38" s="4"/>
      <c r="G38" s="6">
        <v>35</v>
      </c>
      <c r="H38" s="449"/>
      <c r="I38" s="449"/>
      <c r="J38" s="3"/>
      <c r="K38" s="449"/>
      <c r="L38" s="449"/>
      <c r="M38" s="449" t="str">
        <f>IF(L38="","",
IF(AX38="PT",VLOOKUP(L38,Foundation_Calc!$V$79:$X$113,VLOOKUP(AX38,Foundation_Calc!$I$10:$J$13,2,FALSE),0),
IF(AX38="K",VLOOKUP(L38,Foundation_Calc!$V$117:$X$151,VLOOKUP(AX38,Foundation_Calc!$I$10:$J$13,2,FALSE),0),"")))</f>
        <v/>
      </c>
      <c r="N38" s="449"/>
      <c r="O38" s="449"/>
      <c r="P38" s="449"/>
      <c r="Q38" s="4"/>
      <c r="R38" s="6"/>
      <c r="S38" s="6"/>
      <c r="T38" s="4"/>
      <c r="U38" s="4"/>
      <c r="V38" s="4"/>
      <c r="W38" s="9"/>
      <c r="X38" s="9"/>
      <c r="Y38" s="9"/>
      <c r="Z38" s="9"/>
      <c r="AA38" s="9"/>
      <c r="AB38" s="9"/>
      <c r="AC38" s="449" t="str">
        <f t="shared" si="0"/>
        <v/>
      </c>
      <c r="AD38" s="449"/>
      <c r="AE38" s="449"/>
      <c r="AF38" s="4"/>
      <c r="AG38" s="83"/>
      <c r="AH38" s="4"/>
      <c r="AI38" s="4"/>
      <c r="AJ38" s="449"/>
      <c r="AK38" s="449"/>
      <c r="AL38" s="449"/>
      <c r="AM38" s="449"/>
      <c r="AN38" s="10"/>
      <c r="AO38" s="9"/>
      <c r="AP38" s="9"/>
      <c r="AQ38" s="9">
        <f>+FL_2($T$39,$T$37,$G$38,1200,9.28, 1*$F$39)</f>
        <v>-0.40507487859613694</v>
      </c>
      <c r="AR38" s="9"/>
      <c r="AS38" s="9"/>
      <c r="AT38" s="9"/>
      <c r="AU38" s="428"/>
      <c r="AV38" s="428"/>
      <c r="AW38" s="449"/>
      <c r="AX38" s="449"/>
      <c r="AY38" s="10" t="str">
        <f>IF(L38="","",
IF(AX38="PT",VLOOKUP(L38,Foundation_Calc!$K$79:$R$113,VLOOKUP(AW38,Foundation_Calc!$I$2:$J$8,2,FALSE),0),
IF(AX38="K",VLOOKUP(L38,Foundation_Calc!$K$117:$R$151,VLOOKUP(AW38,Foundation_Calc!$I$2:$J$8,2,FALSE),0),"")))</f>
        <v/>
      </c>
      <c r="AZ38" s="10" t="str">
        <f>IF(K38="","",
IF(AX38="PT",VLOOKUP(K38,Foundation_Calc!$K$79:$R$113,VLOOKUP(AW38,Foundation_Calc!$I$2:$J$8,2,FALSE),0),
IF(AX38="K",VLOOKUP(K38,Foundation_Calc!$K$117:$R$151,VLOOKUP(AW38,Foundation_Calc!$I$2:$J$8,2,FALSE),0),"")))</f>
        <v/>
      </c>
      <c r="BA38" s="495" t="str">
        <f t="shared" si="7"/>
        <v/>
      </c>
      <c r="BB38" s="495" t="str">
        <f t="shared" si="8"/>
        <v/>
      </c>
      <c r="BC38" s="495" t="str">
        <f t="shared" si="9"/>
        <v/>
      </c>
      <c r="BD38" s="513"/>
      <c r="BE38" s="429" t="s">
        <v>118</v>
      </c>
      <c r="BF38" s="290"/>
      <c r="BG38" s="290"/>
      <c r="BH38" s="290"/>
      <c r="BI38" s="290"/>
    </row>
    <row r="39" spans="1:61" ht="16.149999999999999" customHeight="1">
      <c r="A39" s="545"/>
      <c r="B39" s="450" t="s">
        <v>1629</v>
      </c>
      <c r="C39" s="3">
        <f>+$C$37+$G$38</f>
        <v>34571.65</v>
      </c>
      <c r="D39" s="83"/>
      <c r="E39" s="4"/>
      <c r="F39" s="4">
        <v>900</v>
      </c>
      <c r="G39" s="6"/>
      <c r="H39" s="449"/>
      <c r="I39" s="449"/>
      <c r="J39" s="3"/>
      <c r="K39" s="449"/>
      <c r="L39" s="449" t="s">
        <v>201</v>
      </c>
      <c r="M39" s="449" t="str">
        <f>IF(L39="","",
IF(AX39="PT",VLOOKUP(L39,Foundation_Calc!$V$79:$X$113,VLOOKUP(AX39,Foundation_Calc!$I$10:$J$13,2,FALSE),0),
IF(AX39="K",VLOOKUP(L39,Foundation_Calc!$V$117:$X$151,VLOOKUP(AX39,Foundation_Calc!$I$10:$J$13,2,FALSE),0),"")))</f>
        <v/>
      </c>
      <c r="N39" s="449" t="s">
        <v>453</v>
      </c>
      <c r="O39" s="449"/>
      <c r="P39" s="449"/>
      <c r="Q39" s="4"/>
      <c r="R39" s="6"/>
      <c r="S39" s="6"/>
      <c r="T39" s="4">
        <v>30</v>
      </c>
      <c r="U39" s="4"/>
      <c r="V39" s="4"/>
      <c r="W39" s="9">
        <v>1.4</v>
      </c>
      <c r="X39" s="9"/>
      <c r="Y39" s="9"/>
      <c r="Z39" s="9"/>
      <c r="AA39" s="9"/>
      <c r="AB39" s="9"/>
      <c r="AC39" s="449" t="str">
        <f t="shared" si="0"/>
        <v>PHC</v>
      </c>
      <c r="AD39" s="449"/>
      <c r="AE39" s="449"/>
      <c r="AF39" s="4"/>
      <c r="AG39" s="83"/>
      <c r="AH39" s="4"/>
      <c r="AI39" s="4"/>
      <c r="AJ39" s="449"/>
      <c r="AK39" s="449" t="s">
        <v>451</v>
      </c>
      <c r="AL39" s="449"/>
      <c r="AM39" s="449"/>
      <c r="AN39" s="10">
        <v>5.5</v>
      </c>
      <c r="AO39" s="9"/>
      <c r="AP39" s="9"/>
      <c r="AQ39" s="9"/>
      <c r="AR39" s="9"/>
      <c r="AS39" s="9"/>
      <c r="AT39" s="9">
        <f>+ab($T$39,$T$37,-$T$41,$G$38,$G$40, 1*$F$39,1200)</f>
        <v>3.3039221144988433</v>
      </c>
      <c r="AU39" s="428"/>
      <c r="AV39" s="428"/>
      <c r="AW39" s="449" t="s">
        <v>201</v>
      </c>
      <c r="AX39" s="449" t="s">
        <v>201</v>
      </c>
      <c r="AY39" s="10" t="str">
        <f>IF(L39="","",
IF(AX39="PT",VLOOKUP(L39,Foundation_Calc!$K$79:$R$113,VLOOKUP(AW39,Foundation_Calc!$I$2:$J$8,2,FALSE),0),
IF(AX39="K",VLOOKUP(L39,Foundation_Calc!$K$117:$R$151,VLOOKUP(AW39,Foundation_Calc!$I$2:$J$8,2,FALSE),0),"")))</f>
        <v/>
      </c>
      <c r="AZ39" s="10" t="str">
        <f>IF(K39="","",
IF(AX39="PT",VLOOKUP(K39,Foundation_Calc!$K$79:$R$113,VLOOKUP(AW39,Foundation_Calc!$I$2:$J$8,2,FALSE),0),
IF(AX39="K",VLOOKUP(K39,Foundation_Calc!$K$117:$R$151,VLOOKUP(AW39,Foundation_Calc!$I$2:$J$8,2,FALSE),0),"")))</f>
        <v/>
      </c>
      <c r="BA39" s="495" t="str">
        <f t="shared" si="7"/>
        <v/>
      </c>
      <c r="BB39" s="495" t="str">
        <f t="shared" si="8"/>
        <v/>
      </c>
      <c r="BC39" s="495" t="str">
        <f t="shared" si="9"/>
        <v/>
      </c>
      <c r="BD39" s="513"/>
      <c r="BE39" s="429" t="s">
        <v>118</v>
      </c>
      <c r="BF39" s="289"/>
      <c r="BG39" s="289"/>
      <c r="BH39" s="290"/>
      <c r="BI39" s="289"/>
    </row>
    <row r="40" spans="1:61" ht="16.149999999999999" customHeight="1">
      <c r="A40" s="545"/>
      <c r="B40" s="450"/>
      <c r="C40" s="3"/>
      <c r="D40" s="83"/>
      <c r="E40" s="4"/>
      <c r="F40" s="4"/>
      <c r="G40" s="6">
        <v>30</v>
      </c>
      <c r="H40" s="449"/>
      <c r="I40" s="449"/>
      <c r="J40" s="3"/>
      <c r="K40" s="449"/>
      <c r="L40" s="449"/>
      <c r="M40" s="449" t="str">
        <f>IF(L40="","",
IF(AX40="PT",VLOOKUP(L40,Foundation_Calc!$V$79:$X$113,VLOOKUP(AX40,Foundation_Calc!$I$10:$J$13,2,FALSE),0),
IF(AX40="K",VLOOKUP(L40,Foundation_Calc!$V$117:$X$151,VLOOKUP(AX40,Foundation_Calc!$I$10:$J$13,2,FALSE),0),"")))</f>
        <v/>
      </c>
      <c r="N40" s="449"/>
      <c r="O40" s="449"/>
      <c r="P40" s="449"/>
      <c r="Q40" s="4"/>
      <c r="R40" s="6"/>
      <c r="S40" s="6"/>
      <c r="T40" s="4"/>
      <c r="U40" s="4"/>
      <c r="V40" s="4"/>
      <c r="W40" s="9"/>
      <c r="X40" s="9"/>
      <c r="Y40" s="9"/>
      <c r="Z40" s="9"/>
      <c r="AA40" s="9"/>
      <c r="AB40" s="9"/>
      <c r="AC40" s="449" t="str">
        <f t="shared" si="0"/>
        <v/>
      </c>
      <c r="AD40" s="449"/>
      <c r="AE40" s="449"/>
      <c r="AF40" s="4"/>
      <c r="AG40" s="83"/>
      <c r="AH40" s="4"/>
      <c r="AI40" s="4"/>
      <c r="AJ40" s="449"/>
      <c r="AK40" s="449"/>
      <c r="AL40" s="449"/>
      <c r="AM40" s="449"/>
      <c r="AN40" s="10"/>
      <c r="AO40" s="9"/>
      <c r="AP40" s="9"/>
      <c r="AQ40" s="9">
        <f>+FL_1($T$41,$T$39,$G$40,1200,9.28, 1*$F$41)</f>
        <v>0.30000000000000965</v>
      </c>
      <c r="AR40" s="9"/>
      <c r="AS40" s="9"/>
      <c r="AT40" s="9"/>
      <c r="AU40" s="428"/>
      <c r="AV40" s="428"/>
      <c r="AW40" s="449"/>
      <c r="AX40" s="449"/>
      <c r="AY40" s="10" t="str">
        <f>IF(L40="","",
IF(AX40="PT",VLOOKUP(L40,Foundation_Calc!$K$79:$R$113,VLOOKUP(AW40,Foundation_Calc!$I$2:$J$8,2,FALSE),0),
IF(AX40="K",VLOOKUP(L40,Foundation_Calc!$K$117:$R$151,VLOOKUP(AW40,Foundation_Calc!$I$2:$J$8,2,FALSE),0),"")))</f>
        <v/>
      </c>
      <c r="AZ40" s="10" t="str">
        <f>IF(K40="","",
IF(AX40="PT",VLOOKUP(K40,Foundation_Calc!$K$79:$R$113,VLOOKUP(AW40,Foundation_Calc!$I$2:$J$8,2,FALSE),0),
IF(AX40="K",VLOOKUP(K40,Foundation_Calc!$K$117:$R$151,VLOOKUP(AW40,Foundation_Calc!$I$2:$J$8,2,FALSE),0),"")))</f>
        <v/>
      </c>
      <c r="BA40" s="495" t="str">
        <f t="shared" si="7"/>
        <v/>
      </c>
      <c r="BB40" s="495" t="str">
        <f t="shared" si="8"/>
        <v/>
      </c>
      <c r="BC40" s="495" t="str">
        <f t="shared" si="9"/>
        <v/>
      </c>
      <c r="BD40" s="513"/>
      <c r="BE40" s="429" t="s">
        <v>118</v>
      </c>
      <c r="BF40" s="290"/>
      <c r="BG40" s="290"/>
      <c r="BH40" s="290"/>
      <c r="BI40" s="290"/>
    </row>
    <row r="41" spans="1:61" ht="16.149999999999999" customHeight="1">
      <c r="A41" s="545"/>
      <c r="B41" s="450" t="s">
        <v>1630</v>
      </c>
      <c r="C41" s="3">
        <f>+$C$39+$G$40</f>
        <v>34601.65</v>
      </c>
      <c r="D41" s="83"/>
      <c r="E41" s="4"/>
      <c r="F41" s="4">
        <v>900</v>
      </c>
      <c r="G41" s="6"/>
      <c r="H41" s="449"/>
      <c r="I41" s="449"/>
      <c r="J41" s="3"/>
      <c r="K41" s="449"/>
      <c r="L41" s="449" t="s">
        <v>201</v>
      </c>
      <c r="M41" s="449" t="str">
        <f>IF(L41="","",
IF(AX41="PT",VLOOKUP(L41,Foundation_Calc!$V$79:$X$113,VLOOKUP(AX41,Foundation_Calc!$I$10:$J$13,2,FALSE),0),
IF(AX41="K",VLOOKUP(L41,Foundation_Calc!$V$117:$X$151,VLOOKUP(AX41,Foundation_Calc!$I$10:$J$13,2,FALSE),0),"")))</f>
        <v/>
      </c>
      <c r="N41" s="553" t="s">
        <v>343</v>
      </c>
      <c r="O41" s="449"/>
      <c r="P41" s="449"/>
      <c r="Q41" s="4"/>
      <c r="R41" s="6"/>
      <c r="S41" s="6"/>
      <c r="T41" s="4">
        <v>-20</v>
      </c>
      <c r="U41" s="4"/>
      <c r="V41" s="4"/>
      <c r="W41" s="9">
        <v>1.4</v>
      </c>
      <c r="X41" s="9"/>
      <c r="Y41" s="9"/>
      <c r="Z41" s="9"/>
      <c r="AA41" s="9"/>
      <c r="AB41" s="9"/>
      <c r="AC41" s="449" t="str">
        <f t="shared" si="0"/>
        <v>PHC</v>
      </c>
      <c r="AD41" s="449"/>
      <c r="AE41" s="449"/>
      <c r="AF41" s="4"/>
      <c r="AG41" s="83"/>
      <c r="AH41" s="4"/>
      <c r="AI41" s="4"/>
      <c r="AJ41" s="449"/>
      <c r="AK41" s="449" t="s">
        <v>451</v>
      </c>
      <c r="AL41" s="449"/>
      <c r="AM41" s="449"/>
      <c r="AN41" s="10">
        <v>5.5</v>
      </c>
      <c r="AO41" s="9"/>
      <c r="AP41" s="9"/>
      <c r="AQ41" s="9"/>
      <c r="AR41" s="9"/>
      <c r="AS41" s="9"/>
      <c r="AT41" s="9">
        <f>+ab(-$T$41,$T$39,$T$43,$G$40,$G$42, 1*$F$41,1200)</f>
        <v>3.8673086594288666</v>
      </c>
      <c r="AU41" s="428"/>
      <c r="AV41" s="428"/>
      <c r="AW41" s="449" t="s">
        <v>201</v>
      </c>
      <c r="AX41" s="449" t="s">
        <v>201</v>
      </c>
      <c r="AY41" s="10" t="str">
        <f>IF(L41="","",
IF(AX41="PT",VLOOKUP(L41,Foundation_Calc!$K$79:$R$113,VLOOKUP(AW41,Foundation_Calc!$I$2:$J$8,2,FALSE),0),
IF(AX41="K",VLOOKUP(L41,Foundation_Calc!$K$117:$R$151,VLOOKUP(AW41,Foundation_Calc!$I$2:$J$8,2,FALSE),0),"")))</f>
        <v/>
      </c>
      <c r="AZ41" s="10" t="str">
        <f>IF(K41="","",
IF(AX41="PT",VLOOKUP(K41,Foundation_Calc!$K$79:$R$113,VLOOKUP(AW41,Foundation_Calc!$I$2:$J$8,2,FALSE),0),
IF(AX41="K",VLOOKUP(K41,Foundation_Calc!$K$117:$R$151,VLOOKUP(AW41,Foundation_Calc!$I$2:$J$8,2,FALSE),0),"")))</f>
        <v/>
      </c>
      <c r="BA41" s="495" t="str">
        <f t="shared" si="7"/>
        <v/>
      </c>
      <c r="BB41" s="495" t="str">
        <f t="shared" si="8"/>
        <v/>
      </c>
      <c r="BC41" s="495" t="str">
        <f t="shared" si="9"/>
        <v/>
      </c>
      <c r="BD41" s="513"/>
      <c r="BE41" s="429" t="s">
        <v>118</v>
      </c>
      <c r="BF41" s="289"/>
      <c r="BG41" s="289"/>
      <c r="BH41" s="290"/>
      <c r="BI41" s="289"/>
    </row>
    <row r="42" spans="1:61" ht="16.149999999999999" customHeight="1">
      <c r="A42" s="545"/>
      <c r="B42" s="450"/>
      <c r="C42" s="3"/>
      <c r="D42" s="83"/>
      <c r="E42" s="4"/>
      <c r="F42" s="4"/>
      <c r="G42" s="6">
        <v>24.1</v>
      </c>
      <c r="H42" s="449"/>
      <c r="I42" s="449"/>
      <c r="J42" s="3"/>
      <c r="K42" s="449"/>
      <c r="L42" s="449"/>
      <c r="M42" s="449" t="str">
        <f>IF(L42="","",
IF(AX42="PT",VLOOKUP(L42,Foundation_Calc!$V$79:$X$113,VLOOKUP(AX42,Foundation_Calc!$I$10:$J$13,2,FALSE),0),
IF(AX42="K",VLOOKUP(L42,Foundation_Calc!$V$117:$X$151,VLOOKUP(AX42,Foundation_Calc!$I$10:$J$13,2,FALSE),0),"")))</f>
        <v/>
      </c>
      <c r="N42" s="449"/>
      <c r="O42" s="449"/>
      <c r="P42" s="449"/>
      <c r="Q42" s="4"/>
      <c r="R42" s="6"/>
      <c r="S42" s="6"/>
      <c r="T42" s="4"/>
      <c r="U42" s="4"/>
      <c r="V42" s="4"/>
      <c r="W42" s="9"/>
      <c r="X42" s="9"/>
      <c r="Y42" s="9"/>
      <c r="Z42" s="9"/>
      <c r="AA42" s="9"/>
      <c r="AB42" s="9"/>
      <c r="AC42" s="449" t="str">
        <f t="shared" si="0"/>
        <v/>
      </c>
      <c r="AD42" s="449"/>
      <c r="AE42" s="449"/>
      <c r="AF42" s="4"/>
      <c r="AG42" s="83"/>
      <c r="AH42" s="4"/>
      <c r="AI42" s="4"/>
      <c r="AJ42" s="449"/>
      <c r="AK42" s="449"/>
      <c r="AL42" s="449"/>
      <c r="AM42" s="449"/>
      <c r="AN42" s="10"/>
      <c r="AO42" s="9"/>
      <c r="AP42" s="9"/>
      <c r="AQ42" s="9">
        <f>+FL_2($T$43,$T$41,-$G$42,1200,9.28, 1*$F$43)</f>
        <v>-0.35</v>
      </c>
      <c r="AR42" s="9"/>
      <c r="AS42" s="9"/>
      <c r="AT42" s="9"/>
      <c r="AU42" s="428"/>
      <c r="AV42" s="428"/>
      <c r="AW42" s="449" t="str">
        <f>IF(C42&gt;0,VLOOKUP(C42,Foundation_Calc!$A$2:$C$13,3,1),
IF(J42&gt;0,VLOOKUP(J42,Foundation_Calc!$A$2:$C$13,3,1),""))</f>
        <v/>
      </c>
      <c r="AX42" s="449" t="str">
        <f>IF(C42&gt;0,VLOOKUP(C42,Foundation_Calc!$E$2:$G$33,3,1),
IF(J42&gt;0,VLOOKUP(J42,Foundation_Calc!$E$2:$G$33,3,1),""))</f>
        <v/>
      </c>
      <c r="AY42" s="10" t="str">
        <f>IF(L42="","",
IF(AX42="PT",VLOOKUP(L42,Foundation_Calc!$K$79:$R$113,VLOOKUP(AW42,Foundation_Calc!$I$2:$J$8,2,FALSE),0),
IF(AX42="K",VLOOKUP(L42,Foundation_Calc!$K$117:$R$151,VLOOKUP(AW42,Foundation_Calc!$I$2:$J$8,2,FALSE),0),"")))</f>
        <v/>
      </c>
      <c r="AZ42" s="10" t="str">
        <f>IF(K42="","",
IF(AX42="PT",VLOOKUP(K42,Foundation_Calc!$K$79:$R$113,VLOOKUP(AW42,Foundation_Calc!$I$2:$J$8,2,FALSE),0),
IF(AX42="K",VLOOKUP(K42,Foundation_Calc!$K$117:$R$151,VLOOKUP(AW42,Foundation_Calc!$I$2:$J$8,2,FALSE),0),"")))</f>
        <v/>
      </c>
      <c r="BA42" s="495" t="str">
        <f t="shared" si="7"/>
        <v/>
      </c>
      <c r="BB42" s="495" t="str">
        <f t="shared" si="8"/>
        <v/>
      </c>
      <c r="BC42" s="495" t="str">
        <f t="shared" si="9"/>
        <v/>
      </c>
      <c r="BD42" s="513"/>
      <c r="BE42" s="429" t="s">
        <v>118</v>
      </c>
      <c r="BF42" s="290"/>
      <c r="BG42" s="290"/>
      <c r="BH42" s="290"/>
      <c r="BI42" s="290"/>
    </row>
    <row r="43" spans="1:61" ht="16.149999999999999" customHeight="1">
      <c r="A43" s="545"/>
      <c r="B43" s="450" t="s">
        <v>1631</v>
      </c>
      <c r="C43" s="3">
        <f>+$C$41+$G$42</f>
        <v>34625.75</v>
      </c>
      <c r="D43" s="83"/>
      <c r="E43" s="4"/>
      <c r="F43" s="4">
        <v>0</v>
      </c>
      <c r="G43" s="6"/>
      <c r="H43" s="449" t="s">
        <v>238</v>
      </c>
      <c r="I43" s="449"/>
      <c r="J43" s="3"/>
      <c r="K43" s="449"/>
      <c r="L43" s="449" t="s">
        <v>232</v>
      </c>
      <c r="M43" s="449" t="str">
        <f>IF(L43="","",
IF(AX43="PT",VLOOKUP(L43,Foundation_Calc!$V$79:$X$113,VLOOKUP(AX43,Foundation_Calc!$I$10:$J$13,2,FALSE),0),
IF(AX43="K",VLOOKUP(L43,Foundation_Calc!$V$117:$X$151,VLOOKUP(AX43,Foundation_Calc!$I$10:$J$13,2,FALSE),0),"")))</f>
        <v>C5R</v>
      </c>
      <c r="N43" s="449" t="s">
        <v>124</v>
      </c>
      <c r="O43" s="554" t="s">
        <v>134</v>
      </c>
      <c r="P43" s="449"/>
      <c r="Q43" s="4"/>
      <c r="R43" s="6"/>
      <c r="S43" s="6"/>
      <c r="T43" s="4">
        <v>-35</v>
      </c>
      <c r="U43" s="4">
        <v>-15</v>
      </c>
      <c r="V43" s="4"/>
      <c r="W43" s="9">
        <v>1.8</v>
      </c>
      <c r="X43" s="9">
        <v>1.4</v>
      </c>
      <c r="Y43" s="9"/>
      <c r="Z43" s="9"/>
      <c r="AA43" s="9"/>
      <c r="AB43" s="9"/>
      <c r="AC43" s="449" t="str">
        <f t="shared" si="0"/>
        <v>PHC</v>
      </c>
      <c r="AD43" s="449"/>
      <c r="AE43" s="449"/>
      <c r="AF43" s="4"/>
      <c r="AG43" s="83"/>
      <c r="AH43" s="4"/>
      <c r="AI43" s="4"/>
      <c r="AJ43" s="449" t="s">
        <v>239</v>
      </c>
      <c r="AK43" s="449"/>
      <c r="AL43" s="449" t="s">
        <v>241</v>
      </c>
      <c r="AM43" s="449" t="s">
        <v>126</v>
      </c>
      <c r="AN43" s="10">
        <v>5.5</v>
      </c>
      <c r="AO43" s="9"/>
      <c r="AP43" s="9"/>
      <c r="AQ43" s="9"/>
      <c r="AR43" s="9"/>
      <c r="AS43" s="9"/>
      <c r="AT43" s="9">
        <f>+ab($T$43,-$T$41,$T$45,$G$42,$G$44, 1*$F$43,1200)</f>
        <v>-4.6524425696817353</v>
      </c>
      <c r="AU43" s="428"/>
      <c r="AV43" s="428"/>
      <c r="AW43" s="449" t="str">
        <f>IF(C43&gt;0,VLOOKUP(C43,Foundation_Calc!$A$2:$C$13,3,1),
IF(J43&gt;0,VLOOKUP(J43,Foundation_Calc!$A$2:$C$13,3,1),""))</f>
        <v>Multi Soil</v>
      </c>
      <c r="AX43" s="449" t="str">
        <f>IF(C43&gt;0,VLOOKUP(C43,Foundation_Calc!$E$2:$G$33,3,1),
IF(J43&gt;0,VLOOKUP(J43,Foundation_Calc!$E$2:$G$33,3,1),""))</f>
        <v>PT</v>
      </c>
      <c r="AY43" s="10">
        <f>IF(L43="","",
IF(AX43="PT",VLOOKUP(L43,Foundation_Calc!$K$79:$R$113,VLOOKUP(AW43,Foundation_Calc!$I$2:$J$8,2,FALSE),0),
IF(AX43="K",VLOOKUP(L43,Foundation_Calc!$K$117:$R$151,VLOOKUP(AW43,Foundation_Calc!$I$2:$J$8,2,FALSE),0),"")))</f>
        <v>3.5</v>
      </c>
      <c r="AZ43" s="10" t="str">
        <f>IF(K43="","",
IF(AX43="PT",VLOOKUP(K43,Foundation_Calc!$K$79:$R$113,VLOOKUP(AW43,Foundation_Calc!$I$2:$J$8,2,FALSE),0),
IF(AX43="K",VLOOKUP(K43,Foundation_Calc!$K$117:$R$151,VLOOKUP(AW43,Foundation_Calc!$I$2:$J$8,2,FALSE),0),"")))</f>
        <v/>
      </c>
      <c r="BA43" s="495" t="str">
        <f t="shared" si="7"/>
        <v>ü</v>
      </c>
      <c r="BB43" s="495" t="str">
        <f t="shared" si="8"/>
        <v/>
      </c>
      <c r="BC43" s="495" t="str">
        <f t="shared" si="9"/>
        <v/>
      </c>
      <c r="BD43" s="513" t="str">
        <f>Pole_Calc!A$251</f>
        <v>App.8-V08H-P10.3</v>
      </c>
      <c r="BE43" s="429" t="s">
        <v>118</v>
      </c>
      <c r="BF43" s="289"/>
      <c r="BG43" s="289"/>
      <c r="BH43" s="290"/>
      <c r="BI43" s="289"/>
    </row>
    <row r="44" spans="1:61" ht="16.149999999999999" customHeight="1">
      <c r="A44" s="514"/>
      <c r="B44" s="450"/>
      <c r="C44" s="3"/>
      <c r="D44" s="83"/>
      <c r="E44" s="4"/>
      <c r="F44" s="4"/>
      <c r="G44" s="6">
        <v>30</v>
      </c>
      <c r="H44" s="449"/>
      <c r="I44" s="449"/>
      <c r="J44" s="3"/>
      <c r="K44" s="449"/>
      <c r="L44" s="449"/>
      <c r="M44" s="449" t="str">
        <f>IF(L44="","",
IF(AX44="PT",VLOOKUP(L44,Foundation_Calc!$V$79:$X$113,VLOOKUP(AX44,Foundation_Calc!$I$10:$J$13,2,FALSE),0),
IF(AX44="K",VLOOKUP(L44,Foundation_Calc!$V$117:$X$151,VLOOKUP(AX44,Foundation_Calc!$I$10:$J$13,2,FALSE),0),"")))</f>
        <v/>
      </c>
      <c r="N44" s="449"/>
      <c r="O44" s="449"/>
      <c r="P44" s="449"/>
      <c r="Q44" s="4"/>
      <c r="R44" s="6"/>
      <c r="S44" s="6"/>
      <c r="T44" s="4"/>
      <c r="U44" s="4"/>
      <c r="V44" s="4"/>
      <c r="W44" s="9"/>
      <c r="X44" s="9"/>
      <c r="Y44" s="9"/>
      <c r="Z44" s="9"/>
      <c r="AA44" s="9"/>
      <c r="AB44" s="9"/>
      <c r="AC44" s="449" t="str">
        <f t="shared" si="0"/>
        <v/>
      </c>
      <c r="AD44" s="449"/>
      <c r="AE44" s="449"/>
      <c r="AF44" s="4"/>
      <c r="AG44" s="83"/>
      <c r="AH44" s="4"/>
      <c r="AI44" s="4"/>
      <c r="AJ44" s="449"/>
      <c r="AK44" s="449"/>
      <c r="AL44" s="449"/>
      <c r="AM44" s="449"/>
      <c r="AN44" s="10"/>
      <c r="AO44" s="9"/>
      <c r="AP44" s="9"/>
      <c r="AQ44" s="9">
        <f>+FL_2($T$45,$T$43,$G$44,1200,9.28, 1*$F$45)</f>
        <v>-0.35000000000001275</v>
      </c>
      <c r="AR44" s="9"/>
      <c r="AS44" s="9"/>
      <c r="AT44" s="9"/>
      <c r="AU44" s="428"/>
      <c r="AV44" s="428"/>
      <c r="AW44" s="449" t="str">
        <f>IF(C44&gt;0,VLOOKUP(C44,Foundation_Calc!$A$2:$C$13,3,1),
IF(J44&gt;0,VLOOKUP(J44,Foundation_Calc!$A$2:$C$13,3,1),""))</f>
        <v/>
      </c>
      <c r="AX44" s="449" t="str">
        <f>IF(C44&gt;0,VLOOKUP(C44,Foundation_Calc!$E$2:$G$33,3,1),
IF(J44&gt;0,VLOOKUP(J44,Foundation_Calc!$E$2:$G$33,3,1),""))</f>
        <v/>
      </c>
      <c r="AY44" s="10" t="str">
        <f>IF(L44="","",
IF(AX44="PT",VLOOKUP(L44,Foundation_Calc!$K$79:$R$113,VLOOKUP(AW44,Foundation_Calc!$I$2:$J$8,2,FALSE),0),
IF(AX44="K",VLOOKUP(L44,Foundation_Calc!$K$117:$R$151,VLOOKUP(AW44,Foundation_Calc!$I$2:$J$8,2,FALSE),0),"")))</f>
        <v/>
      </c>
      <c r="AZ44" s="10" t="str">
        <f>IF(K44="","",
IF(AX44="PT",VLOOKUP(K44,Foundation_Calc!$K$79:$R$113,VLOOKUP(AW44,Foundation_Calc!$I$2:$J$8,2,FALSE),0),
IF(AX44="K",VLOOKUP(K44,Foundation_Calc!$K$117:$R$151,VLOOKUP(AW44,Foundation_Calc!$I$2:$J$8,2,FALSE),0),"")))</f>
        <v/>
      </c>
      <c r="BA44" s="495" t="str">
        <f t="shared" si="7"/>
        <v/>
      </c>
      <c r="BB44" s="495" t="str">
        <f t="shared" si="8"/>
        <v/>
      </c>
      <c r="BC44" s="495" t="str">
        <f t="shared" si="9"/>
        <v/>
      </c>
      <c r="BD44" s="513"/>
      <c r="BE44" s="429" t="s">
        <v>118</v>
      </c>
      <c r="BF44" s="290"/>
      <c r="BG44" s="290"/>
      <c r="BH44" s="290"/>
      <c r="BI44" s="290"/>
    </row>
    <row r="45" spans="1:61" ht="16.149999999999999" customHeight="1">
      <c r="A45" s="517"/>
      <c r="B45" s="450" t="s">
        <v>1632</v>
      </c>
      <c r="C45" s="3">
        <f>+$C$43+$G$44</f>
        <v>34655.75</v>
      </c>
      <c r="D45" s="83"/>
      <c r="E45" s="4"/>
      <c r="F45" s="4">
        <v>0</v>
      </c>
      <c r="G45" s="6"/>
      <c r="H45" s="449" t="s">
        <v>131</v>
      </c>
      <c r="I45" s="449"/>
      <c r="J45" s="3"/>
      <c r="K45" s="449"/>
      <c r="L45" s="449" t="s">
        <v>232</v>
      </c>
      <c r="M45" s="449" t="str">
        <f>IF(L45="","",
IF(AX45="PT",VLOOKUP(L45,Foundation_Calc!$V$79:$X$113,VLOOKUP(AX45,Foundation_Calc!$I$10:$J$13,2,FALSE),0),
IF(AX45="K",VLOOKUP(L45,Foundation_Calc!$V$117:$X$151,VLOOKUP(AX45,Foundation_Calc!$I$10:$J$13,2,FALSE),0),"")))</f>
        <v>C5R</v>
      </c>
      <c r="N45" s="449" t="s">
        <v>134</v>
      </c>
      <c r="O45" s="554" t="s">
        <v>133</v>
      </c>
      <c r="P45" s="449"/>
      <c r="Q45" s="4"/>
      <c r="R45" s="6"/>
      <c r="S45" s="6"/>
      <c r="T45" s="4">
        <v>20</v>
      </c>
      <c r="U45" s="4">
        <v>55</v>
      </c>
      <c r="V45" s="4"/>
      <c r="W45" s="9">
        <v>1.8</v>
      </c>
      <c r="X45" s="9">
        <v>1.4</v>
      </c>
      <c r="Y45" s="9"/>
      <c r="Z45" s="9"/>
      <c r="AA45" s="9">
        <v>0.25</v>
      </c>
      <c r="AB45" s="9"/>
      <c r="AC45" s="449" t="str">
        <f t="shared" si="0"/>
        <v>PH</v>
      </c>
      <c r="AD45" s="449"/>
      <c r="AE45" s="449"/>
      <c r="AF45" s="4"/>
      <c r="AG45" s="83"/>
      <c r="AH45" s="4"/>
      <c r="AI45" s="4"/>
      <c r="AJ45" s="449"/>
      <c r="AK45" s="449"/>
      <c r="AL45" s="449" t="s">
        <v>241</v>
      </c>
      <c r="AM45" s="449" t="s">
        <v>126</v>
      </c>
      <c r="AN45" s="10">
        <v>5.5</v>
      </c>
      <c r="AO45" s="9"/>
      <c r="AP45" s="9"/>
      <c r="AQ45" s="9"/>
      <c r="AR45" s="9"/>
      <c r="AS45" s="9"/>
      <c r="AT45" s="9">
        <f>+ab($T$45,$T$43,$T$47,$G$44,$G$46, 1*$F$45,1200)</f>
        <v>11.943457521152515</v>
      </c>
      <c r="AU45" s="428"/>
      <c r="AV45" s="428"/>
      <c r="AW45" s="449" t="str">
        <f>IF(C45&gt;0,VLOOKUP(C45,Foundation_Calc!$A$2:$C$13,3,1),
IF(J45&gt;0,VLOOKUP(J45,Foundation_Calc!$A$2:$C$13,3,1),""))</f>
        <v>Multi Soil</v>
      </c>
      <c r="AX45" s="449" t="str">
        <f>IF(C45&gt;0,VLOOKUP(C45,Foundation_Calc!$E$2:$G$33,3,1),
IF(J45&gt;0,VLOOKUP(J45,Foundation_Calc!$E$2:$G$33,3,1),""))</f>
        <v>PT</v>
      </c>
      <c r="AY45" s="10">
        <f>IF(L45="","",
IF(AX45="PT",VLOOKUP(L45,Foundation_Calc!$K$79:$R$113,VLOOKUP(AW45,Foundation_Calc!$I$2:$J$8,2,FALSE),0),
IF(AX45="K",VLOOKUP(L45,Foundation_Calc!$K$117:$R$151,VLOOKUP(AW45,Foundation_Calc!$I$2:$J$8,2,FALSE),0),"")))</f>
        <v>3.5</v>
      </c>
      <c r="AZ45" s="10" t="str">
        <f>IF(K45="","",
IF(AX45="PT",VLOOKUP(K45,Foundation_Calc!$K$79:$R$113,VLOOKUP(AW45,Foundation_Calc!$I$2:$J$8,2,FALSE),0),
IF(AX45="K",VLOOKUP(K45,Foundation_Calc!$K$117:$R$151,VLOOKUP(AW45,Foundation_Calc!$I$2:$J$8,2,FALSE),0),"")))</f>
        <v/>
      </c>
      <c r="BA45" s="495" t="str">
        <f t="shared" si="7"/>
        <v>ü</v>
      </c>
      <c r="BB45" s="495" t="str">
        <f t="shared" si="8"/>
        <v/>
      </c>
      <c r="BC45" s="495" t="str">
        <f t="shared" si="9"/>
        <v/>
      </c>
      <c r="BD45" s="513" t="str">
        <f>Pole_Calc!A$251</f>
        <v>App.8-V08H-P10.3</v>
      </c>
      <c r="BE45" s="429" t="s">
        <v>118</v>
      </c>
      <c r="BF45" s="289"/>
      <c r="BG45" s="289"/>
      <c r="BH45" s="290"/>
      <c r="BI45" s="289"/>
    </row>
    <row r="46" spans="1:61" ht="16.149999999999999" customHeight="1">
      <c r="A46" s="517"/>
      <c r="B46" s="450"/>
      <c r="C46" s="3"/>
      <c r="D46" s="83"/>
      <c r="E46" s="4"/>
      <c r="F46" s="4"/>
      <c r="G46" s="6">
        <v>40</v>
      </c>
      <c r="H46" s="449"/>
      <c r="I46" s="449"/>
      <c r="J46" s="3"/>
      <c r="K46" s="449"/>
      <c r="L46" s="449"/>
      <c r="M46" s="449" t="str">
        <f>IF(L46="","",
IF(AX46="PT",VLOOKUP(L46,Foundation_Calc!$V$79:$X$113,VLOOKUP(AX46,Foundation_Calc!$I$10:$J$13,2,FALSE),0),
IF(AX46="K",VLOOKUP(L46,Foundation_Calc!$V$117:$X$151,VLOOKUP(AX46,Foundation_Calc!$I$10:$J$13,2,FALSE),0),"")))</f>
        <v/>
      </c>
      <c r="N46" s="449"/>
      <c r="O46" s="449"/>
      <c r="P46" s="449"/>
      <c r="Q46" s="4"/>
      <c r="R46" s="6"/>
      <c r="S46" s="6"/>
      <c r="T46" s="4"/>
      <c r="U46" s="4"/>
      <c r="V46" s="4"/>
      <c r="W46" s="9"/>
      <c r="X46" s="9"/>
      <c r="Y46" s="9"/>
      <c r="Z46" s="9"/>
      <c r="AA46" s="9"/>
      <c r="AB46" s="9"/>
      <c r="AC46" s="449" t="str">
        <f t="shared" si="0"/>
        <v/>
      </c>
      <c r="AD46" s="449"/>
      <c r="AE46" s="449"/>
      <c r="AF46" s="4"/>
      <c r="AG46" s="83"/>
      <c r="AH46" s="4"/>
      <c r="AI46" s="4"/>
      <c r="AJ46" s="449"/>
      <c r="AK46" s="449"/>
      <c r="AL46" s="449"/>
      <c r="AM46" s="449"/>
      <c r="AN46" s="10"/>
      <c r="AO46" s="9"/>
      <c r="AP46" s="9"/>
      <c r="AQ46" s="9">
        <f>+FL_1($T$47,$T$45,$G$46,1200,9.28, 1*$F$47)</f>
        <v>0.3</v>
      </c>
      <c r="AR46" s="9"/>
      <c r="AS46" s="9"/>
      <c r="AT46" s="9"/>
      <c r="AU46" s="428"/>
      <c r="AV46" s="428"/>
      <c r="AW46" s="449" t="str">
        <f>IF(C46&gt;0,VLOOKUP(C46,Foundation_Calc!$A$2:$C$13,3,1),
IF(J46&gt;0,VLOOKUP(J46,Foundation_Calc!$A$2:$C$13,3,1),""))</f>
        <v/>
      </c>
      <c r="AX46" s="449" t="str">
        <f>IF(C46&gt;0,VLOOKUP(C46,Foundation_Calc!$E$2:$G$33,3,1),
IF(J46&gt;0,VLOOKUP(J46,Foundation_Calc!$E$2:$G$33,3,1),""))</f>
        <v/>
      </c>
      <c r="AY46" s="10" t="str">
        <f>IF(L46="","",
IF(AX46="PT",VLOOKUP(L46,Foundation_Calc!$K$79:$R$113,VLOOKUP(AW46,Foundation_Calc!$I$2:$J$8,2,FALSE),0),
IF(AX46="K",VLOOKUP(L46,Foundation_Calc!$K$117:$R$151,VLOOKUP(AW46,Foundation_Calc!$I$2:$J$8,2,FALSE),0),"")))</f>
        <v/>
      </c>
      <c r="AZ46" s="10" t="str">
        <f>IF(K46="","",
IF(AX46="PT",VLOOKUP(K46,Foundation_Calc!$K$79:$R$113,VLOOKUP(AW46,Foundation_Calc!$I$2:$J$8,2,FALSE),0),
IF(AX46="K",VLOOKUP(K46,Foundation_Calc!$K$117:$R$151,VLOOKUP(AW46,Foundation_Calc!$I$2:$J$8,2,FALSE),0),"")))</f>
        <v/>
      </c>
      <c r="BA46" s="495" t="str">
        <f t="shared" si="7"/>
        <v/>
      </c>
      <c r="BB46" s="495" t="str">
        <f t="shared" si="8"/>
        <v/>
      </c>
      <c r="BC46" s="495" t="str">
        <f t="shared" si="9"/>
        <v/>
      </c>
      <c r="BD46" s="513"/>
      <c r="BE46" s="429" t="s">
        <v>118</v>
      </c>
      <c r="BF46" s="290"/>
      <c r="BG46" s="290"/>
      <c r="BH46" s="290"/>
      <c r="BI46" s="290"/>
    </row>
    <row r="47" spans="1:61" ht="16.149999999999999" customHeight="1">
      <c r="A47" s="517"/>
      <c r="B47" s="450" t="s">
        <v>1633</v>
      </c>
      <c r="C47" s="3">
        <f>+$C$45+$G$46</f>
        <v>34695.75</v>
      </c>
      <c r="D47" s="83"/>
      <c r="E47" s="4"/>
      <c r="F47" s="4">
        <v>953.6</v>
      </c>
      <c r="G47" s="6"/>
      <c r="H47" s="449" t="s">
        <v>284</v>
      </c>
      <c r="I47" s="449" t="s">
        <v>122</v>
      </c>
      <c r="J47" s="3"/>
      <c r="K47" s="449"/>
      <c r="L47" s="449" t="s">
        <v>232</v>
      </c>
      <c r="M47" s="449" t="str">
        <f>IF(L47="","",
IF(AX47="PT",VLOOKUP(L47,Foundation_Calc!$V$79:$X$113,VLOOKUP(AX47,Foundation_Calc!$I$10:$J$13,2,FALSE),0),
IF(AX47="K",VLOOKUP(L47,Foundation_Calc!$V$117:$X$151,VLOOKUP(AX47,Foundation_Calc!$I$10:$J$13,2,FALSE),0),"")))</f>
        <v>C5R</v>
      </c>
      <c r="N47" s="449" t="s">
        <v>134</v>
      </c>
      <c r="O47" s="449"/>
      <c r="P47" s="449"/>
      <c r="Q47" s="4"/>
      <c r="R47" s="6"/>
      <c r="S47" s="6"/>
      <c r="T47" s="4">
        <v>30</v>
      </c>
      <c r="U47" s="4"/>
      <c r="V47" s="4"/>
      <c r="W47" s="9">
        <v>1.4</v>
      </c>
      <c r="X47" s="9"/>
      <c r="Y47" s="9"/>
      <c r="Z47" s="9"/>
      <c r="AA47" s="9"/>
      <c r="AB47" s="9"/>
      <c r="AC47" s="449" t="str">
        <f t="shared" si="0"/>
        <v>PHC</v>
      </c>
      <c r="AD47" s="449"/>
      <c r="AE47" s="449"/>
      <c r="AF47" s="4"/>
      <c r="AG47" s="83"/>
      <c r="AH47" s="4"/>
      <c r="AI47" s="4"/>
      <c r="AJ47" s="449"/>
      <c r="AK47" s="449"/>
      <c r="AL47" s="449" t="s">
        <v>241</v>
      </c>
      <c r="AM47" s="449" t="s">
        <v>126</v>
      </c>
      <c r="AN47" s="10">
        <v>5.5</v>
      </c>
      <c r="AO47" s="9"/>
      <c r="AP47" s="9"/>
      <c r="AQ47" s="9"/>
      <c r="AR47" s="9"/>
      <c r="AS47" s="9"/>
      <c r="AT47" s="9">
        <f>+ab($T$47,$T$45,$T$49,$G$46,$G$48, 1*$F$47,1200)</f>
        <v>4.0431349445256322</v>
      </c>
      <c r="AU47" s="428"/>
      <c r="AV47" s="428"/>
      <c r="AW47" s="449" t="str">
        <f>IF(C47&gt;0,VLOOKUP(C47,Foundation_Calc!$A$2:$C$13,3,1),
IF(J47&gt;0,VLOOKUP(J47,Foundation_Calc!$A$2:$C$13,3,1),""))</f>
        <v>Multi Soil</v>
      </c>
      <c r="AX47" s="449" t="str">
        <f>IF(C47&gt;0,VLOOKUP(C47,Foundation_Calc!$E$2:$G$33,3,1),
IF(J47&gt;0,VLOOKUP(J47,Foundation_Calc!$E$2:$G$33,3,1),""))</f>
        <v>PT</v>
      </c>
      <c r="AY47" s="10">
        <f>IF(L47="","",
IF(AX47="PT",VLOOKUP(L47,Foundation_Calc!$K$79:$R$113,VLOOKUP(AW47,Foundation_Calc!$I$2:$J$8,2,FALSE),0),
IF(AX47="K",VLOOKUP(L47,Foundation_Calc!$K$117:$R$151,VLOOKUP(AW47,Foundation_Calc!$I$2:$J$8,2,FALSE),0),"")))</f>
        <v>3.5</v>
      </c>
      <c r="AZ47" s="10" t="str">
        <f>IF(K47="","",
IF(AX47="PT",VLOOKUP(K47,Foundation_Calc!$K$79:$R$113,VLOOKUP(AW47,Foundation_Calc!$I$2:$J$8,2,FALSE),0),
IF(AX47="K",VLOOKUP(K47,Foundation_Calc!$K$117:$R$151,VLOOKUP(AW47,Foundation_Calc!$I$2:$J$8,2,FALSE),0),"")))</f>
        <v/>
      </c>
      <c r="BA47" s="495" t="str">
        <f t="shared" si="7"/>
        <v>ü</v>
      </c>
      <c r="BB47" s="495" t="str">
        <f t="shared" si="8"/>
        <v/>
      </c>
      <c r="BC47" s="495" t="str">
        <f t="shared" si="9"/>
        <v/>
      </c>
      <c r="BD47" s="513" t="str">
        <f>Pole_Calc!A$251</f>
        <v>App.8-V08H-P10.3</v>
      </c>
      <c r="BE47" s="429" t="s">
        <v>118</v>
      </c>
      <c r="BF47" s="289"/>
      <c r="BG47" s="289"/>
      <c r="BH47" s="290"/>
      <c r="BI47" s="289"/>
    </row>
    <row r="48" spans="1:61" ht="16.149999999999999" customHeight="1">
      <c r="A48" s="517"/>
      <c r="B48" s="450"/>
      <c r="C48" s="3"/>
      <c r="D48" s="83"/>
      <c r="E48" s="4"/>
      <c r="F48" s="4"/>
      <c r="G48" s="6">
        <v>45.6</v>
      </c>
      <c r="H48" s="449"/>
      <c r="I48" s="449"/>
      <c r="J48" s="3">
        <f>C47+7.5</f>
        <v>34703.25</v>
      </c>
      <c r="K48" s="449" t="s">
        <v>117</v>
      </c>
      <c r="L48" s="449"/>
      <c r="M48" s="449" t="str">
        <f>IF(L48="","",
IF(AX48="PT",VLOOKUP(L48,Foundation_Calc!$V$79:$X$113,VLOOKUP(AX48,Foundation_Calc!$I$10:$J$13,2,FALSE),0),
IF(AX48="K",VLOOKUP(L48,Foundation_Calc!$V$117:$X$151,VLOOKUP(AX48,Foundation_Calc!$I$10:$J$13,2,FALSE),0),"")))</f>
        <v/>
      </c>
      <c r="N48" s="449"/>
      <c r="O48" s="449"/>
      <c r="P48" s="449"/>
      <c r="Q48" s="4"/>
      <c r="R48" s="6"/>
      <c r="S48" s="6"/>
      <c r="T48" s="4"/>
      <c r="U48" s="4"/>
      <c r="V48" s="4"/>
      <c r="W48" s="9"/>
      <c r="X48" s="9"/>
      <c r="Y48" s="9"/>
      <c r="Z48" s="9"/>
      <c r="AA48" s="9"/>
      <c r="AB48" s="9"/>
      <c r="AC48" s="449" t="str">
        <f t="shared" si="0"/>
        <v/>
      </c>
      <c r="AD48" s="449"/>
      <c r="AE48" s="449"/>
      <c r="AF48" s="4"/>
      <c r="AG48" s="83"/>
      <c r="AH48" s="4"/>
      <c r="AI48" s="4"/>
      <c r="AJ48" s="449"/>
      <c r="AK48" s="449"/>
      <c r="AL48" s="449"/>
      <c r="AM48" s="449"/>
      <c r="AN48" s="10"/>
      <c r="AO48" s="9"/>
      <c r="AP48" s="9"/>
      <c r="AQ48" s="9">
        <f>+FL_1($T$49,$T$47,$G$48,1200,9.28, 1*$F$49)</f>
        <v>0.30006268742490716</v>
      </c>
      <c r="AR48" s="9"/>
      <c r="AS48" s="9"/>
      <c r="AT48" s="9"/>
      <c r="AU48" s="428"/>
      <c r="AV48" s="428"/>
      <c r="AW48" s="449" t="str">
        <f>IF(C48&gt;0,VLOOKUP(C48,Foundation_Calc!$A$2:$C$13,3,1),
IF(J48&gt;0,VLOOKUP(J48,Foundation_Calc!$A$2:$C$13,3,1),""))</f>
        <v>Multi Soil</v>
      </c>
      <c r="AX48" s="449" t="str">
        <f>IF(C48&gt;0,VLOOKUP(C48,Foundation_Calc!$E$2:$G$33,3,1),
IF(J48&gt;0,VLOOKUP(J48,Foundation_Calc!$E$2:$G$33,3,1),""))</f>
        <v>PT</v>
      </c>
      <c r="AY48" s="10" t="str">
        <f>IF(L48="","",
IF(AX48="PT",VLOOKUP(L48,Foundation_Calc!$K$79:$R$113,VLOOKUP(AW48,Foundation_Calc!$I$2:$J$8,2,FALSE),0),
IF(AX48="K",VLOOKUP(L48,Foundation_Calc!$K$117:$R$151,VLOOKUP(AW48,Foundation_Calc!$I$2:$J$8,2,FALSE),0),"")))</f>
        <v/>
      </c>
      <c r="AZ48" s="10">
        <f>IF(K48="","",
IF(AX48="PT",VLOOKUP(K48,Foundation_Calc!$K$79:$R$113,VLOOKUP(AW48,Foundation_Calc!$I$2:$J$8,2,FALSE),0),
IF(AX48="K",VLOOKUP(K48,Foundation_Calc!$K$117:$R$151,VLOOKUP(AW48,Foundation_Calc!$I$2:$J$8,2,FALSE),0),"")))</f>
        <v>3.9</v>
      </c>
      <c r="BA48" s="495" t="str">
        <f t="shared" si="7"/>
        <v/>
      </c>
      <c r="BB48" s="495" t="str">
        <f t="shared" si="8"/>
        <v>ü</v>
      </c>
      <c r="BC48" s="495" t="str">
        <f t="shared" si="9"/>
        <v/>
      </c>
      <c r="BD48" s="513"/>
      <c r="BE48" s="429" t="s">
        <v>118</v>
      </c>
      <c r="BF48" s="290"/>
      <c r="BG48" s="290"/>
      <c r="BH48" s="290"/>
      <c r="BI48" s="290"/>
    </row>
    <row r="49" spans="1:61" ht="16.149999999999999" customHeight="1">
      <c r="A49" s="517"/>
      <c r="B49" s="450" t="s">
        <v>1634</v>
      </c>
      <c r="C49" s="3">
        <f>+$C$47+$G$48</f>
        <v>34741.35</v>
      </c>
      <c r="D49" s="83"/>
      <c r="E49" s="4"/>
      <c r="F49" s="4">
        <v>954</v>
      </c>
      <c r="G49" s="6"/>
      <c r="H49" s="449"/>
      <c r="I49" s="449"/>
      <c r="J49" s="3"/>
      <c r="K49" s="449"/>
      <c r="L49" s="449" t="s">
        <v>232</v>
      </c>
      <c r="M49" s="449" t="str">
        <f>IF(L49="","",
IF(AX49="PT",VLOOKUP(L49,Foundation_Calc!$V$79:$X$113,VLOOKUP(AX49,Foundation_Calc!$I$10:$J$13,2,FALSE),0),
IF(AX49="K",VLOOKUP(L49,Foundation_Calc!$V$117:$X$151,VLOOKUP(AX49,Foundation_Calc!$I$10:$J$13,2,FALSE),0),"")))</f>
        <v>C5R</v>
      </c>
      <c r="N49" s="449" t="s">
        <v>134</v>
      </c>
      <c r="O49" s="449"/>
      <c r="P49" s="449"/>
      <c r="Q49" s="4"/>
      <c r="R49" s="6"/>
      <c r="S49" s="6"/>
      <c r="T49" s="4">
        <v>30</v>
      </c>
      <c r="U49" s="4"/>
      <c r="V49" s="4"/>
      <c r="W49" s="9">
        <v>1.4</v>
      </c>
      <c r="X49" s="9"/>
      <c r="Y49" s="9"/>
      <c r="Z49" s="9"/>
      <c r="AA49" s="9"/>
      <c r="AB49" s="9"/>
      <c r="AC49" s="449" t="str">
        <f t="shared" si="0"/>
        <v>PHC</v>
      </c>
      <c r="AD49" s="449"/>
      <c r="AE49" s="449"/>
      <c r="AF49" s="4"/>
      <c r="AG49" s="83"/>
      <c r="AH49" s="4"/>
      <c r="AI49" s="4"/>
      <c r="AJ49" s="449"/>
      <c r="AK49" s="449"/>
      <c r="AL49" s="449" t="s">
        <v>241</v>
      </c>
      <c r="AM49" s="449" t="s">
        <v>126</v>
      </c>
      <c r="AN49" s="10">
        <v>5.5</v>
      </c>
      <c r="AO49" s="9"/>
      <c r="AP49" s="9"/>
      <c r="AQ49" s="9"/>
      <c r="AR49" s="9"/>
      <c r="AS49" s="9"/>
      <c r="AT49" s="9">
        <f>+ab($T$49,$T$47,$T$51,$G$48,$G$50, 1*$F$49,1200)</f>
        <v>3.9055977290164097</v>
      </c>
      <c r="AU49" s="428"/>
      <c r="AV49" s="428"/>
      <c r="AW49" s="449" t="str">
        <f>IF(C49&gt;0,VLOOKUP(C49,Foundation_Calc!$A$2:$C$13,3,1),
IF(J49&gt;0,VLOOKUP(J49,Foundation_Calc!$A$2:$C$13,3,1),""))</f>
        <v>Multi Soil</v>
      </c>
      <c r="AX49" s="449" t="str">
        <f>IF(C49&gt;0,VLOOKUP(C49,Foundation_Calc!$E$2:$G$33,3,1),
IF(J49&gt;0,VLOOKUP(J49,Foundation_Calc!$E$2:$G$33,3,1),""))</f>
        <v>PT</v>
      </c>
      <c r="AY49" s="10">
        <f>IF(L49="","",
IF(AX49="PT",VLOOKUP(L49,Foundation_Calc!$K$79:$R$113,VLOOKUP(AW49,Foundation_Calc!$I$2:$J$8,2,FALSE),0),
IF(AX49="K",VLOOKUP(L49,Foundation_Calc!$K$117:$R$151,VLOOKUP(AW49,Foundation_Calc!$I$2:$J$8,2,FALSE),0),"")))</f>
        <v>3.5</v>
      </c>
      <c r="AZ49" s="10" t="str">
        <f>IF(K49="","",
IF(AX49="PT",VLOOKUP(K49,Foundation_Calc!$K$79:$R$113,VLOOKUP(AW49,Foundation_Calc!$I$2:$J$8,2,FALSE),0),
IF(AX49="K",VLOOKUP(K49,Foundation_Calc!$K$117:$R$151,VLOOKUP(AW49,Foundation_Calc!$I$2:$J$8,2,FALSE),0),"")))</f>
        <v/>
      </c>
      <c r="BA49" s="495" t="str">
        <f t="shared" si="7"/>
        <v>ü</v>
      </c>
      <c r="BB49" s="495" t="str">
        <f t="shared" si="8"/>
        <v/>
      </c>
      <c r="BC49" s="495" t="str">
        <f t="shared" si="9"/>
        <v/>
      </c>
      <c r="BD49" s="513" t="str">
        <f>Pole_Calc!A$251</f>
        <v>App.8-V08H-P10.3</v>
      </c>
      <c r="BE49" s="429" t="s">
        <v>118</v>
      </c>
      <c r="BF49" s="289"/>
      <c r="BG49" s="289"/>
      <c r="BH49" s="290"/>
      <c r="BI49" s="289"/>
    </row>
    <row r="50" spans="1:61" ht="16.149999999999999" customHeight="1">
      <c r="A50" s="545"/>
      <c r="B50" s="450"/>
      <c r="C50" s="3"/>
      <c r="D50" s="83"/>
      <c r="E50" s="4"/>
      <c r="F50" s="4"/>
      <c r="G50" s="6">
        <v>48</v>
      </c>
      <c r="H50" s="449"/>
      <c r="I50" s="449"/>
      <c r="J50" s="3">
        <f>C51-7.5</f>
        <v>34781.85</v>
      </c>
      <c r="K50" s="449" t="s">
        <v>117</v>
      </c>
      <c r="L50" s="449"/>
      <c r="M50" s="449" t="str">
        <f>IF(L50="","",
IF(AX50="PT",VLOOKUP(L50,Foundation_Calc!$V$79:$X$113,VLOOKUP(AX50,Foundation_Calc!$I$10:$J$13,2,FALSE),0),
IF(AX50="K",VLOOKUP(L50,Foundation_Calc!$V$117:$X$151,VLOOKUP(AX50,Foundation_Calc!$I$10:$J$13,2,FALSE),0),"")))</f>
        <v/>
      </c>
      <c r="N50" s="449"/>
      <c r="O50" s="449"/>
      <c r="P50" s="449"/>
      <c r="Q50" s="4"/>
      <c r="R50" s="6"/>
      <c r="S50" s="6"/>
      <c r="T50" s="4"/>
      <c r="U50" s="4"/>
      <c r="V50" s="4"/>
      <c r="W50" s="9"/>
      <c r="X50" s="9"/>
      <c r="Y50" s="9"/>
      <c r="Z50" s="9"/>
      <c r="AA50" s="9"/>
      <c r="AB50" s="9"/>
      <c r="AC50" s="449" t="str">
        <f t="shared" si="0"/>
        <v/>
      </c>
      <c r="AD50" s="449"/>
      <c r="AE50" s="449"/>
      <c r="AF50" s="4"/>
      <c r="AG50" s="83"/>
      <c r="AH50" s="4"/>
      <c r="AI50" s="4"/>
      <c r="AJ50" s="449"/>
      <c r="AK50" s="449"/>
      <c r="AL50" s="449"/>
      <c r="AM50" s="449"/>
      <c r="AN50" s="10"/>
      <c r="AO50" s="9"/>
      <c r="AP50" s="9"/>
      <c r="AQ50" s="9">
        <f>+FL_1($T$51,$T$49,$G$50,1200,9.28, 1*$F$51)</f>
        <v>0.30006598603802576</v>
      </c>
      <c r="AR50" s="9"/>
      <c r="AS50" s="9"/>
      <c r="AT50" s="9"/>
      <c r="AU50" s="428"/>
      <c r="AV50" s="428"/>
      <c r="AW50" s="449" t="str">
        <f>IF(C50&gt;0,VLOOKUP(C50,Foundation_Calc!$A$2:$C$13,3,1),
IF(J50&gt;0,VLOOKUP(J50,Foundation_Calc!$A$2:$C$13,3,1),""))</f>
        <v>Multi Soil</v>
      </c>
      <c r="AX50" s="449" t="str">
        <f>IF(C50&gt;0,VLOOKUP(C50,Foundation_Calc!$E$2:$G$33,3,1),
IF(J50&gt;0,VLOOKUP(J50,Foundation_Calc!$E$2:$G$33,3,1),""))</f>
        <v>PT</v>
      </c>
      <c r="AY50" s="10" t="str">
        <f>IF(L50="","",
IF(AX50="PT",VLOOKUP(L50,Foundation_Calc!$K$79:$R$113,VLOOKUP(AW50,Foundation_Calc!$I$2:$J$8,2,FALSE),0),
IF(AX50="K",VLOOKUP(L50,Foundation_Calc!$K$117:$R$151,VLOOKUP(AW50,Foundation_Calc!$I$2:$J$8,2,FALSE),0),"")))</f>
        <v/>
      </c>
      <c r="AZ50" s="10">
        <f>IF(K50="","",
IF(AX50="PT",VLOOKUP(K50,Foundation_Calc!$K$79:$R$113,VLOOKUP(AW50,Foundation_Calc!$I$2:$J$8,2,FALSE),0),
IF(AX50="K",VLOOKUP(K50,Foundation_Calc!$K$117:$R$151,VLOOKUP(AW50,Foundation_Calc!$I$2:$J$8,2,FALSE),0),"")))</f>
        <v>3.9</v>
      </c>
      <c r="BA50" s="495" t="str">
        <f t="shared" si="7"/>
        <v/>
      </c>
      <c r="BB50" s="495" t="str">
        <f t="shared" si="8"/>
        <v>ü</v>
      </c>
      <c r="BC50" s="495" t="str">
        <f t="shared" si="9"/>
        <v/>
      </c>
      <c r="BD50" s="513" t="str">
        <f>IF(AND(L50="",H50=""),"",
IF(H50="",Pole_Calc!A$22,
IF(H50="MP",Pole_Calc!A$23,
IF(H50="AnMP",Pole_Calc!A$24,
IF(H50="A",Pole_Calc!A$25,
IF(H50="S/A",Pole_Calc!A$26,
IF(H50="A/S",Pole_Calc!A$27,"Poner a mano")))))))</f>
        <v/>
      </c>
      <c r="BE50" s="429" t="s">
        <v>118</v>
      </c>
      <c r="BF50" s="290"/>
      <c r="BG50" s="290"/>
      <c r="BH50" s="290"/>
      <c r="BI50" s="290"/>
    </row>
    <row r="51" spans="1:61" ht="16.149999999999999" customHeight="1">
      <c r="A51" s="545"/>
      <c r="B51" s="450" t="s">
        <v>1635</v>
      </c>
      <c r="C51" s="3">
        <f>+$C$49+$G$50</f>
        <v>34789.35</v>
      </c>
      <c r="D51" s="83"/>
      <c r="E51" s="4"/>
      <c r="F51" s="4">
        <v>954</v>
      </c>
      <c r="G51" s="6"/>
      <c r="H51" s="449" t="s">
        <v>121</v>
      </c>
      <c r="I51" s="449" t="s">
        <v>162</v>
      </c>
      <c r="J51" s="3"/>
      <c r="K51" s="449"/>
      <c r="L51" s="449" t="s">
        <v>232</v>
      </c>
      <c r="M51" s="449" t="str">
        <f>IF(L51="","",
IF(AX51="PT",VLOOKUP(L51,Foundation_Calc!$V$79:$X$113,VLOOKUP(AX51,Foundation_Calc!$I$10:$J$13,2,FALSE),0),
IF(AX51="K",VLOOKUP(L51,Foundation_Calc!$V$117:$X$151,VLOOKUP(AX51,Foundation_Calc!$I$10:$J$13,2,FALSE),0),"")))</f>
        <v>C5R</v>
      </c>
      <c r="N51" s="449" t="s">
        <v>134</v>
      </c>
      <c r="O51" s="449"/>
      <c r="P51" s="449"/>
      <c r="Q51" s="4"/>
      <c r="R51" s="6"/>
      <c r="S51" s="6"/>
      <c r="T51" s="4">
        <v>30</v>
      </c>
      <c r="U51" s="4"/>
      <c r="V51" s="4"/>
      <c r="W51" s="9">
        <v>1.4</v>
      </c>
      <c r="X51" s="9"/>
      <c r="Y51" s="9"/>
      <c r="Z51" s="9"/>
      <c r="AA51" s="9"/>
      <c r="AB51" s="9"/>
      <c r="AC51" s="449" t="str">
        <f t="shared" si="0"/>
        <v>PHC</v>
      </c>
      <c r="AD51" s="449"/>
      <c r="AE51" s="449"/>
      <c r="AF51" s="4"/>
      <c r="AG51" s="83"/>
      <c r="AH51" s="4"/>
      <c r="AI51" s="4"/>
      <c r="AJ51" s="449"/>
      <c r="AK51" s="449"/>
      <c r="AL51" s="449" t="s">
        <v>241</v>
      </c>
      <c r="AM51" s="449" t="s">
        <v>126</v>
      </c>
      <c r="AN51" s="10">
        <v>5.5</v>
      </c>
      <c r="AO51" s="9"/>
      <c r="AP51" s="9"/>
      <c r="AQ51" s="9"/>
      <c r="AR51" s="9"/>
      <c r="AS51" s="9"/>
      <c r="AT51" s="9">
        <f>+ab($T$51,$T$49,$U$53,$G$50,$G$52, 1*$F$51,1200)</f>
        <v>3.5177589421522244</v>
      </c>
      <c r="AU51" s="428"/>
      <c r="AV51" s="428"/>
      <c r="AW51" s="449" t="str">
        <f>IF(C51&gt;0,VLOOKUP(C51,Foundation_Calc!$A$2:$C$13,3,1),
IF(J51&gt;0,VLOOKUP(J51,Foundation_Calc!$A$2:$C$13,3,1),""))</f>
        <v>Multi Soil</v>
      </c>
      <c r="AX51" s="449" t="str">
        <f>IF(C51&gt;0,VLOOKUP(C51,Foundation_Calc!$E$2:$G$33,3,1),
IF(J51&gt;0,VLOOKUP(J51,Foundation_Calc!$E$2:$G$33,3,1),""))</f>
        <v>PT</v>
      </c>
      <c r="AY51" s="10">
        <f>IF(L51="","",
IF(AX51="PT",VLOOKUP(L51,Foundation_Calc!$K$79:$R$113,VLOOKUP(AW51,Foundation_Calc!$I$2:$J$8,2,FALSE),0),
IF(AX51="K",VLOOKUP(L51,Foundation_Calc!$K$117:$R$151,VLOOKUP(AW51,Foundation_Calc!$I$2:$J$8,2,FALSE),0),"")))</f>
        <v>3.5</v>
      </c>
      <c r="AZ51" s="10" t="str">
        <f>IF(K51="","",
IF(AX51="PT",VLOOKUP(K51,Foundation_Calc!$K$79:$R$113,VLOOKUP(AW51,Foundation_Calc!$I$2:$J$8,2,FALSE),0),
IF(AX51="K",VLOOKUP(K51,Foundation_Calc!$K$117:$R$151,VLOOKUP(AW51,Foundation_Calc!$I$2:$J$8,2,FALSE),0),"")))</f>
        <v/>
      </c>
      <c r="BA51" s="495" t="str">
        <f t="shared" si="7"/>
        <v>ü</v>
      </c>
      <c r="BB51" s="495" t="str">
        <f t="shared" si="8"/>
        <v/>
      </c>
      <c r="BC51" s="495" t="str">
        <f t="shared" si="9"/>
        <v/>
      </c>
      <c r="BD51" s="513" t="str">
        <f>Pole_Calc!A$251</f>
        <v>App.8-V08H-P10.3</v>
      </c>
      <c r="BE51" s="429" t="s">
        <v>118</v>
      </c>
      <c r="BF51" s="548"/>
      <c r="BG51" s="548"/>
      <c r="BH51" s="549"/>
      <c r="BI51" s="548"/>
    </row>
    <row r="52" spans="1:61" ht="16.149999999999999" customHeight="1">
      <c r="A52" s="545"/>
      <c r="B52" s="450"/>
      <c r="C52" s="3"/>
      <c r="D52" s="83"/>
      <c r="E52" s="4"/>
      <c r="F52" s="4"/>
      <c r="G52" s="6">
        <v>48</v>
      </c>
      <c r="H52" s="449"/>
      <c r="I52" s="449"/>
      <c r="J52" s="3"/>
      <c r="K52" s="449"/>
      <c r="L52" s="449"/>
      <c r="M52" s="449" t="str">
        <f>IF(L52="","",
IF(AX52="PT",VLOOKUP(L52,Foundation_Calc!$V$79:$X$113,VLOOKUP(AX52,Foundation_Calc!$I$10:$J$13,2,FALSE),0),
IF(AX52="K",VLOOKUP(L52,Foundation_Calc!$V$117:$X$151,VLOOKUP(AX52,Foundation_Calc!$I$10:$J$13,2,FALSE),0),"")))</f>
        <v/>
      </c>
      <c r="N52" s="449"/>
      <c r="O52" s="449"/>
      <c r="P52" s="449"/>
      <c r="Q52" s="4"/>
      <c r="R52" s="6"/>
      <c r="S52" s="6"/>
      <c r="T52" s="4"/>
      <c r="U52" s="4"/>
      <c r="V52" s="4"/>
      <c r="W52" s="9"/>
      <c r="X52" s="9"/>
      <c r="Y52" s="9"/>
      <c r="Z52" s="9"/>
      <c r="AA52" s="9"/>
      <c r="AB52" s="9"/>
      <c r="AC52" s="449" t="str">
        <f t="shared" si="0"/>
        <v/>
      </c>
      <c r="AD52" s="449"/>
      <c r="AE52" s="449"/>
      <c r="AF52" s="4"/>
      <c r="AG52" s="83"/>
      <c r="AH52" s="4"/>
      <c r="AI52" s="4"/>
      <c r="AJ52" s="449"/>
      <c r="AK52" s="449"/>
      <c r="AL52" s="449"/>
      <c r="AM52" s="449"/>
      <c r="AN52" s="10"/>
      <c r="AO52" s="9"/>
      <c r="AP52" s="9"/>
      <c r="AQ52" s="9">
        <f>+FL_1($U$53,$T$51,$G$52,1200,9.28, 1*$F$53)</f>
        <v>0.30005775067205953</v>
      </c>
      <c r="AR52" s="9"/>
      <c r="AS52" s="9"/>
      <c r="AT52" s="9"/>
      <c r="AU52" s="428"/>
      <c r="AV52" s="428"/>
      <c r="AW52" s="449" t="str">
        <f>IF(C52&gt;0,VLOOKUP(C52,Foundation_Calc!$A$2:$C$13,3,1),
IF(J52&gt;0,VLOOKUP(J52,Foundation_Calc!$A$2:$C$13,3,1),""))</f>
        <v/>
      </c>
      <c r="AX52" s="449" t="str">
        <f>IF(C52&gt;0,VLOOKUP(C52,Foundation_Calc!$E$2:$G$33,3,1),
IF(J52&gt;0,VLOOKUP(J52,Foundation_Calc!$E$2:$G$33,3,1),""))</f>
        <v/>
      </c>
      <c r="AY52" s="10" t="str">
        <f>IF(L52="","",
IF(AX52="PT",VLOOKUP(L52,Foundation_Calc!$K$79:$R$113,VLOOKUP(AW52,Foundation_Calc!$I$2:$J$8,2,FALSE),0),
IF(AX52="K",VLOOKUP(L52,Foundation_Calc!$K$117:$R$151,VLOOKUP(AW52,Foundation_Calc!$I$2:$J$8,2,FALSE),0),"")))</f>
        <v/>
      </c>
      <c r="AZ52" s="10" t="str">
        <f>IF(K52="","",
IF(AX52="PT",VLOOKUP(K52,Foundation_Calc!$K$79:$R$113,VLOOKUP(AW52,Foundation_Calc!$I$2:$J$8,2,FALSE),0),
IF(AX52="K",VLOOKUP(K52,Foundation_Calc!$K$117:$R$151,VLOOKUP(AW52,Foundation_Calc!$I$2:$J$8,2,FALSE),0),"")))</f>
        <v/>
      </c>
      <c r="BA52" s="495" t="str">
        <f t="shared" ref="BA52:BA74" si="10">IF(AY52="","",IF(AY52&gt;0,"ü",""))</f>
        <v/>
      </c>
      <c r="BB52" s="495" t="str">
        <f t="shared" ref="BB52:BB74" si="11">IF(AZ52="","",IF(AZ52&gt;0,"ü",""))</f>
        <v/>
      </c>
      <c r="BC52" s="495" t="str">
        <f t="shared" ref="BC52:BC74" si="12">IF(M52="","",IF(M52="U.S.","ü",IF(M52="U.S. N.D.","ü","")))</f>
        <v/>
      </c>
      <c r="BD52" s="513"/>
      <c r="BE52" s="429" t="s">
        <v>118</v>
      </c>
      <c r="BF52" s="290"/>
      <c r="BG52" s="290"/>
      <c r="BH52" s="290"/>
      <c r="BI52" s="290"/>
    </row>
    <row r="53" spans="1:61" ht="16.149999999999999" customHeight="1">
      <c r="A53" s="545"/>
      <c r="B53" s="450" t="s">
        <v>1636</v>
      </c>
      <c r="C53" s="3">
        <f>+$C$51+$G$52</f>
        <v>34837.35</v>
      </c>
      <c r="D53" s="83"/>
      <c r="E53" s="4"/>
      <c r="F53" s="4">
        <v>1190</v>
      </c>
      <c r="G53" s="6"/>
      <c r="H53" s="449" t="s">
        <v>131</v>
      </c>
      <c r="I53" s="449"/>
      <c r="J53" s="3"/>
      <c r="K53" s="449"/>
      <c r="L53" s="449" t="s">
        <v>232</v>
      </c>
      <c r="M53" s="449" t="str">
        <f>IF(L53="","",
IF(AX53="PT",VLOOKUP(L53,Foundation_Calc!$V$79:$X$113,VLOOKUP(AX53,Foundation_Calc!$I$10:$J$13,2,FALSE),0),
IF(AX53="K",VLOOKUP(L53,Foundation_Calc!$V$117:$X$151,VLOOKUP(AX53,Foundation_Calc!$I$10:$J$13,2,FALSE),0),"")))</f>
        <v>C5R</v>
      </c>
      <c r="N53" s="449" t="s">
        <v>133</v>
      </c>
      <c r="O53" s="449" t="s">
        <v>134</v>
      </c>
      <c r="P53" s="449"/>
      <c r="Q53" s="4"/>
      <c r="R53" s="6"/>
      <c r="S53" s="6"/>
      <c r="T53" s="4">
        <v>30</v>
      </c>
      <c r="U53" s="4">
        <v>10</v>
      </c>
      <c r="V53" s="4"/>
      <c r="W53" s="9">
        <v>1.4</v>
      </c>
      <c r="X53" s="9">
        <v>2.2999999999999998</v>
      </c>
      <c r="Y53" s="9"/>
      <c r="Z53" s="9">
        <v>0.45</v>
      </c>
      <c r="AA53" s="9"/>
      <c r="AB53" s="9"/>
      <c r="AC53" s="449"/>
      <c r="AD53" s="449"/>
      <c r="AE53" s="449"/>
      <c r="AF53" s="4"/>
      <c r="AG53" s="83"/>
      <c r="AH53" s="4"/>
      <c r="AI53" s="4"/>
      <c r="AJ53" s="449"/>
      <c r="AK53" s="449"/>
      <c r="AL53" s="449" t="s">
        <v>241</v>
      </c>
      <c r="AM53" s="449" t="s">
        <v>126</v>
      </c>
      <c r="AN53" s="10">
        <v>5.5</v>
      </c>
      <c r="AO53" s="9"/>
      <c r="AP53" s="9"/>
      <c r="AQ53" s="9"/>
      <c r="AR53" s="9"/>
      <c r="AS53" s="9"/>
      <c r="AT53" s="9">
        <f>+ab($U$53,$T$51,$U$55,$G$52,$G$54, 1*$F$53,1200)</f>
        <v>5.2902916615703699</v>
      </c>
      <c r="AU53" s="428"/>
      <c r="AV53" s="428"/>
      <c r="AW53" s="449" t="str">
        <f>IF(C53&gt;0,VLOOKUP(C53,Foundation_Calc!$A$2:$C$13,3,1),
IF(J53&gt;0,VLOOKUP(J53,Foundation_Calc!$A$2:$C$13,3,1),""))</f>
        <v>Multi Soil</v>
      </c>
      <c r="AX53" s="449" t="str">
        <f>IF(C53&gt;0,VLOOKUP(C53,Foundation_Calc!$E$2:$G$33,3,1),
IF(J53&gt;0,VLOOKUP(J53,Foundation_Calc!$E$2:$G$33,3,1),""))</f>
        <v>PT</v>
      </c>
      <c r="AY53" s="10">
        <f>IF(L53="","",
IF(AX53="PT",VLOOKUP(L53,Foundation_Calc!$K$79:$R$113,VLOOKUP(AW53,Foundation_Calc!$I$2:$J$8,2,FALSE),0),
IF(AX53="K",VLOOKUP(L53,Foundation_Calc!$K$117:$R$151,VLOOKUP(AW53,Foundation_Calc!$I$2:$J$8,2,FALSE),0),"")))</f>
        <v>3.5</v>
      </c>
      <c r="AZ53" s="10" t="str">
        <f>IF(K53="","",
IF(AX53="PT",VLOOKUP(K53,Foundation_Calc!$K$79:$R$113,VLOOKUP(AW53,Foundation_Calc!$I$2:$J$8,2,FALSE),0),
IF(AX53="K",VLOOKUP(K53,Foundation_Calc!$K$117:$R$151,VLOOKUP(AW53,Foundation_Calc!$I$2:$J$8,2,FALSE),0),"")))</f>
        <v/>
      </c>
      <c r="BA53" s="495" t="str">
        <f t="shared" si="10"/>
        <v>ü</v>
      </c>
      <c r="BB53" s="495" t="str">
        <f t="shared" si="11"/>
        <v/>
      </c>
      <c r="BC53" s="495" t="str">
        <f t="shared" si="12"/>
        <v/>
      </c>
      <c r="BD53" s="513" t="str">
        <f>Pole_Calc!A$251</f>
        <v>App.8-V08H-P10.3</v>
      </c>
      <c r="BE53" s="429" t="s">
        <v>118</v>
      </c>
      <c r="BF53" s="548"/>
      <c r="BG53" s="548"/>
      <c r="BH53" s="549"/>
      <c r="BI53" s="548"/>
    </row>
    <row r="54" spans="1:61" ht="16.149999999999999" customHeight="1">
      <c r="A54" s="685" t="s">
        <v>160</v>
      </c>
      <c r="B54" s="686"/>
      <c r="C54" s="687"/>
      <c r="D54" s="688"/>
      <c r="E54" s="689"/>
      <c r="F54" s="689"/>
      <c r="G54" s="690">
        <v>48</v>
      </c>
      <c r="H54" s="691"/>
      <c r="I54" s="691"/>
      <c r="J54" s="687"/>
      <c r="K54" s="691"/>
      <c r="L54" s="691"/>
      <c r="M54" s="691" t="str">
        <f>IF(L54="","",
IF(AX54="PT",VLOOKUP(L54,Foundation_Calc!$V$79:$X$113,VLOOKUP(AX54,Foundation_Calc!$I$10:$J$13,2,FALSE),0),
IF(AX54="K",VLOOKUP(L54,Foundation_Calc!$V$117:$X$151,VLOOKUP(AX54,Foundation_Calc!$I$10:$J$13,2,FALSE),0),"")))</f>
        <v/>
      </c>
      <c r="N54" s="691"/>
      <c r="O54" s="691"/>
      <c r="P54" s="691"/>
      <c r="Q54" s="689"/>
      <c r="R54" s="690"/>
      <c r="S54" s="690"/>
      <c r="T54" s="689"/>
      <c r="U54" s="689"/>
      <c r="V54" s="689"/>
      <c r="W54" s="692"/>
      <c r="X54" s="692"/>
      <c r="Y54" s="692"/>
      <c r="Z54" s="692"/>
      <c r="AA54" s="692"/>
      <c r="AB54" s="692"/>
      <c r="AC54" s="691" t="str">
        <f t="shared" si="0"/>
        <v/>
      </c>
      <c r="AD54" s="691"/>
      <c r="AE54" s="691"/>
      <c r="AF54" s="689"/>
      <c r="AG54" s="688"/>
      <c r="AH54" s="689"/>
      <c r="AI54" s="689"/>
      <c r="AJ54" s="691"/>
      <c r="AK54" s="691"/>
      <c r="AL54" s="691"/>
      <c r="AM54" s="691"/>
      <c r="AN54" s="693"/>
      <c r="AO54" s="692"/>
      <c r="AP54" s="692"/>
      <c r="AQ54" s="692">
        <f>+FL_1($T$55,$U$53,$G$54,1200,9.28, 1*$F$55)</f>
        <v>0.29999999999999993</v>
      </c>
      <c r="AR54" s="692"/>
      <c r="AS54" s="692"/>
      <c r="AT54" s="692"/>
      <c r="AU54" s="694"/>
      <c r="AV54" s="694"/>
      <c r="AW54" s="691" t="str">
        <f>IF(C54&gt;0,VLOOKUP(C54,Foundation_Calc!$A$2:$C$13,3,1),
IF(J54&gt;0,VLOOKUP(J54,Foundation_Calc!$A$2:$C$13,3,1),""))</f>
        <v/>
      </c>
      <c r="AX54" s="691" t="str">
        <f>IF(C54&gt;0,VLOOKUP(C54,Foundation_Calc!$E$2:$G$33,3,1),
IF(J54&gt;0,VLOOKUP(J54,Foundation_Calc!$E$2:$G$33,3,1),""))</f>
        <v/>
      </c>
      <c r="AY54" s="693" t="str">
        <f>IF(L54="","",
IF(AX54="PT",VLOOKUP(L54,Foundation_Calc!$K$79:$R$113,VLOOKUP(AW54,Foundation_Calc!$I$2:$J$8,2,FALSE),0),
IF(AX54="K",VLOOKUP(L54,Foundation_Calc!$K$117:$R$151,VLOOKUP(AW54,Foundation_Calc!$I$2:$J$8,2,FALSE),0),"")))</f>
        <v/>
      </c>
      <c r="AZ54" s="693" t="str">
        <f>IF(K54="","",
IF(AX54="PT",VLOOKUP(K54,Foundation_Calc!$K$79:$R$113,VLOOKUP(AW54,Foundation_Calc!$I$2:$J$8,2,FALSE),0),
IF(AX54="K",VLOOKUP(K54,Foundation_Calc!$K$117:$R$151,VLOOKUP(AW54,Foundation_Calc!$I$2:$J$8,2,FALSE),0),"")))</f>
        <v/>
      </c>
      <c r="BA54" s="495" t="str">
        <f t="shared" si="10"/>
        <v/>
      </c>
      <c r="BB54" s="495" t="str">
        <f t="shared" si="11"/>
        <v/>
      </c>
      <c r="BC54" s="495" t="str">
        <f t="shared" si="12"/>
        <v/>
      </c>
      <c r="BD54" s="513"/>
      <c r="BE54" s="429" t="s">
        <v>118</v>
      </c>
      <c r="BF54" s="290"/>
      <c r="BG54" s="290"/>
      <c r="BH54" s="290"/>
      <c r="BI54" s="290"/>
    </row>
    <row r="55" spans="1:61" ht="16.149999999999999" customHeight="1">
      <c r="A55" s="514"/>
      <c r="B55" s="450" t="s">
        <v>1637</v>
      </c>
      <c r="C55" s="3">
        <f>+$C$53+$G$54</f>
        <v>34885.35</v>
      </c>
      <c r="D55" s="83"/>
      <c r="E55" s="4"/>
      <c r="F55" s="4">
        <v>1190</v>
      </c>
      <c r="G55" s="6"/>
      <c r="H55" s="449" t="s">
        <v>131</v>
      </c>
      <c r="I55" s="449"/>
      <c r="J55" s="3"/>
      <c r="K55" s="449"/>
      <c r="L55" s="449" t="s">
        <v>232</v>
      </c>
      <c r="M55" s="449" t="str">
        <f>IF(L55="","",
IF(AX55="PT",VLOOKUP(L55,Foundation_Calc!$V$79:$X$113,VLOOKUP(AX55,Foundation_Calc!$I$10:$J$13,2,FALSE),0),
IF(AX55="K",VLOOKUP(L55,Foundation_Calc!$V$117:$X$151,VLOOKUP(AX55,Foundation_Calc!$I$10:$J$13,2,FALSE),0),"")))</f>
        <v>C5R</v>
      </c>
      <c r="N55" s="449" t="s">
        <v>134</v>
      </c>
      <c r="O55" s="449" t="s">
        <v>133</v>
      </c>
      <c r="P55" s="449"/>
      <c r="Q55" s="4"/>
      <c r="R55" s="6"/>
      <c r="S55" s="6"/>
      <c r="T55" s="4">
        <v>30</v>
      </c>
      <c r="U55" s="4">
        <v>10</v>
      </c>
      <c r="V55" s="4"/>
      <c r="W55" s="9">
        <v>1.4</v>
      </c>
      <c r="X55" s="9">
        <v>2.2999999999999998</v>
      </c>
      <c r="Y55" s="9"/>
      <c r="Z55" s="9"/>
      <c r="AA55" s="9">
        <v>0.45</v>
      </c>
      <c r="AB55" s="9"/>
      <c r="AC55" s="449" t="str">
        <f t="shared" si="0"/>
        <v>PHC</v>
      </c>
      <c r="AD55" s="449"/>
      <c r="AE55" s="449"/>
      <c r="AF55" s="4"/>
      <c r="AG55" s="83"/>
      <c r="AH55" s="4"/>
      <c r="AI55" s="4"/>
      <c r="AJ55" s="449"/>
      <c r="AK55" s="449"/>
      <c r="AL55" s="449" t="s">
        <v>241</v>
      </c>
      <c r="AM55" s="449" t="s">
        <v>126</v>
      </c>
      <c r="AN55" s="10">
        <v>5.5</v>
      </c>
      <c r="AO55" s="9"/>
      <c r="AP55" s="9"/>
      <c r="AQ55" s="9"/>
      <c r="AR55" s="9"/>
      <c r="AS55" s="9"/>
      <c r="AT55" s="9">
        <f>+ab($T$55,$T$53,$T$57,$G$54,$G$56, 1*$F$55,1200)</f>
        <v>4.7464513074666064</v>
      </c>
      <c r="AU55" s="428"/>
      <c r="AV55" s="428"/>
      <c r="AW55" s="449" t="str">
        <f>IF(C55&gt;0,VLOOKUP(C55,Foundation_Calc!$A$2:$C$13,3,1),
IF(J55&gt;0,VLOOKUP(J55,Foundation_Calc!$A$2:$C$13,3,1),""))</f>
        <v>Multi Soil</v>
      </c>
      <c r="AX55" s="449" t="str">
        <f>IF(C55&gt;0,VLOOKUP(C55,Foundation_Calc!$E$2:$G$33,3,1),
IF(J55&gt;0,VLOOKUP(J55,Foundation_Calc!$E$2:$G$33,3,1),""))</f>
        <v>PT</v>
      </c>
      <c r="AY55" s="10">
        <f>IF(L55="","",
IF(AX55="PT",VLOOKUP(L55,Foundation_Calc!$K$79:$R$113,VLOOKUP(AW55,Foundation_Calc!$I$2:$J$8,2,FALSE),0),
IF(AX55="K",VLOOKUP(L55,Foundation_Calc!$K$117:$R$151,VLOOKUP(AW55,Foundation_Calc!$I$2:$J$8,2,FALSE),0),"")))</f>
        <v>3.5</v>
      </c>
      <c r="AZ55" s="10" t="str">
        <f>IF(K55="","",
IF(AX55="PT",VLOOKUP(K55,Foundation_Calc!$K$79:$R$113,VLOOKUP(AW55,Foundation_Calc!$I$2:$J$8,2,FALSE),0),
IF(AX55="K",VLOOKUP(K55,Foundation_Calc!$K$117:$R$151,VLOOKUP(AW55,Foundation_Calc!$I$2:$J$8,2,FALSE),0),"")))</f>
        <v/>
      </c>
      <c r="BA55" s="495" t="str">
        <f t="shared" si="10"/>
        <v>ü</v>
      </c>
      <c r="BB55" s="495" t="str">
        <f t="shared" si="11"/>
        <v/>
      </c>
      <c r="BC55" s="495" t="str">
        <f t="shared" si="12"/>
        <v/>
      </c>
      <c r="BD55" s="513" t="str">
        <f>Pole_Calc!A$251</f>
        <v>App.8-V08H-P10.3</v>
      </c>
      <c r="BE55" s="429" t="s">
        <v>118</v>
      </c>
      <c r="BF55" s="548"/>
      <c r="BG55" s="548"/>
      <c r="BH55" s="549"/>
      <c r="BI55" s="548"/>
    </row>
    <row r="56" spans="1:61" ht="16.149999999999999" customHeight="1">
      <c r="A56" s="545"/>
      <c r="B56" s="450"/>
      <c r="C56" s="3"/>
      <c r="D56" s="83"/>
      <c r="E56" s="4"/>
      <c r="F56" s="4"/>
      <c r="G56" s="6">
        <v>48</v>
      </c>
      <c r="H56" s="449"/>
      <c r="I56" s="449"/>
      <c r="J56" s="3"/>
      <c r="K56" s="449"/>
      <c r="L56" s="449"/>
      <c r="M56" s="449" t="str">
        <f>IF(L56="","",
IF(AX56="PT",VLOOKUP(L56,Foundation_Calc!$V$79:$X$113,VLOOKUP(AX56,Foundation_Calc!$I$10:$J$13,2,FALSE),0),
IF(AX56="K",VLOOKUP(L56,Foundation_Calc!$V$117:$X$151,VLOOKUP(AX56,Foundation_Calc!$I$10:$J$13,2,FALSE),0),"")))</f>
        <v/>
      </c>
      <c r="N56" s="449"/>
      <c r="O56" s="449"/>
      <c r="P56" s="449"/>
      <c r="Q56" s="4"/>
      <c r="R56" s="6"/>
      <c r="S56" s="6"/>
      <c r="T56" s="4"/>
      <c r="U56" s="4"/>
      <c r="V56" s="4"/>
      <c r="W56" s="9"/>
      <c r="X56" s="9"/>
      <c r="Y56" s="9"/>
      <c r="Z56" s="9"/>
      <c r="AA56" s="9"/>
      <c r="AB56" s="9"/>
      <c r="AC56" s="449" t="str">
        <f t="shared" si="0"/>
        <v/>
      </c>
      <c r="AD56" s="449"/>
      <c r="AE56" s="449"/>
      <c r="AF56" s="4"/>
      <c r="AG56" s="83"/>
      <c r="AH56" s="4"/>
      <c r="AI56" s="4"/>
      <c r="AJ56" s="449"/>
      <c r="AK56" s="449"/>
      <c r="AL56" s="449"/>
      <c r="AM56" s="449"/>
      <c r="AN56" s="10"/>
      <c r="AO56" s="9"/>
      <c r="AP56" s="9"/>
      <c r="AQ56" s="9">
        <f>+FL_1($T$57,$T$55,$G$56,1200,9.28, 1*$F$57)</f>
        <v>0.30777738793796805</v>
      </c>
      <c r="AR56" s="9"/>
      <c r="AS56" s="9"/>
      <c r="AT56" s="9"/>
      <c r="AU56" s="428"/>
      <c r="AV56" s="428"/>
      <c r="AW56" s="449" t="str">
        <f>IF(C56&gt;0,VLOOKUP(C56,Foundation_Calc!$A$2:$C$13,3,1),
IF(J56&gt;0,VLOOKUP(J56,Foundation_Calc!$A$2:$C$13,3,1),""))</f>
        <v/>
      </c>
      <c r="AX56" s="449" t="str">
        <f>IF(C56&gt;0,VLOOKUP(C56,Foundation_Calc!$E$2:$G$33,3,1),
IF(J56&gt;0,VLOOKUP(J56,Foundation_Calc!$E$2:$G$33,3,1),""))</f>
        <v/>
      </c>
      <c r="AY56" s="10" t="str">
        <f>IF(L56="","",
IF(AX56="PT",VLOOKUP(L56,Foundation_Calc!$K$79:$R$113,VLOOKUP(AW56,Foundation_Calc!$I$2:$J$8,2,FALSE),0),
IF(AX56="K",VLOOKUP(L56,Foundation_Calc!$K$117:$R$151,VLOOKUP(AW56,Foundation_Calc!$I$2:$J$8,2,FALSE),0),"")))</f>
        <v/>
      </c>
      <c r="AZ56" s="10" t="str">
        <f>IF(K56="","",
IF(AX56="PT",VLOOKUP(K56,Foundation_Calc!$K$79:$R$113,VLOOKUP(AW56,Foundation_Calc!$I$2:$J$8,2,FALSE),0),
IF(AX56="K",VLOOKUP(K56,Foundation_Calc!$K$117:$R$151,VLOOKUP(AW56,Foundation_Calc!$I$2:$J$8,2,FALSE),0),"")))</f>
        <v/>
      </c>
      <c r="BA56" s="495" t="str">
        <f t="shared" si="10"/>
        <v/>
      </c>
      <c r="BB56" s="495" t="str">
        <f t="shared" si="11"/>
        <v/>
      </c>
      <c r="BC56" s="495" t="str">
        <f t="shared" si="12"/>
        <v/>
      </c>
      <c r="BD56" s="513"/>
      <c r="BE56" s="429" t="s">
        <v>118</v>
      </c>
      <c r="BF56" s="290"/>
      <c r="BG56" s="290"/>
      <c r="BH56" s="290"/>
      <c r="BI56" s="290"/>
    </row>
    <row r="57" spans="1:61" ht="16.149999999999999" customHeight="1">
      <c r="A57" s="545"/>
      <c r="B57" s="450" t="s">
        <v>1638</v>
      </c>
      <c r="C57" s="3">
        <f>+$C$55+$G$56</f>
        <v>34933.35</v>
      </c>
      <c r="D57" s="83"/>
      <c r="E57" s="4"/>
      <c r="F57" s="4">
        <v>1340</v>
      </c>
      <c r="G57" s="6"/>
      <c r="H57" s="449" t="s">
        <v>121</v>
      </c>
      <c r="I57" s="449" t="s">
        <v>122</v>
      </c>
      <c r="J57" s="3"/>
      <c r="K57" s="449"/>
      <c r="L57" s="449" t="s">
        <v>232</v>
      </c>
      <c r="M57" s="449" t="str">
        <f>IF(L57="","",
IF(AX57="PT",VLOOKUP(L57,Foundation_Calc!$V$79:$X$113,VLOOKUP(AX57,Foundation_Calc!$I$10:$J$13,2,FALSE),0),
IF(AX57="K",VLOOKUP(L57,Foundation_Calc!$V$117:$X$151,VLOOKUP(AX57,Foundation_Calc!$I$10:$J$13,2,FALSE),0),"")))</f>
        <v>C5R</v>
      </c>
      <c r="N57" s="449" t="s">
        <v>134</v>
      </c>
      <c r="O57" s="449"/>
      <c r="P57" s="449"/>
      <c r="Q57" s="4"/>
      <c r="R57" s="6"/>
      <c r="S57" s="6"/>
      <c r="T57" s="4">
        <v>30</v>
      </c>
      <c r="U57" s="4"/>
      <c r="V57" s="4"/>
      <c r="W57" s="9">
        <v>1.4</v>
      </c>
      <c r="X57" s="9"/>
      <c r="Y57" s="9"/>
      <c r="Z57" s="9"/>
      <c r="AA57" s="9"/>
      <c r="AB57" s="9"/>
      <c r="AC57" s="449" t="str">
        <f t="shared" si="0"/>
        <v>PHQ</v>
      </c>
      <c r="AD57" s="449"/>
      <c r="AE57" s="449"/>
      <c r="AF57" s="4"/>
      <c r="AG57" s="83"/>
      <c r="AH57" s="4"/>
      <c r="AI57" s="4"/>
      <c r="AJ57" s="449"/>
      <c r="AK57" s="449"/>
      <c r="AL57" s="449" t="s">
        <v>241</v>
      </c>
      <c r="AM57" s="449" t="s">
        <v>126</v>
      </c>
      <c r="AN57" s="10">
        <v>5.5</v>
      </c>
      <c r="AO57" s="9"/>
      <c r="AP57" s="9"/>
      <c r="AQ57" s="9"/>
      <c r="AR57" s="9"/>
      <c r="AS57" s="9"/>
      <c r="AT57" s="9">
        <f>+ab($T$57,$T$55,$T$59,$G$56,$G$58, 1*$F$57,1200)</f>
        <v>5.3414750211646203</v>
      </c>
      <c r="AU57" s="428"/>
      <c r="AV57" s="428"/>
      <c r="AW57" s="449" t="str">
        <f>IF(C57&gt;0,VLOOKUP(C57,Foundation_Calc!$A$2:$C$13,3,1),
IF(J57&gt;0,VLOOKUP(J57,Foundation_Calc!$A$2:$C$13,3,1),""))</f>
        <v>Multi Soil</v>
      </c>
      <c r="AX57" s="449" t="str">
        <f>IF(C57&gt;0,VLOOKUP(C57,Foundation_Calc!$E$2:$G$33,3,1),
IF(J57&gt;0,VLOOKUP(J57,Foundation_Calc!$E$2:$G$33,3,1),""))</f>
        <v>PT</v>
      </c>
      <c r="AY57" s="10">
        <f>IF(L57="","",
IF(AX57="PT",VLOOKUP(L57,Foundation_Calc!$K$79:$R$113,VLOOKUP(AW57,Foundation_Calc!$I$2:$J$8,2,FALSE),0),
IF(AX57="K",VLOOKUP(L57,Foundation_Calc!$K$117:$R$151,VLOOKUP(AW57,Foundation_Calc!$I$2:$J$8,2,FALSE),0),"")))</f>
        <v>3.5</v>
      </c>
      <c r="AZ57" s="10" t="str">
        <f>IF(K57="","",
IF(AX57="PT",VLOOKUP(K57,Foundation_Calc!$K$79:$R$113,VLOOKUP(AW57,Foundation_Calc!$I$2:$J$8,2,FALSE),0),
IF(AX57="K",VLOOKUP(K57,Foundation_Calc!$K$117:$R$151,VLOOKUP(AW57,Foundation_Calc!$I$2:$J$8,2,FALSE),0),"")))</f>
        <v/>
      </c>
      <c r="BA57" s="495" t="str">
        <f t="shared" si="10"/>
        <v>ü</v>
      </c>
      <c r="BB57" s="495" t="str">
        <f t="shared" si="11"/>
        <v/>
      </c>
      <c r="BC57" s="495" t="str">
        <f t="shared" si="12"/>
        <v/>
      </c>
      <c r="BD57" s="513" t="str">
        <f>Pole_Calc!A$251</f>
        <v>App.8-V08H-P10.3</v>
      </c>
      <c r="BE57" s="429" t="s">
        <v>118</v>
      </c>
      <c r="BF57" s="548"/>
      <c r="BG57" s="548"/>
      <c r="BH57" s="549"/>
      <c r="BI57" s="548"/>
    </row>
    <row r="58" spans="1:61" ht="16.149999999999999" customHeight="1">
      <c r="A58" s="545"/>
      <c r="B58" s="450"/>
      <c r="C58" s="3"/>
      <c r="D58" s="83"/>
      <c r="E58" s="4"/>
      <c r="F58" s="4"/>
      <c r="G58" s="6">
        <v>48</v>
      </c>
      <c r="H58" s="449"/>
      <c r="I58" s="449"/>
      <c r="J58" s="3">
        <f>C57+7.5</f>
        <v>34940.85</v>
      </c>
      <c r="K58" s="449" t="s">
        <v>117</v>
      </c>
      <c r="L58" s="449"/>
      <c r="M58" s="449" t="str">
        <f>IF(L58="","",
IF(AX58="PT",VLOOKUP(L58,Foundation_Calc!$V$79:$X$113,VLOOKUP(AX58,Foundation_Calc!$I$10:$J$13,2,FALSE),0),
IF(AX58="K",VLOOKUP(L58,Foundation_Calc!$V$117:$X$151,VLOOKUP(AX58,Foundation_Calc!$I$10:$J$13,2,FALSE),0),"")))</f>
        <v/>
      </c>
      <c r="N58" s="449"/>
      <c r="O58" s="449"/>
      <c r="P58" s="449"/>
      <c r="Q58" s="4"/>
      <c r="R58" s="6"/>
      <c r="S58" s="6"/>
      <c r="T58" s="4"/>
      <c r="U58" s="4"/>
      <c r="V58" s="4"/>
      <c r="W58" s="9"/>
      <c r="X58" s="9"/>
      <c r="Y58" s="9"/>
      <c r="Z58" s="9"/>
      <c r="AA58" s="9"/>
      <c r="AB58" s="9"/>
      <c r="AC58" s="449" t="str">
        <f t="shared" si="0"/>
        <v/>
      </c>
      <c r="AD58" s="449"/>
      <c r="AE58" s="449"/>
      <c r="AF58" s="4"/>
      <c r="AG58" s="83"/>
      <c r="AH58" s="4"/>
      <c r="AI58" s="4"/>
      <c r="AJ58" s="449"/>
      <c r="AK58" s="449"/>
      <c r="AL58" s="449"/>
      <c r="AM58" s="449"/>
      <c r="AN58" s="10"/>
      <c r="AO58" s="9"/>
      <c r="AP58" s="9"/>
      <c r="AQ58" s="9">
        <f>+FL_1($T$59,$T$57,$G$58,1200,9.28, 1*$F$59)</f>
        <v>0.30777738793796805</v>
      </c>
      <c r="AR58" s="9"/>
      <c r="AS58" s="9"/>
      <c r="AT58" s="9"/>
      <c r="AU58" s="428"/>
      <c r="AV58" s="428"/>
      <c r="AW58" s="449" t="str">
        <f>IF(C58&gt;0,VLOOKUP(C58,Foundation_Calc!$A$2:$C$13,3,1),
IF(J58&gt;0,VLOOKUP(J58,Foundation_Calc!$A$2:$C$13,3,1),""))</f>
        <v>Multi Soil</v>
      </c>
      <c r="AX58" s="449" t="str">
        <f>IF(C58&gt;0,VLOOKUP(C58,Foundation_Calc!$E$2:$G$33,3,1),
IF(J58&gt;0,VLOOKUP(J58,Foundation_Calc!$E$2:$G$33,3,1),""))</f>
        <v>PT</v>
      </c>
      <c r="AY58" s="10" t="str">
        <f>IF(L58="","",
IF(AX58="PT",VLOOKUP(L58,Foundation_Calc!$K$79:$R$113,VLOOKUP(AW58,Foundation_Calc!$I$2:$J$8,2,FALSE),0),
IF(AX58="K",VLOOKUP(L58,Foundation_Calc!$K$117:$R$151,VLOOKUP(AW58,Foundation_Calc!$I$2:$J$8,2,FALSE),0),"")))</f>
        <v/>
      </c>
      <c r="AZ58" s="10">
        <f>IF(K58="","",
IF(AX58="PT",VLOOKUP(K58,Foundation_Calc!$K$79:$R$113,VLOOKUP(AW58,Foundation_Calc!$I$2:$J$8,2,FALSE),0),
IF(AX58="K",VLOOKUP(K58,Foundation_Calc!$K$117:$R$151,VLOOKUP(AW58,Foundation_Calc!$I$2:$J$8,2,FALSE),0),"")))</f>
        <v>3.9</v>
      </c>
      <c r="BA58" s="495" t="str">
        <f t="shared" si="10"/>
        <v/>
      </c>
      <c r="BB58" s="495" t="str">
        <f t="shared" si="11"/>
        <v>ü</v>
      </c>
      <c r="BC58" s="495" t="str">
        <f t="shared" si="12"/>
        <v/>
      </c>
      <c r="BD58" s="513"/>
      <c r="BE58" s="429" t="s">
        <v>118</v>
      </c>
      <c r="BF58" s="290"/>
      <c r="BG58" s="290"/>
      <c r="BH58" s="290"/>
      <c r="BI58" s="290"/>
    </row>
    <row r="59" spans="1:61" ht="16.149999999999999" customHeight="1">
      <c r="A59" s="545"/>
      <c r="B59" s="450" t="s">
        <v>1639</v>
      </c>
      <c r="C59" s="3">
        <f>+$C$57+$G$58</f>
        <v>34981.35</v>
      </c>
      <c r="D59" s="83"/>
      <c r="E59" s="4"/>
      <c r="F59" s="4">
        <v>1340</v>
      </c>
      <c r="G59" s="6"/>
      <c r="H59" s="449"/>
      <c r="I59" s="449"/>
      <c r="J59" s="3"/>
      <c r="K59" s="449"/>
      <c r="L59" s="449" t="s">
        <v>232</v>
      </c>
      <c r="M59" s="449" t="str">
        <f>IF(L59="","",
IF(AX59="PT",VLOOKUP(L59,Foundation_Calc!$V$79:$X$113,VLOOKUP(AX59,Foundation_Calc!$I$10:$J$13,2,FALSE),0),
IF(AX59="K",VLOOKUP(L59,Foundation_Calc!$V$117:$X$151,VLOOKUP(AX59,Foundation_Calc!$I$10:$J$13,2,FALSE),0),"")))</f>
        <v>C5R</v>
      </c>
      <c r="N59" s="449" t="s">
        <v>134</v>
      </c>
      <c r="O59" s="449"/>
      <c r="P59" s="449"/>
      <c r="Q59" s="4"/>
      <c r="R59" s="6"/>
      <c r="S59" s="6"/>
      <c r="T59" s="4">
        <v>30</v>
      </c>
      <c r="U59" s="4"/>
      <c r="V59" s="4"/>
      <c r="W59" s="9">
        <v>1.4</v>
      </c>
      <c r="X59" s="9"/>
      <c r="Y59" s="9"/>
      <c r="Z59" s="9"/>
      <c r="AA59" s="9"/>
      <c r="AB59" s="9"/>
      <c r="AC59" s="449" t="str">
        <f t="shared" si="0"/>
        <v>PHQ</v>
      </c>
      <c r="AD59" s="449"/>
      <c r="AE59" s="449"/>
      <c r="AF59" s="4"/>
      <c r="AG59" s="83"/>
      <c r="AH59" s="4"/>
      <c r="AI59" s="4"/>
      <c r="AJ59" s="449"/>
      <c r="AK59" s="449"/>
      <c r="AL59" s="449" t="s">
        <v>241</v>
      </c>
      <c r="AM59" s="449" t="s">
        <v>126</v>
      </c>
      <c r="AN59" s="10">
        <v>5.5</v>
      </c>
      <c r="AO59" s="9"/>
      <c r="AP59" s="9"/>
      <c r="AQ59" s="9"/>
      <c r="AR59" s="9"/>
      <c r="AS59" s="9"/>
      <c r="AT59" s="9">
        <f>+ab($T$59,$T$57,$T$61,$G$58,$G$60, 1*$F$59,1200)</f>
        <v>5.3414750211646203</v>
      </c>
      <c r="AU59" s="428"/>
      <c r="AV59" s="428"/>
      <c r="AW59" s="449" t="str">
        <f>IF(C59&gt;0,VLOOKUP(C59,Foundation_Calc!$A$2:$C$13,3,1),
IF(J59&gt;0,VLOOKUP(J59,Foundation_Calc!$A$2:$C$13,3,1),""))</f>
        <v>Multi Soil</v>
      </c>
      <c r="AX59" s="449" t="str">
        <f>IF(C59&gt;0,VLOOKUP(C59,Foundation_Calc!$E$2:$G$33,3,1),
IF(J59&gt;0,VLOOKUP(J59,Foundation_Calc!$E$2:$G$33,3,1),""))</f>
        <v>PT</v>
      </c>
      <c r="AY59" s="10">
        <f>IF(L59="","",
IF(AX59="PT",VLOOKUP(L59,Foundation_Calc!$K$79:$R$113,VLOOKUP(AW59,Foundation_Calc!$I$2:$J$8,2,FALSE),0),
IF(AX59="K",VLOOKUP(L59,Foundation_Calc!$K$117:$R$151,VLOOKUP(AW59,Foundation_Calc!$I$2:$J$8,2,FALSE),0),"")))</f>
        <v>3.5</v>
      </c>
      <c r="AZ59" s="10" t="str">
        <f>IF(K59="","",
IF(AX59="PT",VLOOKUP(K59,Foundation_Calc!$K$79:$R$113,VLOOKUP(AW59,Foundation_Calc!$I$2:$J$8,2,FALSE),0),
IF(AX59="K",VLOOKUP(K59,Foundation_Calc!$K$117:$R$151,VLOOKUP(AW59,Foundation_Calc!$I$2:$J$8,2,FALSE),0),"")))</f>
        <v/>
      </c>
      <c r="BA59" s="495" t="str">
        <f t="shared" si="10"/>
        <v>ü</v>
      </c>
      <c r="BB59" s="495" t="str">
        <f t="shared" si="11"/>
        <v/>
      </c>
      <c r="BC59" s="495" t="str">
        <f t="shared" si="12"/>
        <v/>
      </c>
      <c r="BD59" s="513" t="str">
        <f>Pole_Calc!A$251</f>
        <v>App.8-V08H-P10.3</v>
      </c>
      <c r="BE59" s="429" t="s">
        <v>118</v>
      </c>
      <c r="BF59" s="548"/>
      <c r="BG59" s="548"/>
      <c r="BH59" s="549"/>
      <c r="BI59" s="548"/>
    </row>
    <row r="60" spans="1:61" ht="16.149999999999999" customHeight="1">
      <c r="A60" s="545"/>
      <c r="B60" s="450"/>
      <c r="C60" s="3"/>
      <c r="D60" s="83"/>
      <c r="E60" s="4"/>
      <c r="F60" s="4"/>
      <c r="G60" s="6">
        <v>48</v>
      </c>
      <c r="H60" s="449"/>
      <c r="I60" s="449"/>
      <c r="J60" s="3"/>
      <c r="K60" s="449"/>
      <c r="L60" s="449"/>
      <c r="M60" s="449" t="str">
        <f>IF(L60="","",
IF(AX60="PT",VLOOKUP(L60,Foundation_Calc!$V$79:$X$113,VLOOKUP(AX60,Foundation_Calc!$I$10:$J$13,2,FALSE),0),
IF(AX60="K",VLOOKUP(L60,Foundation_Calc!$V$117:$X$151,VLOOKUP(AX60,Foundation_Calc!$I$10:$J$13,2,FALSE),0),"")))</f>
        <v/>
      </c>
      <c r="N60" s="449"/>
      <c r="O60" s="449"/>
      <c r="P60" s="449"/>
      <c r="Q60" s="4"/>
      <c r="R60" s="6"/>
      <c r="S60" s="6"/>
      <c r="T60" s="4"/>
      <c r="U60" s="4"/>
      <c r="V60" s="4"/>
      <c r="W60" s="9"/>
      <c r="X60" s="9"/>
      <c r="Y60" s="9"/>
      <c r="Z60" s="9"/>
      <c r="AA60" s="9"/>
      <c r="AB60" s="9"/>
      <c r="AC60" s="449" t="str">
        <f t="shared" si="0"/>
        <v/>
      </c>
      <c r="AD60" s="449"/>
      <c r="AE60" s="449"/>
      <c r="AF60" s="4"/>
      <c r="AG60" s="83"/>
      <c r="AH60" s="4"/>
      <c r="AI60" s="4"/>
      <c r="AJ60" s="449"/>
      <c r="AK60" s="449"/>
      <c r="AL60" s="449"/>
      <c r="AM60" s="449"/>
      <c r="AN60" s="10"/>
      <c r="AO60" s="9"/>
      <c r="AP60" s="9"/>
      <c r="AQ60" s="9">
        <f>+FL_1($T$61,$T$59,$G$60,1200,9.28, 1*$F$61)</f>
        <v>0.30777738793796805</v>
      </c>
      <c r="AR60" s="9"/>
      <c r="AS60" s="9"/>
      <c r="AT60" s="9"/>
      <c r="AU60" s="428"/>
      <c r="AV60" s="428"/>
      <c r="AW60" s="449" t="str">
        <f>IF(C60&gt;0,VLOOKUP(C60,Foundation_Calc!$A$2:$C$13,3,1),
IF(J60&gt;0,VLOOKUP(J60,Foundation_Calc!$A$2:$C$13,3,1),""))</f>
        <v/>
      </c>
      <c r="AX60" s="449" t="str">
        <f>IF(C60&gt;0,VLOOKUP(C60,Foundation_Calc!$E$2:$G$33,3,1),
IF(J60&gt;0,VLOOKUP(J60,Foundation_Calc!$E$2:$G$33,3,1),""))</f>
        <v/>
      </c>
      <c r="AY60" s="10" t="str">
        <f>IF(L60="","",
IF(AX60="PT",VLOOKUP(L60,Foundation_Calc!$K$79:$R$113,VLOOKUP(AW60,Foundation_Calc!$I$2:$J$8,2,FALSE),0),
IF(AX60="K",VLOOKUP(L60,Foundation_Calc!$K$117:$R$151,VLOOKUP(AW60,Foundation_Calc!$I$2:$J$8,2,FALSE),0),"")))</f>
        <v/>
      </c>
      <c r="AZ60" s="10" t="str">
        <f>IF(K60="","",
IF(AX60="PT",VLOOKUP(K60,Foundation_Calc!$K$79:$R$113,VLOOKUP(AW60,Foundation_Calc!$I$2:$J$8,2,FALSE),0),
IF(AX60="K",VLOOKUP(K60,Foundation_Calc!$K$117:$R$151,VLOOKUP(AW60,Foundation_Calc!$I$2:$J$8,2,FALSE),0),"")))</f>
        <v/>
      </c>
      <c r="BA60" s="495" t="str">
        <f t="shared" si="10"/>
        <v/>
      </c>
      <c r="BB60" s="495" t="str">
        <f t="shared" si="11"/>
        <v/>
      </c>
      <c r="BC60" s="495" t="str">
        <f t="shared" si="12"/>
        <v/>
      </c>
      <c r="BD60" s="513"/>
      <c r="BE60" s="429" t="s">
        <v>118</v>
      </c>
      <c r="BF60" s="290"/>
      <c r="BG60" s="290"/>
      <c r="BH60" s="290"/>
      <c r="BI60" s="290"/>
    </row>
    <row r="61" spans="1:61" ht="16.149999999999999" customHeight="1">
      <c r="A61" s="514"/>
      <c r="B61" s="450" t="s">
        <v>1640</v>
      </c>
      <c r="C61" s="3">
        <f>+$C$59+$G$60</f>
        <v>35029.35</v>
      </c>
      <c r="D61" s="83"/>
      <c r="E61" s="4"/>
      <c r="F61" s="4">
        <v>1340</v>
      </c>
      <c r="G61" s="6"/>
      <c r="H61" s="449"/>
      <c r="I61" s="449"/>
      <c r="J61" s="3"/>
      <c r="K61" s="449"/>
      <c r="L61" s="449" t="s">
        <v>232</v>
      </c>
      <c r="M61" s="449" t="str">
        <f>IF(L61="","",
IF(AX61="PT",VLOOKUP(L61,Foundation_Calc!$V$79:$X$113,VLOOKUP(AX61,Foundation_Calc!$I$10:$J$13,2,FALSE),0),
IF(AX61="K",VLOOKUP(L61,Foundation_Calc!$V$117:$X$151,VLOOKUP(AX61,Foundation_Calc!$I$10:$J$13,2,FALSE),0),"")))</f>
        <v>C5R</v>
      </c>
      <c r="N61" s="449" t="s">
        <v>134</v>
      </c>
      <c r="O61" s="449"/>
      <c r="P61" s="449"/>
      <c r="Q61" s="4"/>
      <c r="R61" s="6"/>
      <c r="S61" s="6"/>
      <c r="T61" s="4">
        <v>30</v>
      </c>
      <c r="U61" s="4"/>
      <c r="V61" s="4"/>
      <c r="W61" s="9">
        <v>1.4</v>
      </c>
      <c r="X61" s="9"/>
      <c r="Y61" s="9"/>
      <c r="Z61" s="9"/>
      <c r="AA61" s="9"/>
      <c r="AB61" s="9"/>
      <c r="AC61" s="449" t="str">
        <f t="shared" si="0"/>
        <v>PHQ</v>
      </c>
      <c r="AD61" s="449"/>
      <c r="AE61" s="449"/>
      <c r="AF61" s="4"/>
      <c r="AG61" s="83"/>
      <c r="AH61" s="4"/>
      <c r="AI61" s="4"/>
      <c r="AJ61" s="449"/>
      <c r="AK61" s="449"/>
      <c r="AL61" s="449" t="s">
        <v>241</v>
      </c>
      <c r="AM61" s="449" t="s">
        <v>126</v>
      </c>
      <c r="AN61" s="10">
        <v>5.5</v>
      </c>
      <c r="AO61" s="9"/>
      <c r="AP61" s="9"/>
      <c r="AQ61" s="9"/>
      <c r="AR61" s="9"/>
      <c r="AS61" s="9"/>
      <c r="AT61" s="9">
        <f>+ab($T$61,$T$59,$T$63,$G$60,$G$62, 1*$F$61,1200)</f>
        <v>5.3414750211646203</v>
      </c>
      <c r="AU61" s="428"/>
      <c r="AV61" s="428"/>
      <c r="AW61" s="449" t="str">
        <f>IF(C61&gt;0,VLOOKUP(C61,Foundation_Calc!$A$2:$C$13,3,1),
IF(J61&gt;0,VLOOKUP(J61,Foundation_Calc!$A$2:$C$13,3,1),""))</f>
        <v>Multi Soil</v>
      </c>
      <c r="AX61" s="449" t="str">
        <f>IF(C61&gt;0,VLOOKUP(C61,Foundation_Calc!$E$2:$G$33,3,1),
IF(J61&gt;0,VLOOKUP(J61,Foundation_Calc!$E$2:$G$33,3,1),""))</f>
        <v>PT</v>
      </c>
      <c r="AY61" s="10">
        <f>IF(L61="","",
IF(AX61="PT",VLOOKUP(L61,Foundation_Calc!$K$79:$R$113,VLOOKUP(AW61,Foundation_Calc!$I$2:$J$8,2,FALSE),0),
IF(AX61="K",VLOOKUP(L61,Foundation_Calc!$K$117:$R$151,VLOOKUP(AW61,Foundation_Calc!$I$2:$J$8,2,FALSE),0),"")))</f>
        <v>3.5</v>
      </c>
      <c r="AZ61" s="10" t="str">
        <f>IF(K61="","",
IF(AX61="PT",VLOOKUP(K61,Foundation_Calc!$K$79:$R$113,VLOOKUP(AW61,Foundation_Calc!$I$2:$J$8,2,FALSE),0),
IF(AX61="K",VLOOKUP(K61,Foundation_Calc!$K$117:$R$151,VLOOKUP(AW61,Foundation_Calc!$I$2:$J$8,2,FALSE),0),"")))</f>
        <v/>
      </c>
      <c r="BA61" s="495" t="str">
        <f t="shared" si="10"/>
        <v>ü</v>
      </c>
      <c r="BB61" s="495" t="str">
        <f t="shared" si="11"/>
        <v/>
      </c>
      <c r="BC61" s="495" t="str">
        <f t="shared" si="12"/>
        <v/>
      </c>
      <c r="BD61" s="513" t="str">
        <f>Pole_Calc!A$251</f>
        <v>App.8-V08H-P10.3</v>
      </c>
      <c r="BE61" s="429" t="s">
        <v>118</v>
      </c>
      <c r="BF61" s="548"/>
      <c r="BG61" s="548"/>
      <c r="BH61" s="549"/>
      <c r="BI61" s="548"/>
    </row>
    <row r="62" spans="1:61" ht="16.149999999999999" customHeight="1">
      <c r="A62" s="545"/>
      <c r="B62" s="450"/>
      <c r="C62" s="3"/>
      <c r="D62" s="83"/>
      <c r="E62" s="4"/>
      <c r="F62" s="4"/>
      <c r="G62" s="6">
        <v>48</v>
      </c>
      <c r="H62" s="449"/>
      <c r="I62" s="449"/>
      <c r="J62" s="3"/>
      <c r="K62" s="449"/>
      <c r="L62" s="449"/>
      <c r="M62" s="449" t="str">
        <f>IF(L62="","",
IF(AX62="PT",VLOOKUP(L62,Foundation_Calc!$V$79:$X$113,VLOOKUP(AX62,Foundation_Calc!$I$10:$J$13,2,FALSE),0),
IF(AX62="K",VLOOKUP(L62,Foundation_Calc!$V$117:$X$151,VLOOKUP(AX62,Foundation_Calc!$I$10:$J$13,2,FALSE),0),"")))</f>
        <v/>
      </c>
      <c r="N62" s="449"/>
      <c r="O62" s="449"/>
      <c r="P62" s="449"/>
      <c r="Q62" s="4"/>
      <c r="R62" s="6"/>
      <c r="S62" s="6"/>
      <c r="T62" s="4"/>
      <c r="U62" s="4"/>
      <c r="V62" s="4"/>
      <c r="W62" s="9"/>
      <c r="X62" s="9"/>
      <c r="Y62" s="9"/>
      <c r="Z62" s="9"/>
      <c r="AA62" s="9"/>
      <c r="AB62" s="9"/>
      <c r="AC62" s="449" t="str">
        <f t="shared" si="0"/>
        <v/>
      </c>
      <c r="AD62" s="449"/>
      <c r="AE62" s="449"/>
      <c r="AF62" s="4"/>
      <c r="AG62" s="83"/>
      <c r="AH62" s="4"/>
      <c r="AI62" s="4"/>
      <c r="AJ62" s="449"/>
      <c r="AK62" s="449"/>
      <c r="AL62" s="449"/>
      <c r="AM62" s="449"/>
      <c r="AN62" s="10"/>
      <c r="AO62" s="9"/>
      <c r="AP62" s="9"/>
      <c r="AQ62" s="9">
        <f>+FL_1($T$63,$T$61,$G$62,1200,9.28, 1*$F$63)</f>
        <v>0.30777738793796805</v>
      </c>
      <c r="AR62" s="9"/>
      <c r="AS62" s="9"/>
      <c r="AT62" s="9"/>
      <c r="AU62" s="428"/>
      <c r="AV62" s="428"/>
      <c r="AW62" s="449" t="str">
        <f>IF(C62&gt;0,VLOOKUP(C62,Foundation_Calc!$A$2:$C$13,3,1),
IF(J62&gt;0,VLOOKUP(J62,Foundation_Calc!$A$2:$C$13,3,1),""))</f>
        <v/>
      </c>
      <c r="AX62" s="449" t="str">
        <f>IF(C62&gt;0,VLOOKUP(C62,Foundation_Calc!$E$2:$G$33,3,1),
IF(J62&gt;0,VLOOKUP(J62,Foundation_Calc!$E$2:$G$33,3,1),""))</f>
        <v/>
      </c>
      <c r="AY62" s="10" t="str">
        <f>IF(L62="","",
IF(AX62="PT",VLOOKUP(L62,Foundation_Calc!$K$79:$R$113,VLOOKUP(AW62,Foundation_Calc!$I$2:$J$8,2,FALSE),0),
IF(AX62="K",VLOOKUP(L62,Foundation_Calc!$K$117:$R$151,VLOOKUP(AW62,Foundation_Calc!$I$2:$J$8,2,FALSE),0),"")))</f>
        <v/>
      </c>
      <c r="AZ62" s="10" t="str">
        <f>IF(K62="","",
IF(AX62="PT",VLOOKUP(K62,Foundation_Calc!$K$79:$R$113,VLOOKUP(AW62,Foundation_Calc!$I$2:$J$8,2,FALSE),0),
IF(AX62="K",VLOOKUP(K62,Foundation_Calc!$K$117:$R$151,VLOOKUP(AW62,Foundation_Calc!$I$2:$J$8,2,FALSE),0),"")))</f>
        <v/>
      </c>
      <c r="BA62" s="495" t="str">
        <f t="shared" si="10"/>
        <v/>
      </c>
      <c r="BB62" s="495" t="str">
        <f t="shared" si="11"/>
        <v/>
      </c>
      <c r="BC62" s="495" t="str">
        <f t="shared" si="12"/>
        <v/>
      </c>
      <c r="BD62" s="513"/>
      <c r="BE62" s="429" t="s">
        <v>118</v>
      </c>
      <c r="BF62" s="290"/>
      <c r="BG62" s="290"/>
      <c r="BH62" s="290"/>
      <c r="BI62" s="290"/>
    </row>
    <row r="63" spans="1:61" ht="16.149999999999999" customHeight="1">
      <c r="A63" s="545"/>
      <c r="B63" s="450" t="s">
        <v>1641</v>
      </c>
      <c r="C63" s="3">
        <f>+$C$61+$G$62</f>
        <v>35077.35</v>
      </c>
      <c r="D63" s="83"/>
      <c r="E63" s="4"/>
      <c r="F63" s="4">
        <v>1340</v>
      </c>
      <c r="G63" s="6"/>
      <c r="H63" s="449"/>
      <c r="I63" s="449"/>
      <c r="J63" s="3"/>
      <c r="K63" s="449"/>
      <c r="L63" s="449" t="s">
        <v>232</v>
      </c>
      <c r="M63" s="449" t="str">
        <f>IF(L63="","",
IF(AX63="PT",VLOOKUP(L63,Foundation_Calc!$V$79:$X$113,VLOOKUP(AX63,Foundation_Calc!$I$10:$J$13,2,FALSE),0),
IF(AX63="K",VLOOKUP(L63,Foundation_Calc!$V$117:$X$151,VLOOKUP(AX63,Foundation_Calc!$I$10:$J$13,2,FALSE),0),"")))</f>
        <v>C5R</v>
      </c>
      <c r="N63" s="449" t="s">
        <v>134</v>
      </c>
      <c r="O63" s="449"/>
      <c r="P63" s="449"/>
      <c r="Q63" s="4"/>
      <c r="R63" s="6"/>
      <c r="S63" s="6"/>
      <c r="T63" s="4">
        <v>30</v>
      </c>
      <c r="U63" s="4"/>
      <c r="V63" s="4"/>
      <c r="W63" s="9">
        <v>1.4</v>
      </c>
      <c r="X63" s="9"/>
      <c r="Y63" s="9"/>
      <c r="Z63" s="9"/>
      <c r="AA63" s="9"/>
      <c r="AB63" s="9"/>
      <c r="AC63" s="449" t="str">
        <f t="shared" si="0"/>
        <v>PHQ</v>
      </c>
      <c r="AD63" s="449"/>
      <c r="AE63" s="449"/>
      <c r="AF63" s="4"/>
      <c r="AG63" s="83"/>
      <c r="AH63" s="4"/>
      <c r="AI63" s="4"/>
      <c r="AJ63" s="449"/>
      <c r="AK63" s="449"/>
      <c r="AL63" s="449" t="s">
        <v>241</v>
      </c>
      <c r="AM63" s="449" t="s">
        <v>126</v>
      </c>
      <c r="AN63" s="10">
        <v>5.5</v>
      </c>
      <c r="AO63" s="9"/>
      <c r="AP63" s="9"/>
      <c r="AQ63" s="9"/>
      <c r="AR63" s="9"/>
      <c r="AS63" s="9"/>
      <c r="AT63" s="9">
        <f>+ab($T$63,$T$61,$T$65,$G$62,$G$64, 1*$F$63,1200)</f>
        <v>5.3414750211646203</v>
      </c>
      <c r="AU63" s="428"/>
      <c r="AV63" s="428"/>
      <c r="AW63" s="449" t="str">
        <f>IF(C63&gt;0,VLOOKUP(C63,Foundation_Calc!$A$2:$C$13,3,1),
IF(J63&gt;0,VLOOKUP(J63,Foundation_Calc!$A$2:$C$13,3,1),""))</f>
        <v>Multi Soil</v>
      </c>
      <c r="AX63" s="449" t="str">
        <f>IF(C63&gt;0,VLOOKUP(C63,Foundation_Calc!$E$2:$G$33,3,1),
IF(J63&gt;0,VLOOKUP(J63,Foundation_Calc!$E$2:$G$33,3,1),""))</f>
        <v>PT</v>
      </c>
      <c r="AY63" s="10">
        <f>IF(L63="","",
IF(AX63="PT",VLOOKUP(L63,Foundation_Calc!$K$79:$R$113,VLOOKUP(AW63,Foundation_Calc!$I$2:$J$8,2,FALSE),0),
IF(AX63="K",VLOOKUP(L63,Foundation_Calc!$K$117:$R$151,VLOOKUP(AW63,Foundation_Calc!$I$2:$J$8,2,FALSE),0),"")))</f>
        <v>3.5</v>
      </c>
      <c r="AZ63" s="10" t="str">
        <f>IF(K63="","",
IF(AX63="PT",VLOOKUP(K63,Foundation_Calc!$K$79:$R$113,VLOOKUP(AW63,Foundation_Calc!$I$2:$J$8,2,FALSE),0),
IF(AX63="K",VLOOKUP(K63,Foundation_Calc!$K$117:$R$151,VLOOKUP(AW63,Foundation_Calc!$I$2:$J$8,2,FALSE),0),"")))</f>
        <v/>
      </c>
      <c r="BA63" s="495" t="str">
        <f t="shared" si="10"/>
        <v>ü</v>
      </c>
      <c r="BB63" s="495" t="str">
        <f t="shared" si="11"/>
        <v/>
      </c>
      <c r="BC63" s="495" t="str">
        <f t="shared" si="12"/>
        <v/>
      </c>
      <c r="BD63" s="513" t="str">
        <f>Pole_Calc!A$251</f>
        <v>App.8-V08H-P10.3</v>
      </c>
      <c r="BE63" s="429" t="s">
        <v>118</v>
      </c>
      <c r="BF63" s="548"/>
      <c r="BG63" s="548"/>
      <c r="BH63" s="549"/>
      <c r="BI63" s="548"/>
    </row>
    <row r="64" spans="1:61" ht="16.149999999999999" customHeight="1">
      <c r="A64" s="545"/>
      <c r="B64" s="450"/>
      <c r="C64" s="3"/>
      <c r="D64" s="83"/>
      <c r="E64" s="4"/>
      <c r="F64" s="4"/>
      <c r="G64" s="6">
        <v>48</v>
      </c>
      <c r="H64" s="449"/>
      <c r="I64" s="449"/>
      <c r="J64" s="3">
        <f>C65-7.5</f>
        <v>35117.85</v>
      </c>
      <c r="K64" s="449" t="s">
        <v>117</v>
      </c>
      <c r="L64" s="449"/>
      <c r="M64" s="449" t="str">
        <f>IF(L64="","",
IF(AX64="PT",VLOOKUP(L64,Foundation_Calc!$V$79:$X$113,VLOOKUP(AX64,Foundation_Calc!$I$10:$J$13,2,FALSE),0),
IF(AX64="K",VLOOKUP(L64,Foundation_Calc!$V$117:$X$151,VLOOKUP(AX64,Foundation_Calc!$I$10:$J$13,2,FALSE),0),"")))</f>
        <v/>
      </c>
      <c r="N64" s="449"/>
      <c r="O64" s="449"/>
      <c r="P64" s="449"/>
      <c r="Q64" s="4"/>
      <c r="R64" s="6"/>
      <c r="S64" s="6"/>
      <c r="T64" s="4"/>
      <c r="U64" s="4"/>
      <c r="V64" s="4"/>
      <c r="W64" s="9"/>
      <c r="X64" s="9"/>
      <c r="Y64" s="9"/>
      <c r="Z64" s="9"/>
      <c r="AA64" s="9"/>
      <c r="AB64" s="9"/>
      <c r="AC64" s="449" t="str">
        <f t="shared" si="0"/>
        <v/>
      </c>
      <c r="AD64" s="449"/>
      <c r="AE64" s="449"/>
      <c r="AF64" s="4"/>
      <c r="AG64" s="83"/>
      <c r="AH64" s="4"/>
      <c r="AI64" s="4"/>
      <c r="AJ64" s="449"/>
      <c r="AK64" s="449"/>
      <c r="AL64" s="449"/>
      <c r="AM64" s="449"/>
      <c r="AN64" s="10"/>
      <c r="AO64" s="9"/>
      <c r="AP64" s="9"/>
      <c r="AQ64" s="9">
        <f>+FL_1($T$65,$T$63,$G$64,1200,9.28, 1*$F$65)</f>
        <v>0.30777738793796805</v>
      </c>
      <c r="AR64" s="9"/>
      <c r="AS64" s="9"/>
      <c r="AT64" s="9"/>
      <c r="AU64" s="428"/>
      <c r="AV64" s="428"/>
      <c r="AW64" s="449" t="str">
        <f>IF(C64&gt;0,VLOOKUP(C64,Foundation_Calc!$A$2:$C$13,3,1),
IF(J64&gt;0,VLOOKUP(J64,Foundation_Calc!$A$2:$C$13,3,1),""))</f>
        <v>Multi Soil</v>
      </c>
      <c r="AX64" s="449" t="str">
        <f>IF(C64&gt;0,VLOOKUP(C64,Foundation_Calc!$E$2:$G$33,3,1),
IF(J64&gt;0,VLOOKUP(J64,Foundation_Calc!$E$2:$G$33,3,1),""))</f>
        <v>PT</v>
      </c>
      <c r="AY64" s="10" t="str">
        <f>IF(L64="","",
IF(AX64="PT",VLOOKUP(L64,Foundation_Calc!$K$79:$R$113,VLOOKUP(AW64,Foundation_Calc!$I$2:$J$8,2,FALSE),0),
IF(AX64="K",VLOOKUP(L64,Foundation_Calc!$K$117:$R$151,VLOOKUP(AW64,Foundation_Calc!$I$2:$J$8,2,FALSE),0),"")))</f>
        <v/>
      </c>
      <c r="AZ64" s="10">
        <f>IF(K64="","",
IF(AX64="PT",VLOOKUP(K64,Foundation_Calc!$K$79:$R$113,VLOOKUP(AW64,Foundation_Calc!$I$2:$J$8,2,FALSE),0),
IF(AX64="K",VLOOKUP(K64,Foundation_Calc!$K$117:$R$151,VLOOKUP(AW64,Foundation_Calc!$I$2:$J$8,2,FALSE),0),"")))</f>
        <v>3.9</v>
      </c>
      <c r="BA64" s="495" t="str">
        <f t="shared" si="10"/>
        <v/>
      </c>
      <c r="BB64" s="495" t="str">
        <f t="shared" si="11"/>
        <v>ü</v>
      </c>
      <c r="BC64" s="495" t="str">
        <f t="shared" si="12"/>
        <v/>
      </c>
      <c r="BD64" s="513"/>
      <c r="BE64" s="429" t="s">
        <v>118</v>
      </c>
      <c r="BF64" s="290"/>
      <c r="BG64" s="290"/>
      <c r="BH64" s="290"/>
      <c r="BI64" s="290"/>
    </row>
    <row r="65" spans="1:61" ht="16.149999999999999" customHeight="1">
      <c r="A65" s="545"/>
      <c r="B65" s="450" t="s">
        <v>1642</v>
      </c>
      <c r="C65" s="3">
        <f>+$C$63+$G$64</f>
        <v>35125.35</v>
      </c>
      <c r="D65" s="83"/>
      <c r="E65" s="4"/>
      <c r="F65" s="4">
        <v>1340</v>
      </c>
      <c r="G65" s="6"/>
      <c r="H65" s="449" t="s">
        <v>284</v>
      </c>
      <c r="I65" s="449" t="s">
        <v>162</v>
      </c>
      <c r="J65" s="3"/>
      <c r="K65" s="449"/>
      <c r="L65" s="449" t="s">
        <v>232</v>
      </c>
      <c r="M65" s="449" t="str">
        <f>IF(L65="","",
IF(AX65="PT",VLOOKUP(L65,Foundation_Calc!$V$79:$X$113,VLOOKUP(AX65,Foundation_Calc!$I$10:$J$13,2,FALSE),0),
IF(AX65="K",VLOOKUP(L65,Foundation_Calc!$V$117:$X$151,VLOOKUP(AX65,Foundation_Calc!$I$10:$J$13,2,FALSE),0),"")))</f>
        <v>C5R</v>
      </c>
      <c r="N65" s="449" t="s">
        <v>134</v>
      </c>
      <c r="O65" s="449"/>
      <c r="P65" s="449"/>
      <c r="Q65" s="4"/>
      <c r="R65" s="6"/>
      <c r="S65" s="6"/>
      <c r="T65" s="4">
        <v>30</v>
      </c>
      <c r="U65" s="4"/>
      <c r="V65" s="4"/>
      <c r="W65" s="9">
        <v>1.4</v>
      </c>
      <c r="X65" s="9"/>
      <c r="Y65" s="9"/>
      <c r="Z65" s="9"/>
      <c r="AA65" s="9"/>
      <c r="AB65" s="9"/>
      <c r="AC65" s="449" t="str">
        <f t="shared" si="0"/>
        <v>PHC</v>
      </c>
      <c r="AD65" s="449"/>
      <c r="AE65" s="449"/>
      <c r="AF65" s="4"/>
      <c r="AG65" s="83"/>
      <c r="AH65" s="4"/>
      <c r="AI65" s="4"/>
      <c r="AJ65" s="449"/>
      <c r="AK65" s="449"/>
      <c r="AL65" s="449" t="s">
        <v>241</v>
      </c>
      <c r="AM65" s="449" t="s">
        <v>126</v>
      </c>
      <c r="AN65" s="10">
        <v>5.5</v>
      </c>
      <c r="AO65" s="9"/>
      <c r="AP65" s="9"/>
      <c r="AQ65" s="9"/>
      <c r="AR65" s="9"/>
      <c r="AS65" s="9"/>
      <c r="AT65" s="9">
        <f>+ab($T$65,$T$63,$U$67,$G$64,$G$66, 1*$F$65,1200)</f>
        <v>4.1922028229105646</v>
      </c>
      <c r="AU65" s="428"/>
      <c r="AV65" s="428"/>
      <c r="AW65" s="449" t="str">
        <f>IF(C65&gt;0,VLOOKUP(C65,Foundation_Calc!$A$2:$C$13,3,1),
IF(J65&gt;0,VLOOKUP(J65,Foundation_Calc!$A$2:$C$13,3,1),""))</f>
        <v>Multi Soil</v>
      </c>
      <c r="AX65" s="449" t="str">
        <f>IF(C65&gt;0,VLOOKUP(C65,Foundation_Calc!$E$2:$G$33,3,1),
IF(J65&gt;0,VLOOKUP(J65,Foundation_Calc!$E$2:$G$33,3,1),""))</f>
        <v>PT</v>
      </c>
      <c r="AY65" s="10">
        <f>IF(L65="","",
IF(AX65="PT",VLOOKUP(L65,Foundation_Calc!$K$79:$R$113,VLOOKUP(AW65,Foundation_Calc!$I$2:$J$8,2,FALSE),0),
IF(AX65="K",VLOOKUP(L65,Foundation_Calc!$K$117:$R$151,VLOOKUP(AW65,Foundation_Calc!$I$2:$J$8,2,FALSE),0),"")))</f>
        <v>3.5</v>
      </c>
      <c r="AZ65" s="10" t="str">
        <f>IF(K65="","",
IF(AX65="PT",VLOOKUP(K65,Foundation_Calc!$K$79:$R$113,VLOOKUP(AW65,Foundation_Calc!$I$2:$J$8,2,FALSE),0),
IF(AX65="K",VLOOKUP(K65,Foundation_Calc!$K$117:$R$151,VLOOKUP(AW65,Foundation_Calc!$I$2:$J$8,2,FALSE),0),"")))</f>
        <v/>
      </c>
      <c r="BA65" s="495" t="str">
        <f t="shared" si="10"/>
        <v>ü</v>
      </c>
      <c r="BB65" s="495" t="str">
        <f t="shared" si="11"/>
        <v/>
      </c>
      <c r="BC65" s="495" t="str">
        <f t="shared" si="12"/>
        <v/>
      </c>
      <c r="BD65" s="513" t="str">
        <f>Pole_Calc!A$251</f>
        <v>App.8-V08H-P10.3</v>
      </c>
      <c r="BE65" s="429" t="s">
        <v>118</v>
      </c>
      <c r="BF65" s="548"/>
      <c r="BG65" s="548"/>
      <c r="BH65" s="549"/>
      <c r="BI65" s="548"/>
    </row>
    <row r="66" spans="1:61" ht="16.149999999999999" customHeight="1">
      <c r="A66" s="545"/>
      <c r="B66" s="450"/>
      <c r="C66" s="3"/>
      <c r="D66" s="83"/>
      <c r="E66" s="4"/>
      <c r="F66" s="4"/>
      <c r="G66" s="6">
        <v>44</v>
      </c>
      <c r="H66" s="449"/>
      <c r="I66" s="449">
        <v>221</v>
      </c>
      <c r="J66" s="3"/>
      <c r="K66" s="449"/>
      <c r="L66" s="449"/>
      <c r="M66" s="449" t="str">
        <f>IF(L66="","",
IF(AX66="PT",VLOOKUP(L66,Foundation_Calc!$V$79:$X$113,VLOOKUP(AX66,Foundation_Calc!$I$10:$J$13,2,FALSE),0),
IF(AX66="K",VLOOKUP(L66,Foundation_Calc!$V$117:$X$151,VLOOKUP(AX66,Foundation_Calc!$I$10:$J$13,2,FALSE),0),"")))</f>
        <v/>
      </c>
      <c r="N66" s="449"/>
      <c r="O66" s="449"/>
      <c r="P66" s="449"/>
      <c r="Q66" s="4"/>
      <c r="R66" s="6"/>
      <c r="S66" s="6"/>
      <c r="T66" s="4"/>
      <c r="U66" s="4"/>
      <c r="V66" s="4"/>
      <c r="W66" s="9"/>
      <c r="X66" s="9"/>
      <c r="Y66" s="9"/>
      <c r="Z66" s="9"/>
      <c r="AA66" s="9"/>
      <c r="AB66" s="9"/>
      <c r="AC66" s="449" t="str">
        <f t="shared" si="0"/>
        <v/>
      </c>
      <c r="AD66" s="449"/>
      <c r="AE66" s="449"/>
      <c r="AF66" s="4"/>
      <c r="AG66" s="83"/>
      <c r="AH66" s="4"/>
      <c r="AI66" s="4"/>
      <c r="AJ66" s="449"/>
      <c r="AK66" s="449"/>
      <c r="AL66" s="449"/>
      <c r="AM66" s="449"/>
      <c r="AN66" s="10"/>
      <c r="AO66" s="9"/>
      <c r="AP66" s="9"/>
      <c r="AQ66" s="9">
        <f>+FL_2($U$67,$T$65,$G$66,1200,9.28, 1*$F$67)</f>
        <v>-0.22063732618181819</v>
      </c>
      <c r="AR66" s="9"/>
      <c r="AS66" s="9"/>
      <c r="AT66" s="9"/>
      <c r="AU66" s="428"/>
      <c r="AV66" s="428"/>
      <c r="AW66" s="449" t="str">
        <f>IF(C66&gt;0,VLOOKUP(C66,Foundation_Calc!$A$2:$C$13,3,1),
IF(J66&gt;0,VLOOKUP(J66,Foundation_Calc!$A$2:$C$13,3,1),""))</f>
        <v/>
      </c>
      <c r="AX66" s="449" t="str">
        <f>IF(C66&gt;0,VLOOKUP(C66,Foundation_Calc!$E$2:$G$33,3,1),
IF(J66&gt;0,VLOOKUP(J66,Foundation_Calc!$E$2:$G$33,3,1),""))</f>
        <v/>
      </c>
      <c r="AY66" s="10" t="str">
        <f>IF(L66="","",
IF(AX66="PT",VLOOKUP(L66,Foundation_Calc!$K$79:$R$113,VLOOKUP(AW66,Foundation_Calc!$I$2:$J$8,2,FALSE),0),
IF(AX66="K",VLOOKUP(L66,Foundation_Calc!$K$117:$R$151,VLOOKUP(AW66,Foundation_Calc!$I$2:$J$8,2,FALSE),0),"")))</f>
        <v/>
      </c>
      <c r="AZ66" s="10" t="str">
        <f>IF(K66="","",
IF(AX66="PT",VLOOKUP(K66,Foundation_Calc!$K$79:$R$113,VLOOKUP(AW66,Foundation_Calc!$I$2:$J$8,2,FALSE),0),
IF(AX66="K",VLOOKUP(K66,Foundation_Calc!$K$117:$R$151,VLOOKUP(AW66,Foundation_Calc!$I$2:$J$8,2,FALSE),0),"")))</f>
        <v/>
      </c>
      <c r="BA66" s="495" t="str">
        <f t="shared" si="10"/>
        <v/>
      </c>
      <c r="BB66" s="495" t="str">
        <f t="shared" si="11"/>
        <v/>
      </c>
      <c r="BC66" s="495" t="str">
        <f t="shared" si="12"/>
        <v/>
      </c>
      <c r="BD66" s="513"/>
      <c r="BE66" s="429" t="s">
        <v>118</v>
      </c>
      <c r="BF66" s="290"/>
      <c r="BG66" s="290"/>
      <c r="BH66" s="290"/>
      <c r="BI66" s="290"/>
    </row>
    <row r="67" spans="1:61" ht="16.149999999999999" customHeight="1">
      <c r="A67" s="514"/>
      <c r="B67" s="450" t="s">
        <v>1643</v>
      </c>
      <c r="C67" s="3">
        <f>+$C$65+$G$66</f>
        <v>35169.35</v>
      </c>
      <c r="D67" s="83"/>
      <c r="E67" s="4"/>
      <c r="F67" s="4">
        <v>0</v>
      </c>
      <c r="G67" s="6"/>
      <c r="H67" s="449" t="s">
        <v>131</v>
      </c>
      <c r="I67" s="449"/>
      <c r="J67" s="3"/>
      <c r="K67" s="449"/>
      <c r="L67" s="449" t="s">
        <v>232</v>
      </c>
      <c r="M67" s="449" t="str">
        <f>IF(L67="","",
IF(AX67="PT",VLOOKUP(L67,Foundation_Calc!$V$79:$X$113,VLOOKUP(AX67,Foundation_Calc!$I$10:$J$13,2,FALSE),0),
IF(AX67="K",VLOOKUP(L67,Foundation_Calc!$V$117:$X$151,VLOOKUP(AX67,Foundation_Calc!$I$10:$J$13,2,FALSE),0),"")))</f>
        <v>C5R</v>
      </c>
      <c r="N67" s="554" t="s">
        <v>133</v>
      </c>
      <c r="O67" s="449" t="s">
        <v>124</v>
      </c>
      <c r="P67" s="449"/>
      <c r="Q67" s="4"/>
      <c r="R67" s="6"/>
      <c r="S67" s="6"/>
      <c r="T67" s="4">
        <v>-55</v>
      </c>
      <c r="U67" s="4">
        <v>-20</v>
      </c>
      <c r="V67" s="4"/>
      <c r="W67" s="9">
        <v>2</v>
      </c>
      <c r="X67" s="9">
        <v>1.4</v>
      </c>
      <c r="Y67" s="9"/>
      <c r="Z67" s="9">
        <v>0.4</v>
      </c>
      <c r="AA67" s="9"/>
      <c r="AB67" s="9"/>
      <c r="AC67" s="449"/>
      <c r="AD67" s="449"/>
      <c r="AE67" s="449"/>
      <c r="AF67" s="4"/>
      <c r="AG67" s="83"/>
      <c r="AH67" s="4"/>
      <c r="AI67" s="4"/>
      <c r="AJ67" s="449"/>
      <c r="AK67" s="449"/>
      <c r="AL67" s="449" t="s">
        <v>241</v>
      </c>
      <c r="AM67" s="449" t="s">
        <v>126</v>
      </c>
      <c r="AN67" s="10">
        <v>5.5</v>
      </c>
      <c r="AO67" s="9"/>
      <c r="AP67" s="9"/>
      <c r="AQ67" s="9"/>
      <c r="AR67" s="9"/>
      <c r="AS67" s="9"/>
      <c r="AT67" s="9">
        <f>+ab($U$67,$T$65,$U$69,$G$66,$G$68, 1*$F$67,1200)</f>
        <v>-7.9890503639051849</v>
      </c>
      <c r="AU67" s="428"/>
      <c r="AV67" s="428"/>
      <c r="AW67" s="449" t="str">
        <f>IF(C67&gt;0,VLOOKUP(C67,Foundation_Calc!$A$2:$C$13,3,1),
IF(J67&gt;0,VLOOKUP(J67,Foundation_Calc!$A$2:$C$13,3,1),""))</f>
        <v>Multi Soil</v>
      </c>
      <c r="AX67" s="449" t="str">
        <f>IF(C67&gt;0,VLOOKUP(C67,Foundation_Calc!$E$2:$G$33,3,1),
IF(J67&gt;0,VLOOKUP(J67,Foundation_Calc!$E$2:$G$33,3,1),""))</f>
        <v>PT</v>
      </c>
      <c r="AY67" s="10">
        <f>IF(L67="","",
IF(AX67="PT",VLOOKUP(L67,Foundation_Calc!$K$79:$R$113,VLOOKUP(AW67,Foundation_Calc!$I$2:$J$8,2,FALSE),0),
IF(AX67="K",VLOOKUP(L67,Foundation_Calc!$K$117:$R$151,VLOOKUP(AW67,Foundation_Calc!$I$2:$J$8,2,FALSE),0),"")))</f>
        <v>3.5</v>
      </c>
      <c r="AZ67" s="10" t="str">
        <f>IF(K67="","",
IF(AX67="PT",VLOOKUP(K67,Foundation_Calc!$K$79:$R$113,VLOOKUP(AW67,Foundation_Calc!$I$2:$J$8,2,FALSE),0),
IF(AX67="K",VLOOKUP(K67,Foundation_Calc!$K$117:$R$151,VLOOKUP(AW67,Foundation_Calc!$I$2:$J$8,2,FALSE),0),"")))</f>
        <v/>
      </c>
      <c r="BA67" s="495" t="str">
        <f t="shared" si="10"/>
        <v>ü</v>
      </c>
      <c r="BB67" s="495" t="str">
        <f t="shared" si="11"/>
        <v/>
      </c>
      <c r="BC67" s="495" t="str">
        <f t="shared" si="12"/>
        <v/>
      </c>
      <c r="BD67" s="513" t="str">
        <f>Pole_Calc!A$251</f>
        <v>App.8-V08H-P10.3</v>
      </c>
      <c r="BE67" s="429" t="s">
        <v>118</v>
      </c>
      <c r="BF67" s="548"/>
      <c r="BG67" s="548"/>
      <c r="BH67" s="549"/>
      <c r="BI67" s="548"/>
    </row>
    <row r="68" spans="1:61" ht="16.149999999999999" customHeight="1">
      <c r="A68" s="545"/>
      <c r="B68" s="450"/>
      <c r="C68" s="3"/>
      <c r="D68" s="83"/>
      <c r="E68" s="4"/>
      <c r="F68" s="4"/>
      <c r="G68" s="6">
        <v>44</v>
      </c>
      <c r="H68" s="449"/>
      <c r="I68" s="449"/>
      <c r="J68" s="3"/>
      <c r="K68" s="449"/>
      <c r="L68" s="449"/>
      <c r="M68" s="449" t="str">
        <f>IF(L68="","",
IF(AX68="PT",VLOOKUP(L68,Foundation_Calc!$V$79:$X$113,VLOOKUP(AX68,Foundation_Calc!$I$10:$J$13,2,FALSE),0),
IF(AX68="K",VLOOKUP(L68,Foundation_Calc!$V$117:$X$151,VLOOKUP(AX68,Foundation_Calc!$I$10:$J$13,2,FALSE),0),"")))</f>
        <v/>
      </c>
      <c r="N68" s="449"/>
      <c r="O68" s="449"/>
      <c r="P68" s="449"/>
      <c r="Q68" s="4"/>
      <c r="R68" s="6"/>
      <c r="S68" s="6"/>
      <c r="T68" s="4"/>
      <c r="U68" s="4"/>
      <c r="V68" s="4"/>
      <c r="W68" s="9"/>
      <c r="X68" s="9"/>
      <c r="Y68" s="9"/>
      <c r="Z68" s="9"/>
      <c r="AA68" s="9"/>
      <c r="AB68" s="9"/>
      <c r="AC68" s="449" t="str">
        <f t="shared" si="0"/>
        <v/>
      </c>
      <c r="AD68" s="449"/>
      <c r="AE68" s="449"/>
      <c r="AF68" s="4"/>
      <c r="AG68" s="83"/>
      <c r="AH68" s="4"/>
      <c r="AI68" s="4"/>
      <c r="AJ68" s="449"/>
      <c r="AK68" s="449"/>
      <c r="AL68" s="449"/>
      <c r="AM68" s="449"/>
      <c r="AN68" s="10"/>
      <c r="AO68" s="9"/>
      <c r="AP68" s="9"/>
      <c r="AQ68" s="9">
        <f>+FL_2($U$69,$U$67,$G$68,1200,9.28, 1*$F$69)</f>
        <v>-0.21317036800000003</v>
      </c>
      <c r="AR68" s="9"/>
      <c r="AS68" s="9"/>
      <c r="AT68" s="9"/>
      <c r="AU68" s="428"/>
      <c r="AV68" s="428"/>
      <c r="AW68" s="449" t="str">
        <f>IF(C68&gt;0,VLOOKUP(C68,Foundation_Calc!$A$2:$C$13,3,1),
IF(J68&gt;0,VLOOKUP(J68,Foundation_Calc!$A$2:$C$13,3,1),""))</f>
        <v/>
      </c>
      <c r="AX68" s="449" t="str">
        <f>IF(C68&gt;0,VLOOKUP(C68,Foundation_Calc!$E$2:$G$33,3,1),
IF(J68&gt;0,VLOOKUP(J68,Foundation_Calc!$E$2:$G$33,3,1),""))</f>
        <v/>
      </c>
      <c r="AY68" s="10" t="str">
        <f>IF(L68="","",
IF(AX68="PT",VLOOKUP(L68,Foundation_Calc!$K$79:$R$113,VLOOKUP(AW68,Foundation_Calc!$I$2:$J$8,2,FALSE),0),
IF(AX68="K",VLOOKUP(L68,Foundation_Calc!$K$117:$R$151,VLOOKUP(AW68,Foundation_Calc!$I$2:$J$8,2,FALSE),0),"")))</f>
        <v/>
      </c>
      <c r="AZ68" s="10" t="str">
        <f>IF(K68="","",
IF(AX68="PT",VLOOKUP(K68,Foundation_Calc!$K$79:$R$113,VLOOKUP(AW68,Foundation_Calc!$I$2:$J$8,2,FALSE),0),
IF(AX68="K",VLOOKUP(K68,Foundation_Calc!$K$117:$R$151,VLOOKUP(AW68,Foundation_Calc!$I$2:$J$8,2,FALSE),0),"")))</f>
        <v/>
      </c>
      <c r="BA68" s="495" t="str">
        <f t="shared" si="10"/>
        <v/>
      </c>
      <c r="BB68" s="495" t="str">
        <f t="shared" si="11"/>
        <v/>
      </c>
      <c r="BC68" s="495" t="str">
        <f t="shared" si="12"/>
        <v/>
      </c>
      <c r="BD68" s="513"/>
      <c r="BE68" s="429" t="s">
        <v>118</v>
      </c>
      <c r="BF68" s="290"/>
      <c r="BG68" s="290"/>
      <c r="BH68" s="290"/>
      <c r="BI68" s="290"/>
    </row>
    <row r="69" spans="1:61" ht="16.149999999999999" customHeight="1">
      <c r="A69" s="545"/>
      <c r="B69" s="450" t="s">
        <v>1644</v>
      </c>
      <c r="C69" s="3">
        <f>+$C$67+$G$68</f>
        <v>35213.35</v>
      </c>
      <c r="D69" s="83"/>
      <c r="E69" s="4"/>
      <c r="F69" s="4">
        <v>0</v>
      </c>
      <c r="G69" s="6"/>
      <c r="H69" s="449" t="s">
        <v>238</v>
      </c>
      <c r="I69" s="449"/>
      <c r="J69" s="3"/>
      <c r="K69" s="449"/>
      <c r="L69" s="449" t="s">
        <v>232</v>
      </c>
      <c r="M69" s="449" t="str">
        <f>IF(L69="","",
IF(AX69="PT",VLOOKUP(L69,Foundation_Calc!$V$79:$X$113,VLOOKUP(AX69,Foundation_Calc!$I$10:$J$13,2,FALSE),0),
IF(AX69="K",VLOOKUP(L69,Foundation_Calc!$V$117:$X$151,VLOOKUP(AX69,Foundation_Calc!$I$10:$J$13,2,FALSE),0),"")))</f>
        <v>C5R</v>
      </c>
      <c r="N69" s="554" t="s">
        <v>124</v>
      </c>
      <c r="O69" s="449" t="s">
        <v>134</v>
      </c>
      <c r="P69" s="449"/>
      <c r="Q69" s="4"/>
      <c r="R69" s="6"/>
      <c r="S69" s="6"/>
      <c r="T69" s="4">
        <v>20</v>
      </c>
      <c r="U69" s="4">
        <v>35</v>
      </c>
      <c r="V69" s="4"/>
      <c r="W69" s="9">
        <v>2</v>
      </c>
      <c r="X69" s="9">
        <v>1.4</v>
      </c>
      <c r="Y69" s="9"/>
      <c r="Z69" s="9"/>
      <c r="AA69" s="9"/>
      <c r="AB69" s="9"/>
      <c r="AC69" s="449" t="str">
        <f t="shared" ref="AC69:AC74" si="13">IF(OR(AT69&gt;8,AT69&lt;-8),"PH",
IF(OR(AT69&gt;5,AT69&lt;-5),"PHQ",
IF(OR(AT69&gt;1,AT69&lt;-1),
"PHC","")))</f>
        <v>PHQ</v>
      </c>
      <c r="AD69" s="449"/>
      <c r="AE69" s="449"/>
      <c r="AF69" s="4"/>
      <c r="AG69" s="83"/>
      <c r="AH69" s="4"/>
      <c r="AI69" s="4"/>
      <c r="AJ69" s="449"/>
      <c r="AK69" s="449"/>
      <c r="AL69" s="449" t="s">
        <v>241</v>
      </c>
      <c r="AM69" s="449" t="s">
        <v>126</v>
      </c>
      <c r="AN69" s="10">
        <v>5.5</v>
      </c>
      <c r="AO69" s="9"/>
      <c r="AP69" s="9"/>
      <c r="AQ69" s="9"/>
      <c r="AR69" s="9"/>
      <c r="AS69" s="9"/>
      <c r="AT69" s="9">
        <f>+ab($U$69,$U$67,$T$71,$G$68,$G$70, 1*$F$69,1200)</f>
        <v>6.1913890163239396</v>
      </c>
      <c r="AU69" s="428"/>
      <c r="AV69" s="428"/>
      <c r="AW69" s="449" t="str">
        <f>IF(C69&gt;0,VLOOKUP(C69,Foundation_Calc!$A$2:$C$13,3,1),
IF(J69&gt;0,VLOOKUP(J69,Foundation_Calc!$A$2:$C$13,3,1),""))</f>
        <v>Multi Soil</v>
      </c>
      <c r="AX69" s="449" t="str">
        <f>IF(C69&gt;0,VLOOKUP(C69,Foundation_Calc!$E$2:$G$33,3,1),
IF(J69&gt;0,VLOOKUP(J69,Foundation_Calc!$E$2:$G$33,3,1),""))</f>
        <v>PT</v>
      </c>
      <c r="AY69" s="10">
        <f>IF(L69="","",
IF(AX69="PT",VLOOKUP(L69,Foundation_Calc!$K$79:$R$113,VLOOKUP(AW69,Foundation_Calc!$I$2:$J$8,2,FALSE),0),
IF(AX69="K",VLOOKUP(L69,Foundation_Calc!$K$117:$R$151,VLOOKUP(AW69,Foundation_Calc!$I$2:$J$8,2,FALSE),0),"")))</f>
        <v>3.5</v>
      </c>
      <c r="AZ69" s="10" t="str">
        <f>IF(K69="","",
IF(AX69="PT",VLOOKUP(K69,Foundation_Calc!$K$79:$R$113,VLOOKUP(AW69,Foundation_Calc!$I$2:$J$8,2,FALSE),0),
IF(AX69="K",VLOOKUP(K69,Foundation_Calc!$K$117:$R$151,VLOOKUP(AW69,Foundation_Calc!$I$2:$J$8,2,FALSE),0),"")))</f>
        <v/>
      </c>
      <c r="BA69" s="495" t="str">
        <f t="shared" si="10"/>
        <v>ü</v>
      </c>
      <c r="BB69" s="495" t="str">
        <f t="shared" si="11"/>
        <v/>
      </c>
      <c r="BC69" s="495" t="str">
        <f t="shared" si="12"/>
        <v/>
      </c>
      <c r="BD69" s="513" t="str">
        <f>Pole_Calc!A$251</f>
        <v>App.8-V08H-P10.3</v>
      </c>
      <c r="BE69" s="429" t="s">
        <v>118</v>
      </c>
      <c r="BF69" s="548"/>
      <c r="BG69" s="548"/>
      <c r="BH69" s="549"/>
      <c r="BI69" s="548"/>
    </row>
    <row r="70" spans="1:61" ht="16.149999999999999" customHeight="1">
      <c r="A70" s="545"/>
      <c r="B70" s="450"/>
      <c r="C70" s="3"/>
      <c r="D70" s="83"/>
      <c r="E70" s="4"/>
      <c r="F70" s="4"/>
      <c r="G70" s="6">
        <v>38.1</v>
      </c>
      <c r="H70" s="449"/>
      <c r="I70" s="449"/>
      <c r="J70" s="3"/>
      <c r="K70" s="449"/>
      <c r="L70" s="449"/>
      <c r="M70" s="449" t="str">
        <f>IF(L70="","",
IF(AX70="PT",VLOOKUP(L70,Foundation_Calc!$V$79:$X$113,VLOOKUP(AX70,Foundation_Calc!$I$10:$J$13,2,FALSE),0),
IF(AX70="K",VLOOKUP(L70,Foundation_Calc!$V$117:$X$151,VLOOKUP(AX70,Foundation_Calc!$I$10:$J$13,2,FALSE),0),"")))</f>
        <v/>
      </c>
      <c r="N70" s="449"/>
      <c r="O70" s="449"/>
      <c r="P70" s="449"/>
      <c r="Q70" s="4"/>
      <c r="R70" s="6"/>
      <c r="S70" s="6"/>
      <c r="T70" s="4"/>
      <c r="U70" s="4"/>
      <c r="V70" s="4"/>
      <c r="W70" s="9"/>
      <c r="X70" s="9"/>
      <c r="Y70" s="9"/>
      <c r="Z70" s="9"/>
      <c r="AA70" s="9"/>
      <c r="AB70" s="9"/>
      <c r="AC70" s="449" t="str">
        <f t="shared" si="13"/>
        <v/>
      </c>
      <c r="AD70" s="449"/>
      <c r="AE70" s="449"/>
      <c r="AF70" s="4"/>
      <c r="AG70" s="83"/>
      <c r="AH70" s="4"/>
      <c r="AI70" s="4"/>
      <c r="AJ70" s="449"/>
      <c r="AK70" s="449"/>
      <c r="AL70" s="449"/>
      <c r="AM70" s="449"/>
      <c r="AN70" s="10"/>
      <c r="AO70" s="9"/>
      <c r="AP70" s="9"/>
      <c r="AQ70" s="9">
        <f>+FL_2($T$71,$U$69,$G$70,1200,9.28, 1*$F$71)</f>
        <v>-0.35</v>
      </c>
      <c r="AR70" s="9"/>
      <c r="AS70" s="9"/>
      <c r="AT70" s="9"/>
      <c r="AU70" s="428"/>
      <c r="AV70" s="428"/>
      <c r="AW70" s="449" t="str">
        <f>IF(C70&gt;0,VLOOKUP(C70,Foundation_Calc!$A$2:$C$13,3,1),
IF(J70&gt;0,VLOOKUP(J70,Foundation_Calc!$A$2:$C$13,3,1),""))</f>
        <v/>
      </c>
      <c r="AX70" s="449" t="str">
        <f>IF(C70&gt;0,VLOOKUP(C70,Foundation_Calc!$E$2:$G$33,3,1),
IF(J70&gt;0,VLOOKUP(J70,Foundation_Calc!$E$2:$G$33,3,1),""))</f>
        <v/>
      </c>
      <c r="AY70" s="10" t="str">
        <f>IF(L70="","",
IF(AX70="PT",VLOOKUP(L70,Foundation_Calc!$K$79:$R$113,VLOOKUP(AW70,Foundation_Calc!$I$2:$J$8,2,FALSE),0),
IF(AX70="K",VLOOKUP(L70,Foundation_Calc!$K$117:$R$151,VLOOKUP(AW70,Foundation_Calc!$I$2:$J$8,2,FALSE),0),"")))</f>
        <v/>
      </c>
      <c r="AZ70" s="10" t="str">
        <f>IF(K70="","",
IF(AX70="PT",VLOOKUP(K70,Foundation_Calc!$K$79:$R$113,VLOOKUP(AW70,Foundation_Calc!$I$2:$J$8,2,FALSE),0),
IF(AX70="K",VLOOKUP(K70,Foundation_Calc!$K$117:$R$151,VLOOKUP(AW70,Foundation_Calc!$I$2:$J$8,2,FALSE),0),"")))</f>
        <v/>
      </c>
      <c r="BA70" s="495" t="str">
        <f t="shared" si="10"/>
        <v/>
      </c>
      <c r="BB70" s="495" t="str">
        <f t="shared" si="11"/>
        <v/>
      </c>
      <c r="BC70" s="495" t="str">
        <f t="shared" si="12"/>
        <v/>
      </c>
      <c r="BD70" s="513"/>
      <c r="BE70" s="429" t="s">
        <v>118</v>
      </c>
      <c r="BF70" s="290"/>
      <c r="BG70" s="290"/>
      <c r="BH70" s="290"/>
      <c r="BI70" s="290"/>
    </row>
    <row r="71" spans="1:61" ht="16.149999999999999" customHeight="1">
      <c r="A71" s="545"/>
      <c r="B71" s="450" t="s">
        <v>1645</v>
      </c>
      <c r="C71" s="3">
        <f>+$C$69+$G$70</f>
        <v>35251.449999999997</v>
      </c>
      <c r="D71" s="83"/>
      <c r="E71" s="4"/>
      <c r="F71" s="4">
        <v>0</v>
      </c>
      <c r="G71" s="6"/>
      <c r="H71" s="449"/>
      <c r="I71" s="449"/>
      <c r="J71" s="3"/>
      <c r="K71" s="449"/>
      <c r="L71" s="449" t="s">
        <v>232</v>
      </c>
      <c r="M71" s="449" t="str">
        <f>IF(L71="","",
IF(AX71="PT",VLOOKUP(L71,Foundation_Calc!$V$79:$X$113,VLOOKUP(AX71,Foundation_Calc!$I$10:$J$13,2,FALSE),0),
IF(AX71="K",VLOOKUP(L71,Foundation_Calc!$V$117:$X$151,VLOOKUP(AX71,Foundation_Calc!$I$10:$J$13,2,FALSE),0),"")))</f>
        <v>C5R</v>
      </c>
      <c r="N71" s="449" t="s">
        <v>124</v>
      </c>
      <c r="O71" s="449"/>
      <c r="P71" s="449"/>
      <c r="Q71" s="4"/>
      <c r="R71" s="6"/>
      <c r="S71" s="6"/>
      <c r="T71" s="4">
        <v>-35</v>
      </c>
      <c r="U71" s="4"/>
      <c r="V71" s="4"/>
      <c r="W71" s="9">
        <v>1.4</v>
      </c>
      <c r="X71" s="9"/>
      <c r="Y71" s="9"/>
      <c r="Z71" s="9"/>
      <c r="AA71" s="9"/>
      <c r="AB71" s="9"/>
      <c r="AC71" s="449" t="str">
        <f t="shared" si="13"/>
        <v>PHQ</v>
      </c>
      <c r="AD71" s="449"/>
      <c r="AE71" s="449"/>
      <c r="AF71" s="4"/>
      <c r="AG71" s="83"/>
      <c r="AH71" s="4"/>
      <c r="AI71" s="4"/>
      <c r="AJ71" s="449"/>
      <c r="AK71" s="449"/>
      <c r="AL71" s="449" t="s">
        <v>241</v>
      </c>
      <c r="AM71" s="449" t="s">
        <v>126</v>
      </c>
      <c r="AN71" s="10">
        <v>5.5</v>
      </c>
      <c r="AO71" s="9"/>
      <c r="AP71" s="9"/>
      <c r="AQ71" s="9"/>
      <c r="AR71" s="9"/>
      <c r="AS71" s="9"/>
      <c r="AT71" s="9">
        <f>+ab($T$71,$U$69,$T$73,$G$70,$G$72, 1*$F$71,1200)</f>
        <v>-6.4883076894855947</v>
      </c>
      <c r="AU71" s="428"/>
      <c r="AV71" s="428"/>
      <c r="AW71" s="449" t="str">
        <f>IF(C71&gt;0,VLOOKUP(C71,Foundation_Calc!$A$2:$C$13,3,1),
IF(J71&gt;0,VLOOKUP(J71,Foundation_Calc!$A$2:$C$13,3,1),""))</f>
        <v>Multi Soil</v>
      </c>
      <c r="AX71" s="449" t="str">
        <f>IF(C71&gt;0,VLOOKUP(C71,Foundation_Calc!$E$2:$G$33,3,1),
IF(J71&gt;0,VLOOKUP(J71,Foundation_Calc!$E$2:$G$33,3,1),""))</f>
        <v>PT</v>
      </c>
      <c r="AY71" s="10">
        <f>IF(L71="","",
IF(AX71="PT",VLOOKUP(L71,Foundation_Calc!$K$79:$R$113,VLOOKUP(AW71,Foundation_Calc!$I$2:$J$8,2,FALSE),0),
IF(AX71="K",VLOOKUP(L71,Foundation_Calc!$K$117:$R$151,VLOOKUP(AW71,Foundation_Calc!$I$2:$J$8,2,FALSE),0),"")))</f>
        <v>3.5</v>
      </c>
      <c r="AZ71" s="10" t="str">
        <f>IF(K71="","",
IF(AX71="PT",VLOOKUP(K71,Foundation_Calc!$K$79:$R$113,VLOOKUP(AW71,Foundation_Calc!$I$2:$J$8,2,FALSE),0),
IF(AX71="K",VLOOKUP(K71,Foundation_Calc!$K$117:$R$151,VLOOKUP(AW71,Foundation_Calc!$I$2:$J$8,2,FALSE),0),"")))</f>
        <v/>
      </c>
      <c r="BA71" s="495" t="str">
        <f t="shared" si="10"/>
        <v>ü</v>
      </c>
      <c r="BB71" s="495" t="str">
        <f t="shared" si="11"/>
        <v/>
      </c>
      <c r="BC71" s="495" t="str">
        <f t="shared" si="12"/>
        <v/>
      </c>
      <c r="BD71" s="513" t="str">
        <f>Pole_Calc!A$251</f>
        <v>App.8-V08H-P10.3</v>
      </c>
      <c r="BE71" s="429" t="s">
        <v>118</v>
      </c>
      <c r="BF71" s="548"/>
      <c r="BG71" s="548"/>
      <c r="BH71" s="549"/>
      <c r="BI71" s="548"/>
    </row>
    <row r="72" spans="1:61" ht="16.149999999999999" customHeight="1">
      <c r="A72" s="545"/>
      <c r="B72" s="450"/>
      <c r="C72" s="3"/>
      <c r="D72" s="83"/>
      <c r="E72" s="4"/>
      <c r="F72" s="4"/>
      <c r="G72" s="6">
        <v>31.6</v>
      </c>
      <c r="H72" s="449"/>
      <c r="I72" s="4">
        <f>SUM(G52:G72)</f>
        <v>493.70000000000005</v>
      </c>
      <c r="J72" s="3"/>
      <c r="K72" s="449"/>
      <c r="L72" s="449"/>
      <c r="M72" s="449" t="str">
        <f>IF(L72="","",
IF(AX72="PT",VLOOKUP(L72,Foundation_Calc!$V$79:$X$113,VLOOKUP(AX72,Foundation_Calc!$I$10:$J$13,2,FALSE),0),
IF(AX72="K",VLOOKUP(L72,Foundation_Calc!$V$117:$X$151,VLOOKUP(AX72,Foundation_Calc!$I$10:$J$13,2,FALSE),0),"")))</f>
        <v/>
      </c>
      <c r="N72" s="449"/>
      <c r="O72" s="449"/>
      <c r="P72" s="449"/>
      <c r="Q72" s="4"/>
      <c r="R72" s="6"/>
      <c r="S72" s="6"/>
      <c r="T72" s="4"/>
      <c r="U72" s="4"/>
      <c r="V72" s="4"/>
      <c r="W72" s="9"/>
      <c r="X72" s="9"/>
      <c r="Y72" s="9"/>
      <c r="Z72" s="9"/>
      <c r="AA72" s="9"/>
      <c r="AB72" s="9"/>
      <c r="AC72" s="449" t="str">
        <f t="shared" si="13"/>
        <v/>
      </c>
      <c r="AD72" s="449"/>
      <c r="AE72" s="449"/>
      <c r="AF72" s="4"/>
      <c r="AG72" s="83"/>
      <c r="AH72" s="4"/>
      <c r="AI72" s="4"/>
      <c r="AJ72" s="449"/>
      <c r="AK72" s="449"/>
      <c r="AL72" s="449"/>
      <c r="AM72" s="449"/>
      <c r="AN72" s="10"/>
      <c r="AO72" s="9"/>
      <c r="AP72" s="9"/>
      <c r="AQ72" s="9">
        <f>+FL_2($T$73,$T$71,$G$72,1200,9.28, 1*$F$73)</f>
        <v>-0.35084426693670878</v>
      </c>
      <c r="AR72" s="9"/>
      <c r="AS72" s="9"/>
      <c r="AT72" s="9"/>
      <c r="AU72" s="428"/>
      <c r="AV72" s="428"/>
      <c r="AW72" s="449" t="str">
        <f>IF(C72&gt;0,VLOOKUP(C72,Foundation_Calc!$A$2:$C$13,3,1),
IF(J72&gt;0,VLOOKUP(J72,Foundation_Calc!$A$2:$C$13,3,1),""))</f>
        <v/>
      </c>
      <c r="AX72" s="449" t="str">
        <f>IF(C72&gt;0,VLOOKUP(C72,Foundation_Calc!$E$2:$G$33,3,1),
IF(J72&gt;0,VLOOKUP(J72,Foundation_Calc!$E$2:$G$33,3,1),""))</f>
        <v/>
      </c>
      <c r="AY72" s="10" t="str">
        <f>IF(L72="","",
IF(AX72="PT",VLOOKUP(L72,Foundation_Calc!$K$79:$R$113,VLOOKUP(AW72,Foundation_Calc!$I$2:$J$8,2,FALSE),0),
IF(AX72="K",VLOOKUP(L72,Foundation_Calc!$K$117:$R$151,VLOOKUP(AW72,Foundation_Calc!$I$2:$J$8,2,FALSE),0),"")))</f>
        <v/>
      </c>
      <c r="AZ72" s="10" t="str">
        <f>IF(K72="","",
IF(AX72="PT",VLOOKUP(K72,Foundation_Calc!$K$79:$R$113,VLOOKUP(AW72,Foundation_Calc!$I$2:$J$8,2,FALSE),0),
IF(AX72="K",VLOOKUP(K72,Foundation_Calc!$K$117:$R$151,VLOOKUP(AW72,Foundation_Calc!$I$2:$J$8,2,FALSE),0),"")))</f>
        <v/>
      </c>
      <c r="BA72" s="495" t="str">
        <f t="shared" si="10"/>
        <v/>
      </c>
      <c r="BB72" s="495" t="str">
        <f t="shared" si="11"/>
        <v/>
      </c>
      <c r="BC72" s="495" t="str">
        <f t="shared" si="12"/>
        <v/>
      </c>
      <c r="BD72" s="513"/>
      <c r="BE72" s="429" t="s">
        <v>118</v>
      </c>
      <c r="BF72" s="290"/>
      <c r="BG72" s="290"/>
      <c r="BH72" s="290"/>
      <c r="BI72" s="290"/>
    </row>
    <row r="73" spans="1:61" ht="16.149999999999999" customHeight="1">
      <c r="A73" s="514"/>
      <c r="B73" s="450" t="s">
        <v>1646</v>
      </c>
      <c r="C73" s="3">
        <f>+$C$71+$G$72</f>
        <v>35283.049999999996</v>
      </c>
      <c r="D73" s="83"/>
      <c r="E73" s="4"/>
      <c r="F73" s="4">
        <v>0</v>
      </c>
      <c r="G73" s="6"/>
      <c r="H73" s="449" t="s">
        <v>121</v>
      </c>
      <c r="I73" s="449" t="s">
        <v>122</v>
      </c>
      <c r="J73" s="3"/>
      <c r="K73" s="449"/>
      <c r="L73" s="449" t="s">
        <v>1610</v>
      </c>
      <c r="M73" s="449" t="str">
        <f>IF(L73="","",
IF(AX73="PT",VLOOKUP(L73,Foundation_Calc!$V$79:$X$113,VLOOKUP(AX73,Foundation_Calc!$I$10:$J$13,2,FALSE),0),
IF(AX73="K",VLOOKUP(L73,Foundation_Calc!$V$117:$X$151,VLOOKUP(AX73,Foundation_Calc!$I$10:$J$13,2,FALSE),0),"")))</f>
        <v>C8R</v>
      </c>
      <c r="N73" s="449" t="s">
        <v>201</v>
      </c>
      <c r="O73" s="449"/>
      <c r="P73" s="449"/>
      <c r="Q73" s="4"/>
      <c r="R73" s="6"/>
      <c r="S73" s="6"/>
      <c r="T73" s="4">
        <v>0</v>
      </c>
      <c r="U73" s="4"/>
      <c r="V73" s="4"/>
      <c r="W73" s="9">
        <v>1.4</v>
      </c>
      <c r="X73" s="9"/>
      <c r="Y73" s="9"/>
      <c r="Z73" s="9"/>
      <c r="AA73" s="9"/>
      <c r="AB73" s="9"/>
      <c r="AC73" s="449"/>
      <c r="AD73" s="449"/>
      <c r="AE73" s="449"/>
      <c r="AF73" s="4"/>
      <c r="AG73" s="83"/>
      <c r="AH73" s="4"/>
      <c r="AI73" s="4"/>
      <c r="AJ73" s="449"/>
      <c r="AK73" s="449"/>
      <c r="AL73" s="449"/>
      <c r="AM73" s="449" t="s">
        <v>126</v>
      </c>
      <c r="AN73" s="10"/>
      <c r="AO73" s="9"/>
      <c r="AP73" s="9"/>
      <c r="AQ73" s="9"/>
      <c r="AR73" s="9"/>
      <c r="AS73" s="9"/>
      <c r="AT73" s="9"/>
      <c r="AU73" s="428"/>
      <c r="AV73" s="428"/>
      <c r="AW73" s="449" t="str">
        <f>IF(C73&gt;0,VLOOKUP(C73,Foundation_Calc!$A$2:$C$13,3,1),
IF(J73&gt;0,VLOOKUP(J73,Foundation_Calc!$A$2:$C$13,3,1),""))</f>
        <v>Multi Soil</v>
      </c>
      <c r="AX73" s="449" t="str">
        <f>IF(C73&gt;0,VLOOKUP(C73,Foundation_Calc!$E$2:$G$33,3,1),
IF(J73&gt;0,VLOOKUP(J73,Foundation_Calc!$E$2:$G$33,3,1),""))</f>
        <v>PT</v>
      </c>
      <c r="AY73" s="10">
        <f>IF(L73="","",
IF(AX73="PT",VLOOKUP(L73,Foundation_Calc!$K$79:$R$113,VLOOKUP(AW73,Foundation_Calc!$I$2:$J$8,2,FALSE),0),
IF(AX73="K",VLOOKUP(L73,Foundation_Calc!$K$117:$R$151,VLOOKUP(AW73,Foundation_Calc!$I$2:$J$8,2,FALSE),0),"")))</f>
        <v>4.5</v>
      </c>
      <c r="AZ73" s="10" t="str">
        <f>IF(K73="","",
IF(AX73="PT",VLOOKUP(K73,Foundation_Calc!$K$79:$R$113,VLOOKUP(AW73,Foundation_Calc!$I$2:$J$8,2,FALSE),0),
IF(AX73="K",VLOOKUP(K73,Foundation_Calc!$K$117:$R$151,VLOOKUP(AW73,Foundation_Calc!$I$2:$J$8,2,FALSE),0),"")))</f>
        <v/>
      </c>
      <c r="BA73" s="495" t="str">
        <f t="shared" si="10"/>
        <v>ü</v>
      </c>
      <c r="BB73" s="495" t="str">
        <f t="shared" si="11"/>
        <v/>
      </c>
      <c r="BC73" s="495" t="str">
        <f t="shared" si="12"/>
        <v/>
      </c>
      <c r="BD73" s="513" t="str">
        <f>Pole_Calc!A$199</f>
        <v>App.7-V11I-P11.1</v>
      </c>
      <c r="BE73" s="429" t="s">
        <v>118</v>
      </c>
      <c r="BF73" s="548"/>
      <c r="BG73" s="548"/>
      <c r="BH73" s="549"/>
      <c r="BI73" s="548"/>
    </row>
    <row r="74" spans="1:61" ht="16.149999999999999" customHeight="1" thickBot="1">
      <c r="A74" s="631"/>
      <c r="B74" s="520"/>
      <c r="C74" s="521"/>
      <c r="D74" s="522"/>
      <c r="E74" s="523"/>
      <c r="F74" s="523"/>
      <c r="G74" s="524"/>
      <c r="H74" s="525"/>
      <c r="I74" s="525"/>
      <c r="J74" s="521"/>
      <c r="K74" s="525"/>
      <c r="L74" s="525"/>
      <c r="M74" s="525" t="str">
        <f>IF(L74="","",
IF(AX74="PT",VLOOKUP(L74,Foundation_Calc!$V$79:$X$113,VLOOKUP(AX74,Foundation_Calc!$I$10:$J$13,2,FALSE),0),
IF(AX74="K",VLOOKUP(L74,Foundation_Calc!$V$117:$X$151,VLOOKUP(AX74,Foundation_Calc!$I$10:$J$13,2,FALSE),0),"")))</f>
        <v/>
      </c>
      <c r="N74" s="525"/>
      <c r="O74" s="525"/>
      <c r="P74" s="525"/>
      <c r="Q74" s="523"/>
      <c r="R74" s="524"/>
      <c r="S74" s="524"/>
      <c r="T74" s="523"/>
      <c r="U74" s="523"/>
      <c r="V74" s="523"/>
      <c r="W74" s="526"/>
      <c r="X74" s="526"/>
      <c r="Y74" s="526"/>
      <c r="Z74" s="526"/>
      <c r="AA74" s="526"/>
      <c r="AB74" s="526"/>
      <c r="AC74" s="525" t="str">
        <f t="shared" si="13"/>
        <v/>
      </c>
      <c r="AD74" s="525"/>
      <c r="AE74" s="525"/>
      <c r="AF74" s="523"/>
      <c r="AG74" s="522"/>
      <c r="AH74" s="523"/>
      <c r="AI74" s="523"/>
      <c r="AJ74" s="525"/>
      <c r="AK74" s="525"/>
      <c r="AL74" s="525"/>
      <c r="AM74" s="525"/>
      <c r="AN74" s="527"/>
      <c r="AO74" s="526"/>
      <c r="AP74" s="526"/>
      <c r="AQ74" s="526"/>
      <c r="AR74" s="526"/>
      <c r="AS74" s="526"/>
      <c r="AT74" s="526"/>
      <c r="AU74" s="528"/>
      <c r="AV74" s="528"/>
      <c r="AW74" s="525" t="str">
        <f>IF(C74&gt;0,VLOOKUP(C74,Foundation_Calc!$A$2:$C$13,3,1),
IF(J74&gt;0,VLOOKUP(J74,Foundation_Calc!$A$2:$C$13,3,1),""))</f>
        <v/>
      </c>
      <c r="AX74" s="525" t="str">
        <f>IF(C74&gt;0,VLOOKUP(C74,Foundation_Calc!$E$2:$G$13,3,1),
IF(J74&gt;0,VLOOKUP(J74,Foundation_Calc!$E$2:$G$13,3,1),""))</f>
        <v/>
      </c>
      <c r="AY74" s="527" t="str">
        <f>IF(L74="","",
IF(AX74="PT",VLOOKUP(L74,Foundation_Calc!$K$79:$R$113,VLOOKUP(AW74,Foundation_Calc!$I$2:$J$8,2,FALSE),0),
IF(AX74="K",VLOOKUP(L74,Foundation_Calc!$K$117:$R$151,VLOOKUP(AW74,Foundation_Calc!$I$2:$J$8,2,FALSE),0),"")))</f>
        <v/>
      </c>
      <c r="AZ74" s="527" t="str">
        <f>IF(K74="","",
IF(AX74="PT",VLOOKUP(K74,Foundation_Calc!$K$79:$R$113,VLOOKUP(AW74,Foundation_Calc!$I$2:$J$8,2,FALSE),0),
IF(AX74="K",VLOOKUP(K74,Foundation_Calc!$K$117:$R$151,VLOOKUP(AW74,Foundation_Calc!$I$2:$J$8,2,FALSE),0),"")))</f>
        <v/>
      </c>
      <c r="BA74" s="529" t="str">
        <f t="shared" si="10"/>
        <v/>
      </c>
      <c r="BB74" s="529" t="str">
        <f t="shared" si="11"/>
        <v/>
      </c>
      <c r="BC74" s="529" t="str">
        <f t="shared" si="12"/>
        <v/>
      </c>
      <c r="BD74" s="530"/>
      <c r="BE74" s="429" t="s">
        <v>118</v>
      </c>
      <c r="BF74" s="290"/>
      <c r="BG74" s="290"/>
      <c r="BH74" s="290"/>
      <c r="BI74" s="290"/>
    </row>
    <row r="75" spans="1:61" ht="15.75" customHeight="1"/>
  </sheetData>
  <autoFilter ref="A2:BD74" xr:uid="{00000000-0009-0000-0000-000003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filterColumn colId="52" showButton="0"/>
    <filterColumn colId="53" showButton="0"/>
  </autoFilter>
  <mergeCells count="11">
    <mergeCell ref="BF1:BI1"/>
    <mergeCell ref="A1:BD1"/>
    <mergeCell ref="AT2:AV2"/>
    <mergeCell ref="AC2:AE2"/>
    <mergeCell ref="Z2:AB2"/>
    <mergeCell ref="N2:P2"/>
    <mergeCell ref="AN2:AP2"/>
    <mergeCell ref="AQ2:AS2"/>
    <mergeCell ref="T2:V2"/>
    <mergeCell ref="W2:Y2"/>
    <mergeCell ref="BA2:BC2"/>
  </mergeCells>
  <phoneticPr fontId="0" type="noConversion"/>
  <conditionalFormatting sqref="BF5:BG5 BI5 BF7:BG7 BF9:BG9 BF11:BG11 BF13:BG13 BF15:BG15 BF17:BG17 BF19:BG19 BF21:BG21 BF23:BG23 BF25:BG25 BF27:BG27 BF29:BG29 BF31:BG31 BF33:BG33 BF35:BG35 BF37:BG37 BF39:BG39 BF41:BG41 BF43:BG43 BF45:BG45 BF47:BG47 BF49:BG49 BF51:BG51 BI7 BI9 BI11 BI13 BI15 BI17 BI19 BI21 BI23 BI25 BI27 BI29 BI31 BI33 BI35 BI37 BI39 BI41 BI43 BI45 BI47 BI49 BI51 BF53:BG53 BF55:BG55 BF57:BG57 BF59:BG59 BF61:BG61 BF63:BG63 BF65:BG65 BF67:BG67 BF69:BG69 BF71:BG71 BF73:BG73 BI53 BI55 BI57 BI59 BI61 BI63 BI65 BI67 BI69 BI71 BI73">
    <cfRule type="containsBlanks" dxfId="22124" priority="2669">
      <formula>LEN(TRIM(BF5))=0</formula>
    </cfRule>
  </conditionalFormatting>
  <conditionalFormatting sqref="BE4">
    <cfRule type="expression" dxfId="22123" priority="2667">
      <formula>$M4="NON DEFINED"</formula>
    </cfRule>
    <cfRule type="expression" dxfId="22122" priority="2668">
      <formula>$AY4="N.D."</formula>
    </cfRule>
  </conditionalFormatting>
  <conditionalFormatting sqref="BE4">
    <cfRule type="cellIs" dxfId="22121" priority="2666" operator="equal">
      <formula>0</formula>
    </cfRule>
  </conditionalFormatting>
  <conditionalFormatting sqref="AG5 AZ5 B5:E5 J5 AN5:AS5 G5:H5 J18:K49 I19:I49 M28:M49 N43:O49 AC43:AD49 T43:U49 W45:X49 H18:H49 I6:K15 H8:H15 L6:M19 AC6:AD41 B8:G49 B6:F7 B8:B73 B74:N74 Y74:AZ74 Y6:AB73 AE6:AZ73 W73:X73 N6:X16 N18:N41 O18:O39 P18:S74 V18:V74 W18:X39 X17 T18:U39 B50:M73">
    <cfRule type="expression" dxfId="22120" priority="2663">
      <formula>$M5="NON DEFINED"</formula>
    </cfRule>
    <cfRule type="expression" dxfId="22119" priority="2664">
      <formula>$AZ5="N.D."</formula>
    </cfRule>
    <cfRule type="expression" dxfId="22118" priority="2665">
      <formula>$AY5="N.D."</formula>
    </cfRule>
  </conditionalFormatting>
  <conditionalFormatting sqref="AY5">
    <cfRule type="expression" dxfId="22117" priority="2646">
      <formula>$M5="NON DEFINED"</formula>
    </cfRule>
    <cfRule type="expression" dxfId="22116" priority="2647">
      <formula>$AZ5="N.D."</formula>
    </cfRule>
    <cfRule type="expression" dxfId="22115" priority="2648">
      <formula>$AY5="N.D."</formula>
    </cfRule>
  </conditionalFormatting>
  <conditionalFormatting sqref="A5:E5 J5 AG5 AN5:AS5 G5:H5 J18:K49 I19:I49 M28:M49 N43:O49 AC43:AD49 T43:U49 W45:X49 H18:H49 AY5:AZ49 I6:K15 H8:H15 L6:M19 AC6:AD41 A8:G49 A6:F7 B8:B73 AE6:AX49 A50:M53 B54:M54 A74:N74 Y74:AZ74 Y6:AB73 AE50:AZ73 W73:X73 N6:X16 N18:N41 O18:O39 P18:S74 V18:V74 W18:X39 X17 T18:U39 A55:M73">
    <cfRule type="expression" dxfId="22114" priority="2631">
      <formula>$A5="Overhead Cable"</formula>
    </cfRule>
    <cfRule type="expression" dxfId="22113" priority="2632">
      <formula>$A5="Level Crossing"</formula>
    </cfRule>
    <cfRule type="expression" dxfId="22112" priority="2633">
      <formula>$A5="Neutral Section"</formula>
    </cfRule>
    <cfRule type="expression" dxfId="22111" priority="2634">
      <formula>$A5="Tunnel"</formula>
    </cfRule>
    <cfRule type="expression" dxfId="22110" priority="2635">
      <formula>$A5="Bridge"</formula>
    </cfRule>
    <cfRule type="expression" dxfId="22109" priority="2636">
      <formula>$A5="Drainage Works"</formula>
    </cfRule>
    <cfRule type="expression" dxfId="22108" priority="2637">
      <formula>$A5="Underpass"</formula>
    </cfRule>
    <cfRule type="expression" dxfId="22107" priority="2638">
      <formula>$A5="Overcrossing"</formula>
    </cfRule>
    <cfRule type="expression" dxfId="22106" priority="2639">
      <formula>$A5="Overpass"</formula>
    </cfRule>
    <cfRule type="expression" dxfId="22105" priority="2640">
      <formula>$A5="Station"</formula>
    </cfRule>
    <cfRule type="expression" dxfId="22104" priority="2641">
      <formula>$A5="Overlap between sections"</formula>
    </cfRule>
  </conditionalFormatting>
  <conditionalFormatting sqref="BA4:BC4">
    <cfRule type="expression" dxfId="22103" priority="2630">
      <formula>$BE4="R"</formula>
    </cfRule>
  </conditionalFormatting>
  <conditionalFormatting sqref="B4:E4 J4 AG4 AN4:AS4 AY4:BC4 G4:H4">
    <cfRule type="expression" dxfId="22102" priority="2628">
      <formula>$M4="NON DEFINED"</formula>
    </cfRule>
    <cfRule type="expression" dxfId="22101" priority="2629">
      <formula>$AY4="N.D."</formula>
    </cfRule>
  </conditionalFormatting>
  <conditionalFormatting sqref="A4:E4 J4 AG4 AN4:AS4 AY4:BD4 G4:H4">
    <cfRule type="cellIs" dxfId="22100" priority="2627" operator="equal">
      <formula>0</formula>
    </cfRule>
  </conditionalFormatting>
  <conditionalFormatting sqref="AN5:AP74">
    <cfRule type="cellIs" dxfId="22099" priority="2626" operator="notEqual">
      <formula>5.5</formula>
    </cfRule>
  </conditionalFormatting>
  <conditionalFormatting sqref="B5:B74">
    <cfRule type="expression" dxfId="22098" priority="2624">
      <formula>AND($AH5&gt;2499,$AH5&lt;2901)</formula>
    </cfRule>
  </conditionalFormatting>
  <conditionalFormatting sqref="I4">
    <cfRule type="expression" dxfId="22097" priority="2608">
      <formula>$M4="NON DEFINED"</formula>
    </cfRule>
    <cfRule type="expression" dxfId="22096" priority="2609">
      <formula>$AY4="N.D."</formula>
    </cfRule>
  </conditionalFormatting>
  <conditionalFormatting sqref="I4">
    <cfRule type="cellIs" dxfId="22095" priority="2607" operator="equal">
      <formula>0</formula>
    </cfRule>
  </conditionalFormatting>
  <conditionalFormatting sqref="K5">
    <cfRule type="expression" dxfId="22094" priority="2604">
      <formula>$M5="NON DEFINED"</formula>
    </cfRule>
    <cfRule type="expression" dxfId="22093" priority="2605">
      <formula>$AZ5="N.D."</formula>
    </cfRule>
    <cfRule type="expression" dxfId="22092" priority="2606">
      <formula>$AY5="N.D."</formula>
    </cfRule>
  </conditionalFormatting>
  <conditionalFormatting sqref="K5">
    <cfRule type="expression" dxfId="22091" priority="2593">
      <formula>$A5="Overhead Cable"</formula>
    </cfRule>
    <cfRule type="expression" dxfId="22090" priority="2594">
      <formula>$A5="Level Crossing"</formula>
    </cfRule>
    <cfRule type="expression" dxfId="22089" priority="2595">
      <formula>$A5="Neutral Section"</formula>
    </cfRule>
    <cfRule type="expression" dxfId="22088" priority="2596">
      <formula>$A5="Tunnel"</formula>
    </cfRule>
    <cfRule type="expression" dxfId="22087" priority="2597">
      <formula>$A5="Bridge"</formula>
    </cfRule>
    <cfRule type="expression" dxfId="22086" priority="2598">
      <formula>$A5="Drainage Works"</formula>
    </cfRule>
    <cfRule type="expression" dxfId="22085" priority="2599">
      <formula>$A5="Underpass"</formula>
    </cfRule>
    <cfRule type="expression" dxfId="22084" priority="2600">
      <formula>$A5="Overcrossing"</formula>
    </cfRule>
    <cfRule type="expression" dxfId="22083" priority="2601">
      <formula>$A5="Overpass"</formula>
    </cfRule>
    <cfRule type="expression" dxfId="22082" priority="2602">
      <formula>$A5="Station"</formula>
    </cfRule>
    <cfRule type="expression" dxfId="22081" priority="2603">
      <formula>$A5="Overlap between sections"</formula>
    </cfRule>
  </conditionalFormatting>
  <conditionalFormatting sqref="K4">
    <cfRule type="expression" dxfId="22080" priority="2591">
      <formula>$M4="NON DEFINED"</formula>
    </cfRule>
    <cfRule type="expression" dxfId="22079" priority="2592">
      <formula>$AY4="N.D."</formula>
    </cfRule>
  </conditionalFormatting>
  <conditionalFormatting sqref="K4">
    <cfRule type="cellIs" dxfId="22078" priority="2590" operator="equal">
      <formula>0</formula>
    </cfRule>
  </conditionalFormatting>
  <conditionalFormatting sqref="L5">
    <cfRule type="expression" dxfId="22077" priority="2587">
      <formula>$M5="NON DEFINED"</formula>
    </cfRule>
    <cfRule type="expression" dxfId="22076" priority="2588">
      <formula>$AZ5="N.D."</formula>
    </cfRule>
    <cfRule type="expression" dxfId="22075" priority="2589">
      <formula>$AY5="N.D."</formula>
    </cfRule>
  </conditionalFormatting>
  <conditionalFormatting sqref="L5">
    <cfRule type="expression" dxfId="22074" priority="2576">
      <formula>$A5="Overhead Cable"</formula>
    </cfRule>
    <cfRule type="expression" dxfId="22073" priority="2577">
      <formula>$A5="Level Crossing"</formula>
    </cfRule>
    <cfRule type="expression" dxfId="22072" priority="2578">
      <formula>$A5="Neutral Section"</formula>
    </cfRule>
    <cfRule type="expression" dxfId="22071" priority="2579">
      <formula>$A5="Tunnel"</formula>
    </cfRule>
    <cfRule type="expression" dxfId="22070" priority="2580">
      <formula>$A5="Bridge"</formula>
    </cfRule>
    <cfRule type="expression" dxfId="22069" priority="2581">
      <formula>$A5="Drainage Works"</formula>
    </cfRule>
    <cfRule type="expression" dxfId="22068" priority="2582">
      <formula>$A5="Underpass"</formula>
    </cfRule>
    <cfRule type="expression" dxfId="22067" priority="2583">
      <formula>$A5="Overcrossing"</formula>
    </cfRule>
    <cfRule type="expression" dxfId="22066" priority="2584">
      <formula>$A5="Overpass"</formula>
    </cfRule>
    <cfRule type="expression" dxfId="22065" priority="2585">
      <formula>$A5="Station"</formula>
    </cfRule>
    <cfRule type="expression" dxfId="22064" priority="2586">
      <formula>$A5="Overlap between sections"</formula>
    </cfRule>
  </conditionalFormatting>
  <conditionalFormatting sqref="L4">
    <cfRule type="expression" dxfId="22063" priority="2574">
      <formula>$M4="NON DEFINED"</formula>
    </cfRule>
    <cfRule type="expression" dxfId="22062" priority="2575">
      <formula>$AY4="N.D."</formula>
    </cfRule>
  </conditionalFormatting>
  <conditionalFormatting sqref="L4">
    <cfRule type="cellIs" dxfId="22061" priority="2573" operator="equal">
      <formula>0</formula>
    </cfRule>
  </conditionalFormatting>
  <conditionalFormatting sqref="M5">
    <cfRule type="expression" dxfId="22060" priority="2570">
      <formula>$M5="NON DEFINED"</formula>
    </cfRule>
    <cfRule type="expression" dxfId="22059" priority="2571">
      <formula>$AZ5="N.D."</formula>
    </cfRule>
    <cfRule type="expression" dxfId="22058" priority="2572">
      <formula>$AY5="N.D."</formula>
    </cfRule>
  </conditionalFormatting>
  <conditionalFormatting sqref="M5">
    <cfRule type="expression" dxfId="22057" priority="2559">
      <formula>$A5="Overhead Cable"</formula>
    </cfRule>
    <cfRule type="expression" dxfId="22056" priority="2560">
      <formula>$A5="Level Crossing"</formula>
    </cfRule>
    <cfRule type="expression" dxfId="22055" priority="2561">
      <formula>$A5="Neutral Section"</formula>
    </cfRule>
    <cfRule type="expression" dxfId="22054" priority="2562">
      <formula>$A5="Tunnel"</formula>
    </cfRule>
    <cfRule type="expression" dxfId="22053" priority="2563">
      <formula>$A5="Bridge"</formula>
    </cfRule>
    <cfRule type="expression" dxfId="22052" priority="2564">
      <formula>$A5="Drainage Works"</formula>
    </cfRule>
    <cfRule type="expression" dxfId="22051" priority="2565">
      <formula>$A5="Underpass"</formula>
    </cfRule>
    <cfRule type="expression" dxfId="22050" priority="2566">
      <formula>$A5="Overcrossing"</formula>
    </cfRule>
    <cfRule type="expression" dxfId="22049" priority="2567">
      <formula>$A5="Overpass"</formula>
    </cfRule>
    <cfRule type="expression" dxfId="22048" priority="2568">
      <formula>$A5="Station"</formula>
    </cfRule>
    <cfRule type="expression" dxfId="22047" priority="2569">
      <formula>$A5="Overlap between sections"</formula>
    </cfRule>
  </conditionalFormatting>
  <conditionalFormatting sqref="M4">
    <cfRule type="expression" dxfId="22046" priority="2557">
      <formula>$M4="NON DEFINED"</formula>
    </cfRule>
    <cfRule type="expression" dxfId="22045" priority="2558">
      <formula>$AY4="N.D."</formula>
    </cfRule>
  </conditionalFormatting>
  <conditionalFormatting sqref="M4">
    <cfRule type="cellIs" dxfId="22044" priority="2556" operator="equal">
      <formula>0</formula>
    </cfRule>
  </conditionalFormatting>
  <conditionalFormatting sqref="N5">
    <cfRule type="expression" dxfId="22043" priority="2550">
      <formula>$M5="NON DEFINED"</formula>
    </cfRule>
    <cfRule type="expression" dxfId="22042" priority="2551">
      <formula>$AZ5="N.D."</formula>
    </cfRule>
    <cfRule type="expression" dxfId="22041" priority="2552">
      <formula>$AY5="N.D."</formula>
    </cfRule>
  </conditionalFormatting>
  <conditionalFormatting sqref="N5">
    <cfRule type="expression" dxfId="22040" priority="2539">
      <formula>$A5="Overhead Cable"</formula>
    </cfRule>
    <cfRule type="expression" dxfId="22039" priority="2540">
      <formula>$A5="Level Crossing"</formula>
    </cfRule>
    <cfRule type="expression" dxfId="22038" priority="2541">
      <formula>$A5="Neutral Section"</formula>
    </cfRule>
    <cfRule type="expression" dxfId="22037" priority="2542">
      <formula>$A5="Tunnel"</formula>
    </cfRule>
    <cfRule type="expression" dxfId="22036" priority="2543">
      <formula>$A5="Bridge"</formula>
    </cfRule>
    <cfRule type="expression" dxfId="22035" priority="2544">
      <formula>$A5="Drainage Works"</formula>
    </cfRule>
    <cfRule type="expression" dxfId="22034" priority="2545">
      <formula>$A5="Underpass"</formula>
    </cfRule>
    <cfRule type="expression" dxfId="22033" priority="2546">
      <formula>$A5="Overcrossing"</formula>
    </cfRule>
    <cfRule type="expression" dxfId="22032" priority="2547">
      <formula>$A5="Overpass"</formula>
    </cfRule>
    <cfRule type="expression" dxfId="22031" priority="2548">
      <formula>$A5="Station"</formula>
    </cfRule>
    <cfRule type="expression" dxfId="22030" priority="2549">
      <formula>$A5="Overlap between sections"</formula>
    </cfRule>
  </conditionalFormatting>
  <conditionalFormatting sqref="N4">
    <cfRule type="expression" dxfId="22029" priority="2537">
      <formula>$M4="NON DEFINED"</formula>
    </cfRule>
    <cfRule type="expression" dxfId="22028" priority="2538">
      <formula>$AY4="N.D."</formula>
    </cfRule>
  </conditionalFormatting>
  <conditionalFormatting sqref="N4">
    <cfRule type="cellIs" dxfId="22027" priority="2536" operator="equal">
      <formula>0</formula>
    </cfRule>
  </conditionalFormatting>
  <conditionalFormatting sqref="O5">
    <cfRule type="expression" dxfId="22026" priority="2533">
      <formula>$M5="NON DEFINED"</formula>
    </cfRule>
    <cfRule type="expression" dxfId="22025" priority="2534">
      <formula>$AZ5="N.D."</formula>
    </cfRule>
    <cfRule type="expression" dxfId="22024" priority="2535">
      <formula>$AY5="N.D."</formula>
    </cfRule>
  </conditionalFormatting>
  <conditionalFormatting sqref="O5">
    <cfRule type="expression" dxfId="22023" priority="2522">
      <formula>$A5="Overhead Cable"</formula>
    </cfRule>
    <cfRule type="expression" dxfId="22022" priority="2523">
      <formula>$A5="Level Crossing"</formula>
    </cfRule>
    <cfRule type="expression" dxfId="22021" priority="2524">
      <formula>$A5="Neutral Section"</formula>
    </cfRule>
    <cfRule type="expression" dxfId="22020" priority="2525">
      <formula>$A5="Tunnel"</formula>
    </cfRule>
    <cfRule type="expression" dxfId="22019" priority="2526">
      <formula>$A5="Bridge"</formula>
    </cfRule>
    <cfRule type="expression" dxfId="22018" priority="2527">
      <formula>$A5="Drainage Works"</formula>
    </cfRule>
    <cfRule type="expression" dxfId="22017" priority="2528">
      <formula>$A5="Underpass"</formula>
    </cfRule>
    <cfRule type="expression" dxfId="22016" priority="2529">
      <formula>$A5="Overcrossing"</formula>
    </cfRule>
    <cfRule type="expression" dxfId="22015" priority="2530">
      <formula>$A5="Overpass"</formula>
    </cfRule>
    <cfRule type="expression" dxfId="22014" priority="2531">
      <formula>$A5="Station"</formula>
    </cfRule>
    <cfRule type="expression" dxfId="22013" priority="2532">
      <formula>$A5="Overlap between sections"</formula>
    </cfRule>
  </conditionalFormatting>
  <conditionalFormatting sqref="O4">
    <cfRule type="expression" dxfId="22012" priority="2520">
      <formula>$M4="NON DEFINED"</formula>
    </cfRule>
    <cfRule type="expression" dxfId="22011" priority="2521">
      <formula>$AY4="N.D."</formula>
    </cfRule>
  </conditionalFormatting>
  <conditionalFormatting sqref="O4">
    <cfRule type="cellIs" dxfId="22010" priority="2519" operator="equal">
      <formula>0</formula>
    </cfRule>
  </conditionalFormatting>
  <conditionalFormatting sqref="P5">
    <cfRule type="expression" dxfId="22009" priority="2516">
      <formula>$M5="NON DEFINED"</formula>
    </cfRule>
    <cfRule type="expression" dxfId="22008" priority="2517">
      <formula>$AZ5="N.D."</formula>
    </cfRule>
    <cfRule type="expression" dxfId="22007" priority="2518">
      <formula>$AY5="N.D."</formula>
    </cfRule>
  </conditionalFormatting>
  <conditionalFormatting sqref="P5">
    <cfRule type="expression" dxfId="22006" priority="2505">
      <formula>$A5="Overhead Cable"</formula>
    </cfRule>
    <cfRule type="expression" dxfId="22005" priority="2506">
      <formula>$A5="Level Crossing"</formula>
    </cfRule>
    <cfRule type="expression" dxfId="22004" priority="2507">
      <formula>$A5="Neutral Section"</formula>
    </cfRule>
    <cfRule type="expression" dxfId="22003" priority="2508">
      <formula>$A5="Tunnel"</formula>
    </cfRule>
    <cfRule type="expression" dxfId="22002" priority="2509">
      <formula>$A5="Bridge"</formula>
    </cfRule>
    <cfRule type="expression" dxfId="22001" priority="2510">
      <formula>$A5="Drainage Works"</formula>
    </cfRule>
    <cfRule type="expression" dxfId="22000" priority="2511">
      <formula>$A5="Underpass"</formula>
    </cfRule>
    <cfRule type="expression" dxfId="21999" priority="2512">
      <formula>$A5="Overcrossing"</formula>
    </cfRule>
    <cfRule type="expression" dxfId="21998" priority="2513">
      <formula>$A5="Overpass"</formula>
    </cfRule>
    <cfRule type="expression" dxfId="21997" priority="2514">
      <formula>$A5="Station"</formula>
    </cfRule>
    <cfRule type="expression" dxfId="21996" priority="2515">
      <formula>$A5="Overlap between sections"</formula>
    </cfRule>
  </conditionalFormatting>
  <conditionalFormatting sqref="P4">
    <cfRule type="expression" dxfId="21995" priority="2503">
      <formula>$M4="NON DEFINED"</formula>
    </cfRule>
    <cfRule type="expression" dxfId="21994" priority="2504">
      <formula>$AY4="N.D."</formula>
    </cfRule>
  </conditionalFormatting>
  <conditionalFormatting sqref="P4">
    <cfRule type="cellIs" dxfId="21993" priority="2502" operator="equal">
      <formula>0</formula>
    </cfRule>
  </conditionalFormatting>
  <conditionalFormatting sqref="AC5">
    <cfRule type="expression" dxfId="21992" priority="2482">
      <formula>$M5="NON DEFINED"</formula>
    </cfRule>
    <cfRule type="expression" dxfId="21991" priority="2483">
      <formula>$AZ5="N.D."</formula>
    </cfRule>
    <cfRule type="expression" dxfId="21990" priority="2484">
      <formula>$AY5="N.D."</formula>
    </cfRule>
  </conditionalFormatting>
  <conditionalFormatting sqref="AC5">
    <cfRule type="expression" dxfId="21989" priority="2471">
      <formula>$A5="Overhead Cable"</formula>
    </cfRule>
    <cfRule type="expression" dxfId="21988" priority="2472">
      <formula>$A5="Level Crossing"</formula>
    </cfRule>
    <cfRule type="expression" dxfId="21987" priority="2473">
      <formula>$A5="Neutral Section"</formula>
    </cfRule>
    <cfRule type="expression" dxfId="21986" priority="2474">
      <formula>$A5="Tunnel"</formula>
    </cfRule>
    <cfRule type="expression" dxfId="21985" priority="2475">
      <formula>$A5="Bridge"</formula>
    </cfRule>
    <cfRule type="expression" dxfId="21984" priority="2476">
      <formula>$A5="Drainage Works"</formula>
    </cfRule>
    <cfRule type="expression" dxfId="21983" priority="2477">
      <formula>$A5="Underpass"</formula>
    </cfRule>
    <cfRule type="expression" dxfId="21982" priority="2478">
      <formula>$A5="Overcrossing"</formula>
    </cfRule>
    <cfRule type="expression" dxfId="21981" priority="2479">
      <formula>$A5="Overpass"</formula>
    </cfRule>
    <cfRule type="expression" dxfId="21980" priority="2480">
      <formula>$A5="Station"</formula>
    </cfRule>
    <cfRule type="expression" dxfId="21979" priority="2481">
      <formula>$A5="Overlap between sections"</formula>
    </cfRule>
  </conditionalFormatting>
  <conditionalFormatting sqref="AC4">
    <cfRule type="expression" dxfId="21978" priority="2469">
      <formula>$M4="NON DEFINED"</formula>
    </cfRule>
    <cfRule type="expression" dxfId="21977" priority="2470">
      <formula>$AY4="N.D."</formula>
    </cfRule>
  </conditionalFormatting>
  <conditionalFormatting sqref="AC4">
    <cfRule type="cellIs" dxfId="21976" priority="2468" operator="equal">
      <formula>0</formula>
    </cfRule>
  </conditionalFormatting>
  <conditionalFormatting sqref="AD5">
    <cfRule type="expression" dxfId="21975" priority="2465">
      <formula>$M5="NON DEFINED"</formula>
    </cfRule>
    <cfRule type="expression" dxfId="21974" priority="2466">
      <formula>$AZ5="N.D."</formula>
    </cfRule>
    <cfRule type="expression" dxfId="21973" priority="2467">
      <formula>$AY5="N.D."</formula>
    </cfRule>
  </conditionalFormatting>
  <conditionalFormatting sqref="AD5">
    <cfRule type="expression" dxfId="21972" priority="2454">
      <formula>$A5="Overhead Cable"</formula>
    </cfRule>
    <cfRule type="expression" dxfId="21971" priority="2455">
      <formula>$A5="Level Crossing"</formula>
    </cfRule>
    <cfRule type="expression" dxfId="21970" priority="2456">
      <formula>$A5="Neutral Section"</formula>
    </cfRule>
    <cfRule type="expression" dxfId="21969" priority="2457">
      <formula>$A5="Tunnel"</formula>
    </cfRule>
    <cfRule type="expression" dxfId="21968" priority="2458">
      <formula>$A5="Bridge"</formula>
    </cfRule>
    <cfRule type="expression" dxfId="21967" priority="2459">
      <formula>$A5="Drainage Works"</formula>
    </cfRule>
    <cfRule type="expression" dxfId="21966" priority="2460">
      <formula>$A5="Underpass"</formula>
    </cfRule>
    <cfRule type="expression" dxfId="21965" priority="2461">
      <formula>$A5="Overcrossing"</formula>
    </cfRule>
    <cfRule type="expression" dxfId="21964" priority="2462">
      <formula>$A5="Overpass"</formula>
    </cfRule>
    <cfRule type="expression" dxfId="21963" priority="2463">
      <formula>$A5="Station"</formula>
    </cfRule>
    <cfRule type="expression" dxfId="21962" priority="2464">
      <formula>$A5="Overlap between sections"</formula>
    </cfRule>
  </conditionalFormatting>
  <conditionalFormatting sqref="AD4">
    <cfRule type="expression" dxfId="21961" priority="2452">
      <formula>$M4="NON DEFINED"</formula>
    </cfRule>
    <cfRule type="expression" dxfId="21960" priority="2453">
      <formula>$AY4="N.D."</formula>
    </cfRule>
  </conditionalFormatting>
  <conditionalFormatting sqref="AD4">
    <cfRule type="cellIs" dxfId="21959" priority="2451" operator="equal">
      <formula>0</formula>
    </cfRule>
  </conditionalFormatting>
  <conditionalFormatting sqref="AE5">
    <cfRule type="expression" dxfId="21958" priority="2448">
      <formula>$M5="NON DEFINED"</formula>
    </cfRule>
    <cfRule type="expression" dxfId="21957" priority="2449">
      <formula>$AZ5="N.D."</formula>
    </cfRule>
    <cfRule type="expression" dxfId="21956" priority="2450">
      <formula>$AY5="N.D."</formula>
    </cfRule>
  </conditionalFormatting>
  <conditionalFormatting sqref="AE5">
    <cfRule type="expression" dxfId="21955" priority="2437">
      <formula>$A5="Overhead Cable"</formula>
    </cfRule>
    <cfRule type="expression" dxfId="21954" priority="2438">
      <formula>$A5="Level Crossing"</formula>
    </cfRule>
    <cfRule type="expression" dxfId="21953" priority="2439">
      <formula>$A5="Neutral Section"</formula>
    </cfRule>
    <cfRule type="expression" dxfId="21952" priority="2440">
      <formula>$A5="Tunnel"</formula>
    </cfRule>
    <cfRule type="expression" dxfId="21951" priority="2441">
      <formula>$A5="Bridge"</formula>
    </cfRule>
    <cfRule type="expression" dxfId="21950" priority="2442">
      <formula>$A5="Drainage Works"</formula>
    </cfRule>
    <cfRule type="expression" dxfId="21949" priority="2443">
      <formula>$A5="Underpass"</formula>
    </cfRule>
    <cfRule type="expression" dxfId="21948" priority="2444">
      <formula>$A5="Overcrossing"</formula>
    </cfRule>
    <cfRule type="expression" dxfId="21947" priority="2445">
      <formula>$A5="Overpass"</formula>
    </cfRule>
    <cfRule type="expression" dxfId="21946" priority="2446">
      <formula>$A5="Station"</formula>
    </cfRule>
    <cfRule type="expression" dxfId="21945" priority="2447">
      <formula>$A5="Overlap between sections"</formula>
    </cfRule>
  </conditionalFormatting>
  <conditionalFormatting sqref="AE4">
    <cfRule type="expression" dxfId="21944" priority="2435">
      <formula>$M4="NON DEFINED"</formula>
    </cfRule>
    <cfRule type="expression" dxfId="21943" priority="2436">
      <formula>$AY4="N.D."</formula>
    </cfRule>
  </conditionalFormatting>
  <conditionalFormatting sqref="AE4">
    <cfRule type="cellIs" dxfId="21942" priority="2434" operator="equal">
      <formula>0</formula>
    </cfRule>
  </conditionalFormatting>
  <conditionalFormatting sqref="AJ5">
    <cfRule type="expression" dxfId="21941" priority="2431">
      <formula>$M5="NON DEFINED"</formula>
    </cfRule>
    <cfRule type="expression" dxfId="21940" priority="2432">
      <formula>$AZ5="N.D."</formula>
    </cfRule>
    <cfRule type="expression" dxfId="21939" priority="2433">
      <formula>$AY5="N.D."</formula>
    </cfRule>
  </conditionalFormatting>
  <conditionalFormatting sqref="AJ5">
    <cfRule type="expression" dxfId="21938" priority="2420">
      <formula>$A5="Overhead Cable"</formula>
    </cfRule>
    <cfRule type="expression" dxfId="21937" priority="2421">
      <formula>$A5="Level Crossing"</formula>
    </cfRule>
    <cfRule type="expression" dxfId="21936" priority="2422">
      <formula>$A5="Neutral Section"</formula>
    </cfRule>
    <cfRule type="expression" dxfId="21935" priority="2423">
      <formula>$A5="Tunnel"</formula>
    </cfRule>
    <cfRule type="expression" dxfId="21934" priority="2424">
      <formula>$A5="Bridge"</formula>
    </cfRule>
    <cfRule type="expression" dxfId="21933" priority="2425">
      <formula>$A5="Drainage Works"</formula>
    </cfRule>
    <cfRule type="expression" dxfId="21932" priority="2426">
      <formula>$A5="Underpass"</formula>
    </cfRule>
    <cfRule type="expression" dxfId="21931" priority="2427">
      <formula>$A5="Overcrossing"</formula>
    </cfRule>
    <cfRule type="expression" dxfId="21930" priority="2428">
      <formula>$A5="Overpass"</formula>
    </cfRule>
    <cfRule type="expression" dxfId="21929" priority="2429">
      <formula>$A5="Station"</formula>
    </cfRule>
    <cfRule type="expression" dxfId="21928" priority="2430">
      <formula>$A5="Overlap between sections"</formula>
    </cfRule>
  </conditionalFormatting>
  <conditionalFormatting sqref="AJ4">
    <cfRule type="expression" dxfId="21927" priority="2418">
      <formula>$M4="NON DEFINED"</formula>
    </cfRule>
    <cfRule type="expression" dxfId="21926" priority="2419">
      <formula>$AY4="N.D."</formula>
    </cfRule>
  </conditionalFormatting>
  <conditionalFormatting sqref="AJ4">
    <cfRule type="cellIs" dxfId="21925" priority="2417" operator="equal">
      <formula>0</formula>
    </cfRule>
  </conditionalFormatting>
  <conditionalFormatting sqref="AK5">
    <cfRule type="expression" dxfId="21924" priority="2414">
      <formula>$M5="NON DEFINED"</formula>
    </cfRule>
    <cfRule type="expression" dxfId="21923" priority="2415">
      <formula>$AZ5="N.D."</formula>
    </cfRule>
    <cfRule type="expression" dxfId="21922" priority="2416">
      <formula>$AY5="N.D."</formula>
    </cfRule>
  </conditionalFormatting>
  <conditionalFormatting sqref="AK5">
    <cfRule type="expression" dxfId="21921" priority="2403">
      <formula>$A5="Overhead Cable"</formula>
    </cfRule>
    <cfRule type="expression" dxfId="21920" priority="2404">
      <formula>$A5="Level Crossing"</formula>
    </cfRule>
    <cfRule type="expression" dxfId="21919" priority="2405">
      <formula>$A5="Neutral Section"</formula>
    </cfRule>
    <cfRule type="expression" dxfId="21918" priority="2406">
      <formula>$A5="Tunnel"</formula>
    </cfRule>
    <cfRule type="expression" dxfId="21917" priority="2407">
      <formula>$A5="Bridge"</formula>
    </cfRule>
    <cfRule type="expression" dxfId="21916" priority="2408">
      <formula>$A5="Drainage Works"</formula>
    </cfRule>
    <cfRule type="expression" dxfId="21915" priority="2409">
      <formula>$A5="Underpass"</formula>
    </cfRule>
    <cfRule type="expression" dxfId="21914" priority="2410">
      <formula>$A5="Overcrossing"</formula>
    </cfRule>
    <cfRule type="expression" dxfId="21913" priority="2411">
      <formula>$A5="Overpass"</formula>
    </cfRule>
    <cfRule type="expression" dxfId="21912" priority="2412">
      <formula>$A5="Station"</formula>
    </cfRule>
    <cfRule type="expression" dxfId="21911" priority="2413">
      <formula>$A5="Overlap between sections"</formula>
    </cfRule>
  </conditionalFormatting>
  <conditionalFormatting sqref="AK4">
    <cfRule type="expression" dxfId="21910" priority="2401">
      <formula>$M4="NON DEFINED"</formula>
    </cfRule>
    <cfRule type="expression" dxfId="21909" priority="2402">
      <formula>$AY4="N.D."</formula>
    </cfRule>
  </conditionalFormatting>
  <conditionalFormatting sqref="AK4">
    <cfRule type="cellIs" dxfId="21908" priority="2400" operator="equal">
      <formula>0</formula>
    </cfRule>
  </conditionalFormatting>
  <conditionalFormatting sqref="AL5">
    <cfRule type="expression" dxfId="21907" priority="2397">
      <formula>$M5="NON DEFINED"</formula>
    </cfRule>
    <cfRule type="expression" dxfId="21906" priority="2398">
      <formula>$AZ5="N.D."</formula>
    </cfRule>
    <cfRule type="expression" dxfId="21905" priority="2399">
      <formula>$AY5="N.D."</formula>
    </cfRule>
  </conditionalFormatting>
  <conditionalFormatting sqref="AL5">
    <cfRule type="expression" dxfId="21904" priority="2386">
      <formula>$A5="Overhead Cable"</formula>
    </cfRule>
    <cfRule type="expression" dxfId="21903" priority="2387">
      <formula>$A5="Level Crossing"</formula>
    </cfRule>
    <cfRule type="expression" dxfId="21902" priority="2388">
      <formula>$A5="Neutral Section"</formula>
    </cfRule>
    <cfRule type="expression" dxfId="21901" priority="2389">
      <formula>$A5="Tunnel"</formula>
    </cfRule>
    <cfRule type="expression" dxfId="21900" priority="2390">
      <formula>$A5="Bridge"</formula>
    </cfRule>
    <cfRule type="expression" dxfId="21899" priority="2391">
      <formula>$A5="Drainage Works"</formula>
    </cfRule>
    <cfRule type="expression" dxfId="21898" priority="2392">
      <formula>$A5="Underpass"</formula>
    </cfRule>
    <cfRule type="expression" dxfId="21897" priority="2393">
      <formula>$A5="Overcrossing"</formula>
    </cfRule>
    <cfRule type="expression" dxfId="21896" priority="2394">
      <formula>$A5="Overpass"</formula>
    </cfRule>
    <cfRule type="expression" dxfId="21895" priority="2395">
      <formula>$A5="Station"</formula>
    </cfRule>
    <cfRule type="expression" dxfId="21894" priority="2396">
      <formula>$A5="Overlap between sections"</formula>
    </cfRule>
  </conditionalFormatting>
  <conditionalFormatting sqref="AL4">
    <cfRule type="expression" dxfId="21893" priority="2384">
      <formula>$M4="NON DEFINED"</formula>
    </cfRule>
    <cfRule type="expression" dxfId="21892" priority="2385">
      <formula>$AY4="N.D."</formula>
    </cfRule>
  </conditionalFormatting>
  <conditionalFormatting sqref="AL4">
    <cfRule type="cellIs" dxfId="21891" priority="2383" operator="equal">
      <formula>0</formula>
    </cfRule>
  </conditionalFormatting>
  <conditionalFormatting sqref="AM5">
    <cfRule type="expression" dxfId="21890" priority="2380">
      <formula>$M5="NON DEFINED"</formula>
    </cfRule>
    <cfRule type="expression" dxfId="21889" priority="2381">
      <formula>$AZ5="N.D."</formula>
    </cfRule>
    <cfRule type="expression" dxfId="21888" priority="2382">
      <formula>$AY5="N.D."</formula>
    </cfRule>
  </conditionalFormatting>
  <conditionalFormatting sqref="AM5">
    <cfRule type="expression" dxfId="21887" priority="2369">
      <formula>$A5="Overhead Cable"</formula>
    </cfRule>
    <cfRule type="expression" dxfId="21886" priority="2370">
      <formula>$A5="Level Crossing"</formula>
    </cfRule>
    <cfRule type="expression" dxfId="21885" priority="2371">
      <formula>$A5="Neutral Section"</formula>
    </cfRule>
    <cfRule type="expression" dxfId="21884" priority="2372">
      <formula>$A5="Tunnel"</formula>
    </cfRule>
    <cfRule type="expression" dxfId="21883" priority="2373">
      <formula>$A5="Bridge"</formula>
    </cfRule>
    <cfRule type="expression" dxfId="21882" priority="2374">
      <formula>$A5="Drainage Works"</formula>
    </cfRule>
    <cfRule type="expression" dxfId="21881" priority="2375">
      <formula>$A5="Underpass"</formula>
    </cfRule>
    <cfRule type="expression" dxfId="21880" priority="2376">
      <formula>$A5="Overcrossing"</formula>
    </cfRule>
    <cfRule type="expression" dxfId="21879" priority="2377">
      <formula>$A5="Overpass"</formula>
    </cfRule>
    <cfRule type="expression" dxfId="21878" priority="2378">
      <formula>$A5="Station"</formula>
    </cfRule>
    <cfRule type="expression" dxfId="21877" priority="2379">
      <formula>$A5="Overlap between sections"</formula>
    </cfRule>
  </conditionalFormatting>
  <conditionalFormatting sqref="AM4">
    <cfRule type="expression" dxfId="21876" priority="2367">
      <formula>$M4="NON DEFINED"</formula>
    </cfRule>
    <cfRule type="expression" dxfId="21875" priority="2368">
      <formula>$AY4="N.D."</formula>
    </cfRule>
  </conditionalFormatting>
  <conditionalFormatting sqref="AM4">
    <cfRule type="cellIs" dxfId="21874" priority="2366" operator="equal">
      <formula>0</formula>
    </cfRule>
  </conditionalFormatting>
  <conditionalFormatting sqref="AT5">
    <cfRule type="expression" dxfId="21873" priority="2363">
      <formula>$M5="NON DEFINED"</formula>
    </cfRule>
    <cfRule type="expression" dxfId="21872" priority="2364">
      <formula>$AZ5="N.D."</formula>
    </cfRule>
    <cfRule type="expression" dxfId="21871" priority="2365">
      <formula>$AY5="N.D."</formula>
    </cfRule>
  </conditionalFormatting>
  <conditionalFormatting sqref="AT5">
    <cfRule type="expression" dxfId="21870" priority="2352">
      <formula>$A5="Overhead Cable"</formula>
    </cfRule>
    <cfRule type="expression" dxfId="21869" priority="2353">
      <formula>$A5="Level Crossing"</formula>
    </cfRule>
    <cfRule type="expression" dxfId="21868" priority="2354">
      <formula>$A5="Neutral Section"</formula>
    </cfRule>
    <cfRule type="expression" dxfId="21867" priority="2355">
      <formula>$A5="Tunnel"</formula>
    </cfRule>
    <cfRule type="expression" dxfId="21866" priority="2356">
      <formula>$A5="Bridge"</formula>
    </cfRule>
    <cfRule type="expression" dxfId="21865" priority="2357">
      <formula>$A5="Drainage Works"</formula>
    </cfRule>
    <cfRule type="expression" dxfId="21864" priority="2358">
      <formula>$A5="Underpass"</formula>
    </cfRule>
    <cfRule type="expression" dxfId="21863" priority="2359">
      <formula>$A5="Overcrossing"</formula>
    </cfRule>
    <cfRule type="expression" dxfId="21862" priority="2360">
      <formula>$A5="Overpass"</formula>
    </cfRule>
    <cfRule type="expression" dxfId="21861" priority="2361">
      <formula>$A5="Station"</formula>
    </cfRule>
    <cfRule type="expression" dxfId="21860" priority="2362">
      <formula>$A5="Overlap between sections"</formula>
    </cfRule>
  </conditionalFormatting>
  <conditionalFormatting sqref="AT4">
    <cfRule type="expression" dxfId="21859" priority="2350">
      <formula>$M4="NON DEFINED"</formula>
    </cfRule>
    <cfRule type="expression" dxfId="21858" priority="2351">
      <formula>$AY4="N.D."</formula>
    </cfRule>
  </conditionalFormatting>
  <conditionalFormatting sqref="AT4">
    <cfRule type="cellIs" dxfId="21857" priority="2349" operator="equal">
      <formula>0</formula>
    </cfRule>
  </conditionalFormatting>
  <conditionalFormatting sqref="AU5">
    <cfRule type="expression" dxfId="21856" priority="2346">
      <formula>$M5="NON DEFINED"</formula>
    </cfRule>
    <cfRule type="expression" dxfId="21855" priority="2347">
      <formula>$AZ5="N.D."</formula>
    </cfRule>
    <cfRule type="expression" dxfId="21854" priority="2348">
      <formula>$AY5="N.D."</formula>
    </cfRule>
  </conditionalFormatting>
  <conditionalFormatting sqref="AU5">
    <cfRule type="expression" dxfId="21853" priority="2335">
      <formula>$A5="Overhead Cable"</formula>
    </cfRule>
    <cfRule type="expression" dxfId="21852" priority="2336">
      <formula>$A5="Level Crossing"</formula>
    </cfRule>
    <cfRule type="expression" dxfId="21851" priority="2337">
      <formula>$A5="Neutral Section"</formula>
    </cfRule>
    <cfRule type="expression" dxfId="21850" priority="2338">
      <formula>$A5="Tunnel"</formula>
    </cfRule>
    <cfRule type="expression" dxfId="21849" priority="2339">
      <formula>$A5="Bridge"</formula>
    </cfRule>
    <cfRule type="expression" dxfId="21848" priority="2340">
      <formula>$A5="Drainage Works"</formula>
    </cfRule>
    <cfRule type="expression" dxfId="21847" priority="2341">
      <formula>$A5="Underpass"</formula>
    </cfRule>
    <cfRule type="expression" dxfId="21846" priority="2342">
      <formula>$A5="Overcrossing"</formula>
    </cfRule>
    <cfRule type="expression" dxfId="21845" priority="2343">
      <formula>$A5="Overpass"</formula>
    </cfRule>
    <cfRule type="expression" dxfId="21844" priority="2344">
      <formula>$A5="Station"</formula>
    </cfRule>
    <cfRule type="expression" dxfId="21843" priority="2345">
      <formula>$A5="Overlap between sections"</formula>
    </cfRule>
  </conditionalFormatting>
  <conditionalFormatting sqref="AU4">
    <cfRule type="expression" dxfId="21842" priority="2333">
      <formula>$M4="NON DEFINED"</formula>
    </cfRule>
    <cfRule type="expression" dxfId="21841" priority="2334">
      <formula>$AY4="N.D."</formula>
    </cfRule>
  </conditionalFormatting>
  <conditionalFormatting sqref="AU4">
    <cfRule type="cellIs" dxfId="21840" priority="2332" operator="equal">
      <formula>0</formula>
    </cfRule>
  </conditionalFormatting>
  <conditionalFormatting sqref="AV5">
    <cfRule type="expression" dxfId="21839" priority="2329">
      <formula>$M5="NON DEFINED"</formula>
    </cfRule>
    <cfRule type="expression" dxfId="21838" priority="2330">
      <formula>$AZ5="N.D."</formula>
    </cfRule>
    <cfRule type="expression" dxfId="21837" priority="2331">
      <formula>$AY5="N.D."</formula>
    </cfRule>
  </conditionalFormatting>
  <conditionalFormatting sqref="AV5">
    <cfRule type="expression" dxfId="21836" priority="2318">
      <formula>$A5="Overhead Cable"</formula>
    </cfRule>
    <cfRule type="expression" dxfId="21835" priority="2319">
      <formula>$A5="Level Crossing"</formula>
    </cfRule>
    <cfRule type="expression" dxfId="21834" priority="2320">
      <formula>$A5="Neutral Section"</formula>
    </cfRule>
    <cfRule type="expression" dxfId="21833" priority="2321">
      <formula>$A5="Tunnel"</formula>
    </cfRule>
    <cfRule type="expression" dxfId="21832" priority="2322">
      <formula>$A5="Bridge"</formula>
    </cfRule>
    <cfRule type="expression" dxfId="21831" priority="2323">
      <formula>$A5="Drainage Works"</formula>
    </cfRule>
    <cfRule type="expression" dxfId="21830" priority="2324">
      <formula>$A5="Underpass"</formula>
    </cfRule>
    <cfRule type="expression" dxfId="21829" priority="2325">
      <formula>$A5="Overcrossing"</formula>
    </cfRule>
    <cfRule type="expression" dxfId="21828" priority="2326">
      <formula>$A5="Overpass"</formula>
    </cfRule>
    <cfRule type="expression" dxfId="21827" priority="2327">
      <formula>$A5="Station"</formula>
    </cfRule>
    <cfRule type="expression" dxfId="21826" priority="2328">
      <formula>$A5="Overlap between sections"</formula>
    </cfRule>
  </conditionalFormatting>
  <conditionalFormatting sqref="AV4">
    <cfRule type="expression" dxfId="21825" priority="2316">
      <formula>$M4="NON DEFINED"</formula>
    </cfRule>
    <cfRule type="expression" dxfId="21824" priority="2317">
      <formula>$AY4="N.D."</formula>
    </cfRule>
  </conditionalFormatting>
  <conditionalFormatting sqref="AV4">
    <cfRule type="cellIs" dxfId="21823" priority="2315" operator="equal">
      <formula>0</formula>
    </cfRule>
  </conditionalFormatting>
  <conditionalFormatting sqref="AW5">
    <cfRule type="expression" dxfId="21822" priority="2312">
      <formula>$M5="NON DEFINED"</formula>
    </cfRule>
    <cfRule type="expression" dxfId="21821" priority="2313">
      <formula>$AZ5="N.D."</formula>
    </cfRule>
    <cfRule type="expression" dxfId="21820" priority="2314">
      <formula>$AY5="N.D."</formula>
    </cfRule>
  </conditionalFormatting>
  <conditionalFormatting sqref="AW5">
    <cfRule type="expression" dxfId="21819" priority="2301">
      <formula>$A5="Overhead Cable"</formula>
    </cfRule>
    <cfRule type="expression" dxfId="21818" priority="2302">
      <formula>$A5="Level Crossing"</formula>
    </cfRule>
    <cfRule type="expression" dxfId="21817" priority="2303">
      <formula>$A5="Neutral Section"</formula>
    </cfRule>
    <cfRule type="expression" dxfId="21816" priority="2304">
      <formula>$A5="Tunnel"</formula>
    </cfRule>
    <cfRule type="expression" dxfId="21815" priority="2305">
      <formula>$A5="Bridge"</formula>
    </cfRule>
    <cfRule type="expression" dxfId="21814" priority="2306">
      <formula>$A5="Drainage Works"</formula>
    </cfRule>
    <cfRule type="expression" dxfId="21813" priority="2307">
      <formula>$A5="Underpass"</formula>
    </cfRule>
    <cfRule type="expression" dxfId="21812" priority="2308">
      <formula>$A5="Overcrossing"</formula>
    </cfRule>
    <cfRule type="expression" dxfId="21811" priority="2309">
      <formula>$A5="Overpass"</formula>
    </cfRule>
    <cfRule type="expression" dxfId="21810" priority="2310">
      <formula>$A5="Station"</formula>
    </cfRule>
    <cfRule type="expression" dxfId="21809" priority="2311">
      <formula>$A5="Overlap between sections"</formula>
    </cfRule>
  </conditionalFormatting>
  <conditionalFormatting sqref="AW4">
    <cfRule type="expression" dxfId="21808" priority="2299">
      <formula>$M4="NON DEFINED"</formula>
    </cfRule>
    <cfRule type="expression" dxfId="21807" priority="2300">
      <formula>$AY4="N.D."</formula>
    </cfRule>
  </conditionalFormatting>
  <conditionalFormatting sqref="AW4">
    <cfRule type="cellIs" dxfId="21806" priority="2298" operator="equal">
      <formula>0</formula>
    </cfRule>
  </conditionalFormatting>
  <conditionalFormatting sqref="AX5">
    <cfRule type="expression" dxfId="21805" priority="2295">
      <formula>$M5="NON DEFINED"</formula>
    </cfRule>
    <cfRule type="expression" dxfId="21804" priority="2296">
      <formula>$AZ5="N.D."</formula>
    </cfRule>
    <cfRule type="expression" dxfId="21803" priority="2297">
      <formula>$AY5="N.D."</formula>
    </cfRule>
  </conditionalFormatting>
  <conditionalFormatting sqref="AX5">
    <cfRule type="expression" dxfId="21802" priority="2284">
      <formula>$A5="Overhead Cable"</formula>
    </cfRule>
    <cfRule type="expression" dxfId="21801" priority="2285">
      <formula>$A5="Level Crossing"</formula>
    </cfRule>
    <cfRule type="expression" dxfId="21800" priority="2286">
      <formula>$A5="Neutral Section"</formula>
    </cfRule>
    <cfRule type="expression" dxfId="21799" priority="2287">
      <formula>$A5="Tunnel"</formula>
    </cfRule>
    <cfRule type="expression" dxfId="21798" priority="2288">
      <formula>$A5="Bridge"</formula>
    </cfRule>
    <cfRule type="expression" dxfId="21797" priority="2289">
      <formula>$A5="Drainage Works"</formula>
    </cfRule>
    <cfRule type="expression" dxfId="21796" priority="2290">
      <formula>$A5="Underpass"</formula>
    </cfRule>
    <cfRule type="expression" dxfId="21795" priority="2291">
      <formula>$A5="Overcrossing"</formula>
    </cfRule>
    <cfRule type="expression" dxfId="21794" priority="2292">
      <formula>$A5="Overpass"</formula>
    </cfRule>
    <cfRule type="expression" dxfId="21793" priority="2293">
      <formula>$A5="Station"</formula>
    </cfRule>
    <cfRule type="expression" dxfId="21792" priority="2294">
      <formula>$A5="Overlap between sections"</formula>
    </cfRule>
  </conditionalFormatting>
  <conditionalFormatting sqref="AX4">
    <cfRule type="expression" dxfId="21791" priority="2282">
      <formula>$M4="NON DEFINED"</formula>
    </cfRule>
    <cfRule type="expression" dxfId="21790" priority="2283">
      <formula>$AY4="N.D."</formula>
    </cfRule>
  </conditionalFormatting>
  <conditionalFormatting sqref="AX4">
    <cfRule type="cellIs" dxfId="21789" priority="2281" operator="equal">
      <formula>0</formula>
    </cfRule>
  </conditionalFormatting>
  <conditionalFormatting sqref="F5">
    <cfRule type="expression" dxfId="21788" priority="2278">
      <formula>$M5="NON DEFINED"</formula>
    </cfRule>
    <cfRule type="expression" dxfId="21787" priority="2279">
      <formula>$AZ5="N.D."</formula>
    </cfRule>
    <cfRule type="expression" dxfId="21786" priority="2280">
      <formula>$AY5="N.D."</formula>
    </cfRule>
  </conditionalFormatting>
  <conditionalFormatting sqref="F5">
    <cfRule type="expression" dxfId="21785" priority="2267">
      <formula>$A5="Overhead Cable"</formula>
    </cfRule>
    <cfRule type="expression" dxfId="21784" priority="2268">
      <formula>$A5="Level Crossing"</formula>
    </cfRule>
    <cfRule type="expression" dxfId="21783" priority="2269">
      <formula>$A5="Neutral Section"</formula>
    </cfRule>
    <cfRule type="expression" dxfId="21782" priority="2270">
      <formula>$A5="Tunnel"</formula>
    </cfRule>
    <cfRule type="expression" dxfId="21781" priority="2271">
      <formula>$A5="Bridge"</formula>
    </cfRule>
    <cfRule type="expression" dxfId="21780" priority="2272">
      <formula>$A5="Drainage Works"</formula>
    </cfRule>
    <cfRule type="expression" dxfId="21779" priority="2273">
      <formula>$A5="Underpass"</formula>
    </cfRule>
    <cfRule type="expression" dxfId="21778" priority="2274">
      <formula>$A5="Overcrossing"</formula>
    </cfRule>
    <cfRule type="expression" dxfId="21777" priority="2275">
      <formula>$A5="Overpass"</formula>
    </cfRule>
    <cfRule type="expression" dxfId="21776" priority="2276">
      <formula>$A5="Station"</formula>
    </cfRule>
    <cfRule type="expression" dxfId="21775" priority="2277">
      <formula>$A5="Overlap between sections"</formula>
    </cfRule>
  </conditionalFormatting>
  <conditionalFormatting sqref="F4">
    <cfRule type="expression" dxfId="21774" priority="2265">
      <formula>$M4="NON DEFINED"</formula>
    </cfRule>
    <cfRule type="expression" dxfId="21773" priority="2266">
      <formula>$AY4="N.D."</formula>
    </cfRule>
  </conditionalFormatting>
  <conditionalFormatting sqref="F4">
    <cfRule type="cellIs" dxfId="21772" priority="2264" operator="equal">
      <formula>0</formula>
    </cfRule>
  </conditionalFormatting>
  <conditionalFormatting sqref="Q5">
    <cfRule type="expression" dxfId="21771" priority="2261">
      <formula>$M5="NON DEFINED"</formula>
    </cfRule>
    <cfRule type="expression" dxfId="21770" priority="2262">
      <formula>$AZ5="N.D."</formula>
    </cfRule>
    <cfRule type="expression" dxfId="21769" priority="2263">
      <formula>$AY5="N.D."</formula>
    </cfRule>
  </conditionalFormatting>
  <conditionalFormatting sqref="Q5">
    <cfRule type="expression" dxfId="21768" priority="2250">
      <formula>$A5="Overhead Cable"</formula>
    </cfRule>
    <cfRule type="expression" dxfId="21767" priority="2251">
      <formula>$A5="Level Crossing"</formula>
    </cfRule>
    <cfRule type="expression" dxfId="21766" priority="2252">
      <formula>$A5="Neutral Section"</formula>
    </cfRule>
    <cfRule type="expression" dxfId="21765" priority="2253">
      <formula>$A5="Tunnel"</formula>
    </cfRule>
    <cfRule type="expression" dxfId="21764" priority="2254">
      <formula>$A5="Bridge"</formula>
    </cfRule>
    <cfRule type="expression" dxfId="21763" priority="2255">
      <formula>$A5="Drainage Works"</formula>
    </cfRule>
    <cfRule type="expression" dxfId="21762" priority="2256">
      <formula>$A5="Underpass"</formula>
    </cfRule>
    <cfRule type="expression" dxfId="21761" priority="2257">
      <formula>$A5="Overcrossing"</formula>
    </cfRule>
    <cfRule type="expression" dxfId="21760" priority="2258">
      <formula>$A5="Overpass"</formula>
    </cfRule>
    <cfRule type="expression" dxfId="21759" priority="2259">
      <formula>$A5="Station"</formula>
    </cfRule>
    <cfRule type="expression" dxfId="21758" priority="2260">
      <formula>$A5="Overlap between sections"</formula>
    </cfRule>
  </conditionalFormatting>
  <conditionalFormatting sqref="Q4">
    <cfRule type="expression" dxfId="21757" priority="2248">
      <formula>$M4="NON DEFINED"</formula>
    </cfRule>
    <cfRule type="expression" dxfId="21756" priority="2249">
      <formula>$AY4="N.D."</formula>
    </cfRule>
  </conditionalFormatting>
  <conditionalFormatting sqref="Q4">
    <cfRule type="cellIs" dxfId="21755" priority="2247" operator="equal">
      <formula>0</formula>
    </cfRule>
  </conditionalFormatting>
  <conditionalFormatting sqref="T5">
    <cfRule type="expression" dxfId="21754" priority="2244">
      <formula>$M5="NON DEFINED"</formula>
    </cfRule>
    <cfRule type="expression" dxfId="21753" priority="2245">
      <formula>$AZ5="N.D."</formula>
    </cfRule>
    <cfRule type="expression" dxfId="21752" priority="2246">
      <formula>$AY5="N.D."</formula>
    </cfRule>
  </conditionalFormatting>
  <conditionalFormatting sqref="T5">
    <cfRule type="expression" dxfId="21751" priority="2233">
      <formula>$A5="Overhead Cable"</formula>
    </cfRule>
    <cfRule type="expression" dxfId="21750" priority="2234">
      <formula>$A5="Level Crossing"</formula>
    </cfRule>
    <cfRule type="expression" dxfId="21749" priority="2235">
      <formula>$A5="Neutral Section"</formula>
    </cfRule>
    <cfRule type="expression" dxfId="21748" priority="2236">
      <formula>$A5="Tunnel"</formula>
    </cfRule>
    <cfRule type="expression" dxfId="21747" priority="2237">
      <formula>$A5="Bridge"</formula>
    </cfRule>
    <cfRule type="expression" dxfId="21746" priority="2238">
      <formula>$A5="Drainage Works"</formula>
    </cfRule>
    <cfRule type="expression" dxfId="21745" priority="2239">
      <formula>$A5="Underpass"</formula>
    </cfRule>
    <cfRule type="expression" dxfId="21744" priority="2240">
      <formula>$A5="Overcrossing"</formula>
    </cfRule>
    <cfRule type="expression" dxfId="21743" priority="2241">
      <formula>$A5="Overpass"</formula>
    </cfRule>
    <cfRule type="expression" dxfId="21742" priority="2242">
      <formula>$A5="Station"</formula>
    </cfRule>
    <cfRule type="expression" dxfId="21741" priority="2243">
      <formula>$A5="Overlap between sections"</formula>
    </cfRule>
  </conditionalFormatting>
  <conditionalFormatting sqref="T4">
    <cfRule type="expression" dxfId="21740" priority="2231">
      <formula>$M4="NON DEFINED"</formula>
    </cfRule>
    <cfRule type="expression" dxfId="21739" priority="2232">
      <formula>$AY4="N.D."</formula>
    </cfRule>
  </conditionalFormatting>
  <conditionalFormatting sqref="T4">
    <cfRule type="cellIs" dxfId="21738" priority="2230" operator="equal">
      <formula>0</formula>
    </cfRule>
  </conditionalFormatting>
  <conditionalFormatting sqref="U5">
    <cfRule type="expression" dxfId="21737" priority="2227">
      <formula>$M5="NON DEFINED"</formula>
    </cfRule>
    <cfRule type="expression" dxfId="21736" priority="2228">
      <formula>$AZ5="N.D."</formula>
    </cfRule>
    <cfRule type="expression" dxfId="21735" priority="2229">
      <formula>$AY5="N.D."</formula>
    </cfRule>
  </conditionalFormatting>
  <conditionalFormatting sqref="U5">
    <cfRule type="expression" dxfId="21734" priority="2216">
      <formula>$A5="Overhead Cable"</formula>
    </cfRule>
    <cfRule type="expression" dxfId="21733" priority="2217">
      <formula>$A5="Level Crossing"</formula>
    </cfRule>
    <cfRule type="expression" dxfId="21732" priority="2218">
      <formula>$A5="Neutral Section"</formula>
    </cfRule>
    <cfRule type="expression" dxfId="21731" priority="2219">
      <formula>$A5="Tunnel"</formula>
    </cfRule>
    <cfRule type="expression" dxfId="21730" priority="2220">
      <formula>$A5="Bridge"</formula>
    </cfRule>
    <cfRule type="expression" dxfId="21729" priority="2221">
      <formula>$A5="Drainage Works"</formula>
    </cfRule>
    <cfRule type="expression" dxfId="21728" priority="2222">
      <formula>$A5="Underpass"</formula>
    </cfRule>
    <cfRule type="expression" dxfId="21727" priority="2223">
      <formula>$A5="Overcrossing"</formula>
    </cfRule>
    <cfRule type="expression" dxfId="21726" priority="2224">
      <formula>$A5="Overpass"</formula>
    </cfRule>
    <cfRule type="expression" dxfId="21725" priority="2225">
      <formula>$A5="Station"</formula>
    </cfRule>
    <cfRule type="expression" dxfId="21724" priority="2226">
      <formula>$A5="Overlap between sections"</formula>
    </cfRule>
  </conditionalFormatting>
  <conditionalFormatting sqref="U4">
    <cfRule type="expression" dxfId="21723" priority="2214">
      <formula>$M4="NON DEFINED"</formula>
    </cfRule>
    <cfRule type="expression" dxfId="21722" priority="2215">
      <formula>$AY4="N.D."</formula>
    </cfRule>
  </conditionalFormatting>
  <conditionalFormatting sqref="U4">
    <cfRule type="cellIs" dxfId="21721" priority="2213" operator="equal">
      <formula>0</formula>
    </cfRule>
  </conditionalFormatting>
  <conditionalFormatting sqref="V5">
    <cfRule type="expression" dxfId="21720" priority="2210">
      <formula>$M5="NON DEFINED"</formula>
    </cfRule>
    <cfRule type="expression" dxfId="21719" priority="2211">
      <formula>$AZ5="N.D."</formula>
    </cfRule>
    <cfRule type="expression" dxfId="21718" priority="2212">
      <formula>$AY5="N.D."</formula>
    </cfRule>
  </conditionalFormatting>
  <conditionalFormatting sqref="V5">
    <cfRule type="expression" dxfId="21717" priority="2199">
      <formula>$A5="Overhead Cable"</formula>
    </cfRule>
    <cfRule type="expression" dxfId="21716" priority="2200">
      <formula>$A5="Level Crossing"</formula>
    </cfRule>
    <cfRule type="expression" dxfId="21715" priority="2201">
      <formula>$A5="Neutral Section"</formula>
    </cfRule>
    <cfRule type="expression" dxfId="21714" priority="2202">
      <formula>$A5="Tunnel"</formula>
    </cfRule>
    <cfRule type="expression" dxfId="21713" priority="2203">
      <formula>$A5="Bridge"</formula>
    </cfRule>
    <cfRule type="expression" dxfId="21712" priority="2204">
      <formula>$A5="Drainage Works"</formula>
    </cfRule>
    <cfRule type="expression" dxfId="21711" priority="2205">
      <formula>$A5="Underpass"</formula>
    </cfRule>
    <cfRule type="expression" dxfId="21710" priority="2206">
      <formula>$A5="Overcrossing"</formula>
    </cfRule>
    <cfRule type="expression" dxfId="21709" priority="2207">
      <formula>$A5="Overpass"</formula>
    </cfRule>
    <cfRule type="expression" dxfId="21708" priority="2208">
      <formula>$A5="Station"</formula>
    </cfRule>
    <cfRule type="expression" dxfId="21707" priority="2209">
      <formula>$A5="Overlap between sections"</formula>
    </cfRule>
  </conditionalFormatting>
  <conditionalFormatting sqref="V4">
    <cfRule type="expression" dxfId="21706" priority="2197">
      <formula>$M4="NON DEFINED"</formula>
    </cfRule>
    <cfRule type="expression" dxfId="21705" priority="2198">
      <formula>$AY4="N.D."</formula>
    </cfRule>
  </conditionalFormatting>
  <conditionalFormatting sqref="V4">
    <cfRule type="cellIs" dxfId="21704" priority="2196" operator="equal">
      <formula>0</formula>
    </cfRule>
  </conditionalFormatting>
  <conditionalFormatting sqref="AF5">
    <cfRule type="expression" dxfId="21703" priority="2193">
      <formula>$M5="NON DEFINED"</formula>
    </cfRule>
    <cfRule type="expression" dxfId="21702" priority="2194">
      <formula>$AZ5="N.D."</formula>
    </cfRule>
    <cfRule type="expression" dxfId="21701" priority="2195">
      <formula>$AY5="N.D."</formula>
    </cfRule>
  </conditionalFormatting>
  <conditionalFormatting sqref="AF5">
    <cfRule type="expression" dxfId="21700" priority="2182">
      <formula>$A5="Overhead Cable"</formula>
    </cfRule>
    <cfRule type="expression" dxfId="21699" priority="2183">
      <formula>$A5="Level Crossing"</formula>
    </cfRule>
    <cfRule type="expression" dxfId="21698" priority="2184">
      <formula>$A5="Neutral Section"</formula>
    </cfRule>
    <cfRule type="expression" dxfId="21697" priority="2185">
      <formula>$A5="Tunnel"</formula>
    </cfRule>
    <cfRule type="expression" dxfId="21696" priority="2186">
      <formula>$A5="Bridge"</formula>
    </cfRule>
    <cfRule type="expression" dxfId="21695" priority="2187">
      <formula>$A5="Drainage Works"</formula>
    </cfRule>
    <cfRule type="expression" dxfId="21694" priority="2188">
      <formula>$A5="Underpass"</formula>
    </cfRule>
    <cfRule type="expression" dxfId="21693" priority="2189">
      <formula>$A5="Overcrossing"</formula>
    </cfRule>
    <cfRule type="expression" dxfId="21692" priority="2190">
      <formula>$A5="Overpass"</formula>
    </cfRule>
    <cfRule type="expression" dxfId="21691" priority="2191">
      <formula>$A5="Station"</formula>
    </cfRule>
    <cfRule type="expression" dxfId="21690" priority="2192">
      <formula>$A5="Overlap between sections"</formula>
    </cfRule>
  </conditionalFormatting>
  <conditionalFormatting sqref="AF4">
    <cfRule type="expression" dxfId="21689" priority="2180">
      <formula>$M4="NON DEFINED"</formula>
    </cfRule>
    <cfRule type="expression" dxfId="21688" priority="2181">
      <formula>$AY4="N.D."</formula>
    </cfRule>
  </conditionalFormatting>
  <conditionalFormatting sqref="AF4">
    <cfRule type="cellIs" dxfId="21687" priority="2179" operator="equal">
      <formula>0</formula>
    </cfRule>
  </conditionalFormatting>
  <conditionalFormatting sqref="AH5">
    <cfRule type="expression" dxfId="21686" priority="2176">
      <formula>$M5="NON DEFINED"</formula>
    </cfRule>
    <cfRule type="expression" dxfId="21685" priority="2177">
      <formula>$AZ5="N.D."</formula>
    </cfRule>
    <cfRule type="expression" dxfId="21684" priority="2178">
      <formula>$AY5="N.D."</formula>
    </cfRule>
  </conditionalFormatting>
  <conditionalFormatting sqref="AH5">
    <cfRule type="expression" dxfId="21683" priority="2165">
      <formula>$A5="Overhead Cable"</formula>
    </cfRule>
    <cfRule type="expression" dxfId="21682" priority="2166">
      <formula>$A5="Level Crossing"</formula>
    </cfRule>
    <cfRule type="expression" dxfId="21681" priority="2167">
      <formula>$A5="Neutral Section"</formula>
    </cfRule>
    <cfRule type="expression" dxfId="21680" priority="2168">
      <formula>$A5="Tunnel"</formula>
    </cfRule>
    <cfRule type="expression" dxfId="21679" priority="2169">
      <formula>$A5="Bridge"</formula>
    </cfRule>
    <cfRule type="expression" dxfId="21678" priority="2170">
      <formula>$A5="Drainage Works"</formula>
    </cfRule>
    <cfRule type="expression" dxfId="21677" priority="2171">
      <formula>$A5="Underpass"</formula>
    </cfRule>
    <cfRule type="expression" dxfId="21676" priority="2172">
      <formula>$A5="Overcrossing"</formula>
    </cfRule>
    <cfRule type="expression" dxfId="21675" priority="2173">
      <formula>$A5="Overpass"</formula>
    </cfRule>
    <cfRule type="expression" dxfId="21674" priority="2174">
      <formula>$A5="Station"</formula>
    </cfRule>
    <cfRule type="expression" dxfId="21673" priority="2175">
      <formula>$A5="Overlap between sections"</formula>
    </cfRule>
  </conditionalFormatting>
  <conditionalFormatting sqref="AH4">
    <cfRule type="expression" dxfId="21672" priority="2163">
      <formula>$M4="NON DEFINED"</formula>
    </cfRule>
    <cfRule type="expression" dxfId="21671" priority="2164">
      <formula>$AY4="N.D."</formula>
    </cfRule>
  </conditionalFormatting>
  <conditionalFormatting sqref="AH4">
    <cfRule type="cellIs" dxfId="21670" priority="2162" operator="equal">
      <formula>0</formula>
    </cfRule>
  </conditionalFormatting>
  <conditionalFormatting sqref="AI5">
    <cfRule type="expression" dxfId="21669" priority="2159">
      <formula>$M5="NON DEFINED"</formula>
    </cfRule>
    <cfRule type="expression" dxfId="21668" priority="2160">
      <formula>$AZ5="N.D."</formula>
    </cfRule>
    <cfRule type="expression" dxfId="21667" priority="2161">
      <formula>$AY5="N.D."</formula>
    </cfRule>
  </conditionalFormatting>
  <conditionalFormatting sqref="AI5">
    <cfRule type="expression" dxfId="21666" priority="2148">
      <formula>$A5="Overhead Cable"</formula>
    </cfRule>
    <cfRule type="expression" dxfId="21665" priority="2149">
      <formula>$A5="Level Crossing"</formula>
    </cfRule>
    <cfRule type="expression" dxfId="21664" priority="2150">
      <formula>$A5="Neutral Section"</formula>
    </cfRule>
    <cfRule type="expression" dxfId="21663" priority="2151">
      <formula>$A5="Tunnel"</formula>
    </cfRule>
    <cfRule type="expression" dxfId="21662" priority="2152">
      <formula>$A5="Bridge"</formula>
    </cfRule>
    <cfRule type="expression" dxfId="21661" priority="2153">
      <formula>$A5="Drainage Works"</formula>
    </cfRule>
    <cfRule type="expression" dxfId="21660" priority="2154">
      <formula>$A5="Underpass"</formula>
    </cfRule>
    <cfRule type="expression" dxfId="21659" priority="2155">
      <formula>$A5="Overcrossing"</formula>
    </cfRule>
    <cfRule type="expression" dxfId="21658" priority="2156">
      <formula>$A5="Overpass"</formula>
    </cfRule>
    <cfRule type="expression" dxfId="21657" priority="2157">
      <formula>$A5="Station"</formula>
    </cfRule>
    <cfRule type="expression" dxfId="21656" priority="2158">
      <formula>$A5="Overlap between sections"</formula>
    </cfRule>
  </conditionalFormatting>
  <conditionalFormatting sqref="AI4">
    <cfRule type="expression" dxfId="21655" priority="2146">
      <formula>$M4="NON DEFINED"</formula>
    </cfRule>
    <cfRule type="expression" dxfId="21654" priority="2147">
      <formula>$AY4="N.D."</formula>
    </cfRule>
  </conditionalFormatting>
  <conditionalFormatting sqref="AI4">
    <cfRule type="cellIs" dxfId="21653" priority="2145" operator="equal">
      <formula>0</formula>
    </cfRule>
  </conditionalFormatting>
  <conditionalFormatting sqref="R5">
    <cfRule type="expression" dxfId="21652" priority="2142">
      <formula>$M5="NON DEFINED"</formula>
    </cfRule>
    <cfRule type="expression" dxfId="21651" priority="2143">
      <formula>$AZ5="N.D."</formula>
    </cfRule>
    <cfRule type="expression" dxfId="21650" priority="2144">
      <formula>$AY5="N.D."</formula>
    </cfRule>
  </conditionalFormatting>
  <conditionalFormatting sqref="R5">
    <cfRule type="expression" dxfId="21649" priority="2131">
      <formula>$A5="Overhead Cable"</formula>
    </cfRule>
    <cfRule type="expression" dxfId="21648" priority="2132">
      <formula>$A5="Level Crossing"</formula>
    </cfRule>
    <cfRule type="expression" dxfId="21647" priority="2133">
      <formula>$A5="Neutral Section"</formula>
    </cfRule>
    <cfRule type="expression" dxfId="21646" priority="2134">
      <formula>$A5="Tunnel"</formula>
    </cfRule>
    <cfRule type="expression" dxfId="21645" priority="2135">
      <formula>$A5="Bridge"</formula>
    </cfRule>
    <cfRule type="expression" dxfId="21644" priority="2136">
      <formula>$A5="Drainage Works"</formula>
    </cfRule>
    <cfRule type="expression" dxfId="21643" priority="2137">
      <formula>$A5="Underpass"</formula>
    </cfRule>
    <cfRule type="expression" dxfId="21642" priority="2138">
      <formula>$A5="Overcrossing"</formula>
    </cfRule>
    <cfRule type="expression" dxfId="21641" priority="2139">
      <formula>$A5="Overpass"</formula>
    </cfRule>
    <cfRule type="expression" dxfId="21640" priority="2140">
      <formula>$A5="Station"</formula>
    </cfRule>
    <cfRule type="expression" dxfId="21639" priority="2141">
      <formula>$A5="Overlap between sections"</formula>
    </cfRule>
  </conditionalFormatting>
  <conditionalFormatting sqref="R4">
    <cfRule type="expression" dxfId="21638" priority="2129">
      <formula>$M4="NON DEFINED"</formula>
    </cfRule>
    <cfRule type="expression" dxfId="21637" priority="2130">
      <formula>$AY4="N.D."</formula>
    </cfRule>
  </conditionalFormatting>
  <conditionalFormatting sqref="R4">
    <cfRule type="cellIs" dxfId="21636" priority="2128" operator="equal">
      <formula>0</formula>
    </cfRule>
  </conditionalFormatting>
  <conditionalFormatting sqref="S5">
    <cfRule type="expression" dxfId="21635" priority="2125">
      <formula>$M5="NON DEFINED"</formula>
    </cfRule>
    <cfRule type="expression" dxfId="21634" priority="2126">
      <formula>$AZ5="N.D."</formula>
    </cfRule>
    <cfRule type="expression" dxfId="21633" priority="2127">
      <formula>$AY5="N.D."</formula>
    </cfRule>
  </conditionalFormatting>
  <conditionalFormatting sqref="S5">
    <cfRule type="expression" dxfId="21632" priority="2114">
      <formula>$A5="Overhead Cable"</formula>
    </cfRule>
    <cfRule type="expression" dxfId="21631" priority="2115">
      <formula>$A5="Level Crossing"</formula>
    </cfRule>
    <cfRule type="expression" dxfId="21630" priority="2116">
      <formula>$A5="Neutral Section"</formula>
    </cfRule>
    <cfRule type="expression" dxfId="21629" priority="2117">
      <formula>$A5="Tunnel"</formula>
    </cfRule>
    <cfRule type="expression" dxfId="21628" priority="2118">
      <formula>$A5="Bridge"</formula>
    </cfRule>
    <cfRule type="expression" dxfId="21627" priority="2119">
      <formula>$A5="Drainage Works"</formula>
    </cfRule>
    <cfRule type="expression" dxfId="21626" priority="2120">
      <formula>$A5="Underpass"</formula>
    </cfRule>
    <cfRule type="expression" dxfId="21625" priority="2121">
      <formula>$A5="Overcrossing"</formula>
    </cfRule>
    <cfRule type="expression" dxfId="21624" priority="2122">
      <formula>$A5="Overpass"</formula>
    </cfRule>
    <cfRule type="expression" dxfId="21623" priority="2123">
      <formula>$A5="Station"</formula>
    </cfRule>
    <cfRule type="expression" dxfId="21622" priority="2124">
      <formula>$A5="Overlap between sections"</formula>
    </cfRule>
  </conditionalFormatting>
  <conditionalFormatting sqref="S4">
    <cfRule type="expression" dxfId="21621" priority="2112">
      <formula>$M4="NON DEFINED"</formula>
    </cfRule>
    <cfRule type="expression" dxfId="21620" priority="2113">
      <formula>$AY4="N.D."</formula>
    </cfRule>
  </conditionalFormatting>
  <conditionalFormatting sqref="S4">
    <cfRule type="cellIs" dxfId="21619" priority="2111" operator="equal">
      <formula>0</formula>
    </cfRule>
  </conditionalFormatting>
  <conditionalFormatting sqref="W5">
    <cfRule type="expression" dxfId="21618" priority="2108">
      <formula>$M5="NON DEFINED"</formula>
    </cfRule>
    <cfRule type="expression" dxfId="21617" priority="2109">
      <formula>$AZ5="N.D."</formula>
    </cfRule>
    <cfRule type="expression" dxfId="21616" priority="2110">
      <formula>$AY5="N.D."</formula>
    </cfRule>
  </conditionalFormatting>
  <conditionalFormatting sqref="W5">
    <cfRule type="expression" dxfId="21615" priority="2097">
      <formula>$A5="Overhead Cable"</formula>
    </cfRule>
    <cfRule type="expression" dxfId="21614" priority="2098">
      <formula>$A5="Level Crossing"</formula>
    </cfRule>
    <cfRule type="expression" dxfId="21613" priority="2099">
      <formula>$A5="Neutral Section"</formula>
    </cfRule>
    <cfRule type="expression" dxfId="21612" priority="2100">
      <formula>$A5="Tunnel"</formula>
    </cfRule>
    <cfRule type="expression" dxfId="21611" priority="2101">
      <formula>$A5="Bridge"</formula>
    </cfRule>
    <cfRule type="expression" dxfId="21610" priority="2102">
      <formula>$A5="Drainage Works"</formula>
    </cfRule>
    <cfRule type="expression" dxfId="21609" priority="2103">
      <formula>$A5="Underpass"</formula>
    </cfRule>
    <cfRule type="expression" dxfId="21608" priority="2104">
      <formula>$A5="Overcrossing"</formula>
    </cfRule>
    <cfRule type="expression" dxfId="21607" priority="2105">
      <formula>$A5="Overpass"</formula>
    </cfRule>
    <cfRule type="expression" dxfId="21606" priority="2106">
      <formula>$A5="Station"</formula>
    </cfRule>
    <cfRule type="expression" dxfId="21605" priority="2107">
      <formula>$A5="Overlap between sections"</formula>
    </cfRule>
  </conditionalFormatting>
  <conditionalFormatting sqref="W4">
    <cfRule type="expression" dxfId="21604" priority="2095">
      <formula>$M4="NON DEFINED"</formula>
    </cfRule>
    <cfRule type="expression" dxfId="21603" priority="2096">
      <formula>$AY4="N.D."</formula>
    </cfRule>
  </conditionalFormatting>
  <conditionalFormatting sqref="W4">
    <cfRule type="cellIs" dxfId="21602" priority="2094" operator="equal">
      <formula>0</formula>
    </cfRule>
  </conditionalFormatting>
  <conditionalFormatting sqref="X5">
    <cfRule type="expression" dxfId="21601" priority="2074">
      <formula>$M5="NON DEFINED"</formula>
    </cfRule>
    <cfRule type="expression" dxfId="21600" priority="2075">
      <formula>$AZ5="N.D."</formula>
    </cfRule>
    <cfRule type="expression" dxfId="21599" priority="2076">
      <formula>$AY5="N.D."</formula>
    </cfRule>
  </conditionalFormatting>
  <conditionalFormatting sqref="X5">
    <cfRule type="expression" dxfId="21598" priority="2063">
      <formula>$A5="Overhead Cable"</formula>
    </cfRule>
    <cfRule type="expression" dxfId="21597" priority="2064">
      <formula>$A5="Level Crossing"</formula>
    </cfRule>
    <cfRule type="expression" dxfId="21596" priority="2065">
      <formula>$A5="Neutral Section"</formula>
    </cfRule>
    <cfRule type="expression" dxfId="21595" priority="2066">
      <formula>$A5="Tunnel"</formula>
    </cfRule>
    <cfRule type="expression" dxfId="21594" priority="2067">
      <formula>$A5="Bridge"</formula>
    </cfRule>
    <cfRule type="expression" dxfId="21593" priority="2068">
      <formula>$A5="Drainage Works"</formula>
    </cfRule>
    <cfRule type="expression" dxfId="21592" priority="2069">
      <formula>$A5="Underpass"</formula>
    </cfRule>
    <cfRule type="expression" dxfId="21591" priority="2070">
      <formula>$A5="Overcrossing"</formula>
    </cfRule>
    <cfRule type="expression" dxfId="21590" priority="2071">
      <formula>$A5="Overpass"</formula>
    </cfRule>
    <cfRule type="expression" dxfId="21589" priority="2072">
      <formula>$A5="Station"</formula>
    </cfRule>
    <cfRule type="expression" dxfId="21588" priority="2073">
      <formula>$A5="Overlap between sections"</formula>
    </cfRule>
  </conditionalFormatting>
  <conditionalFormatting sqref="X4">
    <cfRule type="expression" dxfId="21587" priority="2061">
      <formula>$M4="NON DEFINED"</formula>
    </cfRule>
    <cfRule type="expression" dxfId="21586" priority="2062">
      <formula>$AY4="N.D."</formula>
    </cfRule>
  </conditionalFormatting>
  <conditionalFormatting sqref="X4">
    <cfRule type="cellIs" dxfId="21585" priority="2060" operator="equal">
      <formula>0</formula>
    </cfRule>
  </conditionalFormatting>
  <conditionalFormatting sqref="Y5">
    <cfRule type="expression" dxfId="21584" priority="2057">
      <formula>$M5="NON DEFINED"</formula>
    </cfRule>
    <cfRule type="expression" dxfId="21583" priority="2058">
      <formula>$AZ5="N.D."</formula>
    </cfRule>
    <cfRule type="expression" dxfId="21582" priority="2059">
      <formula>$AY5="N.D."</formula>
    </cfRule>
  </conditionalFormatting>
  <conditionalFormatting sqref="Y5">
    <cfRule type="expression" dxfId="21581" priority="2046">
      <formula>$A5="Overhead Cable"</formula>
    </cfRule>
    <cfRule type="expression" dxfId="21580" priority="2047">
      <formula>$A5="Level Crossing"</formula>
    </cfRule>
    <cfRule type="expression" dxfId="21579" priority="2048">
      <formula>$A5="Neutral Section"</formula>
    </cfRule>
    <cfRule type="expression" dxfId="21578" priority="2049">
      <formula>$A5="Tunnel"</formula>
    </cfRule>
    <cfRule type="expression" dxfId="21577" priority="2050">
      <formula>$A5="Bridge"</formula>
    </cfRule>
    <cfRule type="expression" dxfId="21576" priority="2051">
      <formula>$A5="Drainage Works"</formula>
    </cfRule>
    <cfRule type="expression" dxfId="21575" priority="2052">
      <formula>$A5="Underpass"</formula>
    </cfRule>
    <cfRule type="expression" dxfId="21574" priority="2053">
      <formula>$A5="Overcrossing"</formula>
    </cfRule>
    <cfRule type="expression" dxfId="21573" priority="2054">
      <formula>$A5="Overpass"</formula>
    </cfRule>
    <cfRule type="expression" dxfId="21572" priority="2055">
      <formula>$A5="Station"</formula>
    </cfRule>
    <cfRule type="expression" dxfId="21571" priority="2056">
      <formula>$A5="Overlap between sections"</formula>
    </cfRule>
  </conditionalFormatting>
  <conditionalFormatting sqref="Y4">
    <cfRule type="expression" dxfId="21570" priority="2044">
      <formula>$M4="NON DEFINED"</formula>
    </cfRule>
    <cfRule type="expression" dxfId="21569" priority="2045">
      <formula>$AY4="N.D."</formula>
    </cfRule>
  </conditionalFormatting>
  <conditionalFormatting sqref="Y4">
    <cfRule type="cellIs" dxfId="21568" priority="2043" operator="equal">
      <formula>0</formula>
    </cfRule>
  </conditionalFormatting>
  <conditionalFormatting sqref="Z5">
    <cfRule type="expression" dxfId="21567" priority="2040">
      <formula>$M5="NON DEFINED"</formula>
    </cfRule>
    <cfRule type="expression" dxfId="21566" priority="2041">
      <formula>$AZ5="N.D."</formula>
    </cfRule>
    <cfRule type="expression" dxfId="21565" priority="2042">
      <formula>$AY5="N.D."</formula>
    </cfRule>
  </conditionalFormatting>
  <conditionalFormatting sqref="Z5">
    <cfRule type="expression" dxfId="21564" priority="2029">
      <formula>$A5="Overhead Cable"</formula>
    </cfRule>
    <cfRule type="expression" dxfId="21563" priority="2030">
      <formula>$A5="Level Crossing"</formula>
    </cfRule>
    <cfRule type="expression" dxfId="21562" priority="2031">
      <formula>$A5="Neutral Section"</formula>
    </cfRule>
    <cfRule type="expression" dxfId="21561" priority="2032">
      <formula>$A5="Tunnel"</formula>
    </cfRule>
    <cfRule type="expression" dxfId="21560" priority="2033">
      <formula>$A5="Bridge"</formula>
    </cfRule>
    <cfRule type="expression" dxfId="21559" priority="2034">
      <formula>$A5="Drainage Works"</formula>
    </cfRule>
    <cfRule type="expression" dxfId="21558" priority="2035">
      <formula>$A5="Underpass"</formula>
    </cfRule>
    <cfRule type="expression" dxfId="21557" priority="2036">
      <formula>$A5="Overcrossing"</formula>
    </cfRule>
    <cfRule type="expression" dxfId="21556" priority="2037">
      <formula>$A5="Overpass"</formula>
    </cfRule>
    <cfRule type="expression" dxfId="21555" priority="2038">
      <formula>$A5="Station"</formula>
    </cfRule>
    <cfRule type="expression" dxfId="21554" priority="2039">
      <formula>$A5="Overlap between sections"</formula>
    </cfRule>
  </conditionalFormatting>
  <conditionalFormatting sqref="Z4">
    <cfRule type="expression" dxfId="21553" priority="2027">
      <formula>$M4="NON DEFINED"</formula>
    </cfRule>
    <cfRule type="expression" dxfId="21552" priority="2028">
      <formula>$AY4="N.D."</formula>
    </cfRule>
  </conditionalFormatting>
  <conditionalFormatting sqref="Z4">
    <cfRule type="cellIs" dxfId="21551" priority="2026" operator="equal">
      <formula>0</formula>
    </cfRule>
  </conditionalFormatting>
  <conditionalFormatting sqref="AA5">
    <cfRule type="expression" dxfId="21550" priority="2023">
      <formula>$M5="NON DEFINED"</formula>
    </cfRule>
    <cfRule type="expression" dxfId="21549" priority="2024">
      <formula>$AZ5="N.D."</formula>
    </cfRule>
    <cfRule type="expression" dxfId="21548" priority="2025">
      <formula>$AY5="N.D."</formula>
    </cfRule>
  </conditionalFormatting>
  <conditionalFormatting sqref="AA5">
    <cfRule type="expression" dxfId="21547" priority="2012">
      <formula>$A5="Overhead Cable"</formula>
    </cfRule>
    <cfRule type="expression" dxfId="21546" priority="2013">
      <formula>$A5="Level Crossing"</formula>
    </cfRule>
    <cfRule type="expression" dxfId="21545" priority="2014">
      <formula>$A5="Neutral Section"</formula>
    </cfRule>
    <cfRule type="expression" dxfId="21544" priority="2015">
      <formula>$A5="Tunnel"</formula>
    </cfRule>
    <cfRule type="expression" dxfId="21543" priority="2016">
      <formula>$A5="Bridge"</formula>
    </cfRule>
    <cfRule type="expression" dxfId="21542" priority="2017">
      <formula>$A5="Drainage Works"</formula>
    </cfRule>
    <cfRule type="expression" dxfId="21541" priority="2018">
      <formula>$A5="Underpass"</formula>
    </cfRule>
    <cfRule type="expression" dxfId="21540" priority="2019">
      <formula>$A5="Overcrossing"</formula>
    </cfRule>
    <cfRule type="expression" dxfId="21539" priority="2020">
      <formula>$A5="Overpass"</formula>
    </cfRule>
    <cfRule type="expression" dxfId="21538" priority="2021">
      <formula>$A5="Station"</formula>
    </cfRule>
    <cfRule type="expression" dxfId="21537" priority="2022">
      <formula>$A5="Overlap between sections"</formula>
    </cfRule>
  </conditionalFormatting>
  <conditionalFormatting sqref="AA4">
    <cfRule type="expression" dxfId="21536" priority="2010">
      <formula>$M4="NON DEFINED"</formula>
    </cfRule>
    <cfRule type="expression" dxfId="21535" priority="2011">
      <formula>$AY4="N.D."</formula>
    </cfRule>
  </conditionalFormatting>
  <conditionalFormatting sqref="AA4">
    <cfRule type="cellIs" dxfId="21534" priority="2009" operator="equal">
      <formula>0</formula>
    </cfRule>
  </conditionalFormatting>
  <conditionalFormatting sqref="AB5">
    <cfRule type="expression" dxfId="21533" priority="2006">
      <formula>$M5="NON DEFINED"</formula>
    </cfRule>
    <cfRule type="expression" dxfId="21532" priority="2007">
      <formula>$AZ5="N.D."</formula>
    </cfRule>
    <cfRule type="expression" dxfId="21531" priority="2008">
      <formula>$AY5="N.D."</formula>
    </cfRule>
  </conditionalFormatting>
  <conditionalFormatting sqref="AB5">
    <cfRule type="expression" dxfId="21530" priority="1995">
      <formula>$A5="Overhead Cable"</formula>
    </cfRule>
    <cfRule type="expression" dxfId="21529" priority="1996">
      <formula>$A5="Level Crossing"</formula>
    </cfRule>
    <cfRule type="expression" dxfId="21528" priority="1997">
      <formula>$A5="Neutral Section"</formula>
    </cfRule>
    <cfRule type="expression" dxfId="21527" priority="1998">
      <formula>$A5="Tunnel"</formula>
    </cfRule>
    <cfRule type="expression" dxfId="21526" priority="1999">
      <formula>$A5="Bridge"</formula>
    </cfRule>
    <cfRule type="expression" dxfId="21525" priority="2000">
      <formula>$A5="Drainage Works"</formula>
    </cfRule>
    <cfRule type="expression" dxfId="21524" priority="2001">
      <formula>$A5="Underpass"</formula>
    </cfRule>
    <cfRule type="expression" dxfId="21523" priority="2002">
      <formula>$A5="Overcrossing"</formula>
    </cfRule>
    <cfRule type="expression" dxfId="21522" priority="2003">
      <formula>$A5="Overpass"</formula>
    </cfRule>
    <cfRule type="expression" dxfId="21521" priority="2004">
      <formula>$A5="Station"</formula>
    </cfRule>
    <cfRule type="expression" dxfId="21520" priority="2005">
      <formula>$A5="Overlap between sections"</formula>
    </cfRule>
  </conditionalFormatting>
  <conditionalFormatting sqref="AB4">
    <cfRule type="expression" dxfId="21519" priority="1993">
      <formula>$M4="NON DEFINED"</formula>
    </cfRule>
    <cfRule type="expression" dxfId="21518" priority="1994">
      <formula>$AY4="N.D."</formula>
    </cfRule>
  </conditionalFormatting>
  <conditionalFormatting sqref="AB4">
    <cfRule type="cellIs" dxfId="21517" priority="1992" operator="equal">
      <formula>0</formula>
    </cfRule>
  </conditionalFormatting>
  <conditionalFormatting sqref="G6:H7">
    <cfRule type="expression" dxfId="21516" priority="1474">
      <formula>$M6="NON DEFINED"</formula>
    </cfRule>
    <cfRule type="expression" dxfId="21515" priority="1475">
      <formula>$AZ6="N.D."</formula>
    </cfRule>
    <cfRule type="expression" dxfId="21514" priority="1476">
      <formula>$AY6="N.D."</formula>
    </cfRule>
  </conditionalFormatting>
  <conditionalFormatting sqref="BA5:BC74">
    <cfRule type="expression" dxfId="21513" priority="1472">
      <formula>$BE5="A"</formula>
    </cfRule>
    <cfRule type="expression" dxfId="21512" priority="1473">
      <formula>$BE5="R"</formula>
    </cfRule>
  </conditionalFormatting>
  <conditionalFormatting sqref="G6:H7">
    <cfRule type="expression" dxfId="21511" priority="1454">
      <formula>$A6="Overhead Cable"</formula>
    </cfRule>
    <cfRule type="expression" dxfId="21510" priority="1455">
      <formula>$A6="Level Crossing"</formula>
    </cfRule>
    <cfRule type="expression" dxfId="21509" priority="1456">
      <formula>$A6="Neutral Section"</formula>
    </cfRule>
    <cfRule type="expression" dxfId="21508" priority="1457">
      <formula>$A6="Tunnel"</formula>
    </cfRule>
    <cfRule type="expression" dxfId="21507" priority="1458">
      <formula>$A6="Bridge"</formula>
    </cfRule>
    <cfRule type="expression" dxfId="21506" priority="1459">
      <formula>$A6="Drainage Works"</formula>
    </cfRule>
    <cfRule type="expression" dxfId="21505" priority="1460">
      <formula>$A6="Underpass"</formula>
    </cfRule>
    <cfRule type="expression" dxfId="21504" priority="1461">
      <formula>$A6="Overcrossing"</formula>
    </cfRule>
    <cfRule type="expression" dxfId="21503" priority="1462">
      <formula>$A6="Overpass"</formula>
    </cfRule>
    <cfRule type="expression" dxfId="21502" priority="1463">
      <formula>$A6="Station"</formula>
    </cfRule>
    <cfRule type="expression" dxfId="21501" priority="1464">
      <formula>$A6="Overlap between sections"</formula>
    </cfRule>
  </conditionalFormatting>
  <conditionalFormatting sqref="L22 L24 L26 L28:L48">
    <cfRule type="expression" dxfId="21500" priority="1421">
      <formula>$M22="NON DEFINED"</formula>
    </cfRule>
    <cfRule type="expression" dxfId="21499" priority="1422">
      <formula>$AZ22="N.D."</formula>
    </cfRule>
    <cfRule type="expression" dxfId="21498" priority="1423">
      <formula>$AY22="N.D."</formula>
    </cfRule>
  </conditionalFormatting>
  <conditionalFormatting sqref="L22 L24 L26 L28:L48">
    <cfRule type="expression" dxfId="21497" priority="1410">
      <formula>$A22="Overhead Cable"</formula>
    </cfRule>
    <cfRule type="expression" dxfId="21496" priority="1411">
      <formula>$A22="Level Crossing"</formula>
    </cfRule>
    <cfRule type="expression" dxfId="21495" priority="1412">
      <formula>$A22="Neutral Section"</formula>
    </cfRule>
    <cfRule type="expression" dxfId="21494" priority="1413">
      <formula>$A22="Tunnel"</formula>
    </cfRule>
    <cfRule type="expression" dxfId="21493" priority="1414">
      <formula>$A22="Bridge"</formula>
    </cfRule>
    <cfRule type="expression" dxfId="21492" priority="1415">
      <formula>$A22="Drainage Works"</formula>
    </cfRule>
    <cfRule type="expression" dxfId="21491" priority="1416">
      <formula>$A22="Underpass"</formula>
    </cfRule>
    <cfRule type="expression" dxfId="21490" priority="1417">
      <formula>$A22="Overcrossing"</formula>
    </cfRule>
    <cfRule type="expression" dxfId="21489" priority="1418">
      <formula>$A22="Overpass"</formula>
    </cfRule>
    <cfRule type="expression" dxfId="21488" priority="1419">
      <formula>$A22="Station"</formula>
    </cfRule>
    <cfRule type="expression" dxfId="21487" priority="1420">
      <formula>$A22="Overlap between sections"</formula>
    </cfRule>
  </conditionalFormatting>
  <conditionalFormatting sqref="M22 M24 M26">
    <cfRule type="expression" dxfId="21486" priority="1407">
      <formula>$M22="NON DEFINED"</formula>
    </cfRule>
    <cfRule type="expression" dxfId="21485" priority="1408">
      <formula>$AZ22="N.D."</formula>
    </cfRule>
    <cfRule type="expression" dxfId="21484" priority="1409">
      <formula>$AY22="N.D."</formula>
    </cfRule>
  </conditionalFormatting>
  <conditionalFormatting sqref="M22 M24 M26">
    <cfRule type="expression" dxfId="21483" priority="1396">
      <formula>$A22="Overhead Cable"</formula>
    </cfRule>
    <cfRule type="expression" dxfId="21482" priority="1397">
      <formula>$A22="Level Crossing"</formula>
    </cfRule>
    <cfRule type="expression" dxfId="21481" priority="1398">
      <formula>$A22="Neutral Section"</formula>
    </cfRule>
    <cfRule type="expression" dxfId="21480" priority="1399">
      <formula>$A22="Tunnel"</formula>
    </cfRule>
    <cfRule type="expression" dxfId="21479" priority="1400">
      <formula>$A22="Bridge"</formula>
    </cfRule>
    <cfRule type="expression" dxfId="21478" priority="1401">
      <formula>$A22="Drainage Works"</formula>
    </cfRule>
    <cfRule type="expression" dxfId="21477" priority="1402">
      <formula>$A22="Underpass"</formula>
    </cfRule>
    <cfRule type="expression" dxfId="21476" priority="1403">
      <formula>$A22="Overcrossing"</formula>
    </cfRule>
    <cfRule type="expression" dxfId="21475" priority="1404">
      <formula>$A22="Overpass"</formula>
    </cfRule>
    <cfRule type="expression" dxfId="21474" priority="1405">
      <formula>$A22="Station"</formula>
    </cfRule>
    <cfRule type="expression" dxfId="21473" priority="1406">
      <formula>$A22="Overlap between sections"</formula>
    </cfRule>
  </conditionalFormatting>
  <conditionalFormatting sqref="O41">
    <cfRule type="expression" dxfId="21472" priority="1379">
      <formula>$M41="NON DEFINED"</formula>
    </cfRule>
    <cfRule type="expression" dxfId="21471" priority="1380">
      <formula>$AZ41="N.D."</formula>
    </cfRule>
    <cfRule type="expression" dxfId="21470" priority="1381">
      <formula>$AY41="N.D."</formula>
    </cfRule>
  </conditionalFormatting>
  <conditionalFormatting sqref="O41">
    <cfRule type="expression" dxfId="21469" priority="1368">
      <formula>$A41="Overhead Cable"</formula>
    </cfRule>
    <cfRule type="expression" dxfId="21468" priority="1369">
      <formula>$A41="Level Crossing"</formula>
    </cfRule>
    <cfRule type="expression" dxfId="21467" priority="1370">
      <formula>$A41="Neutral Section"</formula>
    </cfRule>
    <cfRule type="expression" dxfId="21466" priority="1371">
      <formula>$A41="Tunnel"</formula>
    </cfRule>
    <cfRule type="expression" dxfId="21465" priority="1372">
      <formula>$A41="Bridge"</formula>
    </cfRule>
    <cfRule type="expression" dxfId="21464" priority="1373">
      <formula>$A41="Drainage Works"</formula>
    </cfRule>
    <cfRule type="expression" dxfId="21463" priority="1374">
      <formula>$A41="Underpass"</formula>
    </cfRule>
    <cfRule type="expression" dxfId="21462" priority="1375">
      <formula>$A41="Overcrossing"</formula>
    </cfRule>
    <cfRule type="expression" dxfId="21461" priority="1376">
      <formula>$A41="Overpass"</formula>
    </cfRule>
    <cfRule type="expression" dxfId="21460" priority="1377">
      <formula>$A41="Station"</formula>
    </cfRule>
    <cfRule type="expression" dxfId="21459" priority="1378">
      <formula>$A41="Overlap between sections"</formula>
    </cfRule>
  </conditionalFormatting>
  <conditionalFormatting sqref="T41">
    <cfRule type="expression" dxfId="21458" priority="1155">
      <formula>$M41="NON DEFINED"</formula>
    </cfRule>
    <cfRule type="expression" dxfId="21457" priority="1156">
      <formula>$AZ41="N.D."</formula>
    </cfRule>
    <cfRule type="expression" dxfId="21456" priority="1157">
      <formula>$AY41="N.D."</formula>
    </cfRule>
  </conditionalFormatting>
  <conditionalFormatting sqref="T41">
    <cfRule type="expression" dxfId="21455" priority="1144">
      <formula>$A41="Overhead Cable"</formula>
    </cfRule>
    <cfRule type="expression" dxfId="21454" priority="1145">
      <formula>$A41="Level Crossing"</formula>
    </cfRule>
    <cfRule type="expression" dxfId="21453" priority="1146">
      <formula>$A41="Neutral Section"</formula>
    </cfRule>
    <cfRule type="expression" dxfId="21452" priority="1147">
      <formula>$A41="Tunnel"</formula>
    </cfRule>
    <cfRule type="expression" dxfId="21451" priority="1148">
      <formula>$A41="Bridge"</formula>
    </cfRule>
    <cfRule type="expression" dxfId="21450" priority="1149">
      <formula>$A41="Drainage Works"</formula>
    </cfRule>
    <cfRule type="expression" dxfId="21449" priority="1150">
      <formula>$A41="Underpass"</formula>
    </cfRule>
    <cfRule type="expression" dxfId="21448" priority="1151">
      <formula>$A41="Overcrossing"</formula>
    </cfRule>
    <cfRule type="expression" dxfId="21447" priority="1152">
      <formula>$A41="Overpass"</formula>
    </cfRule>
    <cfRule type="expression" dxfId="21446" priority="1153">
      <formula>$A41="Station"</formula>
    </cfRule>
    <cfRule type="expression" dxfId="21445" priority="1154">
      <formula>$A41="Overlap between sections"</formula>
    </cfRule>
  </conditionalFormatting>
  <conditionalFormatting sqref="U41">
    <cfRule type="expression" dxfId="21444" priority="1141">
      <formula>$M41="NON DEFINED"</formula>
    </cfRule>
    <cfRule type="expression" dxfId="21443" priority="1142">
      <formula>$AZ41="N.D."</formula>
    </cfRule>
    <cfRule type="expression" dxfId="21442" priority="1143">
      <formula>$AY41="N.D."</formula>
    </cfRule>
  </conditionalFormatting>
  <conditionalFormatting sqref="U41">
    <cfRule type="expression" dxfId="21441" priority="1130">
      <formula>$A41="Overhead Cable"</formula>
    </cfRule>
    <cfRule type="expression" dxfId="21440" priority="1131">
      <formula>$A41="Level Crossing"</formula>
    </cfRule>
    <cfRule type="expression" dxfId="21439" priority="1132">
      <formula>$A41="Neutral Section"</formula>
    </cfRule>
    <cfRule type="expression" dxfId="21438" priority="1133">
      <formula>$A41="Tunnel"</formula>
    </cfRule>
    <cfRule type="expression" dxfId="21437" priority="1134">
      <formula>$A41="Bridge"</formula>
    </cfRule>
    <cfRule type="expression" dxfId="21436" priority="1135">
      <formula>$A41="Drainage Works"</formula>
    </cfRule>
    <cfRule type="expression" dxfId="21435" priority="1136">
      <formula>$A41="Underpass"</formula>
    </cfRule>
    <cfRule type="expression" dxfId="21434" priority="1137">
      <formula>$A41="Overcrossing"</formula>
    </cfRule>
    <cfRule type="expression" dxfId="21433" priority="1138">
      <formula>$A41="Overpass"</formula>
    </cfRule>
    <cfRule type="expression" dxfId="21432" priority="1139">
      <formula>$A41="Station"</formula>
    </cfRule>
    <cfRule type="expression" dxfId="21431" priority="1140">
      <formula>$A41="Overlap between sections"</formula>
    </cfRule>
  </conditionalFormatting>
  <conditionalFormatting sqref="W41 W43">
    <cfRule type="expression" dxfId="21430" priority="1043">
      <formula>$M41="NON DEFINED"</formula>
    </cfRule>
    <cfRule type="expression" dxfId="21429" priority="1044">
      <formula>$AZ41="N.D."</formula>
    </cfRule>
    <cfRule type="expression" dxfId="21428" priority="1045">
      <formula>$AY41="N.D."</formula>
    </cfRule>
  </conditionalFormatting>
  <conditionalFormatting sqref="W41 W43">
    <cfRule type="expression" dxfId="21427" priority="1032">
      <formula>$A41="Overhead Cable"</formula>
    </cfRule>
    <cfRule type="expression" dxfId="21426" priority="1033">
      <formula>$A41="Level Crossing"</formula>
    </cfRule>
    <cfRule type="expression" dxfId="21425" priority="1034">
      <formula>$A41="Neutral Section"</formula>
    </cfRule>
    <cfRule type="expression" dxfId="21424" priority="1035">
      <formula>$A41="Tunnel"</formula>
    </cfRule>
    <cfRule type="expression" dxfId="21423" priority="1036">
      <formula>$A41="Bridge"</formula>
    </cfRule>
    <cfRule type="expression" dxfId="21422" priority="1037">
      <formula>$A41="Drainage Works"</formula>
    </cfRule>
    <cfRule type="expression" dxfId="21421" priority="1038">
      <formula>$A41="Underpass"</formula>
    </cfRule>
    <cfRule type="expression" dxfId="21420" priority="1039">
      <formula>$A41="Overcrossing"</formula>
    </cfRule>
    <cfRule type="expression" dxfId="21419" priority="1040">
      <formula>$A41="Overpass"</formula>
    </cfRule>
    <cfRule type="expression" dxfId="21418" priority="1041">
      <formula>$A41="Station"</formula>
    </cfRule>
    <cfRule type="expression" dxfId="21417" priority="1042">
      <formula>$A41="Overlap between sections"</formula>
    </cfRule>
  </conditionalFormatting>
  <conditionalFormatting sqref="X41 X43">
    <cfRule type="expression" dxfId="21416" priority="1029">
      <formula>$M41="NON DEFINED"</formula>
    </cfRule>
    <cfRule type="expression" dxfId="21415" priority="1030">
      <formula>$AZ41="N.D."</formula>
    </cfRule>
    <cfRule type="expression" dxfId="21414" priority="1031">
      <formula>$AY41="N.D."</formula>
    </cfRule>
  </conditionalFormatting>
  <conditionalFormatting sqref="X41 X43">
    <cfRule type="expression" dxfId="21413" priority="1018">
      <formula>$A41="Overhead Cable"</formula>
    </cfRule>
    <cfRule type="expression" dxfId="21412" priority="1019">
      <formula>$A41="Level Crossing"</formula>
    </cfRule>
    <cfRule type="expression" dxfId="21411" priority="1020">
      <formula>$A41="Neutral Section"</formula>
    </cfRule>
    <cfRule type="expression" dxfId="21410" priority="1021">
      <formula>$A41="Tunnel"</formula>
    </cfRule>
    <cfRule type="expression" dxfId="21409" priority="1022">
      <formula>$A41="Bridge"</formula>
    </cfRule>
    <cfRule type="expression" dxfId="21408" priority="1023">
      <formula>$A41="Drainage Works"</formula>
    </cfRule>
    <cfRule type="expression" dxfId="21407" priority="1024">
      <formula>$A41="Underpass"</formula>
    </cfRule>
    <cfRule type="expression" dxfId="21406" priority="1025">
      <formula>$A41="Overcrossing"</formula>
    </cfRule>
    <cfRule type="expression" dxfId="21405" priority="1026">
      <formula>$A41="Overpass"</formula>
    </cfRule>
    <cfRule type="expression" dxfId="21404" priority="1027">
      <formula>$A41="Station"</formula>
    </cfRule>
    <cfRule type="expression" dxfId="21403" priority="1028">
      <formula>$A41="Overlap between sections"</formula>
    </cfRule>
  </conditionalFormatting>
  <conditionalFormatting sqref="BD5:BD74">
    <cfRule type="containsText" dxfId="21402" priority="949" operator="containsText" text="Poner a mano">
      <formula>NOT(ISERROR(SEARCH("Poner a mano",BD5)))</formula>
    </cfRule>
  </conditionalFormatting>
  <conditionalFormatting sqref="BE5:BE74">
    <cfRule type="containsText" dxfId="21401" priority="936" operator="containsText" text="a">
      <formula>NOT(ISERROR(SEARCH("a",BE5)))</formula>
    </cfRule>
    <cfRule type="containsText" dxfId="21400" priority="937" operator="containsText" text="R">
      <formula>NOT(ISERROR(SEARCH("R",BE5)))</formula>
    </cfRule>
  </conditionalFormatting>
  <conditionalFormatting sqref="I5">
    <cfRule type="expression" dxfId="21399" priority="933">
      <formula>$M5="NON DEFINED"</formula>
    </cfRule>
    <cfRule type="expression" dxfId="21398" priority="934">
      <formula>$AZ5="N.D."</formula>
    </cfRule>
    <cfRule type="expression" dxfId="21397" priority="935">
      <formula>$AY5="N.D."</formula>
    </cfRule>
  </conditionalFormatting>
  <conditionalFormatting sqref="I5">
    <cfRule type="expression" dxfId="21396" priority="922">
      <formula>$A5="Overhead Cable"</formula>
    </cfRule>
    <cfRule type="expression" dxfId="21395" priority="923">
      <formula>$A5="Level Crossing"</formula>
    </cfRule>
    <cfRule type="expression" dxfId="21394" priority="924">
      <formula>$A5="Neutral Section"</formula>
    </cfRule>
    <cfRule type="expression" dxfId="21393" priority="925">
      <formula>$A5="Tunnel"</formula>
    </cfRule>
    <cfRule type="expression" dxfId="21392" priority="926">
      <formula>$A5="Bridge"</formula>
    </cfRule>
    <cfRule type="expression" dxfId="21391" priority="927">
      <formula>$A5="Drainage Works"</formula>
    </cfRule>
    <cfRule type="expression" dxfId="21390" priority="928">
      <formula>$A5="Underpass"</formula>
    </cfRule>
    <cfRule type="expression" dxfId="21389" priority="929">
      <formula>$A5="Overcrossing"</formula>
    </cfRule>
    <cfRule type="expression" dxfId="21388" priority="930">
      <formula>$A5="Overpass"</formula>
    </cfRule>
    <cfRule type="expression" dxfId="21387" priority="931">
      <formula>$A5="Station"</formula>
    </cfRule>
    <cfRule type="expression" dxfId="21386" priority="932">
      <formula>$A5="Overlap between sections"</formula>
    </cfRule>
  </conditionalFormatting>
  <conditionalFormatting sqref="I18">
    <cfRule type="expression" dxfId="21385" priority="919">
      <formula>$M18="NON DEFINED"</formula>
    </cfRule>
    <cfRule type="expression" dxfId="21384" priority="920">
      <formula>$AZ18="N.D."</formula>
    </cfRule>
    <cfRule type="expression" dxfId="21383" priority="921">
      <formula>$AY18="N.D."</formula>
    </cfRule>
  </conditionalFormatting>
  <conditionalFormatting sqref="I18">
    <cfRule type="expression" dxfId="21382" priority="908">
      <formula>$A18="Overhead Cable"</formula>
    </cfRule>
    <cfRule type="expression" dxfId="21381" priority="909">
      <formula>$A18="Level Crossing"</formula>
    </cfRule>
    <cfRule type="expression" dxfId="21380" priority="910">
      <formula>$A18="Neutral Section"</formula>
    </cfRule>
    <cfRule type="expression" dxfId="21379" priority="911">
      <formula>$A18="Tunnel"</formula>
    </cfRule>
    <cfRule type="expression" dxfId="21378" priority="912">
      <formula>$A18="Bridge"</formula>
    </cfRule>
    <cfRule type="expression" dxfId="21377" priority="913">
      <formula>$A18="Drainage Works"</formula>
    </cfRule>
    <cfRule type="expression" dxfId="21376" priority="914">
      <formula>$A18="Underpass"</formula>
    </cfRule>
    <cfRule type="expression" dxfId="21375" priority="915">
      <formula>$A18="Overcrossing"</formula>
    </cfRule>
    <cfRule type="expression" dxfId="21374" priority="916">
      <formula>$A18="Overpass"</formula>
    </cfRule>
    <cfRule type="expression" dxfId="21373" priority="917">
      <formula>$A18="Station"</formula>
    </cfRule>
    <cfRule type="expression" dxfId="21372" priority="918">
      <formula>$A18="Overlap between sections"</formula>
    </cfRule>
  </conditionalFormatting>
  <conditionalFormatting sqref="BC5:BC74">
    <cfRule type="expression" dxfId="21371" priority="904">
      <formula>$M5="U.S. N.D."</formula>
    </cfRule>
  </conditionalFormatting>
  <conditionalFormatting sqref="BB5:BB74">
    <cfRule type="expression" dxfId="21370" priority="902">
      <formula>$AZ5="N.D."</formula>
    </cfRule>
  </conditionalFormatting>
  <conditionalFormatting sqref="BA5:BA74">
    <cfRule type="expression" dxfId="21369" priority="903">
      <formula>$AY5="N.D."</formula>
    </cfRule>
  </conditionalFormatting>
  <conditionalFormatting sqref="T40">
    <cfRule type="expression" dxfId="21368" priority="899">
      <formula>$M40="NON DEFINED"</formula>
    </cfRule>
    <cfRule type="expression" dxfId="21367" priority="900">
      <formula>$AZ40="N.D."</formula>
    </cfRule>
    <cfRule type="expression" dxfId="21366" priority="901">
      <formula>$AY40="N.D."</formula>
    </cfRule>
  </conditionalFormatting>
  <conditionalFormatting sqref="T40">
    <cfRule type="expression" dxfId="21365" priority="888">
      <formula>$A40="Overhead Cable"</formula>
    </cfRule>
    <cfRule type="expression" dxfId="21364" priority="889">
      <formula>$A40="Level Crossing"</formula>
    </cfRule>
    <cfRule type="expression" dxfId="21363" priority="890">
      <formula>$A40="Neutral Section"</formula>
    </cfRule>
    <cfRule type="expression" dxfId="21362" priority="891">
      <formula>$A40="Tunnel"</formula>
    </cfRule>
    <cfRule type="expression" dxfId="21361" priority="892">
      <formula>$A40="Bridge"</formula>
    </cfRule>
    <cfRule type="expression" dxfId="21360" priority="893">
      <formula>$A40="Drainage Works"</formula>
    </cfRule>
    <cfRule type="expression" dxfId="21359" priority="894">
      <formula>$A40="Underpass"</formula>
    </cfRule>
    <cfRule type="expression" dxfId="21358" priority="895">
      <formula>$A40="Overcrossing"</formula>
    </cfRule>
    <cfRule type="expression" dxfId="21357" priority="896">
      <formula>$A40="Overpass"</formula>
    </cfRule>
    <cfRule type="expression" dxfId="21356" priority="897">
      <formula>$A40="Station"</formula>
    </cfRule>
    <cfRule type="expression" dxfId="21355" priority="898">
      <formula>$A40="Overlap between sections"</formula>
    </cfRule>
  </conditionalFormatting>
  <conditionalFormatting sqref="U40">
    <cfRule type="expression" dxfId="21354" priority="885">
      <formula>$M40="NON DEFINED"</formula>
    </cfRule>
    <cfRule type="expression" dxfId="21353" priority="886">
      <formula>$AZ40="N.D."</formula>
    </cfRule>
    <cfRule type="expression" dxfId="21352" priority="887">
      <formula>$AY40="N.D."</formula>
    </cfRule>
  </conditionalFormatting>
  <conditionalFormatting sqref="U40">
    <cfRule type="expression" dxfId="21351" priority="874">
      <formula>$A40="Overhead Cable"</formula>
    </cfRule>
    <cfRule type="expression" dxfId="21350" priority="875">
      <formula>$A40="Level Crossing"</formula>
    </cfRule>
    <cfRule type="expression" dxfId="21349" priority="876">
      <formula>$A40="Neutral Section"</formula>
    </cfRule>
    <cfRule type="expression" dxfId="21348" priority="877">
      <formula>$A40="Tunnel"</formula>
    </cfRule>
    <cfRule type="expression" dxfId="21347" priority="878">
      <formula>$A40="Bridge"</formula>
    </cfRule>
    <cfRule type="expression" dxfId="21346" priority="879">
      <formula>$A40="Drainage Works"</formula>
    </cfRule>
    <cfRule type="expression" dxfId="21345" priority="880">
      <formula>$A40="Underpass"</formula>
    </cfRule>
    <cfRule type="expression" dxfId="21344" priority="881">
      <formula>$A40="Overcrossing"</formula>
    </cfRule>
    <cfRule type="expression" dxfId="21343" priority="882">
      <formula>$A40="Overpass"</formula>
    </cfRule>
    <cfRule type="expression" dxfId="21342" priority="883">
      <formula>$A40="Station"</formula>
    </cfRule>
    <cfRule type="expression" dxfId="21341" priority="884">
      <formula>$A40="Overlap between sections"</formula>
    </cfRule>
  </conditionalFormatting>
  <conditionalFormatting sqref="T42">
    <cfRule type="expression" dxfId="21340" priority="871">
      <formula>$M42="NON DEFINED"</formula>
    </cfRule>
    <cfRule type="expression" dxfId="21339" priority="872">
      <formula>$AZ42="N.D."</formula>
    </cfRule>
    <cfRule type="expression" dxfId="21338" priority="873">
      <formula>$AY42="N.D."</formula>
    </cfRule>
  </conditionalFormatting>
  <conditionalFormatting sqref="T42">
    <cfRule type="expression" dxfId="21337" priority="860">
      <formula>$A42="Overhead Cable"</formula>
    </cfRule>
    <cfRule type="expression" dxfId="21336" priority="861">
      <formula>$A42="Level Crossing"</formula>
    </cfRule>
    <cfRule type="expression" dxfId="21335" priority="862">
      <formula>$A42="Neutral Section"</formula>
    </cfRule>
    <cfRule type="expression" dxfId="21334" priority="863">
      <formula>$A42="Tunnel"</formula>
    </cfRule>
    <cfRule type="expression" dxfId="21333" priority="864">
      <formula>$A42="Bridge"</formula>
    </cfRule>
    <cfRule type="expression" dxfId="21332" priority="865">
      <formula>$A42="Drainage Works"</formula>
    </cfRule>
    <cfRule type="expression" dxfId="21331" priority="866">
      <formula>$A42="Underpass"</formula>
    </cfRule>
    <cfRule type="expression" dxfId="21330" priority="867">
      <formula>$A42="Overcrossing"</formula>
    </cfRule>
    <cfRule type="expression" dxfId="21329" priority="868">
      <formula>$A42="Overpass"</formula>
    </cfRule>
    <cfRule type="expression" dxfId="21328" priority="869">
      <formula>$A42="Station"</formula>
    </cfRule>
    <cfRule type="expression" dxfId="21327" priority="870">
      <formula>$A42="Overlap between sections"</formula>
    </cfRule>
  </conditionalFormatting>
  <conditionalFormatting sqref="U42">
    <cfRule type="expression" dxfId="21326" priority="857">
      <formula>$M42="NON DEFINED"</formula>
    </cfRule>
    <cfRule type="expression" dxfId="21325" priority="858">
      <formula>$AZ42="N.D."</formula>
    </cfRule>
    <cfRule type="expression" dxfId="21324" priority="859">
      <formula>$AY42="N.D."</formula>
    </cfRule>
  </conditionalFormatting>
  <conditionalFormatting sqref="U42">
    <cfRule type="expression" dxfId="21323" priority="846">
      <formula>$A42="Overhead Cable"</formula>
    </cfRule>
    <cfRule type="expression" dxfId="21322" priority="847">
      <formula>$A42="Level Crossing"</formula>
    </cfRule>
    <cfRule type="expression" dxfId="21321" priority="848">
      <formula>$A42="Neutral Section"</formula>
    </cfRule>
    <cfRule type="expression" dxfId="21320" priority="849">
      <formula>$A42="Tunnel"</formula>
    </cfRule>
    <cfRule type="expression" dxfId="21319" priority="850">
      <formula>$A42="Bridge"</formula>
    </cfRule>
    <cfRule type="expression" dxfId="21318" priority="851">
      <formula>$A42="Drainage Works"</formula>
    </cfRule>
    <cfRule type="expression" dxfId="21317" priority="852">
      <formula>$A42="Underpass"</formula>
    </cfRule>
    <cfRule type="expression" dxfId="21316" priority="853">
      <formula>$A42="Overcrossing"</formula>
    </cfRule>
    <cfRule type="expression" dxfId="21315" priority="854">
      <formula>$A42="Overpass"</formula>
    </cfRule>
    <cfRule type="expression" dxfId="21314" priority="855">
      <formula>$A42="Station"</formula>
    </cfRule>
    <cfRule type="expression" dxfId="21313" priority="856">
      <formula>$A42="Overlap between sections"</formula>
    </cfRule>
  </conditionalFormatting>
  <conditionalFormatting sqref="W40">
    <cfRule type="expression" dxfId="21312" priority="843">
      <formula>$M40="NON DEFINED"</formula>
    </cfRule>
    <cfRule type="expression" dxfId="21311" priority="844">
      <formula>$AZ40="N.D."</formula>
    </cfRule>
    <cfRule type="expression" dxfId="21310" priority="845">
      <formula>$AY40="N.D."</formula>
    </cfRule>
  </conditionalFormatting>
  <conditionalFormatting sqref="W40">
    <cfRule type="expression" dxfId="21309" priority="832">
      <formula>$A40="Overhead Cable"</formula>
    </cfRule>
    <cfRule type="expression" dxfId="21308" priority="833">
      <formula>$A40="Level Crossing"</formula>
    </cfRule>
    <cfRule type="expression" dxfId="21307" priority="834">
      <formula>$A40="Neutral Section"</formula>
    </cfRule>
    <cfRule type="expression" dxfId="21306" priority="835">
      <formula>$A40="Tunnel"</formula>
    </cfRule>
    <cfRule type="expression" dxfId="21305" priority="836">
      <formula>$A40="Bridge"</formula>
    </cfRule>
    <cfRule type="expression" dxfId="21304" priority="837">
      <formula>$A40="Drainage Works"</formula>
    </cfRule>
    <cfRule type="expression" dxfId="21303" priority="838">
      <formula>$A40="Underpass"</formula>
    </cfRule>
    <cfRule type="expression" dxfId="21302" priority="839">
      <formula>$A40="Overcrossing"</formula>
    </cfRule>
    <cfRule type="expression" dxfId="21301" priority="840">
      <formula>$A40="Overpass"</formula>
    </cfRule>
    <cfRule type="expression" dxfId="21300" priority="841">
      <formula>$A40="Station"</formula>
    </cfRule>
    <cfRule type="expression" dxfId="21299" priority="842">
      <formula>$A40="Overlap between sections"</formula>
    </cfRule>
  </conditionalFormatting>
  <conditionalFormatting sqref="X40">
    <cfRule type="expression" dxfId="21298" priority="829">
      <formula>$M40="NON DEFINED"</formula>
    </cfRule>
    <cfRule type="expression" dxfId="21297" priority="830">
      <formula>$AZ40="N.D."</formula>
    </cfRule>
    <cfRule type="expression" dxfId="21296" priority="831">
      <formula>$AY40="N.D."</formula>
    </cfRule>
  </conditionalFormatting>
  <conditionalFormatting sqref="X40">
    <cfRule type="expression" dxfId="21295" priority="818">
      <formula>$A40="Overhead Cable"</formula>
    </cfRule>
    <cfRule type="expression" dxfId="21294" priority="819">
      <formula>$A40="Level Crossing"</formula>
    </cfRule>
    <cfRule type="expression" dxfId="21293" priority="820">
      <formula>$A40="Neutral Section"</formula>
    </cfRule>
    <cfRule type="expression" dxfId="21292" priority="821">
      <formula>$A40="Tunnel"</formula>
    </cfRule>
    <cfRule type="expression" dxfId="21291" priority="822">
      <formula>$A40="Bridge"</formula>
    </cfRule>
    <cfRule type="expression" dxfId="21290" priority="823">
      <formula>$A40="Drainage Works"</formula>
    </cfRule>
    <cfRule type="expression" dxfId="21289" priority="824">
      <formula>$A40="Underpass"</formula>
    </cfRule>
    <cfRule type="expression" dxfId="21288" priority="825">
      <formula>$A40="Overcrossing"</formula>
    </cfRule>
    <cfRule type="expression" dxfId="21287" priority="826">
      <formula>$A40="Overpass"</formula>
    </cfRule>
    <cfRule type="expression" dxfId="21286" priority="827">
      <formula>$A40="Station"</formula>
    </cfRule>
    <cfRule type="expression" dxfId="21285" priority="828">
      <formula>$A40="Overlap between sections"</formula>
    </cfRule>
  </conditionalFormatting>
  <conditionalFormatting sqref="W42">
    <cfRule type="expression" dxfId="21284" priority="815">
      <formula>$M42="NON DEFINED"</formula>
    </cfRule>
    <cfRule type="expression" dxfId="21283" priority="816">
      <formula>$AZ42="N.D."</formula>
    </cfRule>
    <cfRule type="expression" dxfId="21282" priority="817">
      <formula>$AY42="N.D."</formula>
    </cfRule>
  </conditionalFormatting>
  <conditionalFormatting sqref="W42">
    <cfRule type="expression" dxfId="21281" priority="804">
      <formula>$A42="Overhead Cable"</formula>
    </cfRule>
    <cfRule type="expression" dxfId="21280" priority="805">
      <formula>$A42="Level Crossing"</formula>
    </cfRule>
    <cfRule type="expression" dxfId="21279" priority="806">
      <formula>$A42="Neutral Section"</formula>
    </cfRule>
    <cfRule type="expression" dxfId="21278" priority="807">
      <formula>$A42="Tunnel"</formula>
    </cfRule>
    <cfRule type="expression" dxfId="21277" priority="808">
      <formula>$A42="Bridge"</formula>
    </cfRule>
    <cfRule type="expression" dxfId="21276" priority="809">
      <formula>$A42="Drainage Works"</formula>
    </cfRule>
    <cfRule type="expression" dxfId="21275" priority="810">
      <formula>$A42="Underpass"</formula>
    </cfRule>
    <cfRule type="expression" dxfId="21274" priority="811">
      <formula>$A42="Overcrossing"</formula>
    </cfRule>
    <cfRule type="expression" dxfId="21273" priority="812">
      <formula>$A42="Overpass"</formula>
    </cfRule>
    <cfRule type="expression" dxfId="21272" priority="813">
      <formula>$A42="Station"</formula>
    </cfRule>
    <cfRule type="expression" dxfId="21271" priority="814">
      <formula>$A42="Overlap between sections"</formula>
    </cfRule>
  </conditionalFormatting>
  <conditionalFormatting sqref="X42">
    <cfRule type="expression" dxfId="21270" priority="801">
      <formula>$M42="NON DEFINED"</formula>
    </cfRule>
    <cfRule type="expression" dxfId="21269" priority="802">
      <formula>$AZ42="N.D."</formula>
    </cfRule>
    <cfRule type="expression" dxfId="21268" priority="803">
      <formula>$AY42="N.D."</formula>
    </cfRule>
  </conditionalFormatting>
  <conditionalFormatting sqref="X42">
    <cfRule type="expression" dxfId="21267" priority="790">
      <formula>$A42="Overhead Cable"</formula>
    </cfRule>
    <cfRule type="expression" dxfId="21266" priority="791">
      <formula>$A42="Level Crossing"</formula>
    </cfRule>
    <cfRule type="expression" dxfId="21265" priority="792">
      <formula>$A42="Neutral Section"</formula>
    </cfRule>
    <cfRule type="expression" dxfId="21264" priority="793">
      <formula>$A42="Tunnel"</formula>
    </cfRule>
    <cfRule type="expression" dxfId="21263" priority="794">
      <formula>$A42="Bridge"</formula>
    </cfRule>
    <cfRule type="expression" dxfId="21262" priority="795">
      <formula>$A42="Drainage Works"</formula>
    </cfRule>
    <cfRule type="expression" dxfId="21261" priority="796">
      <formula>$A42="Underpass"</formula>
    </cfRule>
    <cfRule type="expression" dxfId="21260" priority="797">
      <formula>$A42="Overcrossing"</formula>
    </cfRule>
    <cfRule type="expression" dxfId="21259" priority="798">
      <formula>$A42="Overpass"</formula>
    </cfRule>
    <cfRule type="expression" dxfId="21258" priority="799">
      <formula>$A42="Station"</formula>
    </cfRule>
    <cfRule type="expression" dxfId="21257" priority="800">
      <formula>$A42="Overlap between sections"</formula>
    </cfRule>
  </conditionalFormatting>
  <conditionalFormatting sqref="W44">
    <cfRule type="expression" dxfId="21256" priority="787">
      <formula>$M44="NON DEFINED"</formula>
    </cfRule>
    <cfRule type="expression" dxfId="21255" priority="788">
      <formula>$AZ44="N.D."</formula>
    </cfRule>
    <cfRule type="expression" dxfId="21254" priority="789">
      <formula>$AY44="N.D."</formula>
    </cfRule>
  </conditionalFormatting>
  <conditionalFormatting sqref="W44">
    <cfRule type="expression" dxfId="21253" priority="776">
      <formula>$A44="Overhead Cable"</formula>
    </cfRule>
    <cfRule type="expression" dxfId="21252" priority="777">
      <formula>$A44="Level Crossing"</formula>
    </cfRule>
    <cfRule type="expression" dxfId="21251" priority="778">
      <formula>$A44="Neutral Section"</formula>
    </cfRule>
    <cfRule type="expression" dxfId="21250" priority="779">
      <formula>$A44="Tunnel"</formula>
    </cfRule>
    <cfRule type="expression" dxfId="21249" priority="780">
      <formula>$A44="Bridge"</formula>
    </cfRule>
    <cfRule type="expression" dxfId="21248" priority="781">
      <formula>$A44="Drainage Works"</formula>
    </cfRule>
    <cfRule type="expression" dxfId="21247" priority="782">
      <formula>$A44="Underpass"</formula>
    </cfRule>
    <cfRule type="expression" dxfId="21246" priority="783">
      <formula>$A44="Overcrossing"</formula>
    </cfRule>
    <cfRule type="expression" dxfId="21245" priority="784">
      <formula>$A44="Overpass"</formula>
    </cfRule>
    <cfRule type="expression" dxfId="21244" priority="785">
      <formula>$A44="Station"</formula>
    </cfRule>
    <cfRule type="expression" dxfId="21243" priority="786">
      <formula>$A44="Overlap between sections"</formula>
    </cfRule>
  </conditionalFormatting>
  <conditionalFormatting sqref="X44">
    <cfRule type="expression" dxfId="21242" priority="773">
      <formula>$M44="NON DEFINED"</formula>
    </cfRule>
    <cfRule type="expression" dxfId="21241" priority="774">
      <formula>$AZ44="N.D."</formula>
    </cfRule>
    <cfRule type="expression" dxfId="21240" priority="775">
      <formula>$AY44="N.D."</formula>
    </cfRule>
  </conditionalFormatting>
  <conditionalFormatting sqref="X44">
    <cfRule type="expression" dxfId="21239" priority="762">
      <formula>$A44="Overhead Cable"</formula>
    </cfRule>
    <cfRule type="expression" dxfId="21238" priority="763">
      <formula>$A44="Level Crossing"</formula>
    </cfRule>
    <cfRule type="expression" dxfId="21237" priority="764">
      <formula>$A44="Neutral Section"</formula>
    </cfRule>
    <cfRule type="expression" dxfId="21236" priority="765">
      <formula>$A44="Tunnel"</formula>
    </cfRule>
    <cfRule type="expression" dxfId="21235" priority="766">
      <formula>$A44="Bridge"</formula>
    </cfRule>
    <cfRule type="expression" dxfId="21234" priority="767">
      <formula>$A44="Drainage Works"</formula>
    </cfRule>
    <cfRule type="expression" dxfId="21233" priority="768">
      <formula>$A44="Underpass"</formula>
    </cfRule>
    <cfRule type="expression" dxfId="21232" priority="769">
      <formula>$A44="Overcrossing"</formula>
    </cfRule>
    <cfRule type="expression" dxfId="21231" priority="770">
      <formula>$A44="Overpass"</formula>
    </cfRule>
    <cfRule type="expression" dxfId="21230" priority="771">
      <formula>$A44="Station"</formula>
    </cfRule>
    <cfRule type="expression" dxfId="21229" priority="772">
      <formula>$A44="Overlap between sections"</formula>
    </cfRule>
  </conditionalFormatting>
  <conditionalFormatting sqref="O40">
    <cfRule type="expression" dxfId="21228" priority="759">
      <formula>$M40="NON DEFINED"</formula>
    </cfRule>
    <cfRule type="expression" dxfId="21227" priority="760">
      <formula>$AZ40="N.D."</formula>
    </cfRule>
    <cfRule type="expression" dxfId="21226" priority="761">
      <formula>$AY40="N.D."</formula>
    </cfRule>
  </conditionalFormatting>
  <conditionalFormatting sqref="O40">
    <cfRule type="expression" dxfId="21225" priority="748">
      <formula>$A40="Overhead Cable"</formula>
    </cfRule>
    <cfRule type="expression" dxfId="21224" priority="749">
      <formula>$A40="Level Crossing"</formula>
    </cfRule>
    <cfRule type="expression" dxfId="21223" priority="750">
      <formula>$A40="Neutral Section"</formula>
    </cfRule>
    <cfRule type="expression" dxfId="21222" priority="751">
      <formula>$A40="Tunnel"</formula>
    </cfRule>
    <cfRule type="expression" dxfId="21221" priority="752">
      <formula>$A40="Bridge"</formula>
    </cfRule>
    <cfRule type="expression" dxfId="21220" priority="753">
      <formula>$A40="Drainage Works"</formula>
    </cfRule>
    <cfRule type="expression" dxfId="21219" priority="754">
      <formula>$A40="Underpass"</formula>
    </cfRule>
    <cfRule type="expression" dxfId="21218" priority="755">
      <formula>$A40="Overcrossing"</formula>
    </cfRule>
    <cfRule type="expression" dxfId="21217" priority="756">
      <formula>$A40="Overpass"</formula>
    </cfRule>
    <cfRule type="expression" dxfId="21216" priority="757">
      <formula>$A40="Station"</formula>
    </cfRule>
    <cfRule type="expression" dxfId="21215" priority="758">
      <formula>$A40="Overlap between sections"</formula>
    </cfRule>
  </conditionalFormatting>
  <conditionalFormatting sqref="N42">
    <cfRule type="expression" dxfId="21214" priority="745">
      <formula>$M42="NON DEFINED"</formula>
    </cfRule>
    <cfRule type="expression" dxfId="21213" priority="746">
      <formula>$AZ42="N.D."</formula>
    </cfRule>
    <cfRule type="expression" dxfId="21212" priority="747">
      <formula>$AY42="N.D."</formula>
    </cfRule>
  </conditionalFormatting>
  <conditionalFormatting sqref="N42">
    <cfRule type="expression" dxfId="21211" priority="734">
      <formula>$A42="Overhead Cable"</formula>
    </cfRule>
    <cfRule type="expression" dxfId="21210" priority="735">
      <formula>$A42="Level Crossing"</formula>
    </cfRule>
    <cfRule type="expression" dxfId="21209" priority="736">
      <formula>$A42="Neutral Section"</formula>
    </cfRule>
    <cfRule type="expression" dxfId="21208" priority="737">
      <formula>$A42="Tunnel"</formula>
    </cfRule>
    <cfRule type="expression" dxfId="21207" priority="738">
      <formula>$A42="Bridge"</formula>
    </cfRule>
    <cfRule type="expression" dxfId="21206" priority="739">
      <formula>$A42="Drainage Works"</formula>
    </cfRule>
    <cfRule type="expression" dxfId="21205" priority="740">
      <formula>$A42="Underpass"</formula>
    </cfRule>
    <cfRule type="expression" dxfId="21204" priority="741">
      <formula>$A42="Overcrossing"</formula>
    </cfRule>
    <cfRule type="expression" dxfId="21203" priority="742">
      <formula>$A42="Overpass"</formula>
    </cfRule>
    <cfRule type="expression" dxfId="21202" priority="743">
      <formula>$A42="Station"</formula>
    </cfRule>
    <cfRule type="expression" dxfId="21201" priority="744">
      <formula>$A42="Overlap between sections"</formula>
    </cfRule>
  </conditionalFormatting>
  <conditionalFormatting sqref="O42">
    <cfRule type="expression" dxfId="21200" priority="731">
      <formula>$M42="NON DEFINED"</formula>
    </cfRule>
    <cfRule type="expression" dxfId="21199" priority="732">
      <formula>$AZ42="N.D."</formula>
    </cfRule>
    <cfRule type="expression" dxfId="21198" priority="733">
      <formula>$AY42="N.D."</formula>
    </cfRule>
  </conditionalFormatting>
  <conditionalFormatting sqref="O42">
    <cfRule type="expression" dxfId="21197" priority="720">
      <formula>$A42="Overhead Cable"</formula>
    </cfRule>
    <cfRule type="expression" dxfId="21196" priority="721">
      <formula>$A42="Level Crossing"</formula>
    </cfRule>
    <cfRule type="expression" dxfId="21195" priority="722">
      <formula>$A42="Neutral Section"</formula>
    </cfRule>
    <cfRule type="expression" dxfId="21194" priority="723">
      <formula>$A42="Tunnel"</formula>
    </cfRule>
    <cfRule type="expression" dxfId="21193" priority="724">
      <formula>$A42="Bridge"</formula>
    </cfRule>
    <cfRule type="expression" dxfId="21192" priority="725">
      <formula>$A42="Drainage Works"</formula>
    </cfRule>
    <cfRule type="expression" dxfId="21191" priority="726">
      <formula>$A42="Underpass"</formula>
    </cfRule>
    <cfRule type="expression" dxfId="21190" priority="727">
      <formula>$A42="Overcrossing"</formula>
    </cfRule>
    <cfRule type="expression" dxfId="21189" priority="728">
      <formula>$A42="Overpass"</formula>
    </cfRule>
    <cfRule type="expression" dxfId="21188" priority="729">
      <formula>$A42="Station"</formula>
    </cfRule>
    <cfRule type="expression" dxfId="21187" priority="730">
      <formula>$A42="Overlap between sections"</formula>
    </cfRule>
  </conditionalFormatting>
  <conditionalFormatting sqref="AC42">
    <cfRule type="expression" dxfId="21186" priority="717">
      <formula>$M42="NON DEFINED"</formula>
    </cfRule>
    <cfRule type="expression" dxfId="21185" priority="718">
      <formula>$AZ42="N.D."</formula>
    </cfRule>
    <cfRule type="expression" dxfId="21184" priority="719">
      <formula>$AY42="N.D."</formula>
    </cfRule>
  </conditionalFormatting>
  <conditionalFormatting sqref="AC42">
    <cfRule type="expression" dxfId="21183" priority="706">
      <formula>$A42="Overhead Cable"</formula>
    </cfRule>
    <cfRule type="expression" dxfId="21182" priority="707">
      <formula>$A42="Level Crossing"</formula>
    </cfRule>
    <cfRule type="expression" dxfId="21181" priority="708">
      <formula>$A42="Neutral Section"</formula>
    </cfRule>
    <cfRule type="expression" dxfId="21180" priority="709">
      <formula>$A42="Tunnel"</formula>
    </cfRule>
    <cfRule type="expression" dxfId="21179" priority="710">
      <formula>$A42="Bridge"</formula>
    </cfRule>
    <cfRule type="expression" dxfId="21178" priority="711">
      <formula>$A42="Drainage Works"</formula>
    </cfRule>
    <cfRule type="expression" dxfId="21177" priority="712">
      <formula>$A42="Underpass"</formula>
    </cfRule>
    <cfRule type="expression" dxfId="21176" priority="713">
      <formula>$A42="Overcrossing"</formula>
    </cfRule>
    <cfRule type="expression" dxfId="21175" priority="714">
      <formula>$A42="Overpass"</formula>
    </cfRule>
    <cfRule type="expression" dxfId="21174" priority="715">
      <formula>$A42="Station"</formula>
    </cfRule>
    <cfRule type="expression" dxfId="21173" priority="716">
      <formula>$A42="Overlap between sections"</formula>
    </cfRule>
  </conditionalFormatting>
  <conditionalFormatting sqref="AD42">
    <cfRule type="expression" dxfId="21172" priority="703">
      <formula>$M42="NON DEFINED"</formula>
    </cfRule>
    <cfRule type="expression" dxfId="21171" priority="704">
      <formula>$AZ42="N.D."</formula>
    </cfRule>
    <cfRule type="expression" dxfId="21170" priority="705">
      <formula>$AY42="N.D."</formula>
    </cfRule>
  </conditionalFormatting>
  <conditionalFormatting sqref="AD42">
    <cfRule type="expression" dxfId="21169" priority="692">
      <formula>$A42="Overhead Cable"</formula>
    </cfRule>
    <cfRule type="expression" dxfId="21168" priority="693">
      <formula>$A42="Level Crossing"</formula>
    </cfRule>
    <cfRule type="expression" dxfId="21167" priority="694">
      <formula>$A42="Neutral Section"</formula>
    </cfRule>
    <cfRule type="expression" dxfId="21166" priority="695">
      <formula>$A42="Tunnel"</formula>
    </cfRule>
    <cfRule type="expression" dxfId="21165" priority="696">
      <formula>$A42="Bridge"</formula>
    </cfRule>
    <cfRule type="expression" dxfId="21164" priority="697">
      <formula>$A42="Drainage Works"</formula>
    </cfRule>
    <cfRule type="expression" dxfId="21163" priority="698">
      <formula>$A42="Underpass"</formula>
    </cfRule>
    <cfRule type="expression" dxfId="21162" priority="699">
      <formula>$A42="Overcrossing"</formula>
    </cfRule>
    <cfRule type="expression" dxfId="21161" priority="700">
      <formula>$A42="Overpass"</formula>
    </cfRule>
    <cfRule type="expression" dxfId="21160" priority="701">
      <formula>$A42="Station"</formula>
    </cfRule>
    <cfRule type="expression" dxfId="21159" priority="702">
      <formula>$A42="Overlap between sections"</formula>
    </cfRule>
  </conditionalFormatting>
  <conditionalFormatting sqref="L49">
    <cfRule type="expression" dxfId="21158" priority="482">
      <formula>$A49="Overhead Cable"</formula>
    </cfRule>
    <cfRule type="expression" dxfId="21157" priority="483">
      <formula>$A49="Level Crossing"</formula>
    </cfRule>
    <cfRule type="expression" dxfId="21156" priority="484">
      <formula>$A49="Neutral Section"</formula>
    </cfRule>
    <cfRule type="expression" dxfId="21155" priority="485">
      <formula>$A49="Tunnel"</formula>
    </cfRule>
    <cfRule type="expression" dxfId="21154" priority="486">
      <formula>$A49="Bridge"</formula>
    </cfRule>
    <cfRule type="expression" dxfId="21153" priority="487">
      <formula>$A49="Drainage Works"</formula>
    </cfRule>
    <cfRule type="expression" dxfId="21152" priority="488">
      <formula>$A49="Underpass"</formula>
    </cfRule>
    <cfRule type="expression" dxfId="21151" priority="489">
      <formula>$A49="Overcrossing"</formula>
    </cfRule>
    <cfRule type="expression" dxfId="21150" priority="490">
      <formula>$A49="Overpass"</formula>
    </cfRule>
    <cfRule type="expression" dxfId="21149" priority="491">
      <formula>$A49="Station"</formula>
    </cfRule>
    <cfRule type="expression" dxfId="21148" priority="492">
      <formula>$A49="Overlap between sections"</formula>
    </cfRule>
  </conditionalFormatting>
  <conditionalFormatting sqref="J16:J17 H16:H17">
    <cfRule type="expression" dxfId="21147" priority="689">
      <formula>$M16="NON DEFINED"</formula>
    </cfRule>
    <cfRule type="expression" dxfId="21146" priority="690">
      <formula>$AZ16="N.D."</formula>
    </cfRule>
    <cfRule type="expression" dxfId="21145" priority="691">
      <formula>$AY16="N.D."</formula>
    </cfRule>
  </conditionalFormatting>
  <conditionalFormatting sqref="J16:J17 H16:H17">
    <cfRule type="expression" dxfId="21144" priority="678">
      <formula>$A16="Overhead Cable"</formula>
    </cfRule>
    <cfRule type="expression" dxfId="21143" priority="679">
      <formula>$A16="Level Crossing"</formula>
    </cfRule>
    <cfRule type="expression" dxfId="21142" priority="680">
      <formula>$A16="Neutral Section"</formula>
    </cfRule>
    <cfRule type="expression" dxfId="21141" priority="681">
      <formula>$A16="Tunnel"</formula>
    </cfRule>
    <cfRule type="expression" dxfId="21140" priority="682">
      <formula>$A16="Bridge"</formula>
    </cfRule>
    <cfRule type="expression" dxfId="21139" priority="683">
      <formula>$A16="Drainage Works"</formula>
    </cfRule>
    <cfRule type="expression" dxfId="21138" priority="684">
      <formula>$A16="Underpass"</formula>
    </cfRule>
    <cfRule type="expression" dxfId="21137" priority="685">
      <formula>$A16="Overcrossing"</formula>
    </cfRule>
    <cfRule type="expression" dxfId="21136" priority="686">
      <formula>$A16="Overpass"</formula>
    </cfRule>
    <cfRule type="expression" dxfId="21135" priority="687">
      <formula>$A16="Station"</formula>
    </cfRule>
    <cfRule type="expression" dxfId="21134" priority="688">
      <formula>$A16="Overlap between sections"</formula>
    </cfRule>
  </conditionalFormatting>
  <conditionalFormatting sqref="I17">
    <cfRule type="expression" dxfId="21133" priority="675">
      <formula>$M17="NON DEFINED"</formula>
    </cfRule>
    <cfRule type="expression" dxfId="21132" priority="676">
      <formula>$AZ17="N.D."</formula>
    </cfRule>
    <cfRule type="expression" dxfId="21131" priority="677">
      <formula>$AY17="N.D."</formula>
    </cfRule>
  </conditionalFormatting>
  <conditionalFormatting sqref="I17">
    <cfRule type="expression" dxfId="21130" priority="664">
      <formula>$A17="Overhead Cable"</formula>
    </cfRule>
    <cfRule type="expression" dxfId="21129" priority="665">
      <formula>$A17="Level Crossing"</formula>
    </cfRule>
    <cfRule type="expression" dxfId="21128" priority="666">
      <formula>$A17="Neutral Section"</formula>
    </cfRule>
    <cfRule type="expression" dxfId="21127" priority="667">
      <formula>$A17="Tunnel"</formula>
    </cfRule>
    <cfRule type="expression" dxfId="21126" priority="668">
      <formula>$A17="Bridge"</formula>
    </cfRule>
    <cfRule type="expression" dxfId="21125" priority="669">
      <formula>$A17="Drainage Works"</formula>
    </cfRule>
    <cfRule type="expression" dxfId="21124" priority="670">
      <formula>$A17="Underpass"</formula>
    </cfRule>
    <cfRule type="expression" dxfId="21123" priority="671">
      <formula>$A17="Overcrossing"</formula>
    </cfRule>
    <cfRule type="expression" dxfId="21122" priority="672">
      <formula>$A17="Overpass"</formula>
    </cfRule>
    <cfRule type="expression" dxfId="21121" priority="673">
      <formula>$A17="Station"</formula>
    </cfRule>
    <cfRule type="expression" dxfId="21120" priority="674">
      <formula>$A17="Overlap between sections"</formula>
    </cfRule>
  </conditionalFormatting>
  <conditionalFormatting sqref="K16:K17">
    <cfRule type="expression" dxfId="21119" priority="661">
      <formula>$M16="NON DEFINED"</formula>
    </cfRule>
    <cfRule type="expression" dxfId="21118" priority="662">
      <formula>$AZ16="N.D."</formula>
    </cfRule>
    <cfRule type="expression" dxfId="21117" priority="663">
      <formula>$AY16="N.D."</formula>
    </cfRule>
  </conditionalFormatting>
  <conditionalFormatting sqref="K16:K17">
    <cfRule type="expression" dxfId="21116" priority="650">
      <formula>$A16="Overhead Cable"</formula>
    </cfRule>
    <cfRule type="expression" dxfId="21115" priority="651">
      <formula>$A16="Level Crossing"</formula>
    </cfRule>
    <cfRule type="expression" dxfId="21114" priority="652">
      <formula>$A16="Neutral Section"</formula>
    </cfRule>
    <cfRule type="expression" dxfId="21113" priority="653">
      <formula>$A16="Tunnel"</formula>
    </cfRule>
    <cfRule type="expression" dxfId="21112" priority="654">
      <formula>$A16="Bridge"</formula>
    </cfRule>
    <cfRule type="expression" dxfId="21111" priority="655">
      <formula>$A16="Drainage Works"</formula>
    </cfRule>
    <cfRule type="expression" dxfId="21110" priority="656">
      <formula>$A16="Underpass"</formula>
    </cfRule>
    <cfRule type="expression" dxfId="21109" priority="657">
      <formula>$A16="Overcrossing"</formula>
    </cfRule>
    <cfRule type="expression" dxfId="21108" priority="658">
      <formula>$A16="Overpass"</formula>
    </cfRule>
    <cfRule type="expression" dxfId="21107" priority="659">
      <formula>$A16="Station"</formula>
    </cfRule>
    <cfRule type="expression" dxfId="21106" priority="660">
      <formula>$A16="Overlap between sections"</formula>
    </cfRule>
  </conditionalFormatting>
  <conditionalFormatting sqref="I16">
    <cfRule type="expression" dxfId="21105" priority="647">
      <formula>$M16="NON DEFINED"</formula>
    </cfRule>
    <cfRule type="expression" dxfId="21104" priority="648">
      <formula>$AZ16="N.D."</formula>
    </cfRule>
    <cfRule type="expression" dxfId="21103" priority="649">
      <formula>$AY16="N.D."</formula>
    </cfRule>
  </conditionalFormatting>
  <conditionalFormatting sqref="I16">
    <cfRule type="expression" dxfId="21102" priority="636">
      <formula>$A16="Overhead Cable"</formula>
    </cfRule>
    <cfRule type="expression" dxfId="21101" priority="637">
      <formula>$A16="Level Crossing"</formula>
    </cfRule>
    <cfRule type="expression" dxfId="21100" priority="638">
      <formula>$A16="Neutral Section"</formula>
    </cfRule>
    <cfRule type="expression" dxfId="21099" priority="639">
      <formula>$A16="Tunnel"</formula>
    </cfRule>
    <cfRule type="expression" dxfId="21098" priority="640">
      <formula>$A16="Bridge"</formula>
    </cfRule>
    <cfRule type="expression" dxfId="21097" priority="641">
      <formula>$A16="Drainage Works"</formula>
    </cfRule>
    <cfRule type="expression" dxfId="21096" priority="642">
      <formula>$A16="Underpass"</formula>
    </cfRule>
    <cfRule type="expression" dxfId="21095" priority="643">
      <formula>$A16="Overcrossing"</formula>
    </cfRule>
    <cfRule type="expression" dxfId="21094" priority="644">
      <formula>$A16="Overpass"</formula>
    </cfRule>
    <cfRule type="expression" dxfId="21093" priority="645">
      <formula>$A16="Station"</formula>
    </cfRule>
    <cfRule type="expression" dxfId="21092" priority="646">
      <formula>$A16="Overlap between sections"</formula>
    </cfRule>
  </conditionalFormatting>
  <conditionalFormatting sqref="L20">
    <cfRule type="expression" dxfId="21091" priority="633">
      <formula>$M20="NON DEFINED"</formula>
    </cfRule>
    <cfRule type="expression" dxfId="21090" priority="634">
      <formula>$AZ20="N.D."</formula>
    </cfRule>
    <cfRule type="expression" dxfId="21089" priority="635">
      <formula>$AY20="N.D."</formula>
    </cfRule>
  </conditionalFormatting>
  <conditionalFormatting sqref="L20">
    <cfRule type="expression" dxfId="21088" priority="622">
      <formula>$A20="Overhead Cable"</formula>
    </cfRule>
    <cfRule type="expression" dxfId="21087" priority="623">
      <formula>$A20="Level Crossing"</formula>
    </cfRule>
    <cfRule type="expression" dxfId="21086" priority="624">
      <formula>$A20="Neutral Section"</formula>
    </cfRule>
    <cfRule type="expression" dxfId="21085" priority="625">
      <formula>$A20="Tunnel"</formula>
    </cfRule>
    <cfRule type="expression" dxfId="21084" priority="626">
      <formula>$A20="Bridge"</formula>
    </cfRule>
    <cfRule type="expression" dxfId="21083" priority="627">
      <formula>$A20="Drainage Works"</formula>
    </cfRule>
    <cfRule type="expression" dxfId="21082" priority="628">
      <formula>$A20="Underpass"</formula>
    </cfRule>
    <cfRule type="expression" dxfId="21081" priority="629">
      <formula>$A20="Overcrossing"</formula>
    </cfRule>
    <cfRule type="expression" dxfId="21080" priority="630">
      <formula>$A20="Overpass"</formula>
    </cfRule>
    <cfRule type="expression" dxfId="21079" priority="631">
      <formula>$A20="Station"</formula>
    </cfRule>
    <cfRule type="expression" dxfId="21078" priority="632">
      <formula>$A20="Overlap between sections"</formula>
    </cfRule>
  </conditionalFormatting>
  <conditionalFormatting sqref="M20">
    <cfRule type="expression" dxfId="21077" priority="619">
      <formula>$M20="NON DEFINED"</formula>
    </cfRule>
    <cfRule type="expression" dxfId="21076" priority="620">
      <formula>$AZ20="N.D."</formula>
    </cfRule>
    <cfRule type="expression" dxfId="21075" priority="621">
      <formula>$AY20="N.D."</formula>
    </cfRule>
  </conditionalFormatting>
  <conditionalFormatting sqref="M20">
    <cfRule type="expression" dxfId="21074" priority="608">
      <formula>$A20="Overhead Cable"</formula>
    </cfRule>
    <cfRule type="expression" dxfId="21073" priority="609">
      <formula>$A20="Level Crossing"</formula>
    </cfRule>
    <cfRule type="expression" dxfId="21072" priority="610">
      <formula>$A20="Neutral Section"</formula>
    </cfRule>
    <cfRule type="expression" dxfId="21071" priority="611">
      <formula>$A20="Tunnel"</formula>
    </cfRule>
    <cfRule type="expression" dxfId="21070" priority="612">
      <formula>$A20="Bridge"</formula>
    </cfRule>
    <cfRule type="expression" dxfId="21069" priority="613">
      <formula>$A20="Drainage Works"</formula>
    </cfRule>
    <cfRule type="expression" dxfId="21068" priority="614">
      <formula>$A20="Underpass"</formula>
    </cfRule>
    <cfRule type="expression" dxfId="21067" priority="615">
      <formula>$A20="Overcrossing"</formula>
    </cfRule>
    <cfRule type="expression" dxfId="21066" priority="616">
      <formula>$A20="Overpass"</formula>
    </cfRule>
    <cfRule type="expression" dxfId="21065" priority="617">
      <formula>$A20="Station"</formula>
    </cfRule>
    <cfRule type="expression" dxfId="21064" priority="618">
      <formula>$A20="Overlap between sections"</formula>
    </cfRule>
  </conditionalFormatting>
  <conditionalFormatting sqref="L21">
    <cfRule type="expression" dxfId="21063" priority="605">
      <formula>$M21="NON DEFINED"</formula>
    </cfRule>
    <cfRule type="expression" dxfId="21062" priority="606">
      <formula>$AZ21="N.D."</formula>
    </cfRule>
    <cfRule type="expression" dxfId="21061" priority="607">
      <formula>$AY21="N.D."</formula>
    </cfRule>
  </conditionalFormatting>
  <conditionalFormatting sqref="L21">
    <cfRule type="expression" dxfId="21060" priority="594">
      <formula>$A21="Overhead Cable"</formula>
    </cfRule>
    <cfRule type="expression" dxfId="21059" priority="595">
      <formula>$A21="Level Crossing"</formula>
    </cfRule>
    <cfRule type="expression" dxfId="21058" priority="596">
      <formula>$A21="Neutral Section"</formula>
    </cfRule>
    <cfRule type="expression" dxfId="21057" priority="597">
      <formula>$A21="Tunnel"</formula>
    </cfRule>
    <cfRule type="expression" dxfId="21056" priority="598">
      <formula>$A21="Bridge"</formula>
    </cfRule>
    <cfRule type="expression" dxfId="21055" priority="599">
      <formula>$A21="Drainage Works"</formula>
    </cfRule>
    <cfRule type="expression" dxfId="21054" priority="600">
      <formula>$A21="Underpass"</formula>
    </cfRule>
    <cfRule type="expression" dxfId="21053" priority="601">
      <formula>$A21="Overcrossing"</formula>
    </cfRule>
    <cfRule type="expression" dxfId="21052" priority="602">
      <formula>$A21="Overpass"</formula>
    </cfRule>
    <cfRule type="expression" dxfId="21051" priority="603">
      <formula>$A21="Station"</formula>
    </cfRule>
    <cfRule type="expression" dxfId="21050" priority="604">
      <formula>$A21="Overlap between sections"</formula>
    </cfRule>
  </conditionalFormatting>
  <conditionalFormatting sqref="M21">
    <cfRule type="expression" dxfId="21049" priority="591">
      <formula>$M21="NON DEFINED"</formula>
    </cfRule>
    <cfRule type="expression" dxfId="21048" priority="592">
      <formula>$AZ21="N.D."</formula>
    </cfRule>
    <cfRule type="expression" dxfId="21047" priority="593">
      <formula>$AY21="N.D."</formula>
    </cfRule>
  </conditionalFormatting>
  <conditionalFormatting sqref="M21">
    <cfRule type="expression" dxfId="21046" priority="580">
      <formula>$A21="Overhead Cable"</formula>
    </cfRule>
    <cfRule type="expression" dxfId="21045" priority="581">
      <formula>$A21="Level Crossing"</formula>
    </cfRule>
    <cfRule type="expression" dxfId="21044" priority="582">
      <formula>$A21="Neutral Section"</formula>
    </cfRule>
    <cfRule type="expression" dxfId="21043" priority="583">
      <formula>$A21="Tunnel"</formula>
    </cfRule>
    <cfRule type="expression" dxfId="21042" priority="584">
      <formula>$A21="Bridge"</formula>
    </cfRule>
    <cfRule type="expression" dxfId="21041" priority="585">
      <formula>$A21="Drainage Works"</formula>
    </cfRule>
    <cfRule type="expression" dxfId="21040" priority="586">
      <formula>$A21="Underpass"</formula>
    </cfRule>
    <cfRule type="expression" dxfId="21039" priority="587">
      <formula>$A21="Overcrossing"</formula>
    </cfRule>
    <cfRule type="expression" dxfId="21038" priority="588">
      <formula>$A21="Overpass"</formula>
    </cfRule>
    <cfRule type="expression" dxfId="21037" priority="589">
      <formula>$A21="Station"</formula>
    </cfRule>
    <cfRule type="expression" dxfId="21036" priority="590">
      <formula>$A21="Overlap between sections"</formula>
    </cfRule>
  </conditionalFormatting>
  <conditionalFormatting sqref="L23">
    <cfRule type="expression" dxfId="21035" priority="577">
      <formula>$M23="NON DEFINED"</formula>
    </cfRule>
    <cfRule type="expression" dxfId="21034" priority="578">
      <formula>$AZ23="N.D."</formula>
    </cfRule>
    <cfRule type="expression" dxfId="21033" priority="579">
      <formula>$AY23="N.D."</formula>
    </cfRule>
  </conditionalFormatting>
  <conditionalFormatting sqref="L23">
    <cfRule type="expression" dxfId="21032" priority="566">
      <formula>$A23="Overhead Cable"</formula>
    </cfRule>
    <cfRule type="expression" dxfId="21031" priority="567">
      <formula>$A23="Level Crossing"</formula>
    </cfRule>
    <cfRule type="expression" dxfId="21030" priority="568">
      <formula>$A23="Neutral Section"</formula>
    </cfRule>
    <cfRule type="expression" dxfId="21029" priority="569">
      <formula>$A23="Tunnel"</formula>
    </cfRule>
    <cfRule type="expression" dxfId="21028" priority="570">
      <formula>$A23="Bridge"</formula>
    </cfRule>
    <cfRule type="expression" dxfId="21027" priority="571">
      <formula>$A23="Drainage Works"</formula>
    </cfRule>
    <cfRule type="expression" dxfId="21026" priority="572">
      <formula>$A23="Underpass"</formula>
    </cfRule>
    <cfRule type="expression" dxfId="21025" priority="573">
      <formula>$A23="Overcrossing"</formula>
    </cfRule>
    <cfRule type="expression" dxfId="21024" priority="574">
      <formula>$A23="Overpass"</formula>
    </cfRule>
    <cfRule type="expression" dxfId="21023" priority="575">
      <formula>$A23="Station"</formula>
    </cfRule>
    <cfRule type="expression" dxfId="21022" priority="576">
      <formula>$A23="Overlap between sections"</formula>
    </cfRule>
  </conditionalFormatting>
  <conditionalFormatting sqref="M23">
    <cfRule type="expression" dxfId="21021" priority="563">
      <formula>$M23="NON DEFINED"</formula>
    </cfRule>
    <cfRule type="expression" dxfId="21020" priority="564">
      <formula>$AZ23="N.D."</formula>
    </cfRule>
    <cfRule type="expression" dxfId="21019" priority="565">
      <formula>$AY23="N.D."</formula>
    </cfRule>
  </conditionalFormatting>
  <conditionalFormatting sqref="M23">
    <cfRule type="expression" dxfId="21018" priority="552">
      <formula>$A23="Overhead Cable"</formula>
    </cfRule>
    <cfRule type="expression" dxfId="21017" priority="553">
      <formula>$A23="Level Crossing"</formula>
    </cfRule>
    <cfRule type="expression" dxfId="21016" priority="554">
      <formula>$A23="Neutral Section"</formula>
    </cfRule>
    <cfRule type="expression" dxfId="21015" priority="555">
      <formula>$A23="Tunnel"</formula>
    </cfRule>
    <cfRule type="expression" dxfId="21014" priority="556">
      <formula>$A23="Bridge"</formula>
    </cfRule>
    <cfRule type="expression" dxfId="21013" priority="557">
      <formula>$A23="Drainage Works"</formula>
    </cfRule>
    <cfRule type="expression" dxfId="21012" priority="558">
      <formula>$A23="Underpass"</formula>
    </cfRule>
    <cfRule type="expression" dxfId="21011" priority="559">
      <formula>$A23="Overcrossing"</formula>
    </cfRule>
    <cfRule type="expression" dxfId="21010" priority="560">
      <formula>$A23="Overpass"</formula>
    </cfRule>
    <cfRule type="expression" dxfId="21009" priority="561">
      <formula>$A23="Station"</formula>
    </cfRule>
    <cfRule type="expression" dxfId="21008" priority="562">
      <formula>$A23="Overlap between sections"</formula>
    </cfRule>
  </conditionalFormatting>
  <conditionalFormatting sqref="L25">
    <cfRule type="expression" dxfId="21007" priority="549">
      <formula>$M25="NON DEFINED"</formula>
    </cfRule>
    <cfRule type="expression" dxfId="21006" priority="550">
      <formula>$AZ25="N.D."</formula>
    </cfRule>
    <cfRule type="expression" dxfId="21005" priority="551">
      <formula>$AY25="N.D."</formula>
    </cfRule>
  </conditionalFormatting>
  <conditionalFormatting sqref="L25">
    <cfRule type="expression" dxfId="21004" priority="538">
      <formula>$A25="Overhead Cable"</formula>
    </cfRule>
    <cfRule type="expression" dxfId="21003" priority="539">
      <formula>$A25="Level Crossing"</formula>
    </cfRule>
    <cfRule type="expression" dxfId="21002" priority="540">
      <formula>$A25="Neutral Section"</formula>
    </cfRule>
    <cfRule type="expression" dxfId="21001" priority="541">
      <formula>$A25="Tunnel"</formula>
    </cfRule>
    <cfRule type="expression" dxfId="21000" priority="542">
      <formula>$A25="Bridge"</formula>
    </cfRule>
    <cfRule type="expression" dxfId="20999" priority="543">
      <formula>$A25="Drainage Works"</formula>
    </cfRule>
    <cfRule type="expression" dxfId="20998" priority="544">
      <formula>$A25="Underpass"</formula>
    </cfRule>
    <cfRule type="expression" dxfId="20997" priority="545">
      <formula>$A25="Overcrossing"</formula>
    </cfRule>
    <cfRule type="expression" dxfId="20996" priority="546">
      <formula>$A25="Overpass"</formula>
    </cfRule>
    <cfRule type="expression" dxfId="20995" priority="547">
      <formula>$A25="Station"</formula>
    </cfRule>
    <cfRule type="expression" dxfId="20994" priority="548">
      <formula>$A25="Overlap between sections"</formula>
    </cfRule>
  </conditionalFormatting>
  <conditionalFormatting sqref="M25">
    <cfRule type="expression" dxfId="20993" priority="535">
      <formula>$M25="NON DEFINED"</formula>
    </cfRule>
    <cfRule type="expression" dxfId="20992" priority="536">
      <formula>$AZ25="N.D."</formula>
    </cfRule>
    <cfRule type="expression" dxfId="20991" priority="537">
      <formula>$AY25="N.D."</formula>
    </cfRule>
  </conditionalFormatting>
  <conditionalFormatting sqref="M25">
    <cfRule type="expression" dxfId="20990" priority="524">
      <formula>$A25="Overhead Cable"</formula>
    </cfRule>
    <cfRule type="expression" dxfId="20989" priority="525">
      <formula>$A25="Level Crossing"</formula>
    </cfRule>
    <cfRule type="expression" dxfId="20988" priority="526">
      <formula>$A25="Neutral Section"</formula>
    </cfRule>
    <cfRule type="expression" dxfId="20987" priority="527">
      <formula>$A25="Tunnel"</formula>
    </cfRule>
    <cfRule type="expression" dxfId="20986" priority="528">
      <formula>$A25="Bridge"</formula>
    </cfRule>
    <cfRule type="expression" dxfId="20985" priority="529">
      <formula>$A25="Drainage Works"</formula>
    </cfRule>
    <cfRule type="expression" dxfId="20984" priority="530">
      <formula>$A25="Underpass"</formula>
    </cfRule>
    <cfRule type="expression" dxfId="20983" priority="531">
      <formula>$A25="Overcrossing"</formula>
    </cfRule>
    <cfRule type="expression" dxfId="20982" priority="532">
      <formula>$A25="Overpass"</formula>
    </cfRule>
    <cfRule type="expression" dxfId="20981" priority="533">
      <formula>$A25="Station"</formula>
    </cfRule>
    <cfRule type="expression" dxfId="20980" priority="534">
      <formula>$A25="Overlap between sections"</formula>
    </cfRule>
  </conditionalFormatting>
  <conditionalFormatting sqref="L27">
    <cfRule type="expression" dxfId="20979" priority="521">
      <formula>$M27="NON DEFINED"</formula>
    </cfRule>
    <cfRule type="expression" dxfId="20978" priority="522">
      <formula>$AZ27="N.D."</formula>
    </cfRule>
    <cfRule type="expression" dxfId="20977" priority="523">
      <formula>$AY27="N.D."</formula>
    </cfRule>
  </conditionalFormatting>
  <conditionalFormatting sqref="L27">
    <cfRule type="expression" dxfId="20976" priority="510">
      <formula>$A27="Overhead Cable"</formula>
    </cfRule>
    <cfRule type="expression" dxfId="20975" priority="511">
      <formula>$A27="Level Crossing"</formula>
    </cfRule>
    <cfRule type="expression" dxfId="20974" priority="512">
      <formula>$A27="Neutral Section"</formula>
    </cfRule>
    <cfRule type="expression" dxfId="20973" priority="513">
      <formula>$A27="Tunnel"</formula>
    </cfRule>
    <cfRule type="expression" dxfId="20972" priority="514">
      <formula>$A27="Bridge"</formula>
    </cfRule>
    <cfRule type="expression" dxfId="20971" priority="515">
      <formula>$A27="Drainage Works"</formula>
    </cfRule>
    <cfRule type="expression" dxfId="20970" priority="516">
      <formula>$A27="Underpass"</formula>
    </cfRule>
    <cfRule type="expression" dxfId="20969" priority="517">
      <formula>$A27="Overcrossing"</formula>
    </cfRule>
    <cfRule type="expression" dxfId="20968" priority="518">
      <formula>$A27="Overpass"</formula>
    </cfRule>
    <cfRule type="expression" dxfId="20967" priority="519">
      <formula>$A27="Station"</formula>
    </cfRule>
    <cfRule type="expression" dxfId="20966" priority="520">
      <formula>$A27="Overlap between sections"</formula>
    </cfRule>
  </conditionalFormatting>
  <conditionalFormatting sqref="M27">
    <cfRule type="expression" dxfId="20965" priority="507">
      <formula>$M27="NON DEFINED"</formula>
    </cfRule>
    <cfRule type="expression" dxfId="20964" priority="508">
      <formula>$AZ27="N.D."</formula>
    </cfRule>
    <cfRule type="expression" dxfId="20963" priority="509">
      <formula>$AY27="N.D."</formula>
    </cfRule>
  </conditionalFormatting>
  <conditionalFormatting sqref="M27">
    <cfRule type="expression" dxfId="20962" priority="496">
      <formula>$A27="Overhead Cable"</formula>
    </cfRule>
    <cfRule type="expression" dxfId="20961" priority="497">
      <formula>$A27="Level Crossing"</formula>
    </cfRule>
    <cfRule type="expression" dxfId="20960" priority="498">
      <formula>$A27="Neutral Section"</formula>
    </cfRule>
    <cfRule type="expression" dxfId="20959" priority="499">
      <formula>$A27="Tunnel"</formula>
    </cfRule>
    <cfRule type="expression" dxfId="20958" priority="500">
      <formula>$A27="Bridge"</formula>
    </cfRule>
    <cfRule type="expression" dxfId="20957" priority="501">
      <formula>$A27="Drainage Works"</formula>
    </cfRule>
    <cfRule type="expression" dxfId="20956" priority="502">
      <formula>$A27="Underpass"</formula>
    </cfRule>
    <cfRule type="expression" dxfId="20955" priority="503">
      <formula>$A27="Overcrossing"</formula>
    </cfRule>
    <cfRule type="expression" dxfId="20954" priority="504">
      <formula>$A27="Overpass"</formula>
    </cfRule>
    <cfRule type="expression" dxfId="20953" priority="505">
      <formula>$A27="Station"</formula>
    </cfRule>
    <cfRule type="expression" dxfId="20952" priority="506">
      <formula>$A27="Overlap between sections"</formula>
    </cfRule>
  </conditionalFormatting>
  <conditionalFormatting sqref="L49">
    <cfRule type="expression" dxfId="20951" priority="493">
      <formula>$M49="NON DEFINED"</formula>
    </cfRule>
    <cfRule type="expression" dxfId="20950" priority="494">
      <formula>$AZ49="N.D."</formula>
    </cfRule>
    <cfRule type="expression" dxfId="20949" priority="495">
      <formula>$AY49="N.D."</formula>
    </cfRule>
  </conditionalFormatting>
  <conditionalFormatting sqref="N54:O55 N60:O61 N66:O66 N72:O73 AC54:AD55 AC60:AD61 AC66:AD67 AC72:AD73 T54:U55 T60:U61 T66:U67 T72:U73 N67">
    <cfRule type="expression" dxfId="20948" priority="465">
      <formula>$M54="NON DEFINED"</formula>
    </cfRule>
    <cfRule type="expression" dxfId="20947" priority="466">
      <formula>$AZ54="N.D."</formula>
    </cfRule>
    <cfRule type="expression" dxfId="20946" priority="467">
      <formula>$AY54="N.D."</formula>
    </cfRule>
  </conditionalFormatting>
  <conditionalFormatting sqref="N54:O55 N60:O61 N66:O66 N72:O73 AC54:AD55 AC60:AD61 AC66:AD67 AC72:AD73 T54:U55 T60:U61 T66:U67 T72:U73 N67">
    <cfRule type="expression" dxfId="20945" priority="454">
      <formula>$A54="Overhead Cable"</formula>
    </cfRule>
    <cfRule type="expression" dxfId="20944" priority="455">
      <formula>$A54="Level Crossing"</formula>
    </cfRule>
    <cfRule type="expression" dxfId="20943" priority="456">
      <formula>$A54="Neutral Section"</formula>
    </cfRule>
    <cfRule type="expression" dxfId="20942" priority="457">
      <formula>$A54="Tunnel"</formula>
    </cfRule>
    <cfRule type="expression" dxfId="20941" priority="458">
      <formula>$A54="Bridge"</formula>
    </cfRule>
    <cfRule type="expression" dxfId="20940" priority="459">
      <formula>$A54="Drainage Works"</formula>
    </cfRule>
    <cfRule type="expression" dxfId="20939" priority="460">
      <formula>$A54="Underpass"</formula>
    </cfRule>
    <cfRule type="expression" dxfId="20938" priority="461">
      <formula>$A54="Overcrossing"</formula>
    </cfRule>
    <cfRule type="expression" dxfId="20937" priority="462">
      <formula>$A54="Overpass"</formula>
    </cfRule>
    <cfRule type="expression" dxfId="20936" priority="463">
      <formula>$A54="Station"</formula>
    </cfRule>
    <cfRule type="expression" dxfId="20935" priority="464">
      <formula>$A54="Overlap between sections"</formula>
    </cfRule>
  </conditionalFormatting>
  <conditionalFormatting sqref="N50:N52 N56:N58 N62:N64 N68:N70">
    <cfRule type="expression" dxfId="20934" priority="433">
      <formula>$M50="NON DEFINED"</formula>
    </cfRule>
    <cfRule type="expression" dxfId="20933" priority="434">
      <formula>$AZ50="N.D."</formula>
    </cfRule>
    <cfRule type="expression" dxfId="20932" priority="435">
      <formula>$AY50="N.D."</formula>
    </cfRule>
  </conditionalFormatting>
  <conditionalFormatting sqref="N50:N52 N56:N58 N62:N64 N68:N70">
    <cfRule type="expression" dxfId="20931" priority="422">
      <formula>$A50="Overhead Cable"</formula>
    </cfRule>
    <cfRule type="expression" dxfId="20930" priority="423">
      <formula>$A50="Level Crossing"</formula>
    </cfRule>
    <cfRule type="expression" dxfId="20929" priority="424">
      <formula>$A50="Neutral Section"</formula>
    </cfRule>
    <cfRule type="expression" dxfId="20928" priority="425">
      <formula>$A50="Tunnel"</formula>
    </cfRule>
    <cfRule type="expression" dxfId="20927" priority="426">
      <formula>$A50="Bridge"</formula>
    </cfRule>
    <cfRule type="expression" dxfId="20926" priority="427">
      <formula>$A50="Drainage Works"</formula>
    </cfRule>
    <cfRule type="expression" dxfId="20925" priority="428">
      <formula>$A50="Underpass"</formula>
    </cfRule>
    <cfRule type="expression" dxfId="20924" priority="429">
      <formula>$A50="Overcrossing"</formula>
    </cfRule>
    <cfRule type="expression" dxfId="20923" priority="430">
      <formula>$A50="Overpass"</formula>
    </cfRule>
    <cfRule type="expression" dxfId="20922" priority="431">
      <formula>$A50="Station"</formula>
    </cfRule>
    <cfRule type="expression" dxfId="20921" priority="432">
      <formula>$A50="Overlap between sections"</formula>
    </cfRule>
  </conditionalFormatting>
  <conditionalFormatting sqref="O50 O56 O62 O68 O52 O58 O64 O70">
    <cfRule type="expression" dxfId="20920" priority="419">
      <formula>$M50="NON DEFINED"</formula>
    </cfRule>
    <cfRule type="expression" dxfId="20919" priority="420">
      <formula>$AZ50="N.D."</formula>
    </cfRule>
    <cfRule type="expression" dxfId="20918" priority="421">
      <formula>$AY50="N.D."</formula>
    </cfRule>
  </conditionalFormatting>
  <conditionalFormatting sqref="O50 O56 O62 O68 O52 O58 O64 O70">
    <cfRule type="expression" dxfId="20917" priority="408">
      <formula>$A50="Overhead Cable"</formula>
    </cfRule>
    <cfRule type="expression" dxfId="20916" priority="409">
      <formula>$A50="Level Crossing"</formula>
    </cfRule>
    <cfRule type="expression" dxfId="20915" priority="410">
      <formula>$A50="Neutral Section"</formula>
    </cfRule>
    <cfRule type="expression" dxfId="20914" priority="411">
      <formula>$A50="Tunnel"</formula>
    </cfRule>
    <cfRule type="expression" dxfId="20913" priority="412">
      <formula>$A50="Bridge"</formula>
    </cfRule>
    <cfRule type="expression" dxfId="20912" priority="413">
      <formula>$A50="Drainage Works"</formula>
    </cfRule>
    <cfRule type="expression" dxfId="20911" priority="414">
      <formula>$A50="Underpass"</formula>
    </cfRule>
    <cfRule type="expression" dxfId="20910" priority="415">
      <formula>$A50="Overcrossing"</formula>
    </cfRule>
    <cfRule type="expression" dxfId="20909" priority="416">
      <formula>$A50="Overpass"</formula>
    </cfRule>
    <cfRule type="expression" dxfId="20908" priority="417">
      <formula>$A50="Station"</formula>
    </cfRule>
    <cfRule type="expression" dxfId="20907" priority="418">
      <formula>$A50="Overlap between sections"</formula>
    </cfRule>
  </conditionalFormatting>
  <conditionalFormatting sqref="AC50:AC52 AC56:AC58 AC62:AC64 AC68:AC70">
    <cfRule type="expression" dxfId="20906" priority="405">
      <formula>$M50="NON DEFINED"</formula>
    </cfRule>
    <cfRule type="expression" dxfId="20905" priority="406">
      <formula>$AZ50="N.D."</formula>
    </cfRule>
    <cfRule type="expression" dxfId="20904" priority="407">
      <formula>$AY50="N.D."</formula>
    </cfRule>
  </conditionalFormatting>
  <conditionalFormatting sqref="AC50:AC52 AC56:AC58 AC62:AC64 AC68:AC70">
    <cfRule type="expression" dxfId="20903" priority="394">
      <formula>$A50="Overhead Cable"</formula>
    </cfRule>
    <cfRule type="expression" dxfId="20902" priority="395">
      <formula>$A50="Level Crossing"</formula>
    </cfRule>
    <cfRule type="expression" dxfId="20901" priority="396">
      <formula>$A50="Neutral Section"</formula>
    </cfRule>
    <cfRule type="expression" dxfId="20900" priority="397">
      <formula>$A50="Tunnel"</formula>
    </cfRule>
    <cfRule type="expression" dxfId="20899" priority="398">
      <formula>$A50="Bridge"</formula>
    </cfRule>
    <cfRule type="expression" dxfId="20898" priority="399">
      <formula>$A50="Drainage Works"</formula>
    </cfRule>
    <cfRule type="expression" dxfId="20897" priority="400">
      <formula>$A50="Underpass"</formula>
    </cfRule>
    <cfRule type="expression" dxfId="20896" priority="401">
      <formula>$A50="Overcrossing"</formula>
    </cfRule>
    <cfRule type="expression" dxfId="20895" priority="402">
      <formula>$A50="Overpass"</formula>
    </cfRule>
    <cfRule type="expression" dxfId="20894" priority="403">
      <formula>$A50="Station"</formula>
    </cfRule>
    <cfRule type="expression" dxfId="20893" priority="404">
      <formula>$A50="Overlap between sections"</formula>
    </cfRule>
  </conditionalFormatting>
  <conditionalFormatting sqref="AD50:AD52 AD56:AD58 AD62:AD64 AD68:AD70">
    <cfRule type="expression" dxfId="20892" priority="391">
      <formula>$M50="NON DEFINED"</formula>
    </cfRule>
    <cfRule type="expression" dxfId="20891" priority="392">
      <formula>$AZ50="N.D."</formula>
    </cfRule>
    <cfRule type="expression" dxfId="20890" priority="393">
      <formula>$AY50="N.D."</formula>
    </cfRule>
  </conditionalFormatting>
  <conditionalFormatting sqref="AD50:AD52 AD56:AD58 AD62:AD64 AD68:AD70">
    <cfRule type="expression" dxfId="20889" priority="380">
      <formula>$A50="Overhead Cable"</formula>
    </cfRule>
    <cfRule type="expression" dxfId="20888" priority="381">
      <formula>$A50="Level Crossing"</formula>
    </cfRule>
    <cfRule type="expression" dxfId="20887" priority="382">
      <formula>$A50="Neutral Section"</formula>
    </cfRule>
    <cfRule type="expression" dxfId="20886" priority="383">
      <formula>$A50="Tunnel"</formula>
    </cfRule>
    <cfRule type="expression" dxfId="20885" priority="384">
      <formula>$A50="Bridge"</formula>
    </cfRule>
    <cfRule type="expression" dxfId="20884" priority="385">
      <formula>$A50="Drainage Works"</formula>
    </cfRule>
    <cfRule type="expression" dxfId="20883" priority="386">
      <formula>$A50="Underpass"</formula>
    </cfRule>
    <cfRule type="expression" dxfId="20882" priority="387">
      <formula>$A50="Overcrossing"</formula>
    </cfRule>
    <cfRule type="expression" dxfId="20881" priority="388">
      <formula>$A50="Overpass"</formula>
    </cfRule>
    <cfRule type="expression" dxfId="20880" priority="389">
      <formula>$A50="Station"</formula>
    </cfRule>
    <cfRule type="expression" dxfId="20879" priority="390">
      <formula>$A50="Overlap between sections"</formula>
    </cfRule>
  </conditionalFormatting>
  <conditionalFormatting sqref="T50 T56 T62 T68 T52 T58 T64 T70">
    <cfRule type="expression" dxfId="20878" priority="377">
      <formula>$M50="NON DEFINED"</formula>
    </cfRule>
    <cfRule type="expression" dxfId="20877" priority="378">
      <formula>$AZ50="N.D."</formula>
    </cfRule>
    <cfRule type="expression" dxfId="20876" priority="379">
      <formula>$AY50="N.D."</formula>
    </cfRule>
  </conditionalFormatting>
  <conditionalFormatting sqref="T50 T56 T62 T68 T52 T58 T64 T70">
    <cfRule type="expression" dxfId="20875" priority="366">
      <formula>$A50="Overhead Cable"</formula>
    </cfRule>
    <cfRule type="expression" dxfId="20874" priority="367">
      <formula>$A50="Level Crossing"</formula>
    </cfRule>
    <cfRule type="expression" dxfId="20873" priority="368">
      <formula>$A50="Neutral Section"</formula>
    </cfRule>
    <cfRule type="expression" dxfId="20872" priority="369">
      <formula>$A50="Tunnel"</formula>
    </cfRule>
    <cfRule type="expression" dxfId="20871" priority="370">
      <formula>$A50="Bridge"</formula>
    </cfRule>
    <cfRule type="expression" dxfId="20870" priority="371">
      <formula>$A50="Drainage Works"</formula>
    </cfRule>
    <cfRule type="expression" dxfId="20869" priority="372">
      <formula>$A50="Underpass"</formula>
    </cfRule>
    <cfRule type="expression" dxfId="20868" priority="373">
      <formula>$A50="Overcrossing"</formula>
    </cfRule>
    <cfRule type="expression" dxfId="20867" priority="374">
      <formula>$A50="Overpass"</formula>
    </cfRule>
    <cfRule type="expression" dxfId="20866" priority="375">
      <formula>$A50="Station"</formula>
    </cfRule>
    <cfRule type="expression" dxfId="20865" priority="376">
      <formula>$A50="Overlap between sections"</formula>
    </cfRule>
  </conditionalFormatting>
  <conditionalFormatting sqref="U50 U56 U62 U68 U52 U58 U64 U70">
    <cfRule type="expression" dxfId="20864" priority="363">
      <formula>$M50="NON DEFINED"</formula>
    </cfRule>
    <cfRule type="expression" dxfId="20863" priority="364">
      <formula>$AZ50="N.D."</formula>
    </cfRule>
    <cfRule type="expression" dxfId="20862" priority="365">
      <formula>$AY50="N.D."</formula>
    </cfRule>
  </conditionalFormatting>
  <conditionalFormatting sqref="U50 U56 U62 U68 U52 U58 U64 U70">
    <cfRule type="expression" dxfId="20861" priority="352">
      <formula>$A50="Overhead Cable"</formula>
    </cfRule>
    <cfRule type="expression" dxfId="20860" priority="353">
      <formula>$A50="Level Crossing"</formula>
    </cfRule>
    <cfRule type="expression" dxfId="20859" priority="354">
      <formula>$A50="Neutral Section"</formula>
    </cfRule>
    <cfRule type="expression" dxfId="20858" priority="355">
      <formula>$A50="Tunnel"</formula>
    </cfRule>
    <cfRule type="expression" dxfId="20857" priority="356">
      <formula>$A50="Bridge"</formula>
    </cfRule>
    <cfRule type="expression" dxfId="20856" priority="357">
      <formula>$A50="Drainage Works"</formula>
    </cfRule>
    <cfRule type="expression" dxfId="20855" priority="358">
      <formula>$A50="Underpass"</formula>
    </cfRule>
    <cfRule type="expression" dxfId="20854" priority="359">
      <formula>$A50="Overcrossing"</formula>
    </cfRule>
    <cfRule type="expression" dxfId="20853" priority="360">
      <formula>$A50="Overpass"</formula>
    </cfRule>
    <cfRule type="expression" dxfId="20852" priority="361">
      <formula>$A50="Station"</formula>
    </cfRule>
    <cfRule type="expression" dxfId="20851" priority="362">
      <formula>$A50="Overlap between sections"</formula>
    </cfRule>
  </conditionalFormatting>
  <conditionalFormatting sqref="W50 W56 W62 W68 W52 W58 W64 W70 W54 W60 W66 W72">
    <cfRule type="expression" dxfId="20850" priority="349">
      <formula>$M50="NON DEFINED"</formula>
    </cfRule>
    <cfRule type="expression" dxfId="20849" priority="350">
      <formula>$AZ50="N.D."</formula>
    </cfRule>
    <cfRule type="expression" dxfId="20848" priority="351">
      <formula>$AY50="N.D."</formula>
    </cfRule>
  </conditionalFormatting>
  <conditionalFormatting sqref="W50 W56 W62 W68 W52 W58 W64 W70 W54 W60 W66 W72">
    <cfRule type="expression" dxfId="20847" priority="338">
      <formula>$A50="Overhead Cable"</formula>
    </cfRule>
    <cfRule type="expression" dxfId="20846" priority="339">
      <formula>$A50="Level Crossing"</formula>
    </cfRule>
    <cfRule type="expression" dxfId="20845" priority="340">
      <formula>$A50="Neutral Section"</formula>
    </cfRule>
    <cfRule type="expression" dxfId="20844" priority="341">
      <formula>$A50="Tunnel"</formula>
    </cfRule>
    <cfRule type="expression" dxfId="20843" priority="342">
      <formula>$A50="Bridge"</formula>
    </cfRule>
    <cfRule type="expression" dxfId="20842" priority="343">
      <formula>$A50="Drainage Works"</formula>
    </cfRule>
    <cfRule type="expression" dxfId="20841" priority="344">
      <formula>$A50="Underpass"</formula>
    </cfRule>
    <cfRule type="expression" dxfId="20840" priority="345">
      <formula>$A50="Overcrossing"</formula>
    </cfRule>
    <cfRule type="expression" dxfId="20839" priority="346">
      <formula>$A50="Overpass"</formula>
    </cfRule>
    <cfRule type="expression" dxfId="20838" priority="347">
      <formula>$A50="Station"</formula>
    </cfRule>
    <cfRule type="expression" dxfId="20837" priority="348">
      <formula>$A50="Overlap between sections"</formula>
    </cfRule>
  </conditionalFormatting>
  <conditionalFormatting sqref="X50 X56 X62 X68 X52 X58 X64 X70 X54 X60 X66 X72">
    <cfRule type="expression" dxfId="20836" priority="335">
      <formula>$M50="NON DEFINED"</formula>
    </cfRule>
    <cfRule type="expression" dxfId="20835" priority="336">
      <formula>$AZ50="N.D."</formula>
    </cfRule>
    <cfRule type="expression" dxfId="20834" priority="337">
      <formula>$AY50="N.D."</formula>
    </cfRule>
  </conditionalFormatting>
  <conditionalFormatting sqref="X50 X56 X62 X68 X52 X58 X64 X70 X54 X60 X66 X72">
    <cfRule type="expression" dxfId="20833" priority="324">
      <formula>$A50="Overhead Cable"</formula>
    </cfRule>
    <cfRule type="expression" dxfId="20832" priority="325">
      <formula>$A50="Level Crossing"</formula>
    </cfRule>
    <cfRule type="expression" dxfId="20831" priority="326">
      <formula>$A50="Neutral Section"</formula>
    </cfRule>
    <cfRule type="expression" dxfId="20830" priority="327">
      <formula>$A50="Tunnel"</formula>
    </cfRule>
    <cfRule type="expression" dxfId="20829" priority="328">
      <formula>$A50="Bridge"</formula>
    </cfRule>
    <cfRule type="expression" dxfId="20828" priority="329">
      <formula>$A50="Drainage Works"</formula>
    </cfRule>
    <cfRule type="expression" dxfId="20827" priority="330">
      <formula>$A50="Underpass"</formula>
    </cfRule>
    <cfRule type="expression" dxfId="20826" priority="331">
      <formula>$A50="Overcrossing"</formula>
    </cfRule>
    <cfRule type="expression" dxfId="20825" priority="332">
      <formula>$A50="Overpass"</formula>
    </cfRule>
    <cfRule type="expression" dxfId="20824" priority="333">
      <formula>$A50="Station"</formula>
    </cfRule>
    <cfRule type="expression" dxfId="20823" priority="334">
      <formula>$A50="Overlap between sections"</formula>
    </cfRule>
  </conditionalFormatting>
  <conditionalFormatting sqref="T51 T57 T63 T69 T74">
    <cfRule type="expression" dxfId="20822" priority="317">
      <formula>$M51="NON DEFINED"</formula>
    </cfRule>
    <cfRule type="expression" dxfId="20821" priority="318">
      <formula>$AZ51="N.D."</formula>
    </cfRule>
    <cfRule type="expression" dxfId="20820" priority="319">
      <formula>$AY51="N.D."</formula>
    </cfRule>
  </conditionalFormatting>
  <conditionalFormatting sqref="T51 T57 T63 T69 T74">
    <cfRule type="expression" dxfId="20819" priority="306">
      <formula>$A51="Overhead Cable"</formula>
    </cfRule>
    <cfRule type="expression" dxfId="20818" priority="307">
      <formula>$A51="Level Crossing"</formula>
    </cfRule>
    <cfRule type="expression" dxfId="20817" priority="308">
      <formula>$A51="Neutral Section"</formula>
    </cfRule>
    <cfRule type="expression" dxfId="20816" priority="309">
      <formula>$A51="Tunnel"</formula>
    </cfRule>
    <cfRule type="expression" dxfId="20815" priority="310">
      <formula>$A51="Bridge"</formula>
    </cfRule>
    <cfRule type="expression" dxfId="20814" priority="311">
      <formula>$A51="Drainage Works"</formula>
    </cfRule>
    <cfRule type="expression" dxfId="20813" priority="312">
      <formula>$A51="Underpass"</formula>
    </cfRule>
    <cfRule type="expression" dxfId="20812" priority="313">
      <formula>$A51="Overcrossing"</formula>
    </cfRule>
    <cfRule type="expression" dxfId="20811" priority="314">
      <formula>$A51="Overpass"</formula>
    </cfRule>
    <cfRule type="expression" dxfId="20810" priority="315">
      <formula>$A51="Station"</formula>
    </cfRule>
    <cfRule type="expression" dxfId="20809" priority="316">
      <formula>$A51="Overlap between sections"</formula>
    </cfRule>
  </conditionalFormatting>
  <conditionalFormatting sqref="U51 U57 U63 U69 U74">
    <cfRule type="expression" dxfId="20808" priority="303">
      <formula>$M51="NON DEFINED"</formula>
    </cfRule>
    <cfRule type="expression" dxfId="20807" priority="304">
      <formula>$AZ51="N.D."</formula>
    </cfRule>
    <cfRule type="expression" dxfId="20806" priority="305">
      <formula>$AY51="N.D."</formula>
    </cfRule>
  </conditionalFormatting>
  <conditionalFormatting sqref="U51 U57 U63 U69 U74">
    <cfRule type="expression" dxfId="20805" priority="292">
      <formula>$A51="Overhead Cable"</formula>
    </cfRule>
    <cfRule type="expression" dxfId="20804" priority="293">
      <formula>$A51="Level Crossing"</formula>
    </cfRule>
    <cfRule type="expression" dxfId="20803" priority="294">
      <formula>$A51="Neutral Section"</formula>
    </cfRule>
    <cfRule type="expression" dxfId="20802" priority="295">
      <formula>$A51="Tunnel"</formula>
    </cfRule>
    <cfRule type="expression" dxfId="20801" priority="296">
      <formula>$A51="Bridge"</formula>
    </cfRule>
    <cfRule type="expression" dxfId="20800" priority="297">
      <formula>$A51="Drainage Works"</formula>
    </cfRule>
    <cfRule type="expression" dxfId="20799" priority="298">
      <formula>$A51="Underpass"</formula>
    </cfRule>
    <cfRule type="expression" dxfId="20798" priority="299">
      <formula>$A51="Overcrossing"</formula>
    </cfRule>
    <cfRule type="expression" dxfId="20797" priority="300">
      <formula>$A51="Overpass"</formula>
    </cfRule>
    <cfRule type="expression" dxfId="20796" priority="301">
      <formula>$A51="Station"</formula>
    </cfRule>
    <cfRule type="expression" dxfId="20795" priority="302">
      <formula>$A51="Overlap between sections"</formula>
    </cfRule>
  </conditionalFormatting>
  <conditionalFormatting sqref="T53 T59 T71">
    <cfRule type="expression" dxfId="20794" priority="289">
      <formula>$M53="NON DEFINED"</formula>
    </cfRule>
    <cfRule type="expression" dxfId="20793" priority="290">
      <formula>$AZ53="N.D."</formula>
    </cfRule>
    <cfRule type="expression" dxfId="20792" priority="291">
      <formula>$AY53="N.D."</formula>
    </cfRule>
  </conditionalFormatting>
  <conditionalFormatting sqref="T53 T59 T71">
    <cfRule type="expression" dxfId="20791" priority="278">
      <formula>$A53="Overhead Cable"</formula>
    </cfRule>
    <cfRule type="expression" dxfId="20790" priority="279">
      <formula>$A53="Level Crossing"</formula>
    </cfRule>
    <cfRule type="expression" dxfId="20789" priority="280">
      <formula>$A53="Neutral Section"</formula>
    </cfRule>
    <cfRule type="expression" dxfId="20788" priority="281">
      <formula>$A53="Tunnel"</formula>
    </cfRule>
    <cfRule type="expression" dxfId="20787" priority="282">
      <formula>$A53="Bridge"</formula>
    </cfRule>
    <cfRule type="expression" dxfId="20786" priority="283">
      <formula>$A53="Drainage Works"</formula>
    </cfRule>
    <cfRule type="expression" dxfId="20785" priority="284">
      <formula>$A53="Underpass"</formula>
    </cfRule>
    <cfRule type="expression" dxfId="20784" priority="285">
      <formula>$A53="Overcrossing"</formula>
    </cfRule>
    <cfRule type="expression" dxfId="20783" priority="286">
      <formula>$A53="Overpass"</formula>
    </cfRule>
    <cfRule type="expression" dxfId="20782" priority="287">
      <formula>$A53="Station"</formula>
    </cfRule>
    <cfRule type="expression" dxfId="20781" priority="288">
      <formula>$A53="Overlap between sections"</formula>
    </cfRule>
  </conditionalFormatting>
  <conditionalFormatting sqref="U53 U59 U65 U71">
    <cfRule type="expression" dxfId="20780" priority="275">
      <formula>$M53="NON DEFINED"</formula>
    </cfRule>
    <cfRule type="expression" dxfId="20779" priority="276">
      <formula>$AZ53="N.D."</formula>
    </cfRule>
    <cfRule type="expression" dxfId="20778" priority="277">
      <formula>$AY53="N.D."</formula>
    </cfRule>
  </conditionalFormatting>
  <conditionalFormatting sqref="U53 U59 U65 U71">
    <cfRule type="expression" dxfId="20777" priority="264">
      <formula>$A53="Overhead Cable"</formula>
    </cfRule>
    <cfRule type="expression" dxfId="20776" priority="265">
      <formula>$A53="Level Crossing"</formula>
    </cfRule>
    <cfRule type="expression" dxfId="20775" priority="266">
      <formula>$A53="Neutral Section"</formula>
    </cfRule>
    <cfRule type="expression" dxfId="20774" priority="267">
      <formula>$A53="Tunnel"</formula>
    </cfRule>
    <cfRule type="expression" dxfId="20773" priority="268">
      <formula>$A53="Bridge"</formula>
    </cfRule>
    <cfRule type="expression" dxfId="20772" priority="269">
      <formula>$A53="Drainage Works"</formula>
    </cfRule>
    <cfRule type="expression" dxfId="20771" priority="270">
      <formula>$A53="Underpass"</formula>
    </cfRule>
    <cfRule type="expression" dxfId="20770" priority="271">
      <formula>$A53="Overcrossing"</formula>
    </cfRule>
    <cfRule type="expression" dxfId="20769" priority="272">
      <formula>$A53="Overpass"</formula>
    </cfRule>
    <cfRule type="expression" dxfId="20768" priority="273">
      <formula>$A53="Station"</formula>
    </cfRule>
    <cfRule type="expression" dxfId="20767" priority="274">
      <formula>$A53="Overlap between sections"</formula>
    </cfRule>
  </conditionalFormatting>
  <conditionalFormatting sqref="W51 W57 W63 W74">
    <cfRule type="expression" dxfId="20766" priority="261">
      <formula>$M51="NON DEFINED"</formula>
    </cfRule>
    <cfRule type="expression" dxfId="20765" priority="262">
      <formula>$AZ51="N.D."</formula>
    </cfRule>
    <cfRule type="expression" dxfId="20764" priority="263">
      <formula>$AY51="N.D."</formula>
    </cfRule>
  </conditionalFormatting>
  <conditionalFormatting sqref="W51 W57 W63 W74">
    <cfRule type="expression" dxfId="20763" priority="250">
      <formula>$A51="Overhead Cable"</formula>
    </cfRule>
    <cfRule type="expression" dxfId="20762" priority="251">
      <formula>$A51="Level Crossing"</formula>
    </cfRule>
    <cfRule type="expression" dxfId="20761" priority="252">
      <formula>$A51="Neutral Section"</formula>
    </cfRule>
    <cfRule type="expression" dxfId="20760" priority="253">
      <formula>$A51="Tunnel"</formula>
    </cfRule>
    <cfRule type="expression" dxfId="20759" priority="254">
      <formula>$A51="Bridge"</formula>
    </cfRule>
    <cfRule type="expression" dxfId="20758" priority="255">
      <formula>$A51="Drainage Works"</formula>
    </cfRule>
    <cfRule type="expression" dxfId="20757" priority="256">
      <formula>$A51="Underpass"</formula>
    </cfRule>
    <cfRule type="expression" dxfId="20756" priority="257">
      <formula>$A51="Overcrossing"</formula>
    </cfRule>
    <cfRule type="expression" dxfId="20755" priority="258">
      <formula>$A51="Overpass"</formula>
    </cfRule>
    <cfRule type="expression" dxfId="20754" priority="259">
      <formula>$A51="Station"</formula>
    </cfRule>
    <cfRule type="expression" dxfId="20753" priority="260">
      <formula>$A51="Overlap between sections"</formula>
    </cfRule>
  </conditionalFormatting>
  <conditionalFormatting sqref="X51 X57 X63 X74">
    <cfRule type="expression" dxfId="20752" priority="247">
      <formula>$M51="NON DEFINED"</formula>
    </cfRule>
    <cfRule type="expression" dxfId="20751" priority="248">
      <formula>$AZ51="N.D."</formula>
    </cfRule>
    <cfRule type="expression" dxfId="20750" priority="249">
      <formula>$AY51="N.D."</formula>
    </cfRule>
  </conditionalFormatting>
  <conditionalFormatting sqref="X51 X57 X63 X74">
    <cfRule type="expression" dxfId="20749" priority="236">
      <formula>$A51="Overhead Cable"</formula>
    </cfRule>
    <cfRule type="expression" dxfId="20748" priority="237">
      <formula>$A51="Level Crossing"</formula>
    </cfRule>
    <cfRule type="expression" dxfId="20747" priority="238">
      <formula>$A51="Neutral Section"</formula>
    </cfRule>
    <cfRule type="expression" dxfId="20746" priority="239">
      <formula>$A51="Tunnel"</formula>
    </cfRule>
    <cfRule type="expression" dxfId="20745" priority="240">
      <formula>$A51="Bridge"</formula>
    </cfRule>
    <cfRule type="expression" dxfId="20744" priority="241">
      <formula>$A51="Drainage Works"</formula>
    </cfRule>
    <cfRule type="expression" dxfId="20743" priority="242">
      <formula>$A51="Underpass"</formula>
    </cfRule>
    <cfRule type="expression" dxfId="20742" priority="243">
      <formula>$A51="Overcrossing"</formula>
    </cfRule>
    <cfRule type="expression" dxfId="20741" priority="244">
      <formula>$A51="Overpass"</formula>
    </cfRule>
    <cfRule type="expression" dxfId="20740" priority="245">
      <formula>$A51="Station"</formula>
    </cfRule>
    <cfRule type="expression" dxfId="20739" priority="246">
      <formula>$A51="Overlap between sections"</formula>
    </cfRule>
  </conditionalFormatting>
  <conditionalFormatting sqref="W53 W59 W65 W71">
    <cfRule type="expression" dxfId="20738" priority="233">
      <formula>$M53="NON DEFINED"</formula>
    </cfRule>
    <cfRule type="expression" dxfId="20737" priority="234">
      <formula>$AZ53="N.D."</formula>
    </cfRule>
    <cfRule type="expression" dxfId="20736" priority="235">
      <formula>$AY53="N.D."</formula>
    </cfRule>
  </conditionalFormatting>
  <conditionalFormatting sqref="W53 W59 W65 W71">
    <cfRule type="expression" dxfId="20735" priority="222">
      <formula>$A53="Overhead Cable"</formula>
    </cfRule>
    <cfRule type="expression" dxfId="20734" priority="223">
      <formula>$A53="Level Crossing"</formula>
    </cfRule>
    <cfRule type="expression" dxfId="20733" priority="224">
      <formula>$A53="Neutral Section"</formula>
    </cfRule>
    <cfRule type="expression" dxfId="20732" priority="225">
      <formula>$A53="Tunnel"</formula>
    </cfRule>
    <cfRule type="expression" dxfId="20731" priority="226">
      <formula>$A53="Bridge"</formula>
    </cfRule>
    <cfRule type="expression" dxfId="20730" priority="227">
      <formula>$A53="Drainage Works"</formula>
    </cfRule>
    <cfRule type="expression" dxfId="20729" priority="228">
      <formula>$A53="Underpass"</formula>
    </cfRule>
    <cfRule type="expression" dxfId="20728" priority="229">
      <formula>$A53="Overcrossing"</formula>
    </cfRule>
    <cfRule type="expression" dxfId="20727" priority="230">
      <formula>$A53="Overpass"</formula>
    </cfRule>
    <cfRule type="expression" dxfId="20726" priority="231">
      <formula>$A53="Station"</formula>
    </cfRule>
    <cfRule type="expression" dxfId="20725" priority="232">
      <formula>$A53="Overlap between sections"</formula>
    </cfRule>
  </conditionalFormatting>
  <conditionalFormatting sqref="X53 X59 X65 X71">
    <cfRule type="expression" dxfId="20724" priority="219">
      <formula>$M53="NON DEFINED"</formula>
    </cfRule>
    <cfRule type="expression" dxfId="20723" priority="220">
      <formula>$AZ53="N.D."</formula>
    </cfRule>
    <cfRule type="expression" dxfId="20722" priority="221">
      <formula>$AY53="N.D."</formula>
    </cfRule>
  </conditionalFormatting>
  <conditionalFormatting sqref="X53 X59 X65 X71">
    <cfRule type="expression" dxfId="20721" priority="208">
      <formula>$A53="Overhead Cable"</formula>
    </cfRule>
    <cfRule type="expression" dxfId="20720" priority="209">
      <formula>$A53="Level Crossing"</formula>
    </cfRule>
    <cfRule type="expression" dxfId="20719" priority="210">
      <formula>$A53="Neutral Section"</formula>
    </cfRule>
    <cfRule type="expression" dxfId="20718" priority="211">
      <formula>$A53="Tunnel"</formula>
    </cfRule>
    <cfRule type="expression" dxfId="20717" priority="212">
      <formula>$A53="Bridge"</formula>
    </cfRule>
    <cfRule type="expression" dxfId="20716" priority="213">
      <formula>$A53="Drainage Works"</formula>
    </cfRule>
    <cfRule type="expression" dxfId="20715" priority="214">
      <formula>$A53="Underpass"</formula>
    </cfRule>
    <cfRule type="expression" dxfId="20714" priority="215">
      <formula>$A53="Overcrossing"</formula>
    </cfRule>
    <cfRule type="expression" dxfId="20713" priority="216">
      <formula>$A53="Overpass"</formula>
    </cfRule>
    <cfRule type="expression" dxfId="20712" priority="217">
      <formula>$A53="Station"</formula>
    </cfRule>
    <cfRule type="expression" dxfId="20711" priority="218">
      <formula>$A53="Overlap between sections"</formula>
    </cfRule>
  </conditionalFormatting>
  <conditionalFormatting sqref="W55 W61 W67">
    <cfRule type="expression" dxfId="20710" priority="205">
      <formula>$M55="NON DEFINED"</formula>
    </cfRule>
    <cfRule type="expression" dxfId="20709" priority="206">
      <formula>$AZ55="N.D."</formula>
    </cfRule>
    <cfRule type="expression" dxfId="20708" priority="207">
      <formula>$AY55="N.D."</formula>
    </cfRule>
  </conditionalFormatting>
  <conditionalFormatting sqref="W55 W61 W67">
    <cfRule type="expression" dxfId="20707" priority="194">
      <formula>$A55="Overhead Cable"</formula>
    </cfRule>
    <cfRule type="expression" dxfId="20706" priority="195">
      <formula>$A55="Level Crossing"</formula>
    </cfRule>
    <cfRule type="expression" dxfId="20705" priority="196">
      <formula>$A55="Neutral Section"</formula>
    </cfRule>
    <cfRule type="expression" dxfId="20704" priority="197">
      <formula>$A55="Tunnel"</formula>
    </cfRule>
    <cfRule type="expression" dxfId="20703" priority="198">
      <formula>$A55="Bridge"</formula>
    </cfRule>
    <cfRule type="expression" dxfId="20702" priority="199">
      <formula>$A55="Drainage Works"</formula>
    </cfRule>
    <cfRule type="expression" dxfId="20701" priority="200">
      <formula>$A55="Underpass"</formula>
    </cfRule>
    <cfRule type="expression" dxfId="20700" priority="201">
      <formula>$A55="Overcrossing"</formula>
    </cfRule>
    <cfRule type="expression" dxfId="20699" priority="202">
      <formula>$A55="Overpass"</formula>
    </cfRule>
    <cfRule type="expression" dxfId="20698" priority="203">
      <formula>$A55="Station"</formula>
    </cfRule>
    <cfRule type="expression" dxfId="20697" priority="204">
      <formula>$A55="Overlap between sections"</formula>
    </cfRule>
  </conditionalFormatting>
  <conditionalFormatting sqref="X55 X61 X67">
    <cfRule type="expression" dxfId="20696" priority="191">
      <formula>$M55="NON DEFINED"</formula>
    </cfRule>
    <cfRule type="expression" dxfId="20695" priority="192">
      <formula>$AZ55="N.D."</formula>
    </cfRule>
    <cfRule type="expression" dxfId="20694" priority="193">
      <formula>$AY55="N.D."</formula>
    </cfRule>
  </conditionalFormatting>
  <conditionalFormatting sqref="X55 X61 X67">
    <cfRule type="expression" dxfId="20693" priority="180">
      <formula>$A55="Overhead Cable"</formula>
    </cfRule>
    <cfRule type="expression" dxfId="20692" priority="181">
      <formula>$A55="Level Crossing"</formula>
    </cfRule>
    <cfRule type="expression" dxfId="20691" priority="182">
      <formula>$A55="Neutral Section"</formula>
    </cfRule>
    <cfRule type="expression" dxfId="20690" priority="183">
      <formula>$A55="Tunnel"</formula>
    </cfRule>
    <cfRule type="expression" dxfId="20689" priority="184">
      <formula>$A55="Bridge"</formula>
    </cfRule>
    <cfRule type="expression" dxfId="20688" priority="185">
      <formula>$A55="Drainage Works"</formula>
    </cfRule>
    <cfRule type="expression" dxfId="20687" priority="186">
      <formula>$A55="Underpass"</formula>
    </cfRule>
    <cfRule type="expression" dxfId="20686" priority="187">
      <formula>$A55="Overcrossing"</formula>
    </cfRule>
    <cfRule type="expression" dxfId="20685" priority="188">
      <formula>$A55="Overpass"</formula>
    </cfRule>
    <cfRule type="expression" dxfId="20684" priority="189">
      <formula>$A55="Station"</formula>
    </cfRule>
    <cfRule type="expression" dxfId="20683" priority="190">
      <formula>$A55="Overlap between sections"</formula>
    </cfRule>
  </conditionalFormatting>
  <conditionalFormatting sqref="O51 O57 O63 O69 O74">
    <cfRule type="expression" dxfId="20682" priority="177">
      <formula>$M51="NON DEFINED"</formula>
    </cfRule>
    <cfRule type="expression" dxfId="20681" priority="178">
      <formula>$AZ51="N.D."</formula>
    </cfRule>
    <cfRule type="expression" dxfId="20680" priority="179">
      <formula>$AY51="N.D."</formula>
    </cfRule>
  </conditionalFormatting>
  <conditionalFormatting sqref="O51 O57 O63 O69 O74">
    <cfRule type="expression" dxfId="20679" priority="166">
      <formula>$A51="Overhead Cable"</formula>
    </cfRule>
    <cfRule type="expression" dxfId="20678" priority="167">
      <formula>$A51="Level Crossing"</formula>
    </cfRule>
    <cfRule type="expression" dxfId="20677" priority="168">
      <formula>$A51="Neutral Section"</formula>
    </cfRule>
    <cfRule type="expression" dxfId="20676" priority="169">
      <formula>$A51="Tunnel"</formula>
    </cfRule>
    <cfRule type="expression" dxfId="20675" priority="170">
      <formula>$A51="Bridge"</formula>
    </cfRule>
    <cfRule type="expression" dxfId="20674" priority="171">
      <formula>$A51="Drainage Works"</formula>
    </cfRule>
    <cfRule type="expression" dxfId="20673" priority="172">
      <formula>$A51="Underpass"</formula>
    </cfRule>
    <cfRule type="expression" dxfId="20672" priority="173">
      <formula>$A51="Overcrossing"</formula>
    </cfRule>
    <cfRule type="expression" dxfId="20671" priority="174">
      <formula>$A51="Overpass"</formula>
    </cfRule>
    <cfRule type="expression" dxfId="20670" priority="175">
      <formula>$A51="Station"</formula>
    </cfRule>
    <cfRule type="expression" dxfId="20669" priority="176">
      <formula>$A51="Overlap between sections"</formula>
    </cfRule>
  </conditionalFormatting>
  <conditionalFormatting sqref="N53 N59 N71">
    <cfRule type="expression" dxfId="20668" priority="163">
      <formula>$M53="NON DEFINED"</formula>
    </cfRule>
    <cfRule type="expression" dxfId="20667" priority="164">
      <formula>$AZ53="N.D."</formula>
    </cfRule>
    <cfRule type="expression" dxfId="20666" priority="165">
      <formula>$AY53="N.D."</formula>
    </cfRule>
  </conditionalFormatting>
  <conditionalFormatting sqref="N53 N59 N71">
    <cfRule type="expression" dxfId="20665" priority="152">
      <formula>$A53="Overhead Cable"</formula>
    </cfRule>
    <cfRule type="expression" dxfId="20664" priority="153">
      <formula>$A53="Level Crossing"</formula>
    </cfRule>
    <cfRule type="expression" dxfId="20663" priority="154">
      <formula>$A53="Neutral Section"</formula>
    </cfRule>
    <cfRule type="expression" dxfId="20662" priority="155">
      <formula>$A53="Tunnel"</formula>
    </cfRule>
    <cfRule type="expression" dxfId="20661" priority="156">
      <formula>$A53="Bridge"</formula>
    </cfRule>
    <cfRule type="expression" dxfId="20660" priority="157">
      <formula>$A53="Drainage Works"</formula>
    </cfRule>
    <cfRule type="expression" dxfId="20659" priority="158">
      <formula>$A53="Underpass"</formula>
    </cfRule>
    <cfRule type="expression" dxfId="20658" priority="159">
      <formula>$A53="Overcrossing"</formula>
    </cfRule>
    <cfRule type="expression" dxfId="20657" priority="160">
      <formula>$A53="Overpass"</formula>
    </cfRule>
    <cfRule type="expression" dxfId="20656" priority="161">
      <formula>$A53="Station"</formula>
    </cfRule>
    <cfRule type="expression" dxfId="20655" priority="162">
      <formula>$A53="Overlap between sections"</formula>
    </cfRule>
  </conditionalFormatting>
  <conditionalFormatting sqref="O53 O59 O65 O71">
    <cfRule type="expression" dxfId="20654" priority="149">
      <formula>$M53="NON DEFINED"</formula>
    </cfRule>
    <cfRule type="expression" dxfId="20653" priority="150">
      <formula>$AZ53="N.D."</formula>
    </cfRule>
    <cfRule type="expression" dxfId="20652" priority="151">
      <formula>$AY53="N.D."</formula>
    </cfRule>
  </conditionalFormatting>
  <conditionalFormatting sqref="O53 O59 O65 O71">
    <cfRule type="expression" dxfId="20651" priority="138">
      <formula>$A53="Overhead Cable"</formula>
    </cfRule>
    <cfRule type="expression" dxfId="20650" priority="139">
      <formula>$A53="Level Crossing"</formula>
    </cfRule>
    <cfRule type="expression" dxfId="20649" priority="140">
      <formula>$A53="Neutral Section"</formula>
    </cfRule>
    <cfRule type="expression" dxfId="20648" priority="141">
      <formula>$A53="Tunnel"</formula>
    </cfRule>
    <cfRule type="expression" dxfId="20647" priority="142">
      <formula>$A53="Bridge"</formula>
    </cfRule>
    <cfRule type="expression" dxfId="20646" priority="143">
      <formula>$A53="Drainage Works"</formula>
    </cfRule>
    <cfRule type="expression" dxfId="20645" priority="144">
      <formula>$A53="Underpass"</formula>
    </cfRule>
    <cfRule type="expression" dxfId="20644" priority="145">
      <formula>$A53="Overcrossing"</formula>
    </cfRule>
    <cfRule type="expression" dxfId="20643" priority="146">
      <formula>$A53="Overpass"</formula>
    </cfRule>
    <cfRule type="expression" dxfId="20642" priority="147">
      <formula>$A53="Station"</formula>
    </cfRule>
    <cfRule type="expression" dxfId="20641" priority="148">
      <formula>$A53="Overlap between sections"</formula>
    </cfRule>
  </conditionalFormatting>
  <conditionalFormatting sqref="AC53 AC59 AC65 AC71">
    <cfRule type="expression" dxfId="20640" priority="135">
      <formula>$M53="NON DEFINED"</formula>
    </cfRule>
    <cfRule type="expression" dxfId="20639" priority="136">
      <formula>$AZ53="N.D."</formula>
    </cfRule>
    <cfRule type="expression" dxfId="20638" priority="137">
      <formula>$AY53="N.D."</formula>
    </cfRule>
  </conditionalFormatting>
  <conditionalFormatting sqref="AC53 AC59 AC65 AC71">
    <cfRule type="expression" dxfId="20637" priority="124">
      <formula>$A53="Overhead Cable"</formula>
    </cfRule>
    <cfRule type="expression" dxfId="20636" priority="125">
      <formula>$A53="Level Crossing"</formula>
    </cfRule>
    <cfRule type="expression" dxfId="20635" priority="126">
      <formula>$A53="Neutral Section"</formula>
    </cfRule>
    <cfRule type="expression" dxfId="20634" priority="127">
      <formula>$A53="Tunnel"</formula>
    </cfRule>
    <cfRule type="expression" dxfId="20633" priority="128">
      <formula>$A53="Bridge"</formula>
    </cfRule>
    <cfRule type="expression" dxfId="20632" priority="129">
      <formula>$A53="Drainage Works"</formula>
    </cfRule>
    <cfRule type="expression" dxfId="20631" priority="130">
      <formula>$A53="Underpass"</formula>
    </cfRule>
    <cfRule type="expression" dxfId="20630" priority="131">
      <formula>$A53="Overcrossing"</formula>
    </cfRule>
    <cfRule type="expression" dxfId="20629" priority="132">
      <formula>$A53="Overpass"</formula>
    </cfRule>
    <cfRule type="expression" dxfId="20628" priority="133">
      <formula>$A53="Station"</formula>
    </cfRule>
    <cfRule type="expression" dxfId="20627" priority="134">
      <formula>$A53="Overlap between sections"</formula>
    </cfRule>
  </conditionalFormatting>
  <conditionalFormatting sqref="AD53 AD59 AD65 AD71">
    <cfRule type="expression" dxfId="20626" priority="121">
      <formula>$M53="NON DEFINED"</formula>
    </cfRule>
    <cfRule type="expression" dxfId="20625" priority="122">
      <formula>$AZ53="N.D."</formula>
    </cfRule>
    <cfRule type="expression" dxfId="20624" priority="123">
      <formula>$AY53="N.D."</formula>
    </cfRule>
  </conditionalFormatting>
  <conditionalFormatting sqref="AD53 AD59 AD65 AD71">
    <cfRule type="expression" dxfId="20623" priority="110">
      <formula>$A53="Overhead Cable"</formula>
    </cfRule>
    <cfRule type="expression" dxfId="20622" priority="111">
      <formula>$A53="Level Crossing"</formula>
    </cfRule>
    <cfRule type="expression" dxfId="20621" priority="112">
      <formula>$A53="Neutral Section"</formula>
    </cfRule>
    <cfRule type="expression" dxfId="20620" priority="113">
      <formula>$A53="Tunnel"</formula>
    </cfRule>
    <cfRule type="expression" dxfId="20619" priority="114">
      <formula>$A53="Bridge"</formula>
    </cfRule>
    <cfRule type="expression" dxfId="20618" priority="115">
      <formula>$A53="Drainage Works"</formula>
    </cfRule>
    <cfRule type="expression" dxfId="20617" priority="116">
      <formula>$A53="Underpass"</formula>
    </cfRule>
    <cfRule type="expression" dxfId="20616" priority="117">
      <formula>$A53="Overcrossing"</formula>
    </cfRule>
    <cfRule type="expression" dxfId="20615" priority="118">
      <formula>$A53="Overpass"</formula>
    </cfRule>
    <cfRule type="expression" dxfId="20614" priority="119">
      <formula>$A53="Station"</formula>
    </cfRule>
    <cfRule type="expression" dxfId="20613" priority="120">
      <formula>$A53="Overlap between sections"</formula>
    </cfRule>
  </conditionalFormatting>
  <conditionalFormatting sqref="A54">
    <cfRule type="expression" dxfId="20612" priority="85">
      <formula>$A54="Overhead Cable"</formula>
    </cfRule>
    <cfRule type="expression" dxfId="20611" priority="86">
      <formula>$A54="Level Crossing"</formula>
    </cfRule>
    <cfRule type="expression" dxfId="20610" priority="87">
      <formula>$A54="Neutral Section"</formula>
    </cfRule>
    <cfRule type="expression" dxfId="20609" priority="88">
      <formula>$A54="Tunnel"</formula>
    </cfRule>
    <cfRule type="expression" dxfId="20608" priority="89">
      <formula>$A54="Bridge"</formula>
    </cfRule>
    <cfRule type="expression" dxfId="20607" priority="90">
      <formula>$A54="Drainage Works"</formula>
    </cfRule>
    <cfRule type="expression" dxfId="20606" priority="91">
      <formula>$A54="Underpass"</formula>
    </cfRule>
    <cfRule type="expression" dxfId="20605" priority="92">
      <formula>$A54="Overcrossing"</formula>
    </cfRule>
    <cfRule type="expression" dxfId="20604" priority="93">
      <formula>$A54="Overpass"</formula>
    </cfRule>
    <cfRule type="expression" dxfId="20603" priority="94">
      <formula>$A54="Station"</formula>
    </cfRule>
    <cfRule type="expression" dxfId="20602" priority="95">
      <formula>$A54="Overlap between sections"</formula>
    </cfRule>
  </conditionalFormatting>
  <conditionalFormatting sqref="N17:W17">
    <cfRule type="expression" dxfId="20601" priority="82">
      <formula>$M17="NON DEFINED"</formula>
    </cfRule>
    <cfRule type="expression" dxfId="20600" priority="83">
      <formula>$AZ17="N.D."</formula>
    </cfRule>
    <cfRule type="expression" dxfId="20599" priority="84">
      <formula>$AY17="N.D."</formula>
    </cfRule>
  </conditionalFormatting>
  <conditionalFormatting sqref="N17:W17">
    <cfRule type="expression" dxfId="20598" priority="71">
      <formula>$A17="Overhead Cable"</formula>
    </cfRule>
    <cfRule type="expression" dxfId="20597" priority="72">
      <formula>$A17="Level Crossing"</formula>
    </cfRule>
    <cfRule type="expression" dxfId="20596" priority="73">
      <formula>$A17="Neutral Section"</formula>
    </cfRule>
    <cfRule type="expression" dxfId="20595" priority="74">
      <formula>$A17="Tunnel"</formula>
    </cfRule>
    <cfRule type="expression" dxfId="20594" priority="75">
      <formula>$A17="Bridge"</formula>
    </cfRule>
    <cfRule type="expression" dxfId="20593" priority="76">
      <formula>$A17="Drainage Works"</formula>
    </cfRule>
    <cfRule type="expression" dxfId="20592" priority="77">
      <formula>$A17="Underpass"</formula>
    </cfRule>
    <cfRule type="expression" dxfId="20591" priority="78">
      <formula>$A17="Overcrossing"</formula>
    </cfRule>
    <cfRule type="expression" dxfId="20590" priority="79">
      <formula>$A17="Overpass"</formula>
    </cfRule>
    <cfRule type="expression" dxfId="20589" priority="80">
      <formula>$A17="Station"</formula>
    </cfRule>
    <cfRule type="expression" dxfId="20588" priority="81">
      <formula>$A17="Overlap between sections"</formula>
    </cfRule>
  </conditionalFormatting>
  <conditionalFormatting sqref="O67">
    <cfRule type="expression" dxfId="20587" priority="68">
      <formula>$M67="NON DEFINED"</formula>
    </cfRule>
    <cfRule type="expression" dxfId="20586" priority="69">
      <formula>$AZ67="N.D."</formula>
    </cfRule>
    <cfRule type="expression" dxfId="20585" priority="70">
      <formula>$AY67="N.D."</formula>
    </cfRule>
  </conditionalFormatting>
  <conditionalFormatting sqref="O67">
    <cfRule type="expression" dxfId="20584" priority="57">
      <formula>$A67="Overhead Cable"</formula>
    </cfRule>
    <cfRule type="expression" dxfId="20583" priority="58">
      <formula>$A67="Level Crossing"</formula>
    </cfRule>
    <cfRule type="expression" dxfId="20582" priority="59">
      <formula>$A67="Neutral Section"</formula>
    </cfRule>
    <cfRule type="expression" dxfId="20581" priority="60">
      <formula>$A67="Tunnel"</formula>
    </cfRule>
    <cfRule type="expression" dxfId="20580" priority="61">
      <formula>$A67="Bridge"</formula>
    </cfRule>
    <cfRule type="expression" dxfId="20579" priority="62">
      <formula>$A67="Drainage Works"</formula>
    </cfRule>
    <cfRule type="expression" dxfId="20578" priority="63">
      <formula>$A67="Underpass"</formula>
    </cfRule>
    <cfRule type="expression" dxfId="20577" priority="64">
      <formula>$A67="Overcrossing"</formula>
    </cfRule>
    <cfRule type="expression" dxfId="20576" priority="65">
      <formula>$A67="Overpass"</formula>
    </cfRule>
    <cfRule type="expression" dxfId="20575" priority="66">
      <formula>$A67="Station"</formula>
    </cfRule>
    <cfRule type="expression" dxfId="20574" priority="67">
      <formula>$A67="Overlap between sections"</formula>
    </cfRule>
  </conditionalFormatting>
  <conditionalFormatting sqref="N65">
    <cfRule type="expression" dxfId="20573" priority="54">
      <formula>$M65="NON DEFINED"</formula>
    </cfRule>
    <cfRule type="expression" dxfId="20572" priority="55">
      <formula>$AZ65="N.D."</formula>
    </cfRule>
    <cfRule type="expression" dxfId="20571" priority="56">
      <formula>$AY65="N.D."</formula>
    </cfRule>
  </conditionalFormatting>
  <conditionalFormatting sqref="N65">
    <cfRule type="expression" dxfId="20570" priority="43">
      <formula>$A65="Overhead Cable"</formula>
    </cfRule>
    <cfRule type="expression" dxfId="20569" priority="44">
      <formula>$A65="Level Crossing"</formula>
    </cfRule>
    <cfRule type="expression" dxfId="20568" priority="45">
      <formula>$A65="Neutral Section"</formula>
    </cfRule>
    <cfRule type="expression" dxfId="20567" priority="46">
      <formula>$A65="Tunnel"</formula>
    </cfRule>
    <cfRule type="expression" dxfId="20566" priority="47">
      <formula>$A65="Bridge"</formula>
    </cfRule>
    <cfRule type="expression" dxfId="20565" priority="48">
      <formula>$A65="Drainage Works"</formula>
    </cfRule>
    <cfRule type="expression" dxfId="20564" priority="49">
      <formula>$A65="Underpass"</formula>
    </cfRule>
    <cfRule type="expression" dxfId="20563" priority="50">
      <formula>$A65="Overcrossing"</formula>
    </cfRule>
    <cfRule type="expression" dxfId="20562" priority="51">
      <formula>$A65="Overpass"</formula>
    </cfRule>
    <cfRule type="expression" dxfId="20561" priority="52">
      <formula>$A65="Station"</formula>
    </cfRule>
    <cfRule type="expression" dxfId="20560" priority="53">
      <formula>$A65="Overlap between sections"</formula>
    </cfRule>
  </conditionalFormatting>
  <conditionalFormatting sqref="T65">
    <cfRule type="expression" dxfId="20559" priority="40">
      <formula>$M65="NON DEFINED"</formula>
    </cfRule>
    <cfRule type="expression" dxfId="20558" priority="41">
      <formula>$AZ65="N.D."</formula>
    </cfRule>
    <cfRule type="expression" dxfId="20557" priority="42">
      <formula>$AY65="N.D."</formula>
    </cfRule>
  </conditionalFormatting>
  <conditionalFormatting sqref="T65">
    <cfRule type="expression" dxfId="20556" priority="29">
      <formula>$A65="Overhead Cable"</formula>
    </cfRule>
    <cfRule type="expression" dxfId="20555" priority="30">
      <formula>$A65="Level Crossing"</formula>
    </cfRule>
    <cfRule type="expression" dxfId="20554" priority="31">
      <formula>$A65="Neutral Section"</formula>
    </cfRule>
    <cfRule type="expression" dxfId="20553" priority="32">
      <formula>$A65="Tunnel"</formula>
    </cfRule>
    <cfRule type="expression" dxfId="20552" priority="33">
      <formula>$A65="Bridge"</formula>
    </cfRule>
    <cfRule type="expression" dxfId="20551" priority="34">
      <formula>$A65="Drainage Works"</formula>
    </cfRule>
    <cfRule type="expression" dxfId="20550" priority="35">
      <formula>$A65="Underpass"</formula>
    </cfRule>
    <cfRule type="expression" dxfId="20549" priority="36">
      <formula>$A65="Overcrossing"</formula>
    </cfRule>
    <cfRule type="expression" dxfId="20548" priority="37">
      <formula>$A65="Overpass"</formula>
    </cfRule>
    <cfRule type="expression" dxfId="20547" priority="38">
      <formula>$A65="Station"</formula>
    </cfRule>
    <cfRule type="expression" dxfId="20546" priority="39">
      <formula>$A65="Overlap between sections"</formula>
    </cfRule>
  </conditionalFormatting>
  <conditionalFormatting sqref="W69">
    <cfRule type="expression" dxfId="20545" priority="26">
      <formula>$M69="NON DEFINED"</formula>
    </cfRule>
    <cfRule type="expression" dxfId="20544" priority="27">
      <formula>$AZ69="N.D."</formula>
    </cfRule>
    <cfRule type="expression" dxfId="20543" priority="28">
      <formula>$AY69="N.D."</formula>
    </cfRule>
  </conditionalFormatting>
  <conditionalFormatting sqref="W69">
    <cfRule type="expression" dxfId="20542" priority="15">
      <formula>$A69="Overhead Cable"</formula>
    </cfRule>
    <cfRule type="expression" dxfId="20541" priority="16">
      <formula>$A69="Level Crossing"</formula>
    </cfRule>
    <cfRule type="expression" dxfId="20540" priority="17">
      <formula>$A69="Neutral Section"</formula>
    </cfRule>
    <cfRule type="expression" dxfId="20539" priority="18">
      <formula>$A69="Tunnel"</formula>
    </cfRule>
    <cfRule type="expression" dxfId="20538" priority="19">
      <formula>$A69="Bridge"</formula>
    </cfRule>
    <cfRule type="expression" dxfId="20537" priority="20">
      <formula>$A69="Drainage Works"</formula>
    </cfRule>
    <cfRule type="expression" dxfId="20536" priority="21">
      <formula>$A69="Underpass"</formula>
    </cfRule>
    <cfRule type="expression" dxfId="20535" priority="22">
      <formula>$A69="Overcrossing"</formula>
    </cfRule>
    <cfRule type="expression" dxfId="20534" priority="23">
      <formula>$A69="Overpass"</formula>
    </cfRule>
    <cfRule type="expression" dxfId="20533" priority="24">
      <formula>$A69="Station"</formula>
    </cfRule>
    <cfRule type="expression" dxfId="20532" priority="25">
      <formula>$A69="Overlap between sections"</formula>
    </cfRule>
  </conditionalFormatting>
  <conditionalFormatting sqref="X69">
    <cfRule type="expression" dxfId="20531" priority="12">
      <formula>$M69="NON DEFINED"</formula>
    </cfRule>
    <cfRule type="expression" dxfId="20530" priority="13">
      <formula>$AZ69="N.D."</formula>
    </cfRule>
    <cfRule type="expression" dxfId="20529" priority="14">
      <formula>$AY69="N.D."</formula>
    </cfRule>
  </conditionalFormatting>
  <conditionalFormatting sqref="X69">
    <cfRule type="expression" dxfId="20528" priority="1">
      <formula>$A69="Overhead Cable"</formula>
    </cfRule>
    <cfRule type="expression" dxfId="20527" priority="2">
      <formula>$A69="Level Crossing"</formula>
    </cfRule>
    <cfRule type="expression" dxfId="20526" priority="3">
      <formula>$A69="Neutral Section"</formula>
    </cfRule>
    <cfRule type="expression" dxfId="20525" priority="4">
      <formula>$A69="Tunnel"</formula>
    </cfRule>
    <cfRule type="expression" dxfId="20524" priority="5">
      <formula>$A69="Bridge"</formula>
    </cfRule>
    <cfRule type="expression" dxfId="20523" priority="6">
      <formula>$A69="Drainage Works"</formula>
    </cfRule>
    <cfRule type="expression" dxfId="20522" priority="7">
      <formula>$A69="Underpass"</formula>
    </cfRule>
    <cfRule type="expression" dxfId="20521" priority="8">
      <formula>$A69="Overcrossing"</formula>
    </cfRule>
    <cfRule type="expression" dxfId="20520" priority="9">
      <formula>$A69="Overpass"</formula>
    </cfRule>
    <cfRule type="expression" dxfId="20519" priority="10">
      <formula>$A69="Station"</formula>
    </cfRule>
    <cfRule type="expression" dxfId="20518" priority="11">
      <formula>$A69="Overlap between sections"</formula>
    </cfRule>
  </conditionalFormatting>
  <printOptions horizontalCentered="1" gridLines="1"/>
  <pageMargins left="0.39370078740157483" right="0.39370078740157483" top="0.78740157480314965" bottom="0.78740157480314965" header="0.31496062992125984" footer="0.31496062992125984"/>
  <pageSetup paperSize="9" scale="52" fitToHeight="0" orientation="landscape" r:id="rId1"/>
  <headerFooter alignWithMargins="0">
    <oddHeader>&amp;L&amp;G&amp;C
LAYOUT AND EQUIPMENT
EP 04 TRACK 3 ZIC
KP 33+890 to 35+300&amp;R&amp;G</oddHeader>
    <oddFooter>&amp;L&amp;G
&amp;F&amp;C&amp;D&amp;RPag &amp;P of &amp;N</oddFooter>
  </headerFooter>
  <legacyDrawing r:id="rId2"/>
  <legacyDrawingHF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theme="3" tint="0.59999389629810485"/>
    <pageSetUpPr fitToPage="1"/>
  </sheetPr>
  <dimension ref="A1:BK50"/>
  <sheetViews>
    <sheetView showGridLines="0" view="pageBreakPreview" zoomScale="80" zoomScaleNormal="80" zoomScaleSheetLayoutView="80" workbookViewId="0">
      <pane xSplit="3" ySplit="3" topLeftCell="F4" activePane="bottomRight" state="frozen"/>
      <selection pane="bottomRight" activeCell="K31" sqref="K31"/>
      <selection pane="bottomLeft" activeCell="K31" sqref="K31"/>
      <selection pane="topRight" activeCell="K31" sqref="K31"/>
    </sheetView>
  </sheetViews>
  <sheetFormatPr defaultColWidth="11.42578125" defaultRowHeight="15.75" customHeight="1" zeroHeight="1"/>
  <cols>
    <col min="1" max="1" width="20.7109375" style="14" customWidth="1"/>
    <col min="2" max="2" width="12.7109375" style="14" customWidth="1"/>
    <col min="3" max="3" width="12.7109375" style="18" customWidth="1"/>
    <col min="4" max="5" width="12.7109375" style="14" hidden="1" customWidth="1"/>
    <col min="6" max="7" width="12.7109375" style="14" customWidth="1"/>
    <col min="8" max="8" width="18.7109375" style="14" customWidth="1"/>
    <col min="9" max="9" width="12.7109375" style="14" customWidth="1"/>
    <col min="10" max="10" width="12.7109375" style="18" customWidth="1"/>
    <col min="11" max="11" width="12.7109375" style="14" customWidth="1"/>
    <col min="12" max="13" width="14.7109375" style="14" customWidth="1"/>
    <col min="14" max="16" width="8.7109375" style="14" hidden="1" customWidth="1"/>
    <col min="17" max="19" width="12.7109375" style="14" hidden="1" customWidth="1"/>
    <col min="20" max="28" width="8.7109375" style="14" hidden="1" customWidth="1"/>
    <col min="29" max="31" width="10.7109375" style="14" hidden="1" customWidth="1"/>
    <col min="32" max="36" width="12.7109375" style="14" hidden="1" customWidth="1"/>
    <col min="37" max="38" width="12.7109375" style="14" customWidth="1"/>
    <col min="39" max="39" width="12.7109375" style="14" hidden="1" customWidth="1"/>
    <col min="40" max="45" width="8.7109375" style="8" hidden="1" customWidth="1"/>
    <col min="46" max="46" width="8.7109375" style="16" hidden="1" customWidth="1"/>
    <col min="47" max="48" width="8.7109375" style="8" hidden="1" customWidth="1"/>
    <col min="49" max="52" width="12.7109375" style="8" customWidth="1"/>
    <col min="53" max="55" width="4.7109375" style="8" customWidth="1"/>
    <col min="56" max="56" width="21.7109375" style="14" customWidth="1"/>
    <col min="57" max="57" width="16.28515625" style="8" customWidth="1"/>
    <col min="58" max="61" width="14" style="8" customWidth="1"/>
    <col min="62" max="63" width="11.42578125" style="14" customWidth="1"/>
    <col min="64" max="16384" width="11.42578125" style="14"/>
  </cols>
  <sheetData>
    <row r="1" spans="1:63" s="435" customFormat="1" ht="35.25" customHeight="1" thickBot="1">
      <c r="A1" s="985" t="s">
        <v>1647</v>
      </c>
      <c r="B1" s="986"/>
      <c r="C1" s="986"/>
      <c r="D1" s="986"/>
      <c r="E1" s="986"/>
      <c r="F1" s="986"/>
      <c r="G1" s="986"/>
      <c r="H1" s="986"/>
      <c r="I1" s="986"/>
      <c r="J1" s="986"/>
      <c r="K1" s="986"/>
      <c r="L1" s="986"/>
      <c r="M1" s="986"/>
      <c r="N1" s="986"/>
      <c r="O1" s="986"/>
      <c r="P1" s="986"/>
      <c r="Q1" s="986"/>
      <c r="R1" s="986"/>
      <c r="S1" s="986"/>
      <c r="T1" s="986"/>
      <c r="U1" s="986"/>
      <c r="V1" s="986"/>
      <c r="W1" s="986"/>
      <c r="X1" s="986"/>
      <c r="Y1" s="986"/>
      <c r="Z1" s="986"/>
      <c r="AA1" s="986"/>
      <c r="AB1" s="986"/>
      <c r="AC1" s="986"/>
      <c r="AD1" s="986"/>
      <c r="AE1" s="986"/>
      <c r="AF1" s="986"/>
      <c r="AG1" s="986"/>
      <c r="AH1" s="986"/>
      <c r="AI1" s="986"/>
      <c r="AJ1" s="986"/>
      <c r="AK1" s="986"/>
      <c r="AL1" s="986"/>
      <c r="AM1" s="986"/>
      <c r="AN1" s="986"/>
      <c r="AO1" s="986"/>
      <c r="AP1" s="986"/>
      <c r="AQ1" s="986"/>
      <c r="AR1" s="986"/>
      <c r="AS1" s="986"/>
      <c r="AT1" s="986"/>
      <c r="AU1" s="986"/>
      <c r="AV1" s="986"/>
      <c r="AW1" s="986"/>
      <c r="AX1" s="986"/>
      <c r="AY1" s="986"/>
      <c r="AZ1" s="986"/>
      <c r="BA1" s="986"/>
      <c r="BB1" s="986"/>
      <c r="BC1" s="986"/>
      <c r="BD1" s="987"/>
      <c r="BE1" s="430" t="s">
        <v>933</v>
      </c>
      <c r="BF1" s="958" t="s">
        <v>50</v>
      </c>
      <c r="BG1" s="958"/>
      <c r="BH1" s="958"/>
      <c r="BI1" s="958"/>
    </row>
    <row r="2" spans="1:63" s="435" customFormat="1" ht="42" customHeight="1" thickBot="1">
      <c r="A2" s="463" t="s">
        <v>51</v>
      </c>
      <c r="B2" s="463" t="s">
        <v>52</v>
      </c>
      <c r="C2" s="463" t="s">
        <v>53</v>
      </c>
      <c r="D2" s="463" t="s">
        <v>54</v>
      </c>
      <c r="E2" s="463" t="s">
        <v>55</v>
      </c>
      <c r="F2" s="463" t="s">
        <v>56</v>
      </c>
      <c r="G2" s="463" t="s">
        <v>57</v>
      </c>
      <c r="H2" s="463" t="s">
        <v>58</v>
      </c>
      <c r="I2" s="463" t="s">
        <v>59</v>
      </c>
      <c r="J2" s="463" t="s">
        <v>60</v>
      </c>
      <c r="K2" s="463" t="s">
        <v>61</v>
      </c>
      <c r="L2" s="463" t="s">
        <v>62</v>
      </c>
      <c r="M2" s="463" t="s">
        <v>63</v>
      </c>
      <c r="N2" s="988" t="s">
        <v>64</v>
      </c>
      <c r="O2" s="989"/>
      <c r="P2" s="990"/>
      <c r="Q2" s="463" t="s">
        <v>65</v>
      </c>
      <c r="R2" s="463" t="s">
        <v>66</v>
      </c>
      <c r="S2" s="463" t="s">
        <v>67</v>
      </c>
      <c r="T2" s="988" t="s">
        <v>68</v>
      </c>
      <c r="U2" s="989"/>
      <c r="V2" s="990"/>
      <c r="W2" s="988" t="s">
        <v>69</v>
      </c>
      <c r="X2" s="989"/>
      <c r="Y2" s="990"/>
      <c r="Z2" s="988" t="s">
        <v>70</v>
      </c>
      <c r="AA2" s="989"/>
      <c r="AB2" s="990"/>
      <c r="AC2" s="988" t="s">
        <v>71</v>
      </c>
      <c r="AD2" s="989"/>
      <c r="AE2" s="990"/>
      <c r="AF2" s="463" t="s">
        <v>72</v>
      </c>
      <c r="AG2" s="463" t="s">
        <v>73</v>
      </c>
      <c r="AH2" s="463" t="s">
        <v>74</v>
      </c>
      <c r="AI2" s="463" t="s">
        <v>75</v>
      </c>
      <c r="AJ2" s="463" t="s">
        <v>76</v>
      </c>
      <c r="AK2" s="463" t="s">
        <v>77</v>
      </c>
      <c r="AL2" s="493" t="s">
        <v>78</v>
      </c>
      <c r="AM2" s="493" t="s">
        <v>79</v>
      </c>
      <c r="AN2" s="988" t="s">
        <v>80</v>
      </c>
      <c r="AO2" s="989"/>
      <c r="AP2" s="990"/>
      <c r="AQ2" s="988" t="s">
        <v>81</v>
      </c>
      <c r="AR2" s="989"/>
      <c r="AS2" s="990"/>
      <c r="AT2" s="988" t="s">
        <v>82</v>
      </c>
      <c r="AU2" s="989"/>
      <c r="AV2" s="990"/>
      <c r="AW2" s="493" t="s">
        <v>83</v>
      </c>
      <c r="AX2" s="493" t="s">
        <v>84</v>
      </c>
      <c r="AY2" s="493" t="s">
        <v>85</v>
      </c>
      <c r="AZ2" s="493" t="s">
        <v>86</v>
      </c>
      <c r="BA2" s="988" t="s">
        <v>87</v>
      </c>
      <c r="BB2" s="989"/>
      <c r="BC2" s="990"/>
      <c r="BD2" s="463" t="s">
        <v>88</v>
      </c>
      <c r="BE2" s="430" t="s">
        <v>89</v>
      </c>
      <c r="BF2" s="431" t="s">
        <v>63</v>
      </c>
      <c r="BG2" s="431" t="s">
        <v>90</v>
      </c>
      <c r="BH2" s="431" t="s">
        <v>91</v>
      </c>
      <c r="BI2" s="431" t="s">
        <v>64</v>
      </c>
    </row>
    <row r="3" spans="1:63" s="435" customFormat="1" ht="15.75" customHeight="1" thickBot="1">
      <c r="A3" s="436"/>
      <c r="B3" s="456"/>
      <c r="C3" s="437"/>
      <c r="D3" s="611"/>
      <c r="E3" s="437"/>
      <c r="F3" s="437"/>
      <c r="G3" s="437"/>
      <c r="H3" s="456"/>
      <c r="I3" s="456"/>
      <c r="J3" s="437"/>
      <c r="K3" s="456"/>
      <c r="L3" s="456"/>
      <c r="M3" s="456"/>
      <c r="N3" s="464" t="s">
        <v>92</v>
      </c>
      <c r="O3" s="464" t="s">
        <v>93</v>
      </c>
      <c r="P3" s="464" t="s">
        <v>94</v>
      </c>
      <c r="Q3" s="437"/>
      <c r="R3" s="437"/>
      <c r="S3" s="437"/>
      <c r="T3" s="442" t="s">
        <v>95</v>
      </c>
      <c r="U3" s="443" t="s">
        <v>96</v>
      </c>
      <c r="V3" s="442" t="s">
        <v>97</v>
      </c>
      <c r="W3" s="442" t="s">
        <v>98</v>
      </c>
      <c r="X3" s="443" t="s">
        <v>99</v>
      </c>
      <c r="Y3" s="442" t="s">
        <v>100</v>
      </c>
      <c r="Z3" s="442" t="s">
        <v>101</v>
      </c>
      <c r="AA3" s="443" t="s">
        <v>102</v>
      </c>
      <c r="AB3" s="442" t="s">
        <v>103</v>
      </c>
      <c r="AC3" s="464" t="s">
        <v>104</v>
      </c>
      <c r="AD3" s="465" t="s">
        <v>105</v>
      </c>
      <c r="AE3" s="464" t="s">
        <v>106</v>
      </c>
      <c r="AF3" s="437"/>
      <c r="AG3" s="437"/>
      <c r="AH3" s="437"/>
      <c r="AI3" s="437"/>
      <c r="AJ3" s="456"/>
      <c r="AK3" s="456"/>
      <c r="AL3" s="456"/>
      <c r="AM3" s="456"/>
      <c r="AN3" s="442" t="s">
        <v>98</v>
      </c>
      <c r="AO3" s="442" t="s">
        <v>99</v>
      </c>
      <c r="AP3" s="442" t="s">
        <v>100</v>
      </c>
      <c r="AQ3" s="442" t="s">
        <v>107</v>
      </c>
      <c r="AR3" s="442" t="s">
        <v>108</v>
      </c>
      <c r="AS3" s="442" t="s">
        <v>109</v>
      </c>
      <c r="AT3" s="558" t="s">
        <v>110</v>
      </c>
      <c r="AU3" s="442" t="s">
        <v>111</v>
      </c>
      <c r="AV3" s="442" t="s">
        <v>112</v>
      </c>
      <c r="AW3" s="456"/>
      <c r="AX3" s="456"/>
      <c r="AY3" s="437"/>
      <c r="AZ3" s="437"/>
      <c r="BA3" s="464" t="s">
        <v>113</v>
      </c>
      <c r="BB3" s="464" t="s">
        <v>114</v>
      </c>
      <c r="BC3" s="464" t="s">
        <v>115</v>
      </c>
      <c r="BD3" s="459"/>
      <c r="BE3" s="429"/>
      <c r="BF3" s="434"/>
      <c r="BG3" s="434"/>
      <c r="BH3" s="434"/>
      <c r="BI3" s="434"/>
    </row>
    <row r="4" spans="1:63" ht="16.149999999999999" customHeight="1" thickTop="1">
      <c r="A4" s="502"/>
      <c r="B4" s="503"/>
      <c r="C4" s="504"/>
      <c r="D4" s="612"/>
      <c r="E4" s="506"/>
      <c r="F4" s="506"/>
      <c r="G4" s="507"/>
      <c r="H4" s="508"/>
      <c r="I4" s="508"/>
      <c r="J4" s="509"/>
      <c r="K4" s="508"/>
      <c r="L4" s="508"/>
      <c r="M4" s="508"/>
      <c r="N4" s="508"/>
      <c r="O4" s="508"/>
      <c r="P4" s="508"/>
      <c r="Q4" s="506"/>
      <c r="R4" s="507"/>
      <c r="S4" s="507"/>
      <c r="T4" s="506"/>
      <c r="U4" s="506"/>
      <c r="V4" s="506"/>
      <c r="W4" s="510"/>
      <c r="X4" s="510"/>
      <c r="Y4" s="510"/>
      <c r="Z4" s="510"/>
      <c r="AA4" s="510"/>
      <c r="AB4" s="510"/>
      <c r="AC4" s="508"/>
      <c r="AD4" s="508"/>
      <c r="AE4" s="508"/>
      <c r="AF4" s="506"/>
      <c r="AG4" s="505"/>
      <c r="AH4" s="506"/>
      <c r="AI4" s="506"/>
      <c r="AJ4" s="508"/>
      <c r="AK4" s="508"/>
      <c r="AL4" s="508"/>
      <c r="AM4" s="508"/>
      <c r="AN4" s="510"/>
      <c r="AO4" s="508"/>
      <c r="AP4" s="508"/>
      <c r="AQ4" s="510"/>
      <c r="AR4" s="510"/>
      <c r="AS4" s="510"/>
      <c r="AT4" s="510"/>
      <c r="AU4" s="511"/>
      <c r="AV4" s="511"/>
      <c r="AW4" s="508"/>
      <c r="AX4" s="508"/>
      <c r="AY4" s="510"/>
      <c r="AZ4" s="510"/>
      <c r="BA4" s="491"/>
      <c r="BB4" s="578"/>
      <c r="BC4" s="491"/>
      <c r="BD4" s="512"/>
      <c r="BE4" s="498"/>
      <c r="BF4" s="1175"/>
      <c r="BG4" s="1175"/>
      <c r="BH4" s="1175"/>
      <c r="BI4" s="1175"/>
      <c r="BK4" s="292"/>
    </row>
    <row r="5" spans="1:63" ht="16.149999999999999" customHeight="1">
      <c r="A5" s="502">
        <f>'HR Track 3 ZIC'!A8</f>
        <v>0</v>
      </c>
      <c r="B5" s="577">
        <f>'HR Track 3 ZIC'!B8</f>
        <v>0</v>
      </c>
      <c r="C5" s="504">
        <f>'HR Track 3 ZIC'!C8</f>
        <v>0</v>
      </c>
      <c r="D5" s="612">
        <f>'HR Track 3 ZIC'!D8</f>
        <v>0</v>
      </c>
      <c r="E5" s="506">
        <f>'HR Track 3 ZIC'!E8</f>
        <v>0</v>
      </c>
      <c r="F5" s="506">
        <f>'HR Track 3 ZIC'!F8</f>
        <v>0</v>
      </c>
      <c r="G5" s="507">
        <f>'HR Track 3 ZIC'!G8</f>
        <v>55</v>
      </c>
      <c r="H5" s="508">
        <f>'HR Track 3 ZIC'!H8</f>
        <v>0</v>
      </c>
      <c r="I5" s="508">
        <f>'HR Track 3 ZIC'!I8</f>
        <v>0</v>
      </c>
      <c r="J5" s="509">
        <f>'HR Track 3 ZIC'!J8</f>
        <v>33998.65</v>
      </c>
      <c r="K5" s="508">
        <f>'HR Track 3 ZIC'!K8</f>
        <v>0</v>
      </c>
      <c r="L5" s="508">
        <f>'HR Track 3 ZIC'!L8</f>
        <v>0</v>
      </c>
      <c r="M5" s="508" t="str">
        <f>'HR Track 3 ZIC'!M8</f>
        <v/>
      </c>
      <c r="N5" s="508">
        <f>'HR Track 3 ZIC'!N8</f>
        <v>0</v>
      </c>
      <c r="O5" s="508">
        <f>'HR Track 3 ZIC'!O8</f>
        <v>0</v>
      </c>
      <c r="P5" s="508">
        <f>'HR Track 3 ZIC'!P8</f>
        <v>0</v>
      </c>
      <c r="Q5" s="506">
        <f>'HR Track 3 ZIC'!Q8</f>
        <v>0</v>
      </c>
      <c r="R5" s="507">
        <f>'HR Track 3 ZIC'!R8</f>
        <v>0</v>
      </c>
      <c r="S5" s="507">
        <f>'HR Track 3 ZIC'!S8</f>
        <v>0</v>
      </c>
      <c r="T5" s="506">
        <f>'HR Track 3 ZIC'!T8</f>
        <v>0</v>
      </c>
      <c r="U5" s="506">
        <f>'HR Track 3 ZIC'!U8</f>
        <v>0</v>
      </c>
      <c r="V5" s="506">
        <f>'HR Track 3 ZIC'!V8</f>
        <v>0</v>
      </c>
      <c r="W5" s="510">
        <f>'HR Track 3 ZIC'!W8</f>
        <v>0</v>
      </c>
      <c r="X5" s="510">
        <f>'HR Track 3 ZIC'!X8</f>
        <v>0</v>
      </c>
      <c r="Y5" s="510">
        <f>'HR Track 3 ZIC'!Y8</f>
        <v>0</v>
      </c>
      <c r="Z5" s="510">
        <f>'HR Track 3 ZIC'!Z8</f>
        <v>0</v>
      </c>
      <c r="AA5" s="510">
        <f>'HR Track 3 ZIC'!AA8</f>
        <v>0</v>
      </c>
      <c r="AB5" s="510">
        <f>'HR Track 3 ZIC'!AB8</f>
        <v>0</v>
      </c>
      <c r="AC5" s="508" t="str">
        <f>'HR Track 3 ZIC'!AC8</f>
        <v/>
      </c>
      <c r="AD5" s="508">
        <f>'HR Track 3 ZIC'!AD8</f>
        <v>0</v>
      </c>
      <c r="AE5" s="508">
        <f>'HR Track 3 ZIC'!AE8</f>
        <v>0</v>
      </c>
      <c r="AF5" s="506">
        <f>'HR Track 3 ZIC'!AF8</f>
        <v>0</v>
      </c>
      <c r="AG5" s="505">
        <f>'HR Track 3 ZIC'!AG8</f>
        <v>0</v>
      </c>
      <c r="AH5" s="506">
        <f>'HR Track 3 ZIC'!AH8</f>
        <v>0</v>
      </c>
      <c r="AI5" s="506">
        <f>'HR Track 3 ZIC'!AI8</f>
        <v>0</v>
      </c>
      <c r="AJ5" s="508">
        <f>'HR Track 3 ZIC'!AJ8</f>
        <v>0</v>
      </c>
      <c r="AK5" s="508">
        <f>'HR Track 3 ZIC'!AK8</f>
        <v>0</v>
      </c>
      <c r="AL5" s="508">
        <f>'HR Track 3 ZIC'!AL8</f>
        <v>0</v>
      </c>
      <c r="AM5" s="508">
        <f>'HR Track 3 ZIC'!AM8</f>
        <v>0</v>
      </c>
      <c r="AN5" s="510">
        <f>'HR Track 3 ZIC'!AN8</f>
        <v>0</v>
      </c>
      <c r="AO5" s="508">
        <f>'HR Track 3 ZIC'!AO8</f>
        <v>0</v>
      </c>
      <c r="AP5" s="508">
        <f>'HR Track 3 ZIC'!AP8</f>
        <v>0</v>
      </c>
      <c r="AQ5" s="510">
        <f>'HR Track 3 ZIC'!AQ8</f>
        <v>0.39714735709090898</v>
      </c>
      <c r="AR5" s="510">
        <f>'HR Track 3 ZIC'!AR8</f>
        <v>0</v>
      </c>
      <c r="AS5" s="510">
        <f>'HR Track 3 ZIC'!AS8</f>
        <v>0</v>
      </c>
      <c r="AT5" s="510">
        <f>'HR Track 3 ZIC'!AT8</f>
        <v>0</v>
      </c>
      <c r="AU5" s="511">
        <f>'HR Track 3 ZIC'!AU8</f>
        <v>0</v>
      </c>
      <c r="AV5" s="511">
        <f>'HR Track 3 ZIC'!AV8</f>
        <v>0</v>
      </c>
      <c r="AW5" s="508" t="str">
        <f>'HR Track 3 ZIC'!AW8</f>
        <v>Multi Soil</v>
      </c>
      <c r="AX5" s="508" t="str">
        <f>'HR Track 3 ZIC'!AX8</f>
        <v>PT</v>
      </c>
      <c r="AY5" s="510" t="str">
        <f>'HR Track 3 ZIC'!AY8</f>
        <v/>
      </c>
      <c r="AZ5" s="510" t="str">
        <f>'HR Track 3 ZIC'!AZ8</f>
        <v/>
      </c>
      <c r="BA5" s="578" t="str">
        <f>'HR Track 3 ZIC'!BA8</f>
        <v/>
      </c>
      <c r="BB5" s="491" t="str">
        <f>'HR Track 3 ZIC'!BB8</f>
        <v/>
      </c>
      <c r="BC5" s="491" t="str">
        <f>'HR Track 3 ZIC'!BC8</f>
        <v/>
      </c>
      <c r="BD5" s="512">
        <f>'HR Track 3 ZIC'!BD8</f>
        <v>0</v>
      </c>
      <c r="BE5" s="429" t="s">
        <v>118</v>
      </c>
      <c r="BF5" s="290"/>
      <c r="BG5" s="290"/>
      <c r="BH5" s="290"/>
      <c r="BI5" s="290"/>
    </row>
    <row r="6" spans="1:63" ht="16.149999999999999" customHeight="1">
      <c r="A6" s="502"/>
      <c r="B6" s="503" t="str">
        <f>'HR Track 3 ZIC'!B9</f>
        <v>34-3.01</v>
      </c>
      <c r="C6" s="504">
        <f>'HR Track 3 ZIC'!C9</f>
        <v>34006.15</v>
      </c>
      <c r="D6" s="612">
        <f>'HR Track 3 ZIC'!D9</f>
        <v>0</v>
      </c>
      <c r="E6" s="506">
        <f>'HR Track 3 ZIC'!E9</f>
        <v>0</v>
      </c>
      <c r="F6" s="506">
        <f>'HR Track 3 ZIC'!F9</f>
        <v>0</v>
      </c>
      <c r="G6" s="507">
        <f>'HR Track 3 ZIC'!G9</f>
        <v>0</v>
      </c>
      <c r="H6" s="508" t="str">
        <f>'HR Track 3 ZIC'!H9</f>
        <v>A/S-Diag</v>
      </c>
      <c r="I6" s="508" t="str">
        <f>'HR Track 3 ZIC'!I9</f>
        <v>CP+AnMC</v>
      </c>
      <c r="J6" s="509">
        <f>'HR Track 3 ZIC'!J9</f>
        <v>0</v>
      </c>
      <c r="K6" s="508">
        <f>'HR Track 3 ZIC'!K9</f>
        <v>0</v>
      </c>
      <c r="L6" s="508" t="str">
        <f>'HR Track 3 ZIC'!L9</f>
        <v>HEB-280L</v>
      </c>
      <c r="M6" s="508" t="str">
        <f>'HR Track 3 ZIC'!M9</f>
        <v>C5R</v>
      </c>
      <c r="N6" s="508" t="str">
        <f>'HR Track 3 ZIC'!N9</f>
        <v>EMT-1</v>
      </c>
      <c r="O6" s="508">
        <f>'HR Track 3 ZIC'!O9</f>
        <v>0</v>
      </c>
      <c r="P6" s="508">
        <f>'HR Track 3 ZIC'!P9</f>
        <v>0</v>
      </c>
      <c r="Q6" s="506">
        <f>'HR Track 3 ZIC'!Q9</f>
        <v>0</v>
      </c>
      <c r="R6" s="507">
        <f>'HR Track 3 ZIC'!R9</f>
        <v>0</v>
      </c>
      <c r="S6" s="507">
        <f>'HR Track 3 ZIC'!S9</f>
        <v>0</v>
      </c>
      <c r="T6" s="506">
        <f>'HR Track 3 ZIC'!T9</f>
        <v>-35</v>
      </c>
      <c r="U6" s="506">
        <f>'HR Track 3 ZIC'!U9</f>
        <v>0</v>
      </c>
      <c r="V6" s="506">
        <f>'HR Track 3 ZIC'!V9</f>
        <v>0</v>
      </c>
      <c r="W6" s="510">
        <f>'HR Track 3 ZIC'!W9</f>
        <v>1.4</v>
      </c>
      <c r="X6" s="510">
        <f>'HR Track 3 ZIC'!X9</f>
        <v>0</v>
      </c>
      <c r="Y6" s="510">
        <f>'HR Track 3 ZIC'!Y9</f>
        <v>0</v>
      </c>
      <c r="Z6" s="510">
        <f>'HR Track 3 ZIC'!Z9</f>
        <v>0</v>
      </c>
      <c r="AA6" s="510">
        <f>'HR Track 3 ZIC'!AA9</f>
        <v>0</v>
      </c>
      <c r="AB6" s="510">
        <f>'HR Track 3 ZIC'!AB9</f>
        <v>0</v>
      </c>
      <c r="AC6" s="508" t="str">
        <f>'HR Track 3 ZIC'!AC9</f>
        <v>PHQ</v>
      </c>
      <c r="AD6" s="508">
        <f>'HR Track 3 ZIC'!AD9</f>
        <v>0</v>
      </c>
      <c r="AE6" s="508">
        <f>'HR Track 3 ZIC'!AE9</f>
        <v>0</v>
      </c>
      <c r="AF6" s="506">
        <f>'HR Track 3 ZIC'!AF9</f>
        <v>0</v>
      </c>
      <c r="AG6" s="505">
        <f>'HR Track 3 ZIC'!AG9</f>
        <v>0</v>
      </c>
      <c r="AH6" s="506">
        <f>'HR Track 3 ZIC'!AH9</f>
        <v>0</v>
      </c>
      <c r="AI6" s="506">
        <f>'HR Track 3 ZIC'!AI9</f>
        <v>0</v>
      </c>
      <c r="AJ6" s="508">
        <f>'HR Track 3 ZIC'!AJ9</f>
        <v>0</v>
      </c>
      <c r="AK6" s="508">
        <f>'HR Track 3 ZIC'!AK9</f>
        <v>0</v>
      </c>
      <c r="AL6" s="508" t="str">
        <f>'HR Track 3 ZIC'!AL9</f>
        <v>PR1B</v>
      </c>
      <c r="AM6" s="508" t="str">
        <f>'HR Track 3 ZIC'!AM9</f>
        <v>RW2</v>
      </c>
      <c r="AN6" s="510">
        <f>'HR Track 3 ZIC'!AN9</f>
        <v>5.5</v>
      </c>
      <c r="AO6" s="508">
        <f>'HR Track 3 ZIC'!AO9</f>
        <v>0</v>
      </c>
      <c r="AP6" s="508">
        <f>'HR Track 3 ZIC'!AP9</f>
        <v>0</v>
      </c>
      <c r="AQ6" s="510">
        <f>'HR Track 3 ZIC'!AQ9</f>
        <v>0</v>
      </c>
      <c r="AR6" s="510">
        <f>'HR Track 3 ZIC'!AR9</f>
        <v>0</v>
      </c>
      <c r="AS6" s="510">
        <f>'HR Track 3 ZIC'!AS9</f>
        <v>0</v>
      </c>
      <c r="AT6" s="510">
        <f>'HR Track 3 ZIC'!AT9</f>
        <v>-7.0752086319693017</v>
      </c>
      <c r="AU6" s="511">
        <f>'HR Track 3 ZIC'!AU9</f>
        <v>0</v>
      </c>
      <c r="AV6" s="511">
        <f>'HR Track 3 ZIC'!AV9</f>
        <v>0</v>
      </c>
      <c r="AW6" s="508" t="str">
        <f>'HR Track 3 ZIC'!AW9</f>
        <v>Multi Soil</v>
      </c>
      <c r="AX6" s="508" t="str">
        <f>'HR Track 3 ZIC'!AX9</f>
        <v>PT</v>
      </c>
      <c r="AY6" s="510">
        <f>'HR Track 3 ZIC'!AY9</f>
        <v>3.5</v>
      </c>
      <c r="AZ6" s="510" t="str">
        <f>'HR Track 3 ZIC'!AZ9</f>
        <v/>
      </c>
      <c r="BA6" s="578" t="str">
        <f>'HR Track 3 ZIC'!BA9</f>
        <v>ü</v>
      </c>
      <c r="BB6" s="491" t="str">
        <f>'HR Track 3 ZIC'!BB9</f>
        <v/>
      </c>
      <c r="BC6" s="491" t="str">
        <f>'HR Track 3 ZIC'!BC9</f>
        <v/>
      </c>
      <c r="BD6" s="512" t="str">
        <f>'HR Track 3 ZIC'!BD9</f>
        <v>App.8-V08H-P10.3</v>
      </c>
      <c r="BE6" s="429" t="s">
        <v>118</v>
      </c>
      <c r="BF6" s="289"/>
      <c r="BG6" s="289"/>
      <c r="BH6" s="290"/>
      <c r="BI6" s="289"/>
    </row>
    <row r="7" spans="1:63" ht="16.149999999999999" customHeight="1">
      <c r="A7" s="502"/>
      <c r="B7" s="503">
        <f>'HR Track 3 ZIC'!B10</f>
        <v>0</v>
      </c>
      <c r="C7" s="504">
        <f>'HR Track 3 ZIC'!C10</f>
        <v>0</v>
      </c>
      <c r="D7" s="505">
        <f>'HR Track 3 ZIC'!D10</f>
        <v>0</v>
      </c>
      <c r="E7" s="506">
        <f>'HR Track 3 ZIC'!E10</f>
        <v>0</v>
      </c>
      <c r="F7" s="506">
        <f>'HR Track 3 ZIC'!F10</f>
        <v>0</v>
      </c>
      <c r="G7" s="507">
        <f>'HR Track 3 ZIC'!G10</f>
        <v>49.1</v>
      </c>
      <c r="H7" s="508">
        <f>'HR Track 3 ZIC'!H10</f>
        <v>0</v>
      </c>
      <c r="I7" s="508">
        <f>'HR Track 3 ZIC'!I10</f>
        <v>0</v>
      </c>
      <c r="J7" s="509">
        <f>'HR Track 3 ZIC'!J10</f>
        <v>0</v>
      </c>
      <c r="K7" s="508">
        <f>'HR Track 3 ZIC'!K10</f>
        <v>0</v>
      </c>
      <c r="L7" s="508">
        <f>'HR Track 3 ZIC'!L10</f>
        <v>0</v>
      </c>
      <c r="M7" s="508" t="str">
        <f>'HR Track 3 ZIC'!M10</f>
        <v/>
      </c>
      <c r="N7" s="508">
        <f>'HR Track 3 ZIC'!N10</f>
        <v>0</v>
      </c>
      <c r="O7" s="508">
        <f>'HR Track 3 ZIC'!O10</f>
        <v>0</v>
      </c>
      <c r="P7" s="508">
        <f>'HR Track 3 ZIC'!P10</f>
        <v>0</v>
      </c>
      <c r="Q7" s="506">
        <f>'HR Track 3 ZIC'!Q10</f>
        <v>0</v>
      </c>
      <c r="R7" s="507">
        <f>'HR Track 3 ZIC'!R10</f>
        <v>0</v>
      </c>
      <c r="S7" s="507">
        <f>'HR Track 3 ZIC'!S10</f>
        <v>0</v>
      </c>
      <c r="T7" s="506">
        <f>'HR Track 3 ZIC'!T10</f>
        <v>0</v>
      </c>
      <c r="U7" s="506">
        <f>'HR Track 3 ZIC'!U10</f>
        <v>0</v>
      </c>
      <c r="V7" s="506">
        <f>'HR Track 3 ZIC'!V10</f>
        <v>0</v>
      </c>
      <c r="W7" s="510">
        <f>'HR Track 3 ZIC'!W10</f>
        <v>0</v>
      </c>
      <c r="X7" s="510">
        <f>'HR Track 3 ZIC'!X10</f>
        <v>0</v>
      </c>
      <c r="Y7" s="510">
        <f>'HR Track 3 ZIC'!Y10</f>
        <v>0</v>
      </c>
      <c r="Z7" s="510">
        <f>'HR Track 3 ZIC'!Z10</f>
        <v>0</v>
      </c>
      <c r="AA7" s="510">
        <f>'HR Track 3 ZIC'!AA10</f>
        <v>0</v>
      </c>
      <c r="AB7" s="510">
        <f>'HR Track 3 ZIC'!AB10</f>
        <v>0</v>
      </c>
      <c r="AC7" s="508" t="str">
        <f>'HR Track 3 ZIC'!AC10</f>
        <v/>
      </c>
      <c r="AD7" s="508">
        <f>'HR Track 3 ZIC'!AD10</f>
        <v>0</v>
      </c>
      <c r="AE7" s="508">
        <f>'HR Track 3 ZIC'!AE10</f>
        <v>0</v>
      </c>
      <c r="AF7" s="506">
        <f>'HR Track 3 ZIC'!AF10</f>
        <v>0</v>
      </c>
      <c r="AG7" s="505">
        <f>'HR Track 3 ZIC'!AG10</f>
        <v>0</v>
      </c>
      <c r="AH7" s="506">
        <f>'HR Track 3 ZIC'!AH10</f>
        <v>0</v>
      </c>
      <c r="AI7" s="506">
        <f>'HR Track 3 ZIC'!AI10</f>
        <v>0</v>
      </c>
      <c r="AJ7" s="508">
        <f>'HR Track 3 ZIC'!AJ10</f>
        <v>0</v>
      </c>
      <c r="AK7" s="508">
        <f>'HR Track 3 ZIC'!AK10</f>
        <v>0</v>
      </c>
      <c r="AL7" s="508">
        <f>'HR Track 3 ZIC'!AL10</f>
        <v>0</v>
      </c>
      <c r="AM7" s="508">
        <f>'HR Track 3 ZIC'!AM10</f>
        <v>0</v>
      </c>
      <c r="AN7" s="510">
        <f>'HR Track 3 ZIC'!AN10</f>
        <v>0</v>
      </c>
      <c r="AO7" s="508">
        <f>'HR Track 3 ZIC'!AO10</f>
        <v>0</v>
      </c>
      <c r="AP7" s="508">
        <f>'HR Track 3 ZIC'!AP10</f>
        <v>0</v>
      </c>
      <c r="AQ7" s="510">
        <f>'HR Track 3 ZIC'!AQ10</f>
        <v>0.36445736502647658</v>
      </c>
      <c r="AR7" s="510">
        <f>'HR Track 3 ZIC'!AR10</f>
        <v>0</v>
      </c>
      <c r="AS7" s="510">
        <f>'HR Track 3 ZIC'!AS10</f>
        <v>0</v>
      </c>
      <c r="AT7" s="510">
        <f>'HR Track 3 ZIC'!AT10</f>
        <v>0</v>
      </c>
      <c r="AU7" s="511">
        <f>'HR Track 3 ZIC'!AU10</f>
        <v>0</v>
      </c>
      <c r="AV7" s="511">
        <f>'HR Track 3 ZIC'!AV10</f>
        <v>0</v>
      </c>
      <c r="AW7" s="508" t="str">
        <f>'HR Track 3 ZIC'!AW10</f>
        <v/>
      </c>
      <c r="AX7" s="508" t="str">
        <f>'HR Track 3 ZIC'!AX10</f>
        <v/>
      </c>
      <c r="AY7" s="510" t="str">
        <f>'HR Track 3 ZIC'!AY10</f>
        <v/>
      </c>
      <c r="AZ7" s="510" t="str">
        <f>'HR Track 3 ZIC'!AZ10</f>
        <v/>
      </c>
      <c r="BA7" s="578" t="str">
        <f>'HR Track 3 ZIC'!BA10</f>
        <v/>
      </c>
      <c r="BB7" s="491" t="str">
        <f>'HR Track 3 ZIC'!BB10</f>
        <v/>
      </c>
      <c r="BC7" s="491" t="str">
        <f>'HR Track 3 ZIC'!BC10</f>
        <v/>
      </c>
      <c r="BD7" s="512">
        <f>'HR Track 3 ZIC'!BD10</f>
        <v>0</v>
      </c>
      <c r="BE7" s="429" t="s">
        <v>118</v>
      </c>
      <c r="BF7" s="290"/>
      <c r="BG7" s="290"/>
      <c r="BH7" s="290"/>
      <c r="BI7" s="290"/>
    </row>
    <row r="8" spans="1:63" ht="16.149999999999999" customHeight="1">
      <c r="A8" s="502"/>
      <c r="B8" s="503" t="str">
        <f>'HR Track 3 ZIC'!B11</f>
        <v>34-3.02</v>
      </c>
      <c r="C8" s="504">
        <f>'HR Track 3 ZIC'!C11</f>
        <v>34055.25</v>
      </c>
      <c r="D8" s="505">
        <f>'HR Track 3 ZIC'!D11</f>
        <v>0</v>
      </c>
      <c r="E8" s="506">
        <f>'HR Track 3 ZIC'!E11</f>
        <v>0</v>
      </c>
      <c r="F8" s="506">
        <f>'HR Track 3 ZIC'!F11</f>
        <v>0</v>
      </c>
      <c r="G8" s="507">
        <f>'HR Track 3 ZIC'!G11</f>
        <v>0</v>
      </c>
      <c r="H8" s="508" t="str">
        <f>'HR Track 3 ZIC'!H11</f>
        <v>S/A P60(CS)</v>
      </c>
      <c r="I8" s="508">
        <f>'HR Track 3 ZIC'!I11</f>
        <v>0</v>
      </c>
      <c r="J8" s="509">
        <f>'HR Track 3 ZIC'!J11</f>
        <v>0</v>
      </c>
      <c r="K8" s="508">
        <f>'HR Track 3 ZIC'!K11</f>
        <v>0</v>
      </c>
      <c r="L8" s="508" t="str">
        <f>'HR Track 3 ZIC'!L11</f>
        <v>HEB-280L</v>
      </c>
      <c r="M8" s="508" t="str">
        <f>'HR Track 3 ZIC'!M11</f>
        <v>C5R</v>
      </c>
      <c r="N8" s="508" t="str">
        <f>'HR Track 3 ZIC'!N11</f>
        <v>EMT-T</v>
      </c>
      <c r="O8" s="508" t="str">
        <f>'HR Track 3 ZIC'!O11</f>
        <v>EMT-2</v>
      </c>
      <c r="P8" s="508" t="str">
        <f>'HR Track 3 ZIC'!P11</f>
        <v>EMT-1</v>
      </c>
      <c r="Q8" s="506">
        <f>'HR Track 3 ZIC'!Q11</f>
        <v>0</v>
      </c>
      <c r="R8" s="507">
        <f>'HR Track 3 ZIC'!R11</f>
        <v>0</v>
      </c>
      <c r="S8" s="507">
        <f>'HR Track 3 ZIC'!S11</f>
        <v>0</v>
      </c>
      <c r="T8" s="506">
        <f>'HR Track 3 ZIC'!T11</f>
        <v>55</v>
      </c>
      <c r="U8" s="506">
        <f>'HR Track 3 ZIC'!U11</f>
        <v>35</v>
      </c>
      <c r="V8" s="506">
        <f>'HR Track 3 ZIC'!V11</f>
        <v>20</v>
      </c>
      <c r="W8" s="510">
        <f>'HR Track 3 ZIC'!W11</f>
        <v>1.4</v>
      </c>
      <c r="X8" s="510">
        <f>'HR Track 3 ZIC'!X11</f>
        <v>1.8</v>
      </c>
      <c r="Y8" s="510">
        <f>'HR Track 3 ZIC'!Y11</f>
        <v>2</v>
      </c>
      <c r="Z8" s="510">
        <f>'HR Track 3 ZIC'!Z11</f>
        <v>0.3</v>
      </c>
      <c r="AA8" s="510">
        <f>'HR Track 3 ZIC'!AA11</f>
        <v>0</v>
      </c>
      <c r="AB8" s="510">
        <f>'HR Track 3 ZIC'!AB11</f>
        <v>0</v>
      </c>
      <c r="AC8" s="508">
        <f>'HR Track 3 ZIC'!AC11</f>
        <v>0</v>
      </c>
      <c r="AD8" s="508">
        <f>'HR Track 3 ZIC'!AD11</f>
        <v>0</v>
      </c>
      <c r="AE8" s="508">
        <f>'HR Track 3 ZIC'!AE11</f>
        <v>0</v>
      </c>
      <c r="AF8" s="506">
        <f>'HR Track 3 ZIC'!AF11</f>
        <v>0</v>
      </c>
      <c r="AG8" s="505">
        <f>'HR Track 3 ZIC'!AG11</f>
        <v>0</v>
      </c>
      <c r="AH8" s="506">
        <f>'HR Track 3 ZIC'!AH11</f>
        <v>0</v>
      </c>
      <c r="AI8" s="506">
        <f>'HR Track 3 ZIC'!AI11</f>
        <v>0</v>
      </c>
      <c r="AJ8" s="508" t="str">
        <f>'HR Track 3 ZIC'!AJ11</f>
        <v>Disc-pr</v>
      </c>
      <c r="AK8" s="508">
        <f>'HR Track 3 ZIC'!AK11</f>
        <v>0</v>
      </c>
      <c r="AL8" s="508" t="str">
        <f>'HR Track 3 ZIC'!AL11</f>
        <v>PR1B</v>
      </c>
      <c r="AM8" s="508" t="str">
        <f>'HR Track 3 ZIC'!AM11</f>
        <v>RW2</v>
      </c>
      <c r="AN8" s="510">
        <f>'HR Track 3 ZIC'!AN11</f>
        <v>5.5</v>
      </c>
      <c r="AO8" s="508">
        <f>'HR Track 3 ZIC'!AO11</f>
        <v>0</v>
      </c>
      <c r="AP8" s="508">
        <f>'HR Track 3 ZIC'!AP11</f>
        <v>0</v>
      </c>
      <c r="AQ8" s="510">
        <f>'HR Track 3 ZIC'!AQ11</f>
        <v>0</v>
      </c>
      <c r="AR8" s="510">
        <f>'HR Track 3 ZIC'!AR11</f>
        <v>0</v>
      </c>
      <c r="AS8" s="510">
        <f>'HR Track 3 ZIC'!AS11</f>
        <v>0</v>
      </c>
      <c r="AT8" s="510">
        <f>'HR Track 3 ZIC'!AT11</f>
        <v>5.6207146786905149</v>
      </c>
      <c r="AU8" s="511">
        <f>'HR Track 3 ZIC'!AU11</f>
        <v>0</v>
      </c>
      <c r="AV8" s="511">
        <f>'HR Track 3 ZIC'!AV11</f>
        <v>0</v>
      </c>
      <c r="AW8" s="508" t="str">
        <f>'HR Track 3 ZIC'!AW11</f>
        <v>Multi Soil</v>
      </c>
      <c r="AX8" s="508" t="str">
        <f>'HR Track 3 ZIC'!AX11</f>
        <v>PT</v>
      </c>
      <c r="AY8" s="510">
        <f>'HR Track 3 ZIC'!AY11</f>
        <v>3.5</v>
      </c>
      <c r="AZ8" s="510" t="str">
        <f>'HR Track 3 ZIC'!AZ11</f>
        <v/>
      </c>
      <c r="BA8" s="578" t="str">
        <f>'HR Track 3 ZIC'!BA11</f>
        <v>ü</v>
      </c>
      <c r="BB8" s="491" t="str">
        <f>'HR Track 3 ZIC'!BB11</f>
        <v/>
      </c>
      <c r="BC8" s="491" t="str">
        <f>'HR Track 3 ZIC'!BC11</f>
        <v/>
      </c>
      <c r="BD8" s="512" t="str">
        <f>'HR Track 3 ZIC'!BD11</f>
        <v>App.8-V08H-P10.3</v>
      </c>
      <c r="BE8" s="429" t="s">
        <v>118</v>
      </c>
      <c r="BF8" s="289"/>
      <c r="BG8" s="289"/>
      <c r="BH8" s="290"/>
      <c r="BI8" s="289"/>
    </row>
    <row r="9" spans="1:63" ht="16.149999999999999" customHeight="1">
      <c r="A9" s="502"/>
      <c r="B9" s="503">
        <f>'HR Track 3 ZIC'!B12</f>
        <v>0</v>
      </c>
      <c r="C9" s="504">
        <f>'HR Track 3 ZIC'!C12</f>
        <v>0</v>
      </c>
      <c r="D9" s="505">
        <f>'HR Track 3 ZIC'!D12</f>
        <v>0</v>
      </c>
      <c r="E9" s="506">
        <f>'HR Track 3 ZIC'!E12</f>
        <v>0</v>
      </c>
      <c r="F9" s="506">
        <f>'HR Track 3 ZIC'!F12</f>
        <v>0</v>
      </c>
      <c r="G9" s="507">
        <f>'HR Track 3 ZIC'!G12</f>
        <v>35.4</v>
      </c>
      <c r="H9" s="508">
        <f>'HR Track 3 ZIC'!H12</f>
        <v>0</v>
      </c>
      <c r="I9" s="508">
        <f>'HR Track 3 ZIC'!I12</f>
        <v>0</v>
      </c>
      <c r="J9" s="509">
        <f>'HR Track 3 ZIC'!J12</f>
        <v>0</v>
      </c>
      <c r="K9" s="508">
        <f>'HR Track 3 ZIC'!K12</f>
        <v>0</v>
      </c>
      <c r="L9" s="508">
        <f>'HR Track 3 ZIC'!L12</f>
        <v>0</v>
      </c>
      <c r="M9" s="508" t="str">
        <f>'HR Track 3 ZIC'!M12</f>
        <v/>
      </c>
      <c r="N9" s="508">
        <f>'HR Track 3 ZIC'!N12</f>
        <v>0</v>
      </c>
      <c r="O9" s="508">
        <f>'HR Track 3 ZIC'!O12</f>
        <v>0</v>
      </c>
      <c r="P9" s="508">
        <f>'HR Track 3 ZIC'!P12</f>
        <v>0</v>
      </c>
      <c r="Q9" s="506">
        <f>'HR Track 3 ZIC'!Q12</f>
        <v>0</v>
      </c>
      <c r="R9" s="507">
        <f>'HR Track 3 ZIC'!R12</f>
        <v>0</v>
      </c>
      <c r="S9" s="507">
        <f>'HR Track 3 ZIC'!S12</f>
        <v>0</v>
      </c>
      <c r="T9" s="506">
        <f>'HR Track 3 ZIC'!T12</f>
        <v>0</v>
      </c>
      <c r="U9" s="506">
        <f>'HR Track 3 ZIC'!U12</f>
        <v>0</v>
      </c>
      <c r="V9" s="506">
        <f>'HR Track 3 ZIC'!V12</f>
        <v>0</v>
      </c>
      <c r="W9" s="510">
        <f>'HR Track 3 ZIC'!W12</f>
        <v>0</v>
      </c>
      <c r="X9" s="510">
        <f>'HR Track 3 ZIC'!X12</f>
        <v>0</v>
      </c>
      <c r="Y9" s="510">
        <f>'HR Track 3 ZIC'!Y12</f>
        <v>0</v>
      </c>
      <c r="Z9" s="510">
        <f>'HR Track 3 ZIC'!Z12</f>
        <v>0</v>
      </c>
      <c r="AA9" s="510">
        <f>'HR Track 3 ZIC'!AA12</f>
        <v>0</v>
      </c>
      <c r="AB9" s="510">
        <f>'HR Track 3 ZIC'!AB12</f>
        <v>0</v>
      </c>
      <c r="AC9" s="508" t="str">
        <f>'HR Track 3 ZIC'!AC12</f>
        <v/>
      </c>
      <c r="AD9" s="508">
        <f>'HR Track 3 ZIC'!AD12</f>
        <v>0</v>
      </c>
      <c r="AE9" s="508">
        <f>'HR Track 3 ZIC'!AE12</f>
        <v>0</v>
      </c>
      <c r="AF9" s="506">
        <f>'HR Track 3 ZIC'!AF12</f>
        <v>0</v>
      </c>
      <c r="AG9" s="505">
        <f>'HR Track 3 ZIC'!AG12</f>
        <v>0</v>
      </c>
      <c r="AH9" s="506">
        <f>'HR Track 3 ZIC'!AH12</f>
        <v>0</v>
      </c>
      <c r="AI9" s="506">
        <f>'HR Track 3 ZIC'!AI12</f>
        <v>0</v>
      </c>
      <c r="AJ9" s="508">
        <f>'HR Track 3 ZIC'!AJ12</f>
        <v>0</v>
      </c>
      <c r="AK9" s="508">
        <f>'HR Track 3 ZIC'!AK12</f>
        <v>0</v>
      </c>
      <c r="AL9" s="508">
        <f>'HR Track 3 ZIC'!AL12</f>
        <v>0</v>
      </c>
      <c r="AM9" s="508">
        <f>'HR Track 3 ZIC'!AM12</f>
        <v>0</v>
      </c>
      <c r="AN9" s="510">
        <f>'HR Track 3 ZIC'!AN12</f>
        <v>0</v>
      </c>
      <c r="AO9" s="508">
        <f>'HR Track 3 ZIC'!AO12</f>
        <v>0</v>
      </c>
      <c r="AP9" s="508">
        <f>'HR Track 3 ZIC'!AP12</f>
        <v>0</v>
      </c>
      <c r="AQ9" s="510">
        <f>'HR Track 3 ZIC'!AQ12</f>
        <v>0.35000000000000925</v>
      </c>
      <c r="AR9" s="510">
        <f>'HR Track 3 ZIC'!AR12</f>
        <v>0</v>
      </c>
      <c r="AS9" s="510">
        <f>'HR Track 3 ZIC'!AS12</f>
        <v>0</v>
      </c>
      <c r="AT9" s="510">
        <f>'HR Track 3 ZIC'!AT12</f>
        <v>0</v>
      </c>
      <c r="AU9" s="511">
        <f>'HR Track 3 ZIC'!AU12</f>
        <v>0</v>
      </c>
      <c r="AV9" s="511">
        <f>'HR Track 3 ZIC'!AV12</f>
        <v>0</v>
      </c>
      <c r="AW9" s="508" t="str">
        <f>'HR Track 3 ZIC'!AW12</f>
        <v/>
      </c>
      <c r="AX9" s="508" t="str">
        <f>'HR Track 3 ZIC'!AX12</f>
        <v/>
      </c>
      <c r="AY9" s="510" t="str">
        <f>'HR Track 3 ZIC'!AY12</f>
        <v/>
      </c>
      <c r="AZ9" s="510" t="str">
        <f>'HR Track 3 ZIC'!AZ12</f>
        <v/>
      </c>
      <c r="BA9" s="578" t="str">
        <f>'HR Track 3 ZIC'!BA12</f>
        <v/>
      </c>
      <c r="BB9" s="491" t="str">
        <f>'HR Track 3 ZIC'!BB12</f>
        <v/>
      </c>
      <c r="BC9" s="491" t="str">
        <f>'HR Track 3 ZIC'!BC12</f>
        <v/>
      </c>
      <c r="BD9" s="512">
        <f>'HR Track 3 ZIC'!BD12</f>
        <v>0</v>
      </c>
      <c r="BE9" s="429" t="s">
        <v>118</v>
      </c>
      <c r="BF9" s="290"/>
      <c r="BG9" s="290"/>
      <c r="BH9" s="290"/>
      <c r="BI9" s="290"/>
    </row>
    <row r="10" spans="1:63" ht="16.149999999999999" customHeight="1">
      <c r="A10" s="502"/>
      <c r="B10" s="503" t="str">
        <f>'HR Track 3 ZIC'!B13</f>
        <v>34-3.03</v>
      </c>
      <c r="C10" s="504">
        <f>'HR Track 3 ZIC'!C13</f>
        <v>34090.65</v>
      </c>
      <c r="D10" s="505">
        <f>'HR Track 3 ZIC'!D13</f>
        <v>0</v>
      </c>
      <c r="E10" s="506">
        <f>'HR Track 3 ZIC'!E13</f>
        <v>0</v>
      </c>
      <c r="F10" s="506">
        <f>'HR Track 3 ZIC'!F13</f>
        <v>0</v>
      </c>
      <c r="G10" s="507">
        <f>'HR Track 3 ZIC'!G13</f>
        <v>0</v>
      </c>
      <c r="H10" s="508" t="str">
        <f>'HR Track 3 ZIC'!H13</f>
        <v>P50(CS) S/A</v>
      </c>
      <c r="I10" s="508">
        <f>'HR Track 3 ZIC'!I13</f>
        <v>0</v>
      </c>
      <c r="J10" s="509">
        <f>'HR Track 3 ZIC'!J13</f>
        <v>0</v>
      </c>
      <c r="K10" s="508">
        <f>'HR Track 3 ZIC'!K13</f>
        <v>0</v>
      </c>
      <c r="L10" s="508" t="str">
        <f>'HR Track 3 ZIC'!L13</f>
        <v>HEB-280L</v>
      </c>
      <c r="M10" s="508" t="str">
        <f>'HR Track 3 ZIC'!M13</f>
        <v>C5R</v>
      </c>
      <c r="N10" s="508" t="str">
        <f>'HR Track 3 ZIC'!N13</f>
        <v>EMT-2</v>
      </c>
      <c r="O10" s="508" t="str">
        <f>'HR Track 3 ZIC'!O13</f>
        <v>EMT-1</v>
      </c>
      <c r="P10" s="508" t="str">
        <f>'HR Track 3 ZIC'!P13</f>
        <v>EMT-T</v>
      </c>
      <c r="Q10" s="506">
        <f>'HR Track 3 ZIC'!Q13</f>
        <v>0</v>
      </c>
      <c r="R10" s="507">
        <f>'HR Track 3 ZIC'!R13</f>
        <v>0</v>
      </c>
      <c r="S10" s="507">
        <f>'HR Track 3 ZIC'!S13</f>
        <v>0</v>
      </c>
      <c r="T10" s="506">
        <f>'HR Track 3 ZIC'!T13</f>
        <v>-20</v>
      </c>
      <c r="U10" s="506">
        <f>'HR Track 3 ZIC'!U13</f>
        <v>-35</v>
      </c>
      <c r="V10" s="506">
        <f>'HR Track 3 ZIC'!V13</f>
        <v>-55</v>
      </c>
      <c r="W10" s="510">
        <f>'HR Track 3 ZIC'!W13</f>
        <v>1.4</v>
      </c>
      <c r="X10" s="510">
        <f>'HR Track 3 ZIC'!X13</f>
        <v>1.8</v>
      </c>
      <c r="Y10" s="510">
        <f>'HR Track 3 ZIC'!Y13</f>
        <v>2</v>
      </c>
      <c r="Z10" s="510">
        <f>'HR Track 3 ZIC'!Z13</f>
        <v>0</v>
      </c>
      <c r="AA10" s="510">
        <f>'HR Track 3 ZIC'!AA13</f>
        <v>0</v>
      </c>
      <c r="AB10" s="510">
        <f>'HR Track 3 ZIC'!AB13</f>
        <v>0.3</v>
      </c>
      <c r="AC10" s="508" t="str">
        <f>'HR Track 3 ZIC'!AC13</f>
        <v>PH</v>
      </c>
      <c r="AD10" s="508">
        <f>'HR Track 3 ZIC'!AD13</f>
        <v>0</v>
      </c>
      <c r="AE10" s="508">
        <f>'HR Track 3 ZIC'!AE13</f>
        <v>0</v>
      </c>
      <c r="AF10" s="506">
        <f>'HR Track 3 ZIC'!AF13</f>
        <v>0</v>
      </c>
      <c r="AG10" s="505">
        <f>'HR Track 3 ZIC'!AG13</f>
        <v>0</v>
      </c>
      <c r="AH10" s="506">
        <f>'HR Track 3 ZIC'!AH13</f>
        <v>0</v>
      </c>
      <c r="AI10" s="506">
        <f>'HR Track 3 ZIC'!AI13</f>
        <v>0</v>
      </c>
      <c r="AJ10" s="508" t="str">
        <f>'HR Track 3 ZIC'!AJ13</f>
        <v>SECT-I</v>
      </c>
      <c r="AK10" s="508">
        <f>'HR Track 3 ZIC'!AK13</f>
        <v>0</v>
      </c>
      <c r="AL10" s="508" t="str">
        <f>'HR Track 3 ZIC'!AL13</f>
        <v>PR1B</v>
      </c>
      <c r="AM10" s="508" t="str">
        <f>'HR Track 3 ZIC'!AM13</f>
        <v>RW2</v>
      </c>
      <c r="AN10" s="510">
        <f>'HR Track 3 ZIC'!AN13</f>
        <v>5.5</v>
      </c>
      <c r="AO10" s="508">
        <f>'HR Track 3 ZIC'!AO13</f>
        <v>0</v>
      </c>
      <c r="AP10" s="508">
        <f>'HR Track 3 ZIC'!AP13</f>
        <v>0</v>
      </c>
      <c r="AQ10" s="510">
        <f>'HR Track 3 ZIC'!AQ13</f>
        <v>0</v>
      </c>
      <c r="AR10" s="510">
        <f>'HR Track 3 ZIC'!AR13</f>
        <v>0</v>
      </c>
      <c r="AS10" s="510">
        <f>'HR Track 3 ZIC'!AS13</f>
        <v>0</v>
      </c>
      <c r="AT10" s="510">
        <f>'HR Track 3 ZIC'!AT13</f>
        <v>-9.6130704912461908</v>
      </c>
      <c r="AU10" s="511">
        <f>'HR Track 3 ZIC'!AU13</f>
        <v>0</v>
      </c>
      <c r="AV10" s="511">
        <f>'HR Track 3 ZIC'!AV13</f>
        <v>0</v>
      </c>
      <c r="AW10" s="508" t="str">
        <f>'HR Track 3 ZIC'!AW13</f>
        <v>Multi Soil</v>
      </c>
      <c r="AX10" s="508" t="str">
        <f>'HR Track 3 ZIC'!AX13</f>
        <v>PT</v>
      </c>
      <c r="AY10" s="510">
        <f>'HR Track 3 ZIC'!AY13</f>
        <v>3.5</v>
      </c>
      <c r="AZ10" s="510" t="str">
        <f>'HR Track 3 ZIC'!AZ13</f>
        <v/>
      </c>
      <c r="BA10" s="495" t="str">
        <f>'HR Track 3 ZIC'!BA13</f>
        <v>ü</v>
      </c>
      <c r="BB10" s="495" t="str">
        <f>'HR Track 3 ZIC'!BB13</f>
        <v/>
      </c>
      <c r="BC10" s="495" t="str">
        <f>'HR Track 3 ZIC'!BC13</f>
        <v/>
      </c>
      <c r="BD10" s="512" t="str">
        <f>'HR Track 3 ZIC'!BD13</f>
        <v>App.8-V08H-P10.3</v>
      </c>
      <c r="BE10" s="429" t="s">
        <v>118</v>
      </c>
      <c r="BF10" s="289"/>
      <c r="BG10" s="289"/>
      <c r="BH10" s="290"/>
      <c r="BI10" s="289"/>
    </row>
    <row r="11" spans="1:63" ht="16.149999999999999" customHeight="1">
      <c r="A11" s="545"/>
      <c r="B11" s="450"/>
      <c r="C11" s="3"/>
      <c r="D11" s="83"/>
      <c r="E11" s="4"/>
      <c r="F11" s="4"/>
      <c r="G11" s="6">
        <v>25</v>
      </c>
      <c r="H11" s="449"/>
      <c r="I11" s="449"/>
      <c r="J11" s="3"/>
      <c r="K11" s="449"/>
      <c r="L11" s="449"/>
      <c r="M11" s="449" t="str">
        <f>IF(L11="","",
IF(AX11="PT",VLOOKUP(L11,Foundation_Calc!$V$79:$X$113,VLOOKUP(AX11,Foundation_Calc!$I$10:$J$13,2,FALSE),0),
IF(AX11="K",VLOOKUP(L11,Foundation_Calc!$V$117:$X$151,VLOOKUP(AX11,Foundation_Calc!$I$10:$J$13,2,FALSE),0),"")))</f>
        <v/>
      </c>
      <c r="N11" s="449"/>
      <c r="O11" s="449"/>
      <c r="P11" s="449"/>
      <c r="Q11" s="4"/>
      <c r="R11" s="6"/>
      <c r="S11" s="6"/>
      <c r="T11" s="4"/>
      <c r="U11" s="4"/>
      <c r="V11" s="4"/>
      <c r="W11" s="9"/>
      <c r="X11" s="9"/>
      <c r="Y11" s="9"/>
      <c r="Z11" s="9"/>
      <c r="AA11" s="9"/>
      <c r="AB11" s="9"/>
      <c r="AC11" s="449" t="str">
        <f t="shared" ref="AC11:AC37" si="0">IF(OR(AT11&gt;8,AT11&lt;-8),"PH",
IF(OR(AT11&gt;5,AT11&lt;-5),"PHQ",
IF(OR(AT11&gt;1,AT11&lt;-1),
"PHC","")))</f>
        <v/>
      </c>
      <c r="AD11" s="449"/>
      <c r="AE11" s="449"/>
      <c r="AF11" s="4"/>
      <c r="AG11" s="83"/>
      <c r="AH11" s="4"/>
      <c r="AI11" s="4"/>
      <c r="AJ11" s="449"/>
      <c r="AK11" s="449"/>
      <c r="AL11" s="449"/>
      <c r="AM11" s="449"/>
      <c r="AN11" s="10"/>
      <c r="AO11" s="9"/>
      <c r="AP11" s="9"/>
      <c r="AQ11" s="9">
        <f>+FL_2($T$12,$T$10,$G$11,1200,9.28, 1*$F$12)</f>
        <v>-0.20000000000005055</v>
      </c>
      <c r="AR11" s="9"/>
      <c r="AS11" s="9"/>
      <c r="AT11" s="9"/>
      <c r="AU11" s="428"/>
      <c r="AV11" s="428"/>
      <c r="AW11" s="449" t="str">
        <f>IF(C11&gt;0,VLOOKUP(C11,Foundation_Calc!$A$2:$C$13,3,1),
IF(J11&gt;0,VLOOKUP(J11,Foundation_Calc!$A$2:$C$13,3,1),""))</f>
        <v/>
      </c>
      <c r="AX11" s="449" t="str">
        <f>IF(C11&gt;0,VLOOKUP(C11,Foundation_Calc!$E$2:$G$13,3,1),
IF(J11&gt;0,VLOOKUP(J11,Foundation_Calc!$E$2:$G$13,3,1),""))</f>
        <v/>
      </c>
      <c r="AY11" s="10" t="str">
        <f>IF(L11="","",
IF(AX11="PT",VLOOKUP(L11,Foundation_Calc!$K$79:$R$113,VLOOKUP(AW11,Foundation_Calc!$I$2:$J$8,2,FALSE),0),
IF(AX11="K",VLOOKUP(L11,Foundation_Calc!$K$117:$R$151,VLOOKUP(AW11,Foundation_Calc!$I$2:$J$8,2,FALSE),0),"")))</f>
        <v/>
      </c>
      <c r="AZ11" s="10" t="str">
        <f>IF(K11="","",
IF(AX11="PT",VLOOKUP(K11,Foundation_Calc!$K$79:$R$113,VLOOKUP(AW11,Foundation_Calc!$I$2:$J$8,2,FALSE),0),
IF(AX11="K",VLOOKUP(K11,Foundation_Calc!$K$117:$R$151,VLOOKUP(AW11,Foundation_Calc!$I$2:$J$8,2,FALSE),0),"")))</f>
        <v/>
      </c>
      <c r="BA11" s="495" t="str">
        <f t="shared" ref="BA11:BB29" si="1">IF(AY11="","",IF(AY11&gt;0,"ü",""))</f>
        <v/>
      </c>
      <c r="BB11" s="495" t="str">
        <f t="shared" si="1"/>
        <v/>
      </c>
      <c r="BC11" s="495" t="str">
        <f t="shared" ref="BC11:BC29" si="2">IF(M11="","",IF(M11="U.S.","ü",IF(M11="U.S. N.D.","ü","")))</f>
        <v/>
      </c>
      <c r="BD11" s="513"/>
      <c r="BE11" s="429" t="s">
        <v>118</v>
      </c>
      <c r="BF11" s="290"/>
      <c r="BG11" s="290"/>
      <c r="BH11" s="290"/>
      <c r="BI11" s="290"/>
    </row>
    <row r="12" spans="1:63" ht="16.149999999999999" customHeight="1">
      <c r="A12" s="545"/>
      <c r="B12" s="450" t="s">
        <v>1648</v>
      </c>
      <c r="C12" s="3">
        <f>+$C$10+$G$11</f>
        <v>34115.65</v>
      </c>
      <c r="D12" s="83"/>
      <c r="E12" s="4"/>
      <c r="F12" s="4">
        <v>-350</v>
      </c>
      <c r="G12" s="6"/>
      <c r="H12" s="449" t="s">
        <v>284</v>
      </c>
      <c r="I12" s="449" t="s">
        <v>162</v>
      </c>
      <c r="J12" s="3"/>
      <c r="K12" s="449"/>
      <c r="L12" s="449" t="s">
        <v>250</v>
      </c>
      <c r="M12" s="449" t="str">
        <f>IF(L12="","",
IF(AX12="PT",VLOOKUP(L12,Foundation_Calc!$V$79:$X$113,VLOOKUP(AX12,Foundation_Calc!$I$10:$J$13,2,FALSE),0),
IF(AX12="K",VLOOKUP(L12,Foundation_Calc!$V$117:$X$151,VLOOKUP(AX12,Foundation_Calc!$I$10:$J$13,2,FALSE),0),"")))</f>
        <v>2C4R</v>
      </c>
      <c r="N12" s="449" t="s">
        <v>124</v>
      </c>
      <c r="O12" s="561"/>
      <c r="P12" s="449"/>
      <c r="Q12" s="4"/>
      <c r="R12" s="6"/>
      <c r="S12" s="6"/>
      <c r="T12" s="4">
        <v>-10</v>
      </c>
      <c r="U12" s="4"/>
      <c r="V12" s="4"/>
      <c r="W12" s="9">
        <v>1.4</v>
      </c>
      <c r="X12" s="9"/>
      <c r="Y12" s="9"/>
      <c r="Z12" s="9"/>
      <c r="AA12" s="9"/>
      <c r="AB12" s="9"/>
      <c r="AC12" s="449" t="str">
        <f t="shared" si="0"/>
        <v>PHC</v>
      </c>
      <c r="AD12" s="449"/>
      <c r="AE12" s="449"/>
      <c r="AF12" s="4"/>
      <c r="AG12" s="83"/>
      <c r="AH12" s="4"/>
      <c r="AI12" s="4"/>
      <c r="AJ12" s="449"/>
      <c r="AK12" s="449"/>
      <c r="AL12" s="449" t="s">
        <v>252</v>
      </c>
      <c r="AM12" s="449" t="s">
        <v>126</v>
      </c>
      <c r="AN12" s="10">
        <v>5.5</v>
      </c>
      <c r="AO12" s="9"/>
      <c r="AP12" s="9"/>
      <c r="AQ12" s="9"/>
      <c r="AR12" s="9"/>
      <c r="AS12" s="9"/>
      <c r="AT12" s="9">
        <f>+ab($T$12,$T$10,$T$14,$G$11,$G$13, 1*$F$12,1200)</f>
        <v>-3.4524823193894325</v>
      </c>
      <c r="AU12" s="428"/>
      <c r="AV12" s="428"/>
      <c r="AW12" s="449" t="str">
        <f>IF(C12&gt;0,VLOOKUP(C12,Foundation_Calc!$A$2:$C$13,3,1),
IF(J12&gt;0,VLOOKUP(J12,Foundation_Calc!$A$2:$C$13,3,1),""))</f>
        <v>Multi Soil</v>
      </c>
      <c r="AX12" s="449" t="str">
        <f>IF(C12&gt;0,VLOOKUP(C12,Foundation_Calc!$E$2:$G$33,3,1),
IF(J12&gt;0,VLOOKUP(J12,Foundation_Calc!$E$2:$G$33,3,1),""))</f>
        <v>PT</v>
      </c>
      <c r="AY12" s="10">
        <f>IF(L12="","",
IF(AX12="PT",VLOOKUP(L12,Foundation_Calc!$K$79:$R$113,VLOOKUP(AW12,Foundation_Calc!$I$2:$J$8,2,FALSE),0),
IF(AX12="K",VLOOKUP(L12,Foundation_Calc!$K$117:$R$151,VLOOKUP(AW12,Foundation_Calc!$I$2:$J$8,2,FALSE),0),"")))</f>
        <v>5.6</v>
      </c>
      <c r="AZ12" s="10" t="str">
        <f>IF(K12="","",
IF(AX12="PT",VLOOKUP(K12,Foundation_Calc!$K$79:$R$113,VLOOKUP(AW12,Foundation_Calc!$I$2:$J$8,2,FALSE),0),
IF(AX12="K",VLOOKUP(K12,Foundation_Calc!$K$117:$R$151,VLOOKUP(AW12,Foundation_Calc!$I$2:$J$8,2,FALSE),0),"")))</f>
        <v/>
      </c>
      <c r="BA12" s="495" t="str">
        <f t="shared" si="1"/>
        <v>ü</v>
      </c>
      <c r="BB12" s="495" t="str">
        <f t="shared" si="1"/>
        <v/>
      </c>
      <c r="BC12" s="495" t="str">
        <f t="shared" si="2"/>
        <v/>
      </c>
      <c r="BD12" s="513" t="str">
        <f>Pole_Calc!A$251</f>
        <v>App.8-V08H-P10.3</v>
      </c>
      <c r="BE12" s="429" t="s">
        <v>118</v>
      </c>
      <c r="BF12" s="289"/>
      <c r="BG12" s="289"/>
      <c r="BH12" s="290"/>
      <c r="BI12" s="289"/>
    </row>
    <row r="13" spans="1:63" ht="16.149999999999999" customHeight="1">
      <c r="A13" s="545"/>
      <c r="B13" s="450"/>
      <c r="C13" s="3"/>
      <c r="D13" s="83"/>
      <c r="E13" s="4"/>
      <c r="F13" s="4"/>
      <c r="G13" s="6">
        <v>22.8</v>
      </c>
      <c r="H13" s="449"/>
      <c r="I13" s="449">
        <v>227</v>
      </c>
      <c r="J13" s="3">
        <f>C12+7.5</f>
        <v>34123.15</v>
      </c>
      <c r="K13" s="449" t="s">
        <v>117</v>
      </c>
      <c r="L13" s="449"/>
      <c r="M13" s="449" t="str">
        <f>IF(L13="","",
IF(AX13="PT",VLOOKUP(L13,Foundation_Calc!$V$79:$X$113,VLOOKUP(AX13,Foundation_Calc!$I$10:$J$13,2,FALSE),0),
IF(AX13="K",VLOOKUP(L13,Foundation_Calc!$V$117:$X$151,VLOOKUP(AX13,Foundation_Calc!$I$10:$J$13,2,FALSE),0),"")))</f>
        <v/>
      </c>
      <c r="N13" s="449"/>
      <c r="O13" s="449"/>
      <c r="P13" s="449"/>
      <c r="Q13" s="4"/>
      <c r="R13" s="6"/>
      <c r="S13" s="6"/>
      <c r="T13" s="4"/>
      <c r="U13" s="4"/>
      <c r="V13" s="4"/>
      <c r="W13" s="9"/>
      <c r="X13" s="9"/>
      <c r="Y13" s="9"/>
      <c r="Z13" s="9"/>
      <c r="AA13" s="9"/>
      <c r="AB13" s="9"/>
      <c r="AC13" s="449" t="str">
        <f t="shared" si="0"/>
        <v/>
      </c>
      <c r="AD13" s="449"/>
      <c r="AE13" s="449"/>
      <c r="AF13" s="4"/>
      <c r="AG13" s="83"/>
      <c r="AH13" s="4"/>
      <c r="AI13" s="4"/>
      <c r="AJ13" s="449"/>
      <c r="AK13" s="449"/>
      <c r="AL13" s="449"/>
      <c r="AM13" s="449"/>
      <c r="AN13" s="10"/>
      <c r="AO13" s="9"/>
      <c r="AP13" s="9"/>
      <c r="AQ13" s="9">
        <f>+FL_2($T$14,$T$12,$G$13,1200,9.28, 1*$F$14)</f>
        <v>-0.3</v>
      </c>
      <c r="AR13" s="9"/>
      <c r="AS13" s="9"/>
      <c r="AT13" s="9"/>
      <c r="AU13" s="428"/>
      <c r="AV13" s="428"/>
      <c r="AW13" s="449" t="str">
        <f>IF(C13&gt;0,VLOOKUP(C13,Foundation_Calc!$A$2:$C$13,3,1),
IF(J13&gt;0,VLOOKUP(J13,Foundation_Calc!$A$2:$C$13,3,1),""))</f>
        <v>Multi Soil</v>
      </c>
      <c r="AX13" s="449" t="str">
        <f>IF(C13&gt;0,VLOOKUP(C13,Foundation_Calc!$E$2:$G$33,3,1),
IF(J13&gt;0,VLOOKUP(J13,Foundation_Calc!$E$2:$G$33,3,1),""))</f>
        <v>PT</v>
      </c>
      <c r="AY13" s="10" t="str">
        <f>IF(L13="","",
IF(AX13="PT",VLOOKUP(L13,Foundation_Calc!$K$79:$R$113,VLOOKUP(AW13,Foundation_Calc!$I$2:$J$8,2,FALSE),0),
IF(AX13="K",VLOOKUP(L13,Foundation_Calc!$K$117:$R$151,VLOOKUP(AW13,Foundation_Calc!$I$2:$J$8,2,FALSE),0),"")))</f>
        <v/>
      </c>
      <c r="AZ13" s="10">
        <f>IF(K13="","",
IF(AX13="PT",VLOOKUP(K13,Foundation_Calc!$K$79:$R$113,VLOOKUP(AW13,Foundation_Calc!$I$2:$J$8,2,FALSE),0),
IF(AX13="K",VLOOKUP(K13,Foundation_Calc!$K$117:$R$151,VLOOKUP(AW13,Foundation_Calc!$I$2:$J$8,2,FALSE),0),"")))</f>
        <v>3.9</v>
      </c>
      <c r="BA13" s="495" t="str">
        <f t="shared" si="1"/>
        <v/>
      </c>
      <c r="BB13" s="495" t="str">
        <f t="shared" si="1"/>
        <v>ü</v>
      </c>
      <c r="BC13" s="495" t="str">
        <f t="shared" si="2"/>
        <v/>
      </c>
      <c r="BD13" s="513" t="str">
        <f>IF(AND(L13="",H13=""),"",
IF(H13="",Pole_Calc!A$22,
IF(H13="MP",Pole_Calc!A$23,
IF(H13="AnMP",Pole_Calc!A$24,
IF(H13="A",Pole_Calc!A$25,
IF(H13="S/A",Pole_Calc!A$26,
IF(H13="A/S",Pole_Calc!A$27,"Poner a mano")))))))</f>
        <v/>
      </c>
      <c r="BE13" s="429" t="s">
        <v>118</v>
      </c>
      <c r="BF13" s="290"/>
      <c r="BG13" s="290"/>
      <c r="BH13" s="290"/>
      <c r="BI13" s="290"/>
    </row>
    <row r="14" spans="1:63" ht="16.149999999999999" customHeight="1">
      <c r="A14" s="514" t="s">
        <v>1649</v>
      </c>
      <c r="B14" s="450" t="s">
        <v>1650</v>
      </c>
      <c r="C14" s="3">
        <f>+$C$12+$G$13-0.1</f>
        <v>34138.350000000006</v>
      </c>
      <c r="D14" s="83"/>
      <c r="E14" s="4"/>
      <c r="F14" s="4">
        <v>-350</v>
      </c>
      <c r="G14" s="6"/>
      <c r="H14" s="449"/>
      <c r="I14" s="449"/>
      <c r="J14" s="3"/>
      <c r="K14" s="449"/>
      <c r="L14" s="449" t="s">
        <v>250</v>
      </c>
      <c r="M14" s="449" t="str">
        <f>IF(L14="","",
IF(AX14="PT",VLOOKUP(L14,Foundation_Calc!$V$79:$X$113,VLOOKUP(AX14,Foundation_Calc!$I$10:$J$13,2,FALSE),0),
IF(AX14="K",VLOOKUP(L14,Foundation_Calc!$V$117:$X$151,VLOOKUP(AX14,Foundation_Calc!$I$10:$J$13,2,FALSE),0),"")))</f>
        <v>2C4R</v>
      </c>
      <c r="N14" s="449" t="s">
        <v>124</v>
      </c>
      <c r="O14" s="561"/>
      <c r="P14" s="449"/>
      <c r="Q14" s="4"/>
      <c r="R14" s="6"/>
      <c r="S14" s="6"/>
      <c r="T14" s="4">
        <v>-30</v>
      </c>
      <c r="U14" s="4"/>
      <c r="V14" s="4"/>
      <c r="W14" s="9">
        <v>1.4</v>
      </c>
      <c r="X14" s="9"/>
      <c r="Y14" s="9"/>
      <c r="Z14" s="9"/>
      <c r="AA14" s="9"/>
      <c r="AB14" s="9"/>
      <c r="AC14" s="449" t="str">
        <f t="shared" si="0"/>
        <v>PHC</v>
      </c>
      <c r="AD14" s="449"/>
      <c r="AE14" s="449"/>
      <c r="AF14" s="4"/>
      <c r="AG14" s="83"/>
      <c r="AH14" s="4"/>
      <c r="AI14" s="4"/>
      <c r="AJ14" s="449" t="s">
        <v>251</v>
      </c>
      <c r="AK14" s="449"/>
      <c r="AL14" s="449" t="s">
        <v>252</v>
      </c>
      <c r="AM14" s="449" t="s">
        <v>126</v>
      </c>
      <c r="AN14" s="10">
        <v>5.5</v>
      </c>
      <c r="AO14" s="9"/>
      <c r="AP14" s="9"/>
      <c r="AQ14" s="9"/>
      <c r="AR14" s="9"/>
      <c r="AS14" s="9"/>
      <c r="AT14" s="9">
        <f>+ab($T$14,$T$12,$T$16,$G$13,$G$15, 1*$F$14,1200)</f>
        <v>-1.8781040764353225</v>
      </c>
      <c r="AU14" s="428"/>
      <c r="AV14" s="428"/>
      <c r="AW14" s="449" t="str">
        <f>IF(C14&gt;0,VLOOKUP(C14,Foundation_Calc!$A$2:$C$13,3,1),
IF(J14&gt;0,VLOOKUP(J14,Foundation_Calc!$A$2:$C$13,3,1),""))</f>
        <v>Multi Soil</v>
      </c>
      <c r="AX14" s="449" t="str">
        <f>IF(C14&gt;0,VLOOKUP(C14,Foundation_Calc!$E$2:$G$33,3,1),
IF(J14&gt;0,VLOOKUP(J14,Foundation_Calc!$E$2:$G$33,3,1),""))</f>
        <v>PT</v>
      </c>
      <c r="AY14" s="10">
        <f>IF(L14="","",
IF(AX14="PT",VLOOKUP(L14,Foundation_Calc!$K$79:$R$113,VLOOKUP(AW14,Foundation_Calc!$I$2:$J$8,2,FALSE),0),
IF(AX14="K",VLOOKUP(L14,Foundation_Calc!$K$117:$R$151,VLOOKUP(AW14,Foundation_Calc!$I$2:$J$8,2,FALSE),0),"")))</f>
        <v>5.6</v>
      </c>
      <c r="AZ14" s="10" t="str">
        <f>IF(K14="","",
IF(AX14="PT",VLOOKUP(K14,Foundation_Calc!$K$79:$R$113,VLOOKUP(AW14,Foundation_Calc!$I$2:$J$8,2,FALSE),0),
IF(AX14="K",VLOOKUP(K14,Foundation_Calc!$K$117:$R$151,VLOOKUP(AW14,Foundation_Calc!$I$2:$J$8,2,FALSE),0),"")))</f>
        <v/>
      </c>
      <c r="BA14" s="495" t="str">
        <f t="shared" si="1"/>
        <v>ü</v>
      </c>
      <c r="BB14" s="495" t="str">
        <f t="shared" si="1"/>
        <v/>
      </c>
      <c r="BC14" s="495" t="str">
        <f t="shared" si="2"/>
        <v/>
      </c>
      <c r="BD14" s="513" t="str">
        <f>Pole_Calc!A$251</f>
        <v>App.8-V08H-P10.3</v>
      </c>
      <c r="BE14" s="429" t="s">
        <v>118</v>
      </c>
      <c r="BF14" s="289"/>
      <c r="BG14" s="289"/>
      <c r="BH14" s="290"/>
      <c r="BI14" s="289"/>
    </row>
    <row r="15" spans="1:63" ht="16.149999999999999" customHeight="1">
      <c r="A15" s="545"/>
      <c r="B15" s="450"/>
      <c r="C15" s="3"/>
      <c r="D15" s="83"/>
      <c r="E15" s="4"/>
      <c r="F15" s="4"/>
      <c r="G15" s="6">
        <v>27</v>
      </c>
      <c r="H15" s="449"/>
      <c r="I15" s="449"/>
      <c r="J15" s="3"/>
      <c r="K15" s="449"/>
      <c r="L15" s="449"/>
      <c r="M15" s="449" t="str">
        <f>IF(L15="","",
IF(AX15="PT",VLOOKUP(L15,Foundation_Calc!$V$79:$X$113,VLOOKUP(AX15,Foundation_Calc!$I$10:$J$13,2,FALSE),0),
IF(AX15="K",VLOOKUP(L15,Foundation_Calc!$V$117:$X$151,VLOOKUP(AX15,Foundation_Calc!$I$10:$J$13,2,FALSE),0),"")))</f>
        <v/>
      </c>
      <c r="N15" s="449"/>
      <c r="O15" s="449"/>
      <c r="P15" s="449"/>
      <c r="Q15" s="4"/>
      <c r="R15" s="6"/>
      <c r="S15" s="6"/>
      <c r="T15" s="4"/>
      <c r="U15" s="4"/>
      <c r="V15" s="4"/>
      <c r="W15" s="9"/>
      <c r="X15" s="9"/>
      <c r="Y15" s="9"/>
      <c r="Z15" s="9"/>
      <c r="AA15" s="9"/>
      <c r="AB15" s="9"/>
      <c r="AC15" s="449" t="str">
        <f t="shared" si="0"/>
        <v/>
      </c>
      <c r="AD15" s="449"/>
      <c r="AE15" s="449"/>
      <c r="AF15" s="4"/>
      <c r="AG15" s="83"/>
      <c r="AH15" s="4"/>
      <c r="AI15" s="4"/>
      <c r="AJ15" s="449"/>
      <c r="AK15" s="449"/>
      <c r="AL15" s="449"/>
      <c r="AM15" s="449"/>
      <c r="AN15" s="10"/>
      <c r="AO15" s="9"/>
      <c r="AP15" s="9"/>
      <c r="AQ15" s="9">
        <f>+FL_2($T$16,$T$14,$G$15,1200,9.28, 1*$F$16)</f>
        <v>-0.3000000000000167</v>
      </c>
      <c r="AR15" s="9"/>
      <c r="AS15" s="9"/>
      <c r="AT15" s="9"/>
      <c r="AU15" s="428"/>
      <c r="AV15" s="428"/>
      <c r="AW15" s="449" t="str">
        <f>IF(C15&gt;0,VLOOKUP(C15,Foundation_Calc!$A$2:$C$13,3,1),
IF(J15&gt;0,VLOOKUP(J15,Foundation_Calc!$A$2:$C$13,3,1),""))</f>
        <v/>
      </c>
      <c r="AX15" s="449" t="str">
        <f>IF(C15&gt;0,VLOOKUP(C15,Foundation_Calc!$E$2:$G$33,3,1),
IF(J15&gt;0,VLOOKUP(J15,Foundation_Calc!$E$2:$G$33,3,1),""))</f>
        <v/>
      </c>
      <c r="AY15" s="10" t="str">
        <f>IF(L15="","",
IF(AX15="PT",VLOOKUP(L15,Foundation_Calc!$K$79:$R$113,VLOOKUP(AW15,Foundation_Calc!$I$2:$J$8,2,FALSE),0),
IF(AX15="K",VLOOKUP(L15,Foundation_Calc!$K$117:$R$151,VLOOKUP(AW15,Foundation_Calc!$I$2:$J$8,2,FALSE),0),"")))</f>
        <v/>
      </c>
      <c r="AZ15" s="10" t="str">
        <f>IF(K15="","",
IF(AX15="PT",VLOOKUP(K15,Foundation_Calc!$K$79:$R$113,VLOOKUP(AW15,Foundation_Calc!$I$2:$J$8,2,FALSE),0),
IF(AX15="K",VLOOKUP(K15,Foundation_Calc!$K$117:$R$151,VLOOKUP(AW15,Foundation_Calc!$I$2:$J$8,2,FALSE),0),"")))</f>
        <v/>
      </c>
      <c r="BA15" s="495" t="str">
        <f t="shared" si="1"/>
        <v/>
      </c>
      <c r="BB15" s="495" t="str">
        <f t="shared" si="1"/>
        <v/>
      </c>
      <c r="BC15" s="495" t="str">
        <f t="shared" si="2"/>
        <v/>
      </c>
      <c r="BD15" s="513" t="str">
        <f>IF(AND(L15="",H15=""),"",
IF(H15="",Pole_Calc!A$22,
IF(H15="MP",Pole_Calc!A$23,
IF(H15="AnMP",Pole_Calc!A$24,
IF(H15="A",Pole_Calc!A$25,
IF(H15="S/A",Pole_Calc!A$26,
IF(H15="A/S",Pole_Calc!A$27,"Poner a mano")))))))</f>
        <v/>
      </c>
      <c r="BE15" s="429" t="s">
        <v>118</v>
      </c>
      <c r="BF15" s="290"/>
      <c r="BG15" s="290"/>
      <c r="BH15" s="290"/>
      <c r="BI15" s="290"/>
    </row>
    <row r="16" spans="1:63" ht="16.149999999999999" customHeight="1">
      <c r="A16" s="545"/>
      <c r="B16" s="450" t="s">
        <v>1651</v>
      </c>
      <c r="C16" s="3">
        <f>+$C$14+$G$15</f>
        <v>34165.350000000006</v>
      </c>
      <c r="D16" s="83"/>
      <c r="E16" s="4"/>
      <c r="F16" s="4">
        <v>0</v>
      </c>
      <c r="G16" s="6"/>
      <c r="H16" s="449"/>
      <c r="I16" s="449"/>
      <c r="J16" s="3"/>
      <c r="K16" s="449"/>
      <c r="L16" s="449" t="s">
        <v>250</v>
      </c>
      <c r="M16" s="449" t="str">
        <f>IF(L16="","",
IF(AX16="PT",VLOOKUP(L16,Foundation_Calc!$V$79:$X$113,VLOOKUP(AX16,Foundation_Calc!$I$10:$J$13,2,FALSE),0),
IF(AX16="K",VLOOKUP(L16,Foundation_Calc!$V$117:$X$151,VLOOKUP(AX16,Foundation_Calc!$I$10:$J$13,2,FALSE),0),"")))</f>
        <v>2C4R</v>
      </c>
      <c r="N16" s="449" t="s">
        <v>134</v>
      </c>
      <c r="O16" s="449"/>
      <c r="P16" s="449"/>
      <c r="Q16" s="4"/>
      <c r="R16" s="6"/>
      <c r="S16" s="6"/>
      <c r="T16" s="4">
        <v>30</v>
      </c>
      <c r="U16" s="4"/>
      <c r="V16" s="4"/>
      <c r="W16" s="9">
        <v>1.4</v>
      </c>
      <c r="X16" s="9"/>
      <c r="Y16" s="9"/>
      <c r="Z16" s="9"/>
      <c r="AA16" s="9"/>
      <c r="AB16" s="9"/>
      <c r="AC16" s="449" t="str">
        <f t="shared" si="0"/>
        <v>PHC</v>
      </c>
      <c r="AD16" s="449"/>
      <c r="AE16" s="449"/>
      <c r="AF16" s="4"/>
      <c r="AG16" s="83"/>
      <c r="AH16" s="4"/>
      <c r="AI16" s="4"/>
      <c r="AJ16" s="449"/>
      <c r="AK16" s="449"/>
      <c r="AL16" s="449" t="s">
        <v>252</v>
      </c>
      <c r="AM16" s="449" t="s">
        <v>126</v>
      </c>
      <c r="AN16" s="10">
        <v>5.5</v>
      </c>
      <c r="AO16" s="9"/>
      <c r="AP16" s="9"/>
      <c r="AQ16" s="9"/>
      <c r="AR16" s="9"/>
      <c r="AS16" s="9"/>
      <c r="AT16" s="9">
        <f>+ab($T$16,$T$14,$T$18,$G$15,$G$17, 1*$F$16,1200)</f>
        <v>4.3637778131394791</v>
      </c>
      <c r="AU16" s="428"/>
      <c r="AV16" s="428"/>
      <c r="AW16" s="449" t="str">
        <f>IF(C16&gt;0,VLOOKUP(C16,Foundation_Calc!$A$2:$C$13,3,1),
IF(J16&gt;0,VLOOKUP(J16,Foundation_Calc!$A$2:$C$13,3,1),""))</f>
        <v>Multi Soil</v>
      </c>
      <c r="AX16" s="449" t="str">
        <f>IF(C16&gt;0,VLOOKUP(C16,Foundation_Calc!$E$2:$G$33,3,1),
IF(J16&gt;0,VLOOKUP(J16,Foundation_Calc!$E$2:$G$33,3,1),""))</f>
        <v>PT</v>
      </c>
      <c r="AY16" s="10">
        <f>IF(L16="","",
IF(AX16="PT",VLOOKUP(L16,Foundation_Calc!$K$79:$R$113,VLOOKUP(AW16,Foundation_Calc!$I$2:$J$8,2,FALSE),0),
IF(AX16="K",VLOOKUP(L16,Foundation_Calc!$K$117:$R$151,VLOOKUP(AW16,Foundation_Calc!$I$2:$J$8,2,FALSE),0),"")))</f>
        <v>5.6</v>
      </c>
      <c r="AZ16" s="10" t="str">
        <f>IF(K16="","",
IF(AX16="PT",VLOOKUP(K16,Foundation_Calc!$K$79:$R$113,VLOOKUP(AW16,Foundation_Calc!$I$2:$J$8,2,FALSE),0),
IF(AX16="K",VLOOKUP(K16,Foundation_Calc!$K$117:$R$151,VLOOKUP(AW16,Foundation_Calc!$I$2:$J$8,2,FALSE),0),"")))</f>
        <v/>
      </c>
      <c r="BA16" s="495" t="str">
        <f t="shared" si="1"/>
        <v>ü</v>
      </c>
      <c r="BB16" s="495" t="str">
        <f t="shared" si="1"/>
        <v/>
      </c>
      <c r="BC16" s="495" t="str">
        <f t="shared" si="2"/>
        <v/>
      </c>
      <c r="BD16" s="513" t="str">
        <f>Pole_Calc!A$251</f>
        <v>App.8-V08H-P10.3</v>
      </c>
      <c r="BE16" s="429" t="s">
        <v>118</v>
      </c>
      <c r="BF16" s="289"/>
      <c r="BG16" s="289"/>
      <c r="BH16" s="290"/>
      <c r="BI16" s="289"/>
    </row>
    <row r="17" spans="1:61" ht="16.149999999999999" customHeight="1">
      <c r="A17" s="514"/>
      <c r="B17" s="450"/>
      <c r="C17" s="3"/>
      <c r="D17" s="83"/>
      <c r="E17" s="4"/>
      <c r="F17" s="4"/>
      <c r="G17" s="6">
        <v>30</v>
      </c>
      <c r="H17" s="449"/>
      <c r="I17" s="449"/>
      <c r="J17" s="3"/>
      <c r="K17" s="449"/>
      <c r="L17" s="449"/>
      <c r="M17" s="449" t="str">
        <f>IF(L17="","",
IF(AX17="PT",VLOOKUP(L17,Foundation_Calc!$V$79:$X$113,VLOOKUP(AX17,Foundation_Calc!$I$10:$J$13,2,FALSE),0),
IF(AX17="K",VLOOKUP(L17,Foundation_Calc!$V$117:$X$151,VLOOKUP(AX17,Foundation_Calc!$I$10:$J$13,2,FALSE),0),"")))</f>
        <v/>
      </c>
      <c r="N17" s="449"/>
      <c r="O17" s="449"/>
      <c r="P17" s="449"/>
      <c r="Q17" s="4"/>
      <c r="R17" s="6"/>
      <c r="S17" s="6"/>
      <c r="T17" s="4"/>
      <c r="U17" s="4"/>
      <c r="V17" s="4"/>
      <c r="W17" s="9"/>
      <c r="X17" s="9"/>
      <c r="Y17" s="9"/>
      <c r="Z17" s="9"/>
      <c r="AA17" s="9"/>
      <c r="AB17" s="9"/>
      <c r="AC17" s="449" t="str">
        <f t="shared" si="0"/>
        <v/>
      </c>
      <c r="AD17" s="449"/>
      <c r="AE17" s="449"/>
      <c r="AF17" s="4"/>
      <c r="AG17" s="83"/>
      <c r="AH17" s="4"/>
      <c r="AI17" s="4"/>
      <c r="AJ17" s="449"/>
      <c r="AK17" s="449"/>
      <c r="AL17" s="449"/>
      <c r="AM17" s="449"/>
      <c r="AN17" s="10"/>
      <c r="AO17" s="9"/>
      <c r="AP17" s="9"/>
      <c r="AQ17" s="9">
        <f>+FL_2($T$18,$T$16,$G$17,1200,9.28, 1*$F$18)</f>
        <v>-0.35</v>
      </c>
      <c r="AR17" s="9"/>
      <c r="AS17" s="9"/>
      <c r="AT17" s="9"/>
      <c r="AU17" s="428"/>
      <c r="AV17" s="428"/>
      <c r="AW17" s="449" t="str">
        <f>IF(C17&gt;0,VLOOKUP(C17,Foundation_Calc!$A$2:$C$13,3,1),
IF(J17&gt;0,VLOOKUP(J17,Foundation_Calc!$A$2:$C$13,3,1),""))</f>
        <v/>
      </c>
      <c r="AX17" s="449" t="str">
        <f>IF(C17&gt;0,VLOOKUP(C17,Foundation_Calc!$E$2:$G$33,3,1),
IF(J17&gt;0,VLOOKUP(J17,Foundation_Calc!$E$2:$G$33,3,1),""))</f>
        <v/>
      </c>
      <c r="AY17" s="10" t="str">
        <f>IF(L17="","",
IF(AX17="PT",VLOOKUP(L17,Foundation_Calc!$K$79:$R$113,VLOOKUP(AW17,Foundation_Calc!$I$2:$J$8,2,FALSE),0),
IF(AX17="K",VLOOKUP(L17,Foundation_Calc!$K$117:$R$151,VLOOKUP(AW17,Foundation_Calc!$I$2:$J$8,2,FALSE),0),"")))</f>
        <v/>
      </c>
      <c r="AZ17" s="10" t="str">
        <f>IF(K17="","",
IF(AX17="PT",VLOOKUP(K17,Foundation_Calc!$K$79:$R$113,VLOOKUP(AW17,Foundation_Calc!$I$2:$J$8,2,FALSE),0),
IF(AX17="K",VLOOKUP(K17,Foundation_Calc!$K$117:$R$151,VLOOKUP(AW17,Foundation_Calc!$I$2:$J$8,2,FALSE),0),"")))</f>
        <v/>
      </c>
      <c r="BA17" s="495" t="str">
        <f t="shared" si="1"/>
        <v/>
      </c>
      <c r="BB17" s="495" t="str">
        <f t="shared" si="1"/>
        <v/>
      </c>
      <c r="BC17" s="495" t="str">
        <f t="shared" si="2"/>
        <v/>
      </c>
      <c r="BD17" s="513"/>
      <c r="BE17" s="429" t="s">
        <v>118</v>
      </c>
      <c r="BF17" s="290"/>
      <c r="BG17" s="290"/>
      <c r="BH17" s="290"/>
      <c r="BI17" s="290"/>
    </row>
    <row r="18" spans="1:61" ht="16.149999999999999" customHeight="1">
      <c r="A18" s="514"/>
      <c r="B18" s="450" t="s">
        <v>1652</v>
      </c>
      <c r="C18" s="3">
        <f>+$C$16+$G$17</f>
        <v>34195.350000000006</v>
      </c>
      <c r="D18" s="83"/>
      <c r="E18" s="4"/>
      <c r="F18" s="4">
        <v>0</v>
      </c>
      <c r="G18" s="6"/>
      <c r="H18" s="449"/>
      <c r="I18" s="449"/>
      <c r="J18" s="3"/>
      <c r="K18" s="449"/>
      <c r="L18" s="449" t="s">
        <v>250</v>
      </c>
      <c r="M18" s="449" t="str">
        <f>IF(L18="","",
IF(AX18="PT",VLOOKUP(L18,Foundation_Calc!$V$79:$X$113,VLOOKUP(AX18,Foundation_Calc!$I$10:$J$13,2,FALSE),0),
IF(AX18="K",VLOOKUP(L18,Foundation_Calc!$V$117:$X$151,VLOOKUP(AX18,Foundation_Calc!$I$10:$J$13,2,FALSE),0),"")))</f>
        <v>2C4R</v>
      </c>
      <c r="N18" s="449" t="s">
        <v>124</v>
      </c>
      <c r="O18" s="449"/>
      <c r="P18" s="449"/>
      <c r="Q18" s="4"/>
      <c r="R18" s="6"/>
      <c r="S18" s="6"/>
      <c r="T18" s="4">
        <v>-35</v>
      </c>
      <c r="U18" s="4"/>
      <c r="V18" s="4"/>
      <c r="W18" s="9">
        <v>1.4</v>
      </c>
      <c r="X18" s="9"/>
      <c r="Y18" s="9"/>
      <c r="Z18" s="9"/>
      <c r="AA18" s="9"/>
      <c r="AB18" s="9"/>
      <c r="AC18" s="449" t="str">
        <f t="shared" si="0"/>
        <v>PHC</v>
      </c>
      <c r="AD18" s="449"/>
      <c r="AE18" s="449"/>
      <c r="AF18" s="4"/>
      <c r="AG18" s="83"/>
      <c r="AH18" s="4"/>
      <c r="AI18" s="4"/>
      <c r="AJ18" s="449"/>
      <c r="AK18" s="449"/>
      <c r="AL18" s="449" t="s">
        <v>252</v>
      </c>
      <c r="AM18" s="449" t="s">
        <v>126</v>
      </c>
      <c r="AN18" s="10">
        <v>5.5</v>
      </c>
      <c r="AO18" s="9"/>
      <c r="AP18" s="9"/>
      <c r="AQ18" s="9"/>
      <c r="AR18" s="9"/>
      <c r="AS18" s="9"/>
      <c r="AT18" s="9">
        <f>+ab($T$18,$T$16,$T$20,$G$17,$G$19, 1*$F$18,1200)</f>
        <v>-4.5955473672013216</v>
      </c>
      <c r="AU18" s="428"/>
      <c r="AV18" s="428"/>
      <c r="AW18" s="449" t="str">
        <f>IF(C18&gt;0,VLOOKUP(C18,Foundation_Calc!$A$2:$C$13,3,1),
IF(J18&gt;0,VLOOKUP(J18,Foundation_Calc!$A$2:$C$13,3,1),""))</f>
        <v>Multi Soil</v>
      </c>
      <c r="AX18" s="449" t="str">
        <f>IF(C18&gt;0,VLOOKUP(C18,Foundation_Calc!$E$2:$G$33,3,1),
IF(J18&gt;0,VLOOKUP(J18,Foundation_Calc!$E$2:$G$33,3,1),""))</f>
        <v>PT</v>
      </c>
      <c r="AY18" s="10">
        <f>IF(L18="","",
IF(AX18="PT",VLOOKUP(L18,Foundation_Calc!$K$79:$R$113,VLOOKUP(AW18,Foundation_Calc!$I$2:$J$8,2,FALSE),0),
IF(AX18="K",VLOOKUP(L18,Foundation_Calc!$K$117:$R$151,VLOOKUP(AW18,Foundation_Calc!$I$2:$J$8,2,FALSE),0),"")))</f>
        <v>5.6</v>
      </c>
      <c r="AZ18" s="10" t="str">
        <f>IF(K18="","",
IF(AX18="PT",VLOOKUP(K18,Foundation_Calc!$K$79:$R$113,VLOOKUP(AW18,Foundation_Calc!$I$2:$J$8,2,FALSE),0),
IF(AX18="K",VLOOKUP(K18,Foundation_Calc!$K$117:$R$151,VLOOKUP(AW18,Foundation_Calc!$I$2:$J$8,2,FALSE),0),"")))</f>
        <v/>
      </c>
      <c r="BA18" s="495" t="str">
        <f t="shared" si="1"/>
        <v>ü</v>
      </c>
      <c r="BB18" s="495" t="str">
        <f t="shared" si="1"/>
        <v/>
      </c>
      <c r="BC18" s="495" t="str">
        <f t="shared" si="2"/>
        <v/>
      </c>
      <c r="BD18" s="513" t="str">
        <f>Pole_Calc!A$251</f>
        <v>App.8-V08H-P10.3</v>
      </c>
      <c r="BE18" s="429" t="s">
        <v>118</v>
      </c>
      <c r="BF18" s="289"/>
      <c r="BG18" s="289"/>
      <c r="BH18" s="290"/>
      <c r="BI18" s="289"/>
    </row>
    <row r="19" spans="1:61" ht="16.149999999999999" customHeight="1">
      <c r="A19" s="514"/>
      <c r="B19" s="450"/>
      <c r="C19" s="3"/>
      <c r="D19" s="83"/>
      <c r="E19" s="4"/>
      <c r="F19" s="4"/>
      <c r="G19" s="6">
        <v>35</v>
      </c>
      <c r="H19" s="449"/>
      <c r="I19" s="449"/>
      <c r="J19" s="3"/>
      <c r="K19" s="449"/>
      <c r="L19" s="449"/>
      <c r="M19" s="449" t="str">
        <f>IF(L19="","",
IF(AX19="PT",VLOOKUP(L19,Foundation_Calc!$V$79:$X$113,VLOOKUP(AX19,Foundation_Calc!$I$10:$J$13,2,FALSE),0),
IF(AX19="K",VLOOKUP(L19,Foundation_Calc!$V$117:$X$151,VLOOKUP(AX19,Foundation_Calc!$I$10:$J$13,2,FALSE),0),"")))</f>
        <v/>
      </c>
      <c r="N19" s="449"/>
      <c r="O19" s="449"/>
      <c r="P19" s="449"/>
      <c r="Q19" s="4"/>
      <c r="R19" s="6"/>
      <c r="S19" s="6"/>
      <c r="T19" s="4"/>
      <c r="U19" s="4"/>
      <c r="V19" s="4"/>
      <c r="W19" s="9"/>
      <c r="X19" s="9"/>
      <c r="Y19" s="9"/>
      <c r="Z19" s="9"/>
      <c r="AA19" s="9"/>
      <c r="AB19" s="9"/>
      <c r="AC19" s="449" t="str">
        <f t="shared" si="0"/>
        <v/>
      </c>
      <c r="AD19" s="449"/>
      <c r="AE19" s="449"/>
      <c r="AF19" s="4"/>
      <c r="AG19" s="83"/>
      <c r="AH19" s="4"/>
      <c r="AI19" s="4"/>
      <c r="AJ19" s="449"/>
      <c r="AK19" s="449"/>
      <c r="AL19" s="449"/>
      <c r="AM19" s="449"/>
      <c r="AN19" s="10"/>
      <c r="AO19" s="9"/>
      <c r="AP19" s="9"/>
      <c r="AQ19" s="9">
        <f>+FL_2($T$20,$T$18,$G$19,1200,9.28, 1*$F$20)</f>
        <v>-0.35000000000001025</v>
      </c>
      <c r="AR19" s="9"/>
      <c r="AS19" s="9"/>
      <c r="AT19" s="9"/>
      <c r="AU19" s="428"/>
      <c r="AV19" s="428"/>
      <c r="AW19" s="449" t="str">
        <f>IF(C19&gt;0,VLOOKUP(C19,Foundation_Calc!$A$2:$C$13,3,1),
IF(J19&gt;0,VLOOKUP(J19,Foundation_Calc!$A$2:$C$13,3,1),""))</f>
        <v/>
      </c>
      <c r="AX19" s="449" t="str">
        <f>IF(C19&gt;0,VLOOKUP(C19,Foundation_Calc!$E$2:$G$33,3,1),
IF(J19&gt;0,VLOOKUP(J19,Foundation_Calc!$E$2:$G$33,3,1),""))</f>
        <v/>
      </c>
      <c r="AY19" s="10" t="str">
        <f>IF(L19="","",
IF(AX19="PT",VLOOKUP(L19,Foundation_Calc!$K$79:$R$113,VLOOKUP(AW19,Foundation_Calc!$I$2:$J$8,2,FALSE),0),
IF(AX19="K",VLOOKUP(L19,Foundation_Calc!$K$117:$R$151,VLOOKUP(AW19,Foundation_Calc!$I$2:$J$8,2,FALSE),0),"")))</f>
        <v/>
      </c>
      <c r="AZ19" s="10" t="str">
        <f>IF(K19="","",
IF(AX19="PT",VLOOKUP(K19,Foundation_Calc!$K$79:$R$113,VLOOKUP(AW19,Foundation_Calc!$I$2:$J$8,2,FALSE),0),
IF(AX19="K",VLOOKUP(K19,Foundation_Calc!$K$117:$R$151,VLOOKUP(AW19,Foundation_Calc!$I$2:$J$8,2,FALSE),0),"")))</f>
        <v/>
      </c>
      <c r="BA19" s="495" t="str">
        <f t="shared" si="1"/>
        <v/>
      </c>
      <c r="BB19" s="495" t="str">
        <f t="shared" si="1"/>
        <v/>
      </c>
      <c r="BC19" s="495" t="str">
        <f t="shared" si="2"/>
        <v/>
      </c>
      <c r="BD19" s="513"/>
      <c r="BE19" s="429" t="s">
        <v>118</v>
      </c>
      <c r="BF19" s="290"/>
      <c r="BG19" s="290"/>
      <c r="BH19" s="290"/>
      <c r="BI19" s="290"/>
    </row>
    <row r="20" spans="1:61" ht="16.149999999999999" customHeight="1">
      <c r="A20" s="514"/>
      <c r="B20" s="450" t="s">
        <v>1653</v>
      </c>
      <c r="C20" s="3">
        <f>+$C$18+$G$19</f>
        <v>34230.350000000006</v>
      </c>
      <c r="D20" s="83"/>
      <c r="E20" s="4"/>
      <c r="F20" s="4">
        <v>0</v>
      </c>
      <c r="G20" s="6"/>
      <c r="H20" s="449"/>
      <c r="I20" s="4"/>
      <c r="J20" s="3"/>
      <c r="K20" s="449"/>
      <c r="L20" s="449" t="s">
        <v>250</v>
      </c>
      <c r="M20" s="449" t="str">
        <f>IF(L20="","",
IF(AX20="PT",VLOOKUP(L20,Foundation_Calc!$V$79:$X$113,VLOOKUP(AX20,Foundation_Calc!$I$10:$J$13,2,FALSE),0),
IF(AX20="K",VLOOKUP(L20,Foundation_Calc!$V$117:$X$151,VLOOKUP(AX20,Foundation_Calc!$I$10:$J$13,2,FALSE),0),"")))</f>
        <v>2C4R</v>
      </c>
      <c r="N20" s="449" t="s">
        <v>134</v>
      </c>
      <c r="O20" s="449"/>
      <c r="P20" s="449"/>
      <c r="Q20" s="4"/>
      <c r="R20" s="6"/>
      <c r="S20" s="6"/>
      <c r="T20" s="4">
        <v>35</v>
      </c>
      <c r="U20" s="4"/>
      <c r="V20" s="4"/>
      <c r="W20" s="9">
        <v>1.4</v>
      </c>
      <c r="X20" s="9"/>
      <c r="Y20" s="9"/>
      <c r="Z20" s="9"/>
      <c r="AA20" s="9"/>
      <c r="AB20" s="9"/>
      <c r="AC20" s="449" t="str">
        <f t="shared" si="0"/>
        <v>PHC</v>
      </c>
      <c r="AD20" s="449"/>
      <c r="AE20" s="449"/>
      <c r="AF20" s="4"/>
      <c r="AG20" s="83"/>
      <c r="AH20" s="4"/>
      <c r="AI20" s="4"/>
      <c r="AJ20" s="449"/>
      <c r="AK20" s="449"/>
      <c r="AL20" s="449" t="s">
        <v>252</v>
      </c>
      <c r="AM20" s="449" t="s">
        <v>126</v>
      </c>
      <c r="AN20" s="10">
        <v>5.5</v>
      </c>
      <c r="AO20" s="9"/>
      <c r="AP20" s="9"/>
      <c r="AQ20" s="9"/>
      <c r="AR20" s="9"/>
      <c r="AS20" s="9"/>
      <c r="AT20" s="9">
        <f>+ab($T$20,$T$18,$T$22,$G$19,$G$21, 1*$F$20,1200)</f>
        <v>4.7861487597277215</v>
      </c>
      <c r="AU20" s="428"/>
      <c r="AV20" s="428"/>
      <c r="AW20" s="449" t="str">
        <f>IF(C20&gt;0,VLOOKUP(C20,Foundation_Calc!$A$2:$C$13,3,1),
IF(J20&gt;0,VLOOKUP(J20,Foundation_Calc!$A$2:$C$13,3,1),""))</f>
        <v>Multi Soil</v>
      </c>
      <c r="AX20" s="449" t="str">
        <f>IF(C20&gt;0,VLOOKUP(C20,Foundation_Calc!$E$2:$G$33,3,1),
IF(J20&gt;0,VLOOKUP(J20,Foundation_Calc!$E$2:$G$33,3,1),""))</f>
        <v>PT</v>
      </c>
      <c r="AY20" s="10">
        <f>IF(L20="","",
IF(AX20="PT",VLOOKUP(L20,Foundation_Calc!$K$79:$R$113,VLOOKUP(AW20,Foundation_Calc!$I$2:$J$8,2,FALSE),0),
IF(AX20="K",VLOOKUP(L20,Foundation_Calc!$K$117:$R$151,VLOOKUP(AW20,Foundation_Calc!$I$2:$J$8,2,FALSE),0),"")))</f>
        <v>5.6</v>
      </c>
      <c r="AZ20" s="10" t="str">
        <f>IF(K20="","",
IF(AX20="PT",VLOOKUP(K20,Foundation_Calc!$K$79:$R$113,VLOOKUP(AW20,Foundation_Calc!$I$2:$J$8,2,FALSE),0),
IF(AX20="K",VLOOKUP(K20,Foundation_Calc!$K$117:$R$151,VLOOKUP(AW20,Foundation_Calc!$I$2:$J$8,2,FALSE),0),"")))</f>
        <v/>
      </c>
      <c r="BA20" s="495" t="str">
        <f t="shared" si="1"/>
        <v>ü</v>
      </c>
      <c r="BB20" s="495" t="str">
        <f t="shared" si="1"/>
        <v/>
      </c>
      <c r="BC20" s="495" t="str">
        <f t="shared" si="2"/>
        <v/>
      </c>
      <c r="BD20" s="513" t="str">
        <f>Pole_Calc!A$251</f>
        <v>App.8-V08H-P10.3</v>
      </c>
      <c r="BE20" s="429" t="s">
        <v>118</v>
      </c>
      <c r="BF20" s="289"/>
      <c r="BG20" s="289"/>
      <c r="BH20" s="290"/>
      <c r="BI20" s="289"/>
    </row>
    <row r="21" spans="1:61" ht="16.149999999999999" customHeight="1">
      <c r="A21" s="517"/>
      <c r="B21" s="450"/>
      <c r="C21" s="3"/>
      <c r="D21" s="83"/>
      <c r="E21" s="4"/>
      <c r="F21" s="4"/>
      <c r="G21" s="6">
        <v>35</v>
      </c>
      <c r="H21" s="449"/>
      <c r="I21" s="449"/>
      <c r="J21" s="3"/>
      <c r="K21" s="449"/>
      <c r="L21" s="449"/>
      <c r="M21" s="449" t="str">
        <f>IF(L21="","",
IF(AX21="PT",VLOOKUP(L21,Foundation_Calc!$V$79:$X$113,VLOOKUP(AX21,Foundation_Calc!$I$10:$J$13,2,FALSE),0),
IF(AX21="K",VLOOKUP(L21,Foundation_Calc!$V$117:$X$151,VLOOKUP(AX21,Foundation_Calc!$I$10:$J$13,2,FALSE),0),"")))</f>
        <v/>
      </c>
      <c r="N21" s="449"/>
      <c r="O21" s="449"/>
      <c r="P21" s="449"/>
      <c r="Q21" s="4"/>
      <c r="R21" s="6"/>
      <c r="S21" s="6"/>
      <c r="T21" s="4"/>
      <c r="U21" s="4"/>
      <c r="V21" s="4"/>
      <c r="W21" s="572"/>
      <c r="X21" s="572"/>
      <c r="Y21" s="9"/>
      <c r="Z21" s="9"/>
      <c r="AA21" s="9"/>
      <c r="AB21" s="9"/>
      <c r="AC21" s="449" t="str">
        <f t="shared" si="0"/>
        <v/>
      </c>
      <c r="AD21" s="449"/>
      <c r="AE21" s="449"/>
      <c r="AF21" s="4"/>
      <c r="AG21" s="83"/>
      <c r="AH21" s="4"/>
      <c r="AI21" s="4"/>
      <c r="AJ21" s="449"/>
      <c r="AK21" s="449"/>
      <c r="AL21" s="449"/>
      <c r="AM21" s="449"/>
      <c r="AN21" s="10"/>
      <c r="AO21" s="9"/>
      <c r="AP21" s="9"/>
      <c r="AQ21" s="9">
        <f>+FL_1($T$22,$T$20,$G$21,1200,9.28, 1*$F$22)</f>
        <v>0.35000000000001025</v>
      </c>
      <c r="AR21" s="9"/>
      <c r="AS21" s="9"/>
      <c r="AT21" s="9"/>
      <c r="AU21" s="428"/>
      <c r="AV21" s="428"/>
      <c r="AW21" s="449" t="str">
        <f>IF(C21&gt;0,VLOOKUP(C21,Foundation_Calc!$A$2:$C$13,3,1),
IF(J21&gt;0,VLOOKUP(J21,Foundation_Calc!$A$2:$C$13,3,1),""))</f>
        <v/>
      </c>
      <c r="AX21" s="449" t="str">
        <f>IF(C21&gt;0,VLOOKUP(C21,Foundation_Calc!$E$2:$G$33,3,1),
IF(J21&gt;0,VLOOKUP(J21,Foundation_Calc!$E$2:$G$33,3,1),""))</f>
        <v/>
      </c>
      <c r="AY21" s="10" t="str">
        <f>IF(L21="","",
IF(AX21="PT",VLOOKUP(L21,Foundation_Calc!$K$79:$R$113,VLOOKUP(AW21,Foundation_Calc!$I$2:$J$8,2,FALSE),0),
IF(AX21="K",VLOOKUP(L21,Foundation_Calc!$K$117:$R$151,VLOOKUP(AW21,Foundation_Calc!$I$2:$J$8,2,FALSE),0),"")))</f>
        <v/>
      </c>
      <c r="AZ21" s="10" t="str">
        <f>IF(K21="","",
IF(AX21="PT",VLOOKUP(K21,Foundation_Calc!$K$79:$R$113,VLOOKUP(AW21,Foundation_Calc!$I$2:$J$8,2,FALSE),0),
IF(AX21="K",VLOOKUP(K21,Foundation_Calc!$K$117:$R$151,VLOOKUP(AW21,Foundation_Calc!$I$2:$J$8,2,FALSE),0),"")))</f>
        <v/>
      </c>
      <c r="BA21" s="495" t="str">
        <f t="shared" si="1"/>
        <v/>
      </c>
      <c r="BB21" s="495" t="str">
        <f t="shared" si="1"/>
        <v/>
      </c>
      <c r="BC21" s="495" t="str">
        <f t="shared" si="2"/>
        <v/>
      </c>
      <c r="BD21" s="513"/>
      <c r="BE21" s="429" t="s">
        <v>118</v>
      </c>
      <c r="BF21" s="290"/>
      <c r="BG21" s="290"/>
      <c r="BH21" s="290"/>
      <c r="BI21" s="290"/>
    </row>
    <row r="22" spans="1:61" ht="16.149999999999999" customHeight="1">
      <c r="A22" s="514"/>
      <c r="B22" s="450" t="s">
        <v>1654</v>
      </c>
      <c r="C22" s="3">
        <f>+$C$20+$G$21</f>
        <v>34265.350000000006</v>
      </c>
      <c r="D22" s="83"/>
      <c r="E22" s="4"/>
      <c r="F22" s="4">
        <v>0</v>
      </c>
      <c r="G22" s="6"/>
      <c r="H22" s="449"/>
      <c r="I22" s="4"/>
      <c r="J22" s="3"/>
      <c r="K22" s="449"/>
      <c r="L22" s="449" t="s">
        <v>250</v>
      </c>
      <c r="M22" s="449" t="str">
        <f>IF(L22="","",
IF(AX22="PT",VLOOKUP(L22,Foundation_Calc!$V$79:$X$113,VLOOKUP(AX22,Foundation_Calc!$I$10:$J$13,2,FALSE),0),
IF(AX22="K",VLOOKUP(L22,Foundation_Calc!$V$117:$X$151,VLOOKUP(AX22,Foundation_Calc!$I$10:$J$13,2,FALSE),0),"")))</f>
        <v>2C4R</v>
      </c>
      <c r="N22" s="449" t="s">
        <v>124</v>
      </c>
      <c r="O22" s="449"/>
      <c r="P22" s="449"/>
      <c r="Q22" s="4"/>
      <c r="R22" s="6"/>
      <c r="S22" s="6"/>
      <c r="T22" s="4">
        <v>-35</v>
      </c>
      <c r="U22" s="4"/>
      <c r="V22" s="4"/>
      <c r="W22" s="9">
        <v>1.4</v>
      </c>
      <c r="X22" s="572"/>
      <c r="Y22" s="9"/>
      <c r="Z22" s="9"/>
      <c r="AA22" s="9"/>
      <c r="AB22" s="9"/>
      <c r="AC22" s="449" t="str">
        <f t="shared" si="0"/>
        <v>PHQ</v>
      </c>
      <c r="AD22" s="449"/>
      <c r="AE22" s="449"/>
      <c r="AF22" s="4"/>
      <c r="AG22" s="83"/>
      <c r="AH22" s="4"/>
      <c r="AI22" s="4"/>
      <c r="AJ22" s="449"/>
      <c r="AK22" s="449"/>
      <c r="AL22" s="449" t="s">
        <v>252</v>
      </c>
      <c r="AM22" s="449" t="s">
        <v>126</v>
      </c>
      <c r="AN22" s="10">
        <v>5.5</v>
      </c>
      <c r="AO22" s="9"/>
      <c r="AP22" s="9"/>
      <c r="AQ22" s="9"/>
      <c r="AR22" s="9"/>
      <c r="AS22" s="9"/>
      <c r="AT22" s="9">
        <f>+ab($T$22,$T$20,$T$24,$G$21,$G$23, 1*$F$22,1200)</f>
        <v>-5.3811096612138529</v>
      </c>
      <c r="AU22" s="428"/>
      <c r="AV22" s="428"/>
      <c r="AW22" s="449" t="str">
        <f>IF(C22&gt;0,VLOOKUP(C22,Foundation_Calc!$A$2:$C$13,3,1),
IF(J22&gt;0,VLOOKUP(J22,Foundation_Calc!$A$2:$C$13,3,1),""))</f>
        <v>Multi Soil</v>
      </c>
      <c r="AX22" s="449" t="str">
        <f>IF(C22&gt;0,VLOOKUP(C22,Foundation_Calc!$E$2:$G$33,3,1),
IF(J22&gt;0,VLOOKUP(J22,Foundation_Calc!$E$2:$G$33,3,1),""))</f>
        <v>PT</v>
      </c>
      <c r="AY22" s="10">
        <f>IF(L22="","",
IF(AX22="PT",VLOOKUP(L22,Foundation_Calc!$K$79:$R$113,VLOOKUP(AW22,Foundation_Calc!$I$2:$J$8,2,FALSE),0),
IF(AX22="K",VLOOKUP(L22,Foundation_Calc!$K$117:$R$151,VLOOKUP(AW22,Foundation_Calc!$I$2:$J$8,2,FALSE),0),"")))</f>
        <v>5.6</v>
      </c>
      <c r="AZ22" s="10" t="str">
        <f>IF(K22="","",
IF(AX22="PT",VLOOKUP(K22,Foundation_Calc!$K$79:$R$113,VLOOKUP(AW22,Foundation_Calc!$I$2:$J$8,2,FALSE),0),
IF(AX22="K",VLOOKUP(K22,Foundation_Calc!$K$117:$R$151,VLOOKUP(AW22,Foundation_Calc!$I$2:$J$8,2,FALSE),0),"")))</f>
        <v/>
      </c>
      <c r="BA22" s="495" t="str">
        <f t="shared" si="1"/>
        <v>ü</v>
      </c>
      <c r="BB22" s="495" t="str">
        <f t="shared" si="1"/>
        <v/>
      </c>
      <c r="BC22" s="495" t="str">
        <f t="shared" si="2"/>
        <v/>
      </c>
      <c r="BD22" s="513" t="str">
        <f>Pole_Calc!A$251</f>
        <v>App.8-V08H-P10.3</v>
      </c>
      <c r="BE22" s="429" t="s">
        <v>118</v>
      </c>
      <c r="BF22" s="289"/>
      <c r="BG22" s="289"/>
      <c r="BH22" s="290"/>
      <c r="BI22" s="289"/>
    </row>
    <row r="23" spans="1:61" ht="16.149999999999999" customHeight="1">
      <c r="A23" s="518"/>
      <c r="B23" s="450"/>
      <c r="C23" s="3"/>
      <c r="D23" s="83"/>
      <c r="E23" s="4"/>
      <c r="F23" s="4"/>
      <c r="G23" s="6">
        <v>45</v>
      </c>
      <c r="H23" s="449"/>
      <c r="I23" s="449"/>
      <c r="J23" s="3">
        <f>C24-7.5</f>
        <v>34302.850000000006</v>
      </c>
      <c r="K23" s="449" t="s">
        <v>117</v>
      </c>
      <c r="L23" s="449"/>
      <c r="M23" s="449" t="str">
        <f>IF(L23="","",
IF(AX23="PT",VLOOKUP(L23,Foundation_Calc!$V$79:$X$113,VLOOKUP(AX23,Foundation_Calc!$I$10:$J$13,2,FALSE),0),
IF(AX23="K",VLOOKUP(L23,Foundation_Calc!$V$117:$X$151,VLOOKUP(AX23,Foundation_Calc!$I$10:$J$13,2,FALSE),0),"")))</f>
        <v/>
      </c>
      <c r="N23" s="449"/>
      <c r="O23" s="449"/>
      <c r="P23" s="449"/>
      <c r="Q23" s="4"/>
      <c r="R23" s="6"/>
      <c r="S23" s="6"/>
      <c r="T23" s="4"/>
      <c r="U23" s="4"/>
      <c r="V23" s="4"/>
      <c r="W23" s="572"/>
      <c r="X23" s="572"/>
      <c r="Y23" s="9"/>
      <c r="Z23" s="9"/>
      <c r="AA23" s="9"/>
      <c r="AB23" s="9"/>
      <c r="AC23" s="449" t="str">
        <f t="shared" si="0"/>
        <v/>
      </c>
      <c r="AD23" s="449"/>
      <c r="AE23" s="449"/>
      <c r="AF23" s="4"/>
      <c r="AG23" s="83"/>
      <c r="AH23" s="4"/>
      <c r="AI23" s="4"/>
      <c r="AJ23" s="449"/>
      <c r="AK23" s="449"/>
      <c r="AL23" s="449"/>
      <c r="AM23" s="449"/>
      <c r="AN23" s="10"/>
      <c r="AO23" s="9"/>
      <c r="AP23" s="9"/>
      <c r="AQ23" s="9">
        <f>+FL_1($T$24,$T$22,$G$23,1200,9.28, 1*$F$24)</f>
        <v>0.35219954355555555</v>
      </c>
      <c r="AR23" s="9"/>
      <c r="AS23" s="9"/>
      <c r="AT23" s="9"/>
      <c r="AU23" s="428"/>
      <c r="AV23" s="428"/>
      <c r="AW23" s="449" t="str">
        <f>IF(C23&gt;0,VLOOKUP(C23,Foundation_Calc!$A$2:$C$13,3,1),
IF(J23&gt;0,VLOOKUP(J23,Foundation_Calc!$A$2:$C$13,3,1),""))</f>
        <v>Multi Soil</v>
      </c>
      <c r="AX23" s="449" t="str">
        <f>IF(C23&gt;0,VLOOKUP(C23,Foundation_Calc!$E$2:$G$33,3,1),
IF(J23&gt;0,VLOOKUP(J23,Foundation_Calc!$E$2:$G$33,3,1),""))</f>
        <v>PT</v>
      </c>
      <c r="AY23" s="10" t="str">
        <f>IF(L23="","",
IF(AX23="PT",VLOOKUP(L23,Foundation_Calc!$K$79:$R$113,VLOOKUP(AW23,Foundation_Calc!$I$2:$J$8,2,FALSE),0),
IF(AX23="K",VLOOKUP(L23,Foundation_Calc!$K$117:$R$151,VLOOKUP(AW23,Foundation_Calc!$I$2:$J$8,2,FALSE),0),"")))</f>
        <v/>
      </c>
      <c r="AZ23" s="10">
        <f>IF(K23="","",
IF(AX23="PT",VLOOKUP(K23,Foundation_Calc!$K$79:$R$113,VLOOKUP(AW23,Foundation_Calc!$I$2:$J$8,2,FALSE),0),
IF(AX23="K",VLOOKUP(K23,Foundation_Calc!$K$117:$R$151,VLOOKUP(AW23,Foundation_Calc!$I$2:$J$8,2,FALSE),0),"")))</f>
        <v>3.9</v>
      </c>
      <c r="BA23" s="495" t="str">
        <f t="shared" si="1"/>
        <v/>
      </c>
      <c r="BB23" s="495" t="str">
        <f t="shared" si="1"/>
        <v>ü</v>
      </c>
      <c r="BC23" s="495" t="str">
        <f t="shared" si="2"/>
        <v/>
      </c>
      <c r="BD23" s="513"/>
      <c r="BE23" s="429" t="s">
        <v>118</v>
      </c>
      <c r="BF23" s="290"/>
      <c r="BG23" s="290"/>
      <c r="BH23" s="290"/>
      <c r="BI23" s="290"/>
    </row>
    <row r="24" spans="1:61" ht="16.149999999999999" customHeight="1">
      <c r="A24" s="514"/>
      <c r="B24" s="450" t="s">
        <v>1655</v>
      </c>
      <c r="C24" s="3">
        <f>+$C$22+$G$23</f>
        <v>34310.350000000006</v>
      </c>
      <c r="D24" s="83"/>
      <c r="E24" s="4"/>
      <c r="F24" s="4">
        <v>0</v>
      </c>
      <c r="G24" s="6"/>
      <c r="H24" s="449" t="s">
        <v>460</v>
      </c>
      <c r="I24" s="449"/>
      <c r="J24" s="3"/>
      <c r="K24" s="449"/>
      <c r="L24" s="449" t="s">
        <v>250</v>
      </c>
      <c r="M24" s="449" t="str">
        <f>IF(L24="","",
IF(AX24="PT",VLOOKUP(L24,Foundation_Calc!$V$79:$X$113,VLOOKUP(AX24,Foundation_Calc!$I$10:$J$13,2,FALSE),0),
IF(AX24="K",VLOOKUP(L24,Foundation_Calc!$V$117:$X$151,VLOOKUP(AX24,Foundation_Calc!$I$10:$J$13,2,FALSE),0),"")))</f>
        <v>2C4R</v>
      </c>
      <c r="N24" s="449" t="s">
        <v>134</v>
      </c>
      <c r="O24" s="449"/>
      <c r="P24" s="449"/>
      <c r="Q24" s="4"/>
      <c r="R24" s="6"/>
      <c r="S24" s="6"/>
      <c r="T24" s="4">
        <v>35</v>
      </c>
      <c r="U24" s="4"/>
      <c r="V24" s="4"/>
      <c r="W24" s="9">
        <v>1.4</v>
      </c>
      <c r="X24" s="9"/>
      <c r="Y24" s="9"/>
      <c r="Z24" s="9"/>
      <c r="AA24" s="9"/>
      <c r="AB24" s="9"/>
      <c r="AC24" s="449" t="str">
        <f t="shared" si="0"/>
        <v>PHQ</v>
      </c>
      <c r="AD24" s="449"/>
      <c r="AE24" s="449"/>
      <c r="AF24" s="4"/>
      <c r="AG24" s="83"/>
      <c r="AH24" s="4"/>
      <c r="AI24" s="4"/>
      <c r="AJ24" s="449"/>
      <c r="AK24" s="449"/>
      <c r="AL24" s="449" t="s">
        <v>252</v>
      </c>
      <c r="AM24" s="449" t="s">
        <v>126</v>
      </c>
      <c r="AN24" s="10">
        <v>5.5</v>
      </c>
      <c r="AO24" s="9"/>
      <c r="AP24" s="9"/>
      <c r="AQ24" s="9"/>
      <c r="AR24" s="9"/>
      <c r="AS24" s="9"/>
      <c r="AT24" s="9">
        <f>+ab($T$24,$T$22,$T$26,$G$23,$G$25, 1*$F$24,1200)</f>
        <v>6.1443073419873819</v>
      </c>
      <c r="AU24" s="428"/>
      <c r="AV24" s="428"/>
      <c r="AW24" s="449" t="str">
        <f>IF(C24&gt;0,VLOOKUP(C24,Foundation_Calc!$A$2:$C$13,3,1),
IF(J24&gt;0,VLOOKUP(J24,Foundation_Calc!$A$2:$C$13,3,1),""))</f>
        <v>Multi Soil</v>
      </c>
      <c r="AX24" s="449" t="str">
        <f>IF(C24&gt;0,VLOOKUP(C24,Foundation_Calc!$E$2:$G$33,3,1),
IF(J24&gt;0,VLOOKUP(J24,Foundation_Calc!$E$2:$G$33,3,1),""))</f>
        <v>PT</v>
      </c>
      <c r="AY24" s="10">
        <f>IF(L24="","",
IF(AX24="PT",VLOOKUP(L24,Foundation_Calc!$K$79:$R$113,VLOOKUP(AW24,Foundation_Calc!$I$2:$J$8,2,FALSE),0),
IF(AX24="K",VLOOKUP(L24,Foundation_Calc!$K$117:$R$151,VLOOKUP(AW24,Foundation_Calc!$I$2:$J$8,2,FALSE),0),"")))</f>
        <v>5.6</v>
      </c>
      <c r="AZ24" s="10" t="str">
        <f>IF(K24="","",
IF(AX24="PT",VLOOKUP(K24,Foundation_Calc!$K$79:$R$113,VLOOKUP(AW24,Foundation_Calc!$I$2:$J$8,2,FALSE),0),
IF(AX24="K",VLOOKUP(K24,Foundation_Calc!$K$117:$R$151,VLOOKUP(AW24,Foundation_Calc!$I$2:$J$8,2,FALSE),0),"")))</f>
        <v/>
      </c>
      <c r="BA24" s="495" t="str">
        <f t="shared" si="1"/>
        <v>ü</v>
      </c>
      <c r="BB24" s="495" t="str">
        <f t="shared" si="1"/>
        <v/>
      </c>
      <c r="BC24" s="495" t="str">
        <f t="shared" si="2"/>
        <v/>
      </c>
      <c r="BD24" s="513" t="str">
        <f>Pole_Calc!A$251</f>
        <v>App.8-V08H-P10.3</v>
      </c>
      <c r="BE24" s="429" t="s">
        <v>118</v>
      </c>
      <c r="BF24" s="289"/>
      <c r="BG24" s="289"/>
      <c r="BH24" s="290"/>
      <c r="BI24" s="289"/>
    </row>
    <row r="25" spans="1:61" ht="16.149999999999999" customHeight="1">
      <c r="A25" s="517"/>
      <c r="B25" s="450"/>
      <c r="C25" s="3"/>
      <c r="D25" s="83"/>
      <c r="E25" s="4"/>
      <c r="F25" s="4"/>
      <c r="G25" s="6">
        <v>45</v>
      </c>
      <c r="H25" s="449"/>
      <c r="I25" s="4">
        <f>SUM(G7:G25)</f>
        <v>349.3</v>
      </c>
      <c r="J25" s="3"/>
      <c r="K25" s="449"/>
      <c r="L25" s="449"/>
      <c r="M25" s="449" t="str">
        <f>IF(L25="","",
IF(AX25="PT",VLOOKUP(L25,Foundation_Calc!$V$79:$X$113,VLOOKUP(AX25,Foundation_Calc!$I$10:$J$13,2,FALSE),0),
IF(AX25="K",VLOOKUP(L25,Foundation_Calc!$V$117:$X$151,VLOOKUP(AX25,Foundation_Calc!$I$10:$J$13,2,FALSE),0),"")))</f>
        <v/>
      </c>
      <c r="N25" s="449"/>
      <c r="O25" s="449"/>
      <c r="P25" s="449"/>
      <c r="Q25" s="4"/>
      <c r="R25" s="6"/>
      <c r="S25" s="6"/>
      <c r="T25" s="4"/>
      <c r="U25" s="4"/>
      <c r="V25" s="4"/>
      <c r="W25" s="572"/>
      <c r="X25" s="9"/>
      <c r="Y25" s="9"/>
      <c r="Z25" s="9"/>
      <c r="AA25" s="9"/>
      <c r="AB25" s="9"/>
      <c r="AC25" s="449" t="str">
        <f t="shared" si="0"/>
        <v/>
      </c>
      <c r="AD25" s="449"/>
      <c r="AE25" s="449"/>
      <c r="AF25" s="4"/>
      <c r="AG25" s="83"/>
      <c r="AH25" s="4"/>
      <c r="AI25" s="4"/>
      <c r="AJ25" s="449"/>
      <c r="AK25" s="449"/>
      <c r="AL25" s="449"/>
      <c r="AM25" s="449"/>
      <c r="AN25" s="10"/>
      <c r="AO25" s="9"/>
      <c r="AP25" s="9"/>
      <c r="AQ25" s="9">
        <f>+FL_2($T$26,$T$24,$G$25,1200,9.28, 1*$F$26)</f>
        <v>-0.35219954355555555</v>
      </c>
      <c r="AR25" s="9"/>
      <c r="AS25" s="9"/>
      <c r="AT25" s="9"/>
      <c r="AU25" s="428"/>
      <c r="AV25" s="428"/>
      <c r="AW25" s="449" t="str">
        <f>IF(C25&gt;0,VLOOKUP(C25,Foundation_Calc!$A$2:$C$13,3,1),
IF(J25&gt;0,VLOOKUP(J25,Foundation_Calc!$A$2:$C$13,3,1),""))</f>
        <v/>
      </c>
      <c r="AX25" s="449" t="str">
        <f>IF(C25&gt;0,VLOOKUP(C25,Foundation_Calc!$E$2:$G$33,3,1),
IF(J25&gt;0,VLOOKUP(J25,Foundation_Calc!$E$2:$G$33,3,1),""))</f>
        <v/>
      </c>
      <c r="AY25" s="10" t="str">
        <f>IF(L25="","",
IF(AX25="PT",VLOOKUP(L25,Foundation_Calc!$K$79:$R$113,VLOOKUP(AW25,Foundation_Calc!$I$2:$J$8,2,FALSE),0),
IF(AX25="K",VLOOKUP(L25,Foundation_Calc!$K$117:$R$151,VLOOKUP(AW25,Foundation_Calc!$I$2:$J$8,2,FALSE),0),"")))</f>
        <v/>
      </c>
      <c r="AZ25" s="10" t="str">
        <f>IF(K25="","",
IF(AX25="PT",VLOOKUP(K25,Foundation_Calc!$K$79:$R$113,VLOOKUP(AW25,Foundation_Calc!$I$2:$J$8,2,FALSE),0),
IF(AX25="K",VLOOKUP(K25,Foundation_Calc!$K$117:$R$151,VLOOKUP(AW25,Foundation_Calc!$I$2:$J$8,2,FALSE),0),"")))</f>
        <v/>
      </c>
      <c r="BA25" s="495" t="str">
        <f t="shared" si="1"/>
        <v/>
      </c>
      <c r="BB25" s="495" t="str">
        <f t="shared" si="1"/>
        <v/>
      </c>
      <c r="BC25" s="495" t="str">
        <f t="shared" si="2"/>
        <v/>
      </c>
      <c r="BD25" s="513"/>
      <c r="BE25" s="429" t="s">
        <v>118</v>
      </c>
      <c r="BF25" s="290"/>
      <c r="BG25" s="290"/>
      <c r="BH25" s="290"/>
      <c r="BI25" s="290"/>
    </row>
    <row r="26" spans="1:61" ht="16.149999999999999" customHeight="1">
      <c r="A26" s="514"/>
      <c r="B26" s="450" t="s">
        <v>1656</v>
      </c>
      <c r="C26" s="3">
        <f>+$C$24+$G$25</f>
        <v>34355.350000000006</v>
      </c>
      <c r="D26" s="83"/>
      <c r="E26" s="4"/>
      <c r="F26" s="4">
        <v>0</v>
      </c>
      <c r="G26" s="6"/>
      <c r="H26" s="449" t="s">
        <v>171</v>
      </c>
      <c r="I26" s="449"/>
      <c r="J26" s="3"/>
      <c r="K26" s="449"/>
      <c r="L26" s="449" t="s">
        <v>250</v>
      </c>
      <c r="M26" s="449" t="str">
        <f>IF(L26="","",
IF(AX26="PT",VLOOKUP(L26,Foundation_Calc!$V$79:$X$113,VLOOKUP(AX26,Foundation_Calc!$I$10:$J$13,2,FALSE),0),
IF(AX26="K",VLOOKUP(L26,Foundation_Calc!$V$117:$X$151,VLOOKUP(AX26,Foundation_Calc!$I$10:$J$13,2,FALSE),0),"")))</f>
        <v>2C4R</v>
      </c>
      <c r="N26" s="449" t="s">
        <v>124</v>
      </c>
      <c r="O26" s="449"/>
      <c r="P26" s="449"/>
      <c r="Q26" s="4"/>
      <c r="R26" s="6"/>
      <c r="S26" s="6"/>
      <c r="T26" s="4">
        <v>-35</v>
      </c>
      <c r="U26" s="4"/>
      <c r="V26" s="4"/>
      <c r="W26" s="9">
        <v>1.4</v>
      </c>
      <c r="X26" s="9"/>
      <c r="Y26" s="9"/>
      <c r="Z26" s="9"/>
      <c r="AA26" s="9"/>
      <c r="AB26" s="9"/>
      <c r="AC26" s="449" t="str">
        <f t="shared" si="0"/>
        <v>PHQ</v>
      </c>
      <c r="AD26" s="449"/>
      <c r="AE26" s="449"/>
      <c r="AF26" s="4"/>
      <c r="AG26" s="83"/>
      <c r="AH26" s="4"/>
      <c r="AI26" s="4"/>
      <c r="AJ26" s="449"/>
      <c r="AK26" s="449"/>
      <c r="AL26" s="449" t="s">
        <v>252</v>
      </c>
      <c r="AM26" s="449" t="s">
        <v>126</v>
      </c>
      <c r="AN26" s="10">
        <v>5.5</v>
      </c>
      <c r="AO26" s="9"/>
      <c r="AP26" s="9"/>
      <c r="AQ26" s="9"/>
      <c r="AR26" s="9"/>
      <c r="AS26" s="9"/>
      <c r="AT26" s="9">
        <f>+ab($T$26,$T$24,$T$28,$G$25,$G$27, 1*$F$26,1200)</f>
        <v>-6.2311294543776423</v>
      </c>
      <c r="AU26" s="428"/>
      <c r="AV26" s="428"/>
      <c r="AW26" s="449" t="str">
        <f>IF(C26&gt;0,VLOOKUP(C26,Foundation_Calc!$A$2:$C$13,3,1),
IF(J26&gt;0,VLOOKUP(J26,Foundation_Calc!$A$2:$C$13,3,1),""))</f>
        <v>Multi Soil</v>
      </c>
      <c r="AX26" s="449" t="str">
        <f>IF(C26&gt;0,VLOOKUP(C26,Foundation_Calc!$E$2:$G$33,3,1),
IF(J26&gt;0,VLOOKUP(J26,Foundation_Calc!$E$2:$G$33,3,1),""))</f>
        <v>PT</v>
      </c>
      <c r="AY26" s="10">
        <f>IF(L26="","",
IF(AX26="PT",VLOOKUP(L26,Foundation_Calc!$K$79:$R$113,VLOOKUP(AW26,Foundation_Calc!$I$2:$J$8,2,FALSE),0),
IF(AX26="K",VLOOKUP(L26,Foundation_Calc!$K$117:$R$151,VLOOKUP(AW26,Foundation_Calc!$I$2:$J$8,2,FALSE),0),"")))</f>
        <v>5.6</v>
      </c>
      <c r="AZ26" s="10" t="str">
        <f>IF(K26="","",
IF(AX26="PT",VLOOKUP(K26,Foundation_Calc!$K$79:$R$113,VLOOKUP(AW26,Foundation_Calc!$I$2:$J$8,2,FALSE),0),
IF(AX26="K",VLOOKUP(K26,Foundation_Calc!$K$117:$R$151,VLOOKUP(AW26,Foundation_Calc!$I$2:$J$8,2,FALSE),0),"")))</f>
        <v/>
      </c>
      <c r="BA26" s="495" t="str">
        <f t="shared" si="1"/>
        <v>ü</v>
      </c>
      <c r="BB26" s="495" t="str">
        <f t="shared" si="1"/>
        <v/>
      </c>
      <c r="BC26" s="495" t="str">
        <f t="shared" si="2"/>
        <v/>
      </c>
      <c r="BD26" s="513" t="str">
        <f>Pole_Calc!A$251</f>
        <v>App.8-V08H-P10.3</v>
      </c>
      <c r="BE26" s="429" t="s">
        <v>118</v>
      </c>
      <c r="BF26" s="289"/>
      <c r="BG26" s="289"/>
      <c r="BH26" s="290"/>
      <c r="BI26" s="289"/>
    </row>
    <row r="27" spans="1:61" ht="16.149999999999999" customHeight="1">
      <c r="A27" s="514"/>
      <c r="B27" s="450"/>
      <c r="C27" s="3"/>
      <c r="D27" s="83"/>
      <c r="E27" s="4"/>
      <c r="F27" s="4"/>
      <c r="G27" s="6">
        <v>46.3</v>
      </c>
      <c r="H27" s="449"/>
      <c r="I27" s="4">
        <f>SUM(G27:G43)</f>
        <v>340.40000000000003</v>
      </c>
      <c r="J27" s="3"/>
      <c r="K27" s="449"/>
      <c r="L27" s="449"/>
      <c r="M27" s="449" t="str">
        <f>IF(L27="","",
IF(AX27="PT",VLOOKUP(L27,Foundation_Calc!$V$79:$X$113,VLOOKUP(AX27,Foundation_Calc!$I$10:$J$13,2,FALSE),0),
IF(AX27="K",VLOOKUP(L27,Foundation_Calc!$V$117:$X$151,VLOOKUP(AX27,Foundation_Calc!$I$10:$J$13,2,FALSE),0),"")))</f>
        <v/>
      </c>
      <c r="N27" s="449"/>
      <c r="O27" s="449"/>
      <c r="P27" s="449"/>
      <c r="Q27" s="4"/>
      <c r="R27" s="6"/>
      <c r="S27" s="6"/>
      <c r="T27" s="4"/>
      <c r="U27" s="4"/>
      <c r="V27" s="4"/>
      <c r="W27" s="572"/>
      <c r="X27" s="572"/>
      <c r="Y27" s="9"/>
      <c r="Z27" s="9"/>
      <c r="AA27" s="9"/>
      <c r="AB27" s="9"/>
      <c r="AC27" s="449" t="str">
        <f t="shared" si="0"/>
        <v/>
      </c>
      <c r="AD27" s="449"/>
      <c r="AE27" s="449"/>
      <c r="AF27" s="4"/>
      <c r="AG27" s="83"/>
      <c r="AH27" s="4"/>
      <c r="AI27" s="4"/>
      <c r="AJ27" s="449"/>
      <c r="AK27" s="449"/>
      <c r="AL27" s="449"/>
      <c r="AM27" s="449"/>
      <c r="AN27" s="10"/>
      <c r="AO27" s="9"/>
      <c r="AP27" s="9"/>
      <c r="AQ27" s="9">
        <f>+FL_2($T$28,$T$26,$G$27,1200,9.28, 1*$F$28)</f>
        <v>-0.35501075421166295</v>
      </c>
      <c r="AR27" s="9"/>
      <c r="AS27" s="9"/>
      <c r="AT27" s="9"/>
      <c r="AU27" s="428"/>
      <c r="AV27" s="428"/>
      <c r="AW27" s="449" t="str">
        <f>IF(C27&gt;0,VLOOKUP(C27,Foundation_Calc!$A$2:$C$13,3,1),
IF(J27&gt;0,VLOOKUP(J27,Foundation_Calc!$A$2:$C$13,3,1),""))</f>
        <v/>
      </c>
      <c r="AX27" s="449" t="str">
        <f>IF(C27&gt;0,VLOOKUP(C27,Foundation_Calc!$E$2:$G$33,3,1),
IF(J27&gt;0,VLOOKUP(J27,Foundation_Calc!$E$2:$G$33,3,1),""))</f>
        <v/>
      </c>
      <c r="AY27" s="10" t="str">
        <f>IF(L27="","",
IF(AX27="PT",VLOOKUP(L27,Foundation_Calc!$K$79:$R$113,VLOOKUP(AW27,Foundation_Calc!$I$2:$J$8,2,FALSE),0),
IF(AX27="K",VLOOKUP(L27,Foundation_Calc!$K$117:$R$151,VLOOKUP(AW27,Foundation_Calc!$I$2:$J$8,2,FALSE),0),"")))</f>
        <v/>
      </c>
      <c r="AZ27" s="10" t="str">
        <f>IF(K27="","",
IF(AX27="PT",VLOOKUP(K27,Foundation_Calc!$K$79:$R$113,VLOOKUP(AW27,Foundation_Calc!$I$2:$J$8,2,FALSE),0),
IF(AX27="K",VLOOKUP(K27,Foundation_Calc!$K$117:$R$151,VLOOKUP(AW27,Foundation_Calc!$I$2:$J$8,2,FALSE),0),"")))</f>
        <v/>
      </c>
      <c r="BA27" s="495" t="str">
        <f t="shared" si="1"/>
        <v/>
      </c>
      <c r="BB27" s="495" t="str">
        <f t="shared" si="1"/>
        <v/>
      </c>
      <c r="BC27" s="495" t="str">
        <f t="shared" si="2"/>
        <v/>
      </c>
      <c r="BD27" s="513" t="str">
        <f>IF(AND(L27="",H27=""),"",
IF(H27="",Pole_Calc!A$22,
IF(H27="MP",Pole_Calc!A$23,
IF(H27="AnMP",Pole_Calc!A$24,
IF(H27="A",Pole_Calc!A$25,
IF(H27="S/A",Pole_Calc!A$26,
IF(H27="A/S",Pole_Calc!A$27,"Poner a mano")))))))</f>
        <v/>
      </c>
      <c r="BE27" s="429" t="s">
        <v>118</v>
      </c>
      <c r="BF27" s="290"/>
      <c r="BG27" s="290"/>
      <c r="BH27" s="290"/>
      <c r="BI27" s="290"/>
    </row>
    <row r="28" spans="1:61" ht="16.149999999999999" customHeight="1">
      <c r="A28" s="514"/>
      <c r="B28" s="450" t="s">
        <v>1657</v>
      </c>
      <c r="C28" s="3">
        <f>+$C$26+$G$27</f>
        <v>34401.650000000009</v>
      </c>
      <c r="D28" s="83"/>
      <c r="E28" s="4"/>
      <c r="F28" s="4">
        <v>0</v>
      </c>
      <c r="G28" s="6"/>
      <c r="H28" s="449" t="s">
        <v>168</v>
      </c>
      <c r="I28" s="449"/>
      <c r="J28" s="3"/>
      <c r="K28" s="449"/>
      <c r="L28" s="449" t="s">
        <v>250</v>
      </c>
      <c r="M28" s="449" t="str">
        <f>IF(L28="","",
IF(AX28="PT",VLOOKUP(L28,Foundation_Calc!$V$79:$X$113,VLOOKUP(AX28,Foundation_Calc!$I$10:$J$13,2,FALSE),0),
IF(AX28="K",VLOOKUP(L28,Foundation_Calc!$V$117:$X$151,VLOOKUP(AX28,Foundation_Calc!$I$10:$J$13,2,FALSE),0),"")))</f>
        <v>2C4R</v>
      </c>
      <c r="N28" s="449" t="s">
        <v>134</v>
      </c>
      <c r="O28" s="449"/>
      <c r="P28" s="449"/>
      <c r="Q28" s="4"/>
      <c r="R28" s="6"/>
      <c r="S28" s="6"/>
      <c r="T28" s="4">
        <v>35</v>
      </c>
      <c r="U28" s="4"/>
      <c r="V28" s="4"/>
      <c r="W28" s="9">
        <v>1.4</v>
      </c>
      <c r="X28" s="9"/>
      <c r="Y28" s="9"/>
      <c r="Z28" s="9"/>
      <c r="AA28" s="9"/>
      <c r="AB28" s="9"/>
      <c r="AC28" s="449" t="str">
        <f t="shared" si="0"/>
        <v>PHQ</v>
      </c>
      <c r="AD28" s="449"/>
      <c r="AE28" s="449"/>
      <c r="AF28" s="4"/>
      <c r="AG28" s="83"/>
      <c r="AH28" s="4"/>
      <c r="AI28" s="4"/>
      <c r="AJ28" s="449"/>
      <c r="AK28" s="449"/>
      <c r="AL28" s="449" t="s">
        <v>252</v>
      </c>
      <c r="AM28" s="449" t="s">
        <v>126</v>
      </c>
      <c r="AN28" s="10">
        <v>5.5</v>
      </c>
      <c r="AO28" s="9"/>
      <c r="AP28" s="9"/>
      <c r="AQ28" s="9"/>
      <c r="AR28" s="9"/>
      <c r="AS28" s="9"/>
      <c r="AT28" s="9">
        <f>+ab($T$28,$T$26,$T$30,$G$27,$G$29, 1*$F$28,1200)</f>
        <v>6.5611524729057766</v>
      </c>
      <c r="AU28" s="428"/>
      <c r="AV28" s="428"/>
      <c r="AW28" s="449" t="str">
        <f>IF(C28&gt;0,VLOOKUP(C28,Foundation_Calc!$A$2:$C$13,3,1),
IF(J28&gt;0,VLOOKUP(J28,Foundation_Calc!$A$2:$C$13,3,1),""))</f>
        <v>Multi Soil</v>
      </c>
      <c r="AX28" s="449" t="str">
        <f>IF(C28&gt;0,VLOOKUP(C28,Foundation_Calc!$E$2:$G$33,3,1),
IF(J28&gt;0,VLOOKUP(J28,Foundation_Calc!$E$2:$G$33,3,1),""))</f>
        <v>PT</v>
      </c>
      <c r="AY28" s="10">
        <f>IF(L28="","",
IF(AX28="PT",VLOOKUP(L28,Foundation_Calc!$K$79:$R$113,VLOOKUP(AW28,Foundation_Calc!$I$2:$J$8,2,FALSE),0),
IF(AX28="K",VLOOKUP(L28,Foundation_Calc!$K$117:$R$151,VLOOKUP(AW28,Foundation_Calc!$I$2:$J$8,2,FALSE),0),"")))</f>
        <v>5.6</v>
      </c>
      <c r="AZ28" s="10" t="str">
        <f>IF(K28="","",
IF(AX28="PT",VLOOKUP(K28,Foundation_Calc!$K$79:$R$113,VLOOKUP(AW28,Foundation_Calc!$I$2:$J$8,2,FALSE),0),
IF(AX28="K",VLOOKUP(K28,Foundation_Calc!$K$117:$R$151,VLOOKUP(AW28,Foundation_Calc!$I$2:$J$8,2,FALSE),0),"")))</f>
        <v/>
      </c>
      <c r="BA28" s="495" t="str">
        <f t="shared" si="1"/>
        <v>ü</v>
      </c>
      <c r="BB28" s="495" t="str">
        <f t="shared" si="1"/>
        <v/>
      </c>
      <c r="BC28" s="495" t="str">
        <f t="shared" si="2"/>
        <v/>
      </c>
      <c r="BD28" s="513" t="str">
        <f>Pole_Calc!A$251</f>
        <v>App.8-V08H-P10.3</v>
      </c>
      <c r="BE28" s="429" t="s">
        <v>118</v>
      </c>
      <c r="BF28" s="289"/>
      <c r="BG28" s="289"/>
      <c r="BH28" s="290"/>
      <c r="BI28" s="289"/>
    </row>
    <row r="29" spans="1:61" ht="16.149999999999999" customHeight="1">
      <c r="A29" s="514"/>
      <c r="B29" s="450"/>
      <c r="C29" s="3"/>
      <c r="D29" s="83"/>
      <c r="E29" s="4"/>
      <c r="F29" s="4"/>
      <c r="G29" s="6">
        <v>50</v>
      </c>
      <c r="H29" s="449"/>
      <c r="I29" s="449"/>
      <c r="J29" s="3"/>
      <c r="K29" s="449"/>
      <c r="L29" s="449"/>
      <c r="M29" s="449" t="str">
        <f>IF(L29="","",
IF(AX29="PT",VLOOKUP(L29,Foundation_Calc!$V$79:$X$113,VLOOKUP(AX29,Foundation_Calc!$I$10:$J$13,2,FALSE),0),
IF(AX29="K",VLOOKUP(L29,Foundation_Calc!$V$117:$X$151,VLOOKUP(AX29,Foundation_Calc!$I$10:$J$13,2,FALSE),0),"")))</f>
        <v/>
      </c>
      <c r="N29" s="449"/>
      <c r="O29" s="449"/>
      <c r="P29" s="449"/>
      <c r="Q29" s="4"/>
      <c r="R29" s="6"/>
      <c r="S29" s="6"/>
      <c r="T29" s="4"/>
      <c r="U29" s="4"/>
      <c r="V29" s="4"/>
      <c r="W29" s="9"/>
      <c r="X29" s="9"/>
      <c r="Y29" s="9"/>
      <c r="Z29" s="9"/>
      <c r="AA29" s="9"/>
      <c r="AB29" s="9"/>
      <c r="AC29" s="449" t="str">
        <f t="shared" si="0"/>
        <v/>
      </c>
      <c r="AD29" s="449"/>
      <c r="AE29" s="449"/>
      <c r="AF29" s="4"/>
      <c r="AG29" s="83"/>
      <c r="AH29" s="4"/>
      <c r="AI29" s="4"/>
      <c r="AJ29" s="449"/>
      <c r="AK29" s="449"/>
      <c r="AL29" s="449"/>
      <c r="AM29" s="449"/>
      <c r="AN29" s="10"/>
      <c r="AO29" s="9"/>
      <c r="AP29" s="9"/>
      <c r="AQ29" s="9">
        <f>+FL_2($T$30,$T$28,$G$29,1200,9.28, 1*$F$30)</f>
        <v>-0.36839079999999996</v>
      </c>
      <c r="AR29" s="9"/>
      <c r="AS29" s="9"/>
      <c r="AT29" s="9"/>
      <c r="AU29" s="428"/>
      <c r="AV29" s="428"/>
      <c r="AW29" s="449" t="str">
        <f>IF(C29&gt;0,VLOOKUP(C29,Foundation_Calc!$A$2:$C$13,3,1),
IF(J29&gt;0,VLOOKUP(J29,Foundation_Calc!$A$2:$C$13,3,1),""))</f>
        <v/>
      </c>
      <c r="AX29" s="449" t="str">
        <f>IF(C29&gt;0,VLOOKUP(C29,Foundation_Calc!$E$2:$G$33,3,1),
IF(J29&gt;0,VLOOKUP(J29,Foundation_Calc!$E$2:$G$33,3,1),""))</f>
        <v/>
      </c>
      <c r="AY29" s="10" t="str">
        <f>IF(L29="","",
IF(AX29="PT",VLOOKUP(L29,Foundation_Calc!$K$79:$R$113,VLOOKUP(AW29,Foundation_Calc!$I$2:$J$8,2,FALSE),0),
IF(AX29="K",VLOOKUP(L29,Foundation_Calc!$K$117:$R$151,VLOOKUP(AW29,Foundation_Calc!$I$2:$J$8,2,FALSE),0),"")))</f>
        <v/>
      </c>
      <c r="AZ29" s="10" t="str">
        <f>IF(K29="","",
IF(AX29="PT",VLOOKUP(K29,Foundation_Calc!$K$79:$R$113,VLOOKUP(AW29,Foundation_Calc!$I$2:$J$8,2,FALSE),0),
IF(AX29="K",VLOOKUP(K29,Foundation_Calc!$K$117:$R$151,VLOOKUP(AW29,Foundation_Calc!$I$2:$J$8,2,FALSE),0),"")))</f>
        <v/>
      </c>
      <c r="BA29" s="495" t="str">
        <f t="shared" si="1"/>
        <v/>
      </c>
      <c r="BB29" s="495" t="str">
        <f t="shared" si="1"/>
        <v/>
      </c>
      <c r="BC29" s="495" t="str">
        <f t="shared" si="2"/>
        <v/>
      </c>
      <c r="BD29" s="513" t="str">
        <f>IF(AND(L29="",H29=""),"",
IF(H29="",Pole_Calc!A$22,
IF(H29="MP",Pole_Calc!A$23,
IF(H29="AnMP",Pole_Calc!A$24,
IF(H29="A",Pole_Calc!A$25,
IF(H29="S/A",Pole_Calc!A$26,
IF(H29="A/S",Pole_Calc!A$27,"Poner a mano")))))))</f>
        <v/>
      </c>
      <c r="BE29" s="429" t="s">
        <v>118</v>
      </c>
      <c r="BF29" s="290"/>
      <c r="BG29" s="290"/>
      <c r="BH29" s="290"/>
      <c r="BI29" s="290"/>
    </row>
    <row r="30" spans="1:61" ht="16.149999999999999" customHeight="1">
      <c r="A30" s="517"/>
      <c r="B30" s="450" t="s">
        <v>1658</v>
      </c>
      <c r="C30" s="3">
        <f>+$C$28+$G$29</f>
        <v>34451.650000000009</v>
      </c>
      <c r="D30" s="83"/>
      <c r="E30" s="4"/>
      <c r="F30" s="4">
        <v>0</v>
      </c>
      <c r="G30" s="6"/>
      <c r="H30" s="449"/>
      <c r="I30" s="449"/>
      <c r="J30" s="3"/>
      <c r="K30" s="449"/>
      <c r="L30" s="449" t="s">
        <v>250</v>
      </c>
      <c r="M30" s="449" t="str">
        <f>IF(L30="","",
IF(AX30="PT",VLOOKUP(L30,Foundation_Calc!$V$79:$X$113,VLOOKUP(AX30,Foundation_Calc!$I$10:$J$13,2,FALSE),0),
IF(AX30="K",VLOOKUP(L30,Foundation_Calc!$V$117:$X$151,VLOOKUP(AX30,Foundation_Calc!$I$10:$J$13,2,FALSE),0),"")))</f>
        <v>2C4R</v>
      </c>
      <c r="N30" s="449" t="s">
        <v>124</v>
      </c>
      <c r="O30" s="449"/>
      <c r="P30" s="449"/>
      <c r="Q30" s="4"/>
      <c r="R30" s="6"/>
      <c r="S30" s="6"/>
      <c r="T30" s="4">
        <v>-35</v>
      </c>
      <c r="U30" s="4"/>
      <c r="V30" s="4"/>
      <c r="W30" s="9">
        <v>1.4</v>
      </c>
      <c r="X30" s="9"/>
      <c r="Y30" s="9"/>
      <c r="Z30" s="9"/>
      <c r="AA30" s="9"/>
      <c r="AB30" s="9"/>
      <c r="AC30" s="449" t="str">
        <f t="shared" si="0"/>
        <v>PHQ</v>
      </c>
      <c r="AD30" s="449"/>
      <c r="AE30" s="449"/>
      <c r="AF30" s="4"/>
      <c r="AG30" s="83"/>
      <c r="AH30" s="4"/>
      <c r="AI30" s="4"/>
      <c r="AJ30" s="449"/>
      <c r="AK30" s="449"/>
      <c r="AL30" s="449" t="s">
        <v>252</v>
      </c>
      <c r="AM30" s="449" t="s">
        <v>126</v>
      </c>
      <c r="AN30" s="10">
        <v>5.5</v>
      </c>
      <c r="AO30" s="9"/>
      <c r="AP30" s="9"/>
      <c r="AQ30" s="9"/>
      <c r="AR30" s="9"/>
      <c r="AS30" s="9"/>
      <c r="AT30" s="9">
        <f>+ab($T$30,$T$28,$T$32,$G$29,$G$31, 1*$F$30,1200)</f>
        <v>-6.4650411729017883</v>
      </c>
      <c r="AU30" s="428"/>
      <c r="AV30" s="428"/>
      <c r="AW30" s="449" t="str">
        <f>IF(C30&gt;0,VLOOKUP(C30,Foundation_Calc!$A$2:$C$13,3,1),
IF(J30&gt;0,VLOOKUP(J30,Foundation_Calc!$A$2:$C$13,3,1),""))</f>
        <v>Multi Soil</v>
      </c>
      <c r="AX30" s="449" t="str">
        <f>IF(C30&gt;0,VLOOKUP(C30,Foundation_Calc!$E$2:$G$33,3,1),
IF(J30&gt;0,VLOOKUP(J30,Foundation_Calc!$E$2:$G$33,3,1),""))</f>
        <v>PT</v>
      </c>
      <c r="AY30" s="10">
        <f>IF(L30="","",
IF(AX30="PT",VLOOKUP(L30,Foundation_Calc!$K$79:$R$113,VLOOKUP(AW30,Foundation_Calc!$I$2:$J$8,2,FALSE),0),
IF(AX30="K",VLOOKUP(L30,Foundation_Calc!$K$117:$R$151,VLOOKUP(AW30,Foundation_Calc!$I$2:$J$8,2,FALSE),0),"")))</f>
        <v>5.6</v>
      </c>
      <c r="AZ30" s="10" t="str">
        <f>IF(K30="","",
IF(AX30="PT",VLOOKUP(K30,Foundation_Calc!$K$79:$R$113,VLOOKUP(AW30,Foundation_Calc!$I$2:$J$8,2,FALSE),0),
IF(AX30="K",VLOOKUP(K30,Foundation_Calc!$K$117:$R$151,VLOOKUP(AW30,Foundation_Calc!$I$2:$J$8,2,FALSE),0),"")))</f>
        <v/>
      </c>
      <c r="BA30" s="495" t="str">
        <f t="shared" ref="BA30:BA39" si="3">IF(AY30="","",IF(AY30&gt;0,"ü",""))</f>
        <v>ü</v>
      </c>
      <c r="BB30" s="495" t="str">
        <f t="shared" ref="BB30:BB39" si="4">IF(AZ30="","",IF(AZ30&gt;0,"ü",""))</f>
        <v/>
      </c>
      <c r="BC30" s="495" t="str">
        <f t="shared" ref="BC30:BC39" si="5">IF(M30="","",IF(M30="U.S.","ü",IF(M30="U.S. N.D.","ü","")))</f>
        <v/>
      </c>
      <c r="BD30" s="513" t="str">
        <f>Pole_Calc!A$251</f>
        <v>App.8-V08H-P10.3</v>
      </c>
      <c r="BE30" s="429" t="s">
        <v>118</v>
      </c>
      <c r="BF30" s="289"/>
      <c r="BG30" s="289"/>
      <c r="BH30" s="290"/>
      <c r="BI30" s="289"/>
    </row>
    <row r="31" spans="1:61" ht="16.149999999999999" customHeight="1">
      <c r="A31" s="514"/>
      <c r="B31" s="450"/>
      <c r="C31" s="3"/>
      <c r="D31" s="83"/>
      <c r="E31" s="4"/>
      <c r="F31" s="4"/>
      <c r="G31" s="6">
        <v>45</v>
      </c>
      <c r="H31" s="449"/>
      <c r="I31" s="449"/>
      <c r="J31" s="3"/>
      <c r="K31" s="449"/>
      <c r="L31" s="449"/>
      <c r="M31" s="449" t="str">
        <f>IF(L31="","",
IF(AX31="PT",VLOOKUP(L31,Foundation_Calc!$V$79:$X$113,VLOOKUP(AX31,Foundation_Calc!$I$10:$J$13,2,FALSE),0),
IF(AX31="K",VLOOKUP(L31,Foundation_Calc!$V$117:$X$151,VLOOKUP(AX31,Foundation_Calc!$I$10:$J$13,2,FALSE),0),"")))</f>
        <v/>
      </c>
      <c r="N31" s="449"/>
      <c r="O31" s="449"/>
      <c r="P31" s="449"/>
      <c r="Q31" s="4"/>
      <c r="R31" s="6"/>
      <c r="S31" s="6"/>
      <c r="T31" s="4"/>
      <c r="U31" s="4"/>
      <c r="V31" s="4"/>
      <c r="W31" s="9"/>
      <c r="X31" s="9"/>
      <c r="Y31" s="9"/>
      <c r="Z31" s="9"/>
      <c r="AA31" s="9"/>
      <c r="AB31" s="9"/>
      <c r="AC31" s="449" t="str">
        <f t="shared" si="0"/>
        <v/>
      </c>
      <c r="AD31" s="449"/>
      <c r="AE31" s="449"/>
      <c r="AF31" s="4"/>
      <c r="AG31" s="83"/>
      <c r="AH31" s="4"/>
      <c r="AI31" s="4"/>
      <c r="AJ31" s="449"/>
      <c r="AK31" s="449"/>
      <c r="AL31" s="449"/>
      <c r="AM31" s="449"/>
      <c r="AN31" s="10"/>
      <c r="AO31" s="9"/>
      <c r="AP31" s="9"/>
      <c r="AQ31" s="9">
        <f>+FL_1($T$32,$T$30,$G$31,1200,9.28, 1*$F$32)</f>
        <v>0.35219954355555555</v>
      </c>
      <c r="AR31" s="9"/>
      <c r="AS31" s="9"/>
      <c r="AT31" s="9"/>
      <c r="AU31" s="428"/>
      <c r="AV31" s="428"/>
      <c r="AW31" s="449" t="str">
        <f>IF(C31&gt;0,VLOOKUP(C31,Foundation_Calc!$A$2:$C$13,3,1),
IF(J31&gt;0,VLOOKUP(J31,Foundation_Calc!$A$2:$C$13,3,1),""))</f>
        <v/>
      </c>
      <c r="AX31" s="449" t="str">
        <f>IF(C31&gt;0,VLOOKUP(C31,Foundation_Calc!$E$2:$G$33,3,1),
IF(J31&gt;0,VLOOKUP(J31,Foundation_Calc!$E$2:$G$33,3,1),""))</f>
        <v/>
      </c>
      <c r="AY31" s="10" t="str">
        <f>IF(L31="","",
IF(AX31="PT",VLOOKUP(L31,Foundation_Calc!$K$79:$R$113,VLOOKUP(AW31,Foundation_Calc!$I$2:$J$8,2,FALSE),0),
IF(AX31="K",VLOOKUP(L31,Foundation_Calc!$K$117:$R$151,VLOOKUP(AW31,Foundation_Calc!$I$2:$J$8,2,FALSE),0),"")))</f>
        <v/>
      </c>
      <c r="AZ31" s="10" t="str">
        <f>IF(K31="","",
IF(AX31="PT",VLOOKUP(K31,Foundation_Calc!$K$79:$R$113,VLOOKUP(AW31,Foundation_Calc!$I$2:$J$8,2,FALSE),0),
IF(AX31="K",VLOOKUP(K31,Foundation_Calc!$K$117:$R$151,VLOOKUP(AW31,Foundation_Calc!$I$2:$J$8,2,FALSE),0),"")))</f>
        <v/>
      </c>
      <c r="BA31" s="495" t="str">
        <f t="shared" si="3"/>
        <v/>
      </c>
      <c r="BB31" s="495" t="str">
        <f t="shared" si="4"/>
        <v/>
      </c>
      <c r="BC31" s="495" t="str">
        <f t="shared" si="5"/>
        <v/>
      </c>
      <c r="BD31" s="513"/>
      <c r="BE31" s="429" t="s">
        <v>118</v>
      </c>
      <c r="BF31" s="290"/>
      <c r="BG31" s="290"/>
      <c r="BH31" s="290"/>
      <c r="BI31" s="290"/>
    </row>
    <row r="32" spans="1:61" ht="16.149999999999999" customHeight="1">
      <c r="A32" s="514"/>
      <c r="B32" s="450" t="s">
        <v>1659</v>
      </c>
      <c r="C32" s="3">
        <f>+$C$30+$G$31</f>
        <v>34496.650000000009</v>
      </c>
      <c r="D32" s="83"/>
      <c r="E32" s="4"/>
      <c r="F32" s="4">
        <v>0</v>
      </c>
      <c r="G32" s="6"/>
      <c r="H32" s="449" t="s">
        <v>168</v>
      </c>
      <c r="I32" s="4"/>
      <c r="J32" s="3"/>
      <c r="K32" s="449"/>
      <c r="L32" s="449" t="s">
        <v>250</v>
      </c>
      <c r="M32" s="449" t="str">
        <f>IF(L32="","",
IF(AX32="PT",VLOOKUP(L32,Foundation_Calc!$V$79:$X$113,VLOOKUP(AX32,Foundation_Calc!$I$10:$J$13,2,FALSE),0),
IF(AX32="K",VLOOKUP(L32,Foundation_Calc!$V$117:$X$151,VLOOKUP(AX32,Foundation_Calc!$I$10:$J$13,2,FALSE),0),"")))</f>
        <v>2C4R</v>
      </c>
      <c r="N32" s="449" t="s">
        <v>134</v>
      </c>
      <c r="O32" s="449"/>
      <c r="P32" s="449"/>
      <c r="Q32" s="4"/>
      <c r="R32" s="6"/>
      <c r="S32" s="6"/>
      <c r="T32" s="4">
        <v>35</v>
      </c>
      <c r="U32" s="4"/>
      <c r="V32" s="4"/>
      <c r="W32" s="9">
        <v>1.4</v>
      </c>
      <c r="X32" s="572"/>
      <c r="Y32" s="9"/>
      <c r="Z32" s="9"/>
      <c r="AA32" s="9"/>
      <c r="AB32" s="9"/>
      <c r="AC32" s="449" t="str">
        <f t="shared" si="0"/>
        <v>PHQ</v>
      </c>
      <c r="AD32" s="449"/>
      <c r="AE32" s="449"/>
      <c r="AF32" s="4"/>
      <c r="AG32" s="83"/>
      <c r="AH32" s="4"/>
      <c r="AI32" s="4"/>
      <c r="AJ32" s="449"/>
      <c r="AK32" s="449"/>
      <c r="AL32" s="449" t="s">
        <v>252</v>
      </c>
      <c r="AM32" s="449" t="s">
        <v>126</v>
      </c>
      <c r="AN32" s="10">
        <v>5.5</v>
      </c>
      <c r="AO32" s="9"/>
      <c r="AP32" s="9"/>
      <c r="AQ32" s="9"/>
      <c r="AR32" s="9"/>
      <c r="AS32" s="9"/>
      <c r="AT32" s="9">
        <f>+ab($T$32,$T$30,$T$34,$G$31,$G$33, 1*$F$32,1200)</f>
        <v>5.7854058789738403</v>
      </c>
      <c r="AU32" s="428"/>
      <c r="AV32" s="428"/>
      <c r="AW32" s="449" t="str">
        <f>IF(C32&gt;0,VLOOKUP(C32,Foundation_Calc!$A$2:$C$13,3,1),
IF(J32&gt;0,VLOOKUP(J32,Foundation_Calc!$A$2:$C$13,3,1),""))</f>
        <v>Multi Soil</v>
      </c>
      <c r="AX32" s="449" t="str">
        <f>IF(C32&gt;0,VLOOKUP(C32,Foundation_Calc!$E$2:$G$33,3,1),
IF(J32&gt;0,VLOOKUP(J32,Foundation_Calc!$E$2:$G$33,3,1),""))</f>
        <v>PT</v>
      </c>
      <c r="AY32" s="10">
        <f>IF(L32="","",
IF(AX32="PT",VLOOKUP(L32,Foundation_Calc!$K$79:$R$113,VLOOKUP(AW32,Foundation_Calc!$I$2:$J$8,2,FALSE),0),
IF(AX32="K",VLOOKUP(L32,Foundation_Calc!$K$117:$R$151,VLOOKUP(AW32,Foundation_Calc!$I$2:$J$8,2,FALSE),0),"")))</f>
        <v>5.6</v>
      </c>
      <c r="AZ32" s="10" t="str">
        <f>IF(K32="","",
IF(AX32="PT",VLOOKUP(K32,Foundation_Calc!$K$79:$R$113,VLOOKUP(AW32,Foundation_Calc!$I$2:$J$8,2,FALSE),0),
IF(AX32="K",VLOOKUP(K32,Foundation_Calc!$K$117:$R$151,VLOOKUP(AW32,Foundation_Calc!$I$2:$J$8,2,FALSE),0),"")))</f>
        <v/>
      </c>
      <c r="BA32" s="495" t="str">
        <f t="shared" si="3"/>
        <v>ü</v>
      </c>
      <c r="BB32" s="495" t="str">
        <f t="shared" si="4"/>
        <v/>
      </c>
      <c r="BC32" s="495" t="str">
        <f t="shared" si="5"/>
        <v/>
      </c>
      <c r="BD32" s="513" t="str">
        <f>Pole_Calc!A$251</f>
        <v>App.8-V08H-P10.3</v>
      </c>
      <c r="BE32" s="429" t="s">
        <v>118</v>
      </c>
      <c r="BF32" s="289"/>
      <c r="BG32" s="289"/>
      <c r="BH32" s="290"/>
      <c r="BI32" s="289"/>
    </row>
    <row r="33" spans="1:61" ht="16.149999999999999" customHeight="1">
      <c r="A33" s="514"/>
      <c r="B33" s="450"/>
      <c r="C33" s="3"/>
      <c r="D33" s="83"/>
      <c r="E33" s="4"/>
      <c r="F33" s="4"/>
      <c r="G33" s="6">
        <v>40</v>
      </c>
      <c r="H33" s="449"/>
      <c r="I33" s="449" t="s">
        <v>195</v>
      </c>
      <c r="J33" s="3"/>
      <c r="K33" s="449"/>
      <c r="L33" s="449"/>
      <c r="M33" s="449" t="str">
        <f>IF(L33="","",
IF(AX33="PT",VLOOKUP(L33,Foundation_Calc!$V$79:$X$113,VLOOKUP(AX33,Foundation_Calc!$I$10:$J$13,2,FALSE),0),
IF(AX33="K",VLOOKUP(L33,Foundation_Calc!$V$117:$X$151,VLOOKUP(AX33,Foundation_Calc!$I$10:$J$13,2,FALSE),0),"")))</f>
        <v/>
      </c>
      <c r="N33" s="449"/>
      <c r="O33" s="449"/>
      <c r="P33" s="449"/>
      <c r="Q33" s="4"/>
      <c r="R33" s="6"/>
      <c r="S33" s="6"/>
      <c r="T33" s="4"/>
      <c r="U33" s="4"/>
      <c r="V33" s="4"/>
      <c r="W33" s="9"/>
      <c r="X33" s="9"/>
      <c r="Y33" s="9"/>
      <c r="Z33" s="9"/>
      <c r="AA33" s="9"/>
      <c r="AB33" s="9"/>
      <c r="AC33" s="449" t="str">
        <f t="shared" si="0"/>
        <v/>
      </c>
      <c r="AD33" s="449"/>
      <c r="AE33" s="449"/>
      <c r="AF33" s="4"/>
      <c r="AG33" s="83"/>
      <c r="AH33" s="4"/>
      <c r="AI33" s="4"/>
      <c r="AJ33" s="449"/>
      <c r="AK33" s="449"/>
      <c r="AL33" s="449"/>
      <c r="AM33" s="449"/>
      <c r="AN33" s="10"/>
      <c r="AO33" s="9"/>
      <c r="AP33" s="9"/>
      <c r="AQ33" s="9">
        <f>+FL_1($T$34,$T$32,$G$33,1200,9.28, 1*$F$34)</f>
        <v>0.35000000000000125</v>
      </c>
      <c r="AR33" s="9"/>
      <c r="AS33" s="9"/>
      <c r="AT33" s="9"/>
      <c r="AU33" s="428"/>
      <c r="AV33" s="428"/>
      <c r="AW33" s="449" t="str">
        <f>IF(C33&gt;0,VLOOKUP(C33,Foundation_Calc!$A$2:$C$13,3,1),
IF(J33&gt;0,VLOOKUP(J33,Foundation_Calc!$A$2:$C$13,3,1),""))</f>
        <v/>
      </c>
      <c r="AX33" s="449" t="str">
        <f>IF(C33&gt;0,VLOOKUP(C33,Foundation_Calc!$E$2:$G$33,3,1),
IF(J33&gt;0,VLOOKUP(J33,Foundation_Calc!$E$2:$G$33,3,1),""))</f>
        <v/>
      </c>
      <c r="AY33" s="10" t="str">
        <f>IF(L33="","",
IF(AX33="PT",VLOOKUP(L33,Foundation_Calc!$K$79:$R$113,VLOOKUP(AW33,Foundation_Calc!$I$2:$J$8,2,FALSE),0),
IF(AX33="K",VLOOKUP(L33,Foundation_Calc!$K$117:$R$151,VLOOKUP(AW33,Foundation_Calc!$I$2:$J$8,2,FALSE),0),"")))</f>
        <v/>
      </c>
      <c r="AZ33" s="10" t="str">
        <f>IF(K33="","",
IF(AX33="PT",VLOOKUP(K33,Foundation_Calc!$K$79:$R$113,VLOOKUP(AW33,Foundation_Calc!$I$2:$J$8,2,FALSE),0),
IF(AX33="K",VLOOKUP(K33,Foundation_Calc!$K$117:$R$151,VLOOKUP(AW33,Foundation_Calc!$I$2:$J$8,2,FALSE),0),"")))</f>
        <v/>
      </c>
      <c r="BA33" s="495" t="str">
        <f t="shared" si="3"/>
        <v/>
      </c>
      <c r="BB33" s="495" t="str">
        <f t="shared" si="4"/>
        <v/>
      </c>
      <c r="BC33" s="495" t="str">
        <f t="shared" si="5"/>
        <v/>
      </c>
      <c r="BD33" s="513"/>
      <c r="BE33" s="429" t="s">
        <v>118</v>
      </c>
      <c r="BF33" s="290"/>
      <c r="BG33" s="290"/>
      <c r="BH33" s="290"/>
      <c r="BI33" s="290"/>
    </row>
    <row r="34" spans="1:61" ht="16.149999999999999" customHeight="1">
      <c r="A34" s="517"/>
      <c r="B34" s="450" t="s">
        <v>1660</v>
      </c>
      <c r="C34" s="3">
        <f>+$C$32+$G$33</f>
        <v>34536.650000000009</v>
      </c>
      <c r="D34" s="83"/>
      <c r="E34" s="4"/>
      <c r="F34" s="4">
        <v>0</v>
      </c>
      <c r="G34" s="6"/>
      <c r="H34" s="449"/>
      <c r="I34" s="449"/>
      <c r="J34" s="3"/>
      <c r="K34" s="449"/>
      <c r="L34" s="449" t="s">
        <v>250</v>
      </c>
      <c r="M34" s="449" t="str">
        <f>IF(L34="","",
IF(AX34="PT",VLOOKUP(L34,Foundation_Calc!$V$79:$X$113,VLOOKUP(AX34,Foundation_Calc!$I$10:$J$13,2,FALSE),0),
IF(AX34="K",VLOOKUP(L34,Foundation_Calc!$V$117:$X$151,VLOOKUP(AX34,Foundation_Calc!$I$10:$J$13,2,FALSE),0),"")))</f>
        <v>2C4R</v>
      </c>
      <c r="N34" s="449" t="s">
        <v>124</v>
      </c>
      <c r="O34" s="449"/>
      <c r="P34" s="449"/>
      <c r="Q34" s="4"/>
      <c r="R34" s="6"/>
      <c r="S34" s="6"/>
      <c r="T34" s="4">
        <v>-35</v>
      </c>
      <c r="U34" s="4"/>
      <c r="V34" s="4"/>
      <c r="W34" s="9">
        <v>1.4</v>
      </c>
      <c r="X34" s="9"/>
      <c r="Y34" s="9"/>
      <c r="Z34" s="9"/>
      <c r="AA34" s="9"/>
      <c r="AB34" s="9"/>
      <c r="AC34" s="449" t="str">
        <f t="shared" si="0"/>
        <v>PHQ</v>
      </c>
      <c r="AD34" s="449"/>
      <c r="AE34" s="449"/>
      <c r="AF34" s="4"/>
      <c r="AG34" s="83"/>
      <c r="AH34" s="4"/>
      <c r="AI34" s="4"/>
      <c r="AJ34" s="449"/>
      <c r="AK34" s="449"/>
      <c r="AL34" s="449" t="s">
        <v>252</v>
      </c>
      <c r="AM34" s="449" t="s">
        <v>126</v>
      </c>
      <c r="AN34" s="10">
        <v>5.5</v>
      </c>
      <c r="AO34" s="9"/>
      <c r="AP34" s="9"/>
      <c r="AQ34" s="9"/>
      <c r="AR34" s="9"/>
      <c r="AS34" s="9"/>
      <c r="AT34" s="9">
        <f>+ab($T$34,$T$32,$T$36,$G$33,$G$35, 1*$F$34,1200)</f>
        <v>-5.3045938144719873</v>
      </c>
      <c r="AU34" s="428"/>
      <c r="AV34" s="428"/>
      <c r="AW34" s="449" t="str">
        <f>IF(C34&gt;0,VLOOKUP(C34,Foundation_Calc!$A$2:$C$13,3,1),
IF(J34&gt;0,VLOOKUP(J34,Foundation_Calc!$A$2:$C$13,3,1),""))</f>
        <v>Multi Soil</v>
      </c>
      <c r="AX34" s="449" t="str">
        <f>IF(C34&gt;0,VLOOKUP(C34,Foundation_Calc!$E$2:$G$33,3,1),
IF(J34&gt;0,VLOOKUP(J34,Foundation_Calc!$E$2:$G$33,3,1),""))</f>
        <v>PT</v>
      </c>
      <c r="AY34" s="10">
        <f>IF(L34="","",
IF(AX34="PT",VLOOKUP(L34,Foundation_Calc!$K$79:$R$113,VLOOKUP(AW34,Foundation_Calc!$I$2:$J$8,2,FALSE),0),
IF(AX34="K",VLOOKUP(L34,Foundation_Calc!$K$117:$R$151,VLOOKUP(AW34,Foundation_Calc!$I$2:$J$8,2,FALSE),0),"")))</f>
        <v>5.6</v>
      </c>
      <c r="AZ34" s="10" t="str">
        <f>IF(K34="","",
IF(AX34="PT",VLOOKUP(K34,Foundation_Calc!$K$79:$R$113,VLOOKUP(AW34,Foundation_Calc!$I$2:$J$8,2,FALSE),0),
IF(AX34="K",VLOOKUP(K34,Foundation_Calc!$K$117:$R$151,VLOOKUP(AW34,Foundation_Calc!$I$2:$J$8,2,FALSE),0),"")))</f>
        <v/>
      </c>
      <c r="BA34" s="495" t="str">
        <f t="shared" si="3"/>
        <v>ü</v>
      </c>
      <c r="BB34" s="495" t="str">
        <f t="shared" si="4"/>
        <v/>
      </c>
      <c r="BC34" s="495" t="str">
        <f t="shared" si="5"/>
        <v/>
      </c>
      <c r="BD34" s="513" t="str">
        <f>Pole_Calc!A$251</f>
        <v>App.8-V08H-P10.3</v>
      </c>
      <c r="BE34" s="429" t="s">
        <v>118</v>
      </c>
      <c r="BF34" s="289"/>
      <c r="BG34" s="289"/>
      <c r="BH34" s="290"/>
      <c r="BI34" s="289"/>
    </row>
    <row r="35" spans="1:61" ht="16.149999999999999" customHeight="1">
      <c r="A35" s="514"/>
      <c r="B35" s="450"/>
      <c r="C35" s="3"/>
      <c r="D35" s="83"/>
      <c r="E35" s="4"/>
      <c r="F35" s="4"/>
      <c r="G35" s="6">
        <v>35</v>
      </c>
      <c r="H35" s="449"/>
      <c r="I35" s="449" t="s">
        <v>195</v>
      </c>
      <c r="J35" s="3"/>
      <c r="K35" s="449"/>
      <c r="L35" s="449"/>
      <c r="M35" s="449" t="str">
        <f>IF(L35="","",
IF(AX35="PT",VLOOKUP(L35,Foundation_Calc!$V$79:$X$113,VLOOKUP(AX35,Foundation_Calc!$I$10:$J$13,2,FALSE),0),
IF(AX35="K",VLOOKUP(L35,Foundation_Calc!$V$117:$X$151,VLOOKUP(AX35,Foundation_Calc!$I$10:$J$13,2,FALSE),0),"")))</f>
        <v/>
      </c>
      <c r="N35" s="449"/>
      <c r="O35" s="449"/>
      <c r="P35" s="449"/>
      <c r="Q35" s="4"/>
      <c r="R35" s="6"/>
      <c r="S35" s="6"/>
      <c r="T35" s="4"/>
      <c r="U35" s="4"/>
      <c r="V35" s="4"/>
      <c r="W35" s="9"/>
      <c r="X35" s="9"/>
      <c r="Y35" s="9"/>
      <c r="Z35" s="9"/>
      <c r="AA35" s="9"/>
      <c r="AB35" s="9"/>
      <c r="AC35" s="449" t="str">
        <f t="shared" si="0"/>
        <v/>
      </c>
      <c r="AD35" s="449"/>
      <c r="AE35" s="449"/>
      <c r="AF35" s="4"/>
      <c r="AG35" s="83"/>
      <c r="AH35" s="4"/>
      <c r="AI35" s="4"/>
      <c r="AJ35" s="449"/>
      <c r="AK35" s="449"/>
      <c r="AL35" s="449"/>
      <c r="AM35" s="449"/>
      <c r="AN35" s="10"/>
      <c r="AO35" s="9"/>
      <c r="AP35" s="9"/>
      <c r="AQ35" s="9">
        <f>+FL_2($T$36,$T$34,$G$35,1200,9.28, 1*$F$36)</f>
        <v>-0.35000000000000808</v>
      </c>
      <c r="AR35" s="9"/>
      <c r="AS35" s="9"/>
      <c r="AT35" s="9"/>
      <c r="AU35" s="428"/>
      <c r="AV35" s="428"/>
      <c r="AW35" s="449" t="str">
        <f>IF(C35&gt;0,VLOOKUP(C35,Foundation_Calc!$A$2:$C$13,3,1),
IF(J35&gt;0,VLOOKUP(J35,Foundation_Calc!$A$2:$C$13,3,1),""))</f>
        <v/>
      </c>
      <c r="AX35" s="449" t="str">
        <f>IF(C35&gt;0,VLOOKUP(C35,Foundation_Calc!$E$2:$G$33,3,1),
IF(J35&gt;0,VLOOKUP(J35,Foundation_Calc!$E$2:$G$33,3,1),""))</f>
        <v/>
      </c>
      <c r="AY35" s="10" t="str">
        <f>IF(L35="","",
IF(AX35="PT",VLOOKUP(L35,Foundation_Calc!$K$79:$R$113,VLOOKUP(AW35,Foundation_Calc!$I$2:$J$8,2,FALSE),0),
IF(AX35="K",VLOOKUP(L35,Foundation_Calc!$K$117:$R$151,VLOOKUP(AW35,Foundation_Calc!$I$2:$J$8,2,FALSE),0),"")))</f>
        <v/>
      </c>
      <c r="AZ35" s="10" t="str">
        <f>IF(K35="","",
IF(AX35="PT",VLOOKUP(K35,Foundation_Calc!$K$79:$R$113,VLOOKUP(AW35,Foundation_Calc!$I$2:$J$8,2,FALSE),0),
IF(AX35="K",VLOOKUP(K35,Foundation_Calc!$K$117:$R$151,VLOOKUP(AW35,Foundation_Calc!$I$2:$J$8,2,FALSE),0),"")))</f>
        <v/>
      </c>
      <c r="BA35" s="495" t="str">
        <f t="shared" si="3"/>
        <v/>
      </c>
      <c r="BB35" s="495" t="str">
        <f t="shared" si="4"/>
        <v/>
      </c>
      <c r="BC35" s="495" t="str">
        <f t="shared" si="5"/>
        <v/>
      </c>
      <c r="BD35" s="513"/>
      <c r="BE35" s="429" t="s">
        <v>118</v>
      </c>
      <c r="BF35" s="290"/>
      <c r="BG35" s="290"/>
      <c r="BH35" s="290"/>
      <c r="BI35" s="290"/>
    </row>
    <row r="36" spans="1:61" ht="16.149999999999999" customHeight="1">
      <c r="A36" s="514"/>
      <c r="B36" s="450" t="s">
        <v>1661</v>
      </c>
      <c r="C36" s="3">
        <f>+$C$34+$G$35</f>
        <v>34571.650000000009</v>
      </c>
      <c r="D36" s="83"/>
      <c r="E36" s="4"/>
      <c r="F36" s="4">
        <v>0</v>
      </c>
      <c r="G36" s="6"/>
      <c r="H36" s="449"/>
      <c r="I36" s="4"/>
      <c r="J36" s="3"/>
      <c r="K36" s="449"/>
      <c r="L36" s="449" t="s">
        <v>250</v>
      </c>
      <c r="M36" s="449" t="str">
        <f>IF(L36="","",
IF(AX36="PT",VLOOKUP(L36,Foundation_Calc!$V$79:$X$113,VLOOKUP(AX36,Foundation_Calc!$I$10:$J$13,2,FALSE),0),
IF(AX36="K",VLOOKUP(L36,Foundation_Calc!$V$117:$X$151,VLOOKUP(AX36,Foundation_Calc!$I$10:$J$13,2,FALSE),0),"")))</f>
        <v>2C4R</v>
      </c>
      <c r="N36" s="449" t="s">
        <v>134</v>
      </c>
      <c r="O36" s="449"/>
      <c r="P36" s="449"/>
      <c r="Q36" s="4"/>
      <c r="R36" s="6"/>
      <c r="S36" s="6"/>
      <c r="T36" s="4">
        <v>30</v>
      </c>
      <c r="U36" s="4"/>
      <c r="V36" s="4"/>
      <c r="W36" s="9">
        <v>1.4</v>
      </c>
      <c r="X36" s="572"/>
      <c r="Y36" s="9"/>
      <c r="Z36" s="9"/>
      <c r="AA36" s="9"/>
      <c r="AB36" s="9"/>
      <c r="AC36" s="449" t="str">
        <f t="shared" si="0"/>
        <v>PHQ</v>
      </c>
      <c r="AD36" s="449"/>
      <c r="AE36" s="449"/>
      <c r="AF36" s="4"/>
      <c r="AG36" s="83"/>
      <c r="AH36" s="4"/>
      <c r="AI36" s="4"/>
      <c r="AJ36" s="449"/>
      <c r="AK36" s="449"/>
      <c r="AL36" s="449" t="s">
        <v>252</v>
      </c>
      <c r="AM36" s="449" t="s">
        <v>126</v>
      </c>
      <c r="AN36" s="10">
        <v>5.5</v>
      </c>
      <c r="AO36" s="9"/>
      <c r="AP36" s="9"/>
      <c r="AQ36" s="9"/>
      <c r="AR36" s="9"/>
      <c r="AS36" s="9"/>
      <c r="AT36" s="9">
        <f>+ab($T$36,$T$34,$T$38,$G$35,$G$37, 1*$F$36,1200)</f>
        <v>5.9925926596023844</v>
      </c>
      <c r="AU36" s="428"/>
      <c r="AV36" s="428"/>
      <c r="AW36" s="449" t="str">
        <f>IF(C36&gt;0,VLOOKUP(C36,Foundation_Calc!$A$2:$C$13,3,1),
IF(J36&gt;0,VLOOKUP(J36,Foundation_Calc!$A$2:$C$13,3,1),""))</f>
        <v>Multi Soil</v>
      </c>
      <c r="AX36" s="449" t="str">
        <f>IF(C36&gt;0,VLOOKUP(C36,Foundation_Calc!$E$2:$G$33,3,1),
IF(J36&gt;0,VLOOKUP(J36,Foundation_Calc!$E$2:$G$33,3,1),""))</f>
        <v>PT</v>
      </c>
      <c r="AY36" s="10">
        <f>IF(L36="","",
IF(AX36="PT",VLOOKUP(L36,Foundation_Calc!$K$79:$R$113,VLOOKUP(AW36,Foundation_Calc!$I$2:$J$8,2,FALSE),0),
IF(AX36="K",VLOOKUP(L36,Foundation_Calc!$K$117:$R$151,VLOOKUP(AW36,Foundation_Calc!$I$2:$J$8,2,FALSE),0),"")))</f>
        <v>5.6</v>
      </c>
      <c r="AZ36" s="10" t="str">
        <f>IF(K36="","",
IF(AX36="PT",VLOOKUP(K36,Foundation_Calc!$K$79:$R$113,VLOOKUP(AW36,Foundation_Calc!$I$2:$J$8,2,FALSE),0),
IF(AX36="K",VLOOKUP(K36,Foundation_Calc!$K$117:$R$151,VLOOKUP(AW36,Foundation_Calc!$I$2:$J$8,2,FALSE),0),"")))</f>
        <v/>
      </c>
      <c r="BA36" s="495" t="str">
        <f t="shared" si="3"/>
        <v>ü</v>
      </c>
      <c r="BB36" s="495" t="str">
        <f t="shared" si="4"/>
        <v/>
      </c>
      <c r="BC36" s="495" t="str">
        <f t="shared" si="5"/>
        <v/>
      </c>
      <c r="BD36" s="513" t="str">
        <f>Pole_Calc!A$251</f>
        <v>App.8-V08H-P10.3</v>
      </c>
      <c r="BE36" s="429" t="s">
        <v>118</v>
      </c>
      <c r="BF36" s="289"/>
      <c r="BG36" s="289"/>
      <c r="BH36" s="290"/>
      <c r="BI36" s="289"/>
    </row>
    <row r="37" spans="1:61" ht="16.149999999999999" customHeight="1">
      <c r="A37" s="514"/>
      <c r="B37" s="450"/>
      <c r="C37" s="3"/>
      <c r="D37" s="83"/>
      <c r="E37" s="4"/>
      <c r="F37" s="4"/>
      <c r="G37" s="6">
        <v>30</v>
      </c>
      <c r="H37" s="449"/>
      <c r="I37" s="449"/>
      <c r="J37" s="3"/>
      <c r="K37" s="449"/>
      <c r="L37" s="449"/>
      <c r="M37" s="449" t="str">
        <f>IF(L37="","",
IF(AX37="PT",VLOOKUP(L37,Foundation_Calc!$V$79:$X$113,VLOOKUP(AX37,Foundation_Calc!$I$10:$J$13,2,FALSE),0),
IF(AX37="K",VLOOKUP(L37,Foundation_Calc!$V$117:$X$151,VLOOKUP(AX37,Foundation_Calc!$I$10:$J$13,2,FALSE),0),"")))</f>
        <v/>
      </c>
      <c r="N37" s="449"/>
      <c r="O37" s="449"/>
      <c r="P37" s="449"/>
      <c r="Q37" s="4"/>
      <c r="R37" s="6"/>
      <c r="S37" s="6"/>
      <c r="T37" s="4"/>
      <c r="U37" s="4"/>
      <c r="V37" s="4"/>
      <c r="W37" s="9"/>
      <c r="X37" s="9"/>
      <c r="Y37" s="9"/>
      <c r="Z37" s="9"/>
      <c r="AA37" s="9"/>
      <c r="AB37" s="9"/>
      <c r="AC37" s="449" t="str">
        <f t="shared" si="0"/>
        <v/>
      </c>
      <c r="AD37" s="449"/>
      <c r="AE37" s="449"/>
      <c r="AF37" s="4"/>
      <c r="AG37" s="83"/>
      <c r="AH37" s="4"/>
      <c r="AI37" s="4"/>
      <c r="AJ37" s="449"/>
      <c r="AK37" s="449"/>
      <c r="AL37" s="449"/>
      <c r="AM37" s="449"/>
      <c r="AN37" s="10"/>
      <c r="AO37" s="9"/>
      <c r="AP37" s="9"/>
      <c r="AQ37" s="9">
        <f>+FL_1($T$38,$T$36,$G$37,1200,9.28, 1*$F$38)</f>
        <v>0.76565253617694173</v>
      </c>
      <c r="AR37" s="9"/>
      <c r="AS37" s="9"/>
      <c r="AT37" s="9"/>
      <c r="AU37" s="428"/>
      <c r="AV37" s="428"/>
      <c r="AW37" s="449" t="str">
        <f>IF(C37&gt;0,VLOOKUP(C37,Foundation_Calc!$A$2:$C$13,3,1),
IF(J37&gt;0,VLOOKUP(J37,Foundation_Calc!$A$2:$C$13,3,1),""))</f>
        <v/>
      </c>
      <c r="AX37" s="449" t="str">
        <f>IF(C37&gt;0,VLOOKUP(C37,Foundation_Calc!$E$2:$G$33,3,1),
IF(J37&gt;0,VLOOKUP(J37,Foundation_Calc!$E$2:$G$33,3,1),""))</f>
        <v/>
      </c>
      <c r="AY37" s="10" t="str">
        <f>IF(L37="","",
IF(AX37="PT",VLOOKUP(L37,Foundation_Calc!$K$79:$R$113,VLOOKUP(AW37,Foundation_Calc!$I$2:$J$8,2,FALSE),0),
IF(AX37="K",VLOOKUP(L37,Foundation_Calc!$K$117:$R$151,VLOOKUP(AW37,Foundation_Calc!$I$2:$J$8,2,FALSE),0),"")))</f>
        <v/>
      </c>
      <c r="AZ37" s="10" t="str">
        <f>IF(K37="","",
IF(AX37="PT",VLOOKUP(K37,Foundation_Calc!$K$79:$R$113,VLOOKUP(AW37,Foundation_Calc!$I$2:$J$8,2,FALSE),0),
IF(AX37="K",VLOOKUP(K37,Foundation_Calc!$K$117:$R$151,VLOOKUP(AW37,Foundation_Calc!$I$2:$J$8,2,FALSE),0),"")))</f>
        <v/>
      </c>
      <c r="BA37" s="495" t="str">
        <f t="shared" si="3"/>
        <v/>
      </c>
      <c r="BB37" s="495" t="str">
        <f t="shared" si="4"/>
        <v/>
      </c>
      <c r="BC37" s="495" t="str">
        <f t="shared" si="5"/>
        <v/>
      </c>
      <c r="BD37" s="513"/>
      <c r="BE37" s="429" t="s">
        <v>118</v>
      </c>
      <c r="BF37" s="290"/>
      <c r="BG37" s="290"/>
      <c r="BH37" s="290"/>
      <c r="BI37" s="290"/>
    </row>
    <row r="38" spans="1:61" ht="16.149999999999999" customHeight="1">
      <c r="A38" s="517"/>
      <c r="B38" s="450" t="s">
        <v>1662</v>
      </c>
      <c r="C38" s="3">
        <f>+$C$36+$G$37</f>
        <v>34601.650000000009</v>
      </c>
      <c r="D38" s="83"/>
      <c r="E38" s="4"/>
      <c r="F38" s="4">
        <v>-200</v>
      </c>
      <c r="G38" s="6"/>
      <c r="H38" s="449"/>
      <c r="I38" s="449"/>
      <c r="J38" s="3"/>
      <c r="K38" s="449"/>
      <c r="L38" s="449" t="s">
        <v>268</v>
      </c>
      <c r="M38" s="449" t="str">
        <f>IF(L38="","",
IF(AX38="PT",VLOOKUP(L38,Foundation_Calc!$V$79:$X$113,VLOOKUP(AX38,Foundation_Calc!$I$10:$J$13,2,FALSE),0),
IF(AX38="K",VLOOKUP(L38,Foundation_Calc!$V$117:$X$151,VLOOKUP(AX38,Foundation_Calc!$I$10:$J$13,2,FALSE),0),"")))</f>
        <v>C7R</v>
      </c>
      <c r="N38" s="449" t="s">
        <v>124</v>
      </c>
      <c r="O38" s="449"/>
      <c r="P38" s="449"/>
      <c r="Q38" s="4"/>
      <c r="R38" s="6"/>
      <c r="S38" s="6"/>
      <c r="T38" s="4">
        <v>-10</v>
      </c>
      <c r="U38" s="4"/>
      <c r="V38" s="4"/>
      <c r="W38" s="9">
        <v>1.4</v>
      </c>
      <c r="X38" s="9"/>
      <c r="Y38" s="9"/>
      <c r="Z38" s="9"/>
      <c r="AA38" s="9"/>
      <c r="AB38" s="9"/>
      <c r="AC38" s="449" t="str">
        <f t="shared" ref="AC38:AC39" si="6">IF(OR(AT38&gt;8,AT38&lt;-8),"PH",
IF(OR(AT38&gt;5,AT38&lt;-5),"PHQ",
IF(OR(AT38&gt;1,AT38&lt;-1),
"PHC","")))</f>
        <v>PHC</v>
      </c>
      <c r="AD38" s="449"/>
      <c r="AE38" s="449"/>
      <c r="AF38" s="4"/>
      <c r="AG38" s="83"/>
      <c r="AH38" s="4"/>
      <c r="AI38" s="4"/>
      <c r="AJ38" s="449"/>
      <c r="AK38" s="449"/>
      <c r="AL38" s="449" t="s">
        <v>269</v>
      </c>
      <c r="AM38" s="449" t="s">
        <v>126</v>
      </c>
      <c r="AN38" s="10">
        <v>5.5</v>
      </c>
      <c r="AO38" s="9"/>
      <c r="AP38" s="9"/>
      <c r="AQ38" s="9"/>
      <c r="AR38" s="9"/>
      <c r="AS38" s="9"/>
      <c r="AT38" s="9">
        <f>+ab($T$38,$T$36,$U$40,$G$37,$G$39, 1*$F$38,1200)</f>
        <v>-1.3095421861371936</v>
      </c>
      <c r="AU38" s="428"/>
      <c r="AV38" s="428"/>
      <c r="AW38" s="449" t="str">
        <f>IF(C38&gt;0,VLOOKUP(C38,Foundation_Calc!$A$2:$C$13,3,1),
IF(J38&gt;0,VLOOKUP(J38,Foundation_Calc!$A$2:$C$13,3,1),""))</f>
        <v>Multi Soil</v>
      </c>
      <c r="AX38" s="449" t="str">
        <f>IF(C38&gt;0,VLOOKUP(C38,Foundation_Calc!$E$2:$G$33,3,1),
IF(J38&gt;0,VLOOKUP(J38,Foundation_Calc!$E$2:$G$33,3,1),""))</f>
        <v>PT</v>
      </c>
      <c r="AY38" s="10">
        <f>IF(L38="","",
IF(AX38="PT",VLOOKUP(L38,Foundation_Calc!$K$79:$R$113,VLOOKUP(AW38,Foundation_Calc!$I$2:$J$8,2,FALSE),0),
IF(AX38="K",VLOOKUP(L38,Foundation_Calc!$K$117:$R$151,VLOOKUP(AW38,Foundation_Calc!$I$2:$J$8,2,FALSE),0),"")))</f>
        <v>4</v>
      </c>
      <c r="AZ38" s="10" t="str">
        <f>IF(K38="","",
IF(AX38="PT",VLOOKUP(K38,Foundation_Calc!$K$79:$R$113,VLOOKUP(AW38,Foundation_Calc!$I$2:$J$8,2,FALSE),0),
IF(AX38="K",VLOOKUP(K38,Foundation_Calc!$K$117:$R$151,VLOOKUP(AW38,Foundation_Calc!$I$2:$J$8,2,FALSE),0),"")))</f>
        <v/>
      </c>
      <c r="BA38" s="495" t="str">
        <f t="shared" si="3"/>
        <v>ü</v>
      </c>
      <c r="BB38" s="495" t="str">
        <f t="shared" si="4"/>
        <v/>
      </c>
      <c r="BC38" s="495" t="str">
        <f t="shared" si="5"/>
        <v/>
      </c>
      <c r="BD38" s="513" t="str">
        <f>Pole_Calc!A$251</f>
        <v>App.8-V08H-P10.3</v>
      </c>
      <c r="BE38" s="429" t="s">
        <v>118</v>
      </c>
      <c r="BF38" s="289"/>
      <c r="BG38" s="289"/>
      <c r="BH38" s="290"/>
      <c r="BI38" s="289"/>
    </row>
    <row r="39" spans="1:61" ht="16.149999999999999" customHeight="1">
      <c r="A39" s="514"/>
      <c r="B39" s="450"/>
      <c r="C39" s="3"/>
      <c r="D39" s="83"/>
      <c r="E39" s="4"/>
      <c r="F39" s="4"/>
      <c r="G39" s="6">
        <v>24.1</v>
      </c>
      <c r="H39" s="449"/>
      <c r="I39" s="449"/>
      <c r="J39" s="3"/>
      <c r="K39" s="449"/>
      <c r="L39" s="449"/>
      <c r="M39" s="449" t="str">
        <f>IF(L39="","",
IF(AX39="PT",VLOOKUP(L39,Foundation_Calc!$V$79:$X$113,VLOOKUP(AX39,Foundation_Calc!$I$10:$J$13,2,FALSE),0),
IF(AX39="K",VLOOKUP(L39,Foundation_Calc!$V$117:$X$151,VLOOKUP(AX39,Foundation_Calc!$I$10:$J$13,2,FALSE),0),"")))</f>
        <v/>
      </c>
      <c r="N39" s="449"/>
      <c r="O39" s="449"/>
      <c r="P39" s="449"/>
      <c r="Q39" s="4"/>
      <c r="R39" s="6"/>
      <c r="S39" s="6"/>
      <c r="T39" s="4"/>
      <c r="U39" s="4"/>
      <c r="V39" s="4"/>
      <c r="W39" s="9"/>
      <c r="X39" s="9"/>
      <c r="Y39" s="9"/>
      <c r="Z39" s="9"/>
      <c r="AA39" s="9"/>
      <c r="AB39" s="9"/>
      <c r="AC39" s="449" t="str">
        <f t="shared" si="6"/>
        <v/>
      </c>
      <c r="AD39" s="449"/>
      <c r="AE39" s="449"/>
      <c r="AF39" s="4"/>
      <c r="AG39" s="83"/>
      <c r="AH39" s="4"/>
      <c r="AI39" s="4"/>
      <c r="AJ39" s="449"/>
      <c r="AK39" s="449"/>
      <c r="AL39" s="449"/>
      <c r="AM39" s="449"/>
      <c r="AN39" s="10"/>
      <c r="AO39" s="9"/>
      <c r="AP39" s="9"/>
      <c r="AQ39" s="9">
        <f>+FL_2($T$40,$T$38,$G$39,1200,9.28, 1*$F$40)</f>
        <v>-0.35</v>
      </c>
      <c r="AR39" s="9"/>
      <c r="AS39" s="9"/>
      <c r="AT39" s="9"/>
      <c r="AU39" s="428"/>
      <c r="AV39" s="428"/>
      <c r="AW39" s="449" t="str">
        <f>IF(C39&gt;0,VLOOKUP(C39,Foundation_Calc!$A$2:$C$13,3,1),
IF(J39&gt;0,VLOOKUP(J39,Foundation_Calc!$A$2:$C$13,3,1),""))</f>
        <v/>
      </c>
      <c r="AX39" s="449" t="str">
        <f>IF(C39&gt;0,VLOOKUP(C39,Foundation_Calc!$E$2:$G$13,3,1),
IF(J39&gt;0,VLOOKUP(J39,Foundation_Calc!$E$2:$G$13,3,1),""))</f>
        <v/>
      </c>
      <c r="AY39" s="10" t="str">
        <f>IF(L39="","",
IF(AX39="PT",VLOOKUP(L39,Foundation_Calc!$K$79:$R$113,VLOOKUP(AW39,Foundation_Calc!$I$2:$J$8,2,FALSE),0),
IF(AX39="K",VLOOKUP(L39,Foundation_Calc!$K$117:$R$151,VLOOKUP(AW39,Foundation_Calc!$I$2:$J$8,2,FALSE),0),"")))</f>
        <v/>
      </c>
      <c r="AZ39" s="10" t="str">
        <f>IF(K39="","",
IF(AX39="PT",VLOOKUP(K39,Foundation_Calc!$K$79:$R$113,VLOOKUP(AW39,Foundation_Calc!$I$2:$J$8,2,FALSE),0),
IF(AX39="K",VLOOKUP(K39,Foundation_Calc!$K$117:$R$151,VLOOKUP(AW39,Foundation_Calc!$I$2:$J$8,2,FALSE),0),"")))</f>
        <v/>
      </c>
      <c r="BA39" s="495" t="str">
        <f t="shared" si="3"/>
        <v/>
      </c>
      <c r="BB39" s="495" t="str">
        <f t="shared" si="4"/>
        <v/>
      </c>
      <c r="BC39" s="495" t="str">
        <f t="shared" si="5"/>
        <v/>
      </c>
      <c r="BD39" s="513"/>
      <c r="BE39" s="429" t="s">
        <v>118</v>
      </c>
      <c r="BF39" s="290"/>
      <c r="BG39" s="290"/>
      <c r="BH39" s="290"/>
      <c r="BI39" s="290"/>
    </row>
    <row r="40" spans="1:61" ht="16.149999999999999" customHeight="1">
      <c r="A40" s="502">
        <f>'HR Track 3 ZIC'!A43</f>
        <v>0</v>
      </c>
      <c r="B40" s="503" t="str">
        <f>'HR Track 3 ZIC'!B43</f>
        <v>34-3.18</v>
      </c>
      <c r="C40" s="504">
        <f>'HR Track 3 ZIC'!C43</f>
        <v>34625.75</v>
      </c>
      <c r="D40" s="505">
        <f>'HR Track 3 ZIC'!D43</f>
        <v>0</v>
      </c>
      <c r="E40" s="506">
        <f>'HR Track 3 ZIC'!E43</f>
        <v>0</v>
      </c>
      <c r="F40" s="506">
        <f>'HR Track 3 ZIC'!F43</f>
        <v>0</v>
      </c>
      <c r="G40" s="507">
        <f>'HR Track 3 ZIC'!G43</f>
        <v>0</v>
      </c>
      <c r="H40" s="508" t="str">
        <f>'HR Track 3 ZIC'!H43</f>
        <v>P50(CS)</v>
      </c>
      <c r="I40" s="508">
        <f>'HR Track 3 ZIC'!I43</f>
        <v>0</v>
      </c>
      <c r="J40" s="509">
        <f>'HR Track 3 ZIC'!J43</f>
        <v>0</v>
      </c>
      <c r="K40" s="508">
        <f>'HR Track 3 ZIC'!K43</f>
        <v>0</v>
      </c>
      <c r="L40" s="508" t="str">
        <f>'HR Track 3 ZIC'!L43</f>
        <v>HEB-280L</v>
      </c>
      <c r="M40" s="508" t="str">
        <f>'HR Track 3 ZIC'!M43</f>
        <v>C5R</v>
      </c>
      <c r="N40" s="508" t="str">
        <f>'HR Track 3 ZIC'!N43</f>
        <v>EMT-1</v>
      </c>
      <c r="O40" s="508" t="str">
        <f>'HR Track 3 ZIC'!O43</f>
        <v>EMT-2</v>
      </c>
      <c r="P40" s="508">
        <f>'HR Track 3 ZIC'!P43</f>
        <v>0</v>
      </c>
      <c r="Q40" s="506">
        <f>'HR Track 3 ZIC'!Q43</f>
        <v>0</v>
      </c>
      <c r="R40" s="507">
        <f>'HR Track 3 ZIC'!R43</f>
        <v>0</v>
      </c>
      <c r="S40" s="507">
        <f>'HR Track 3 ZIC'!S43</f>
        <v>0</v>
      </c>
      <c r="T40" s="506">
        <f>'HR Track 3 ZIC'!T43</f>
        <v>-35</v>
      </c>
      <c r="U40" s="506">
        <f>'HR Track 3 ZIC'!U43</f>
        <v>-15</v>
      </c>
      <c r="V40" s="506">
        <f>'HR Track 3 ZIC'!V43</f>
        <v>0</v>
      </c>
      <c r="W40" s="510">
        <f>'HR Track 3 ZIC'!W43</f>
        <v>1.8</v>
      </c>
      <c r="X40" s="510">
        <f>'HR Track 3 ZIC'!X43</f>
        <v>1.4</v>
      </c>
      <c r="Y40" s="510">
        <f>'HR Track 3 ZIC'!Y43</f>
        <v>0</v>
      </c>
      <c r="Z40" s="510">
        <f>'HR Track 3 ZIC'!Z43</f>
        <v>0</v>
      </c>
      <c r="AA40" s="510">
        <f>'HR Track 3 ZIC'!AA43</f>
        <v>0</v>
      </c>
      <c r="AB40" s="510">
        <f>'HR Track 3 ZIC'!AB43</f>
        <v>0</v>
      </c>
      <c r="AC40" s="508" t="str">
        <f>'HR Track 3 ZIC'!AC43</f>
        <v>PHC</v>
      </c>
      <c r="AD40" s="508">
        <f>'HR Track 3 ZIC'!AD43</f>
        <v>0</v>
      </c>
      <c r="AE40" s="508">
        <f>'HR Track 3 ZIC'!AE43</f>
        <v>0</v>
      </c>
      <c r="AF40" s="506">
        <f>'HR Track 3 ZIC'!AF43</f>
        <v>0</v>
      </c>
      <c r="AG40" s="505">
        <f>'HR Track 3 ZIC'!AG43</f>
        <v>0</v>
      </c>
      <c r="AH40" s="506">
        <f>'HR Track 3 ZIC'!AH43</f>
        <v>0</v>
      </c>
      <c r="AI40" s="506">
        <f>'HR Track 3 ZIC'!AI43</f>
        <v>0</v>
      </c>
      <c r="AJ40" s="508" t="str">
        <f>'HR Track 3 ZIC'!AJ43</f>
        <v>SECT-I</v>
      </c>
      <c r="AK40" s="508">
        <f>'HR Track 3 ZIC'!AK43</f>
        <v>0</v>
      </c>
      <c r="AL40" s="508" t="str">
        <f>'HR Track 3 ZIC'!AL43</f>
        <v>PR1B</v>
      </c>
      <c r="AM40" s="508" t="str">
        <f>'HR Track 3 ZIC'!AM43</f>
        <v>RW2</v>
      </c>
      <c r="AN40" s="510">
        <f>'HR Track 3 ZIC'!AN43</f>
        <v>5.5</v>
      </c>
      <c r="AO40" s="508">
        <f>'HR Track 3 ZIC'!AO43</f>
        <v>0</v>
      </c>
      <c r="AP40" s="508">
        <f>'HR Track 3 ZIC'!AP43</f>
        <v>0</v>
      </c>
      <c r="AQ40" s="510">
        <f>'HR Track 3 ZIC'!AQ43</f>
        <v>0</v>
      </c>
      <c r="AR40" s="510">
        <f>'HR Track 3 ZIC'!AR43</f>
        <v>0</v>
      </c>
      <c r="AS40" s="510">
        <f>'HR Track 3 ZIC'!AS43</f>
        <v>0</v>
      </c>
      <c r="AT40" s="510">
        <f>'HR Track 3 ZIC'!AT43</f>
        <v>-4.6524425696817353</v>
      </c>
      <c r="AU40" s="511">
        <f>'HR Track 3 ZIC'!AU43</f>
        <v>0</v>
      </c>
      <c r="AV40" s="511">
        <f>'HR Track 3 ZIC'!AV43</f>
        <v>0</v>
      </c>
      <c r="AW40" s="508" t="str">
        <f>'HR Track 3 ZIC'!AW43</f>
        <v>Multi Soil</v>
      </c>
      <c r="AX40" s="508" t="str">
        <f>'HR Track 3 ZIC'!AX43</f>
        <v>PT</v>
      </c>
      <c r="AY40" s="510">
        <f>'HR Track 3 ZIC'!AY43</f>
        <v>3.5</v>
      </c>
      <c r="AZ40" s="510" t="str">
        <f>'HR Track 3 ZIC'!AZ43</f>
        <v/>
      </c>
      <c r="BA40" s="578" t="str">
        <f>'HR Track 3 ZIC'!BA43</f>
        <v>ü</v>
      </c>
      <c r="BB40" s="491" t="str">
        <f>'HR Track 3 ZIC'!BB43</f>
        <v/>
      </c>
      <c r="BC40" s="491" t="str">
        <f>'HR Track 3 ZIC'!BC43</f>
        <v/>
      </c>
      <c r="BD40" s="512" t="str">
        <f>'HR Track 3 ZIC'!BD43</f>
        <v>App.8-V08H-P10.3</v>
      </c>
      <c r="BE40" s="429" t="s">
        <v>118</v>
      </c>
      <c r="BF40" s="289"/>
      <c r="BG40" s="289"/>
      <c r="BH40" s="290"/>
      <c r="BI40" s="289"/>
    </row>
    <row r="41" spans="1:61" ht="16.149999999999999" customHeight="1">
      <c r="A41" s="502"/>
      <c r="B41" s="503">
        <f>'HR Track 3 ZIC'!B44</f>
        <v>0</v>
      </c>
      <c r="C41" s="504">
        <f>'HR Track 3 ZIC'!C44</f>
        <v>0</v>
      </c>
      <c r="D41" s="505">
        <f>'HR Track 3 ZIC'!D44</f>
        <v>0</v>
      </c>
      <c r="E41" s="506">
        <f>'HR Track 3 ZIC'!E44</f>
        <v>0</v>
      </c>
      <c r="F41" s="506">
        <f>'HR Track 3 ZIC'!F44</f>
        <v>0</v>
      </c>
      <c r="G41" s="507">
        <f>'HR Track 3 ZIC'!G44</f>
        <v>30</v>
      </c>
      <c r="H41" s="508">
        <f>'HR Track 3 ZIC'!H44</f>
        <v>0</v>
      </c>
      <c r="I41" s="508">
        <f>'HR Track 3 ZIC'!I44</f>
        <v>0</v>
      </c>
      <c r="J41" s="509">
        <f>'HR Track 3 ZIC'!J44</f>
        <v>0</v>
      </c>
      <c r="K41" s="508">
        <f>'HR Track 3 ZIC'!K44</f>
        <v>0</v>
      </c>
      <c r="L41" s="508">
        <f>'HR Track 3 ZIC'!L44</f>
        <v>0</v>
      </c>
      <c r="M41" s="508" t="str">
        <f>'HR Track 3 ZIC'!M44</f>
        <v/>
      </c>
      <c r="N41" s="508">
        <f>'HR Track 3 ZIC'!N44</f>
        <v>0</v>
      </c>
      <c r="O41" s="508">
        <f>'HR Track 3 ZIC'!O44</f>
        <v>0</v>
      </c>
      <c r="P41" s="508">
        <f>'HR Track 3 ZIC'!P44</f>
        <v>0</v>
      </c>
      <c r="Q41" s="506">
        <f>'HR Track 3 ZIC'!Q44</f>
        <v>0</v>
      </c>
      <c r="R41" s="507">
        <f>'HR Track 3 ZIC'!R44</f>
        <v>0</v>
      </c>
      <c r="S41" s="507">
        <f>'HR Track 3 ZIC'!S44</f>
        <v>0</v>
      </c>
      <c r="T41" s="506">
        <f>'HR Track 3 ZIC'!T44</f>
        <v>0</v>
      </c>
      <c r="U41" s="506">
        <f>'HR Track 3 ZIC'!U44</f>
        <v>0</v>
      </c>
      <c r="V41" s="506">
        <f>'HR Track 3 ZIC'!V44</f>
        <v>0</v>
      </c>
      <c r="W41" s="510">
        <f>'HR Track 3 ZIC'!W44</f>
        <v>0</v>
      </c>
      <c r="X41" s="510">
        <f>'HR Track 3 ZIC'!X44</f>
        <v>0</v>
      </c>
      <c r="Y41" s="510">
        <f>'HR Track 3 ZIC'!Y44</f>
        <v>0</v>
      </c>
      <c r="Z41" s="510">
        <f>'HR Track 3 ZIC'!Z44</f>
        <v>0</v>
      </c>
      <c r="AA41" s="510">
        <f>'HR Track 3 ZIC'!AA44</f>
        <v>0</v>
      </c>
      <c r="AB41" s="510">
        <f>'HR Track 3 ZIC'!AB44</f>
        <v>0</v>
      </c>
      <c r="AC41" s="508" t="str">
        <f>'HR Track 3 ZIC'!AC44</f>
        <v/>
      </c>
      <c r="AD41" s="508">
        <f>'HR Track 3 ZIC'!AD44</f>
        <v>0</v>
      </c>
      <c r="AE41" s="508">
        <f>'HR Track 3 ZIC'!AE44</f>
        <v>0</v>
      </c>
      <c r="AF41" s="506">
        <f>'HR Track 3 ZIC'!AF44</f>
        <v>0</v>
      </c>
      <c r="AG41" s="505">
        <f>'HR Track 3 ZIC'!AG44</f>
        <v>0</v>
      </c>
      <c r="AH41" s="506">
        <f>'HR Track 3 ZIC'!AH44</f>
        <v>0</v>
      </c>
      <c r="AI41" s="506">
        <f>'HR Track 3 ZIC'!AI44</f>
        <v>0</v>
      </c>
      <c r="AJ41" s="508">
        <f>'HR Track 3 ZIC'!AJ44</f>
        <v>0</v>
      </c>
      <c r="AK41" s="508">
        <f>'HR Track 3 ZIC'!AK44</f>
        <v>0</v>
      </c>
      <c r="AL41" s="508">
        <f>'HR Track 3 ZIC'!AL44</f>
        <v>0</v>
      </c>
      <c r="AM41" s="508">
        <f>'HR Track 3 ZIC'!AM44</f>
        <v>0</v>
      </c>
      <c r="AN41" s="510">
        <f>'HR Track 3 ZIC'!AN44</f>
        <v>0</v>
      </c>
      <c r="AO41" s="508">
        <f>'HR Track 3 ZIC'!AO44</f>
        <v>0</v>
      </c>
      <c r="AP41" s="508">
        <f>'HR Track 3 ZIC'!AP44</f>
        <v>0</v>
      </c>
      <c r="AQ41" s="510">
        <f>'HR Track 3 ZIC'!AQ44</f>
        <v>-0.35000000000001275</v>
      </c>
      <c r="AR41" s="510">
        <f>'HR Track 3 ZIC'!AR44</f>
        <v>0</v>
      </c>
      <c r="AS41" s="510">
        <f>'HR Track 3 ZIC'!AS44</f>
        <v>0</v>
      </c>
      <c r="AT41" s="510">
        <f>'HR Track 3 ZIC'!AT44</f>
        <v>0</v>
      </c>
      <c r="AU41" s="511">
        <f>'HR Track 3 ZIC'!AU44</f>
        <v>0</v>
      </c>
      <c r="AV41" s="511">
        <f>'HR Track 3 ZIC'!AV44</f>
        <v>0</v>
      </c>
      <c r="AW41" s="508" t="str">
        <f>'HR Track 3 ZIC'!AW44</f>
        <v/>
      </c>
      <c r="AX41" s="508" t="str">
        <f>'HR Track 3 ZIC'!AX44</f>
        <v/>
      </c>
      <c r="AY41" s="510" t="str">
        <f>'HR Track 3 ZIC'!AY44</f>
        <v/>
      </c>
      <c r="AZ41" s="510" t="str">
        <f>'HR Track 3 ZIC'!AZ44</f>
        <v/>
      </c>
      <c r="BA41" s="578" t="str">
        <f>'HR Track 3 ZIC'!BA44</f>
        <v/>
      </c>
      <c r="BB41" s="491" t="str">
        <f>'HR Track 3 ZIC'!BB44</f>
        <v/>
      </c>
      <c r="BC41" s="491" t="str">
        <f>'HR Track 3 ZIC'!BC44</f>
        <v/>
      </c>
      <c r="BD41" s="512">
        <f>'HR Track 3 ZIC'!BD44</f>
        <v>0</v>
      </c>
      <c r="BE41" s="429" t="s">
        <v>118</v>
      </c>
      <c r="BF41" s="290"/>
      <c r="BG41" s="290"/>
      <c r="BH41" s="290"/>
      <c r="BI41" s="290"/>
    </row>
    <row r="42" spans="1:61" ht="16.149999999999999" customHeight="1">
      <c r="A42" s="502"/>
      <c r="B42" s="503" t="str">
        <f>'HR Track 3 ZIC'!B45</f>
        <v>34-3.19</v>
      </c>
      <c r="C42" s="504">
        <f>'HR Track 3 ZIC'!C45</f>
        <v>34655.75</v>
      </c>
      <c r="D42" s="505">
        <f>'HR Track 3 ZIC'!D45</f>
        <v>0</v>
      </c>
      <c r="E42" s="506">
        <f>'HR Track 3 ZIC'!E45</f>
        <v>0</v>
      </c>
      <c r="F42" s="506">
        <f>'HR Track 3 ZIC'!F45</f>
        <v>0</v>
      </c>
      <c r="G42" s="507">
        <f>'HR Track 3 ZIC'!G45</f>
        <v>0</v>
      </c>
      <c r="H42" s="508" t="str">
        <f>'HR Track 3 ZIC'!H45</f>
        <v>S/A</v>
      </c>
      <c r="I42" s="508">
        <f>'HR Track 3 ZIC'!I45</f>
        <v>0</v>
      </c>
      <c r="J42" s="509">
        <f>'HR Track 3 ZIC'!J45</f>
        <v>0</v>
      </c>
      <c r="K42" s="508">
        <f>'HR Track 3 ZIC'!K45</f>
        <v>0</v>
      </c>
      <c r="L42" s="508" t="str">
        <f>'HR Track 3 ZIC'!L45</f>
        <v>HEB-280L</v>
      </c>
      <c r="M42" s="508" t="str">
        <f>'HR Track 3 ZIC'!M45</f>
        <v>C5R</v>
      </c>
      <c r="N42" s="508" t="str">
        <f>'HR Track 3 ZIC'!N45</f>
        <v>EMT-2</v>
      </c>
      <c r="O42" s="508" t="str">
        <f>'HR Track 3 ZIC'!O45</f>
        <v>EMT-T</v>
      </c>
      <c r="P42" s="508">
        <f>'HR Track 3 ZIC'!P45</f>
        <v>0</v>
      </c>
      <c r="Q42" s="506">
        <f>'HR Track 3 ZIC'!Q45</f>
        <v>0</v>
      </c>
      <c r="R42" s="507">
        <f>'HR Track 3 ZIC'!R45</f>
        <v>0</v>
      </c>
      <c r="S42" s="507">
        <f>'HR Track 3 ZIC'!S45</f>
        <v>0</v>
      </c>
      <c r="T42" s="506">
        <f>'HR Track 3 ZIC'!T45</f>
        <v>20</v>
      </c>
      <c r="U42" s="506">
        <f>'HR Track 3 ZIC'!U45</f>
        <v>55</v>
      </c>
      <c r="V42" s="506">
        <f>'HR Track 3 ZIC'!V45</f>
        <v>0</v>
      </c>
      <c r="W42" s="510">
        <f>'HR Track 3 ZIC'!W45</f>
        <v>1.8</v>
      </c>
      <c r="X42" s="510">
        <f>'HR Track 3 ZIC'!X45</f>
        <v>1.4</v>
      </c>
      <c r="Y42" s="510">
        <f>'HR Track 3 ZIC'!Y45</f>
        <v>0</v>
      </c>
      <c r="Z42" s="510">
        <f>'HR Track 3 ZIC'!Z45</f>
        <v>0</v>
      </c>
      <c r="AA42" s="510">
        <f>'HR Track 3 ZIC'!AA45</f>
        <v>0.25</v>
      </c>
      <c r="AB42" s="510">
        <f>'HR Track 3 ZIC'!AB45</f>
        <v>0</v>
      </c>
      <c r="AC42" s="508" t="str">
        <f>'HR Track 3 ZIC'!AC45</f>
        <v>PH</v>
      </c>
      <c r="AD42" s="508">
        <f>'HR Track 3 ZIC'!AD45</f>
        <v>0</v>
      </c>
      <c r="AE42" s="508">
        <f>'HR Track 3 ZIC'!AE45</f>
        <v>0</v>
      </c>
      <c r="AF42" s="506">
        <f>'HR Track 3 ZIC'!AF45</f>
        <v>0</v>
      </c>
      <c r="AG42" s="505">
        <f>'HR Track 3 ZIC'!AG45</f>
        <v>0</v>
      </c>
      <c r="AH42" s="506">
        <f>'HR Track 3 ZIC'!AH45</f>
        <v>0</v>
      </c>
      <c r="AI42" s="506">
        <f>'HR Track 3 ZIC'!AI45</f>
        <v>0</v>
      </c>
      <c r="AJ42" s="508">
        <f>'HR Track 3 ZIC'!AJ45</f>
        <v>0</v>
      </c>
      <c r="AK42" s="508">
        <f>'HR Track 3 ZIC'!AK45</f>
        <v>0</v>
      </c>
      <c r="AL42" s="508" t="str">
        <f>'HR Track 3 ZIC'!AL45</f>
        <v>PR1B</v>
      </c>
      <c r="AM42" s="508" t="str">
        <f>'HR Track 3 ZIC'!AM45</f>
        <v>RW2</v>
      </c>
      <c r="AN42" s="510">
        <f>'HR Track 3 ZIC'!AN45</f>
        <v>5.5</v>
      </c>
      <c r="AO42" s="508">
        <f>'HR Track 3 ZIC'!AO45</f>
        <v>0</v>
      </c>
      <c r="AP42" s="508">
        <f>'HR Track 3 ZIC'!AP45</f>
        <v>0</v>
      </c>
      <c r="AQ42" s="510">
        <f>'HR Track 3 ZIC'!AQ45</f>
        <v>0</v>
      </c>
      <c r="AR42" s="510">
        <f>'HR Track 3 ZIC'!AR45</f>
        <v>0</v>
      </c>
      <c r="AS42" s="510">
        <f>'HR Track 3 ZIC'!AS45</f>
        <v>0</v>
      </c>
      <c r="AT42" s="510">
        <f>'HR Track 3 ZIC'!AT45</f>
        <v>11.943457521152515</v>
      </c>
      <c r="AU42" s="511">
        <f>'HR Track 3 ZIC'!AU45</f>
        <v>0</v>
      </c>
      <c r="AV42" s="511">
        <f>'HR Track 3 ZIC'!AV45</f>
        <v>0</v>
      </c>
      <c r="AW42" s="508" t="str">
        <f>'HR Track 3 ZIC'!AW45</f>
        <v>Multi Soil</v>
      </c>
      <c r="AX42" s="508" t="str">
        <f>'HR Track 3 ZIC'!AX45</f>
        <v>PT</v>
      </c>
      <c r="AY42" s="510">
        <f>'HR Track 3 ZIC'!AY45</f>
        <v>3.5</v>
      </c>
      <c r="AZ42" s="510" t="str">
        <f>'HR Track 3 ZIC'!AZ45</f>
        <v/>
      </c>
      <c r="BA42" s="578" t="str">
        <f>'HR Track 3 ZIC'!BA45</f>
        <v>ü</v>
      </c>
      <c r="BB42" s="491" t="str">
        <f>'HR Track 3 ZIC'!BB45</f>
        <v/>
      </c>
      <c r="BC42" s="491" t="str">
        <f>'HR Track 3 ZIC'!BC45</f>
        <v/>
      </c>
      <c r="BD42" s="512" t="str">
        <f>'HR Track 3 ZIC'!BD45</f>
        <v>App.8-V08H-P10.3</v>
      </c>
      <c r="BE42" s="429" t="s">
        <v>118</v>
      </c>
      <c r="BF42" s="289"/>
      <c r="BG42" s="289"/>
      <c r="BH42" s="290"/>
      <c r="BI42" s="289"/>
    </row>
    <row r="43" spans="1:61" ht="16.149999999999999" customHeight="1">
      <c r="A43" s="599"/>
      <c r="B43" s="600">
        <f>'HR Track 3 ZIC'!B46</f>
        <v>0</v>
      </c>
      <c r="C43" s="592">
        <f>'HR Track 3 ZIC'!C46</f>
        <v>0</v>
      </c>
      <c r="D43" s="593">
        <f>'HR Track 3 ZIC'!D46</f>
        <v>0</v>
      </c>
      <c r="E43" s="594">
        <f>'HR Track 3 ZIC'!E46</f>
        <v>0</v>
      </c>
      <c r="F43" s="594">
        <f>'HR Track 3 ZIC'!F46</f>
        <v>0</v>
      </c>
      <c r="G43" s="595">
        <f>'HR Track 3 ZIC'!G46</f>
        <v>40</v>
      </c>
      <c r="H43" s="596">
        <f>'HR Track 3 ZIC'!H46</f>
        <v>0</v>
      </c>
      <c r="I43" s="596">
        <f>'HR Track 3 ZIC'!I46</f>
        <v>0</v>
      </c>
      <c r="J43" s="601">
        <f>'HR Track 3 ZIC'!J46</f>
        <v>0</v>
      </c>
      <c r="K43" s="596">
        <f>'HR Track 3 ZIC'!K46</f>
        <v>0</v>
      </c>
      <c r="L43" s="596">
        <f>'HR Track 3 ZIC'!L46</f>
        <v>0</v>
      </c>
      <c r="M43" s="596" t="str">
        <f>'HR Track 3 ZIC'!M46</f>
        <v/>
      </c>
      <c r="N43" s="596">
        <f>'HR Track 3 ZIC'!N46</f>
        <v>0</v>
      </c>
      <c r="O43" s="596">
        <f>'HR Track 3 ZIC'!O46</f>
        <v>0</v>
      </c>
      <c r="P43" s="596">
        <f>'HR Track 3 ZIC'!P46</f>
        <v>0</v>
      </c>
      <c r="Q43" s="594">
        <f>'HR Track 3 ZIC'!Q46</f>
        <v>0</v>
      </c>
      <c r="R43" s="595">
        <f>'HR Track 3 ZIC'!R46</f>
        <v>0</v>
      </c>
      <c r="S43" s="595">
        <f>'HR Track 3 ZIC'!S46</f>
        <v>0</v>
      </c>
      <c r="T43" s="594">
        <f>'HR Track 3 ZIC'!T46</f>
        <v>0</v>
      </c>
      <c r="U43" s="594">
        <f>'HR Track 3 ZIC'!U46</f>
        <v>0</v>
      </c>
      <c r="V43" s="594">
        <f>'HR Track 3 ZIC'!V46</f>
        <v>0</v>
      </c>
      <c r="W43" s="597">
        <f>'HR Track 3 ZIC'!W46</f>
        <v>0</v>
      </c>
      <c r="X43" s="597">
        <f>'HR Track 3 ZIC'!X46</f>
        <v>0</v>
      </c>
      <c r="Y43" s="597">
        <f>'HR Track 3 ZIC'!Y46</f>
        <v>0</v>
      </c>
      <c r="Z43" s="597">
        <f>'HR Track 3 ZIC'!Z46</f>
        <v>0</v>
      </c>
      <c r="AA43" s="597">
        <f>'HR Track 3 ZIC'!AA46</f>
        <v>0</v>
      </c>
      <c r="AB43" s="597">
        <f>'HR Track 3 ZIC'!AB46</f>
        <v>0</v>
      </c>
      <c r="AC43" s="596" t="str">
        <f>'HR Track 3 ZIC'!AC46</f>
        <v/>
      </c>
      <c r="AD43" s="596">
        <f>'HR Track 3 ZIC'!AD46</f>
        <v>0</v>
      </c>
      <c r="AE43" s="596">
        <f>'HR Track 3 ZIC'!AE46</f>
        <v>0</v>
      </c>
      <c r="AF43" s="594">
        <f>'HR Track 3 ZIC'!AF46</f>
        <v>0</v>
      </c>
      <c r="AG43" s="593">
        <f>'HR Track 3 ZIC'!AG46</f>
        <v>0</v>
      </c>
      <c r="AH43" s="594">
        <f>'HR Track 3 ZIC'!AH46</f>
        <v>0</v>
      </c>
      <c r="AI43" s="594">
        <f>'HR Track 3 ZIC'!AI46</f>
        <v>0</v>
      </c>
      <c r="AJ43" s="596">
        <f>'HR Track 3 ZIC'!AJ46</f>
        <v>0</v>
      </c>
      <c r="AK43" s="596">
        <f>'HR Track 3 ZIC'!AK46</f>
        <v>0</v>
      </c>
      <c r="AL43" s="596">
        <f>'HR Track 3 ZIC'!AL46</f>
        <v>0</v>
      </c>
      <c r="AM43" s="596">
        <f>'HR Track 3 ZIC'!AM46</f>
        <v>0</v>
      </c>
      <c r="AN43" s="597">
        <f>'HR Track 3 ZIC'!AN46</f>
        <v>0</v>
      </c>
      <c r="AO43" s="596">
        <f>'HR Track 3 ZIC'!AO46</f>
        <v>0</v>
      </c>
      <c r="AP43" s="596">
        <f>'HR Track 3 ZIC'!AP46</f>
        <v>0</v>
      </c>
      <c r="AQ43" s="597">
        <f>'HR Track 3 ZIC'!AQ46</f>
        <v>0.3</v>
      </c>
      <c r="AR43" s="597">
        <f>'HR Track 3 ZIC'!AR46</f>
        <v>0</v>
      </c>
      <c r="AS43" s="597">
        <f>'HR Track 3 ZIC'!AS46</f>
        <v>0</v>
      </c>
      <c r="AT43" s="597">
        <f>'HR Track 3 ZIC'!AT46</f>
        <v>0</v>
      </c>
      <c r="AU43" s="598">
        <f>'HR Track 3 ZIC'!AU46</f>
        <v>0</v>
      </c>
      <c r="AV43" s="598">
        <f>'HR Track 3 ZIC'!AV46</f>
        <v>0</v>
      </c>
      <c r="AW43" s="596" t="str">
        <f>'HR Track 3 ZIC'!AW46</f>
        <v/>
      </c>
      <c r="AX43" s="596" t="str">
        <f>'HR Track 3 ZIC'!AX46</f>
        <v/>
      </c>
      <c r="AY43" s="597" t="str">
        <f>'HR Track 3 ZIC'!AY46</f>
        <v/>
      </c>
      <c r="AZ43" s="597" t="str">
        <f>'HR Track 3 ZIC'!AZ46</f>
        <v/>
      </c>
      <c r="BA43" s="756" t="str">
        <f>'HR Track 3 ZIC'!BA46</f>
        <v/>
      </c>
      <c r="BB43" s="474" t="str">
        <f>'HR Track 3 ZIC'!BB46</f>
        <v/>
      </c>
      <c r="BC43" s="474" t="str">
        <f>'HR Track 3 ZIC'!BC46</f>
        <v/>
      </c>
      <c r="BD43" s="602">
        <f>'HR Track 3 ZIC'!BD46</f>
        <v>0</v>
      </c>
      <c r="BE43" s="429" t="s">
        <v>118</v>
      </c>
      <c r="BF43" s="290"/>
      <c r="BG43" s="290"/>
      <c r="BH43" s="290"/>
      <c r="BI43" s="290"/>
    </row>
    <row r="44" spans="1:61" ht="16.149999999999999" customHeight="1">
      <c r="A44" s="502"/>
      <c r="B44" s="503" t="str">
        <f>'HR Track 3 ZIC'!B47</f>
        <v>34-3.20</v>
      </c>
      <c r="C44" s="504">
        <f>'HR Track 3 ZIC'!C47</f>
        <v>34695.75</v>
      </c>
      <c r="D44" s="505">
        <f>'HR Track 3 ZIC'!D47</f>
        <v>0</v>
      </c>
      <c r="E44" s="506">
        <f>'HR Track 3 ZIC'!E47</f>
        <v>0</v>
      </c>
      <c r="F44" s="506">
        <f>'HR Track 3 ZIC'!F47</f>
        <v>953.6</v>
      </c>
      <c r="G44" s="507">
        <f>'HR Track 3 ZIC'!G47</f>
        <v>0</v>
      </c>
      <c r="H44" s="508" t="str">
        <f>'HR Track 3 ZIC'!H47</f>
        <v>A/S-Diag</v>
      </c>
      <c r="I44" s="508" t="str">
        <f>'HR Track 3 ZIC'!I47</f>
        <v>CP+AnMC</v>
      </c>
      <c r="J44" s="509">
        <f>'HR Track 3 ZIC'!J47</f>
        <v>0</v>
      </c>
      <c r="K44" s="508">
        <f>'HR Track 3 ZIC'!K47</f>
        <v>0</v>
      </c>
      <c r="L44" s="508" t="str">
        <f>'HR Track 3 ZIC'!L47</f>
        <v>HEB-280L</v>
      </c>
      <c r="M44" s="508" t="str">
        <f>'HR Track 3 ZIC'!M47</f>
        <v>C5R</v>
      </c>
      <c r="N44" s="508" t="str">
        <f>'HR Track 3 ZIC'!N47</f>
        <v>EMT-2</v>
      </c>
      <c r="O44" s="508">
        <f>'HR Track 3 ZIC'!O47</f>
        <v>0</v>
      </c>
      <c r="P44" s="508">
        <f>'HR Track 3 ZIC'!P47</f>
        <v>0</v>
      </c>
      <c r="Q44" s="506">
        <f>'HR Track 3 ZIC'!Q47</f>
        <v>0</v>
      </c>
      <c r="R44" s="507">
        <f>'HR Track 3 ZIC'!R47</f>
        <v>0</v>
      </c>
      <c r="S44" s="507">
        <f>'HR Track 3 ZIC'!S47</f>
        <v>0</v>
      </c>
      <c r="T44" s="506">
        <f>'HR Track 3 ZIC'!T47</f>
        <v>30</v>
      </c>
      <c r="U44" s="506">
        <f>'HR Track 3 ZIC'!U47</f>
        <v>0</v>
      </c>
      <c r="V44" s="506">
        <f>'HR Track 3 ZIC'!V47</f>
        <v>0</v>
      </c>
      <c r="W44" s="510">
        <f>'HR Track 3 ZIC'!W47</f>
        <v>1.4</v>
      </c>
      <c r="X44" s="510">
        <f>'HR Track 3 ZIC'!X47</f>
        <v>0</v>
      </c>
      <c r="Y44" s="510">
        <f>'HR Track 3 ZIC'!Y47</f>
        <v>0</v>
      </c>
      <c r="Z44" s="510">
        <f>'HR Track 3 ZIC'!Z47</f>
        <v>0</v>
      </c>
      <c r="AA44" s="510">
        <f>'HR Track 3 ZIC'!AA47</f>
        <v>0</v>
      </c>
      <c r="AB44" s="510">
        <f>'HR Track 3 ZIC'!AB47</f>
        <v>0</v>
      </c>
      <c r="AC44" s="508" t="str">
        <f>'HR Track 3 ZIC'!AC47</f>
        <v>PHC</v>
      </c>
      <c r="AD44" s="508">
        <f>'HR Track 3 ZIC'!AD47</f>
        <v>0</v>
      </c>
      <c r="AE44" s="508">
        <f>'HR Track 3 ZIC'!AE47</f>
        <v>0</v>
      </c>
      <c r="AF44" s="506">
        <f>'HR Track 3 ZIC'!AF47</f>
        <v>0</v>
      </c>
      <c r="AG44" s="505">
        <f>'HR Track 3 ZIC'!AG47</f>
        <v>0</v>
      </c>
      <c r="AH44" s="506">
        <f>'HR Track 3 ZIC'!AH47</f>
        <v>0</v>
      </c>
      <c r="AI44" s="506">
        <f>'HR Track 3 ZIC'!AI47</f>
        <v>0</v>
      </c>
      <c r="AJ44" s="508">
        <f>'HR Track 3 ZIC'!AJ47</f>
        <v>0</v>
      </c>
      <c r="AK44" s="508">
        <f>'HR Track 3 ZIC'!AK47</f>
        <v>0</v>
      </c>
      <c r="AL44" s="508" t="str">
        <f>'HR Track 3 ZIC'!AL47</f>
        <v>PR1B</v>
      </c>
      <c r="AM44" s="508" t="str">
        <f>'HR Track 3 ZIC'!AM47</f>
        <v>RW2</v>
      </c>
      <c r="AN44" s="510">
        <f>'HR Track 3 ZIC'!AN47</f>
        <v>5.5</v>
      </c>
      <c r="AO44" s="508">
        <f>'HR Track 3 ZIC'!AO47</f>
        <v>0</v>
      </c>
      <c r="AP44" s="508">
        <f>'HR Track 3 ZIC'!AP47</f>
        <v>0</v>
      </c>
      <c r="AQ44" s="510">
        <f>'HR Track 3 ZIC'!AQ47</f>
        <v>0</v>
      </c>
      <c r="AR44" s="510">
        <f>'HR Track 3 ZIC'!AR47</f>
        <v>0</v>
      </c>
      <c r="AS44" s="510">
        <f>'HR Track 3 ZIC'!AS47</f>
        <v>0</v>
      </c>
      <c r="AT44" s="510">
        <f>'HR Track 3 ZIC'!AT47</f>
        <v>4.0431349445256322</v>
      </c>
      <c r="AU44" s="511">
        <f>'HR Track 3 ZIC'!AU47</f>
        <v>0</v>
      </c>
      <c r="AV44" s="511">
        <f>'HR Track 3 ZIC'!AV47</f>
        <v>0</v>
      </c>
      <c r="AW44" s="508" t="str">
        <f>'HR Track 3 ZIC'!AW47</f>
        <v>Multi Soil</v>
      </c>
      <c r="AX44" s="508" t="str">
        <f>'HR Track 3 ZIC'!AX47</f>
        <v>PT</v>
      </c>
      <c r="AY44" s="510">
        <f>'HR Track 3 ZIC'!AY47</f>
        <v>3.5</v>
      </c>
      <c r="AZ44" s="510" t="str">
        <f>'HR Track 3 ZIC'!AZ47</f>
        <v/>
      </c>
      <c r="BA44" s="578" t="str">
        <f>'HR Track 3 ZIC'!BA47</f>
        <v>ü</v>
      </c>
      <c r="BB44" s="491" t="str">
        <f>'HR Track 3 ZIC'!BB47</f>
        <v/>
      </c>
      <c r="BC44" s="491" t="str">
        <f>'HR Track 3 ZIC'!BC47</f>
        <v/>
      </c>
      <c r="BD44" s="512" t="str">
        <f>'HR Track 3 ZIC'!BD47</f>
        <v>App.8-V08H-P10.3</v>
      </c>
      <c r="BE44" s="429" t="s">
        <v>118</v>
      </c>
      <c r="BF44" s="289"/>
      <c r="BG44" s="289"/>
      <c r="BH44" s="290"/>
      <c r="BI44" s="289"/>
    </row>
    <row r="45" spans="1:61" ht="16.149999999999999" customHeight="1" thickBot="1">
      <c r="A45" s="757">
        <f>'HR Track 3 ZIC'!A48</f>
        <v>0</v>
      </c>
      <c r="B45" s="758">
        <f>'HR Track 3 ZIC'!B48</f>
        <v>0</v>
      </c>
      <c r="C45" s="759">
        <f>'HR Track 3 ZIC'!C48</f>
        <v>0</v>
      </c>
      <c r="D45" s="760">
        <f>'HR Track 3 ZIC'!D48</f>
        <v>0</v>
      </c>
      <c r="E45" s="761">
        <f>'HR Track 3 ZIC'!E48</f>
        <v>0</v>
      </c>
      <c r="F45" s="761">
        <f>'HR Track 3 ZIC'!F48</f>
        <v>0</v>
      </c>
      <c r="G45" s="762"/>
      <c r="H45" s="763">
        <f>'HR Track 3 ZIC'!H48</f>
        <v>0</v>
      </c>
      <c r="I45" s="763">
        <f>'HR Track 3 ZIC'!I48</f>
        <v>0</v>
      </c>
      <c r="J45" s="764">
        <f>'HR Track 3 ZIC'!J48</f>
        <v>34703.25</v>
      </c>
      <c r="K45" s="763" t="str">
        <f>'HR Track 3 ZIC'!K48</f>
        <v>AnMC-R</v>
      </c>
      <c r="L45" s="763">
        <f>'HR Track 3 ZIC'!L48</f>
        <v>0</v>
      </c>
      <c r="M45" s="763" t="str">
        <f>'HR Track 3 ZIC'!M48</f>
        <v/>
      </c>
      <c r="N45" s="763">
        <f>'HR Track 3 ZIC'!N48</f>
        <v>0</v>
      </c>
      <c r="O45" s="763">
        <f>'HR Track 3 ZIC'!O48</f>
        <v>0</v>
      </c>
      <c r="P45" s="763">
        <f>'HR Track 3 ZIC'!P48</f>
        <v>0</v>
      </c>
      <c r="Q45" s="761">
        <f>'HR Track 3 ZIC'!Q48</f>
        <v>0</v>
      </c>
      <c r="R45" s="762">
        <f>'HR Track 3 ZIC'!R48</f>
        <v>0</v>
      </c>
      <c r="S45" s="762">
        <f>'HR Track 3 ZIC'!S48</f>
        <v>0</v>
      </c>
      <c r="T45" s="761">
        <f>'HR Track 3 ZIC'!T48</f>
        <v>0</v>
      </c>
      <c r="U45" s="761">
        <f>'HR Track 3 ZIC'!U48</f>
        <v>0</v>
      </c>
      <c r="V45" s="761">
        <f>'HR Track 3 ZIC'!V48</f>
        <v>0</v>
      </c>
      <c r="W45" s="765">
        <f>'HR Track 3 ZIC'!W48</f>
        <v>0</v>
      </c>
      <c r="X45" s="765">
        <f>'HR Track 3 ZIC'!X48</f>
        <v>0</v>
      </c>
      <c r="Y45" s="765">
        <f>'HR Track 3 ZIC'!Y48</f>
        <v>0</v>
      </c>
      <c r="Z45" s="765">
        <f>'HR Track 3 ZIC'!Z48</f>
        <v>0</v>
      </c>
      <c r="AA45" s="765">
        <f>'HR Track 3 ZIC'!AA48</f>
        <v>0</v>
      </c>
      <c r="AB45" s="765">
        <f>'HR Track 3 ZIC'!AB48</f>
        <v>0</v>
      </c>
      <c r="AC45" s="763" t="str">
        <f>'HR Track 3 ZIC'!AC48</f>
        <v/>
      </c>
      <c r="AD45" s="763">
        <f>'HR Track 3 ZIC'!AD48</f>
        <v>0</v>
      </c>
      <c r="AE45" s="763">
        <f>'HR Track 3 ZIC'!AE48</f>
        <v>0</v>
      </c>
      <c r="AF45" s="761">
        <f>'HR Track 3 ZIC'!AF48</f>
        <v>0</v>
      </c>
      <c r="AG45" s="760">
        <f>'HR Track 3 ZIC'!AG48</f>
        <v>0</v>
      </c>
      <c r="AH45" s="761">
        <f>'HR Track 3 ZIC'!AH48</f>
        <v>0</v>
      </c>
      <c r="AI45" s="761">
        <f>'HR Track 3 ZIC'!AI48</f>
        <v>0</v>
      </c>
      <c r="AJ45" s="763">
        <f>'HR Track 3 ZIC'!AJ48</f>
        <v>0</v>
      </c>
      <c r="AK45" s="763">
        <f>'HR Track 3 ZIC'!AK48</f>
        <v>0</v>
      </c>
      <c r="AL45" s="763">
        <f>'HR Track 3 ZIC'!AL48</f>
        <v>0</v>
      </c>
      <c r="AM45" s="763">
        <f>'HR Track 3 ZIC'!AM48</f>
        <v>0</v>
      </c>
      <c r="AN45" s="765">
        <f>'HR Track 3 ZIC'!AN48</f>
        <v>0</v>
      </c>
      <c r="AO45" s="763">
        <f>'HR Track 3 ZIC'!AO48</f>
        <v>0</v>
      </c>
      <c r="AP45" s="763">
        <f>'HR Track 3 ZIC'!AP48</f>
        <v>0</v>
      </c>
      <c r="AQ45" s="765">
        <f>'HR Track 3 ZIC'!AQ48</f>
        <v>0.30006268742490716</v>
      </c>
      <c r="AR45" s="765">
        <f>'HR Track 3 ZIC'!AR48</f>
        <v>0</v>
      </c>
      <c r="AS45" s="765">
        <f>'HR Track 3 ZIC'!AS48</f>
        <v>0</v>
      </c>
      <c r="AT45" s="765">
        <f>'HR Track 3 ZIC'!AT48</f>
        <v>0</v>
      </c>
      <c r="AU45" s="766">
        <f>'HR Track 3 ZIC'!AU48</f>
        <v>0</v>
      </c>
      <c r="AV45" s="766">
        <f>'HR Track 3 ZIC'!AV48</f>
        <v>0</v>
      </c>
      <c r="AW45" s="763" t="str">
        <f>'HR Track 3 ZIC'!AW48</f>
        <v>Multi Soil</v>
      </c>
      <c r="AX45" s="763" t="str">
        <f>'HR Track 3 ZIC'!AX48</f>
        <v>PT</v>
      </c>
      <c r="AY45" s="765" t="str">
        <f>'HR Track 3 ZIC'!AY48</f>
        <v/>
      </c>
      <c r="AZ45" s="765">
        <f>'HR Track 3 ZIC'!AZ48</f>
        <v>3.9</v>
      </c>
      <c r="BA45" s="767" t="str">
        <f>'HR Track 3 ZIC'!BA48</f>
        <v/>
      </c>
      <c r="BB45" s="768" t="str">
        <f>'HR Track 3 ZIC'!BB48</f>
        <v>ü</v>
      </c>
      <c r="BC45" s="768" t="str">
        <f>'HR Track 3 ZIC'!BC48</f>
        <v/>
      </c>
      <c r="BD45" s="769">
        <f>'HR Track 3 ZIC'!BD48</f>
        <v>0</v>
      </c>
      <c r="BE45" s="429" t="s">
        <v>118</v>
      </c>
      <c r="BF45" s="290"/>
      <c r="BG45" s="290"/>
      <c r="BH45" s="290"/>
      <c r="BI45" s="290"/>
    </row>
    <row r="46" spans="1:61" ht="15.75" customHeight="1"/>
    <row r="47" spans="1:61" ht="15.75" customHeight="1"/>
    <row r="48" spans="1:61" ht="15.75" customHeight="1"/>
    <row r="49" ht="15.75" customHeight="1"/>
    <row r="50" ht="15.75" customHeight="1"/>
  </sheetData>
  <autoFilter ref="A2:BD45" xr:uid="{00000000-0009-0000-0000-000004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filterColumn colId="52" showButton="0"/>
    <filterColumn colId="53" showButton="0"/>
  </autoFilter>
  <mergeCells count="11">
    <mergeCell ref="BF1:BI1"/>
    <mergeCell ref="A1:BD1"/>
    <mergeCell ref="W2:Y2"/>
    <mergeCell ref="Z2:AB2"/>
    <mergeCell ref="N2:P2"/>
    <mergeCell ref="AT2:AV2"/>
    <mergeCell ref="T2:V2"/>
    <mergeCell ref="AC2:AE2"/>
    <mergeCell ref="AN2:AP2"/>
    <mergeCell ref="AQ2:AS2"/>
    <mergeCell ref="BA2:BC2"/>
  </mergeCells>
  <phoneticPr fontId="0" type="noConversion"/>
  <conditionalFormatting sqref="BE4">
    <cfRule type="expression" dxfId="20517" priority="5061">
      <formula>$M4="NON DEFINED"</formula>
    </cfRule>
    <cfRule type="expression" dxfId="20516" priority="5062">
      <formula>$AY4="N.D."</formula>
    </cfRule>
  </conditionalFormatting>
  <conditionalFormatting sqref="BE4">
    <cfRule type="cellIs" dxfId="20515" priority="5060" operator="equal">
      <formula>0</formula>
    </cfRule>
  </conditionalFormatting>
  <conditionalFormatting sqref="BA4:BC4">
    <cfRule type="expression" dxfId="20514" priority="5024">
      <formula>$BE4="R"</formula>
    </cfRule>
  </conditionalFormatting>
  <conditionalFormatting sqref="B4:E4 J4 AG4 AN4:AS4 AY4:BC4 G4:H4">
    <cfRule type="expression" dxfId="20513" priority="5022">
      <formula>$M4="NON DEFINED"</formula>
    </cfRule>
    <cfRule type="expression" dxfId="20512" priority="5023">
      <formula>$AY4="N.D."</formula>
    </cfRule>
  </conditionalFormatting>
  <conditionalFormatting sqref="B4:E4 J4 AG4 AN4:AS4 AY4:BD4 G4:H4">
    <cfRule type="cellIs" dxfId="20511" priority="5021" operator="equal">
      <formula>0</formula>
    </cfRule>
  </conditionalFormatting>
  <conditionalFormatting sqref="A4">
    <cfRule type="cellIs" dxfId="20510" priority="5018" operator="equal">
      <formula>0</formula>
    </cfRule>
  </conditionalFormatting>
  <conditionalFormatting sqref="I4">
    <cfRule type="expression" dxfId="20509" priority="5002">
      <formula>$M4="NON DEFINED"</formula>
    </cfRule>
    <cfRule type="expression" dxfId="20508" priority="5003">
      <formula>$AY4="N.D."</formula>
    </cfRule>
  </conditionalFormatting>
  <conditionalFormatting sqref="I4">
    <cfRule type="cellIs" dxfId="20507" priority="5001" operator="equal">
      <formula>0</formula>
    </cfRule>
  </conditionalFormatting>
  <conditionalFormatting sqref="K4">
    <cfRule type="expression" dxfId="20506" priority="4985">
      <formula>$M4="NON DEFINED"</formula>
    </cfRule>
    <cfRule type="expression" dxfId="20505" priority="4986">
      <formula>$AY4="N.D."</formula>
    </cfRule>
  </conditionalFormatting>
  <conditionalFormatting sqref="K4">
    <cfRule type="cellIs" dxfId="20504" priority="4984" operator="equal">
      <formula>0</formula>
    </cfRule>
  </conditionalFormatting>
  <conditionalFormatting sqref="L4">
    <cfRule type="expression" dxfId="20503" priority="4968">
      <formula>$M4="NON DEFINED"</formula>
    </cfRule>
    <cfRule type="expression" dxfId="20502" priority="4969">
      <formula>$AY4="N.D."</formula>
    </cfRule>
  </conditionalFormatting>
  <conditionalFormatting sqref="L4">
    <cfRule type="cellIs" dxfId="20501" priority="4967" operator="equal">
      <formula>0</formula>
    </cfRule>
  </conditionalFormatting>
  <conditionalFormatting sqref="M4">
    <cfRule type="expression" dxfId="20500" priority="4951">
      <formula>$M4="NON DEFINED"</formula>
    </cfRule>
    <cfRule type="expression" dxfId="20499" priority="4952">
      <formula>$AY4="N.D."</formula>
    </cfRule>
  </conditionalFormatting>
  <conditionalFormatting sqref="M4">
    <cfRule type="cellIs" dxfId="20498" priority="4950" operator="equal">
      <formula>0</formula>
    </cfRule>
  </conditionalFormatting>
  <conditionalFormatting sqref="N4">
    <cfRule type="expression" dxfId="20497" priority="4931">
      <formula>$M4="NON DEFINED"</formula>
    </cfRule>
    <cfRule type="expression" dxfId="20496" priority="4932">
      <formula>$AY4="N.D."</formula>
    </cfRule>
  </conditionalFormatting>
  <conditionalFormatting sqref="N4">
    <cfRule type="cellIs" dxfId="20495" priority="4930" operator="equal">
      <formula>0</formula>
    </cfRule>
  </conditionalFormatting>
  <conditionalFormatting sqref="O4">
    <cfRule type="expression" dxfId="20494" priority="4914">
      <formula>$M4="NON DEFINED"</formula>
    </cfRule>
    <cfRule type="expression" dxfId="20493" priority="4915">
      <formula>$AY4="N.D."</formula>
    </cfRule>
  </conditionalFormatting>
  <conditionalFormatting sqref="O4">
    <cfRule type="cellIs" dxfId="20492" priority="4913" operator="equal">
      <formula>0</formula>
    </cfRule>
  </conditionalFormatting>
  <conditionalFormatting sqref="P4">
    <cfRule type="expression" dxfId="20491" priority="4897">
      <formula>$M4="NON DEFINED"</formula>
    </cfRule>
    <cfRule type="expression" dxfId="20490" priority="4898">
      <formula>$AY4="N.D."</formula>
    </cfRule>
  </conditionalFormatting>
  <conditionalFormatting sqref="P4">
    <cfRule type="cellIs" dxfId="20489" priority="4896" operator="equal">
      <formula>0</formula>
    </cfRule>
  </conditionalFormatting>
  <conditionalFormatting sqref="AC4">
    <cfRule type="expression" dxfId="20488" priority="4863">
      <formula>$M4="NON DEFINED"</formula>
    </cfRule>
    <cfRule type="expression" dxfId="20487" priority="4864">
      <formula>$AY4="N.D."</formula>
    </cfRule>
  </conditionalFormatting>
  <conditionalFormatting sqref="AC4">
    <cfRule type="cellIs" dxfId="20486" priority="4862" operator="equal">
      <formula>0</formula>
    </cfRule>
  </conditionalFormatting>
  <conditionalFormatting sqref="AD4">
    <cfRule type="expression" dxfId="20485" priority="4846">
      <formula>$M4="NON DEFINED"</formula>
    </cfRule>
    <cfRule type="expression" dxfId="20484" priority="4847">
      <formula>$AY4="N.D."</formula>
    </cfRule>
  </conditionalFormatting>
  <conditionalFormatting sqref="AD4">
    <cfRule type="cellIs" dxfId="20483" priority="4845" operator="equal">
      <formula>0</formula>
    </cfRule>
  </conditionalFormatting>
  <conditionalFormatting sqref="AE4">
    <cfRule type="expression" dxfId="20482" priority="4829">
      <formula>$M4="NON DEFINED"</formula>
    </cfRule>
    <cfRule type="expression" dxfId="20481" priority="4830">
      <formula>$AY4="N.D."</formula>
    </cfRule>
  </conditionalFormatting>
  <conditionalFormatting sqref="AE4">
    <cfRule type="cellIs" dxfId="20480" priority="4828" operator="equal">
      <formula>0</formula>
    </cfRule>
  </conditionalFormatting>
  <conditionalFormatting sqref="AJ4">
    <cfRule type="expression" dxfId="20479" priority="4812">
      <formula>$M4="NON DEFINED"</formula>
    </cfRule>
    <cfRule type="expression" dxfId="20478" priority="4813">
      <formula>$AY4="N.D."</formula>
    </cfRule>
  </conditionalFormatting>
  <conditionalFormatting sqref="AJ4">
    <cfRule type="cellIs" dxfId="20477" priority="4811" operator="equal">
      <formula>0</formula>
    </cfRule>
  </conditionalFormatting>
  <conditionalFormatting sqref="AK4">
    <cfRule type="expression" dxfId="20476" priority="4795">
      <formula>$M4="NON DEFINED"</formula>
    </cfRule>
    <cfRule type="expression" dxfId="20475" priority="4796">
      <formula>$AY4="N.D."</formula>
    </cfRule>
  </conditionalFormatting>
  <conditionalFormatting sqref="AK4">
    <cfRule type="cellIs" dxfId="20474" priority="5064" operator="equal">
      <formula>0</formula>
    </cfRule>
  </conditionalFormatting>
  <conditionalFormatting sqref="AL4">
    <cfRule type="expression" dxfId="20473" priority="4778">
      <formula>$M4="NON DEFINED"</formula>
    </cfRule>
    <cfRule type="expression" dxfId="20472" priority="4779">
      <formula>$AY4="N.D."</formula>
    </cfRule>
  </conditionalFormatting>
  <conditionalFormatting sqref="AL4">
    <cfRule type="cellIs" dxfId="20471" priority="4777" operator="equal">
      <formula>0</formula>
    </cfRule>
  </conditionalFormatting>
  <conditionalFormatting sqref="AM4">
    <cfRule type="expression" dxfId="20470" priority="4761">
      <formula>$M4="NON DEFINED"</formula>
    </cfRule>
    <cfRule type="expression" dxfId="20469" priority="4762">
      <formula>$AY4="N.D."</formula>
    </cfRule>
  </conditionalFormatting>
  <conditionalFormatting sqref="AM4">
    <cfRule type="cellIs" dxfId="20468" priority="4760" operator="equal">
      <formula>0</formula>
    </cfRule>
  </conditionalFormatting>
  <conditionalFormatting sqref="AT4">
    <cfRule type="expression" dxfId="20467" priority="4744">
      <formula>$M4="NON DEFINED"</formula>
    </cfRule>
    <cfRule type="expression" dxfId="20466" priority="4745">
      <formula>$AY4="N.D."</formula>
    </cfRule>
  </conditionalFormatting>
  <conditionalFormatting sqref="AT4">
    <cfRule type="cellIs" dxfId="20465" priority="4743" operator="equal">
      <formula>0</formula>
    </cfRule>
  </conditionalFormatting>
  <conditionalFormatting sqref="AU4">
    <cfRule type="expression" dxfId="20464" priority="4727">
      <formula>$M4="NON DEFINED"</formula>
    </cfRule>
    <cfRule type="expression" dxfId="20463" priority="4728">
      <formula>$AY4="N.D."</formula>
    </cfRule>
  </conditionalFormatting>
  <conditionalFormatting sqref="AU4">
    <cfRule type="cellIs" dxfId="20462" priority="4726" operator="equal">
      <formula>0</formula>
    </cfRule>
  </conditionalFormatting>
  <conditionalFormatting sqref="AV4">
    <cfRule type="expression" dxfId="20461" priority="4710">
      <formula>$M4="NON DEFINED"</formula>
    </cfRule>
    <cfRule type="expression" dxfId="20460" priority="4711">
      <formula>$AY4="N.D."</formula>
    </cfRule>
  </conditionalFormatting>
  <conditionalFormatting sqref="AV4">
    <cfRule type="cellIs" dxfId="20459" priority="4709" operator="equal">
      <formula>0</formula>
    </cfRule>
  </conditionalFormatting>
  <conditionalFormatting sqref="AW4">
    <cfRule type="expression" dxfId="20458" priority="4693">
      <formula>$M4="NON DEFINED"</formula>
    </cfRule>
    <cfRule type="expression" dxfId="20457" priority="4694">
      <formula>$AY4="N.D."</formula>
    </cfRule>
  </conditionalFormatting>
  <conditionalFormatting sqref="AW4">
    <cfRule type="cellIs" dxfId="20456" priority="4692" operator="equal">
      <formula>0</formula>
    </cfRule>
  </conditionalFormatting>
  <conditionalFormatting sqref="AX4">
    <cfRule type="expression" dxfId="20455" priority="4676">
      <formula>$M4="NON DEFINED"</formula>
    </cfRule>
    <cfRule type="expression" dxfId="20454" priority="4677">
      <formula>$AY4="N.D."</formula>
    </cfRule>
  </conditionalFormatting>
  <conditionalFormatting sqref="AX4">
    <cfRule type="cellIs" dxfId="20453" priority="4675" operator="equal">
      <formula>0</formula>
    </cfRule>
  </conditionalFormatting>
  <conditionalFormatting sqref="F4">
    <cfRule type="expression" dxfId="20452" priority="4659">
      <formula>$M4="NON DEFINED"</formula>
    </cfRule>
    <cfRule type="expression" dxfId="20451" priority="4660">
      <formula>$AY4="N.D."</formula>
    </cfRule>
  </conditionalFormatting>
  <conditionalFormatting sqref="F4">
    <cfRule type="cellIs" dxfId="20450" priority="4658" operator="equal">
      <formula>0</formula>
    </cfRule>
  </conditionalFormatting>
  <conditionalFormatting sqref="Q4">
    <cfRule type="expression" dxfId="20449" priority="4642">
      <formula>$M4="NON DEFINED"</formula>
    </cfRule>
    <cfRule type="expression" dxfId="20448" priority="4643">
      <formula>$AY4="N.D."</formula>
    </cfRule>
  </conditionalFormatting>
  <conditionalFormatting sqref="Q4">
    <cfRule type="cellIs" dxfId="20447" priority="4641" operator="equal">
      <formula>0</formula>
    </cfRule>
  </conditionalFormatting>
  <conditionalFormatting sqref="T4">
    <cfRule type="expression" dxfId="20446" priority="4625">
      <formula>$M4="NON DEFINED"</formula>
    </cfRule>
    <cfRule type="expression" dxfId="20445" priority="4626">
      <formula>$AY4="N.D."</formula>
    </cfRule>
  </conditionalFormatting>
  <conditionalFormatting sqref="T4">
    <cfRule type="cellIs" dxfId="20444" priority="4624" operator="equal">
      <formula>0</formula>
    </cfRule>
  </conditionalFormatting>
  <conditionalFormatting sqref="U4">
    <cfRule type="expression" dxfId="20443" priority="4608">
      <formula>$M4="NON DEFINED"</formula>
    </cfRule>
    <cfRule type="expression" dxfId="20442" priority="4609">
      <formula>$AY4="N.D."</formula>
    </cfRule>
  </conditionalFormatting>
  <conditionalFormatting sqref="U4">
    <cfRule type="cellIs" dxfId="20441" priority="4607" operator="equal">
      <formula>0</formula>
    </cfRule>
  </conditionalFormatting>
  <conditionalFormatting sqref="V4">
    <cfRule type="expression" dxfId="20440" priority="4591">
      <formula>$M4="NON DEFINED"</formula>
    </cfRule>
    <cfRule type="expression" dxfId="20439" priority="4592">
      <formula>$AY4="N.D."</formula>
    </cfRule>
  </conditionalFormatting>
  <conditionalFormatting sqref="V4">
    <cfRule type="cellIs" dxfId="20438" priority="4590" operator="equal">
      <formula>0</formula>
    </cfRule>
  </conditionalFormatting>
  <conditionalFormatting sqref="AF4">
    <cfRule type="expression" dxfId="20437" priority="4574">
      <formula>$M4="NON DEFINED"</formula>
    </cfRule>
    <cfRule type="expression" dxfId="20436" priority="4575">
      <formula>$AY4="N.D."</formula>
    </cfRule>
  </conditionalFormatting>
  <conditionalFormatting sqref="AF4">
    <cfRule type="cellIs" dxfId="20435" priority="4573" operator="equal">
      <formula>0</formula>
    </cfRule>
  </conditionalFormatting>
  <conditionalFormatting sqref="AH4">
    <cfRule type="expression" dxfId="20434" priority="4557">
      <formula>$M4="NON DEFINED"</formula>
    </cfRule>
    <cfRule type="expression" dxfId="20433" priority="4558">
      <formula>$AY4="N.D."</formula>
    </cfRule>
  </conditionalFormatting>
  <conditionalFormatting sqref="AH4">
    <cfRule type="cellIs" dxfId="20432" priority="4556" operator="equal">
      <formula>0</formula>
    </cfRule>
  </conditionalFormatting>
  <conditionalFormatting sqref="AI4">
    <cfRule type="expression" dxfId="20431" priority="4540">
      <formula>$M4="NON DEFINED"</formula>
    </cfRule>
    <cfRule type="expression" dxfId="20430" priority="4541">
      <formula>$AY4="N.D."</formula>
    </cfRule>
  </conditionalFormatting>
  <conditionalFormatting sqref="AI4">
    <cfRule type="cellIs" dxfId="20429" priority="4539" operator="equal">
      <formula>0</formula>
    </cfRule>
  </conditionalFormatting>
  <conditionalFormatting sqref="R4">
    <cfRule type="expression" dxfId="20428" priority="4523">
      <formula>$M4="NON DEFINED"</formula>
    </cfRule>
    <cfRule type="expression" dxfId="20427" priority="4524">
      <formula>$AY4="N.D."</formula>
    </cfRule>
  </conditionalFormatting>
  <conditionalFormatting sqref="R4">
    <cfRule type="cellIs" dxfId="20426" priority="4522" operator="equal">
      <formula>0</formula>
    </cfRule>
  </conditionalFormatting>
  <conditionalFormatting sqref="S4">
    <cfRule type="expression" dxfId="20425" priority="4506">
      <formula>$M4="NON DEFINED"</formula>
    </cfRule>
    <cfRule type="expression" dxfId="20424" priority="4507">
      <formula>$AY4="N.D."</formula>
    </cfRule>
  </conditionalFormatting>
  <conditionalFormatting sqref="S4">
    <cfRule type="cellIs" dxfId="20423" priority="4505" operator="equal">
      <formula>0</formula>
    </cfRule>
  </conditionalFormatting>
  <conditionalFormatting sqref="W4">
    <cfRule type="expression" dxfId="20422" priority="4489">
      <formula>$M4="NON DEFINED"</formula>
    </cfRule>
    <cfRule type="expression" dxfId="20421" priority="4490">
      <formula>$AY4="N.D."</formula>
    </cfRule>
  </conditionalFormatting>
  <conditionalFormatting sqref="W4">
    <cfRule type="cellIs" dxfId="20420" priority="4488" operator="equal">
      <formula>0</formula>
    </cfRule>
  </conditionalFormatting>
  <conditionalFormatting sqref="X4">
    <cfRule type="expression" dxfId="20419" priority="4455">
      <formula>$M4="NON DEFINED"</formula>
    </cfRule>
    <cfRule type="expression" dxfId="20418" priority="4456">
      <formula>$AY4="N.D."</formula>
    </cfRule>
  </conditionalFormatting>
  <conditionalFormatting sqref="X4">
    <cfRule type="cellIs" dxfId="20417" priority="4454" operator="equal">
      <formula>0</formula>
    </cfRule>
  </conditionalFormatting>
  <conditionalFormatting sqref="Y4">
    <cfRule type="expression" dxfId="20416" priority="4438">
      <formula>$M4="NON DEFINED"</formula>
    </cfRule>
    <cfRule type="expression" dxfId="20415" priority="4439">
      <formula>$AY4="N.D."</formula>
    </cfRule>
  </conditionalFormatting>
  <conditionalFormatting sqref="Y4">
    <cfRule type="cellIs" dxfId="20414" priority="4437" operator="equal">
      <formula>0</formula>
    </cfRule>
  </conditionalFormatting>
  <conditionalFormatting sqref="Z4">
    <cfRule type="expression" dxfId="20413" priority="4421">
      <formula>$M4="NON DEFINED"</formula>
    </cfRule>
    <cfRule type="expression" dxfId="20412" priority="4422">
      <formula>$AY4="N.D."</formula>
    </cfRule>
  </conditionalFormatting>
  <conditionalFormatting sqref="Z4">
    <cfRule type="cellIs" dxfId="20411" priority="4420" operator="equal">
      <formula>0</formula>
    </cfRule>
  </conditionalFormatting>
  <conditionalFormatting sqref="AA4">
    <cfRule type="expression" dxfId="20410" priority="4404">
      <formula>$M4="NON DEFINED"</formula>
    </cfRule>
    <cfRule type="expression" dxfId="20409" priority="4405">
      <formula>$AY4="N.D."</formula>
    </cfRule>
  </conditionalFormatting>
  <conditionalFormatting sqref="AA4">
    <cfRule type="cellIs" dxfId="20408" priority="4403" operator="equal">
      <formula>0</formula>
    </cfRule>
  </conditionalFormatting>
  <conditionalFormatting sqref="AB4">
    <cfRule type="expression" dxfId="20407" priority="4387">
      <formula>$M4="NON DEFINED"</formula>
    </cfRule>
    <cfRule type="expression" dxfId="20406" priority="4388">
      <formula>$AY4="N.D."</formula>
    </cfRule>
  </conditionalFormatting>
  <conditionalFormatting sqref="AB4">
    <cfRule type="cellIs" dxfId="20405" priority="4386" operator="equal">
      <formula>0</formula>
    </cfRule>
  </conditionalFormatting>
  <conditionalFormatting sqref="AG11:AG28 AZ11:AZ28 J11:J28 AN11:AS28 G11:H28 B11:E12 C13:E28 B13:B38 B39:E39 L37:L39 M29:M39 AL37:AL39 AM39 AN29:AZ39 F29:K39 X29:AK39 N39:W39">
    <cfRule type="expression" dxfId="20404" priority="3868">
      <formula>$M11="NON DEFINED"</formula>
    </cfRule>
    <cfRule type="expression" dxfId="20403" priority="3869">
      <formula>$AZ11="N.D."</formula>
    </cfRule>
    <cfRule type="expression" dxfId="20402" priority="3870">
      <formula>$AY11="N.D."</formula>
    </cfRule>
  </conditionalFormatting>
  <conditionalFormatting sqref="AY11:AY28">
    <cfRule type="expression" dxfId="20401" priority="3863">
      <formula>$M11="NON DEFINED"</formula>
    </cfRule>
    <cfRule type="expression" dxfId="20400" priority="3864">
      <formula>$AZ11="N.D."</formula>
    </cfRule>
    <cfRule type="expression" dxfId="20399" priority="3865">
      <formula>$AY11="N.D."</formula>
    </cfRule>
  </conditionalFormatting>
  <conditionalFormatting sqref="J11:J28 AG11:AG28 AN11:AS28 G11:H28 A11:E12 AY11:AZ28 A13:A28 C13:E28 B13:B38 A39:E39 L37:L39 M29:M39 AL37:AL39 AM39 AN29:AZ39 F29:K39 X29:AK39 N39:W39">
    <cfRule type="expression" dxfId="20398" priority="3848">
      <formula>$A11="Overhead Cable"</formula>
    </cfRule>
    <cfRule type="expression" dxfId="20397" priority="3849">
      <formula>$A11="Level Crossing"</formula>
    </cfRule>
    <cfRule type="expression" dxfId="20396" priority="3850">
      <formula>$A11="Neutral Section"</formula>
    </cfRule>
    <cfRule type="expression" dxfId="20395" priority="3851">
      <formula>$A11="Tunnel"</formula>
    </cfRule>
    <cfRule type="expression" dxfId="20394" priority="3852">
      <formula>$A11="Bridge"</formula>
    </cfRule>
    <cfRule type="expression" dxfId="20393" priority="3853">
      <formula>$A11="Drainage Works"</formula>
    </cfRule>
    <cfRule type="expression" dxfId="20392" priority="3854">
      <formula>$A11="Underpass"</formula>
    </cfRule>
    <cfRule type="expression" dxfId="20391" priority="3855">
      <formula>$A11="Overcrossing"</formula>
    </cfRule>
    <cfRule type="expression" dxfId="20390" priority="3856">
      <formula>$A11="Overpass"</formula>
    </cfRule>
    <cfRule type="expression" dxfId="20389" priority="3857">
      <formula>$A11="Station"</formula>
    </cfRule>
    <cfRule type="expression" dxfId="20388" priority="3858">
      <formula>$A11="Overlap between sections"</formula>
    </cfRule>
  </conditionalFormatting>
  <conditionalFormatting sqref="AN11:AP28">
    <cfRule type="cellIs" dxfId="20387" priority="3847" operator="notEqual">
      <formula>5.5</formula>
    </cfRule>
  </conditionalFormatting>
  <conditionalFormatting sqref="B11:B39">
    <cfRule type="expression" dxfId="20386" priority="3846">
      <formula>AND($AH11&gt;2499,$AH11&lt;2901)</formula>
    </cfRule>
  </conditionalFormatting>
  <conditionalFormatting sqref="I11:I28">
    <cfRule type="expression" dxfId="20385" priority="3843">
      <formula>$M11="NON DEFINED"</formula>
    </cfRule>
    <cfRule type="expression" dxfId="20384" priority="3844">
      <formula>$AZ11="N.D."</formula>
    </cfRule>
    <cfRule type="expression" dxfId="20383" priority="3845">
      <formula>$AY11="N.D."</formula>
    </cfRule>
  </conditionalFormatting>
  <conditionalFormatting sqref="I11:I28">
    <cfRule type="expression" dxfId="20382" priority="3832">
      <formula>$A11="Overhead Cable"</formula>
    </cfRule>
    <cfRule type="expression" dxfId="20381" priority="3833">
      <formula>$A11="Level Crossing"</formula>
    </cfRule>
    <cfRule type="expression" dxfId="20380" priority="3834">
      <formula>$A11="Neutral Section"</formula>
    </cfRule>
    <cfRule type="expression" dxfId="20379" priority="3835">
      <formula>$A11="Tunnel"</formula>
    </cfRule>
    <cfRule type="expression" dxfId="20378" priority="3836">
      <formula>$A11="Bridge"</formula>
    </cfRule>
    <cfRule type="expression" dxfId="20377" priority="3837">
      <formula>$A11="Drainage Works"</formula>
    </cfRule>
    <cfRule type="expression" dxfId="20376" priority="3838">
      <formula>$A11="Underpass"</formula>
    </cfRule>
    <cfRule type="expression" dxfId="20375" priority="3839">
      <formula>$A11="Overcrossing"</formula>
    </cfRule>
    <cfRule type="expression" dxfId="20374" priority="3840">
      <formula>$A11="Overpass"</formula>
    </cfRule>
    <cfRule type="expression" dxfId="20373" priority="3841">
      <formula>$A11="Station"</formula>
    </cfRule>
    <cfRule type="expression" dxfId="20372" priority="3842">
      <formula>$A11="Overlap between sections"</formula>
    </cfRule>
  </conditionalFormatting>
  <conditionalFormatting sqref="K11:K28">
    <cfRule type="expression" dxfId="20371" priority="3829">
      <formula>$M11="NON DEFINED"</formula>
    </cfRule>
    <cfRule type="expression" dxfId="20370" priority="3830">
      <formula>$AZ11="N.D."</formula>
    </cfRule>
    <cfRule type="expression" dxfId="20369" priority="3831">
      <formula>$AY11="N.D."</formula>
    </cfRule>
  </conditionalFormatting>
  <conditionalFormatting sqref="K11:K28">
    <cfRule type="expression" dxfId="20368" priority="3818">
      <formula>$A11="Overhead Cable"</formula>
    </cfRule>
    <cfRule type="expression" dxfId="20367" priority="3819">
      <formula>$A11="Level Crossing"</formula>
    </cfRule>
    <cfRule type="expression" dxfId="20366" priority="3820">
      <formula>$A11="Neutral Section"</formula>
    </cfRule>
    <cfRule type="expression" dxfId="20365" priority="3821">
      <formula>$A11="Tunnel"</formula>
    </cfRule>
    <cfRule type="expression" dxfId="20364" priority="3822">
      <formula>$A11="Bridge"</formula>
    </cfRule>
    <cfRule type="expression" dxfId="20363" priority="3823">
      <formula>$A11="Drainage Works"</formula>
    </cfRule>
    <cfRule type="expression" dxfId="20362" priority="3824">
      <formula>$A11="Underpass"</formula>
    </cfRule>
    <cfRule type="expression" dxfId="20361" priority="3825">
      <formula>$A11="Overcrossing"</formula>
    </cfRule>
    <cfRule type="expression" dxfId="20360" priority="3826">
      <formula>$A11="Overpass"</formula>
    </cfRule>
    <cfRule type="expression" dxfId="20359" priority="3827">
      <formula>$A11="Station"</formula>
    </cfRule>
    <cfRule type="expression" dxfId="20358" priority="3828">
      <formula>$A11="Overlap between sections"</formula>
    </cfRule>
  </conditionalFormatting>
  <conditionalFormatting sqref="L11:L28">
    <cfRule type="expression" dxfId="20357" priority="3815">
      <formula>$M11="NON DEFINED"</formula>
    </cfRule>
    <cfRule type="expression" dxfId="20356" priority="3816">
      <formula>$AZ11="N.D."</formula>
    </cfRule>
    <cfRule type="expression" dxfId="20355" priority="3817">
      <formula>$AY11="N.D."</formula>
    </cfRule>
  </conditionalFormatting>
  <conditionalFormatting sqref="L11:L28">
    <cfRule type="expression" dxfId="20354" priority="3804">
      <formula>$A11="Overhead Cable"</formula>
    </cfRule>
    <cfRule type="expression" dxfId="20353" priority="3805">
      <formula>$A11="Level Crossing"</formula>
    </cfRule>
    <cfRule type="expression" dxfId="20352" priority="3806">
      <formula>$A11="Neutral Section"</formula>
    </cfRule>
    <cfRule type="expression" dxfId="20351" priority="3807">
      <formula>$A11="Tunnel"</formula>
    </cfRule>
    <cfRule type="expression" dxfId="20350" priority="3808">
      <formula>$A11="Bridge"</formula>
    </cfRule>
    <cfRule type="expression" dxfId="20349" priority="3809">
      <formula>$A11="Drainage Works"</formula>
    </cfRule>
    <cfRule type="expression" dxfId="20348" priority="3810">
      <formula>$A11="Underpass"</formula>
    </cfRule>
    <cfRule type="expression" dxfId="20347" priority="3811">
      <formula>$A11="Overcrossing"</formula>
    </cfRule>
    <cfRule type="expression" dxfId="20346" priority="3812">
      <formula>$A11="Overpass"</formula>
    </cfRule>
    <cfRule type="expression" dxfId="20345" priority="3813">
      <formula>$A11="Station"</formula>
    </cfRule>
    <cfRule type="expression" dxfId="20344" priority="3814">
      <formula>$A11="Overlap between sections"</formula>
    </cfRule>
  </conditionalFormatting>
  <conditionalFormatting sqref="M11:M28">
    <cfRule type="expression" dxfId="20343" priority="3801">
      <formula>$M11="NON DEFINED"</formula>
    </cfRule>
    <cfRule type="expression" dxfId="20342" priority="3802">
      <formula>$AZ11="N.D."</formula>
    </cfRule>
    <cfRule type="expression" dxfId="20341" priority="3803">
      <formula>$AY11="N.D."</formula>
    </cfRule>
  </conditionalFormatting>
  <conditionalFormatting sqref="M11:M28">
    <cfRule type="expression" dxfId="20340" priority="3790">
      <formula>$A11="Overhead Cable"</formula>
    </cfRule>
    <cfRule type="expression" dxfId="20339" priority="3791">
      <formula>$A11="Level Crossing"</formula>
    </cfRule>
    <cfRule type="expression" dxfId="20338" priority="3792">
      <formula>$A11="Neutral Section"</formula>
    </cfRule>
    <cfRule type="expression" dxfId="20337" priority="3793">
      <formula>$A11="Tunnel"</formula>
    </cfRule>
    <cfRule type="expression" dxfId="20336" priority="3794">
      <formula>$A11="Bridge"</formula>
    </cfRule>
    <cfRule type="expression" dxfId="20335" priority="3795">
      <formula>$A11="Drainage Works"</formula>
    </cfRule>
    <cfRule type="expression" dxfId="20334" priority="3796">
      <formula>$A11="Underpass"</formula>
    </cfRule>
    <cfRule type="expression" dxfId="20333" priority="3797">
      <formula>$A11="Overcrossing"</formula>
    </cfRule>
    <cfRule type="expression" dxfId="20332" priority="3798">
      <formula>$A11="Overpass"</formula>
    </cfRule>
    <cfRule type="expression" dxfId="20331" priority="3799">
      <formula>$A11="Station"</formula>
    </cfRule>
    <cfRule type="expression" dxfId="20330" priority="3800">
      <formula>$A11="Overlap between sections"</formula>
    </cfRule>
  </conditionalFormatting>
  <conditionalFormatting sqref="N11:N13 N15:N17 N27 N23 N25 N19:N21">
    <cfRule type="expression" dxfId="20329" priority="3787">
      <formula>$M11="NON DEFINED"</formula>
    </cfRule>
    <cfRule type="expression" dxfId="20328" priority="3788">
      <formula>$AZ11="N.D."</formula>
    </cfRule>
    <cfRule type="expression" dxfId="20327" priority="3789">
      <formula>$AY11="N.D."</formula>
    </cfRule>
  </conditionalFormatting>
  <conditionalFormatting sqref="N11:N13 N15:N17 N27 N23 N25 N19:N21">
    <cfRule type="expression" dxfId="20326" priority="3776">
      <formula>$A11="Overhead Cable"</formula>
    </cfRule>
    <cfRule type="expression" dxfId="20325" priority="3777">
      <formula>$A11="Level Crossing"</formula>
    </cfRule>
    <cfRule type="expression" dxfId="20324" priority="3778">
      <formula>$A11="Neutral Section"</formula>
    </cfRule>
    <cfRule type="expression" dxfId="20323" priority="3779">
      <formula>$A11="Tunnel"</formula>
    </cfRule>
    <cfRule type="expression" dxfId="20322" priority="3780">
      <formula>$A11="Bridge"</formula>
    </cfRule>
    <cfRule type="expression" dxfId="20321" priority="3781">
      <formula>$A11="Drainage Works"</formula>
    </cfRule>
    <cfRule type="expression" dxfId="20320" priority="3782">
      <formula>$A11="Underpass"</formula>
    </cfRule>
    <cfRule type="expression" dxfId="20319" priority="3783">
      <formula>$A11="Overcrossing"</formula>
    </cfRule>
    <cfRule type="expression" dxfId="20318" priority="3784">
      <formula>$A11="Overpass"</formula>
    </cfRule>
    <cfRule type="expression" dxfId="20317" priority="3785">
      <formula>$A11="Station"</formula>
    </cfRule>
    <cfRule type="expression" dxfId="20316" priority="3786">
      <formula>$A11="Overlap between sections"</formula>
    </cfRule>
  </conditionalFormatting>
  <conditionalFormatting sqref="O11:O13 O15:O21 O27 O23 O25">
    <cfRule type="expression" dxfId="20315" priority="3773">
      <formula>$M11="NON DEFINED"</formula>
    </cfRule>
    <cfRule type="expression" dxfId="20314" priority="3774">
      <formula>$AZ11="N.D."</formula>
    </cfRule>
    <cfRule type="expression" dxfId="20313" priority="3775">
      <formula>$AY11="N.D."</formula>
    </cfRule>
  </conditionalFormatting>
  <conditionalFormatting sqref="O11:O13 O15:O21 O27 O23 O25">
    <cfRule type="expression" dxfId="20312" priority="3762">
      <formula>$A11="Overhead Cable"</formula>
    </cfRule>
    <cfRule type="expression" dxfId="20311" priority="3763">
      <formula>$A11="Level Crossing"</formula>
    </cfRule>
    <cfRule type="expression" dxfId="20310" priority="3764">
      <formula>$A11="Neutral Section"</formula>
    </cfRule>
    <cfRule type="expression" dxfId="20309" priority="3765">
      <formula>$A11="Tunnel"</formula>
    </cfRule>
    <cfRule type="expression" dxfId="20308" priority="3766">
      <formula>$A11="Bridge"</formula>
    </cfRule>
    <cfRule type="expression" dxfId="20307" priority="3767">
      <formula>$A11="Drainage Works"</formula>
    </cfRule>
    <cfRule type="expression" dxfId="20306" priority="3768">
      <formula>$A11="Underpass"</formula>
    </cfRule>
    <cfRule type="expression" dxfId="20305" priority="3769">
      <formula>$A11="Overcrossing"</formula>
    </cfRule>
    <cfRule type="expression" dxfId="20304" priority="3770">
      <formula>$A11="Overpass"</formula>
    </cfRule>
    <cfRule type="expression" dxfId="20303" priority="3771">
      <formula>$A11="Station"</formula>
    </cfRule>
    <cfRule type="expression" dxfId="20302" priority="3772">
      <formula>$A11="Overlap between sections"</formula>
    </cfRule>
  </conditionalFormatting>
  <conditionalFormatting sqref="P11:P21 P27 P23 P25">
    <cfRule type="expression" dxfId="20301" priority="3759">
      <formula>$M11="NON DEFINED"</formula>
    </cfRule>
    <cfRule type="expression" dxfId="20300" priority="3760">
      <formula>$AZ11="N.D."</formula>
    </cfRule>
    <cfRule type="expression" dxfId="20299" priority="3761">
      <formula>$AY11="N.D."</formula>
    </cfRule>
  </conditionalFormatting>
  <conditionalFormatting sqref="P11:P21 P27 P23 P25">
    <cfRule type="expression" dxfId="20298" priority="3748">
      <formula>$A11="Overhead Cable"</formula>
    </cfRule>
    <cfRule type="expression" dxfId="20297" priority="3749">
      <formula>$A11="Level Crossing"</formula>
    </cfRule>
    <cfRule type="expression" dxfId="20296" priority="3750">
      <formula>$A11="Neutral Section"</formula>
    </cfRule>
    <cfRule type="expression" dxfId="20295" priority="3751">
      <formula>$A11="Tunnel"</formula>
    </cfRule>
    <cfRule type="expression" dxfId="20294" priority="3752">
      <formula>$A11="Bridge"</formula>
    </cfRule>
    <cfRule type="expression" dxfId="20293" priority="3753">
      <formula>$A11="Drainage Works"</formula>
    </cfRule>
    <cfRule type="expression" dxfId="20292" priority="3754">
      <formula>$A11="Underpass"</formula>
    </cfRule>
    <cfRule type="expression" dxfId="20291" priority="3755">
      <formula>$A11="Overcrossing"</formula>
    </cfRule>
    <cfRule type="expression" dxfId="20290" priority="3756">
      <formula>$A11="Overpass"</formula>
    </cfRule>
    <cfRule type="expression" dxfId="20289" priority="3757">
      <formula>$A11="Station"</formula>
    </cfRule>
    <cfRule type="expression" dxfId="20288" priority="3758">
      <formula>$A11="Overlap between sections"</formula>
    </cfRule>
  </conditionalFormatting>
  <conditionalFormatting sqref="AC11:AC28">
    <cfRule type="expression" dxfId="20287" priority="3745">
      <formula>$M11="NON DEFINED"</formula>
    </cfRule>
    <cfRule type="expression" dxfId="20286" priority="3746">
      <formula>$AZ11="N.D."</formula>
    </cfRule>
    <cfRule type="expression" dxfId="20285" priority="3747">
      <formula>$AY11="N.D."</formula>
    </cfRule>
  </conditionalFormatting>
  <conditionalFormatting sqref="AC11:AC28">
    <cfRule type="expression" dxfId="20284" priority="3734">
      <formula>$A11="Overhead Cable"</formula>
    </cfRule>
    <cfRule type="expression" dxfId="20283" priority="3735">
      <formula>$A11="Level Crossing"</formula>
    </cfRule>
    <cfRule type="expression" dxfId="20282" priority="3736">
      <formula>$A11="Neutral Section"</formula>
    </cfRule>
    <cfRule type="expression" dxfId="20281" priority="3737">
      <formula>$A11="Tunnel"</formula>
    </cfRule>
    <cfRule type="expression" dxfId="20280" priority="3738">
      <formula>$A11="Bridge"</formula>
    </cfRule>
    <cfRule type="expression" dxfId="20279" priority="3739">
      <formula>$A11="Drainage Works"</formula>
    </cfRule>
    <cfRule type="expression" dxfId="20278" priority="3740">
      <formula>$A11="Underpass"</formula>
    </cfRule>
    <cfRule type="expression" dxfId="20277" priority="3741">
      <formula>$A11="Overcrossing"</formula>
    </cfRule>
    <cfRule type="expression" dxfId="20276" priority="3742">
      <formula>$A11="Overpass"</formula>
    </cfRule>
    <cfRule type="expression" dxfId="20275" priority="3743">
      <formula>$A11="Station"</formula>
    </cfRule>
    <cfRule type="expression" dxfId="20274" priority="3744">
      <formula>$A11="Overlap between sections"</formula>
    </cfRule>
  </conditionalFormatting>
  <conditionalFormatting sqref="AD11:AD28">
    <cfRule type="expression" dxfId="20273" priority="3731">
      <formula>$M11="NON DEFINED"</formula>
    </cfRule>
    <cfRule type="expression" dxfId="20272" priority="3732">
      <formula>$AZ11="N.D."</formula>
    </cfRule>
    <cfRule type="expression" dxfId="20271" priority="3733">
      <formula>$AY11="N.D."</formula>
    </cfRule>
  </conditionalFormatting>
  <conditionalFormatting sqref="AD11:AD28">
    <cfRule type="expression" dxfId="20270" priority="3720">
      <formula>$A11="Overhead Cable"</formula>
    </cfRule>
    <cfRule type="expression" dxfId="20269" priority="3721">
      <formula>$A11="Level Crossing"</formula>
    </cfRule>
    <cfRule type="expression" dxfId="20268" priority="3722">
      <formula>$A11="Neutral Section"</formula>
    </cfRule>
    <cfRule type="expression" dxfId="20267" priority="3723">
      <formula>$A11="Tunnel"</formula>
    </cfRule>
    <cfRule type="expression" dxfId="20266" priority="3724">
      <formula>$A11="Bridge"</formula>
    </cfRule>
    <cfRule type="expression" dxfId="20265" priority="3725">
      <formula>$A11="Drainage Works"</formula>
    </cfRule>
    <cfRule type="expression" dxfId="20264" priority="3726">
      <formula>$A11="Underpass"</formula>
    </cfRule>
    <cfRule type="expression" dxfId="20263" priority="3727">
      <formula>$A11="Overcrossing"</formula>
    </cfRule>
    <cfRule type="expression" dxfId="20262" priority="3728">
      <formula>$A11="Overpass"</formula>
    </cfRule>
    <cfRule type="expression" dxfId="20261" priority="3729">
      <formula>$A11="Station"</formula>
    </cfRule>
    <cfRule type="expression" dxfId="20260" priority="3730">
      <formula>$A11="Overlap between sections"</formula>
    </cfRule>
  </conditionalFormatting>
  <conditionalFormatting sqref="AE11:AE28">
    <cfRule type="expression" dxfId="20259" priority="3717">
      <formula>$M11="NON DEFINED"</formula>
    </cfRule>
    <cfRule type="expression" dxfId="20258" priority="3718">
      <formula>$AZ11="N.D."</formula>
    </cfRule>
    <cfRule type="expression" dxfId="20257" priority="3719">
      <formula>$AY11="N.D."</formula>
    </cfRule>
  </conditionalFormatting>
  <conditionalFormatting sqref="AE11:AE28">
    <cfRule type="expression" dxfId="20256" priority="3706">
      <formula>$A11="Overhead Cable"</formula>
    </cfRule>
    <cfRule type="expression" dxfId="20255" priority="3707">
      <formula>$A11="Level Crossing"</formula>
    </cfRule>
    <cfRule type="expression" dxfId="20254" priority="3708">
      <formula>$A11="Neutral Section"</formula>
    </cfRule>
    <cfRule type="expression" dxfId="20253" priority="3709">
      <formula>$A11="Tunnel"</formula>
    </cfRule>
    <cfRule type="expression" dxfId="20252" priority="3710">
      <formula>$A11="Bridge"</formula>
    </cfRule>
    <cfRule type="expression" dxfId="20251" priority="3711">
      <formula>$A11="Drainage Works"</formula>
    </cfRule>
    <cfRule type="expression" dxfId="20250" priority="3712">
      <formula>$A11="Underpass"</formula>
    </cfRule>
    <cfRule type="expression" dxfId="20249" priority="3713">
      <formula>$A11="Overcrossing"</formula>
    </cfRule>
    <cfRule type="expression" dxfId="20248" priority="3714">
      <formula>$A11="Overpass"</formula>
    </cfRule>
    <cfRule type="expression" dxfId="20247" priority="3715">
      <formula>$A11="Station"</formula>
    </cfRule>
    <cfRule type="expression" dxfId="20246" priority="3716">
      <formula>$A11="Overlap between sections"</formula>
    </cfRule>
  </conditionalFormatting>
  <conditionalFormatting sqref="AJ11:AJ28">
    <cfRule type="expression" dxfId="20245" priority="3703">
      <formula>$M11="NON DEFINED"</formula>
    </cfRule>
    <cfRule type="expression" dxfId="20244" priority="3704">
      <formula>$AZ11="N.D."</formula>
    </cfRule>
    <cfRule type="expression" dxfId="20243" priority="3705">
      <formula>$AY11="N.D."</formula>
    </cfRule>
  </conditionalFormatting>
  <conditionalFormatting sqref="AJ11:AJ28">
    <cfRule type="expression" dxfId="20242" priority="3692">
      <formula>$A11="Overhead Cable"</formula>
    </cfRule>
    <cfRule type="expression" dxfId="20241" priority="3693">
      <formula>$A11="Level Crossing"</formula>
    </cfRule>
    <cfRule type="expression" dxfId="20240" priority="3694">
      <formula>$A11="Neutral Section"</formula>
    </cfRule>
    <cfRule type="expression" dxfId="20239" priority="3695">
      <formula>$A11="Tunnel"</formula>
    </cfRule>
    <cfRule type="expression" dxfId="20238" priority="3696">
      <formula>$A11="Bridge"</formula>
    </cfRule>
    <cfRule type="expression" dxfId="20237" priority="3697">
      <formula>$A11="Drainage Works"</formula>
    </cfRule>
    <cfRule type="expression" dxfId="20236" priority="3698">
      <formula>$A11="Underpass"</formula>
    </cfRule>
    <cfRule type="expression" dxfId="20235" priority="3699">
      <formula>$A11="Overcrossing"</formula>
    </cfRule>
    <cfRule type="expression" dxfId="20234" priority="3700">
      <formula>$A11="Overpass"</formula>
    </cfRule>
    <cfRule type="expression" dxfId="20233" priority="3701">
      <formula>$A11="Station"</formula>
    </cfRule>
    <cfRule type="expression" dxfId="20232" priority="3702">
      <formula>$A11="Overlap between sections"</formula>
    </cfRule>
  </conditionalFormatting>
  <conditionalFormatting sqref="AK11:AK28">
    <cfRule type="expression" dxfId="20231" priority="3689">
      <formula>$M11="NON DEFINED"</formula>
    </cfRule>
    <cfRule type="expression" dxfId="20230" priority="3690">
      <formula>$AZ11="N.D."</formula>
    </cfRule>
    <cfRule type="expression" dxfId="20229" priority="3691">
      <formula>$AY11="N.D."</formula>
    </cfRule>
  </conditionalFormatting>
  <conditionalFormatting sqref="AK11:AK28">
    <cfRule type="expression" dxfId="20228" priority="3678">
      <formula>$A11="Overhead Cable"</formula>
    </cfRule>
    <cfRule type="expression" dxfId="20227" priority="3679">
      <formula>$A11="Level Crossing"</formula>
    </cfRule>
    <cfRule type="expression" dxfId="20226" priority="3680">
      <formula>$A11="Neutral Section"</formula>
    </cfRule>
    <cfRule type="expression" dxfId="20225" priority="3681">
      <formula>$A11="Tunnel"</formula>
    </cfRule>
    <cfRule type="expression" dxfId="20224" priority="3682">
      <formula>$A11="Bridge"</formula>
    </cfRule>
    <cfRule type="expression" dxfId="20223" priority="3683">
      <formula>$A11="Drainage Works"</formula>
    </cfRule>
    <cfRule type="expression" dxfId="20222" priority="3684">
      <formula>$A11="Underpass"</formula>
    </cfRule>
    <cfRule type="expression" dxfId="20221" priority="3685">
      <formula>$A11="Overcrossing"</formula>
    </cfRule>
    <cfRule type="expression" dxfId="20220" priority="3686">
      <formula>$A11="Overpass"</formula>
    </cfRule>
    <cfRule type="expression" dxfId="20219" priority="3687">
      <formula>$A11="Station"</formula>
    </cfRule>
    <cfRule type="expression" dxfId="20218" priority="3688">
      <formula>$A11="Overlap between sections"</formula>
    </cfRule>
  </conditionalFormatting>
  <conditionalFormatting sqref="AL11:AL28">
    <cfRule type="expression" dxfId="20217" priority="3675">
      <formula>$M11="NON DEFINED"</formula>
    </cfRule>
    <cfRule type="expression" dxfId="20216" priority="3676">
      <formula>$AZ11="N.D."</formula>
    </cfRule>
    <cfRule type="expression" dxfId="20215" priority="3677">
      <formula>$AY11="N.D."</formula>
    </cfRule>
  </conditionalFormatting>
  <conditionalFormatting sqref="AL11:AL28">
    <cfRule type="expression" dxfId="20214" priority="3664">
      <formula>$A11="Overhead Cable"</formula>
    </cfRule>
    <cfRule type="expression" dxfId="20213" priority="3665">
      <formula>$A11="Level Crossing"</formula>
    </cfRule>
    <cfRule type="expression" dxfId="20212" priority="3666">
      <formula>$A11="Neutral Section"</formula>
    </cfRule>
    <cfRule type="expression" dxfId="20211" priority="3667">
      <formula>$A11="Tunnel"</formula>
    </cfRule>
    <cfRule type="expression" dxfId="20210" priority="3668">
      <formula>$A11="Bridge"</formula>
    </cfRule>
    <cfRule type="expression" dxfId="20209" priority="3669">
      <formula>$A11="Drainage Works"</formula>
    </cfRule>
    <cfRule type="expression" dxfId="20208" priority="3670">
      <formula>$A11="Underpass"</formula>
    </cfRule>
    <cfRule type="expression" dxfId="20207" priority="3671">
      <formula>$A11="Overcrossing"</formula>
    </cfRule>
    <cfRule type="expression" dxfId="20206" priority="3672">
      <formula>$A11="Overpass"</formula>
    </cfRule>
    <cfRule type="expression" dxfId="20205" priority="3673">
      <formula>$A11="Station"</formula>
    </cfRule>
    <cfRule type="expression" dxfId="20204" priority="3674">
      <formula>$A11="Overlap between sections"</formula>
    </cfRule>
  </conditionalFormatting>
  <conditionalFormatting sqref="AM11:AM28">
    <cfRule type="expression" dxfId="20203" priority="3661">
      <formula>$M11="NON DEFINED"</formula>
    </cfRule>
    <cfRule type="expression" dxfId="20202" priority="3662">
      <formula>$AZ11="N.D."</formula>
    </cfRule>
    <cfRule type="expression" dxfId="20201" priority="3663">
      <formula>$AY11="N.D."</formula>
    </cfRule>
  </conditionalFormatting>
  <conditionalFormatting sqref="AM11:AM28">
    <cfRule type="expression" dxfId="20200" priority="3650">
      <formula>$A11="Overhead Cable"</formula>
    </cfRule>
    <cfRule type="expression" dxfId="20199" priority="3651">
      <formula>$A11="Level Crossing"</formula>
    </cfRule>
    <cfRule type="expression" dxfId="20198" priority="3652">
      <formula>$A11="Neutral Section"</formula>
    </cfRule>
    <cfRule type="expression" dxfId="20197" priority="3653">
      <formula>$A11="Tunnel"</formula>
    </cfRule>
    <cfRule type="expression" dxfId="20196" priority="3654">
      <formula>$A11="Bridge"</formula>
    </cfRule>
    <cfRule type="expression" dxfId="20195" priority="3655">
      <formula>$A11="Drainage Works"</formula>
    </cfRule>
    <cfRule type="expression" dxfId="20194" priority="3656">
      <formula>$A11="Underpass"</formula>
    </cfRule>
    <cfRule type="expression" dxfId="20193" priority="3657">
      <formula>$A11="Overcrossing"</formula>
    </cfRule>
    <cfRule type="expression" dxfId="20192" priority="3658">
      <formula>$A11="Overpass"</formula>
    </cfRule>
    <cfRule type="expression" dxfId="20191" priority="3659">
      <formula>$A11="Station"</formula>
    </cfRule>
    <cfRule type="expression" dxfId="20190" priority="3660">
      <formula>$A11="Overlap between sections"</formula>
    </cfRule>
  </conditionalFormatting>
  <conditionalFormatting sqref="AT11:AT28">
    <cfRule type="expression" dxfId="20189" priority="3647">
      <formula>$M11="NON DEFINED"</formula>
    </cfRule>
    <cfRule type="expression" dxfId="20188" priority="3648">
      <formula>$AZ11="N.D."</formula>
    </cfRule>
    <cfRule type="expression" dxfId="20187" priority="3649">
      <formula>$AY11="N.D."</formula>
    </cfRule>
  </conditionalFormatting>
  <conditionalFormatting sqref="AT11:AT28">
    <cfRule type="expression" dxfId="20186" priority="3636">
      <formula>$A11="Overhead Cable"</formula>
    </cfRule>
    <cfRule type="expression" dxfId="20185" priority="3637">
      <formula>$A11="Level Crossing"</formula>
    </cfRule>
    <cfRule type="expression" dxfId="20184" priority="3638">
      <formula>$A11="Neutral Section"</formula>
    </cfRule>
    <cfRule type="expression" dxfId="20183" priority="3639">
      <formula>$A11="Tunnel"</formula>
    </cfRule>
    <cfRule type="expression" dxfId="20182" priority="3640">
      <formula>$A11="Bridge"</formula>
    </cfRule>
    <cfRule type="expression" dxfId="20181" priority="3641">
      <formula>$A11="Drainage Works"</formula>
    </cfRule>
    <cfRule type="expression" dxfId="20180" priority="3642">
      <formula>$A11="Underpass"</formula>
    </cfRule>
    <cfRule type="expression" dxfId="20179" priority="3643">
      <formula>$A11="Overcrossing"</formula>
    </cfRule>
    <cfRule type="expression" dxfId="20178" priority="3644">
      <formula>$A11="Overpass"</formula>
    </cfRule>
    <cfRule type="expression" dxfId="20177" priority="3645">
      <formula>$A11="Station"</formula>
    </cfRule>
    <cfRule type="expression" dxfId="20176" priority="3646">
      <formula>$A11="Overlap between sections"</formula>
    </cfRule>
  </conditionalFormatting>
  <conditionalFormatting sqref="AU11:AU28">
    <cfRule type="expression" dxfId="20175" priority="3633">
      <formula>$M11="NON DEFINED"</formula>
    </cfRule>
    <cfRule type="expression" dxfId="20174" priority="3634">
      <formula>$AZ11="N.D."</formula>
    </cfRule>
    <cfRule type="expression" dxfId="20173" priority="3635">
      <formula>$AY11="N.D."</formula>
    </cfRule>
  </conditionalFormatting>
  <conditionalFormatting sqref="AU11:AU28">
    <cfRule type="expression" dxfId="20172" priority="3622">
      <formula>$A11="Overhead Cable"</formula>
    </cfRule>
    <cfRule type="expression" dxfId="20171" priority="3623">
      <formula>$A11="Level Crossing"</formula>
    </cfRule>
    <cfRule type="expression" dxfId="20170" priority="3624">
      <formula>$A11="Neutral Section"</formula>
    </cfRule>
    <cfRule type="expression" dxfId="20169" priority="3625">
      <formula>$A11="Tunnel"</formula>
    </cfRule>
    <cfRule type="expression" dxfId="20168" priority="3626">
      <formula>$A11="Bridge"</formula>
    </cfRule>
    <cfRule type="expression" dxfId="20167" priority="3627">
      <formula>$A11="Drainage Works"</formula>
    </cfRule>
    <cfRule type="expression" dxfId="20166" priority="3628">
      <formula>$A11="Underpass"</formula>
    </cfRule>
    <cfRule type="expression" dxfId="20165" priority="3629">
      <formula>$A11="Overcrossing"</formula>
    </cfRule>
    <cfRule type="expression" dxfId="20164" priority="3630">
      <formula>$A11="Overpass"</formula>
    </cfRule>
    <cfRule type="expression" dxfId="20163" priority="3631">
      <formula>$A11="Station"</formula>
    </cfRule>
    <cfRule type="expression" dxfId="20162" priority="3632">
      <formula>$A11="Overlap between sections"</formula>
    </cfRule>
  </conditionalFormatting>
  <conditionalFormatting sqref="AV11:AV28">
    <cfRule type="expression" dxfId="20161" priority="3619">
      <formula>$M11="NON DEFINED"</formula>
    </cfRule>
    <cfRule type="expression" dxfId="20160" priority="3620">
      <formula>$AZ11="N.D."</formula>
    </cfRule>
    <cfRule type="expression" dxfId="20159" priority="3621">
      <formula>$AY11="N.D."</formula>
    </cfRule>
  </conditionalFormatting>
  <conditionalFormatting sqref="AV11:AV28">
    <cfRule type="expression" dxfId="20158" priority="3608">
      <formula>$A11="Overhead Cable"</formula>
    </cfRule>
    <cfRule type="expression" dxfId="20157" priority="3609">
      <formula>$A11="Level Crossing"</formula>
    </cfRule>
    <cfRule type="expression" dxfId="20156" priority="3610">
      <formula>$A11="Neutral Section"</formula>
    </cfRule>
    <cfRule type="expression" dxfId="20155" priority="3611">
      <formula>$A11="Tunnel"</formula>
    </cfRule>
    <cfRule type="expression" dxfId="20154" priority="3612">
      <formula>$A11="Bridge"</formula>
    </cfRule>
    <cfRule type="expression" dxfId="20153" priority="3613">
      <formula>$A11="Drainage Works"</formula>
    </cfRule>
    <cfRule type="expression" dxfId="20152" priority="3614">
      <formula>$A11="Underpass"</formula>
    </cfRule>
    <cfRule type="expression" dxfId="20151" priority="3615">
      <formula>$A11="Overcrossing"</formula>
    </cfRule>
    <cfRule type="expression" dxfId="20150" priority="3616">
      <formula>$A11="Overpass"</formula>
    </cfRule>
    <cfRule type="expression" dxfId="20149" priority="3617">
      <formula>$A11="Station"</formula>
    </cfRule>
    <cfRule type="expression" dxfId="20148" priority="3618">
      <formula>$A11="Overlap between sections"</formula>
    </cfRule>
  </conditionalFormatting>
  <conditionalFormatting sqref="AW11:AW28">
    <cfRule type="expression" dxfId="20147" priority="3605">
      <formula>$M11="NON DEFINED"</formula>
    </cfRule>
    <cfRule type="expression" dxfId="20146" priority="3606">
      <formula>$AZ11="N.D."</formula>
    </cfRule>
    <cfRule type="expression" dxfId="20145" priority="3607">
      <formula>$AY11="N.D."</formula>
    </cfRule>
  </conditionalFormatting>
  <conditionalFormatting sqref="AW11:AW28">
    <cfRule type="expression" dxfId="20144" priority="3594">
      <formula>$A11="Overhead Cable"</formula>
    </cfRule>
    <cfRule type="expression" dxfId="20143" priority="3595">
      <formula>$A11="Level Crossing"</formula>
    </cfRule>
    <cfRule type="expression" dxfId="20142" priority="3596">
      <formula>$A11="Neutral Section"</formula>
    </cfRule>
    <cfRule type="expression" dxfId="20141" priority="3597">
      <formula>$A11="Tunnel"</formula>
    </cfRule>
    <cfRule type="expression" dxfId="20140" priority="3598">
      <formula>$A11="Bridge"</formula>
    </cfRule>
    <cfRule type="expression" dxfId="20139" priority="3599">
      <formula>$A11="Drainage Works"</formula>
    </cfRule>
    <cfRule type="expression" dxfId="20138" priority="3600">
      <formula>$A11="Underpass"</formula>
    </cfRule>
    <cfRule type="expression" dxfId="20137" priority="3601">
      <formula>$A11="Overcrossing"</formula>
    </cfRule>
    <cfRule type="expression" dxfId="20136" priority="3602">
      <formula>$A11="Overpass"</formula>
    </cfRule>
    <cfRule type="expression" dxfId="20135" priority="3603">
      <formula>$A11="Station"</formula>
    </cfRule>
    <cfRule type="expression" dxfId="20134" priority="3604">
      <formula>$A11="Overlap between sections"</formula>
    </cfRule>
  </conditionalFormatting>
  <conditionalFormatting sqref="AX11:AX28">
    <cfRule type="expression" dxfId="20133" priority="3591">
      <formula>$M11="NON DEFINED"</formula>
    </cfRule>
    <cfRule type="expression" dxfId="20132" priority="3592">
      <formula>$AZ11="N.D."</formula>
    </cfRule>
    <cfRule type="expression" dxfId="20131" priority="3593">
      <formula>$AY11="N.D."</formula>
    </cfRule>
  </conditionalFormatting>
  <conditionalFormatting sqref="AX11:AX28">
    <cfRule type="expression" dxfId="20130" priority="3580">
      <formula>$A11="Overhead Cable"</formula>
    </cfRule>
    <cfRule type="expression" dxfId="20129" priority="3581">
      <formula>$A11="Level Crossing"</formula>
    </cfRule>
    <cfRule type="expression" dxfId="20128" priority="3582">
      <formula>$A11="Neutral Section"</formula>
    </cfRule>
    <cfRule type="expression" dxfId="20127" priority="3583">
      <formula>$A11="Tunnel"</formula>
    </cfRule>
    <cfRule type="expression" dxfId="20126" priority="3584">
      <formula>$A11="Bridge"</formula>
    </cfRule>
    <cfRule type="expression" dxfId="20125" priority="3585">
      <formula>$A11="Drainage Works"</formula>
    </cfRule>
    <cfRule type="expression" dxfId="20124" priority="3586">
      <formula>$A11="Underpass"</formula>
    </cfRule>
    <cfRule type="expression" dxfId="20123" priority="3587">
      <formula>$A11="Overcrossing"</formula>
    </cfRule>
    <cfRule type="expression" dxfId="20122" priority="3588">
      <formula>$A11="Overpass"</formula>
    </cfRule>
    <cfRule type="expression" dxfId="20121" priority="3589">
      <formula>$A11="Station"</formula>
    </cfRule>
    <cfRule type="expression" dxfId="20120" priority="3590">
      <formula>$A11="Overlap between sections"</formula>
    </cfRule>
  </conditionalFormatting>
  <conditionalFormatting sqref="F11:F28">
    <cfRule type="expression" dxfId="20119" priority="3577">
      <formula>$M11="NON DEFINED"</formula>
    </cfRule>
    <cfRule type="expression" dxfId="20118" priority="3578">
      <formula>$AZ11="N.D."</formula>
    </cfRule>
    <cfRule type="expression" dxfId="20117" priority="3579">
      <formula>$AY11="N.D."</formula>
    </cfRule>
  </conditionalFormatting>
  <conditionalFormatting sqref="F11:F28">
    <cfRule type="expression" dxfId="20116" priority="3566">
      <formula>$A11="Overhead Cable"</formula>
    </cfRule>
    <cfRule type="expression" dxfId="20115" priority="3567">
      <formula>$A11="Level Crossing"</formula>
    </cfRule>
    <cfRule type="expression" dxfId="20114" priority="3568">
      <formula>$A11="Neutral Section"</formula>
    </cfRule>
    <cfRule type="expression" dxfId="20113" priority="3569">
      <formula>$A11="Tunnel"</formula>
    </cfRule>
    <cfRule type="expression" dxfId="20112" priority="3570">
      <formula>$A11="Bridge"</formula>
    </cfRule>
    <cfRule type="expression" dxfId="20111" priority="3571">
      <formula>$A11="Drainage Works"</formula>
    </cfRule>
    <cfRule type="expression" dxfId="20110" priority="3572">
      <formula>$A11="Underpass"</formula>
    </cfRule>
    <cfRule type="expression" dxfId="20109" priority="3573">
      <formula>$A11="Overcrossing"</formula>
    </cfRule>
    <cfRule type="expression" dxfId="20108" priority="3574">
      <formula>$A11="Overpass"</formula>
    </cfRule>
    <cfRule type="expression" dxfId="20107" priority="3575">
      <formula>$A11="Station"</formula>
    </cfRule>
    <cfRule type="expression" dxfId="20106" priority="3576">
      <formula>$A11="Overlap between sections"</formula>
    </cfRule>
  </conditionalFormatting>
  <conditionalFormatting sqref="Q11:Q21 Q27 Q23 Q25">
    <cfRule type="expression" dxfId="20105" priority="3563">
      <formula>$M11="NON DEFINED"</formula>
    </cfRule>
    <cfRule type="expression" dxfId="20104" priority="3564">
      <formula>$AZ11="N.D."</formula>
    </cfRule>
    <cfRule type="expression" dxfId="20103" priority="3565">
      <formula>$AY11="N.D."</formula>
    </cfRule>
  </conditionalFormatting>
  <conditionalFormatting sqref="Q11:Q21 Q27 Q23 Q25">
    <cfRule type="expression" dxfId="20102" priority="3552">
      <formula>$A11="Overhead Cable"</formula>
    </cfRule>
    <cfRule type="expression" dxfId="20101" priority="3553">
      <formula>$A11="Level Crossing"</formula>
    </cfRule>
    <cfRule type="expression" dxfId="20100" priority="3554">
      <formula>$A11="Neutral Section"</formula>
    </cfRule>
    <cfRule type="expression" dxfId="20099" priority="3555">
      <formula>$A11="Tunnel"</formula>
    </cfRule>
    <cfRule type="expression" dxfId="20098" priority="3556">
      <formula>$A11="Bridge"</formula>
    </cfRule>
    <cfRule type="expression" dxfId="20097" priority="3557">
      <formula>$A11="Drainage Works"</formula>
    </cfRule>
    <cfRule type="expression" dxfId="20096" priority="3558">
      <formula>$A11="Underpass"</formula>
    </cfRule>
    <cfRule type="expression" dxfId="20095" priority="3559">
      <formula>$A11="Overcrossing"</formula>
    </cfRule>
    <cfRule type="expression" dxfId="20094" priority="3560">
      <formula>$A11="Overpass"</formula>
    </cfRule>
    <cfRule type="expression" dxfId="20093" priority="3561">
      <formula>$A11="Station"</formula>
    </cfRule>
    <cfRule type="expression" dxfId="20092" priority="3562">
      <formula>$A11="Overlap between sections"</formula>
    </cfRule>
  </conditionalFormatting>
  <conditionalFormatting sqref="T11:T13 T15:T21 T27 T23 T25">
    <cfRule type="expression" dxfId="20091" priority="3549">
      <formula>$M11="NON DEFINED"</formula>
    </cfRule>
    <cfRule type="expression" dxfId="20090" priority="3550">
      <formula>$AZ11="N.D."</formula>
    </cfRule>
    <cfRule type="expression" dxfId="20089" priority="3551">
      <formula>$AY11="N.D."</formula>
    </cfRule>
  </conditionalFormatting>
  <conditionalFormatting sqref="T11:T13 T15:T21 T27 T23 T25">
    <cfRule type="expression" dxfId="20088" priority="3538">
      <formula>$A11="Overhead Cable"</formula>
    </cfRule>
    <cfRule type="expression" dxfId="20087" priority="3539">
      <formula>$A11="Level Crossing"</formula>
    </cfRule>
    <cfRule type="expression" dxfId="20086" priority="3540">
      <formula>$A11="Neutral Section"</formula>
    </cfRule>
    <cfRule type="expression" dxfId="20085" priority="3541">
      <formula>$A11="Tunnel"</formula>
    </cfRule>
    <cfRule type="expression" dxfId="20084" priority="3542">
      <formula>$A11="Bridge"</formula>
    </cfRule>
    <cfRule type="expression" dxfId="20083" priority="3543">
      <formula>$A11="Drainage Works"</formula>
    </cfRule>
    <cfRule type="expression" dxfId="20082" priority="3544">
      <formula>$A11="Underpass"</formula>
    </cfRule>
    <cfRule type="expression" dxfId="20081" priority="3545">
      <formula>$A11="Overcrossing"</formula>
    </cfRule>
    <cfRule type="expression" dxfId="20080" priority="3546">
      <formula>$A11="Overpass"</formula>
    </cfRule>
    <cfRule type="expression" dxfId="20079" priority="3547">
      <formula>$A11="Station"</formula>
    </cfRule>
    <cfRule type="expression" dxfId="20078" priority="3548">
      <formula>$A11="Overlap between sections"</formula>
    </cfRule>
  </conditionalFormatting>
  <conditionalFormatting sqref="U11:U13 U15:U21 U27 U23 U25">
    <cfRule type="expression" dxfId="20077" priority="3535">
      <formula>$M11="NON DEFINED"</formula>
    </cfRule>
    <cfRule type="expression" dxfId="20076" priority="3536">
      <formula>$AZ11="N.D."</formula>
    </cfRule>
    <cfRule type="expression" dxfId="20075" priority="3537">
      <formula>$AY11="N.D."</formula>
    </cfRule>
  </conditionalFormatting>
  <conditionalFormatting sqref="U11:U13 U15:U21 U27 U23 U25">
    <cfRule type="expression" dxfId="20074" priority="3524">
      <formula>$A11="Overhead Cable"</formula>
    </cfRule>
    <cfRule type="expression" dxfId="20073" priority="3525">
      <formula>$A11="Level Crossing"</formula>
    </cfRule>
    <cfRule type="expression" dxfId="20072" priority="3526">
      <formula>$A11="Neutral Section"</formula>
    </cfRule>
    <cfRule type="expression" dxfId="20071" priority="3527">
      <formula>$A11="Tunnel"</formula>
    </cfRule>
    <cfRule type="expression" dxfId="20070" priority="3528">
      <formula>$A11="Bridge"</formula>
    </cfRule>
    <cfRule type="expression" dxfId="20069" priority="3529">
      <formula>$A11="Drainage Works"</formula>
    </cfRule>
    <cfRule type="expression" dxfId="20068" priority="3530">
      <formula>$A11="Underpass"</formula>
    </cfRule>
    <cfRule type="expression" dxfId="20067" priority="3531">
      <formula>$A11="Overcrossing"</formula>
    </cfRule>
    <cfRule type="expression" dxfId="20066" priority="3532">
      <formula>$A11="Overpass"</formula>
    </cfRule>
    <cfRule type="expression" dxfId="20065" priority="3533">
      <formula>$A11="Station"</formula>
    </cfRule>
    <cfRule type="expression" dxfId="20064" priority="3534">
      <formula>$A11="Overlap between sections"</formula>
    </cfRule>
  </conditionalFormatting>
  <conditionalFormatting sqref="V11:V21 V27 V23 V25">
    <cfRule type="expression" dxfId="20063" priority="3521">
      <formula>$M11="NON DEFINED"</formula>
    </cfRule>
    <cfRule type="expression" dxfId="20062" priority="3522">
      <formula>$AZ11="N.D."</formula>
    </cfRule>
    <cfRule type="expression" dxfId="20061" priority="3523">
      <formula>$AY11="N.D."</formula>
    </cfRule>
  </conditionalFormatting>
  <conditionalFormatting sqref="V11:V21 V27 V23 V25">
    <cfRule type="expression" dxfId="20060" priority="3510">
      <formula>$A11="Overhead Cable"</formula>
    </cfRule>
    <cfRule type="expression" dxfId="20059" priority="3511">
      <formula>$A11="Level Crossing"</formula>
    </cfRule>
    <cfRule type="expression" dxfId="20058" priority="3512">
      <formula>$A11="Neutral Section"</formula>
    </cfRule>
    <cfRule type="expression" dxfId="20057" priority="3513">
      <formula>$A11="Tunnel"</formula>
    </cfRule>
    <cfRule type="expression" dxfId="20056" priority="3514">
      <formula>$A11="Bridge"</formula>
    </cfRule>
    <cfRule type="expression" dxfId="20055" priority="3515">
      <formula>$A11="Drainage Works"</formula>
    </cfRule>
    <cfRule type="expression" dxfId="20054" priority="3516">
      <formula>$A11="Underpass"</formula>
    </cfRule>
    <cfRule type="expression" dxfId="20053" priority="3517">
      <formula>$A11="Overcrossing"</formula>
    </cfRule>
    <cfRule type="expression" dxfId="20052" priority="3518">
      <formula>$A11="Overpass"</formula>
    </cfRule>
    <cfRule type="expression" dxfId="20051" priority="3519">
      <formula>$A11="Station"</formula>
    </cfRule>
    <cfRule type="expression" dxfId="20050" priority="3520">
      <formula>$A11="Overlap between sections"</formula>
    </cfRule>
  </conditionalFormatting>
  <conditionalFormatting sqref="AF11:AF28">
    <cfRule type="expression" dxfId="20049" priority="3507">
      <formula>$M11="NON DEFINED"</formula>
    </cfRule>
    <cfRule type="expression" dxfId="20048" priority="3508">
      <formula>$AZ11="N.D."</formula>
    </cfRule>
    <cfRule type="expression" dxfId="20047" priority="3509">
      <formula>$AY11="N.D."</formula>
    </cfRule>
  </conditionalFormatting>
  <conditionalFormatting sqref="AF11:AF28">
    <cfRule type="expression" dxfId="20046" priority="3496">
      <formula>$A11="Overhead Cable"</formula>
    </cfRule>
    <cfRule type="expression" dxfId="20045" priority="3497">
      <formula>$A11="Level Crossing"</formula>
    </cfRule>
    <cfRule type="expression" dxfId="20044" priority="3498">
      <formula>$A11="Neutral Section"</formula>
    </cfRule>
    <cfRule type="expression" dxfId="20043" priority="3499">
      <formula>$A11="Tunnel"</formula>
    </cfRule>
    <cfRule type="expression" dxfId="20042" priority="3500">
      <formula>$A11="Bridge"</formula>
    </cfRule>
    <cfRule type="expression" dxfId="20041" priority="3501">
      <formula>$A11="Drainage Works"</formula>
    </cfRule>
    <cfRule type="expression" dxfId="20040" priority="3502">
      <formula>$A11="Underpass"</formula>
    </cfRule>
    <cfRule type="expression" dxfId="20039" priority="3503">
      <formula>$A11="Overcrossing"</formula>
    </cfRule>
    <cfRule type="expression" dxfId="20038" priority="3504">
      <formula>$A11="Overpass"</formula>
    </cfRule>
    <cfRule type="expression" dxfId="20037" priority="3505">
      <formula>$A11="Station"</formula>
    </cfRule>
    <cfRule type="expression" dxfId="20036" priority="3506">
      <formula>$A11="Overlap between sections"</formula>
    </cfRule>
  </conditionalFormatting>
  <conditionalFormatting sqref="AH11:AH28">
    <cfRule type="expression" dxfId="20035" priority="3493">
      <formula>$M11="NON DEFINED"</formula>
    </cfRule>
    <cfRule type="expression" dxfId="20034" priority="3494">
      <formula>$AZ11="N.D."</formula>
    </cfRule>
    <cfRule type="expression" dxfId="20033" priority="3495">
      <formula>$AY11="N.D."</formula>
    </cfRule>
  </conditionalFormatting>
  <conditionalFormatting sqref="AH11:AH28">
    <cfRule type="expression" dxfId="20032" priority="3482">
      <formula>$A11="Overhead Cable"</formula>
    </cfRule>
    <cfRule type="expression" dxfId="20031" priority="3483">
      <formula>$A11="Level Crossing"</formula>
    </cfRule>
    <cfRule type="expression" dxfId="20030" priority="3484">
      <formula>$A11="Neutral Section"</formula>
    </cfRule>
    <cfRule type="expression" dxfId="20029" priority="3485">
      <formula>$A11="Tunnel"</formula>
    </cfRule>
    <cfRule type="expression" dxfId="20028" priority="3486">
      <formula>$A11="Bridge"</formula>
    </cfRule>
    <cfRule type="expression" dxfId="20027" priority="3487">
      <formula>$A11="Drainage Works"</formula>
    </cfRule>
    <cfRule type="expression" dxfId="20026" priority="3488">
      <formula>$A11="Underpass"</formula>
    </cfRule>
    <cfRule type="expression" dxfId="20025" priority="3489">
      <formula>$A11="Overcrossing"</formula>
    </cfRule>
    <cfRule type="expression" dxfId="20024" priority="3490">
      <formula>$A11="Overpass"</formula>
    </cfRule>
    <cfRule type="expression" dxfId="20023" priority="3491">
      <formula>$A11="Station"</formula>
    </cfRule>
    <cfRule type="expression" dxfId="20022" priority="3492">
      <formula>$A11="Overlap between sections"</formula>
    </cfRule>
  </conditionalFormatting>
  <conditionalFormatting sqref="AI11:AI28">
    <cfRule type="expression" dxfId="20021" priority="3479">
      <formula>$M11="NON DEFINED"</formula>
    </cfRule>
    <cfRule type="expression" dxfId="20020" priority="3480">
      <formula>$AZ11="N.D."</formula>
    </cfRule>
    <cfRule type="expression" dxfId="20019" priority="3481">
      <formula>$AY11="N.D."</formula>
    </cfRule>
  </conditionalFormatting>
  <conditionalFormatting sqref="AI11:AI28">
    <cfRule type="expression" dxfId="20018" priority="3468">
      <formula>$A11="Overhead Cable"</formula>
    </cfRule>
    <cfRule type="expression" dxfId="20017" priority="3469">
      <formula>$A11="Level Crossing"</formula>
    </cfRule>
    <cfRule type="expression" dxfId="20016" priority="3470">
      <formula>$A11="Neutral Section"</formula>
    </cfRule>
    <cfRule type="expression" dxfId="20015" priority="3471">
      <formula>$A11="Tunnel"</formula>
    </cfRule>
    <cfRule type="expression" dxfId="20014" priority="3472">
      <formula>$A11="Bridge"</formula>
    </cfRule>
    <cfRule type="expression" dxfId="20013" priority="3473">
      <formula>$A11="Drainage Works"</formula>
    </cfRule>
    <cfRule type="expression" dxfId="20012" priority="3474">
      <formula>$A11="Underpass"</formula>
    </cfRule>
    <cfRule type="expression" dxfId="20011" priority="3475">
      <formula>$A11="Overcrossing"</formula>
    </cfRule>
    <cfRule type="expression" dxfId="20010" priority="3476">
      <formula>$A11="Overpass"</formula>
    </cfRule>
    <cfRule type="expression" dxfId="20009" priority="3477">
      <formula>$A11="Station"</formula>
    </cfRule>
    <cfRule type="expression" dxfId="20008" priority="3478">
      <formula>$A11="Overlap between sections"</formula>
    </cfRule>
  </conditionalFormatting>
  <conditionalFormatting sqref="R11:R21 R27 R23 R25">
    <cfRule type="expression" dxfId="20007" priority="3465">
      <formula>$M11="NON DEFINED"</formula>
    </cfRule>
    <cfRule type="expression" dxfId="20006" priority="3466">
      <formula>$AZ11="N.D."</formula>
    </cfRule>
    <cfRule type="expression" dxfId="20005" priority="3467">
      <formula>$AY11="N.D."</formula>
    </cfRule>
  </conditionalFormatting>
  <conditionalFormatting sqref="R11:R21 R27 R23 R25">
    <cfRule type="expression" dxfId="20004" priority="3454">
      <formula>$A11="Overhead Cable"</formula>
    </cfRule>
    <cfRule type="expression" dxfId="20003" priority="3455">
      <formula>$A11="Level Crossing"</formula>
    </cfRule>
    <cfRule type="expression" dxfId="20002" priority="3456">
      <formula>$A11="Neutral Section"</formula>
    </cfRule>
    <cfRule type="expression" dxfId="20001" priority="3457">
      <formula>$A11="Tunnel"</formula>
    </cfRule>
    <cfRule type="expression" dxfId="20000" priority="3458">
      <formula>$A11="Bridge"</formula>
    </cfRule>
    <cfRule type="expression" dxfId="19999" priority="3459">
      <formula>$A11="Drainage Works"</formula>
    </cfRule>
    <cfRule type="expression" dxfId="19998" priority="3460">
      <formula>$A11="Underpass"</formula>
    </cfRule>
    <cfRule type="expression" dxfId="19997" priority="3461">
      <formula>$A11="Overcrossing"</formula>
    </cfRule>
    <cfRule type="expression" dxfId="19996" priority="3462">
      <formula>$A11="Overpass"</formula>
    </cfRule>
    <cfRule type="expression" dxfId="19995" priority="3463">
      <formula>$A11="Station"</formula>
    </cfRule>
    <cfRule type="expression" dxfId="19994" priority="3464">
      <formula>$A11="Overlap between sections"</formula>
    </cfRule>
  </conditionalFormatting>
  <conditionalFormatting sqref="S11:S21 S27 S23 S25">
    <cfRule type="expression" dxfId="19993" priority="3451">
      <formula>$M11="NON DEFINED"</formula>
    </cfRule>
    <cfRule type="expression" dxfId="19992" priority="3452">
      <formula>$AZ11="N.D."</formula>
    </cfRule>
    <cfRule type="expression" dxfId="19991" priority="3453">
      <formula>$AY11="N.D."</formula>
    </cfRule>
  </conditionalFormatting>
  <conditionalFormatting sqref="S11:S21 S27 S23 S25">
    <cfRule type="expression" dxfId="19990" priority="3440">
      <formula>$A11="Overhead Cable"</formula>
    </cfRule>
    <cfRule type="expression" dxfId="19989" priority="3441">
      <formula>$A11="Level Crossing"</formula>
    </cfRule>
    <cfRule type="expression" dxfId="19988" priority="3442">
      <formula>$A11="Neutral Section"</formula>
    </cfRule>
    <cfRule type="expression" dxfId="19987" priority="3443">
      <formula>$A11="Tunnel"</formula>
    </cfRule>
    <cfRule type="expression" dxfId="19986" priority="3444">
      <formula>$A11="Bridge"</formula>
    </cfRule>
    <cfRule type="expression" dxfId="19985" priority="3445">
      <formula>$A11="Drainage Works"</formula>
    </cfRule>
    <cfRule type="expression" dxfId="19984" priority="3446">
      <formula>$A11="Underpass"</formula>
    </cfRule>
    <cfRule type="expression" dxfId="19983" priority="3447">
      <formula>$A11="Overcrossing"</formula>
    </cfRule>
    <cfRule type="expression" dxfId="19982" priority="3448">
      <formula>$A11="Overpass"</formula>
    </cfRule>
    <cfRule type="expression" dxfId="19981" priority="3449">
      <formula>$A11="Station"</formula>
    </cfRule>
    <cfRule type="expression" dxfId="19980" priority="3450">
      <formula>$A11="Overlap between sections"</formula>
    </cfRule>
  </conditionalFormatting>
  <conditionalFormatting sqref="W11:W13 W15:W21 W27 W23 W25">
    <cfRule type="expression" dxfId="19979" priority="3437">
      <formula>$M11="NON DEFINED"</formula>
    </cfRule>
    <cfRule type="expression" dxfId="19978" priority="3438">
      <formula>$AZ11="N.D."</formula>
    </cfRule>
    <cfRule type="expression" dxfId="19977" priority="3439">
      <formula>$AY11="N.D."</formula>
    </cfRule>
  </conditionalFormatting>
  <conditionalFormatting sqref="W11:W13 W15:W21 W27 W23 W25">
    <cfRule type="expression" dxfId="19976" priority="3426">
      <formula>$A11="Overhead Cable"</formula>
    </cfRule>
    <cfRule type="expression" dxfId="19975" priority="3427">
      <formula>$A11="Level Crossing"</formula>
    </cfRule>
    <cfRule type="expression" dxfId="19974" priority="3428">
      <formula>$A11="Neutral Section"</formula>
    </cfRule>
    <cfRule type="expression" dxfId="19973" priority="3429">
      <formula>$A11="Tunnel"</formula>
    </cfRule>
    <cfRule type="expression" dxfId="19972" priority="3430">
      <formula>$A11="Bridge"</formula>
    </cfRule>
    <cfRule type="expression" dxfId="19971" priority="3431">
      <formula>$A11="Drainage Works"</formula>
    </cfRule>
    <cfRule type="expression" dxfId="19970" priority="3432">
      <formula>$A11="Underpass"</formula>
    </cfRule>
    <cfRule type="expression" dxfId="19969" priority="3433">
      <formula>$A11="Overcrossing"</formula>
    </cfRule>
    <cfRule type="expression" dxfId="19968" priority="3434">
      <formula>$A11="Overpass"</formula>
    </cfRule>
    <cfRule type="expression" dxfId="19967" priority="3435">
      <formula>$A11="Station"</formula>
    </cfRule>
    <cfRule type="expression" dxfId="19966" priority="3436">
      <formula>$A11="Overlap between sections"</formula>
    </cfRule>
  </conditionalFormatting>
  <conditionalFormatting sqref="X11:X13 X15:X28">
    <cfRule type="expression" dxfId="19965" priority="3423">
      <formula>$M11="NON DEFINED"</formula>
    </cfRule>
    <cfRule type="expression" dxfId="19964" priority="3424">
      <formula>$AZ11="N.D."</formula>
    </cfRule>
    <cfRule type="expression" dxfId="19963" priority="3425">
      <formula>$AY11="N.D."</formula>
    </cfRule>
  </conditionalFormatting>
  <conditionalFormatting sqref="X11:X13 X15:X28">
    <cfRule type="expression" dxfId="19962" priority="3412">
      <formula>$A11="Overhead Cable"</formula>
    </cfRule>
    <cfRule type="expression" dxfId="19961" priority="3413">
      <formula>$A11="Level Crossing"</formula>
    </cfRule>
    <cfRule type="expression" dxfId="19960" priority="3414">
      <formula>$A11="Neutral Section"</formula>
    </cfRule>
    <cfRule type="expression" dxfId="19959" priority="3415">
      <formula>$A11="Tunnel"</formula>
    </cfRule>
    <cfRule type="expression" dxfId="19958" priority="3416">
      <formula>$A11="Bridge"</formula>
    </cfRule>
    <cfRule type="expression" dxfId="19957" priority="3417">
      <formula>$A11="Drainage Works"</formula>
    </cfRule>
    <cfRule type="expression" dxfId="19956" priority="3418">
      <formula>$A11="Underpass"</formula>
    </cfRule>
    <cfRule type="expression" dxfId="19955" priority="3419">
      <formula>$A11="Overcrossing"</formula>
    </cfRule>
    <cfRule type="expression" dxfId="19954" priority="3420">
      <formula>$A11="Overpass"</formula>
    </cfRule>
    <cfRule type="expression" dxfId="19953" priority="3421">
      <formula>$A11="Station"</formula>
    </cfRule>
    <cfRule type="expression" dxfId="19952" priority="3422">
      <formula>$A11="Overlap between sections"</formula>
    </cfRule>
  </conditionalFormatting>
  <conditionalFormatting sqref="Y11:Y28">
    <cfRule type="expression" dxfId="19951" priority="3409">
      <formula>$M11="NON DEFINED"</formula>
    </cfRule>
    <cfRule type="expression" dxfId="19950" priority="3410">
      <formula>$AZ11="N.D."</formula>
    </cfRule>
    <cfRule type="expression" dxfId="19949" priority="3411">
      <formula>$AY11="N.D."</formula>
    </cfRule>
  </conditionalFormatting>
  <conditionalFormatting sqref="Y11:Y28">
    <cfRule type="expression" dxfId="19948" priority="3398">
      <formula>$A11="Overhead Cable"</formula>
    </cfRule>
    <cfRule type="expression" dxfId="19947" priority="3399">
      <formula>$A11="Level Crossing"</formula>
    </cfRule>
    <cfRule type="expression" dxfId="19946" priority="3400">
      <formula>$A11="Neutral Section"</formula>
    </cfRule>
    <cfRule type="expression" dxfId="19945" priority="3401">
      <formula>$A11="Tunnel"</formula>
    </cfRule>
    <cfRule type="expression" dxfId="19944" priority="3402">
      <formula>$A11="Bridge"</formula>
    </cfRule>
    <cfRule type="expression" dxfId="19943" priority="3403">
      <formula>$A11="Drainage Works"</formula>
    </cfRule>
    <cfRule type="expression" dxfId="19942" priority="3404">
      <formula>$A11="Underpass"</formula>
    </cfRule>
    <cfRule type="expression" dxfId="19941" priority="3405">
      <formula>$A11="Overcrossing"</formula>
    </cfRule>
    <cfRule type="expression" dxfId="19940" priority="3406">
      <formula>$A11="Overpass"</formula>
    </cfRule>
    <cfRule type="expression" dxfId="19939" priority="3407">
      <formula>$A11="Station"</formula>
    </cfRule>
    <cfRule type="expression" dxfId="19938" priority="3408">
      <formula>$A11="Overlap between sections"</formula>
    </cfRule>
  </conditionalFormatting>
  <conditionalFormatting sqref="Z11:Z28">
    <cfRule type="expression" dxfId="19937" priority="3395">
      <formula>$M11="NON DEFINED"</formula>
    </cfRule>
    <cfRule type="expression" dxfId="19936" priority="3396">
      <formula>$AZ11="N.D."</formula>
    </cfRule>
    <cfRule type="expression" dxfId="19935" priority="3397">
      <formula>$AY11="N.D."</formula>
    </cfRule>
  </conditionalFormatting>
  <conditionalFormatting sqref="Z11:Z28">
    <cfRule type="expression" dxfId="19934" priority="3384">
      <formula>$A11="Overhead Cable"</formula>
    </cfRule>
    <cfRule type="expression" dxfId="19933" priority="3385">
      <formula>$A11="Level Crossing"</formula>
    </cfRule>
    <cfRule type="expression" dxfId="19932" priority="3386">
      <formula>$A11="Neutral Section"</formula>
    </cfRule>
    <cfRule type="expression" dxfId="19931" priority="3387">
      <formula>$A11="Tunnel"</formula>
    </cfRule>
    <cfRule type="expression" dxfId="19930" priority="3388">
      <formula>$A11="Bridge"</formula>
    </cfRule>
    <cfRule type="expression" dxfId="19929" priority="3389">
      <formula>$A11="Drainage Works"</formula>
    </cfRule>
    <cfRule type="expression" dxfId="19928" priority="3390">
      <formula>$A11="Underpass"</formula>
    </cfRule>
    <cfRule type="expression" dxfId="19927" priority="3391">
      <formula>$A11="Overcrossing"</formula>
    </cfRule>
    <cfRule type="expression" dxfId="19926" priority="3392">
      <formula>$A11="Overpass"</formula>
    </cfRule>
    <cfRule type="expression" dxfId="19925" priority="3393">
      <formula>$A11="Station"</formula>
    </cfRule>
    <cfRule type="expression" dxfId="19924" priority="3394">
      <formula>$A11="Overlap between sections"</formula>
    </cfRule>
  </conditionalFormatting>
  <conditionalFormatting sqref="AA11:AA28">
    <cfRule type="expression" dxfId="19923" priority="3381">
      <formula>$M11="NON DEFINED"</formula>
    </cfRule>
    <cfRule type="expression" dxfId="19922" priority="3382">
      <formula>$AZ11="N.D."</formula>
    </cfRule>
    <cfRule type="expression" dxfId="19921" priority="3383">
      <formula>$AY11="N.D."</formula>
    </cfRule>
  </conditionalFormatting>
  <conditionalFormatting sqref="AA11:AA28">
    <cfRule type="expression" dxfId="19920" priority="3370">
      <formula>$A11="Overhead Cable"</formula>
    </cfRule>
    <cfRule type="expression" dxfId="19919" priority="3371">
      <formula>$A11="Level Crossing"</formula>
    </cfRule>
    <cfRule type="expression" dxfId="19918" priority="3372">
      <formula>$A11="Neutral Section"</formula>
    </cfRule>
    <cfRule type="expression" dxfId="19917" priority="3373">
      <formula>$A11="Tunnel"</formula>
    </cfRule>
    <cfRule type="expression" dxfId="19916" priority="3374">
      <formula>$A11="Bridge"</formula>
    </cfRule>
    <cfRule type="expression" dxfId="19915" priority="3375">
      <formula>$A11="Drainage Works"</formula>
    </cfRule>
    <cfRule type="expression" dxfId="19914" priority="3376">
      <formula>$A11="Underpass"</formula>
    </cfRule>
    <cfRule type="expression" dxfId="19913" priority="3377">
      <formula>$A11="Overcrossing"</formula>
    </cfRule>
    <cfRule type="expression" dxfId="19912" priority="3378">
      <formula>$A11="Overpass"</formula>
    </cfRule>
    <cfRule type="expression" dxfId="19911" priority="3379">
      <formula>$A11="Station"</formula>
    </cfRule>
    <cfRule type="expression" dxfId="19910" priority="3380">
      <formula>$A11="Overlap between sections"</formula>
    </cfRule>
  </conditionalFormatting>
  <conditionalFormatting sqref="AB11:AB28">
    <cfRule type="expression" dxfId="19909" priority="3367">
      <formula>$M11="NON DEFINED"</formula>
    </cfRule>
    <cfRule type="expression" dxfId="19908" priority="3368">
      <formula>$AZ11="N.D."</formula>
    </cfRule>
    <cfRule type="expression" dxfId="19907" priority="3369">
      <formula>$AY11="N.D."</formula>
    </cfRule>
  </conditionalFormatting>
  <conditionalFormatting sqref="AB11:AB28">
    <cfRule type="expression" dxfId="19906" priority="3356">
      <formula>$A11="Overhead Cable"</formula>
    </cfRule>
    <cfRule type="expression" dxfId="19905" priority="3357">
      <formula>$A11="Level Crossing"</formula>
    </cfRule>
    <cfRule type="expression" dxfId="19904" priority="3358">
      <formula>$A11="Neutral Section"</formula>
    </cfRule>
    <cfRule type="expression" dxfId="19903" priority="3359">
      <formula>$A11="Tunnel"</formula>
    </cfRule>
    <cfRule type="expression" dxfId="19902" priority="3360">
      <formula>$A11="Bridge"</formula>
    </cfRule>
    <cfRule type="expression" dxfId="19901" priority="3361">
      <formula>$A11="Drainage Works"</formula>
    </cfRule>
    <cfRule type="expression" dxfId="19900" priority="3362">
      <formula>$A11="Underpass"</formula>
    </cfRule>
    <cfRule type="expression" dxfId="19899" priority="3363">
      <formula>$A11="Overcrossing"</formula>
    </cfRule>
    <cfRule type="expression" dxfId="19898" priority="3364">
      <formula>$A11="Overpass"</formula>
    </cfRule>
    <cfRule type="expression" dxfId="19897" priority="3365">
      <formula>$A11="Station"</formula>
    </cfRule>
    <cfRule type="expression" dxfId="19896" priority="3366">
      <formula>$A11="Overlap between sections"</formula>
    </cfRule>
  </conditionalFormatting>
  <conditionalFormatting sqref="BE5:BE45">
    <cfRule type="containsText" dxfId="19895" priority="3330" operator="containsText" text="a">
      <formula>NOT(ISERROR(SEARCH("a",BE5)))</formula>
    </cfRule>
    <cfRule type="containsText" dxfId="19894" priority="3331" operator="containsText" text="R">
      <formula>NOT(ISERROR(SEARCH("R",BE5)))</formula>
    </cfRule>
  </conditionalFormatting>
  <conditionalFormatting sqref="BA10:BC39">
    <cfRule type="expression" dxfId="19893" priority="3328">
      <formula>$BE10="A"</formula>
    </cfRule>
    <cfRule type="expression" dxfId="19892" priority="3329">
      <formula>$BE10="R"</formula>
    </cfRule>
  </conditionalFormatting>
  <conditionalFormatting sqref="BD12:BD16 BD18 BD20 BD22 BD24 BD26:BD28">
    <cfRule type="containsText" dxfId="19891" priority="3327" operator="containsText" text="Poner a mano">
      <formula>NOT(ISERROR(SEARCH("Poner a mano",BD12)))</formula>
    </cfRule>
  </conditionalFormatting>
  <conditionalFormatting sqref="BC10:BC39">
    <cfRule type="expression" dxfId="19890" priority="3326">
      <formula>$M10="U.S. N.D."</formula>
    </cfRule>
  </conditionalFormatting>
  <conditionalFormatting sqref="BB10:BB39">
    <cfRule type="expression" dxfId="19889" priority="3324">
      <formula>$AZ10="N.D."</formula>
    </cfRule>
  </conditionalFormatting>
  <conditionalFormatting sqref="BA10:BA39">
    <cfRule type="expression" dxfId="19888" priority="3325">
      <formula>$AY10="N.D."</formula>
    </cfRule>
  </conditionalFormatting>
  <conditionalFormatting sqref="O14">
    <cfRule type="expression" dxfId="19887" priority="3307">
      <formula>$M14="NON DEFINED"</formula>
    </cfRule>
    <cfRule type="expression" dxfId="19886" priority="3308">
      <formula>$AZ14="N.D."</formula>
    </cfRule>
    <cfRule type="expression" dxfId="19885" priority="3309">
      <formula>$AY14="N.D."</formula>
    </cfRule>
  </conditionalFormatting>
  <conditionalFormatting sqref="O14">
    <cfRule type="expression" dxfId="19884" priority="3296">
      <formula>$A14="Overhead Cable"</formula>
    </cfRule>
    <cfRule type="expression" dxfId="19883" priority="3297">
      <formula>$A14="Level Crossing"</formula>
    </cfRule>
    <cfRule type="expression" dxfId="19882" priority="3298">
      <formula>$A14="Neutral Section"</formula>
    </cfRule>
    <cfRule type="expression" dxfId="19881" priority="3299">
      <formula>$A14="Tunnel"</formula>
    </cfRule>
    <cfRule type="expression" dxfId="19880" priority="3300">
      <formula>$A14="Bridge"</formula>
    </cfRule>
    <cfRule type="expression" dxfId="19879" priority="3301">
      <formula>$A14="Drainage Works"</formula>
    </cfRule>
    <cfRule type="expression" dxfId="19878" priority="3302">
      <formula>$A14="Underpass"</formula>
    </cfRule>
    <cfRule type="expression" dxfId="19877" priority="3303">
      <formula>$A14="Overcrossing"</formula>
    </cfRule>
    <cfRule type="expression" dxfId="19876" priority="3304">
      <formula>$A14="Overpass"</formula>
    </cfRule>
    <cfRule type="expression" dxfId="19875" priority="3305">
      <formula>$A14="Station"</formula>
    </cfRule>
    <cfRule type="expression" dxfId="19874" priority="3306">
      <formula>$A14="Overlap between sections"</formula>
    </cfRule>
  </conditionalFormatting>
  <conditionalFormatting sqref="T14">
    <cfRule type="expression" dxfId="19873" priority="3293">
      <formula>$M14="NON DEFINED"</formula>
    </cfRule>
    <cfRule type="expression" dxfId="19872" priority="3294">
      <formula>$AZ14="N.D."</formula>
    </cfRule>
    <cfRule type="expression" dxfId="19871" priority="3295">
      <formula>$AY14="N.D."</formula>
    </cfRule>
  </conditionalFormatting>
  <conditionalFormatting sqref="T14">
    <cfRule type="expression" dxfId="19870" priority="3282">
      <formula>$A14="Overhead Cable"</formula>
    </cfRule>
    <cfRule type="expression" dxfId="19869" priority="3283">
      <formula>$A14="Level Crossing"</formula>
    </cfRule>
    <cfRule type="expression" dxfId="19868" priority="3284">
      <formula>$A14="Neutral Section"</formula>
    </cfRule>
    <cfRule type="expression" dxfId="19867" priority="3285">
      <formula>$A14="Tunnel"</formula>
    </cfRule>
    <cfRule type="expression" dxfId="19866" priority="3286">
      <formula>$A14="Bridge"</formula>
    </cfRule>
    <cfRule type="expression" dxfId="19865" priority="3287">
      <formula>$A14="Drainage Works"</formula>
    </cfRule>
    <cfRule type="expression" dxfId="19864" priority="3288">
      <formula>$A14="Underpass"</formula>
    </cfRule>
    <cfRule type="expression" dxfId="19863" priority="3289">
      <formula>$A14="Overcrossing"</formula>
    </cfRule>
    <cfRule type="expression" dxfId="19862" priority="3290">
      <formula>$A14="Overpass"</formula>
    </cfRule>
    <cfRule type="expression" dxfId="19861" priority="3291">
      <formula>$A14="Station"</formula>
    </cfRule>
    <cfRule type="expression" dxfId="19860" priority="3292">
      <formula>$A14="Overlap between sections"</formula>
    </cfRule>
  </conditionalFormatting>
  <conditionalFormatting sqref="U14">
    <cfRule type="expression" dxfId="19859" priority="3279">
      <formula>$M14="NON DEFINED"</formula>
    </cfRule>
    <cfRule type="expression" dxfId="19858" priority="3280">
      <formula>$AZ14="N.D."</formula>
    </cfRule>
    <cfRule type="expression" dxfId="19857" priority="3281">
      <formula>$AY14="N.D."</formula>
    </cfRule>
  </conditionalFormatting>
  <conditionalFormatting sqref="U14">
    <cfRule type="expression" dxfId="19856" priority="3268">
      <formula>$A14="Overhead Cable"</formula>
    </cfRule>
    <cfRule type="expression" dxfId="19855" priority="3269">
      <formula>$A14="Level Crossing"</formula>
    </cfRule>
    <cfRule type="expression" dxfId="19854" priority="3270">
      <formula>$A14="Neutral Section"</formula>
    </cfRule>
    <cfRule type="expression" dxfId="19853" priority="3271">
      <formula>$A14="Tunnel"</formula>
    </cfRule>
    <cfRule type="expression" dxfId="19852" priority="3272">
      <formula>$A14="Bridge"</formula>
    </cfRule>
    <cfRule type="expression" dxfId="19851" priority="3273">
      <formula>$A14="Drainage Works"</formula>
    </cfRule>
    <cfRule type="expression" dxfId="19850" priority="3274">
      <formula>$A14="Underpass"</formula>
    </cfRule>
    <cfRule type="expression" dxfId="19849" priority="3275">
      <formula>$A14="Overcrossing"</formula>
    </cfRule>
    <cfRule type="expression" dxfId="19848" priority="3276">
      <formula>$A14="Overpass"</formula>
    </cfRule>
    <cfRule type="expression" dxfId="19847" priority="3277">
      <formula>$A14="Station"</formula>
    </cfRule>
    <cfRule type="expression" dxfId="19846" priority="3278">
      <formula>$A14="Overlap between sections"</formula>
    </cfRule>
  </conditionalFormatting>
  <conditionalFormatting sqref="W14">
    <cfRule type="expression" dxfId="19845" priority="3265">
      <formula>$M14="NON DEFINED"</formula>
    </cfRule>
    <cfRule type="expression" dxfId="19844" priority="3266">
      <formula>$AZ14="N.D."</formula>
    </cfRule>
    <cfRule type="expression" dxfId="19843" priority="3267">
      <formula>$AY14="N.D."</formula>
    </cfRule>
  </conditionalFormatting>
  <conditionalFormatting sqref="W14">
    <cfRule type="expression" dxfId="19842" priority="3254">
      <formula>$A14="Overhead Cable"</formula>
    </cfRule>
    <cfRule type="expression" dxfId="19841" priority="3255">
      <formula>$A14="Level Crossing"</formula>
    </cfRule>
    <cfRule type="expression" dxfId="19840" priority="3256">
      <formula>$A14="Neutral Section"</formula>
    </cfRule>
    <cfRule type="expression" dxfId="19839" priority="3257">
      <formula>$A14="Tunnel"</formula>
    </cfRule>
    <cfRule type="expression" dxfId="19838" priority="3258">
      <formula>$A14="Bridge"</formula>
    </cfRule>
    <cfRule type="expression" dxfId="19837" priority="3259">
      <formula>$A14="Drainage Works"</formula>
    </cfRule>
    <cfRule type="expression" dxfId="19836" priority="3260">
      <formula>$A14="Underpass"</formula>
    </cfRule>
    <cfRule type="expression" dxfId="19835" priority="3261">
      <formula>$A14="Overcrossing"</formula>
    </cfRule>
    <cfRule type="expression" dxfId="19834" priority="3262">
      <formula>$A14="Overpass"</formula>
    </cfRule>
    <cfRule type="expression" dxfId="19833" priority="3263">
      <formula>$A14="Station"</formula>
    </cfRule>
    <cfRule type="expression" dxfId="19832" priority="3264">
      <formula>$A14="Overlap between sections"</formula>
    </cfRule>
  </conditionalFormatting>
  <conditionalFormatting sqref="X14">
    <cfRule type="expression" dxfId="19831" priority="3251">
      <formula>$M14="NON DEFINED"</formula>
    </cfRule>
    <cfRule type="expression" dxfId="19830" priority="3252">
      <formula>$AZ14="N.D."</formula>
    </cfRule>
    <cfRule type="expression" dxfId="19829" priority="3253">
      <formula>$AY14="N.D."</formula>
    </cfRule>
  </conditionalFormatting>
  <conditionalFormatting sqref="X14">
    <cfRule type="expression" dxfId="19828" priority="3240">
      <formula>$A14="Overhead Cable"</formula>
    </cfRule>
    <cfRule type="expression" dxfId="19827" priority="3241">
      <formula>$A14="Level Crossing"</formula>
    </cfRule>
    <cfRule type="expression" dxfId="19826" priority="3242">
      <formula>$A14="Neutral Section"</formula>
    </cfRule>
    <cfRule type="expression" dxfId="19825" priority="3243">
      <formula>$A14="Tunnel"</formula>
    </cfRule>
    <cfRule type="expression" dxfId="19824" priority="3244">
      <formula>$A14="Bridge"</formula>
    </cfRule>
    <cfRule type="expression" dxfId="19823" priority="3245">
      <formula>$A14="Drainage Works"</formula>
    </cfRule>
    <cfRule type="expression" dxfId="19822" priority="3246">
      <formula>$A14="Underpass"</formula>
    </cfRule>
    <cfRule type="expression" dxfId="19821" priority="3247">
      <formula>$A14="Overcrossing"</formula>
    </cfRule>
    <cfRule type="expression" dxfId="19820" priority="3248">
      <formula>$A14="Overpass"</formula>
    </cfRule>
    <cfRule type="expression" dxfId="19819" priority="3249">
      <formula>$A14="Station"</formula>
    </cfRule>
    <cfRule type="expression" dxfId="19818" priority="3250">
      <formula>$A14="Overlap between sections"</formula>
    </cfRule>
  </conditionalFormatting>
  <conditionalFormatting sqref="BA5:BC9">
    <cfRule type="expression" dxfId="19817" priority="2536">
      <formula>$BE5="R"</formula>
    </cfRule>
  </conditionalFormatting>
  <conditionalFormatting sqref="B5:E8 J5:J8 AG5:AG8 AN5:AS8 AY5:BC8 G5:H8 BA9:BC9">
    <cfRule type="expression" dxfId="19816" priority="2534">
      <formula>$M5="NON DEFINED"</formula>
    </cfRule>
    <cfRule type="expression" dxfId="19815" priority="2535">
      <formula>$AY5="N.D."</formula>
    </cfRule>
  </conditionalFormatting>
  <conditionalFormatting sqref="B5:E8 J5:J8 AG5:AG8 AN5:AS8 AY5:BD8 G5:H8 BA9:BD9">
    <cfRule type="cellIs" dxfId="19814" priority="2533" operator="equal">
      <formula>0</formula>
    </cfRule>
  </conditionalFormatting>
  <conditionalFormatting sqref="A5:A8">
    <cfRule type="cellIs" dxfId="19813" priority="2532" operator="equal">
      <formula>0</formula>
    </cfRule>
  </conditionalFormatting>
  <conditionalFormatting sqref="I5:I8">
    <cfRule type="expression" dxfId="19812" priority="2530">
      <formula>$M5="NON DEFINED"</formula>
    </cfRule>
    <cfRule type="expression" dxfId="19811" priority="2531">
      <formula>$AY5="N.D."</formula>
    </cfRule>
  </conditionalFormatting>
  <conditionalFormatting sqref="I5:I8">
    <cfRule type="cellIs" dxfId="19810" priority="2529" operator="equal">
      <formula>0</formula>
    </cfRule>
  </conditionalFormatting>
  <conditionalFormatting sqref="K5:K8">
    <cfRule type="expression" dxfId="19809" priority="2527">
      <formula>$M5="NON DEFINED"</formula>
    </cfRule>
    <cfRule type="expression" dxfId="19808" priority="2528">
      <formula>$AY5="N.D."</formula>
    </cfRule>
  </conditionalFormatting>
  <conditionalFormatting sqref="K5:K8">
    <cfRule type="cellIs" dxfId="19807" priority="2526" operator="equal">
      <formula>0</formula>
    </cfRule>
  </conditionalFormatting>
  <conditionalFormatting sqref="L5:L8">
    <cfRule type="expression" dxfId="19806" priority="2524">
      <formula>$M5="NON DEFINED"</formula>
    </cfRule>
    <cfRule type="expression" dxfId="19805" priority="2525">
      <formula>$AY5="N.D."</formula>
    </cfRule>
  </conditionalFormatting>
  <conditionalFormatting sqref="L5:L8">
    <cfRule type="cellIs" dxfId="19804" priority="2523" operator="equal">
      <formula>0</formula>
    </cfRule>
  </conditionalFormatting>
  <conditionalFormatting sqref="M5:M8">
    <cfRule type="expression" dxfId="19803" priority="2521">
      <formula>$M5="NON DEFINED"</formula>
    </cfRule>
    <cfRule type="expression" dxfId="19802" priority="2522">
      <formula>$AY5="N.D."</formula>
    </cfRule>
  </conditionalFormatting>
  <conditionalFormatting sqref="M5:M8">
    <cfRule type="cellIs" dxfId="19801" priority="2520" operator="equal">
      <formula>0</formula>
    </cfRule>
  </conditionalFormatting>
  <conditionalFormatting sqref="N5:N8">
    <cfRule type="expression" dxfId="19800" priority="2518">
      <formula>$M5="NON DEFINED"</formula>
    </cfRule>
    <cfRule type="expression" dxfId="19799" priority="2519">
      <formula>$AY5="N.D."</formula>
    </cfRule>
  </conditionalFormatting>
  <conditionalFormatting sqref="N5:N8">
    <cfRule type="cellIs" dxfId="19798" priority="2517" operator="equal">
      <formula>0</formula>
    </cfRule>
  </conditionalFormatting>
  <conditionalFormatting sqref="O5:O8">
    <cfRule type="expression" dxfId="19797" priority="2515">
      <formula>$M5="NON DEFINED"</formula>
    </cfRule>
    <cfRule type="expression" dxfId="19796" priority="2516">
      <formula>$AY5="N.D."</formula>
    </cfRule>
  </conditionalFormatting>
  <conditionalFormatting sqref="O5:O8">
    <cfRule type="cellIs" dxfId="19795" priority="2514" operator="equal">
      <formula>0</formula>
    </cfRule>
  </conditionalFormatting>
  <conditionalFormatting sqref="P5:P8">
    <cfRule type="expression" dxfId="19794" priority="2512">
      <formula>$M5="NON DEFINED"</formula>
    </cfRule>
    <cfRule type="expression" dxfId="19793" priority="2513">
      <formula>$AY5="N.D."</formula>
    </cfRule>
  </conditionalFormatting>
  <conditionalFormatting sqref="P5:P8">
    <cfRule type="cellIs" dxfId="19792" priority="2511" operator="equal">
      <formula>0</formula>
    </cfRule>
  </conditionalFormatting>
  <conditionalFormatting sqref="AC5:AC8">
    <cfRule type="expression" dxfId="19791" priority="2509">
      <formula>$M5="NON DEFINED"</formula>
    </cfRule>
    <cfRule type="expression" dxfId="19790" priority="2510">
      <formula>$AY5="N.D."</formula>
    </cfRule>
  </conditionalFormatting>
  <conditionalFormatting sqref="AC5:AC8">
    <cfRule type="cellIs" dxfId="19789" priority="2508" operator="equal">
      <formula>0</formula>
    </cfRule>
  </conditionalFormatting>
  <conditionalFormatting sqref="AD5:AD8">
    <cfRule type="expression" dxfId="19788" priority="2506">
      <formula>$M5="NON DEFINED"</formula>
    </cfRule>
    <cfRule type="expression" dxfId="19787" priority="2507">
      <formula>$AY5="N.D."</formula>
    </cfRule>
  </conditionalFormatting>
  <conditionalFormatting sqref="AD5:AD8">
    <cfRule type="cellIs" dxfId="19786" priority="2505" operator="equal">
      <formula>0</formula>
    </cfRule>
  </conditionalFormatting>
  <conditionalFormatting sqref="AE5:AE8">
    <cfRule type="expression" dxfId="19785" priority="2503">
      <formula>$M5="NON DEFINED"</formula>
    </cfRule>
    <cfRule type="expression" dxfId="19784" priority="2504">
      <formula>$AY5="N.D."</formula>
    </cfRule>
  </conditionalFormatting>
  <conditionalFormatting sqref="AE5:AE8">
    <cfRule type="cellIs" dxfId="19783" priority="2502" operator="equal">
      <formula>0</formula>
    </cfRule>
  </conditionalFormatting>
  <conditionalFormatting sqref="AJ5:AJ8">
    <cfRule type="expression" dxfId="19782" priority="2500">
      <formula>$M5="NON DEFINED"</formula>
    </cfRule>
    <cfRule type="expression" dxfId="19781" priority="2501">
      <formula>$AY5="N.D."</formula>
    </cfRule>
  </conditionalFormatting>
  <conditionalFormatting sqref="AJ5:AJ8">
    <cfRule type="cellIs" dxfId="19780" priority="2499" operator="equal">
      <formula>0</formula>
    </cfRule>
  </conditionalFormatting>
  <conditionalFormatting sqref="AK5:AK8">
    <cfRule type="expression" dxfId="19779" priority="2497">
      <formula>$M5="NON DEFINED"</formula>
    </cfRule>
    <cfRule type="expression" dxfId="19778" priority="2498">
      <formula>$AY5="N.D."</formula>
    </cfRule>
  </conditionalFormatting>
  <conditionalFormatting sqref="AK5:AK8">
    <cfRule type="cellIs" dxfId="19777" priority="2496" operator="equal">
      <formula>0</formula>
    </cfRule>
  </conditionalFormatting>
  <conditionalFormatting sqref="AL5:AL8">
    <cfRule type="expression" dxfId="19776" priority="2494">
      <formula>$M5="NON DEFINED"</formula>
    </cfRule>
    <cfRule type="expression" dxfId="19775" priority="2495">
      <formula>$AY5="N.D."</formula>
    </cfRule>
  </conditionalFormatting>
  <conditionalFormatting sqref="AL5:AL8">
    <cfRule type="cellIs" dxfId="19774" priority="2493" operator="equal">
      <formula>0</formula>
    </cfRule>
  </conditionalFormatting>
  <conditionalFormatting sqref="AM5:AM8">
    <cfRule type="expression" dxfId="19773" priority="2491">
      <formula>$M5="NON DEFINED"</formula>
    </cfRule>
    <cfRule type="expression" dxfId="19772" priority="2492">
      <formula>$AY5="N.D."</formula>
    </cfRule>
  </conditionalFormatting>
  <conditionalFormatting sqref="AM5:AM8">
    <cfRule type="cellIs" dxfId="19771" priority="2490" operator="equal">
      <formula>0</formula>
    </cfRule>
  </conditionalFormatting>
  <conditionalFormatting sqref="AT5:AT8">
    <cfRule type="expression" dxfId="19770" priority="2488">
      <formula>$M5="NON DEFINED"</formula>
    </cfRule>
    <cfRule type="expression" dxfId="19769" priority="2489">
      <formula>$AY5="N.D."</formula>
    </cfRule>
  </conditionalFormatting>
  <conditionalFormatting sqref="AT5:AT8">
    <cfRule type="cellIs" dxfId="19768" priority="2487" operator="equal">
      <formula>0</formula>
    </cfRule>
  </conditionalFormatting>
  <conditionalFormatting sqref="AU5:AU8">
    <cfRule type="expression" dxfId="19767" priority="2485">
      <formula>$M5="NON DEFINED"</formula>
    </cfRule>
    <cfRule type="expression" dxfId="19766" priority="2486">
      <formula>$AY5="N.D."</formula>
    </cfRule>
  </conditionalFormatting>
  <conditionalFormatting sqref="AU5:AU8">
    <cfRule type="cellIs" dxfId="19765" priority="2484" operator="equal">
      <formula>0</formula>
    </cfRule>
  </conditionalFormatting>
  <conditionalFormatting sqref="AV5:AV8">
    <cfRule type="expression" dxfId="19764" priority="2482">
      <formula>$M5="NON DEFINED"</formula>
    </cfRule>
    <cfRule type="expression" dxfId="19763" priority="2483">
      <formula>$AY5="N.D."</formula>
    </cfRule>
  </conditionalFormatting>
  <conditionalFormatting sqref="AV5:AV8">
    <cfRule type="cellIs" dxfId="19762" priority="2481" operator="equal">
      <formula>0</formula>
    </cfRule>
  </conditionalFormatting>
  <conditionalFormatting sqref="AW5:AW8">
    <cfRule type="expression" dxfId="19761" priority="2479">
      <formula>$M5="NON DEFINED"</formula>
    </cfRule>
    <cfRule type="expression" dxfId="19760" priority="2480">
      <formula>$AY5="N.D."</formula>
    </cfRule>
  </conditionalFormatting>
  <conditionalFormatting sqref="AW5:AW8">
    <cfRule type="cellIs" dxfId="19759" priority="2478" operator="equal">
      <formula>0</formula>
    </cfRule>
  </conditionalFormatting>
  <conditionalFormatting sqref="AX5:AX8">
    <cfRule type="expression" dxfId="19758" priority="2476">
      <formula>$M5="NON DEFINED"</formula>
    </cfRule>
    <cfRule type="expression" dxfId="19757" priority="2477">
      <formula>$AY5="N.D."</formula>
    </cfRule>
  </conditionalFormatting>
  <conditionalFormatting sqref="AX5:AX8">
    <cfRule type="cellIs" dxfId="19756" priority="2475" operator="equal">
      <formula>0</formula>
    </cfRule>
  </conditionalFormatting>
  <conditionalFormatting sqref="F5:F8">
    <cfRule type="expression" dxfId="19755" priority="2473">
      <formula>$M5="NON DEFINED"</formula>
    </cfRule>
    <cfRule type="expression" dxfId="19754" priority="2474">
      <formula>$AY5="N.D."</formula>
    </cfRule>
  </conditionalFormatting>
  <conditionalFormatting sqref="F5:F8">
    <cfRule type="cellIs" dxfId="19753" priority="2472" operator="equal">
      <formula>0</formula>
    </cfRule>
  </conditionalFormatting>
  <conditionalFormatting sqref="Q5:Q8">
    <cfRule type="expression" dxfId="19752" priority="2470">
      <formula>$M5="NON DEFINED"</formula>
    </cfRule>
    <cfRule type="expression" dxfId="19751" priority="2471">
      <formula>$AY5="N.D."</formula>
    </cfRule>
  </conditionalFormatting>
  <conditionalFormatting sqref="Q5:Q8">
    <cfRule type="cellIs" dxfId="19750" priority="2469" operator="equal">
      <formula>0</formula>
    </cfRule>
  </conditionalFormatting>
  <conditionalFormatting sqref="T5:T8">
    <cfRule type="expression" dxfId="19749" priority="2467">
      <formula>$M5="NON DEFINED"</formula>
    </cfRule>
    <cfRule type="expression" dxfId="19748" priority="2468">
      <formula>$AY5="N.D."</formula>
    </cfRule>
  </conditionalFormatting>
  <conditionalFormatting sqref="T5:T8">
    <cfRule type="cellIs" dxfId="19747" priority="2466" operator="equal">
      <formula>0</formula>
    </cfRule>
  </conditionalFormatting>
  <conditionalFormatting sqref="U5:U8">
    <cfRule type="expression" dxfId="19746" priority="2464">
      <formula>$M5="NON DEFINED"</formula>
    </cfRule>
    <cfRule type="expression" dxfId="19745" priority="2465">
      <formula>$AY5="N.D."</formula>
    </cfRule>
  </conditionalFormatting>
  <conditionalFormatting sqref="U5:U8">
    <cfRule type="cellIs" dxfId="19744" priority="2463" operator="equal">
      <formula>0</formula>
    </cfRule>
  </conditionalFormatting>
  <conditionalFormatting sqref="V5:V8">
    <cfRule type="expression" dxfId="19743" priority="2461">
      <formula>$M5="NON DEFINED"</formula>
    </cfRule>
    <cfRule type="expression" dxfId="19742" priority="2462">
      <formula>$AY5="N.D."</formula>
    </cfRule>
  </conditionalFormatting>
  <conditionalFormatting sqref="V5:V8">
    <cfRule type="cellIs" dxfId="19741" priority="2460" operator="equal">
      <formula>0</formula>
    </cfRule>
  </conditionalFormatting>
  <conditionalFormatting sqref="AF5:AF8">
    <cfRule type="expression" dxfId="19740" priority="2458">
      <formula>$M5="NON DEFINED"</formula>
    </cfRule>
    <cfRule type="expression" dxfId="19739" priority="2459">
      <formula>$AY5="N.D."</formula>
    </cfRule>
  </conditionalFormatting>
  <conditionalFormatting sqref="AF5:AF8">
    <cfRule type="cellIs" dxfId="19738" priority="2457" operator="equal">
      <formula>0</formula>
    </cfRule>
  </conditionalFormatting>
  <conditionalFormatting sqref="AH5:AH8">
    <cfRule type="expression" dxfId="19737" priority="2455">
      <formula>$M5="NON DEFINED"</formula>
    </cfRule>
    <cfRule type="expression" dxfId="19736" priority="2456">
      <formula>$AY5="N.D."</formula>
    </cfRule>
  </conditionalFormatting>
  <conditionalFormatting sqref="AH5:AH8">
    <cfRule type="cellIs" dxfId="19735" priority="2454" operator="equal">
      <formula>0</formula>
    </cfRule>
  </conditionalFormatting>
  <conditionalFormatting sqref="AI5:AI8">
    <cfRule type="expression" dxfId="19734" priority="2452">
      <formula>$M5="NON DEFINED"</formula>
    </cfRule>
    <cfRule type="expression" dxfId="19733" priority="2453">
      <formula>$AY5="N.D."</formula>
    </cfRule>
  </conditionalFormatting>
  <conditionalFormatting sqref="AI5:AI8">
    <cfRule type="cellIs" dxfId="19732" priority="2451" operator="equal">
      <formula>0</formula>
    </cfRule>
  </conditionalFormatting>
  <conditionalFormatting sqref="R5:R8">
    <cfRule type="expression" dxfId="19731" priority="2449">
      <formula>$M5="NON DEFINED"</formula>
    </cfRule>
    <cfRule type="expression" dxfId="19730" priority="2450">
      <formula>$AY5="N.D."</formula>
    </cfRule>
  </conditionalFormatting>
  <conditionalFormatting sqref="R5:R8">
    <cfRule type="cellIs" dxfId="19729" priority="2448" operator="equal">
      <formula>0</formula>
    </cfRule>
  </conditionalFormatting>
  <conditionalFormatting sqref="S5:S8">
    <cfRule type="expression" dxfId="19728" priority="2446">
      <formula>$M5="NON DEFINED"</formula>
    </cfRule>
    <cfRule type="expression" dxfId="19727" priority="2447">
      <formula>$AY5="N.D."</formula>
    </cfRule>
  </conditionalFormatting>
  <conditionalFormatting sqref="S5:S8">
    <cfRule type="cellIs" dxfId="19726" priority="2445" operator="equal">
      <formula>0</formula>
    </cfRule>
  </conditionalFormatting>
  <conditionalFormatting sqref="W5:W8">
    <cfRule type="expression" dxfId="19725" priority="2443">
      <formula>$M5="NON DEFINED"</formula>
    </cfRule>
    <cfRule type="expression" dxfId="19724" priority="2444">
      <formula>$AY5="N.D."</formula>
    </cfRule>
  </conditionalFormatting>
  <conditionalFormatting sqref="W5:W8">
    <cfRule type="cellIs" dxfId="19723" priority="2442" operator="equal">
      <formula>0</formula>
    </cfRule>
  </conditionalFormatting>
  <conditionalFormatting sqref="X5:X8">
    <cfRule type="expression" dxfId="19722" priority="2440">
      <formula>$M5="NON DEFINED"</formula>
    </cfRule>
    <cfRule type="expression" dxfId="19721" priority="2441">
      <formula>$AY5="N.D."</formula>
    </cfRule>
  </conditionalFormatting>
  <conditionalFormatting sqref="X5:X8">
    <cfRule type="cellIs" dxfId="19720" priority="2439" operator="equal">
      <formula>0</formula>
    </cfRule>
  </conditionalFormatting>
  <conditionalFormatting sqref="Y5:Y8">
    <cfRule type="expression" dxfId="19719" priority="2437">
      <formula>$M5="NON DEFINED"</formula>
    </cfRule>
    <cfRule type="expression" dxfId="19718" priority="2438">
      <formula>$AY5="N.D."</formula>
    </cfRule>
  </conditionalFormatting>
  <conditionalFormatting sqref="Y5:Y8">
    <cfRule type="cellIs" dxfId="19717" priority="2436" operator="equal">
      <formula>0</formula>
    </cfRule>
  </conditionalFormatting>
  <conditionalFormatting sqref="Z5:Z8">
    <cfRule type="expression" dxfId="19716" priority="2434">
      <formula>$M5="NON DEFINED"</formula>
    </cfRule>
    <cfRule type="expression" dxfId="19715" priority="2435">
      <formula>$AY5="N.D."</formula>
    </cfRule>
  </conditionalFormatting>
  <conditionalFormatting sqref="Z5:Z8">
    <cfRule type="cellIs" dxfId="19714" priority="2433" operator="equal">
      <formula>0</formula>
    </cfRule>
  </conditionalFormatting>
  <conditionalFormatting sqref="AA5:AA8">
    <cfRule type="expression" dxfId="19713" priority="2431">
      <formula>$M5="NON DEFINED"</formula>
    </cfRule>
    <cfRule type="expression" dxfId="19712" priority="2432">
      <formula>$AY5="N.D."</formula>
    </cfRule>
  </conditionalFormatting>
  <conditionalFormatting sqref="AA5:AA8">
    <cfRule type="cellIs" dxfId="19711" priority="2430" operator="equal">
      <formula>0</formula>
    </cfRule>
  </conditionalFormatting>
  <conditionalFormatting sqref="AB5:AB8">
    <cfRule type="expression" dxfId="19710" priority="2428">
      <formula>$M5="NON DEFINED"</formula>
    </cfRule>
    <cfRule type="expression" dxfId="19709" priority="2429">
      <formula>$AY5="N.D."</formula>
    </cfRule>
  </conditionalFormatting>
  <conditionalFormatting sqref="AB5:AB8">
    <cfRule type="cellIs" dxfId="19708" priority="2427" operator="equal">
      <formula>0</formula>
    </cfRule>
  </conditionalFormatting>
  <conditionalFormatting sqref="BD11">
    <cfRule type="containsText" dxfId="19707" priority="2316" operator="containsText" text="Poner a mano">
      <formula>NOT(ISERROR(SEARCH("Poner a mano",BD11)))</formula>
    </cfRule>
  </conditionalFormatting>
  <conditionalFormatting sqref="BD17">
    <cfRule type="containsText" dxfId="19706" priority="2315" operator="containsText" text="Poner a mano">
      <formula>NOT(ISERROR(SEARCH("Poner a mano",BD17)))</formula>
    </cfRule>
  </conditionalFormatting>
  <conditionalFormatting sqref="BD19">
    <cfRule type="containsText" dxfId="19705" priority="2314" operator="containsText" text="Poner a mano">
      <formula>NOT(ISERROR(SEARCH("Poner a mano",BD19)))</formula>
    </cfRule>
  </conditionalFormatting>
  <conditionalFormatting sqref="BD21">
    <cfRule type="containsText" dxfId="19704" priority="2313" operator="containsText" text="Poner a mano">
      <formula>NOT(ISERROR(SEARCH("Poner a mano",BD21)))</formula>
    </cfRule>
  </conditionalFormatting>
  <conditionalFormatting sqref="BD23">
    <cfRule type="containsText" dxfId="19703" priority="2312" operator="containsText" text="Poner a mano">
      <formula>NOT(ISERROR(SEARCH("Poner a mano",BD23)))</formula>
    </cfRule>
  </conditionalFormatting>
  <conditionalFormatting sqref="BD25">
    <cfRule type="containsText" dxfId="19702" priority="2311" operator="containsText" text="Poner a mano">
      <formula>NOT(ISERROR(SEARCH("Poner a mano",BD25)))</formula>
    </cfRule>
  </conditionalFormatting>
  <conditionalFormatting sqref="B9:E10 J9:J10 AG9:AG10 AN9:AS10 AY9:AZ10 G9:H10">
    <cfRule type="expression" dxfId="19701" priority="2309">
      <formula>$M9="NON DEFINED"</formula>
    </cfRule>
    <cfRule type="expression" dxfId="19700" priority="2310">
      <formula>$AY9="N.D."</formula>
    </cfRule>
  </conditionalFormatting>
  <conditionalFormatting sqref="B9:E10 J9:J10 AG9:AG10 AN9:AS10 AY9:AZ10 G9:H10">
    <cfRule type="cellIs" dxfId="19699" priority="2308" operator="equal">
      <formula>0</formula>
    </cfRule>
  </conditionalFormatting>
  <conditionalFormatting sqref="A9:A10">
    <cfRule type="cellIs" dxfId="19698" priority="2307" operator="equal">
      <formula>0</formula>
    </cfRule>
  </conditionalFormatting>
  <conditionalFormatting sqref="I9:I10">
    <cfRule type="expression" dxfId="19697" priority="2305">
      <formula>$M9="NON DEFINED"</formula>
    </cfRule>
    <cfRule type="expression" dxfId="19696" priority="2306">
      <formula>$AY9="N.D."</formula>
    </cfRule>
  </conditionalFormatting>
  <conditionalFormatting sqref="I9:I10">
    <cfRule type="cellIs" dxfId="19695" priority="2304" operator="equal">
      <formula>0</formula>
    </cfRule>
  </conditionalFormatting>
  <conditionalFormatting sqref="K9:K10">
    <cfRule type="expression" dxfId="19694" priority="2302">
      <formula>$M9="NON DEFINED"</formula>
    </cfRule>
    <cfRule type="expression" dxfId="19693" priority="2303">
      <formula>$AY9="N.D."</formula>
    </cfRule>
  </conditionalFormatting>
  <conditionalFormatting sqref="K9:K10">
    <cfRule type="cellIs" dxfId="19692" priority="2301" operator="equal">
      <formula>0</formula>
    </cfRule>
  </conditionalFormatting>
  <conditionalFormatting sqref="L9:L10">
    <cfRule type="expression" dxfId="19691" priority="2299">
      <formula>$M9="NON DEFINED"</formula>
    </cfRule>
    <cfRule type="expression" dxfId="19690" priority="2300">
      <formula>$AY9="N.D."</formula>
    </cfRule>
  </conditionalFormatting>
  <conditionalFormatting sqref="L9:L10">
    <cfRule type="cellIs" dxfId="19689" priority="2298" operator="equal">
      <formula>0</formula>
    </cfRule>
  </conditionalFormatting>
  <conditionalFormatting sqref="M9:M10">
    <cfRule type="expression" dxfId="19688" priority="2296">
      <formula>$M9="NON DEFINED"</formula>
    </cfRule>
    <cfRule type="expression" dxfId="19687" priority="2297">
      <formula>$AY9="N.D."</formula>
    </cfRule>
  </conditionalFormatting>
  <conditionalFormatting sqref="M9:M10">
    <cfRule type="cellIs" dxfId="19686" priority="2295" operator="equal">
      <formula>0</formula>
    </cfRule>
  </conditionalFormatting>
  <conditionalFormatting sqref="N9:N10">
    <cfRule type="expression" dxfId="19685" priority="2293">
      <formula>$M9="NON DEFINED"</formula>
    </cfRule>
    <cfRule type="expression" dxfId="19684" priority="2294">
      <formula>$AY9="N.D."</formula>
    </cfRule>
  </conditionalFormatting>
  <conditionalFormatting sqref="N9:N10">
    <cfRule type="cellIs" dxfId="19683" priority="2292" operator="equal">
      <formula>0</formula>
    </cfRule>
  </conditionalFormatting>
  <conditionalFormatting sqref="O9:O10">
    <cfRule type="expression" dxfId="19682" priority="2290">
      <formula>$M9="NON DEFINED"</formula>
    </cfRule>
    <cfRule type="expression" dxfId="19681" priority="2291">
      <formula>$AY9="N.D."</formula>
    </cfRule>
  </conditionalFormatting>
  <conditionalFormatting sqref="O9:O10">
    <cfRule type="cellIs" dxfId="19680" priority="2289" operator="equal">
      <formula>0</formula>
    </cfRule>
  </conditionalFormatting>
  <conditionalFormatting sqref="P9:P10">
    <cfRule type="expression" dxfId="19679" priority="2287">
      <formula>$M9="NON DEFINED"</formula>
    </cfRule>
    <cfRule type="expression" dxfId="19678" priority="2288">
      <formula>$AY9="N.D."</formula>
    </cfRule>
  </conditionalFormatting>
  <conditionalFormatting sqref="P9:P10">
    <cfRule type="cellIs" dxfId="19677" priority="2286" operator="equal">
      <formula>0</formula>
    </cfRule>
  </conditionalFormatting>
  <conditionalFormatting sqref="AC9:AC10">
    <cfRule type="expression" dxfId="19676" priority="2284">
      <formula>$M9="NON DEFINED"</formula>
    </cfRule>
    <cfRule type="expression" dxfId="19675" priority="2285">
      <formula>$AY9="N.D."</formula>
    </cfRule>
  </conditionalFormatting>
  <conditionalFormatting sqref="AC9:AC10">
    <cfRule type="cellIs" dxfId="19674" priority="2283" operator="equal">
      <formula>0</formula>
    </cfRule>
  </conditionalFormatting>
  <conditionalFormatting sqref="AD9:AD10">
    <cfRule type="expression" dxfId="19673" priority="2281">
      <formula>$M9="NON DEFINED"</formula>
    </cfRule>
    <cfRule type="expression" dxfId="19672" priority="2282">
      <formula>$AY9="N.D."</formula>
    </cfRule>
  </conditionalFormatting>
  <conditionalFormatting sqref="AD9:AD10">
    <cfRule type="cellIs" dxfId="19671" priority="2280" operator="equal">
      <formula>0</formula>
    </cfRule>
  </conditionalFormatting>
  <conditionalFormatting sqref="AE9:AE10">
    <cfRule type="expression" dxfId="19670" priority="2278">
      <formula>$M9="NON DEFINED"</formula>
    </cfRule>
    <cfRule type="expression" dxfId="19669" priority="2279">
      <formula>$AY9="N.D."</formula>
    </cfRule>
  </conditionalFormatting>
  <conditionalFormatting sqref="AE9:AE10">
    <cfRule type="cellIs" dxfId="19668" priority="2277" operator="equal">
      <formula>0</formula>
    </cfRule>
  </conditionalFormatting>
  <conditionalFormatting sqref="AJ9:AJ10">
    <cfRule type="expression" dxfId="19667" priority="2275">
      <formula>$M9="NON DEFINED"</formula>
    </cfRule>
    <cfRule type="expression" dxfId="19666" priority="2276">
      <formula>$AY9="N.D."</formula>
    </cfRule>
  </conditionalFormatting>
  <conditionalFormatting sqref="AJ9:AJ10">
    <cfRule type="cellIs" dxfId="19665" priority="2274" operator="equal">
      <formula>0</formula>
    </cfRule>
  </conditionalFormatting>
  <conditionalFormatting sqref="AK9:AK10">
    <cfRule type="expression" dxfId="19664" priority="2272">
      <formula>$M9="NON DEFINED"</formula>
    </cfRule>
    <cfRule type="expression" dxfId="19663" priority="2273">
      <formula>$AY9="N.D."</formula>
    </cfRule>
  </conditionalFormatting>
  <conditionalFormatting sqref="AK9:AK10">
    <cfRule type="cellIs" dxfId="19662" priority="2271" operator="equal">
      <formula>0</formula>
    </cfRule>
  </conditionalFormatting>
  <conditionalFormatting sqref="AL9:AL10">
    <cfRule type="expression" dxfId="19661" priority="2269">
      <formula>$M9="NON DEFINED"</formula>
    </cfRule>
    <cfRule type="expression" dxfId="19660" priority="2270">
      <formula>$AY9="N.D."</formula>
    </cfRule>
  </conditionalFormatting>
  <conditionalFormatting sqref="AL9:AL10">
    <cfRule type="cellIs" dxfId="19659" priority="2268" operator="equal">
      <formula>0</formula>
    </cfRule>
  </conditionalFormatting>
  <conditionalFormatting sqref="AM9:AM10">
    <cfRule type="expression" dxfId="19658" priority="2266">
      <formula>$M9="NON DEFINED"</formula>
    </cfRule>
    <cfRule type="expression" dxfId="19657" priority="2267">
      <formula>$AY9="N.D."</formula>
    </cfRule>
  </conditionalFormatting>
  <conditionalFormatting sqref="AM9:AM10">
    <cfRule type="cellIs" dxfId="19656" priority="2265" operator="equal">
      <formula>0</formula>
    </cfRule>
  </conditionalFormatting>
  <conditionalFormatting sqref="AT9:AT10">
    <cfRule type="expression" dxfId="19655" priority="2263">
      <formula>$M9="NON DEFINED"</formula>
    </cfRule>
    <cfRule type="expression" dxfId="19654" priority="2264">
      <formula>$AY9="N.D."</formula>
    </cfRule>
  </conditionalFormatting>
  <conditionalFormatting sqref="AT9:AT10">
    <cfRule type="cellIs" dxfId="19653" priority="2262" operator="equal">
      <formula>0</formula>
    </cfRule>
  </conditionalFormatting>
  <conditionalFormatting sqref="AU9:AU10">
    <cfRule type="expression" dxfId="19652" priority="2260">
      <formula>$M9="NON DEFINED"</formula>
    </cfRule>
    <cfRule type="expression" dxfId="19651" priority="2261">
      <formula>$AY9="N.D."</formula>
    </cfRule>
  </conditionalFormatting>
  <conditionalFormatting sqref="AU9:AU10">
    <cfRule type="cellIs" dxfId="19650" priority="2259" operator="equal">
      <formula>0</formula>
    </cfRule>
  </conditionalFormatting>
  <conditionalFormatting sqref="AV9:AV10">
    <cfRule type="expression" dxfId="19649" priority="2257">
      <formula>$M9="NON DEFINED"</formula>
    </cfRule>
    <cfRule type="expression" dxfId="19648" priority="2258">
      <formula>$AY9="N.D."</formula>
    </cfRule>
  </conditionalFormatting>
  <conditionalFormatting sqref="AV9:AV10">
    <cfRule type="cellIs" dxfId="19647" priority="2256" operator="equal">
      <formula>0</formula>
    </cfRule>
  </conditionalFormatting>
  <conditionalFormatting sqref="AW9:AW10">
    <cfRule type="expression" dxfId="19646" priority="2254">
      <formula>$M9="NON DEFINED"</formula>
    </cfRule>
    <cfRule type="expression" dxfId="19645" priority="2255">
      <formula>$AY9="N.D."</formula>
    </cfRule>
  </conditionalFormatting>
  <conditionalFormatting sqref="AW9:AW10">
    <cfRule type="cellIs" dxfId="19644" priority="2253" operator="equal">
      <formula>0</formula>
    </cfRule>
  </conditionalFormatting>
  <conditionalFormatting sqref="AX9:AX10">
    <cfRule type="expression" dxfId="19643" priority="2251">
      <formula>$M9="NON DEFINED"</formula>
    </cfRule>
    <cfRule type="expression" dxfId="19642" priority="2252">
      <formula>$AY9="N.D."</formula>
    </cfRule>
  </conditionalFormatting>
  <conditionalFormatting sqref="AX9:AX10">
    <cfRule type="cellIs" dxfId="19641" priority="2250" operator="equal">
      <formula>0</formula>
    </cfRule>
  </conditionalFormatting>
  <conditionalFormatting sqref="F9:F10">
    <cfRule type="expression" dxfId="19640" priority="2248">
      <formula>$M9="NON DEFINED"</formula>
    </cfRule>
    <cfRule type="expression" dxfId="19639" priority="2249">
      <formula>$AY9="N.D."</formula>
    </cfRule>
  </conditionalFormatting>
  <conditionalFormatting sqref="F9:F10">
    <cfRule type="cellIs" dxfId="19638" priority="2247" operator="equal">
      <formula>0</formula>
    </cfRule>
  </conditionalFormatting>
  <conditionalFormatting sqref="Q9:Q10">
    <cfRule type="expression" dxfId="19637" priority="2245">
      <formula>$M9="NON DEFINED"</formula>
    </cfRule>
    <cfRule type="expression" dxfId="19636" priority="2246">
      <formula>$AY9="N.D."</formula>
    </cfRule>
  </conditionalFormatting>
  <conditionalFormatting sqref="Q9:Q10">
    <cfRule type="cellIs" dxfId="19635" priority="2244" operator="equal">
      <formula>0</formula>
    </cfRule>
  </conditionalFormatting>
  <conditionalFormatting sqref="T9:T10">
    <cfRule type="expression" dxfId="19634" priority="2242">
      <formula>$M9="NON DEFINED"</formula>
    </cfRule>
    <cfRule type="expression" dxfId="19633" priority="2243">
      <formula>$AY9="N.D."</formula>
    </cfRule>
  </conditionalFormatting>
  <conditionalFormatting sqref="T9:T10">
    <cfRule type="cellIs" dxfId="19632" priority="2241" operator="equal">
      <formula>0</formula>
    </cfRule>
  </conditionalFormatting>
  <conditionalFormatting sqref="U9:U10">
    <cfRule type="expression" dxfId="19631" priority="2239">
      <formula>$M9="NON DEFINED"</formula>
    </cfRule>
    <cfRule type="expression" dxfId="19630" priority="2240">
      <formula>$AY9="N.D."</formula>
    </cfRule>
  </conditionalFormatting>
  <conditionalFormatting sqref="U9:U10">
    <cfRule type="cellIs" dxfId="19629" priority="2238" operator="equal">
      <formula>0</formula>
    </cfRule>
  </conditionalFormatting>
  <conditionalFormatting sqref="V9:V10">
    <cfRule type="expression" dxfId="19628" priority="2236">
      <formula>$M9="NON DEFINED"</formula>
    </cfRule>
    <cfRule type="expression" dxfId="19627" priority="2237">
      <formula>$AY9="N.D."</formula>
    </cfRule>
  </conditionalFormatting>
  <conditionalFormatting sqref="V9:V10">
    <cfRule type="cellIs" dxfId="19626" priority="2235" operator="equal">
      <formula>0</formula>
    </cfRule>
  </conditionalFormatting>
  <conditionalFormatting sqref="AF9:AF10">
    <cfRule type="expression" dxfId="19625" priority="2233">
      <formula>$M9="NON DEFINED"</formula>
    </cfRule>
    <cfRule type="expression" dxfId="19624" priority="2234">
      <formula>$AY9="N.D."</formula>
    </cfRule>
  </conditionalFormatting>
  <conditionalFormatting sqref="AF9:AF10">
    <cfRule type="cellIs" dxfId="19623" priority="2232" operator="equal">
      <formula>0</formula>
    </cfRule>
  </conditionalFormatting>
  <conditionalFormatting sqref="AH9:AH10">
    <cfRule type="expression" dxfId="19622" priority="2230">
      <formula>$M9="NON DEFINED"</formula>
    </cfRule>
    <cfRule type="expression" dxfId="19621" priority="2231">
      <formula>$AY9="N.D."</formula>
    </cfRule>
  </conditionalFormatting>
  <conditionalFormatting sqref="AH9:AH10">
    <cfRule type="cellIs" dxfId="19620" priority="2229" operator="equal">
      <formula>0</formula>
    </cfRule>
  </conditionalFormatting>
  <conditionalFormatting sqref="AI9:AI10">
    <cfRule type="expression" dxfId="19619" priority="2227">
      <formula>$M9="NON DEFINED"</formula>
    </cfRule>
    <cfRule type="expression" dxfId="19618" priority="2228">
      <formula>$AY9="N.D."</formula>
    </cfRule>
  </conditionalFormatting>
  <conditionalFormatting sqref="AI9:AI10">
    <cfRule type="cellIs" dxfId="19617" priority="2226" operator="equal">
      <formula>0</formula>
    </cfRule>
  </conditionalFormatting>
  <conditionalFormatting sqref="R9:R10">
    <cfRule type="expression" dxfId="19616" priority="2224">
      <formula>$M9="NON DEFINED"</formula>
    </cfRule>
    <cfRule type="expression" dxfId="19615" priority="2225">
      <formula>$AY9="N.D."</formula>
    </cfRule>
  </conditionalFormatting>
  <conditionalFormatting sqref="R9:R10">
    <cfRule type="cellIs" dxfId="19614" priority="2223" operator="equal">
      <formula>0</formula>
    </cfRule>
  </conditionalFormatting>
  <conditionalFormatting sqref="S9:S10">
    <cfRule type="expression" dxfId="19613" priority="2221">
      <formula>$M9="NON DEFINED"</formula>
    </cfRule>
    <cfRule type="expression" dxfId="19612" priority="2222">
      <formula>$AY9="N.D."</formula>
    </cfRule>
  </conditionalFormatting>
  <conditionalFormatting sqref="S9:S10">
    <cfRule type="cellIs" dxfId="19611" priority="2220" operator="equal">
      <formula>0</formula>
    </cfRule>
  </conditionalFormatting>
  <conditionalFormatting sqref="W9:W10">
    <cfRule type="expression" dxfId="19610" priority="2218">
      <formula>$M9="NON DEFINED"</formula>
    </cfRule>
    <cfRule type="expression" dxfId="19609" priority="2219">
      <formula>$AY9="N.D."</formula>
    </cfRule>
  </conditionalFormatting>
  <conditionalFormatting sqref="W9:W10">
    <cfRule type="cellIs" dxfId="19608" priority="2217" operator="equal">
      <formula>0</formula>
    </cfRule>
  </conditionalFormatting>
  <conditionalFormatting sqref="X9:X10">
    <cfRule type="expression" dxfId="19607" priority="2215">
      <formula>$M9="NON DEFINED"</formula>
    </cfRule>
    <cfRule type="expression" dxfId="19606" priority="2216">
      <formula>$AY9="N.D."</formula>
    </cfRule>
  </conditionalFormatting>
  <conditionalFormatting sqref="X9:X10">
    <cfRule type="cellIs" dxfId="19605" priority="2214" operator="equal">
      <formula>0</formula>
    </cfRule>
  </conditionalFormatting>
  <conditionalFormatting sqref="Y9:Y10">
    <cfRule type="expression" dxfId="19604" priority="2212">
      <formula>$M9="NON DEFINED"</formula>
    </cfRule>
    <cfRule type="expression" dxfId="19603" priority="2213">
      <formula>$AY9="N.D."</formula>
    </cfRule>
  </conditionalFormatting>
  <conditionalFormatting sqref="Y9:Y10">
    <cfRule type="cellIs" dxfId="19602" priority="2211" operator="equal">
      <formula>0</formula>
    </cfRule>
  </conditionalFormatting>
  <conditionalFormatting sqref="Z9:Z10">
    <cfRule type="expression" dxfId="19601" priority="2209">
      <formula>$M9="NON DEFINED"</formula>
    </cfRule>
    <cfRule type="expression" dxfId="19600" priority="2210">
      <formula>$AY9="N.D."</formula>
    </cfRule>
  </conditionalFormatting>
  <conditionalFormatting sqref="Z9:Z10">
    <cfRule type="cellIs" dxfId="19599" priority="2208" operator="equal">
      <formula>0</formula>
    </cfRule>
  </conditionalFormatting>
  <conditionalFormatting sqref="AA9:AA10">
    <cfRule type="expression" dxfId="19598" priority="2206">
      <formula>$M9="NON DEFINED"</formula>
    </cfRule>
    <cfRule type="expression" dxfId="19597" priority="2207">
      <formula>$AY9="N.D."</formula>
    </cfRule>
  </conditionalFormatting>
  <conditionalFormatting sqref="AA9:AA10">
    <cfRule type="cellIs" dxfId="19596" priority="2205" operator="equal">
      <formula>0</formula>
    </cfRule>
  </conditionalFormatting>
  <conditionalFormatting sqref="AB9:AB10">
    <cfRule type="expression" dxfId="19595" priority="2203">
      <formula>$M9="NON DEFINED"</formula>
    </cfRule>
    <cfRule type="expression" dxfId="19594" priority="2204">
      <formula>$AY9="N.D."</formula>
    </cfRule>
  </conditionalFormatting>
  <conditionalFormatting sqref="AB9:AB10">
    <cfRule type="cellIs" dxfId="19593" priority="2202" operator="equal">
      <formula>0</formula>
    </cfRule>
  </conditionalFormatting>
  <conditionalFormatting sqref="C29:E38">
    <cfRule type="expression" dxfId="19592" priority="2199">
      <formula>$M29="NON DEFINED"</formula>
    </cfRule>
    <cfRule type="expression" dxfId="19591" priority="2200">
      <formula>$AZ29="N.D."</formula>
    </cfRule>
    <cfRule type="expression" dxfId="19590" priority="2201">
      <formula>$AY29="N.D."</formula>
    </cfRule>
  </conditionalFormatting>
  <conditionalFormatting sqref="A29:A38 C29:E38">
    <cfRule type="expression" dxfId="19589" priority="2185">
      <formula>$A29="Overhead Cable"</formula>
    </cfRule>
    <cfRule type="expression" dxfId="19588" priority="2186">
      <formula>$A29="Level Crossing"</formula>
    </cfRule>
    <cfRule type="expression" dxfId="19587" priority="2187">
      <formula>$A29="Neutral Section"</formula>
    </cfRule>
    <cfRule type="expression" dxfId="19586" priority="2188">
      <formula>$A29="Tunnel"</formula>
    </cfRule>
    <cfRule type="expression" dxfId="19585" priority="2189">
      <formula>$A29="Bridge"</formula>
    </cfRule>
    <cfRule type="expression" dxfId="19584" priority="2190">
      <formula>$A29="Drainage Works"</formula>
    </cfRule>
    <cfRule type="expression" dxfId="19583" priority="2191">
      <formula>$A29="Underpass"</formula>
    </cfRule>
    <cfRule type="expression" dxfId="19582" priority="2192">
      <formula>$A29="Overcrossing"</formula>
    </cfRule>
    <cfRule type="expression" dxfId="19581" priority="2193">
      <formula>$A29="Overpass"</formula>
    </cfRule>
    <cfRule type="expression" dxfId="19580" priority="2194">
      <formula>$A29="Station"</formula>
    </cfRule>
    <cfRule type="expression" dxfId="19579" priority="2195">
      <formula>$A29="Overlap between sections"</formula>
    </cfRule>
  </conditionalFormatting>
  <conditionalFormatting sqref="AN29:AP39">
    <cfRule type="cellIs" dxfId="19578" priority="2184" operator="notEqual">
      <formula>5.5</formula>
    </cfRule>
  </conditionalFormatting>
  <conditionalFormatting sqref="L29 L31 L33 L35">
    <cfRule type="expression" dxfId="19577" priority="2152">
      <formula>$M29="NON DEFINED"</formula>
    </cfRule>
    <cfRule type="expression" dxfId="19576" priority="2153">
      <formula>$AZ29="N.D."</formula>
    </cfRule>
    <cfRule type="expression" dxfId="19575" priority="2154">
      <formula>$AY29="N.D."</formula>
    </cfRule>
  </conditionalFormatting>
  <conditionalFormatting sqref="L29 L31 L33 L35">
    <cfRule type="expression" dxfId="19574" priority="2141">
      <formula>$A29="Overhead Cable"</formula>
    </cfRule>
    <cfRule type="expression" dxfId="19573" priority="2142">
      <formula>$A29="Level Crossing"</formula>
    </cfRule>
    <cfRule type="expression" dxfId="19572" priority="2143">
      <formula>$A29="Neutral Section"</formula>
    </cfRule>
    <cfRule type="expression" dxfId="19571" priority="2144">
      <formula>$A29="Tunnel"</formula>
    </cfRule>
    <cfRule type="expression" dxfId="19570" priority="2145">
      <formula>$A29="Bridge"</formula>
    </cfRule>
    <cfRule type="expression" dxfId="19569" priority="2146">
      <formula>$A29="Drainage Works"</formula>
    </cfRule>
    <cfRule type="expression" dxfId="19568" priority="2147">
      <formula>$A29="Underpass"</formula>
    </cfRule>
    <cfRule type="expression" dxfId="19567" priority="2148">
      <formula>$A29="Overcrossing"</formula>
    </cfRule>
    <cfRule type="expression" dxfId="19566" priority="2149">
      <formula>$A29="Overpass"</formula>
    </cfRule>
    <cfRule type="expression" dxfId="19565" priority="2150">
      <formula>$A29="Station"</formula>
    </cfRule>
    <cfRule type="expression" dxfId="19564" priority="2151">
      <formula>$A29="Overlap between sections"</formula>
    </cfRule>
  </conditionalFormatting>
  <conditionalFormatting sqref="N29 N33 N37">
    <cfRule type="expression" dxfId="19563" priority="2124">
      <formula>$M29="NON DEFINED"</formula>
    </cfRule>
    <cfRule type="expression" dxfId="19562" priority="2125">
      <formula>$AZ29="N.D."</formula>
    </cfRule>
    <cfRule type="expression" dxfId="19561" priority="2126">
      <formula>$AY29="N.D."</formula>
    </cfRule>
  </conditionalFormatting>
  <conditionalFormatting sqref="N29 N33 N37">
    <cfRule type="expression" dxfId="19560" priority="2113">
      <formula>$A29="Overhead Cable"</formula>
    </cfRule>
    <cfRule type="expression" dxfId="19559" priority="2114">
      <formula>$A29="Level Crossing"</formula>
    </cfRule>
    <cfRule type="expression" dxfId="19558" priority="2115">
      <formula>$A29="Neutral Section"</formula>
    </cfRule>
    <cfRule type="expression" dxfId="19557" priority="2116">
      <formula>$A29="Tunnel"</formula>
    </cfRule>
    <cfRule type="expression" dxfId="19556" priority="2117">
      <formula>$A29="Bridge"</formula>
    </cfRule>
    <cfRule type="expression" dxfId="19555" priority="2118">
      <formula>$A29="Drainage Works"</formula>
    </cfRule>
    <cfRule type="expression" dxfId="19554" priority="2119">
      <formula>$A29="Underpass"</formula>
    </cfRule>
    <cfRule type="expression" dxfId="19553" priority="2120">
      <formula>$A29="Overcrossing"</formula>
    </cfRule>
    <cfRule type="expression" dxfId="19552" priority="2121">
      <formula>$A29="Overpass"</formula>
    </cfRule>
    <cfRule type="expression" dxfId="19551" priority="2122">
      <formula>$A29="Station"</formula>
    </cfRule>
    <cfRule type="expression" dxfId="19550" priority="2123">
      <formula>$A29="Overlap between sections"</formula>
    </cfRule>
  </conditionalFormatting>
  <conditionalFormatting sqref="O29 O33 O37:O38">
    <cfRule type="expression" dxfId="19549" priority="2110">
      <formula>$M29="NON DEFINED"</formula>
    </cfRule>
    <cfRule type="expression" dxfId="19548" priority="2111">
      <formula>$AZ29="N.D."</formula>
    </cfRule>
    <cfRule type="expression" dxfId="19547" priority="2112">
      <formula>$AY29="N.D."</formula>
    </cfRule>
  </conditionalFormatting>
  <conditionalFormatting sqref="O29 O33 O37:O38">
    <cfRule type="expression" dxfId="19546" priority="2099">
      <formula>$A29="Overhead Cable"</formula>
    </cfRule>
    <cfRule type="expression" dxfId="19545" priority="2100">
      <formula>$A29="Level Crossing"</formula>
    </cfRule>
    <cfRule type="expression" dxfId="19544" priority="2101">
      <formula>$A29="Neutral Section"</formula>
    </cfRule>
    <cfRule type="expression" dxfId="19543" priority="2102">
      <formula>$A29="Tunnel"</formula>
    </cfRule>
    <cfRule type="expression" dxfId="19542" priority="2103">
      <formula>$A29="Bridge"</formula>
    </cfRule>
    <cfRule type="expression" dxfId="19541" priority="2104">
      <formula>$A29="Drainage Works"</formula>
    </cfRule>
    <cfRule type="expression" dxfId="19540" priority="2105">
      <formula>$A29="Underpass"</formula>
    </cfRule>
    <cfRule type="expression" dxfId="19539" priority="2106">
      <formula>$A29="Overcrossing"</formula>
    </cfRule>
    <cfRule type="expression" dxfId="19538" priority="2107">
      <formula>$A29="Overpass"</formula>
    </cfRule>
    <cfRule type="expression" dxfId="19537" priority="2108">
      <formula>$A29="Station"</formula>
    </cfRule>
    <cfRule type="expression" dxfId="19536" priority="2109">
      <formula>$A29="Overlap between sections"</formula>
    </cfRule>
  </conditionalFormatting>
  <conditionalFormatting sqref="P29 P33 P37:P38">
    <cfRule type="expression" dxfId="19535" priority="2096">
      <formula>$M29="NON DEFINED"</formula>
    </cfRule>
    <cfRule type="expression" dxfId="19534" priority="2097">
      <formula>$AZ29="N.D."</formula>
    </cfRule>
    <cfRule type="expression" dxfId="19533" priority="2098">
      <formula>$AY29="N.D."</formula>
    </cfRule>
  </conditionalFormatting>
  <conditionalFormatting sqref="P29 P33 P37:P38">
    <cfRule type="expression" dxfId="19532" priority="2085">
      <formula>$A29="Overhead Cable"</formula>
    </cfRule>
    <cfRule type="expression" dxfId="19531" priority="2086">
      <formula>$A29="Level Crossing"</formula>
    </cfRule>
    <cfRule type="expression" dxfId="19530" priority="2087">
      <formula>$A29="Neutral Section"</formula>
    </cfRule>
    <cfRule type="expression" dxfId="19529" priority="2088">
      <formula>$A29="Tunnel"</formula>
    </cfRule>
    <cfRule type="expression" dxfId="19528" priority="2089">
      <formula>$A29="Bridge"</formula>
    </cfRule>
    <cfRule type="expression" dxfId="19527" priority="2090">
      <formula>$A29="Drainage Works"</formula>
    </cfRule>
    <cfRule type="expression" dxfId="19526" priority="2091">
      <formula>$A29="Underpass"</formula>
    </cfRule>
    <cfRule type="expression" dxfId="19525" priority="2092">
      <formula>$A29="Overcrossing"</formula>
    </cfRule>
    <cfRule type="expression" dxfId="19524" priority="2093">
      <formula>$A29="Overpass"</formula>
    </cfRule>
    <cfRule type="expression" dxfId="19523" priority="2094">
      <formula>$A29="Station"</formula>
    </cfRule>
    <cfRule type="expression" dxfId="19522" priority="2095">
      <formula>$A29="Overlap between sections"</formula>
    </cfRule>
  </conditionalFormatting>
  <conditionalFormatting sqref="AL29 AL31 AL33 AL35">
    <cfRule type="expression" dxfId="19521" priority="2012">
      <formula>$M29="NON DEFINED"</formula>
    </cfRule>
    <cfRule type="expression" dxfId="19520" priority="2013">
      <formula>$AZ29="N.D."</formula>
    </cfRule>
    <cfRule type="expression" dxfId="19519" priority="2014">
      <formula>$AY29="N.D."</formula>
    </cfRule>
  </conditionalFormatting>
  <conditionalFormatting sqref="AL29 AL31 AL33 AL35">
    <cfRule type="expression" dxfId="19518" priority="2001">
      <formula>$A29="Overhead Cable"</formula>
    </cfRule>
    <cfRule type="expression" dxfId="19517" priority="2002">
      <formula>$A29="Level Crossing"</formula>
    </cfRule>
    <cfRule type="expression" dxfId="19516" priority="2003">
      <formula>$A29="Neutral Section"</formula>
    </cfRule>
    <cfRule type="expression" dxfId="19515" priority="2004">
      <formula>$A29="Tunnel"</formula>
    </cfRule>
    <cfRule type="expression" dxfId="19514" priority="2005">
      <formula>$A29="Bridge"</formula>
    </cfRule>
    <cfRule type="expression" dxfId="19513" priority="2006">
      <formula>$A29="Drainage Works"</formula>
    </cfRule>
    <cfRule type="expression" dxfId="19512" priority="2007">
      <formula>$A29="Underpass"</formula>
    </cfRule>
    <cfRule type="expression" dxfId="19511" priority="2008">
      <formula>$A29="Overcrossing"</formula>
    </cfRule>
    <cfRule type="expression" dxfId="19510" priority="2009">
      <formula>$A29="Overpass"</formula>
    </cfRule>
    <cfRule type="expression" dxfId="19509" priority="2010">
      <formula>$A29="Station"</formula>
    </cfRule>
    <cfRule type="expression" dxfId="19508" priority="2011">
      <formula>$A29="Overlap between sections"</formula>
    </cfRule>
  </conditionalFormatting>
  <conditionalFormatting sqref="AM31 AM33 AM35 AM37">
    <cfRule type="expression" dxfId="19507" priority="1998">
      <formula>$M31="NON DEFINED"</formula>
    </cfRule>
    <cfRule type="expression" dxfId="19506" priority="1999">
      <formula>$AZ31="N.D."</formula>
    </cfRule>
    <cfRule type="expression" dxfId="19505" priority="2000">
      <formula>$AY31="N.D."</formula>
    </cfRule>
  </conditionalFormatting>
  <conditionalFormatting sqref="AM31 AM33 AM35 AM37">
    <cfRule type="expression" dxfId="19504" priority="1987">
      <formula>$A31="Overhead Cable"</formula>
    </cfRule>
    <cfRule type="expression" dxfId="19503" priority="1988">
      <formula>$A31="Level Crossing"</formula>
    </cfRule>
    <cfRule type="expression" dxfId="19502" priority="1989">
      <formula>$A31="Neutral Section"</formula>
    </cfRule>
    <cfRule type="expression" dxfId="19501" priority="1990">
      <formula>$A31="Tunnel"</formula>
    </cfRule>
    <cfRule type="expression" dxfId="19500" priority="1991">
      <formula>$A31="Bridge"</formula>
    </cfRule>
    <cfRule type="expression" dxfId="19499" priority="1992">
      <formula>$A31="Drainage Works"</formula>
    </cfRule>
    <cfRule type="expression" dxfId="19498" priority="1993">
      <formula>$A31="Underpass"</formula>
    </cfRule>
    <cfRule type="expression" dxfId="19497" priority="1994">
      <formula>$A31="Overcrossing"</formula>
    </cfRule>
    <cfRule type="expression" dxfId="19496" priority="1995">
      <formula>$A31="Overpass"</formula>
    </cfRule>
    <cfRule type="expression" dxfId="19495" priority="1996">
      <formula>$A31="Station"</formula>
    </cfRule>
    <cfRule type="expression" dxfId="19494" priority="1997">
      <formula>$A31="Overlap between sections"</formula>
    </cfRule>
  </conditionalFormatting>
  <conditionalFormatting sqref="Q29 Q33 Q37:Q38">
    <cfRule type="expression" dxfId="19493" priority="1900">
      <formula>$M29="NON DEFINED"</formula>
    </cfRule>
    <cfRule type="expression" dxfId="19492" priority="1901">
      <formula>$AZ29="N.D."</formula>
    </cfRule>
    <cfRule type="expression" dxfId="19491" priority="1902">
      <formula>$AY29="N.D."</formula>
    </cfRule>
  </conditionalFormatting>
  <conditionalFormatting sqref="Q29 Q33 Q37:Q38">
    <cfRule type="expression" dxfId="19490" priority="1889">
      <formula>$A29="Overhead Cable"</formula>
    </cfRule>
    <cfRule type="expression" dxfId="19489" priority="1890">
      <formula>$A29="Level Crossing"</formula>
    </cfRule>
    <cfRule type="expression" dxfId="19488" priority="1891">
      <formula>$A29="Neutral Section"</formula>
    </cfRule>
    <cfRule type="expression" dxfId="19487" priority="1892">
      <formula>$A29="Tunnel"</formula>
    </cfRule>
    <cfRule type="expression" dxfId="19486" priority="1893">
      <formula>$A29="Bridge"</formula>
    </cfRule>
    <cfRule type="expression" dxfId="19485" priority="1894">
      <formula>$A29="Drainage Works"</formula>
    </cfRule>
    <cfRule type="expression" dxfId="19484" priority="1895">
      <formula>$A29="Underpass"</formula>
    </cfRule>
    <cfRule type="expression" dxfId="19483" priority="1896">
      <formula>$A29="Overcrossing"</formula>
    </cfRule>
    <cfRule type="expression" dxfId="19482" priority="1897">
      <formula>$A29="Overpass"</formula>
    </cfRule>
    <cfRule type="expression" dxfId="19481" priority="1898">
      <formula>$A29="Station"</formula>
    </cfRule>
    <cfRule type="expression" dxfId="19480" priority="1899">
      <formula>$A29="Overlap between sections"</formula>
    </cfRule>
  </conditionalFormatting>
  <conditionalFormatting sqref="T29 T33 T37:T38">
    <cfRule type="expression" dxfId="19479" priority="1886">
      <formula>$M29="NON DEFINED"</formula>
    </cfRule>
    <cfRule type="expression" dxfId="19478" priority="1887">
      <formula>$AZ29="N.D."</formula>
    </cfRule>
    <cfRule type="expression" dxfId="19477" priority="1888">
      <formula>$AY29="N.D."</formula>
    </cfRule>
  </conditionalFormatting>
  <conditionalFormatting sqref="T29 T33 T37:T38">
    <cfRule type="expression" dxfId="19476" priority="1875">
      <formula>$A29="Overhead Cable"</formula>
    </cfRule>
    <cfRule type="expression" dxfId="19475" priority="1876">
      <formula>$A29="Level Crossing"</formula>
    </cfRule>
    <cfRule type="expression" dxfId="19474" priority="1877">
      <formula>$A29="Neutral Section"</formula>
    </cfRule>
    <cfRule type="expression" dxfId="19473" priority="1878">
      <formula>$A29="Tunnel"</formula>
    </cfRule>
    <cfRule type="expression" dxfId="19472" priority="1879">
      <formula>$A29="Bridge"</formula>
    </cfRule>
    <cfRule type="expression" dxfId="19471" priority="1880">
      <formula>$A29="Drainage Works"</formula>
    </cfRule>
    <cfRule type="expression" dxfId="19470" priority="1881">
      <formula>$A29="Underpass"</formula>
    </cfRule>
    <cfRule type="expression" dxfId="19469" priority="1882">
      <formula>$A29="Overcrossing"</formula>
    </cfRule>
    <cfRule type="expression" dxfId="19468" priority="1883">
      <formula>$A29="Overpass"</formula>
    </cfRule>
    <cfRule type="expression" dxfId="19467" priority="1884">
      <formula>$A29="Station"</formula>
    </cfRule>
    <cfRule type="expression" dxfId="19466" priority="1885">
      <formula>$A29="Overlap between sections"</formula>
    </cfRule>
  </conditionalFormatting>
  <conditionalFormatting sqref="U29 U33 U37:U38">
    <cfRule type="expression" dxfId="19465" priority="1872">
      <formula>$M29="NON DEFINED"</formula>
    </cfRule>
    <cfRule type="expression" dxfId="19464" priority="1873">
      <formula>$AZ29="N.D."</formula>
    </cfRule>
    <cfRule type="expression" dxfId="19463" priority="1874">
      <formula>$AY29="N.D."</formula>
    </cfRule>
  </conditionalFormatting>
  <conditionalFormatting sqref="U29 U33 U37:U38">
    <cfRule type="expression" dxfId="19462" priority="1861">
      <formula>$A29="Overhead Cable"</formula>
    </cfRule>
    <cfRule type="expression" dxfId="19461" priority="1862">
      <formula>$A29="Level Crossing"</formula>
    </cfRule>
    <cfRule type="expression" dxfId="19460" priority="1863">
      <formula>$A29="Neutral Section"</formula>
    </cfRule>
    <cfRule type="expression" dxfId="19459" priority="1864">
      <formula>$A29="Tunnel"</formula>
    </cfRule>
    <cfRule type="expression" dxfId="19458" priority="1865">
      <formula>$A29="Bridge"</formula>
    </cfRule>
    <cfRule type="expression" dxfId="19457" priority="1866">
      <formula>$A29="Drainage Works"</formula>
    </cfRule>
    <cfRule type="expression" dxfId="19456" priority="1867">
      <formula>$A29="Underpass"</formula>
    </cfRule>
    <cfRule type="expression" dxfId="19455" priority="1868">
      <formula>$A29="Overcrossing"</formula>
    </cfRule>
    <cfRule type="expression" dxfId="19454" priority="1869">
      <formula>$A29="Overpass"</formula>
    </cfRule>
    <cfRule type="expression" dxfId="19453" priority="1870">
      <formula>$A29="Station"</formula>
    </cfRule>
    <cfRule type="expression" dxfId="19452" priority="1871">
      <formula>$A29="Overlap between sections"</formula>
    </cfRule>
  </conditionalFormatting>
  <conditionalFormatting sqref="V29 V33 V37:V38">
    <cfRule type="expression" dxfId="19451" priority="1858">
      <formula>$M29="NON DEFINED"</formula>
    </cfRule>
    <cfRule type="expression" dxfId="19450" priority="1859">
      <formula>$AZ29="N.D."</formula>
    </cfRule>
    <cfRule type="expression" dxfId="19449" priority="1860">
      <formula>$AY29="N.D."</formula>
    </cfRule>
  </conditionalFormatting>
  <conditionalFormatting sqref="V29 V33 V37:V38">
    <cfRule type="expression" dxfId="19448" priority="1847">
      <formula>$A29="Overhead Cable"</formula>
    </cfRule>
    <cfRule type="expression" dxfId="19447" priority="1848">
      <formula>$A29="Level Crossing"</formula>
    </cfRule>
    <cfRule type="expression" dxfId="19446" priority="1849">
      <formula>$A29="Neutral Section"</formula>
    </cfRule>
    <cfRule type="expression" dxfId="19445" priority="1850">
      <formula>$A29="Tunnel"</formula>
    </cfRule>
    <cfRule type="expression" dxfId="19444" priority="1851">
      <formula>$A29="Bridge"</formula>
    </cfRule>
    <cfRule type="expression" dxfId="19443" priority="1852">
      <formula>$A29="Drainage Works"</formula>
    </cfRule>
    <cfRule type="expression" dxfId="19442" priority="1853">
      <formula>$A29="Underpass"</formula>
    </cfRule>
    <cfRule type="expression" dxfId="19441" priority="1854">
      <formula>$A29="Overcrossing"</formula>
    </cfRule>
    <cfRule type="expression" dxfId="19440" priority="1855">
      <formula>$A29="Overpass"</formula>
    </cfRule>
    <cfRule type="expression" dxfId="19439" priority="1856">
      <formula>$A29="Station"</formula>
    </cfRule>
    <cfRule type="expression" dxfId="19438" priority="1857">
      <formula>$A29="Overlap between sections"</formula>
    </cfRule>
  </conditionalFormatting>
  <conditionalFormatting sqref="R29 R33 R37:R38">
    <cfRule type="expression" dxfId="19437" priority="1802">
      <formula>$M29="NON DEFINED"</formula>
    </cfRule>
    <cfRule type="expression" dxfId="19436" priority="1803">
      <formula>$AZ29="N.D."</formula>
    </cfRule>
    <cfRule type="expression" dxfId="19435" priority="1804">
      <formula>$AY29="N.D."</formula>
    </cfRule>
  </conditionalFormatting>
  <conditionalFormatting sqref="R29 R33 R37:R38">
    <cfRule type="expression" dxfId="19434" priority="1791">
      <formula>$A29="Overhead Cable"</formula>
    </cfRule>
    <cfRule type="expression" dxfId="19433" priority="1792">
      <formula>$A29="Level Crossing"</formula>
    </cfRule>
    <cfRule type="expression" dxfId="19432" priority="1793">
      <formula>$A29="Neutral Section"</formula>
    </cfRule>
    <cfRule type="expression" dxfId="19431" priority="1794">
      <formula>$A29="Tunnel"</formula>
    </cfRule>
    <cfRule type="expression" dxfId="19430" priority="1795">
      <formula>$A29="Bridge"</formula>
    </cfRule>
    <cfRule type="expression" dxfId="19429" priority="1796">
      <formula>$A29="Drainage Works"</formula>
    </cfRule>
    <cfRule type="expression" dxfId="19428" priority="1797">
      <formula>$A29="Underpass"</formula>
    </cfRule>
    <cfRule type="expression" dxfId="19427" priority="1798">
      <formula>$A29="Overcrossing"</formula>
    </cfRule>
    <cfRule type="expression" dxfId="19426" priority="1799">
      <formula>$A29="Overpass"</formula>
    </cfRule>
    <cfRule type="expression" dxfId="19425" priority="1800">
      <formula>$A29="Station"</formula>
    </cfRule>
    <cfRule type="expression" dxfId="19424" priority="1801">
      <formula>$A29="Overlap between sections"</formula>
    </cfRule>
  </conditionalFormatting>
  <conditionalFormatting sqref="S29 S33 S37:S38">
    <cfRule type="expression" dxfId="19423" priority="1788">
      <formula>$M29="NON DEFINED"</formula>
    </cfRule>
    <cfRule type="expression" dxfId="19422" priority="1789">
      <formula>$AZ29="N.D."</formula>
    </cfRule>
    <cfRule type="expression" dxfId="19421" priority="1790">
      <formula>$AY29="N.D."</formula>
    </cfRule>
  </conditionalFormatting>
  <conditionalFormatting sqref="S29 S33 S37:S38">
    <cfRule type="expression" dxfId="19420" priority="1777">
      <formula>$A29="Overhead Cable"</formula>
    </cfRule>
    <cfRule type="expression" dxfId="19419" priority="1778">
      <formula>$A29="Level Crossing"</formula>
    </cfRule>
    <cfRule type="expression" dxfId="19418" priority="1779">
      <formula>$A29="Neutral Section"</formula>
    </cfRule>
    <cfRule type="expression" dxfId="19417" priority="1780">
      <formula>$A29="Tunnel"</formula>
    </cfRule>
    <cfRule type="expression" dxfId="19416" priority="1781">
      <formula>$A29="Bridge"</formula>
    </cfRule>
    <cfRule type="expression" dxfId="19415" priority="1782">
      <formula>$A29="Drainage Works"</formula>
    </cfRule>
    <cfRule type="expression" dxfId="19414" priority="1783">
      <formula>$A29="Underpass"</formula>
    </cfRule>
    <cfRule type="expression" dxfId="19413" priority="1784">
      <formula>$A29="Overcrossing"</formula>
    </cfRule>
    <cfRule type="expression" dxfId="19412" priority="1785">
      <formula>$A29="Overpass"</formula>
    </cfRule>
    <cfRule type="expression" dxfId="19411" priority="1786">
      <formula>$A29="Station"</formula>
    </cfRule>
    <cfRule type="expression" dxfId="19410" priority="1787">
      <formula>$A29="Overlap between sections"</formula>
    </cfRule>
  </conditionalFormatting>
  <conditionalFormatting sqref="W29 W33 W37:W38">
    <cfRule type="expression" dxfId="19409" priority="1774">
      <formula>$M29="NON DEFINED"</formula>
    </cfRule>
    <cfRule type="expression" dxfId="19408" priority="1775">
      <formula>$AZ29="N.D."</formula>
    </cfRule>
    <cfRule type="expression" dxfId="19407" priority="1776">
      <formula>$AY29="N.D."</formula>
    </cfRule>
  </conditionalFormatting>
  <conditionalFormatting sqref="W29 W33 W37:W38">
    <cfRule type="expression" dxfId="19406" priority="1763">
      <formula>$A29="Overhead Cable"</formula>
    </cfRule>
    <cfRule type="expression" dxfId="19405" priority="1764">
      <formula>$A29="Level Crossing"</formula>
    </cfRule>
    <cfRule type="expression" dxfId="19404" priority="1765">
      <formula>$A29="Neutral Section"</formula>
    </cfRule>
    <cfRule type="expression" dxfId="19403" priority="1766">
      <formula>$A29="Tunnel"</formula>
    </cfRule>
    <cfRule type="expression" dxfId="19402" priority="1767">
      <formula>$A29="Bridge"</formula>
    </cfRule>
    <cfRule type="expression" dxfId="19401" priority="1768">
      <formula>$A29="Drainage Works"</formula>
    </cfRule>
    <cfRule type="expression" dxfId="19400" priority="1769">
      <formula>$A29="Underpass"</formula>
    </cfRule>
    <cfRule type="expression" dxfId="19399" priority="1770">
      <formula>$A29="Overcrossing"</formula>
    </cfRule>
    <cfRule type="expression" dxfId="19398" priority="1771">
      <formula>$A29="Overpass"</formula>
    </cfRule>
    <cfRule type="expression" dxfId="19397" priority="1772">
      <formula>$A29="Station"</formula>
    </cfRule>
    <cfRule type="expression" dxfId="19396" priority="1773">
      <formula>$A29="Overlap between sections"</formula>
    </cfRule>
  </conditionalFormatting>
  <conditionalFormatting sqref="BD29 BD31 BD35 BD39 BD33 BD37">
    <cfRule type="containsText" dxfId="19395" priority="1690" operator="containsText" text="Poner a mano">
      <formula>NOT(ISERROR(SEARCH("Poner a mano",BD29)))</formula>
    </cfRule>
  </conditionalFormatting>
  <conditionalFormatting sqref="N31 N35">
    <cfRule type="expression" dxfId="19394" priority="1684">
      <formula>$M31="NON DEFINED"</formula>
    </cfRule>
    <cfRule type="expression" dxfId="19393" priority="1685">
      <formula>$AZ31="N.D."</formula>
    </cfRule>
    <cfRule type="expression" dxfId="19392" priority="1686">
      <formula>$AY31="N.D."</formula>
    </cfRule>
  </conditionalFormatting>
  <conditionalFormatting sqref="N31 N35">
    <cfRule type="expression" dxfId="19391" priority="1673">
      <formula>$A31="Overhead Cable"</formula>
    </cfRule>
    <cfRule type="expression" dxfId="19390" priority="1674">
      <formula>$A31="Level Crossing"</formula>
    </cfRule>
    <cfRule type="expression" dxfId="19389" priority="1675">
      <formula>$A31="Neutral Section"</formula>
    </cfRule>
    <cfRule type="expression" dxfId="19388" priority="1676">
      <formula>$A31="Tunnel"</formula>
    </cfRule>
    <cfRule type="expression" dxfId="19387" priority="1677">
      <formula>$A31="Bridge"</formula>
    </cfRule>
    <cfRule type="expression" dxfId="19386" priority="1678">
      <formula>$A31="Drainage Works"</formula>
    </cfRule>
    <cfRule type="expression" dxfId="19385" priority="1679">
      <formula>$A31="Underpass"</formula>
    </cfRule>
    <cfRule type="expression" dxfId="19384" priority="1680">
      <formula>$A31="Overcrossing"</formula>
    </cfRule>
    <cfRule type="expression" dxfId="19383" priority="1681">
      <formula>$A31="Overpass"</formula>
    </cfRule>
    <cfRule type="expression" dxfId="19382" priority="1682">
      <formula>$A31="Station"</formula>
    </cfRule>
    <cfRule type="expression" dxfId="19381" priority="1683">
      <formula>$A31="Overlap between sections"</formula>
    </cfRule>
  </conditionalFormatting>
  <conditionalFormatting sqref="O31 O35">
    <cfRule type="expression" dxfId="19380" priority="1670">
      <formula>$M31="NON DEFINED"</formula>
    </cfRule>
    <cfRule type="expression" dxfId="19379" priority="1671">
      <formula>$AZ31="N.D."</formula>
    </cfRule>
    <cfRule type="expression" dxfId="19378" priority="1672">
      <formula>$AY31="N.D."</formula>
    </cfRule>
  </conditionalFormatting>
  <conditionalFormatting sqref="O31 O35">
    <cfRule type="expression" dxfId="19377" priority="1659">
      <formula>$A31="Overhead Cable"</formula>
    </cfRule>
    <cfRule type="expression" dxfId="19376" priority="1660">
      <formula>$A31="Level Crossing"</formula>
    </cfRule>
    <cfRule type="expression" dxfId="19375" priority="1661">
      <formula>$A31="Neutral Section"</formula>
    </cfRule>
    <cfRule type="expression" dxfId="19374" priority="1662">
      <formula>$A31="Tunnel"</formula>
    </cfRule>
    <cfRule type="expression" dxfId="19373" priority="1663">
      <formula>$A31="Bridge"</formula>
    </cfRule>
    <cfRule type="expression" dxfId="19372" priority="1664">
      <formula>$A31="Drainage Works"</formula>
    </cfRule>
    <cfRule type="expression" dxfId="19371" priority="1665">
      <formula>$A31="Underpass"</formula>
    </cfRule>
    <cfRule type="expression" dxfId="19370" priority="1666">
      <formula>$A31="Overcrossing"</formula>
    </cfRule>
    <cfRule type="expression" dxfId="19369" priority="1667">
      <formula>$A31="Overpass"</formula>
    </cfRule>
    <cfRule type="expression" dxfId="19368" priority="1668">
      <formula>$A31="Station"</formula>
    </cfRule>
    <cfRule type="expression" dxfId="19367" priority="1669">
      <formula>$A31="Overlap between sections"</formula>
    </cfRule>
  </conditionalFormatting>
  <conditionalFormatting sqref="P31 P35">
    <cfRule type="expression" dxfId="19366" priority="1656">
      <formula>$M31="NON DEFINED"</formula>
    </cfRule>
    <cfRule type="expression" dxfId="19365" priority="1657">
      <formula>$AZ31="N.D."</formula>
    </cfRule>
    <cfRule type="expression" dxfId="19364" priority="1658">
      <formula>$AY31="N.D."</formula>
    </cfRule>
  </conditionalFormatting>
  <conditionalFormatting sqref="P31 P35">
    <cfRule type="expression" dxfId="19363" priority="1645">
      <formula>$A31="Overhead Cable"</formula>
    </cfRule>
    <cfRule type="expression" dxfId="19362" priority="1646">
      <formula>$A31="Level Crossing"</formula>
    </cfRule>
    <cfRule type="expression" dxfId="19361" priority="1647">
      <formula>$A31="Neutral Section"</formula>
    </cfRule>
    <cfRule type="expression" dxfId="19360" priority="1648">
      <formula>$A31="Tunnel"</formula>
    </cfRule>
    <cfRule type="expression" dxfId="19359" priority="1649">
      <formula>$A31="Bridge"</formula>
    </cfRule>
    <cfRule type="expression" dxfId="19358" priority="1650">
      <formula>$A31="Drainage Works"</formula>
    </cfRule>
    <cfRule type="expression" dxfId="19357" priority="1651">
      <formula>$A31="Underpass"</formula>
    </cfRule>
    <cfRule type="expression" dxfId="19356" priority="1652">
      <formula>$A31="Overcrossing"</formula>
    </cfRule>
    <cfRule type="expression" dxfId="19355" priority="1653">
      <formula>$A31="Overpass"</formula>
    </cfRule>
    <cfRule type="expression" dxfId="19354" priority="1654">
      <formula>$A31="Station"</formula>
    </cfRule>
    <cfRule type="expression" dxfId="19353" priority="1655">
      <formula>$A31="Overlap between sections"</formula>
    </cfRule>
  </conditionalFormatting>
  <conditionalFormatting sqref="Q31 Q35">
    <cfRule type="expression" dxfId="19352" priority="1642">
      <formula>$M31="NON DEFINED"</formula>
    </cfRule>
    <cfRule type="expression" dxfId="19351" priority="1643">
      <formula>$AZ31="N.D."</formula>
    </cfRule>
    <cfRule type="expression" dxfId="19350" priority="1644">
      <formula>$AY31="N.D."</formula>
    </cfRule>
  </conditionalFormatting>
  <conditionalFormatting sqref="Q31 Q35">
    <cfRule type="expression" dxfId="19349" priority="1631">
      <formula>$A31="Overhead Cable"</formula>
    </cfRule>
    <cfRule type="expression" dxfId="19348" priority="1632">
      <formula>$A31="Level Crossing"</formula>
    </cfRule>
    <cfRule type="expression" dxfId="19347" priority="1633">
      <formula>$A31="Neutral Section"</formula>
    </cfRule>
    <cfRule type="expression" dxfId="19346" priority="1634">
      <formula>$A31="Tunnel"</formula>
    </cfRule>
    <cfRule type="expression" dxfId="19345" priority="1635">
      <formula>$A31="Bridge"</formula>
    </cfRule>
    <cfRule type="expression" dxfId="19344" priority="1636">
      <formula>$A31="Drainage Works"</formula>
    </cfRule>
    <cfRule type="expression" dxfId="19343" priority="1637">
      <formula>$A31="Underpass"</formula>
    </cfRule>
    <cfRule type="expression" dxfId="19342" priority="1638">
      <formula>$A31="Overcrossing"</formula>
    </cfRule>
    <cfRule type="expression" dxfId="19341" priority="1639">
      <formula>$A31="Overpass"</formula>
    </cfRule>
    <cfRule type="expression" dxfId="19340" priority="1640">
      <formula>$A31="Station"</formula>
    </cfRule>
    <cfRule type="expression" dxfId="19339" priority="1641">
      <formula>$A31="Overlap between sections"</formula>
    </cfRule>
  </conditionalFormatting>
  <conditionalFormatting sqref="T31 T35">
    <cfRule type="expression" dxfId="19338" priority="1628">
      <formula>$M31="NON DEFINED"</formula>
    </cfRule>
    <cfRule type="expression" dxfId="19337" priority="1629">
      <formula>$AZ31="N.D."</formula>
    </cfRule>
    <cfRule type="expression" dxfId="19336" priority="1630">
      <formula>$AY31="N.D."</formula>
    </cfRule>
  </conditionalFormatting>
  <conditionalFormatting sqref="T31 T35">
    <cfRule type="expression" dxfId="19335" priority="1617">
      <formula>$A31="Overhead Cable"</formula>
    </cfRule>
    <cfRule type="expression" dxfId="19334" priority="1618">
      <formula>$A31="Level Crossing"</formula>
    </cfRule>
    <cfRule type="expression" dxfId="19333" priority="1619">
      <formula>$A31="Neutral Section"</formula>
    </cfRule>
    <cfRule type="expression" dxfId="19332" priority="1620">
      <formula>$A31="Tunnel"</formula>
    </cfRule>
    <cfRule type="expression" dxfId="19331" priority="1621">
      <formula>$A31="Bridge"</formula>
    </cfRule>
    <cfRule type="expression" dxfId="19330" priority="1622">
      <formula>$A31="Drainage Works"</formula>
    </cfRule>
    <cfRule type="expression" dxfId="19329" priority="1623">
      <formula>$A31="Underpass"</formula>
    </cfRule>
    <cfRule type="expression" dxfId="19328" priority="1624">
      <formula>$A31="Overcrossing"</formula>
    </cfRule>
    <cfRule type="expression" dxfId="19327" priority="1625">
      <formula>$A31="Overpass"</formula>
    </cfRule>
    <cfRule type="expression" dxfId="19326" priority="1626">
      <formula>$A31="Station"</formula>
    </cfRule>
    <cfRule type="expression" dxfId="19325" priority="1627">
      <formula>$A31="Overlap between sections"</formula>
    </cfRule>
  </conditionalFormatting>
  <conditionalFormatting sqref="U31 U35">
    <cfRule type="expression" dxfId="19324" priority="1614">
      <formula>$M31="NON DEFINED"</formula>
    </cfRule>
    <cfRule type="expression" dxfId="19323" priority="1615">
      <formula>$AZ31="N.D."</formula>
    </cfRule>
    <cfRule type="expression" dxfId="19322" priority="1616">
      <formula>$AY31="N.D."</formula>
    </cfRule>
  </conditionalFormatting>
  <conditionalFormatting sqref="U31 U35">
    <cfRule type="expression" dxfId="19321" priority="1603">
      <formula>$A31="Overhead Cable"</formula>
    </cfRule>
    <cfRule type="expression" dxfId="19320" priority="1604">
      <formula>$A31="Level Crossing"</formula>
    </cfRule>
    <cfRule type="expression" dxfId="19319" priority="1605">
      <formula>$A31="Neutral Section"</formula>
    </cfRule>
    <cfRule type="expression" dxfId="19318" priority="1606">
      <formula>$A31="Tunnel"</formula>
    </cfRule>
    <cfRule type="expression" dxfId="19317" priority="1607">
      <formula>$A31="Bridge"</formula>
    </cfRule>
    <cfRule type="expression" dxfId="19316" priority="1608">
      <formula>$A31="Drainage Works"</formula>
    </cfRule>
    <cfRule type="expression" dxfId="19315" priority="1609">
      <formula>$A31="Underpass"</formula>
    </cfRule>
    <cfRule type="expression" dxfId="19314" priority="1610">
      <formula>$A31="Overcrossing"</formula>
    </cfRule>
    <cfRule type="expression" dxfId="19313" priority="1611">
      <formula>$A31="Overpass"</formula>
    </cfRule>
    <cfRule type="expression" dxfId="19312" priority="1612">
      <formula>$A31="Station"</formula>
    </cfRule>
    <cfRule type="expression" dxfId="19311" priority="1613">
      <formula>$A31="Overlap between sections"</formula>
    </cfRule>
  </conditionalFormatting>
  <conditionalFormatting sqref="V31 V35">
    <cfRule type="expression" dxfId="19310" priority="1600">
      <formula>$M31="NON DEFINED"</formula>
    </cfRule>
    <cfRule type="expression" dxfId="19309" priority="1601">
      <formula>$AZ31="N.D."</formula>
    </cfRule>
    <cfRule type="expression" dxfId="19308" priority="1602">
      <formula>$AY31="N.D."</formula>
    </cfRule>
  </conditionalFormatting>
  <conditionalFormatting sqref="V31 V35">
    <cfRule type="expression" dxfId="19307" priority="1589">
      <formula>$A31="Overhead Cable"</formula>
    </cfRule>
    <cfRule type="expression" dxfId="19306" priority="1590">
      <formula>$A31="Level Crossing"</formula>
    </cfRule>
    <cfRule type="expression" dxfId="19305" priority="1591">
      <formula>$A31="Neutral Section"</formula>
    </cfRule>
    <cfRule type="expression" dxfId="19304" priority="1592">
      <formula>$A31="Tunnel"</formula>
    </cfRule>
    <cfRule type="expression" dxfId="19303" priority="1593">
      <formula>$A31="Bridge"</formula>
    </cfRule>
    <cfRule type="expression" dxfId="19302" priority="1594">
      <formula>$A31="Drainage Works"</formula>
    </cfRule>
    <cfRule type="expression" dxfId="19301" priority="1595">
      <formula>$A31="Underpass"</formula>
    </cfRule>
    <cfRule type="expression" dxfId="19300" priority="1596">
      <formula>$A31="Overcrossing"</formula>
    </cfRule>
    <cfRule type="expression" dxfId="19299" priority="1597">
      <formula>$A31="Overpass"</formula>
    </cfRule>
    <cfRule type="expression" dxfId="19298" priority="1598">
      <formula>$A31="Station"</formula>
    </cfRule>
    <cfRule type="expression" dxfId="19297" priority="1599">
      <formula>$A31="Overlap between sections"</formula>
    </cfRule>
  </conditionalFormatting>
  <conditionalFormatting sqref="R31 R35">
    <cfRule type="expression" dxfId="19296" priority="1586">
      <formula>$M31="NON DEFINED"</formula>
    </cfRule>
    <cfRule type="expression" dxfId="19295" priority="1587">
      <formula>$AZ31="N.D."</formula>
    </cfRule>
    <cfRule type="expression" dxfId="19294" priority="1588">
      <formula>$AY31="N.D."</formula>
    </cfRule>
  </conditionalFormatting>
  <conditionalFormatting sqref="R31 R35">
    <cfRule type="expression" dxfId="19293" priority="1575">
      <formula>$A31="Overhead Cable"</formula>
    </cfRule>
    <cfRule type="expression" dxfId="19292" priority="1576">
      <formula>$A31="Level Crossing"</formula>
    </cfRule>
    <cfRule type="expression" dxfId="19291" priority="1577">
      <formula>$A31="Neutral Section"</formula>
    </cfRule>
    <cfRule type="expression" dxfId="19290" priority="1578">
      <formula>$A31="Tunnel"</formula>
    </cfRule>
    <cfRule type="expression" dxfId="19289" priority="1579">
      <formula>$A31="Bridge"</formula>
    </cfRule>
    <cfRule type="expression" dxfId="19288" priority="1580">
      <formula>$A31="Drainage Works"</formula>
    </cfRule>
    <cfRule type="expression" dxfId="19287" priority="1581">
      <formula>$A31="Underpass"</formula>
    </cfRule>
    <cfRule type="expression" dxfId="19286" priority="1582">
      <formula>$A31="Overcrossing"</formula>
    </cfRule>
    <cfRule type="expression" dxfId="19285" priority="1583">
      <formula>$A31="Overpass"</formula>
    </cfRule>
    <cfRule type="expression" dxfId="19284" priority="1584">
      <formula>$A31="Station"</formula>
    </cfRule>
    <cfRule type="expression" dxfId="19283" priority="1585">
      <formula>$A31="Overlap between sections"</formula>
    </cfRule>
  </conditionalFormatting>
  <conditionalFormatting sqref="S31 S35">
    <cfRule type="expression" dxfId="19282" priority="1572">
      <formula>$M31="NON DEFINED"</formula>
    </cfRule>
    <cfRule type="expression" dxfId="19281" priority="1573">
      <formula>$AZ31="N.D."</formula>
    </cfRule>
    <cfRule type="expression" dxfId="19280" priority="1574">
      <formula>$AY31="N.D."</formula>
    </cfRule>
  </conditionalFormatting>
  <conditionalFormatting sqref="S31 S35">
    <cfRule type="expression" dxfId="19279" priority="1561">
      <formula>$A31="Overhead Cable"</formula>
    </cfRule>
    <cfRule type="expression" dxfId="19278" priority="1562">
      <formula>$A31="Level Crossing"</formula>
    </cfRule>
    <cfRule type="expression" dxfId="19277" priority="1563">
      <formula>$A31="Neutral Section"</formula>
    </cfRule>
    <cfRule type="expression" dxfId="19276" priority="1564">
      <formula>$A31="Tunnel"</formula>
    </cfRule>
    <cfRule type="expression" dxfId="19275" priority="1565">
      <formula>$A31="Bridge"</formula>
    </cfRule>
    <cfRule type="expression" dxfId="19274" priority="1566">
      <formula>$A31="Drainage Works"</formula>
    </cfRule>
    <cfRule type="expression" dxfId="19273" priority="1567">
      <formula>$A31="Underpass"</formula>
    </cfRule>
    <cfRule type="expression" dxfId="19272" priority="1568">
      <formula>$A31="Overcrossing"</formula>
    </cfRule>
    <cfRule type="expression" dxfId="19271" priority="1569">
      <formula>$A31="Overpass"</formula>
    </cfRule>
    <cfRule type="expression" dxfId="19270" priority="1570">
      <formula>$A31="Station"</formula>
    </cfRule>
    <cfRule type="expression" dxfId="19269" priority="1571">
      <formula>$A31="Overlap between sections"</formula>
    </cfRule>
  </conditionalFormatting>
  <conditionalFormatting sqref="W31 W35">
    <cfRule type="expression" dxfId="19268" priority="1558">
      <formula>$M31="NON DEFINED"</formula>
    </cfRule>
    <cfRule type="expression" dxfId="19267" priority="1559">
      <formula>$AZ31="N.D."</formula>
    </cfRule>
    <cfRule type="expression" dxfId="19266" priority="1560">
      <formula>$AY31="N.D."</formula>
    </cfRule>
  </conditionalFormatting>
  <conditionalFormatting sqref="W31 W35">
    <cfRule type="expression" dxfId="19265" priority="1547">
      <formula>$A31="Overhead Cable"</formula>
    </cfRule>
    <cfRule type="expression" dxfId="19264" priority="1548">
      <formula>$A31="Level Crossing"</formula>
    </cfRule>
    <cfRule type="expression" dxfId="19263" priority="1549">
      <formula>$A31="Neutral Section"</formula>
    </cfRule>
    <cfRule type="expression" dxfId="19262" priority="1550">
      <formula>$A31="Tunnel"</formula>
    </cfRule>
    <cfRule type="expression" dxfId="19261" priority="1551">
      <formula>$A31="Bridge"</formula>
    </cfRule>
    <cfRule type="expression" dxfId="19260" priority="1552">
      <formula>$A31="Drainage Works"</formula>
    </cfRule>
    <cfRule type="expression" dxfId="19259" priority="1553">
      <formula>$A31="Underpass"</formula>
    </cfRule>
    <cfRule type="expression" dxfId="19258" priority="1554">
      <formula>$A31="Overcrossing"</formula>
    </cfRule>
    <cfRule type="expression" dxfId="19257" priority="1555">
      <formula>$A31="Overpass"</formula>
    </cfRule>
    <cfRule type="expression" dxfId="19256" priority="1556">
      <formula>$A31="Station"</formula>
    </cfRule>
    <cfRule type="expression" dxfId="19255" priority="1557">
      <formula>$A31="Overlap between sections"</formula>
    </cfRule>
  </conditionalFormatting>
  <conditionalFormatting sqref="BA40:BC45">
    <cfRule type="expression" dxfId="19254" priority="1545">
      <formula>$BE40="R"</formula>
    </cfRule>
  </conditionalFormatting>
  <conditionalFormatting sqref="B40:E45 J40:J45 AG40:AG45 AN40:AS45 AY40:BC45 G40:H45">
    <cfRule type="expression" dxfId="19253" priority="1543">
      <formula>$M40="NON DEFINED"</formula>
    </cfRule>
    <cfRule type="expression" dxfId="19252" priority="1544">
      <formula>$AY40="N.D."</formula>
    </cfRule>
  </conditionalFormatting>
  <conditionalFormatting sqref="B40:E45 J40:J45 AG40:AG45 AN40:AS45 AY40:BD45 G40:H45">
    <cfRule type="cellIs" dxfId="19251" priority="1542" operator="equal">
      <formula>0</formula>
    </cfRule>
  </conditionalFormatting>
  <conditionalFormatting sqref="A40:A45">
    <cfRule type="cellIs" dxfId="19250" priority="1541" operator="equal">
      <formula>0</formula>
    </cfRule>
  </conditionalFormatting>
  <conditionalFormatting sqref="I40:I45">
    <cfRule type="expression" dxfId="19249" priority="1539">
      <formula>$M40="NON DEFINED"</formula>
    </cfRule>
    <cfRule type="expression" dxfId="19248" priority="1540">
      <formula>$AY40="N.D."</formula>
    </cfRule>
  </conditionalFormatting>
  <conditionalFormatting sqref="I40:I45">
    <cfRule type="cellIs" dxfId="19247" priority="1538" operator="equal">
      <formula>0</formula>
    </cfRule>
  </conditionalFormatting>
  <conditionalFormatting sqref="K40:K45">
    <cfRule type="expression" dxfId="19246" priority="1536">
      <formula>$M40="NON DEFINED"</formula>
    </cfRule>
    <cfRule type="expression" dxfId="19245" priority="1537">
      <formula>$AY40="N.D."</formula>
    </cfRule>
  </conditionalFormatting>
  <conditionalFormatting sqref="K40:K45">
    <cfRule type="cellIs" dxfId="19244" priority="1535" operator="equal">
      <formula>0</formula>
    </cfRule>
  </conditionalFormatting>
  <conditionalFormatting sqref="L40:L45">
    <cfRule type="expression" dxfId="19243" priority="1533">
      <formula>$M40="NON DEFINED"</formula>
    </cfRule>
    <cfRule type="expression" dxfId="19242" priority="1534">
      <formula>$AY40="N.D."</formula>
    </cfRule>
  </conditionalFormatting>
  <conditionalFormatting sqref="L40:L45">
    <cfRule type="cellIs" dxfId="19241" priority="1532" operator="equal">
      <formula>0</formula>
    </cfRule>
  </conditionalFormatting>
  <conditionalFormatting sqref="M40:M45">
    <cfRule type="expression" dxfId="19240" priority="1530">
      <formula>$M40="NON DEFINED"</formula>
    </cfRule>
    <cfRule type="expression" dxfId="19239" priority="1531">
      <formula>$AY40="N.D."</formula>
    </cfRule>
  </conditionalFormatting>
  <conditionalFormatting sqref="M40:M45">
    <cfRule type="cellIs" dxfId="19238" priority="1529" operator="equal">
      <formula>0</formula>
    </cfRule>
  </conditionalFormatting>
  <conditionalFormatting sqref="N40:N45">
    <cfRule type="expression" dxfId="19237" priority="1527">
      <formula>$M40="NON DEFINED"</formula>
    </cfRule>
    <cfRule type="expression" dxfId="19236" priority="1528">
      <formula>$AY40="N.D."</formula>
    </cfRule>
  </conditionalFormatting>
  <conditionalFormatting sqref="N40:N45">
    <cfRule type="cellIs" dxfId="19235" priority="1526" operator="equal">
      <formula>0</formula>
    </cfRule>
  </conditionalFormatting>
  <conditionalFormatting sqref="O40:O45">
    <cfRule type="expression" dxfId="19234" priority="1524">
      <formula>$M40="NON DEFINED"</formula>
    </cfRule>
    <cfRule type="expression" dxfId="19233" priority="1525">
      <formula>$AY40="N.D."</formula>
    </cfRule>
  </conditionalFormatting>
  <conditionalFormatting sqref="O40:O45">
    <cfRule type="cellIs" dxfId="19232" priority="1523" operator="equal">
      <formula>0</formula>
    </cfRule>
  </conditionalFormatting>
  <conditionalFormatting sqref="P40:P45">
    <cfRule type="expression" dxfId="19231" priority="1521">
      <formula>$M40="NON DEFINED"</formula>
    </cfRule>
    <cfRule type="expression" dxfId="19230" priority="1522">
      <formula>$AY40="N.D."</formula>
    </cfRule>
  </conditionalFormatting>
  <conditionalFormatting sqref="P40:P45">
    <cfRule type="cellIs" dxfId="19229" priority="1520" operator="equal">
      <formula>0</formula>
    </cfRule>
  </conditionalFormatting>
  <conditionalFormatting sqref="AC40:AC45">
    <cfRule type="expression" dxfId="19228" priority="1518">
      <formula>$M40="NON DEFINED"</formula>
    </cfRule>
    <cfRule type="expression" dxfId="19227" priority="1519">
      <formula>$AY40="N.D."</formula>
    </cfRule>
  </conditionalFormatting>
  <conditionalFormatting sqref="AC40:AC45">
    <cfRule type="cellIs" dxfId="19226" priority="1517" operator="equal">
      <formula>0</formula>
    </cfRule>
  </conditionalFormatting>
  <conditionalFormatting sqref="AD40:AD45">
    <cfRule type="expression" dxfId="19225" priority="1515">
      <formula>$M40="NON DEFINED"</formula>
    </cfRule>
    <cfRule type="expression" dxfId="19224" priority="1516">
      <formula>$AY40="N.D."</formula>
    </cfRule>
  </conditionalFormatting>
  <conditionalFormatting sqref="AD40:AD45">
    <cfRule type="cellIs" dxfId="19223" priority="1514" operator="equal">
      <formula>0</formula>
    </cfRule>
  </conditionalFormatting>
  <conditionalFormatting sqref="AE40:AE45">
    <cfRule type="expression" dxfId="19222" priority="1512">
      <formula>$M40="NON DEFINED"</formula>
    </cfRule>
    <cfRule type="expression" dxfId="19221" priority="1513">
      <formula>$AY40="N.D."</formula>
    </cfRule>
  </conditionalFormatting>
  <conditionalFormatting sqref="AE40:AE45">
    <cfRule type="cellIs" dxfId="19220" priority="1511" operator="equal">
      <formula>0</formula>
    </cfRule>
  </conditionalFormatting>
  <conditionalFormatting sqref="AJ40:AJ45">
    <cfRule type="expression" dxfId="19219" priority="1509">
      <formula>$M40="NON DEFINED"</formula>
    </cfRule>
    <cfRule type="expression" dxfId="19218" priority="1510">
      <formula>$AY40="N.D."</formula>
    </cfRule>
  </conditionalFormatting>
  <conditionalFormatting sqref="AJ40:AJ45">
    <cfRule type="cellIs" dxfId="19217" priority="1508" operator="equal">
      <formula>0</formula>
    </cfRule>
  </conditionalFormatting>
  <conditionalFormatting sqref="AK40:AK45">
    <cfRule type="expression" dxfId="19216" priority="1506">
      <formula>$M40="NON DEFINED"</formula>
    </cfRule>
    <cfRule type="expression" dxfId="19215" priority="1507">
      <formula>$AY40="N.D."</formula>
    </cfRule>
  </conditionalFormatting>
  <conditionalFormatting sqref="AK40:AK45">
    <cfRule type="cellIs" dxfId="19214" priority="1505" operator="equal">
      <formula>0</formula>
    </cfRule>
  </conditionalFormatting>
  <conditionalFormatting sqref="AL40:AL45">
    <cfRule type="expression" dxfId="19213" priority="1503">
      <formula>$M40="NON DEFINED"</formula>
    </cfRule>
    <cfRule type="expression" dxfId="19212" priority="1504">
      <formula>$AY40="N.D."</formula>
    </cfRule>
  </conditionalFormatting>
  <conditionalFormatting sqref="AL40:AL45">
    <cfRule type="cellIs" dxfId="19211" priority="1502" operator="equal">
      <formula>0</formula>
    </cfRule>
  </conditionalFormatting>
  <conditionalFormatting sqref="AM40:AM45">
    <cfRule type="expression" dxfId="19210" priority="1500">
      <formula>$M40="NON DEFINED"</formula>
    </cfRule>
    <cfRule type="expression" dxfId="19209" priority="1501">
      <formula>$AY40="N.D."</formula>
    </cfRule>
  </conditionalFormatting>
  <conditionalFormatting sqref="AM40:AM45">
    <cfRule type="cellIs" dxfId="19208" priority="1499" operator="equal">
      <formula>0</formula>
    </cfRule>
  </conditionalFormatting>
  <conditionalFormatting sqref="AT40:AT45">
    <cfRule type="expression" dxfId="19207" priority="1497">
      <formula>$M40="NON DEFINED"</formula>
    </cfRule>
    <cfRule type="expression" dxfId="19206" priority="1498">
      <formula>$AY40="N.D."</formula>
    </cfRule>
  </conditionalFormatting>
  <conditionalFormatting sqref="AT40:AT45">
    <cfRule type="cellIs" dxfId="19205" priority="1496" operator="equal">
      <formula>0</formula>
    </cfRule>
  </conditionalFormatting>
  <conditionalFormatting sqref="AU40:AU45">
    <cfRule type="expression" dxfId="19204" priority="1494">
      <formula>$M40="NON DEFINED"</formula>
    </cfRule>
    <cfRule type="expression" dxfId="19203" priority="1495">
      <formula>$AY40="N.D."</formula>
    </cfRule>
  </conditionalFormatting>
  <conditionalFormatting sqref="AU40:AU45">
    <cfRule type="cellIs" dxfId="19202" priority="1493" operator="equal">
      <formula>0</formula>
    </cfRule>
  </conditionalFormatting>
  <conditionalFormatting sqref="AV40:AV45">
    <cfRule type="expression" dxfId="19201" priority="1491">
      <formula>$M40="NON DEFINED"</formula>
    </cfRule>
    <cfRule type="expression" dxfId="19200" priority="1492">
      <formula>$AY40="N.D."</formula>
    </cfRule>
  </conditionalFormatting>
  <conditionalFormatting sqref="AV40:AV45">
    <cfRule type="cellIs" dxfId="19199" priority="1490" operator="equal">
      <formula>0</formula>
    </cfRule>
  </conditionalFormatting>
  <conditionalFormatting sqref="AW40:AW45">
    <cfRule type="expression" dxfId="19198" priority="1488">
      <formula>$M40="NON DEFINED"</formula>
    </cfRule>
    <cfRule type="expression" dxfId="19197" priority="1489">
      <formula>$AY40="N.D."</formula>
    </cfRule>
  </conditionalFormatting>
  <conditionalFormatting sqref="AW40:AW45">
    <cfRule type="cellIs" dxfId="19196" priority="1487" operator="equal">
      <formula>0</formula>
    </cfRule>
  </conditionalFormatting>
  <conditionalFormatting sqref="AX40:AX45">
    <cfRule type="expression" dxfId="19195" priority="1485">
      <formula>$M40="NON DEFINED"</formula>
    </cfRule>
    <cfRule type="expression" dxfId="19194" priority="1486">
      <formula>$AY40="N.D."</formula>
    </cfRule>
  </conditionalFormatting>
  <conditionalFormatting sqref="AX40:AX45">
    <cfRule type="cellIs" dxfId="19193" priority="1484" operator="equal">
      <formula>0</formula>
    </cfRule>
  </conditionalFormatting>
  <conditionalFormatting sqref="F40:F45">
    <cfRule type="expression" dxfId="19192" priority="1482">
      <formula>$M40="NON DEFINED"</formula>
    </cfRule>
    <cfRule type="expression" dxfId="19191" priority="1483">
      <formula>$AY40="N.D."</formula>
    </cfRule>
  </conditionalFormatting>
  <conditionalFormatting sqref="F40:F45">
    <cfRule type="cellIs" dxfId="19190" priority="1481" operator="equal">
      <formula>0</formula>
    </cfRule>
  </conditionalFormatting>
  <conditionalFormatting sqref="Q40:Q45">
    <cfRule type="expression" dxfId="19189" priority="1479">
      <formula>$M40="NON DEFINED"</formula>
    </cfRule>
    <cfRule type="expression" dxfId="19188" priority="1480">
      <formula>$AY40="N.D."</formula>
    </cfRule>
  </conditionalFormatting>
  <conditionalFormatting sqref="Q40:Q45">
    <cfRule type="cellIs" dxfId="19187" priority="1478" operator="equal">
      <formula>0</formula>
    </cfRule>
  </conditionalFormatting>
  <conditionalFormatting sqref="T40:T45">
    <cfRule type="expression" dxfId="19186" priority="1476">
      <formula>$M40="NON DEFINED"</formula>
    </cfRule>
    <cfRule type="expression" dxfId="19185" priority="1477">
      <formula>$AY40="N.D."</formula>
    </cfRule>
  </conditionalFormatting>
  <conditionalFormatting sqref="T40:T45">
    <cfRule type="cellIs" dxfId="19184" priority="1475" operator="equal">
      <formula>0</formula>
    </cfRule>
  </conditionalFormatting>
  <conditionalFormatting sqref="U40:U45">
    <cfRule type="expression" dxfId="19183" priority="1473">
      <formula>$M40="NON DEFINED"</formula>
    </cfRule>
    <cfRule type="expression" dxfId="19182" priority="1474">
      <formula>$AY40="N.D."</formula>
    </cfRule>
  </conditionalFormatting>
  <conditionalFormatting sqref="U40:U45">
    <cfRule type="cellIs" dxfId="19181" priority="1472" operator="equal">
      <formula>0</formula>
    </cfRule>
  </conditionalFormatting>
  <conditionalFormatting sqref="V40:V45">
    <cfRule type="expression" dxfId="19180" priority="1470">
      <formula>$M40="NON DEFINED"</formula>
    </cfRule>
    <cfRule type="expression" dxfId="19179" priority="1471">
      <formula>$AY40="N.D."</formula>
    </cfRule>
  </conditionalFormatting>
  <conditionalFormatting sqref="V40:V45">
    <cfRule type="cellIs" dxfId="19178" priority="1469" operator="equal">
      <formula>0</formula>
    </cfRule>
  </conditionalFormatting>
  <conditionalFormatting sqref="AF40:AF45">
    <cfRule type="expression" dxfId="19177" priority="1467">
      <formula>$M40="NON DEFINED"</formula>
    </cfRule>
    <cfRule type="expression" dxfId="19176" priority="1468">
      <formula>$AY40="N.D."</formula>
    </cfRule>
  </conditionalFormatting>
  <conditionalFormatting sqref="AF40:AF45">
    <cfRule type="cellIs" dxfId="19175" priority="1466" operator="equal">
      <formula>0</formula>
    </cfRule>
  </conditionalFormatting>
  <conditionalFormatting sqref="AH40:AH45">
    <cfRule type="expression" dxfId="19174" priority="1464">
      <formula>$M40="NON DEFINED"</formula>
    </cfRule>
    <cfRule type="expression" dxfId="19173" priority="1465">
      <formula>$AY40="N.D."</formula>
    </cfRule>
  </conditionalFormatting>
  <conditionalFormatting sqref="AH40:AH45">
    <cfRule type="cellIs" dxfId="19172" priority="1463" operator="equal">
      <formula>0</formula>
    </cfRule>
  </conditionalFormatting>
  <conditionalFormatting sqref="AI40:AI45">
    <cfRule type="expression" dxfId="19171" priority="1461">
      <formula>$M40="NON DEFINED"</formula>
    </cfRule>
    <cfRule type="expression" dxfId="19170" priority="1462">
      <formula>$AY40="N.D."</formula>
    </cfRule>
  </conditionalFormatting>
  <conditionalFormatting sqref="AI40:AI45">
    <cfRule type="cellIs" dxfId="19169" priority="1460" operator="equal">
      <formula>0</formula>
    </cfRule>
  </conditionalFormatting>
  <conditionalFormatting sqref="R40:R45">
    <cfRule type="expression" dxfId="19168" priority="1458">
      <formula>$M40="NON DEFINED"</formula>
    </cfRule>
    <cfRule type="expression" dxfId="19167" priority="1459">
      <formula>$AY40="N.D."</formula>
    </cfRule>
  </conditionalFormatting>
  <conditionalFormatting sqref="R40:R45">
    <cfRule type="cellIs" dxfId="19166" priority="1457" operator="equal">
      <formula>0</formula>
    </cfRule>
  </conditionalFormatting>
  <conditionalFormatting sqref="S40:S45">
    <cfRule type="expression" dxfId="19165" priority="1455">
      <formula>$M40="NON DEFINED"</formula>
    </cfRule>
    <cfRule type="expression" dxfId="19164" priority="1456">
      <formula>$AY40="N.D."</formula>
    </cfRule>
  </conditionalFormatting>
  <conditionalFormatting sqref="S40:S45">
    <cfRule type="cellIs" dxfId="19163" priority="1454" operator="equal">
      <formula>0</formula>
    </cfRule>
  </conditionalFormatting>
  <conditionalFormatting sqref="W40:W45">
    <cfRule type="expression" dxfId="19162" priority="1452">
      <formula>$M40="NON DEFINED"</formula>
    </cfRule>
    <cfRule type="expression" dxfId="19161" priority="1453">
      <formula>$AY40="N.D."</formula>
    </cfRule>
  </conditionalFormatting>
  <conditionalFormatting sqref="W40:W45">
    <cfRule type="cellIs" dxfId="19160" priority="1451" operator="equal">
      <formula>0</formula>
    </cfRule>
  </conditionalFormatting>
  <conditionalFormatting sqref="X40:X45">
    <cfRule type="expression" dxfId="19159" priority="1449">
      <formula>$M40="NON DEFINED"</formula>
    </cfRule>
    <cfRule type="expression" dxfId="19158" priority="1450">
      <formula>$AY40="N.D."</formula>
    </cfRule>
  </conditionalFormatting>
  <conditionalFormatting sqref="X40:X45">
    <cfRule type="cellIs" dxfId="19157" priority="1448" operator="equal">
      <formula>0</formula>
    </cfRule>
  </conditionalFormatting>
  <conditionalFormatting sqref="Y40:Y45">
    <cfRule type="expression" dxfId="19156" priority="1446">
      <formula>$M40="NON DEFINED"</formula>
    </cfRule>
    <cfRule type="expression" dxfId="19155" priority="1447">
      <formula>$AY40="N.D."</formula>
    </cfRule>
  </conditionalFormatting>
  <conditionalFormatting sqref="Y40:Y45">
    <cfRule type="cellIs" dxfId="19154" priority="1445" operator="equal">
      <formula>0</formula>
    </cfRule>
  </conditionalFormatting>
  <conditionalFormatting sqref="Z40:Z45">
    <cfRule type="expression" dxfId="19153" priority="1443">
      <formula>$M40="NON DEFINED"</formula>
    </cfRule>
    <cfRule type="expression" dxfId="19152" priority="1444">
      <formula>$AY40="N.D."</formula>
    </cfRule>
  </conditionalFormatting>
  <conditionalFormatting sqref="Z40:Z45">
    <cfRule type="cellIs" dxfId="19151" priority="1442" operator="equal">
      <formula>0</formula>
    </cfRule>
  </conditionalFormatting>
  <conditionalFormatting sqref="AA40:AA45">
    <cfRule type="expression" dxfId="19150" priority="1440">
      <formula>$M40="NON DEFINED"</formula>
    </cfRule>
    <cfRule type="expression" dxfId="19149" priority="1441">
      <formula>$AY40="N.D."</formula>
    </cfRule>
  </conditionalFormatting>
  <conditionalFormatting sqref="AA40:AA45">
    <cfRule type="cellIs" dxfId="19148" priority="1439" operator="equal">
      <formula>0</formula>
    </cfRule>
  </conditionalFormatting>
  <conditionalFormatting sqref="AB40:AB45">
    <cfRule type="expression" dxfId="19147" priority="1437">
      <formula>$M40="NON DEFINED"</formula>
    </cfRule>
    <cfRule type="expression" dxfId="19146" priority="1438">
      <formula>$AY40="N.D."</formula>
    </cfRule>
  </conditionalFormatting>
  <conditionalFormatting sqref="AB40:AB45">
    <cfRule type="cellIs" dxfId="19145" priority="1436" operator="equal">
      <formula>0</formula>
    </cfRule>
  </conditionalFormatting>
  <conditionalFormatting sqref="BD10">
    <cfRule type="cellIs" dxfId="19144" priority="1435" operator="equal">
      <formula>0</formula>
    </cfRule>
  </conditionalFormatting>
  <conditionalFormatting sqref="L30">
    <cfRule type="expression" dxfId="19143" priority="1432">
      <formula>$M30="NON DEFINED"</formula>
    </cfRule>
    <cfRule type="expression" dxfId="19142" priority="1433">
      <formula>$AZ30="N.D."</formula>
    </cfRule>
    <cfRule type="expression" dxfId="19141" priority="1434">
      <formula>$AY30="N.D."</formula>
    </cfRule>
  </conditionalFormatting>
  <conditionalFormatting sqref="L30">
    <cfRule type="expression" dxfId="19140" priority="1421">
      <formula>$A30="Overhead Cable"</formula>
    </cfRule>
    <cfRule type="expression" dxfId="19139" priority="1422">
      <formula>$A30="Level Crossing"</formula>
    </cfRule>
    <cfRule type="expression" dxfId="19138" priority="1423">
      <formula>$A30="Neutral Section"</formula>
    </cfRule>
    <cfRule type="expression" dxfId="19137" priority="1424">
      <formula>$A30="Tunnel"</formula>
    </cfRule>
    <cfRule type="expression" dxfId="19136" priority="1425">
      <formula>$A30="Bridge"</formula>
    </cfRule>
    <cfRule type="expression" dxfId="19135" priority="1426">
      <formula>$A30="Drainage Works"</formula>
    </cfRule>
    <cfRule type="expression" dxfId="19134" priority="1427">
      <formula>$A30="Underpass"</formula>
    </cfRule>
    <cfRule type="expression" dxfId="19133" priority="1428">
      <formula>$A30="Overcrossing"</formula>
    </cfRule>
    <cfRule type="expression" dxfId="19132" priority="1429">
      <formula>$A30="Overpass"</formula>
    </cfRule>
    <cfRule type="expression" dxfId="19131" priority="1430">
      <formula>$A30="Station"</formula>
    </cfRule>
    <cfRule type="expression" dxfId="19130" priority="1431">
      <formula>$A30="Overlap between sections"</formula>
    </cfRule>
  </conditionalFormatting>
  <conditionalFormatting sqref="L32">
    <cfRule type="expression" dxfId="19129" priority="1418">
      <formula>$M32="NON DEFINED"</formula>
    </cfRule>
    <cfRule type="expression" dxfId="19128" priority="1419">
      <formula>$AZ32="N.D."</formula>
    </cfRule>
    <cfRule type="expression" dxfId="19127" priority="1420">
      <formula>$AY32="N.D."</formula>
    </cfRule>
  </conditionalFormatting>
  <conditionalFormatting sqref="L32">
    <cfRule type="expression" dxfId="19126" priority="1407">
      <formula>$A32="Overhead Cable"</formula>
    </cfRule>
    <cfRule type="expression" dxfId="19125" priority="1408">
      <formula>$A32="Level Crossing"</formula>
    </cfRule>
    <cfRule type="expression" dxfId="19124" priority="1409">
      <formula>$A32="Neutral Section"</formula>
    </cfRule>
    <cfRule type="expression" dxfId="19123" priority="1410">
      <formula>$A32="Tunnel"</formula>
    </cfRule>
    <cfRule type="expression" dxfId="19122" priority="1411">
      <formula>$A32="Bridge"</formula>
    </cfRule>
    <cfRule type="expression" dxfId="19121" priority="1412">
      <formula>$A32="Drainage Works"</formula>
    </cfRule>
    <cfRule type="expression" dxfId="19120" priority="1413">
      <formula>$A32="Underpass"</formula>
    </cfRule>
    <cfRule type="expression" dxfId="19119" priority="1414">
      <formula>$A32="Overcrossing"</formula>
    </cfRule>
    <cfRule type="expression" dxfId="19118" priority="1415">
      <formula>$A32="Overpass"</formula>
    </cfRule>
    <cfRule type="expression" dxfId="19117" priority="1416">
      <formula>$A32="Station"</formula>
    </cfRule>
    <cfRule type="expression" dxfId="19116" priority="1417">
      <formula>$A32="Overlap between sections"</formula>
    </cfRule>
  </conditionalFormatting>
  <conditionalFormatting sqref="L34">
    <cfRule type="expression" dxfId="19115" priority="1404">
      <formula>$M34="NON DEFINED"</formula>
    </cfRule>
    <cfRule type="expression" dxfId="19114" priority="1405">
      <formula>$AZ34="N.D."</formula>
    </cfRule>
    <cfRule type="expression" dxfId="19113" priority="1406">
      <formula>$AY34="N.D."</formula>
    </cfRule>
  </conditionalFormatting>
  <conditionalFormatting sqref="L34">
    <cfRule type="expression" dxfId="19112" priority="1393">
      <formula>$A34="Overhead Cable"</formula>
    </cfRule>
    <cfRule type="expression" dxfId="19111" priority="1394">
      <formula>$A34="Level Crossing"</formula>
    </cfRule>
    <cfRule type="expression" dxfId="19110" priority="1395">
      <formula>$A34="Neutral Section"</formula>
    </cfRule>
    <cfRule type="expression" dxfId="19109" priority="1396">
      <formula>$A34="Tunnel"</formula>
    </cfRule>
    <cfRule type="expression" dxfId="19108" priority="1397">
      <formula>$A34="Bridge"</formula>
    </cfRule>
    <cfRule type="expression" dxfId="19107" priority="1398">
      <formula>$A34="Drainage Works"</formula>
    </cfRule>
    <cfRule type="expression" dxfId="19106" priority="1399">
      <formula>$A34="Underpass"</formula>
    </cfRule>
    <cfRule type="expression" dxfId="19105" priority="1400">
      <formula>$A34="Overcrossing"</formula>
    </cfRule>
    <cfRule type="expression" dxfId="19104" priority="1401">
      <formula>$A34="Overpass"</formula>
    </cfRule>
    <cfRule type="expression" dxfId="19103" priority="1402">
      <formula>$A34="Station"</formula>
    </cfRule>
    <cfRule type="expression" dxfId="19102" priority="1403">
      <formula>$A34="Overlap between sections"</formula>
    </cfRule>
  </conditionalFormatting>
  <conditionalFormatting sqref="L36">
    <cfRule type="expression" dxfId="19101" priority="1390">
      <formula>$M36="NON DEFINED"</formula>
    </cfRule>
    <cfRule type="expression" dxfId="19100" priority="1391">
      <formula>$AZ36="N.D."</formula>
    </cfRule>
    <cfRule type="expression" dxfId="19099" priority="1392">
      <formula>$AY36="N.D."</formula>
    </cfRule>
  </conditionalFormatting>
  <conditionalFormatting sqref="L36">
    <cfRule type="expression" dxfId="19098" priority="1379">
      <formula>$A36="Overhead Cable"</formula>
    </cfRule>
    <cfRule type="expression" dxfId="19097" priority="1380">
      <formula>$A36="Level Crossing"</formula>
    </cfRule>
    <cfRule type="expression" dxfId="19096" priority="1381">
      <formula>$A36="Neutral Section"</formula>
    </cfRule>
    <cfRule type="expression" dxfId="19095" priority="1382">
      <formula>$A36="Tunnel"</formula>
    </cfRule>
    <cfRule type="expression" dxfId="19094" priority="1383">
      <formula>$A36="Bridge"</formula>
    </cfRule>
    <cfRule type="expression" dxfId="19093" priority="1384">
      <formula>$A36="Drainage Works"</formula>
    </cfRule>
    <cfRule type="expression" dxfId="19092" priority="1385">
      <formula>$A36="Underpass"</formula>
    </cfRule>
    <cfRule type="expression" dxfId="19091" priority="1386">
      <formula>$A36="Overcrossing"</formula>
    </cfRule>
    <cfRule type="expression" dxfId="19090" priority="1387">
      <formula>$A36="Overpass"</formula>
    </cfRule>
    <cfRule type="expression" dxfId="19089" priority="1388">
      <formula>$A36="Station"</formula>
    </cfRule>
    <cfRule type="expression" dxfId="19088" priority="1389">
      <formula>$A36="Overlap between sections"</formula>
    </cfRule>
  </conditionalFormatting>
  <conditionalFormatting sqref="AL30">
    <cfRule type="expression" dxfId="19087" priority="1376">
      <formula>$M30="NON DEFINED"</formula>
    </cfRule>
    <cfRule type="expression" dxfId="19086" priority="1377">
      <formula>$AZ30="N.D."</formula>
    </cfRule>
    <cfRule type="expression" dxfId="19085" priority="1378">
      <formula>$AY30="N.D."</formula>
    </cfRule>
  </conditionalFormatting>
  <conditionalFormatting sqref="AL30">
    <cfRule type="expression" dxfId="19084" priority="1365">
      <formula>$A30="Overhead Cable"</formula>
    </cfRule>
    <cfRule type="expression" dxfId="19083" priority="1366">
      <formula>$A30="Level Crossing"</formula>
    </cfRule>
    <cfRule type="expression" dxfId="19082" priority="1367">
      <formula>$A30="Neutral Section"</formula>
    </cfRule>
    <cfRule type="expression" dxfId="19081" priority="1368">
      <formula>$A30="Tunnel"</formula>
    </cfRule>
    <cfRule type="expression" dxfId="19080" priority="1369">
      <formula>$A30="Bridge"</formula>
    </cfRule>
    <cfRule type="expression" dxfId="19079" priority="1370">
      <formula>$A30="Drainage Works"</formula>
    </cfRule>
    <cfRule type="expression" dxfId="19078" priority="1371">
      <formula>$A30="Underpass"</formula>
    </cfRule>
    <cfRule type="expression" dxfId="19077" priority="1372">
      <formula>$A30="Overcrossing"</formula>
    </cfRule>
    <cfRule type="expression" dxfId="19076" priority="1373">
      <formula>$A30="Overpass"</formula>
    </cfRule>
    <cfRule type="expression" dxfId="19075" priority="1374">
      <formula>$A30="Station"</formula>
    </cfRule>
    <cfRule type="expression" dxfId="19074" priority="1375">
      <formula>$A30="Overlap between sections"</formula>
    </cfRule>
  </conditionalFormatting>
  <conditionalFormatting sqref="AL32">
    <cfRule type="expression" dxfId="19073" priority="1362">
      <formula>$M32="NON DEFINED"</formula>
    </cfRule>
    <cfRule type="expression" dxfId="19072" priority="1363">
      <formula>$AZ32="N.D."</formula>
    </cfRule>
    <cfRule type="expression" dxfId="19071" priority="1364">
      <formula>$AY32="N.D."</formula>
    </cfRule>
  </conditionalFormatting>
  <conditionalFormatting sqref="AL32">
    <cfRule type="expression" dxfId="19070" priority="1351">
      <formula>$A32="Overhead Cable"</formula>
    </cfRule>
    <cfRule type="expression" dxfId="19069" priority="1352">
      <formula>$A32="Level Crossing"</formula>
    </cfRule>
    <cfRule type="expression" dxfId="19068" priority="1353">
      <formula>$A32="Neutral Section"</formula>
    </cfRule>
    <cfRule type="expression" dxfId="19067" priority="1354">
      <formula>$A32="Tunnel"</formula>
    </cfRule>
    <cfRule type="expression" dxfId="19066" priority="1355">
      <formula>$A32="Bridge"</formula>
    </cfRule>
    <cfRule type="expression" dxfId="19065" priority="1356">
      <formula>$A32="Drainage Works"</formula>
    </cfRule>
    <cfRule type="expression" dxfId="19064" priority="1357">
      <formula>$A32="Underpass"</formula>
    </cfRule>
    <cfRule type="expression" dxfId="19063" priority="1358">
      <formula>$A32="Overcrossing"</formula>
    </cfRule>
    <cfRule type="expression" dxfId="19062" priority="1359">
      <formula>$A32="Overpass"</formula>
    </cfRule>
    <cfRule type="expression" dxfId="19061" priority="1360">
      <formula>$A32="Station"</formula>
    </cfRule>
    <cfRule type="expression" dxfId="19060" priority="1361">
      <formula>$A32="Overlap between sections"</formula>
    </cfRule>
  </conditionalFormatting>
  <conditionalFormatting sqref="AL34">
    <cfRule type="expression" dxfId="19059" priority="1348">
      <formula>$M34="NON DEFINED"</formula>
    </cfRule>
    <cfRule type="expression" dxfId="19058" priority="1349">
      <formula>$AZ34="N.D."</formula>
    </cfRule>
    <cfRule type="expression" dxfId="19057" priority="1350">
      <formula>$AY34="N.D."</formula>
    </cfRule>
  </conditionalFormatting>
  <conditionalFormatting sqref="AL34">
    <cfRule type="expression" dxfId="19056" priority="1337">
      <formula>$A34="Overhead Cable"</formula>
    </cfRule>
    <cfRule type="expression" dxfId="19055" priority="1338">
      <formula>$A34="Level Crossing"</formula>
    </cfRule>
    <cfRule type="expression" dxfId="19054" priority="1339">
      <formula>$A34="Neutral Section"</formula>
    </cfRule>
    <cfRule type="expression" dxfId="19053" priority="1340">
      <formula>$A34="Tunnel"</formula>
    </cfRule>
    <cfRule type="expression" dxfId="19052" priority="1341">
      <formula>$A34="Bridge"</formula>
    </cfRule>
    <cfRule type="expression" dxfId="19051" priority="1342">
      <formula>$A34="Drainage Works"</formula>
    </cfRule>
    <cfRule type="expression" dxfId="19050" priority="1343">
      <formula>$A34="Underpass"</formula>
    </cfRule>
    <cfRule type="expression" dxfId="19049" priority="1344">
      <formula>$A34="Overcrossing"</formula>
    </cfRule>
    <cfRule type="expression" dxfId="19048" priority="1345">
      <formula>$A34="Overpass"</formula>
    </cfRule>
    <cfRule type="expression" dxfId="19047" priority="1346">
      <formula>$A34="Station"</formula>
    </cfRule>
    <cfRule type="expression" dxfId="19046" priority="1347">
      <formula>$A34="Overlap between sections"</formula>
    </cfRule>
  </conditionalFormatting>
  <conditionalFormatting sqref="AL36">
    <cfRule type="expression" dxfId="19045" priority="1334">
      <formula>$M36="NON DEFINED"</formula>
    </cfRule>
    <cfRule type="expression" dxfId="19044" priority="1335">
      <formula>$AZ36="N.D."</formula>
    </cfRule>
    <cfRule type="expression" dxfId="19043" priority="1336">
      <formula>$AY36="N.D."</formula>
    </cfRule>
  </conditionalFormatting>
  <conditionalFormatting sqref="AL36">
    <cfRule type="expression" dxfId="19042" priority="1323">
      <formula>$A36="Overhead Cable"</formula>
    </cfRule>
    <cfRule type="expression" dxfId="19041" priority="1324">
      <formula>$A36="Level Crossing"</formula>
    </cfRule>
    <cfRule type="expression" dxfId="19040" priority="1325">
      <formula>$A36="Neutral Section"</formula>
    </cfRule>
    <cfRule type="expression" dxfId="19039" priority="1326">
      <formula>$A36="Tunnel"</formula>
    </cfRule>
    <cfRule type="expression" dxfId="19038" priority="1327">
      <formula>$A36="Bridge"</formula>
    </cfRule>
    <cfRule type="expression" dxfId="19037" priority="1328">
      <formula>$A36="Drainage Works"</formula>
    </cfRule>
    <cfRule type="expression" dxfId="19036" priority="1329">
      <formula>$A36="Underpass"</formula>
    </cfRule>
    <cfRule type="expression" dxfId="19035" priority="1330">
      <formula>$A36="Overcrossing"</formula>
    </cfRule>
    <cfRule type="expression" dxfId="19034" priority="1331">
      <formula>$A36="Overpass"</formula>
    </cfRule>
    <cfRule type="expression" dxfId="19033" priority="1332">
      <formula>$A36="Station"</formula>
    </cfRule>
    <cfRule type="expression" dxfId="19032" priority="1333">
      <formula>$A36="Overlap between sections"</formula>
    </cfRule>
  </conditionalFormatting>
  <conditionalFormatting sqref="BD30">
    <cfRule type="containsText" dxfId="19031" priority="1322" operator="containsText" text="Poner a mano">
      <formula>NOT(ISERROR(SEARCH("Poner a mano",BD30)))</formula>
    </cfRule>
  </conditionalFormatting>
  <conditionalFormatting sqref="BD32">
    <cfRule type="containsText" dxfId="19030" priority="1321" operator="containsText" text="Poner a mano">
      <formula>NOT(ISERROR(SEARCH("Poner a mano",BD32)))</formula>
    </cfRule>
  </conditionalFormatting>
  <conditionalFormatting sqref="BD34">
    <cfRule type="containsText" dxfId="19029" priority="1320" operator="containsText" text="Poner a mano">
      <formula>NOT(ISERROR(SEARCH("Poner a mano",BD34)))</formula>
    </cfRule>
  </conditionalFormatting>
  <conditionalFormatting sqref="BD36">
    <cfRule type="containsText" dxfId="19028" priority="1319" operator="containsText" text="Poner a mano">
      <formula>NOT(ISERROR(SEARCH("Poner a mano",BD36)))</formula>
    </cfRule>
  </conditionalFormatting>
  <conditionalFormatting sqref="BD38">
    <cfRule type="containsText" dxfId="19027" priority="1318" operator="containsText" text="Poner a mano">
      <formula>NOT(ISERROR(SEARCH("Poner a mano",BD38)))</formula>
    </cfRule>
  </conditionalFormatting>
  <conditionalFormatting sqref="BF6:BG6 BI6 BF8:BG8 BF10:BG10 BF12:BG12 BF14:BG14 BF16:BG16 BF18:BG18 BF20:BG20 BF22:BG22 BF24:BG24 BF26:BG26 BF28:BG28 BF30:BG30 BF32:BG32 BF34:BG34 BF36:BG36 BF38:BG38 BF40:BG40 BF42:BG42 BF44:BG44 BI8 BI10 BI12 BI14 BI16 BI18 BI20 BI22 BI24 BI26 BI28 BI30 BI32 BI34 BI36 BI38 BI40 BI42 BI44">
    <cfRule type="containsBlanks" dxfId="19026" priority="1317">
      <formula>LEN(TRIM(BF6))=0</formula>
    </cfRule>
  </conditionalFormatting>
  <conditionalFormatting sqref="N14">
    <cfRule type="expression" dxfId="19025" priority="1314">
      <formula>$M14="NON DEFINED"</formula>
    </cfRule>
    <cfRule type="expression" dxfId="19024" priority="1315">
      <formula>$AZ14="N.D."</formula>
    </cfRule>
    <cfRule type="expression" dxfId="19023" priority="1316">
      <formula>$AY14="N.D."</formula>
    </cfRule>
  </conditionalFormatting>
  <conditionalFormatting sqref="N14">
    <cfRule type="expression" dxfId="19022" priority="1303">
      <formula>$A14="Overhead Cable"</formula>
    </cfRule>
    <cfRule type="expression" dxfId="19021" priority="1304">
      <formula>$A14="Level Crossing"</formula>
    </cfRule>
    <cfRule type="expression" dxfId="19020" priority="1305">
      <formula>$A14="Neutral Section"</formula>
    </cfRule>
    <cfRule type="expression" dxfId="19019" priority="1306">
      <formula>$A14="Tunnel"</formula>
    </cfRule>
    <cfRule type="expression" dxfId="19018" priority="1307">
      <formula>$A14="Bridge"</formula>
    </cfRule>
    <cfRule type="expression" dxfId="19017" priority="1308">
      <formula>$A14="Drainage Works"</formula>
    </cfRule>
    <cfRule type="expression" dxfId="19016" priority="1309">
      <formula>$A14="Underpass"</formula>
    </cfRule>
    <cfRule type="expression" dxfId="19015" priority="1310">
      <formula>$A14="Overcrossing"</formula>
    </cfRule>
    <cfRule type="expression" dxfId="19014" priority="1311">
      <formula>$A14="Overpass"</formula>
    </cfRule>
    <cfRule type="expression" dxfId="19013" priority="1312">
      <formula>$A14="Station"</formula>
    </cfRule>
    <cfRule type="expression" dxfId="19012" priority="1313">
      <formula>$A14="Overlap between sections"</formula>
    </cfRule>
  </conditionalFormatting>
  <conditionalFormatting sqref="N18">
    <cfRule type="expression" dxfId="19011" priority="1300">
      <formula>$M18="NON DEFINED"</formula>
    </cfRule>
    <cfRule type="expression" dxfId="19010" priority="1301">
      <formula>$AZ18="N.D."</formula>
    </cfRule>
    <cfRule type="expression" dxfId="19009" priority="1302">
      <formula>$AY18="N.D."</formula>
    </cfRule>
  </conditionalFormatting>
  <conditionalFormatting sqref="N18">
    <cfRule type="expression" dxfId="19008" priority="1289">
      <formula>$A18="Overhead Cable"</formula>
    </cfRule>
    <cfRule type="expression" dxfId="19007" priority="1290">
      <formula>$A18="Level Crossing"</formula>
    </cfRule>
    <cfRule type="expression" dxfId="19006" priority="1291">
      <formula>$A18="Neutral Section"</formula>
    </cfRule>
    <cfRule type="expression" dxfId="19005" priority="1292">
      <formula>$A18="Tunnel"</formula>
    </cfRule>
    <cfRule type="expression" dxfId="19004" priority="1293">
      <formula>$A18="Bridge"</formula>
    </cfRule>
    <cfRule type="expression" dxfId="19003" priority="1294">
      <formula>$A18="Drainage Works"</formula>
    </cfRule>
    <cfRule type="expression" dxfId="19002" priority="1295">
      <formula>$A18="Underpass"</formula>
    </cfRule>
    <cfRule type="expression" dxfId="19001" priority="1296">
      <formula>$A18="Overcrossing"</formula>
    </cfRule>
    <cfRule type="expression" dxfId="19000" priority="1297">
      <formula>$A18="Overpass"</formula>
    </cfRule>
    <cfRule type="expression" dxfId="18999" priority="1298">
      <formula>$A18="Station"</formula>
    </cfRule>
    <cfRule type="expression" dxfId="18998" priority="1299">
      <formula>$A18="Overlap between sections"</formula>
    </cfRule>
  </conditionalFormatting>
  <conditionalFormatting sqref="O22">
    <cfRule type="expression" dxfId="18997" priority="1286">
      <formula>$M22="NON DEFINED"</formula>
    </cfRule>
    <cfRule type="expression" dxfId="18996" priority="1287">
      <formula>$AZ22="N.D."</formula>
    </cfRule>
    <cfRule type="expression" dxfId="18995" priority="1288">
      <formula>$AY22="N.D."</formula>
    </cfRule>
  </conditionalFormatting>
  <conditionalFormatting sqref="O22">
    <cfRule type="expression" dxfId="18994" priority="1275">
      <formula>$A22="Overhead Cable"</formula>
    </cfRule>
    <cfRule type="expression" dxfId="18993" priority="1276">
      <formula>$A22="Level Crossing"</formula>
    </cfRule>
    <cfRule type="expression" dxfId="18992" priority="1277">
      <formula>$A22="Neutral Section"</formula>
    </cfRule>
    <cfRule type="expression" dxfId="18991" priority="1278">
      <formula>$A22="Tunnel"</formula>
    </cfRule>
    <cfRule type="expression" dxfId="18990" priority="1279">
      <formula>$A22="Bridge"</formula>
    </cfRule>
    <cfRule type="expression" dxfId="18989" priority="1280">
      <formula>$A22="Drainage Works"</formula>
    </cfRule>
    <cfRule type="expression" dxfId="18988" priority="1281">
      <formula>$A22="Underpass"</formula>
    </cfRule>
    <cfRule type="expression" dxfId="18987" priority="1282">
      <formula>$A22="Overcrossing"</formula>
    </cfRule>
    <cfRule type="expression" dxfId="18986" priority="1283">
      <formula>$A22="Overpass"</formula>
    </cfRule>
    <cfRule type="expression" dxfId="18985" priority="1284">
      <formula>$A22="Station"</formula>
    </cfRule>
    <cfRule type="expression" dxfId="18984" priority="1285">
      <formula>$A22="Overlap between sections"</formula>
    </cfRule>
  </conditionalFormatting>
  <conditionalFormatting sqref="P22">
    <cfRule type="expression" dxfId="18983" priority="1272">
      <formula>$M22="NON DEFINED"</formula>
    </cfRule>
    <cfRule type="expression" dxfId="18982" priority="1273">
      <formula>$AZ22="N.D."</formula>
    </cfRule>
    <cfRule type="expression" dxfId="18981" priority="1274">
      <formula>$AY22="N.D."</formula>
    </cfRule>
  </conditionalFormatting>
  <conditionalFormatting sqref="P22">
    <cfRule type="expression" dxfId="18980" priority="1261">
      <formula>$A22="Overhead Cable"</formula>
    </cfRule>
    <cfRule type="expression" dxfId="18979" priority="1262">
      <formula>$A22="Level Crossing"</formula>
    </cfRule>
    <cfRule type="expression" dxfId="18978" priority="1263">
      <formula>$A22="Neutral Section"</formula>
    </cfRule>
    <cfRule type="expression" dxfId="18977" priority="1264">
      <formula>$A22="Tunnel"</formula>
    </cfRule>
    <cfRule type="expression" dxfId="18976" priority="1265">
      <formula>$A22="Bridge"</formula>
    </cfRule>
    <cfRule type="expression" dxfId="18975" priority="1266">
      <formula>$A22="Drainage Works"</formula>
    </cfRule>
    <cfRule type="expression" dxfId="18974" priority="1267">
      <formula>$A22="Underpass"</formula>
    </cfRule>
    <cfRule type="expression" dxfId="18973" priority="1268">
      <formula>$A22="Overcrossing"</formula>
    </cfRule>
    <cfRule type="expression" dxfId="18972" priority="1269">
      <formula>$A22="Overpass"</formula>
    </cfRule>
    <cfRule type="expression" dxfId="18971" priority="1270">
      <formula>$A22="Station"</formula>
    </cfRule>
    <cfRule type="expression" dxfId="18970" priority="1271">
      <formula>$A22="Overlap between sections"</formula>
    </cfRule>
  </conditionalFormatting>
  <conditionalFormatting sqref="Q22">
    <cfRule type="expression" dxfId="18969" priority="1258">
      <formula>$M22="NON DEFINED"</formula>
    </cfRule>
    <cfRule type="expression" dxfId="18968" priority="1259">
      <formula>$AZ22="N.D."</formula>
    </cfRule>
    <cfRule type="expression" dxfId="18967" priority="1260">
      <formula>$AY22="N.D."</formula>
    </cfRule>
  </conditionalFormatting>
  <conditionalFormatting sqref="Q22">
    <cfRule type="expression" dxfId="18966" priority="1247">
      <formula>$A22="Overhead Cable"</formula>
    </cfRule>
    <cfRule type="expression" dxfId="18965" priority="1248">
      <formula>$A22="Level Crossing"</formula>
    </cfRule>
    <cfRule type="expression" dxfId="18964" priority="1249">
      <formula>$A22="Neutral Section"</formula>
    </cfRule>
    <cfRule type="expression" dxfId="18963" priority="1250">
      <formula>$A22="Tunnel"</formula>
    </cfRule>
    <cfRule type="expression" dxfId="18962" priority="1251">
      <formula>$A22="Bridge"</formula>
    </cfRule>
    <cfRule type="expression" dxfId="18961" priority="1252">
      <formula>$A22="Drainage Works"</formula>
    </cfRule>
    <cfRule type="expression" dxfId="18960" priority="1253">
      <formula>$A22="Underpass"</formula>
    </cfRule>
    <cfRule type="expression" dxfId="18959" priority="1254">
      <formula>$A22="Overcrossing"</formula>
    </cfRule>
    <cfRule type="expression" dxfId="18958" priority="1255">
      <formula>$A22="Overpass"</formula>
    </cfRule>
    <cfRule type="expression" dxfId="18957" priority="1256">
      <formula>$A22="Station"</formula>
    </cfRule>
    <cfRule type="expression" dxfId="18956" priority="1257">
      <formula>$A22="Overlap between sections"</formula>
    </cfRule>
  </conditionalFormatting>
  <conditionalFormatting sqref="T22">
    <cfRule type="expression" dxfId="18955" priority="1244">
      <formula>$M22="NON DEFINED"</formula>
    </cfRule>
    <cfRule type="expression" dxfId="18954" priority="1245">
      <formula>$AZ22="N.D."</formula>
    </cfRule>
    <cfRule type="expression" dxfId="18953" priority="1246">
      <formula>$AY22="N.D."</formula>
    </cfRule>
  </conditionalFormatting>
  <conditionalFormatting sqref="T22">
    <cfRule type="expression" dxfId="18952" priority="1233">
      <formula>$A22="Overhead Cable"</formula>
    </cfRule>
    <cfRule type="expression" dxfId="18951" priority="1234">
      <formula>$A22="Level Crossing"</formula>
    </cfRule>
    <cfRule type="expression" dxfId="18950" priority="1235">
      <formula>$A22="Neutral Section"</formula>
    </cfRule>
    <cfRule type="expression" dxfId="18949" priority="1236">
      <formula>$A22="Tunnel"</formula>
    </cfRule>
    <cfRule type="expression" dxfId="18948" priority="1237">
      <formula>$A22="Bridge"</formula>
    </cfRule>
    <cfRule type="expression" dxfId="18947" priority="1238">
      <formula>$A22="Drainage Works"</formula>
    </cfRule>
    <cfRule type="expression" dxfId="18946" priority="1239">
      <formula>$A22="Underpass"</formula>
    </cfRule>
    <cfRule type="expression" dxfId="18945" priority="1240">
      <formula>$A22="Overcrossing"</formula>
    </cfRule>
    <cfRule type="expression" dxfId="18944" priority="1241">
      <formula>$A22="Overpass"</formula>
    </cfRule>
    <cfRule type="expression" dxfId="18943" priority="1242">
      <formula>$A22="Station"</formula>
    </cfRule>
    <cfRule type="expression" dxfId="18942" priority="1243">
      <formula>$A22="Overlap between sections"</formula>
    </cfRule>
  </conditionalFormatting>
  <conditionalFormatting sqref="U22">
    <cfRule type="expression" dxfId="18941" priority="1230">
      <formula>$M22="NON DEFINED"</formula>
    </cfRule>
    <cfRule type="expression" dxfId="18940" priority="1231">
      <formula>$AZ22="N.D."</formula>
    </cfRule>
    <cfRule type="expression" dxfId="18939" priority="1232">
      <formula>$AY22="N.D."</formula>
    </cfRule>
  </conditionalFormatting>
  <conditionalFormatting sqref="U22">
    <cfRule type="expression" dxfId="18938" priority="1219">
      <formula>$A22="Overhead Cable"</formula>
    </cfRule>
    <cfRule type="expression" dxfId="18937" priority="1220">
      <formula>$A22="Level Crossing"</formula>
    </cfRule>
    <cfRule type="expression" dxfId="18936" priority="1221">
      <formula>$A22="Neutral Section"</formula>
    </cfRule>
    <cfRule type="expression" dxfId="18935" priority="1222">
      <formula>$A22="Tunnel"</formula>
    </cfRule>
    <cfRule type="expression" dxfId="18934" priority="1223">
      <formula>$A22="Bridge"</formula>
    </cfRule>
    <cfRule type="expression" dxfId="18933" priority="1224">
      <formula>$A22="Drainage Works"</formula>
    </cfRule>
    <cfRule type="expression" dxfId="18932" priority="1225">
      <formula>$A22="Underpass"</formula>
    </cfRule>
    <cfRule type="expression" dxfId="18931" priority="1226">
      <formula>$A22="Overcrossing"</formula>
    </cfRule>
    <cfRule type="expression" dxfId="18930" priority="1227">
      <formula>$A22="Overpass"</formula>
    </cfRule>
    <cfRule type="expression" dxfId="18929" priority="1228">
      <formula>$A22="Station"</formula>
    </cfRule>
    <cfRule type="expression" dxfId="18928" priority="1229">
      <formula>$A22="Overlap between sections"</formula>
    </cfRule>
  </conditionalFormatting>
  <conditionalFormatting sqref="V22">
    <cfRule type="expression" dxfId="18927" priority="1216">
      <formula>$M22="NON DEFINED"</formula>
    </cfRule>
    <cfRule type="expression" dxfId="18926" priority="1217">
      <formula>$AZ22="N.D."</formula>
    </cfRule>
    <cfRule type="expression" dxfId="18925" priority="1218">
      <formula>$AY22="N.D."</formula>
    </cfRule>
  </conditionalFormatting>
  <conditionalFormatting sqref="V22">
    <cfRule type="expression" dxfId="18924" priority="1205">
      <formula>$A22="Overhead Cable"</formula>
    </cfRule>
    <cfRule type="expression" dxfId="18923" priority="1206">
      <formula>$A22="Level Crossing"</formula>
    </cfRule>
    <cfRule type="expression" dxfId="18922" priority="1207">
      <formula>$A22="Neutral Section"</formula>
    </cfRule>
    <cfRule type="expression" dxfId="18921" priority="1208">
      <formula>$A22="Tunnel"</formula>
    </cfRule>
    <cfRule type="expression" dxfId="18920" priority="1209">
      <formula>$A22="Bridge"</formula>
    </cfRule>
    <cfRule type="expression" dxfId="18919" priority="1210">
      <formula>$A22="Drainage Works"</formula>
    </cfRule>
    <cfRule type="expression" dxfId="18918" priority="1211">
      <formula>$A22="Underpass"</formula>
    </cfRule>
    <cfRule type="expression" dxfId="18917" priority="1212">
      <formula>$A22="Overcrossing"</formula>
    </cfRule>
    <cfRule type="expression" dxfId="18916" priority="1213">
      <formula>$A22="Overpass"</formula>
    </cfRule>
    <cfRule type="expression" dxfId="18915" priority="1214">
      <formula>$A22="Station"</formula>
    </cfRule>
    <cfRule type="expression" dxfId="18914" priority="1215">
      <formula>$A22="Overlap between sections"</formula>
    </cfRule>
  </conditionalFormatting>
  <conditionalFormatting sqref="R22">
    <cfRule type="expression" dxfId="18913" priority="1202">
      <formula>$M22="NON DEFINED"</formula>
    </cfRule>
    <cfRule type="expression" dxfId="18912" priority="1203">
      <formula>$AZ22="N.D."</formula>
    </cfRule>
    <cfRule type="expression" dxfId="18911" priority="1204">
      <formula>$AY22="N.D."</formula>
    </cfRule>
  </conditionalFormatting>
  <conditionalFormatting sqref="R22">
    <cfRule type="expression" dxfId="18910" priority="1191">
      <formula>$A22="Overhead Cable"</formula>
    </cfRule>
    <cfRule type="expression" dxfId="18909" priority="1192">
      <formula>$A22="Level Crossing"</formula>
    </cfRule>
    <cfRule type="expression" dxfId="18908" priority="1193">
      <formula>$A22="Neutral Section"</formula>
    </cfRule>
    <cfRule type="expression" dxfId="18907" priority="1194">
      <formula>$A22="Tunnel"</formula>
    </cfRule>
    <cfRule type="expression" dxfId="18906" priority="1195">
      <formula>$A22="Bridge"</formula>
    </cfRule>
    <cfRule type="expression" dxfId="18905" priority="1196">
      <formula>$A22="Drainage Works"</formula>
    </cfRule>
    <cfRule type="expression" dxfId="18904" priority="1197">
      <formula>$A22="Underpass"</formula>
    </cfRule>
    <cfRule type="expression" dxfId="18903" priority="1198">
      <formula>$A22="Overcrossing"</formula>
    </cfRule>
    <cfRule type="expression" dxfId="18902" priority="1199">
      <formula>$A22="Overpass"</formula>
    </cfRule>
    <cfRule type="expression" dxfId="18901" priority="1200">
      <formula>$A22="Station"</formula>
    </cfRule>
    <cfRule type="expression" dxfId="18900" priority="1201">
      <formula>$A22="Overlap between sections"</formula>
    </cfRule>
  </conditionalFormatting>
  <conditionalFormatting sqref="S22">
    <cfRule type="expression" dxfId="18899" priority="1188">
      <formula>$M22="NON DEFINED"</formula>
    </cfRule>
    <cfRule type="expression" dxfId="18898" priority="1189">
      <formula>$AZ22="N.D."</formula>
    </cfRule>
    <cfRule type="expression" dxfId="18897" priority="1190">
      <formula>$AY22="N.D."</formula>
    </cfRule>
  </conditionalFormatting>
  <conditionalFormatting sqref="S22">
    <cfRule type="expression" dxfId="18896" priority="1177">
      <formula>$A22="Overhead Cable"</formula>
    </cfRule>
    <cfRule type="expression" dxfId="18895" priority="1178">
      <formula>$A22="Level Crossing"</formula>
    </cfRule>
    <cfRule type="expression" dxfId="18894" priority="1179">
      <formula>$A22="Neutral Section"</formula>
    </cfRule>
    <cfRule type="expression" dxfId="18893" priority="1180">
      <formula>$A22="Tunnel"</formula>
    </cfRule>
    <cfRule type="expression" dxfId="18892" priority="1181">
      <formula>$A22="Bridge"</formula>
    </cfRule>
    <cfRule type="expression" dxfId="18891" priority="1182">
      <formula>$A22="Drainage Works"</formula>
    </cfRule>
    <cfRule type="expression" dxfId="18890" priority="1183">
      <formula>$A22="Underpass"</formula>
    </cfRule>
    <cfRule type="expression" dxfId="18889" priority="1184">
      <formula>$A22="Overcrossing"</formula>
    </cfRule>
    <cfRule type="expression" dxfId="18888" priority="1185">
      <formula>$A22="Overpass"</formula>
    </cfRule>
    <cfRule type="expression" dxfId="18887" priority="1186">
      <formula>$A22="Station"</formula>
    </cfRule>
    <cfRule type="expression" dxfId="18886" priority="1187">
      <formula>$A22="Overlap between sections"</formula>
    </cfRule>
  </conditionalFormatting>
  <conditionalFormatting sqref="W22">
    <cfRule type="expression" dxfId="18885" priority="1174">
      <formula>$M22="NON DEFINED"</formula>
    </cfRule>
    <cfRule type="expression" dxfId="18884" priority="1175">
      <formula>$AZ22="N.D."</formula>
    </cfRule>
    <cfRule type="expression" dxfId="18883" priority="1176">
      <formula>$AY22="N.D."</formula>
    </cfRule>
  </conditionalFormatting>
  <conditionalFormatting sqref="W22">
    <cfRule type="expression" dxfId="18882" priority="1163">
      <formula>$A22="Overhead Cable"</formula>
    </cfRule>
    <cfRule type="expression" dxfId="18881" priority="1164">
      <formula>$A22="Level Crossing"</formula>
    </cfRule>
    <cfRule type="expression" dxfId="18880" priority="1165">
      <formula>$A22="Neutral Section"</formula>
    </cfRule>
    <cfRule type="expression" dxfId="18879" priority="1166">
      <formula>$A22="Tunnel"</formula>
    </cfRule>
    <cfRule type="expression" dxfId="18878" priority="1167">
      <formula>$A22="Bridge"</formula>
    </cfRule>
    <cfRule type="expression" dxfId="18877" priority="1168">
      <formula>$A22="Drainage Works"</formula>
    </cfRule>
    <cfRule type="expression" dxfId="18876" priority="1169">
      <formula>$A22="Underpass"</formula>
    </cfRule>
    <cfRule type="expression" dxfId="18875" priority="1170">
      <formula>$A22="Overcrossing"</formula>
    </cfRule>
    <cfRule type="expression" dxfId="18874" priority="1171">
      <formula>$A22="Overpass"</formula>
    </cfRule>
    <cfRule type="expression" dxfId="18873" priority="1172">
      <formula>$A22="Station"</formula>
    </cfRule>
    <cfRule type="expression" dxfId="18872" priority="1173">
      <formula>$A22="Overlap between sections"</formula>
    </cfRule>
  </conditionalFormatting>
  <conditionalFormatting sqref="N22">
    <cfRule type="expression" dxfId="18871" priority="1160">
      <formula>$M22="NON DEFINED"</formula>
    </cfRule>
    <cfRule type="expression" dxfId="18870" priority="1161">
      <formula>$AZ22="N.D."</formula>
    </cfRule>
    <cfRule type="expression" dxfId="18869" priority="1162">
      <formula>$AY22="N.D."</formula>
    </cfRule>
  </conditionalFormatting>
  <conditionalFormatting sqref="N22">
    <cfRule type="expression" dxfId="18868" priority="1149">
      <formula>$A22="Overhead Cable"</formula>
    </cfRule>
    <cfRule type="expression" dxfId="18867" priority="1150">
      <formula>$A22="Level Crossing"</formula>
    </cfRule>
    <cfRule type="expression" dxfId="18866" priority="1151">
      <formula>$A22="Neutral Section"</formula>
    </cfRule>
    <cfRule type="expression" dxfId="18865" priority="1152">
      <formula>$A22="Tunnel"</formula>
    </cfRule>
    <cfRule type="expression" dxfId="18864" priority="1153">
      <formula>$A22="Bridge"</formula>
    </cfRule>
    <cfRule type="expression" dxfId="18863" priority="1154">
      <formula>$A22="Drainage Works"</formula>
    </cfRule>
    <cfRule type="expression" dxfId="18862" priority="1155">
      <formula>$A22="Underpass"</formula>
    </cfRule>
    <cfRule type="expression" dxfId="18861" priority="1156">
      <formula>$A22="Overcrossing"</formula>
    </cfRule>
    <cfRule type="expression" dxfId="18860" priority="1157">
      <formula>$A22="Overpass"</formula>
    </cfRule>
    <cfRule type="expression" dxfId="18859" priority="1158">
      <formula>$A22="Station"</formula>
    </cfRule>
    <cfRule type="expression" dxfId="18858" priority="1159">
      <formula>$A22="Overlap between sections"</formula>
    </cfRule>
  </conditionalFormatting>
  <conditionalFormatting sqref="O24">
    <cfRule type="expression" dxfId="18857" priority="1132">
      <formula>$M24="NON DEFINED"</formula>
    </cfRule>
    <cfRule type="expression" dxfId="18856" priority="1133">
      <formula>$AZ24="N.D."</formula>
    </cfRule>
    <cfRule type="expression" dxfId="18855" priority="1134">
      <formula>$AY24="N.D."</formula>
    </cfRule>
  </conditionalFormatting>
  <conditionalFormatting sqref="O24">
    <cfRule type="expression" dxfId="18854" priority="1121">
      <formula>$A24="Overhead Cable"</formula>
    </cfRule>
    <cfRule type="expression" dxfId="18853" priority="1122">
      <formula>$A24="Level Crossing"</formula>
    </cfRule>
    <cfRule type="expression" dxfId="18852" priority="1123">
      <formula>$A24="Neutral Section"</formula>
    </cfRule>
    <cfRule type="expression" dxfId="18851" priority="1124">
      <formula>$A24="Tunnel"</formula>
    </cfRule>
    <cfRule type="expression" dxfId="18850" priority="1125">
      <formula>$A24="Bridge"</formula>
    </cfRule>
    <cfRule type="expression" dxfId="18849" priority="1126">
      <formula>$A24="Drainage Works"</formula>
    </cfRule>
    <cfRule type="expression" dxfId="18848" priority="1127">
      <formula>$A24="Underpass"</formula>
    </cfRule>
    <cfRule type="expression" dxfId="18847" priority="1128">
      <formula>$A24="Overcrossing"</formula>
    </cfRule>
    <cfRule type="expression" dxfId="18846" priority="1129">
      <formula>$A24="Overpass"</formula>
    </cfRule>
    <cfRule type="expression" dxfId="18845" priority="1130">
      <formula>$A24="Station"</formula>
    </cfRule>
    <cfRule type="expression" dxfId="18844" priority="1131">
      <formula>$A24="Overlap between sections"</formula>
    </cfRule>
  </conditionalFormatting>
  <conditionalFormatting sqref="P24">
    <cfRule type="expression" dxfId="18843" priority="1118">
      <formula>$M24="NON DEFINED"</formula>
    </cfRule>
    <cfRule type="expression" dxfId="18842" priority="1119">
      <formula>$AZ24="N.D."</formula>
    </cfRule>
    <cfRule type="expression" dxfId="18841" priority="1120">
      <formula>$AY24="N.D."</formula>
    </cfRule>
  </conditionalFormatting>
  <conditionalFormatting sqref="P24">
    <cfRule type="expression" dxfId="18840" priority="1107">
      <formula>$A24="Overhead Cable"</formula>
    </cfRule>
    <cfRule type="expression" dxfId="18839" priority="1108">
      <formula>$A24="Level Crossing"</formula>
    </cfRule>
    <cfRule type="expression" dxfId="18838" priority="1109">
      <formula>$A24="Neutral Section"</formula>
    </cfRule>
    <cfRule type="expression" dxfId="18837" priority="1110">
      <formula>$A24="Tunnel"</formula>
    </cfRule>
    <cfRule type="expression" dxfId="18836" priority="1111">
      <formula>$A24="Bridge"</formula>
    </cfRule>
    <cfRule type="expression" dxfId="18835" priority="1112">
      <formula>$A24="Drainage Works"</formula>
    </cfRule>
    <cfRule type="expression" dxfId="18834" priority="1113">
      <formula>$A24="Underpass"</formula>
    </cfRule>
    <cfRule type="expression" dxfId="18833" priority="1114">
      <formula>$A24="Overcrossing"</formula>
    </cfRule>
    <cfRule type="expression" dxfId="18832" priority="1115">
      <formula>$A24="Overpass"</formula>
    </cfRule>
    <cfRule type="expression" dxfId="18831" priority="1116">
      <formula>$A24="Station"</formula>
    </cfRule>
    <cfRule type="expression" dxfId="18830" priority="1117">
      <formula>$A24="Overlap between sections"</formula>
    </cfRule>
  </conditionalFormatting>
  <conditionalFormatting sqref="Q24">
    <cfRule type="expression" dxfId="18829" priority="1104">
      <formula>$M24="NON DEFINED"</formula>
    </cfRule>
    <cfRule type="expression" dxfId="18828" priority="1105">
      <formula>$AZ24="N.D."</formula>
    </cfRule>
    <cfRule type="expression" dxfId="18827" priority="1106">
      <formula>$AY24="N.D."</formula>
    </cfRule>
  </conditionalFormatting>
  <conditionalFormatting sqref="Q24">
    <cfRule type="expression" dxfId="18826" priority="1093">
      <formula>$A24="Overhead Cable"</formula>
    </cfRule>
    <cfRule type="expression" dxfId="18825" priority="1094">
      <formula>$A24="Level Crossing"</formula>
    </cfRule>
    <cfRule type="expression" dxfId="18824" priority="1095">
      <formula>$A24="Neutral Section"</formula>
    </cfRule>
    <cfRule type="expression" dxfId="18823" priority="1096">
      <formula>$A24="Tunnel"</formula>
    </cfRule>
    <cfRule type="expression" dxfId="18822" priority="1097">
      <formula>$A24="Bridge"</formula>
    </cfRule>
    <cfRule type="expression" dxfId="18821" priority="1098">
      <formula>$A24="Drainage Works"</formula>
    </cfRule>
    <cfRule type="expression" dxfId="18820" priority="1099">
      <formula>$A24="Underpass"</formula>
    </cfRule>
    <cfRule type="expression" dxfId="18819" priority="1100">
      <formula>$A24="Overcrossing"</formula>
    </cfRule>
    <cfRule type="expression" dxfId="18818" priority="1101">
      <formula>$A24="Overpass"</formula>
    </cfRule>
    <cfRule type="expression" dxfId="18817" priority="1102">
      <formula>$A24="Station"</formula>
    </cfRule>
    <cfRule type="expression" dxfId="18816" priority="1103">
      <formula>$A24="Overlap between sections"</formula>
    </cfRule>
  </conditionalFormatting>
  <conditionalFormatting sqref="T24">
    <cfRule type="expression" dxfId="18815" priority="1090">
      <formula>$M24="NON DEFINED"</formula>
    </cfRule>
    <cfRule type="expression" dxfId="18814" priority="1091">
      <formula>$AZ24="N.D."</formula>
    </cfRule>
    <cfRule type="expression" dxfId="18813" priority="1092">
      <formula>$AY24="N.D."</formula>
    </cfRule>
  </conditionalFormatting>
  <conditionalFormatting sqref="T24">
    <cfRule type="expression" dxfId="18812" priority="1079">
      <formula>$A24="Overhead Cable"</formula>
    </cfRule>
    <cfRule type="expression" dxfId="18811" priority="1080">
      <formula>$A24="Level Crossing"</formula>
    </cfRule>
    <cfRule type="expression" dxfId="18810" priority="1081">
      <formula>$A24="Neutral Section"</formula>
    </cfRule>
    <cfRule type="expression" dxfId="18809" priority="1082">
      <formula>$A24="Tunnel"</formula>
    </cfRule>
    <cfRule type="expression" dxfId="18808" priority="1083">
      <formula>$A24="Bridge"</formula>
    </cfRule>
    <cfRule type="expression" dxfId="18807" priority="1084">
      <formula>$A24="Drainage Works"</formula>
    </cfRule>
    <cfRule type="expression" dxfId="18806" priority="1085">
      <formula>$A24="Underpass"</formula>
    </cfRule>
    <cfRule type="expression" dxfId="18805" priority="1086">
      <formula>$A24="Overcrossing"</formula>
    </cfRule>
    <cfRule type="expression" dxfId="18804" priority="1087">
      <formula>$A24="Overpass"</formula>
    </cfRule>
    <cfRule type="expression" dxfId="18803" priority="1088">
      <formula>$A24="Station"</formula>
    </cfRule>
    <cfRule type="expression" dxfId="18802" priority="1089">
      <formula>$A24="Overlap between sections"</formula>
    </cfRule>
  </conditionalFormatting>
  <conditionalFormatting sqref="U24">
    <cfRule type="expression" dxfId="18801" priority="1076">
      <formula>$M24="NON DEFINED"</formula>
    </cfRule>
    <cfRule type="expression" dxfId="18800" priority="1077">
      <formula>$AZ24="N.D."</formula>
    </cfRule>
    <cfRule type="expression" dxfId="18799" priority="1078">
      <formula>$AY24="N.D."</formula>
    </cfRule>
  </conditionalFormatting>
  <conditionalFormatting sqref="U24">
    <cfRule type="expression" dxfId="18798" priority="1065">
      <formula>$A24="Overhead Cable"</formula>
    </cfRule>
    <cfRule type="expression" dxfId="18797" priority="1066">
      <formula>$A24="Level Crossing"</formula>
    </cfRule>
    <cfRule type="expression" dxfId="18796" priority="1067">
      <formula>$A24="Neutral Section"</formula>
    </cfRule>
    <cfRule type="expression" dxfId="18795" priority="1068">
      <formula>$A24="Tunnel"</formula>
    </cfRule>
    <cfRule type="expression" dxfId="18794" priority="1069">
      <formula>$A24="Bridge"</formula>
    </cfRule>
    <cfRule type="expression" dxfId="18793" priority="1070">
      <formula>$A24="Drainage Works"</formula>
    </cfRule>
    <cfRule type="expression" dxfId="18792" priority="1071">
      <formula>$A24="Underpass"</formula>
    </cfRule>
    <cfRule type="expression" dxfId="18791" priority="1072">
      <formula>$A24="Overcrossing"</formula>
    </cfRule>
    <cfRule type="expression" dxfId="18790" priority="1073">
      <formula>$A24="Overpass"</formula>
    </cfRule>
    <cfRule type="expression" dxfId="18789" priority="1074">
      <formula>$A24="Station"</formula>
    </cfRule>
    <cfRule type="expression" dxfId="18788" priority="1075">
      <formula>$A24="Overlap between sections"</formula>
    </cfRule>
  </conditionalFormatting>
  <conditionalFormatting sqref="V24">
    <cfRule type="expression" dxfId="18787" priority="1062">
      <formula>$M24="NON DEFINED"</formula>
    </cfRule>
    <cfRule type="expression" dxfId="18786" priority="1063">
      <formula>$AZ24="N.D."</formula>
    </cfRule>
    <cfRule type="expression" dxfId="18785" priority="1064">
      <formula>$AY24="N.D."</formula>
    </cfRule>
  </conditionalFormatting>
  <conditionalFormatting sqref="V24">
    <cfRule type="expression" dxfId="18784" priority="1051">
      <formula>$A24="Overhead Cable"</formula>
    </cfRule>
    <cfRule type="expression" dxfId="18783" priority="1052">
      <formula>$A24="Level Crossing"</formula>
    </cfRule>
    <cfRule type="expression" dxfId="18782" priority="1053">
      <formula>$A24="Neutral Section"</formula>
    </cfRule>
    <cfRule type="expression" dxfId="18781" priority="1054">
      <formula>$A24="Tunnel"</formula>
    </cfRule>
    <cfRule type="expression" dxfId="18780" priority="1055">
      <formula>$A24="Bridge"</formula>
    </cfRule>
    <cfRule type="expression" dxfId="18779" priority="1056">
      <formula>$A24="Drainage Works"</formula>
    </cfRule>
    <cfRule type="expression" dxfId="18778" priority="1057">
      <formula>$A24="Underpass"</formula>
    </cfRule>
    <cfRule type="expression" dxfId="18777" priority="1058">
      <formula>$A24="Overcrossing"</formula>
    </cfRule>
    <cfRule type="expression" dxfId="18776" priority="1059">
      <formula>$A24="Overpass"</formula>
    </cfRule>
    <cfRule type="expression" dxfId="18775" priority="1060">
      <formula>$A24="Station"</formula>
    </cfRule>
    <cfRule type="expression" dxfId="18774" priority="1061">
      <formula>$A24="Overlap between sections"</formula>
    </cfRule>
  </conditionalFormatting>
  <conditionalFormatting sqref="R24">
    <cfRule type="expression" dxfId="18773" priority="1048">
      <formula>$M24="NON DEFINED"</formula>
    </cfRule>
    <cfRule type="expression" dxfId="18772" priority="1049">
      <formula>$AZ24="N.D."</formula>
    </cfRule>
    <cfRule type="expression" dxfId="18771" priority="1050">
      <formula>$AY24="N.D."</formula>
    </cfRule>
  </conditionalFormatting>
  <conditionalFormatting sqref="R24">
    <cfRule type="expression" dxfId="18770" priority="1037">
      <formula>$A24="Overhead Cable"</formula>
    </cfRule>
    <cfRule type="expression" dxfId="18769" priority="1038">
      <formula>$A24="Level Crossing"</formula>
    </cfRule>
    <cfRule type="expression" dxfId="18768" priority="1039">
      <formula>$A24="Neutral Section"</formula>
    </cfRule>
    <cfRule type="expression" dxfId="18767" priority="1040">
      <formula>$A24="Tunnel"</formula>
    </cfRule>
    <cfRule type="expression" dxfId="18766" priority="1041">
      <formula>$A24="Bridge"</formula>
    </cfRule>
    <cfRule type="expression" dxfId="18765" priority="1042">
      <formula>$A24="Drainage Works"</formula>
    </cfRule>
    <cfRule type="expression" dxfId="18764" priority="1043">
      <formula>$A24="Underpass"</formula>
    </cfRule>
    <cfRule type="expression" dxfId="18763" priority="1044">
      <formula>$A24="Overcrossing"</formula>
    </cfRule>
    <cfRule type="expression" dxfId="18762" priority="1045">
      <formula>$A24="Overpass"</formula>
    </cfRule>
    <cfRule type="expression" dxfId="18761" priority="1046">
      <formula>$A24="Station"</formula>
    </cfRule>
    <cfRule type="expression" dxfId="18760" priority="1047">
      <formula>$A24="Overlap between sections"</formula>
    </cfRule>
  </conditionalFormatting>
  <conditionalFormatting sqref="S24">
    <cfRule type="expression" dxfId="18759" priority="1034">
      <formula>$M24="NON DEFINED"</formula>
    </cfRule>
    <cfRule type="expression" dxfId="18758" priority="1035">
      <formula>$AZ24="N.D."</formula>
    </cfRule>
    <cfRule type="expression" dxfId="18757" priority="1036">
      <formula>$AY24="N.D."</formula>
    </cfRule>
  </conditionalFormatting>
  <conditionalFormatting sqref="S24">
    <cfRule type="expression" dxfId="18756" priority="1023">
      <formula>$A24="Overhead Cable"</formula>
    </cfRule>
    <cfRule type="expression" dxfId="18755" priority="1024">
      <formula>$A24="Level Crossing"</formula>
    </cfRule>
    <cfRule type="expression" dxfId="18754" priority="1025">
      <formula>$A24="Neutral Section"</formula>
    </cfRule>
    <cfRule type="expression" dxfId="18753" priority="1026">
      <formula>$A24="Tunnel"</formula>
    </cfRule>
    <cfRule type="expression" dxfId="18752" priority="1027">
      <formula>$A24="Bridge"</formula>
    </cfRule>
    <cfRule type="expression" dxfId="18751" priority="1028">
      <formula>$A24="Drainage Works"</formula>
    </cfRule>
    <cfRule type="expression" dxfId="18750" priority="1029">
      <formula>$A24="Underpass"</formula>
    </cfRule>
    <cfRule type="expression" dxfId="18749" priority="1030">
      <formula>$A24="Overcrossing"</formula>
    </cfRule>
    <cfRule type="expression" dxfId="18748" priority="1031">
      <formula>$A24="Overpass"</formula>
    </cfRule>
    <cfRule type="expression" dxfId="18747" priority="1032">
      <formula>$A24="Station"</formula>
    </cfRule>
    <cfRule type="expression" dxfId="18746" priority="1033">
      <formula>$A24="Overlap between sections"</formula>
    </cfRule>
  </conditionalFormatting>
  <conditionalFormatting sqref="W24">
    <cfRule type="expression" dxfId="18745" priority="1020">
      <formula>$M24="NON DEFINED"</formula>
    </cfRule>
    <cfRule type="expression" dxfId="18744" priority="1021">
      <formula>$AZ24="N.D."</formula>
    </cfRule>
    <cfRule type="expression" dxfId="18743" priority="1022">
      <formula>$AY24="N.D."</formula>
    </cfRule>
  </conditionalFormatting>
  <conditionalFormatting sqref="W24">
    <cfRule type="expression" dxfId="18742" priority="1009">
      <formula>$A24="Overhead Cable"</formula>
    </cfRule>
    <cfRule type="expression" dxfId="18741" priority="1010">
      <formula>$A24="Level Crossing"</formula>
    </cfRule>
    <cfRule type="expression" dxfId="18740" priority="1011">
      <formula>$A24="Neutral Section"</formula>
    </cfRule>
    <cfRule type="expression" dxfId="18739" priority="1012">
      <formula>$A24="Tunnel"</formula>
    </cfRule>
    <cfRule type="expression" dxfId="18738" priority="1013">
      <formula>$A24="Bridge"</formula>
    </cfRule>
    <cfRule type="expression" dxfId="18737" priority="1014">
      <formula>$A24="Drainage Works"</formula>
    </cfRule>
    <cfRule type="expression" dxfId="18736" priority="1015">
      <formula>$A24="Underpass"</formula>
    </cfRule>
    <cfRule type="expression" dxfId="18735" priority="1016">
      <formula>$A24="Overcrossing"</formula>
    </cfRule>
    <cfRule type="expression" dxfId="18734" priority="1017">
      <formula>$A24="Overpass"</formula>
    </cfRule>
    <cfRule type="expression" dxfId="18733" priority="1018">
      <formula>$A24="Station"</formula>
    </cfRule>
    <cfRule type="expression" dxfId="18732" priority="1019">
      <formula>$A24="Overlap between sections"</formula>
    </cfRule>
  </conditionalFormatting>
  <conditionalFormatting sqref="O26">
    <cfRule type="expression" dxfId="18731" priority="1006">
      <formula>$M26="NON DEFINED"</formula>
    </cfRule>
    <cfRule type="expression" dxfId="18730" priority="1007">
      <formula>$AZ26="N.D."</formula>
    </cfRule>
    <cfRule type="expression" dxfId="18729" priority="1008">
      <formula>$AY26="N.D."</formula>
    </cfRule>
  </conditionalFormatting>
  <conditionalFormatting sqref="O26">
    <cfRule type="expression" dxfId="18728" priority="995">
      <formula>$A26="Overhead Cable"</formula>
    </cfRule>
    <cfRule type="expression" dxfId="18727" priority="996">
      <formula>$A26="Level Crossing"</formula>
    </cfRule>
    <cfRule type="expression" dxfId="18726" priority="997">
      <formula>$A26="Neutral Section"</formula>
    </cfRule>
    <cfRule type="expression" dxfId="18725" priority="998">
      <formula>$A26="Tunnel"</formula>
    </cfRule>
    <cfRule type="expression" dxfId="18724" priority="999">
      <formula>$A26="Bridge"</formula>
    </cfRule>
    <cfRule type="expression" dxfId="18723" priority="1000">
      <formula>$A26="Drainage Works"</formula>
    </cfRule>
    <cfRule type="expression" dxfId="18722" priority="1001">
      <formula>$A26="Underpass"</formula>
    </cfRule>
    <cfRule type="expression" dxfId="18721" priority="1002">
      <formula>$A26="Overcrossing"</formula>
    </cfRule>
    <cfRule type="expression" dxfId="18720" priority="1003">
      <formula>$A26="Overpass"</formula>
    </cfRule>
    <cfRule type="expression" dxfId="18719" priority="1004">
      <formula>$A26="Station"</formula>
    </cfRule>
    <cfRule type="expression" dxfId="18718" priority="1005">
      <formula>$A26="Overlap between sections"</formula>
    </cfRule>
  </conditionalFormatting>
  <conditionalFormatting sqref="P26">
    <cfRule type="expression" dxfId="18717" priority="992">
      <formula>$M26="NON DEFINED"</formula>
    </cfRule>
    <cfRule type="expression" dxfId="18716" priority="993">
      <formula>$AZ26="N.D."</formula>
    </cfRule>
    <cfRule type="expression" dxfId="18715" priority="994">
      <formula>$AY26="N.D."</formula>
    </cfRule>
  </conditionalFormatting>
  <conditionalFormatting sqref="P26">
    <cfRule type="expression" dxfId="18714" priority="981">
      <formula>$A26="Overhead Cable"</formula>
    </cfRule>
    <cfRule type="expression" dxfId="18713" priority="982">
      <formula>$A26="Level Crossing"</formula>
    </cfRule>
    <cfRule type="expression" dxfId="18712" priority="983">
      <formula>$A26="Neutral Section"</formula>
    </cfRule>
    <cfRule type="expression" dxfId="18711" priority="984">
      <formula>$A26="Tunnel"</formula>
    </cfRule>
    <cfRule type="expression" dxfId="18710" priority="985">
      <formula>$A26="Bridge"</formula>
    </cfRule>
    <cfRule type="expression" dxfId="18709" priority="986">
      <formula>$A26="Drainage Works"</formula>
    </cfRule>
    <cfRule type="expression" dxfId="18708" priority="987">
      <formula>$A26="Underpass"</formula>
    </cfRule>
    <cfRule type="expression" dxfId="18707" priority="988">
      <formula>$A26="Overcrossing"</formula>
    </cfRule>
    <cfRule type="expression" dxfId="18706" priority="989">
      <formula>$A26="Overpass"</formula>
    </cfRule>
    <cfRule type="expression" dxfId="18705" priority="990">
      <formula>$A26="Station"</formula>
    </cfRule>
    <cfRule type="expression" dxfId="18704" priority="991">
      <formula>$A26="Overlap between sections"</formula>
    </cfRule>
  </conditionalFormatting>
  <conditionalFormatting sqref="Q26">
    <cfRule type="expression" dxfId="18703" priority="978">
      <formula>$M26="NON DEFINED"</formula>
    </cfRule>
    <cfRule type="expression" dxfId="18702" priority="979">
      <formula>$AZ26="N.D."</formula>
    </cfRule>
    <cfRule type="expression" dxfId="18701" priority="980">
      <formula>$AY26="N.D."</formula>
    </cfRule>
  </conditionalFormatting>
  <conditionalFormatting sqref="Q26">
    <cfRule type="expression" dxfId="18700" priority="967">
      <formula>$A26="Overhead Cable"</formula>
    </cfRule>
    <cfRule type="expression" dxfId="18699" priority="968">
      <formula>$A26="Level Crossing"</formula>
    </cfRule>
    <cfRule type="expression" dxfId="18698" priority="969">
      <formula>$A26="Neutral Section"</formula>
    </cfRule>
    <cfRule type="expression" dxfId="18697" priority="970">
      <formula>$A26="Tunnel"</formula>
    </cfRule>
    <cfRule type="expression" dxfId="18696" priority="971">
      <formula>$A26="Bridge"</formula>
    </cfRule>
    <cfRule type="expression" dxfId="18695" priority="972">
      <formula>$A26="Drainage Works"</formula>
    </cfRule>
    <cfRule type="expression" dxfId="18694" priority="973">
      <formula>$A26="Underpass"</formula>
    </cfRule>
    <cfRule type="expression" dxfId="18693" priority="974">
      <formula>$A26="Overcrossing"</formula>
    </cfRule>
    <cfRule type="expression" dxfId="18692" priority="975">
      <formula>$A26="Overpass"</formula>
    </cfRule>
    <cfRule type="expression" dxfId="18691" priority="976">
      <formula>$A26="Station"</formula>
    </cfRule>
    <cfRule type="expression" dxfId="18690" priority="977">
      <formula>$A26="Overlap between sections"</formula>
    </cfRule>
  </conditionalFormatting>
  <conditionalFormatting sqref="T26">
    <cfRule type="expression" dxfId="18689" priority="964">
      <formula>$M26="NON DEFINED"</formula>
    </cfRule>
    <cfRule type="expression" dxfId="18688" priority="965">
      <formula>$AZ26="N.D."</formula>
    </cfRule>
    <cfRule type="expression" dxfId="18687" priority="966">
      <formula>$AY26="N.D."</formula>
    </cfRule>
  </conditionalFormatting>
  <conditionalFormatting sqref="T26">
    <cfRule type="expression" dxfId="18686" priority="953">
      <formula>$A26="Overhead Cable"</formula>
    </cfRule>
    <cfRule type="expression" dxfId="18685" priority="954">
      <formula>$A26="Level Crossing"</formula>
    </cfRule>
    <cfRule type="expression" dxfId="18684" priority="955">
      <formula>$A26="Neutral Section"</formula>
    </cfRule>
    <cfRule type="expression" dxfId="18683" priority="956">
      <formula>$A26="Tunnel"</formula>
    </cfRule>
    <cfRule type="expression" dxfId="18682" priority="957">
      <formula>$A26="Bridge"</formula>
    </cfRule>
    <cfRule type="expression" dxfId="18681" priority="958">
      <formula>$A26="Drainage Works"</formula>
    </cfRule>
    <cfRule type="expression" dxfId="18680" priority="959">
      <formula>$A26="Underpass"</formula>
    </cfRule>
    <cfRule type="expression" dxfId="18679" priority="960">
      <formula>$A26="Overcrossing"</formula>
    </cfRule>
    <cfRule type="expression" dxfId="18678" priority="961">
      <formula>$A26="Overpass"</formula>
    </cfRule>
    <cfRule type="expression" dxfId="18677" priority="962">
      <formula>$A26="Station"</formula>
    </cfRule>
    <cfRule type="expression" dxfId="18676" priority="963">
      <formula>$A26="Overlap between sections"</formula>
    </cfRule>
  </conditionalFormatting>
  <conditionalFormatting sqref="U26">
    <cfRule type="expression" dxfId="18675" priority="950">
      <formula>$M26="NON DEFINED"</formula>
    </cfRule>
    <cfRule type="expression" dxfId="18674" priority="951">
      <formula>$AZ26="N.D."</formula>
    </cfRule>
    <cfRule type="expression" dxfId="18673" priority="952">
      <formula>$AY26="N.D."</formula>
    </cfRule>
  </conditionalFormatting>
  <conditionalFormatting sqref="U26">
    <cfRule type="expression" dxfId="18672" priority="939">
      <formula>$A26="Overhead Cable"</formula>
    </cfRule>
    <cfRule type="expression" dxfId="18671" priority="940">
      <formula>$A26="Level Crossing"</formula>
    </cfRule>
    <cfRule type="expression" dxfId="18670" priority="941">
      <formula>$A26="Neutral Section"</formula>
    </cfRule>
    <cfRule type="expression" dxfId="18669" priority="942">
      <formula>$A26="Tunnel"</formula>
    </cfRule>
    <cfRule type="expression" dxfId="18668" priority="943">
      <formula>$A26="Bridge"</formula>
    </cfRule>
    <cfRule type="expression" dxfId="18667" priority="944">
      <formula>$A26="Drainage Works"</formula>
    </cfRule>
    <cfRule type="expression" dxfId="18666" priority="945">
      <formula>$A26="Underpass"</formula>
    </cfRule>
    <cfRule type="expression" dxfId="18665" priority="946">
      <formula>$A26="Overcrossing"</formula>
    </cfRule>
    <cfRule type="expression" dxfId="18664" priority="947">
      <formula>$A26="Overpass"</formula>
    </cfRule>
    <cfRule type="expression" dxfId="18663" priority="948">
      <formula>$A26="Station"</formula>
    </cfRule>
    <cfRule type="expression" dxfId="18662" priority="949">
      <formula>$A26="Overlap between sections"</formula>
    </cfRule>
  </conditionalFormatting>
  <conditionalFormatting sqref="V26">
    <cfRule type="expression" dxfId="18661" priority="936">
      <formula>$M26="NON DEFINED"</formula>
    </cfRule>
    <cfRule type="expression" dxfId="18660" priority="937">
      <formula>$AZ26="N.D."</formula>
    </cfRule>
    <cfRule type="expression" dxfId="18659" priority="938">
      <formula>$AY26="N.D."</formula>
    </cfRule>
  </conditionalFormatting>
  <conditionalFormatting sqref="V26">
    <cfRule type="expression" dxfId="18658" priority="925">
      <formula>$A26="Overhead Cable"</formula>
    </cfRule>
    <cfRule type="expression" dxfId="18657" priority="926">
      <formula>$A26="Level Crossing"</formula>
    </cfRule>
    <cfRule type="expression" dxfId="18656" priority="927">
      <formula>$A26="Neutral Section"</formula>
    </cfRule>
    <cfRule type="expression" dxfId="18655" priority="928">
      <formula>$A26="Tunnel"</formula>
    </cfRule>
    <cfRule type="expression" dxfId="18654" priority="929">
      <formula>$A26="Bridge"</formula>
    </cfRule>
    <cfRule type="expression" dxfId="18653" priority="930">
      <formula>$A26="Drainage Works"</formula>
    </cfRule>
    <cfRule type="expression" dxfId="18652" priority="931">
      <formula>$A26="Underpass"</formula>
    </cfRule>
    <cfRule type="expression" dxfId="18651" priority="932">
      <formula>$A26="Overcrossing"</formula>
    </cfRule>
    <cfRule type="expression" dxfId="18650" priority="933">
      <formula>$A26="Overpass"</formula>
    </cfRule>
    <cfRule type="expression" dxfId="18649" priority="934">
      <formula>$A26="Station"</formula>
    </cfRule>
    <cfRule type="expression" dxfId="18648" priority="935">
      <formula>$A26="Overlap between sections"</formula>
    </cfRule>
  </conditionalFormatting>
  <conditionalFormatting sqref="R26">
    <cfRule type="expression" dxfId="18647" priority="922">
      <formula>$M26="NON DEFINED"</formula>
    </cfRule>
    <cfRule type="expression" dxfId="18646" priority="923">
      <formula>$AZ26="N.D."</formula>
    </cfRule>
    <cfRule type="expression" dxfId="18645" priority="924">
      <formula>$AY26="N.D."</formula>
    </cfRule>
  </conditionalFormatting>
  <conditionalFormatting sqref="R26">
    <cfRule type="expression" dxfId="18644" priority="911">
      <formula>$A26="Overhead Cable"</formula>
    </cfRule>
    <cfRule type="expression" dxfId="18643" priority="912">
      <formula>$A26="Level Crossing"</formula>
    </cfRule>
    <cfRule type="expression" dxfId="18642" priority="913">
      <formula>$A26="Neutral Section"</formula>
    </cfRule>
    <cfRule type="expression" dxfId="18641" priority="914">
      <formula>$A26="Tunnel"</formula>
    </cfRule>
    <cfRule type="expression" dxfId="18640" priority="915">
      <formula>$A26="Bridge"</formula>
    </cfRule>
    <cfRule type="expression" dxfId="18639" priority="916">
      <formula>$A26="Drainage Works"</formula>
    </cfRule>
    <cfRule type="expression" dxfId="18638" priority="917">
      <formula>$A26="Underpass"</formula>
    </cfRule>
    <cfRule type="expression" dxfId="18637" priority="918">
      <formula>$A26="Overcrossing"</formula>
    </cfRule>
    <cfRule type="expression" dxfId="18636" priority="919">
      <formula>$A26="Overpass"</formula>
    </cfRule>
    <cfRule type="expression" dxfId="18635" priority="920">
      <formula>$A26="Station"</formula>
    </cfRule>
    <cfRule type="expression" dxfId="18634" priority="921">
      <formula>$A26="Overlap between sections"</formula>
    </cfRule>
  </conditionalFormatting>
  <conditionalFormatting sqref="S26">
    <cfRule type="expression" dxfId="18633" priority="908">
      <formula>$M26="NON DEFINED"</formula>
    </cfRule>
    <cfRule type="expression" dxfId="18632" priority="909">
      <formula>$AZ26="N.D."</formula>
    </cfRule>
    <cfRule type="expression" dxfId="18631" priority="910">
      <formula>$AY26="N.D."</formula>
    </cfRule>
  </conditionalFormatting>
  <conditionalFormatting sqref="S26">
    <cfRule type="expression" dxfId="18630" priority="897">
      <formula>$A26="Overhead Cable"</formula>
    </cfRule>
    <cfRule type="expression" dxfId="18629" priority="898">
      <formula>$A26="Level Crossing"</formula>
    </cfRule>
    <cfRule type="expression" dxfId="18628" priority="899">
      <formula>$A26="Neutral Section"</formula>
    </cfRule>
    <cfRule type="expression" dxfId="18627" priority="900">
      <formula>$A26="Tunnel"</formula>
    </cfRule>
    <cfRule type="expression" dxfId="18626" priority="901">
      <formula>$A26="Bridge"</formula>
    </cfRule>
    <cfRule type="expression" dxfId="18625" priority="902">
      <formula>$A26="Drainage Works"</formula>
    </cfRule>
    <cfRule type="expression" dxfId="18624" priority="903">
      <formula>$A26="Underpass"</formula>
    </cfRule>
    <cfRule type="expression" dxfId="18623" priority="904">
      <formula>$A26="Overcrossing"</formula>
    </cfRule>
    <cfRule type="expression" dxfId="18622" priority="905">
      <formula>$A26="Overpass"</formula>
    </cfRule>
    <cfRule type="expression" dxfId="18621" priority="906">
      <formula>$A26="Station"</formula>
    </cfRule>
    <cfRule type="expression" dxfId="18620" priority="907">
      <formula>$A26="Overlap between sections"</formula>
    </cfRule>
  </conditionalFormatting>
  <conditionalFormatting sqref="W26">
    <cfRule type="expression" dxfId="18619" priority="894">
      <formula>$M26="NON DEFINED"</formula>
    </cfRule>
    <cfRule type="expression" dxfId="18618" priority="895">
      <formula>$AZ26="N.D."</formula>
    </cfRule>
    <cfRule type="expression" dxfId="18617" priority="896">
      <formula>$AY26="N.D."</formula>
    </cfRule>
  </conditionalFormatting>
  <conditionalFormatting sqref="W26">
    <cfRule type="expression" dxfId="18616" priority="883">
      <formula>$A26="Overhead Cable"</formula>
    </cfRule>
    <cfRule type="expression" dxfId="18615" priority="884">
      <formula>$A26="Level Crossing"</formula>
    </cfRule>
    <cfRule type="expression" dxfId="18614" priority="885">
      <formula>$A26="Neutral Section"</formula>
    </cfRule>
    <cfRule type="expression" dxfId="18613" priority="886">
      <formula>$A26="Tunnel"</formula>
    </cfRule>
    <cfRule type="expression" dxfId="18612" priority="887">
      <formula>$A26="Bridge"</formula>
    </cfRule>
    <cfRule type="expression" dxfId="18611" priority="888">
      <formula>$A26="Drainage Works"</formula>
    </cfRule>
    <cfRule type="expression" dxfId="18610" priority="889">
      <formula>$A26="Underpass"</formula>
    </cfRule>
    <cfRule type="expression" dxfId="18609" priority="890">
      <formula>$A26="Overcrossing"</formula>
    </cfRule>
    <cfRule type="expression" dxfId="18608" priority="891">
      <formula>$A26="Overpass"</formula>
    </cfRule>
    <cfRule type="expression" dxfId="18607" priority="892">
      <formula>$A26="Station"</formula>
    </cfRule>
    <cfRule type="expression" dxfId="18606" priority="893">
      <formula>$A26="Overlap between sections"</formula>
    </cfRule>
  </conditionalFormatting>
  <conditionalFormatting sqref="N26">
    <cfRule type="expression" dxfId="18605" priority="880">
      <formula>$M26="NON DEFINED"</formula>
    </cfRule>
    <cfRule type="expression" dxfId="18604" priority="881">
      <formula>$AZ26="N.D."</formula>
    </cfRule>
    <cfRule type="expression" dxfId="18603" priority="882">
      <formula>$AY26="N.D."</formula>
    </cfRule>
  </conditionalFormatting>
  <conditionalFormatting sqref="N26">
    <cfRule type="expression" dxfId="18602" priority="869">
      <formula>$A26="Overhead Cable"</formula>
    </cfRule>
    <cfRule type="expression" dxfId="18601" priority="870">
      <formula>$A26="Level Crossing"</formula>
    </cfRule>
    <cfRule type="expression" dxfId="18600" priority="871">
      <formula>$A26="Neutral Section"</formula>
    </cfRule>
    <cfRule type="expression" dxfId="18599" priority="872">
      <formula>$A26="Tunnel"</formula>
    </cfRule>
    <cfRule type="expression" dxfId="18598" priority="873">
      <formula>$A26="Bridge"</formula>
    </cfRule>
    <cfRule type="expression" dxfId="18597" priority="874">
      <formula>$A26="Drainage Works"</formula>
    </cfRule>
    <cfRule type="expression" dxfId="18596" priority="875">
      <formula>$A26="Underpass"</formula>
    </cfRule>
    <cfRule type="expression" dxfId="18595" priority="876">
      <formula>$A26="Overcrossing"</formula>
    </cfRule>
    <cfRule type="expression" dxfId="18594" priority="877">
      <formula>$A26="Overpass"</formula>
    </cfRule>
    <cfRule type="expression" dxfId="18593" priority="878">
      <formula>$A26="Station"</formula>
    </cfRule>
    <cfRule type="expression" dxfId="18592" priority="879">
      <formula>$A26="Overlap between sections"</formula>
    </cfRule>
  </conditionalFormatting>
  <conditionalFormatting sqref="O28">
    <cfRule type="expression" dxfId="18591" priority="852">
      <formula>$M28="NON DEFINED"</formula>
    </cfRule>
    <cfRule type="expression" dxfId="18590" priority="853">
      <formula>$AZ28="N.D."</formula>
    </cfRule>
    <cfRule type="expression" dxfId="18589" priority="854">
      <formula>$AY28="N.D."</formula>
    </cfRule>
  </conditionalFormatting>
  <conditionalFormatting sqref="O28">
    <cfRule type="expression" dxfId="18588" priority="841">
      <formula>$A28="Overhead Cable"</formula>
    </cfRule>
    <cfRule type="expression" dxfId="18587" priority="842">
      <formula>$A28="Level Crossing"</formula>
    </cfRule>
    <cfRule type="expression" dxfId="18586" priority="843">
      <formula>$A28="Neutral Section"</formula>
    </cfRule>
    <cfRule type="expression" dxfId="18585" priority="844">
      <formula>$A28="Tunnel"</formula>
    </cfRule>
    <cfRule type="expression" dxfId="18584" priority="845">
      <formula>$A28="Bridge"</formula>
    </cfRule>
    <cfRule type="expression" dxfId="18583" priority="846">
      <formula>$A28="Drainage Works"</formula>
    </cfRule>
    <cfRule type="expression" dxfId="18582" priority="847">
      <formula>$A28="Underpass"</formula>
    </cfRule>
    <cfRule type="expression" dxfId="18581" priority="848">
      <formula>$A28="Overcrossing"</formula>
    </cfRule>
    <cfRule type="expression" dxfId="18580" priority="849">
      <formula>$A28="Overpass"</formula>
    </cfRule>
    <cfRule type="expression" dxfId="18579" priority="850">
      <formula>$A28="Station"</formula>
    </cfRule>
    <cfRule type="expression" dxfId="18578" priority="851">
      <formula>$A28="Overlap between sections"</formula>
    </cfRule>
  </conditionalFormatting>
  <conditionalFormatting sqref="P28">
    <cfRule type="expression" dxfId="18577" priority="838">
      <formula>$M28="NON DEFINED"</formula>
    </cfRule>
    <cfRule type="expression" dxfId="18576" priority="839">
      <formula>$AZ28="N.D."</formula>
    </cfRule>
    <cfRule type="expression" dxfId="18575" priority="840">
      <formula>$AY28="N.D."</formula>
    </cfRule>
  </conditionalFormatting>
  <conditionalFormatting sqref="P28">
    <cfRule type="expression" dxfId="18574" priority="827">
      <formula>$A28="Overhead Cable"</formula>
    </cfRule>
    <cfRule type="expression" dxfId="18573" priority="828">
      <formula>$A28="Level Crossing"</formula>
    </cfRule>
    <cfRule type="expression" dxfId="18572" priority="829">
      <formula>$A28="Neutral Section"</formula>
    </cfRule>
    <cfRule type="expression" dxfId="18571" priority="830">
      <formula>$A28="Tunnel"</formula>
    </cfRule>
    <cfRule type="expression" dxfId="18570" priority="831">
      <formula>$A28="Bridge"</formula>
    </cfRule>
    <cfRule type="expression" dxfId="18569" priority="832">
      <formula>$A28="Drainage Works"</formula>
    </cfRule>
    <cfRule type="expression" dxfId="18568" priority="833">
      <formula>$A28="Underpass"</formula>
    </cfRule>
    <cfRule type="expression" dxfId="18567" priority="834">
      <formula>$A28="Overcrossing"</formula>
    </cfRule>
    <cfRule type="expression" dxfId="18566" priority="835">
      <formula>$A28="Overpass"</formula>
    </cfRule>
    <cfRule type="expression" dxfId="18565" priority="836">
      <formula>$A28="Station"</formula>
    </cfRule>
    <cfRule type="expression" dxfId="18564" priority="837">
      <formula>$A28="Overlap between sections"</formula>
    </cfRule>
  </conditionalFormatting>
  <conditionalFormatting sqref="Q28">
    <cfRule type="expression" dxfId="18563" priority="824">
      <formula>$M28="NON DEFINED"</formula>
    </cfRule>
    <cfRule type="expression" dxfId="18562" priority="825">
      <formula>$AZ28="N.D."</formula>
    </cfRule>
    <cfRule type="expression" dxfId="18561" priority="826">
      <formula>$AY28="N.D."</formula>
    </cfRule>
  </conditionalFormatting>
  <conditionalFormatting sqref="Q28">
    <cfRule type="expression" dxfId="18560" priority="813">
      <formula>$A28="Overhead Cable"</formula>
    </cfRule>
    <cfRule type="expression" dxfId="18559" priority="814">
      <formula>$A28="Level Crossing"</formula>
    </cfRule>
    <cfRule type="expression" dxfId="18558" priority="815">
      <formula>$A28="Neutral Section"</formula>
    </cfRule>
    <cfRule type="expression" dxfId="18557" priority="816">
      <formula>$A28="Tunnel"</formula>
    </cfRule>
    <cfRule type="expression" dxfId="18556" priority="817">
      <formula>$A28="Bridge"</formula>
    </cfRule>
    <cfRule type="expression" dxfId="18555" priority="818">
      <formula>$A28="Drainage Works"</formula>
    </cfRule>
    <cfRule type="expression" dxfId="18554" priority="819">
      <formula>$A28="Underpass"</formula>
    </cfRule>
    <cfRule type="expression" dxfId="18553" priority="820">
      <formula>$A28="Overcrossing"</formula>
    </cfRule>
    <cfRule type="expression" dxfId="18552" priority="821">
      <formula>$A28="Overpass"</formula>
    </cfRule>
    <cfRule type="expression" dxfId="18551" priority="822">
      <formula>$A28="Station"</formula>
    </cfRule>
    <cfRule type="expression" dxfId="18550" priority="823">
      <formula>$A28="Overlap between sections"</formula>
    </cfRule>
  </conditionalFormatting>
  <conditionalFormatting sqref="T28">
    <cfRule type="expression" dxfId="18549" priority="810">
      <formula>$M28="NON DEFINED"</formula>
    </cfRule>
    <cfRule type="expression" dxfId="18548" priority="811">
      <formula>$AZ28="N.D."</formula>
    </cfRule>
    <cfRule type="expression" dxfId="18547" priority="812">
      <formula>$AY28="N.D."</formula>
    </cfRule>
  </conditionalFormatting>
  <conditionalFormatting sqref="T28">
    <cfRule type="expression" dxfId="18546" priority="799">
      <formula>$A28="Overhead Cable"</formula>
    </cfRule>
    <cfRule type="expression" dxfId="18545" priority="800">
      <formula>$A28="Level Crossing"</formula>
    </cfRule>
    <cfRule type="expression" dxfId="18544" priority="801">
      <formula>$A28="Neutral Section"</formula>
    </cfRule>
    <cfRule type="expression" dxfId="18543" priority="802">
      <formula>$A28="Tunnel"</formula>
    </cfRule>
    <cfRule type="expression" dxfId="18542" priority="803">
      <formula>$A28="Bridge"</formula>
    </cfRule>
    <cfRule type="expression" dxfId="18541" priority="804">
      <formula>$A28="Drainage Works"</formula>
    </cfRule>
    <cfRule type="expression" dxfId="18540" priority="805">
      <formula>$A28="Underpass"</formula>
    </cfRule>
    <cfRule type="expression" dxfId="18539" priority="806">
      <formula>$A28="Overcrossing"</formula>
    </cfRule>
    <cfRule type="expression" dxfId="18538" priority="807">
      <formula>$A28="Overpass"</formula>
    </cfRule>
    <cfRule type="expression" dxfId="18537" priority="808">
      <formula>$A28="Station"</formula>
    </cfRule>
    <cfRule type="expression" dxfId="18536" priority="809">
      <formula>$A28="Overlap between sections"</formula>
    </cfRule>
  </conditionalFormatting>
  <conditionalFormatting sqref="U28">
    <cfRule type="expression" dxfId="18535" priority="796">
      <formula>$M28="NON DEFINED"</formula>
    </cfRule>
    <cfRule type="expression" dxfId="18534" priority="797">
      <formula>$AZ28="N.D."</formula>
    </cfRule>
    <cfRule type="expression" dxfId="18533" priority="798">
      <formula>$AY28="N.D."</formula>
    </cfRule>
  </conditionalFormatting>
  <conditionalFormatting sqref="U28">
    <cfRule type="expression" dxfId="18532" priority="785">
      <formula>$A28="Overhead Cable"</formula>
    </cfRule>
    <cfRule type="expression" dxfId="18531" priority="786">
      <formula>$A28="Level Crossing"</formula>
    </cfRule>
    <cfRule type="expression" dxfId="18530" priority="787">
      <formula>$A28="Neutral Section"</formula>
    </cfRule>
    <cfRule type="expression" dxfId="18529" priority="788">
      <formula>$A28="Tunnel"</formula>
    </cfRule>
    <cfRule type="expression" dxfId="18528" priority="789">
      <formula>$A28="Bridge"</formula>
    </cfRule>
    <cfRule type="expression" dxfId="18527" priority="790">
      <formula>$A28="Drainage Works"</formula>
    </cfRule>
    <cfRule type="expression" dxfId="18526" priority="791">
      <formula>$A28="Underpass"</formula>
    </cfRule>
    <cfRule type="expression" dxfId="18525" priority="792">
      <formula>$A28="Overcrossing"</formula>
    </cfRule>
    <cfRule type="expression" dxfId="18524" priority="793">
      <formula>$A28="Overpass"</formula>
    </cfRule>
    <cfRule type="expression" dxfId="18523" priority="794">
      <formula>$A28="Station"</formula>
    </cfRule>
    <cfRule type="expression" dxfId="18522" priority="795">
      <formula>$A28="Overlap between sections"</formula>
    </cfRule>
  </conditionalFormatting>
  <conditionalFormatting sqref="V28">
    <cfRule type="expression" dxfId="18521" priority="782">
      <formula>$M28="NON DEFINED"</formula>
    </cfRule>
    <cfRule type="expression" dxfId="18520" priority="783">
      <formula>$AZ28="N.D."</formula>
    </cfRule>
    <cfRule type="expression" dxfId="18519" priority="784">
      <formula>$AY28="N.D."</formula>
    </cfRule>
  </conditionalFormatting>
  <conditionalFormatting sqref="V28">
    <cfRule type="expression" dxfId="18518" priority="771">
      <formula>$A28="Overhead Cable"</formula>
    </cfRule>
    <cfRule type="expression" dxfId="18517" priority="772">
      <formula>$A28="Level Crossing"</formula>
    </cfRule>
    <cfRule type="expression" dxfId="18516" priority="773">
      <formula>$A28="Neutral Section"</formula>
    </cfRule>
    <cfRule type="expression" dxfId="18515" priority="774">
      <formula>$A28="Tunnel"</formula>
    </cfRule>
    <cfRule type="expression" dxfId="18514" priority="775">
      <formula>$A28="Bridge"</formula>
    </cfRule>
    <cfRule type="expression" dxfId="18513" priority="776">
      <formula>$A28="Drainage Works"</formula>
    </cfRule>
    <cfRule type="expression" dxfId="18512" priority="777">
      <formula>$A28="Underpass"</formula>
    </cfRule>
    <cfRule type="expression" dxfId="18511" priority="778">
      <formula>$A28="Overcrossing"</formula>
    </cfRule>
    <cfRule type="expression" dxfId="18510" priority="779">
      <formula>$A28="Overpass"</formula>
    </cfRule>
    <cfRule type="expression" dxfId="18509" priority="780">
      <formula>$A28="Station"</formula>
    </cfRule>
    <cfRule type="expression" dxfId="18508" priority="781">
      <formula>$A28="Overlap between sections"</formula>
    </cfRule>
  </conditionalFormatting>
  <conditionalFormatting sqref="R28">
    <cfRule type="expression" dxfId="18507" priority="768">
      <formula>$M28="NON DEFINED"</formula>
    </cfRule>
    <cfRule type="expression" dxfId="18506" priority="769">
      <formula>$AZ28="N.D."</formula>
    </cfRule>
    <cfRule type="expression" dxfId="18505" priority="770">
      <formula>$AY28="N.D."</formula>
    </cfRule>
  </conditionalFormatting>
  <conditionalFormatting sqref="R28">
    <cfRule type="expression" dxfId="18504" priority="757">
      <formula>$A28="Overhead Cable"</formula>
    </cfRule>
    <cfRule type="expression" dxfId="18503" priority="758">
      <formula>$A28="Level Crossing"</formula>
    </cfRule>
    <cfRule type="expression" dxfId="18502" priority="759">
      <formula>$A28="Neutral Section"</formula>
    </cfRule>
    <cfRule type="expression" dxfId="18501" priority="760">
      <formula>$A28="Tunnel"</formula>
    </cfRule>
    <cfRule type="expression" dxfId="18500" priority="761">
      <formula>$A28="Bridge"</formula>
    </cfRule>
    <cfRule type="expression" dxfId="18499" priority="762">
      <formula>$A28="Drainage Works"</formula>
    </cfRule>
    <cfRule type="expression" dxfId="18498" priority="763">
      <formula>$A28="Underpass"</formula>
    </cfRule>
    <cfRule type="expression" dxfId="18497" priority="764">
      <formula>$A28="Overcrossing"</formula>
    </cfRule>
    <cfRule type="expression" dxfId="18496" priority="765">
      <formula>$A28="Overpass"</formula>
    </cfRule>
    <cfRule type="expression" dxfId="18495" priority="766">
      <formula>$A28="Station"</formula>
    </cfRule>
    <cfRule type="expression" dxfId="18494" priority="767">
      <formula>$A28="Overlap between sections"</formula>
    </cfRule>
  </conditionalFormatting>
  <conditionalFormatting sqref="S28">
    <cfRule type="expression" dxfId="18493" priority="754">
      <formula>$M28="NON DEFINED"</formula>
    </cfRule>
    <cfRule type="expression" dxfId="18492" priority="755">
      <formula>$AZ28="N.D."</formula>
    </cfRule>
    <cfRule type="expression" dxfId="18491" priority="756">
      <formula>$AY28="N.D."</formula>
    </cfRule>
  </conditionalFormatting>
  <conditionalFormatting sqref="S28">
    <cfRule type="expression" dxfId="18490" priority="743">
      <formula>$A28="Overhead Cable"</formula>
    </cfRule>
    <cfRule type="expression" dxfId="18489" priority="744">
      <formula>$A28="Level Crossing"</formula>
    </cfRule>
    <cfRule type="expression" dxfId="18488" priority="745">
      <formula>$A28="Neutral Section"</formula>
    </cfRule>
    <cfRule type="expression" dxfId="18487" priority="746">
      <formula>$A28="Tunnel"</formula>
    </cfRule>
    <cfRule type="expression" dxfId="18486" priority="747">
      <formula>$A28="Bridge"</formula>
    </cfRule>
    <cfRule type="expression" dxfId="18485" priority="748">
      <formula>$A28="Drainage Works"</formula>
    </cfRule>
    <cfRule type="expression" dxfId="18484" priority="749">
      <formula>$A28="Underpass"</formula>
    </cfRule>
    <cfRule type="expression" dxfId="18483" priority="750">
      <formula>$A28="Overcrossing"</formula>
    </cfRule>
    <cfRule type="expression" dxfId="18482" priority="751">
      <formula>$A28="Overpass"</formula>
    </cfRule>
    <cfRule type="expression" dxfId="18481" priority="752">
      <formula>$A28="Station"</formula>
    </cfRule>
    <cfRule type="expression" dxfId="18480" priority="753">
      <formula>$A28="Overlap between sections"</formula>
    </cfRule>
  </conditionalFormatting>
  <conditionalFormatting sqref="W28">
    <cfRule type="expression" dxfId="18479" priority="740">
      <formula>$M28="NON DEFINED"</formula>
    </cfRule>
    <cfRule type="expression" dxfId="18478" priority="741">
      <formula>$AZ28="N.D."</formula>
    </cfRule>
    <cfRule type="expression" dxfId="18477" priority="742">
      <formula>$AY28="N.D."</formula>
    </cfRule>
  </conditionalFormatting>
  <conditionalFormatting sqref="W28">
    <cfRule type="expression" dxfId="18476" priority="729">
      <formula>$A28="Overhead Cable"</formula>
    </cfRule>
    <cfRule type="expression" dxfId="18475" priority="730">
      <formula>$A28="Level Crossing"</formula>
    </cfRule>
    <cfRule type="expression" dxfId="18474" priority="731">
      <formula>$A28="Neutral Section"</formula>
    </cfRule>
    <cfRule type="expression" dxfId="18473" priority="732">
      <formula>$A28="Tunnel"</formula>
    </cfRule>
    <cfRule type="expression" dxfId="18472" priority="733">
      <formula>$A28="Bridge"</formula>
    </cfRule>
    <cfRule type="expression" dxfId="18471" priority="734">
      <formula>$A28="Drainage Works"</formula>
    </cfRule>
    <cfRule type="expression" dxfId="18470" priority="735">
      <formula>$A28="Underpass"</formula>
    </cfRule>
    <cfRule type="expression" dxfId="18469" priority="736">
      <formula>$A28="Overcrossing"</formula>
    </cfRule>
    <cfRule type="expression" dxfId="18468" priority="737">
      <formula>$A28="Overpass"</formula>
    </cfRule>
    <cfRule type="expression" dxfId="18467" priority="738">
      <formula>$A28="Station"</formula>
    </cfRule>
    <cfRule type="expression" dxfId="18466" priority="739">
      <formula>$A28="Overlap between sections"</formula>
    </cfRule>
  </conditionalFormatting>
  <conditionalFormatting sqref="O30">
    <cfRule type="expression" dxfId="18465" priority="726">
      <formula>$M30="NON DEFINED"</formula>
    </cfRule>
    <cfRule type="expression" dxfId="18464" priority="727">
      <formula>$AZ30="N.D."</formula>
    </cfRule>
    <cfRule type="expression" dxfId="18463" priority="728">
      <formula>$AY30="N.D."</formula>
    </cfRule>
  </conditionalFormatting>
  <conditionalFormatting sqref="O30">
    <cfRule type="expression" dxfId="18462" priority="715">
      <formula>$A30="Overhead Cable"</formula>
    </cfRule>
    <cfRule type="expression" dxfId="18461" priority="716">
      <formula>$A30="Level Crossing"</formula>
    </cfRule>
    <cfRule type="expression" dxfId="18460" priority="717">
      <formula>$A30="Neutral Section"</formula>
    </cfRule>
    <cfRule type="expression" dxfId="18459" priority="718">
      <formula>$A30="Tunnel"</formula>
    </cfRule>
    <cfRule type="expression" dxfId="18458" priority="719">
      <formula>$A30="Bridge"</formula>
    </cfRule>
    <cfRule type="expression" dxfId="18457" priority="720">
      <formula>$A30="Drainage Works"</formula>
    </cfRule>
    <cfRule type="expression" dxfId="18456" priority="721">
      <formula>$A30="Underpass"</formula>
    </cfRule>
    <cfRule type="expression" dxfId="18455" priority="722">
      <formula>$A30="Overcrossing"</formula>
    </cfRule>
    <cfRule type="expression" dxfId="18454" priority="723">
      <formula>$A30="Overpass"</formula>
    </cfRule>
    <cfRule type="expression" dxfId="18453" priority="724">
      <formula>$A30="Station"</formula>
    </cfRule>
    <cfRule type="expression" dxfId="18452" priority="725">
      <formula>$A30="Overlap between sections"</formula>
    </cfRule>
  </conditionalFormatting>
  <conditionalFormatting sqref="P30">
    <cfRule type="expression" dxfId="18451" priority="712">
      <formula>$M30="NON DEFINED"</formula>
    </cfRule>
    <cfRule type="expression" dxfId="18450" priority="713">
      <formula>$AZ30="N.D."</formula>
    </cfRule>
    <cfRule type="expression" dxfId="18449" priority="714">
      <formula>$AY30="N.D."</formula>
    </cfRule>
  </conditionalFormatting>
  <conditionalFormatting sqref="P30">
    <cfRule type="expression" dxfId="18448" priority="701">
      <formula>$A30="Overhead Cable"</formula>
    </cfRule>
    <cfRule type="expression" dxfId="18447" priority="702">
      <formula>$A30="Level Crossing"</formula>
    </cfRule>
    <cfRule type="expression" dxfId="18446" priority="703">
      <formula>$A30="Neutral Section"</formula>
    </cfRule>
    <cfRule type="expression" dxfId="18445" priority="704">
      <formula>$A30="Tunnel"</formula>
    </cfRule>
    <cfRule type="expression" dxfId="18444" priority="705">
      <formula>$A30="Bridge"</formula>
    </cfRule>
    <cfRule type="expression" dxfId="18443" priority="706">
      <formula>$A30="Drainage Works"</formula>
    </cfRule>
    <cfRule type="expression" dxfId="18442" priority="707">
      <formula>$A30="Underpass"</formula>
    </cfRule>
    <cfRule type="expression" dxfId="18441" priority="708">
      <formula>$A30="Overcrossing"</formula>
    </cfRule>
    <cfRule type="expression" dxfId="18440" priority="709">
      <formula>$A30="Overpass"</formula>
    </cfRule>
    <cfRule type="expression" dxfId="18439" priority="710">
      <formula>$A30="Station"</formula>
    </cfRule>
    <cfRule type="expression" dxfId="18438" priority="711">
      <formula>$A30="Overlap between sections"</formula>
    </cfRule>
  </conditionalFormatting>
  <conditionalFormatting sqref="Q30">
    <cfRule type="expression" dxfId="18437" priority="698">
      <formula>$M30="NON DEFINED"</formula>
    </cfRule>
    <cfRule type="expression" dxfId="18436" priority="699">
      <formula>$AZ30="N.D."</formula>
    </cfRule>
    <cfRule type="expression" dxfId="18435" priority="700">
      <formula>$AY30="N.D."</formula>
    </cfRule>
  </conditionalFormatting>
  <conditionalFormatting sqref="Q30">
    <cfRule type="expression" dxfId="18434" priority="687">
      <formula>$A30="Overhead Cable"</formula>
    </cfRule>
    <cfRule type="expression" dxfId="18433" priority="688">
      <formula>$A30="Level Crossing"</formula>
    </cfRule>
    <cfRule type="expression" dxfId="18432" priority="689">
      <formula>$A30="Neutral Section"</formula>
    </cfRule>
    <cfRule type="expression" dxfId="18431" priority="690">
      <formula>$A30="Tunnel"</formula>
    </cfRule>
    <cfRule type="expression" dxfId="18430" priority="691">
      <formula>$A30="Bridge"</formula>
    </cfRule>
    <cfRule type="expression" dxfId="18429" priority="692">
      <formula>$A30="Drainage Works"</formula>
    </cfRule>
    <cfRule type="expression" dxfId="18428" priority="693">
      <formula>$A30="Underpass"</formula>
    </cfRule>
    <cfRule type="expression" dxfId="18427" priority="694">
      <formula>$A30="Overcrossing"</formula>
    </cfRule>
    <cfRule type="expression" dxfId="18426" priority="695">
      <formula>$A30="Overpass"</formula>
    </cfRule>
    <cfRule type="expression" dxfId="18425" priority="696">
      <formula>$A30="Station"</formula>
    </cfRule>
    <cfRule type="expression" dxfId="18424" priority="697">
      <formula>$A30="Overlap between sections"</formula>
    </cfRule>
  </conditionalFormatting>
  <conditionalFormatting sqref="T30">
    <cfRule type="expression" dxfId="18423" priority="684">
      <formula>$M30="NON DEFINED"</formula>
    </cfRule>
    <cfRule type="expression" dxfId="18422" priority="685">
      <formula>$AZ30="N.D."</formula>
    </cfRule>
    <cfRule type="expression" dxfId="18421" priority="686">
      <formula>$AY30="N.D."</formula>
    </cfRule>
  </conditionalFormatting>
  <conditionalFormatting sqref="T30">
    <cfRule type="expression" dxfId="18420" priority="673">
      <formula>$A30="Overhead Cable"</formula>
    </cfRule>
    <cfRule type="expression" dxfId="18419" priority="674">
      <formula>$A30="Level Crossing"</formula>
    </cfRule>
    <cfRule type="expression" dxfId="18418" priority="675">
      <formula>$A30="Neutral Section"</formula>
    </cfRule>
    <cfRule type="expression" dxfId="18417" priority="676">
      <formula>$A30="Tunnel"</formula>
    </cfRule>
    <cfRule type="expression" dxfId="18416" priority="677">
      <formula>$A30="Bridge"</formula>
    </cfRule>
    <cfRule type="expression" dxfId="18415" priority="678">
      <formula>$A30="Drainage Works"</formula>
    </cfRule>
    <cfRule type="expression" dxfId="18414" priority="679">
      <formula>$A30="Underpass"</formula>
    </cfRule>
    <cfRule type="expression" dxfId="18413" priority="680">
      <formula>$A30="Overcrossing"</formula>
    </cfRule>
    <cfRule type="expression" dxfId="18412" priority="681">
      <formula>$A30="Overpass"</formula>
    </cfRule>
    <cfRule type="expression" dxfId="18411" priority="682">
      <formula>$A30="Station"</formula>
    </cfRule>
    <cfRule type="expression" dxfId="18410" priority="683">
      <formula>$A30="Overlap between sections"</formula>
    </cfRule>
  </conditionalFormatting>
  <conditionalFormatting sqref="U30">
    <cfRule type="expression" dxfId="18409" priority="670">
      <formula>$M30="NON DEFINED"</formula>
    </cfRule>
    <cfRule type="expression" dxfId="18408" priority="671">
      <formula>$AZ30="N.D."</formula>
    </cfRule>
    <cfRule type="expression" dxfId="18407" priority="672">
      <formula>$AY30="N.D."</formula>
    </cfRule>
  </conditionalFormatting>
  <conditionalFormatting sqref="U30">
    <cfRule type="expression" dxfId="18406" priority="659">
      <formula>$A30="Overhead Cable"</formula>
    </cfRule>
    <cfRule type="expression" dxfId="18405" priority="660">
      <formula>$A30="Level Crossing"</formula>
    </cfRule>
    <cfRule type="expression" dxfId="18404" priority="661">
      <formula>$A30="Neutral Section"</formula>
    </cfRule>
    <cfRule type="expression" dxfId="18403" priority="662">
      <formula>$A30="Tunnel"</formula>
    </cfRule>
    <cfRule type="expression" dxfId="18402" priority="663">
      <formula>$A30="Bridge"</formula>
    </cfRule>
    <cfRule type="expression" dxfId="18401" priority="664">
      <formula>$A30="Drainage Works"</formula>
    </cfRule>
    <cfRule type="expression" dxfId="18400" priority="665">
      <formula>$A30="Underpass"</formula>
    </cfRule>
    <cfRule type="expression" dxfId="18399" priority="666">
      <formula>$A30="Overcrossing"</formula>
    </cfRule>
    <cfRule type="expression" dxfId="18398" priority="667">
      <formula>$A30="Overpass"</formula>
    </cfRule>
    <cfRule type="expression" dxfId="18397" priority="668">
      <formula>$A30="Station"</formula>
    </cfRule>
    <cfRule type="expression" dxfId="18396" priority="669">
      <formula>$A30="Overlap between sections"</formula>
    </cfRule>
  </conditionalFormatting>
  <conditionalFormatting sqref="V30">
    <cfRule type="expression" dxfId="18395" priority="656">
      <formula>$M30="NON DEFINED"</formula>
    </cfRule>
    <cfRule type="expression" dxfId="18394" priority="657">
      <formula>$AZ30="N.D."</formula>
    </cfRule>
    <cfRule type="expression" dxfId="18393" priority="658">
      <formula>$AY30="N.D."</formula>
    </cfRule>
  </conditionalFormatting>
  <conditionalFormatting sqref="V30">
    <cfRule type="expression" dxfId="18392" priority="645">
      <formula>$A30="Overhead Cable"</formula>
    </cfRule>
    <cfRule type="expression" dxfId="18391" priority="646">
      <formula>$A30="Level Crossing"</formula>
    </cfRule>
    <cfRule type="expression" dxfId="18390" priority="647">
      <formula>$A30="Neutral Section"</formula>
    </cfRule>
    <cfRule type="expression" dxfId="18389" priority="648">
      <formula>$A30="Tunnel"</formula>
    </cfRule>
    <cfRule type="expression" dxfId="18388" priority="649">
      <formula>$A30="Bridge"</formula>
    </cfRule>
    <cfRule type="expression" dxfId="18387" priority="650">
      <formula>$A30="Drainage Works"</formula>
    </cfRule>
    <cfRule type="expression" dxfId="18386" priority="651">
      <formula>$A30="Underpass"</formula>
    </cfRule>
    <cfRule type="expression" dxfId="18385" priority="652">
      <formula>$A30="Overcrossing"</formula>
    </cfRule>
    <cfRule type="expression" dxfId="18384" priority="653">
      <formula>$A30="Overpass"</formula>
    </cfRule>
    <cfRule type="expression" dxfId="18383" priority="654">
      <formula>$A30="Station"</formula>
    </cfRule>
    <cfRule type="expression" dxfId="18382" priority="655">
      <formula>$A30="Overlap between sections"</formula>
    </cfRule>
  </conditionalFormatting>
  <conditionalFormatting sqref="R30">
    <cfRule type="expression" dxfId="18381" priority="642">
      <formula>$M30="NON DEFINED"</formula>
    </cfRule>
    <cfRule type="expression" dxfId="18380" priority="643">
      <formula>$AZ30="N.D."</formula>
    </cfRule>
    <cfRule type="expression" dxfId="18379" priority="644">
      <formula>$AY30="N.D."</formula>
    </cfRule>
  </conditionalFormatting>
  <conditionalFormatting sqref="R30">
    <cfRule type="expression" dxfId="18378" priority="631">
      <formula>$A30="Overhead Cable"</formula>
    </cfRule>
    <cfRule type="expression" dxfId="18377" priority="632">
      <formula>$A30="Level Crossing"</formula>
    </cfRule>
    <cfRule type="expression" dxfId="18376" priority="633">
      <formula>$A30="Neutral Section"</formula>
    </cfRule>
    <cfRule type="expression" dxfId="18375" priority="634">
      <formula>$A30="Tunnel"</formula>
    </cfRule>
    <cfRule type="expression" dxfId="18374" priority="635">
      <formula>$A30="Bridge"</formula>
    </cfRule>
    <cfRule type="expression" dxfId="18373" priority="636">
      <formula>$A30="Drainage Works"</formula>
    </cfRule>
    <cfRule type="expression" dxfId="18372" priority="637">
      <formula>$A30="Underpass"</formula>
    </cfRule>
    <cfRule type="expression" dxfId="18371" priority="638">
      <formula>$A30="Overcrossing"</formula>
    </cfRule>
    <cfRule type="expression" dxfId="18370" priority="639">
      <formula>$A30="Overpass"</formula>
    </cfRule>
    <cfRule type="expression" dxfId="18369" priority="640">
      <formula>$A30="Station"</formula>
    </cfRule>
    <cfRule type="expression" dxfId="18368" priority="641">
      <formula>$A30="Overlap between sections"</formula>
    </cfRule>
  </conditionalFormatting>
  <conditionalFormatting sqref="S30">
    <cfRule type="expression" dxfId="18367" priority="628">
      <formula>$M30="NON DEFINED"</formula>
    </cfRule>
    <cfRule type="expression" dxfId="18366" priority="629">
      <formula>$AZ30="N.D."</formula>
    </cfRule>
    <cfRule type="expression" dxfId="18365" priority="630">
      <formula>$AY30="N.D."</formula>
    </cfRule>
  </conditionalFormatting>
  <conditionalFormatting sqref="S30">
    <cfRule type="expression" dxfId="18364" priority="617">
      <formula>$A30="Overhead Cable"</formula>
    </cfRule>
    <cfRule type="expression" dxfId="18363" priority="618">
      <formula>$A30="Level Crossing"</formula>
    </cfRule>
    <cfRule type="expression" dxfId="18362" priority="619">
      <formula>$A30="Neutral Section"</formula>
    </cfRule>
    <cfRule type="expression" dxfId="18361" priority="620">
      <formula>$A30="Tunnel"</formula>
    </cfRule>
    <cfRule type="expression" dxfId="18360" priority="621">
      <formula>$A30="Bridge"</formula>
    </cfRule>
    <cfRule type="expression" dxfId="18359" priority="622">
      <formula>$A30="Drainage Works"</formula>
    </cfRule>
    <cfRule type="expression" dxfId="18358" priority="623">
      <formula>$A30="Underpass"</formula>
    </cfRule>
    <cfRule type="expression" dxfId="18357" priority="624">
      <formula>$A30="Overcrossing"</formula>
    </cfRule>
    <cfRule type="expression" dxfId="18356" priority="625">
      <formula>$A30="Overpass"</formula>
    </cfRule>
    <cfRule type="expression" dxfId="18355" priority="626">
      <formula>$A30="Station"</formula>
    </cfRule>
    <cfRule type="expression" dxfId="18354" priority="627">
      <formula>$A30="Overlap between sections"</formula>
    </cfRule>
  </conditionalFormatting>
  <conditionalFormatting sqref="W30">
    <cfRule type="expression" dxfId="18353" priority="614">
      <formula>$M30="NON DEFINED"</formula>
    </cfRule>
    <cfRule type="expression" dxfId="18352" priority="615">
      <formula>$AZ30="N.D."</formula>
    </cfRule>
    <cfRule type="expression" dxfId="18351" priority="616">
      <formula>$AY30="N.D."</formula>
    </cfRule>
  </conditionalFormatting>
  <conditionalFormatting sqref="W30">
    <cfRule type="expression" dxfId="18350" priority="603">
      <formula>$A30="Overhead Cable"</formula>
    </cfRule>
    <cfRule type="expression" dxfId="18349" priority="604">
      <formula>$A30="Level Crossing"</formula>
    </cfRule>
    <cfRule type="expression" dxfId="18348" priority="605">
      <formula>$A30="Neutral Section"</formula>
    </cfRule>
    <cfRule type="expression" dxfId="18347" priority="606">
      <formula>$A30="Tunnel"</formula>
    </cfRule>
    <cfRule type="expression" dxfId="18346" priority="607">
      <formula>$A30="Bridge"</formula>
    </cfRule>
    <cfRule type="expression" dxfId="18345" priority="608">
      <formula>$A30="Drainage Works"</formula>
    </cfRule>
    <cfRule type="expression" dxfId="18344" priority="609">
      <formula>$A30="Underpass"</formula>
    </cfRule>
    <cfRule type="expression" dxfId="18343" priority="610">
      <formula>$A30="Overcrossing"</formula>
    </cfRule>
    <cfRule type="expression" dxfId="18342" priority="611">
      <formula>$A30="Overpass"</formula>
    </cfRule>
    <cfRule type="expression" dxfId="18341" priority="612">
      <formula>$A30="Station"</formula>
    </cfRule>
    <cfRule type="expression" dxfId="18340" priority="613">
      <formula>$A30="Overlap between sections"</formula>
    </cfRule>
  </conditionalFormatting>
  <conditionalFormatting sqref="N30">
    <cfRule type="expression" dxfId="18339" priority="600">
      <formula>$M30="NON DEFINED"</formula>
    </cfRule>
    <cfRule type="expression" dxfId="18338" priority="601">
      <formula>$AZ30="N.D."</formula>
    </cfRule>
    <cfRule type="expression" dxfId="18337" priority="602">
      <formula>$AY30="N.D."</formula>
    </cfRule>
  </conditionalFormatting>
  <conditionalFormatting sqref="N30">
    <cfRule type="expression" dxfId="18336" priority="589">
      <formula>$A30="Overhead Cable"</formula>
    </cfRule>
    <cfRule type="expression" dxfId="18335" priority="590">
      <formula>$A30="Level Crossing"</formula>
    </cfRule>
    <cfRule type="expression" dxfId="18334" priority="591">
      <formula>$A30="Neutral Section"</formula>
    </cfRule>
    <cfRule type="expression" dxfId="18333" priority="592">
      <formula>$A30="Tunnel"</formula>
    </cfRule>
    <cfRule type="expression" dxfId="18332" priority="593">
      <formula>$A30="Bridge"</formula>
    </cfRule>
    <cfRule type="expression" dxfId="18331" priority="594">
      <formula>$A30="Drainage Works"</formula>
    </cfRule>
    <cfRule type="expression" dxfId="18330" priority="595">
      <formula>$A30="Underpass"</formula>
    </cfRule>
    <cfRule type="expression" dxfId="18329" priority="596">
      <formula>$A30="Overcrossing"</formula>
    </cfRule>
    <cfRule type="expression" dxfId="18328" priority="597">
      <formula>$A30="Overpass"</formula>
    </cfRule>
    <cfRule type="expression" dxfId="18327" priority="598">
      <formula>$A30="Station"</formula>
    </cfRule>
    <cfRule type="expression" dxfId="18326" priority="599">
      <formula>$A30="Overlap between sections"</formula>
    </cfRule>
  </conditionalFormatting>
  <conditionalFormatting sqref="O32">
    <cfRule type="expression" dxfId="18325" priority="572">
      <formula>$M32="NON DEFINED"</formula>
    </cfRule>
    <cfRule type="expression" dxfId="18324" priority="573">
      <formula>$AZ32="N.D."</formula>
    </cfRule>
    <cfRule type="expression" dxfId="18323" priority="574">
      <formula>$AY32="N.D."</formula>
    </cfRule>
  </conditionalFormatting>
  <conditionalFormatting sqref="O32">
    <cfRule type="expression" dxfId="18322" priority="561">
      <formula>$A32="Overhead Cable"</formula>
    </cfRule>
    <cfRule type="expression" dxfId="18321" priority="562">
      <formula>$A32="Level Crossing"</formula>
    </cfRule>
    <cfRule type="expression" dxfId="18320" priority="563">
      <formula>$A32="Neutral Section"</formula>
    </cfRule>
    <cfRule type="expression" dxfId="18319" priority="564">
      <formula>$A32="Tunnel"</formula>
    </cfRule>
    <cfRule type="expression" dxfId="18318" priority="565">
      <formula>$A32="Bridge"</formula>
    </cfRule>
    <cfRule type="expression" dxfId="18317" priority="566">
      <formula>$A32="Drainage Works"</formula>
    </cfRule>
    <cfRule type="expression" dxfId="18316" priority="567">
      <formula>$A32="Underpass"</formula>
    </cfRule>
    <cfRule type="expression" dxfId="18315" priority="568">
      <formula>$A32="Overcrossing"</formula>
    </cfRule>
    <cfRule type="expression" dxfId="18314" priority="569">
      <formula>$A32="Overpass"</formula>
    </cfRule>
    <cfRule type="expression" dxfId="18313" priority="570">
      <formula>$A32="Station"</formula>
    </cfRule>
    <cfRule type="expression" dxfId="18312" priority="571">
      <formula>$A32="Overlap between sections"</formula>
    </cfRule>
  </conditionalFormatting>
  <conditionalFormatting sqref="P32">
    <cfRule type="expression" dxfId="18311" priority="558">
      <formula>$M32="NON DEFINED"</formula>
    </cfRule>
    <cfRule type="expression" dxfId="18310" priority="559">
      <formula>$AZ32="N.D."</formula>
    </cfRule>
    <cfRule type="expression" dxfId="18309" priority="560">
      <formula>$AY32="N.D."</formula>
    </cfRule>
  </conditionalFormatting>
  <conditionalFormatting sqref="P32">
    <cfRule type="expression" dxfId="18308" priority="547">
      <formula>$A32="Overhead Cable"</formula>
    </cfRule>
    <cfRule type="expression" dxfId="18307" priority="548">
      <formula>$A32="Level Crossing"</formula>
    </cfRule>
    <cfRule type="expression" dxfId="18306" priority="549">
      <formula>$A32="Neutral Section"</formula>
    </cfRule>
    <cfRule type="expression" dxfId="18305" priority="550">
      <formula>$A32="Tunnel"</formula>
    </cfRule>
    <cfRule type="expression" dxfId="18304" priority="551">
      <formula>$A32="Bridge"</formula>
    </cfRule>
    <cfRule type="expression" dxfId="18303" priority="552">
      <formula>$A32="Drainage Works"</formula>
    </cfRule>
    <cfRule type="expression" dxfId="18302" priority="553">
      <formula>$A32="Underpass"</formula>
    </cfRule>
    <cfRule type="expression" dxfId="18301" priority="554">
      <formula>$A32="Overcrossing"</formula>
    </cfRule>
    <cfRule type="expression" dxfId="18300" priority="555">
      <formula>$A32="Overpass"</formula>
    </cfRule>
    <cfRule type="expression" dxfId="18299" priority="556">
      <formula>$A32="Station"</formula>
    </cfRule>
    <cfRule type="expression" dxfId="18298" priority="557">
      <formula>$A32="Overlap between sections"</formula>
    </cfRule>
  </conditionalFormatting>
  <conditionalFormatting sqref="Q32">
    <cfRule type="expression" dxfId="18297" priority="544">
      <formula>$M32="NON DEFINED"</formula>
    </cfRule>
    <cfRule type="expression" dxfId="18296" priority="545">
      <formula>$AZ32="N.D."</formula>
    </cfRule>
    <cfRule type="expression" dxfId="18295" priority="546">
      <formula>$AY32="N.D."</formula>
    </cfRule>
  </conditionalFormatting>
  <conditionalFormatting sqref="Q32">
    <cfRule type="expression" dxfId="18294" priority="533">
      <formula>$A32="Overhead Cable"</formula>
    </cfRule>
    <cfRule type="expression" dxfId="18293" priority="534">
      <formula>$A32="Level Crossing"</formula>
    </cfRule>
    <cfRule type="expression" dxfId="18292" priority="535">
      <formula>$A32="Neutral Section"</formula>
    </cfRule>
    <cfRule type="expression" dxfId="18291" priority="536">
      <formula>$A32="Tunnel"</formula>
    </cfRule>
    <cfRule type="expression" dxfId="18290" priority="537">
      <formula>$A32="Bridge"</formula>
    </cfRule>
    <cfRule type="expression" dxfId="18289" priority="538">
      <formula>$A32="Drainage Works"</formula>
    </cfRule>
    <cfRule type="expression" dxfId="18288" priority="539">
      <formula>$A32="Underpass"</formula>
    </cfRule>
    <cfRule type="expression" dxfId="18287" priority="540">
      <formula>$A32="Overcrossing"</formula>
    </cfRule>
    <cfRule type="expression" dxfId="18286" priority="541">
      <formula>$A32="Overpass"</formula>
    </cfRule>
    <cfRule type="expression" dxfId="18285" priority="542">
      <formula>$A32="Station"</formula>
    </cfRule>
    <cfRule type="expression" dxfId="18284" priority="543">
      <formula>$A32="Overlap between sections"</formula>
    </cfRule>
  </conditionalFormatting>
  <conditionalFormatting sqref="T32">
    <cfRule type="expression" dxfId="18283" priority="530">
      <formula>$M32="NON DEFINED"</formula>
    </cfRule>
    <cfRule type="expression" dxfId="18282" priority="531">
      <formula>$AZ32="N.D."</formula>
    </cfRule>
    <cfRule type="expression" dxfId="18281" priority="532">
      <formula>$AY32="N.D."</formula>
    </cfRule>
  </conditionalFormatting>
  <conditionalFormatting sqref="T32">
    <cfRule type="expression" dxfId="18280" priority="519">
      <formula>$A32="Overhead Cable"</formula>
    </cfRule>
    <cfRule type="expression" dxfId="18279" priority="520">
      <formula>$A32="Level Crossing"</formula>
    </cfRule>
    <cfRule type="expression" dxfId="18278" priority="521">
      <formula>$A32="Neutral Section"</formula>
    </cfRule>
    <cfRule type="expression" dxfId="18277" priority="522">
      <formula>$A32="Tunnel"</formula>
    </cfRule>
    <cfRule type="expression" dxfId="18276" priority="523">
      <formula>$A32="Bridge"</formula>
    </cfRule>
    <cfRule type="expression" dxfId="18275" priority="524">
      <formula>$A32="Drainage Works"</formula>
    </cfRule>
    <cfRule type="expression" dxfId="18274" priority="525">
      <formula>$A32="Underpass"</formula>
    </cfRule>
    <cfRule type="expression" dxfId="18273" priority="526">
      <formula>$A32="Overcrossing"</formula>
    </cfRule>
    <cfRule type="expression" dxfId="18272" priority="527">
      <formula>$A32="Overpass"</formula>
    </cfRule>
    <cfRule type="expression" dxfId="18271" priority="528">
      <formula>$A32="Station"</formula>
    </cfRule>
    <cfRule type="expression" dxfId="18270" priority="529">
      <formula>$A32="Overlap between sections"</formula>
    </cfRule>
  </conditionalFormatting>
  <conditionalFormatting sqref="U32">
    <cfRule type="expression" dxfId="18269" priority="516">
      <formula>$M32="NON DEFINED"</formula>
    </cfRule>
    <cfRule type="expression" dxfId="18268" priority="517">
      <formula>$AZ32="N.D."</formula>
    </cfRule>
    <cfRule type="expression" dxfId="18267" priority="518">
      <formula>$AY32="N.D."</formula>
    </cfRule>
  </conditionalFormatting>
  <conditionalFormatting sqref="U32">
    <cfRule type="expression" dxfId="18266" priority="505">
      <formula>$A32="Overhead Cable"</formula>
    </cfRule>
    <cfRule type="expression" dxfId="18265" priority="506">
      <formula>$A32="Level Crossing"</formula>
    </cfRule>
    <cfRule type="expression" dxfId="18264" priority="507">
      <formula>$A32="Neutral Section"</formula>
    </cfRule>
    <cfRule type="expression" dxfId="18263" priority="508">
      <formula>$A32="Tunnel"</formula>
    </cfRule>
    <cfRule type="expression" dxfId="18262" priority="509">
      <formula>$A32="Bridge"</formula>
    </cfRule>
    <cfRule type="expression" dxfId="18261" priority="510">
      <formula>$A32="Drainage Works"</formula>
    </cfRule>
    <cfRule type="expression" dxfId="18260" priority="511">
      <formula>$A32="Underpass"</formula>
    </cfRule>
    <cfRule type="expression" dxfId="18259" priority="512">
      <formula>$A32="Overcrossing"</formula>
    </cfRule>
    <cfRule type="expression" dxfId="18258" priority="513">
      <formula>$A32="Overpass"</formula>
    </cfRule>
    <cfRule type="expression" dxfId="18257" priority="514">
      <formula>$A32="Station"</formula>
    </cfRule>
    <cfRule type="expression" dxfId="18256" priority="515">
      <formula>$A32="Overlap between sections"</formula>
    </cfRule>
  </conditionalFormatting>
  <conditionalFormatting sqref="V32">
    <cfRule type="expression" dxfId="18255" priority="502">
      <formula>$M32="NON DEFINED"</formula>
    </cfRule>
    <cfRule type="expression" dxfId="18254" priority="503">
      <formula>$AZ32="N.D."</formula>
    </cfRule>
    <cfRule type="expression" dxfId="18253" priority="504">
      <formula>$AY32="N.D."</formula>
    </cfRule>
  </conditionalFormatting>
  <conditionalFormatting sqref="V32">
    <cfRule type="expression" dxfId="18252" priority="491">
      <formula>$A32="Overhead Cable"</formula>
    </cfRule>
    <cfRule type="expression" dxfId="18251" priority="492">
      <formula>$A32="Level Crossing"</formula>
    </cfRule>
    <cfRule type="expression" dxfId="18250" priority="493">
      <formula>$A32="Neutral Section"</formula>
    </cfRule>
    <cfRule type="expression" dxfId="18249" priority="494">
      <formula>$A32="Tunnel"</formula>
    </cfRule>
    <cfRule type="expression" dxfId="18248" priority="495">
      <formula>$A32="Bridge"</formula>
    </cfRule>
    <cfRule type="expression" dxfId="18247" priority="496">
      <formula>$A32="Drainage Works"</formula>
    </cfRule>
    <cfRule type="expression" dxfId="18246" priority="497">
      <formula>$A32="Underpass"</formula>
    </cfRule>
    <cfRule type="expression" dxfId="18245" priority="498">
      <formula>$A32="Overcrossing"</formula>
    </cfRule>
    <cfRule type="expression" dxfId="18244" priority="499">
      <formula>$A32="Overpass"</formula>
    </cfRule>
    <cfRule type="expression" dxfId="18243" priority="500">
      <formula>$A32="Station"</formula>
    </cfRule>
    <cfRule type="expression" dxfId="18242" priority="501">
      <formula>$A32="Overlap between sections"</formula>
    </cfRule>
  </conditionalFormatting>
  <conditionalFormatting sqref="R32">
    <cfRule type="expression" dxfId="18241" priority="488">
      <formula>$M32="NON DEFINED"</formula>
    </cfRule>
    <cfRule type="expression" dxfId="18240" priority="489">
      <formula>$AZ32="N.D."</formula>
    </cfRule>
    <cfRule type="expression" dxfId="18239" priority="490">
      <formula>$AY32="N.D."</formula>
    </cfRule>
  </conditionalFormatting>
  <conditionalFormatting sqref="R32">
    <cfRule type="expression" dxfId="18238" priority="477">
      <formula>$A32="Overhead Cable"</formula>
    </cfRule>
    <cfRule type="expression" dxfId="18237" priority="478">
      <formula>$A32="Level Crossing"</formula>
    </cfRule>
    <cfRule type="expression" dxfId="18236" priority="479">
      <formula>$A32="Neutral Section"</formula>
    </cfRule>
    <cfRule type="expression" dxfId="18235" priority="480">
      <formula>$A32="Tunnel"</formula>
    </cfRule>
    <cfRule type="expression" dxfId="18234" priority="481">
      <formula>$A32="Bridge"</formula>
    </cfRule>
    <cfRule type="expression" dxfId="18233" priority="482">
      <formula>$A32="Drainage Works"</formula>
    </cfRule>
    <cfRule type="expression" dxfId="18232" priority="483">
      <formula>$A32="Underpass"</formula>
    </cfRule>
    <cfRule type="expression" dxfId="18231" priority="484">
      <formula>$A32="Overcrossing"</formula>
    </cfRule>
    <cfRule type="expression" dxfId="18230" priority="485">
      <formula>$A32="Overpass"</formula>
    </cfRule>
    <cfRule type="expression" dxfId="18229" priority="486">
      <formula>$A32="Station"</formula>
    </cfRule>
    <cfRule type="expression" dxfId="18228" priority="487">
      <formula>$A32="Overlap between sections"</formula>
    </cfRule>
  </conditionalFormatting>
  <conditionalFormatting sqref="S32">
    <cfRule type="expression" dxfId="18227" priority="474">
      <formula>$M32="NON DEFINED"</formula>
    </cfRule>
    <cfRule type="expression" dxfId="18226" priority="475">
      <formula>$AZ32="N.D."</formula>
    </cfRule>
    <cfRule type="expression" dxfId="18225" priority="476">
      <formula>$AY32="N.D."</formula>
    </cfRule>
  </conditionalFormatting>
  <conditionalFormatting sqref="S32">
    <cfRule type="expression" dxfId="18224" priority="463">
      <formula>$A32="Overhead Cable"</formula>
    </cfRule>
    <cfRule type="expression" dxfId="18223" priority="464">
      <formula>$A32="Level Crossing"</formula>
    </cfRule>
    <cfRule type="expression" dxfId="18222" priority="465">
      <formula>$A32="Neutral Section"</formula>
    </cfRule>
    <cfRule type="expression" dxfId="18221" priority="466">
      <formula>$A32="Tunnel"</formula>
    </cfRule>
    <cfRule type="expression" dxfId="18220" priority="467">
      <formula>$A32="Bridge"</formula>
    </cfRule>
    <cfRule type="expression" dxfId="18219" priority="468">
      <formula>$A32="Drainage Works"</formula>
    </cfRule>
    <cfRule type="expression" dxfId="18218" priority="469">
      <formula>$A32="Underpass"</formula>
    </cfRule>
    <cfRule type="expression" dxfId="18217" priority="470">
      <formula>$A32="Overcrossing"</formula>
    </cfRule>
    <cfRule type="expression" dxfId="18216" priority="471">
      <formula>$A32="Overpass"</formula>
    </cfRule>
    <cfRule type="expression" dxfId="18215" priority="472">
      <formula>$A32="Station"</formula>
    </cfRule>
    <cfRule type="expression" dxfId="18214" priority="473">
      <formula>$A32="Overlap between sections"</formula>
    </cfRule>
  </conditionalFormatting>
  <conditionalFormatting sqref="W32">
    <cfRule type="expression" dxfId="18213" priority="460">
      <formula>$M32="NON DEFINED"</formula>
    </cfRule>
    <cfRule type="expression" dxfId="18212" priority="461">
      <formula>$AZ32="N.D."</formula>
    </cfRule>
    <cfRule type="expression" dxfId="18211" priority="462">
      <formula>$AY32="N.D."</formula>
    </cfRule>
  </conditionalFormatting>
  <conditionalFormatting sqref="W32">
    <cfRule type="expression" dxfId="18210" priority="449">
      <formula>$A32="Overhead Cable"</formula>
    </cfRule>
    <cfRule type="expression" dxfId="18209" priority="450">
      <formula>$A32="Level Crossing"</formula>
    </cfRule>
    <cfRule type="expression" dxfId="18208" priority="451">
      <formula>$A32="Neutral Section"</formula>
    </cfRule>
    <cfRule type="expression" dxfId="18207" priority="452">
      <formula>$A32="Tunnel"</formula>
    </cfRule>
    <cfRule type="expression" dxfId="18206" priority="453">
      <formula>$A32="Bridge"</formula>
    </cfRule>
    <cfRule type="expression" dxfId="18205" priority="454">
      <formula>$A32="Drainage Works"</formula>
    </cfRule>
    <cfRule type="expression" dxfId="18204" priority="455">
      <formula>$A32="Underpass"</formula>
    </cfRule>
    <cfRule type="expression" dxfId="18203" priority="456">
      <formula>$A32="Overcrossing"</formula>
    </cfRule>
    <cfRule type="expression" dxfId="18202" priority="457">
      <formula>$A32="Overpass"</formula>
    </cfRule>
    <cfRule type="expression" dxfId="18201" priority="458">
      <formula>$A32="Station"</formula>
    </cfRule>
    <cfRule type="expression" dxfId="18200" priority="459">
      <formula>$A32="Overlap between sections"</formula>
    </cfRule>
  </conditionalFormatting>
  <conditionalFormatting sqref="O34">
    <cfRule type="expression" dxfId="18199" priority="446">
      <formula>$M34="NON DEFINED"</formula>
    </cfRule>
    <cfRule type="expression" dxfId="18198" priority="447">
      <formula>$AZ34="N.D."</formula>
    </cfRule>
    <cfRule type="expression" dxfId="18197" priority="448">
      <formula>$AY34="N.D."</formula>
    </cfRule>
  </conditionalFormatting>
  <conditionalFormatting sqref="O34">
    <cfRule type="expression" dxfId="18196" priority="435">
      <formula>$A34="Overhead Cable"</formula>
    </cfRule>
    <cfRule type="expression" dxfId="18195" priority="436">
      <formula>$A34="Level Crossing"</formula>
    </cfRule>
    <cfRule type="expression" dxfId="18194" priority="437">
      <formula>$A34="Neutral Section"</formula>
    </cfRule>
    <cfRule type="expression" dxfId="18193" priority="438">
      <formula>$A34="Tunnel"</formula>
    </cfRule>
    <cfRule type="expression" dxfId="18192" priority="439">
      <formula>$A34="Bridge"</formula>
    </cfRule>
    <cfRule type="expression" dxfId="18191" priority="440">
      <formula>$A34="Drainage Works"</formula>
    </cfRule>
    <cfRule type="expression" dxfId="18190" priority="441">
      <formula>$A34="Underpass"</formula>
    </cfRule>
    <cfRule type="expression" dxfId="18189" priority="442">
      <formula>$A34="Overcrossing"</formula>
    </cfRule>
    <cfRule type="expression" dxfId="18188" priority="443">
      <formula>$A34="Overpass"</formula>
    </cfRule>
    <cfRule type="expression" dxfId="18187" priority="444">
      <formula>$A34="Station"</formula>
    </cfRule>
    <cfRule type="expression" dxfId="18186" priority="445">
      <formula>$A34="Overlap between sections"</formula>
    </cfRule>
  </conditionalFormatting>
  <conditionalFormatting sqref="P34">
    <cfRule type="expression" dxfId="18185" priority="432">
      <formula>$M34="NON DEFINED"</formula>
    </cfRule>
    <cfRule type="expression" dxfId="18184" priority="433">
      <formula>$AZ34="N.D."</formula>
    </cfRule>
    <cfRule type="expression" dxfId="18183" priority="434">
      <formula>$AY34="N.D."</formula>
    </cfRule>
  </conditionalFormatting>
  <conditionalFormatting sqref="P34">
    <cfRule type="expression" dxfId="18182" priority="421">
      <formula>$A34="Overhead Cable"</formula>
    </cfRule>
    <cfRule type="expression" dxfId="18181" priority="422">
      <formula>$A34="Level Crossing"</formula>
    </cfRule>
    <cfRule type="expression" dxfId="18180" priority="423">
      <formula>$A34="Neutral Section"</formula>
    </cfRule>
    <cfRule type="expression" dxfId="18179" priority="424">
      <formula>$A34="Tunnel"</formula>
    </cfRule>
    <cfRule type="expression" dxfId="18178" priority="425">
      <formula>$A34="Bridge"</formula>
    </cfRule>
    <cfRule type="expression" dxfId="18177" priority="426">
      <formula>$A34="Drainage Works"</formula>
    </cfRule>
    <cfRule type="expression" dxfId="18176" priority="427">
      <formula>$A34="Underpass"</formula>
    </cfRule>
    <cfRule type="expression" dxfId="18175" priority="428">
      <formula>$A34="Overcrossing"</formula>
    </cfRule>
    <cfRule type="expression" dxfId="18174" priority="429">
      <formula>$A34="Overpass"</formula>
    </cfRule>
    <cfRule type="expression" dxfId="18173" priority="430">
      <formula>$A34="Station"</formula>
    </cfRule>
    <cfRule type="expression" dxfId="18172" priority="431">
      <formula>$A34="Overlap between sections"</formula>
    </cfRule>
  </conditionalFormatting>
  <conditionalFormatting sqref="Q34">
    <cfRule type="expression" dxfId="18171" priority="418">
      <formula>$M34="NON DEFINED"</formula>
    </cfRule>
    <cfRule type="expression" dxfId="18170" priority="419">
      <formula>$AZ34="N.D."</formula>
    </cfRule>
    <cfRule type="expression" dxfId="18169" priority="420">
      <formula>$AY34="N.D."</formula>
    </cfRule>
  </conditionalFormatting>
  <conditionalFormatting sqref="Q34">
    <cfRule type="expression" dxfId="18168" priority="407">
      <formula>$A34="Overhead Cable"</formula>
    </cfRule>
    <cfRule type="expression" dxfId="18167" priority="408">
      <formula>$A34="Level Crossing"</formula>
    </cfRule>
    <cfRule type="expression" dxfId="18166" priority="409">
      <formula>$A34="Neutral Section"</formula>
    </cfRule>
    <cfRule type="expression" dxfId="18165" priority="410">
      <formula>$A34="Tunnel"</formula>
    </cfRule>
    <cfRule type="expression" dxfId="18164" priority="411">
      <formula>$A34="Bridge"</formula>
    </cfRule>
    <cfRule type="expression" dxfId="18163" priority="412">
      <formula>$A34="Drainage Works"</formula>
    </cfRule>
    <cfRule type="expression" dxfId="18162" priority="413">
      <formula>$A34="Underpass"</formula>
    </cfRule>
    <cfRule type="expression" dxfId="18161" priority="414">
      <formula>$A34="Overcrossing"</formula>
    </cfRule>
    <cfRule type="expression" dxfId="18160" priority="415">
      <formula>$A34="Overpass"</formula>
    </cfRule>
    <cfRule type="expression" dxfId="18159" priority="416">
      <formula>$A34="Station"</formula>
    </cfRule>
    <cfRule type="expression" dxfId="18158" priority="417">
      <formula>$A34="Overlap between sections"</formula>
    </cfRule>
  </conditionalFormatting>
  <conditionalFormatting sqref="T34">
    <cfRule type="expression" dxfId="18157" priority="404">
      <formula>$M34="NON DEFINED"</formula>
    </cfRule>
    <cfRule type="expression" dxfId="18156" priority="405">
      <formula>$AZ34="N.D."</formula>
    </cfRule>
    <cfRule type="expression" dxfId="18155" priority="406">
      <formula>$AY34="N.D."</formula>
    </cfRule>
  </conditionalFormatting>
  <conditionalFormatting sqref="T34">
    <cfRule type="expression" dxfId="18154" priority="393">
      <formula>$A34="Overhead Cable"</formula>
    </cfRule>
    <cfRule type="expression" dxfId="18153" priority="394">
      <formula>$A34="Level Crossing"</formula>
    </cfRule>
    <cfRule type="expression" dxfId="18152" priority="395">
      <formula>$A34="Neutral Section"</formula>
    </cfRule>
    <cfRule type="expression" dxfId="18151" priority="396">
      <formula>$A34="Tunnel"</formula>
    </cfRule>
    <cfRule type="expression" dxfId="18150" priority="397">
      <formula>$A34="Bridge"</formula>
    </cfRule>
    <cfRule type="expression" dxfId="18149" priority="398">
      <formula>$A34="Drainage Works"</formula>
    </cfRule>
    <cfRule type="expression" dxfId="18148" priority="399">
      <formula>$A34="Underpass"</formula>
    </cfRule>
    <cfRule type="expression" dxfId="18147" priority="400">
      <formula>$A34="Overcrossing"</formula>
    </cfRule>
    <cfRule type="expression" dxfId="18146" priority="401">
      <formula>$A34="Overpass"</formula>
    </cfRule>
    <cfRule type="expression" dxfId="18145" priority="402">
      <formula>$A34="Station"</formula>
    </cfRule>
    <cfRule type="expression" dxfId="18144" priority="403">
      <formula>$A34="Overlap between sections"</formula>
    </cfRule>
  </conditionalFormatting>
  <conditionalFormatting sqref="U34">
    <cfRule type="expression" dxfId="18143" priority="390">
      <formula>$M34="NON DEFINED"</formula>
    </cfRule>
    <cfRule type="expression" dxfId="18142" priority="391">
      <formula>$AZ34="N.D."</formula>
    </cfRule>
    <cfRule type="expression" dxfId="18141" priority="392">
      <formula>$AY34="N.D."</formula>
    </cfRule>
  </conditionalFormatting>
  <conditionalFormatting sqref="U34">
    <cfRule type="expression" dxfId="18140" priority="379">
      <formula>$A34="Overhead Cable"</formula>
    </cfRule>
    <cfRule type="expression" dxfId="18139" priority="380">
      <formula>$A34="Level Crossing"</formula>
    </cfRule>
    <cfRule type="expression" dxfId="18138" priority="381">
      <formula>$A34="Neutral Section"</formula>
    </cfRule>
    <cfRule type="expression" dxfId="18137" priority="382">
      <formula>$A34="Tunnel"</formula>
    </cfRule>
    <cfRule type="expression" dxfId="18136" priority="383">
      <formula>$A34="Bridge"</formula>
    </cfRule>
    <cfRule type="expression" dxfId="18135" priority="384">
      <formula>$A34="Drainage Works"</formula>
    </cfRule>
    <cfRule type="expression" dxfId="18134" priority="385">
      <formula>$A34="Underpass"</formula>
    </cfRule>
    <cfRule type="expression" dxfId="18133" priority="386">
      <formula>$A34="Overcrossing"</formula>
    </cfRule>
    <cfRule type="expression" dxfId="18132" priority="387">
      <formula>$A34="Overpass"</formula>
    </cfRule>
    <cfRule type="expression" dxfId="18131" priority="388">
      <formula>$A34="Station"</formula>
    </cfRule>
    <cfRule type="expression" dxfId="18130" priority="389">
      <formula>$A34="Overlap between sections"</formula>
    </cfRule>
  </conditionalFormatting>
  <conditionalFormatting sqref="V34">
    <cfRule type="expression" dxfId="18129" priority="376">
      <formula>$M34="NON DEFINED"</formula>
    </cfRule>
    <cfRule type="expression" dxfId="18128" priority="377">
      <formula>$AZ34="N.D."</formula>
    </cfRule>
    <cfRule type="expression" dxfId="18127" priority="378">
      <formula>$AY34="N.D."</formula>
    </cfRule>
  </conditionalFormatting>
  <conditionalFormatting sqref="V34">
    <cfRule type="expression" dxfId="18126" priority="365">
      <formula>$A34="Overhead Cable"</formula>
    </cfRule>
    <cfRule type="expression" dxfId="18125" priority="366">
      <formula>$A34="Level Crossing"</formula>
    </cfRule>
    <cfRule type="expression" dxfId="18124" priority="367">
      <formula>$A34="Neutral Section"</formula>
    </cfRule>
    <cfRule type="expression" dxfId="18123" priority="368">
      <formula>$A34="Tunnel"</formula>
    </cfRule>
    <cfRule type="expression" dxfId="18122" priority="369">
      <formula>$A34="Bridge"</formula>
    </cfRule>
    <cfRule type="expression" dxfId="18121" priority="370">
      <formula>$A34="Drainage Works"</formula>
    </cfRule>
    <cfRule type="expression" dxfId="18120" priority="371">
      <formula>$A34="Underpass"</formula>
    </cfRule>
    <cfRule type="expression" dxfId="18119" priority="372">
      <formula>$A34="Overcrossing"</formula>
    </cfRule>
    <cfRule type="expression" dxfId="18118" priority="373">
      <formula>$A34="Overpass"</formula>
    </cfRule>
    <cfRule type="expression" dxfId="18117" priority="374">
      <formula>$A34="Station"</formula>
    </cfRule>
    <cfRule type="expression" dxfId="18116" priority="375">
      <formula>$A34="Overlap between sections"</formula>
    </cfRule>
  </conditionalFormatting>
  <conditionalFormatting sqref="R34">
    <cfRule type="expression" dxfId="18115" priority="362">
      <formula>$M34="NON DEFINED"</formula>
    </cfRule>
    <cfRule type="expression" dxfId="18114" priority="363">
      <formula>$AZ34="N.D."</formula>
    </cfRule>
    <cfRule type="expression" dxfId="18113" priority="364">
      <formula>$AY34="N.D."</formula>
    </cfRule>
  </conditionalFormatting>
  <conditionalFormatting sqref="R34">
    <cfRule type="expression" dxfId="18112" priority="351">
      <formula>$A34="Overhead Cable"</formula>
    </cfRule>
    <cfRule type="expression" dxfId="18111" priority="352">
      <formula>$A34="Level Crossing"</formula>
    </cfRule>
    <cfRule type="expression" dxfId="18110" priority="353">
      <formula>$A34="Neutral Section"</formula>
    </cfRule>
    <cfRule type="expression" dxfId="18109" priority="354">
      <formula>$A34="Tunnel"</formula>
    </cfRule>
    <cfRule type="expression" dxfId="18108" priority="355">
      <formula>$A34="Bridge"</formula>
    </cfRule>
    <cfRule type="expression" dxfId="18107" priority="356">
      <formula>$A34="Drainage Works"</formula>
    </cfRule>
    <cfRule type="expression" dxfId="18106" priority="357">
      <formula>$A34="Underpass"</formula>
    </cfRule>
    <cfRule type="expression" dxfId="18105" priority="358">
      <formula>$A34="Overcrossing"</formula>
    </cfRule>
    <cfRule type="expression" dxfId="18104" priority="359">
      <formula>$A34="Overpass"</formula>
    </cfRule>
    <cfRule type="expression" dxfId="18103" priority="360">
      <formula>$A34="Station"</formula>
    </cfRule>
    <cfRule type="expression" dxfId="18102" priority="361">
      <formula>$A34="Overlap between sections"</formula>
    </cfRule>
  </conditionalFormatting>
  <conditionalFormatting sqref="S34">
    <cfRule type="expression" dxfId="18101" priority="348">
      <formula>$M34="NON DEFINED"</formula>
    </cfRule>
    <cfRule type="expression" dxfId="18100" priority="349">
      <formula>$AZ34="N.D."</formula>
    </cfRule>
    <cfRule type="expression" dxfId="18099" priority="350">
      <formula>$AY34="N.D."</formula>
    </cfRule>
  </conditionalFormatting>
  <conditionalFormatting sqref="S34">
    <cfRule type="expression" dxfId="18098" priority="337">
      <formula>$A34="Overhead Cable"</formula>
    </cfRule>
    <cfRule type="expression" dxfId="18097" priority="338">
      <formula>$A34="Level Crossing"</formula>
    </cfRule>
    <cfRule type="expression" dxfId="18096" priority="339">
      <formula>$A34="Neutral Section"</formula>
    </cfRule>
    <cfRule type="expression" dxfId="18095" priority="340">
      <formula>$A34="Tunnel"</formula>
    </cfRule>
    <cfRule type="expression" dxfId="18094" priority="341">
      <formula>$A34="Bridge"</formula>
    </cfRule>
    <cfRule type="expression" dxfId="18093" priority="342">
      <formula>$A34="Drainage Works"</formula>
    </cfRule>
    <cfRule type="expression" dxfId="18092" priority="343">
      <formula>$A34="Underpass"</formula>
    </cfRule>
    <cfRule type="expression" dxfId="18091" priority="344">
      <formula>$A34="Overcrossing"</formula>
    </cfRule>
    <cfRule type="expression" dxfId="18090" priority="345">
      <formula>$A34="Overpass"</formula>
    </cfRule>
    <cfRule type="expression" dxfId="18089" priority="346">
      <formula>$A34="Station"</formula>
    </cfRule>
    <cfRule type="expression" dxfId="18088" priority="347">
      <formula>$A34="Overlap between sections"</formula>
    </cfRule>
  </conditionalFormatting>
  <conditionalFormatting sqref="W34">
    <cfRule type="expression" dxfId="18087" priority="334">
      <formula>$M34="NON DEFINED"</formula>
    </cfRule>
    <cfRule type="expression" dxfId="18086" priority="335">
      <formula>$AZ34="N.D."</formula>
    </cfRule>
    <cfRule type="expression" dxfId="18085" priority="336">
      <formula>$AY34="N.D."</formula>
    </cfRule>
  </conditionalFormatting>
  <conditionalFormatting sqref="W34">
    <cfRule type="expression" dxfId="18084" priority="323">
      <formula>$A34="Overhead Cable"</formula>
    </cfRule>
    <cfRule type="expression" dxfId="18083" priority="324">
      <formula>$A34="Level Crossing"</formula>
    </cfRule>
    <cfRule type="expression" dxfId="18082" priority="325">
      <formula>$A34="Neutral Section"</formula>
    </cfRule>
    <cfRule type="expression" dxfId="18081" priority="326">
      <formula>$A34="Tunnel"</formula>
    </cfRule>
    <cfRule type="expression" dxfId="18080" priority="327">
      <formula>$A34="Bridge"</formula>
    </cfRule>
    <cfRule type="expression" dxfId="18079" priority="328">
      <formula>$A34="Drainage Works"</formula>
    </cfRule>
    <cfRule type="expression" dxfId="18078" priority="329">
      <formula>$A34="Underpass"</formula>
    </cfRule>
    <cfRule type="expression" dxfId="18077" priority="330">
      <formula>$A34="Overcrossing"</formula>
    </cfRule>
    <cfRule type="expression" dxfId="18076" priority="331">
      <formula>$A34="Overpass"</formula>
    </cfRule>
    <cfRule type="expression" dxfId="18075" priority="332">
      <formula>$A34="Station"</formula>
    </cfRule>
    <cfRule type="expression" dxfId="18074" priority="333">
      <formula>$A34="Overlap between sections"</formula>
    </cfRule>
  </conditionalFormatting>
  <conditionalFormatting sqref="N34">
    <cfRule type="expression" dxfId="18073" priority="320">
      <formula>$M34="NON DEFINED"</formula>
    </cfRule>
    <cfRule type="expression" dxfId="18072" priority="321">
      <formula>$AZ34="N.D."</formula>
    </cfRule>
    <cfRule type="expression" dxfId="18071" priority="322">
      <formula>$AY34="N.D."</formula>
    </cfRule>
  </conditionalFormatting>
  <conditionalFormatting sqref="N34">
    <cfRule type="expression" dxfId="18070" priority="309">
      <formula>$A34="Overhead Cable"</formula>
    </cfRule>
    <cfRule type="expression" dxfId="18069" priority="310">
      <formula>$A34="Level Crossing"</formula>
    </cfRule>
    <cfRule type="expression" dxfId="18068" priority="311">
      <formula>$A34="Neutral Section"</formula>
    </cfRule>
    <cfRule type="expression" dxfId="18067" priority="312">
      <formula>$A34="Tunnel"</formula>
    </cfRule>
    <cfRule type="expression" dxfId="18066" priority="313">
      <formula>$A34="Bridge"</formula>
    </cfRule>
    <cfRule type="expression" dxfId="18065" priority="314">
      <formula>$A34="Drainage Works"</formula>
    </cfRule>
    <cfRule type="expression" dxfId="18064" priority="315">
      <formula>$A34="Underpass"</formula>
    </cfRule>
    <cfRule type="expression" dxfId="18063" priority="316">
      <formula>$A34="Overcrossing"</formula>
    </cfRule>
    <cfRule type="expression" dxfId="18062" priority="317">
      <formula>$A34="Overpass"</formula>
    </cfRule>
    <cfRule type="expression" dxfId="18061" priority="318">
      <formula>$A34="Station"</formula>
    </cfRule>
    <cfRule type="expression" dxfId="18060" priority="319">
      <formula>$A34="Overlap between sections"</formula>
    </cfRule>
  </conditionalFormatting>
  <conditionalFormatting sqref="O36">
    <cfRule type="expression" dxfId="18059" priority="292">
      <formula>$M36="NON DEFINED"</formula>
    </cfRule>
    <cfRule type="expression" dxfId="18058" priority="293">
      <formula>$AZ36="N.D."</formula>
    </cfRule>
    <cfRule type="expression" dxfId="18057" priority="294">
      <formula>$AY36="N.D."</formula>
    </cfRule>
  </conditionalFormatting>
  <conditionalFormatting sqref="O36">
    <cfRule type="expression" dxfId="18056" priority="281">
      <formula>$A36="Overhead Cable"</formula>
    </cfRule>
    <cfRule type="expression" dxfId="18055" priority="282">
      <formula>$A36="Level Crossing"</formula>
    </cfRule>
    <cfRule type="expression" dxfId="18054" priority="283">
      <formula>$A36="Neutral Section"</formula>
    </cfRule>
    <cfRule type="expression" dxfId="18053" priority="284">
      <formula>$A36="Tunnel"</formula>
    </cfRule>
    <cfRule type="expression" dxfId="18052" priority="285">
      <formula>$A36="Bridge"</formula>
    </cfRule>
    <cfRule type="expression" dxfId="18051" priority="286">
      <formula>$A36="Drainage Works"</formula>
    </cfRule>
    <cfRule type="expression" dxfId="18050" priority="287">
      <formula>$A36="Underpass"</formula>
    </cfRule>
    <cfRule type="expression" dxfId="18049" priority="288">
      <formula>$A36="Overcrossing"</formula>
    </cfRule>
    <cfRule type="expression" dxfId="18048" priority="289">
      <formula>$A36="Overpass"</formula>
    </cfRule>
    <cfRule type="expression" dxfId="18047" priority="290">
      <formula>$A36="Station"</formula>
    </cfRule>
    <cfRule type="expression" dxfId="18046" priority="291">
      <formula>$A36="Overlap between sections"</formula>
    </cfRule>
  </conditionalFormatting>
  <conditionalFormatting sqref="P36">
    <cfRule type="expression" dxfId="18045" priority="278">
      <formula>$M36="NON DEFINED"</formula>
    </cfRule>
    <cfRule type="expression" dxfId="18044" priority="279">
      <formula>$AZ36="N.D."</formula>
    </cfRule>
    <cfRule type="expression" dxfId="18043" priority="280">
      <formula>$AY36="N.D."</formula>
    </cfRule>
  </conditionalFormatting>
  <conditionalFormatting sqref="P36">
    <cfRule type="expression" dxfId="18042" priority="267">
      <formula>$A36="Overhead Cable"</formula>
    </cfRule>
    <cfRule type="expression" dxfId="18041" priority="268">
      <formula>$A36="Level Crossing"</formula>
    </cfRule>
    <cfRule type="expression" dxfId="18040" priority="269">
      <formula>$A36="Neutral Section"</formula>
    </cfRule>
    <cfRule type="expression" dxfId="18039" priority="270">
      <formula>$A36="Tunnel"</formula>
    </cfRule>
    <cfRule type="expression" dxfId="18038" priority="271">
      <formula>$A36="Bridge"</formula>
    </cfRule>
    <cfRule type="expression" dxfId="18037" priority="272">
      <formula>$A36="Drainage Works"</formula>
    </cfRule>
    <cfRule type="expression" dxfId="18036" priority="273">
      <formula>$A36="Underpass"</formula>
    </cfRule>
    <cfRule type="expression" dxfId="18035" priority="274">
      <formula>$A36="Overcrossing"</formula>
    </cfRule>
    <cfRule type="expression" dxfId="18034" priority="275">
      <formula>$A36="Overpass"</formula>
    </cfRule>
    <cfRule type="expression" dxfId="18033" priority="276">
      <formula>$A36="Station"</formula>
    </cfRule>
    <cfRule type="expression" dxfId="18032" priority="277">
      <formula>$A36="Overlap between sections"</formula>
    </cfRule>
  </conditionalFormatting>
  <conditionalFormatting sqref="Q36">
    <cfRule type="expression" dxfId="18031" priority="264">
      <formula>$M36="NON DEFINED"</formula>
    </cfRule>
    <cfRule type="expression" dxfId="18030" priority="265">
      <formula>$AZ36="N.D."</formula>
    </cfRule>
    <cfRule type="expression" dxfId="18029" priority="266">
      <formula>$AY36="N.D."</formula>
    </cfRule>
  </conditionalFormatting>
  <conditionalFormatting sqref="Q36">
    <cfRule type="expression" dxfId="18028" priority="253">
      <formula>$A36="Overhead Cable"</formula>
    </cfRule>
    <cfRule type="expression" dxfId="18027" priority="254">
      <formula>$A36="Level Crossing"</formula>
    </cfRule>
    <cfRule type="expression" dxfId="18026" priority="255">
      <formula>$A36="Neutral Section"</formula>
    </cfRule>
    <cfRule type="expression" dxfId="18025" priority="256">
      <formula>$A36="Tunnel"</formula>
    </cfRule>
    <cfRule type="expression" dxfId="18024" priority="257">
      <formula>$A36="Bridge"</formula>
    </cfRule>
    <cfRule type="expression" dxfId="18023" priority="258">
      <formula>$A36="Drainage Works"</formula>
    </cfRule>
    <cfRule type="expression" dxfId="18022" priority="259">
      <formula>$A36="Underpass"</formula>
    </cfRule>
    <cfRule type="expression" dxfId="18021" priority="260">
      <formula>$A36="Overcrossing"</formula>
    </cfRule>
    <cfRule type="expression" dxfId="18020" priority="261">
      <formula>$A36="Overpass"</formula>
    </cfRule>
    <cfRule type="expression" dxfId="18019" priority="262">
      <formula>$A36="Station"</formula>
    </cfRule>
    <cfRule type="expression" dxfId="18018" priority="263">
      <formula>$A36="Overlap between sections"</formula>
    </cfRule>
  </conditionalFormatting>
  <conditionalFormatting sqref="T36">
    <cfRule type="expression" dxfId="18017" priority="250">
      <formula>$M36="NON DEFINED"</formula>
    </cfRule>
    <cfRule type="expression" dxfId="18016" priority="251">
      <formula>$AZ36="N.D."</formula>
    </cfRule>
    <cfRule type="expression" dxfId="18015" priority="252">
      <formula>$AY36="N.D."</formula>
    </cfRule>
  </conditionalFormatting>
  <conditionalFormatting sqref="T36">
    <cfRule type="expression" dxfId="18014" priority="239">
      <formula>$A36="Overhead Cable"</formula>
    </cfRule>
    <cfRule type="expression" dxfId="18013" priority="240">
      <formula>$A36="Level Crossing"</formula>
    </cfRule>
    <cfRule type="expression" dxfId="18012" priority="241">
      <formula>$A36="Neutral Section"</formula>
    </cfRule>
    <cfRule type="expression" dxfId="18011" priority="242">
      <formula>$A36="Tunnel"</formula>
    </cfRule>
    <cfRule type="expression" dxfId="18010" priority="243">
      <formula>$A36="Bridge"</formula>
    </cfRule>
    <cfRule type="expression" dxfId="18009" priority="244">
      <formula>$A36="Drainage Works"</formula>
    </cfRule>
    <cfRule type="expression" dxfId="18008" priority="245">
      <formula>$A36="Underpass"</formula>
    </cfRule>
    <cfRule type="expression" dxfId="18007" priority="246">
      <formula>$A36="Overcrossing"</formula>
    </cfRule>
    <cfRule type="expression" dxfId="18006" priority="247">
      <formula>$A36="Overpass"</formula>
    </cfRule>
    <cfRule type="expression" dxfId="18005" priority="248">
      <formula>$A36="Station"</formula>
    </cfRule>
    <cfRule type="expression" dxfId="18004" priority="249">
      <formula>$A36="Overlap between sections"</formula>
    </cfRule>
  </conditionalFormatting>
  <conditionalFormatting sqref="U36">
    <cfRule type="expression" dxfId="18003" priority="236">
      <formula>$M36="NON DEFINED"</formula>
    </cfRule>
    <cfRule type="expression" dxfId="18002" priority="237">
      <formula>$AZ36="N.D."</formula>
    </cfRule>
    <cfRule type="expression" dxfId="18001" priority="238">
      <formula>$AY36="N.D."</formula>
    </cfRule>
  </conditionalFormatting>
  <conditionalFormatting sqref="U36">
    <cfRule type="expression" dxfId="18000" priority="225">
      <formula>$A36="Overhead Cable"</formula>
    </cfRule>
    <cfRule type="expression" dxfId="17999" priority="226">
      <formula>$A36="Level Crossing"</formula>
    </cfRule>
    <cfRule type="expression" dxfId="17998" priority="227">
      <formula>$A36="Neutral Section"</formula>
    </cfRule>
    <cfRule type="expression" dxfId="17997" priority="228">
      <formula>$A36="Tunnel"</formula>
    </cfRule>
    <cfRule type="expression" dxfId="17996" priority="229">
      <formula>$A36="Bridge"</formula>
    </cfRule>
    <cfRule type="expression" dxfId="17995" priority="230">
      <formula>$A36="Drainage Works"</formula>
    </cfRule>
    <cfRule type="expression" dxfId="17994" priority="231">
      <formula>$A36="Underpass"</formula>
    </cfRule>
    <cfRule type="expression" dxfId="17993" priority="232">
      <formula>$A36="Overcrossing"</formula>
    </cfRule>
    <cfRule type="expression" dxfId="17992" priority="233">
      <formula>$A36="Overpass"</formula>
    </cfRule>
    <cfRule type="expression" dxfId="17991" priority="234">
      <formula>$A36="Station"</formula>
    </cfRule>
    <cfRule type="expression" dxfId="17990" priority="235">
      <formula>$A36="Overlap between sections"</formula>
    </cfRule>
  </conditionalFormatting>
  <conditionalFormatting sqref="V36">
    <cfRule type="expression" dxfId="17989" priority="222">
      <formula>$M36="NON DEFINED"</formula>
    </cfRule>
    <cfRule type="expression" dxfId="17988" priority="223">
      <formula>$AZ36="N.D."</formula>
    </cfRule>
    <cfRule type="expression" dxfId="17987" priority="224">
      <formula>$AY36="N.D."</formula>
    </cfRule>
  </conditionalFormatting>
  <conditionalFormatting sqref="V36">
    <cfRule type="expression" dxfId="17986" priority="211">
      <formula>$A36="Overhead Cable"</formula>
    </cfRule>
    <cfRule type="expression" dxfId="17985" priority="212">
      <formula>$A36="Level Crossing"</formula>
    </cfRule>
    <cfRule type="expression" dxfId="17984" priority="213">
      <formula>$A36="Neutral Section"</formula>
    </cfRule>
    <cfRule type="expression" dxfId="17983" priority="214">
      <formula>$A36="Tunnel"</formula>
    </cfRule>
    <cfRule type="expression" dxfId="17982" priority="215">
      <formula>$A36="Bridge"</formula>
    </cfRule>
    <cfRule type="expression" dxfId="17981" priority="216">
      <formula>$A36="Drainage Works"</formula>
    </cfRule>
    <cfRule type="expression" dxfId="17980" priority="217">
      <formula>$A36="Underpass"</formula>
    </cfRule>
    <cfRule type="expression" dxfId="17979" priority="218">
      <formula>$A36="Overcrossing"</formula>
    </cfRule>
    <cfRule type="expression" dxfId="17978" priority="219">
      <formula>$A36="Overpass"</formula>
    </cfRule>
    <cfRule type="expression" dxfId="17977" priority="220">
      <formula>$A36="Station"</formula>
    </cfRule>
    <cfRule type="expression" dxfId="17976" priority="221">
      <formula>$A36="Overlap between sections"</formula>
    </cfRule>
  </conditionalFormatting>
  <conditionalFormatting sqref="R36">
    <cfRule type="expression" dxfId="17975" priority="208">
      <formula>$M36="NON DEFINED"</formula>
    </cfRule>
    <cfRule type="expression" dxfId="17974" priority="209">
      <formula>$AZ36="N.D."</formula>
    </cfRule>
    <cfRule type="expression" dxfId="17973" priority="210">
      <formula>$AY36="N.D."</formula>
    </cfRule>
  </conditionalFormatting>
  <conditionalFormatting sqref="R36">
    <cfRule type="expression" dxfId="17972" priority="197">
      <formula>$A36="Overhead Cable"</formula>
    </cfRule>
    <cfRule type="expression" dxfId="17971" priority="198">
      <formula>$A36="Level Crossing"</formula>
    </cfRule>
    <cfRule type="expression" dxfId="17970" priority="199">
      <formula>$A36="Neutral Section"</formula>
    </cfRule>
    <cfRule type="expression" dxfId="17969" priority="200">
      <formula>$A36="Tunnel"</formula>
    </cfRule>
    <cfRule type="expression" dxfId="17968" priority="201">
      <formula>$A36="Bridge"</formula>
    </cfRule>
    <cfRule type="expression" dxfId="17967" priority="202">
      <formula>$A36="Drainage Works"</formula>
    </cfRule>
    <cfRule type="expression" dxfId="17966" priority="203">
      <formula>$A36="Underpass"</formula>
    </cfRule>
    <cfRule type="expression" dxfId="17965" priority="204">
      <formula>$A36="Overcrossing"</formula>
    </cfRule>
    <cfRule type="expression" dxfId="17964" priority="205">
      <formula>$A36="Overpass"</formula>
    </cfRule>
    <cfRule type="expression" dxfId="17963" priority="206">
      <formula>$A36="Station"</formula>
    </cfRule>
    <cfRule type="expression" dxfId="17962" priority="207">
      <formula>$A36="Overlap between sections"</formula>
    </cfRule>
  </conditionalFormatting>
  <conditionalFormatting sqref="S36">
    <cfRule type="expression" dxfId="17961" priority="194">
      <formula>$M36="NON DEFINED"</formula>
    </cfRule>
    <cfRule type="expression" dxfId="17960" priority="195">
      <formula>$AZ36="N.D."</formula>
    </cfRule>
    <cfRule type="expression" dxfId="17959" priority="196">
      <formula>$AY36="N.D."</formula>
    </cfRule>
  </conditionalFormatting>
  <conditionalFormatting sqref="S36">
    <cfRule type="expression" dxfId="17958" priority="183">
      <formula>$A36="Overhead Cable"</formula>
    </cfRule>
    <cfRule type="expression" dxfId="17957" priority="184">
      <formula>$A36="Level Crossing"</formula>
    </cfRule>
    <cfRule type="expression" dxfId="17956" priority="185">
      <formula>$A36="Neutral Section"</formula>
    </cfRule>
    <cfRule type="expression" dxfId="17955" priority="186">
      <formula>$A36="Tunnel"</formula>
    </cfRule>
    <cfRule type="expression" dxfId="17954" priority="187">
      <formula>$A36="Bridge"</formula>
    </cfRule>
    <cfRule type="expression" dxfId="17953" priority="188">
      <formula>$A36="Drainage Works"</formula>
    </cfRule>
    <cfRule type="expression" dxfId="17952" priority="189">
      <formula>$A36="Underpass"</formula>
    </cfRule>
    <cfRule type="expression" dxfId="17951" priority="190">
      <formula>$A36="Overcrossing"</formula>
    </cfRule>
    <cfRule type="expression" dxfId="17950" priority="191">
      <formula>$A36="Overpass"</formula>
    </cfRule>
    <cfRule type="expression" dxfId="17949" priority="192">
      <formula>$A36="Station"</formula>
    </cfRule>
    <cfRule type="expression" dxfId="17948" priority="193">
      <formula>$A36="Overlap between sections"</formula>
    </cfRule>
  </conditionalFormatting>
  <conditionalFormatting sqref="W36">
    <cfRule type="expression" dxfId="17947" priority="180">
      <formula>$M36="NON DEFINED"</formula>
    </cfRule>
    <cfRule type="expression" dxfId="17946" priority="181">
      <formula>$AZ36="N.D."</formula>
    </cfRule>
    <cfRule type="expression" dxfId="17945" priority="182">
      <formula>$AY36="N.D."</formula>
    </cfRule>
  </conditionalFormatting>
  <conditionalFormatting sqref="W36">
    <cfRule type="expression" dxfId="17944" priority="169">
      <formula>$A36="Overhead Cable"</formula>
    </cfRule>
    <cfRule type="expression" dxfId="17943" priority="170">
      <formula>$A36="Level Crossing"</formula>
    </cfRule>
    <cfRule type="expression" dxfId="17942" priority="171">
      <formula>$A36="Neutral Section"</formula>
    </cfRule>
    <cfRule type="expression" dxfId="17941" priority="172">
      <formula>$A36="Tunnel"</formula>
    </cfRule>
    <cfRule type="expression" dxfId="17940" priority="173">
      <formula>$A36="Bridge"</formula>
    </cfRule>
    <cfRule type="expression" dxfId="17939" priority="174">
      <formula>$A36="Drainage Works"</formula>
    </cfRule>
    <cfRule type="expression" dxfId="17938" priority="175">
      <formula>$A36="Underpass"</formula>
    </cfRule>
    <cfRule type="expression" dxfId="17937" priority="176">
      <formula>$A36="Overcrossing"</formula>
    </cfRule>
    <cfRule type="expression" dxfId="17936" priority="177">
      <formula>$A36="Overpass"</formula>
    </cfRule>
    <cfRule type="expression" dxfId="17935" priority="178">
      <formula>$A36="Station"</formula>
    </cfRule>
    <cfRule type="expression" dxfId="17934" priority="179">
      <formula>$A36="Overlap between sections"</formula>
    </cfRule>
  </conditionalFormatting>
  <conditionalFormatting sqref="N24">
    <cfRule type="expression" dxfId="17933" priority="152">
      <formula>$M24="NON DEFINED"</formula>
    </cfRule>
    <cfRule type="expression" dxfId="17932" priority="153">
      <formula>$AZ24="N.D."</formula>
    </cfRule>
    <cfRule type="expression" dxfId="17931" priority="154">
      <formula>$AY24="N.D."</formula>
    </cfRule>
  </conditionalFormatting>
  <conditionalFormatting sqref="N24">
    <cfRule type="expression" dxfId="17930" priority="141">
      <formula>$A24="Overhead Cable"</formula>
    </cfRule>
    <cfRule type="expression" dxfId="17929" priority="142">
      <formula>$A24="Level Crossing"</formula>
    </cfRule>
    <cfRule type="expression" dxfId="17928" priority="143">
      <formula>$A24="Neutral Section"</formula>
    </cfRule>
    <cfRule type="expression" dxfId="17927" priority="144">
      <formula>$A24="Tunnel"</formula>
    </cfRule>
    <cfRule type="expression" dxfId="17926" priority="145">
      <formula>$A24="Bridge"</formula>
    </cfRule>
    <cfRule type="expression" dxfId="17925" priority="146">
      <formula>$A24="Drainage Works"</formula>
    </cfRule>
    <cfRule type="expression" dxfId="17924" priority="147">
      <formula>$A24="Underpass"</formula>
    </cfRule>
    <cfRule type="expression" dxfId="17923" priority="148">
      <formula>$A24="Overcrossing"</formula>
    </cfRule>
    <cfRule type="expression" dxfId="17922" priority="149">
      <formula>$A24="Overpass"</formula>
    </cfRule>
    <cfRule type="expression" dxfId="17921" priority="150">
      <formula>$A24="Station"</formula>
    </cfRule>
    <cfRule type="expression" dxfId="17920" priority="151">
      <formula>$A24="Overlap between sections"</formula>
    </cfRule>
  </conditionalFormatting>
  <conditionalFormatting sqref="N28">
    <cfRule type="expression" dxfId="17919" priority="138">
      <formula>$M28="NON DEFINED"</formula>
    </cfRule>
    <cfRule type="expression" dxfId="17918" priority="139">
      <formula>$AZ28="N.D."</formula>
    </cfRule>
    <cfRule type="expression" dxfId="17917" priority="140">
      <formula>$AY28="N.D."</formula>
    </cfRule>
  </conditionalFormatting>
  <conditionalFormatting sqref="N28">
    <cfRule type="expression" dxfId="17916" priority="127">
      <formula>$A28="Overhead Cable"</formula>
    </cfRule>
    <cfRule type="expression" dxfId="17915" priority="128">
      <formula>$A28="Level Crossing"</formula>
    </cfRule>
    <cfRule type="expression" dxfId="17914" priority="129">
      <formula>$A28="Neutral Section"</formula>
    </cfRule>
    <cfRule type="expression" dxfId="17913" priority="130">
      <formula>$A28="Tunnel"</formula>
    </cfRule>
    <cfRule type="expression" dxfId="17912" priority="131">
      <formula>$A28="Bridge"</formula>
    </cfRule>
    <cfRule type="expression" dxfId="17911" priority="132">
      <formula>$A28="Drainage Works"</formula>
    </cfRule>
    <cfRule type="expression" dxfId="17910" priority="133">
      <formula>$A28="Underpass"</formula>
    </cfRule>
    <cfRule type="expression" dxfId="17909" priority="134">
      <formula>$A28="Overcrossing"</formula>
    </cfRule>
    <cfRule type="expression" dxfId="17908" priority="135">
      <formula>$A28="Overpass"</formula>
    </cfRule>
    <cfRule type="expression" dxfId="17907" priority="136">
      <formula>$A28="Station"</formula>
    </cfRule>
    <cfRule type="expression" dxfId="17906" priority="137">
      <formula>$A28="Overlap between sections"</formula>
    </cfRule>
  </conditionalFormatting>
  <conditionalFormatting sqref="N32">
    <cfRule type="expression" dxfId="17905" priority="124">
      <formula>$M32="NON DEFINED"</formula>
    </cfRule>
    <cfRule type="expression" dxfId="17904" priority="125">
      <formula>$AZ32="N.D."</formula>
    </cfRule>
    <cfRule type="expression" dxfId="17903" priority="126">
      <formula>$AY32="N.D."</formula>
    </cfRule>
  </conditionalFormatting>
  <conditionalFormatting sqref="N32">
    <cfRule type="expression" dxfId="17902" priority="113">
      <formula>$A32="Overhead Cable"</formula>
    </cfRule>
    <cfRule type="expression" dxfId="17901" priority="114">
      <formula>$A32="Level Crossing"</formula>
    </cfRule>
    <cfRule type="expression" dxfId="17900" priority="115">
      <formula>$A32="Neutral Section"</formula>
    </cfRule>
    <cfRule type="expression" dxfId="17899" priority="116">
      <formula>$A32="Tunnel"</formula>
    </cfRule>
    <cfRule type="expression" dxfId="17898" priority="117">
      <formula>$A32="Bridge"</formula>
    </cfRule>
    <cfRule type="expression" dxfId="17897" priority="118">
      <formula>$A32="Drainage Works"</formula>
    </cfRule>
    <cfRule type="expression" dxfId="17896" priority="119">
      <formula>$A32="Underpass"</formula>
    </cfRule>
    <cfRule type="expression" dxfId="17895" priority="120">
      <formula>$A32="Overcrossing"</formula>
    </cfRule>
    <cfRule type="expression" dxfId="17894" priority="121">
      <formula>$A32="Overpass"</formula>
    </cfRule>
    <cfRule type="expression" dxfId="17893" priority="122">
      <formula>$A32="Station"</formula>
    </cfRule>
    <cfRule type="expression" dxfId="17892" priority="123">
      <formula>$A32="Overlap between sections"</formula>
    </cfRule>
  </conditionalFormatting>
  <conditionalFormatting sqref="N36">
    <cfRule type="expression" dxfId="17891" priority="110">
      <formula>$M36="NON DEFINED"</formula>
    </cfRule>
    <cfRule type="expression" dxfId="17890" priority="111">
      <formula>$AZ36="N.D."</formula>
    </cfRule>
    <cfRule type="expression" dxfId="17889" priority="112">
      <formula>$AY36="N.D."</formula>
    </cfRule>
  </conditionalFormatting>
  <conditionalFormatting sqref="N36">
    <cfRule type="expression" dxfId="17888" priority="99">
      <formula>$A36="Overhead Cable"</formula>
    </cfRule>
    <cfRule type="expression" dxfId="17887" priority="100">
      <formula>$A36="Level Crossing"</formula>
    </cfRule>
    <cfRule type="expression" dxfId="17886" priority="101">
      <formula>$A36="Neutral Section"</formula>
    </cfRule>
    <cfRule type="expression" dxfId="17885" priority="102">
      <formula>$A36="Tunnel"</formula>
    </cfRule>
    <cfRule type="expression" dxfId="17884" priority="103">
      <formula>$A36="Bridge"</formula>
    </cfRule>
    <cfRule type="expression" dxfId="17883" priority="104">
      <formula>$A36="Drainage Works"</formula>
    </cfRule>
    <cfRule type="expression" dxfId="17882" priority="105">
      <formula>$A36="Underpass"</formula>
    </cfRule>
    <cfRule type="expression" dxfId="17881" priority="106">
      <formula>$A36="Overcrossing"</formula>
    </cfRule>
    <cfRule type="expression" dxfId="17880" priority="107">
      <formula>$A36="Overpass"</formula>
    </cfRule>
    <cfRule type="expression" dxfId="17879" priority="108">
      <formula>$A36="Station"</formula>
    </cfRule>
    <cfRule type="expression" dxfId="17878" priority="109">
      <formula>$A36="Overlap between sections"</formula>
    </cfRule>
  </conditionalFormatting>
  <conditionalFormatting sqref="N38">
    <cfRule type="expression" dxfId="17877" priority="96">
      <formula>$M38="NON DEFINED"</formula>
    </cfRule>
    <cfRule type="expression" dxfId="17876" priority="97">
      <formula>$AZ38="N.D."</formula>
    </cfRule>
    <cfRule type="expression" dxfId="17875" priority="98">
      <formula>$AY38="N.D."</formula>
    </cfRule>
  </conditionalFormatting>
  <conditionalFormatting sqref="N38">
    <cfRule type="expression" dxfId="17874" priority="85">
      <formula>$A38="Overhead Cable"</formula>
    </cfRule>
    <cfRule type="expression" dxfId="17873" priority="86">
      <formula>$A38="Level Crossing"</formula>
    </cfRule>
    <cfRule type="expression" dxfId="17872" priority="87">
      <formula>$A38="Neutral Section"</formula>
    </cfRule>
    <cfRule type="expression" dxfId="17871" priority="88">
      <formula>$A38="Tunnel"</formula>
    </cfRule>
    <cfRule type="expression" dxfId="17870" priority="89">
      <formula>$A38="Bridge"</formula>
    </cfRule>
    <cfRule type="expression" dxfId="17869" priority="90">
      <formula>$A38="Drainage Works"</formula>
    </cfRule>
    <cfRule type="expression" dxfId="17868" priority="91">
      <formula>$A38="Underpass"</formula>
    </cfRule>
    <cfRule type="expression" dxfId="17867" priority="92">
      <formula>$A38="Overcrossing"</formula>
    </cfRule>
    <cfRule type="expression" dxfId="17866" priority="93">
      <formula>$A38="Overpass"</formula>
    </cfRule>
    <cfRule type="expression" dxfId="17865" priority="94">
      <formula>$A38="Station"</formula>
    </cfRule>
    <cfRule type="expression" dxfId="17864" priority="95">
      <formula>$A38="Overlap between sections"</formula>
    </cfRule>
  </conditionalFormatting>
  <conditionalFormatting sqref="AM29">
    <cfRule type="expression" dxfId="17863" priority="82">
      <formula>$M29="NON DEFINED"</formula>
    </cfRule>
    <cfRule type="expression" dxfId="17862" priority="83">
      <formula>$AZ29="N.D."</formula>
    </cfRule>
    <cfRule type="expression" dxfId="17861" priority="84">
      <formula>$AY29="N.D."</formula>
    </cfRule>
  </conditionalFormatting>
  <conditionalFormatting sqref="AM29">
    <cfRule type="expression" dxfId="17860" priority="71">
      <formula>$A29="Overhead Cable"</formula>
    </cfRule>
    <cfRule type="expression" dxfId="17859" priority="72">
      <formula>$A29="Level Crossing"</formula>
    </cfRule>
    <cfRule type="expression" dxfId="17858" priority="73">
      <formula>$A29="Neutral Section"</formula>
    </cfRule>
    <cfRule type="expression" dxfId="17857" priority="74">
      <formula>$A29="Tunnel"</formula>
    </cfRule>
    <cfRule type="expression" dxfId="17856" priority="75">
      <formula>$A29="Bridge"</formula>
    </cfRule>
    <cfRule type="expression" dxfId="17855" priority="76">
      <formula>$A29="Drainage Works"</formula>
    </cfRule>
    <cfRule type="expression" dxfId="17854" priority="77">
      <formula>$A29="Underpass"</formula>
    </cfRule>
    <cfRule type="expression" dxfId="17853" priority="78">
      <formula>$A29="Overcrossing"</formula>
    </cfRule>
    <cfRule type="expression" dxfId="17852" priority="79">
      <formula>$A29="Overpass"</formula>
    </cfRule>
    <cfRule type="expression" dxfId="17851" priority="80">
      <formula>$A29="Station"</formula>
    </cfRule>
    <cfRule type="expression" dxfId="17850" priority="81">
      <formula>$A29="Overlap between sections"</formula>
    </cfRule>
  </conditionalFormatting>
  <conditionalFormatting sqref="AM30">
    <cfRule type="expression" dxfId="17849" priority="68">
      <formula>$M30="NON DEFINED"</formula>
    </cfRule>
    <cfRule type="expression" dxfId="17848" priority="69">
      <formula>$AZ30="N.D."</formula>
    </cfRule>
    <cfRule type="expression" dxfId="17847" priority="70">
      <formula>$AY30="N.D."</formula>
    </cfRule>
  </conditionalFormatting>
  <conditionalFormatting sqref="AM30">
    <cfRule type="expression" dxfId="17846" priority="57">
      <formula>$A30="Overhead Cable"</formula>
    </cfRule>
    <cfRule type="expression" dxfId="17845" priority="58">
      <formula>$A30="Level Crossing"</formula>
    </cfRule>
    <cfRule type="expression" dxfId="17844" priority="59">
      <formula>$A30="Neutral Section"</formula>
    </cfRule>
    <cfRule type="expression" dxfId="17843" priority="60">
      <formula>$A30="Tunnel"</formula>
    </cfRule>
    <cfRule type="expression" dxfId="17842" priority="61">
      <formula>$A30="Bridge"</formula>
    </cfRule>
    <cfRule type="expression" dxfId="17841" priority="62">
      <formula>$A30="Drainage Works"</formula>
    </cfRule>
    <cfRule type="expression" dxfId="17840" priority="63">
      <formula>$A30="Underpass"</formula>
    </cfRule>
    <cfRule type="expression" dxfId="17839" priority="64">
      <formula>$A30="Overcrossing"</formula>
    </cfRule>
    <cfRule type="expression" dxfId="17838" priority="65">
      <formula>$A30="Overpass"</formula>
    </cfRule>
    <cfRule type="expression" dxfId="17837" priority="66">
      <formula>$A30="Station"</formula>
    </cfRule>
    <cfRule type="expression" dxfId="17836" priority="67">
      <formula>$A30="Overlap between sections"</formula>
    </cfRule>
  </conditionalFormatting>
  <conditionalFormatting sqref="AM32">
    <cfRule type="expression" dxfId="17835" priority="54">
      <formula>$M32="NON DEFINED"</formula>
    </cfRule>
    <cfRule type="expression" dxfId="17834" priority="55">
      <formula>$AZ32="N.D."</formula>
    </cfRule>
    <cfRule type="expression" dxfId="17833" priority="56">
      <formula>$AY32="N.D."</formula>
    </cfRule>
  </conditionalFormatting>
  <conditionalFormatting sqref="AM32">
    <cfRule type="expression" dxfId="17832" priority="43">
      <formula>$A32="Overhead Cable"</formula>
    </cfRule>
    <cfRule type="expression" dxfId="17831" priority="44">
      <formula>$A32="Level Crossing"</formula>
    </cfRule>
    <cfRule type="expression" dxfId="17830" priority="45">
      <formula>$A32="Neutral Section"</formula>
    </cfRule>
    <cfRule type="expression" dxfId="17829" priority="46">
      <formula>$A32="Tunnel"</formula>
    </cfRule>
    <cfRule type="expression" dxfId="17828" priority="47">
      <formula>$A32="Bridge"</formula>
    </cfRule>
    <cfRule type="expression" dxfId="17827" priority="48">
      <formula>$A32="Drainage Works"</formula>
    </cfRule>
    <cfRule type="expression" dxfId="17826" priority="49">
      <formula>$A32="Underpass"</formula>
    </cfRule>
    <cfRule type="expression" dxfId="17825" priority="50">
      <formula>$A32="Overcrossing"</formula>
    </cfRule>
    <cfRule type="expression" dxfId="17824" priority="51">
      <formula>$A32="Overpass"</formula>
    </cfRule>
    <cfRule type="expression" dxfId="17823" priority="52">
      <formula>$A32="Station"</formula>
    </cfRule>
    <cfRule type="expression" dxfId="17822" priority="53">
      <formula>$A32="Overlap between sections"</formula>
    </cfRule>
  </conditionalFormatting>
  <conditionalFormatting sqref="AM34">
    <cfRule type="expression" dxfId="17821" priority="40">
      <formula>$M34="NON DEFINED"</formula>
    </cfRule>
    <cfRule type="expression" dxfId="17820" priority="41">
      <formula>$AZ34="N.D."</formula>
    </cfRule>
    <cfRule type="expression" dxfId="17819" priority="42">
      <formula>$AY34="N.D."</formula>
    </cfRule>
  </conditionalFormatting>
  <conditionalFormatting sqref="AM34">
    <cfRule type="expression" dxfId="17818" priority="29">
      <formula>$A34="Overhead Cable"</formula>
    </cfRule>
    <cfRule type="expression" dxfId="17817" priority="30">
      <formula>$A34="Level Crossing"</formula>
    </cfRule>
    <cfRule type="expression" dxfId="17816" priority="31">
      <formula>$A34="Neutral Section"</formula>
    </cfRule>
    <cfRule type="expression" dxfId="17815" priority="32">
      <formula>$A34="Tunnel"</formula>
    </cfRule>
    <cfRule type="expression" dxfId="17814" priority="33">
      <formula>$A34="Bridge"</formula>
    </cfRule>
    <cfRule type="expression" dxfId="17813" priority="34">
      <formula>$A34="Drainage Works"</formula>
    </cfRule>
    <cfRule type="expression" dxfId="17812" priority="35">
      <formula>$A34="Underpass"</formula>
    </cfRule>
    <cfRule type="expression" dxfId="17811" priority="36">
      <formula>$A34="Overcrossing"</formula>
    </cfRule>
    <cfRule type="expression" dxfId="17810" priority="37">
      <formula>$A34="Overpass"</formula>
    </cfRule>
    <cfRule type="expression" dxfId="17809" priority="38">
      <formula>$A34="Station"</formula>
    </cfRule>
    <cfRule type="expression" dxfId="17808" priority="39">
      <formula>$A34="Overlap between sections"</formula>
    </cfRule>
  </conditionalFormatting>
  <conditionalFormatting sqref="AM36">
    <cfRule type="expression" dxfId="17807" priority="26">
      <formula>$M36="NON DEFINED"</formula>
    </cfRule>
    <cfRule type="expression" dxfId="17806" priority="27">
      <formula>$AZ36="N.D."</formula>
    </cfRule>
    <cfRule type="expression" dxfId="17805" priority="28">
      <formula>$AY36="N.D."</formula>
    </cfRule>
  </conditionalFormatting>
  <conditionalFormatting sqref="AM36">
    <cfRule type="expression" dxfId="17804" priority="15">
      <formula>$A36="Overhead Cable"</formula>
    </cfRule>
    <cfRule type="expression" dxfId="17803" priority="16">
      <formula>$A36="Level Crossing"</formula>
    </cfRule>
    <cfRule type="expression" dxfId="17802" priority="17">
      <formula>$A36="Neutral Section"</formula>
    </cfRule>
    <cfRule type="expression" dxfId="17801" priority="18">
      <formula>$A36="Tunnel"</formula>
    </cfRule>
    <cfRule type="expression" dxfId="17800" priority="19">
      <formula>$A36="Bridge"</formula>
    </cfRule>
    <cfRule type="expression" dxfId="17799" priority="20">
      <formula>$A36="Drainage Works"</formula>
    </cfRule>
    <cfRule type="expression" dxfId="17798" priority="21">
      <formula>$A36="Underpass"</formula>
    </cfRule>
    <cfRule type="expression" dxfId="17797" priority="22">
      <formula>$A36="Overcrossing"</formula>
    </cfRule>
    <cfRule type="expression" dxfId="17796" priority="23">
      <formula>$A36="Overpass"</formula>
    </cfRule>
    <cfRule type="expression" dxfId="17795" priority="24">
      <formula>$A36="Station"</formula>
    </cfRule>
    <cfRule type="expression" dxfId="17794" priority="25">
      <formula>$A36="Overlap between sections"</formula>
    </cfRule>
  </conditionalFormatting>
  <conditionalFormatting sqref="AM38">
    <cfRule type="expression" dxfId="17793" priority="12">
      <formula>$M38="NON DEFINED"</formula>
    </cfRule>
    <cfRule type="expression" dxfId="17792" priority="13">
      <formula>$AZ38="N.D."</formula>
    </cfRule>
    <cfRule type="expression" dxfId="17791" priority="14">
      <formula>$AY38="N.D."</formula>
    </cfRule>
  </conditionalFormatting>
  <conditionalFormatting sqref="AM38">
    <cfRule type="expression" dxfId="17790" priority="1">
      <formula>$A38="Overhead Cable"</formula>
    </cfRule>
    <cfRule type="expression" dxfId="17789" priority="2">
      <formula>$A38="Level Crossing"</formula>
    </cfRule>
    <cfRule type="expression" dxfId="17788" priority="3">
      <formula>$A38="Neutral Section"</formula>
    </cfRule>
    <cfRule type="expression" dxfId="17787" priority="4">
      <formula>$A38="Tunnel"</formula>
    </cfRule>
    <cfRule type="expression" dxfId="17786" priority="5">
      <formula>$A38="Bridge"</formula>
    </cfRule>
    <cfRule type="expression" dxfId="17785" priority="6">
      <formula>$A38="Drainage Works"</formula>
    </cfRule>
    <cfRule type="expression" dxfId="17784" priority="7">
      <formula>$A38="Underpass"</formula>
    </cfRule>
    <cfRule type="expression" dxfId="17783" priority="8">
      <formula>$A38="Overcrossing"</formula>
    </cfRule>
    <cfRule type="expression" dxfId="17782" priority="9">
      <formula>$A38="Overpass"</formula>
    </cfRule>
    <cfRule type="expression" dxfId="17781" priority="10">
      <formula>$A38="Station"</formula>
    </cfRule>
    <cfRule type="expression" dxfId="17780" priority="11">
      <formula>$A38="Overlap between sections"</formula>
    </cfRule>
  </conditionalFormatting>
  <printOptions horizontalCentered="1" gridLines="1"/>
  <pageMargins left="0.39370078740157483" right="0.39370078740157483" top="0.78740157480314965" bottom="0.78740157480314965" header="0.31496062992125984" footer="0.31496062992125984"/>
  <pageSetup paperSize="9" scale="52" fitToHeight="0" orientation="landscape" r:id="rId1"/>
  <headerFooter alignWithMargins="0">
    <oddHeader>&amp;L&amp;G&amp;C
LAYOUT AND EQUIPMENT
EP 04 TRACK 4 ZIC
KP 33+900 to 34+710&amp;R&amp;G</oddHeader>
    <oddFooter>&amp;L&amp;G
&amp;F&amp;C&amp;D&amp;RPag &amp;P of &amp;N</oddFooter>
  </headerFooter>
  <legacyDrawing r:id="rId2"/>
  <legacyDrawingHF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E162C-92CB-4886-A47A-E74159C5BB80}">
  <sheetPr>
    <tabColor theme="3" tint="0.59999389629810485"/>
  </sheetPr>
  <dimension ref="A1:BK1856"/>
  <sheetViews>
    <sheetView view="pageBreakPreview" zoomScale="80" zoomScaleNormal="80" zoomScaleSheetLayoutView="80" workbookViewId="0">
      <pane xSplit="2" ySplit="3" topLeftCell="C31" activePane="bottomRight" state="frozen"/>
      <selection pane="bottomRight" activeCell="K31" sqref="K31"/>
      <selection pane="bottomLeft" activeCell="K31" sqref="K31"/>
      <selection pane="topRight" activeCell="K31" sqref="K31"/>
    </sheetView>
  </sheetViews>
  <sheetFormatPr defaultColWidth="11.42578125" defaultRowHeight="15.75" customHeight="1" zeroHeight="1"/>
  <cols>
    <col min="1" max="1" width="20.7109375" style="14" customWidth="1"/>
    <col min="2" max="2" width="12.7109375" style="14" customWidth="1"/>
    <col min="3" max="3" width="12.7109375" style="18" customWidth="1"/>
    <col min="4" max="5" width="12.7109375" style="14" hidden="1" customWidth="1"/>
    <col min="6" max="7" width="12.7109375" style="14" customWidth="1"/>
    <col min="8" max="8" width="18.7109375" style="14" customWidth="1"/>
    <col min="9" max="9" width="12.7109375" style="14" customWidth="1"/>
    <col min="10" max="10" width="12.7109375" style="18" customWidth="1"/>
    <col min="11" max="11" width="12.7109375" style="14" customWidth="1"/>
    <col min="12" max="13" width="14.7109375" style="14" customWidth="1"/>
    <col min="14" max="16" width="8.7109375" style="14" hidden="1" customWidth="1"/>
    <col min="17" max="19" width="12.7109375" style="14" hidden="1" customWidth="1"/>
    <col min="20" max="28" width="8.7109375" style="14" hidden="1" customWidth="1"/>
    <col min="29" max="31" width="10.7109375" style="14" hidden="1" customWidth="1"/>
    <col min="32" max="36" width="12.7109375" style="14" hidden="1" customWidth="1"/>
    <col min="37" max="38" width="12.7109375" style="14" customWidth="1"/>
    <col min="39" max="39" width="12.7109375" style="14" hidden="1" customWidth="1"/>
    <col min="40" max="45" width="8.7109375" style="8" hidden="1" customWidth="1"/>
    <col min="46" max="46" width="8.7109375" style="16" hidden="1" customWidth="1"/>
    <col min="47" max="48" width="8.7109375" style="8" hidden="1" customWidth="1"/>
    <col min="49" max="52" width="12.7109375" style="8" customWidth="1"/>
    <col min="53" max="55" width="4.7109375" style="8" customWidth="1"/>
    <col min="56" max="56" width="21.7109375" style="14" customWidth="1"/>
    <col min="57" max="57" width="16.28515625" style="8" customWidth="1"/>
    <col min="58" max="61" width="14" style="8" customWidth="1"/>
    <col min="62" max="63" width="11.42578125" style="14" customWidth="1"/>
    <col min="64" max="16384" width="11.42578125" style="14"/>
  </cols>
  <sheetData>
    <row r="1" spans="1:63" s="435" customFormat="1" ht="36.75" customHeight="1" thickBot="1">
      <c r="A1" s="994" t="s">
        <v>1663</v>
      </c>
      <c r="B1" s="995"/>
      <c r="C1" s="995"/>
      <c r="D1" s="995"/>
      <c r="E1" s="995"/>
      <c r="F1" s="995"/>
      <c r="G1" s="995"/>
      <c r="H1" s="995"/>
      <c r="I1" s="995"/>
      <c r="J1" s="995"/>
      <c r="K1" s="995"/>
      <c r="L1" s="995"/>
      <c r="M1" s="995"/>
      <c r="N1" s="995"/>
      <c r="O1" s="995"/>
      <c r="P1" s="995"/>
      <c r="Q1" s="995"/>
      <c r="R1" s="995"/>
      <c r="S1" s="995"/>
      <c r="T1" s="995"/>
      <c r="U1" s="995"/>
      <c r="V1" s="995"/>
      <c r="W1" s="995"/>
      <c r="X1" s="995"/>
      <c r="Y1" s="995"/>
      <c r="Z1" s="995"/>
      <c r="AA1" s="995"/>
      <c r="AB1" s="995"/>
      <c r="AC1" s="995"/>
      <c r="AD1" s="995"/>
      <c r="AE1" s="995"/>
      <c r="AF1" s="995"/>
      <c r="AG1" s="995"/>
      <c r="AH1" s="995"/>
      <c r="AI1" s="995"/>
      <c r="AJ1" s="995"/>
      <c r="AK1" s="995"/>
      <c r="AL1" s="995"/>
      <c r="AM1" s="995"/>
      <c r="AN1" s="995"/>
      <c r="AO1" s="995"/>
      <c r="AP1" s="995"/>
      <c r="AQ1" s="995"/>
      <c r="AR1" s="995"/>
      <c r="AS1" s="995"/>
      <c r="AT1" s="995"/>
      <c r="AU1" s="995"/>
      <c r="AV1" s="995"/>
      <c r="AW1" s="995"/>
      <c r="AX1" s="995"/>
      <c r="AY1" s="995"/>
      <c r="AZ1" s="995"/>
      <c r="BA1" s="995"/>
      <c r="BB1" s="995"/>
      <c r="BC1" s="995"/>
      <c r="BD1" s="996"/>
      <c r="BE1" s="430" t="s">
        <v>933</v>
      </c>
      <c r="BF1" s="958" t="s">
        <v>50</v>
      </c>
      <c r="BG1" s="958"/>
      <c r="BH1" s="958"/>
      <c r="BI1" s="958"/>
    </row>
    <row r="2" spans="1:63" s="435" customFormat="1" ht="42" customHeight="1" thickBot="1">
      <c r="A2" s="581" t="s">
        <v>51</v>
      </c>
      <c r="B2" s="581" t="s">
        <v>52</v>
      </c>
      <c r="C2" s="581" t="s">
        <v>53</v>
      </c>
      <c r="D2" s="581" t="s">
        <v>54</v>
      </c>
      <c r="E2" s="581" t="s">
        <v>55</v>
      </c>
      <c r="F2" s="581" t="s">
        <v>56</v>
      </c>
      <c r="G2" s="581" t="s">
        <v>57</v>
      </c>
      <c r="H2" s="581" t="s">
        <v>58</v>
      </c>
      <c r="I2" s="581" t="s">
        <v>59</v>
      </c>
      <c r="J2" s="581" t="s">
        <v>60</v>
      </c>
      <c r="K2" s="581" t="s">
        <v>61</v>
      </c>
      <c r="L2" s="581" t="s">
        <v>62</v>
      </c>
      <c r="M2" s="581" t="s">
        <v>63</v>
      </c>
      <c r="N2" s="991" t="s">
        <v>64</v>
      </c>
      <c r="O2" s="992"/>
      <c r="P2" s="993"/>
      <c r="Q2" s="581" t="s">
        <v>65</v>
      </c>
      <c r="R2" s="581" t="s">
        <v>66</v>
      </c>
      <c r="S2" s="581" t="s">
        <v>67</v>
      </c>
      <c r="T2" s="991" t="s">
        <v>68</v>
      </c>
      <c r="U2" s="992"/>
      <c r="V2" s="993"/>
      <c r="W2" s="991" t="s">
        <v>69</v>
      </c>
      <c r="X2" s="992"/>
      <c r="Y2" s="993"/>
      <c r="Z2" s="991" t="s">
        <v>70</v>
      </c>
      <c r="AA2" s="992"/>
      <c r="AB2" s="993"/>
      <c r="AC2" s="991" t="s">
        <v>71</v>
      </c>
      <c r="AD2" s="992"/>
      <c r="AE2" s="993"/>
      <c r="AF2" s="581" t="s">
        <v>72</v>
      </c>
      <c r="AG2" s="581" t="s">
        <v>73</v>
      </c>
      <c r="AH2" s="581" t="s">
        <v>74</v>
      </c>
      <c r="AI2" s="581" t="s">
        <v>75</v>
      </c>
      <c r="AJ2" s="581" t="s">
        <v>76</v>
      </c>
      <c r="AK2" s="581" t="s">
        <v>77</v>
      </c>
      <c r="AL2" s="582" t="s">
        <v>78</v>
      </c>
      <c r="AM2" s="582" t="s">
        <v>79</v>
      </c>
      <c r="AN2" s="991" t="s">
        <v>80</v>
      </c>
      <c r="AO2" s="992"/>
      <c r="AP2" s="993"/>
      <c r="AQ2" s="991" t="s">
        <v>81</v>
      </c>
      <c r="AR2" s="992"/>
      <c r="AS2" s="993"/>
      <c r="AT2" s="991" t="s">
        <v>82</v>
      </c>
      <c r="AU2" s="992"/>
      <c r="AV2" s="993"/>
      <c r="AW2" s="582" t="s">
        <v>83</v>
      </c>
      <c r="AX2" s="582" t="s">
        <v>84</v>
      </c>
      <c r="AY2" s="582" t="s">
        <v>85</v>
      </c>
      <c r="AZ2" s="582" t="s">
        <v>86</v>
      </c>
      <c r="BA2" s="991" t="s">
        <v>87</v>
      </c>
      <c r="BB2" s="992"/>
      <c r="BC2" s="993"/>
      <c r="BD2" s="581" t="s">
        <v>88</v>
      </c>
      <c r="BE2" s="430" t="s">
        <v>89</v>
      </c>
      <c r="BF2" s="431" t="s">
        <v>63</v>
      </c>
      <c r="BG2" s="431" t="s">
        <v>90</v>
      </c>
      <c r="BH2" s="431" t="s">
        <v>91</v>
      </c>
      <c r="BI2" s="431" t="s">
        <v>64</v>
      </c>
    </row>
    <row r="3" spans="1:63" s="435" customFormat="1" ht="15.75" customHeight="1" thickBot="1">
      <c r="A3" s="436"/>
      <c r="B3" s="456"/>
      <c r="C3" s="437"/>
      <c r="D3" s="611"/>
      <c r="E3" s="437"/>
      <c r="F3" s="437"/>
      <c r="G3" s="437"/>
      <c r="H3" s="456"/>
      <c r="I3" s="456"/>
      <c r="J3" s="437"/>
      <c r="K3" s="456"/>
      <c r="L3" s="456"/>
      <c r="M3" s="456"/>
      <c r="N3" s="583" t="s">
        <v>92</v>
      </c>
      <c r="O3" s="583" t="s">
        <v>93</v>
      </c>
      <c r="P3" s="583" t="s">
        <v>94</v>
      </c>
      <c r="Q3" s="437"/>
      <c r="R3" s="437"/>
      <c r="S3" s="437"/>
      <c r="T3" s="584" t="s">
        <v>95</v>
      </c>
      <c r="U3" s="585" t="s">
        <v>96</v>
      </c>
      <c r="V3" s="584" t="s">
        <v>97</v>
      </c>
      <c r="W3" s="584" t="s">
        <v>98</v>
      </c>
      <c r="X3" s="585" t="s">
        <v>99</v>
      </c>
      <c r="Y3" s="584" t="s">
        <v>100</v>
      </c>
      <c r="Z3" s="584" t="s">
        <v>101</v>
      </c>
      <c r="AA3" s="585" t="s">
        <v>102</v>
      </c>
      <c r="AB3" s="584" t="s">
        <v>103</v>
      </c>
      <c r="AC3" s="583" t="s">
        <v>104</v>
      </c>
      <c r="AD3" s="586" t="s">
        <v>105</v>
      </c>
      <c r="AE3" s="583" t="s">
        <v>106</v>
      </c>
      <c r="AF3" s="437"/>
      <c r="AG3" s="437"/>
      <c r="AH3" s="437"/>
      <c r="AI3" s="437"/>
      <c r="AJ3" s="456"/>
      <c r="AK3" s="456"/>
      <c r="AL3" s="456"/>
      <c r="AM3" s="456"/>
      <c r="AN3" s="584" t="s">
        <v>98</v>
      </c>
      <c r="AO3" s="584" t="s">
        <v>99</v>
      </c>
      <c r="AP3" s="584" t="s">
        <v>100</v>
      </c>
      <c r="AQ3" s="584" t="s">
        <v>107</v>
      </c>
      <c r="AR3" s="584" t="s">
        <v>108</v>
      </c>
      <c r="AS3" s="584" t="s">
        <v>109</v>
      </c>
      <c r="AT3" s="587" t="s">
        <v>110</v>
      </c>
      <c r="AU3" s="584" t="s">
        <v>111</v>
      </c>
      <c r="AV3" s="584" t="s">
        <v>112</v>
      </c>
      <c r="AW3" s="456"/>
      <c r="AX3" s="456"/>
      <c r="AY3" s="437"/>
      <c r="AZ3" s="437"/>
      <c r="BA3" s="583" t="s">
        <v>113</v>
      </c>
      <c r="BB3" s="583" t="s">
        <v>114</v>
      </c>
      <c r="BC3" s="583" t="s">
        <v>115</v>
      </c>
      <c r="BD3" s="459"/>
      <c r="BE3" s="429"/>
      <c r="BF3" s="434"/>
      <c r="BG3" s="434"/>
      <c r="BH3" s="434"/>
      <c r="BI3" s="434"/>
    </row>
    <row r="4" spans="1:63" ht="16.149999999999999" customHeight="1" thickTop="1">
      <c r="A4" s="502"/>
      <c r="B4" s="503"/>
      <c r="C4" s="504"/>
      <c r="D4" s="612"/>
      <c r="E4" s="506"/>
      <c r="F4" s="506"/>
      <c r="G4" s="507"/>
      <c r="H4" s="508"/>
      <c r="I4" s="508"/>
      <c r="J4" s="509"/>
      <c r="K4" s="508"/>
      <c r="L4" s="508"/>
      <c r="M4" s="508"/>
      <c r="N4" s="508"/>
      <c r="O4" s="508"/>
      <c r="P4" s="508"/>
      <c r="Q4" s="506"/>
      <c r="R4" s="507"/>
      <c r="S4" s="507"/>
      <c r="T4" s="506"/>
      <c r="U4" s="506"/>
      <c r="V4" s="506"/>
      <c r="W4" s="510"/>
      <c r="X4" s="510"/>
      <c r="Y4" s="510"/>
      <c r="Z4" s="510"/>
      <c r="AA4" s="510"/>
      <c r="AB4" s="510"/>
      <c r="AC4" s="508"/>
      <c r="AD4" s="508"/>
      <c r="AE4" s="508"/>
      <c r="AF4" s="506"/>
      <c r="AG4" s="505"/>
      <c r="AH4" s="506"/>
      <c r="AI4" s="506"/>
      <c r="AJ4" s="508"/>
      <c r="AK4" s="508"/>
      <c r="AL4" s="508"/>
      <c r="AM4" s="508"/>
      <c r="AN4" s="510"/>
      <c r="AO4" s="508"/>
      <c r="AP4" s="508"/>
      <c r="AQ4" s="510"/>
      <c r="AR4" s="510"/>
      <c r="AS4" s="510"/>
      <c r="AT4" s="510"/>
      <c r="AU4" s="511"/>
      <c r="AV4" s="511"/>
      <c r="AW4" s="508"/>
      <c r="AX4" s="508"/>
      <c r="AY4" s="510"/>
      <c r="AZ4" s="510"/>
      <c r="BA4" s="491"/>
      <c r="BB4" s="491"/>
      <c r="BC4" s="491"/>
      <c r="BD4" s="512"/>
      <c r="BE4" s="498"/>
      <c r="BF4" s="1175"/>
      <c r="BG4" s="1175"/>
      <c r="BH4" s="1175"/>
      <c r="BI4" s="1175"/>
      <c r="BK4" s="292"/>
    </row>
    <row r="5" spans="1:63" ht="16.149999999999999" customHeight="1">
      <c r="A5" s="502"/>
      <c r="B5" s="503"/>
      <c r="C5" s="504"/>
      <c r="D5" s="612"/>
      <c r="E5" s="506"/>
      <c r="F5" s="506"/>
      <c r="G5" s="507"/>
      <c r="H5" s="508"/>
      <c r="I5" s="508"/>
      <c r="J5" s="509"/>
      <c r="K5" s="508"/>
      <c r="L5" s="508"/>
      <c r="M5" s="508"/>
      <c r="N5" s="508"/>
      <c r="O5" s="508"/>
      <c r="P5" s="508"/>
      <c r="Q5" s="506"/>
      <c r="R5" s="507"/>
      <c r="S5" s="507"/>
      <c r="T5" s="506"/>
      <c r="U5" s="506"/>
      <c r="V5" s="506"/>
      <c r="W5" s="510"/>
      <c r="X5" s="510"/>
      <c r="Y5" s="510"/>
      <c r="Z5" s="510"/>
      <c r="AA5" s="510"/>
      <c r="AB5" s="510"/>
      <c r="AC5" s="508"/>
      <c r="AD5" s="508"/>
      <c r="AE5" s="508"/>
      <c r="AF5" s="506"/>
      <c r="AG5" s="505"/>
      <c r="AH5" s="506"/>
      <c r="AI5" s="506"/>
      <c r="AJ5" s="508"/>
      <c r="AK5" s="508"/>
      <c r="AL5" s="508"/>
      <c r="AM5" s="508"/>
      <c r="AN5" s="510"/>
      <c r="AO5" s="508"/>
      <c r="AP5" s="508"/>
      <c r="AQ5" s="510"/>
      <c r="AR5" s="510"/>
      <c r="AS5" s="510"/>
      <c r="AT5" s="510"/>
      <c r="AU5" s="511"/>
      <c r="AV5" s="511"/>
      <c r="AW5" s="508"/>
      <c r="AX5" s="508"/>
      <c r="AY5" s="510"/>
      <c r="AZ5" s="510"/>
      <c r="BA5" s="491"/>
      <c r="BB5" s="491"/>
      <c r="BC5" s="491"/>
      <c r="BD5" s="512"/>
      <c r="BE5" s="429" t="s">
        <v>118</v>
      </c>
      <c r="BF5" s="290"/>
      <c r="BG5" s="290"/>
      <c r="BH5" s="290"/>
      <c r="BI5" s="290"/>
    </row>
    <row r="6" spans="1:63" ht="16.149999999999999" customHeight="1">
      <c r="A6" s="514"/>
      <c r="B6" s="450" t="s">
        <v>1664</v>
      </c>
      <c r="C6" s="3">
        <v>40768.339999999997</v>
      </c>
      <c r="D6" s="83"/>
      <c r="E6" s="4"/>
      <c r="F6" s="4">
        <v>0</v>
      </c>
      <c r="G6" s="6"/>
      <c r="H6" s="449" t="s">
        <v>121</v>
      </c>
      <c r="I6" s="449" t="s">
        <v>122</v>
      </c>
      <c r="J6" s="3" t="s">
        <v>195</v>
      </c>
      <c r="K6" s="449"/>
      <c r="L6" s="449" t="s">
        <v>1610</v>
      </c>
      <c r="M6" s="449" t="str">
        <f>IF(L6="","",
IF(AX6="PT",VLOOKUP(L6,Foundation_Calc!$V$79:$X$113,VLOOKUP(AX6,Foundation_Calc!$I$10:$J$13,2,FALSE),0),
IF(AX6="K",VLOOKUP(L6,Foundation_Calc!$V$117:$X$151,VLOOKUP(AX6,Foundation_Calc!$I$10:$J$13,2,FALSE),0),"")))</f>
        <v>C8R</v>
      </c>
      <c r="N6" s="449" t="s">
        <v>201</v>
      </c>
      <c r="O6" s="449"/>
      <c r="P6" s="449"/>
      <c r="Q6" s="4"/>
      <c r="R6" s="6"/>
      <c r="S6" s="6"/>
      <c r="T6" s="4">
        <v>0</v>
      </c>
      <c r="U6" s="4"/>
      <c r="V6" s="4"/>
      <c r="W6" s="9"/>
      <c r="X6" s="9"/>
      <c r="Y6" s="9"/>
      <c r="Z6" s="9"/>
      <c r="AA6" s="9"/>
      <c r="AB6" s="9"/>
      <c r="AC6" s="449" t="str">
        <f t="shared" ref="AC6:AC54" si="0">IF(OR(AT6&gt;8,AT6&lt;-8),"PH",
IF(OR(AT6&gt;5,AT6&lt;-5),"PHQ",
IF(OR(AT6&gt;1,AT6&lt;-1),
"PHC","")))</f>
        <v/>
      </c>
      <c r="AD6" s="449"/>
      <c r="AE6" s="449"/>
      <c r="AF6" s="4"/>
      <c r="AG6" s="83"/>
      <c r="AH6" s="4"/>
      <c r="AI6" s="4"/>
      <c r="AJ6" s="449"/>
      <c r="AK6" s="449"/>
      <c r="AL6" s="449"/>
      <c r="AM6" s="449" t="s">
        <v>126</v>
      </c>
      <c r="AN6" s="10"/>
      <c r="AO6" s="9"/>
      <c r="AP6" s="9"/>
      <c r="AQ6" s="9"/>
      <c r="AR6" s="9"/>
      <c r="AS6" s="9"/>
      <c r="AT6" s="9"/>
      <c r="AU6" s="428"/>
      <c r="AV6" s="428"/>
      <c r="AW6" s="449" t="str">
        <f>IF(C6&gt;0,VLOOKUP(C6,Foundation_Calc!$A$2:$C$13,3,1),
IF(J6&gt;0,VLOOKUP(J6,Foundation_Calc!$A$2:$C$13,3,1),""))</f>
        <v>Multi Soil</v>
      </c>
      <c r="AX6" s="449" t="str">
        <f>IF(C6&gt;0,VLOOKUP(C6,Foundation_Calc!$E$2:$G$33,3,1),
IF(J6&gt;0,VLOOKUP(J6,Foundation_Calc!$E$2:$G$33,3,1),""))</f>
        <v>PT</v>
      </c>
      <c r="AY6" s="10">
        <f>IF(L6="","",
IF(AX6="PT",VLOOKUP(L6,Foundation_Calc!$K$79:$R$113,VLOOKUP(AW6,Foundation_Calc!$I$2:$J$8,2,FALSE),0),
IF(AX6="K",VLOOKUP(L6,Foundation_Calc!$K$117:$R$151,VLOOKUP(AW6,Foundation_Calc!$I$2:$J$8,2,FALSE),0),"")))</f>
        <v>4.5</v>
      </c>
      <c r="AZ6" s="10" t="str">
        <f>IF(K6="","",
IF(AX6="PT",VLOOKUP(K6,Foundation_Calc!$K$79:$R$113,VLOOKUP(AW6,Foundation_Calc!$I$2:$J$8,2,FALSE),0),
IF(AX6="K",VLOOKUP(K6,Foundation_Calc!$K$117:$R$151,VLOOKUP(AW6,Foundation_Calc!$I$2:$J$8,2,FALSE),0),"")))</f>
        <v/>
      </c>
      <c r="BA6" s="495" t="str">
        <f t="shared" ref="BA6" si="1">IF(AY6="","",IF(AY6&gt;0,"ü",""))</f>
        <v>ü</v>
      </c>
      <c r="BB6" s="495" t="str">
        <f t="shared" ref="BB6" si="2">IF(AZ6="","",IF(AZ6&gt;0,"ü",""))</f>
        <v/>
      </c>
      <c r="BC6" s="495" t="str">
        <f t="shared" ref="BC6" si="3">IF(M6="","",IF(M6="U.S.","ü",IF(M6="U.S. N.D.","ü","")))</f>
        <v/>
      </c>
      <c r="BD6" s="513" t="str">
        <f>Pole_Calc!A$199</f>
        <v>App.7-V11I-P11.1</v>
      </c>
      <c r="BE6" s="429" t="s">
        <v>118</v>
      </c>
      <c r="BF6" s="289"/>
      <c r="BG6" s="289"/>
      <c r="BH6" s="290"/>
      <c r="BI6" s="289"/>
    </row>
    <row r="7" spans="1:63" ht="16.149999999999999" customHeight="1">
      <c r="A7" s="514" t="s">
        <v>438</v>
      </c>
      <c r="B7" s="450"/>
      <c r="C7" s="3"/>
      <c r="D7" s="83"/>
      <c r="E7" s="4"/>
      <c r="F7" s="4"/>
      <c r="G7" s="6">
        <v>18.3</v>
      </c>
      <c r="H7" s="449"/>
      <c r="I7" s="449"/>
      <c r="J7" s="3"/>
      <c r="K7" s="449"/>
      <c r="L7" s="449"/>
      <c r="M7" s="449" t="str">
        <f>IF(L7="","",
IF(AX7="PT",VLOOKUP(L7,Foundation_Calc!$V$79:$X$113,VLOOKUP(AX7,Foundation_Calc!$I$10:$J$13,2,FALSE),0),
IF(AX7="K",VLOOKUP(L7,Foundation_Calc!$V$117:$X$151,VLOOKUP(AX7,Foundation_Calc!$I$10:$J$13,2,FALSE),0),"")))</f>
        <v/>
      </c>
      <c r="N7" s="449"/>
      <c r="O7" s="449"/>
      <c r="P7" s="449"/>
      <c r="Q7" s="4"/>
      <c r="R7" s="6"/>
      <c r="S7" s="6"/>
      <c r="T7" s="4"/>
      <c r="U7" s="4"/>
      <c r="V7" s="4"/>
      <c r="W7" s="9"/>
      <c r="X7" s="9"/>
      <c r="Y7" s="9"/>
      <c r="Z7" s="9"/>
      <c r="AA7" s="9"/>
      <c r="AB7" s="9"/>
      <c r="AC7" s="449" t="str">
        <f t="shared" si="0"/>
        <v/>
      </c>
      <c r="AD7" s="449"/>
      <c r="AE7" s="449"/>
      <c r="AF7" s="4"/>
      <c r="AG7" s="83"/>
      <c r="AH7" s="4"/>
      <c r="AI7" s="4"/>
      <c r="AJ7" s="449"/>
      <c r="AK7" s="449"/>
      <c r="AL7" s="449"/>
      <c r="AM7" s="449"/>
      <c r="AN7" s="10"/>
      <c r="AO7" s="9"/>
      <c r="AP7" s="9"/>
      <c r="AQ7" s="9">
        <f>+FL_2($T$8,$T$6,$G$7,1200,9.28, 1*$F$8)</f>
        <v>-0.3</v>
      </c>
      <c r="AR7" s="9"/>
      <c r="AS7" s="9"/>
      <c r="AT7" s="9"/>
      <c r="AU7" s="428"/>
      <c r="AV7" s="428"/>
      <c r="AW7" s="449" t="str">
        <f>IF(C7&gt;0,VLOOKUP(C7,Foundation_Calc!$A$2:$C$13,3,1),
IF(J7&gt;0,VLOOKUP(J7,Foundation_Calc!$A$2:$C$13,3,1),""))</f>
        <v/>
      </c>
      <c r="AX7" s="449" t="str">
        <f>IF(C7&gt;0,VLOOKUP(C7,Foundation_Calc!$E$2:$G$33,3,1),
IF(J7&gt;0,VLOOKUP(J7,Foundation_Calc!$E$2:$G$33,3,1),""))</f>
        <v/>
      </c>
      <c r="AY7" s="10" t="str">
        <f>IF(L7="","",
IF(AX7="PT",VLOOKUP(L7,Foundation_Calc!$K$79:$R$113,VLOOKUP(AW7,Foundation_Calc!$I$2:$J$8,2,FALSE),0),
IF(AX7="K",VLOOKUP(L7,Foundation_Calc!$K$117:$R$151,VLOOKUP(AW7,Foundation_Calc!$I$2:$J$8,2,FALSE),0),"")))</f>
        <v/>
      </c>
      <c r="AZ7" s="10" t="str">
        <f>IF(K7="","",
IF(AX7="PT",VLOOKUP(K7,Foundation_Calc!$K$79:$R$113,VLOOKUP(AW7,Foundation_Calc!$I$2:$J$8,2,FALSE),0),
IF(AX7="K",VLOOKUP(K7,Foundation_Calc!$K$117:$R$151,VLOOKUP(AW7,Foundation_Calc!$I$2:$J$8,2,FALSE),0),"")))</f>
        <v/>
      </c>
      <c r="BA7" s="495"/>
      <c r="BB7" s="495"/>
      <c r="BC7" s="495"/>
      <c r="BD7" s="513"/>
      <c r="BE7" s="429" t="s">
        <v>118</v>
      </c>
      <c r="BF7" s="290"/>
      <c r="BG7" s="290"/>
      <c r="BH7" s="290"/>
      <c r="BI7" s="290"/>
    </row>
    <row r="8" spans="1:63" ht="16.149999999999999" customHeight="1">
      <c r="A8" s="517" t="s">
        <v>438</v>
      </c>
      <c r="B8" s="450" t="s">
        <v>1665</v>
      </c>
      <c r="C8" s="3">
        <f>+$C$6+$G$7</f>
        <v>40786.639999999999</v>
      </c>
      <c r="D8" s="83"/>
      <c r="E8" s="4"/>
      <c r="F8" s="4">
        <v>0</v>
      </c>
      <c r="G8" s="6"/>
      <c r="H8" s="449"/>
      <c r="I8" s="449"/>
      <c r="J8" s="3"/>
      <c r="K8" s="449"/>
      <c r="L8" s="449" t="s">
        <v>232</v>
      </c>
      <c r="M8" s="449" t="str">
        <f>IF(L8="","",
IF(AX8="PT",VLOOKUP(L8,Foundation_Calc!$V$79:$X$113,VLOOKUP(AX8,Foundation_Calc!$I$10:$J$13,2,FALSE),0),
IF(AX8="K",VLOOKUP(L8,Foundation_Calc!$V$117:$X$151,VLOOKUP(AX8,Foundation_Calc!$I$10:$J$13,2,FALSE),0),"")))</f>
        <v>C5R</v>
      </c>
      <c r="N8" s="449" t="s">
        <v>124</v>
      </c>
      <c r="O8" s="449"/>
      <c r="P8" s="449"/>
      <c r="Q8" s="4"/>
      <c r="R8" s="6"/>
      <c r="S8" s="6"/>
      <c r="T8" s="4">
        <v>-30</v>
      </c>
      <c r="U8" s="4"/>
      <c r="V8" s="4"/>
      <c r="W8" s="9">
        <v>1.4</v>
      </c>
      <c r="X8" s="9"/>
      <c r="Y8" s="9"/>
      <c r="Z8" s="9"/>
      <c r="AA8" s="9"/>
      <c r="AB8" s="9"/>
      <c r="AC8" s="449" t="str">
        <f t="shared" si="0"/>
        <v>PHQ</v>
      </c>
      <c r="AD8" s="449"/>
      <c r="AE8" s="449"/>
      <c r="AF8" s="4"/>
      <c r="AG8" s="83"/>
      <c r="AH8" s="4"/>
      <c r="AI8" s="4"/>
      <c r="AJ8" s="449"/>
      <c r="AK8" s="449"/>
      <c r="AL8" s="449" t="s">
        <v>241</v>
      </c>
      <c r="AM8" s="449" t="s">
        <v>126</v>
      </c>
      <c r="AN8" s="10">
        <v>5.5</v>
      </c>
      <c r="AO8" s="9"/>
      <c r="AP8" s="9"/>
      <c r="AQ8" s="9"/>
      <c r="AR8" s="9"/>
      <c r="AS8" s="9"/>
      <c r="AT8" s="9">
        <f>+ab($T$8,$T$6,$T$10,$G$7,$G$9, 1*$F$8,1200)</f>
        <v>-5.857952640100792</v>
      </c>
      <c r="AU8" s="428"/>
      <c r="AV8" s="428"/>
      <c r="AW8" s="449" t="str">
        <f>IF(C8&gt;0,VLOOKUP(C8,Foundation_Calc!$A$2:$C$13,3,1),
IF(J8&gt;0,VLOOKUP(J8,Foundation_Calc!$A$2:$C$13,3,1),""))</f>
        <v>Multi Soil</v>
      </c>
      <c r="AX8" s="449" t="str">
        <f>IF(C8&gt;0,VLOOKUP(C8,Foundation_Calc!$E$2:$G$33,3,1),
IF(J8&gt;0,VLOOKUP(J8,Foundation_Calc!$E$2:$G$33,3,1),""))</f>
        <v>PT</v>
      </c>
      <c r="AY8" s="10">
        <f>IF(L8="","",
IF(AX8="PT",VLOOKUP(L8,Foundation_Calc!$K$79:$R$113,VLOOKUP(AW8,Foundation_Calc!$I$2:$J$8,2,FALSE),0),
IF(AX8="K",VLOOKUP(L8,Foundation_Calc!$K$117:$R$151,VLOOKUP(AW8,Foundation_Calc!$I$2:$J$8,2,FALSE),0),"")))</f>
        <v>3.5</v>
      </c>
      <c r="AZ8" s="10" t="str">
        <f>IF(K8="","",
IF(AX8="PT",VLOOKUP(K8,Foundation_Calc!$K$79:$R$113,VLOOKUP(AW8,Foundation_Calc!$I$2:$J$8,2,FALSE),0),
IF(AX8="K",VLOOKUP(K8,Foundation_Calc!$K$117:$R$151,VLOOKUP(AW8,Foundation_Calc!$I$2:$J$8,2,FALSE),0),"")))</f>
        <v/>
      </c>
      <c r="BA8" s="495"/>
      <c r="BB8" s="495"/>
      <c r="BC8" s="495"/>
      <c r="BD8" s="513" t="str">
        <f>Pole_Calc!A$251</f>
        <v>App.8-V08H-P10.3</v>
      </c>
      <c r="BE8" s="429" t="s">
        <v>118</v>
      </c>
      <c r="BF8" s="289"/>
      <c r="BG8" s="289"/>
      <c r="BH8" s="290"/>
      <c r="BI8" s="289"/>
    </row>
    <row r="9" spans="1:63" ht="16.149999999999999" customHeight="1">
      <c r="A9" s="517" t="s">
        <v>442</v>
      </c>
      <c r="B9" s="450"/>
      <c r="C9" s="3"/>
      <c r="D9" s="83"/>
      <c r="E9" s="4"/>
      <c r="F9" s="4"/>
      <c r="G9" s="6">
        <v>40</v>
      </c>
      <c r="H9" s="449"/>
      <c r="I9" s="449"/>
      <c r="J9" s="3">
        <f>C10-C9</f>
        <v>40826.639999999999</v>
      </c>
      <c r="K9" s="449" t="s">
        <v>117</v>
      </c>
      <c r="L9" s="449"/>
      <c r="M9" s="449" t="str">
        <f>IF(L9="","",
IF(AX9="PT",VLOOKUP(L9,Foundation_Calc!$V$79:$X$113,VLOOKUP(AX9,Foundation_Calc!$I$10:$J$13,2,FALSE),0),
IF(AX9="K",VLOOKUP(L9,Foundation_Calc!$V$117:$X$151,VLOOKUP(AX9,Foundation_Calc!$I$10:$J$13,2,FALSE),0),"")))</f>
        <v/>
      </c>
      <c r="N9" s="449"/>
      <c r="O9" s="449"/>
      <c r="P9" s="449"/>
      <c r="Q9" s="4"/>
      <c r="R9" s="6"/>
      <c r="S9" s="6"/>
      <c r="T9" s="4"/>
      <c r="U9" s="4"/>
      <c r="V9" s="4"/>
      <c r="W9" s="9"/>
      <c r="X9" s="9"/>
      <c r="Y9" s="9"/>
      <c r="Z9" s="9"/>
      <c r="AA9" s="9"/>
      <c r="AB9" s="9"/>
      <c r="AC9" s="449" t="str">
        <f t="shared" si="0"/>
        <v/>
      </c>
      <c r="AD9" s="449"/>
      <c r="AE9" s="449"/>
      <c r="AF9" s="4"/>
      <c r="AG9" s="83"/>
      <c r="AH9" s="4"/>
      <c r="AI9" s="4"/>
      <c r="AJ9" s="449"/>
      <c r="AK9" s="449"/>
      <c r="AL9" s="449"/>
      <c r="AM9" s="449"/>
      <c r="AN9" s="10"/>
      <c r="AO9" s="9"/>
      <c r="AP9" s="9"/>
      <c r="AQ9" s="9">
        <f>+FL_1($T$10,$T$8,$G$9,1200,9.28, 1*$F$10)</f>
        <v>0.35</v>
      </c>
      <c r="AR9" s="9"/>
      <c r="AS9" s="9"/>
      <c r="AT9" s="9"/>
      <c r="AU9" s="428"/>
      <c r="AV9" s="428"/>
      <c r="AW9" s="449" t="str">
        <f>IF(C9&gt;0,VLOOKUP(C9,Foundation_Calc!$A$2:$C$13,3,1),
IF(J9&gt;0,VLOOKUP(J9,Foundation_Calc!$A$2:$C$13,3,1),""))</f>
        <v>Multi Soil</v>
      </c>
      <c r="AX9" s="449" t="str">
        <f>IF(C9&gt;0,VLOOKUP(C9,Foundation_Calc!$E$2:$G$33,3,1),
IF(J9&gt;0,VLOOKUP(J9,Foundation_Calc!$E$2:$G$33,3,1),""))</f>
        <v>PT</v>
      </c>
      <c r="AY9" s="10" t="str">
        <f>IF(L9="","",
IF(AX9="PT",VLOOKUP(L9,Foundation_Calc!$K$79:$R$113,VLOOKUP(AW9,Foundation_Calc!$I$2:$J$8,2,FALSE),0),
IF(AX9="K",VLOOKUP(L9,Foundation_Calc!$K$117:$R$151,VLOOKUP(AW9,Foundation_Calc!$I$2:$J$8,2,FALSE),0),"")))</f>
        <v/>
      </c>
      <c r="AZ9" s="10">
        <f>IF(K9="","",
IF(AX9="PT",VLOOKUP(K9,Foundation_Calc!$K$79:$R$113,VLOOKUP(AW9,Foundation_Calc!$I$2:$J$8,2,FALSE),0),
IF(AX9="K",VLOOKUP(K9,Foundation_Calc!$K$117:$R$151,VLOOKUP(AW9,Foundation_Calc!$I$2:$J$8,2,FALSE),0),"")))</f>
        <v>3.9</v>
      </c>
      <c r="BA9" s="495"/>
      <c r="BB9" s="495"/>
      <c r="BC9" s="495"/>
      <c r="BD9" s="513"/>
      <c r="BE9" s="429" t="s">
        <v>118</v>
      </c>
      <c r="BF9" s="290"/>
      <c r="BG9" s="290"/>
      <c r="BH9" s="290"/>
      <c r="BI9" s="290"/>
    </row>
    <row r="10" spans="1:63" ht="16.149999999999999" customHeight="1">
      <c r="A10" s="517" t="s">
        <v>442</v>
      </c>
      <c r="B10" s="450" t="s">
        <v>1666</v>
      </c>
      <c r="C10" s="3">
        <f>+$C$8+$G$9</f>
        <v>40826.639999999999</v>
      </c>
      <c r="D10" s="83"/>
      <c r="E10" s="4"/>
      <c r="F10" s="4">
        <v>0</v>
      </c>
      <c r="G10" s="6"/>
      <c r="H10" s="449" t="s">
        <v>230</v>
      </c>
      <c r="I10" s="449" t="s">
        <v>122</v>
      </c>
      <c r="J10" s="3"/>
      <c r="K10" s="449"/>
      <c r="L10" s="449" t="s">
        <v>232</v>
      </c>
      <c r="M10" s="449" t="str">
        <f>IF(L10="","",
IF(AX10="PT",VLOOKUP(L10,Foundation_Calc!$V$79:$X$113,VLOOKUP(AX10,Foundation_Calc!$I$10:$J$13,2,FALSE),0),
IF(AX10="K",VLOOKUP(L10,Foundation_Calc!$V$117:$X$151,VLOOKUP(AX10,Foundation_Calc!$I$10:$J$13,2,FALSE),0),"")))</f>
        <v>C5R</v>
      </c>
      <c r="N10" s="449" t="s">
        <v>134</v>
      </c>
      <c r="O10" s="449" t="s">
        <v>133</v>
      </c>
      <c r="P10" s="449"/>
      <c r="Q10" s="4"/>
      <c r="R10" s="6"/>
      <c r="S10" s="6"/>
      <c r="T10" s="4">
        <v>35</v>
      </c>
      <c r="U10" s="4">
        <v>55</v>
      </c>
      <c r="V10" s="4"/>
      <c r="W10" s="9">
        <v>1.8</v>
      </c>
      <c r="X10" s="9">
        <v>1.4</v>
      </c>
      <c r="Y10" s="9"/>
      <c r="Z10" s="9"/>
      <c r="AA10" s="9">
        <v>0.6</v>
      </c>
      <c r="AB10" s="9"/>
      <c r="AC10" s="449" t="str">
        <f t="shared" si="0"/>
        <v>PH</v>
      </c>
      <c r="AD10" s="449"/>
      <c r="AE10" s="449"/>
      <c r="AF10" s="4"/>
      <c r="AG10" s="83"/>
      <c r="AH10" s="4"/>
      <c r="AI10" s="4"/>
      <c r="AJ10" s="449"/>
      <c r="AK10" s="449"/>
      <c r="AL10" s="449" t="s">
        <v>241</v>
      </c>
      <c r="AM10" s="449" t="s">
        <v>126</v>
      </c>
      <c r="AN10" s="10">
        <v>5.5</v>
      </c>
      <c r="AO10" s="9"/>
      <c r="AP10" s="9"/>
      <c r="AQ10" s="9"/>
      <c r="AR10" s="9"/>
      <c r="AS10" s="9"/>
      <c r="AT10" s="9">
        <f>+ab($T$10,$T$8,$U$12,$G$9,-$G$11, 1*$F$10,1200)</f>
        <v>11.645710346389487</v>
      </c>
      <c r="AU10" s="428"/>
      <c r="AV10" s="428"/>
      <c r="AW10" s="449" t="str">
        <f>IF(C10&gt;0,VLOOKUP(C10,Foundation_Calc!$A$2:$C$13,3,1),
IF(J10&gt;0,VLOOKUP(J10,Foundation_Calc!$A$2:$C$13,3,1),""))</f>
        <v>Multi Soil</v>
      </c>
      <c r="AX10" s="449" t="str">
        <f>IF(C10&gt;0,VLOOKUP(C10,Foundation_Calc!$E$2:$G$33,3,1),
IF(J10&gt;0,VLOOKUP(J10,Foundation_Calc!$E$2:$G$33,3,1),""))</f>
        <v>PT</v>
      </c>
      <c r="AY10" s="10">
        <f>IF(L10="","",
IF(AX10="PT",VLOOKUP(L10,Foundation_Calc!$K$79:$R$113,VLOOKUP(AW10,Foundation_Calc!$I$2:$J$8,2,FALSE),0),
IF(AX10="K",VLOOKUP(L10,Foundation_Calc!$K$117:$R$151,VLOOKUP(AW10,Foundation_Calc!$I$2:$J$8,2,FALSE),0),"")))</f>
        <v>3.5</v>
      </c>
      <c r="AZ10" s="10" t="str">
        <f>IF(K10="","",
IF(AX10="PT",VLOOKUP(K10,Foundation_Calc!$K$79:$R$113,VLOOKUP(AW10,Foundation_Calc!$I$2:$J$8,2,FALSE),0),
IF(AX10="K",VLOOKUP(K10,Foundation_Calc!$K$117:$R$151,VLOOKUP(AW10,Foundation_Calc!$I$2:$J$8,2,FALSE),0),"")))</f>
        <v/>
      </c>
      <c r="BA10" s="495"/>
      <c r="BB10" s="495"/>
      <c r="BC10" s="495"/>
      <c r="BD10" s="513" t="str">
        <f>Pole_Calc!A$251</f>
        <v>App.8-V08H-P10.3</v>
      </c>
      <c r="BE10" s="429" t="s">
        <v>118</v>
      </c>
      <c r="BF10" s="289"/>
      <c r="BG10" s="289"/>
      <c r="BH10" s="290"/>
      <c r="BI10" s="289"/>
    </row>
    <row r="11" spans="1:63" ht="16.149999999999999" customHeight="1">
      <c r="A11" s="517" t="s">
        <v>442</v>
      </c>
      <c r="B11" s="450"/>
      <c r="C11" s="3"/>
      <c r="D11" s="83"/>
      <c r="E11" s="4"/>
      <c r="F11" s="4"/>
      <c r="G11" s="6">
        <v>40</v>
      </c>
      <c r="H11" s="449"/>
      <c r="I11" s="449"/>
      <c r="J11" s="3"/>
      <c r="K11" s="449"/>
      <c r="L11" s="449"/>
      <c r="M11" s="449" t="str">
        <f>IF(L11="","",
IF(AX11="PT",VLOOKUP(L11,Foundation_Calc!$V$79:$X$113,VLOOKUP(AX11,Foundation_Calc!$I$10:$J$13,2,FALSE),0),
IF(AX11="K",VLOOKUP(L11,Foundation_Calc!$V$117:$X$151,VLOOKUP(AX11,Foundation_Calc!$I$10:$J$13,2,FALSE),0),"")))</f>
        <v/>
      </c>
      <c r="N11" s="449"/>
      <c r="O11" s="449"/>
      <c r="P11" s="449"/>
      <c r="Q11" s="4"/>
      <c r="R11" s="6"/>
      <c r="S11" s="6"/>
      <c r="T11" s="4"/>
      <c r="U11" s="4"/>
      <c r="V11" s="4"/>
      <c r="W11" s="9"/>
      <c r="X11" s="9"/>
      <c r="Y11" s="9"/>
      <c r="Z11" s="9"/>
      <c r="AA11" s="9"/>
      <c r="AB11" s="9"/>
      <c r="AC11" s="449" t="str">
        <f t="shared" si="0"/>
        <v/>
      </c>
      <c r="AD11" s="449"/>
      <c r="AE11" s="449"/>
      <c r="AF11" s="4"/>
      <c r="AG11" s="83"/>
      <c r="AH11" s="4"/>
      <c r="AI11" s="4"/>
      <c r="AJ11" s="449"/>
      <c r="AK11" s="449"/>
      <c r="AL11" s="449"/>
      <c r="AM11" s="449"/>
      <c r="AN11" s="10"/>
      <c r="AO11" s="9"/>
      <c r="AP11" s="9"/>
      <c r="AQ11" s="9">
        <f>+FL_1(-$U$12,$T$10,$G$11,1200,9.28, 1*$F$12)</f>
        <v>0.35000000000000125</v>
      </c>
      <c r="AR11" s="9"/>
      <c r="AS11" s="9"/>
      <c r="AT11" s="9"/>
      <c r="AU11" s="428"/>
      <c r="AV11" s="428"/>
      <c r="AW11" s="449" t="str">
        <f>IF(C11&gt;0,VLOOKUP(C11,Foundation_Calc!$A$2:$C$13,3,1),
IF(J11&gt;0,VLOOKUP(J11,Foundation_Calc!$A$2:$C$13,3,1),""))</f>
        <v/>
      </c>
      <c r="AX11" s="449" t="str">
        <f>IF(C11&gt;0,VLOOKUP(C11,Foundation_Calc!$E$2:$G$33,3,1),
IF(J11&gt;0,VLOOKUP(J11,Foundation_Calc!$E$2:$G$33,3,1),""))</f>
        <v/>
      </c>
      <c r="AY11" s="10" t="str">
        <f>IF(L11="","",
IF(AX11="PT",VLOOKUP(L11,Foundation_Calc!$K$79:$R$113,VLOOKUP(AW11,Foundation_Calc!$I$2:$J$8,2,FALSE),0),
IF(AX11="K",VLOOKUP(L11,Foundation_Calc!$K$117:$R$151,VLOOKUP(AW11,Foundation_Calc!$I$2:$J$8,2,FALSE),0),"")))</f>
        <v/>
      </c>
      <c r="AZ11" s="10" t="str">
        <f>IF(K11="","",
IF(AX11="PT",VLOOKUP(K11,Foundation_Calc!$K$79:$R$113,VLOOKUP(AW11,Foundation_Calc!$I$2:$J$8,2,FALSE),0),
IF(AX11="K",VLOOKUP(K11,Foundation_Calc!$K$117:$R$151,VLOOKUP(AW11,Foundation_Calc!$I$2:$J$8,2,FALSE),0),"")))</f>
        <v/>
      </c>
      <c r="BA11" s="495"/>
      <c r="BB11" s="495"/>
      <c r="BC11" s="495"/>
      <c r="BD11" s="513"/>
      <c r="BE11" s="429" t="s">
        <v>118</v>
      </c>
      <c r="BF11" s="290"/>
      <c r="BG11" s="290"/>
      <c r="BH11" s="290"/>
      <c r="BI11" s="290"/>
    </row>
    <row r="12" spans="1:63" ht="16.149999999999999" customHeight="1">
      <c r="A12" s="517" t="s">
        <v>442</v>
      </c>
      <c r="B12" s="450" t="s">
        <v>1667</v>
      </c>
      <c r="C12" s="3">
        <f>+$C$10+$G$11</f>
        <v>40866.639999999999</v>
      </c>
      <c r="D12" s="83"/>
      <c r="E12" s="4"/>
      <c r="F12" s="4">
        <v>0</v>
      </c>
      <c r="G12" s="6"/>
      <c r="H12" s="449" t="s">
        <v>236</v>
      </c>
      <c r="I12" s="449" t="s">
        <v>122</v>
      </c>
      <c r="J12" s="3"/>
      <c r="K12" s="449"/>
      <c r="L12" s="449" t="s">
        <v>247</v>
      </c>
      <c r="M12" s="449" t="str">
        <f>IF(L12="","",
IF(AX12="PT",VLOOKUP(L12,Foundation_Calc!$V$79:$X$113,VLOOKUP(AX12,Foundation_Calc!$I$10:$J$13,2,FALSE),0),
IF(AX12="K",VLOOKUP(L12,Foundation_Calc!$V$117:$X$151,VLOOKUP(AX12,Foundation_Calc!$I$10:$J$13,2,FALSE),0),"")))</f>
        <v>C12R</v>
      </c>
      <c r="N12" s="575" t="s">
        <v>840</v>
      </c>
      <c r="O12" s="553" t="s">
        <v>453</v>
      </c>
      <c r="P12" s="449"/>
      <c r="Q12" s="4"/>
      <c r="R12" s="6"/>
      <c r="S12" s="6"/>
      <c r="T12" s="4">
        <v>-10</v>
      </c>
      <c r="U12" s="4">
        <v>35</v>
      </c>
      <c r="V12" s="4"/>
      <c r="W12" s="9">
        <v>1.8</v>
      </c>
      <c r="X12" s="9">
        <v>1.4</v>
      </c>
      <c r="Y12" s="9"/>
      <c r="Z12" s="9">
        <v>0.5</v>
      </c>
      <c r="AA12" s="9"/>
      <c r="AB12" s="9"/>
      <c r="AC12" s="449"/>
      <c r="AD12" s="449"/>
      <c r="AE12" s="449"/>
      <c r="AF12" s="4"/>
      <c r="AG12" s="83"/>
      <c r="AH12" s="4"/>
      <c r="AI12" s="4"/>
      <c r="AJ12" s="449"/>
      <c r="AK12" s="449" t="s">
        <v>841</v>
      </c>
      <c r="AL12" s="449" t="s">
        <v>269</v>
      </c>
      <c r="AM12" s="449" t="s">
        <v>126</v>
      </c>
      <c r="AN12" s="10">
        <v>5.5</v>
      </c>
      <c r="AO12" s="9"/>
      <c r="AP12" s="9"/>
      <c r="AQ12" s="9"/>
      <c r="AR12" s="9"/>
      <c r="AS12" s="9"/>
      <c r="AT12" s="9">
        <f>+ab(-$U$12,$T$10,$U$14,$G$11,$G$13, 1*$F$12,1200)</f>
        <v>-5.3338110802425458</v>
      </c>
      <c r="AU12" s="428"/>
      <c r="AV12" s="428"/>
      <c r="AW12" s="449" t="str">
        <f>IF(C12&gt;0,VLOOKUP(C12,Foundation_Calc!$A$2:$C$13,3,1),
IF(J12&gt;0,VLOOKUP(J12,Foundation_Calc!$A$2:$C$13,3,1),""))</f>
        <v>Multi Soil</v>
      </c>
      <c r="AX12" s="449" t="str">
        <f>IF(C12&gt;0,VLOOKUP(C12,Foundation_Calc!$E$2:$G$33,3,1),
IF(J12&gt;0,VLOOKUP(J12,Foundation_Calc!$E$2:$G$33,3,1),""))</f>
        <v>PT</v>
      </c>
      <c r="AY12" s="10">
        <f>IF(L12="","",
IF(AX12="PT",VLOOKUP(L12,Foundation_Calc!$K$79:$R$113,VLOOKUP(AW12,Foundation_Calc!$I$2:$J$8,2,FALSE),0),
IF(AX12="K",VLOOKUP(L12,Foundation_Calc!$K$117:$R$151,VLOOKUP(AW12,Foundation_Calc!$I$2:$J$8,2,FALSE),0),"")))</f>
        <v>6.2</v>
      </c>
      <c r="AZ12" s="10" t="str">
        <f>IF(K12="","",
IF(AX12="PT",VLOOKUP(K12,Foundation_Calc!$K$79:$R$113,VLOOKUP(AW12,Foundation_Calc!$I$2:$J$8,2,FALSE),0),
IF(AX12="K",VLOOKUP(K12,Foundation_Calc!$K$117:$R$151,VLOOKUP(AW12,Foundation_Calc!$I$2:$J$8,2,FALSE),0),"")))</f>
        <v/>
      </c>
      <c r="BA12" s="495"/>
      <c r="BB12" s="495"/>
      <c r="BC12" s="495"/>
      <c r="BD12" s="513" t="str">
        <f>Pole_Calc!A$251</f>
        <v>App.8-V08H-P10.3</v>
      </c>
      <c r="BE12" s="429" t="s">
        <v>118</v>
      </c>
      <c r="BF12" s="289"/>
      <c r="BG12" s="289"/>
      <c r="BH12" s="290"/>
      <c r="BI12" s="289"/>
    </row>
    <row r="13" spans="1:63" ht="16.149999999999999" customHeight="1">
      <c r="A13" s="517" t="s">
        <v>442</v>
      </c>
      <c r="B13" s="450"/>
      <c r="C13" s="3"/>
      <c r="D13" s="83"/>
      <c r="E13" s="4"/>
      <c r="F13" s="4"/>
      <c r="G13" s="6">
        <v>38.1</v>
      </c>
      <c r="H13" s="449"/>
      <c r="I13" s="449"/>
      <c r="J13" s="3"/>
      <c r="K13" s="449"/>
      <c r="L13" s="449"/>
      <c r="M13" s="449" t="str">
        <f>IF(L13="","",
IF(AX13="PT",VLOOKUP(L13,Foundation_Calc!$V$79:$X$113,VLOOKUP(AX13,Foundation_Calc!$I$10:$J$13,2,FALSE),0),
IF(AX13="K",VLOOKUP(L13,Foundation_Calc!$V$117:$X$151,VLOOKUP(AX13,Foundation_Calc!$I$10:$J$13,2,FALSE),0),"")))</f>
        <v/>
      </c>
      <c r="N13" s="449"/>
      <c r="O13" s="449"/>
      <c r="P13" s="449"/>
      <c r="Q13" s="4"/>
      <c r="R13" s="6"/>
      <c r="S13" s="6"/>
      <c r="T13" s="4"/>
      <c r="U13" s="4"/>
      <c r="V13" s="4"/>
      <c r="W13" s="9"/>
      <c r="X13" s="9"/>
      <c r="Y13" s="9"/>
      <c r="Z13" s="9"/>
      <c r="AA13" s="9"/>
      <c r="AB13" s="9"/>
      <c r="AC13" s="449" t="str">
        <f t="shared" si="0"/>
        <v/>
      </c>
      <c r="AD13" s="449"/>
      <c r="AE13" s="449"/>
      <c r="AF13" s="4"/>
      <c r="AG13" s="83"/>
      <c r="AH13" s="4"/>
      <c r="AI13" s="4"/>
      <c r="AJ13" s="449"/>
      <c r="AK13" s="449"/>
      <c r="AL13" s="449"/>
      <c r="AM13" s="449"/>
      <c r="AN13" s="10"/>
      <c r="AO13" s="9"/>
      <c r="AP13" s="9"/>
      <c r="AQ13" s="9">
        <f>+FL_1($U$14,-$U$12,$G$13,1200,9.28, 1*$F$14)</f>
        <v>0.35</v>
      </c>
      <c r="AR13" s="9"/>
      <c r="AS13" s="9"/>
      <c r="AT13" s="9"/>
      <c r="AU13" s="428"/>
      <c r="AV13" s="428"/>
      <c r="AW13" s="449" t="str">
        <f>IF(C13&gt;0,VLOOKUP(C13,Foundation_Calc!$A$2:$C$13,3,1),
IF(J13&gt;0,VLOOKUP(J13,Foundation_Calc!$A$2:$C$13,3,1),""))</f>
        <v/>
      </c>
      <c r="AX13" s="449" t="str">
        <f>IF(C13&gt;0,VLOOKUP(C13,Foundation_Calc!$E$2:$G$33,3,1),
IF(J13&gt;0,VLOOKUP(J13,Foundation_Calc!$E$2:$G$33,3,1),""))</f>
        <v/>
      </c>
      <c r="AY13" s="10" t="str">
        <f>IF(L13="","",
IF(AX13="PT",VLOOKUP(L13,Foundation_Calc!$K$79:$R$113,VLOOKUP(AW13,Foundation_Calc!$I$2:$J$8,2,FALSE),0),
IF(AX13="K",VLOOKUP(L13,Foundation_Calc!$K$117:$R$151,VLOOKUP(AW13,Foundation_Calc!$I$2:$J$8,2,FALSE),0),"")))</f>
        <v/>
      </c>
      <c r="AZ13" s="10" t="str">
        <f>IF(K13="","",
IF(AX13="PT",VLOOKUP(K13,Foundation_Calc!$K$79:$R$113,VLOOKUP(AW13,Foundation_Calc!$I$2:$J$8,2,FALSE),0),
IF(AX13="K",VLOOKUP(K13,Foundation_Calc!$K$117:$R$151,VLOOKUP(AW13,Foundation_Calc!$I$2:$J$8,2,FALSE),0),"")))</f>
        <v/>
      </c>
      <c r="BA13" s="495"/>
      <c r="BB13" s="495"/>
      <c r="BC13" s="495"/>
      <c r="BD13" s="513"/>
      <c r="BE13" s="429" t="s">
        <v>118</v>
      </c>
      <c r="BF13" s="290"/>
      <c r="BG13" s="290"/>
      <c r="BH13" s="290"/>
      <c r="BI13" s="290"/>
    </row>
    <row r="14" spans="1:63" ht="16.149999999999999" customHeight="1">
      <c r="A14" s="721" t="s">
        <v>1668</v>
      </c>
      <c r="B14" s="722" t="s">
        <v>1669</v>
      </c>
      <c r="C14" s="723">
        <f>+$C$12+$G$13</f>
        <v>40904.74</v>
      </c>
      <c r="D14" s="724"/>
      <c r="E14" s="725"/>
      <c r="F14" s="725">
        <v>0</v>
      </c>
      <c r="G14" s="726"/>
      <c r="H14" s="727" t="s">
        <v>1011</v>
      </c>
      <c r="I14" s="727"/>
      <c r="J14" s="723"/>
      <c r="K14" s="727"/>
      <c r="L14" s="727" t="s">
        <v>232</v>
      </c>
      <c r="M14" s="727" t="str">
        <f>IF(L14="","",
IF(AX14="PT",VLOOKUP(L14,Foundation_Calc!$V$79:$X$113,VLOOKUP(AX14,Foundation_Calc!$I$10:$J$13,2,FALSE),0),
IF(AX14="K",VLOOKUP(L14,Foundation_Calc!$V$117:$X$151,VLOOKUP(AX14,Foundation_Calc!$I$10:$J$13,2,FALSE),0),"")))</f>
        <v>C5R</v>
      </c>
      <c r="N14" s="884" t="s">
        <v>133</v>
      </c>
      <c r="O14" s="727" t="s">
        <v>134</v>
      </c>
      <c r="P14" s="884" t="s">
        <v>124</v>
      </c>
      <c r="Q14" s="725"/>
      <c r="R14" s="726"/>
      <c r="S14" s="726"/>
      <c r="T14" s="725">
        <v>55</v>
      </c>
      <c r="U14" s="725">
        <v>35</v>
      </c>
      <c r="V14" s="725">
        <v>20</v>
      </c>
      <c r="W14" s="728">
        <v>1.4</v>
      </c>
      <c r="X14" s="728">
        <v>1.8</v>
      </c>
      <c r="Y14" s="728">
        <v>2</v>
      </c>
      <c r="Z14" s="728">
        <v>0.2</v>
      </c>
      <c r="AA14" s="728"/>
      <c r="AB14" s="728"/>
      <c r="AC14" s="727"/>
      <c r="AD14" s="727"/>
      <c r="AE14" s="727"/>
      <c r="AF14" s="725"/>
      <c r="AG14" s="724"/>
      <c r="AH14" s="725"/>
      <c r="AI14" s="725"/>
      <c r="AJ14" s="727" t="s">
        <v>251</v>
      </c>
      <c r="AK14" s="727"/>
      <c r="AL14" s="727" t="s">
        <v>241</v>
      </c>
      <c r="AM14" s="727" t="s">
        <v>126</v>
      </c>
      <c r="AN14" s="729">
        <v>5.5</v>
      </c>
      <c r="AO14" s="728"/>
      <c r="AP14" s="728"/>
      <c r="AQ14" s="728"/>
      <c r="AR14" s="728"/>
      <c r="AS14" s="728"/>
      <c r="AT14" s="728">
        <f>+ab($U$14,-$U$12,$U$16,$G$13,$G$15, 1*$F$14,1200)</f>
        <v>4.3698909802101591</v>
      </c>
      <c r="AU14" s="730"/>
      <c r="AV14" s="730"/>
      <c r="AW14" s="727" t="str">
        <f>IF(C14&gt;0,VLOOKUP(C14,Foundation_Calc!$A$2:$C$13,3,1),
IF(J14&gt;0,VLOOKUP(J14,Foundation_Calc!$A$2:$C$13,3,1),""))</f>
        <v>Multi Soil</v>
      </c>
      <c r="AX14" s="727" t="str">
        <f>IF(C14&gt;0,VLOOKUP(C14,Foundation_Calc!$E$2:$G$33,3,1),
IF(J14&gt;0,VLOOKUP(J14,Foundation_Calc!$E$2:$G$33,3,1),""))</f>
        <v>PT</v>
      </c>
      <c r="AY14" s="729">
        <f>IF(L14="","",
IF(AX14="PT",VLOOKUP(L14,Foundation_Calc!$K$79:$R$113,VLOOKUP(AW14,Foundation_Calc!$I$2:$J$8,2,FALSE),0),
IF(AX14="K",VLOOKUP(L14,Foundation_Calc!$K$117:$R$151,VLOOKUP(AW14,Foundation_Calc!$I$2:$J$8,2,FALSE),0),"")))</f>
        <v>3.5</v>
      </c>
      <c r="AZ14" s="729" t="str">
        <f>IF(K14="","",
IF(AX14="PT",VLOOKUP(K14,Foundation_Calc!$K$79:$R$113,VLOOKUP(AW14,Foundation_Calc!$I$2:$J$8,2,FALSE),0),
IF(AX14="K",VLOOKUP(K14,Foundation_Calc!$K$117:$R$151,VLOOKUP(AW14,Foundation_Calc!$I$2:$J$8,2,FALSE),0),"")))</f>
        <v/>
      </c>
      <c r="BA14" s="495"/>
      <c r="BB14" s="495"/>
      <c r="BC14" s="495"/>
      <c r="BD14" s="513" t="str">
        <f>Pole_Calc!A$251</f>
        <v>App.8-V08H-P10.3</v>
      </c>
      <c r="BE14" s="429" t="s">
        <v>118</v>
      </c>
      <c r="BF14" s="289"/>
      <c r="BG14" s="289"/>
      <c r="BH14" s="290"/>
      <c r="BI14" s="289"/>
    </row>
    <row r="15" spans="1:63" ht="16.149999999999999" customHeight="1">
      <c r="A15" s="517" t="s">
        <v>442</v>
      </c>
      <c r="B15" s="450"/>
      <c r="C15" s="3"/>
      <c r="D15" s="83"/>
      <c r="E15" s="4"/>
      <c r="F15" s="4"/>
      <c r="G15" s="6">
        <v>27.5</v>
      </c>
      <c r="H15" s="449"/>
      <c r="I15" s="449"/>
      <c r="J15" s="3">
        <f>C16-7.5</f>
        <v>40924.74</v>
      </c>
      <c r="K15" s="449" t="s">
        <v>117</v>
      </c>
      <c r="L15" s="449"/>
      <c r="M15" s="449" t="str">
        <f>IF(L15="","",
IF(AX15="PT",VLOOKUP(L15,Foundation_Calc!$V$79:$X$113,VLOOKUP(AX15,Foundation_Calc!$I$10:$J$13,2,FALSE),0),
IF(AX15="K",VLOOKUP(L15,Foundation_Calc!$V$117:$X$151,VLOOKUP(AX15,Foundation_Calc!$I$10:$J$13,2,FALSE),0),"")))</f>
        <v/>
      </c>
      <c r="N15" s="449"/>
      <c r="O15" s="449"/>
      <c r="P15" s="449"/>
      <c r="Q15" s="4"/>
      <c r="R15" s="6"/>
      <c r="S15" s="6"/>
      <c r="T15" s="4"/>
      <c r="U15" s="4"/>
      <c r="V15" s="4"/>
      <c r="W15" s="9"/>
      <c r="X15" s="9"/>
      <c r="Y15" s="9"/>
      <c r="Z15" s="9"/>
      <c r="AA15" s="9"/>
      <c r="AB15" s="9"/>
      <c r="AC15" s="449" t="str">
        <f t="shared" si="0"/>
        <v/>
      </c>
      <c r="AD15" s="449"/>
      <c r="AE15" s="449"/>
      <c r="AF15" s="4"/>
      <c r="AG15" s="83"/>
      <c r="AH15" s="4"/>
      <c r="AI15" s="4"/>
      <c r="AJ15" s="449"/>
      <c r="AK15" s="449"/>
      <c r="AL15" s="449"/>
      <c r="AM15" s="449"/>
      <c r="AN15" s="10"/>
      <c r="AO15" s="9"/>
      <c r="AP15" s="9"/>
      <c r="AQ15" s="9">
        <f>+FL_1($U$16,$U$14,$G$15,1200,9.28, 1*$F$16)</f>
        <v>0.35000000000002218</v>
      </c>
      <c r="AR15" s="9"/>
      <c r="AS15" s="9"/>
      <c r="AT15" s="9"/>
      <c r="AU15" s="428"/>
      <c r="AV15" s="428"/>
      <c r="AW15" s="449" t="str">
        <f>IF(C15&gt;0,VLOOKUP(C15,Foundation_Calc!$A$2:$C$13,3,1),
IF(J15&gt;0,VLOOKUP(J15,Foundation_Calc!$A$2:$C$13,3,1),""))</f>
        <v>Multi Soil</v>
      </c>
      <c r="AX15" s="449" t="str">
        <f>IF(C15&gt;0,VLOOKUP(C15,Foundation_Calc!$E$2:$G$33,3,1),
IF(J15&gt;0,VLOOKUP(J15,Foundation_Calc!$E$2:$G$33,3,1),""))</f>
        <v>PT</v>
      </c>
      <c r="AY15" s="10" t="str">
        <f>IF(L15="","",
IF(AX15="PT",VLOOKUP(L15,Foundation_Calc!$K$79:$R$113,VLOOKUP(AW15,Foundation_Calc!$I$2:$J$8,2,FALSE),0),
IF(AX15="K",VLOOKUP(L15,Foundation_Calc!$K$117:$R$151,VLOOKUP(AW15,Foundation_Calc!$I$2:$J$8,2,FALSE),0),"")))</f>
        <v/>
      </c>
      <c r="AZ15" s="10">
        <f>IF(K15="","",
IF(AX15="PT",VLOOKUP(K15,Foundation_Calc!$K$79:$R$113,VLOOKUP(AW15,Foundation_Calc!$I$2:$J$8,2,FALSE),0),
IF(AX15="K",VLOOKUP(K15,Foundation_Calc!$K$117:$R$151,VLOOKUP(AW15,Foundation_Calc!$I$2:$J$8,2,FALSE),0),"")))</f>
        <v>3.9</v>
      </c>
      <c r="BA15" s="495"/>
      <c r="BB15" s="495"/>
      <c r="BC15" s="495"/>
      <c r="BD15" s="513"/>
      <c r="BE15" s="429" t="s">
        <v>118</v>
      </c>
      <c r="BF15" s="290"/>
      <c r="BG15" s="290"/>
      <c r="BH15" s="290"/>
      <c r="BI15" s="290"/>
    </row>
    <row r="16" spans="1:63" ht="16.149999999999999" customHeight="1">
      <c r="A16" s="517" t="s">
        <v>438</v>
      </c>
      <c r="B16" s="450" t="s">
        <v>1670</v>
      </c>
      <c r="C16" s="3">
        <f>+$C$14+$G$15</f>
        <v>40932.239999999998</v>
      </c>
      <c r="D16" s="83"/>
      <c r="E16" s="4"/>
      <c r="F16" s="4">
        <v>0</v>
      </c>
      <c r="G16" s="6"/>
      <c r="H16" s="449" t="s">
        <v>1671</v>
      </c>
      <c r="I16" s="449" t="s">
        <v>162</v>
      </c>
      <c r="J16" s="3"/>
      <c r="K16" s="449"/>
      <c r="L16" s="449" t="s">
        <v>232</v>
      </c>
      <c r="M16" s="449" t="str">
        <f>IF(L16="","",
IF(AX16="PT",VLOOKUP(L16,Foundation_Calc!$V$79:$X$113,VLOOKUP(AX16,Foundation_Calc!$I$10:$J$13,2,FALSE),0),
IF(AX16="K",VLOOKUP(L16,Foundation_Calc!$V$117:$X$151,VLOOKUP(AX16,Foundation_Calc!$I$10:$J$13,2,FALSE),0),"")))</f>
        <v>C5R</v>
      </c>
      <c r="N16" s="554" t="s">
        <v>134</v>
      </c>
      <c r="O16" s="449" t="s">
        <v>124</v>
      </c>
      <c r="P16" s="554" t="s">
        <v>133</v>
      </c>
      <c r="Q16" s="4"/>
      <c r="R16" s="6"/>
      <c r="S16" s="6"/>
      <c r="T16" s="4">
        <v>-20</v>
      </c>
      <c r="U16" s="4">
        <v>-35</v>
      </c>
      <c r="V16" s="4">
        <v>-55</v>
      </c>
      <c r="W16" s="9">
        <v>2</v>
      </c>
      <c r="X16" s="9">
        <v>1.8</v>
      </c>
      <c r="Y16" s="9">
        <v>1.4</v>
      </c>
      <c r="Z16" s="9"/>
      <c r="AA16" s="9"/>
      <c r="AB16" s="9">
        <v>0.2</v>
      </c>
      <c r="AC16" s="449" t="str">
        <f t="shared" si="0"/>
        <v>PHC</v>
      </c>
      <c r="AD16" s="449"/>
      <c r="AE16" s="449"/>
      <c r="AF16" s="4"/>
      <c r="AG16" s="83"/>
      <c r="AH16" s="4"/>
      <c r="AI16" s="4"/>
      <c r="AJ16" s="449" t="s">
        <v>239</v>
      </c>
      <c r="AK16" s="449"/>
      <c r="AL16" s="449" t="s">
        <v>241</v>
      </c>
      <c r="AM16" s="449" t="s">
        <v>126</v>
      </c>
      <c r="AN16" s="10">
        <v>5.5</v>
      </c>
      <c r="AO16" s="9"/>
      <c r="AP16" s="9"/>
      <c r="AQ16" s="9"/>
      <c r="AR16" s="9"/>
      <c r="AS16" s="9"/>
      <c r="AT16" s="9">
        <f>+ab($U$16,$U$14,-$T$18,$G$15,$G$17, 1*$F$16,1200)</f>
        <v>-3.7294652034223326</v>
      </c>
      <c r="AU16" s="428"/>
      <c r="AV16" s="428"/>
      <c r="AW16" s="449" t="str">
        <f>IF(C16&gt;0,VLOOKUP(C16,Foundation_Calc!$A$2:$C$13,3,1),
IF(J16&gt;0,VLOOKUP(J16,Foundation_Calc!$A$2:$C$13,3,1),""))</f>
        <v>Multi Soil</v>
      </c>
      <c r="AX16" s="449" t="str">
        <f>IF(C16&gt;0,VLOOKUP(C16,Foundation_Calc!$E$2:$G$33,3,1),
IF(J16&gt;0,VLOOKUP(J16,Foundation_Calc!$E$2:$G$33,3,1),""))</f>
        <v>PT</v>
      </c>
      <c r="AY16" s="10">
        <f>IF(L16="","",
IF(AX16="PT",VLOOKUP(L16,Foundation_Calc!$K$79:$R$113,VLOOKUP(AW16,Foundation_Calc!$I$2:$J$8,2,FALSE),0),
IF(AX16="K",VLOOKUP(L16,Foundation_Calc!$K$117:$R$151,VLOOKUP(AW16,Foundation_Calc!$I$2:$J$8,2,FALSE),0),"")))</f>
        <v>3.5</v>
      </c>
      <c r="AZ16" s="10" t="str">
        <f>IF(K16="","",
IF(AX16="PT",VLOOKUP(K16,Foundation_Calc!$K$79:$R$113,VLOOKUP(AW16,Foundation_Calc!$I$2:$J$8,2,FALSE),0),
IF(AX16="K",VLOOKUP(K16,Foundation_Calc!$K$117:$R$151,VLOOKUP(AW16,Foundation_Calc!$I$2:$J$8,2,FALSE),0),"")))</f>
        <v/>
      </c>
      <c r="BA16" s="495"/>
      <c r="BB16" s="495"/>
      <c r="BC16" s="495"/>
      <c r="BD16" s="513" t="str">
        <f>Pole_Calc!A$251</f>
        <v>App.8-V08H-P10.3</v>
      </c>
      <c r="BE16" s="429" t="s">
        <v>118</v>
      </c>
      <c r="BF16" s="289"/>
      <c r="BG16" s="289"/>
      <c r="BH16" s="290"/>
      <c r="BI16" s="289"/>
    </row>
    <row r="17" spans="1:61" ht="16.149999999999999" customHeight="1">
      <c r="A17" s="732" t="s">
        <v>448</v>
      </c>
      <c r="B17" s="722"/>
      <c r="C17" s="723"/>
      <c r="D17" s="724"/>
      <c r="E17" s="725"/>
      <c r="F17" s="725"/>
      <c r="G17" s="726">
        <v>27</v>
      </c>
      <c r="H17" s="727"/>
      <c r="I17" s="725"/>
      <c r="J17" s="723"/>
      <c r="K17" s="727"/>
      <c r="L17" s="727"/>
      <c r="M17" s="727" t="str">
        <f>IF(L17="","",
IF(AX17="PT",VLOOKUP(L17,Foundation_Calc!$V$79:$X$113,VLOOKUP(AX17,Foundation_Calc!$I$10:$J$13,2,FALSE),0),
IF(AX17="K",VLOOKUP(L17,Foundation_Calc!$V$117:$X$151,VLOOKUP(AX17,Foundation_Calc!$I$10:$J$13,2,FALSE),0),"")))</f>
        <v/>
      </c>
      <c r="N17" s="727"/>
      <c r="O17" s="727"/>
      <c r="P17" s="727"/>
      <c r="Q17" s="725"/>
      <c r="R17" s="726"/>
      <c r="S17" s="726"/>
      <c r="T17" s="725"/>
      <c r="U17" s="725"/>
      <c r="V17" s="725"/>
      <c r="W17" s="728"/>
      <c r="X17" s="728"/>
      <c r="Y17" s="728"/>
      <c r="Z17" s="728"/>
      <c r="AA17" s="728"/>
      <c r="AB17" s="728"/>
      <c r="AC17" s="727" t="str">
        <f t="shared" si="0"/>
        <v/>
      </c>
      <c r="AD17" s="727"/>
      <c r="AE17" s="727"/>
      <c r="AF17" s="725"/>
      <c r="AG17" s="724"/>
      <c r="AH17" s="725"/>
      <c r="AI17" s="725"/>
      <c r="AJ17" s="727"/>
      <c r="AK17" s="727"/>
      <c r="AL17" s="727"/>
      <c r="AM17" s="727"/>
      <c r="AN17" s="729"/>
      <c r="AO17" s="728"/>
      <c r="AP17" s="728"/>
      <c r="AQ17" s="728">
        <f>+FL_2(-$T$18,$U$16,$G$17,1200,9.28, 1*$F$18)</f>
        <v>-0.3500000000000219</v>
      </c>
      <c r="AR17" s="728"/>
      <c r="AS17" s="728"/>
      <c r="AT17" s="728"/>
      <c r="AU17" s="730"/>
      <c r="AV17" s="730"/>
      <c r="AW17" s="727" t="str">
        <f>IF(C17&gt;0,VLOOKUP(C17,Foundation_Calc!$A$2:$C$13,3,1),
IF(J17&gt;0,VLOOKUP(J17,Foundation_Calc!$A$2:$C$13,3,1),""))</f>
        <v/>
      </c>
      <c r="AX17" s="727" t="str">
        <f>IF(C17&gt;0,VLOOKUP(C17,Foundation_Calc!$E$2:$G$33,3,1),
IF(J17&gt;0,VLOOKUP(J17,Foundation_Calc!$E$2:$G$33,3,1),""))</f>
        <v/>
      </c>
      <c r="AY17" s="729" t="str">
        <f>IF(L17="","",
IF(AX17="PT",VLOOKUP(L17,Foundation_Calc!$K$79:$R$113,VLOOKUP(AW17,Foundation_Calc!$I$2:$J$8,2,FALSE),0),
IF(AX17="K",VLOOKUP(L17,Foundation_Calc!$K$117:$R$151,VLOOKUP(AW17,Foundation_Calc!$I$2:$J$8,2,FALSE),0),"")))</f>
        <v/>
      </c>
      <c r="AZ17" s="729" t="str">
        <f>IF(K17="","",
IF(AX17="PT",VLOOKUP(K17,Foundation_Calc!$K$79:$R$113,VLOOKUP(AW17,Foundation_Calc!$I$2:$J$8,2,FALSE),0),
IF(AX17="K",VLOOKUP(K17,Foundation_Calc!$K$117:$R$151,VLOOKUP(AW17,Foundation_Calc!$I$2:$J$8,2,FALSE),0),"")))</f>
        <v/>
      </c>
      <c r="BA17" s="495"/>
      <c r="BB17" s="495"/>
      <c r="BC17" s="495"/>
      <c r="BD17" s="513"/>
      <c r="BE17" s="429" t="s">
        <v>118</v>
      </c>
      <c r="BF17" s="290"/>
      <c r="BG17" s="290"/>
      <c r="BH17" s="290"/>
      <c r="BI17" s="290"/>
    </row>
    <row r="18" spans="1:61" ht="16.149999999999999" customHeight="1">
      <c r="A18" s="518" t="s">
        <v>438</v>
      </c>
      <c r="B18" s="450" t="s">
        <v>1672</v>
      </c>
      <c r="C18" s="3">
        <f>+$C$16+$G$17</f>
        <v>40959.24</v>
      </c>
      <c r="D18" s="83"/>
      <c r="E18" s="4"/>
      <c r="F18" s="4">
        <v>0</v>
      </c>
      <c r="G18" s="6"/>
      <c r="H18" s="449"/>
      <c r="I18" s="449"/>
      <c r="J18" s="3"/>
      <c r="K18" s="449"/>
      <c r="L18" s="449" t="s">
        <v>201</v>
      </c>
      <c r="M18" s="449" t="str">
        <f>IF(L18="","",
IF(AX18="PT",VLOOKUP(L18,Foundation_Calc!$V$79:$X$113,VLOOKUP(AX18,Foundation_Calc!$I$10:$J$13,2,FALSE),0),
IF(AX18="K",VLOOKUP(L18,Foundation_Calc!$V$117:$X$151,VLOOKUP(AX18,Foundation_Calc!$I$10:$J$13,2,FALSE),0),"")))</f>
        <v/>
      </c>
      <c r="N18" s="553" t="s">
        <v>343</v>
      </c>
      <c r="O18" s="449"/>
      <c r="P18" s="449"/>
      <c r="Q18" s="4"/>
      <c r="R18" s="6"/>
      <c r="S18" s="6"/>
      <c r="T18" s="4">
        <v>-35</v>
      </c>
      <c r="U18" s="4"/>
      <c r="V18" s="4"/>
      <c r="W18" s="9">
        <v>1.4</v>
      </c>
      <c r="X18" s="9"/>
      <c r="Y18" s="9"/>
      <c r="Z18" s="9"/>
      <c r="AA18" s="9"/>
      <c r="AB18" s="9"/>
      <c r="AC18" s="449" t="str">
        <f t="shared" si="0"/>
        <v>PHQ</v>
      </c>
      <c r="AD18" s="449"/>
      <c r="AE18" s="449"/>
      <c r="AF18" s="4"/>
      <c r="AG18" s="83"/>
      <c r="AH18" s="4"/>
      <c r="AI18" s="4"/>
      <c r="AJ18" s="449"/>
      <c r="AK18" s="449" t="s">
        <v>451</v>
      </c>
      <c r="AL18" s="449"/>
      <c r="AM18" s="449" t="s">
        <v>345</v>
      </c>
      <c r="AN18" s="10">
        <v>5.5</v>
      </c>
      <c r="AO18" s="9"/>
      <c r="AP18" s="9"/>
      <c r="AQ18" s="9"/>
      <c r="AR18" s="9"/>
      <c r="AS18" s="9"/>
      <c r="AT18" s="9">
        <f>+ab(-$T$18,$U$16,$T$20,$G$17,$G$19, 1*$F$18,1200)</f>
        <v>5.3259448061941326</v>
      </c>
      <c r="AU18" s="428"/>
      <c r="AV18" s="428"/>
      <c r="AW18" s="449" t="s">
        <v>201</v>
      </c>
      <c r="AX18" s="449" t="s">
        <v>201</v>
      </c>
      <c r="AY18" s="10" t="str">
        <f>IF(L18="","",
IF(AX18="PT",VLOOKUP(L18,Foundation_Calc!$K$79:$R$113,VLOOKUP(AW18,Foundation_Calc!$I$2:$J$8,2,FALSE),0),
IF(AX18="K",VLOOKUP(L18,Foundation_Calc!$K$117:$R$151,VLOOKUP(AW18,Foundation_Calc!$I$2:$J$8,2,FALSE),0),"")))</f>
        <v/>
      </c>
      <c r="AZ18" s="10" t="str">
        <f>IF(K18="","",
IF(AX18="PT",VLOOKUP(K18,Foundation_Calc!$K$79:$R$113,VLOOKUP(AW18,Foundation_Calc!$I$2:$J$8,2,FALSE),0),
IF(AX18="K",VLOOKUP(K18,Foundation_Calc!$K$117:$R$151,VLOOKUP(AW18,Foundation_Calc!$I$2:$J$8,2,FALSE),0),"")))</f>
        <v/>
      </c>
      <c r="BA18" s="495"/>
      <c r="BB18" s="495"/>
      <c r="BC18" s="495"/>
      <c r="BD18" s="513"/>
      <c r="BE18" s="429" t="s">
        <v>118</v>
      </c>
      <c r="BF18" s="289"/>
      <c r="BG18" s="289"/>
      <c r="BH18" s="290"/>
      <c r="BI18" s="289"/>
    </row>
    <row r="19" spans="1:61" ht="16.149999999999999" customHeight="1">
      <c r="A19" s="517" t="s">
        <v>442</v>
      </c>
      <c r="B19" s="450"/>
      <c r="C19" s="3"/>
      <c r="D19" s="83"/>
      <c r="E19" s="4"/>
      <c r="F19" s="4"/>
      <c r="G19" s="6">
        <v>30</v>
      </c>
      <c r="H19" s="449"/>
      <c r="I19" s="449"/>
      <c r="J19" s="3"/>
      <c r="K19" s="449"/>
      <c r="L19" s="449"/>
      <c r="M19" s="449" t="str">
        <f>IF(L19="","",
IF(AX19="PT",VLOOKUP(L19,Foundation_Calc!$V$79:$X$113,VLOOKUP(AX19,Foundation_Calc!$I$10:$J$13,2,FALSE),0),
IF(AX19="K",VLOOKUP(L19,Foundation_Calc!$V$117:$X$151,VLOOKUP(AX19,Foundation_Calc!$I$10:$J$13,2,FALSE),0),"")))</f>
        <v/>
      </c>
      <c r="N19" s="449"/>
      <c r="O19" s="449"/>
      <c r="P19" s="449"/>
      <c r="Q19" s="4"/>
      <c r="R19" s="6"/>
      <c r="S19" s="6"/>
      <c r="T19" s="4"/>
      <c r="U19" s="4"/>
      <c r="V19" s="4"/>
      <c r="W19" s="9"/>
      <c r="X19" s="9"/>
      <c r="Y19" s="9"/>
      <c r="Z19" s="9"/>
      <c r="AA19" s="9"/>
      <c r="AB19" s="9"/>
      <c r="AC19" s="449" t="str">
        <f t="shared" si="0"/>
        <v/>
      </c>
      <c r="AD19" s="449"/>
      <c r="AE19" s="449"/>
      <c r="AF19" s="4"/>
      <c r="AG19" s="83"/>
      <c r="AH19" s="4"/>
      <c r="AI19" s="4"/>
      <c r="AJ19" s="449"/>
      <c r="AK19" s="449"/>
      <c r="AL19" s="449"/>
      <c r="AM19" s="449"/>
      <c r="AN19" s="10"/>
      <c r="AO19" s="9"/>
      <c r="AP19" s="9"/>
      <c r="AQ19" s="9">
        <f>+FL_2($T$20,-$T$18,$G$19,1200,9.28, 1*$F$20)</f>
        <v>-0.45893275166117498</v>
      </c>
      <c r="AR19" s="9"/>
      <c r="AS19" s="9"/>
      <c r="AT19" s="9"/>
      <c r="AU19" s="428"/>
      <c r="AV19" s="428"/>
      <c r="AW19" s="449" t="str">
        <f>IF(C19&gt;0,VLOOKUP(C19,Foundation_Calc!$A$2:$C$13,3,1),
IF(J19&gt;0,VLOOKUP(J19,Foundation_Calc!$A$2:$C$13,3,1),""))</f>
        <v/>
      </c>
      <c r="AX19" s="449" t="str">
        <f>IF(C19&gt;0,VLOOKUP(C19,Foundation_Calc!$E$2:$G$33,3,1),
IF(J19&gt;0,VLOOKUP(J19,Foundation_Calc!$E$2:$G$33,3,1),""))</f>
        <v/>
      </c>
      <c r="AY19" s="10" t="str">
        <f>IF(L19="","",
IF(AX19="PT",VLOOKUP(L19,Foundation_Calc!$K$79:$R$113,VLOOKUP(AW19,Foundation_Calc!$I$2:$J$8,2,FALSE),0),
IF(AX19="K",VLOOKUP(L19,Foundation_Calc!$K$117:$R$151,VLOOKUP(AW19,Foundation_Calc!$I$2:$J$8,2,FALSE),0),"")))</f>
        <v/>
      </c>
      <c r="AZ19" s="10" t="str">
        <f>IF(K19="","",
IF(AX19="PT",VLOOKUP(K19,Foundation_Calc!$K$79:$R$113,VLOOKUP(AW19,Foundation_Calc!$I$2:$J$8,2,FALSE),0),
IF(AX19="K",VLOOKUP(K19,Foundation_Calc!$K$117:$R$151,VLOOKUP(AW19,Foundation_Calc!$I$2:$J$8,2,FALSE),0),"")))</f>
        <v/>
      </c>
      <c r="BA19" s="495"/>
      <c r="BB19" s="495"/>
      <c r="BC19" s="495"/>
      <c r="BD19" s="513"/>
      <c r="BE19" s="429" t="s">
        <v>118</v>
      </c>
      <c r="BF19" s="290"/>
      <c r="BG19" s="290"/>
      <c r="BH19" s="290"/>
      <c r="BI19" s="290"/>
    </row>
    <row r="20" spans="1:61" ht="16.149999999999999" customHeight="1">
      <c r="A20" s="517" t="s">
        <v>442</v>
      </c>
      <c r="B20" s="450" t="s">
        <v>1673</v>
      </c>
      <c r="C20" s="3">
        <f>+$C$18+$G$19</f>
        <v>40989.24</v>
      </c>
      <c r="D20" s="83"/>
      <c r="E20" s="4"/>
      <c r="F20" s="4">
        <v>200</v>
      </c>
      <c r="G20" s="6"/>
      <c r="H20" s="449"/>
      <c r="I20" s="9"/>
      <c r="J20" s="9"/>
      <c r="K20" s="449"/>
      <c r="L20" s="449" t="s">
        <v>268</v>
      </c>
      <c r="M20" s="449" t="str">
        <f>IF(L20="","",
IF(AX20="PT",VLOOKUP(L20,Foundation_Calc!$V$79:$X$113,VLOOKUP(AX20,Foundation_Calc!$I$10:$J$13,2,FALSE),0),
IF(AX20="K",VLOOKUP(L20,Foundation_Calc!$V$117:$X$151,VLOOKUP(AX20,Foundation_Calc!$I$10:$J$13,2,FALSE),0),"")))</f>
        <v>C7R</v>
      </c>
      <c r="N20" s="449" t="s">
        <v>134</v>
      </c>
      <c r="O20" s="449"/>
      <c r="P20" s="449"/>
      <c r="Q20" s="4"/>
      <c r="R20" s="6"/>
      <c r="S20" s="6"/>
      <c r="T20" s="4">
        <v>5</v>
      </c>
      <c r="U20" s="4"/>
      <c r="V20" s="4"/>
      <c r="W20" s="9">
        <v>1.4</v>
      </c>
      <c r="X20" s="9"/>
      <c r="Y20" s="9"/>
      <c r="Z20" s="9"/>
      <c r="AA20" s="9"/>
      <c r="AB20" s="9"/>
      <c r="AC20" s="449" t="str">
        <f t="shared" si="0"/>
        <v>PHC</v>
      </c>
      <c r="AD20" s="449"/>
      <c r="AE20" s="449"/>
      <c r="AF20" s="4"/>
      <c r="AG20" s="83"/>
      <c r="AH20" s="4"/>
      <c r="AI20" s="4"/>
      <c r="AJ20" s="449"/>
      <c r="AK20" s="449"/>
      <c r="AL20" s="449" t="s">
        <v>269</v>
      </c>
      <c r="AM20" s="449" t="s">
        <v>126</v>
      </c>
      <c r="AN20" s="10">
        <v>5.5</v>
      </c>
      <c r="AO20" s="9"/>
      <c r="AP20" s="9"/>
      <c r="AQ20" s="9"/>
      <c r="AR20" s="9"/>
      <c r="AS20" s="9"/>
      <c r="AT20" s="9">
        <f>+ab($T$20,-$T$18,$T$22,$G$19,$G$21, 1*$F$20,1200)</f>
        <v>1.0057352931406571</v>
      </c>
      <c r="AU20" s="428"/>
      <c r="AV20" s="428"/>
      <c r="AW20" s="449" t="str">
        <f>IF(C20&gt;0,VLOOKUP(C20,Foundation_Calc!$A$2:$C$13,3,1),
IF(J20&gt;0,VLOOKUP(J20,Foundation_Calc!$A$2:$C$13,3,1),""))</f>
        <v>Multi Soil</v>
      </c>
      <c r="AX20" s="449" t="str">
        <f>IF(C20&gt;0,VLOOKUP(C20,Foundation_Calc!$E$2:$G$33,3,1),
IF(J20&gt;0,VLOOKUP(J20,Foundation_Calc!$E$2:$G$33,3,1),""))</f>
        <v>PT</v>
      </c>
      <c r="AY20" s="10">
        <f>IF(L20="","",
IF(AX20="PT",VLOOKUP(L20,Foundation_Calc!$K$79:$R$113,VLOOKUP(AW20,Foundation_Calc!$I$2:$J$8,2,FALSE),0),
IF(AX20="K",VLOOKUP(L20,Foundation_Calc!$K$117:$R$151,VLOOKUP(AW20,Foundation_Calc!$I$2:$J$8,2,FALSE),0),"")))</f>
        <v>4</v>
      </c>
      <c r="AZ20" s="10" t="str">
        <f>IF(K20="","",
IF(AX20="PT",VLOOKUP(K20,Foundation_Calc!$K$79:$R$113,VLOOKUP(AW20,Foundation_Calc!$I$2:$J$8,2,FALSE),0),
IF(AX20="K",VLOOKUP(K20,Foundation_Calc!$K$117:$R$151,VLOOKUP(AW20,Foundation_Calc!$I$2:$J$8,2,FALSE),0),"")))</f>
        <v/>
      </c>
      <c r="BA20" s="495"/>
      <c r="BB20" s="495"/>
      <c r="BC20" s="495"/>
      <c r="BD20" s="513" t="str">
        <f>Pole_Calc!A$251</f>
        <v>App.8-V08H-P10.3</v>
      </c>
      <c r="BE20" s="429" t="s">
        <v>118</v>
      </c>
      <c r="BF20" s="289"/>
      <c r="BG20" s="289"/>
      <c r="BH20" s="290"/>
      <c r="BI20" s="289"/>
    </row>
    <row r="21" spans="1:61" ht="16.149999999999999" customHeight="1">
      <c r="A21" s="517" t="s">
        <v>442</v>
      </c>
      <c r="B21" s="450"/>
      <c r="C21" s="3"/>
      <c r="D21" s="83"/>
      <c r="E21" s="4"/>
      <c r="F21" s="4"/>
      <c r="G21" s="6">
        <v>46.9</v>
      </c>
      <c r="H21" s="449"/>
      <c r="I21" s="449"/>
      <c r="J21" s="449"/>
      <c r="K21" s="449"/>
      <c r="L21" s="449"/>
      <c r="M21" s="449" t="str">
        <f>IF(L21="","",
IF(AX21="PT",VLOOKUP(L21,Foundation_Calc!$V$79:$X$113,VLOOKUP(AX21,Foundation_Calc!$I$10:$J$13,2,FALSE),0),
IF(AX21="K",VLOOKUP(L21,Foundation_Calc!$V$117:$X$151,VLOOKUP(AX21,Foundation_Calc!$I$10:$J$13,2,FALSE),0),"")))</f>
        <v/>
      </c>
      <c r="N21" s="449"/>
      <c r="O21" s="449"/>
      <c r="P21" s="449"/>
      <c r="Q21" s="4"/>
      <c r="R21" s="6"/>
      <c r="S21" s="6"/>
      <c r="T21" s="4"/>
      <c r="U21" s="4"/>
      <c r="V21" s="4"/>
      <c r="W21" s="9"/>
      <c r="X21" s="9"/>
      <c r="Y21" s="9"/>
      <c r="Z21" s="9"/>
      <c r="AA21" s="9"/>
      <c r="AB21" s="9"/>
      <c r="AC21" s="449" t="str">
        <f t="shared" si="0"/>
        <v/>
      </c>
      <c r="AD21" s="449"/>
      <c r="AE21" s="449"/>
      <c r="AF21" s="4"/>
      <c r="AG21" s="83"/>
      <c r="AH21" s="4"/>
      <c r="AI21" s="4"/>
      <c r="AJ21" s="449"/>
      <c r="AK21" s="449"/>
      <c r="AL21" s="449"/>
      <c r="AM21" s="449"/>
      <c r="AN21" s="10"/>
      <c r="AO21" s="9"/>
      <c r="AP21" s="9"/>
      <c r="AQ21" s="9">
        <f>+FL_1($T$22,$T$20,$G$21,1200,9.28, 1*$F$22)</f>
        <v>0.7616952243744739</v>
      </c>
      <c r="AR21" s="9"/>
      <c r="AS21" s="9"/>
      <c r="AT21" s="9"/>
      <c r="AU21" s="428"/>
      <c r="AV21" s="428"/>
      <c r="AW21" s="449" t="str">
        <f>IF(C21&gt;0,VLOOKUP(C21,Foundation_Calc!$A$2:$C$13,3,1),
IF(J21&gt;0,VLOOKUP(J21,Foundation_Calc!$A$2:$C$13,3,1),""))</f>
        <v/>
      </c>
      <c r="AX21" s="449" t="str">
        <f>IF(C21&gt;0,VLOOKUP(C21,Foundation_Calc!$E$2:$G$33,3,1),
IF(J21&gt;0,VLOOKUP(J21,Foundation_Calc!$E$2:$G$33,3,1),""))</f>
        <v/>
      </c>
      <c r="AY21" s="10" t="str">
        <f>IF(L21="","",
IF(AX21="PT",VLOOKUP(L21,Foundation_Calc!$K$79:$R$113,VLOOKUP(AW21,Foundation_Calc!$I$2:$J$8,2,FALSE),0),
IF(AX21="K",VLOOKUP(L21,Foundation_Calc!$K$117:$R$151,VLOOKUP(AW21,Foundation_Calc!$I$2:$J$8,2,FALSE),0),"")))</f>
        <v/>
      </c>
      <c r="AZ21" s="10" t="str">
        <f>IF(K21="","",
IF(AX21="PT",VLOOKUP(K21,Foundation_Calc!$K$79:$R$113,VLOOKUP(AW21,Foundation_Calc!$I$2:$J$8,2,FALSE),0),
IF(AX21="K",VLOOKUP(K21,Foundation_Calc!$K$117:$R$151,VLOOKUP(AW21,Foundation_Calc!$I$2:$J$8,2,FALSE),0),"")))</f>
        <v/>
      </c>
      <c r="BA21" s="495" t="str">
        <f t="shared" ref="BA21:BB55" si="4">IF(AY21="","",IF(AY21&gt;0,"ü",""))</f>
        <v/>
      </c>
      <c r="BB21" s="495" t="str">
        <f t="shared" si="4"/>
        <v/>
      </c>
      <c r="BC21" s="495" t="str">
        <f t="shared" ref="BC21:BC55" si="5">IF(M21="","",IF(M21="U.S.","ü",IF(M21="U.S. N.D.","ü","")))</f>
        <v/>
      </c>
      <c r="BD21" s="513"/>
      <c r="BE21" s="429" t="s">
        <v>118</v>
      </c>
      <c r="BF21" s="290"/>
      <c r="BG21" s="290"/>
      <c r="BH21" s="290"/>
      <c r="BI21" s="290"/>
    </row>
    <row r="22" spans="1:61" ht="16.149999999999999" customHeight="1">
      <c r="A22" s="517" t="s">
        <v>442</v>
      </c>
      <c r="B22" s="450" t="s">
        <v>1674</v>
      </c>
      <c r="C22" s="3">
        <f>+$C$20+$G$21</f>
        <v>41036.14</v>
      </c>
      <c r="D22" s="83"/>
      <c r="E22" s="4"/>
      <c r="F22" s="4">
        <v>-400</v>
      </c>
      <c r="G22" s="6"/>
      <c r="H22" s="449"/>
      <c r="I22" s="9"/>
      <c r="J22" s="9"/>
      <c r="K22" s="449"/>
      <c r="L22" s="449" t="s">
        <v>201</v>
      </c>
      <c r="M22" s="449" t="str">
        <f>IF(L22="","",
IF(AX22="PT",VLOOKUP(L22,Foundation_Calc!$V$79:$X$113,VLOOKUP(AX22,Foundation_Calc!$I$10:$J$13,2,FALSE),0),
IF(AX22="K",VLOOKUP(L22,Foundation_Calc!$V$117:$X$151,VLOOKUP(AX22,Foundation_Calc!$I$10:$J$13,2,FALSE),0),"")))</f>
        <v/>
      </c>
      <c r="N22" s="449" t="s">
        <v>343</v>
      </c>
      <c r="O22" s="449"/>
      <c r="P22" s="449"/>
      <c r="Q22" s="4"/>
      <c r="R22" s="6"/>
      <c r="S22" s="6"/>
      <c r="T22" s="4">
        <v>-35</v>
      </c>
      <c r="U22" s="4"/>
      <c r="V22" s="4"/>
      <c r="W22" s="9">
        <v>1.4</v>
      </c>
      <c r="X22" s="9"/>
      <c r="Y22" s="9"/>
      <c r="Z22" s="9"/>
      <c r="AA22" s="9"/>
      <c r="AB22" s="9"/>
      <c r="AC22" s="449" t="str">
        <f t="shared" si="0"/>
        <v>PHC</v>
      </c>
      <c r="AD22" s="449"/>
      <c r="AE22" s="449"/>
      <c r="AF22" s="4"/>
      <c r="AG22" s="83"/>
      <c r="AH22" s="4"/>
      <c r="AI22" s="4"/>
      <c r="AJ22" s="449"/>
      <c r="AK22" s="449" t="s">
        <v>451</v>
      </c>
      <c r="AL22" s="449"/>
      <c r="AM22" s="449" t="s">
        <v>345</v>
      </c>
      <c r="AN22" s="10">
        <v>5.5</v>
      </c>
      <c r="AO22" s="9"/>
      <c r="AP22" s="9"/>
      <c r="AQ22" s="9"/>
      <c r="AR22" s="9"/>
      <c r="AS22" s="9"/>
      <c r="AT22" s="9">
        <f>+ab($T$22,$T$20,$T$24,$G$21,$G$23, 1*$F$22,1200)</f>
        <v>-1.354079426658479</v>
      </c>
      <c r="AU22" s="428"/>
      <c r="AV22" s="428"/>
      <c r="AW22" s="449" t="s">
        <v>201</v>
      </c>
      <c r="AX22" s="449" t="s">
        <v>201</v>
      </c>
      <c r="AY22" s="10" t="str">
        <f>IF(L22="","",
IF(AX22="PT",VLOOKUP(L22,Foundation_Calc!$K$79:$R$113,VLOOKUP(AW22,Foundation_Calc!$I$2:$J$8,2,FALSE),0),
IF(AX22="K",VLOOKUP(L22,Foundation_Calc!$K$117:$R$151,VLOOKUP(AW22,Foundation_Calc!$I$2:$J$8,2,FALSE),0),"")))</f>
        <v/>
      </c>
      <c r="AZ22" s="10" t="str">
        <f>IF(K22="","",
IF(AX22="PT",VLOOKUP(K22,Foundation_Calc!$K$79:$R$113,VLOOKUP(AW22,Foundation_Calc!$I$2:$J$8,2,FALSE),0),
IF(AX22="K",VLOOKUP(K22,Foundation_Calc!$K$117:$R$151,VLOOKUP(AW22,Foundation_Calc!$I$2:$J$8,2,FALSE),0),"")))</f>
        <v/>
      </c>
      <c r="BA22" s="495" t="str">
        <f t="shared" si="4"/>
        <v/>
      </c>
      <c r="BB22" s="495" t="str">
        <f t="shared" si="4"/>
        <v/>
      </c>
      <c r="BC22" s="495" t="str">
        <f t="shared" si="5"/>
        <v/>
      </c>
      <c r="BD22" s="513"/>
      <c r="BE22" s="429" t="s">
        <v>118</v>
      </c>
      <c r="BF22" s="289"/>
      <c r="BG22" s="289"/>
      <c r="BH22" s="290"/>
      <c r="BI22" s="289"/>
    </row>
    <row r="23" spans="1:61" ht="16.149999999999999" customHeight="1">
      <c r="A23" s="517" t="s">
        <v>442</v>
      </c>
      <c r="B23" s="450"/>
      <c r="C23" s="3"/>
      <c r="D23" s="83"/>
      <c r="E23" s="4"/>
      <c r="F23" s="4"/>
      <c r="G23" s="6">
        <v>51</v>
      </c>
      <c r="H23" s="449"/>
      <c r="I23" s="449"/>
      <c r="J23" s="3"/>
      <c r="K23" s="449"/>
      <c r="L23" s="449"/>
      <c r="M23" s="449" t="str">
        <f>IF(L23="","",
IF(AX23="PT",VLOOKUP(L23,Foundation_Calc!$V$79:$X$113,VLOOKUP(AX23,Foundation_Calc!$I$10:$J$13,2,FALSE),0),
IF(AX23="K",VLOOKUP(L23,Foundation_Calc!$V$117:$X$151,VLOOKUP(AX23,Foundation_Calc!$I$10:$J$13,2,FALSE),0),"")))</f>
        <v/>
      </c>
      <c r="N23" s="449"/>
      <c r="O23" s="449"/>
      <c r="P23" s="449"/>
      <c r="Q23" s="4"/>
      <c r="R23" s="6"/>
      <c r="S23" s="6"/>
      <c r="T23" s="4"/>
      <c r="U23" s="4"/>
      <c r="V23" s="4"/>
      <c r="W23" s="9"/>
      <c r="X23" s="9"/>
      <c r="Y23" s="9"/>
      <c r="Z23" s="9"/>
      <c r="AA23" s="9"/>
      <c r="AB23" s="9"/>
      <c r="AC23" s="449" t="str">
        <f t="shared" si="0"/>
        <v/>
      </c>
      <c r="AD23" s="449"/>
      <c r="AE23" s="449"/>
      <c r="AF23" s="4"/>
      <c r="AG23" s="83"/>
      <c r="AH23" s="4"/>
      <c r="AI23" s="4"/>
      <c r="AJ23" s="449"/>
      <c r="AK23" s="449"/>
      <c r="AL23" s="449"/>
      <c r="AM23" s="449"/>
      <c r="AN23" s="10"/>
      <c r="AO23" s="9"/>
      <c r="AP23" s="9"/>
      <c r="AQ23" s="9">
        <f>+FL_2($T$24,$T$22,$G$23,1200,9.28, 1*$F$24)</f>
        <v>-0.40162487647058831</v>
      </c>
      <c r="AR23" s="9"/>
      <c r="AS23" s="9"/>
      <c r="AT23" s="9"/>
      <c r="AU23" s="428"/>
      <c r="AV23" s="428"/>
      <c r="AW23" s="449" t="str">
        <f>IF(C23&gt;0,VLOOKUP(C23,Foundation_Calc!$A$2:$C$13,3,1),
IF(J23&gt;0,VLOOKUP(J23,Foundation_Calc!$A$2:$C$13,3,1),""))</f>
        <v/>
      </c>
      <c r="AX23" s="449"/>
      <c r="AY23" s="10" t="str">
        <f>IF(L23="","",
IF(AX23="PT",VLOOKUP(L23,Foundation_Calc!$K$79:$R$113,VLOOKUP(AW23,Foundation_Calc!$I$2:$J$8,2,FALSE),0),
IF(AX23="K",VLOOKUP(L23,Foundation_Calc!$K$117:$R$151,VLOOKUP(AW23,Foundation_Calc!$I$2:$J$8,2,FALSE),0),"")))</f>
        <v/>
      </c>
      <c r="AZ23" s="10" t="str">
        <f>IF(K23="","",
IF(AX23="PT",VLOOKUP(K23,Foundation_Calc!$K$79:$R$113,VLOOKUP(AW23,Foundation_Calc!$I$2:$J$8,2,FALSE),0),
IF(AX23="K",VLOOKUP(K23,Foundation_Calc!$K$117:$R$151,VLOOKUP(AW23,Foundation_Calc!$I$2:$J$8,2,FALSE),0),"")))</f>
        <v/>
      </c>
      <c r="BA23" s="495" t="str">
        <f t="shared" si="4"/>
        <v/>
      </c>
      <c r="BB23" s="495" t="str">
        <f t="shared" si="4"/>
        <v/>
      </c>
      <c r="BC23" s="495" t="str">
        <f t="shared" si="5"/>
        <v/>
      </c>
      <c r="BD23" s="513"/>
      <c r="BE23" s="429" t="s">
        <v>118</v>
      </c>
      <c r="BF23" s="290"/>
      <c r="BG23" s="290"/>
      <c r="BH23" s="290"/>
      <c r="BI23" s="290"/>
    </row>
    <row r="24" spans="1:61" ht="16.149999999999999" customHeight="1">
      <c r="A24" s="517" t="s">
        <v>442</v>
      </c>
      <c r="B24" s="450" t="s">
        <v>1675</v>
      </c>
      <c r="C24" s="3">
        <f>+$C$22+$G$23</f>
        <v>41087.14</v>
      </c>
      <c r="D24" s="83"/>
      <c r="E24" s="4"/>
      <c r="F24" s="4">
        <v>0</v>
      </c>
      <c r="G24" s="6"/>
      <c r="H24" s="449"/>
      <c r="I24" s="449"/>
      <c r="J24" s="3"/>
      <c r="K24" s="449"/>
      <c r="L24" s="449" t="s">
        <v>201</v>
      </c>
      <c r="M24" s="449" t="str">
        <f>IF(L24="","",
IF(AX24="PT",VLOOKUP(L24,Foundation_Calc!$V$79:$X$113,VLOOKUP(AX24,Foundation_Calc!$I$10:$J$13,2,FALSE),0),
IF(AX24="K",VLOOKUP(L24,Foundation_Calc!$V$117:$X$151,VLOOKUP(AX24,Foundation_Calc!$I$10:$J$13,2,FALSE),0),"")))</f>
        <v/>
      </c>
      <c r="N24" s="449" t="s">
        <v>453</v>
      </c>
      <c r="O24" s="449"/>
      <c r="P24" s="449"/>
      <c r="Q24" s="4"/>
      <c r="R24" s="6"/>
      <c r="S24" s="6"/>
      <c r="T24" s="4">
        <v>20</v>
      </c>
      <c r="U24" s="4"/>
      <c r="V24" s="4"/>
      <c r="W24" s="572">
        <v>1.2</v>
      </c>
      <c r="X24" s="9"/>
      <c r="Y24" s="9"/>
      <c r="Z24" s="9"/>
      <c r="AA24" s="9"/>
      <c r="AB24" s="9"/>
      <c r="AC24" s="449" t="str">
        <f t="shared" si="0"/>
        <v>PH</v>
      </c>
      <c r="AD24" s="449"/>
      <c r="AE24" s="449"/>
      <c r="AF24" s="4"/>
      <c r="AG24" s="83"/>
      <c r="AH24" s="4"/>
      <c r="AI24" s="4"/>
      <c r="AJ24" s="449"/>
      <c r="AK24" s="449" t="s">
        <v>451</v>
      </c>
      <c r="AL24" s="449"/>
      <c r="AM24" s="449"/>
      <c r="AN24" s="10">
        <v>5.5</v>
      </c>
      <c r="AO24" s="9"/>
      <c r="AP24" s="9"/>
      <c r="AQ24" s="9"/>
      <c r="AR24" s="9"/>
      <c r="AS24" s="9"/>
      <c r="AT24" s="9">
        <f>+ab($T$24,$T$22,$T$26,$G$23,$G$25, 1*$F$24,1200)</f>
        <v>10.863964725915102</v>
      </c>
      <c r="AU24" s="428"/>
      <c r="AV24" s="428"/>
      <c r="AW24" s="449" t="s">
        <v>201</v>
      </c>
      <c r="AX24" s="449" t="s">
        <v>201</v>
      </c>
      <c r="AY24" s="10" t="str">
        <f>IF(L24="","",
IF(AX24="PT",VLOOKUP(L24,Foundation_Calc!$K$79:$R$113,VLOOKUP(AW24,Foundation_Calc!$I$2:$J$8,2,FALSE),0),
IF(AX24="K",VLOOKUP(L24,Foundation_Calc!$K$117:$R$151,VLOOKUP(AW24,Foundation_Calc!$I$2:$J$8,2,FALSE),0),"")))</f>
        <v/>
      </c>
      <c r="AZ24" s="10" t="str">
        <f>IF(K24="","",
IF(AX24="PT",VLOOKUP(K24,Foundation_Calc!$K$79:$R$113,VLOOKUP(AW24,Foundation_Calc!$I$2:$J$8,2,FALSE),0),
IF(AX24="K",VLOOKUP(K24,Foundation_Calc!$K$117:$R$151,VLOOKUP(AW24,Foundation_Calc!$I$2:$J$8,2,FALSE),0),"")))</f>
        <v/>
      </c>
      <c r="BA24" s="495" t="str">
        <f t="shared" si="4"/>
        <v/>
      </c>
      <c r="BB24" s="495" t="str">
        <f t="shared" si="4"/>
        <v/>
      </c>
      <c r="BC24" s="495" t="str">
        <f t="shared" si="5"/>
        <v/>
      </c>
      <c r="BD24" s="513"/>
      <c r="BE24" s="429" t="s">
        <v>118</v>
      </c>
      <c r="BF24" s="289"/>
      <c r="BG24" s="289"/>
      <c r="BH24" s="290"/>
      <c r="BI24" s="289"/>
    </row>
    <row r="25" spans="1:61" ht="16.149999999999999" customHeight="1">
      <c r="A25" s="517" t="s">
        <v>442</v>
      </c>
      <c r="B25" s="450"/>
      <c r="C25" s="3"/>
      <c r="D25" s="83"/>
      <c r="E25" s="4"/>
      <c r="F25" s="4"/>
      <c r="G25" s="6">
        <v>60</v>
      </c>
      <c r="H25" s="449"/>
      <c r="I25" s="449"/>
      <c r="J25" s="3"/>
      <c r="K25" s="449"/>
      <c r="L25" s="449"/>
      <c r="M25" s="449" t="str">
        <f>IF(L25="","",
IF(AX25="PT",VLOOKUP(L25,Foundation_Calc!$V$79:$X$113,VLOOKUP(AX25,Foundation_Calc!$I$10:$J$13,2,FALSE),0),
IF(AX25="K",VLOOKUP(L25,Foundation_Calc!$V$117:$X$151,VLOOKUP(AX25,Foundation_Calc!$I$10:$J$13,2,FALSE),0),"")))</f>
        <v/>
      </c>
      <c r="N25" s="449"/>
      <c r="O25" s="449"/>
      <c r="P25" s="449"/>
      <c r="Q25" s="4"/>
      <c r="R25" s="6"/>
      <c r="S25" s="6"/>
      <c r="T25" s="4"/>
      <c r="U25" s="4"/>
      <c r="V25" s="4"/>
      <c r="W25" s="572"/>
      <c r="X25" s="9"/>
      <c r="Y25" s="9"/>
      <c r="Z25" s="9"/>
      <c r="AA25" s="9"/>
      <c r="AB25" s="9"/>
      <c r="AC25" s="449" t="str">
        <f t="shared" si="0"/>
        <v/>
      </c>
      <c r="AD25" s="449"/>
      <c r="AE25" s="449"/>
      <c r="AF25" s="4"/>
      <c r="AG25" s="83"/>
      <c r="AH25" s="4"/>
      <c r="AI25" s="4"/>
      <c r="AJ25" s="449"/>
      <c r="AK25" s="449"/>
      <c r="AL25" s="449"/>
      <c r="AM25" s="449"/>
      <c r="AN25" s="10"/>
      <c r="AO25" s="9"/>
      <c r="AP25" s="9"/>
      <c r="AQ25" s="9">
        <f>+FL_2($T$26,$T$24,$G$25,1200,9.28, 1*$F$26)</f>
        <v>-0.37673563199999993</v>
      </c>
      <c r="AR25" s="9"/>
      <c r="AS25" s="9"/>
      <c r="AT25" s="9"/>
      <c r="AU25" s="428"/>
      <c r="AV25" s="428"/>
      <c r="AW25" s="449" t="str">
        <f>IF(C25&gt;0,VLOOKUP(C25,Foundation_Calc!$A$2:$C$13,3,1),
IF(J25&gt;0,VLOOKUP(J25,Foundation_Calc!$A$2:$C$13,3,1),""))</f>
        <v/>
      </c>
      <c r="AX25" s="449"/>
      <c r="AY25" s="10" t="str">
        <f>IF(L25="","",
IF(AX25="PT",VLOOKUP(L25,Foundation_Calc!$K$79:$R$113,VLOOKUP(AW25,Foundation_Calc!$I$2:$J$8,2,FALSE),0),
IF(AX25="K",VLOOKUP(L25,Foundation_Calc!$K$117:$R$151,VLOOKUP(AW25,Foundation_Calc!$I$2:$J$8,2,FALSE),0),"")))</f>
        <v/>
      </c>
      <c r="AZ25" s="10" t="str">
        <f>IF(K25="","",
IF(AX25="PT",VLOOKUP(K25,Foundation_Calc!$K$79:$R$113,VLOOKUP(AW25,Foundation_Calc!$I$2:$J$8,2,FALSE),0),
IF(AX25="K",VLOOKUP(K25,Foundation_Calc!$K$117:$R$151,VLOOKUP(AW25,Foundation_Calc!$I$2:$J$8,2,FALSE),0),"")))</f>
        <v/>
      </c>
      <c r="BA25" s="495" t="str">
        <f t="shared" si="4"/>
        <v/>
      </c>
      <c r="BB25" s="495" t="str">
        <f t="shared" si="4"/>
        <v/>
      </c>
      <c r="BC25" s="495" t="str">
        <f t="shared" si="5"/>
        <v/>
      </c>
      <c r="BD25" s="513"/>
      <c r="BE25" s="429" t="s">
        <v>118</v>
      </c>
      <c r="BF25" s="290"/>
      <c r="BG25" s="290"/>
      <c r="BH25" s="290"/>
      <c r="BI25" s="290"/>
    </row>
    <row r="26" spans="1:61" ht="16.149999999999999" customHeight="1">
      <c r="A26" s="517" t="s">
        <v>442</v>
      </c>
      <c r="B26" s="450" t="s">
        <v>1676</v>
      </c>
      <c r="C26" s="3">
        <f>+$C$24+$G$25</f>
        <v>41147.14</v>
      </c>
      <c r="D26" s="83"/>
      <c r="E26" s="4"/>
      <c r="F26" s="4">
        <v>0</v>
      </c>
      <c r="G26" s="6"/>
      <c r="H26" s="449"/>
      <c r="I26" s="449"/>
      <c r="J26" s="3"/>
      <c r="K26" s="449"/>
      <c r="L26" s="449" t="s">
        <v>201</v>
      </c>
      <c r="M26" s="449" t="str">
        <f>IF(L26="","",
IF(AX26="PT",VLOOKUP(L26,Foundation_Calc!$V$79:$X$113,VLOOKUP(AX26,Foundation_Calc!$I$10:$J$13,2,FALSE),0),
IF(AX26="K",VLOOKUP(L26,Foundation_Calc!$V$117:$X$151,VLOOKUP(AX26,Foundation_Calc!$I$10:$J$13,2,FALSE),0),"")))</f>
        <v/>
      </c>
      <c r="N26" s="449" t="s">
        <v>343</v>
      </c>
      <c r="O26" s="449"/>
      <c r="P26" s="449"/>
      <c r="Q26" s="4"/>
      <c r="R26" s="6"/>
      <c r="S26" s="6"/>
      <c r="T26" s="4">
        <v>-20</v>
      </c>
      <c r="U26" s="4"/>
      <c r="V26" s="4"/>
      <c r="W26" s="572">
        <v>0.9</v>
      </c>
      <c r="X26" s="9"/>
      <c r="Y26" s="9"/>
      <c r="Z26" s="9"/>
      <c r="AA26" s="9"/>
      <c r="AB26" s="9"/>
      <c r="AC26" s="449" t="str">
        <f t="shared" si="0"/>
        <v>PH</v>
      </c>
      <c r="AD26" s="449"/>
      <c r="AE26" s="449"/>
      <c r="AF26" s="4"/>
      <c r="AG26" s="83"/>
      <c r="AH26" s="4"/>
      <c r="AI26" s="4"/>
      <c r="AJ26" s="449"/>
      <c r="AK26" s="449" t="s">
        <v>451</v>
      </c>
      <c r="AL26" s="449"/>
      <c r="AM26" s="449"/>
      <c r="AN26" s="10">
        <v>5.5</v>
      </c>
      <c r="AO26" s="9"/>
      <c r="AP26" s="9"/>
      <c r="AQ26" s="9"/>
      <c r="AR26" s="9"/>
      <c r="AS26" s="9"/>
      <c r="AT26" s="9">
        <f>+ab($T$26,$T$24,$T$28,$G$25,$G$27, 1*$F$26,1200)</f>
        <v>-14.100289961004529</v>
      </c>
      <c r="AU26" s="428"/>
      <c r="AV26" s="428"/>
      <c r="AW26" s="449" t="s">
        <v>201</v>
      </c>
      <c r="AX26" s="449" t="s">
        <v>201</v>
      </c>
      <c r="AY26" s="10" t="str">
        <f>IF(L26="","",
IF(AX26="PT",VLOOKUP(L26,Foundation_Calc!$K$79:$R$113,VLOOKUP(AW26,Foundation_Calc!$I$2:$J$8,2,FALSE),0),
IF(AX26="K",VLOOKUP(L26,Foundation_Calc!$K$117:$R$151,VLOOKUP(AW26,Foundation_Calc!$I$2:$J$8,2,FALSE),0),"")))</f>
        <v/>
      </c>
      <c r="AZ26" s="10" t="str">
        <f>IF(K26="","",
IF(AX26="PT",VLOOKUP(K26,Foundation_Calc!$K$79:$R$113,VLOOKUP(AW26,Foundation_Calc!$I$2:$J$8,2,FALSE),0),
IF(AX26="K",VLOOKUP(K26,Foundation_Calc!$K$117:$R$151,VLOOKUP(AW26,Foundation_Calc!$I$2:$J$8,2,FALSE),0),"")))</f>
        <v/>
      </c>
      <c r="BA26" s="495" t="str">
        <f t="shared" si="4"/>
        <v/>
      </c>
      <c r="BB26" s="495" t="str">
        <f t="shared" si="4"/>
        <v/>
      </c>
      <c r="BC26" s="495" t="str">
        <f t="shared" si="5"/>
        <v/>
      </c>
      <c r="BD26" s="513"/>
      <c r="BE26" s="429" t="s">
        <v>118</v>
      </c>
      <c r="BF26" s="289"/>
      <c r="BG26" s="289"/>
      <c r="BH26" s="290"/>
      <c r="BI26" s="289"/>
    </row>
    <row r="27" spans="1:61" ht="16.149999999999999" customHeight="1">
      <c r="A27" s="514" t="s">
        <v>430</v>
      </c>
      <c r="B27" s="450"/>
      <c r="C27" s="3"/>
      <c r="D27" s="83"/>
      <c r="E27" s="4"/>
      <c r="F27" s="4"/>
      <c r="G27" s="6">
        <v>60</v>
      </c>
      <c r="H27" s="449"/>
      <c r="I27" s="449"/>
      <c r="J27" s="3"/>
      <c r="K27" s="449"/>
      <c r="L27" s="449"/>
      <c r="M27" s="449" t="str">
        <f>IF(L27="","",
IF(AX27="PT",VLOOKUP(L27,Foundation_Calc!$V$79:$X$113,VLOOKUP(AX27,Foundation_Calc!$I$10:$J$13,2,FALSE),0),
IF(AX27="K",VLOOKUP(L27,Foundation_Calc!$V$117:$X$151,VLOOKUP(AX27,Foundation_Calc!$I$10:$J$13,2,FALSE),0),"")))</f>
        <v/>
      </c>
      <c r="N27" s="449"/>
      <c r="O27" s="449"/>
      <c r="P27" s="449"/>
      <c r="Q27" s="4"/>
      <c r="R27" s="6"/>
      <c r="S27" s="6"/>
      <c r="T27" s="4"/>
      <c r="U27" s="4"/>
      <c r="V27" s="4"/>
      <c r="W27" s="572"/>
      <c r="X27" s="9"/>
      <c r="Y27" s="9"/>
      <c r="Z27" s="9"/>
      <c r="AA27" s="9"/>
      <c r="AB27" s="9"/>
      <c r="AC27" s="449" t="str">
        <f t="shared" si="0"/>
        <v/>
      </c>
      <c r="AD27" s="449"/>
      <c r="AE27" s="449"/>
      <c r="AF27" s="4"/>
      <c r="AG27" s="83"/>
      <c r="AH27" s="4"/>
      <c r="AI27" s="4"/>
      <c r="AJ27" s="449"/>
      <c r="AK27" s="449"/>
      <c r="AL27" s="449"/>
      <c r="AM27" s="449"/>
      <c r="AN27" s="10"/>
      <c r="AO27" s="9"/>
      <c r="AP27" s="9"/>
      <c r="AQ27" s="9">
        <f>+FL_1($T$28,$T$26,$G$27,1200,9.28, 1*$F$28)</f>
        <v>0.37673563199999993</v>
      </c>
      <c r="AR27" s="9"/>
      <c r="AS27" s="9"/>
      <c r="AT27" s="9"/>
      <c r="AU27" s="428"/>
      <c r="AV27" s="428"/>
      <c r="AW27" s="449" t="str">
        <f>IF(C27&gt;0,VLOOKUP(C27,Foundation_Calc!$A$2:$C$13,3,1),
IF(J27&gt;0,VLOOKUP(J27,Foundation_Calc!$A$2:$C$13,3,1),""))</f>
        <v/>
      </c>
      <c r="AX27" s="449"/>
      <c r="AY27" s="10" t="str">
        <f>IF(L27="","",
IF(AX27="PT",VLOOKUP(L27,Foundation_Calc!$K$79:$R$113,VLOOKUP(AW27,Foundation_Calc!$I$2:$J$8,2,FALSE),0),
IF(AX27="K",VLOOKUP(L27,Foundation_Calc!$K$117:$R$151,VLOOKUP(AW27,Foundation_Calc!$I$2:$J$8,2,FALSE),0),"")))</f>
        <v/>
      </c>
      <c r="AZ27" s="10" t="str">
        <f>IF(K27="","",
IF(AX27="PT",VLOOKUP(K27,Foundation_Calc!$K$79:$R$113,VLOOKUP(AW27,Foundation_Calc!$I$2:$J$8,2,FALSE),0),
IF(AX27="K",VLOOKUP(K27,Foundation_Calc!$K$117:$R$151,VLOOKUP(AW27,Foundation_Calc!$I$2:$J$8,2,FALSE),0),"")))</f>
        <v/>
      </c>
      <c r="BA27" s="495" t="str">
        <f t="shared" si="4"/>
        <v/>
      </c>
      <c r="BB27" s="495" t="str">
        <f t="shared" si="4"/>
        <v/>
      </c>
      <c r="BC27" s="495" t="str">
        <f t="shared" si="5"/>
        <v/>
      </c>
      <c r="BD27" s="513"/>
      <c r="BE27" s="429" t="s">
        <v>118</v>
      </c>
      <c r="BF27" s="290"/>
      <c r="BG27" s="290"/>
      <c r="BH27" s="290"/>
      <c r="BI27" s="290"/>
    </row>
    <row r="28" spans="1:61" ht="16.149999999999999" customHeight="1">
      <c r="A28" s="734" t="s">
        <v>438</v>
      </c>
      <c r="B28" s="450" t="s">
        <v>1677</v>
      </c>
      <c r="C28" s="3">
        <f>+$C$26+$G$27</f>
        <v>41207.14</v>
      </c>
      <c r="D28" s="83"/>
      <c r="E28" s="4"/>
      <c r="F28" s="4">
        <v>0</v>
      </c>
      <c r="G28" s="6"/>
      <c r="H28" s="449"/>
      <c r="I28" s="4"/>
      <c r="J28" s="3"/>
      <c r="K28" s="449"/>
      <c r="L28" s="449" t="s">
        <v>201</v>
      </c>
      <c r="M28" s="449" t="str">
        <f>IF(L28="","",
IF(AX28="PT",VLOOKUP(L28,Foundation_Calc!$V$79:$X$113,VLOOKUP(AX28,Foundation_Calc!$I$10:$J$13,2,FALSE),0),
IF(AX28="K",VLOOKUP(L28,Foundation_Calc!$V$117:$X$151,VLOOKUP(AX28,Foundation_Calc!$I$10:$J$13,2,FALSE),0),"")))</f>
        <v/>
      </c>
      <c r="N28" s="449" t="s">
        <v>453</v>
      </c>
      <c r="O28" s="449"/>
      <c r="P28" s="449"/>
      <c r="Q28" s="4"/>
      <c r="R28" s="6"/>
      <c r="S28" s="6"/>
      <c r="T28" s="4">
        <v>20</v>
      </c>
      <c r="U28" s="4"/>
      <c r="V28" s="4"/>
      <c r="W28" s="572">
        <v>0.9</v>
      </c>
      <c r="X28" s="9"/>
      <c r="Y28" s="9"/>
      <c r="Z28" s="9"/>
      <c r="AA28" s="9"/>
      <c r="AB28" s="9"/>
      <c r="AC28" s="449" t="str">
        <f t="shared" si="0"/>
        <v>PH</v>
      </c>
      <c r="AD28" s="449"/>
      <c r="AE28" s="449"/>
      <c r="AF28" s="4"/>
      <c r="AG28" s="83"/>
      <c r="AH28" s="4"/>
      <c r="AI28" s="4"/>
      <c r="AJ28" s="449"/>
      <c r="AK28" s="449" t="s">
        <v>451</v>
      </c>
      <c r="AL28" s="449"/>
      <c r="AM28" s="449"/>
      <c r="AN28" s="10">
        <v>5.5</v>
      </c>
      <c r="AO28" s="9"/>
      <c r="AP28" s="9"/>
      <c r="AQ28" s="9"/>
      <c r="AR28" s="9"/>
      <c r="AS28" s="9"/>
      <c r="AT28" s="9">
        <f>+ab($T$28,$T$26,$T$30,$G$27,$G$29, 1*$F$28,1200)</f>
        <v>13.194150491117416</v>
      </c>
      <c r="AU28" s="428"/>
      <c r="AV28" s="428"/>
      <c r="AW28" s="449" t="s">
        <v>201</v>
      </c>
      <c r="AX28" s="449" t="s">
        <v>201</v>
      </c>
      <c r="AY28" s="10" t="str">
        <f>IF(L28="","",
IF(AX28="PT",VLOOKUP(L28,Foundation_Calc!$K$79:$R$113,VLOOKUP(AW28,Foundation_Calc!$I$2:$J$8,2,FALSE),0),
IF(AX28="K",VLOOKUP(L28,Foundation_Calc!$K$117:$R$151,VLOOKUP(AW28,Foundation_Calc!$I$2:$J$8,2,FALSE),0),"")))</f>
        <v/>
      </c>
      <c r="AZ28" s="10" t="str">
        <f>IF(K28="","",
IF(AX28="PT",VLOOKUP(K28,Foundation_Calc!$K$79:$R$113,VLOOKUP(AW28,Foundation_Calc!$I$2:$J$8,2,FALSE),0),
IF(AX28="K",VLOOKUP(K28,Foundation_Calc!$K$117:$R$151,VLOOKUP(AW28,Foundation_Calc!$I$2:$J$8,2,FALSE),0),"")))</f>
        <v/>
      </c>
      <c r="BA28" s="495" t="str">
        <f t="shared" si="4"/>
        <v/>
      </c>
      <c r="BB28" s="495" t="str">
        <f t="shared" si="4"/>
        <v/>
      </c>
      <c r="BC28" s="495" t="str">
        <f t="shared" si="5"/>
        <v/>
      </c>
      <c r="BD28" s="513"/>
      <c r="BE28" s="429" t="s">
        <v>118</v>
      </c>
      <c r="BF28" s="289"/>
      <c r="BG28" s="289"/>
      <c r="BH28" s="290"/>
      <c r="BI28" s="289"/>
    </row>
    <row r="29" spans="1:61" ht="16.149999999999999" customHeight="1">
      <c r="A29" s="517" t="s">
        <v>442</v>
      </c>
      <c r="B29" s="450"/>
      <c r="C29" s="3"/>
      <c r="D29" s="83"/>
      <c r="E29" s="4"/>
      <c r="F29" s="4"/>
      <c r="G29" s="6">
        <v>52.5</v>
      </c>
      <c r="H29" s="449"/>
      <c r="I29" s="4"/>
      <c r="J29" s="3"/>
      <c r="K29" s="449"/>
      <c r="L29" s="449"/>
      <c r="M29" s="449" t="str">
        <f>IF(L29="","",
IF(AX29="PT",VLOOKUP(L29,Foundation_Calc!$V$79:$X$113,VLOOKUP(AX29,Foundation_Calc!$I$10:$J$13,2,FALSE),0),
IF(AX29="K",VLOOKUP(L29,Foundation_Calc!$V$117:$X$151,VLOOKUP(AX29,Foundation_Calc!$I$10:$J$13,2,FALSE),0),"")))</f>
        <v/>
      </c>
      <c r="N29" s="449"/>
      <c r="O29" s="449"/>
      <c r="P29" s="449"/>
      <c r="Q29" s="4"/>
      <c r="R29" s="6"/>
      <c r="S29" s="6"/>
      <c r="T29" s="4"/>
      <c r="U29" s="4"/>
      <c r="V29" s="4"/>
      <c r="W29" s="572"/>
      <c r="X29" s="9"/>
      <c r="Y29" s="9"/>
      <c r="Z29" s="9"/>
      <c r="AA29" s="9"/>
      <c r="AB29" s="9"/>
      <c r="AC29" s="449" t="str">
        <f t="shared" si="0"/>
        <v/>
      </c>
      <c r="AD29" s="449"/>
      <c r="AE29" s="449"/>
      <c r="AF29" s="4"/>
      <c r="AG29" s="83"/>
      <c r="AH29" s="4"/>
      <c r="AI29" s="4"/>
      <c r="AJ29" s="449"/>
      <c r="AK29" s="449"/>
      <c r="AL29" s="449"/>
      <c r="AM29" s="449"/>
      <c r="AN29" s="10"/>
      <c r="AO29" s="9"/>
      <c r="AP29" s="9"/>
      <c r="AQ29" s="9">
        <f>+FL_1($T$30,$T$28,$G$29,1200,9.28, 1*$F$30)</f>
        <v>0.30396975238095242</v>
      </c>
      <c r="AR29" s="9"/>
      <c r="AS29" s="9"/>
      <c r="AT29" s="9"/>
      <c r="AU29" s="428"/>
      <c r="AV29" s="428"/>
      <c r="AW29" s="449" t="str">
        <f>IF(C29&gt;0,VLOOKUP(C29,Foundation_Calc!$A$2:$C$13,3,1),
IF(J29&gt;0,VLOOKUP(J29,Foundation_Calc!$A$2:$C$13,3,1),""))</f>
        <v/>
      </c>
      <c r="AX29" s="449"/>
      <c r="AY29" s="10" t="str">
        <f>IF(L29="","",
IF(AX29="PT",VLOOKUP(L29,Foundation_Calc!$K$79:$R$113,VLOOKUP(AW29,Foundation_Calc!$I$2:$J$8,2,FALSE),0),
IF(AX29="K",VLOOKUP(L29,Foundation_Calc!$K$117:$R$151,VLOOKUP(AW29,Foundation_Calc!$I$2:$J$8,2,FALSE),0),"")))</f>
        <v/>
      </c>
      <c r="AZ29" s="10" t="str">
        <f>IF(K29="","",
IF(AX29="PT",VLOOKUP(K29,Foundation_Calc!$K$79:$R$113,VLOOKUP(AW29,Foundation_Calc!$I$2:$J$8,2,FALSE),0),
IF(AX29="K",VLOOKUP(K29,Foundation_Calc!$K$117:$R$151,VLOOKUP(AW29,Foundation_Calc!$I$2:$J$8,2,FALSE),0),"")))</f>
        <v/>
      </c>
      <c r="BA29" s="495" t="str">
        <f t="shared" si="4"/>
        <v/>
      </c>
      <c r="BB29" s="495" t="str">
        <f t="shared" si="4"/>
        <v/>
      </c>
      <c r="BC29" s="495" t="str">
        <f t="shared" si="5"/>
        <v/>
      </c>
      <c r="BD29" s="513"/>
      <c r="BE29" s="429" t="s">
        <v>118</v>
      </c>
      <c r="BF29" s="290"/>
      <c r="BG29" s="290"/>
      <c r="BH29" s="290"/>
      <c r="BI29" s="290"/>
    </row>
    <row r="30" spans="1:61" ht="16.149999999999999" customHeight="1">
      <c r="A30" s="517" t="s">
        <v>442</v>
      </c>
      <c r="B30" s="450" t="s">
        <v>1678</v>
      </c>
      <c r="C30" s="3">
        <f>+$C$28+$G$29</f>
        <v>41259.64</v>
      </c>
      <c r="D30" s="83"/>
      <c r="E30" s="4"/>
      <c r="F30" s="4">
        <v>0</v>
      </c>
      <c r="G30" s="6"/>
      <c r="H30" s="449"/>
      <c r="I30" s="4"/>
      <c r="J30" s="3"/>
      <c r="K30" s="449"/>
      <c r="L30" s="449" t="s">
        <v>201</v>
      </c>
      <c r="M30" s="449" t="str">
        <f>IF(L30="","",
IF(AX30="PT",VLOOKUP(L30,Foundation_Calc!$V$79:$X$113,VLOOKUP(AX30,Foundation_Calc!$I$10:$J$13,2,FALSE),0),
IF(AX30="K",VLOOKUP(L30,Foundation_Calc!$V$117:$X$151,VLOOKUP(AX30,Foundation_Calc!$I$10:$J$13,2,FALSE),0),"")))</f>
        <v/>
      </c>
      <c r="N30" s="449" t="s">
        <v>343</v>
      </c>
      <c r="O30" s="449"/>
      <c r="P30" s="449"/>
      <c r="Q30" s="4"/>
      <c r="R30" s="6"/>
      <c r="S30" s="6"/>
      <c r="T30" s="4">
        <v>-20</v>
      </c>
      <c r="U30" s="4"/>
      <c r="V30" s="4"/>
      <c r="W30" s="572">
        <v>1.2</v>
      </c>
      <c r="X30" s="9"/>
      <c r="Y30" s="9"/>
      <c r="Z30" s="9"/>
      <c r="AA30" s="9"/>
      <c r="AB30" s="9"/>
      <c r="AC30" s="449" t="str">
        <f t="shared" si="0"/>
        <v>PH</v>
      </c>
      <c r="AD30" s="449"/>
      <c r="AE30" s="449"/>
      <c r="AF30" s="4"/>
      <c r="AG30" s="83"/>
      <c r="AH30" s="4"/>
      <c r="AI30" s="4"/>
      <c r="AJ30" s="449"/>
      <c r="AK30" s="449" t="s">
        <v>451</v>
      </c>
      <c r="AL30" s="449"/>
      <c r="AM30" s="449"/>
      <c r="AN30" s="10">
        <v>5.5</v>
      </c>
      <c r="AO30" s="9"/>
      <c r="AP30" s="9"/>
      <c r="AQ30" s="9"/>
      <c r="AR30" s="9"/>
      <c r="AS30" s="9"/>
      <c r="AT30" s="9">
        <f>+ab($T$30,$T$28,$T$32,$G$29,$G$31, 1*$F$30,1200)</f>
        <v>-30.455207452979199</v>
      </c>
      <c r="AU30" s="428"/>
      <c r="AV30" s="428"/>
      <c r="AW30" s="449" t="s">
        <v>201</v>
      </c>
      <c r="AX30" s="449" t="s">
        <v>201</v>
      </c>
      <c r="AY30" s="10" t="str">
        <f>IF(L30="","",
IF(AX30="PT",VLOOKUP(L30,Foundation_Calc!$K$79:$R$113,VLOOKUP(AW30,Foundation_Calc!$I$2:$J$8,2,FALSE),0),
IF(AX30="K",VLOOKUP(L30,Foundation_Calc!$K$117:$R$151,VLOOKUP(AW30,Foundation_Calc!$I$2:$J$8,2,FALSE),0),"")))</f>
        <v/>
      </c>
      <c r="AZ30" s="10" t="str">
        <f>IF(K30="","",
IF(AX30="PT",VLOOKUP(K30,Foundation_Calc!$K$79:$R$113,VLOOKUP(AW30,Foundation_Calc!$I$2:$J$8,2,FALSE),0),
IF(AX30="K",VLOOKUP(K30,Foundation_Calc!$K$117:$R$151,VLOOKUP(AW30,Foundation_Calc!$I$2:$J$8,2,FALSE),0),"")))</f>
        <v/>
      </c>
      <c r="BA30" s="495" t="str">
        <f t="shared" si="4"/>
        <v/>
      </c>
      <c r="BB30" s="495" t="str">
        <f t="shared" si="4"/>
        <v/>
      </c>
      <c r="BC30" s="495" t="str">
        <f t="shared" si="5"/>
        <v/>
      </c>
      <c r="BD30" s="513"/>
      <c r="BE30" s="429" t="s">
        <v>118</v>
      </c>
      <c r="BF30" s="289"/>
      <c r="BG30" s="289"/>
      <c r="BH30" s="290"/>
      <c r="BI30" s="289"/>
    </row>
    <row r="31" spans="1:61" ht="16.149999999999999" customHeight="1">
      <c r="A31" s="514" t="s">
        <v>438</v>
      </c>
      <c r="B31" s="450"/>
      <c r="C31" s="3"/>
      <c r="D31" s="83"/>
      <c r="E31" s="4"/>
      <c r="F31" s="4"/>
      <c r="G31" s="6">
        <v>52</v>
      </c>
      <c r="H31" s="449"/>
      <c r="I31" s="4">
        <f>SUM(G7:G31)</f>
        <v>543.29999999999995</v>
      </c>
      <c r="J31" s="3"/>
      <c r="K31" s="449"/>
      <c r="L31" s="449"/>
      <c r="M31" s="449" t="str">
        <f>IF(L31="","",
IF(AX31="PT",VLOOKUP(L31,Foundation_Calc!$V$79:$X$113,VLOOKUP(AX31,Foundation_Calc!$I$10:$J$13,2,FALSE),0),
IF(AX31="K",VLOOKUP(L31,Foundation_Calc!$V$117:$X$151,VLOOKUP(AX31,Foundation_Calc!$I$10:$J$13,2,FALSE),0),"")))</f>
        <v/>
      </c>
      <c r="N31" s="449"/>
      <c r="O31" s="449"/>
      <c r="P31" s="449"/>
      <c r="Q31" s="4"/>
      <c r="R31" s="6"/>
      <c r="S31" s="6"/>
      <c r="T31" s="4"/>
      <c r="U31" s="4"/>
      <c r="V31" s="4"/>
      <c r="W31" s="9"/>
      <c r="X31" s="9"/>
      <c r="Y31" s="9"/>
      <c r="Z31" s="9"/>
      <c r="AA31" s="9"/>
      <c r="AB31" s="9"/>
      <c r="AC31" s="449" t="str">
        <f t="shared" si="0"/>
        <v/>
      </c>
      <c r="AD31" s="449"/>
      <c r="AE31" s="449"/>
      <c r="AF31" s="4"/>
      <c r="AG31" s="83"/>
      <c r="AH31" s="4"/>
      <c r="AI31" s="4"/>
      <c r="AJ31" s="449"/>
      <c r="AK31" s="449" t="s">
        <v>872</v>
      </c>
      <c r="AL31" s="449"/>
      <c r="AM31" s="449"/>
      <c r="AN31" s="10"/>
      <c r="AO31" s="9"/>
      <c r="AP31" s="9"/>
      <c r="AQ31" s="9">
        <f>+FL_1($T$32,$T$30,$G$31,1200,9.28, 1*$F$32)</f>
        <v>0.35048632600759388</v>
      </c>
      <c r="AR31" s="9"/>
      <c r="AS31" s="9"/>
      <c r="AT31" s="9"/>
      <c r="AU31" s="428"/>
      <c r="AV31" s="428"/>
      <c r="AW31" s="449" t="str">
        <f>IF(C31&gt;0,VLOOKUP(C31,Foundation_Calc!$A$2:$C$13,3,1),
IF(J31&gt;0,VLOOKUP(J31,Foundation_Calc!$A$2:$C$13,3,1),""))</f>
        <v/>
      </c>
      <c r="AX31" s="449"/>
      <c r="AY31" s="10" t="str">
        <f>IF(L31="","",
IF(AX31="PT",VLOOKUP(L31,Foundation_Calc!$K$79:$R$113,VLOOKUP(AW31,Foundation_Calc!$I$2:$J$8,2,FALSE),0),
IF(AX31="K",VLOOKUP(L31,Foundation_Calc!$K$117:$R$151,VLOOKUP(AW31,Foundation_Calc!$I$2:$J$8,2,FALSE),0),"")))</f>
        <v/>
      </c>
      <c r="AZ31" s="10" t="str">
        <f>IF(K31="","",
IF(AX31="PT",VLOOKUP(K31,Foundation_Calc!$K$79:$R$113,VLOOKUP(AW31,Foundation_Calc!$I$2:$J$8,2,FALSE),0),
IF(AX31="K",VLOOKUP(K31,Foundation_Calc!$K$117:$R$151,VLOOKUP(AW31,Foundation_Calc!$I$2:$J$8,2,FALSE),0),"")))</f>
        <v/>
      </c>
      <c r="BA31" s="495" t="str">
        <f t="shared" si="4"/>
        <v/>
      </c>
      <c r="BB31" s="495" t="str">
        <f t="shared" si="4"/>
        <v/>
      </c>
      <c r="BC31" s="495" t="str">
        <f t="shared" si="5"/>
        <v/>
      </c>
      <c r="BD31" s="513"/>
      <c r="BE31" s="429" t="s">
        <v>118</v>
      </c>
      <c r="BF31" s="290"/>
      <c r="BG31" s="290"/>
      <c r="BH31" s="290"/>
      <c r="BI31" s="290"/>
    </row>
    <row r="32" spans="1:61" ht="16.149999999999999" customHeight="1">
      <c r="A32" s="514"/>
      <c r="B32" s="450" t="s">
        <v>1679</v>
      </c>
      <c r="C32" s="3">
        <f>+$C$30+$G$31</f>
        <v>41311.64</v>
      </c>
      <c r="D32" s="83"/>
      <c r="E32" s="4"/>
      <c r="F32" s="4">
        <v>-1000</v>
      </c>
      <c r="G32" s="6"/>
      <c r="H32" s="449" t="s">
        <v>171</v>
      </c>
      <c r="I32" s="4"/>
      <c r="J32" s="3"/>
      <c r="K32" s="449"/>
      <c r="L32" s="449" t="s">
        <v>201</v>
      </c>
      <c r="M32" s="449" t="str">
        <f>IF(L32="","",
IF(AX32="PT",VLOOKUP(L32,Foundation_Calc!$V$79:$X$113,VLOOKUP(AX32,Foundation_Calc!$I$10:$J$13,2,FALSE),0),
IF(AX32="K",VLOOKUP(L32,Foundation_Calc!$V$117:$X$151,VLOOKUP(AX32,Foundation_Calc!$I$10:$J$13,2,FALSE),0),"")))</f>
        <v/>
      </c>
      <c r="N32" s="449" t="s">
        <v>343</v>
      </c>
      <c r="O32" s="449"/>
      <c r="P32" s="449"/>
      <c r="Q32" s="4"/>
      <c r="R32" s="6"/>
      <c r="S32" s="6"/>
      <c r="T32" s="4">
        <v>-30</v>
      </c>
      <c r="U32" s="4"/>
      <c r="V32" s="4"/>
      <c r="W32" s="9">
        <v>1.4</v>
      </c>
      <c r="X32" s="9"/>
      <c r="Y32" s="9"/>
      <c r="Z32" s="9"/>
      <c r="AA32" s="9"/>
      <c r="AB32" s="9"/>
      <c r="AC32" s="449" t="str">
        <f t="shared" si="0"/>
        <v>PHC</v>
      </c>
      <c r="AD32" s="449"/>
      <c r="AE32" s="449"/>
      <c r="AF32" s="4"/>
      <c r="AG32" s="83"/>
      <c r="AH32" s="4"/>
      <c r="AI32" s="4"/>
      <c r="AJ32" s="449"/>
      <c r="AK32" s="449" t="s">
        <v>451</v>
      </c>
      <c r="AL32" s="449"/>
      <c r="AM32" s="449"/>
      <c r="AN32" s="10">
        <v>5.5</v>
      </c>
      <c r="AO32" s="9"/>
      <c r="AP32" s="9"/>
      <c r="AQ32" s="9"/>
      <c r="AR32" s="9"/>
      <c r="AS32" s="9"/>
      <c r="AT32" s="9">
        <f>+ab($T$32,$T$30,$T$34,$G$31,$G$33, 1*$F$32,1200)</f>
        <v>-2.9288266243795431</v>
      </c>
      <c r="AU32" s="428"/>
      <c r="AV32" s="428"/>
      <c r="AW32" s="449" t="s">
        <v>201</v>
      </c>
      <c r="AX32" s="449" t="s">
        <v>201</v>
      </c>
      <c r="AY32" s="10" t="str">
        <f>IF(L32="","",
IF(AX32="PT",VLOOKUP(L32,Foundation_Calc!$K$79:$R$113,VLOOKUP(AW32,Foundation_Calc!$I$2:$J$8,2,FALSE),0),
IF(AX32="K",VLOOKUP(L32,Foundation_Calc!$K$117:$R$151,VLOOKUP(AW32,Foundation_Calc!$I$2:$J$8,2,FALSE),0),"")))</f>
        <v/>
      </c>
      <c r="AZ32" s="10" t="str">
        <f>IF(K32="","",
IF(AX32="PT",VLOOKUP(K32,Foundation_Calc!$K$79:$R$113,VLOOKUP(AW32,Foundation_Calc!$I$2:$J$8,2,FALSE),0),
IF(AX32="K",VLOOKUP(K32,Foundation_Calc!$K$117:$R$151,VLOOKUP(AW32,Foundation_Calc!$I$2:$J$8,2,FALSE),0),"")))</f>
        <v/>
      </c>
      <c r="BA32" s="495" t="str">
        <f t="shared" si="4"/>
        <v/>
      </c>
      <c r="BB32" s="495" t="str">
        <f t="shared" si="4"/>
        <v/>
      </c>
      <c r="BC32" s="495" t="str">
        <f t="shared" si="5"/>
        <v/>
      </c>
      <c r="BD32" s="513"/>
      <c r="BE32" s="429" t="s">
        <v>118</v>
      </c>
      <c r="BF32" s="289"/>
      <c r="BG32" s="289"/>
      <c r="BH32" s="290"/>
      <c r="BI32" s="289"/>
    </row>
    <row r="33" spans="1:61" ht="16.149999999999999" customHeight="1">
      <c r="A33" s="514"/>
      <c r="B33" s="450"/>
      <c r="C33" s="3"/>
      <c r="D33" s="83"/>
      <c r="E33" s="4"/>
      <c r="F33" s="4"/>
      <c r="G33" s="6">
        <v>52</v>
      </c>
      <c r="H33" s="449"/>
      <c r="I33" s="4">
        <f>SUM(G33:G51)+G55</f>
        <v>516</v>
      </c>
      <c r="J33" s="3"/>
      <c r="K33" s="449"/>
      <c r="L33" s="449"/>
      <c r="M33" s="449" t="str">
        <f>IF(L33="","",
IF(AX33="PT",VLOOKUP(L33,Foundation_Calc!$V$79:$X$113,VLOOKUP(AX33,Foundation_Calc!$I$10:$J$13,2,FALSE),0),
IF(AX33="K",VLOOKUP(L33,Foundation_Calc!$V$117:$X$151,VLOOKUP(AX33,Foundation_Calc!$I$10:$J$13,2,FALSE),0),"")))</f>
        <v/>
      </c>
      <c r="N33" s="449"/>
      <c r="O33" s="449"/>
      <c r="P33" s="449"/>
      <c r="Q33" s="4"/>
      <c r="R33" s="6"/>
      <c r="S33" s="6"/>
      <c r="T33" s="4"/>
      <c r="U33" s="4"/>
      <c r="V33" s="4"/>
      <c r="W33" s="9"/>
      <c r="X33" s="9"/>
      <c r="Y33" s="9"/>
      <c r="Z33" s="9"/>
      <c r="AA33" s="9"/>
      <c r="AB33" s="9"/>
      <c r="AC33" s="449" t="str">
        <f t="shared" si="0"/>
        <v/>
      </c>
      <c r="AD33" s="449"/>
      <c r="AE33" s="449"/>
      <c r="AF33" s="4"/>
      <c r="AG33" s="83"/>
      <c r="AH33" s="4"/>
      <c r="AI33" s="4"/>
      <c r="AJ33" s="449"/>
      <c r="AK33" s="449"/>
      <c r="AL33" s="449"/>
      <c r="AM33" s="449"/>
      <c r="AN33" s="10"/>
      <c r="AO33" s="9"/>
      <c r="AP33" s="9"/>
      <c r="AQ33" s="9">
        <f>+FL_1($T$34,$T$32,$G$33,1200,9.28, 1*$F$34)</f>
        <v>0.34746603815384614</v>
      </c>
      <c r="AR33" s="9"/>
      <c r="AS33" s="9"/>
      <c r="AT33" s="9"/>
      <c r="AU33" s="428"/>
      <c r="AV33" s="428"/>
      <c r="AW33" s="449" t="str">
        <f>IF(C33&gt;0,VLOOKUP(C33,Foundation_Calc!$A$2:$C$13,3,1),
IF(J33&gt;0,VLOOKUP(J33,Foundation_Calc!$A$2:$C$13,3,1),""))</f>
        <v/>
      </c>
      <c r="AX33" s="449"/>
      <c r="AY33" s="10" t="str">
        <f>IF(L33="","",
IF(AX33="PT",VLOOKUP(L33,Foundation_Calc!$K$79:$R$113,VLOOKUP(AW33,Foundation_Calc!$I$2:$J$8,2,FALSE),0),
IF(AX33="K",VLOOKUP(L33,Foundation_Calc!$K$117:$R$151,VLOOKUP(AW33,Foundation_Calc!$I$2:$J$8,2,FALSE),0),"")))</f>
        <v/>
      </c>
      <c r="AZ33" s="10" t="str">
        <f>IF(K33="","",
IF(AX33="PT",VLOOKUP(K33,Foundation_Calc!$K$79:$R$113,VLOOKUP(AW33,Foundation_Calc!$I$2:$J$8,2,FALSE),0),
IF(AX33="K",VLOOKUP(K33,Foundation_Calc!$K$117:$R$151,VLOOKUP(AW33,Foundation_Calc!$I$2:$J$8,2,FALSE),0),"")))</f>
        <v/>
      </c>
      <c r="BA33" s="495" t="str">
        <f t="shared" si="4"/>
        <v/>
      </c>
      <c r="BB33" s="495" t="str">
        <f t="shared" si="4"/>
        <v/>
      </c>
      <c r="BC33" s="495" t="str">
        <f t="shared" si="5"/>
        <v/>
      </c>
      <c r="BD33" s="513"/>
      <c r="BE33" s="429" t="s">
        <v>118</v>
      </c>
      <c r="BF33" s="290"/>
      <c r="BG33" s="290"/>
      <c r="BH33" s="290"/>
      <c r="BI33" s="290"/>
    </row>
    <row r="34" spans="1:61" ht="16.149999999999999" customHeight="1">
      <c r="A34" s="514"/>
      <c r="B34" s="450" t="s">
        <v>1680</v>
      </c>
      <c r="C34" s="3">
        <f>+$C$32+$G$33</f>
        <v>41363.64</v>
      </c>
      <c r="D34" s="83"/>
      <c r="E34" s="4"/>
      <c r="F34" s="4">
        <v>0</v>
      </c>
      <c r="G34" s="6"/>
      <c r="H34" s="449" t="s">
        <v>168</v>
      </c>
      <c r="I34" s="4"/>
      <c r="J34" s="3"/>
      <c r="K34" s="449"/>
      <c r="L34" s="449" t="s">
        <v>1681</v>
      </c>
      <c r="M34" s="449" t="str">
        <f>IF(L34="","",
IF(AX34="PT",VLOOKUP(L34,Foundation_Calc!$V$79:$X$113,VLOOKUP(AX34,Foundation_Calc!$I$10:$J$13,2,FALSE),0),
IF(AX34="K",VLOOKUP(L34,Foundation_Calc!$V$117:$X$151,VLOOKUP(AX34,Foundation_Calc!$I$10:$J$13,2,FALSE),0),"")))</f>
        <v/>
      </c>
      <c r="N34" s="449" t="s">
        <v>453</v>
      </c>
      <c r="O34" s="449"/>
      <c r="P34" s="449"/>
      <c r="Q34" s="4"/>
      <c r="R34" s="6"/>
      <c r="S34" s="6"/>
      <c r="T34" s="4">
        <v>30</v>
      </c>
      <c r="U34" s="4"/>
      <c r="V34" s="4"/>
      <c r="W34" s="9">
        <v>1.4</v>
      </c>
      <c r="X34" s="9"/>
      <c r="Y34" s="9"/>
      <c r="Z34" s="9"/>
      <c r="AA34" s="9"/>
      <c r="AB34" s="9"/>
      <c r="AC34" s="449" t="str">
        <f t="shared" si="0"/>
        <v>PH</v>
      </c>
      <c r="AD34" s="449"/>
      <c r="AE34" s="449"/>
      <c r="AF34" s="4"/>
      <c r="AG34" s="83"/>
      <c r="AH34" s="4"/>
      <c r="AI34" s="4"/>
      <c r="AJ34" s="449"/>
      <c r="AK34" s="449" t="s">
        <v>451</v>
      </c>
      <c r="AL34" s="449"/>
      <c r="AM34" s="449"/>
      <c r="AN34" s="10">
        <v>5.5</v>
      </c>
      <c r="AO34" s="9"/>
      <c r="AP34" s="9"/>
      <c r="AQ34" s="9"/>
      <c r="AR34" s="9"/>
      <c r="AS34" s="9"/>
      <c r="AT34" s="9">
        <f>+ab($T$34,$T$32,$T$36,$G$33,$G$35, 1*$F$34,1200)</f>
        <v>16.185852392290698</v>
      </c>
      <c r="AU34" s="428"/>
      <c r="AV34" s="428"/>
      <c r="AW34" s="449" t="s">
        <v>201</v>
      </c>
      <c r="AX34" s="449" t="s">
        <v>201</v>
      </c>
      <c r="AY34" s="10" t="str">
        <f>IF(L34="","",
IF(AX34="PT",VLOOKUP(L34,Foundation_Calc!$K$79:$R$113,VLOOKUP(AW34,Foundation_Calc!$I$2:$J$8,2,FALSE),0),
IF(AX34="K",VLOOKUP(L34,Foundation_Calc!$K$117:$R$151,VLOOKUP(AW34,Foundation_Calc!$I$2:$J$8,2,FALSE),0),"")))</f>
        <v/>
      </c>
      <c r="AZ34" s="10" t="str">
        <f>IF(K34="","",
IF(AX34="PT",VLOOKUP(K34,Foundation_Calc!$K$79:$R$113,VLOOKUP(AW34,Foundation_Calc!$I$2:$J$8,2,FALSE),0),
IF(AX34="K",VLOOKUP(K34,Foundation_Calc!$K$117:$R$151,VLOOKUP(AW34,Foundation_Calc!$I$2:$J$8,2,FALSE),0),"")))</f>
        <v/>
      </c>
      <c r="BA34" s="495" t="str">
        <f t="shared" si="4"/>
        <v/>
      </c>
      <c r="BB34" s="495" t="str">
        <f t="shared" si="4"/>
        <v/>
      </c>
      <c r="BC34" s="495" t="str">
        <f t="shared" si="5"/>
        <v/>
      </c>
      <c r="BD34" s="513"/>
      <c r="BE34" s="429" t="s">
        <v>118</v>
      </c>
      <c r="BF34" s="289"/>
      <c r="BG34" s="289"/>
      <c r="BH34" s="290"/>
      <c r="BI34" s="289"/>
    </row>
    <row r="35" spans="1:61" ht="16.149999999999999" customHeight="1">
      <c r="A35" s="514"/>
      <c r="B35" s="450"/>
      <c r="C35" s="3"/>
      <c r="D35" s="83"/>
      <c r="E35" s="4"/>
      <c r="F35" s="4"/>
      <c r="G35" s="6">
        <v>50</v>
      </c>
      <c r="H35" s="449"/>
      <c r="I35" s="4"/>
      <c r="J35" s="3"/>
      <c r="K35" s="449"/>
      <c r="L35" s="449"/>
      <c r="M35" s="449" t="str">
        <f>IF(L35="","",
IF(AX35="PT",VLOOKUP(L35,Foundation_Calc!$V$79:$X$113,VLOOKUP(AX35,Foundation_Calc!$I$10:$J$13,2,FALSE),0),
IF(AX35="K",VLOOKUP(L35,Foundation_Calc!$V$117:$X$151,VLOOKUP(AX35,Foundation_Calc!$I$10:$J$13,2,FALSE),0),"")))</f>
        <v/>
      </c>
      <c r="N35" s="449"/>
      <c r="O35" s="449"/>
      <c r="P35" s="449"/>
      <c r="Q35" s="4"/>
      <c r="R35" s="6"/>
      <c r="S35" s="6"/>
      <c r="T35" s="4"/>
      <c r="U35" s="4"/>
      <c r="V35" s="4"/>
      <c r="W35" s="9"/>
      <c r="X35" s="9"/>
      <c r="Y35" s="9"/>
      <c r="Z35" s="9"/>
      <c r="AA35" s="9"/>
      <c r="AB35" s="9"/>
      <c r="AC35" s="449" t="str">
        <f t="shared" si="0"/>
        <v/>
      </c>
      <c r="AD35" s="449"/>
      <c r="AE35" s="449"/>
      <c r="AF35" s="4"/>
      <c r="AG35" s="83"/>
      <c r="AH35" s="4"/>
      <c r="AI35" s="4"/>
      <c r="AJ35" s="449"/>
      <c r="AK35" s="449"/>
      <c r="AL35" s="449"/>
      <c r="AM35" s="449"/>
      <c r="AN35" s="10"/>
      <c r="AO35" s="9"/>
      <c r="AP35" s="9"/>
      <c r="AQ35" s="9">
        <f>+FL_1($T$36,$T$34,$G$35,1200,9.28, 1*$F$36)</f>
        <v>0.30005667796873969</v>
      </c>
      <c r="AR35" s="9"/>
      <c r="AS35" s="9"/>
      <c r="AT35" s="9"/>
      <c r="AU35" s="428"/>
      <c r="AV35" s="428"/>
      <c r="AW35" s="449" t="str">
        <f>IF(C35&gt;0,VLOOKUP(C35,Foundation_Calc!$A$2:$C$13,3,1),
IF(J35&gt;0,VLOOKUP(J35,Foundation_Calc!$A$2:$C$13,3,1),""))</f>
        <v/>
      </c>
      <c r="AX35" s="449"/>
      <c r="AY35" s="10" t="str">
        <f>IF(L35="","",
IF(AX35="PT",VLOOKUP(L35,Foundation_Calc!$K$79:$R$113,VLOOKUP(AW35,Foundation_Calc!$I$2:$J$8,2,FALSE),0),
IF(AX35="K",VLOOKUP(L35,Foundation_Calc!$K$117:$R$151,VLOOKUP(AW35,Foundation_Calc!$I$2:$J$8,2,FALSE),0),"")))</f>
        <v/>
      </c>
      <c r="AZ35" s="10" t="str">
        <f>IF(K35="","",
IF(AX35="PT",VLOOKUP(K35,Foundation_Calc!$K$79:$R$113,VLOOKUP(AW35,Foundation_Calc!$I$2:$J$8,2,FALSE),0),
IF(AX35="K",VLOOKUP(K35,Foundation_Calc!$K$117:$R$151,VLOOKUP(AW35,Foundation_Calc!$I$2:$J$8,2,FALSE),0),"")))</f>
        <v/>
      </c>
      <c r="BA35" s="495" t="str">
        <f t="shared" si="4"/>
        <v/>
      </c>
      <c r="BB35" s="495" t="str">
        <f t="shared" si="4"/>
        <v/>
      </c>
      <c r="BC35" s="495" t="str">
        <f t="shared" si="5"/>
        <v/>
      </c>
      <c r="BD35" s="513"/>
      <c r="BE35" s="429" t="s">
        <v>118</v>
      </c>
      <c r="BF35" s="290"/>
      <c r="BG35" s="290"/>
      <c r="BH35" s="290"/>
      <c r="BI35" s="290"/>
    </row>
    <row r="36" spans="1:61" ht="16.149999999999999" customHeight="1">
      <c r="A36" s="514"/>
      <c r="B36" s="450" t="s">
        <v>1682</v>
      </c>
      <c r="C36" s="3">
        <f>+$C$34+$G$35</f>
        <v>41413.64</v>
      </c>
      <c r="D36" s="83"/>
      <c r="E36" s="4"/>
      <c r="F36" s="4">
        <v>1000</v>
      </c>
      <c r="G36" s="6"/>
      <c r="H36" s="449"/>
      <c r="I36" s="4"/>
      <c r="J36" s="3"/>
      <c r="K36" s="449"/>
      <c r="L36" s="449" t="s">
        <v>201</v>
      </c>
      <c r="M36" s="449" t="str">
        <f>IF(L36="","",
IF(AX36="PT",VLOOKUP(L36,Foundation_Calc!$V$79:$X$113,VLOOKUP(AX36,Foundation_Calc!$I$10:$J$13,2,FALSE),0),
IF(AX36="K",VLOOKUP(L36,Foundation_Calc!$V$117:$X$151,VLOOKUP(AX36,Foundation_Calc!$I$10:$J$13,2,FALSE),0),"")))</f>
        <v/>
      </c>
      <c r="N36" s="449" t="s">
        <v>453</v>
      </c>
      <c r="O36" s="449"/>
      <c r="P36" s="449"/>
      <c r="Q36" s="4"/>
      <c r="R36" s="6"/>
      <c r="S36" s="6"/>
      <c r="T36" s="4">
        <v>30</v>
      </c>
      <c r="U36" s="4"/>
      <c r="V36" s="4"/>
      <c r="W36" s="9">
        <v>1.4</v>
      </c>
      <c r="X36" s="9"/>
      <c r="Y36" s="9"/>
      <c r="Z36" s="9"/>
      <c r="AA36" s="9"/>
      <c r="AB36" s="9"/>
      <c r="AC36" s="449" t="str">
        <f t="shared" si="0"/>
        <v>PHC</v>
      </c>
      <c r="AD36" s="449"/>
      <c r="AE36" s="449"/>
      <c r="AF36" s="4"/>
      <c r="AG36" s="83"/>
      <c r="AH36" s="4"/>
      <c r="AI36" s="4"/>
      <c r="AJ36" s="449"/>
      <c r="AK36" s="449" t="s">
        <v>451</v>
      </c>
      <c r="AL36" s="449"/>
      <c r="AM36" s="449"/>
      <c r="AN36" s="10">
        <v>5.5</v>
      </c>
      <c r="AO36" s="9"/>
      <c r="AP36" s="9"/>
      <c r="AQ36" s="9"/>
      <c r="AR36" s="9"/>
      <c r="AS36" s="9"/>
      <c r="AT36" s="9">
        <f>+ab($T$36,$T$34,$T$38,$G$35,$G$37, 1*$F$36,1200)</f>
        <v>4.0331708223239371</v>
      </c>
      <c r="AU36" s="428"/>
      <c r="AV36" s="428"/>
      <c r="AW36" s="449" t="s">
        <v>201</v>
      </c>
      <c r="AX36" s="449" t="s">
        <v>201</v>
      </c>
      <c r="AY36" s="10" t="str">
        <f>IF(L36="","",
IF(AX36="PT",VLOOKUP(L36,Foundation_Calc!$K$79:$R$113,VLOOKUP(AW36,Foundation_Calc!$I$2:$J$8,2,FALSE),0),
IF(AX36="K",VLOOKUP(L36,Foundation_Calc!$K$117:$R$151,VLOOKUP(AW36,Foundation_Calc!$I$2:$J$8,2,FALSE),0),"")))</f>
        <v/>
      </c>
      <c r="AZ36" s="10" t="str">
        <f>IF(K36="","",
IF(AX36="PT",VLOOKUP(K36,Foundation_Calc!$K$79:$R$113,VLOOKUP(AW36,Foundation_Calc!$I$2:$J$8,2,FALSE),0),
IF(AX36="K",VLOOKUP(K36,Foundation_Calc!$K$117:$R$151,VLOOKUP(AW36,Foundation_Calc!$I$2:$J$8,2,FALSE),0),"")))</f>
        <v/>
      </c>
      <c r="BA36" s="495" t="str">
        <f t="shared" si="4"/>
        <v/>
      </c>
      <c r="BB36" s="495" t="str">
        <f t="shared" si="4"/>
        <v/>
      </c>
      <c r="BC36" s="495" t="str">
        <f t="shared" si="5"/>
        <v/>
      </c>
      <c r="BD36" s="513"/>
      <c r="BE36" s="429" t="s">
        <v>118</v>
      </c>
      <c r="BF36" s="289"/>
      <c r="BG36" s="289"/>
      <c r="BH36" s="290"/>
      <c r="BI36" s="289"/>
    </row>
    <row r="37" spans="1:61" ht="16.149999999999999" customHeight="1">
      <c r="A37" s="514"/>
      <c r="B37" s="450"/>
      <c r="C37" s="3"/>
      <c r="D37" s="83"/>
      <c r="E37" s="4"/>
      <c r="F37" s="4"/>
      <c r="G37" s="6">
        <v>40</v>
      </c>
      <c r="H37" s="449"/>
      <c r="I37" s="4"/>
      <c r="J37" s="3"/>
      <c r="K37" s="449"/>
      <c r="L37" s="449"/>
      <c r="M37" s="449" t="str">
        <f>IF(L37="","",
IF(AX37="PT",VLOOKUP(L37,Foundation_Calc!$V$79:$X$113,VLOOKUP(AX37,Foundation_Calc!$I$10:$J$13,2,FALSE),0),
IF(AX37="K",VLOOKUP(L37,Foundation_Calc!$V$117:$X$151,VLOOKUP(AX37,Foundation_Calc!$I$10:$J$13,2,FALSE),0),"")))</f>
        <v/>
      </c>
      <c r="N37" s="449"/>
      <c r="O37" s="449"/>
      <c r="P37" s="449"/>
      <c r="Q37" s="4"/>
      <c r="R37" s="6"/>
      <c r="S37" s="6"/>
      <c r="T37" s="4"/>
      <c r="U37" s="4"/>
      <c r="V37" s="4"/>
      <c r="W37" s="9"/>
      <c r="X37" s="9"/>
      <c r="Y37" s="9"/>
      <c r="Z37" s="9"/>
      <c r="AA37" s="9"/>
      <c r="AB37" s="9"/>
      <c r="AC37" s="449" t="str">
        <f t="shared" si="0"/>
        <v/>
      </c>
      <c r="AD37" s="449"/>
      <c r="AE37" s="449"/>
      <c r="AF37" s="4"/>
      <c r="AG37" s="83"/>
      <c r="AH37" s="4"/>
      <c r="AI37" s="4"/>
      <c r="AJ37" s="449"/>
      <c r="AK37" s="449"/>
      <c r="AL37" s="449"/>
      <c r="AM37" s="449"/>
      <c r="AN37" s="10"/>
      <c r="AO37" s="9"/>
      <c r="AP37" s="9"/>
      <c r="AQ37" s="9">
        <f>+FL_1($T$38,$T$36,$G$37,1200,9.28, 1*$F$38)</f>
        <v>0.408707612</v>
      </c>
      <c r="AR37" s="9"/>
      <c r="AS37" s="9"/>
      <c r="AT37" s="9"/>
      <c r="AU37" s="428"/>
      <c r="AV37" s="428"/>
      <c r="AW37" s="449" t="str">
        <f>IF(C37&gt;0,VLOOKUP(C37,Foundation_Calc!$A$2:$C$13,3,1),
IF(J37&gt;0,VLOOKUP(J37,Foundation_Calc!$A$2:$C$13,3,1),""))</f>
        <v/>
      </c>
      <c r="AX37" s="449"/>
      <c r="AY37" s="10" t="str">
        <f>IF(L37="","",
IF(AX37="PT",VLOOKUP(L37,Foundation_Calc!$K$79:$R$113,VLOOKUP(AW37,Foundation_Calc!$I$2:$J$8,2,FALSE),0),
IF(AX37="K",VLOOKUP(L37,Foundation_Calc!$K$117:$R$151,VLOOKUP(AW37,Foundation_Calc!$I$2:$J$8,2,FALSE),0),"")))</f>
        <v/>
      </c>
      <c r="AZ37" s="10" t="str">
        <f>IF(K37="","",
IF(AX37="PT",VLOOKUP(K37,Foundation_Calc!$K$79:$R$113,VLOOKUP(AW37,Foundation_Calc!$I$2:$J$8,2,FALSE),0),
IF(AX37="K",VLOOKUP(K37,Foundation_Calc!$K$117:$R$151,VLOOKUP(AW37,Foundation_Calc!$I$2:$J$8,2,FALSE),0),"")))</f>
        <v/>
      </c>
      <c r="BA37" s="495" t="str">
        <f t="shared" si="4"/>
        <v/>
      </c>
      <c r="BB37" s="495" t="str">
        <f t="shared" si="4"/>
        <v/>
      </c>
      <c r="BC37" s="495" t="str">
        <f t="shared" si="5"/>
        <v/>
      </c>
      <c r="BD37" s="513"/>
      <c r="BE37" s="429" t="s">
        <v>118</v>
      </c>
      <c r="BF37" s="290"/>
      <c r="BG37" s="290"/>
      <c r="BH37" s="290"/>
      <c r="BI37" s="290"/>
    </row>
    <row r="38" spans="1:61" ht="16.149999999999999" customHeight="1">
      <c r="A38" s="514"/>
      <c r="B38" s="450" t="s">
        <v>1683</v>
      </c>
      <c r="C38" s="3">
        <f>+$C$36+$G$37</f>
        <v>41453.64</v>
      </c>
      <c r="D38" s="83"/>
      <c r="E38" s="4"/>
      <c r="F38" s="4">
        <v>0</v>
      </c>
      <c r="G38" s="6"/>
      <c r="H38" s="449"/>
      <c r="I38" s="4"/>
      <c r="J38" s="3"/>
      <c r="K38" s="449"/>
      <c r="L38" s="449" t="s">
        <v>201</v>
      </c>
      <c r="M38" s="449" t="str">
        <f>IF(L38="","",
IF(AX38="PT",VLOOKUP(L38,Foundation_Calc!$V$79:$X$113,VLOOKUP(AX38,Foundation_Calc!$I$10:$J$13,2,FALSE),0),
IF(AX38="K",VLOOKUP(L38,Foundation_Calc!$V$117:$X$151,VLOOKUP(AX38,Foundation_Calc!$I$10:$J$13,2,FALSE),0),"")))</f>
        <v/>
      </c>
      <c r="N38" s="449" t="s">
        <v>453</v>
      </c>
      <c r="O38" s="449"/>
      <c r="P38" s="449"/>
      <c r="Q38" s="4"/>
      <c r="R38" s="6"/>
      <c r="S38" s="6"/>
      <c r="T38" s="4">
        <v>20</v>
      </c>
      <c r="U38" s="4"/>
      <c r="V38" s="4"/>
      <c r="W38" s="9">
        <v>1.4</v>
      </c>
      <c r="X38" s="9"/>
      <c r="Y38" s="9"/>
      <c r="Z38" s="9"/>
      <c r="AA38" s="9"/>
      <c r="AB38" s="9"/>
      <c r="AC38" s="449" t="str">
        <f t="shared" si="0"/>
        <v>PH</v>
      </c>
      <c r="AD38" s="449"/>
      <c r="AE38" s="449"/>
      <c r="AF38" s="4"/>
      <c r="AG38" s="83"/>
      <c r="AH38" s="4"/>
      <c r="AI38" s="4"/>
      <c r="AJ38" s="449"/>
      <c r="AK38" s="449" t="s">
        <v>451</v>
      </c>
      <c r="AL38" s="449"/>
      <c r="AM38" s="449"/>
      <c r="AN38" s="10">
        <v>5.5</v>
      </c>
      <c r="AO38" s="9"/>
      <c r="AP38" s="9"/>
      <c r="AQ38" s="9"/>
      <c r="AR38" s="9"/>
      <c r="AS38" s="9"/>
      <c r="AT38" s="9">
        <f>+ab($T$38,$T$36,$U$40,$G$37,$G$39, 1*$F$38,1200)</f>
        <v>16.434874815222862</v>
      </c>
      <c r="AU38" s="428"/>
      <c r="AV38" s="428"/>
      <c r="AW38" s="449" t="s">
        <v>201</v>
      </c>
      <c r="AX38" s="449" t="s">
        <v>201</v>
      </c>
      <c r="AY38" s="10" t="str">
        <f>IF(L38="","",
IF(AX38="PT",VLOOKUP(L38,Foundation_Calc!$K$79:$R$113,VLOOKUP(AW38,Foundation_Calc!$I$2:$J$8,2,FALSE),0),
IF(AX38="K",VLOOKUP(L38,Foundation_Calc!$K$117:$R$151,VLOOKUP(AW38,Foundation_Calc!$I$2:$J$8,2,FALSE),0),"")))</f>
        <v/>
      </c>
      <c r="AZ38" s="10" t="str">
        <f>IF(K38="","",
IF(AX38="PT",VLOOKUP(K38,Foundation_Calc!$K$79:$R$113,VLOOKUP(AW38,Foundation_Calc!$I$2:$J$8,2,FALSE),0),
IF(AX38="K",VLOOKUP(K38,Foundation_Calc!$K$117:$R$151,VLOOKUP(AW38,Foundation_Calc!$I$2:$J$8,2,FALSE),0),"")))</f>
        <v/>
      </c>
      <c r="BA38" s="495" t="str">
        <f t="shared" si="4"/>
        <v/>
      </c>
      <c r="BB38" s="495" t="str">
        <f t="shared" si="4"/>
        <v/>
      </c>
      <c r="BC38" s="495" t="str">
        <f t="shared" si="5"/>
        <v/>
      </c>
      <c r="BD38" s="513"/>
      <c r="BE38" s="429" t="s">
        <v>118</v>
      </c>
      <c r="BF38" s="289"/>
      <c r="BG38" s="289"/>
      <c r="BH38" s="290"/>
      <c r="BI38" s="289"/>
    </row>
    <row r="39" spans="1:61" ht="16.149999999999999" customHeight="1">
      <c r="A39" s="514"/>
      <c r="B39" s="450"/>
      <c r="C39" s="3"/>
      <c r="D39" s="83"/>
      <c r="E39" s="4"/>
      <c r="F39" s="4"/>
      <c r="G39" s="6">
        <v>39.700000000000003</v>
      </c>
      <c r="H39" s="449"/>
      <c r="I39" s="4"/>
      <c r="J39" s="3"/>
      <c r="K39" s="449"/>
      <c r="L39" s="449"/>
      <c r="M39" s="449" t="str">
        <f>IF(L39="","",
IF(AX39="PT",VLOOKUP(L39,Foundation_Calc!$V$79:$X$113,VLOOKUP(AX39,Foundation_Calc!$I$10:$J$13,2,FALSE),0),
IF(AX39="K",VLOOKUP(L39,Foundation_Calc!$V$117:$X$151,VLOOKUP(AX39,Foundation_Calc!$I$10:$J$13,2,FALSE),0),"")))</f>
        <v/>
      </c>
      <c r="N39" s="449"/>
      <c r="O39" s="449"/>
      <c r="P39" s="449"/>
      <c r="Q39" s="4"/>
      <c r="R39" s="6"/>
      <c r="S39" s="6"/>
      <c r="T39" s="4"/>
      <c r="U39" s="4"/>
      <c r="V39" s="4"/>
      <c r="W39" s="9"/>
      <c r="X39" s="9"/>
      <c r="Y39" s="9"/>
      <c r="Z39" s="9"/>
      <c r="AA39" s="9"/>
      <c r="AB39" s="9"/>
      <c r="AC39" s="449" t="str">
        <f t="shared" si="0"/>
        <v/>
      </c>
      <c r="AD39" s="449"/>
      <c r="AE39" s="449"/>
      <c r="AF39" s="4"/>
      <c r="AG39" s="83"/>
      <c r="AH39" s="4"/>
      <c r="AI39" s="4"/>
      <c r="AJ39" s="449"/>
      <c r="AK39" s="449"/>
      <c r="AL39" s="449"/>
      <c r="AM39" s="449"/>
      <c r="AN39" s="10"/>
      <c r="AO39" s="9"/>
      <c r="AP39" s="9"/>
      <c r="AQ39" s="9">
        <f>+FL_2($U$40,$T$38,$G$39,1200,9.28, 1*$F$40)</f>
        <v>-0.35144846035936189</v>
      </c>
      <c r="AR39" s="9"/>
      <c r="AS39" s="9"/>
      <c r="AT39" s="9"/>
      <c r="AU39" s="428"/>
      <c r="AV39" s="428"/>
      <c r="AW39" s="449" t="str">
        <f>IF(C39&gt;0,VLOOKUP(C39,Foundation_Calc!$A$2:$C$13,3,1),
IF(J39&gt;0,VLOOKUP(J39,Foundation_Calc!$A$2:$C$13,3,1),""))</f>
        <v/>
      </c>
      <c r="AX39" s="449" t="str">
        <f>IF(C39&gt;0,VLOOKUP(C39,Foundation_Calc!$E$2:$G$33,3,1),
IF(J39&gt;0,VLOOKUP(J39,Foundation_Calc!$E$2:$G$33,3,1),""))</f>
        <v/>
      </c>
      <c r="AY39" s="10" t="str">
        <f>IF(L39="","",
IF(AX39="PT",VLOOKUP(L39,Foundation_Calc!$K$79:$R$113,VLOOKUP(AW39,Foundation_Calc!$I$2:$J$8,2,FALSE),0),
IF(AX39="K",VLOOKUP(L39,Foundation_Calc!$K$117:$R$151,VLOOKUP(AW39,Foundation_Calc!$I$2:$J$8,2,FALSE),0),"")))</f>
        <v/>
      </c>
      <c r="AZ39" s="10" t="str">
        <f>IF(K39="","",
IF(AX39="PT",VLOOKUP(K39,Foundation_Calc!$K$79:$R$113,VLOOKUP(AW39,Foundation_Calc!$I$2:$J$8,2,FALSE),0),
IF(AX39="K",VLOOKUP(K39,Foundation_Calc!$K$117:$R$151,VLOOKUP(AW39,Foundation_Calc!$I$2:$J$8,2,FALSE),0),"")))</f>
        <v/>
      </c>
      <c r="BA39" s="495" t="str">
        <f t="shared" si="4"/>
        <v/>
      </c>
      <c r="BB39" s="495" t="str">
        <f t="shared" si="4"/>
        <v/>
      </c>
      <c r="BC39" s="495" t="str">
        <f t="shared" si="5"/>
        <v/>
      </c>
      <c r="BD39" s="513"/>
      <c r="BE39" s="429" t="s">
        <v>118</v>
      </c>
      <c r="BF39" s="290"/>
      <c r="BG39" s="290"/>
      <c r="BH39" s="290"/>
      <c r="BI39" s="290"/>
    </row>
    <row r="40" spans="1:61" ht="16.149999999999999" customHeight="1">
      <c r="A40" s="514"/>
      <c r="B40" s="450" t="s">
        <v>1684</v>
      </c>
      <c r="C40" s="3">
        <f>+$C$38+$G$39</f>
        <v>41493.339999999997</v>
      </c>
      <c r="D40" s="83"/>
      <c r="E40" s="4"/>
      <c r="F40" s="4">
        <v>0</v>
      </c>
      <c r="G40" s="6"/>
      <c r="H40" s="449" t="s">
        <v>1685</v>
      </c>
      <c r="I40" s="4" t="s">
        <v>122</v>
      </c>
      <c r="J40" s="3"/>
      <c r="K40" s="449"/>
      <c r="L40" s="449" t="s">
        <v>232</v>
      </c>
      <c r="M40" s="449" t="str">
        <f>IF(L40="","",
IF(AX40="PT",VLOOKUP(L40,Foundation_Calc!$V$79:$X$113,VLOOKUP(AX40,Foundation_Calc!$I$10:$J$13,2,FALSE),0),
IF(AX40="K",VLOOKUP(L40,Foundation_Calc!$V$117:$X$151,VLOOKUP(AX40,Foundation_Calc!$I$10:$J$13,2,FALSE),0),"")))</f>
        <v>C5R</v>
      </c>
      <c r="N40" s="554" t="s">
        <v>133</v>
      </c>
      <c r="O40" s="449" t="s">
        <v>1686</v>
      </c>
      <c r="P40" s="554" t="s">
        <v>134</v>
      </c>
      <c r="Q40" s="4"/>
      <c r="R40" s="6"/>
      <c r="S40" s="6"/>
      <c r="T40" s="4">
        <v>-55</v>
      </c>
      <c r="U40" s="4">
        <v>-35</v>
      </c>
      <c r="V40" s="4">
        <v>-20</v>
      </c>
      <c r="W40" s="9">
        <v>1.4</v>
      </c>
      <c r="X40" s="9">
        <v>1.6</v>
      </c>
      <c r="Y40" s="9">
        <v>1.8</v>
      </c>
      <c r="Z40" s="9">
        <v>0.3</v>
      </c>
      <c r="AA40" s="9"/>
      <c r="AB40" s="9"/>
      <c r="AC40" s="449"/>
      <c r="AD40" s="449"/>
      <c r="AE40" s="449"/>
      <c r="AF40" s="4"/>
      <c r="AG40" s="83"/>
      <c r="AH40" s="4"/>
      <c r="AI40" s="4"/>
      <c r="AJ40" s="449" t="s">
        <v>239</v>
      </c>
      <c r="AK40" s="449"/>
      <c r="AL40" s="449" t="s">
        <v>241</v>
      </c>
      <c r="AM40" s="449" t="s">
        <v>126</v>
      </c>
      <c r="AN40" s="10">
        <v>5.5</v>
      </c>
      <c r="AO40" s="9"/>
      <c r="AP40" s="9"/>
      <c r="AQ40" s="9"/>
      <c r="AR40" s="9"/>
      <c r="AS40" s="9"/>
      <c r="AT40" s="9">
        <f>+ab($U$40,$T$38,$U$42,$G$39,$G$41, 1*$F$40,1200)</f>
        <v>-5.9944004267239253</v>
      </c>
      <c r="AU40" s="428"/>
      <c r="AV40" s="428"/>
      <c r="AW40" s="449" t="str">
        <f>IF(C40&gt;0,VLOOKUP(C40,Foundation_Calc!$A$2:$C$13,3,1),
IF(J40&gt;0,VLOOKUP(J40,Foundation_Calc!$A$2:$C$13,3,1),""))</f>
        <v>Multi Soil</v>
      </c>
      <c r="AX40" s="449" t="str">
        <f>IF(C40&gt;0,VLOOKUP(C40,Foundation_Calc!$E$2:$G$33,3,1),
IF(J40&gt;0,VLOOKUP(J40,Foundation_Calc!$E$2:$G$33,3,1),""))</f>
        <v>PT</v>
      </c>
      <c r="AY40" s="10">
        <f>IF(L40="","",
IF(AX40="PT",VLOOKUP(L40,Foundation_Calc!$K$79:$R$113,VLOOKUP(AW40,Foundation_Calc!$I$2:$J$8,2,FALSE),0),
IF(AX40="K",VLOOKUP(L40,Foundation_Calc!$K$117:$R$151,VLOOKUP(AW40,Foundation_Calc!$I$2:$J$8,2,FALSE),0),"")))</f>
        <v>3.5</v>
      </c>
      <c r="AZ40" s="10" t="str">
        <f>IF(K40="","",
IF(AX40="PT",VLOOKUP(K40,Foundation_Calc!$K$79:$R$113,VLOOKUP(AW40,Foundation_Calc!$I$2:$J$8,2,FALSE),0),
IF(AX40="K",VLOOKUP(K40,Foundation_Calc!$K$117:$R$151,VLOOKUP(AW40,Foundation_Calc!$I$2:$J$8,2,FALSE),0),"")))</f>
        <v/>
      </c>
      <c r="BA40" s="495" t="str">
        <f t="shared" si="4"/>
        <v>ü</v>
      </c>
      <c r="BB40" s="495" t="str">
        <f t="shared" si="4"/>
        <v/>
      </c>
      <c r="BC40" s="495" t="str">
        <f t="shared" si="5"/>
        <v/>
      </c>
      <c r="BD40" s="513" t="str">
        <f>Pole_Calc!A$251</f>
        <v>App.8-V08H-P10.3</v>
      </c>
      <c r="BE40" s="429" t="s">
        <v>118</v>
      </c>
      <c r="BF40" s="289"/>
      <c r="BG40" s="289"/>
      <c r="BH40" s="290"/>
      <c r="BI40" s="289"/>
    </row>
    <row r="41" spans="1:61" ht="16.149999999999999" customHeight="1">
      <c r="A41" s="545"/>
      <c r="B41" s="450"/>
      <c r="C41" s="3"/>
      <c r="D41" s="83"/>
      <c r="E41" s="4"/>
      <c r="F41" s="4"/>
      <c r="G41" s="6">
        <v>38.799999999999997</v>
      </c>
      <c r="H41" s="449"/>
      <c r="I41" s="449"/>
      <c r="J41" s="3">
        <f>C40+7.5</f>
        <v>41500.839999999997</v>
      </c>
      <c r="K41" s="449" t="s">
        <v>117</v>
      </c>
      <c r="L41" s="449"/>
      <c r="M41" s="449" t="str">
        <f>IF(L41="","",
IF(AX41="PT",VLOOKUP(L41,Foundation_Calc!$V$79:$X$113,VLOOKUP(AX41,Foundation_Calc!$I$10:$J$13,2,FALSE),0),
IF(AX41="K",VLOOKUP(L41,Foundation_Calc!$V$117:$X$151,VLOOKUP(AX41,Foundation_Calc!$I$10:$J$13,2,FALSE),0),"")))</f>
        <v/>
      </c>
      <c r="N41" s="449"/>
      <c r="O41" s="449"/>
      <c r="P41" s="449"/>
      <c r="Q41" s="4"/>
      <c r="R41" s="6"/>
      <c r="S41" s="6"/>
      <c r="T41" s="4"/>
      <c r="U41" s="4"/>
      <c r="V41" s="4"/>
      <c r="W41" s="9"/>
      <c r="X41" s="9"/>
      <c r="Y41" s="9"/>
      <c r="Z41" s="9"/>
      <c r="AA41" s="9"/>
      <c r="AB41" s="9"/>
      <c r="AC41" s="449" t="str">
        <f t="shared" si="0"/>
        <v/>
      </c>
      <c r="AD41" s="449"/>
      <c r="AE41" s="449"/>
      <c r="AF41" s="4"/>
      <c r="AG41" s="83"/>
      <c r="AH41" s="4"/>
      <c r="AI41" s="4"/>
      <c r="AJ41" s="449"/>
      <c r="AK41" s="449"/>
      <c r="AL41" s="449"/>
      <c r="AM41" s="449"/>
      <c r="AN41" s="10"/>
      <c r="AO41" s="9"/>
      <c r="AP41" s="9"/>
      <c r="AQ41" s="9">
        <f>+FL_2($U$42,$U$40,$G$41,1200,9.28, 1*$F$42)</f>
        <v>-0.35000000000000253</v>
      </c>
      <c r="AR41" s="9"/>
      <c r="AS41" s="9"/>
      <c r="AT41" s="9"/>
      <c r="AU41" s="428"/>
      <c r="AV41" s="428"/>
      <c r="AW41" s="449" t="str">
        <f>IF(C41&gt;0,VLOOKUP(C41,Foundation_Calc!$A$2:$C$13,3,1),
IF(J41&gt;0,VLOOKUP(J41,Foundation_Calc!$A$2:$C$13,3,1),""))</f>
        <v>Multi Soil</v>
      </c>
      <c r="AX41" s="449" t="str">
        <f>IF(C41&gt;0,VLOOKUP(C41,Foundation_Calc!$E$2:$G$33,3,1),
IF(J41&gt;0,VLOOKUP(J41,Foundation_Calc!$E$2:$G$33,3,1),""))</f>
        <v>PT</v>
      </c>
      <c r="AY41" s="10" t="str">
        <f>IF(L41="","",
IF(AX41="PT",VLOOKUP(L41,Foundation_Calc!$K$79:$R$113,VLOOKUP(AW41,Foundation_Calc!$I$2:$J$8,2,FALSE),0),
IF(AX41="K",VLOOKUP(L41,Foundation_Calc!$K$117:$R$151,VLOOKUP(AW41,Foundation_Calc!$I$2:$J$8,2,FALSE),0),"")))</f>
        <v/>
      </c>
      <c r="AZ41" s="10">
        <f>IF(K41="","",
IF(AX41="PT",VLOOKUP(K41,Foundation_Calc!$K$79:$R$113,VLOOKUP(AW41,Foundation_Calc!$I$2:$J$8,2,FALSE),0),
IF(AX41="K",VLOOKUP(K41,Foundation_Calc!$K$117:$R$151,VLOOKUP(AW41,Foundation_Calc!$I$2:$J$8,2,FALSE),0),"")))</f>
        <v>3.9</v>
      </c>
      <c r="BA41" s="495" t="str">
        <f t="shared" si="4"/>
        <v/>
      </c>
      <c r="BB41" s="495" t="str">
        <f t="shared" si="4"/>
        <v>ü</v>
      </c>
      <c r="BC41" s="495" t="str">
        <f t="shared" si="5"/>
        <v/>
      </c>
      <c r="BD41" s="513"/>
      <c r="BE41" s="429" t="s">
        <v>118</v>
      </c>
      <c r="BF41" s="290"/>
      <c r="BG41" s="290"/>
      <c r="BH41" s="290"/>
      <c r="BI41" s="290"/>
    </row>
    <row r="42" spans="1:61" ht="16.149999999999999" customHeight="1">
      <c r="A42" s="545"/>
      <c r="B42" s="450" t="s">
        <v>1687</v>
      </c>
      <c r="C42" s="3">
        <f>+$C$40+$G$41</f>
        <v>41532.14</v>
      </c>
      <c r="D42" s="83"/>
      <c r="E42" s="4"/>
      <c r="F42" s="4">
        <v>0</v>
      </c>
      <c r="G42" s="6"/>
      <c r="H42" s="6" t="s">
        <v>846</v>
      </c>
      <c r="I42" s="4"/>
      <c r="J42" s="3"/>
      <c r="K42" s="449"/>
      <c r="L42" s="449" t="s">
        <v>232</v>
      </c>
      <c r="M42" s="449" t="str">
        <f>IF(L42="","",
IF(AX42="PT",VLOOKUP(L42,Foundation_Calc!$V$79:$X$113,VLOOKUP(AX42,Foundation_Calc!$I$10:$J$13,2,FALSE),0),
IF(AX42="K",VLOOKUP(L42,Foundation_Calc!$V$117:$X$151,VLOOKUP(AX42,Foundation_Calc!$I$10:$J$13,2,FALSE),0),"")))</f>
        <v>C5R</v>
      </c>
      <c r="N42" s="554" t="s">
        <v>124</v>
      </c>
      <c r="O42" s="449" t="s">
        <v>134</v>
      </c>
      <c r="P42" s="554" t="s">
        <v>133</v>
      </c>
      <c r="Q42" s="4"/>
      <c r="R42" s="6"/>
      <c r="S42" s="6"/>
      <c r="T42" s="4">
        <v>20</v>
      </c>
      <c r="U42" s="4">
        <v>35</v>
      </c>
      <c r="V42" s="4">
        <v>55</v>
      </c>
      <c r="W42" s="9">
        <v>1.8</v>
      </c>
      <c r="X42" s="9">
        <v>1.6</v>
      </c>
      <c r="Y42" s="9">
        <v>1.2</v>
      </c>
      <c r="Z42" s="9"/>
      <c r="AA42" s="9"/>
      <c r="AB42" s="9">
        <v>0.3</v>
      </c>
      <c r="AC42" s="449" t="str">
        <f t="shared" si="0"/>
        <v>PHQ</v>
      </c>
      <c r="AD42" s="449"/>
      <c r="AE42" s="449"/>
      <c r="AF42" s="4"/>
      <c r="AG42" s="83"/>
      <c r="AH42" s="4"/>
      <c r="AI42" s="4"/>
      <c r="AJ42" s="449"/>
      <c r="AK42" s="449"/>
      <c r="AL42" s="449" t="s">
        <v>241</v>
      </c>
      <c r="AM42" s="449" t="s">
        <v>126</v>
      </c>
      <c r="AN42" s="10">
        <v>5.5</v>
      </c>
      <c r="AO42" s="9"/>
      <c r="AP42" s="9"/>
      <c r="AQ42" s="9"/>
      <c r="AR42" s="9"/>
      <c r="AS42" s="9"/>
      <c r="AT42" s="9">
        <f>+ab($U$42,$U$40,$T$44,$G$41,$G$43, 1*$F$42,1200)</f>
        <v>5.9620675650992476</v>
      </c>
      <c r="AU42" s="428"/>
      <c r="AV42" s="428"/>
      <c r="AW42" s="449" t="str">
        <f>IF(C42&gt;0,VLOOKUP(C42,Foundation_Calc!$A$2:$C$13,3,1),
IF(J42&gt;0,VLOOKUP(J42,Foundation_Calc!$A$2:$C$13,3,1),""))</f>
        <v>Multi Soil</v>
      </c>
      <c r="AX42" s="449" t="str">
        <f>IF(C42&gt;0,VLOOKUP(C42,Foundation_Calc!$E$2:$G$33,3,1),
IF(J42&gt;0,VLOOKUP(J42,Foundation_Calc!$E$2:$G$33,3,1),""))</f>
        <v>PT</v>
      </c>
      <c r="AY42" s="10">
        <f>IF(L42="","",
IF(AX42="PT",VLOOKUP(L42,Foundation_Calc!$K$79:$R$113,VLOOKUP(AW42,Foundation_Calc!$I$2:$J$8,2,FALSE),0),
IF(AX42="K",VLOOKUP(L42,Foundation_Calc!$K$117:$R$151,VLOOKUP(AW42,Foundation_Calc!$I$2:$J$8,2,FALSE),0),"")))</f>
        <v>3.5</v>
      </c>
      <c r="AZ42" s="10" t="str">
        <f>IF(K42="","",
IF(AX42="PT",VLOOKUP(K42,Foundation_Calc!$K$79:$R$113,VLOOKUP(AW42,Foundation_Calc!$I$2:$J$8,2,FALSE),0),
IF(AX42="K",VLOOKUP(K42,Foundation_Calc!$K$117:$R$151,VLOOKUP(AW42,Foundation_Calc!$I$2:$J$8,2,FALSE),0),"")))</f>
        <v/>
      </c>
      <c r="BA42" s="495" t="str">
        <f t="shared" si="4"/>
        <v>ü</v>
      </c>
      <c r="BB42" s="495" t="str">
        <f t="shared" si="4"/>
        <v/>
      </c>
      <c r="BC42" s="495" t="str">
        <f t="shared" si="5"/>
        <v/>
      </c>
      <c r="BD42" s="513" t="str">
        <f>Pole_Calc!A$251</f>
        <v>App.8-V08H-P10.3</v>
      </c>
      <c r="BE42" s="429" t="s">
        <v>118</v>
      </c>
      <c r="BF42" s="289"/>
      <c r="BG42" s="289"/>
      <c r="BH42" s="290"/>
      <c r="BI42" s="289"/>
    </row>
    <row r="43" spans="1:61" ht="16.149999999999999" customHeight="1">
      <c r="A43" s="545"/>
      <c r="B43" s="450"/>
      <c r="C43" s="3"/>
      <c r="D43" s="83"/>
      <c r="E43" s="4"/>
      <c r="F43" s="4"/>
      <c r="G43" s="6">
        <v>49.9</v>
      </c>
      <c r="H43" s="449"/>
      <c r="I43" s="449" t="s">
        <v>122</v>
      </c>
      <c r="J43" s="3"/>
      <c r="K43" s="449"/>
      <c r="L43" s="449"/>
      <c r="M43" s="449" t="str">
        <f>IF(L43="","",
IF(AX43="PT",VLOOKUP(L43,Foundation_Calc!$V$79:$X$113,VLOOKUP(AX43,Foundation_Calc!$I$10:$J$13,2,FALSE),0),
IF(AX43="K",VLOOKUP(L43,Foundation_Calc!$V$117:$X$151,VLOOKUP(AX43,Foundation_Calc!$I$10:$J$13,2,FALSE),0),"")))</f>
        <v/>
      </c>
      <c r="N43" s="575"/>
      <c r="O43" s="449"/>
      <c r="P43" s="449"/>
      <c r="Q43" s="4"/>
      <c r="R43" s="6"/>
      <c r="S43" s="6"/>
      <c r="T43" s="4"/>
      <c r="U43" s="4"/>
      <c r="V43" s="4"/>
      <c r="W43" s="9"/>
      <c r="X43" s="9"/>
      <c r="Y43" s="9"/>
      <c r="Z43" s="9"/>
      <c r="AA43" s="9"/>
      <c r="AB43" s="9"/>
      <c r="AC43" s="449" t="str">
        <f t="shared" si="0"/>
        <v/>
      </c>
      <c r="AD43" s="449"/>
      <c r="AE43" s="449"/>
      <c r="AF43" s="4"/>
      <c r="AG43" s="83"/>
      <c r="AH43" s="4"/>
      <c r="AI43" s="4"/>
      <c r="AJ43" s="449"/>
      <c r="AK43" s="449"/>
      <c r="AL43" s="449"/>
      <c r="AM43" s="449"/>
      <c r="AN43" s="10"/>
      <c r="AO43" s="9"/>
      <c r="AP43" s="9"/>
      <c r="AQ43" s="9">
        <f>+FL_2($T$44,$U$42,$G$43,1200,9.28, 1*$F$44)</f>
        <v>-0.36793352587575145</v>
      </c>
      <c r="AR43" s="9"/>
      <c r="AS43" s="9"/>
      <c r="AT43" s="9"/>
      <c r="AU43" s="428"/>
      <c r="AV43" s="428"/>
      <c r="AW43" s="449" t="str">
        <f>IF(C43&gt;0,VLOOKUP(C43,Foundation_Calc!$A$2:$C$13,3,1),
IF(J43&gt;0,VLOOKUP(J43,Foundation_Calc!$A$2:$C$13,3,1),""))</f>
        <v/>
      </c>
      <c r="AX43" s="449" t="str">
        <f>IF(C43&gt;0,VLOOKUP(C43,Foundation_Calc!$E$2:$G$33,3,1),
IF(J43&gt;0,VLOOKUP(J43,Foundation_Calc!$E$2:$G$33,3,1),""))</f>
        <v/>
      </c>
      <c r="AY43" s="10" t="str">
        <f>IF(L43="","",
IF(AX43="PT",VLOOKUP(L43,Foundation_Calc!$K$79:$R$113,VLOOKUP(AW43,Foundation_Calc!$I$2:$J$8,2,FALSE),0),
IF(AX43="K",VLOOKUP(L43,Foundation_Calc!$K$117:$R$151,VLOOKUP(AW43,Foundation_Calc!$I$2:$J$8,2,FALSE),0),"")))</f>
        <v/>
      </c>
      <c r="AZ43" s="10" t="str">
        <f>IF(K43="","",
IF(AX43="PT",VLOOKUP(K43,Foundation_Calc!$K$79:$R$113,VLOOKUP(AW43,Foundation_Calc!$I$2:$J$8,2,FALSE),0),
IF(AX43="K",VLOOKUP(K43,Foundation_Calc!$K$117:$R$151,VLOOKUP(AW43,Foundation_Calc!$I$2:$J$8,2,FALSE),0),"")))</f>
        <v/>
      </c>
      <c r="BA43" s="495" t="str">
        <f t="shared" si="4"/>
        <v/>
      </c>
      <c r="BB43" s="495" t="str">
        <f t="shared" si="4"/>
        <v/>
      </c>
      <c r="BC43" s="495" t="str">
        <f t="shared" si="5"/>
        <v/>
      </c>
      <c r="BD43" s="513"/>
      <c r="BE43" s="429" t="s">
        <v>118</v>
      </c>
      <c r="BF43" s="290"/>
      <c r="BG43" s="290"/>
      <c r="BH43" s="290"/>
      <c r="BI43" s="290"/>
    </row>
    <row r="44" spans="1:61" ht="16.149999999999999" customHeight="1">
      <c r="A44" s="514"/>
      <c r="B44" s="450" t="s">
        <v>1688</v>
      </c>
      <c r="C44" s="3">
        <f>+$C$42+$G$43</f>
        <v>41582.04</v>
      </c>
      <c r="D44" s="83"/>
      <c r="E44" s="4"/>
      <c r="F44" s="4">
        <v>0</v>
      </c>
      <c r="G44" s="6"/>
      <c r="H44" s="449" t="s">
        <v>1689</v>
      </c>
      <c r="I44" s="449"/>
      <c r="J44" s="3"/>
      <c r="K44" s="449"/>
      <c r="L44" s="449" t="s">
        <v>247</v>
      </c>
      <c r="M44" s="449" t="str">
        <f>IF(L44="","",
IF(AX44="PT",VLOOKUP(L44,Foundation_Calc!$V$79:$X$113,VLOOKUP(AX44,Foundation_Calc!$I$10:$J$13,2,FALSE),0),
IF(AX44="K",VLOOKUP(L44,Foundation_Calc!$V$117:$X$151,VLOOKUP(AX44,Foundation_Calc!$I$10:$J$13,2,FALSE),0),"")))</f>
        <v>C12R</v>
      </c>
      <c r="N44" s="449" t="s">
        <v>124</v>
      </c>
      <c r="O44" s="449"/>
      <c r="P44" s="449"/>
      <c r="Q44" s="4"/>
      <c r="R44" s="6"/>
      <c r="S44" s="6"/>
      <c r="T44" s="4">
        <v>-35</v>
      </c>
      <c r="U44" s="4"/>
      <c r="V44" s="4"/>
      <c r="W44" s="9">
        <v>0.8</v>
      </c>
      <c r="X44" s="9"/>
      <c r="Y44" s="9"/>
      <c r="Z44" s="9"/>
      <c r="AA44" s="9"/>
      <c r="AB44" s="9"/>
      <c r="AC44" s="449" t="str">
        <f t="shared" si="0"/>
        <v>PHQ</v>
      </c>
      <c r="AD44" s="449"/>
      <c r="AE44" s="449"/>
      <c r="AF44" s="4"/>
      <c r="AG44" s="83"/>
      <c r="AH44" s="4"/>
      <c r="AI44" s="4"/>
      <c r="AJ44" s="449"/>
      <c r="AK44" s="449"/>
      <c r="AL44" s="449" t="s">
        <v>241</v>
      </c>
      <c r="AM44" s="449" t="s">
        <v>126</v>
      </c>
      <c r="AN44" s="10">
        <v>5.5</v>
      </c>
      <c r="AO44" s="9"/>
      <c r="AP44" s="9"/>
      <c r="AQ44" s="9"/>
      <c r="AR44" s="9"/>
      <c r="AS44" s="9"/>
      <c r="AT44" s="9">
        <f>+ab($T$44,$U$42,$U$46,$G$43,$G$45, 1*$F$44,1200)</f>
        <v>-6.2903636451263925</v>
      </c>
      <c r="AU44" s="428"/>
      <c r="AV44" s="428"/>
      <c r="AW44" s="449" t="str">
        <f>IF(C44&gt;0,VLOOKUP(C44,Foundation_Calc!$A$2:$C$13,3,1),
IF(J44&gt;0,VLOOKUP(J44,Foundation_Calc!$A$2:$C$13,3,1),""))</f>
        <v>Multi Soil</v>
      </c>
      <c r="AX44" s="449" t="str">
        <f>IF(C44&gt;0,VLOOKUP(C44,Foundation_Calc!$E$2:$G$33,3,1),
IF(J44&gt;0,VLOOKUP(J44,Foundation_Calc!$E$2:$G$33,3,1),""))</f>
        <v>PT</v>
      </c>
      <c r="AY44" s="10">
        <f>IF(L44="","",
IF(AX44="PT",VLOOKUP(L44,Foundation_Calc!$K$79:$R$113,VLOOKUP(AW44,Foundation_Calc!$I$2:$J$8,2,FALSE),0),
IF(AX44="K",VLOOKUP(L44,Foundation_Calc!$K$117:$R$151,VLOOKUP(AW44,Foundation_Calc!$I$2:$J$8,2,FALSE),0),"")))</f>
        <v>6.2</v>
      </c>
      <c r="AZ44" s="10" t="str">
        <f>IF(K44="","",
IF(AX44="PT",VLOOKUP(K44,Foundation_Calc!$K$79:$R$113,VLOOKUP(AW44,Foundation_Calc!$I$2:$J$8,2,FALSE),0),
IF(AX44="K",VLOOKUP(K44,Foundation_Calc!$K$117:$R$151,VLOOKUP(AW44,Foundation_Calc!$I$2:$J$8,2,FALSE),0),"")))</f>
        <v/>
      </c>
      <c r="BA44" s="495" t="str">
        <f t="shared" si="4"/>
        <v>ü</v>
      </c>
      <c r="BB44" s="495" t="str">
        <f t="shared" si="4"/>
        <v/>
      </c>
      <c r="BC44" s="495" t="str">
        <f t="shared" si="5"/>
        <v/>
      </c>
      <c r="BD44" s="513" t="str">
        <f>Pole_Calc!A$251</f>
        <v>App.8-V08H-P10.3</v>
      </c>
      <c r="BE44" s="429" t="s">
        <v>118</v>
      </c>
      <c r="BF44" s="289"/>
      <c r="BG44" s="289"/>
      <c r="BH44" s="290"/>
      <c r="BI44" s="289"/>
    </row>
    <row r="45" spans="1:61" ht="16.149999999999999" customHeight="1">
      <c r="A45" s="514" t="s">
        <v>469</v>
      </c>
      <c r="B45" s="450"/>
      <c r="C45" s="3"/>
      <c r="D45" s="83"/>
      <c r="E45" s="4"/>
      <c r="F45" s="4"/>
      <c r="G45" s="6">
        <v>42.8</v>
      </c>
      <c r="H45" s="449"/>
      <c r="I45" s="449" t="s">
        <v>162</v>
      </c>
      <c r="J45" s="3"/>
      <c r="K45" s="449"/>
      <c r="L45" s="449"/>
      <c r="M45" s="449" t="str">
        <f>IF(L45="","",
IF(AX45="PT",VLOOKUP(L45,Foundation_Calc!$V$79:$X$113,VLOOKUP(AX45,Foundation_Calc!$I$10:$J$13,2,FALSE),0),
IF(AX45="K",VLOOKUP(L45,Foundation_Calc!$V$117:$X$151,VLOOKUP(AX45,Foundation_Calc!$I$10:$J$13,2,FALSE),0),"")))</f>
        <v/>
      </c>
      <c r="N45" s="575"/>
      <c r="O45" s="449"/>
      <c r="P45" s="449"/>
      <c r="Q45" s="4"/>
      <c r="R45" s="6"/>
      <c r="S45" s="6"/>
      <c r="T45" s="4"/>
      <c r="U45" s="4"/>
      <c r="V45" s="4"/>
      <c r="W45" s="9"/>
      <c r="X45" s="9"/>
      <c r="Y45" s="9"/>
      <c r="Z45" s="9"/>
      <c r="AA45" s="9"/>
      <c r="AB45" s="9"/>
      <c r="AC45" s="449" t="str">
        <f t="shared" si="0"/>
        <v/>
      </c>
      <c r="AD45" s="449"/>
      <c r="AE45" s="449"/>
      <c r="AF45" s="4"/>
      <c r="AG45" s="83"/>
      <c r="AH45" s="4"/>
      <c r="AI45" s="4"/>
      <c r="AJ45" s="449"/>
      <c r="AK45" s="449"/>
      <c r="AL45" s="449"/>
      <c r="AM45" s="449"/>
      <c r="AN45" s="10"/>
      <c r="AO45" s="9"/>
      <c r="AP45" s="9"/>
      <c r="AQ45" s="9">
        <f>+FL_1($U$46,$T$44,$G$45,1200,9.28, 1*$F$46)</f>
        <v>0.35002438161993765</v>
      </c>
      <c r="AR45" s="9"/>
      <c r="AS45" s="9"/>
      <c r="AT45" s="9"/>
      <c r="AU45" s="428"/>
      <c r="AV45" s="428"/>
      <c r="AW45" s="449" t="str">
        <f>IF(C45&gt;0,VLOOKUP(C45,Foundation_Calc!$A$2:$C$13,3,1),
IF(J45&gt;0,VLOOKUP(J45,Foundation_Calc!$A$2:$C$13,3,1),""))</f>
        <v/>
      </c>
      <c r="AX45" s="449" t="str">
        <f>IF(C45&gt;0,VLOOKUP(C45,Foundation_Calc!$E$2:$G$33,3,1),
IF(J45&gt;0,VLOOKUP(J45,Foundation_Calc!$E$2:$G$33,3,1),""))</f>
        <v/>
      </c>
      <c r="AY45" s="10" t="str">
        <f>IF(L45="","",
IF(AX45="PT",VLOOKUP(L45,Foundation_Calc!$K$79:$R$113,VLOOKUP(AW45,Foundation_Calc!$I$2:$J$8,2,FALSE),0),
IF(AX45="K",VLOOKUP(L45,Foundation_Calc!$K$117:$R$151,VLOOKUP(AW45,Foundation_Calc!$I$2:$J$8,2,FALSE),0),"")))</f>
        <v/>
      </c>
      <c r="AZ45" s="10" t="str">
        <f>IF(K45="","",
IF(AX45="PT",VLOOKUP(K45,Foundation_Calc!$K$79:$R$113,VLOOKUP(AW45,Foundation_Calc!$I$2:$J$8,2,FALSE),0),
IF(AX45="K",VLOOKUP(K45,Foundation_Calc!$K$117:$R$151,VLOOKUP(AW45,Foundation_Calc!$I$2:$J$8,2,FALSE),0),"")))</f>
        <v/>
      </c>
      <c r="BA45" s="495" t="str">
        <f t="shared" si="4"/>
        <v/>
      </c>
      <c r="BB45" s="495" t="str">
        <f t="shared" si="4"/>
        <v/>
      </c>
      <c r="BC45" s="495" t="str">
        <f t="shared" si="5"/>
        <v/>
      </c>
      <c r="BD45" s="513"/>
      <c r="BE45" s="429" t="s">
        <v>118</v>
      </c>
      <c r="BF45" s="290"/>
      <c r="BG45" s="290"/>
      <c r="BH45" s="290"/>
      <c r="BI45" s="290"/>
    </row>
    <row r="46" spans="1:61" ht="16.149999999999999" customHeight="1">
      <c r="A46" s="514"/>
      <c r="B46" s="450" t="s">
        <v>1690</v>
      </c>
      <c r="C46" s="3">
        <f>+$C$44+$G$45</f>
        <v>41624.840000000004</v>
      </c>
      <c r="D46" s="83"/>
      <c r="E46" s="4"/>
      <c r="F46" s="4">
        <v>0</v>
      </c>
      <c r="G46" s="6"/>
      <c r="H46" s="449" t="s">
        <v>131</v>
      </c>
      <c r="I46" s="449"/>
      <c r="J46" s="3"/>
      <c r="K46" s="449"/>
      <c r="L46" s="449" t="s">
        <v>232</v>
      </c>
      <c r="M46" s="449" t="str">
        <f>IF(L46="","",
IF(AX46="PT",VLOOKUP(L46,Foundation_Calc!$V$79:$X$113,VLOOKUP(AX46,Foundation_Calc!$I$10:$J$13,2,FALSE),0),
IF(AX46="K",VLOOKUP(L46,Foundation_Calc!$V$117:$X$151,VLOOKUP(AX46,Foundation_Calc!$I$10:$J$13,2,FALSE),0),"")))</f>
        <v>C5R</v>
      </c>
      <c r="N46" s="449" t="s">
        <v>133</v>
      </c>
      <c r="O46" s="449" t="s">
        <v>134</v>
      </c>
      <c r="P46" s="449"/>
      <c r="Q46" s="4"/>
      <c r="R46" s="6"/>
      <c r="S46" s="6"/>
      <c r="T46" s="4">
        <v>55</v>
      </c>
      <c r="U46" s="4">
        <v>35</v>
      </c>
      <c r="V46" s="4"/>
      <c r="W46" s="9">
        <v>0.8</v>
      </c>
      <c r="X46" s="9">
        <v>0.9</v>
      </c>
      <c r="Y46" s="9"/>
      <c r="Z46" s="9">
        <v>0.3</v>
      </c>
      <c r="AA46" s="9"/>
      <c r="AB46" s="9"/>
      <c r="AC46" s="449"/>
      <c r="AD46" s="449"/>
      <c r="AE46" s="449"/>
      <c r="AF46" s="4"/>
      <c r="AG46" s="83"/>
      <c r="AH46" s="4"/>
      <c r="AI46" s="4"/>
      <c r="AJ46" s="449"/>
      <c r="AK46" s="449"/>
      <c r="AL46" s="449" t="s">
        <v>241</v>
      </c>
      <c r="AM46" s="449" t="s">
        <v>126</v>
      </c>
      <c r="AN46" s="10">
        <v>5.5</v>
      </c>
      <c r="AO46" s="9"/>
      <c r="AP46" s="9"/>
      <c r="AQ46" s="9"/>
      <c r="AR46" s="9"/>
      <c r="AS46" s="9"/>
      <c r="AT46" s="9">
        <f>+ab($U$46,$T$44,$T$48,$G$45,$G$47, 1*$F$46,1200)</f>
        <v>6.290344606923596</v>
      </c>
      <c r="AU46" s="428"/>
      <c r="AV46" s="428"/>
      <c r="AW46" s="449" t="str">
        <f>IF(C46&gt;0,VLOOKUP(C46,Foundation_Calc!$A$2:$C$13,3,1),
IF(J46&gt;0,VLOOKUP(J46,Foundation_Calc!$A$2:$C$13,3,1),""))</f>
        <v>Multi Soil</v>
      </c>
      <c r="AX46" s="449" t="str">
        <f>IF(C46&gt;0,VLOOKUP(C46,Foundation_Calc!$E$2:$G$33,3,1),
IF(J46&gt;0,VLOOKUP(J46,Foundation_Calc!$E$2:$G$33,3,1),""))</f>
        <v>PT</v>
      </c>
      <c r="AY46" s="10">
        <f>IF(L46="","",
IF(AX46="PT",VLOOKUP(L46,Foundation_Calc!$K$79:$R$113,VLOOKUP(AW46,Foundation_Calc!$I$2:$J$8,2,FALSE),0),
IF(AX46="K",VLOOKUP(L46,Foundation_Calc!$K$117:$R$151,VLOOKUP(AW46,Foundation_Calc!$I$2:$J$8,2,FALSE),0),"")))</f>
        <v>3.5</v>
      </c>
      <c r="AZ46" s="10" t="str">
        <f>IF(K46="","",
IF(AX46="PT",VLOOKUP(K46,Foundation_Calc!$K$79:$R$113,VLOOKUP(AW46,Foundation_Calc!$I$2:$J$8,2,FALSE),0),
IF(AX46="K",VLOOKUP(K46,Foundation_Calc!$K$117:$R$151,VLOOKUP(AW46,Foundation_Calc!$I$2:$J$8,2,FALSE),0),"")))</f>
        <v/>
      </c>
      <c r="BA46" s="495" t="str">
        <f t="shared" si="4"/>
        <v>ü</v>
      </c>
      <c r="BB46" s="495" t="str">
        <f t="shared" si="4"/>
        <v/>
      </c>
      <c r="BC46" s="495" t="str">
        <f t="shared" si="5"/>
        <v/>
      </c>
      <c r="BD46" s="513" t="str">
        <f>Pole_Calc!A$251</f>
        <v>App.8-V08H-P10.3</v>
      </c>
      <c r="BE46" s="429" t="s">
        <v>118</v>
      </c>
      <c r="BF46" s="289"/>
      <c r="BG46" s="289"/>
      <c r="BH46" s="290"/>
      <c r="BI46" s="289"/>
    </row>
    <row r="47" spans="1:61" ht="16.149999999999999" customHeight="1">
      <c r="A47" s="514"/>
      <c r="B47" s="450"/>
      <c r="C47" s="3"/>
      <c r="D47" s="83"/>
      <c r="E47" s="4"/>
      <c r="F47" s="4"/>
      <c r="G47" s="6">
        <v>49.9</v>
      </c>
      <c r="H47" s="449"/>
      <c r="I47" s="449"/>
      <c r="J47" s="3"/>
      <c r="K47" s="449"/>
      <c r="L47" s="449"/>
      <c r="M47" s="449" t="str">
        <f>IF(L47="","",
IF(AX47="PT",VLOOKUP(L47,Foundation_Calc!$V$79:$X$113,VLOOKUP(AX47,Foundation_Calc!$I$10:$J$13,2,FALSE),0),
IF(AX47="K",VLOOKUP(L47,Foundation_Calc!$V$117:$X$151,VLOOKUP(AX47,Foundation_Calc!$I$10:$J$13,2,FALSE),0),"")))</f>
        <v/>
      </c>
      <c r="N47" s="449"/>
      <c r="O47" s="449"/>
      <c r="P47" s="449"/>
      <c r="Q47" s="4"/>
      <c r="R47" s="6"/>
      <c r="S47" s="6"/>
      <c r="T47" s="4"/>
      <c r="U47" s="4"/>
      <c r="V47" s="4"/>
      <c r="W47" s="9"/>
      <c r="X47" s="9"/>
      <c r="Y47" s="9"/>
      <c r="Z47" s="9"/>
      <c r="AA47" s="9"/>
      <c r="AB47" s="9"/>
      <c r="AC47" s="449" t="str">
        <f t="shared" si="0"/>
        <v/>
      </c>
      <c r="AD47" s="449"/>
      <c r="AE47" s="449"/>
      <c r="AF47" s="4"/>
      <c r="AG47" s="83"/>
      <c r="AH47" s="4"/>
      <c r="AI47" s="4"/>
      <c r="AJ47" s="449"/>
      <c r="AK47" s="449"/>
      <c r="AL47" s="449"/>
      <c r="AM47" s="449"/>
      <c r="AN47" s="10"/>
      <c r="AO47" s="9"/>
      <c r="AP47" s="9"/>
      <c r="AQ47" s="9">
        <f>+FL_1($T$48,$U$46,$G$47,1200,9.28, 1*$F$48)</f>
        <v>0.36793352587575157</v>
      </c>
      <c r="AR47" s="9"/>
      <c r="AS47" s="9"/>
      <c r="AT47" s="9"/>
      <c r="AU47" s="428"/>
      <c r="AV47" s="428"/>
      <c r="AW47" s="449" t="str">
        <f>IF(C47&gt;0,VLOOKUP(C47,Foundation_Calc!$A$2:$C$13,3,1),
IF(J47&gt;0,VLOOKUP(J47,Foundation_Calc!$A$2:$C$13,3,1),""))</f>
        <v/>
      </c>
      <c r="AX47" s="449" t="str">
        <f>IF(C47&gt;0,VLOOKUP(C47,Foundation_Calc!$E$2:$G$33,3,1),
IF(J47&gt;0,VLOOKUP(J47,Foundation_Calc!$E$2:$G$33,3,1),""))</f>
        <v/>
      </c>
      <c r="AY47" s="10" t="str">
        <f>IF(L47="","",
IF(AX47="PT",VLOOKUP(L47,Foundation_Calc!$K$79:$R$113,VLOOKUP(AW47,Foundation_Calc!$I$2:$J$8,2,FALSE),0),
IF(AX47="K",VLOOKUP(L47,Foundation_Calc!$K$117:$R$151,VLOOKUP(AW47,Foundation_Calc!$I$2:$J$8,2,FALSE),0),"")))</f>
        <v/>
      </c>
      <c r="AZ47" s="10" t="str">
        <f>IF(K47="","",
IF(AX47="PT",VLOOKUP(K47,Foundation_Calc!$K$79:$R$113,VLOOKUP(AW47,Foundation_Calc!$I$2:$J$8,2,FALSE),0),
IF(AX47="K",VLOOKUP(K47,Foundation_Calc!$K$117:$R$151,VLOOKUP(AW47,Foundation_Calc!$I$2:$J$8,2,FALSE),0),"")))</f>
        <v/>
      </c>
      <c r="BA47" s="495" t="str">
        <f t="shared" si="4"/>
        <v/>
      </c>
      <c r="BB47" s="495" t="str">
        <f t="shared" si="4"/>
        <v/>
      </c>
      <c r="BC47" s="495" t="str">
        <f t="shared" si="5"/>
        <v/>
      </c>
      <c r="BD47" s="513"/>
      <c r="BE47" s="429" t="s">
        <v>118</v>
      </c>
      <c r="BF47" s="290"/>
      <c r="BG47" s="290"/>
      <c r="BH47" s="290"/>
      <c r="BI47" s="290"/>
    </row>
    <row r="48" spans="1:61" ht="16.149999999999999" customHeight="1">
      <c r="A48" s="514"/>
      <c r="B48" s="450" t="s">
        <v>1691</v>
      </c>
      <c r="C48" s="3">
        <f>+$C$46+$G$47</f>
        <v>41674.740000000005</v>
      </c>
      <c r="D48" s="83"/>
      <c r="E48" s="4"/>
      <c r="F48" s="4">
        <v>0</v>
      </c>
      <c r="G48" s="6"/>
      <c r="H48" s="449" t="s">
        <v>131</v>
      </c>
      <c r="I48" s="449"/>
      <c r="J48" s="3"/>
      <c r="K48" s="449"/>
      <c r="L48" s="449" t="s">
        <v>232</v>
      </c>
      <c r="M48" s="449" t="str">
        <f>IF(L48="","",
IF(AX48="PT",VLOOKUP(L48,Foundation_Calc!$V$79:$X$113,VLOOKUP(AX48,Foundation_Calc!$I$10:$J$13,2,FALSE),0),
IF(AX48="K",VLOOKUP(L48,Foundation_Calc!$V$117:$X$151,VLOOKUP(AX48,Foundation_Calc!$I$10:$J$13,2,FALSE),0),"")))</f>
        <v>C5R</v>
      </c>
      <c r="N48" s="449" t="s">
        <v>124</v>
      </c>
      <c r="O48" s="449" t="s">
        <v>133</v>
      </c>
      <c r="P48" s="449"/>
      <c r="Q48" s="4"/>
      <c r="R48" s="6"/>
      <c r="S48" s="6"/>
      <c r="T48" s="4">
        <v>-35</v>
      </c>
      <c r="U48" s="4">
        <v>55</v>
      </c>
      <c r="V48" s="4"/>
      <c r="W48" s="9">
        <v>1.4</v>
      </c>
      <c r="X48" s="9">
        <v>1.1000000000000001</v>
      </c>
      <c r="Y48" s="9"/>
      <c r="Z48" s="9"/>
      <c r="AA48" s="9">
        <v>0.4</v>
      </c>
      <c r="AB48" s="9"/>
      <c r="AC48" s="449" t="str">
        <f t="shared" si="0"/>
        <v>PHQ</v>
      </c>
      <c r="AD48" s="449"/>
      <c r="AE48" s="449"/>
      <c r="AF48" s="4"/>
      <c r="AG48" s="83"/>
      <c r="AH48" s="4"/>
      <c r="AI48" s="4"/>
      <c r="AJ48" s="449"/>
      <c r="AK48" s="449"/>
      <c r="AL48" s="449" t="s">
        <v>241</v>
      </c>
      <c r="AM48" s="449" t="s">
        <v>126</v>
      </c>
      <c r="AN48" s="10">
        <v>5.5</v>
      </c>
      <c r="AO48" s="9"/>
      <c r="AP48" s="9"/>
      <c r="AQ48" s="9"/>
      <c r="AR48" s="9"/>
      <c r="AS48" s="9"/>
      <c r="AT48" s="9">
        <f>+ab($T$48,$U$46,$T$50,$G$47,$G$49, 1*$F$48,1200)</f>
        <v>-6.7183839749285923</v>
      </c>
      <c r="AU48" s="428"/>
      <c r="AV48" s="428"/>
      <c r="AW48" s="449" t="str">
        <f>IF(C48&gt;0,VLOOKUP(C48,Foundation_Calc!$A$2:$C$13,3,1),
IF(J48&gt;0,VLOOKUP(J48,Foundation_Calc!$A$2:$C$13,3,1),""))</f>
        <v>Multi Soil</v>
      </c>
      <c r="AX48" s="449" t="str">
        <f>IF(C48&gt;0,VLOOKUP(C48,Foundation_Calc!$E$2:$G$33,3,1),
IF(J48&gt;0,VLOOKUP(J48,Foundation_Calc!$E$2:$G$33,3,1),""))</f>
        <v>PT</v>
      </c>
      <c r="AY48" s="10">
        <f>IF(L48="","",
IF(AX48="PT",VLOOKUP(L48,Foundation_Calc!$K$79:$R$113,VLOOKUP(AW48,Foundation_Calc!$I$2:$J$8,2,FALSE),0),
IF(AX48="K",VLOOKUP(L48,Foundation_Calc!$K$117:$R$151,VLOOKUP(AW48,Foundation_Calc!$I$2:$J$8,2,FALSE),0),"")))</f>
        <v>3.5</v>
      </c>
      <c r="AZ48" s="10" t="str">
        <f>IF(K48="","",
IF(AX48="PT",VLOOKUP(K48,Foundation_Calc!$K$79:$R$113,VLOOKUP(AW48,Foundation_Calc!$I$2:$J$8,2,FALSE),0),
IF(AX48="K",VLOOKUP(K48,Foundation_Calc!$K$117:$R$151,VLOOKUP(AW48,Foundation_Calc!$I$2:$J$8,2,FALSE),0),"")))</f>
        <v/>
      </c>
      <c r="BA48" s="495" t="str">
        <f t="shared" si="4"/>
        <v>ü</v>
      </c>
      <c r="BB48" s="495" t="str">
        <f t="shared" si="4"/>
        <v/>
      </c>
      <c r="BC48" s="495" t="str">
        <f t="shared" si="5"/>
        <v/>
      </c>
      <c r="BD48" s="513" t="str">
        <f>Pole_Calc!A$251</f>
        <v>App.8-V08H-P10.3</v>
      </c>
      <c r="BE48" s="429" t="s">
        <v>118</v>
      </c>
      <c r="BF48" s="289"/>
      <c r="BG48" s="289"/>
      <c r="BH48" s="290"/>
      <c r="BI48" s="289"/>
    </row>
    <row r="49" spans="1:61" ht="16.149999999999999" customHeight="1">
      <c r="A49" s="514"/>
      <c r="B49" s="450"/>
      <c r="C49" s="3"/>
      <c r="D49" s="83"/>
      <c r="E49" s="4"/>
      <c r="F49" s="4"/>
      <c r="G49" s="6">
        <v>48.6</v>
      </c>
      <c r="H49" s="449"/>
      <c r="I49" s="449">
        <v>280</v>
      </c>
      <c r="J49" s="3"/>
      <c r="K49" s="449"/>
      <c r="L49" s="449"/>
      <c r="M49" s="449" t="str">
        <f>IF(L49="","",
IF(AX49="PT",VLOOKUP(L49,Foundation_Calc!$V$79:$X$113,VLOOKUP(AX49,Foundation_Calc!$I$10:$J$13,2,FALSE),0),
IF(AX49="K",VLOOKUP(L49,Foundation_Calc!$V$117:$X$151,VLOOKUP(AX49,Foundation_Calc!$I$10:$J$13,2,FALSE),0),"")))</f>
        <v/>
      </c>
      <c r="N49" s="449"/>
      <c r="O49" s="449"/>
      <c r="P49" s="449"/>
      <c r="Q49" s="4"/>
      <c r="R49" s="6"/>
      <c r="S49" s="6"/>
      <c r="T49" s="4"/>
      <c r="U49" s="4"/>
      <c r="V49" s="4"/>
      <c r="W49" s="9"/>
      <c r="X49" s="9"/>
      <c r="Y49" s="9"/>
      <c r="Z49" s="9"/>
      <c r="AA49" s="9"/>
      <c r="AB49" s="9"/>
      <c r="AC49" s="449" t="str">
        <f t="shared" si="0"/>
        <v/>
      </c>
      <c r="AD49" s="449"/>
      <c r="AE49" s="449"/>
      <c r="AF49" s="4"/>
      <c r="AG49" s="83"/>
      <c r="AH49" s="4"/>
      <c r="AI49" s="4"/>
      <c r="AJ49" s="449"/>
      <c r="AK49" s="449"/>
      <c r="AL49" s="449"/>
      <c r="AM49" s="449"/>
      <c r="AN49" s="10"/>
      <c r="AO49" s="9"/>
      <c r="AP49" s="9"/>
      <c r="AQ49" s="9">
        <f>+FL_2($T$50,$T$48,$G$49,1200,9.28, 1*$F$50)</f>
        <v>-0.36245306574485592</v>
      </c>
      <c r="AR49" s="9"/>
      <c r="AS49" s="9"/>
      <c r="AT49" s="9"/>
      <c r="AU49" s="428"/>
      <c r="AV49" s="428"/>
      <c r="AW49" s="449" t="str">
        <f>IF(C49&gt;0,VLOOKUP(C49,Foundation_Calc!$A$2:$C$13,3,1),
IF(J49&gt;0,VLOOKUP(J49,Foundation_Calc!$A$2:$C$13,3,1),""))</f>
        <v/>
      </c>
      <c r="AX49" s="449" t="str">
        <f>IF(C49&gt;0,VLOOKUP(C49,Foundation_Calc!$E$2:$G$33,3,1),
IF(J49&gt;0,VLOOKUP(J49,Foundation_Calc!$E$2:$G$33,3,1),""))</f>
        <v/>
      </c>
      <c r="AY49" s="10" t="str">
        <f>IF(L49="","",
IF(AX49="PT",VLOOKUP(L49,Foundation_Calc!$K$79:$R$113,VLOOKUP(AW49,Foundation_Calc!$I$2:$J$8,2,FALSE),0),
IF(AX49="K",VLOOKUP(L49,Foundation_Calc!$K$117:$R$151,VLOOKUP(AW49,Foundation_Calc!$I$2:$J$8,2,FALSE),0),"")))</f>
        <v/>
      </c>
      <c r="AZ49" s="10" t="str">
        <f>IF(K49="","",
IF(AX49="PT",VLOOKUP(K49,Foundation_Calc!$K$79:$R$113,VLOOKUP(AW49,Foundation_Calc!$I$2:$J$8,2,FALSE),0),
IF(AX49="K",VLOOKUP(K49,Foundation_Calc!$K$117:$R$151,VLOOKUP(AW49,Foundation_Calc!$I$2:$J$8,2,FALSE),0),"")))</f>
        <v/>
      </c>
      <c r="BA49" s="495" t="str">
        <f t="shared" si="4"/>
        <v/>
      </c>
      <c r="BB49" s="495" t="str">
        <f t="shared" si="4"/>
        <v/>
      </c>
      <c r="BC49" s="495" t="str">
        <f t="shared" si="5"/>
        <v/>
      </c>
      <c r="BD49" s="513"/>
      <c r="BE49" s="429" t="s">
        <v>118</v>
      </c>
      <c r="BF49" s="290"/>
      <c r="BG49" s="290"/>
      <c r="BH49" s="290"/>
      <c r="BI49" s="290"/>
    </row>
    <row r="50" spans="1:61" ht="16.149999999999999" customHeight="1">
      <c r="A50" s="514"/>
      <c r="B50" s="450" t="s">
        <v>1692</v>
      </c>
      <c r="C50" s="3">
        <f>+$C$48+$G$49</f>
        <v>41723.340000000004</v>
      </c>
      <c r="D50" s="83"/>
      <c r="E50" s="4"/>
      <c r="F50" s="4">
        <v>0</v>
      </c>
      <c r="G50" s="6"/>
      <c r="H50" s="449" t="s">
        <v>284</v>
      </c>
      <c r="I50" s="449" t="s">
        <v>122</v>
      </c>
      <c r="J50" s="3"/>
      <c r="K50" s="449"/>
      <c r="L50" s="449" t="s">
        <v>232</v>
      </c>
      <c r="M50" s="449" t="str">
        <f>IF(L50="","",
IF(AX50="PT",VLOOKUP(L50,Foundation_Calc!$V$79:$X$113,VLOOKUP(AX50,Foundation_Calc!$I$10:$J$13,2,FALSE),0),
IF(AX50="K",VLOOKUP(L50,Foundation_Calc!$V$117:$X$151,VLOOKUP(AX50,Foundation_Calc!$I$10:$J$13,2,FALSE),0),"")))</f>
        <v>C5R</v>
      </c>
      <c r="N50" s="449" t="s">
        <v>134</v>
      </c>
      <c r="O50" s="449"/>
      <c r="P50" s="449"/>
      <c r="Q50" s="4"/>
      <c r="R50" s="6"/>
      <c r="S50" s="6"/>
      <c r="T50" s="4">
        <v>35</v>
      </c>
      <c r="U50" s="4"/>
      <c r="V50" s="4"/>
      <c r="W50" s="9">
        <v>1.4</v>
      </c>
      <c r="X50" s="9"/>
      <c r="Y50" s="9"/>
      <c r="Z50" s="9"/>
      <c r="AA50" s="9"/>
      <c r="AB50" s="9"/>
      <c r="AC50" s="449" t="str">
        <f t="shared" si="0"/>
        <v>PHQ</v>
      </c>
      <c r="AD50" s="449"/>
      <c r="AE50" s="449"/>
      <c r="AF50" s="4"/>
      <c r="AG50" s="83"/>
      <c r="AH50" s="4"/>
      <c r="AI50" s="4"/>
      <c r="AJ50" s="449"/>
      <c r="AK50" s="449"/>
      <c r="AL50" s="449" t="s">
        <v>241</v>
      </c>
      <c r="AM50" s="449" t="s">
        <v>126</v>
      </c>
      <c r="AN50" s="10">
        <v>5.5</v>
      </c>
      <c r="AO50" s="9"/>
      <c r="AP50" s="9"/>
      <c r="AQ50" s="9"/>
      <c r="AR50" s="9"/>
      <c r="AS50" s="9"/>
      <c r="AT50" s="9">
        <f>+ab($T$50,$T$48,$T$52,$G$49,$G$51, 1*$F$50,1200)</f>
        <v>6.6786222410340654</v>
      </c>
      <c r="AU50" s="428"/>
      <c r="AV50" s="428"/>
      <c r="AW50" s="449" t="str">
        <f>IF(C50&gt;0,VLOOKUP(C50,Foundation_Calc!$A$2:$C$13,3,1),
IF(J50&gt;0,VLOOKUP(J50,Foundation_Calc!$A$2:$C$13,3,1),""))</f>
        <v>Multi Soil</v>
      </c>
      <c r="AX50" s="449" t="str">
        <f>IF(C50&gt;0,VLOOKUP(C50,Foundation_Calc!$E$2:$G$33,3,1),
IF(J50&gt;0,VLOOKUP(J50,Foundation_Calc!$E$2:$G$33,3,1),""))</f>
        <v>PT</v>
      </c>
      <c r="AY50" s="10">
        <f>IF(L50="","",
IF(AX50="PT",VLOOKUP(L50,Foundation_Calc!$K$79:$R$113,VLOOKUP(AW50,Foundation_Calc!$I$2:$J$8,2,FALSE),0),
IF(AX50="K",VLOOKUP(L50,Foundation_Calc!$K$117:$R$151,VLOOKUP(AW50,Foundation_Calc!$I$2:$J$8,2,FALSE),0),"")))</f>
        <v>3.5</v>
      </c>
      <c r="AZ50" s="10" t="str">
        <f>IF(K50="","",
IF(AX50="PT",VLOOKUP(K50,Foundation_Calc!$K$79:$R$113,VLOOKUP(AW50,Foundation_Calc!$I$2:$J$8,2,FALSE),0),
IF(AX50="K",VLOOKUP(K50,Foundation_Calc!$K$117:$R$151,VLOOKUP(AW50,Foundation_Calc!$I$2:$J$8,2,FALSE),0),"")))</f>
        <v/>
      </c>
      <c r="BA50" s="495" t="str">
        <f t="shared" si="4"/>
        <v>ü</v>
      </c>
      <c r="BB50" s="495" t="str">
        <f t="shared" si="4"/>
        <v/>
      </c>
      <c r="BC50" s="495" t="str">
        <f t="shared" si="5"/>
        <v/>
      </c>
      <c r="BD50" s="513" t="str">
        <f>Pole_Calc!A$251</f>
        <v>App.8-V08H-P10.3</v>
      </c>
      <c r="BE50" s="429" t="s">
        <v>118</v>
      </c>
      <c r="BF50" s="289"/>
      <c r="BG50" s="289"/>
      <c r="BH50" s="290"/>
      <c r="BI50" s="289"/>
    </row>
    <row r="51" spans="1:61" ht="16.149999999999999" customHeight="1">
      <c r="A51" s="514"/>
      <c r="B51" s="450"/>
      <c r="C51" s="3"/>
      <c r="D51" s="83"/>
      <c r="E51" s="4"/>
      <c r="F51" s="4"/>
      <c r="G51" s="6">
        <v>49.3</v>
      </c>
      <c r="H51" s="449"/>
      <c r="I51" s="449"/>
      <c r="J51" s="3">
        <f>C50+7.5</f>
        <v>41730.840000000004</v>
      </c>
      <c r="K51" s="449" t="s">
        <v>117</v>
      </c>
      <c r="L51" s="449"/>
      <c r="M51" s="449" t="str">
        <f>IF(L51="","",
IF(AX51="PT",VLOOKUP(L51,Foundation_Calc!$V$79:$X$113,VLOOKUP(AX51,Foundation_Calc!$I$10:$J$13,2,FALSE),0),
IF(AX51="K",VLOOKUP(L51,Foundation_Calc!$V$117:$X$151,VLOOKUP(AX51,Foundation_Calc!$I$10:$J$13,2,FALSE),0),"")))</f>
        <v/>
      </c>
      <c r="N51" s="449"/>
      <c r="O51" s="449"/>
      <c r="P51" s="449"/>
      <c r="Q51" s="4"/>
      <c r="R51" s="6"/>
      <c r="S51" s="6"/>
      <c r="T51" s="4"/>
      <c r="U51" s="4"/>
      <c r="V51" s="4"/>
      <c r="W51" s="9"/>
      <c r="X51" s="9"/>
      <c r="Y51" s="9"/>
      <c r="Z51" s="9"/>
      <c r="AA51" s="9"/>
      <c r="AB51" s="9"/>
      <c r="AC51" s="449" t="str">
        <f t="shared" si="0"/>
        <v/>
      </c>
      <c r="AD51" s="449"/>
      <c r="AE51" s="449"/>
      <c r="AF51" s="4"/>
      <c r="AG51" s="83"/>
      <c r="AH51" s="4"/>
      <c r="AI51" s="4"/>
      <c r="AJ51" s="449"/>
      <c r="AK51" s="449"/>
      <c r="AL51" s="449"/>
      <c r="AM51" s="449"/>
      <c r="AN51" s="10"/>
      <c r="AO51" s="9"/>
      <c r="AP51" s="9"/>
      <c r="AQ51" s="9">
        <f>+FL_2($T$52,$T$50,$G$51,1200,9.28, 1*$F$52)</f>
        <v>-0.36529570983908044</v>
      </c>
      <c r="AR51" s="9"/>
      <c r="AS51" s="9"/>
      <c r="AT51" s="9"/>
      <c r="AU51" s="428"/>
      <c r="AV51" s="428"/>
      <c r="AW51" s="449" t="str">
        <f>IF(C51&gt;0,VLOOKUP(C51,Foundation_Calc!$A$2:$C$13,3,1),
IF(J51&gt;0,VLOOKUP(J51,Foundation_Calc!$A$2:$C$13,3,1),""))</f>
        <v>Multi Soil</v>
      </c>
      <c r="AX51" s="449" t="str">
        <f>IF(C51&gt;0,VLOOKUP(C51,Foundation_Calc!$E$2:$G$33,3,1),
IF(J51&gt;0,VLOOKUP(J51,Foundation_Calc!$E$2:$G$33,3,1),""))</f>
        <v>PT</v>
      </c>
      <c r="AY51" s="10" t="str">
        <f>IF(L51="","",
IF(AX51="PT",VLOOKUP(L51,Foundation_Calc!$K$79:$R$113,VLOOKUP(AW51,Foundation_Calc!$I$2:$J$8,2,FALSE),0),
IF(AX51="K",VLOOKUP(L51,Foundation_Calc!$K$117:$R$151,VLOOKUP(AW51,Foundation_Calc!$I$2:$J$8,2,FALSE),0),"")))</f>
        <v/>
      </c>
      <c r="AZ51" s="10">
        <f>IF(K51="","",
IF(AX51="PT",VLOOKUP(K51,Foundation_Calc!$K$79:$R$113,VLOOKUP(AW51,Foundation_Calc!$I$2:$J$8,2,FALSE),0),
IF(AX51="K",VLOOKUP(K51,Foundation_Calc!$K$117:$R$151,VLOOKUP(AW51,Foundation_Calc!$I$2:$J$8,2,FALSE),0),"")))</f>
        <v>3.9</v>
      </c>
      <c r="BA51" s="495" t="str">
        <f t="shared" si="4"/>
        <v/>
      </c>
      <c r="BB51" s="495" t="str">
        <f t="shared" si="4"/>
        <v>ü</v>
      </c>
      <c r="BC51" s="495" t="str">
        <f t="shared" si="5"/>
        <v/>
      </c>
      <c r="BD51" s="513" t="str">
        <f>IF(AND(L51="",H51=""),"",
IF(H51="",Pole_Calc!A$22,
IF(H51="MP",Pole_Calc!A$23,
IF(H51="AnMP",Pole_Calc!A$24,
IF(H51="A",Pole_Calc!A$25,
IF(H51="S/A",Pole_Calc!A$26,
IF(H51="A/S",Pole_Calc!A$27,"Poner a mano")))))))</f>
        <v/>
      </c>
      <c r="BE51" s="429" t="s">
        <v>118</v>
      </c>
      <c r="BF51" s="290"/>
      <c r="BG51" s="290"/>
      <c r="BH51" s="290"/>
      <c r="BI51" s="290"/>
    </row>
    <row r="52" spans="1:61" ht="16.149999999999999" customHeight="1">
      <c r="A52" s="514"/>
      <c r="B52" s="450" t="s">
        <v>1693</v>
      </c>
      <c r="C52" s="3">
        <f>+$C$50+$G$51</f>
        <v>41772.640000000007</v>
      </c>
      <c r="D52" s="83"/>
      <c r="E52" s="4"/>
      <c r="F52" s="4">
        <v>0</v>
      </c>
      <c r="G52" s="6"/>
      <c r="H52" s="449" t="s">
        <v>131</v>
      </c>
      <c r="I52" s="449"/>
      <c r="J52" s="3"/>
      <c r="K52" s="449"/>
      <c r="L52" s="449" t="s">
        <v>232</v>
      </c>
      <c r="M52" s="449" t="str">
        <f>IF(L52="","",
IF(AX52="PT",VLOOKUP(L52,Foundation_Calc!$V$79:$X$113,VLOOKUP(AX52,Foundation_Calc!$I$10:$J$13,2,FALSE),0),
IF(AX52="K",VLOOKUP(L52,Foundation_Calc!$V$117:$X$151,VLOOKUP(AX52,Foundation_Calc!$I$10:$J$13,2,FALSE),0),"")))</f>
        <v>C5R</v>
      </c>
      <c r="N52" s="449" t="s">
        <v>124</v>
      </c>
      <c r="O52" s="449" t="s">
        <v>133</v>
      </c>
      <c r="P52" s="449"/>
      <c r="Q52" s="4"/>
      <c r="R52" s="6"/>
      <c r="S52" s="6"/>
      <c r="T52" s="4">
        <v>-35</v>
      </c>
      <c r="U52" s="4">
        <v>55</v>
      </c>
      <c r="V52" s="4"/>
      <c r="W52" s="9">
        <v>2</v>
      </c>
      <c r="X52" s="9">
        <v>1.4</v>
      </c>
      <c r="Y52" s="9"/>
      <c r="Z52" s="9"/>
      <c r="AA52" s="9">
        <v>0.6</v>
      </c>
      <c r="AB52" s="9"/>
      <c r="AC52" s="449" t="str">
        <f t="shared" si="0"/>
        <v>PH</v>
      </c>
      <c r="AD52" s="449"/>
      <c r="AE52" s="449"/>
      <c r="AF52" s="4"/>
      <c r="AG52" s="83"/>
      <c r="AH52" s="4"/>
      <c r="AI52" s="4"/>
      <c r="AJ52" s="449"/>
      <c r="AK52" s="449"/>
      <c r="AL52" s="449" t="s">
        <v>241</v>
      </c>
      <c r="AM52" s="449" t="s">
        <v>126</v>
      </c>
      <c r="AN52" s="10">
        <v>5.5</v>
      </c>
      <c r="AO52" s="9"/>
      <c r="AP52" s="9"/>
      <c r="AQ52" s="9"/>
      <c r="AR52" s="9"/>
      <c r="AS52" s="9"/>
      <c r="AT52" s="9">
        <f>+ab($T$52,$T$50,$T$55,$G$53,$G$55, 1*$F$54,1200)</f>
        <v>-9.0190166238292218</v>
      </c>
      <c r="AU52" s="428"/>
      <c r="AV52" s="428"/>
      <c r="AW52" s="449" t="str">
        <f>IF(C52&gt;0,VLOOKUP(C52,Foundation_Calc!$A$2:$C$13,3,1),
IF(J52&gt;0,VLOOKUP(J52,Foundation_Calc!$A$2:$C$13,3,1),""))</f>
        <v>Multi Soil</v>
      </c>
      <c r="AX52" s="449" t="str">
        <f>IF(C52&gt;0,VLOOKUP(C52,Foundation_Calc!$E$2:$G$33,3,1),
IF(J52&gt;0,VLOOKUP(J52,Foundation_Calc!$E$2:$G$33,3,1),""))</f>
        <v>PT</v>
      </c>
      <c r="AY52" s="10">
        <f>IF(L52="","",
IF(AX52="PT",VLOOKUP(L52,Foundation_Calc!$K$79:$R$113,VLOOKUP(AW52,Foundation_Calc!$I$2:$J$8,2,FALSE),0),
IF(AX52="K",VLOOKUP(L52,Foundation_Calc!$K$117:$R$151,VLOOKUP(AW52,Foundation_Calc!$I$2:$J$8,2,FALSE),0),"")))</f>
        <v>3.5</v>
      </c>
      <c r="AZ52" s="10" t="str">
        <f>IF(K52="","",
IF(AX52="PT",VLOOKUP(K52,Foundation_Calc!$K$79:$R$113,VLOOKUP(AW52,Foundation_Calc!$I$2:$J$8,2,FALSE),0),
IF(AX52="K",VLOOKUP(K52,Foundation_Calc!$K$117:$R$151,VLOOKUP(AW52,Foundation_Calc!$I$2:$J$8,2,FALSE),0),"")))</f>
        <v/>
      </c>
      <c r="BA52" s="495" t="str">
        <f t="shared" si="4"/>
        <v>ü</v>
      </c>
      <c r="BB52" s="495" t="str">
        <f t="shared" si="4"/>
        <v/>
      </c>
      <c r="BC52" s="495" t="str">
        <f t="shared" si="5"/>
        <v/>
      </c>
      <c r="BD52" s="513" t="str">
        <f>Pole_Calc!A$251</f>
        <v>App.8-V08H-P10.3</v>
      </c>
      <c r="BE52" s="429" t="s">
        <v>118</v>
      </c>
      <c r="BF52" s="289"/>
      <c r="BG52" s="289"/>
      <c r="BH52" s="290"/>
      <c r="BI52" s="289"/>
    </row>
    <row r="53" spans="1:61" ht="16.149999999999999" customHeight="1">
      <c r="A53" s="514"/>
      <c r="B53" s="450"/>
      <c r="C53" s="3"/>
      <c r="D53" s="83"/>
      <c r="E53" s="4"/>
      <c r="F53" s="4"/>
      <c r="G53" s="6">
        <v>47.5</v>
      </c>
      <c r="H53" s="449"/>
      <c r="I53" s="449"/>
      <c r="J53" s="3"/>
      <c r="K53" s="449"/>
      <c r="L53" s="449"/>
      <c r="M53" s="449" t="str">
        <f>IF(L53="","",
IF(AX53="PT",VLOOKUP(L53,Foundation_Calc!$V$79:$X$113,VLOOKUP(AX53,Foundation_Calc!$I$10:$J$13,2,FALSE),0),
IF(AX53="K",VLOOKUP(L53,Foundation_Calc!$V$117:$X$151,VLOOKUP(AX53,Foundation_Calc!$I$10:$J$13,2,FALSE),0),"")))</f>
        <v/>
      </c>
      <c r="N53" s="449"/>
      <c r="O53" s="449"/>
      <c r="P53" s="449"/>
      <c r="Q53" s="4"/>
      <c r="R53" s="6"/>
      <c r="S53" s="6"/>
      <c r="T53" s="4"/>
      <c r="U53" s="4"/>
      <c r="V53" s="4"/>
      <c r="W53" s="9"/>
      <c r="X53" s="9"/>
      <c r="Y53" s="9"/>
      <c r="Z53" s="9"/>
      <c r="AA53" s="9"/>
      <c r="AB53" s="9"/>
      <c r="AC53" s="449" t="str">
        <f t="shared" si="0"/>
        <v/>
      </c>
      <c r="AD53" s="449"/>
      <c r="AE53" s="449"/>
      <c r="AF53" s="4"/>
      <c r="AG53" s="83"/>
      <c r="AH53" s="4"/>
      <c r="AI53" s="4"/>
      <c r="AJ53" s="449"/>
      <c r="AK53" s="449"/>
      <c r="AL53" s="449"/>
      <c r="AM53" s="449"/>
      <c r="AN53" s="10"/>
      <c r="AO53" s="9"/>
      <c r="AP53" s="9"/>
      <c r="AQ53" s="9"/>
      <c r="AR53" s="9"/>
      <c r="AS53" s="9"/>
      <c r="AT53" s="9"/>
      <c r="AU53" s="428"/>
      <c r="AV53" s="428"/>
      <c r="AW53" s="449" t="str">
        <f>IF(C53&gt;0,VLOOKUP(C53,Foundation_Calc!$A$2:$C$13,3,1),
IF(J53&gt;0,VLOOKUP(J53,Foundation_Calc!$A$2:$C$13,3,1),""))</f>
        <v/>
      </c>
      <c r="AX53" s="449" t="str">
        <f>IF(C53&gt;0,VLOOKUP(C53,Foundation_Calc!$E$2:$G$33,3,1),
IF(J53&gt;0,VLOOKUP(J53,Foundation_Calc!$E$2:$G$33,3,1),""))</f>
        <v/>
      </c>
      <c r="AY53" s="10" t="str">
        <f>IF(L53="","",
IF(AX53="PT",VLOOKUP(L53,Foundation_Calc!$K$79:$R$113,VLOOKUP(AW53,Foundation_Calc!$I$2:$J$8,2,FALSE),0),
IF(AX53="K",VLOOKUP(L53,Foundation_Calc!$K$117:$R$151,VLOOKUP(AW53,Foundation_Calc!$I$2:$J$8,2,FALSE),0),"")))</f>
        <v/>
      </c>
      <c r="AZ53" s="10" t="str">
        <f>IF(K53="","",
IF(AX53="PT",VLOOKUP(K53,Foundation_Calc!$K$79:$R$113,VLOOKUP(AW53,Foundation_Calc!$I$2:$J$8,2,FALSE),0),
IF(AX53="K",VLOOKUP(K53,Foundation_Calc!$K$117:$R$151,VLOOKUP(AW53,Foundation_Calc!$I$2:$J$8,2,FALSE),0),"")))</f>
        <v/>
      </c>
      <c r="BA53" s="495" t="str">
        <f t="shared" si="4"/>
        <v/>
      </c>
      <c r="BB53" s="495" t="str">
        <f t="shared" si="4"/>
        <v/>
      </c>
      <c r="BC53" s="495" t="str">
        <f t="shared" si="5"/>
        <v/>
      </c>
      <c r="BD53" s="513" t="str">
        <f>IF(AND(L53="",H53=""),"",
IF(H53="",Pole_Calc!A$22,
IF(H53="MP",Pole_Calc!A$23,
IF(H53="AnMP",Pole_Calc!A$24,
IF(H53="A",Pole_Calc!A$25,
IF(H53="S/A",Pole_Calc!A$26,
IF(H53="A/S",Pole_Calc!A$27,"Poner a mano")))))))</f>
        <v/>
      </c>
      <c r="BE53" s="429" t="s">
        <v>118</v>
      </c>
      <c r="BF53" s="290"/>
      <c r="BG53" s="290"/>
      <c r="BH53" s="290"/>
      <c r="BI53" s="290"/>
    </row>
    <row r="54" spans="1:61" ht="16.149999999999999" customHeight="1">
      <c r="A54" s="514"/>
      <c r="B54" s="450" t="s">
        <v>1694</v>
      </c>
      <c r="C54" s="3">
        <f>+$C$52+$G$53</f>
        <v>41820.140000000007</v>
      </c>
      <c r="D54" s="83"/>
      <c r="E54" s="4"/>
      <c r="F54" s="4">
        <v>0</v>
      </c>
      <c r="G54" s="6"/>
      <c r="H54" s="449" t="s">
        <v>284</v>
      </c>
      <c r="I54" s="449" t="s">
        <v>122</v>
      </c>
      <c r="J54" s="3"/>
      <c r="K54" s="449"/>
      <c r="L54" s="449" t="s">
        <v>206</v>
      </c>
      <c r="M54" s="449" t="str">
        <f>IF(L54="","",
IF(AX54="PT",VLOOKUP(L54,Foundation_Calc!$V$79:$X$113,VLOOKUP(AX54,Foundation_Calc!$I$10:$J$13,2,FALSE),0),
IF(AX54="K",VLOOKUP(L54,Foundation_Calc!$V$117:$X$151,VLOOKUP(AX54,Foundation_Calc!$I$10:$J$13,2,FALSE),0),"")))</f>
        <v>2C4R</v>
      </c>
      <c r="N54" s="449" t="s">
        <v>201</v>
      </c>
      <c r="O54" s="449"/>
      <c r="P54" s="449"/>
      <c r="Q54" s="4"/>
      <c r="R54" s="6"/>
      <c r="S54" s="6"/>
      <c r="T54" s="4" t="s">
        <v>201</v>
      </c>
      <c r="U54" s="4"/>
      <c r="V54" s="4"/>
      <c r="W54" s="9" t="s">
        <v>201</v>
      </c>
      <c r="X54" s="9"/>
      <c r="Y54" s="9"/>
      <c r="Z54" s="9"/>
      <c r="AA54" s="9"/>
      <c r="AB54" s="9"/>
      <c r="AC54" s="449" t="str">
        <f t="shared" si="0"/>
        <v/>
      </c>
      <c r="AD54" s="449"/>
      <c r="AE54" s="449"/>
      <c r="AF54" s="4"/>
      <c r="AG54" s="83"/>
      <c r="AH54" s="4"/>
      <c r="AI54" s="4"/>
      <c r="AJ54" s="449"/>
      <c r="AK54" s="449"/>
      <c r="AL54" s="449"/>
      <c r="AM54" s="449" t="s">
        <v>126</v>
      </c>
      <c r="AN54" s="10">
        <v>5.5</v>
      </c>
      <c r="AO54" s="9"/>
      <c r="AP54" s="9"/>
      <c r="AQ54" s="9"/>
      <c r="AR54" s="9"/>
      <c r="AS54" s="9"/>
      <c r="AT54" s="9"/>
      <c r="AU54" s="428"/>
      <c r="AV54" s="428"/>
      <c r="AW54" s="449" t="str">
        <f>IF(C54&gt;0,VLOOKUP(C54,Foundation_Calc!$A$2:$C$13,3,1),
IF(J54&gt;0,VLOOKUP(J54,Foundation_Calc!$A$2:$C$13,3,1),""))</f>
        <v>Multi Soil</v>
      </c>
      <c r="AX54" s="449" t="str">
        <f>IF(C54&gt;0,VLOOKUP(C54,Foundation_Calc!$E$2:$G$33,3,1),
IF(J54&gt;0,VLOOKUP(J54,Foundation_Calc!$E$2:$G$33,3,1),""))</f>
        <v>PT</v>
      </c>
      <c r="AY54" s="10">
        <f>IF(L54="","",
IF(AX54="PT",VLOOKUP(L54,Foundation_Calc!$K$79:$R$113,VLOOKUP(AW54,Foundation_Calc!$I$2:$J$8,2,FALSE),0),
IF(AX54="K",VLOOKUP(L54,Foundation_Calc!$K$117:$R$151,VLOOKUP(AW54,Foundation_Calc!$I$2:$J$8,2,FALSE),0),"")))</f>
        <v>4</v>
      </c>
      <c r="AZ54" s="10" t="str">
        <f>IF(K54="","",
IF(AX54="PT",VLOOKUP(K54,Foundation_Calc!$K$79:$R$113,VLOOKUP(AW54,Foundation_Calc!$I$2:$J$8,2,FALSE),0),
IF(AX54="K",VLOOKUP(K54,Foundation_Calc!$K$117:$R$151,VLOOKUP(AW54,Foundation_Calc!$I$2:$J$8,2,FALSE),0),"")))</f>
        <v/>
      </c>
      <c r="BA54" s="495" t="str">
        <f t="shared" si="4"/>
        <v>ü</v>
      </c>
      <c r="BB54" s="495" t="str">
        <f t="shared" si="4"/>
        <v/>
      </c>
      <c r="BC54" s="495" t="str">
        <f t="shared" si="5"/>
        <v/>
      </c>
      <c r="BD54" s="513" t="str">
        <f>Pole_Calc!A$14</f>
        <v>App.7-V11I-P9.5.1.6</v>
      </c>
      <c r="BE54" s="429" t="s">
        <v>118</v>
      </c>
      <c r="BF54" s="289"/>
      <c r="BG54" s="289"/>
      <c r="BH54" s="290"/>
      <c r="BI54" s="289"/>
    </row>
    <row r="55" spans="1:61" ht="16.149999999999999" customHeight="1">
      <c r="A55" s="514"/>
      <c r="B55" s="450"/>
      <c r="C55" s="3"/>
      <c r="D55" s="83"/>
      <c r="E55" s="4"/>
      <c r="F55" s="4"/>
      <c r="G55" s="6">
        <v>55</v>
      </c>
      <c r="H55" s="449"/>
      <c r="I55" s="449"/>
      <c r="J55" s="3"/>
      <c r="K55" s="449"/>
      <c r="L55" s="449"/>
      <c r="M55" s="449" t="str">
        <f>IF(L55="","",
IF(AX55="PT",VLOOKUP(L55,Foundation_Calc!$V$4:$X$37,VLOOKUP(AX55,Foundation_Calc!$I$10:$J$13,2,FALSE),0),
IF(AX55="K",VLOOKUP(L55,Foundation_Calc!$V$41:$X$74,VLOOKUP(AX55,Foundation_Calc!$I$10:$J$13,2,FALSE),0),"")))</f>
        <v/>
      </c>
      <c r="N55" s="449"/>
      <c r="O55" s="449"/>
      <c r="P55" s="449"/>
      <c r="Q55" s="4"/>
      <c r="R55" s="6"/>
      <c r="S55" s="6"/>
      <c r="T55" s="4"/>
      <c r="U55" s="4"/>
      <c r="V55" s="4"/>
      <c r="W55" s="9"/>
      <c r="X55" s="9"/>
      <c r="Y55" s="9"/>
      <c r="Z55" s="9"/>
      <c r="AA55" s="9"/>
      <c r="AB55" s="9"/>
      <c r="AC55" s="449" t="str">
        <f t="shared" ref="AC55" si="6">IF(OR(AT55&gt;8,AT55&lt;-8),"PH",
IF(OR(AT55&gt;5,AT55&lt;-5),"PHQ",
IF(OR(AT55&gt;1,AT55&lt;-1),
"PHC","")))</f>
        <v/>
      </c>
      <c r="AD55" s="449"/>
      <c r="AE55" s="449"/>
      <c r="AF55" s="4"/>
      <c r="AG55" s="83"/>
      <c r="AH55" s="4"/>
      <c r="AI55" s="4"/>
      <c r="AJ55" s="449"/>
      <c r="AK55" s="449"/>
      <c r="AL55" s="449"/>
      <c r="AM55" s="449"/>
      <c r="AN55" s="10"/>
      <c r="AO55" s="9"/>
      <c r="AP55" s="9"/>
      <c r="AQ55" s="9"/>
      <c r="AR55" s="9"/>
      <c r="AS55" s="9"/>
      <c r="AT55" s="9"/>
      <c r="AU55" s="428"/>
      <c r="AV55" s="428"/>
      <c r="AW55" s="449" t="str">
        <f>IF(C55&gt;0,VLOOKUP(C55,Foundation_Calc!$A$2:$C$13,3,1),
IF(J55&gt;0,VLOOKUP(J55,Foundation_Calc!$A$2:$C$13,3,1),""))</f>
        <v/>
      </c>
      <c r="AX55" s="449" t="str">
        <f>IF(C55&gt;0,VLOOKUP(C55,Foundation_Calc!$E$2:$G$33,3,1),
IF(J55&gt;0,VLOOKUP(J55,Foundation_Calc!$E$2:$G$33,3,1),""))</f>
        <v/>
      </c>
      <c r="AY55" s="10" t="str">
        <f>IF(L55="","",
IF(AX55="PT",VLOOKUP(L55,Foundation_Calc!$K$79:$R$113,VLOOKUP(AW55,Foundation_Calc!$I$2:$J$8,2,FALSE),0),
IF(AX55="K",VLOOKUP(L55,Foundation_Calc!$K$117:$R$151,VLOOKUP(AW55,Foundation_Calc!$I$2:$J$8,2,FALSE),0),"")))</f>
        <v/>
      </c>
      <c r="AZ55" s="10" t="str">
        <f>IF(K55="","",
IF(AX55="PT",VLOOKUP(K55,Foundation_Calc!$K$79:$R$113,VLOOKUP(AW55,Foundation_Calc!$I$2:$J$8,2,FALSE),0),
IF(AX55="K",VLOOKUP(K55,Foundation_Calc!$K$117:$R$151,VLOOKUP(AW55,Foundation_Calc!$I$2:$J$8,2,FALSE),0),"")))</f>
        <v/>
      </c>
      <c r="BA55" s="495" t="str">
        <f t="shared" si="4"/>
        <v/>
      </c>
      <c r="BB55" s="495" t="str">
        <f t="shared" si="4"/>
        <v/>
      </c>
      <c r="BC55" s="495" t="str">
        <f t="shared" si="5"/>
        <v/>
      </c>
      <c r="BD55" s="513" t="str">
        <f>IF(AND(L55="",H55=""),"",
IF(H55="",Pole_Calc!A$9,
IF(H55="MP",Pole_Calc!A$10,
IF(H55="AnMP",Pole_Calc!A$11,
IF(H55="A",Pole_Calc!A$12,
IF(H55="S/A",Pole_Calc!A$13,
IF(H55="A/S",Pole_Calc!A$14,"Poner a mano")))))))</f>
        <v/>
      </c>
      <c r="BE55" s="429" t="s">
        <v>118</v>
      </c>
      <c r="BF55" s="290"/>
      <c r="BG55" s="290"/>
      <c r="BH55" s="290"/>
      <c r="BI55" s="290"/>
    </row>
    <row r="56" spans="1:61" ht="16.149999999999999" customHeight="1" thickBot="1">
      <c r="A56" s="784">
        <f>'HR Track 2'!A496</f>
        <v>0</v>
      </c>
      <c r="B56" s="785" t="str">
        <f>'HR Track 2'!B496</f>
        <v>41-2.17</v>
      </c>
      <c r="C56" s="786">
        <f>'HR Track 2'!C496</f>
        <v>41827.640000000014</v>
      </c>
      <c r="D56" s="787">
        <f>'HR Track 2'!D496</f>
        <v>0</v>
      </c>
      <c r="E56" s="788">
        <f>'HR Track 2'!E496</f>
        <v>0</v>
      </c>
      <c r="F56" s="788">
        <f>'HR Track 2'!F496</f>
        <v>0</v>
      </c>
      <c r="G56" s="789">
        <f>'HR Track 2'!G496</f>
        <v>0</v>
      </c>
      <c r="H56" s="790" t="str">
        <f>'HR Track 2'!H496</f>
        <v>A/S A/S</v>
      </c>
      <c r="I56" s="790" t="str">
        <f>'HR Track 2'!I496</f>
        <v>CP+AnMC</v>
      </c>
      <c r="J56" s="791">
        <f>'HR Track 2'!J496</f>
        <v>0</v>
      </c>
      <c r="K56" s="790">
        <f>'HR Track 2'!K496</f>
        <v>0</v>
      </c>
      <c r="L56" s="790" t="s">
        <v>1695</v>
      </c>
      <c r="M56" s="790" t="str">
        <f>'HR Track 2'!M496</f>
        <v>2C4R</v>
      </c>
      <c r="N56" s="790" t="str">
        <f>'HR Track 2'!N496</f>
        <v>EMT-2</v>
      </c>
      <c r="O56" s="790">
        <f>'HR Track 2'!O496</f>
        <v>0</v>
      </c>
      <c r="P56" s="790">
        <f>'HR Track 2'!P496</f>
        <v>0</v>
      </c>
      <c r="Q56" s="788">
        <f>'HR Track 2'!Q496</f>
        <v>0</v>
      </c>
      <c r="R56" s="789">
        <f>'HR Track 2'!R496</f>
        <v>0</v>
      </c>
      <c r="S56" s="789">
        <f>'HR Track 2'!S496</f>
        <v>0</v>
      </c>
      <c r="T56" s="788">
        <f>'HR Track 2'!T496</f>
        <v>35</v>
      </c>
      <c r="U56" s="788">
        <f>'HR Track 2'!U496</f>
        <v>0</v>
      </c>
      <c r="V56" s="788">
        <f>'HR Track 2'!V496</f>
        <v>0</v>
      </c>
      <c r="W56" s="792">
        <f>'HR Track 2'!W496</f>
        <v>1.4</v>
      </c>
      <c r="X56" s="792">
        <f>'HR Track 2'!X496</f>
        <v>0</v>
      </c>
      <c r="Y56" s="792">
        <f>'HR Track 2'!Y496</f>
        <v>0</v>
      </c>
      <c r="Z56" s="792">
        <f>'HR Track 2'!Z496</f>
        <v>0</v>
      </c>
      <c r="AA56" s="792">
        <f>'HR Track 2'!AA496</f>
        <v>0</v>
      </c>
      <c r="AB56" s="792">
        <f>'HR Track 2'!AB496</f>
        <v>0</v>
      </c>
      <c r="AC56" s="790" t="str">
        <f>'HR Track 2'!AC496</f>
        <v>PHQ</v>
      </c>
      <c r="AD56" s="790">
        <f>'HR Track 2'!AD496</f>
        <v>0</v>
      </c>
      <c r="AE56" s="790">
        <f>'HR Track 2'!AE496</f>
        <v>0</v>
      </c>
      <c r="AF56" s="788">
        <f>'HR Track 2'!AF496</f>
        <v>0</v>
      </c>
      <c r="AG56" s="793">
        <f>'HR Track 2'!AG496</f>
        <v>0</v>
      </c>
      <c r="AH56" s="788">
        <f>'HR Track 2'!AH496</f>
        <v>0</v>
      </c>
      <c r="AI56" s="788">
        <f>'HR Track 2'!AI496</f>
        <v>0</v>
      </c>
      <c r="AJ56" s="790">
        <f>'HR Track 2'!AJ496</f>
        <v>0</v>
      </c>
      <c r="AK56" s="790" t="str">
        <f>'HR Track 2'!AK496</f>
        <v>S2-PS</v>
      </c>
      <c r="AL56" s="790">
        <f>'HR Track 2'!AL496</f>
        <v>0</v>
      </c>
      <c r="AM56" s="790" t="str">
        <f>'HR Track 2'!AM496</f>
        <v>RW1</v>
      </c>
      <c r="AN56" s="792">
        <f>'HR Track 2'!AN496</f>
        <v>5.5</v>
      </c>
      <c r="AO56" s="790">
        <f>'HR Track 2'!AO496</f>
        <v>0</v>
      </c>
      <c r="AP56" s="790">
        <f>'HR Track 2'!AP496</f>
        <v>0</v>
      </c>
      <c r="AQ56" s="792">
        <f>'HR Track 2'!AQ496</f>
        <v>0</v>
      </c>
      <c r="AR56" s="792">
        <f>'HR Track 2'!AR496</f>
        <v>0</v>
      </c>
      <c r="AS56" s="792">
        <f>'HR Track 2'!AS496</f>
        <v>0</v>
      </c>
      <c r="AT56" s="792">
        <f>'HR Track 2'!AT496</f>
        <v>7.4465298801587005</v>
      </c>
      <c r="AU56" s="794">
        <f>'HR Track 2'!AU496</f>
        <v>0</v>
      </c>
      <c r="AV56" s="794">
        <f>'HR Track 2'!AV496</f>
        <v>0</v>
      </c>
      <c r="AW56" s="790" t="str">
        <f>'HR Track 2'!AW496</f>
        <v>Multi Soil</v>
      </c>
      <c r="AX56" s="790" t="str">
        <f>'HR Track 2'!AX496</f>
        <v>PT</v>
      </c>
      <c r="AY56" s="792">
        <f>'HR Track 2'!AY496</f>
        <v>4</v>
      </c>
      <c r="AZ56" s="792" t="str">
        <f>'HR Track 2'!AZ496</f>
        <v/>
      </c>
      <c r="BA56" s="552" t="str">
        <f>'HR Track 2'!BA496</f>
        <v>ü</v>
      </c>
      <c r="BB56" s="552" t="str">
        <f>'HR Track 2'!BB496</f>
        <v/>
      </c>
      <c r="BC56" s="552" t="str">
        <f>'HR Track 2'!BC496</f>
        <v/>
      </c>
      <c r="BD56" s="795" t="str">
        <f>'HR Track 2'!BD496</f>
        <v>App.7-V11I-P9.5.15.2</v>
      </c>
      <c r="BE56" s="429" t="s">
        <v>118</v>
      </c>
      <c r="BF56" s="289"/>
      <c r="BG56" s="289"/>
      <c r="BH56" s="290"/>
      <c r="BI56" s="289"/>
    </row>
    <row r="57" spans="1:61" ht="15.75" customHeight="1"/>
    <row r="58" spans="1:61" ht="15.75" customHeight="1"/>
    <row r="59" spans="1:61" ht="15.75" customHeight="1"/>
    <row r="1856" ht="15.75" customHeight="1"/>
  </sheetData>
  <autoFilter ref="A2:BK56" xr:uid="{D6CE8FFF-48AC-4231-948F-CEEE292449DD}">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filterColumn colId="52" showButton="0"/>
    <filterColumn colId="53" showButton="0"/>
  </autoFilter>
  <mergeCells count="11">
    <mergeCell ref="BA2:BC2"/>
    <mergeCell ref="A1:BD1"/>
    <mergeCell ref="BF1:BI1"/>
    <mergeCell ref="N2:P2"/>
    <mergeCell ref="T2:V2"/>
    <mergeCell ref="W2:Y2"/>
    <mergeCell ref="Z2:AB2"/>
    <mergeCell ref="AC2:AE2"/>
    <mergeCell ref="AN2:AP2"/>
    <mergeCell ref="AQ2:AS2"/>
    <mergeCell ref="AT2:AV2"/>
  </mergeCells>
  <conditionalFormatting sqref="BE4">
    <cfRule type="expression" dxfId="17779" priority="4003">
      <formula>$M4="NON DEFINED"</formula>
    </cfRule>
    <cfRule type="expression" dxfId="17778" priority="4004">
      <formula>$AY4="N.D."</formula>
    </cfRule>
  </conditionalFormatting>
  <conditionalFormatting sqref="BE4">
    <cfRule type="cellIs" dxfId="17777" priority="4002" operator="equal">
      <formula>0</formula>
    </cfRule>
  </conditionalFormatting>
  <conditionalFormatting sqref="AM45:AM53 B20:AL20 AY41:AZ53 B42:AL42 B41:M41 O41:AJ41 B29:V29 X29:AZ29 B23:V23 X23:AZ23 B21:V21 X21:AZ21 B46:AL46 B45:AJ45 B44:AL44 B43:AJ43 AL43:AM43 AL41:AM41 B48:AL48 B47:AJ47 B50:AL53 B49:AJ49 AL45:AL50 AN20:AV20 B30:AZ30 AN41:AV53 B54:AZ55 B24:AZ28 B22:AZ22">
    <cfRule type="expression" dxfId="17776" priority="3890">
      <formula>$M20="NON DEFINED"</formula>
    </cfRule>
    <cfRule type="expression" dxfId="17775" priority="3891">
      <formula>$AZ20="N.D."</formula>
    </cfRule>
    <cfRule type="expression" dxfId="17774" priority="3892">
      <formula>$AY20="N.D."</formula>
    </cfRule>
  </conditionalFormatting>
  <conditionalFormatting sqref="BA54:BC55">
    <cfRule type="expression" dxfId="17773" priority="3888">
      <formula>$BE54="A"</formula>
    </cfRule>
    <cfRule type="expression" dxfId="17772" priority="3889">
      <formula>$BE54="R"</formula>
    </cfRule>
  </conditionalFormatting>
  <conditionalFormatting sqref="AG20:AG30 A21:E30 AY21:AZ30 AM41 AM43 AM45:AM53 AM21:AS30 G20:H30 J20:J30 J41:J53 G41:H53 AY41:AZ53 A41:E53 AG41:AG53 AN20:AS20 B20:E20 AN41:AS53 A54:AZ55">
    <cfRule type="expression" dxfId="17771" priority="3874">
      <formula>$A20="Overhead Cable"</formula>
    </cfRule>
    <cfRule type="expression" dxfId="17770" priority="3875">
      <formula>$A20="Level Crossing"</formula>
    </cfRule>
    <cfRule type="expression" dxfId="17769" priority="3876">
      <formula>$A20="Neutral Section"</formula>
    </cfRule>
    <cfRule type="expression" dxfId="17768" priority="3877">
      <formula>$A20="Tunnel"</formula>
    </cfRule>
    <cfRule type="expression" dxfId="17767" priority="3878">
      <formula>$A20="Bridge"</formula>
    </cfRule>
    <cfRule type="expression" dxfId="17766" priority="3879">
      <formula>$A20="Drainage Works"</formula>
    </cfRule>
    <cfRule type="expression" dxfId="17765" priority="3880">
      <formula>$A20="Underpass"</formula>
    </cfRule>
    <cfRule type="expression" dxfId="17764" priority="3881">
      <formula>$A20="Overcrossing"</formula>
    </cfRule>
    <cfRule type="expression" dxfId="17763" priority="3882">
      <formula>$A20="Overpass"</formula>
    </cfRule>
    <cfRule type="expression" dxfId="17762" priority="3883">
      <formula>$A20="Station"</formula>
    </cfRule>
    <cfRule type="expression" dxfId="17761" priority="3884">
      <formula>$A20="Overlap between sections"</formula>
    </cfRule>
  </conditionalFormatting>
  <conditionalFormatting sqref="AN20:AP30 AN41:AP53">
    <cfRule type="cellIs" dxfId="17760" priority="3873" operator="notEqual">
      <formula>5.5</formula>
    </cfRule>
  </conditionalFormatting>
  <conditionalFormatting sqref="B20:B30 B41:B55">
    <cfRule type="expression" dxfId="17759" priority="3872">
      <formula>AND($AH20&gt;2499,$AH20&lt;2901)</formula>
    </cfRule>
  </conditionalFormatting>
  <conditionalFormatting sqref="I20:I30 I41:I53">
    <cfRule type="expression" dxfId="17758" priority="3861">
      <formula>$A20="Overhead Cable"</formula>
    </cfRule>
    <cfRule type="expression" dxfId="17757" priority="3862">
      <formula>$A20="Level Crossing"</formula>
    </cfRule>
    <cfRule type="expression" dxfId="17756" priority="3863">
      <formula>$A20="Neutral Section"</formula>
    </cfRule>
    <cfRule type="expression" dxfId="17755" priority="3864">
      <formula>$A20="Tunnel"</formula>
    </cfRule>
    <cfRule type="expression" dxfId="17754" priority="3865">
      <formula>$A20="Bridge"</formula>
    </cfRule>
    <cfRule type="expression" dxfId="17753" priority="3866">
      <formula>$A20="Drainage Works"</formula>
    </cfRule>
    <cfRule type="expression" dxfId="17752" priority="3867">
      <formula>$A20="Underpass"</formula>
    </cfRule>
    <cfRule type="expression" dxfId="17751" priority="3868">
      <formula>$A20="Overcrossing"</formula>
    </cfRule>
    <cfRule type="expression" dxfId="17750" priority="3869">
      <formula>$A20="Overpass"</formula>
    </cfRule>
    <cfRule type="expression" dxfId="17749" priority="3870">
      <formula>$A20="Station"</formula>
    </cfRule>
    <cfRule type="expression" dxfId="17748" priority="3871">
      <formula>$A20="Overlap between sections"</formula>
    </cfRule>
  </conditionalFormatting>
  <conditionalFormatting sqref="K20:K30 K41:K53">
    <cfRule type="expression" dxfId="17747" priority="3850">
      <formula>$A20="Overhead Cable"</formula>
    </cfRule>
    <cfRule type="expression" dxfId="17746" priority="3851">
      <formula>$A20="Level Crossing"</formula>
    </cfRule>
    <cfRule type="expression" dxfId="17745" priority="3852">
      <formula>$A20="Neutral Section"</formula>
    </cfRule>
    <cfRule type="expression" dxfId="17744" priority="3853">
      <formula>$A20="Tunnel"</formula>
    </cfRule>
    <cfRule type="expression" dxfId="17743" priority="3854">
      <formula>$A20="Bridge"</formula>
    </cfRule>
    <cfRule type="expression" dxfId="17742" priority="3855">
      <formula>$A20="Drainage Works"</formula>
    </cfRule>
    <cfRule type="expression" dxfId="17741" priority="3856">
      <formula>$A20="Underpass"</formula>
    </cfRule>
    <cfRule type="expression" dxfId="17740" priority="3857">
      <formula>$A20="Overcrossing"</formula>
    </cfRule>
    <cfRule type="expression" dxfId="17739" priority="3858">
      <formula>$A20="Overpass"</formula>
    </cfRule>
    <cfRule type="expression" dxfId="17738" priority="3859">
      <formula>$A20="Station"</formula>
    </cfRule>
    <cfRule type="expression" dxfId="17737" priority="3860">
      <formula>$A20="Overlap between sections"</formula>
    </cfRule>
  </conditionalFormatting>
  <conditionalFormatting sqref="L20:L30 L41:L53">
    <cfRule type="expression" dxfId="17736" priority="3839">
      <formula>$A20="Overhead Cable"</formula>
    </cfRule>
    <cfRule type="expression" dxfId="17735" priority="3840">
      <formula>$A20="Level Crossing"</formula>
    </cfRule>
    <cfRule type="expression" dxfId="17734" priority="3841">
      <formula>$A20="Neutral Section"</formula>
    </cfRule>
    <cfRule type="expression" dxfId="17733" priority="3842">
      <formula>$A20="Tunnel"</formula>
    </cfRule>
    <cfRule type="expression" dxfId="17732" priority="3843">
      <formula>$A20="Bridge"</formula>
    </cfRule>
    <cfRule type="expression" dxfId="17731" priority="3844">
      <formula>$A20="Drainage Works"</formula>
    </cfRule>
    <cfRule type="expression" dxfId="17730" priority="3845">
      <formula>$A20="Underpass"</formula>
    </cfRule>
    <cfRule type="expression" dxfId="17729" priority="3846">
      <formula>$A20="Overcrossing"</formula>
    </cfRule>
    <cfRule type="expression" dxfId="17728" priority="3847">
      <formula>$A20="Overpass"</formula>
    </cfRule>
    <cfRule type="expression" dxfId="17727" priority="3848">
      <formula>$A20="Station"</formula>
    </cfRule>
    <cfRule type="expression" dxfId="17726" priority="3849">
      <formula>$A20="Overlap between sections"</formula>
    </cfRule>
  </conditionalFormatting>
  <conditionalFormatting sqref="M20:M30 M41:M53">
    <cfRule type="expression" dxfId="17725" priority="3828">
      <formula>$A20="Overhead Cable"</formula>
    </cfRule>
    <cfRule type="expression" dxfId="17724" priority="3829">
      <formula>$A20="Level Crossing"</formula>
    </cfRule>
    <cfRule type="expression" dxfId="17723" priority="3830">
      <formula>$A20="Neutral Section"</formula>
    </cfRule>
    <cfRule type="expression" dxfId="17722" priority="3831">
      <formula>$A20="Tunnel"</formula>
    </cfRule>
    <cfRule type="expression" dxfId="17721" priority="3832">
      <formula>$A20="Bridge"</formula>
    </cfRule>
    <cfRule type="expression" dxfId="17720" priority="3833">
      <formula>$A20="Drainage Works"</formula>
    </cfRule>
    <cfRule type="expression" dxfId="17719" priority="3834">
      <formula>$A20="Underpass"</formula>
    </cfRule>
    <cfRule type="expression" dxfId="17718" priority="3835">
      <formula>$A20="Overcrossing"</formula>
    </cfRule>
    <cfRule type="expression" dxfId="17717" priority="3836">
      <formula>$A20="Overpass"</formula>
    </cfRule>
    <cfRule type="expression" dxfId="17716" priority="3837">
      <formula>$A20="Station"</formula>
    </cfRule>
    <cfRule type="expression" dxfId="17715" priority="3838">
      <formula>$A20="Overlap between sections"</formula>
    </cfRule>
  </conditionalFormatting>
  <conditionalFormatting sqref="N42:N53 N20:N30">
    <cfRule type="expression" dxfId="17714" priority="3817">
      <formula>$A20="Overhead Cable"</formula>
    </cfRule>
    <cfRule type="expression" dxfId="17713" priority="3818">
      <formula>$A20="Level Crossing"</formula>
    </cfRule>
    <cfRule type="expression" dxfId="17712" priority="3819">
      <formula>$A20="Neutral Section"</formula>
    </cfRule>
    <cfRule type="expression" dxfId="17711" priority="3820">
      <formula>$A20="Tunnel"</formula>
    </cfRule>
    <cfRule type="expression" dxfId="17710" priority="3821">
      <formula>$A20="Bridge"</formula>
    </cfRule>
    <cfRule type="expression" dxfId="17709" priority="3822">
      <formula>$A20="Drainage Works"</formula>
    </cfRule>
    <cfRule type="expression" dxfId="17708" priority="3823">
      <formula>$A20="Underpass"</formula>
    </cfRule>
    <cfRule type="expression" dxfId="17707" priority="3824">
      <formula>$A20="Overcrossing"</formula>
    </cfRule>
    <cfRule type="expression" dxfId="17706" priority="3825">
      <formula>$A20="Overpass"</formula>
    </cfRule>
    <cfRule type="expression" dxfId="17705" priority="3826">
      <formula>$A20="Station"</formula>
    </cfRule>
    <cfRule type="expression" dxfId="17704" priority="3827">
      <formula>$A20="Overlap between sections"</formula>
    </cfRule>
  </conditionalFormatting>
  <conditionalFormatting sqref="O20:O30 O41:O53">
    <cfRule type="expression" dxfId="17703" priority="3806">
      <formula>$A20="Overhead Cable"</formula>
    </cfRule>
    <cfRule type="expression" dxfId="17702" priority="3807">
      <formula>$A20="Level Crossing"</formula>
    </cfRule>
    <cfRule type="expression" dxfId="17701" priority="3808">
      <formula>$A20="Neutral Section"</formula>
    </cfRule>
    <cfRule type="expression" dxfId="17700" priority="3809">
      <formula>$A20="Tunnel"</formula>
    </cfRule>
    <cfRule type="expression" dxfId="17699" priority="3810">
      <formula>$A20="Bridge"</formula>
    </cfRule>
    <cfRule type="expression" dxfId="17698" priority="3811">
      <formula>$A20="Drainage Works"</formula>
    </cfRule>
    <cfRule type="expression" dxfId="17697" priority="3812">
      <formula>$A20="Underpass"</formula>
    </cfRule>
    <cfRule type="expression" dxfId="17696" priority="3813">
      <formula>$A20="Overcrossing"</formula>
    </cfRule>
    <cfRule type="expression" dxfId="17695" priority="3814">
      <formula>$A20="Overpass"</formula>
    </cfRule>
    <cfRule type="expression" dxfId="17694" priority="3815">
      <formula>$A20="Station"</formula>
    </cfRule>
    <cfRule type="expression" dxfId="17693" priority="3816">
      <formula>$A20="Overlap between sections"</formula>
    </cfRule>
  </conditionalFormatting>
  <conditionalFormatting sqref="P20:P30 P41:P53">
    <cfRule type="expression" dxfId="17692" priority="3795">
      <formula>$A20="Overhead Cable"</formula>
    </cfRule>
    <cfRule type="expression" dxfId="17691" priority="3796">
      <formula>$A20="Level Crossing"</formula>
    </cfRule>
    <cfRule type="expression" dxfId="17690" priority="3797">
      <formula>$A20="Neutral Section"</formula>
    </cfRule>
    <cfRule type="expression" dxfId="17689" priority="3798">
      <formula>$A20="Tunnel"</formula>
    </cfRule>
    <cfRule type="expression" dxfId="17688" priority="3799">
      <formula>$A20="Bridge"</formula>
    </cfRule>
    <cfRule type="expression" dxfId="17687" priority="3800">
      <formula>$A20="Drainage Works"</formula>
    </cfRule>
    <cfRule type="expression" dxfId="17686" priority="3801">
      <formula>$A20="Underpass"</formula>
    </cfRule>
    <cfRule type="expression" dxfId="17685" priority="3802">
      <formula>$A20="Overcrossing"</formula>
    </cfRule>
    <cfRule type="expression" dxfId="17684" priority="3803">
      <formula>$A20="Overpass"</formula>
    </cfRule>
    <cfRule type="expression" dxfId="17683" priority="3804">
      <formula>$A20="Station"</formula>
    </cfRule>
    <cfRule type="expression" dxfId="17682" priority="3805">
      <formula>$A20="Overlap between sections"</formula>
    </cfRule>
  </conditionalFormatting>
  <conditionalFormatting sqref="AC20:AC30 AC41:AC53">
    <cfRule type="expression" dxfId="17681" priority="3784">
      <formula>$A20="Overhead Cable"</formula>
    </cfRule>
    <cfRule type="expression" dxfId="17680" priority="3785">
      <formula>$A20="Level Crossing"</formula>
    </cfRule>
    <cfRule type="expression" dxfId="17679" priority="3786">
      <formula>$A20="Neutral Section"</formula>
    </cfRule>
    <cfRule type="expression" dxfId="17678" priority="3787">
      <formula>$A20="Tunnel"</formula>
    </cfRule>
    <cfRule type="expression" dxfId="17677" priority="3788">
      <formula>$A20="Bridge"</formula>
    </cfRule>
    <cfRule type="expression" dxfId="17676" priority="3789">
      <formula>$A20="Drainage Works"</formula>
    </cfRule>
    <cfRule type="expression" dxfId="17675" priority="3790">
      <formula>$A20="Underpass"</formula>
    </cfRule>
    <cfRule type="expression" dxfId="17674" priority="3791">
      <formula>$A20="Overcrossing"</formula>
    </cfRule>
    <cfRule type="expression" dxfId="17673" priority="3792">
      <formula>$A20="Overpass"</formula>
    </cfRule>
    <cfRule type="expression" dxfId="17672" priority="3793">
      <formula>$A20="Station"</formula>
    </cfRule>
    <cfRule type="expression" dxfId="17671" priority="3794">
      <formula>$A20="Overlap between sections"</formula>
    </cfRule>
  </conditionalFormatting>
  <conditionalFormatting sqref="AD20:AD30 AD41:AD53">
    <cfRule type="expression" dxfId="17670" priority="3773">
      <formula>$A20="Overhead Cable"</formula>
    </cfRule>
    <cfRule type="expression" dxfId="17669" priority="3774">
      <formula>$A20="Level Crossing"</formula>
    </cfRule>
    <cfRule type="expression" dxfId="17668" priority="3775">
      <formula>$A20="Neutral Section"</formula>
    </cfRule>
    <cfRule type="expression" dxfId="17667" priority="3776">
      <formula>$A20="Tunnel"</formula>
    </cfRule>
    <cfRule type="expression" dxfId="17666" priority="3777">
      <formula>$A20="Bridge"</formula>
    </cfRule>
    <cfRule type="expression" dxfId="17665" priority="3778">
      <formula>$A20="Drainage Works"</formula>
    </cfRule>
    <cfRule type="expression" dxfId="17664" priority="3779">
      <formula>$A20="Underpass"</formula>
    </cfRule>
    <cfRule type="expression" dxfId="17663" priority="3780">
      <formula>$A20="Overcrossing"</formula>
    </cfRule>
    <cfRule type="expression" dxfId="17662" priority="3781">
      <formula>$A20="Overpass"</formula>
    </cfRule>
    <cfRule type="expression" dxfId="17661" priority="3782">
      <formula>$A20="Station"</formula>
    </cfRule>
    <cfRule type="expression" dxfId="17660" priority="3783">
      <formula>$A20="Overlap between sections"</formula>
    </cfRule>
  </conditionalFormatting>
  <conditionalFormatting sqref="AE20:AE30 AE41:AE53">
    <cfRule type="expression" dxfId="17659" priority="3762">
      <formula>$A20="Overhead Cable"</formula>
    </cfRule>
    <cfRule type="expression" dxfId="17658" priority="3763">
      <formula>$A20="Level Crossing"</formula>
    </cfRule>
    <cfRule type="expression" dxfId="17657" priority="3764">
      <formula>$A20="Neutral Section"</formula>
    </cfRule>
    <cfRule type="expression" dxfId="17656" priority="3765">
      <formula>$A20="Tunnel"</formula>
    </cfRule>
    <cfRule type="expression" dxfId="17655" priority="3766">
      <formula>$A20="Bridge"</formula>
    </cfRule>
    <cfRule type="expression" dxfId="17654" priority="3767">
      <formula>$A20="Drainage Works"</formula>
    </cfRule>
    <cfRule type="expression" dxfId="17653" priority="3768">
      <formula>$A20="Underpass"</formula>
    </cfRule>
    <cfRule type="expression" dxfId="17652" priority="3769">
      <formula>$A20="Overcrossing"</formula>
    </cfRule>
    <cfRule type="expression" dxfId="17651" priority="3770">
      <formula>$A20="Overpass"</formula>
    </cfRule>
    <cfRule type="expression" dxfId="17650" priority="3771">
      <formula>$A20="Station"</formula>
    </cfRule>
    <cfRule type="expression" dxfId="17649" priority="3772">
      <formula>$A20="Overlap between sections"</formula>
    </cfRule>
  </conditionalFormatting>
  <conditionalFormatting sqref="AJ20:AJ30 AJ41:AJ53">
    <cfRule type="expression" dxfId="17648" priority="3751">
      <formula>$A20="Overhead Cable"</formula>
    </cfRule>
    <cfRule type="expression" dxfId="17647" priority="3752">
      <formula>$A20="Level Crossing"</formula>
    </cfRule>
    <cfRule type="expression" dxfId="17646" priority="3753">
      <formula>$A20="Neutral Section"</formula>
    </cfRule>
    <cfRule type="expression" dxfId="17645" priority="3754">
      <formula>$A20="Tunnel"</formula>
    </cfRule>
    <cfRule type="expression" dxfId="17644" priority="3755">
      <formula>$A20="Bridge"</formula>
    </cfRule>
    <cfRule type="expression" dxfId="17643" priority="3756">
      <formula>$A20="Drainage Works"</formula>
    </cfRule>
    <cfRule type="expression" dxfId="17642" priority="3757">
      <formula>$A20="Underpass"</formula>
    </cfRule>
    <cfRule type="expression" dxfId="17641" priority="3758">
      <formula>$A20="Overcrossing"</formula>
    </cfRule>
    <cfRule type="expression" dxfId="17640" priority="3759">
      <formula>$A20="Overpass"</formula>
    </cfRule>
    <cfRule type="expression" dxfId="17639" priority="3760">
      <formula>$A20="Station"</formula>
    </cfRule>
    <cfRule type="expression" dxfId="17638" priority="3761">
      <formula>$A20="Overlap between sections"</formula>
    </cfRule>
  </conditionalFormatting>
  <conditionalFormatting sqref="AK20:AK30 AK42 AK46 AK44 AK48 AK50:AK53">
    <cfRule type="expression" dxfId="17637" priority="3740">
      <formula>$A20="Overhead Cable"</formula>
    </cfRule>
    <cfRule type="expression" dxfId="17636" priority="3741">
      <formula>$A20="Level Crossing"</formula>
    </cfRule>
    <cfRule type="expression" dxfId="17635" priority="3742">
      <formula>$A20="Neutral Section"</formula>
    </cfRule>
    <cfRule type="expression" dxfId="17634" priority="3743">
      <formula>$A20="Tunnel"</formula>
    </cfRule>
    <cfRule type="expression" dxfId="17633" priority="3744">
      <formula>$A20="Bridge"</formula>
    </cfRule>
    <cfRule type="expression" dxfId="17632" priority="3745">
      <formula>$A20="Drainage Works"</formula>
    </cfRule>
    <cfRule type="expression" dxfId="17631" priority="3746">
      <formula>$A20="Underpass"</formula>
    </cfRule>
    <cfRule type="expression" dxfId="17630" priority="3747">
      <formula>$A20="Overcrossing"</formula>
    </cfRule>
    <cfRule type="expression" dxfId="17629" priority="3748">
      <formula>$A20="Overpass"</formula>
    </cfRule>
    <cfRule type="expression" dxfId="17628" priority="3749">
      <formula>$A20="Station"</formula>
    </cfRule>
    <cfRule type="expression" dxfId="17627" priority="3750">
      <formula>$A20="Overlap between sections"</formula>
    </cfRule>
  </conditionalFormatting>
  <conditionalFormatting sqref="AL20:AL30 AL41:AL53">
    <cfRule type="expression" dxfId="17626" priority="3729">
      <formula>$A20="Overhead Cable"</formula>
    </cfRule>
    <cfRule type="expression" dxfId="17625" priority="3730">
      <formula>$A20="Level Crossing"</formula>
    </cfRule>
    <cfRule type="expression" dxfId="17624" priority="3731">
      <formula>$A20="Neutral Section"</formula>
    </cfRule>
    <cfRule type="expression" dxfId="17623" priority="3732">
      <formula>$A20="Tunnel"</formula>
    </cfRule>
    <cfRule type="expression" dxfId="17622" priority="3733">
      <formula>$A20="Bridge"</formula>
    </cfRule>
    <cfRule type="expression" dxfId="17621" priority="3734">
      <formula>$A20="Drainage Works"</formula>
    </cfRule>
    <cfRule type="expression" dxfId="17620" priority="3735">
      <formula>$A20="Underpass"</formula>
    </cfRule>
    <cfRule type="expression" dxfId="17619" priority="3736">
      <formula>$A20="Overcrossing"</formula>
    </cfRule>
    <cfRule type="expression" dxfId="17618" priority="3737">
      <formula>$A20="Overpass"</formula>
    </cfRule>
    <cfRule type="expression" dxfId="17617" priority="3738">
      <formula>$A20="Station"</formula>
    </cfRule>
    <cfRule type="expression" dxfId="17616" priority="3739">
      <formula>$A20="Overlap between sections"</formula>
    </cfRule>
  </conditionalFormatting>
  <conditionalFormatting sqref="AT20:AT30 AT41:AT53">
    <cfRule type="expression" dxfId="17615" priority="3718">
      <formula>$A20="Overhead Cable"</formula>
    </cfRule>
    <cfRule type="expression" dxfId="17614" priority="3719">
      <formula>$A20="Level Crossing"</formula>
    </cfRule>
    <cfRule type="expression" dxfId="17613" priority="3720">
      <formula>$A20="Neutral Section"</formula>
    </cfRule>
    <cfRule type="expression" dxfId="17612" priority="3721">
      <formula>$A20="Tunnel"</formula>
    </cfRule>
    <cfRule type="expression" dxfId="17611" priority="3722">
      <formula>$A20="Bridge"</formula>
    </cfRule>
    <cfRule type="expression" dxfId="17610" priority="3723">
      <formula>$A20="Drainage Works"</formula>
    </cfRule>
    <cfRule type="expression" dxfId="17609" priority="3724">
      <formula>$A20="Underpass"</formula>
    </cfRule>
    <cfRule type="expression" dxfId="17608" priority="3725">
      <formula>$A20="Overcrossing"</formula>
    </cfRule>
    <cfRule type="expression" dxfId="17607" priority="3726">
      <formula>$A20="Overpass"</formula>
    </cfRule>
    <cfRule type="expression" dxfId="17606" priority="3727">
      <formula>$A20="Station"</formula>
    </cfRule>
    <cfRule type="expression" dxfId="17605" priority="3728">
      <formula>$A20="Overlap between sections"</formula>
    </cfRule>
  </conditionalFormatting>
  <conditionalFormatting sqref="AU20:AU30 AU41:AU53">
    <cfRule type="expression" dxfId="17604" priority="3707">
      <formula>$A20="Overhead Cable"</formula>
    </cfRule>
    <cfRule type="expression" dxfId="17603" priority="3708">
      <formula>$A20="Level Crossing"</formula>
    </cfRule>
    <cfRule type="expression" dxfId="17602" priority="3709">
      <formula>$A20="Neutral Section"</formula>
    </cfRule>
    <cfRule type="expression" dxfId="17601" priority="3710">
      <formula>$A20="Tunnel"</formula>
    </cfRule>
    <cfRule type="expression" dxfId="17600" priority="3711">
      <formula>$A20="Bridge"</formula>
    </cfRule>
    <cfRule type="expression" dxfId="17599" priority="3712">
      <formula>$A20="Drainage Works"</formula>
    </cfRule>
    <cfRule type="expression" dxfId="17598" priority="3713">
      <formula>$A20="Underpass"</formula>
    </cfRule>
    <cfRule type="expression" dxfId="17597" priority="3714">
      <formula>$A20="Overcrossing"</formula>
    </cfRule>
    <cfRule type="expression" dxfId="17596" priority="3715">
      <formula>$A20="Overpass"</formula>
    </cfRule>
    <cfRule type="expression" dxfId="17595" priority="3716">
      <formula>$A20="Station"</formula>
    </cfRule>
    <cfRule type="expression" dxfId="17594" priority="3717">
      <formula>$A20="Overlap between sections"</formula>
    </cfRule>
  </conditionalFormatting>
  <conditionalFormatting sqref="AV20:AV30 AV41:AV53">
    <cfRule type="expression" dxfId="17593" priority="3696">
      <formula>$A20="Overhead Cable"</formula>
    </cfRule>
    <cfRule type="expression" dxfId="17592" priority="3697">
      <formula>$A20="Level Crossing"</formula>
    </cfRule>
    <cfRule type="expression" dxfId="17591" priority="3698">
      <formula>$A20="Neutral Section"</formula>
    </cfRule>
    <cfRule type="expression" dxfId="17590" priority="3699">
      <formula>$A20="Tunnel"</formula>
    </cfRule>
    <cfRule type="expression" dxfId="17589" priority="3700">
      <formula>$A20="Bridge"</formula>
    </cfRule>
    <cfRule type="expression" dxfId="17588" priority="3701">
      <formula>$A20="Drainage Works"</formula>
    </cfRule>
    <cfRule type="expression" dxfId="17587" priority="3702">
      <formula>$A20="Underpass"</formula>
    </cfRule>
    <cfRule type="expression" dxfId="17586" priority="3703">
      <formula>$A20="Overcrossing"</formula>
    </cfRule>
    <cfRule type="expression" dxfId="17585" priority="3704">
      <formula>$A20="Overpass"</formula>
    </cfRule>
    <cfRule type="expression" dxfId="17584" priority="3705">
      <formula>$A20="Station"</formula>
    </cfRule>
    <cfRule type="expression" dxfId="17583" priority="3706">
      <formula>$A20="Overlap between sections"</formula>
    </cfRule>
  </conditionalFormatting>
  <conditionalFormatting sqref="AW41 AW43 AW45:AW53">
    <cfRule type="expression" dxfId="17582" priority="3693">
      <formula>$M41="NON DEFINED"</formula>
    </cfRule>
    <cfRule type="expression" dxfId="17581" priority="3694">
      <formula>$AZ41="N.D."</formula>
    </cfRule>
    <cfRule type="expression" dxfId="17580" priority="3695">
      <formula>$AY41="N.D."</formula>
    </cfRule>
  </conditionalFormatting>
  <conditionalFormatting sqref="AW41 AW43 AW45:AW53 AW21:AW30">
    <cfRule type="expression" dxfId="17579" priority="3682">
      <formula>$A21="Overhead Cable"</formula>
    </cfRule>
    <cfRule type="expression" dxfId="17578" priority="3683">
      <formula>$A21="Level Crossing"</formula>
    </cfRule>
    <cfRule type="expression" dxfId="17577" priority="3684">
      <formula>$A21="Neutral Section"</formula>
    </cfRule>
    <cfRule type="expression" dxfId="17576" priority="3685">
      <formula>$A21="Tunnel"</formula>
    </cfRule>
    <cfRule type="expression" dxfId="17575" priority="3686">
      <formula>$A21="Bridge"</formula>
    </cfRule>
    <cfRule type="expression" dxfId="17574" priority="3687">
      <formula>$A21="Drainage Works"</formula>
    </cfRule>
    <cfRule type="expression" dxfId="17573" priority="3688">
      <formula>$A21="Underpass"</formula>
    </cfRule>
    <cfRule type="expression" dxfId="17572" priority="3689">
      <formula>$A21="Overcrossing"</formula>
    </cfRule>
    <cfRule type="expression" dxfId="17571" priority="3690">
      <formula>$A21="Overpass"</formula>
    </cfRule>
    <cfRule type="expression" dxfId="17570" priority="3691">
      <formula>$A21="Station"</formula>
    </cfRule>
    <cfRule type="expression" dxfId="17569" priority="3692">
      <formula>$A21="Overlap between sections"</formula>
    </cfRule>
  </conditionalFormatting>
  <conditionalFormatting sqref="AX41 AX43 AX45:AX53">
    <cfRule type="expression" dxfId="17568" priority="3679">
      <formula>$M41="NON DEFINED"</formula>
    </cfRule>
    <cfRule type="expression" dxfId="17567" priority="3680">
      <formula>$AZ41="N.D."</formula>
    </cfRule>
    <cfRule type="expression" dxfId="17566" priority="3681">
      <formula>$AY41="N.D."</formula>
    </cfRule>
  </conditionalFormatting>
  <conditionalFormatting sqref="AX41 AX43 AX45:AX53 AX21:AX30">
    <cfRule type="expression" dxfId="17565" priority="3668">
      <formula>$A21="Overhead Cable"</formula>
    </cfRule>
    <cfRule type="expression" dxfId="17564" priority="3669">
      <formula>$A21="Level Crossing"</formula>
    </cfRule>
    <cfRule type="expression" dxfId="17563" priority="3670">
      <formula>$A21="Neutral Section"</formula>
    </cfRule>
    <cfRule type="expression" dxfId="17562" priority="3671">
      <formula>$A21="Tunnel"</formula>
    </cfRule>
    <cfRule type="expression" dxfId="17561" priority="3672">
      <formula>$A21="Bridge"</formula>
    </cfRule>
    <cfRule type="expression" dxfId="17560" priority="3673">
      <formula>$A21="Drainage Works"</formula>
    </cfRule>
    <cfRule type="expression" dxfId="17559" priority="3674">
      <formula>$A21="Underpass"</formula>
    </cfRule>
    <cfRule type="expression" dxfId="17558" priority="3675">
      <formula>$A21="Overcrossing"</formula>
    </cfRule>
    <cfRule type="expression" dxfId="17557" priority="3676">
      <formula>$A21="Overpass"</formula>
    </cfRule>
    <cfRule type="expression" dxfId="17556" priority="3677">
      <formula>$A21="Station"</formula>
    </cfRule>
    <cfRule type="expression" dxfId="17555" priority="3678">
      <formula>$A21="Overlap between sections"</formula>
    </cfRule>
  </conditionalFormatting>
  <conditionalFormatting sqref="F20:F30 F41:F53">
    <cfRule type="expression" dxfId="17554" priority="3657">
      <formula>$A20="Overhead Cable"</formula>
    </cfRule>
    <cfRule type="expression" dxfId="17553" priority="3658">
      <formula>$A20="Level Crossing"</formula>
    </cfRule>
    <cfRule type="expression" dxfId="17552" priority="3659">
      <formula>$A20="Neutral Section"</formula>
    </cfRule>
    <cfRule type="expression" dxfId="17551" priority="3660">
      <formula>$A20="Tunnel"</formula>
    </cfRule>
    <cfRule type="expression" dxfId="17550" priority="3661">
      <formula>$A20="Bridge"</formula>
    </cfRule>
    <cfRule type="expression" dxfId="17549" priority="3662">
      <formula>$A20="Drainage Works"</formula>
    </cfRule>
    <cfRule type="expression" dxfId="17548" priority="3663">
      <formula>$A20="Underpass"</formula>
    </cfRule>
    <cfRule type="expression" dxfId="17547" priority="3664">
      <formula>$A20="Overcrossing"</formula>
    </cfRule>
    <cfRule type="expression" dxfId="17546" priority="3665">
      <formula>$A20="Overpass"</formula>
    </cfRule>
    <cfRule type="expression" dxfId="17545" priority="3666">
      <formula>$A20="Station"</formula>
    </cfRule>
    <cfRule type="expression" dxfId="17544" priority="3667">
      <formula>$A20="Overlap between sections"</formula>
    </cfRule>
  </conditionalFormatting>
  <conditionalFormatting sqref="Q20:Q30 Q41:Q53">
    <cfRule type="expression" dxfId="17543" priority="3646">
      <formula>$A20="Overhead Cable"</formula>
    </cfRule>
    <cfRule type="expression" dxfId="17542" priority="3647">
      <formula>$A20="Level Crossing"</formula>
    </cfRule>
    <cfRule type="expression" dxfId="17541" priority="3648">
      <formula>$A20="Neutral Section"</formula>
    </cfRule>
    <cfRule type="expression" dxfId="17540" priority="3649">
      <formula>$A20="Tunnel"</formula>
    </cfRule>
    <cfRule type="expression" dxfId="17539" priority="3650">
      <formula>$A20="Bridge"</formula>
    </cfRule>
    <cfRule type="expression" dxfId="17538" priority="3651">
      <formula>$A20="Drainage Works"</formula>
    </cfRule>
    <cfRule type="expression" dxfId="17537" priority="3652">
      <formula>$A20="Underpass"</formula>
    </cfRule>
    <cfRule type="expression" dxfId="17536" priority="3653">
      <formula>$A20="Overcrossing"</formula>
    </cfRule>
    <cfRule type="expression" dxfId="17535" priority="3654">
      <formula>$A20="Overpass"</formula>
    </cfRule>
    <cfRule type="expression" dxfId="17534" priority="3655">
      <formula>$A20="Station"</formula>
    </cfRule>
    <cfRule type="expression" dxfId="17533" priority="3656">
      <formula>$A20="Overlap between sections"</formula>
    </cfRule>
  </conditionalFormatting>
  <conditionalFormatting sqref="T20:T30 T41:T53">
    <cfRule type="expression" dxfId="17532" priority="3635">
      <formula>$A20="Overhead Cable"</formula>
    </cfRule>
    <cfRule type="expression" dxfId="17531" priority="3636">
      <formula>$A20="Level Crossing"</formula>
    </cfRule>
    <cfRule type="expression" dxfId="17530" priority="3637">
      <formula>$A20="Neutral Section"</formula>
    </cfRule>
    <cfRule type="expression" dxfId="17529" priority="3638">
      <formula>$A20="Tunnel"</formula>
    </cfRule>
    <cfRule type="expression" dxfId="17528" priority="3639">
      <formula>$A20="Bridge"</formula>
    </cfRule>
    <cfRule type="expression" dxfId="17527" priority="3640">
      <formula>$A20="Drainage Works"</formula>
    </cfRule>
    <cfRule type="expression" dxfId="17526" priority="3641">
      <formula>$A20="Underpass"</formula>
    </cfRule>
    <cfRule type="expression" dxfId="17525" priority="3642">
      <formula>$A20="Overcrossing"</formula>
    </cfRule>
    <cfRule type="expression" dxfId="17524" priority="3643">
      <formula>$A20="Overpass"</formula>
    </cfRule>
    <cfRule type="expression" dxfId="17523" priority="3644">
      <formula>$A20="Station"</formula>
    </cfRule>
    <cfRule type="expression" dxfId="17522" priority="3645">
      <formula>$A20="Overlap between sections"</formula>
    </cfRule>
  </conditionalFormatting>
  <conditionalFormatting sqref="U20:U30 U41:U53">
    <cfRule type="expression" dxfId="17521" priority="3624">
      <formula>$A20="Overhead Cable"</formula>
    </cfRule>
    <cfRule type="expression" dxfId="17520" priority="3625">
      <formula>$A20="Level Crossing"</formula>
    </cfRule>
    <cfRule type="expression" dxfId="17519" priority="3626">
      <formula>$A20="Neutral Section"</formula>
    </cfRule>
    <cfRule type="expression" dxfId="17518" priority="3627">
      <formula>$A20="Tunnel"</formula>
    </cfRule>
    <cfRule type="expression" dxfId="17517" priority="3628">
      <formula>$A20="Bridge"</formula>
    </cfRule>
    <cfRule type="expression" dxfId="17516" priority="3629">
      <formula>$A20="Drainage Works"</formula>
    </cfRule>
    <cfRule type="expression" dxfId="17515" priority="3630">
      <formula>$A20="Underpass"</formula>
    </cfRule>
    <cfRule type="expression" dxfId="17514" priority="3631">
      <formula>$A20="Overcrossing"</formula>
    </cfRule>
    <cfRule type="expression" dxfId="17513" priority="3632">
      <formula>$A20="Overpass"</formula>
    </cfRule>
    <cfRule type="expression" dxfId="17512" priority="3633">
      <formula>$A20="Station"</formula>
    </cfRule>
    <cfRule type="expression" dxfId="17511" priority="3634">
      <formula>$A20="Overlap between sections"</formula>
    </cfRule>
  </conditionalFormatting>
  <conditionalFormatting sqref="V20:V30 V41:V53">
    <cfRule type="expression" dxfId="17510" priority="3613">
      <formula>$A20="Overhead Cable"</formula>
    </cfRule>
    <cfRule type="expression" dxfId="17509" priority="3614">
      <formula>$A20="Level Crossing"</formula>
    </cfRule>
    <cfRule type="expression" dxfId="17508" priority="3615">
      <formula>$A20="Neutral Section"</formula>
    </cfRule>
    <cfRule type="expression" dxfId="17507" priority="3616">
      <formula>$A20="Tunnel"</formula>
    </cfRule>
    <cfRule type="expression" dxfId="17506" priority="3617">
      <formula>$A20="Bridge"</formula>
    </cfRule>
    <cfRule type="expression" dxfId="17505" priority="3618">
      <formula>$A20="Drainage Works"</formula>
    </cfRule>
    <cfRule type="expression" dxfId="17504" priority="3619">
      <formula>$A20="Underpass"</formula>
    </cfRule>
    <cfRule type="expression" dxfId="17503" priority="3620">
      <formula>$A20="Overcrossing"</formula>
    </cfRule>
    <cfRule type="expression" dxfId="17502" priority="3621">
      <formula>$A20="Overpass"</formula>
    </cfRule>
    <cfRule type="expression" dxfId="17501" priority="3622">
      <formula>$A20="Station"</formula>
    </cfRule>
    <cfRule type="expression" dxfId="17500" priority="3623">
      <formula>$A20="Overlap between sections"</formula>
    </cfRule>
  </conditionalFormatting>
  <conditionalFormatting sqref="AF20:AF30 AF41:AF53">
    <cfRule type="expression" dxfId="17499" priority="3602">
      <formula>$A20="Overhead Cable"</formula>
    </cfRule>
    <cfRule type="expression" dxfId="17498" priority="3603">
      <formula>$A20="Level Crossing"</formula>
    </cfRule>
    <cfRule type="expression" dxfId="17497" priority="3604">
      <formula>$A20="Neutral Section"</formula>
    </cfRule>
    <cfRule type="expression" dxfId="17496" priority="3605">
      <formula>$A20="Tunnel"</formula>
    </cfRule>
    <cfRule type="expression" dxfId="17495" priority="3606">
      <formula>$A20="Bridge"</formula>
    </cfRule>
    <cfRule type="expression" dxfId="17494" priority="3607">
      <formula>$A20="Drainage Works"</formula>
    </cfRule>
    <cfRule type="expression" dxfId="17493" priority="3608">
      <formula>$A20="Underpass"</formula>
    </cfRule>
    <cfRule type="expression" dxfId="17492" priority="3609">
      <formula>$A20="Overcrossing"</formula>
    </cfRule>
    <cfRule type="expression" dxfId="17491" priority="3610">
      <formula>$A20="Overpass"</formula>
    </cfRule>
    <cfRule type="expression" dxfId="17490" priority="3611">
      <formula>$A20="Station"</formula>
    </cfRule>
    <cfRule type="expression" dxfId="17489" priority="3612">
      <formula>$A20="Overlap between sections"</formula>
    </cfRule>
  </conditionalFormatting>
  <conditionalFormatting sqref="AH20:AH30 AH41:AH53">
    <cfRule type="expression" dxfId="17488" priority="3591">
      <formula>$A20="Overhead Cable"</formula>
    </cfRule>
    <cfRule type="expression" dxfId="17487" priority="3592">
      <formula>$A20="Level Crossing"</formula>
    </cfRule>
    <cfRule type="expression" dxfId="17486" priority="3593">
      <formula>$A20="Neutral Section"</formula>
    </cfRule>
    <cfRule type="expression" dxfId="17485" priority="3594">
      <formula>$A20="Tunnel"</formula>
    </cfRule>
    <cfRule type="expression" dxfId="17484" priority="3595">
      <formula>$A20="Bridge"</formula>
    </cfRule>
    <cfRule type="expression" dxfId="17483" priority="3596">
      <formula>$A20="Drainage Works"</formula>
    </cfRule>
    <cfRule type="expression" dxfId="17482" priority="3597">
      <formula>$A20="Underpass"</formula>
    </cfRule>
    <cfRule type="expression" dxfId="17481" priority="3598">
      <formula>$A20="Overcrossing"</formula>
    </cfRule>
    <cfRule type="expression" dxfId="17480" priority="3599">
      <formula>$A20="Overpass"</formula>
    </cfRule>
    <cfRule type="expression" dxfId="17479" priority="3600">
      <formula>$A20="Station"</formula>
    </cfRule>
    <cfRule type="expression" dxfId="17478" priority="3601">
      <formula>$A20="Overlap between sections"</formula>
    </cfRule>
  </conditionalFormatting>
  <conditionalFormatting sqref="AI20:AI30 AI41:AI53">
    <cfRule type="expression" dxfId="17477" priority="3580">
      <formula>$A20="Overhead Cable"</formula>
    </cfRule>
    <cfRule type="expression" dxfId="17476" priority="3581">
      <formula>$A20="Level Crossing"</formula>
    </cfRule>
    <cfRule type="expression" dxfId="17475" priority="3582">
      <formula>$A20="Neutral Section"</formula>
    </cfRule>
    <cfRule type="expression" dxfId="17474" priority="3583">
      <formula>$A20="Tunnel"</formula>
    </cfRule>
    <cfRule type="expression" dxfId="17473" priority="3584">
      <formula>$A20="Bridge"</formula>
    </cfRule>
    <cfRule type="expression" dxfId="17472" priority="3585">
      <formula>$A20="Drainage Works"</formula>
    </cfRule>
    <cfRule type="expression" dxfId="17471" priority="3586">
      <formula>$A20="Underpass"</formula>
    </cfRule>
    <cfRule type="expression" dxfId="17470" priority="3587">
      <formula>$A20="Overcrossing"</formula>
    </cfRule>
    <cfRule type="expression" dxfId="17469" priority="3588">
      <formula>$A20="Overpass"</formula>
    </cfRule>
    <cfRule type="expression" dxfId="17468" priority="3589">
      <formula>$A20="Station"</formula>
    </cfRule>
    <cfRule type="expression" dxfId="17467" priority="3590">
      <formula>$A20="Overlap between sections"</formula>
    </cfRule>
  </conditionalFormatting>
  <conditionalFormatting sqref="R20:R30 R41:R53">
    <cfRule type="expression" dxfId="17466" priority="3569">
      <formula>$A20="Overhead Cable"</formula>
    </cfRule>
    <cfRule type="expression" dxfId="17465" priority="3570">
      <formula>$A20="Level Crossing"</formula>
    </cfRule>
    <cfRule type="expression" dxfId="17464" priority="3571">
      <formula>$A20="Neutral Section"</formula>
    </cfRule>
    <cfRule type="expression" dxfId="17463" priority="3572">
      <formula>$A20="Tunnel"</formula>
    </cfRule>
    <cfRule type="expression" dxfId="17462" priority="3573">
      <formula>$A20="Bridge"</formula>
    </cfRule>
    <cfRule type="expression" dxfId="17461" priority="3574">
      <formula>$A20="Drainage Works"</formula>
    </cfRule>
    <cfRule type="expression" dxfId="17460" priority="3575">
      <formula>$A20="Underpass"</formula>
    </cfRule>
    <cfRule type="expression" dxfId="17459" priority="3576">
      <formula>$A20="Overcrossing"</formula>
    </cfRule>
    <cfRule type="expression" dxfId="17458" priority="3577">
      <formula>$A20="Overpass"</formula>
    </cfRule>
    <cfRule type="expression" dxfId="17457" priority="3578">
      <formula>$A20="Station"</formula>
    </cfRule>
    <cfRule type="expression" dxfId="17456" priority="3579">
      <formula>$A20="Overlap between sections"</formula>
    </cfRule>
  </conditionalFormatting>
  <conditionalFormatting sqref="S20:S30 S41:S53">
    <cfRule type="expression" dxfId="17455" priority="3558">
      <formula>$A20="Overhead Cable"</formula>
    </cfRule>
    <cfRule type="expression" dxfId="17454" priority="3559">
      <formula>$A20="Level Crossing"</formula>
    </cfRule>
    <cfRule type="expression" dxfId="17453" priority="3560">
      <formula>$A20="Neutral Section"</formula>
    </cfRule>
    <cfRule type="expression" dxfId="17452" priority="3561">
      <formula>$A20="Tunnel"</formula>
    </cfRule>
    <cfRule type="expression" dxfId="17451" priority="3562">
      <formula>$A20="Bridge"</formula>
    </cfRule>
    <cfRule type="expression" dxfId="17450" priority="3563">
      <formula>$A20="Drainage Works"</formula>
    </cfRule>
    <cfRule type="expression" dxfId="17449" priority="3564">
      <formula>$A20="Underpass"</formula>
    </cfRule>
    <cfRule type="expression" dxfId="17448" priority="3565">
      <formula>$A20="Overcrossing"</formula>
    </cfRule>
    <cfRule type="expression" dxfId="17447" priority="3566">
      <formula>$A20="Overpass"</formula>
    </cfRule>
    <cfRule type="expression" dxfId="17446" priority="3567">
      <formula>$A20="Station"</formula>
    </cfRule>
    <cfRule type="expression" dxfId="17445" priority="3568">
      <formula>$A20="Overlap between sections"</formula>
    </cfRule>
  </conditionalFormatting>
  <conditionalFormatting sqref="W20 W41:W53 W30 W24:W28 W22">
    <cfRule type="expression" dxfId="17444" priority="3547">
      <formula>$A20="Overhead Cable"</formula>
    </cfRule>
    <cfRule type="expression" dxfId="17443" priority="3548">
      <formula>$A20="Level Crossing"</formula>
    </cfRule>
    <cfRule type="expression" dxfId="17442" priority="3549">
      <formula>$A20="Neutral Section"</formula>
    </cfRule>
    <cfRule type="expression" dxfId="17441" priority="3550">
      <formula>$A20="Tunnel"</formula>
    </cfRule>
    <cfRule type="expression" dxfId="17440" priority="3551">
      <formula>$A20="Bridge"</formula>
    </cfRule>
    <cfRule type="expression" dxfId="17439" priority="3552">
      <formula>$A20="Drainage Works"</formula>
    </cfRule>
    <cfRule type="expression" dxfId="17438" priority="3553">
      <formula>$A20="Underpass"</formula>
    </cfRule>
    <cfRule type="expression" dxfId="17437" priority="3554">
      <formula>$A20="Overcrossing"</formula>
    </cfRule>
    <cfRule type="expression" dxfId="17436" priority="3555">
      <formula>$A20="Overpass"</formula>
    </cfRule>
    <cfRule type="expression" dxfId="17435" priority="3556">
      <formula>$A20="Station"</formula>
    </cfRule>
    <cfRule type="expression" dxfId="17434" priority="3557">
      <formula>$A20="Overlap between sections"</formula>
    </cfRule>
  </conditionalFormatting>
  <conditionalFormatting sqref="X20:X30 X41:X53">
    <cfRule type="expression" dxfId="17433" priority="3536">
      <formula>$A20="Overhead Cable"</formula>
    </cfRule>
    <cfRule type="expression" dxfId="17432" priority="3537">
      <formula>$A20="Level Crossing"</formula>
    </cfRule>
    <cfRule type="expression" dxfId="17431" priority="3538">
      <formula>$A20="Neutral Section"</formula>
    </cfRule>
    <cfRule type="expression" dxfId="17430" priority="3539">
      <formula>$A20="Tunnel"</formula>
    </cfRule>
    <cfRule type="expression" dxfId="17429" priority="3540">
      <formula>$A20="Bridge"</formula>
    </cfRule>
    <cfRule type="expression" dxfId="17428" priority="3541">
      <formula>$A20="Drainage Works"</formula>
    </cfRule>
    <cfRule type="expression" dxfId="17427" priority="3542">
      <formula>$A20="Underpass"</formula>
    </cfRule>
    <cfRule type="expression" dxfId="17426" priority="3543">
      <formula>$A20="Overcrossing"</formula>
    </cfRule>
    <cfRule type="expression" dxfId="17425" priority="3544">
      <formula>$A20="Overpass"</formula>
    </cfRule>
    <cfRule type="expression" dxfId="17424" priority="3545">
      <formula>$A20="Station"</formula>
    </cfRule>
    <cfRule type="expression" dxfId="17423" priority="3546">
      <formula>$A20="Overlap between sections"</formula>
    </cfRule>
  </conditionalFormatting>
  <conditionalFormatting sqref="Y20:Y30 Y41:Y53">
    <cfRule type="expression" dxfId="17422" priority="3525">
      <formula>$A20="Overhead Cable"</formula>
    </cfRule>
    <cfRule type="expression" dxfId="17421" priority="3526">
      <formula>$A20="Level Crossing"</formula>
    </cfRule>
    <cfRule type="expression" dxfId="17420" priority="3527">
      <formula>$A20="Neutral Section"</formula>
    </cfRule>
    <cfRule type="expression" dxfId="17419" priority="3528">
      <formula>$A20="Tunnel"</formula>
    </cfRule>
    <cfRule type="expression" dxfId="17418" priority="3529">
      <formula>$A20="Bridge"</formula>
    </cfRule>
    <cfRule type="expression" dxfId="17417" priority="3530">
      <formula>$A20="Drainage Works"</formula>
    </cfRule>
    <cfRule type="expression" dxfId="17416" priority="3531">
      <formula>$A20="Underpass"</formula>
    </cfRule>
    <cfRule type="expression" dxfId="17415" priority="3532">
      <formula>$A20="Overcrossing"</formula>
    </cfRule>
    <cfRule type="expression" dxfId="17414" priority="3533">
      <formula>$A20="Overpass"</formula>
    </cfRule>
    <cfRule type="expression" dxfId="17413" priority="3534">
      <formula>$A20="Station"</formula>
    </cfRule>
    <cfRule type="expression" dxfId="17412" priority="3535">
      <formula>$A20="Overlap between sections"</formula>
    </cfRule>
  </conditionalFormatting>
  <conditionalFormatting sqref="Z20:Z30 Z41:Z53">
    <cfRule type="expression" dxfId="17411" priority="3514">
      <formula>$A20="Overhead Cable"</formula>
    </cfRule>
    <cfRule type="expression" dxfId="17410" priority="3515">
      <formula>$A20="Level Crossing"</formula>
    </cfRule>
    <cfRule type="expression" dxfId="17409" priority="3516">
      <formula>$A20="Neutral Section"</formula>
    </cfRule>
    <cfRule type="expression" dxfId="17408" priority="3517">
      <formula>$A20="Tunnel"</formula>
    </cfRule>
    <cfRule type="expression" dxfId="17407" priority="3518">
      <formula>$A20="Bridge"</formula>
    </cfRule>
    <cfRule type="expression" dxfId="17406" priority="3519">
      <formula>$A20="Drainage Works"</formula>
    </cfRule>
    <cfRule type="expression" dxfId="17405" priority="3520">
      <formula>$A20="Underpass"</formula>
    </cfRule>
    <cfRule type="expression" dxfId="17404" priority="3521">
      <formula>$A20="Overcrossing"</formula>
    </cfRule>
    <cfRule type="expression" dxfId="17403" priority="3522">
      <formula>$A20="Overpass"</formula>
    </cfRule>
    <cfRule type="expression" dxfId="17402" priority="3523">
      <formula>$A20="Station"</formula>
    </cfRule>
    <cfRule type="expression" dxfId="17401" priority="3524">
      <formula>$A20="Overlap between sections"</formula>
    </cfRule>
  </conditionalFormatting>
  <conditionalFormatting sqref="AA20:AA30 AA41:AA53">
    <cfRule type="expression" dxfId="17400" priority="3503">
      <formula>$A20="Overhead Cable"</formula>
    </cfRule>
    <cfRule type="expression" dxfId="17399" priority="3504">
      <formula>$A20="Level Crossing"</formula>
    </cfRule>
    <cfRule type="expression" dxfId="17398" priority="3505">
      <formula>$A20="Neutral Section"</formula>
    </cfRule>
    <cfRule type="expression" dxfId="17397" priority="3506">
      <formula>$A20="Tunnel"</formula>
    </cfRule>
    <cfRule type="expression" dxfId="17396" priority="3507">
      <formula>$A20="Bridge"</formula>
    </cfRule>
    <cfRule type="expression" dxfId="17395" priority="3508">
      <formula>$A20="Drainage Works"</formula>
    </cfRule>
    <cfRule type="expression" dxfId="17394" priority="3509">
      <formula>$A20="Underpass"</formula>
    </cfRule>
    <cfRule type="expression" dxfId="17393" priority="3510">
      <formula>$A20="Overcrossing"</formula>
    </cfRule>
    <cfRule type="expression" dxfId="17392" priority="3511">
      <formula>$A20="Overpass"</formula>
    </cfRule>
    <cfRule type="expression" dxfId="17391" priority="3512">
      <formula>$A20="Station"</formula>
    </cfRule>
    <cfRule type="expression" dxfId="17390" priority="3513">
      <formula>$A20="Overlap between sections"</formula>
    </cfRule>
  </conditionalFormatting>
  <conditionalFormatting sqref="AB20:AB30 AB41:AB53">
    <cfRule type="expression" dxfId="17389" priority="3492">
      <formula>$A20="Overhead Cable"</formula>
    </cfRule>
    <cfRule type="expression" dxfId="17388" priority="3493">
      <formula>$A20="Level Crossing"</formula>
    </cfRule>
    <cfRule type="expression" dxfId="17387" priority="3494">
      <formula>$A20="Neutral Section"</formula>
    </cfRule>
    <cfRule type="expression" dxfId="17386" priority="3495">
      <formula>$A20="Tunnel"</formula>
    </cfRule>
    <cfRule type="expression" dxfId="17385" priority="3496">
      <formula>$A20="Bridge"</formula>
    </cfRule>
    <cfRule type="expression" dxfId="17384" priority="3497">
      <formula>$A20="Drainage Works"</formula>
    </cfRule>
    <cfRule type="expression" dxfId="17383" priority="3498">
      <formula>$A20="Underpass"</formula>
    </cfRule>
    <cfRule type="expression" dxfId="17382" priority="3499">
      <formula>$A20="Overcrossing"</formula>
    </cfRule>
    <cfRule type="expression" dxfId="17381" priority="3500">
      <formula>$A20="Overpass"</formula>
    </cfRule>
    <cfRule type="expression" dxfId="17380" priority="3501">
      <formula>$A20="Station"</formula>
    </cfRule>
    <cfRule type="expression" dxfId="17379" priority="3502">
      <formula>$A20="Overlap between sections"</formula>
    </cfRule>
  </conditionalFormatting>
  <conditionalFormatting sqref="BE5:BE56">
    <cfRule type="containsText" dxfId="17378" priority="3478" operator="containsText" text="a">
      <formula>NOT(ISERROR(SEARCH("a",BE5)))</formula>
    </cfRule>
    <cfRule type="containsText" dxfId="17377" priority="3479" operator="containsText" text="R">
      <formula>NOT(ISERROR(SEARCH("R",BE5)))</formula>
    </cfRule>
  </conditionalFormatting>
  <conditionalFormatting sqref="BD21:BD39 BD41 BD43 BD45 BD47 BD49 BD51 BD53">
    <cfRule type="containsText" dxfId="17376" priority="3261" operator="containsText" text="Poner a mano">
      <formula>NOT(ISERROR(SEARCH("Poner a mano",BD21)))</formula>
    </cfRule>
  </conditionalFormatting>
  <conditionalFormatting sqref="AW42">
    <cfRule type="expression" dxfId="17375" priority="3152">
      <formula>$M42="NON DEFINED"</formula>
    </cfRule>
    <cfRule type="expression" dxfId="17374" priority="3153">
      <formula>$AZ42="N.D."</formula>
    </cfRule>
    <cfRule type="expression" dxfId="17373" priority="3154">
      <formula>$AY42="N.D."</formula>
    </cfRule>
  </conditionalFormatting>
  <conditionalFormatting sqref="AW42">
    <cfRule type="expression" dxfId="17372" priority="3141">
      <formula>$A42="Overhead Cable"</formula>
    </cfRule>
    <cfRule type="expression" dxfId="17371" priority="3142">
      <formula>$A42="Level Crossing"</formula>
    </cfRule>
    <cfRule type="expression" dxfId="17370" priority="3143">
      <formula>$A42="Neutral Section"</formula>
    </cfRule>
    <cfRule type="expression" dxfId="17369" priority="3144">
      <formula>$A42="Tunnel"</formula>
    </cfRule>
    <cfRule type="expression" dxfId="17368" priority="3145">
      <formula>$A42="Bridge"</formula>
    </cfRule>
    <cfRule type="expression" dxfId="17367" priority="3146">
      <formula>$A42="Drainage Works"</formula>
    </cfRule>
    <cfRule type="expression" dxfId="17366" priority="3147">
      <formula>$A42="Underpass"</formula>
    </cfRule>
    <cfRule type="expression" dxfId="17365" priority="3148">
      <formula>$A42="Overcrossing"</formula>
    </cfRule>
    <cfRule type="expression" dxfId="17364" priority="3149">
      <formula>$A42="Overpass"</formula>
    </cfRule>
    <cfRule type="expression" dxfId="17363" priority="3150">
      <formula>$A42="Station"</formula>
    </cfRule>
    <cfRule type="expression" dxfId="17362" priority="3151">
      <formula>$A42="Overlap between sections"</formula>
    </cfRule>
  </conditionalFormatting>
  <conditionalFormatting sqref="AX42">
    <cfRule type="expression" dxfId="17361" priority="3138">
      <formula>$M42="NON DEFINED"</formula>
    </cfRule>
    <cfRule type="expression" dxfId="17360" priority="3139">
      <formula>$AZ42="N.D."</formula>
    </cfRule>
    <cfRule type="expression" dxfId="17359" priority="3140">
      <formula>$AY42="N.D."</formula>
    </cfRule>
  </conditionalFormatting>
  <conditionalFormatting sqref="AX42">
    <cfRule type="expression" dxfId="17358" priority="3127">
      <formula>$A42="Overhead Cable"</formula>
    </cfRule>
    <cfRule type="expression" dxfId="17357" priority="3128">
      <formula>$A42="Level Crossing"</formula>
    </cfRule>
    <cfRule type="expression" dxfId="17356" priority="3129">
      <formula>$A42="Neutral Section"</formula>
    </cfRule>
    <cfRule type="expression" dxfId="17355" priority="3130">
      <formula>$A42="Tunnel"</formula>
    </cfRule>
    <cfRule type="expression" dxfId="17354" priority="3131">
      <formula>$A42="Bridge"</formula>
    </cfRule>
    <cfRule type="expression" dxfId="17353" priority="3132">
      <formula>$A42="Drainage Works"</formula>
    </cfRule>
    <cfRule type="expression" dxfId="17352" priority="3133">
      <formula>$A42="Underpass"</formula>
    </cfRule>
    <cfRule type="expression" dxfId="17351" priority="3134">
      <formula>$A42="Overcrossing"</formula>
    </cfRule>
    <cfRule type="expression" dxfId="17350" priority="3135">
      <formula>$A42="Overpass"</formula>
    </cfRule>
    <cfRule type="expression" dxfId="17349" priority="3136">
      <formula>$A42="Station"</formula>
    </cfRule>
    <cfRule type="expression" dxfId="17348" priority="3137">
      <formula>$A42="Overlap between sections"</formula>
    </cfRule>
  </conditionalFormatting>
  <conditionalFormatting sqref="AW44">
    <cfRule type="expression" dxfId="17347" priority="3124">
      <formula>$M44="NON DEFINED"</formula>
    </cfRule>
    <cfRule type="expression" dxfId="17346" priority="3125">
      <formula>$AZ44="N.D."</formula>
    </cfRule>
    <cfRule type="expression" dxfId="17345" priority="3126">
      <formula>$AY44="N.D."</formula>
    </cfRule>
  </conditionalFormatting>
  <conditionalFormatting sqref="AW44">
    <cfRule type="expression" dxfId="17344" priority="3113">
      <formula>$A44="Overhead Cable"</formula>
    </cfRule>
    <cfRule type="expression" dxfId="17343" priority="3114">
      <formula>$A44="Level Crossing"</formula>
    </cfRule>
    <cfRule type="expression" dxfId="17342" priority="3115">
      <formula>$A44="Neutral Section"</formula>
    </cfRule>
    <cfRule type="expression" dxfId="17341" priority="3116">
      <formula>$A44="Tunnel"</formula>
    </cfRule>
    <cfRule type="expression" dxfId="17340" priority="3117">
      <formula>$A44="Bridge"</formula>
    </cfRule>
    <cfRule type="expression" dxfId="17339" priority="3118">
      <formula>$A44="Drainage Works"</formula>
    </cfRule>
    <cfRule type="expression" dxfId="17338" priority="3119">
      <formula>$A44="Underpass"</formula>
    </cfRule>
    <cfRule type="expression" dxfId="17337" priority="3120">
      <formula>$A44="Overcrossing"</formula>
    </cfRule>
    <cfRule type="expression" dxfId="17336" priority="3121">
      <formula>$A44="Overpass"</formula>
    </cfRule>
    <cfRule type="expression" dxfId="17335" priority="3122">
      <formula>$A44="Station"</formula>
    </cfRule>
    <cfRule type="expression" dxfId="17334" priority="3123">
      <formula>$A44="Overlap between sections"</formula>
    </cfRule>
  </conditionalFormatting>
  <conditionalFormatting sqref="AX44">
    <cfRule type="expression" dxfId="17333" priority="3110">
      <formula>$M44="NON DEFINED"</formula>
    </cfRule>
    <cfRule type="expression" dxfId="17332" priority="3111">
      <formula>$AZ44="N.D."</formula>
    </cfRule>
    <cfRule type="expression" dxfId="17331" priority="3112">
      <formula>$AY44="N.D."</formula>
    </cfRule>
  </conditionalFormatting>
  <conditionalFormatting sqref="AX44">
    <cfRule type="expression" dxfId="17330" priority="3099">
      <formula>$A44="Overhead Cable"</formula>
    </cfRule>
    <cfRule type="expression" dxfId="17329" priority="3100">
      <formula>$A44="Level Crossing"</formula>
    </cfRule>
    <cfRule type="expression" dxfId="17328" priority="3101">
      <formula>$A44="Neutral Section"</formula>
    </cfRule>
    <cfRule type="expression" dxfId="17327" priority="3102">
      <formula>$A44="Tunnel"</formula>
    </cfRule>
    <cfRule type="expression" dxfId="17326" priority="3103">
      <formula>$A44="Bridge"</formula>
    </cfRule>
    <cfRule type="expression" dxfId="17325" priority="3104">
      <formula>$A44="Drainage Works"</formula>
    </cfRule>
    <cfRule type="expression" dxfId="17324" priority="3105">
      <formula>$A44="Underpass"</formula>
    </cfRule>
    <cfRule type="expression" dxfId="17323" priority="3106">
      <formula>$A44="Overcrossing"</formula>
    </cfRule>
    <cfRule type="expression" dxfId="17322" priority="3107">
      <formula>$A44="Overpass"</formula>
    </cfRule>
    <cfRule type="expression" dxfId="17321" priority="3108">
      <formula>$A44="Station"</formula>
    </cfRule>
    <cfRule type="expression" dxfId="17320" priority="3109">
      <formula>$A44="Overlap between sections"</formula>
    </cfRule>
  </conditionalFormatting>
  <conditionalFormatting sqref="BA21:BC53">
    <cfRule type="expression" dxfId="17319" priority="3097">
      <formula>$BE21="A"</formula>
    </cfRule>
    <cfRule type="expression" dxfId="17318" priority="3098">
      <formula>$BE21="R"</formula>
    </cfRule>
  </conditionalFormatting>
  <conditionalFormatting sqref="BC21:BC55">
    <cfRule type="expression" dxfId="17317" priority="3096">
      <formula>$M21="U.S. N.D."</formula>
    </cfRule>
  </conditionalFormatting>
  <conditionalFormatting sqref="BB21:BB55">
    <cfRule type="expression" dxfId="17316" priority="3094">
      <formula>$AZ21="N.D."</formula>
    </cfRule>
  </conditionalFormatting>
  <conditionalFormatting sqref="BA21:BA55">
    <cfRule type="expression" dxfId="17315" priority="3095">
      <formula>$AY21="N.D."</formula>
    </cfRule>
  </conditionalFormatting>
  <conditionalFormatting sqref="AM42">
    <cfRule type="expression" dxfId="17314" priority="2520">
      <formula>$M40="NON DEFINED"</formula>
    </cfRule>
    <cfRule type="expression" dxfId="17313" priority="2521">
      <formula>$AZ40="N.D."</formula>
    </cfRule>
    <cfRule type="expression" dxfId="17312" priority="2522">
      <formula>$AY40="N.D."</formula>
    </cfRule>
  </conditionalFormatting>
  <conditionalFormatting sqref="AM42">
    <cfRule type="expression" dxfId="17311" priority="2523">
      <formula>$A40="Overhead Cable"</formula>
    </cfRule>
    <cfRule type="expression" dxfId="17310" priority="2524">
      <formula>$A40="Level Crossing"</formula>
    </cfRule>
    <cfRule type="expression" dxfId="17309" priority="2525">
      <formula>$A40="Neutral Section"</formula>
    </cfRule>
    <cfRule type="expression" dxfId="17308" priority="2526">
      <formula>$A40="Tunnel"</formula>
    </cfRule>
    <cfRule type="expression" dxfId="17307" priority="2527">
      <formula>$A40="Bridge"</formula>
    </cfRule>
    <cfRule type="expression" dxfId="17306" priority="2528">
      <formula>$A40="Drainage Works"</formula>
    </cfRule>
    <cfRule type="expression" dxfId="17305" priority="2529">
      <formula>$A40="Underpass"</formula>
    </cfRule>
    <cfRule type="expression" dxfId="17304" priority="2530">
      <formula>$A40="Overcrossing"</formula>
    </cfRule>
    <cfRule type="expression" dxfId="17303" priority="2531">
      <formula>$A40="Overpass"</formula>
    </cfRule>
    <cfRule type="expression" dxfId="17302" priority="2532">
      <formula>$A40="Station"</formula>
    </cfRule>
    <cfRule type="expression" dxfId="17301" priority="2533">
      <formula>$A40="Overlap between sections"</formula>
    </cfRule>
  </conditionalFormatting>
  <conditionalFormatting sqref="AM44">
    <cfRule type="expression" dxfId="17300" priority="2517">
      <formula>$M44="NON DEFINED"</formula>
    </cfRule>
    <cfRule type="expression" dxfId="17299" priority="2518">
      <formula>$AZ44="N.D."</formula>
    </cfRule>
    <cfRule type="expression" dxfId="17298" priority="2519">
      <formula>$AY44="N.D."</formula>
    </cfRule>
  </conditionalFormatting>
  <conditionalFormatting sqref="AM44">
    <cfRule type="expression" dxfId="17297" priority="2506">
      <formula>$A44="Overhead Cable"</formula>
    </cfRule>
    <cfRule type="expression" dxfId="17296" priority="2507">
      <formula>$A44="Level Crossing"</formula>
    </cfRule>
    <cfRule type="expression" dxfId="17295" priority="2508">
      <formula>$A44="Neutral Section"</formula>
    </cfRule>
    <cfRule type="expression" dxfId="17294" priority="2509">
      <formula>$A44="Tunnel"</formula>
    </cfRule>
    <cfRule type="expression" dxfId="17293" priority="2510">
      <formula>$A44="Bridge"</formula>
    </cfRule>
    <cfRule type="expression" dxfId="17292" priority="2511">
      <formula>$A44="Drainage Works"</formula>
    </cfRule>
    <cfRule type="expression" dxfId="17291" priority="2512">
      <formula>$A44="Underpass"</formula>
    </cfRule>
    <cfRule type="expression" dxfId="17290" priority="2513">
      <formula>$A44="Overcrossing"</formula>
    </cfRule>
    <cfRule type="expression" dxfId="17289" priority="2514">
      <formula>$A44="Overpass"</formula>
    </cfRule>
    <cfRule type="expression" dxfId="17288" priority="2515">
      <formula>$A44="Station"</formula>
    </cfRule>
    <cfRule type="expression" dxfId="17287" priority="2516">
      <formula>$A44="Overlap between sections"</formula>
    </cfRule>
  </conditionalFormatting>
  <conditionalFormatting sqref="BA4:BC5">
    <cfRule type="expression" dxfId="17286" priority="2414">
      <formula>$BE4="R"</formula>
    </cfRule>
  </conditionalFormatting>
  <conditionalFormatting sqref="B4:E5 J4:J5 AG4:AG5 AN4:AS5 AY4:BC5 G4:H5">
    <cfRule type="expression" dxfId="17285" priority="2412">
      <formula>$M4="NON DEFINED"</formula>
    </cfRule>
    <cfRule type="expression" dxfId="17284" priority="2413">
      <formula>$AY4="N.D."</formula>
    </cfRule>
  </conditionalFormatting>
  <conditionalFormatting sqref="A4:E5 J4:J5 AG4:AG5 AN4:AS5 AY4:BD5 G4:H5">
    <cfRule type="cellIs" dxfId="17283" priority="2411" operator="equal">
      <formula>0</formula>
    </cfRule>
  </conditionalFormatting>
  <conditionalFormatting sqref="I4:I5">
    <cfRule type="expression" dxfId="17282" priority="2409">
      <formula>$M4="NON DEFINED"</formula>
    </cfRule>
    <cfRule type="expression" dxfId="17281" priority="2410">
      <formula>$AY4="N.D."</formula>
    </cfRule>
  </conditionalFormatting>
  <conditionalFormatting sqref="I4:I5">
    <cfRule type="cellIs" dxfId="17280" priority="2408" operator="equal">
      <formula>0</formula>
    </cfRule>
  </conditionalFormatting>
  <conditionalFormatting sqref="K4:K5">
    <cfRule type="expression" dxfId="17279" priority="2406">
      <formula>$M4="NON DEFINED"</formula>
    </cfRule>
    <cfRule type="expression" dxfId="17278" priority="2407">
      <formula>$AY4="N.D."</formula>
    </cfRule>
  </conditionalFormatting>
  <conditionalFormatting sqref="K4:K5">
    <cfRule type="cellIs" dxfId="17277" priority="2405" operator="equal">
      <formula>0</formula>
    </cfRule>
  </conditionalFormatting>
  <conditionalFormatting sqref="L4:L5">
    <cfRule type="expression" dxfId="17276" priority="2403">
      <formula>$M4="NON DEFINED"</formula>
    </cfRule>
    <cfRule type="expression" dxfId="17275" priority="2404">
      <formula>$AY4="N.D."</formula>
    </cfRule>
  </conditionalFormatting>
  <conditionalFormatting sqref="L4:L5">
    <cfRule type="cellIs" dxfId="17274" priority="2402" operator="equal">
      <formula>0</formula>
    </cfRule>
  </conditionalFormatting>
  <conditionalFormatting sqref="M4:M5">
    <cfRule type="expression" dxfId="17273" priority="2400">
      <formula>$M4="NON DEFINED"</formula>
    </cfRule>
    <cfRule type="expression" dxfId="17272" priority="2401">
      <formula>$AY4="N.D."</formula>
    </cfRule>
  </conditionalFormatting>
  <conditionalFormatting sqref="M4:M5">
    <cfRule type="cellIs" dxfId="17271" priority="2399" operator="equal">
      <formula>0</formula>
    </cfRule>
  </conditionalFormatting>
  <conditionalFormatting sqref="N4:N5">
    <cfRule type="expression" dxfId="17270" priority="2397">
      <formula>$M4="NON DEFINED"</formula>
    </cfRule>
    <cfRule type="expression" dxfId="17269" priority="2398">
      <formula>$AY4="N.D."</formula>
    </cfRule>
  </conditionalFormatting>
  <conditionalFormatting sqref="N4:N5">
    <cfRule type="cellIs" dxfId="17268" priority="2396" operator="equal">
      <formula>0</formula>
    </cfRule>
  </conditionalFormatting>
  <conditionalFormatting sqref="O4:O5">
    <cfRule type="expression" dxfId="17267" priority="2394">
      <formula>$M4="NON DEFINED"</formula>
    </cfRule>
    <cfRule type="expression" dxfId="17266" priority="2395">
      <formula>$AY4="N.D."</formula>
    </cfRule>
  </conditionalFormatting>
  <conditionalFormatting sqref="O4:O5">
    <cfRule type="cellIs" dxfId="17265" priority="2393" operator="equal">
      <formula>0</formula>
    </cfRule>
  </conditionalFormatting>
  <conditionalFormatting sqref="P4:P5">
    <cfRule type="expression" dxfId="17264" priority="2391">
      <formula>$M4="NON DEFINED"</formula>
    </cfRule>
    <cfRule type="expression" dxfId="17263" priority="2392">
      <formula>$AY4="N.D."</formula>
    </cfRule>
  </conditionalFormatting>
  <conditionalFormatting sqref="P4:P5">
    <cfRule type="cellIs" dxfId="17262" priority="2390" operator="equal">
      <formula>0</formula>
    </cfRule>
  </conditionalFormatting>
  <conditionalFormatting sqref="AC4:AC5">
    <cfRule type="expression" dxfId="17261" priority="2388">
      <formula>$M4="NON DEFINED"</formula>
    </cfRule>
    <cfRule type="expression" dxfId="17260" priority="2389">
      <formula>$AY4="N.D."</formula>
    </cfRule>
  </conditionalFormatting>
  <conditionalFormatting sqref="AC4:AC5">
    <cfRule type="cellIs" dxfId="17259" priority="2387" operator="equal">
      <formula>0</formula>
    </cfRule>
  </conditionalFormatting>
  <conditionalFormatting sqref="AD4:AD5">
    <cfRule type="expression" dxfId="17258" priority="2385">
      <formula>$M4="NON DEFINED"</formula>
    </cfRule>
    <cfRule type="expression" dxfId="17257" priority="2386">
      <formula>$AY4="N.D."</formula>
    </cfRule>
  </conditionalFormatting>
  <conditionalFormatting sqref="AD4:AD5">
    <cfRule type="cellIs" dxfId="17256" priority="2384" operator="equal">
      <formula>0</formula>
    </cfRule>
  </conditionalFormatting>
  <conditionalFormatting sqref="AE4:AE5">
    <cfRule type="expression" dxfId="17255" priority="2382">
      <formula>$M4="NON DEFINED"</formula>
    </cfRule>
    <cfRule type="expression" dxfId="17254" priority="2383">
      <formula>$AY4="N.D."</formula>
    </cfRule>
  </conditionalFormatting>
  <conditionalFormatting sqref="AE4:AE5">
    <cfRule type="cellIs" dxfId="17253" priority="2381" operator="equal">
      <formula>0</formula>
    </cfRule>
  </conditionalFormatting>
  <conditionalFormatting sqref="AJ4:AJ5">
    <cfRule type="expression" dxfId="17252" priority="2379">
      <formula>$M4="NON DEFINED"</formula>
    </cfRule>
    <cfRule type="expression" dxfId="17251" priority="2380">
      <formula>$AY4="N.D."</formula>
    </cfRule>
  </conditionalFormatting>
  <conditionalFormatting sqref="AJ4:AJ5">
    <cfRule type="cellIs" dxfId="17250" priority="2378" operator="equal">
      <formula>0</formula>
    </cfRule>
  </conditionalFormatting>
  <conditionalFormatting sqref="AK4:AK5">
    <cfRule type="expression" dxfId="17249" priority="2376">
      <formula>$M4="NON DEFINED"</formula>
    </cfRule>
    <cfRule type="expression" dxfId="17248" priority="2377">
      <formula>$AY4="N.D."</formula>
    </cfRule>
  </conditionalFormatting>
  <conditionalFormatting sqref="AK4:AK5">
    <cfRule type="cellIs" dxfId="17247" priority="2375" operator="equal">
      <formula>0</formula>
    </cfRule>
  </conditionalFormatting>
  <conditionalFormatting sqref="AL4:AL5">
    <cfRule type="expression" dxfId="17246" priority="2373">
      <formula>$M4="NON DEFINED"</formula>
    </cfRule>
    <cfRule type="expression" dxfId="17245" priority="2374">
      <formula>$AY4="N.D."</formula>
    </cfRule>
  </conditionalFormatting>
  <conditionalFormatting sqref="AL4:AL5">
    <cfRule type="cellIs" dxfId="17244" priority="2372" operator="equal">
      <formula>0</formula>
    </cfRule>
  </conditionalFormatting>
  <conditionalFormatting sqref="AM4:AM5">
    <cfRule type="expression" dxfId="17243" priority="2370">
      <formula>$M4="NON DEFINED"</formula>
    </cfRule>
    <cfRule type="expression" dxfId="17242" priority="2371">
      <formula>$AY4="N.D."</formula>
    </cfRule>
  </conditionalFormatting>
  <conditionalFormatting sqref="AM4:AM5">
    <cfRule type="cellIs" dxfId="17241" priority="2369" operator="equal">
      <formula>0</formula>
    </cfRule>
  </conditionalFormatting>
  <conditionalFormatting sqref="AT4:AT5">
    <cfRule type="expression" dxfId="17240" priority="2367">
      <formula>$M4="NON DEFINED"</formula>
    </cfRule>
    <cfRule type="expression" dxfId="17239" priority="2368">
      <formula>$AY4="N.D."</formula>
    </cfRule>
  </conditionalFormatting>
  <conditionalFormatting sqref="AT4:AT5">
    <cfRule type="cellIs" dxfId="17238" priority="2366" operator="equal">
      <formula>0</formula>
    </cfRule>
  </conditionalFormatting>
  <conditionalFormatting sqref="AU4:AU5">
    <cfRule type="expression" dxfId="17237" priority="2364">
      <formula>$M4="NON DEFINED"</formula>
    </cfRule>
    <cfRule type="expression" dxfId="17236" priority="2365">
      <formula>$AY4="N.D."</formula>
    </cfRule>
  </conditionalFormatting>
  <conditionalFormatting sqref="AU4:AU5">
    <cfRule type="cellIs" dxfId="17235" priority="2363" operator="equal">
      <formula>0</formula>
    </cfRule>
  </conditionalFormatting>
  <conditionalFormatting sqref="AV4:AV5">
    <cfRule type="expression" dxfId="17234" priority="2361">
      <formula>$M4="NON DEFINED"</formula>
    </cfRule>
    <cfRule type="expression" dxfId="17233" priority="2362">
      <formula>$AY4="N.D."</formula>
    </cfRule>
  </conditionalFormatting>
  <conditionalFormatting sqref="AV4:AV5">
    <cfRule type="cellIs" dxfId="17232" priority="2360" operator="equal">
      <formula>0</formula>
    </cfRule>
  </conditionalFormatting>
  <conditionalFormatting sqref="AW4:AW5">
    <cfRule type="expression" dxfId="17231" priority="2358">
      <formula>$M4="NON DEFINED"</formula>
    </cfRule>
    <cfRule type="expression" dxfId="17230" priority="2359">
      <formula>$AY4="N.D."</formula>
    </cfRule>
  </conditionalFormatting>
  <conditionalFormatting sqref="AW4:AW5">
    <cfRule type="cellIs" dxfId="17229" priority="2357" operator="equal">
      <formula>0</formula>
    </cfRule>
  </conditionalFormatting>
  <conditionalFormatting sqref="AX4:AX5">
    <cfRule type="expression" dxfId="17228" priority="2355">
      <formula>$M4="NON DEFINED"</formula>
    </cfRule>
    <cfRule type="expression" dxfId="17227" priority="2356">
      <formula>$AY4="N.D."</formula>
    </cfRule>
  </conditionalFormatting>
  <conditionalFormatting sqref="AX4:AX5">
    <cfRule type="cellIs" dxfId="17226" priority="2354" operator="equal">
      <formula>0</formula>
    </cfRule>
  </conditionalFormatting>
  <conditionalFormatting sqref="F4:F5">
    <cfRule type="expression" dxfId="17225" priority="2352">
      <formula>$M4="NON DEFINED"</formula>
    </cfRule>
    <cfRule type="expression" dxfId="17224" priority="2353">
      <formula>$AY4="N.D."</formula>
    </cfRule>
  </conditionalFormatting>
  <conditionalFormatting sqref="F4:F5">
    <cfRule type="cellIs" dxfId="17223" priority="2351" operator="equal">
      <formula>0</formula>
    </cfRule>
  </conditionalFormatting>
  <conditionalFormatting sqref="Q4:Q5">
    <cfRule type="expression" dxfId="17222" priority="2349">
      <formula>$M4="NON DEFINED"</formula>
    </cfRule>
    <cfRule type="expression" dxfId="17221" priority="2350">
      <formula>$AY4="N.D."</formula>
    </cfRule>
  </conditionalFormatting>
  <conditionalFormatting sqref="Q4:Q5">
    <cfRule type="cellIs" dxfId="17220" priority="2348" operator="equal">
      <formula>0</formula>
    </cfRule>
  </conditionalFormatting>
  <conditionalFormatting sqref="T4:T5">
    <cfRule type="expression" dxfId="17219" priority="2346">
      <formula>$M4="NON DEFINED"</formula>
    </cfRule>
    <cfRule type="expression" dxfId="17218" priority="2347">
      <formula>$AY4="N.D."</formula>
    </cfRule>
  </conditionalFormatting>
  <conditionalFormatting sqref="T4:T5">
    <cfRule type="cellIs" dxfId="17217" priority="2345" operator="equal">
      <formula>0</formula>
    </cfRule>
  </conditionalFormatting>
  <conditionalFormatting sqref="U4:U5">
    <cfRule type="expression" dxfId="17216" priority="2343">
      <formula>$M4="NON DEFINED"</formula>
    </cfRule>
    <cfRule type="expression" dxfId="17215" priority="2344">
      <formula>$AY4="N.D."</formula>
    </cfRule>
  </conditionalFormatting>
  <conditionalFormatting sqref="U4:U5">
    <cfRule type="cellIs" dxfId="17214" priority="2342" operator="equal">
      <formula>0</formula>
    </cfRule>
  </conditionalFormatting>
  <conditionalFormatting sqref="V4:V5">
    <cfRule type="expression" dxfId="17213" priority="2340">
      <formula>$M4="NON DEFINED"</formula>
    </cfRule>
    <cfRule type="expression" dxfId="17212" priority="2341">
      <formula>$AY4="N.D."</formula>
    </cfRule>
  </conditionalFormatting>
  <conditionalFormatting sqref="V4:V5">
    <cfRule type="cellIs" dxfId="17211" priority="2339" operator="equal">
      <formula>0</formula>
    </cfRule>
  </conditionalFormatting>
  <conditionalFormatting sqref="AF4:AF5">
    <cfRule type="expression" dxfId="17210" priority="2337">
      <formula>$M4="NON DEFINED"</formula>
    </cfRule>
    <cfRule type="expression" dxfId="17209" priority="2338">
      <formula>$AY4="N.D."</formula>
    </cfRule>
  </conditionalFormatting>
  <conditionalFormatting sqref="AF4:AF5">
    <cfRule type="cellIs" dxfId="17208" priority="2336" operator="equal">
      <formula>0</formula>
    </cfRule>
  </conditionalFormatting>
  <conditionalFormatting sqref="AH4:AH5">
    <cfRule type="expression" dxfId="17207" priority="2334">
      <formula>$M4="NON DEFINED"</formula>
    </cfRule>
    <cfRule type="expression" dxfId="17206" priority="2335">
      <formula>$AY4="N.D."</formula>
    </cfRule>
  </conditionalFormatting>
  <conditionalFormatting sqref="AH4:AH5">
    <cfRule type="cellIs" dxfId="17205" priority="2333" operator="equal">
      <formula>0</formula>
    </cfRule>
  </conditionalFormatting>
  <conditionalFormatting sqref="AI4:AI5">
    <cfRule type="expression" dxfId="17204" priority="2331">
      <formula>$M4="NON DEFINED"</formula>
    </cfRule>
    <cfRule type="expression" dxfId="17203" priority="2332">
      <formula>$AY4="N.D."</formula>
    </cfRule>
  </conditionalFormatting>
  <conditionalFormatting sqref="AI4:AI5">
    <cfRule type="cellIs" dxfId="17202" priority="2330" operator="equal">
      <formula>0</formula>
    </cfRule>
  </conditionalFormatting>
  <conditionalFormatting sqref="R4:R5">
    <cfRule type="expression" dxfId="17201" priority="2328">
      <formula>$M4="NON DEFINED"</formula>
    </cfRule>
    <cfRule type="expression" dxfId="17200" priority="2329">
      <formula>$AY4="N.D."</formula>
    </cfRule>
  </conditionalFormatting>
  <conditionalFormatting sqref="R4:R5">
    <cfRule type="cellIs" dxfId="17199" priority="2327" operator="equal">
      <formula>0</formula>
    </cfRule>
  </conditionalFormatting>
  <conditionalFormatting sqref="S4:S5">
    <cfRule type="expression" dxfId="17198" priority="2325">
      <formula>$M4="NON DEFINED"</formula>
    </cfRule>
    <cfRule type="expression" dxfId="17197" priority="2326">
      <formula>$AY4="N.D."</formula>
    </cfRule>
  </conditionalFormatting>
  <conditionalFormatting sqref="S4:S5">
    <cfRule type="cellIs" dxfId="17196" priority="2324" operator="equal">
      <formula>0</formula>
    </cfRule>
  </conditionalFormatting>
  <conditionalFormatting sqref="W4:W5">
    <cfRule type="expression" dxfId="17195" priority="2322">
      <formula>$M4="NON DEFINED"</formula>
    </cfRule>
    <cfRule type="expression" dxfId="17194" priority="2323">
      <formula>$AY4="N.D."</formula>
    </cfRule>
  </conditionalFormatting>
  <conditionalFormatting sqref="W4:W5">
    <cfRule type="cellIs" dxfId="17193" priority="2321" operator="equal">
      <formula>0</formula>
    </cfRule>
  </conditionalFormatting>
  <conditionalFormatting sqref="X4:X5">
    <cfRule type="expression" dxfId="17192" priority="2319">
      <formula>$M4="NON DEFINED"</formula>
    </cfRule>
    <cfRule type="expression" dxfId="17191" priority="2320">
      <formula>$AY4="N.D."</formula>
    </cfRule>
  </conditionalFormatting>
  <conditionalFormatting sqref="X4:X5">
    <cfRule type="cellIs" dxfId="17190" priority="2318" operator="equal">
      <formula>0</formula>
    </cfRule>
  </conditionalFormatting>
  <conditionalFormatting sqref="Y4:Y5">
    <cfRule type="expression" dxfId="17189" priority="2316">
      <formula>$M4="NON DEFINED"</formula>
    </cfRule>
    <cfRule type="expression" dxfId="17188" priority="2317">
      <formula>$AY4="N.D."</formula>
    </cfRule>
  </conditionalFormatting>
  <conditionalFormatting sqref="Y4:Y5">
    <cfRule type="cellIs" dxfId="17187" priority="2315" operator="equal">
      <formula>0</formula>
    </cfRule>
  </conditionalFormatting>
  <conditionalFormatting sqref="Z4:Z5">
    <cfRule type="expression" dxfId="17186" priority="2313">
      <formula>$M4="NON DEFINED"</formula>
    </cfRule>
    <cfRule type="expression" dxfId="17185" priority="2314">
      <formula>$AY4="N.D."</formula>
    </cfRule>
  </conditionalFormatting>
  <conditionalFormatting sqref="Z4:Z5">
    <cfRule type="cellIs" dxfId="17184" priority="2312" operator="equal">
      <formula>0</formula>
    </cfRule>
  </conditionalFormatting>
  <conditionalFormatting sqref="AA4:AA5">
    <cfRule type="expression" dxfId="17183" priority="2310">
      <formula>$M4="NON DEFINED"</formula>
    </cfRule>
    <cfRule type="expression" dxfId="17182" priority="2311">
      <formula>$AY4="N.D."</formula>
    </cfRule>
  </conditionalFormatting>
  <conditionalFormatting sqref="AA4:AA5">
    <cfRule type="cellIs" dxfId="17181" priority="2309" operator="equal">
      <formula>0</formula>
    </cfRule>
  </conditionalFormatting>
  <conditionalFormatting sqref="AB4:AB5">
    <cfRule type="expression" dxfId="17180" priority="2307">
      <formula>$M4="NON DEFINED"</formula>
    </cfRule>
    <cfRule type="expression" dxfId="17179" priority="2308">
      <formula>$AY4="N.D."</formula>
    </cfRule>
  </conditionalFormatting>
  <conditionalFormatting sqref="AB4:AB5">
    <cfRule type="cellIs" dxfId="17178" priority="2306" operator="equal">
      <formula>0</formula>
    </cfRule>
  </conditionalFormatting>
  <conditionalFormatting sqref="AG16:AG19 AZ16:AZ19 J16:J19 AN16:AS19 G16:H19 B16:E19">
    <cfRule type="expression" dxfId="17177" priority="2303">
      <formula>$M16="NON DEFINED"</formula>
    </cfRule>
    <cfRule type="expression" dxfId="17176" priority="2304">
      <formula>$AZ16="N.D."</formula>
    </cfRule>
    <cfRule type="expression" dxfId="17175" priority="2305">
      <formula>$AY16="N.D."</formula>
    </cfRule>
  </conditionalFormatting>
  <conditionalFormatting sqref="AY16:AY19">
    <cfRule type="expression" dxfId="17174" priority="2300">
      <formula>$M16="NON DEFINED"</formula>
    </cfRule>
    <cfRule type="expression" dxfId="17173" priority="2301">
      <formula>$AZ16="N.D."</formula>
    </cfRule>
    <cfRule type="expression" dxfId="17172" priority="2302">
      <formula>$AY16="N.D."</formula>
    </cfRule>
  </conditionalFormatting>
  <conditionalFormatting sqref="J16:J19 AG16:AG19 AN16:AS19 G16:H19 A16:E19 AY16:AZ19">
    <cfRule type="expression" dxfId="17171" priority="2289">
      <formula>$A16="Overhead Cable"</formula>
    </cfRule>
    <cfRule type="expression" dxfId="17170" priority="2290">
      <formula>$A16="Level Crossing"</formula>
    </cfRule>
    <cfRule type="expression" dxfId="17169" priority="2291">
      <formula>$A16="Neutral Section"</formula>
    </cfRule>
    <cfRule type="expression" dxfId="17168" priority="2292">
      <formula>$A16="Tunnel"</formula>
    </cfRule>
    <cfRule type="expression" dxfId="17167" priority="2293">
      <formula>$A16="Bridge"</formula>
    </cfRule>
    <cfRule type="expression" dxfId="17166" priority="2294">
      <formula>$A16="Drainage Works"</formula>
    </cfRule>
    <cfRule type="expression" dxfId="17165" priority="2295">
      <formula>$A16="Underpass"</formula>
    </cfRule>
    <cfRule type="expression" dxfId="17164" priority="2296">
      <formula>$A16="Overcrossing"</formula>
    </cfRule>
    <cfRule type="expression" dxfId="17163" priority="2297">
      <formula>$A16="Overpass"</formula>
    </cfRule>
    <cfRule type="expression" dxfId="17162" priority="2298">
      <formula>$A16="Station"</formula>
    </cfRule>
    <cfRule type="expression" dxfId="17161" priority="2299">
      <formula>$A16="Overlap between sections"</formula>
    </cfRule>
  </conditionalFormatting>
  <conditionalFormatting sqref="AN16:AP19">
    <cfRule type="cellIs" dxfId="17160" priority="2288" operator="notEqual">
      <formula>5.5</formula>
    </cfRule>
  </conditionalFormatting>
  <conditionalFormatting sqref="B16:B19">
    <cfRule type="expression" dxfId="17159" priority="2287">
      <formula>AND($AH16&gt;2499,$AH16&lt;2901)</formula>
    </cfRule>
  </conditionalFormatting>
  <conditionalFormatting sqref="I16:I19">
    <cfRule type="expression" dxfId="17158" priority="2284">
      <formula>$M16="NON DEFINED"</formula>
    </cfRule>
    <cfRule type="expression" dxfId="17157" priority="2285">
      <formula>$AZ16="N.D."</formula>
    </cfRule>
    <cfRule type="expression" dxfId="17156" priority="2286">
      <formula>$AY16="N.D."</formula>
    </cfRule>
  </conditionalFormatting>
  <conditionalFormatting sqref="I16:I19">
    <cfRule type="expression" dxfId="17155" priority="2273">
      <formula>$A16="Overhead Cable"</formula>
    </cfRule>
    <cfRule type="expression" dxfId="17154" priority="2274">
      <formula>$A16="Level Crossing"</formula>
    </cfRule>
    <cfRule type="expression" dxfId="17153" priority="2275">
      <formula>$A16="Neutral Section"</formula>
    </cfRule>
    <cfRule type="expression" dxfId="17152" priority="2276">
      <formula>$A16="Tunnel"</formula>
    </cfRule>
    <cfRule type="expression" dxfId="17151" priority="2277">
      <formula>$A16="Bridge"</formula>
    </cfRule>
    <cfRule type="expression" dxfId="17150" priority="2278">
      <formula>$A16="Drainage Works"</formula>
    </cfRule>
    <cfRule type="expression" dxfId="17149" priority="2279">
      <formula>$A16="Underpass"</formula>
    </cfRule>
    <cfRule type="expression" dxfId="17148" priority="2280">
      <formula>$A16="Overcrossing"</formula>
    </cfRule>
    <cfRule type="expression" dxfId="17147" priority="2281">
      <formula>$A16="Overpass"</formula>
    </cfRule>
    <cfRule type="expression" dxfId="17146" priority="2282">
      <formula>$A16="Station"</formula>
    </cfRule>
    <cfRule type="expression" dxfId="17145" priority="2283">
      <formula>$A16="Overlap between sections"</formula>
    </cfRule>
  </conditionalFormatting>
  <conditionalFormatting sqref="K16:K19">
    <cfRule type="expression" dxfId="17144" priority="2270">
      <formula>$M16="NON DEFINED"</formula>
    </cfRule>
    <cfRule type="expression" dxfId="17143" priority="2271">
      <formula>$AZ16="N.D."</formula>
    </cfRule>
    <cfRule type="expression" dxfId="17142" priority="2272">
      <formula>$AY16="N.D."</formula>
    </cfRule>
  </conditionalFormatting>
  <conditionalFormatting sqref="K16:K19">
    <cfRule type="expression" dxfId="17141" priority="2259">
      <formula>$A16="Overhead Cable"</formula>
    </cfRule>
    <cfRule type="expression" dxfId="17140" priority="2260">
      <formula>$A16="Level Crossing"</formula>
    </cfRule>
    <cfRule type="expression" dxfId="17139" priority="2261">
      <formula>$A16="Neutral Section"</formula>
    </cfRule>
    <cfRule type="expression" dxfId="17138" priority="2262">
      <formula>$A16="Tunnel"</formula>
    </cfRule>
    <cfRule type="expression" dxfId="17137" priority="2263">
      <formula>$A16="Bridge"</formula>
    </cfRule>
    <cfRule type="expression" dxfId="17136" priority="2264">
      <formula>$A16="Drainage Works"</formula>
    </cfRule>
    <cfRule type="expression" dxfId="17135" priority="2265">
      <formula>$A16="Underpass"</formula>
    </cfRule>
    <cfRule type="expression" dxfId="17134" priority="2266">
      <formula>$A16="Overcrossing"</formula>
    </cfRule>
    <cfRule type="expression" dxfId="17133" priority="2267">
      <formula>$A16="Overpass"</formula>
    </cfRule>
    <cfRule type="expression" dxfId="17132" priority="2268">
      <formula>$A16="Station"</formula>
    </cfRule>
    <cfRule type="expression" dxfId="17131" priority="2269">
      <formula>$A16="Overlap between sections"</formula>
    </cfRule>
  </conditionalFormatting>
  <conditionalFormatting sqref="L16:L19">
    <cfRule type="expression" dxfId="17130" priority="2256">
      <formula>$M16="NON DEFINED"</formula>
    </cfRule>
    <cfRule type="expression" dxfId="17129" priority="2257">
      <formula>$AZ16="N.D."</formula>
    </cfRule>
    <cfRule type="expression" dxfId="17128" priority="2258">
      <formula>$AY16="N.D."</formula>
    </cfRule>
  </conditionalFormatting>
  <conditionalFormatting sqref="L16:L19">
    <cfRule type="expression" dxfId="17127" priority="2245">
      <formula>$A16="Overhead Cable"</formula>
    </cfRule>
    <cfRule type="expression" dxfId="17126" priority="2246">
      <formula>$A16="Level Crossing"</formula>
    </cfRule>
    <cfRule type="expression" dxfId="17125" priority="2247">
      <formula>$A16="Neutral Section"</formula>
    </cfRule>
    <cfRule type="expression" dxfId="17124" priority="2248">
      <formula>$A16="Tunnel"</formula>
    </cfRule>
    <cfRule type="expression" dxfId="17123" priority="2249">
      <formula>$A16="Bridge"</formula>
    </cfRule>
    <cfRule type="expression" dxfId="17122" priority="2250">
      <formula>$A16="Drainage Works"</formula>
    </cfRule>
    <cfRule type="expression" dxfId="17121" priority="2251">
      <formula>$A16="Underpass"</formula>
    </cfRule>
    <cfRule type="expression" dxfId="17120" priority="2252">
      <formula>$A16="Overcrossing"</formula>
    </cfRule>
    <cfRule type="expression" dxfId="17119" priority="2253">
      <formula>$A16="Overpass"</formula>
    </cfRule>
    <cfRule type="expression" dxfId="17118" priority="2254">
      <formula>$A16="Station"</formula>
    </cfRule>
    <cfRule type="expression" dxfId="17117" priority="2255">
      <formula>$A16="Overlap between sections"</formula>
    </cfRule>
  </conditionalFormatting>
  <conditionalFormatting sqref="M16:M19">
    <cfRule type="expression" dxfId="17116" priority="2242">
      <formula>$M16="NON DEFINED"</formula>
    </cfRule>
    <cfRule type="expression" dxfId="17115" priority="2243">
      <formula>$AZ16="N.D."</formula>
    </cfRule>
    <cfRule type="expression" dxfId="17114" priority="2244">
      <formula>$AY16="N.D."</formula>
    </cfRule>
  </conditionalFormatting>
  <conditionalFormatting sqref="M16:M19">
    <cfRule type="expression" dxfId="17113" priority="2231">
      <formula>$A16="Overhead Cable"</formula>
    </cfRule>
    <cfRule type="expression" dxfId="17112" priority="2232">
      <formula>$A16="Level Crossing"</formula>
    </cfRule>
    <cfRule type="expression" dxfId="17111" priority="2233">
      <formula>$A16="Neutral Section"</formula>
    </cfRule>
    <cfRule type="expression" dxfId="17110" priority="2234">
      <formula>$A16="Tunnel"</formula>
    </cfRule>
    <cfRule type="expression" dxfId="17109" priority="2235">
      <formula>$A16="Bridge"</formula>
    </cfRule>
    <cfRule type="expression" dxfId="17108" priority="2236">
      <formula>$A16="Drainage Works"</formula>
    </cfRule>
    <cfRule type="expression" dxfId="17107" priority="2237">
      <formula>$A16="Underpass"</formula>
    </cfRule>
    <cfRule type="expression" dxfId="17106" priority="2238">
      <formula>$A16="Overcrossing"</formula>
    </cfRule>
    <cfRule type="expression" dxfId="17105" priority="2239">
      <formula>$A16="Overpass"</formula>
    </cfRule>
    <cfRule type="expression" dxfId="17104" priority="2240">
      <formula>$A16="Station"</formula>
    </cfRule>
    <cfRule type="expression" dxfId="17103" priority="2241">
      <formula>$A16="Overlap between sections"</formula>
    </cfRule>
  </conditionalFormatting>
  <conditionalFormatting sqref="N16:N19">
    <cfRule type="expression" dxfId="17102" priority="2228">
      <formula>$M16="NON DEFINED"</formula>
    </cfRule>
    <cfRule type="expression" dxfId="17101" priority="2229">
      <formula>$AZ16="N.D."</formula>
    </cfRule>
    <cfRule type="expression" dxfId="17100" priority="2230">
      <formula>$AY16="N.D."</formula>
    </cfRule>
  </conditionalFormatting>
  <conditionalFormatting sqref="N16:N19">
    <cfRule type="expression" dxfId="17099" priority="2217">
      <formula>$A16="Overhead Cable"</formula>
    </cfRule>
    <cfRule type="expression" dxfId="17098" priority="2218">
      <formula>$A16="Level Crossing"</formula>
    </cfRule>
    <cfRule type="expression" dxfId="17097" priority="2219">
      <formula>$A16="Neutral Section"</formula>
    </cfRule>
    <cfRule type="expression" dxfId="17096" priority="2220">
      <formula>$A16="Tunnel"</formula>
    </cfRule>
    <cfRule type="expression" dxfId="17095" priority="2221">
      <formula>$A16="Bridge"</formula>
    </cfRule>
    <cfRule type="expression" dxfId="17094" priority="2222">
      <formula>$A16="Drainage Works"</formula>
    </cfRule>
    <cfRule type="expression" dxfId="17093" priority="2223">
      <formula>$A16="Underpass"</formula>
    </cfRule>
    <cfRule type="expression" dxfId="17092" priority="2224">
      <formula>$A16="Overcrossing"</formula>
    </cfRule>
    <cfRule type="expression" dxfId="17091" priority="2225">
      <formula>$A16="Overpass"</formula>
    </cfRule>
    <cfRule type="expression" dxfId="17090" priority="2226">
      <formula>$A16="Station"</formula>
    </cfRule>
    <cfRule type="expression" dxfId="17089" priority="2227">
      <formula>$A16="Overlap between sections"</formula>
    </cfRule>
  </conditionalFormatting>
  <conditionalFormatting sqref="O16:O19">
    <cfRule type="expression" dxfId="17088" priority="2214">
      <formula>$M16="NON DEFINED"</formula>
    </cfRule>
    <cfRule type="expression" dxfId="17087" priority="2215">
      <formula>$AZ16="N.D."</formula>
    </cfRule>
    <cfRule type="expression" dxfId="17086" priority="2216">
      <formula>$AY16="N.D."</formula>
    </cfRule>
  </conditionalFormatting>
  <conditionalFormatting sqref="O16:O19">
    <cfRule type="expression" dxfId="17085" priority="2203">
      <formula>$A16="Overhead Cable"</formula>
    </cfRule>
    <cfRule type="expression" dxfId="17084" priority="2204">
      <formula>$A16="Level Crossing"</formula>
    </cfRule>
    <cfRule type="expression" dxfId="17083" priority="2205">
      <formula>$A16="Neutral Section"</formula>
    </cfRule>
    <cfRule type="expression" dxfId="17082" priority="2206">
      <formula>$A16="Tunnel"</formula>
    </cfRule>
    <cfRule type="expression" dxfId="17081" priority="2207">
      <formula>$A16="Bridge"</formula>
    </cfRule>
    <cfRule type="expression" dxfId="17080" priority="2208">
      <formula>$A16="Drainage Works"</formula>
    </cfRule>
    <cfRule type="expression" dxfId="17079" priority="2209">
      <formula>$A16="Underpass"</formula>
    </cfRule>
    <cfRule type="expression" dxfId="17078" priority="2210">
      <formula>$A16="Overcrossing"</formula>
    </cfRule>
    <cfRule type="expression" dxfId="17077" priority="2211">
      <formula>$A16="Overpass"</formula>
    </cfRule>
    <cfRule type="expression" dxfId="17076" priority="2212">
      <formula>$A16="Station"</formula>
    </cfRule>
    <cfRule type="expression" dxfId="17075" priority="2213">
      <formula>$A16="Overlap between sections"</formula>
    </cfRule>
  </conditionalFormatting>
  <conditionalFormatting sqref="P16:P19">
    <cfRule type="expression" dxfId="17074" priority="2200">
      <formula>$M16="NON DEFINED"</formula>
    </cfRule>
    <cfRule type="expression" dxfId="17073" priority="2201">
      <formula>$AZ16="N.D."</formula>
    </cfRule>
    <cfRule type="expression" dxfId="17072" priority="2202">
      <formula>$AY16="N.D."</formula>
    </cfRule>
  </conditionalFormatting>
  <conditionalFormatting sqref="P16:P19">
    <cfRule type="expression" dxfId="17071" priority="2189">
      <formula>$A16="Overhead Cable"</formula>
    </cfRule>
    <cfRule type="expression" dxfId="17070" priority="2190">
      <formula>$A16="Level Crossing"</formula>
    </cfRule>
    <cfRule type="expression" dxfId="17069" priority="2191">
      <formula>$A16="Neutral Section"</formula>
    </cfRule>
    <cfRule type="expression" dxfId="17068" priority="2192">
      <formula>$A16="Tunnel"</formula>
    </cfRule>
    <cfRule type="expression" dxfId="17067" priority="2193">
      <formula>$A16="Bridge"</formula>
    </cfRule>
    <cfRule type="expression" dxfId="17066" priority="2194">
      <formula>$A16="Drainage Works"</formula>
    </cfRule>
    <cfRule type="expression" dxfId="17065" priority="2195">
      <formula>$A16="Underpass"</formula>
    </cfRule>
    <cfRule type="expression" dxfId="17064" priority="2196">
      <formula>$A16="Overcrossing"</formula>
    </cfRule>
    <cfRule type="expression" dxfId="17063" priority="2197">
      <formula>$A16="Overpass"</formula>
    </cfRule>
    <cfRule type="expression" dxfId="17062" priority="2198">
      <formula>$A16="Station"</formula>
    </cfRule>
    <cfRule type="expression" dxfId="17061" priority="2199">
      <formula>$A16="Overlap between sections"</formula>
    </cfRule>
  </conditionalFormatting>
  <conditionalFormatting sqref="AC16:AC19">
    <cfRule type="expression" dxfId="17060" priority="2186">
      <formula>$M16="NON DEFINED"</formula>
    </cfRule>
    <cfRule type="expression" dxfId="17059" priority="2187">
      <formula>$AZ16="N.D."</formula>
    </cfRule>
    <cfRule type="expression" dxfId="17058" priority="2188">
      <formula>$AY16="N.D."</formula>
    </cfRule>
  </conditionalFormatting>
  <conditionalFormatting sqref="AC16:AC19">
    <cfRule type="expression" dxfId="17057" priority="2175">
      <formula>$A16="Overhead Cable"</formula>
    </cfRule>
    <cfRule type="expression" dxfId="17056" priority="2176">
      <formula>$A16="Level Crossing"</formula>
    </cfRule>
    <cfRule type="expression" dxfId="17055" priority="2177">
      <formula>$A16="Neutral Section"</formula>
    </cfRule>
    <cfRule type="expression" dxfId="17054" priority="2178">
      <formula>$A16="Tunnel"</formula>
    </cfRule>
    <cfRule type="expression" dxfId="17053" priority="2179">
      <formula>$A16="Bridge"</formula>
    </cfRule>
    <cfRule type="expression" dxfId="17052" priority="2180">
      <formula>$A16="Drainage Works"</formula>
    </cfRule>
    <cfRule type="expression" dxfId="17051" priority="2181">
      <formula>$A16="Underpass"</formula>
    </cfRule>
    <cfRule type="expression" dxfId="17050" priority="2182">
      <formula>$A16="Overcrossing"</formula>
    </cfRule>
    <cfRule type="expression" dxfId="17049" priority="2183">
      <formula>$A16="Overpass"</formula>
    </cfRule>
    <cfRule type="expression" dxfId="17048" priority="2184">
      <formula>$A16="Station"</formula>
    </cfRule>
    <cfRule type="expression" dxfId="17047" priority="2185">
      <formula>$A16="Overlap between sections"</formula>
    </cfRule>
  </conditionalFormatting>
  <conditionalFormatting sqref="AD16:AD19">
    <cfRule type="expression" dxfId="17046" priority="2172">
      <formula>$M16="NON DEFINED"</formula>
    </cfRule>
    <cfRule type="expression" dxfId="17045" priority="2173">
      <formula>$AZ16="N.D."</formula>
    </cfRule>
    <cfRule type="expression" dxfId="17044" priority="2174">
      <formula>$AY16="N.D."</formula>
    </cfRule>
  </conditionalFormatting>
  <conditionalFormatting sqref="AD16:AD19">
    <cfRule type="expression" dxfId="17043" priority="2161">
      <formula>$A16="Overhead Cable"</formula>
    </cfRule>
    <cfRule type="expression" dxfId="17042" priority="2162">
      <formula>$A16="Level Crossing"</formula>
    </cfRule>
    <cfRule type="expression" dxfId="17041" priority="2163">
      <formula>$A16="Neutral Section"</formula>
    </cfRule>
    <cfRule type="expression" dxfId="17040" priority="2164">
      <formula>$A16="Tunnel"</formula>
    </cfRule>
    <cfRule type="expression" dxfId="17039" priority="2165">
      <formula>$A16="Bridge"</formula>
    </cfRule>
    <cfRule type="expression" dxfId="17038" priority="2166">
      <formula>$A16="Drainage Works"</formula>
    </cfRule>
    <cfRule type="expression" dxfId="17037" priority="2167">
      <formula>$A16="Underpass"</formula>
    </cfRule>
    <cfRule type="expression" dxfId="17036" priority="2168">
      <formula>$A16="Overcrossing"</formula>
    </cfRule>
    <cfRule type="expression" dxfId="17035" priority="2169">
      <formula>$A16="Overpass"</formula>
    </cfRule>
    <cfRule type="expression" dxfId="17034" priority="2170">
      <formula>$A16="Station"</formula>
    </cfRule>
    <cfRule type="expression" dxfId="17033" priority="2171">
      <formula>$A16="Overlap between sections"</formula>
    </cfRule>
  </conditionalFormatting>
  <conditionalFormatting sqref="AE16:AE19">
    <cfRule type="expression" dxfId="17032" priority="2158">
      <formula>$M16="NON DEFINED"</formula>
    </cfRule>
    <cfRule type="expression" dxfId="17031" priority="2159">
      <formula>$AZ16="N.D."</formula>
    </cfRule>
    <cfRule type="expression" dxfId="17030" priority="2160">
      <formula>$AY16="N.D."</formula>
    </cfRule>
  </conditionalFormatting>
  <conditionalFormatting sqref="AE16:AE19">
    <cfRule type="expression" dxfId="17029" priority="2147">
      <formula>$A16="Overhead Cable"</formula>
    </cfRule>
    <cfRule type="expression" dxfId="17028" priority="2148">
      <formula>$A16="Level Crossing"</formula>
    </cfRule>
    <cfRule type="expression" dxfId="17027" priority="2149">
      <formula>$A16="Neutral Section"</formula>
    </cfRule>
    <cfRule type="expression" dxfId="17026" priority="2150">
      <formula>$A16="Tunnel"</formula>
    </cfRule>
    <cfRule type="expression" dxfId="17025" priority="2151">
      <formula>$A16="Bridge"</formula>
    </cfRule>
    <cfRule type="expression" dxfId="17024" priority="2152">
      <formula>$A16="Drainage Works"</formula>
    </cfRule>
    <cfRule type="expression" dxfId="17023" priority="2153">
      <formula>$A16="Underpass"</formula>
    </cfRule>
    <cfRule type="expression" dxfId="17022" priority="2154">
      <formula>$A16="Overcrossing"</formula>
    </cfRule>
    <cfRule type="expression" dxfId="17021" priority="2155">
      <formula>$A16="Overpass"</formula>
    </cfRule>
    <cfRule type="expression" dxfId="17020" priority="2156">
      <formula>$A16="Station"</formula>
    </cfRule>
    <cfRule type="expression" dxfId="17019" priority="2157">
      <formula>$A16="Overlap between sections"</formula>
    </cfRule>
  </conditionalFormatting>
  <conditionalFormatting sqref="AJ17:AJ19">
    <cfRule type="expression" dxfId="17018" priority="2144">
      <formula>$M17="NON DEFINED"</formula>
    </cfRule>
    <cfRule type="expression" dxfId="17017" priority="2145">
      <formula>$AZ17="N.D."</formula>
    </cfRule>
    <cfRule type="expression" dxfId="17016" priority="2146">
      <formula>$AY17="N.D."</formula>
    </cfRule>
  </conditionalFormatting>
  <conditionalFormatting sqref="AJ17:AJ19">
    <cfRule type="expression" dxfId="17015" priority="2133">
      <formula>$A17="Overhead Cable"</formula>
    </cfRule>
    <cfRule type="expression" dxfId="17014" priority="2134">
      <formula>$A17="Level Crossing"</formula>
    </cfRule>
    <cfRule type="expression" dxfId="17013" priority="2135">
      <formula>$A17="Neutral Section"</formula>
    </cfRule>
    <cfRule type="expression" dxfId="17012" priority="2136">
      <formula>$A17="Tunnel"</formula>
    </cfRule>
    <cfRule type="expression" dxfId="17011" priority="2137">
      <formula>$A17="Bridge"</formula>
    </cfRule>
    <cfRule type="expression" dxfId="17010" priority="2138">
      <formula>$A17="Drainage Works"</formula>
    </cfRule>
    <cfRule type="expression" dxfId="17009" priority="2139">
      <formula>$A17="Underpass"</formula>
    </cfRule>
    <cfRule type="expression" dxfId="17008" priority="2140">
      <formula>$A17="Overcrossing"</formula>
    </cfRule>
    <cfRule type="expression" dxfId="17007" priority="2141">
      <formula>$A17="Overpass"</formula>
    </cfRule>
    <cfRule type="expression" dxfId="17006" priority="2142">
      <formula>$A17="Station"</formula>
    </cfRule>
    <cfRule type="expression" dxfId="17005" priority="2143">
      <formula>$A17="Overlap between sections"</formula>
    </cfRule>
  </conditionalFormatting>
  <conditionalFormatting sqref="AK16:AK19">
    <cfRule type="expression" dxfId="17004" priority="2130">
      <formula>$M16="NON DEFINED"</formula>
    </cfRule>
    <cfRule type="expression" dxfId="17003" priority="2131">
      <formula>$AZ16="N.D."</formula>
    </cfRule>
    <cfRule type="expression" dxfId="17002" priority="2132">
      <formula>$AY16="N.D."</formula>
    </cfRule>
  </conditionalFormatting>
  <conditionalFormatting sqref="AK16:AK19">
    <cfRule type="expression" dxfId="17001" priority="2119">
      <formula>$A16="Overhead Cable"</formula>
    </cfRule>
    <cfRule type="expression" dxfId="17000" priority="2120">
      <formula>$A16="Level Crossing"</formula>
    </cfRule>
    <cfRule type="expression" dxfId="16999" priority="2121">
      <formula>$A16="Neutral Section"</formula>
    </cfRule>
    <cfRule type="expression" dxfId="16998" priority="2122">
      <formula>$A16="Tunnel"</formula>
    </cfRule>
    <cfRule type="expression" dxfId="16997" priority="2123">
      <formula>$A16="Bridge"</formula>
    </cfRule>
    <cfRule type="expression" dxfId="16996" priority="2124">
      <formula>$A16="Drainage Works"</formula>
    </cfRule>
    <cfRule type="expression" dxfId="16995" priority="2125">
      <formula>$A16="Underpass"</formula>
    </cfRule>
    <cfRule type="expression" dxfId="16994" priority="2126">
      <formula>$A16="Overcrossing"</formula>
    </cfRule>
    <cfRule type="expression" dxfId="16993" priority="2127">
      <formula>$A16="Overpass"</formula>
    </cfRule>
    <cfRule type="expression" dxfId="16992" priority="2128">
      <formula>$A16="Station"</formula>
    </cfRule>
    <cfRule type="expression" dxfId="16991" priority="2129">
      <formula>$A16="Overlap between sections"</formula>
    </cfRule>
  </conditionalFormatting>
  <conditionalFormatting sqref="AL16:AL19">
    <cfRule type="expression" dxfId="16990" priority="2116">
      <formula>$M16="NON DEFINED"</formula>
    </cfRule>
    <cfRule type="expression" dxfId="16989" priority="2117">
      <formula>$AZ16="N.D."</formula>
    </cfRule>
    <cfRule type="expression" dxfId="16988" priority="2118">
      <formula>$AY16="N.D."</formula>
    </cfRule>
  </conditionalFormatting>
  <conditionalFormatting sqref="AL16:AL19">
    <cfRule type="expression" dxfId="16987" priority="2105">
      <formula>$A16="Overhead Cable"</formula>
    </cfRule>
    <cfRule type="expression" dxfId="16986" priority="2106">
      <formula>$A16="Level Crossing"</formula>
    </cfRule>
    <cfRule type="expression" dxfId="16985" priority="2107">
      <formula>$A16="Neutral Section"</formula>
    </cfRule>
    <cfRule type="expression" dxfId="16984" priority="2108">
      <formula>$A16="Tunnel"</formula>
    </cfRule>
    <cfRule type="expression" dxfId="16983" priority="2109">
      <formula>$A16="Bridge"</formula>
    </cfRule>
    <cfRule type="expression" dxfId="16982" priority="2110">
      <formula>$A16="Drainage Works"</formula>
    </cfRule>
    <cfRule type="expression" dxfId="16981" priority="2111">
      <formula>$A16="Underpass"</formula>
    </cfRule>
    <cfRule type="expression" dxfId="16980" priority="2112">
      <formula>$A16="Overcrossing"</formula>
    </cfRule>
    <cfRule type="expression" dxfId="16979" priority="2113">
      <formula>$A16="Overpass"</formula>
    </cfRule>
    <cfRule type="expression" dxfId="16978" priority="2114">
      <formula>$A16="Station"</formula>
    </cfRule>
    <cfRule type="expression" dxfId="16977" priority="2115">
      <formula>$A16="Overlap between sections"</formula>
    </cfRule>
  </conditionalFormatting>
  <conditionalFormatting sqref="AM16:AM17 AM19">
    <cfRule type="expression" dxfId="16976" priority="2102">
      <formula>$M16="NON DEFINED"</formula>
    </cfRule>
    <cfRule type="expression" dxfId="16975" priority="2103">
      <formula>$AZ16="N.D."</formula>
    </cfRule>
    <cfRule type="expression" dxfId="16974" priority="2104">
      <formula>$AY16="N.D."</formula>
    </cfRule>
  </conditionalFormatting>
  <conditionalFormatting sqref="AM16:AM17 AM19">
    <cfRule type="expression" dxfId="16973" priority="2091">
      <formula>$A16="Overhead Cable"</formula>
    </cfRule>
    <cfRule type="expression" dxfId="16972" priority="2092">
      <formula>$A16="Level Crossing"</formula>
    </cfRule>
    <cfRule type="expression" dxfId="16971" priority="2093">
      <formula>$A16="Neutral Section"</formula>
    </cfRule>
    <cfRule type="expression" dxfId="16970" priority="2094">
      <formula>$A16="Tunnel"</formula>
    </cfRule>
    <cfRule type="expression" dxfId="16969" priority="2095">
      <formula>$A16="Bridge"</formula>
    </cfRule>
    <cfRule type="expression" dxfId="16968" priority="2096">
      <formula>$A16="Drainage Works"</formula>
    </cfRule>
    <cfRule type="expression" dxfId="16967" priority="2097">
      <formula>$A16="Underpass"</formula>
    </cfRule>
    <cfRule type="expression" dxfId="16966" priority="2098">
      <formula>$A16="Overcrossing"</formula>
    </cfRule>
    <cfRule type="expression" dxfId="16965" priority="2099">
      <formula>$A16="Overpass"</formula>
    </cfRule>
    <cfRule type="expression" dxfId="16964" priority="2100">
      <formula>$A16="Station"</formula>
    </cfRule>
    <cfRule type="expression" dxfId="16963" priority="2101">
      <formula>$A16="Overlap between sections"</formula>
    </cfRule>
  </conditionalFormatting>
  <conditionalFormatting sqref="AT16:AT19">
    <cfRule type="expression" dxfId="16962" priority="2088">
      <formula>$M16="NON DEFINED"</formula>
    </cfRule>
    <cfRule type="expression" dxfId="16961" priority="2089">
      <formula>$AZ16="N.D."</formula>
    </cfRule>
    <cfRule type="expression" dxfId="16960" priority="2090">
      <formula>$AY16="N.D."</formula>
    </cfRule>
  </conditionalFormatting>
  <conditionalFormatting sqref="AT16:AT19">
    <cfRule type="expression" dxfId="16959" priority="2077">
      <formula>$A16="Overhead Cable"</formula>
    </cfRule>
    <cfRule type="expression" dxfId="16958" priority="2078">
      <formula>$A16="Level Crossing"</formula>
    </cfRule>
    <cfRule type="expression" dxfId="16957" priority="2079">
      <formula>$A16="Neutral Section"</formula>
    </cfRule>
    <cfRule type="expression" dxfId="16956" priority="2080">
      <formula>$A16="Tunnel"</formula>
    </cfRule>
    <cfRule type="expression" dxfId="16955" priority="2081">
      <formula>$A16="Bridge"</formula>
    </cfRule>
    <cfRule type="expression" dxfId="16954" priority="2082">
      <formula>$A16="Drainage Works"</formula>
    </cfRule>
    <cfRule type="expression" dxfId="16953" priority="2083">
      <formula>$A16="Underpass"</formula>
    </cfRule>
    <cfRule type="expression" dxfId="16952" priority="2084">
      <formula>$A16="Overcrossing"</formula>
    </cfRule>
    <cfRule type="expression" dxfId="16951" priority="2085">
      <formula>$A16="Overpass"</formula>
    </cfRule>
    <cfRule type="expression" dxfId="16950" priority="2086">
      <formula>$A16="Station"</formula>
    </cfRule>
    <cfRule type="expression" dxfId="16949" priority="2087">
      <formula>$A16="Overlap between sections"</formula>
    </cfRule>
  </conditionalFormatting>
  <conditionalFormatting sqref="AU16:AU19">
    <cfRule type="expression" dxfId="16948" priority="2074">
      <formula>$M16="NON DEFINED"</formula>
    </cfRule>
    <cfRule type="expression" dxfId="16947" priority="2075">
      <formula>$AZ16="N.D."</formula>
    </cfRule>
    <cfRule type="expression" dxfId="16946" priority="2076">
      <formula>$AY16="N.D."</formula>
    </cfRule>
  </conditionalFormatting>
  <conditionalFormatting sqref="AU16:AU19">
    <cfRule type="expression" dxfId="16945" priority="2063">
      <formula>$A16="Overhead Cable"</formula>
    </cfRule>
    <cfRule type="expression" dxfId="16944" priority="2064">
      <formula>$A16="Level Crossing"</formula>
    </cfRule>
    <cfRule type="expression" dxfId="16943" priority="2065">
      <formula>$A16="Neutral Section"</formula>
    </cfRule>
    <cfRule type="expression" dxfId="16942" priority="2066">
      <formula>$A16="Tunnel"</formula>
    </cfRule>
    <cfRule type="expression" dxfId="16941" priority="2067">
      <formula>$A16="Bridge"</formula>
    </cfRule>
    <cfRule type="expression" dxfId="16940" priority="2068">
      <formula>$A16="Drainage Works"</formula>
    </cfRule>
    <cfRule type="expression" dxfId="16939" priority="2069">
      <formula>$A16="Underpass"</formula>
    </cfRule>
    <cfRule type="expression" dxfId="16938" priority="2070">
      <formula>$A16="Overcrossing"</formula>
    </cfRule>
    <cfRule type="expression" dxfId="16937" priority="2071">
      <formula>$A16="Overpass"</formula>
    </cfRule>
    <cfRule type="expression" dxfId="16936" priority="2072">
      <formula>$A16="Station"</formula>
    </cfRule>
    <cfRule type="expression" dxfId="16935" priority="2073">
      <formula>$A16="Overlap between sections"</formula>
    </cfRule>
  </conditionalFormatting>
  <conditionalFormatting sqref="AV16:AV19">
    <cfRule type="expression" dxfId="16934" priority="2060">
      <formula>$M16="NON DEFINED"</formula>
    </cfRule>
    <cfRule type="expression" dxfId="16933" priority="2061">
      <formula>$AZ16="N.D."</formula>
    </cfRule>
    <cfRule type="expression" dxfId="16932" priority="2062">
      <formula>$AY16="N.D."</formula>
    </cfRule>
  </conditionalFormatting>
  <conditionalFormatting sqref="AV16:AV19">
    <cfRule type="expression" dxfId="16931" priority="2049">
      <formula>$A16="Overhead Cable"</formula>
    </cfRule>
    <cfRule type="expression" dxfId="16930" priority="2050">
      <formula>$A16="Level Crossing"</formula>
    </cfRule>
    <cfRule type="expression" dxfId="16929" priority="2051">
      <formula>$A16="Neutral Section"</formula>
    </cfRule>
    <cfRule type="expression" dxfId="16928" priority="2052">
      <formula>$A16="Tunnel"</formula>
    </cfRule>
    <cfRule type="expression" dxfId="16927" priority="2053">
      <formula>$A16="Bridge"</formula>
    </cfRule>
    <cfRule type="expression" dxfId="16926" priority="2054">
      <formula>$A16="Drainage Works"</formula>
    </cfRule>
    <cfRule type="expression" dxfId="16925" priority="2055">
      <formula>$A16="Underpass"</formula>
    </cfRule>
    <cfRule type="expression" dxfId="16924" priority="2056">
      <formula>$A16="Overcrossing"</formula>
    </cfRule>
    <cfRule type="expression" dxfId="16923" priority="2057">
      <formula>$A16="Overpass"</formula>
    </cfRule>
    <cfRule type="expression" dxfId="16922" priority="2058">
      <formula>$A16="Station"</formula>
    </cfRule>
    <cfRule type="expression" dxfId="16921" priority="2059">
      <formula>$A16="Overlap between sections"</formula>
    </cfRule>
  </conditionalFormatting>
  <conditionalFormatting sqref="AW16:AW17 AW19">
    <cfRule type="expression" dxfId="16920" priority="2046">
      <formula>$M16="NON DEFINED"</formula>
    </cfRule>
    <cfRule type="expression" dxfId="16919" priority="2047">
      <formula>$AZ16="N.D."</formula>
    </cfRule>
    <cfRule type="expression" dxfId="16918" priority="2048">
      <formula>$AY16="N.D."</formula>
    </cfRule>
  </conditionalFormatting>
  <conditionalFormatting sqref="AW16:AW17 AW19">
    <cfRule type="expression" dxfId="16917" priority="2035">
      <formula>$A16="Overhead Cable"</formula>
    </cfRule>
    <cfRule type="expression" dxfId="16916" priority="2036">
      <formula>$A16="Level Crossing"</formula>
    </cfRule>
    <cfRule type="expression" dxfId="16915" priority="2037">
      <formula>$A16="Neutral Section"</formula>
    </cfRule>
    <cfRule type="expression" dxfId="16914" priority="2038">
      <formula>$A16="Tunnel"</formula>
    </cfRule>
    <cfRule type="expression" dxfId="16913" priority="2039">
      <formula>$A16="Bridge"</formula>
    </cfRule>
    <cfRule type="expression" dxfId="16912" priority="2040">
      <formula>$A16="Drainage Works"</formula>
    </cfRule>
    <cfRule type="expression" dxfId="16911" priority="2041">
      <formula>$A16="Underpass"</formula>
    </cfRule>
    <cfRule type="expression" dxfId="16910" priority="2042">
      <formula>$A16="Overcrossing"</formula>
    </cfRule>
    <cfRule type="expression" dxfId="16909" priority="2043">
      <formula>$A16="Overpass"</formula>
    </cfRule>
    <cfRule type="expression" dxfId="16908" priority="2044">
      <formula>$A16="Station"</formula>
    </cfRule>
    <cfRule type="expression" dxfId="16907" priority="2045">
      <formula>$A16="Overlap between sections"</formula>
    </cfRule>
  </conditionalFormatting>
  <conditionalFormatting sqref="AX16:AX17 AX19">
    <cfRule type="expression" dxfId="16906" priority="2032">
      <formula>$M16="NON DEFINED"</formula>
    </cfRule>
    <cfRule type="expression" dxfId="16905" priority="2033">
      <formula>$AZ16="N.D."</formula>
    </cfRule>
    <cfRule type="expression" dxfId="16904" priority="2034">
      <formula>$AY16="N.D."</formula>
    </cfRule>
  </conditionalFormatting>
  <conditionalFormatting sqref="AX16:AX17 AX19">
    <cfRule type="expression" dxfId="16903" priority="2021">
      <formula>$A16="Overhead Cable"</formula>
    </cfRule>
    <cfRule type="expression" dxfId="16902" priority="2022">
      <formula>$A16="Level Crossing"</formula>
    </cfRule>
    <cfRule type="expression" dxfId="16901" priority="2023">
      <formula>$A16="Neutral Section"</formula>
    </cfRule>
    <cfRule type="expression" dxfId="16900" priority="2024">
      <formula>$A16="Tunnel"</formula>
    </cfRule>
    <cfRule type="expression" dxfId="16899" priority="2025">
      <formula>$A16="Bridge"</formula>
    </cfRule>
    <cfRule type="expression" dxfId="16898" priority="2026">
      <formula>$A16="Drainage Works"</formula>
    </cfRule>
    <cfRule type="expression" dxfId="16897" priority="2027">
      <formula>$A16="Underpass"</formula>
    </cfRule>
    <cfRule type="expression" dxfId="16896" priority="2028">
      <formula>$A16="Overcrossing"</formula>
    </cfRule>
    <cfRule type="expression" dxfId="16895" priority="2029">
      <formula>$A16="Overpass"</formula>
    </cfRule>
    <cfRule type="expression" dxfId="16894" priority="2030">
      <formula>$A16="Station"</formula>
    </cfRule>
    <cfRule type="expression" dxfId="16893" priority="2031">
      <formula>$A16="Overlap between sections"</formula>
    </cfRule>
  </conditionalFormatting>
  <conditionalFormatting sqref="F16:F19">
    <cfRule type="expression" dxfId="16892" priority="2018">
      <formula>$M16="NON DEFINED"</formula>
    </cfRule>
    <cfRule type="expression" dxfId="16891" priority="2019">
      <formula>$AZ16="N.D."</formula>
    </cfRule>
    <cfRule type="expression" dxfId="16890" priority="2020">
      <formula>$AY16="N.D."</formula>
    </cfRule>
  </conditionalFormatting>
  <conditionalFormatting sqref="F16:F19">
    <cfRule type="expression" dxfId="16889" priority="2007">
      <formula>$A16="Overhead Cable"</formula>
    </cfRule>
    <cfRule type="expression" dxfId="16888" priority="2008">
      <formula>$A16="Level Crossing"</formula>
    </cfRule>
    <cfRule type="expression" dxfId="16887" priority="2009">
      <formula>$A16="Neutral Section"</formula>
    </cfRule>
    <cfRule type="expression" dxfId="16886" priority="2010">
      <formula>$A16="Tunnel"</formula>
    </cfRule>
    <cfRule type="expression" dxfId="16885" priority="2011">
      <formula>$A16="Bridge"</formula>
    </cfRule>
    <cfRule type="expression" dxfId="16884" priority="2012">
      <formula>$A16="Drainage Works"</formula>
    </cfRule>
    <cfRule type="expression" dxfId="16883" priority="2013">
      <formula>$A16="Underpass"</formula>
    </cfRule>
    <cfRule type="expression" dxfId="16882" priority="2014">
      <formula>$A16="Overcrossing"</formula>
    </cfRule>
    <cfRule type="expression" dxfId="16881" priority="2015">
      <formula>$A16="Overpass"</formula>
    </cfRule>
    <cfRule type="expression" dxfId="16880" priority="2016">
      <formula>$A16="Station"</formula>
    </cfRule>
    <cfRule type="expression" dxfId="16879" priority="2017">
      <formula>$A16="Overlap between sections"</formula>
    </cfRule>
  </conditionalFormatting>
  <conditionalFormatting sqref="Q16:Q19">
    <cfRule type="expression" dxfId="16878" priority="2004">
      <formula>$M16="NON DEFINED"</formula>
    </cfRule>
    <cfRule type="expression" dxfId="16877" priority="2005">
      <formula>$AZ16="N.D."</formula>
    </cfRule>
    <cfRule type="expression" dxfId="16876" priority="2006">
      <formula>$AY16="N.D."</formula>
    </cfRule>
  </conditionalFormatting>
  <conditionalFormatting sqref="Q16:Q19">
    <cfRule type="expression" dxfId="16875" priority="1993">
      <formula>$A16="Overhead Cable"</formula>
    </cfRule>
    <cfRule type="expression" dxfId="16874" priority="1994">
      <formula>$A16="Level Crossing"</formula>
    </cfRule>
    <cfRule type="expression" dxfId="16873" priority="1995">
      <formula>$A16="Neutral Section"</formula>
    </cfRule>
    <cfRule type="expression" dxfId="16872" priority="1996">
      <formula>$A16="Tunnel"</formula>
    </cfRule>
    <cfRule type="expression" dxfId="16871" priority="1997">
      <formula>$A16="Bridge"</formula>
    </cfRule>
    <cfRule type="expression" dxfId="16870" priority="1998">
      <formula>$A16="Drainage Works"</formula>
    </cfRule>
    <cfRule type="expression" dxfId="16869" priority="1999">
      <formula>$A16="Underpass"</formula>
    </cfRule>
    <cfRule type="expression" dxfId="16868" priority="2000">
      <formula>$A16="Overcrossing"</formula>
    </cfRule>
    <cfRule type="expression" dxfId="16867" priority="2001">
      <formula>$A16="Overpass"</formula>
    </cfRule>
    <cfRule type="expression" dxfId="16866" priority="2002">
      <formula>$A16="Station"</formula>
    </cfRule>
    <cfRule type="expression" dxfId="16865" priority="2003">
      <formula>$A16="Overlap between sections"</formula>
    </cfRule>
  </conditionalFormatting>
  <conditionalFormatting sqref="T16:T19">
    <cfRule type="expression" dxfId="16864" priority="1990">
      <formula>$M16="NON DEFINED"</formula>
    </cfRule>
    <cfRule type="expression" dxfId="16863" priority="1991">
      <formula>$AZ16="N.D."</formula>
    </cfRule>
    <cfRule type="expression" dxfId="16862" priority="1992">
      <formula>$AY16="N.D."</formula>
    </cfRule>
  </conditionalFormatting>
  <conditionalFormatting sqref="T16:T19">
    <cfRule type="expression" dxfId="16861" priority="1979">
      <formula>$A16="Overhead Cable"</formula>
    </cfRule>
    <cfRule type="expression" dxfId="16860" priority="1980">
      <formula>$A16="Level Crossing"</formula>
    </cfRule>
    <cfRule type="expression" dxfId="16859" priority="1981">
      <formula>$A16="Neutral Section"</formula>
    </cfRule>
    <cfRule type="expression" dxfId="16858" priority="1982">
      <formula>$A16="Tunnel"</formula>
    </cfRule>
    <cfRule type="expression" dxfId="16857" priority="1983">
      <formula>$A16="Bridge"</formula>
    </cfRule>
    <cfRule type="expression" dxfId="16856" priority="1984">
      <formula>$A16="Drainage Works"</formula>
    </cfRule>
    <cfRule type="expression" dxfId="16855" priority="1985">
      <formula>$A16="Underpass"</formula>
    </cfRule>
    <cfRule type="expression" dxfId="16854" priority="1986">
      <formula>$A16="Overcrossing"</formula>
    </cfRule>
    <cfRule type="expression" dxfId="16853" priority="1987">
      <formula>$A16="Overpass"</formula>
    </cfRule>
    <cfRule type="expression" dxfId="16852" priority="1988">
      <formula>$A16="Station"</formula>
    </cfRule>
    <cfRule type="expression" dxfId="16851" priority="1989">
      <formula>$A16="Overlap between sections"</formula>
    </cfRule>
  </conditionalFormatting>
  <conditionalFormatting sqref="U16:U19">
    <cfRule type="expression" dxfId="16850" priority="1976">
      <formula>$M16="NON DEFINED"</formula>
    </cfRule>
    <cfRule type="expression" dxfId="16849" priority="1977">
      <formula>$AZ16="N.D."</formula>
    </cfRule>
    <cfRule type="expression" dxfId="16848" priority="1978">
      <formula>$AY16="N.D."</formula>
    </cfRule>
  </conditionalFormatting>
  <conditionalFormatting sqref="U16:U19">
    <cfRule type="expression" dxfId="16847" priority="1965">
      <formula>$A16="Overhead Cable"</formula>
    </cfRule>
    <cfRule type="expression" dxfId="16846" priority="1966">
      <formula>$A16="Level Crossing"</formula>
    </cfRule>
    <cfRule type="expression" dxfId="16845" priority="1967">
      <formula>$A16="Neutral Section"</formula>
    </cfRule>
    <cfRule type="expression" dxfId="16844" priority="1968">
      <formula>$A16="Tunnel"</formula>
    </cfRule>
    <cfRule type="expression" dxfId="16843" priority="1969">
      <formula>$A16="Bridge"</formula>
    </cfRule>
    <cfRule type="expression" dxfId="16842" priority="1970">
      <formula>$A16="Drainage Works"</formula>
    </cfRule>
    <cfRule type="expression" dxfId="16841" priority="1971">
      <formula>$A16="Underpass"</formula>
    </cfRule>
    <cfRule type="expression" dxfId="16840" priority="1972">
      <formula>$A16="Overcrossing"</formula>
    </cfRule>
    <cfRule type="expression" dxfId="16839" priority="1973">
      <formula>$A16="Overpass"</formula>
    </cfRule>
    <cfRule type="expression" dxfId="16838" priority="1974">
      <formula>$A16="Station"</formula>
    </cfRule>
    <cfRule type="expression" dxfId="16837" priority="1975">
      <formula>$A16="Overlap between sections"</formula>
    </cfRule>
  </conditionalFormatting>
  <conditionalFormatting sqref="V16:V19">
    <cfRule type="expression" dxfId="16836" priority="1962">
      <formula>$M16="NON DEFINED"</formula>
    </cfRule>
    <cfRule type="expression" dxfId="16835" priority="1963">
      <formula>$AZ16="N.D."</formula>
    </cfRule>
    <cfRule type="expression" dxfId="16834" priority="1964">
      <formula>$AY16="N.D."</formula>
    </cfRule>
  </conditionalFormatting>
  <conditionalFormatting sqref="V16:V19">
    <cfRule type="expression" dxfId="16833" priority="1951">
      <formula>$A16="Overhead Cable"</formula>
    </cfRule>
    <cfRule type="expression" dxfId="16832" priority="1952">
      <formula>$A16="Level Crossing"</formula>
    </cfRule>
    <cfRule type="expression" dxfId="16831" priority="1953">
      <formula>$A16="Neutral Section"</formula>
    </cfRule>
    <cfRule type="expression" dxfId="16830" priority="1954">
      <formula>$A16="Tunnel"</formula>
    </cfRule>
    <cfRule type="expression" dxfId="16829" priority="1955">
      <formula>$A16="Bridge"</formula>
    </cfRule>
    <cfRule type="expression" dxfId="16828" priority="1956">
      <formula>$A16="Drainage Works"</formula>
    </cfRule>
    <cfRule type="expression" dxfId="16827" priority="1957">
      <formula>$A16="Underpass"</formula>
    </cfRule>
    <cfRule type="expression" dxfId="16826" priority="1958">
      <formula>$A16="Overcrossing"</formula>
    </cfRule>
    <cfRule type="expression" dxfId="16825" priority="1959">
      <formula>$A16="Overpass"</formula>
    </cfRule>
    <cfRule type="expression" dxfId="16824" priority="1960">
      <formula>$A16="Station"</formula>
    </cfRule>
    <cfRule type="expression" dxfId="16823" priority="1961">
      <formula>$A16="Overlap between sections"</formula>
    </cfRule>
  </conditionalFormatting>
  <conditionalFormatting sqref="AF16:AF19">
    <cfRule type="expression" dxfId="16822" priority="1948">
      <formula>$M16="NON DEFINED"</formula>
    </cfRule>
    <cfRule type="expression" dxfId="16821" priority="1949">
      <formula>$AZ16="N.D."</formula>
    </cfRule>
    <cfRule type="expression" dxfId="16820" priority="1950">
      <formula>$AY16="N.D."</formula>
    </cfRule>
  </conditionalFormatting>
  <conditionalFormatting sqref="AF16:AF19">
    <cfRule type="expression" dxfId="16819" priority="1937">
      <formula>$A16="Overhead Cable"</formula>
    </cfRule>
    <cfRule type="expression" dxfId="16818" priority="1938">
      <formula>$A16="Level Crossing"</formula>
    </cfRule>
    <cfRule type="expression" dxfId="16817" priority="1939">
      <formula>$A16="Neutral Section"</formula>
    </cfRule>
    <cfRule type="expression" dxfId="16816" priority="1940">
      <formula>$A16="Tunnel"</formula>
    </cfRule>
    <cfRule type="expression" dxfId="16815" priority="1941">
      <formula>$A16="Bridge"</formula>
    </cfRule>
    <cfRule type="expression" dxfId="16814" priority="1942">
      <formula>$A16="Drainage Works"</formula>
    </cfRule>
    <cfRule type="expression" dxfId="16813" priority="1943">
      <formula>$A16="Underpass"</formula>
    </cfRule>
    <cfRule type="expression" dxfId="16812" priority="1944">
      <formula>$A16="Overcrossing"</formula>
    </cfRule>
    <cfRule type="expression" dxfId="16811" priority="1945">
      <formula>$A16="Overpass"</formula>
    </cfRule>
    <cfRule type="expression" dxfId="16810" priority="1946">
      <formula>$A16="Station"</formula>
    </cfRule>
    <cfRule type="expression" dxfId="16809" priority="1947">
      <formula>$A16="Overlap between sections"</formula>
    </cfRule>
  </conditionalFormatting>
  <conditionalFormatting sqref="AH16:AH19">
    <cfRule type="expression" dxfId="16808" priority="1934">
      <formula>$M16="NON DEFINED"</formula>
    </cfRule>
    <cfRule type="expression" dxfId="16807" priority="1935">
      <formula>$AZ16="N.D."</formula>
    </cfRule>
    <cfRule type="expression" dxfId="16806" priority="1936">
      <formula>$AY16="N.D."</formula>
    </cfRule>
  </conditionalFormatting>
  <conditionalFormatting sqref="AH16:AH19">
    <cfRule type="expression" dxfId="16805" priority="1923">
      <formula>$A16="Overhead Cable"</formula>
    </cfRule>
    <cfRule type="expression" dxfId="16804" priority="1924">
      <formula>$A16="Level Crossing"</formula>
    </cfRule>
    <cfRule type="expression" dxfId="16803" priority="1925">
      <formula>$A16="Neutral Section"</formula>
    </cfRule>
    <cfRule type="expression" dxfId="16802" priority="1926">
      <formula>$A16="Tunnel"</formula>
    </cfRule>
    <cfRule type="expression" dxfId="16801" priority="1927">
      <formula>$A16="Bridge"</formula>
    </cfRule>
    <cfRule type="expression" dxfId="16800" priority="1928">
      <formula>$A16="Drainage Works"</formula>
    </cfRule>
    <cfRule type="expression" dxfId="16799" priority="1929">
      <formula>$A16="Underpass"</formula>
    </cfRule>
    <cfRule type="expression" dxfId="16798" priority="1930">
      <formula>$A16="Overcrossing"</formula>
    </cfRule>
    <cfRule type="expression" dxfId="16797" priority="1931">
      <formula>$A16="Overpass"</formula>
    </cfRule>
    <cfRule type="expression" dxfId="16796" priority="1932">
      <formula>$A16="Station"</formula>
    </cfRule>
    <cfRule type="expression" dxfId="16795" priority="1933">
      <formula>$A16="Overlap between sections"</formula>
    </cfRule>
  </conditionalFormatting>
  <conditionalFormatting sqref="AI16:AI19">
    <cfRule type="expression" dxfId="16794" priority="1920">
      <formula>$M16="NON DEFINED"</formula>
    </cfRule>
    <cfRule type="expression" dxfId="16793" priority="1921">
      <formula>$AZ16="N.D."</formula>
    </cfRule>
    <cfRule type="expression" dxfId="16792" priority="1922">
      <formula>$AY16="N.D."</formula>
    </cfRule>
  </conditionalFormatting>
  <conditionalFormatting sqref="AI16:AI19">
    <cfRule type="expression" dxfId="16791" priority="1909">
      <formula>$A16="Overhead Cable"</formula>
    </cfRule>
    <cfRule type="expression" dxfId="16790" priority="1910">
      <formula>$A16="Level Crossing"</formula>
    </cfRule>
    <cfRule type="expression" dxfId="16789" priority="1911">
      <formula>$A16="Neutral Section"</formula>
    </cfRule>
    <cfRule type="expression" dxfId="16788" priority="1912">
      <formula>$A16="Tunnel"</formula>
    </cfRule>
    <cfRule type="expression" dxfId="16787" priority="1913">
      <formula>$A16="Bridge"</formula>
    </cfRule>
    <cfRule type="expression" dxfId="16786" priority="1914">
      <formula>$A16="Drainage Works"</formula>
    </cfRule>
    <cfRule type="expression" dxfId="16785" priority="1915">
      <formula>$A16="Underpass"</formula>
    </cfRule>
    <cfRule type="expression" dxfId="16784" priority="1916">
      <formula>$A16="Overcrossing"</formula>
    </cfRule>
    <cfRule type="expression" dxfId="16783" priority="1917">
      <formula>$A16="Overpass"</formula>
    </cfRule>
    <cfRule type="expression" dxfId="16782" priority="1918">
      <formula>$A16="Station"</formula>
    </cfRule>
    <cfRule type="expression" dxfId="16781" priority="1919">
      <formula>$A16="Overlap between sections"</formula>
    </cfRule>
  </conditionalFormatting>
  <conditionalFormatting sqref="R16:R19">
    <cfRule type="expression" dxfId="16780" priority="1906">
      <formula>$M16="NON DEFINED"</formula>
    </cfRule>
    <cfRule type="expression" dxfId="16779" priority="1907">
      <formula>$AZ16="N.D."</formula>
    </cfRule>
    <cfRule type="expression" dxfId="16778" priority="1908">
      <formula>$AY16="N.D."</formula>
    </cfRule>
  </conditionalFormatting>
  <conditionalFormatting sqref="R16:R19">
    <cfRule type="expression" dxfId="16777" priority="1895">
      <formula>$A16="Overhead Cable"</formula>
    </cfRule>
    <cfRule type="expression" dxfId="16776" priority="1896">
      <formula>$A16="Level Crossing"</formula>
    </cfRule>
    <cfRule type="expression" dxfId="16775" priority="1897">
      <formula>$A16="Neutral Section"</formula>
    </cfRule>
    <cfRule type="expression" dxfId="16774" priority="1898">
      <formula>$A16="Tunnel"</formula>
    </cfRule>
    <cfRule type="expression" dxfId="16773" priority="1899">
      <formula>$A16="Bridge"</formula>
    </cfRule>
    <cfRule type="expression" dxfId="16772" priority="1900">
      <formula>$A16="Drainage Works"</formula>
    </cfRule>
    <cfRule type="expression" dxfId="16771" priority="1901">
      <formula>$A16="Underpass"</formula>
    </cfRule>
    <cfRule type="expression" dxfId="16770" priority="1902">
      <formula>$A16="Overcrossing"</formula>
    </cfRule>
    <cfRule type="expression" dxfId="16769" priority="1903">
      <formula>$A16="Overpass"</formula>
    </cfRule>
    <cfRule type="expression" dxfId="16768" priority="1904">
      <formula>$A16="Station"</formula>
    </cfRule>
    <cfRule type="expression" dxfId="16767" priority="1905">
      <formula>$A16="Overlap between sections"</formula>
    </cfRule>
  </conditionalFormatting>
  <conditionalFormatting sqref="S16:S19">
    <cfRule type="expression" dxfId="16766" priority="1892">
      <formula>$M16="NON DEFINED"</formula>
    </cfRule>
    <cfRule type="expression" dxfId="16765" priority="1893">
      <formula>$AZ16="N.D."</formula>
    </cfRule>
    <cfRule type="expression" dxfId="16764" priority="1894">
      <formula>$AY16="N.D."</formula>
    </cfRule>
  </conditionalFormatting>
  <conditionalFormatting sqref="S16:S19">
    <cfRule type="expression" dxfId="16763" priority="1881">
      <formula>$A16="Overhead Cable"</formula>
    </cfRule>
    <cfRule type="expression" dxfId="16762" priority="1882">
      <formula>$A16="Level Crossing"</formula>
    </cfRule>
    <cfRule type="expression" dxfId="16761" priority="1883">
      <formula>$A16="Neutral Section"</formula>
    </cfRule>
    <cfRule type="expression" dxfId="16760" priority="1884">
      <formula>$A16="Tunnel"</formula>
    </cfRule>
    <cfRule type="expression" dxfId="16759" priority="1885">
      <formula>$A16="Bridge"</formula>
    </cfRule>
    <cfRule type="expression" dxfId="16758" priority="1886">
      <formula>$A16="Drainage Works"</formula>
    </cfRule>
    <cfRule type="expression" dxfId="16757" priority="1887">
      <formula>$A16="Underpass"</formula>
    </cfRule>
    <cfRule type="expression" dxfId="16756" priority="1888">
      <formula>$A16="Overcrossing"</formula>
    </cfRule>
    <cfRule type="expression" dxfId="16755" priority="1889">
      <formula>$A16="Overpass"</formula>
    </cfRule>
    <cfRule type="expression" dxfId="16754" priority="1890">
      <formula>$A16="Station"</formula>
    </cfRule>
    <cfRule type="expression" dxfId="16753" priority="1891">
      <formula>$A16="Overlap between sections"</formula>
    </cfRule>
  </conditionalFormatting>
  <conditionalFormatting sqref="W18 W16">
    <cfRule type="expression" dxfId="16752" priority="1878">
      <formula>$M16="NON DEFINED"</formula>
    </cfRule>
    <cfRule type="expression" dxfId="16751" priority="1879">
      <formula>$AZ16="N.D."</formula>
    </cfRule>
    <cfRule type="expression" dxfId="16750" priority="1880">
      <formula>$AY16="N.D."</formula>
    </cfRule>
  </conditionalFormatting>
  <conditionalFormatting sqref="W18 W16">
    <cfRule type="expression" dxfId="16749" priority="1867">
      <formula>$A16="Overhead Cable"</formula>
    </cfRule>
    <cfRule type="expression" dxfId="16748" priority="1868">
      <formula>$A16="Level Crossing"</formula>
    </cfRule>
    <cfRule type="expression" dxfId="16747" priority="1869">
      <formula>$A16="Neutral Section"</formula>
    </cfRule>
    <cfRule type="expression" dxfId="16746" priority="1870">
      <formula>$A16="Tunnel"</formula>
    </cfRule>
    <cfRule type="expression" dxfId="16745" priority="1871">
      <formula>$A16="Bridge"</formula>
    </cfRule>
    <cfRule type="expression" dxfId="16744" priority="1872">
      <formula>$A16="Drainage Works"</formula>
    </cfRule>
    <cfRule type="expression" dxfId="16743" priority="1873">
      <formula>$A16="Underpass"</formula>
    </cfRule>
    <cfRule type="expression" dxfId="16742" priority="1874">
      <formula>$A16="Overcrossing"</formula>
    </cfRule>
    <cfRule type="expression" dxfId="16741" priority="1875">
      <formula>$A16="Overpass"</formula>
    </cfRule>
    <cfRule type="expression" dxfId="16740" priority="1876">
      <formula>$A16="Station"</formula>
    </cfRule>
    <cfRule type="expression" dxfId="16739" priority="1877">
      <formula>$A16="Overlap between sections"</formula>
    </cfRule>
  </conditionalFormatting>
  <conditionalFormatting sqref="X16:X19">
    <cfRule type="expression" dxfId="16738" priority="1864">
      <formula>$M16="NON DEFINED"</formula>
    </cfRule>
    <cfRule type="expression" dxfId="16737" priority="1865">
      <formula>$AZ16="N.D."</formula>
    </cfRule>
    <cfRule type="expression" dxfId="16736" priority="1866">
      <formula>$AY16="N.D."</formula>
    </cfRule>
  </conditionalFormatting>
  <conditionalFormatting sqref="X16:X19">
    <cfRule type="expression" dxfId="16735" priority="1853">
      <formula>$A16="Overhead Cable"</formula>
    </cfRule>
    <cfRule type="expression" dxfId="16734" priority="1854">
      <formula>$A16="Level Crossing"</formula>
    </cfRule>
    <cfRule type="expression" dxfId="16733" priority="1855">
      <formula>$A16="Neutral Section"</formula>
    </cfRule>
    <cfRule type="expression" dxfId="16732" priority="1856">
      <formula>$A16="Tunnel"</formula>
    </cfRule>
    <cfRule type="expression" dxfId="16731" priority="1857">
      <formula>$A16="Bridge"</formula>
    </cfRule>
    <cfRule type="expression" dxfId="16730" priority="1858">
      <formula>$A16="Drainage Works"</formula>
    </cfRule>
    <cfRule type="expression" dxfId="16729" priority="1859">
      <formula>$A16="Underpass"</formula>
    </cfRule>
    <cfRule type="expression" dxfId="16728" priority="1860">
      <formula>$A16="Overcrossing"</formula>
    </cfRule>
    <cfRule type="expression" dxfId="16727" priority="1861">
      <formula>$A16="Overpass"</formula>
    </cfRule>
    <cfRule type="expression" dxfId="16726" priority="1862">
      <formula>$A16="Station"</formula>
    </cfRule>
    <cfRule type="expression" dxfId="16725" priority="1863">
      <formula>$A16="Overlap between sections"</formula>
    </cfRule>
  </conditionalFormatting>
  <conditionalFormatting sqref="Y16:Y19">
    <cfRule type="expression" dxfId="16724" priority="1850">
      <formula>$M16="NON DEFINED"</formula>
    </cfRule>
    <cfRule type="expression" dxfId="16723" priority="1851">
      <formula>$AZ16="N.D."</formula>
    </cfRule>
    <cfRule type="expression" dxfId="16722" priority="1852">
      <formula>$AY16="N.D."</formula>
    </cfRule>
  </conditionalFormatting>
  <conditionalFormatting sqref="Y16:Y19">
    <cfRule type="expression" dxfId="16721" priority="1839">
      <formula>$A16="Overhead Cable"</formula>
    </cfRule>
    <cfRule type="expression" dxfId="16720" priority="1840">
      <formula>$A16="Level Crossing"</formula>
    </cfRule>
    <cfRule type="expression" dxfId="16719" priority="1841">
      <formula>$A16="Neutral Section"</formula>
    </cfRule>
    <cfRule type="expression" dxfId="16718" priority="1842">
      <formula>$A16="Tunnel"</formula>
    </cfRule>
    <cfRule type="expression" dxfId="16717" priority="1843">
      <formula>$A16="Bridge"</formula>
    </cfRule>
    <cfRule type="expression" dxfId="16716" priority="1844">
      <formula>$A16="Drainage Works"</formula>
    </cfRule>
    <cfRule type="expression" dxfId="16715" priority="1845">
      <formula>$A16="Underpass"</formula>
    </cfRule>
    <cfRule type="expression" dxfId="16714" priority="1846">
      <formula>$A16="Overcrossing"</formula>
    </cfRule>
    <cfRule type="expression" dxfId="16713" priority="1847">
      <formula>$A16="Overpass"</formula>
    </cfRule>
    <cfRule type="expression" dxfId="16712" priority="1848">
      <formula>$A16="Station"</formula>
    </cfRule>
    <cfRule type="expression" dxfId="16711" priority="1849">
      <formula>$A16="Overlap between sections"</formula>
    </cfRule>
  </conditionalFormatting>
  <conditionalFormatting sqref="Z16:Z19">
    <cfRule type="expression" dxfId="16710" priority="1836">
      <formula>$M16="NON DEFINED"</formula>
    </cfRule>
    <cfRule type="expression" dxfId="16709" priority="1837">
      <formula>$AZ16="N.D."</formula>
    </cfRule>
    <cfRule type="expression" dxfId="16708" priority="1838">
      <formula>$AY16="N.D."</formula>
    </cfRule>
  </conditionalFormatting>
  <conditionalFormatting sqref="Z16:Z19">
    <cfRule type="expression" dxfId="16707" priority="1825">
      <formula>$A16="Overhead Cable"</formula>
    </cfRule>
    <cfRule type="expression" dxfId="16706" priority="1826">
      <formula>$A16="Level Crossing"</formula>
    </cfRule>
    <cfRule type="expression" dxfId="16705" priority="1827">
      <formula>$A16="Neutral Section"</formula>
    </cfRule>
    <cfRule type="expression" dxfId="16704" priority="1828">
      <formula>$A16="Tunnel"</formula>
    </cfRule>
    <cfRule type="expression" dxfId="16703" priority="1829">
      <formula>$A16="Bridge"</formula>
    </cfRule>
    <cfRule type="expression" dxfId="16702" priority="1830">
      <formula>$A16="Drainage Works"</formula>
    </cfRule>
    <cfRule type="expression" dxfId="16701" priority="1831">
      <formula>$A16="Underpass"</formula>
    </cfRule>
    <cfRule type="expression" dxfId="16700" priority="1832">
      <formula>$A16="Overcrossing"</formula>
    </cfRule>
    <cfRule type="expression" dxfId="16699" priority="1833">
      <formula>$A16="Overpass"</formula>
    </cfRule>
    <cfRule type="expression" dxfId="16698" priority="1834">
      <formula>$A16="Station"</formula>
    </cfRule>
    <cfRule type="expression" dxfId="16697" priority="1835">
      <formula>$A16="Overlap between sections"</formula>
    </cfRule>
  </conditionalFormatting>
  <conditionalFormatting sqref="AA16:AA19">
    <cfRule type="expression" dxfId="16696" priority="1822">
      <formula>$M16="NON DEFINED"</formula>
    </cfRule>
    <cfRule type="expression" dxfId="16695" priority="1823">
      <formula>$AZ16="N.D."</formula>
    </cfRule>
    <cfRule type="expression" dxfId="16694" priority="1824">
      <formula>$AY16="N.D."</formula>
    </cfRule>
  </conditionalFormatting>
  <conditionalFormatting sqref="AA16:AA19">
    <cfRule type="expression" dxfId="16693" priority="1811">
      <formula>$A16="Overhead Cable"</formula>
    </cfRule>
    <cfRule type="expression" dxfId="16692" priority="1812">
      <formula>$A16="Level Crossing"</formula>
    </cfRule>
    <cfRule type="expression" dxfId="16691" priority="1813">
      <formula>$A16="Neutral Section"</formula>
    </cfRule>
    <cfRule type="expression" dxfId="16690" priority="1814">
      <formula>$A16="Tunnel"</formula>
    </cfRule>
    <cfRule type="expression" dxfId="16689" priority="1815">
      <formula>$A16="Bridge"</formula>
    </cfRule>
    <cfRule type="expression" dxfId="16688" priority="1816">
      <formula>$A16="Drainage Works"</formula>
    </cfRule>
    <cfRule type="expression" dxfId="16687" priority="1817">
      <formula>$A16="Underpass"</formula>
    </cfRule>
    <cfRule type="expression" dxfId="16686" priority="1818">
      <formula>$A16="Overcrossing"</formula>
    </cfRule>
    <cfRule type="expression" dxfId="16685" priority="1819">
      <formula>$A16="Overpass"</formula>
    </cfRule>
    <cfRule type="expression" dxfId="16684" priority="1820">
      <formula>$A16="Station"</formula>
    </cfRule>
    <cfRule type="expression" dxfId="16683" priority="1821">
      <formula>$A16="Overlap between sections"</formula>
    </cfRule>
  </conditionalFormatting>
  <conditionalFormatting sqref="AB16:AB19">
    <cfRule type="expression" dxfId="16682" priority="1808">
      <formula>$M16="NON DEFINED"</formula>
    </cfRule>
    <cfRule type="expression" dxfId="16681" priority="1809">
      <formula>$AZ16="N.D."</formula>
    </cfRule>
    <cfRule type="expression" dxfId="16680" priority="1810">
      <formula>$AY16="N.D."</formula>
    </cfRule>
  </conditionalFormatting>
  <conditionalFormatting sqref="AB16:AB19">
    <cfRule type="expression" dxfId="16679" priority="1797">
      <formula>$A16="Overhead Cable"</formula>
    </cfRule>
    <cfRule type="expression" dxfId="16678" priority="1798">
      <formula>$A16="Level Crossing"</formula>
    </cfRule>
    <cfRule type="expression" dxfId="16677" priority="1799">
      <formula>$A16="Neutral Section"</formula>
    </cfRule>
    <cfRule type="expression" dxfId="16676" priority="1800">
      <formula>$A16="Tunnel"</formula>
    </cfRule>
    <cfRule type="expression" dxfId="16675" priority="1801">
      <formula>$A16="Bridge"</formula>
    </cfRule>
    <cfRule type="expression" dxfId="16674" priority="1802">
      <formula>$A16="Drainage Works"</formula>
    </cfRule>
    <cfRule type="expression" dxfId="16673" priority="1803">
      <formula>$A16="Underpass"</formula>
    </cfRule>
    <cfRule type="expression" dxfId="16672" priority="1804">
      <formula>$A16="Overcrossing"</formula>
    </cfRule>
    <cfRule type="expression" dxfId="16671" priority="1805">
      <formula>$A16="Overpass"</formula>
    </cfRule>
    <cfRule type="expression" dxfId="16670" priority="1806">
      <formula>$A16="Station"</formula>
    </cfRule>
    <cfRule type="expression" dxfId="16669" priority="1807">
      <formula>$A16="Overlap between sections"</formula>
    </cfRule>
  </conditionalFormatting>
  <conditionalFormatting sqref="BA16:BC19">
    <cfRule type="expression" dxfId="16668" priority="1795">
      <formula>$BE16="A"</formula>
    </cfRule>
    <cfRule type="expression" dxfId="16667" priority="1796">
      <formula>$BE16="R"</formula>
    </cfRule>
  </conditionalFormatting>
  <conditionalFormatting sqref="BD19 BD17">
    <cfRule type="containsText" dxfId="16666" priority="1794" operator="containsText" text="Poner a mano">
      <formula>NOT(ISERROR(SEARCH("Poner a mano",BD17)))</formula>
    </cfRule>
  </conditionalFormatting>
  <conditionalFormatting sqref="BC16:BC19">
    <cfRule type="expression" dxfId="16665" priority="1793">
      <formula>$M16="U.S. N.D."</formula>
    </cfRule>
  </conditionalFormatting>
  <conditionalFormatting sqref="BB16:BB19">
    <cfRule type="expression" dxfId="16664" priority="1791">
      <formula>$AZ16="N.D."</formula>
    </cfRule>
  </conditionalFormatting>
  <conditionalFormatting sqref="BA16:BA19">
    <cfRule type="expression" dxfId="16663" priority="1792">
      <formula>$AY16="N.D."</formula>
    </cfRule>
  </conditionalFormatting>
  <conditionalFormatting sqref="BD18">
    <cfRule type="containsText" dxfId="16662" priority="1790" operator="containsText" text="Poner a mano">
      <formula>NOT(ISERROR(SEARCH("Poner a mano",BD18)))</formula>
    </cfRule>
  </conditionalFormatting>
  <conditionalFormatting sqref="J20:J22">
    <cfRule type="expression" dxfId="16661" priority="1778">
      <formula>$A20="Overhead Cable"</formula>
    </cfRule>
    <cfRule type="expression" dxfId="16660" priority="1779">
      <formula>$A20="Level Crossing"</formula>
    </cfRule>
    <cfRule type="expression" dxfId="16659" priority="1780">
      <formula>$A20="Neutral Section"</formula>
    </cfRule>
    <cfRule type="expression" dxfId="16658" priority="1781">
      <formula>$A20="Tunnel"</formula>
    </cfRule>
    <cfRule type="expression" dxfId="16657" priority="1782">
      <formula>$A20="Bridge"</formula>
    </cfRule>
    <cfRule type="expression" dxfId="16656" priority="1783">
      <formula>$A20="Drainage Works"</formula>
    </cfRule>
    <cfRule type="expression" dxfId="16655" priority="1784">
      <formula>$A20="Underpass"</formula>
    </cfRule>
    <cfRule type="expression" dxfId="16654" priority="1785">
      <formula>$A20="Overcrossing"</formula>
    </cfRule>
    <cfRule type="expression" dxfId="16653" priority="1786">
      <formula>$A20="Overpass"</formula>
    </cfRule>
    <cfRule type="expression" dxfId="16652" priority="1787">
      <formula>$A20="Station"</formula>
    </cfRule>
    <cfRule type="expression" dxfId="16651" priority="1788">
      <formula>$A20="Overlap between sections"</formula>
    </cfRule>
  </conditionalFormatting>
  <conditionalFormatting sqref="B40:AZ40 B39:V39 X39:AJ39 B37:V37 X37:AJ37 B35:V35 X35:AJ35 B34:G34 B33:V33 X33:AJ33 B31:V31 X31:AJ31 AL31:AZ31 AL33:AZ33 AL35:AZ35 AL39:AZ39 AL37:AZ37 B38:AZ38 B36:AZ36 I34:AZ34 B32:AZ32">
    <cfRule type="expression" dxfId="16650" priority="1775">
      <formula>$M31="NON DEFINED"</formula>
    </cfRule>
    <cfRule type="expression" dxfId="16649" priority="1776">
      <formula>$AZ31="N.D."</formula>
    </cfRule>
    <cfRule type="expression" dxfId="16648" priority="1777">
      <formula>$AY31="N.D."</formula>
    </cfRule>
  </conditionalFormatting>
  <conditionalFormatting sqref="AG31:AG40 A31:E40 AY31:AZ40 AM31:AS40 G31:H33 J31:J40 G35:H40 G34">
    <cfRule type="expression" dxfId="16647" priority="1764">
      <formula>$A31="Overhead Cable"</formula>
    </cfRule>
    <cfRule type="expression" dxfId="16646" priority="1765">
      <formula>$A31="Level Crossing"</formula>
    </cfRule>
    <cfRule type="expression" dxfId="16645" priority="1766">
      <formula>$A31="Neutral Section"</formula>
    </cfRule>
    <cfRule type="expression" dxfId="16644" priority="1767">
      <formula>$A31="Tunnel"</formula>
    </cfRule>
    <cfRule type="expression" dxfId="16643" priority="1768">
      <formula>$A31="Bridge"</formula>
    </cfRule>
    <cfRule type="expression" dxfId="16642" priority="1769">
      <formula>$A31="Drainage Works"</formula>
    </cfRule>
    <cfRule type="expression" dxfId="16641" priority="1770">
      <formula>$A31="Underpass"</formula>
    </cfRule>
    <cfRule type="expression" dxfId="16640" priority="1771">
      <formula>$A31="Overcrossing"</formula>
    </cfRule>
    <cfRule type="expression" dxfId="16639" priority="1772">
      <formula>$A31="Overpass"</formula>
    </cfRule>
    <cfRule type="expression" dxfId="16638" priority="1773">
      <formula>$A31="Station"</formula>
    </cfRule>
    <cfRule type="expression" dxfId="16637" priority="1774">
      <formula>$A31="Overlap between sections"</formula>
    </cfRule>
  </conditionalFormatting>
  <conditionalFormatting sqref="AN31:AP40">
    <cfRule type="cellIs" dxfId="16636" priority="1763" operator="notEqual">
      <formula>5.5</formula>
    </cfRule>
  </conditionalFormatting>
  <conditionalFormatting sqref="B31:B40">
    <cfRule type="expression" dxfId="16635" priority="1762">
      <formula>AND($AH31&gt;2499,$AH31&lt;2901)</formula>
    </cfRule>
  </conditionalFormatting>
  <conditionalFormatting sqref="I31:I40">
    <cfRule type="expression" dxfId="16634" priority="1751">
      <formula>$A31="Overhead Cable"</formula>
    </cfRule>
    <cfRule type="expression" dxfId="16633" priority="1752">
      <formula>$A31="Level Crossing"</formula>
    </cfRule>
    <cfRule type="expression" dxfId="16632" priority="1753">
      <formula>$A31="Neutral Section"</formula>
    </cfRule>
    <cfRule type="expression" dxfId="16631" priority="1754">
      <formula>$A31="Tunnel"</formula>
    </cfRule>
    <cfRule type="expression" dxfId="16630" priority="1755">
      <formula>$A31="Bridge"</formula>
    </cfRule>
    <cfRule type="expression" dxfId="16629" priority="1756">
      <formula>$A31="Drainage Works"</formula>
    </cfRule>
    <cfRule type="expression" dxfId="16628" priority="1757">
      <formula>$A31="Underpass"</formula>
    </cfRule>
    <cfRule type="expression" dxfId="16627" priority="1758">
      <formula>$A31="Overcrossing"</formula>
    </cfRule>
    <cfRule type="expression" dxfId="16626" priority="1759">
      <formula>$A31="Overpass"</formula>
    </cfRule>
    <cfRule type="expression" dxfId="16625" priority="1760">
      <formula>$A31="Station"</formula>
    </cfRule>
    <cfRule type="expression" dxfId="16624" priority="1761">
      <formula>$A31="Overlap between sections"</formula>
    </cfRule>
  </conditionalFormatting>
  <conditionalFormatting sqref="K31:K40">
    <cfRule type="expression" dxfId="16623" priority="1740">
      <formula>$A31="Overhead Cable"</formula>
    </cfRule>
    <cfRule type="expression" dxfId="16622" priority="1741">
      <formula>$A31="Level Crossing"</formula>
    </cfRule>
    <cfRule type="expression" dxfId="16621" priority="1742">
      <formula>$A31="Neutral Section"</formula>
    </cfRule>
    <cfRule type="expression" dxfId="16620" priority="1743">
      <formula>$A31="Tunnel"</formula>
    </cfRule>
    <cfRule type="expression" dxfId="16619" priority="1744">
      <formula>$A31="Bridge"</formula>
    </cfRule>
    <cfRule type="expression" dxfId="16618" priority="1745">
      <formula>$A31="Drainage Works"</formula>
    </cfRule>
    <cfRule type="expression" dxfId="16617" priority="1746">
      <formula>$A31="Underpass"</formula>
    </cfRule>
    <cfRule type="expression" dxfId="16616" priority="1747">
      <formula>$A31="Overcrossing"</formula>
    </cfRule>
    <cfRule type="expression" dxfId="16615" priority="1748">
      <formula>$A31="Overpass"</formula>
    </cfRule>
    <cfRule type="expression" dxfId="16614" priority="1749">
      <formula>$A31="Station"</formula>
    </cfRule>
    <cfRule type="expression" dxfId="16613" priority="1750">
      <formula>$A31="Overlap between sections"</formula>
    </cfRule>
  </conditionalFormatting>
  <conditionalFormatting sqref="L31:L40">
    <cfRule type="expression" dxfId="16612" priority="1729">
      <formula>$A31="Overhead Cable"</formula>
    </cfRule>
    <cfRule type="expression" dxfId="16611" priority="1730">
      <formula>$A31="Level Crossing"</formula>
    </cfRule>
    <cfRule type="expression" dxfId="16610" priority="1731">
      <formula>$A31="Neutral Section"</formula>
    </cfRule>
    <cfRule type="expression" dxfId="16609" priority="1732">
      <formula>$A31="Tunnel"</formula>
    </cfRule>
    <cfRule type="expression" dxfId="16608" priority="1733">
      <formula>$A31="Bridge"</formula>
    </cfRule>
    <cfRule type="expression" dxfId="16607" priority="1734">
      <formula>$A31="Drainage Works"</formula>
    </cfRule>
    <cfRule type="expression" dxfId="16606" priority="1735">
      <formula>$A31="Underpass"</formula>
    </cfRule>
    <cfRule type="expression" dxfId="16605" priority="1736">
      <formula>$A31="Overcrossing"</formula>
    </cfRule>
    <cfRule type="expression" dxfId="16604" priority="1737">
      <formula>$A31="Overpass"</formula>
    </cfRule>
    <cfRule type="expression" dxfId="16603" priority="1738">
      <formula>$A31="Station"</formula>
    </cfRule>
    <cfRule type="expression" dxfId="16602" priority="1739">
      <formula>$A31="Overlap between sections"</formula>
    </cfRule>
  </conditionalFormatting>
  <conditionalFormatting sqref="M31:M40">
    <cfRule type="expression" dxfId="16601" priority="1718">
      <formula>$A31="Overhead Cable"</formula>
    </cfRule>
    <cfRule type="expression" dxfId="16600" priority="1719">
      <formula>$A31="Level Crossing"</formula>
    </cfRule>
    <cfRule type="expression" dxfId="16599" priority="1720">
      <formula>$A31="Neutral Section"</formula>
    </cfRule>
    <cfRule type="expression" dxfId="16598" priority="1721">
      <formula>$A31="Tunnel"</formula>
    </cfRule>
    <cfRule type="expression" dxfId="16597" priority="1722">
      <formula>$A31="Bridge"</formula>
    </cfRule>
    <cfRule type="expression" dxfId="16596" priority="1723">
      <formula>$A31="Drainage Works"</formula>
    </cfRule>
    <cfRule type="expression" dxfId="16595" priority="1724">
      <formula>$A31="Underpass"</formula>
    </cfRule>
    <cfRule type="expression" dxfId="16594" priority="1725">
      <formula>$A31="Overcrossing"</formula>
    </cfRule>
    <cfRule type="expression" dxfId="16593" priority="1726">
      <formula>$A31="Overpass"</formula>
    </cfRule>
    <cfRule type="expression" dxfId="16592" priority="1727">
      <formula>$A31="Station"</formula>
    </cfRule>
    <cfRule type="expression" dxfId="16591" priority="1728">
      <formula>$A31="Overlap between sections"</formula>
    </cfRule>
  </conditionalFormatting>
  <conditionalFormatting sqref="N31:N40">
    <cfRule type="expression" dxfId="16590" priority="1707">
      <formula>$A31="Overhead Cable"</formula>
    </cfRule>
    <cfRule type="expression" dxfId="16589" priority="1708">
      <formula>$A31="Level Crossing"</formula>
    </cfRule>
    <cfRule type="expression" dxfId="16588" priority="1709">
      <formula>$A31="Neutral Section"</formula>
    </cfRule>
    <cfRule type="expression" dxfId="16587" priority="1710">
      <formula>$A31="Tunnel"</formula>
    </cfRule>
    <cfRule type="expression" dxfId="16586" priority="1711">
      <formula>$A31="Bridge"</formula>
    </cfRule>
    <cfRule type="expression" dxfId="16585" priority="1712">
      <formula>$A31="Drainage Works"</formula>
    </cfRule>
    <cfRule type="expression" dxfId="16584" priority="1713">
      <formula>$A31="Underpass"</formula>
    </cfRule>
    <cfRule type="expression" dxfId="16583" priority="1714">
      <formula>$A31="Overcrossing"</formula>
    </cfRule>
    <cfRule type="expression" dxfId="16582" priority="1715">
      <formula>$A31="Overpass"</formula>
    </cfRule>
    <cfRule type="expression" dxfId="16581" priority="1716">
      <formula>$A31="Station"</formula>
    </cfRule>
    <cfRule type="expression" dxfId="16580" priority="1717">
      <formula>$A31="Overlap between sections"</formula>
    </cfRule>
  </conditionalFormatting>
  <conditionalFormatting sqref="O31:O40">
    <cfRule type="expression" dxfId="16579" priority="1696">
      <formula>$A31="Overhead Cable"</formula>
    </cfRule>
    <cfRule type="expression" dxfId="16578" priority="1697">
      <formula>$A31="Level Crossing"</formula>
    </cfRule>
    <cfRule type="expression" dxfId="16577" priority="1698">
      <formula>$A31="Neutral Section"</formula>
    </cfRule>
    <cfRule type="expression" dxfId="16576" priority="1699">
      <formula>$A31="Tunnel"</formula>
    </cfRule>
    <cfRule type="expression" dxfId="16575" priority="1700">
      <formula>$A31="Bridge"</formula>
    </cfRule>
    <cfRule type="expression" dxfId="16574" priority="1701">
      <formula>$A31="Drainage Works"</formula>
    </cfRule>
    <cfRule type="expression" dxfId="16573" priority="1702">
      <formula>$A31="Underpass"</formula>
    </cfRule>
    <cfRule type="expression" dxfId="16572" priority="1703">
      <formula>$A31="Overcrossing"</formula>
    </cfRule>
    <cfRule type="expression" dxfId="16571" priority="1704">
      <formula>$A31="Overpass"</formula>
    </cfRule>
    <cfRule type="expression" dxfId="16570" priority="1705">
      <formula>$A31="Station"</formula>
    </cfRule>
    <cfRule type="expression" dxfId="16569" priority="1706">
      <formula>$A31="Overlap between sections"</formula>
    </cfRule>
  </conditionalFormatting>
  <conditionalFormatting sqref="P31:P40">
    <cfRule type="expression" dxfId="16568" priority="1685">
      <formula>$A31="Overhead Cable"</formula>
    </cfRule>
    <cfRule type="expression" dxfId="16567" priority="1686">
      <formula>$A31="Level Crossing"</formula>
    </cfRule>
    <cfRule type="expression" dxfId="16566" priority="1687">
      <formula>$A31="Neutral Section"</formula>
    </cfRule>
    <cfRule type="expression" dxfId="16565" priority="1688">
      <formula>$A31="Tunnel"</formula>
    </cfRule>
    <cfRule type="expression" dxfId="16564" priority="1689">
      <formula>$A31="Bridge"</formula>
    </cfRule>
    <cfRule type="expression" dxfId="16563" priority="1690">
      <formula>$A31="Drainage Works"</formula>
    </cfRule>
    <cfRule type="expression" dxfId="16562" priority="1691">
      <formula>$A31="Underpass"</formula>
    </cfRule>
    <cfRule type="expression" dxfId="16561" priority="1692">
      <formula>$A31="Overcrossing"</formula>
    </cfRule>
    <cfRule type="expression" dxfId="16560" priority="1693">
      <formula>$A31="Overpass"</formula>
    </cfRule>
    <cfRule type="expression" dxfId="16559" priority="1694">
      <formula>$A31="Station"</formula>
    </cfRule>
    <cfRule type="expression" dxfId="16558" priority="1695">
      <formula>$A31="Overlap between sections"</formula>
    </cfRule>
  </conditionalFormatting>
  <conditionalFormatting sqref="AC31:AC40">
    <cfRule type="expression" dxfId="16557" priority="1674">
      <formula>$A31="Overhead Cable"</formula>
    </cfRule>
    <cfRule type="expression" dxfId="16556" priority="1675">
      <formula>$A31="Level Crossing"</formula>
    </cfRule>
    <cfRule type="expression" dxfId="16555" priority="1676">
      <formula>$A31="Neutral Section"</formula>
    </cfRule>
    <cfRule type="expression" dxfId="16554" priority="1677">
      <formula>$A31="Tunnel"</formula>
    </cfRule>
    <cfRule type="expression" dxfId="16553" priority="1678">
      <formula>$A31="Bridge"</formula>
    </cfRule>
    <cfRule type="expression" dxfId="16552" priority="1679">
      <formula>$A31="Drainage Works"</formula>
    </cfRule>
    <cfRule type="expression" dxfId="16551" priority="1680">
      <formula>$A31="Underpass"</formula>
    </cfRule>
    <cfRule type="expression" dxfId="16550" priority="1681">
      <formula>$A31="Overcrossing"</formula>
    </cfRule>
    <cfRule type="expression" dxfId="16549" priority="1682">
      <formula>$A31="Overpass"</formula>
    </cfRule>
    <cfRule type="expression" dxfId="16548" priority="1683">
      <formula>$A31="Station"</formula>
    </cfRule>
    <cfRule type="expression" dxfId="16547" priority="1684">
      <formula>$A31="Overlap between sections"</formula>
    </cfRule>
  </conditionalFormatting>
  <conditionalFormatting sqref="AD31:AD40">
    <cfRule type="expression" dxfId="16546" priority="1663">
      <formula>$A31="Overhead Cable"</formula>
    </cfRule>
    <cfRule type="expression" dxfId="16545" priority="1664">
      <formula>$A31="Level Crossing"</formula>
    </cfRule>
    <cfRule type="expression" dxfId="16544" priority="1665">
      <formula>$A31="Neutral Section"</formula>
    </cfRule>
    <cfRule type="expression" dxfId="16543" priority="1666">
      <formula>$A31="Tunnel"</formula>
    </cfRule>
    <cfRule type="expression" dxfId="16542" priority="1667">
      <formula>$A31="Bridge"</formula>
    </cfRule>
    <cfRule type="expression" dxfId="16541" priority="1668">
      <formula>$A31="Drainage Works"</formula>
    </cfRule>
    <cfRule type="expression" dxfId="16540" priority="1669">
      <formula>$A31="Underpass"</formula>
    </cfRule>
    <cfRule type="expression" dxfId="16539" priority="1670">
      <formula>$A31="Overcrossing"</formula>
    </cfRule>
    <cfRule type="expression" dxfId="16538" priority="1671">
      <formula>$A31="Overpass"</formula>
    </cfRule>
    <cfRule type="expression" dxfId="16537" priority="1672">
      <formula>$A31="Station"</formula>
    </cfRule>
    <cfRule type="expression" dxfId="16536" priority="1673">
      <formula>$A31="Overlap between sections"</formula>
    </cfRule>
  </conditionalFormatting>
  <conditionalFormatting sqref="AE31:AE40">
    <cfRule type="expression" dxfId="16535" priority="1652">
      <formula>$A31="Overhead Cable"</formula>
    </cfRule>
    <cfRule type="expression" dxfId="16534" priority="1653">
      <formula>$A31="Level Crossing"</formula>
    </cfRule>
    <cfRule type="expression" dxfId="16533" priority="1654">
      <formula>$A31="Neutral Section"</formula>
    </cfRule>
    <cfRule type="expression" dxfId="16532" priority="1655">
      <formula>$A31="Tunnel"</formula>
    </cfRule>
    <cfRule type="expression" dxfId="16531" priority="1656">
      <formula>$A31="Bridge"</formula>
    </cfRule>
    <cfRule type="expression" dxfId="16530" priority="1657">
      <formula>$A31="Drainage Works"</formula>
    </cfRule>
    <cfRule type="expression" dxfId="16529" priority="1658">
      <formula>$A31="Underpass"</formula>
    </cfRule>
    <cfRule type="expression" dxfId="16528" priority="1659">
      <formula>$A31="Overcrossing"</formula>
    </cfRule>
    <cfRule type="expression" dxfId="16527" priority="1660">
      <formula>$A31="Overpass"</formula>
    </cfRule>
    <cfRule type="expression" dxfId="16526" priority="1661">
      <formula>$A31="Station"</formula>
    </cfRule>
    <cfRule type="expression" dxfId="16525" priority="1662">
      <formula>$A31="Overlap between sections"</formula>
    </cfRule>
  </conditionalFormatting>
  <conditionalFormatting sqref="AJ31:AJ40">
    <cfRule type="expression" dxfId="16524" priority="1641">
      <formula>$A31="Overhead Cable"</formula>
    </cfRule>
    <cfRule type="expression" dxfId="16523" priority="1642">
      <formula>$A31="Level Crossing"</formula>
    </cfRule>
    <cfRule type="expression" dxfId="16522" priority="1643">
      <formula>$A31="Neutral Section"</formula>
    </cfRule>
    <cfRule type="expression" dxfId="16521" priority="1644">
      <formula>$A31="Tunnel"</formula>
    </cfRule>
    <cfRule type="expression" dxfId="16520" priority="1645">
      <formula>$A31="Bridge"</formula>
    </cfRule>
    <cfRule type="expression" dxfId="16519" priority="1646">
      <formula>$A31="Drainage Works"</formula>
    </cfRule>
    <cfRule type="expression" dxfId="16518" priority="1647">
      <formula>$A31="Underpass"</formula>
    </cfRule>
    <cfRule type="expression" dxfId="16517" priority="1648">
      <formula>$A31="Overcrossing"</formula>
    </cfRule>
    <cfRule type="expression" dxfId="16516" priority="1649">
      <formula>$A31="Overpass"</formula>
    </cfRule>
    <cfRule type="expression" dxfId="16515" priority="1650">
      <formula>$A31="Station"</formula>
    </cfRule>
    <cfRule type="expression" dxfId="16514" priority="1651">
      <formula>$A31="Overlap between sections"</formula>
    </cfRule>
  </conditionalFormatting>
  <conditionalFormatting sqref="AK32 AK34 AK36 AK40 AK38">
    <cfRule type="expression" dxfId="16513" priority="1630">
      <formula>$A32="Overhead Cable"</formula>
    </cfRule>
    <cfRule type="expression" dxfId="16512" priority="1631">
      <formula>$A32="Level Crossing"</formula>
    </cfRule>
    <cfRule type="expression" dxfId="16511" priority="1632">
      <formula>$A32="Neutral Section"</formula>
    </cfRule>
    <cfRule type="expression" dxfId="16510" priority="1633">
      <formula>$A32="Tunnel"</formula>
    </cfRule>
    <cfRule type="expression" dxfId="16509" priority="1634">
      <formula>$A32="Bridge"</formula>
    </cfRule>
    <cfRule type="expression" dxfId="16508" priority="1635">
      <formula>$A32="Drainage Works"</formula>
    </cfRule>
    <cfRule type="expression" dxfId="16507" priority="1636">
      <formula>$A32="Underpass"</formula>
    </cfRule>
    <cfRule type="expression" dxfId="16506" priority="1637">
      <formula>$A32="Overcrossing"</formula>
    </cfRule>
    <cfRule type="expression" dxfId="16505" priority="1638">
      <formula>$A32="Overpass"</formula>
    </cfRule>
    <cfRule type="expression" dxfId="16504" priority="1639">
      <formula>$A32="Station"</formula>
    </cfRule>
    <cfRule type="expression" dxfId="16503" priority="1640">
      <formula>$A32="Overlap between sections"</formula>
    </cfRule>
  </conditionalFormatting>
  <conditionalFormatting sqref="AL31:AL40">
    <cfRule type="expression" dxfId="16502" priority="1619">
      <formula>$A31="Overhead Cable"</formula>
    </cfRule>
    <cfRule type="expression" dxfId="16501" priority="1620">
      <formula>$A31="Level Crossing"</formula>
    </cfRule>
    <cfRule type="expression" dxfId="16500" priority="1621">
      <formula>$A31="Neutral Section"</formula>
    </cfRule>
    <cfRule type="expression" dxfId="16499" priority="1622">
      <formula>$A31="Tunnel"</formula>
    </cfRule>
    <cfRule type="expression" dxfId="16498" priority="1623">
      <formula>$A31="Bridge"</formula>
    </cfRule>
    <cfRule type="expression" dxfId="16497" priority="1624">
      <formula>$A31="Drainage Works"</formula>
    </cfRule>
    <cfRule type="expression" dxfId="16496" priority="1625">
      <formula>$A31="Underpass"</formula>
    </cfRule>
    <cfRule type="expression" dxfId="16495" priority="1626">
      <formula>$A31="Overcrossing"</formula>
    </cfRule>
    <cfRule type="expression" dxfId="16494" priority="1627">
      <formula>$A31="Overpass"</formula>
    </cfRule>
    <cfRule type="expression" dxfId="16493" priority="1628">
      <formula>$A31="Station"</formula>
    </cfRule>
    <cfRule type="expression" dxfId="16492" priority="1629">
      <formula>$A31="Overlap between sections"</formula>
    </cfRule>
  </conditionalFormatting>
  <conditionalFormatting sqref="AT31:AT40">
    <cfRule type="expression" dxfId="16491" priority="1608">
      <formula>$A31="Overhead Cable"</formula>
    </cfRule>
    <cfRule type="expression" dxfId="16490" priority="1609">
      <formula>$A31="Level Crossing"</formula>
    </cfRule>
    <cfRule type="expression" dxfId="16489" priority="1610">
      <formula>$A31="Neutral Section"</formula>
    </cfRule>
    <cfRule type="expression" dxfId="16488" priority="1611">
      <formula>$A31="Tunnel"</formula>
    </cfRule>
    <cfRule type="expression" dxfId="16487" priority="1612">
      <formula>$A31="Bridge"</formula>
    </cfRule>
    <cfRule type="expression" dxfId="16486" priority="1613">
      <formula>$A31="Drainage Works"</formula>
    </cfRule>
    <cfRule type="expression" dxfId="16485" priority="1614">
      <formula>$A31="Underpass"</formula>
    </cfRule>
    <cfRule type="expression" dxfId="16484" priority="1615">
      <formula>$A31="Overcrossing"</formula>
    </cfRule>
    <cfRule type="expression" dxfId="16483" priority="1616">
      <formula>$A31="Overpass"</formula>
    </cfRule>
    <cfRule type="expression" dxfId="16482" priority="1617">
      <formula>$A31="Station"</formula>
    </cfRule>
    <cfRule type="expression" dxfId="16481" priority="1618">
      <formula>$A31="Overlap between sections"</formula>
    </cfRule>
  </conditionalFormatting>
  <conditionalFormatting sqref="AU31:AU40">
    <cfRule type="expression" dxfId="16480" priority="1597">
      <formula>$A31="Overhead Cable"</formula>
    </cfRule>
    <cfRule type="expression" dxfId="16479" priority="1598">
      <formula>$A31="Level Crossing"</formula>
    </cfRule>
    <cfRule type="expression" dxfId="16478" priority="1599">
      <formula>$A31="Neutral Section"</formula>
    </cfRule>
    <cfRule type="expression" dxfId="16477" priority="1600">
      <formula>$A31="Tunnel"</formula>
    </cfRule>
    <cfRule type="expression" dxfId="16476" priority="1601">
      <formula>$A31="Bridge"</formula>
    </cfRule>
    <cfRule type="expression" dxfId="16475" priority="1602">
      <formula>$A31="Drainage Works"</formula>
    </cfRule>
    <cfRule type="expression" dxfId="16474" priority="1603">
      <formula>$A31="Underpass"</formula>
    </cfRule>
    <cfRule type="expression" dxfId="16473" priority="1604">
      <formula>$A31="Overcrossing"</formula>
    </cfRule>
    <cfRule type="expression" dxfId="16472" priority="1605">
      <formula>$A31="Overpass"</formula>
    </cfRule>
    <cfRule type="expression" dxfId="16471" priority="1606">
      <formula>$A31="Station"</formula>
    </cfRule>
    <cfRule type="expression" dxfId="16470" priority="1607">
      <formula>$A31="Overlap between sections"</formula>
    </cfRule>
  </conditionalFormatting>
  <conditionalFormatting sqref="AV31:AV40">
    <cfRule type="expression" dxfId="16469" priority="1586">
      <formula>$A31="Overhead Cable"</formula>
    </cfRule>
    <cfRule type="expression" dxfId="16468" priority="1587">
      <formula>$A31="Level Crossing"</formula>
    </cfRule>
    <cfRule type="expression" dxfId="16467" priority="1588">
      <formula>$A31="Neutral Section"</formula>
    </cfRule>
    <cfRule type="expression" dxfId="16466" priority="1589">
      <formula>$A31="Tunnel"</formula>
    </cfRule>
    <cfRule type="expression" dxfId="16465" priority="1590">
      <formula>$A31="Bridge"</formula>
    </cfRule>
    <cfRule type="expression" dxfId="16464" priority="1591">
      <formula>$A31="Drainage Works"</formula>
    </cfRule>
    <cfRule type="expression" dxfId="16463" priority="1592">
      <formula>$A31="Underpass"</formula>
    </cfRule>
    <cfRule type="expression" dxfId="16462" priority="1593">
      <formula>$A31="Overcrossing"</formula>
    </cfRule>
    <cfRule type="expression" dxfId="16461" priority="1594">
      <formula>$A31="Overpass"</formula>
    </cfRule>
    <cfRule type="expression" dxfId="16460" priority="1595">
      <formula>$A31="Station"</formula>
    </cfRule>
    <cfRule type="expression" dxfId="16459" priority="1596">
      <formula>$A31="Overlap between sections"</formula>
    </cfRule>
  </conditionalFormatting>
  <conditionalFormatting sqref="AW31:AW40">
    <cfRule type="expression" dxfId="16458" priority="1575">
      <formula>$A31="Overhead Cable"</formula>
    </cfRule>
    <cfRule type="expression" dxfId="16457" priority="1576">
      <formula>$A31="Level Crossing"</formula>
    </cfRule>
    <cfRule type="expression" dxfId="16456" priority="1577">
      <formula>$A31="Neutral Section"</formula>
    </cfRule>
    <cfRule type="expression" dxfId="16455" priority="1578">
      <formula>$A31="Tunnel"</formula>
    </cfRule>
    <cfRule type="expression" dxfId="16454" priority="1579">
      <formula>$A31="Bridge"</formula>
    </cfRule>
    <cfRule type="expression" dxfId="16453" priority="1580">
      <formula>$A31="Drainage Works"</formula>
    </cfRule>
    <cfRule type="expression" dxfId="16452" priority="1581">
      <formula>$A31="Underpass"</formula>
    </cfRule>
    <cfRule type="expression" dxfId="16451" priority="1582">
      <formula>$A31="Overcrossing"</formula>
    </cfRule>
    <cfRule type="expression" dxfId="16450" priority="1583">
      <formula>$A31="Overpass"</formula>
    </cfRule>
    <cfRule type="expression" dxfId="16449" priority="1584">
      <formula>$A31="Station"</formula>
    </cfRule>
    <cfRule type="expression" dxfId="16448" priority="1585">
      <formula>$A31="Overlap between sections"</formula>
    </cfRule>
  </conditionalFormatting>
  <conditionalFormatting sqref="AX31:AX40">
    <cfRule type="expression" dxfId="16447" priority="1564">
      <formula>$A31="Overhead Cable"</formula>
    </cfRule>
    <cfRule type="expression" dxfId="16446" priority="1565">
      <formula>$A31="Level Crossing"</formula>
    </cfRule>
    <cfRule type="expression" dxfId="16445" priority="1566">
      <formula>$A31="Neutral Section"</formula>
    </cfRule>
    <cfRule type="expression" dxfId="16444" priority="1567">
      <formula>$A31="Tunnel"</formula>
    </cfRule>
    <cfRule type="expression" dxfId="16443" priority="1568">
      <formula>$A31="Bridge"</formula>
    </cfRule>
    <cfRule type="expression" dxfId="16442" priority="1569">
      <formula>$A31="Drainage Works"</formula>
    </cfRule>
    <cfRule type="expression" dxfId="16441" priority="1570">
      <formula>$A31="Underpass"</formula>
    </cfRule>
    <cfRule type="expression" dxfId="16440" priority="1571">
      <formula>$A31="Overcrossing"</formula>
    </cfRule>
    <cfRule type="expression" dxfId="16439" priority="1572">
      <formula>$A31="Overpass"</formula>
    </cfRule>
    <cfRule type="expression" dxfId="16438" priority="1573">
      <formula>$A31="Station"</formula>
    </cfRule>
    <cfRule type="expression" dxfId="16437" priority="1574">
      <formula>$A31="Overlap between sections"</formula>
    </cfRule>
  </conditionalFormatting>
  <conditionalFormatting sqref="F31:F40">
    <cfRule type="expression" dxfId="16436" priority="1553">
      <formula>$A31="Overhead Cable"</formula>
    </cfRule>
    <cfRule type="expression" dxfId="16435" priority="1554">
      <formula>$A31="Level Crossing"</formula>
    </cfRule>
    <cfRule type="expression" dxfId="16434" priority="1555">
      <formula>$A31="Neutral Section"</formula>
    </cfRule>
    <cfRule type="expression" dxfId="16433" priority="1556">
      <formula>$A31="Tunnel"</formula>
    </cfRule>
    <cfRule type="expression" dxfId="16432" priority="1557">
      <formula>$A31="Bridge"</formula>
    </cfRule>
    <cfRule type="expression" dxfId="16431" priority="1558">
      <formula>$A31="Drainage Works"</formula>
    </cfRule>
    <cfRule type="expression" dxfId="16430" priority="1559">
      <formula>$A31="Underpass"</formula>
    </cfRule>
    <cfRule type="expression" dxfId="16429" priority="1560">
      <formula>$A31="Overcrossing"</formula>
    </cfRule>
    <cfRule type="expression" dxfId="16428" priority="1561">
      <formula>$A31="Overpass"</formula>
    </cfRule>
    <cfRule type="expression" dxfId="16427" priority="1562">
      <formula>$A31="Station"</formula>
    </cfRule>
    <cfRule type="expression" dxfId="16426" priority="1563">
      <formula>$A31="Overlap between sections"</formula>
    </cfRule>
  </conditionalFormatting>
  <conditionalFormatting sqref="Q31:Q40">
    <cfRule type="expression" dxfId="16425" priority="1542">
      <formula>$A31="Overhead Cable"</formula>
    </cfRule>
    <cfRule type="expression" dxfId="16424" priority="1543">
      <formula>$A31="Level Crossing"</formula>
    </cfRule>
    <cfRule type="expression" dxfId="16423" priority="1544">
      <formula>$A31="Neutral Section"</formula>
    </cfRule>
    <cfRule type="expression" dxfId="16422" priority="1545">
      <formula>$A31="Tunnel"</formula>
    </cfRule>
    <cfRule type="expression" dxfId="16421" priority="1546">
      <formula>$A31="Bridge"</formula>
    </cfRule>
    <cfRule type="expression" dxfId="16420" priority="1547">
      <formula>$A31="Drainage Works"</formula>
    </cfRule>
    <cfRule type="expression" dxfId="16419" priority="1548">
      <formula>$A31="Underpass"</formula>
    </cfRule>
    <cfRule type="expression" dxfId="16418" priority="1549">
      <formula>$A31="Overcrossing"</formula>
    </cfRule>
    <cfRule type="expression" dxfId="16417" priority="1550">
      <formula>$A31="Overpass"</formula>
    </cfRule>
    <cfRule type="expression" dxfId="16416" priority="1551">
      <formula>$A31="Station"</formula>
    </cfRule>
    <cfRule type="expression" dxfId="16415" priority="1552">
      <formula>$A31="Overlap between sections"</formula>
    </cfRule>
  </conditionalFormatting>
  <conditionalFormatting sqref="T31:T40">
    <cfRule type="expression" dxfId="16414" priority="1531">
      <formula>$A31="Overhead Cable"</formula>
    </cfRule>
    <cfRule type="expression" dxfId="16413" priority="1532">
      <formula>$A31="Level Crossing"</formula>
    </cfRule>
    <cfRule type="expression" dxfId="16412" priority="1533">
      <formula>$A31="Neutral Section"</formula>
    </cfRule>
    <cfRule type="expression" dxfId="16411" priority="1534">
      <formula>$A31="Tunnel"</formula>
    </cfRule>
    <cfRule type="expression" dxfId="16410" priority="1535">
      <formula>$A31="Bridge"</formula>
    </cfRule>
    <cfRule type="expression" dxfId="16409" priority="1536">
      <formula>$A31="Drainage Works"</formula>
    </cfRule>
    <cfRule type="expression" dxfId="16408" priority="1537">
      <formula>$A31="Underpass"</formula>
    </cfRule>
    <cfRule type="expression" dxfId="16407" priority="1538">
      <formula>$A31="Overcrossing"</formula>
    </cfRule>
    <cfRule type="expression" dxfId="16406" priority="1539">
      <formula>$A31="Overpass"</formula>
    </cfRule>
    <cfRule type="expression" dxfId="16405" priority="1540">
      <formula>$A31="Station"</formula>
    </cfRule>
    <cfRule type="expression" dxfId="16404" priority="1541">
      <formula>$A31="Overlap between sections"</formula>
    </cfRule>
  </conditionalFormatting>
  <conditionalFormatting sqref="U31:U40">
    <cfRule type="expression" dxfId="16403" priority="1520">
      <formula>$A31="Overhead Cable"</formula>
    </cfRule>
    <cfRule type="expression" dxfId="16402" priority="1521">
      <formula>$A31="Level Crossing"</formula>
    </cfRule>
    <cfRule type="expression" dxfId="16401" priority="1522">
      <formula>$A31="Neutral Section"</formula>
    </cfRule>
    <cfRule type="expression" dxfId="16400" priority="1523">
      <formula>$A31="Tunnel"</formula>
    </cfRule>
    <cfRule type="expression" dxfId="16399" priority="1524">
      <formula>$A31="Bridge"</formula>
    </cfRule>
    <cfRule type="expression" dxfId="16398" priority="1525">
      <formula>$A31="Drainage Works"</formula>
    </cfRule>
    <cfRule type="expression" dxfId="16397" priority="1526">
      <formula>$A31="Underpass"</formula>
    </cfRule>
    <cfRule type="expression" dxfId="16396" priority="1527">
      <formula>$A31="Overcrossing"</formula>
    </cfRule>
    <cfRule type="expression" dxfId="16395" priority="1528">
      <formula>$A31="Overpass"</formula>
    </cfRule>
    <cfRule type="expression" dxfId="16394" priority="1529">
      <formula>$A31="Station"</formula>
    </cfRule>
    <cfRule type="expression" dxfId="16393" priority="1530">
      <formula>$A31="Overlap between sections"</formula>
    </cfRule>
  </conditionalFormatting>
  <conditionalFormatting sqref="V31:V40">
    <cfRule type="expression" dxfId="16392" priority="1509">
      <formula>$A31="Overhead Cable"</formula>
    </cfRule>
    <cfRule type="expression" dxfId="16391" priority="1510">
      <formula>$A31="Level Crossing"</formula>
    </cfRule>
    <cfRule type="expression" dxfId="16390" priority="1511">
      <formula>$A31="Neutral Section"</formula>
    </cfRule>
    <cfRule type="expression" dxfId="16389" priority="1512">
      <formula>$A31="Tunnel"</formula>
    </cfRule>
    <cfRule type="expression" dxfId="16388" priority="1513">
      <formula>$A31="Bridge"</formula>
    </cfRule>
    <cfRule type="expression" dxfId="16387" priority="1514">
      <formula>$A31="Drainage Works"</formula>
    </cfRule>
    <cfRule type="expression" dxfId="16386" priority="1515">
      <formula>$A31="Underpass"</formula>
    </cfRule>
    <cfRule type="expression" dxfId="16385" priority="1516">
      <formula>$A31="Overcrossing"</formula>
    </cfRule>
    <cfRule type="expression" dxfId="16384" priority="1517">
      <formula>$A31="Overpass"</formula>
    </cfRule>
    <cfRule type="expression" dxfId="16383" priority="1518">
      <formula>$A31="Station"</formula>
    </cfRule>
    <cfRule type="expression" dxfId="16382" priority="1519">
      <formula>$A31="Overlap between sections"</formula>
    </cfRule>
  </conditionalFormatting>
  <conditionalFormatting sqref="AF31:AF40">
    <cfRule type="expression" dxfId="16381" priority="1498">
      <formula>$A31="Overhead Cable"</formula>
    </cfRule>
    <cfRule type="expression" dxfId="16380" priority="1499">
      <formula>$A31="Level Crossing"</formula>
    </cfRule>
    <cfRule type="expression" dxfId="16379" priority="1500">
      <formula>$A31="Neutral Section"</formula>
    </cfRule>
    <cfRule type="expression" dxfId="16378" priority="1501">
      <formula>$A31="Tunnel"</formula>
    </cfRule>
    <cfRule type="expression" dxfId="16377" priority="1502">
      <formula>$A31="Bridge"</formula>
    </cfRule>
    <cfRule type="expression" dxfId="16376" priority="1503">
      <formula>$A31="Drainage Works"</formula>
    </cfRule>
    <cfRule type="expression" dxfId="16375" priority="1504">
      <formula>$A31="Underpass"</formula>
    </cfRule>
    <cfRule type="expression" dxfId="16374" priority="1505">
      <formula>$A31="Overcrossing"</formula>
    </cfRule>
    <cfRule type="expression" dxfId="16373" priority="1506">
      <formula>$A31="Overpass"</formula>
    </cfRule>
    <cfRule type="expression" dxfId="16372" priority="1507">
      <formula>$A31="Station"</formula>
    </cfRule>
    <cfRule type="expression" dxfId="16371" priority="1508">
      <formula>$A31="Overlap between sections"</formula>
    </cfRule>
  </conditionalFormatting>
  <conditionalFormatting sqref="AH31:AH40">
    <cfRule type="expression" dxfId="16370" priority="1487">
      <formula>$A31="Overhead Cable"</formula>
    </cfRule>
    <cfRule type="expression" dxfId="16369" priority="1488">
      <formula>$A31="Level Crossing"</formula>
    </cfRule>
    <cfRule type="expression" dxfId="16368" priority="1489">
      <formula>$A31="Neutral Section"</formula>
    </cfRule>
    <cfRule type="expression" dxfId="16367" priority="1490">
      <formula>$A31="Tunnel"</formula>
    </cfRule>
    <cfRule type="expression" dxfId="16366" priority="1491">
      <formula>$A31="Bridge"</formula>
    </cfRule>
    <cfRule type="expression" dxfId="16365" priority="1492">
      <formula>$A31="Drainage Works"</formula>
    </cfRule>
    <cfRule type="expression" dxfId="16364" priority="1493">
      <formula>$A31="Underpass"</formula>
    </cfRule>
    <cfRule type="expression" dxfId="16363" priority="1494">
      <formula>$A31="Overcrossing"</formula>
    </cfRule>
    <cfRule type="expression" dxfId="16362" priority="1495">
      <formula>$A31="Overpass"</formula>
    </cfRule>
    <cfRule type="expression" dxfId="16361" priority="1496">
      <formula>$A31="Station"</formula>
    </cfRule>
    <cfRule type="expression" dxfId="16360" priority="1497">
      <formula>$A31="Overlap between sections"</formula>
    </cfRule>
  </conditionalFormatting>
  <conditionalFormatting sqref="AI31:AI40">
    <cfRule type="expression" dxfId="16359" priority="1476">
      <formula>$A31="Overhead Cable"</formula>
    </cfRule>
    <cfRule type="expression" dxfId="16358" priority="1477">
      <formula>$A31="Level Crossing"</formula>
    </cfRule>
    <cfRule type="expression" dxfId="16357" priority="1478">
      <formula>$A31="Neutral Section"</formula>
    </cfRule>
    <cfRule type="expression" dxfId="16356" priority="1479">
      <formula>$A31="Tunnel"</formula>
    </cfRule>
    <cfRule type="expression" dxfId="16355" priority="1480">
      <formula>$A31="Bridge"</formula>
    </cfRule>
    <cfRule type="expression" dxfId="16354" priority="1481">
      <formula>$A31="Drainage Works"</formula>
    </cfRule>
    <cfRule type="expression" dxfId="16353" priority="1482">
      <formula>$A31="Underpass"</formula>
    </cfRule>
    <cfRule type="expression" dxfId="16352" priority="1483">
      <formula>$A31="Overcrossing"</formula>
    </cfRule>
    <cfRule type="expression" dxfId="16351" priority="1484">
      <formula>$A31="Overpass"</formula>
    </cfRule>
    <cfRule type="expression" dxfId="16350" priority="1485">
      <formula>$A31="Station"</formula>
    </cfRule>
    <cfRule type="expression" dxfId="16349" priority="1486">
      <formula>$A31="Overlap between sections"</formula>
    </cfRule>
  </conditionalFormatting>
  <conditionalFormatting sqref="R31:R40">
    <cfRule type="expression" dxfId="16348" priority="1465">
      <formula>$A31="Overhead Cable"</formula>
    </cfRule>
    <cfRule type="expression" dxfId="16347" priority="1466">
      <formula>$A31="Level Crossing"</formula>
    </cfRule>
    <cfRule type="expression" dxfId="16346" priority="1467">
      <formula>$A31="Neutral Section"</formula>
    </cfRule>
    <cfRule type="expression" dxfId="16345" priority="1468">
      <formula>$A31="Tunnel"</formula>
    </cfRule>
    <cfRule type="expression" dxfId="16344" priority="1469">
      <formula>$A31="Bridge"</formula>
    </cfRule>
    <cfRule type="expression" dxfId="16343" priority="1470">
      <formula>$A31="Drainage Works"</formula>
    </cfRule>
    <cfRule type="expression" dxfId="16342" priority="1471">
      <formula>$A31="Underpass"</formula>
    </cfRule>
    <cfRule type="expression" dxfId="16341" priority="1472">
      <formula>$A31="Overcrossing"</formula>
    </cfRule>
    <cfRule type="expression" dxfId="16340" priority="1473">
      <formula>$A31="Overpass"</formula>
    </cfRule>
    <cfRule type="expression" dxfId="16339" priority="1474">
      <formula>$A31="Station"</formula>
    </cfRule>
    <cfRule type="expression" dxfId="16338" priority="1475">
      <formula>$A31="Overlap between sections"</formula>
    </cfRule>
  </conditionalFormatting>
  <conditionalFormatting sqref="S31:S40">
    <cfRule type="expression" dxfId="16337" priority="1454">
      <formula>$A31="Overhead Cable"</formula>
    </cfRule>
    <cfRule type="expression" dxfId="16336" priority="1455">
      <formula>$A31="Level Crossing"</formula>
    </cfRule>
    <cfRule type="expression" dxfId="16335" priority="1456">
      <formula>$A31="Neutral Section"</formula>
    </cfRule>
    <cfRule type="expression" dxfId="16334" priority="1457">
      <formula>$A31="Tunnel"</formula>
    </cfRule>
    <cfRule type="expression" dxfId="16333" priority="1458">
      <formula>$A31="Bridge"</formula>
    </cfRule>
    <cfRule type="expression" dxfId="16332" priority="1459">
      <formula>$A31="Drainage Works"</formula>
    </cfRule>
    <cfRule type="expression" dxfId="16331" priority="1460">
      <formula>$A31="Underpass"</formula>
    </cfRule>
    <cfRule type="expression" dxfId="16330" priority="1461">
      <formula>$A31="Overcrossing"</formula>
    </cfRule>
    <cfRule type="expression" dxfId="16329" priority="1462">
      <formula>$A31="Overpass"</formula>
    </cfRule>
    <cfRule type="expression" dxfId="16328" priority="1463">
      <formula>$A31="Station"</formula>
    </cfRule>
    <cfRule type="expression" dxfId="16327" priority="1464">
      <formula>$A31="Overlap between sections"</formula>
    </cfRule>
  </conditionalFormatting>
  <conditionalFormatting sqref="W32 W40 W38 W36 W34">
    <cfRule type="expression" dxfId="16326" priority="1443">
      <formula>$A32="Overhead Cable"</formula>
    </cfRule>
    <cfRule type="expression" dxfId="16325" priority="1444">
      <formula>$A32="Level Crossing"</formula>
    </cfRule>
    <cfRule type="expression" dxfId="16324" priority="1445">
      <formula>$A32="Neutral Section"</formula>
    </cfRule>
    <cfRule type="expression" dxfId="16323" priority="1446">
      <formula>$A32="Tunnel"</formula>
    </cfRule>
    <cfRule type="expression" dxfId="16322" priority="1447">
      <formula>$A32="Bridge"</formula>
    </cfRule>
    <cfRule type="expression" dxfId="16321" priority="1448">
      <formula>$A32="Drainage Works"</formula>
    </cfRule>
    <cfRule type="expression" dxfId="16320" priority="1449">
      <formula>$A32="Underpass"</formula>
    </cfRule>
    <cfRule type="expression" dxfId="16319" priority="1450">
      <formula>$A32="Overcrossing"</formula>
    </cfRule>
    <cfRule type="expression" dxfId="16318" priority="1451">
      <formula>$A32="Overpass"</formula>
    </cfRule>
    <cfRule type="expression" dxfId="16317" priority="1452">
      <formula>$A32="Station"</formula>
    </cfRule>
    <cfRule type="expression" dxfId="16316" priority="1453">
      <formula>$A32="Overlap between sections"</formula>
    </cfRule>
  </conditionalFormatting>
  <conditionalFormatting sqref="X31:X40">
    <cfRule type="expression" dxfId="16315" priority="1432">
      <formula>$A31="Overhead Cable"</formula>
    </cfRule>
    <cfRule type="expression" dxfId="16314" priority="1433">
      <formula>$A31="Level Crossing"</formula>
    </cfRule>
    <cfRule type="expression" dxfId="16313" priority="1434">
      <formula>$A31="Neutral Section"</formula>
    </cfRule>
    <cfRule type="expression" dxfId="16312" priority="1435">
      <formula>$A31="Tunnel"</formula>
    </cfRule>
    <cfRule type="expression" dxfId="16311" priority="1436">
      <formula>$A31="Bridge"</formula>
    </cfRule>
    <cfRule type="expression" dxfId="16310" priority="1437">
      <formula>$A31="Drainage Works"</formula>
    </cfRule>
    <cfRule type="expression" dxfId="16309" priority="1438">
      <formula>$A31="Underpass"</formula>
    </cfRule>
    <cfRule type="expression" dxfId="16308" priority="1439">
      <formula>$A31="Overcrossing"</formula>
    </cfRule>
    <cfRule type="expression" dxfId="16307" priority="1440">
      <formula>$A31="Overpass"</formula>
    </cfRule>
    <cfRule type="expression" dxfId="16306" priority="1441">
      <formula>$A31="Station"</formula>
    </cfRule>
    <cfRule type="expression" dxfId="16305" priority="1442">
      <formula>$A31="Overlap between sections"</formula>
    </cfRule>
  </conditionalFormatting>
  <conditionalFormatting sqref="Y31:Y40">
    <cfRule type="expression" dxfId="16304" priority="1421">
      <formula>$A31="Overhead Cable"</formula>
    </cfRule>
    <cfRule type="expression" dxfId="16303" priority="1422">
      <formula>$A31="Level Crossing"</formula>
    </cfRule>
    <cfRule type="expression" dxfId="16302" priority="1423">
      <formula>$A31="Neutral Section"</formula>
    </cfRule>
    <cfRule type="expression" dxfId="16301" priority="1424">
      <formula>$A31="Tunnel"</formula>
    </cfRule>
    <cfRule type="expression" dxfId="16300" priority="1425">
      <formula>$A31="Bridge"</formula>
    </cfRule>
    <cfRule type="expression" dxfId="16299" priority="1426">
      <formula>$A31="Drainage Works"</formula>
    </cfRule>
    <cfRule type="expression" dxfId="16298" priority="1427">
      <formula>$A31="Underpass"</formula>
    </cfRule>
    <cfRule type="expression" dxfId="16297" priority="1428">
      <formula>$A31="Overcrossing"</formula>
    </cfRule>
    <cfRule type="expression" dxfId="16296" priority="1429">
      <formula>$A31="Overpass"</formula>
    </cfRule>
    <cfRule type="expression" dxfId="16295" priority="1430">
      <formula>$A31="Station"</formula>
    </cfRule>
    <cfRule type="expression" dxfId="16294" priority="1431">
      <formula>$A31="Overlap between sections"</formula>
    </cfRule>
  </conditionalFormatting>
  <conditionalFormatting sqref="Z31:Z40">
    <cfRule type="expression" dxfId="16293" priority="1410">
      <formula>$A31="Overhead Cable"</formula>
    </cfRule>
    <cfRule type="expression" dxfId="16292" priority="1411">
      <formula>$A31="Level Crossing"</formula>
    </cfRule>
    <cfRule type="expression" dxfId="16291" priority="1412">
      <formula>$A31="Neutral Section"</formula>
    </cfRule>
    <cfRule type="expression" dxfId="16290" priority="1413">
      <formula>$A31="Tunnel"</formula>
    </cfRule>
    <cfRule type="expression" dxfId="16289" priority="1414">
      <formula>$A31="Bridge"</formula>
    </cfRule>
    <cfRule type="expression" dxfId="16288" priority="1415">
      <formula>$A31="Drainage Works"</formula>
    </cfRule>
    <cfRule type="expression" dxfId="16287" priority="1416">
      <formula>$A31="Underpass"</formula>
    </cfRule>
    <cfRule type="expression" dxfId="16286" priority="1417">
      <formula>$A31="Overcrossing"</formula>
    </cfRule>
    <cfRule type="expression" dxfId="16285" priority="1418">
      <formula>$A31="Overpass"</formula>
    </cfRule>
    <cfRule type="expression" dxfId="16284" priority="1419">
      <formula>$A31="Station"</formula>
    </cfRule>
    <cfRule type="expression" dxfId="16283" priority="1420">
      <formula>$A31="Overlap between sections"</formula>
    </cfRule>
  </conditionalFormatting>
  <conditionalFormatting sqref="AA31:AA40">
    <cfRule type="expression" dxfId="16282" priority="1399">
      <formula>$A31="Overhead Cable"</formula>
    </cfRule>
    <cfRule type="expression" dxfId="16281" priority="1400">
      <formula>$A31="Level Crossing"</formula>
    </cfRule>
    <cfRule type="expression" dxfId="16280" priority="1401">
      <formula>$A31="Neutral Section"</formula>
    </cfRule>
    <cfRule type="expression" dxfId="16279" priority="1402">
      <formula>$A31="Tunnel"</formula>
    </cfRule>
    <cfRule type="expression" dxfId="16278" priority="1403">
      <formula>$A31="Bridge"</formula>
    </cfRule>
    <cfRule type="expression" dxfId="16277" priority="1404">
      <formula>$A31="Drainage Works"</formula>
    </cfRule>
    <cfRule type="expression" dxfId="16276" priority="1405">
      <formula>$A31="Underpass"</formula>
    </cfRule>
    <cfRule type="expression" dxfId="16275" priority="1406">
      <formula>$A31="Overcrossing"</formula>
    </cfRule>
    <cfRule type="expression" dxfId="16274" priority="1407">
      <formula>$A31="Overpass"</formula>
    </cfRule>
    <cfRule type="expression" dxfId="16273" priority="1408">
      <formula>$A31="Station"</formula>
    </cfRule>
    <cfRule type="expression" dxfId="16272" priority="1409">
      <formula>$A31="Overlap between sections"</formula>
    </cfRule>
  </conditionalFormatting>
  <conditionalFormatting sqref="AB31:AB40">
    <cfRule type="expression" dxfId="16271" priority="1388">
      <formula>$A31="Overhead Cable"</formula>
    </cfRule>
    <cfRule type="expression" dxfId="16270" priority="1389">
      <formula>$A31="Level Crossing"</formula>
    </cfRule>
    <cfRule type="expression" dxfId="16269" priority="1390">
      <formula>$A31="Neutral Section"</formula>
    </cfRule>
    <cfRule type="expression" dxfId="16268" priority="1391">
      <formula>$A31="Tunnel"</formula>
    </cfRule>
    <cfRule type="expression" dxfId="16267" priority="1392">
      <formula>$A31="Bridge"</formula>
    </cfRule>
    <cfRule type="expression" dxfId="16266" priority="1393">
      <formula>$A31="Drainage Works"</formula>
    </cfRule>
    <cfRule type="expression" dxfId="16265" priority="1394">
      <formula>$A31="Underpass"</formula>
    </cfRule>
    <cfRule type="expression" dxfId="16264" priority="1395">
      <formula>$A31="Overcrossing"</formula>
    </cfRule>
    <cfRule type="expression" dxfId="16263" priority="1396">
      <formula>$A31="Overpass"</formula>
    </cfRule>
    <cfRule type="expression" dxfId="16262" priority="1397">
      <formula>$A31="Station"</formula>
    </cfRule>
    <cfRule type="expression" dxfId="16261" priority="1398">
      <formula>$A31="Overlap between sections"</formula>
    </cfRule>
  </conditionalFormatting>
  <conditionalFormatting sqref="N41">
    <cfRule type="expression" dxfId="16260" priority="1385">
      <formula>$M41="NON DEFINED"</formula>
    </cfRule>
    <cfRule type="expression" dxfId="16259" priority="1386">
      <formula>$AZ41="N.D."</formula>
    </cfRule>
    <cfRule type="expression" dxfId="16258" priority="1387">
      <formula>$AY41="N.D."</formula>
    </cfRule>
  </conditionalFormatting>
  <conditionalFormatting sqref="N41">
    <cfRule type="expression" dxfId="16257" priority="1374">
      <formula>$A41="Overhead Cable"</formula>
    </cfRule>
    <cfRule type="expression" dxfId="16256" priority="1375">
      <formula>$A41="Level Crossing"</formula>
    </cfRule>
    <cfRule type="expression" dxfId="16255" priority="1376">
      <formula>$A41="Neutral Section"</formula>
    </cfRule>
    <cfRule type="expression" dxfId="16254" priority="1377">
      <formula>$A41="Tunnel"</formula>
    </cfRule>
    <cfRule type="expression" dxfId="16253" priority="1378">
      <formula>$A41="Bridge"</formula>
    </cfRule>
    <cfRule type="expression" dxfId="16252" priority="1379">
      <formula>$A41="Drainage Works"</formula>
    </cfRule>
    <cfRule type="expression" dxfId="16251" priority="1380">
      <formula>$A41="Underpass"</formula>
    </cfRule>
    <cfRule type="expression" dxfId="16250" priority="1381">
      <formula>$A41="Overcrossing"</formula>
    </cfRule>
    <cfRule type="expression" dxfId="16249" priority="1382">
      <formula>$A41="Overpass"</formula>
    </cfRule>
    <cfRule type="expression" dxfId="16248" priority="1383">
      <formula>$A41="Station"</formula>
    </cfRule>
    <cfRule type="expression" dxfId="16247" priority="1384">
      <formula>$A41="Overlap between sections"</formula>
    </cfRule>
  </conditionalFormatting>
  <conditionalFormatting sqref="W39">
    <cfRule type="expression" dxfId="16246" priority="1371">
      <formula>$M39="NON DEFINED"</formula>
    </cfRule>
    <cfRule type="expression" dxfId="16245" priority="1372">
      <formula>$AZ39="N.D."</formula>
    </cfRule>
    <cfRule type="expression" dxfId="16244" priority="1373">
      <formula>$AY39="N.D."</formula>
    </cfRule>
  </conditionalFormatting>
  <conditionalFormatting sqref="W39">
    <cfRule type="expression" dxfId="16243" priority="1360">
      <formula>$A39="Overhead Cable"</formula>
    </cfRule>
    <cfRule type="expression" dxfId="16242" priority="1361">
      <formula>$A39="Level Crossing"</formula>
    </cfRule>
    <cfRule type="expression" dxfId="16241" priority="1362">
      <formula>$A39="Neutral Section"</formula>
    </cfRule>
    <cfRule type="expression" dxfId="16240" priority="1363">
      <formula>$A39="Tunnel"</formula>
    </cfRule>
    <cfRule type="expression" dxfId="16239" priority="1364">
      <formula>$A39="Bridge"</formula>
    </cfRule>
    <cfRule type="expression" dxfId="16238" priority="1365">
      <formula>$A39="Drainage Works"</formula>
    </cfRule>
    <cfRule type="expression" dxfId="16237" priority="1366">
      <formula>$A39="Underpass"</formula>
    </cfRule>
    <cfRule type="expression" dxfId="16236" priority="1367">
      <formula>$A39="Overcrossing"</formula>
    </cfRule>
    <cfRule type="expression" dxfId="16235" priority="1368">
      <formula>$A39="Overpass"</formula>
    </cfRule>
    <cfRule type="expression" dxfId="16234" priority="1369">
      <formula>$A39="Station"</formula>
    </cfRule>
    <cfRule type="expression" dxfId="16233" priority="1370">
      <formula>$A39="Overlap between sections"</formula>
    </cfRule>
  </conditionalFormatting>
  <conditionalFormatting sqref="W37">
    <cfRule type="expression" dxfId="16232" priority="1357">
      <formula>$M37="NON DEFINED"</formula>
    </cfRule>
    <cfRule type="expression" dxfId="16231" priority="1358">
      <formula>$AZ37="N.D."</formula>
    </cfRule>
    <cfRule type="expression" dxfId="16230" priority="1359">
      <formula>$AY37="N.D."</formula>
    </cfRule>
  </conditionalFormatting>
  <conditionalFormatting sqref="W37">
    <cfRule type="expression" dxfId="16229" priority="1346">
      <formula>$A37="Overhead Cable"</formula>
    </cfRule>
    <cfRule type="expression" dxfId="16228" priority="1347">
      <formula>$A37="Level Crossing"</formula>
    </cfRule>
    <cfRule type="expression" dxfId="16227" priority="1348">
      <formula>$A37="Neutral Section"</formula>
    </cfRule>
    <cfRule type="expression" dxfId="16226" priority="1349">
      <formula>$A37="Tunnel"</formula>
    </cfRule>
    <cfRule type="expression" dxfId="16225" priority="1350">
      <formula>$A37="Bridge"</formula>
    </cfRule>
    <cfRule type="expression" dxfId="16224" priority="1351">
      <formula>$A37="Drainage Works"</formula>
    </cfRule>
    <cfRule type="expression" dxfId="16223" priority="1352">
      <formula>$A37="Underpass"</formula>
    </cfRule>
    <cfRule type="expression" dxfId="16222" priority="1353">
      <formula>$A37="Overcrossing"</formula>
    </cfRule>
    <cfRule type="expression" dxfId="16221" priority="1354">
      <formula>$A37="Overpass"</formula>
    </cfRule>
    <cfRule type="expression" dxfId="16220" priority="1355">
      <formula>$A37="Station"</formula>
    </cfRule>
    <cfRule type="expression" dxfId="16219" priority="1356">
      <formula>$A37="Overlap between sections"</formula>
    </cfRule>
  </conditionalFormatting>
  <conditionalFormatting sqref="W35">
    <cfRule type="expression" dxfId="16218" priority="1343">
      <formula>$M35="NON DEFINED"</formula>
    </cfRule>
    <cfRule type="expression" dxfId="16217" priority="1344">
      <formula>$AZ35="N.D."</formula>
    </cfRule>
    <cfRule type="expression" dxfId="16216" priority="1345">
      <formula>$AY35="N.D."</formula>
    </cfRule>
  </conditionalFormatting>
  <conditionalFormatting sqref="W35">
    <cfRule type="expression" dxfId="16215" priority="1332">
      <formula>$A35="Overhead Cable"</formula>
    </cfRule>
    <cfRule type="expression" dxfId="16214" priority="1333">
      <formula>$A35="Level Crossing"</formula>
    </cfRule>
    <cfRule type="expression" dxfId="16213" priority="1334">
      <formula>$A35="Neutral Section"</formula>
    </cfRule>
    <cfRule type="expression" dxfId="16212" priority="1335">
      <formula>$A35="Tunnel"</formula>
    </cfRule>
    <cfRule type="expression" dxfId="16211" priority="1336">
      <formula>$A35="Bridge"</formula>
    </cfRule>
    <cfRule type="expression" dxfId="16210" priority="1337">
      <formula>$A35="Drainage Works"</formula>
    </cfRule>
    <cfRule type="expression" dxfId="16209" priority="1338">
      <formula>$A35="Underpass"</formula>
    </cfRule>
    <cfRule type="expression" dxfId="16208" priority="1339">
      <formula>$A35="Overcrossing"</formula>
    </cfRule>
    <cfRule type="expression" dxfId="16207" priority="1340">
      <formula>$A35="Overpass"</formula>
    </cfRule>
    <cfRule type="expression" dxfId="16206" priority="1341">
      <formula>$A35="Station"</formula>
    </cfRule>
    <cfRule type="expression" dxfId="16205" priority="1342">
      <formula>$A35="Overlap between sections"</formula>
    </cfRule>
  </conditionalFormatting>
  <conditionalFormatting sqref="W33">
    <cfRule type="expression" dxfId="16204" priority="1329">
      <formula>$M33="NON DEFINED"</formula>
    </cfRule>
    <cfRule type="expression" dxfId="16203" priority="1330">
      <formula>$AZ33="N.D."</formula>
    </cfRule>
    <cfRule type="expression" dxfId="16202" priority="1331">
      <formula>$AY33="N.D."</formula>
    </cfRule>
  </conditionalFormatting>
  <conditionalFormatting sqref="W33">
    <cfRule type="expression" dxfId="16201" priority="1318">
      <formula>$A33="Overhead Cable"</formula>
    </cfRule>
    <cfRule type="expression" dxfId="16200" priority="1319">
      <formula>$A33="Level Crossing"</formula>
    </cfRule>
    <cfRule type="expression" dxfId="16199" priority="1320">
      <formula>$A33="Neutral Section"</formula>
    </cfRule>
    <cfRule type="expression" dxfId="16198" priority="1321">
      <formula>$A33="Tunnel"</formula>
    </cfRule>
    <cfRule type="expression" dxfId="16197" priority="1322">
      <formula>$A33="Bridge"</formula>
    </cfRule>
    <cfRule type="expression" dxfId="16196" priority="1323">
      <formula>$A33="Drainage Works"</formula>
    </cfRule>
    <cfRule type="expression" dxfId="16195" priority="1324">
      <formula>$A33="Underpass"</formula>
    </cfRule>
    <cfRule type="expression" dxfId="16194" priority="1325">
      <formula>$A33="Overcrossing"</formula>
    </cfRule>
    <cfRule type="expression" dxfId="16193" priority="1326">
      <formula>$A33="Overpass"</formula>
    </cfRule>
    <cfRule type="expression" dxfId="16192" priority="1327">
      <formula>$A33="Station"</formula>
    </cfRule>
    <cfRule type="expression" dxfId="16191" priority="1328">
      <formula>$A33="Overlap between sections"</formula>
    </cfRule>
  </conditionalFormatting>
  <conditionalFormatting sqref="W31">
    <cfRule type="expression" dxfId="16190" priority="1315">
      <formula>$M31="NON DEFINED"</formula>
    </cfRule>
    <cfRule type="expression" dxfId="16189" priority="1316">
      <formula>$AZ31="N.D."</formula>
    </cfRule>
    <cfRule type="expression" dxfId="16188" priority="1317">
      <formula>$AY31="N.D."</formula>
    </cfRule>
  </conditionalFormatting>
  <conditionalFormatting sqref="W31">
    <cfRule type="expression" dxfId="16187" priority="1304">
      <formula>$A31="Overhead Cable"</formula>
    </cfRule>
    <cfRule type="expression" dxfId="16186" priority="1305">
      <formula>$A31="Level Crossing"</formula>
    </cfRule>
    <cfRule type="expression" dxfId="16185" priority="1306">
      <formula>$A31="Neutral Section"</formula>
    </cfRule>
    <cfRule type="expression" dxfId="16184" priority="1307">
      <formula>$A31="Tunnel"</formula>
    </cfRule>
    <cfRule type="expression" dxfId="16183" priority="1308">
      <formula>$A31="Bridge"</formula>
    </cfRule>
    <cfRule type="expression" dxfId="16182" priority="1309">
      <formula>$A31="Drainage Works"</formula>
    </cfRule>
    <cfRule type="expression" dxfId="16181" priority="1310">
      <formula>$A31="Underpass"</formula>
    </cfRule>
    <cfRule type="expression" dxfId="16180" priority="1311">
      <formula>$A31="Overcrossing"</formula>
    </cfRule>
    <cfRule type="expression" dxfId="16179" priority="1312">
      <formula>$A31="Overpass"</formula>
    </cfRule>
    <cfRule type="expression" dxfId="16178" priority="1313">
      <formula>$A31="Station"</formula>
    </cfRule>
    <cfRule type="expression" dxfId="16177" priority="1314">
      <formula>$A31="Overlap between sections"</formula>
    </cfRule>
  </conditionalFormatting>
  <conditionalFormatting sqref="W29">
    <cfRule type="expression" dxfId="16176" priority="1301">
      <formula>$M29="NON DEFINED"</formula>
    </cfRule>
    <cfRule type="expression" dxfId="16175" priority="1302">
      <formula>$AZ29="N.D."</formula>
    </cfRule>
    <cfRule type="expression" dxfId="16174" priority="1303">
      <formula>$AY29="N.D."</formula>
    </cfRule>
  </conditionalFormatting>
  <conditionalFormatting sqref="W29">
    <cfRule type="expression" dxfId="16173" priority="1290">
      <formula>$A29="Overhead Cable"</formula>
    </cfRule>
    <cfRule type="expression" dxfId="16172" priority="1291">
      <formula>$A29="Level Crossing"</formula>
    </cfRule>
    <cfRule type="expression" dxfId="16171" priority="1292">
      <formula>$A29="Neutral Section"</formula>
    </cfRule>
    <cfRule type="expression" dxfId="16170" priority="1293">
      <formula>$A29="Tunnel"</formula>
    </cfRule>
    <cfRule type="expression" dxfId="16169" priority="1294">
      <formula>$A29="Bridge"</formula>
    </cfRule>
    <cfRule type="expression" dxfId="16168" priority="1295">
      <formula>$A29="Drainage Works"</formula>
    </cfRule>
    <cfRule type="expression" dxfId="16167" priority="1296">
      <formula>$A29="Underpass"</formula>
    </cfRule>
    <cfRule type="expression" dxfId="16166" priority="1297">
      <formula>$A29="Overcrossing"</formula>
    </cfRule>
    <cfRule type="expression" dxfId="16165" priority="1298">
      <formula>$A29="Overpass"</formula>
    </cfRule>
    <cfRule type="expression" dxfId="16164" priority="1299">
      <formula>$A29="Station"</formula>
    </cfRule>
    <cfRule type="expression" dxfId="16163" priority="1300">
      <formula>$A29="Overlap between sections"</formula>
    </cfRule>
  </conditionalFormatting>
  <conditionalFormatting sqref="W23">
    <cfRule type="expression" dxfId="16162" priority="1287">
      <formula>$M23="NON DEFINED"</formula>
    </cfRule>
    <cfRule type="expression" dxfId="16161" priority="1288">
      <formula>$AZ23="N.D."</formula>
    </cfRule>
    <cfRule type="expression" dxfId="16160" priority="1289">
      <formula>$AY23="N.D."</formula>
    </cfRule>
  </conditionalFormatting>
  <conditionalFormatting sqref="W23">
    <cfRule type="expression" dxfId="16159" priority="1276">
      <formula>$A23="Overhead Cable"</formula>
    </cfRule>
    <cfRule type="expression" dxfId="16158" priority="1277">
      <formula>$A23="Level Crossing"</formula>
    </cfRule>
    <cfRule type="expression" dxfId="16157" priority="1278">
      <formula>$A23="Neutral Section"</formula>
    </cfRule>
    <cfRule type="expression" dxfId="16156" priority="1279">
      <formula>$A23="Tunnel"</formula>
    </cfRule>
    <cfRule type="expression" dxfId="16155" priority="1280">
      <formula>$A23="Bridge"</formula>
    </cfRule>
    <cfRule type="expression" dxfId="16154" priority="1281">
      <formula>$A23="Drainage Works"</formula>
    </cfRule>
    <cfRule type="expression" dxfId="16153" priority="1282">
      <formula>$A23="Underpass"</formula>
    </cfRule>
    <cfRule type="expression" dxfId="16152" priority="1283">
      <formula>$A23="Overcrossing"</formula>
    </cfRule>
    <cfRule type="expression" dxfId="16151" priority="1284">
      <formula>$A23="Overpass"</formula>
    </cfRule>
    <cfRule type="expression" dxfId="16150" priority="1285">
      <formula>$A23="Station"</formula>
    </cfRule>
    <cfRule type="expression" dxfId="16149" priority="1286">
      <formula>$A23="Overlap between sections"</formula>
    </cfRule>
  </conditionalFormatting>
  <conditionalFormatting sqref="W21">
    <cfRule type="expression" dxfId="16148" priority="1273">
      <formula>$M21="NON DEFINED"</formula>
    </cfRule>
    <cfRule type="expression" dxfId="16147" priority="1274">
      <formula>$AZ21="N.D."</formula>
    </cfRule>
    <cfRule type="expression" dxfId="16146" priority="1275">
      <formula>$AY21="N.D."</formula>
    </cfRule>
  </conditionalFormatting>
  <conditionalFormatting sqref="W21">
    <cfRule type="expression" dxfId="16145" priority="1262">
      <formula>$A21="Overhead Cable"</formula>
    </cfRule>
    <cfRule type="expression" dxfId="16144" priority="1263">
      <formula>$A21="Level Crossing"</formula>
    </cfRule>
    <cfRule type="expression" dxfId="16143" priority="1264">
      <formula>$A21="Neutral Section"</formula>
    </cfRule>
    <cfRule type="expression" dxfId="16142" priority="1265">
      <formula>$A21="Tunnel"</formula>
    </cfRule>
    <cfRule type="expression" dxfId="16141" priority="1266">
      <formula>$A21="Bridge"</formula>
    </cfRule>
    <cfRule type="expression" dxfId="16140" priority="1267">
      <formula>$A21="Drainage Works"</formula>
    </cfRule>
    <cfRule type="expression" dxfId="16139" priority="1268">
      <formula>$A21="Underpass"</formula>
    </cfRule>
    <cfRule type="expression" dxfId="16138" priority="1269">
      <formula>$A21="Overcrossing"</formula>
    </cfRule>
    <cfRule type="expression" dxfId="16137" priority="1270">
      <formula>$A21="Overpass"</formula>
    </cfRule>
    <cfRule type="expression" dxfId="16136" priority="1271">
      <formula>$A21="Station"</formula>
    </cfRule>
    <cfRule type="expression" dxfId="16135" priority="1272">
      <formula>$A21="Overlap between sections"</formula>
    </cfRule>
  </conditionalFormatting>
  <conditionalFormatting sqref="W19">
    <cfRule type="expression" dxfId="16134" priority="1259">
      <formula>$M19="NON DEFINED"</formula>
    </cfRule>
    <cfRule type="expression" dxfId="16133" priority="1260">
      <formula>$AZ19="N.D."</formula>
    </cfRule>
    <cfRule type="expression" dxfId="16132" priority="1261">
      <formula>$AY19="N.D."</formula>
    </cfRule>
  </conditionalFormatting>
  <conditionalFormatting sqref="W19">
    <cfRule type="expression" dxfId="16131" priority="1248">
      <formula>$A19="Overhead Cable"</formula>
    </cfRule>
    <cfRule type="expression" dxfId="16130" priority="1249">
      <formula>$A19="Level Crossing"</formula>
    </cfRule>
    <cfRule type="expression" dxfId="16129" priority="1250">
      <formula>$A19="Neutral Section"</formula>
    </cfRule>
    <cfRule type="expression" dxfId="16128" priority="1251">
      <formula>$A19="Tunnel"</formula>
    </cfRule>
    <cfRule type="expression" dxfId="16127" priority="1252">
      <formula>$A19="Bridge"</formula>
    </cfRule>
    <cfRule type="expression" dxfId="16126" priority="1253">
      <formula>$A19="Drainage Works"</formula>
    </cfRule>
    <cfRule type="expression" dxfId="16125" priority="1254">
      <formula>$A19="Underpass"</formula>
    </cfRule>
    <cfRule type="expression" dxfId="16124" priority="1255">
      <formula>$A19="Overcrossing"</formula>
    </cfRule>
    <cfRule type="expression" dxfId="16123" priority="1256">
      <formula>$A19="Overpass"</formula>
    </cfRule>
    <cfRule type="expression" dxfId="16122" priority="1257">
      <formula>$A19="Station"</formula>
    </cfRule>
    <cfRule type="expression" dxfId="16121" priority="1258">
      <formula>$A19="Overlap between sections"</formula>
    </cfRule>
  </conditionalFormatting>
  <conditionalFormatting sqref="W17">
    <cfRule type="expression" dxfId="16120" priority="1245">
      <formula>$M17="NON DEFINED"</formula>
    </cfRule>
    <cfRule type="expression" dxfId="16119" priority="1246">
      <formula>$AZ17="N.D."</formula>
    </cfRule>
    <cfRule type="expression" dxfId="16118" priority="1247">
      <formula>$AY17="N.D."</formula>
    </cfRule>
  </conditionalFormatting>
  <conditionalFormatting sqref="W17">
    <cfRule type="expression" dxfId="16117" priority="1234">
      <formula>$A17="Overhead Cable"</formula>
    </cfRule>
    <cfRule type="expression" dxfId="16116" priority="1235">
      <formula>$A17="Level Crossing"</formula>
    </cfRule>
    <cfRule type="expression" dxfId="16115" priority="1236">
      <formula>$A17="Neutral Section"</formula>
    </cfRule>
    <cfRule type="expression" dxfId="16114" priority="1237">
      <formula>$A17="Tunnel"</formula>
    </cfRule>
    <cfRule type="expression" dxfId="16113" priority="1238">
      <formula>$A17="Bridge"</formula>
    </cfRule>
    <cfRule type="expression" dxfId="16112" priority="1239">
      <formula>$A17="Drainage Works"</formula>
    </cfRule>
    <cfRule type="expression" dxfId="16111" priority="1240">
      <formula>$A17="Underpass"</formula>
    </cfRule>
    <cfRule type="expression" dxfId="16110" priority="1241">
      <formula>$A17="Overcrossing"</formula>
    </cfRule>
    <cfRule type="expression" dxfId="16109" priority="1242">
      <formula>$A17="Overpass"</formula>
    </cfRule>
    <cfRule type="expression" dxfId="16108" priority="1243">
      <formula>$A17="Station"</formula>
    </cfRule>
    <cfRule type="expression" dxfId="16107" priority="1244">
      <formula>$A17="Overlap between sections"</formula>
    </cfRule>
  </conditionalFormatting>
  <conditionalFormatting sqref="AK31">
    <cfRule type="expression" dxfId="16106" priority="1203">
      <formula>$M31="NON DEFINED"</formula>
    </cfRule>
    <cfRule type="expression" dxfId="16105" priority="1204">
      <formula>$AZ31="N.D."</formula>
    </cfRule>
    <cfRule type="expression" dxfId="16104" priority="1205">
      <formula>$AY31="N.D."</formula>
    </cfRule>
  </conditionalFormatting>
  <conditionalFormatting sqref="AK31">
    <cfRule type="expression" dxfId="16103" priority="1192">
      <formula>$A31="Overhead Cable"</formula>
    </cfRule>
    <cfRule type="expression" dxfId="16102" priority="1193">
      <formula>$A31="Level Crossing"</formula>
    </cfRule>
    <cfRule type="expression" dxfId="16101" priority="1194">
      <formula>$A31="Neutral Section"</formula>
    </cfRule>
    <cfRule type="expression" dxfId="16100" priority="1195">
      <formula>$A31="Tunnel"</formula>
    </cfRule>
    <cfRule type="expression" dxfId="16099" priority="1196">
      <formula>$A31="Bridge"</formula>
    </cfRule>
    <cfRule type="expression" dxfId="16098" priority="1197">
      <formula>$A31="Drainage Works"</formula>
    </cfRule>
    <cfRule type="expression" dxfId="16097" priority="1198">
      <formula>$A31="Underpass"</formula>
    </cfRule>
    <cfRule type="expression" dxfId="16096" priority="1199">
      <formula>$A31="Overcrossing"</formula>
    </cfRule>
    <cfRule type="expression" dxfId="16095" priority="1200">
      <formula>$A31="Overpass"</formula>
    </cfRule>
    <cfRule type="expression" dxfId="16094" priority="1201">
      <formula>$A31="Station"</formula>
    </cfRule>
    <cfRule type="expression" dxfId="16093" priority="1202">
      <formula>$A31="Overlap between sections"</formula>
    </cfRule>
  </conditionalFormatting>
  <conditionalFormatting sqref="AK33">
    <cfRule type="expression" dxfId="16092" priority="1189">
      <formula>$M33="NON DEFINED"</formula>
    </cfRule>
    <cfRule type="expression" dxfId="16091" priority="1190">
      <formula>$AZ33="N.D."</formula>
    </cfRule>
    <cfRule type="expression" dxfId="16090" priority="1191">
      <formula>$AY33="N.D."</formula>
    </cfRule>
  </conditionalFormatting>
  <conditionalFormatting sqref="AK33">
    <cfRule type="expression" dxfId="16089" priority="1178">
      <formula>$A33="Overhead Cable"</formula>
    </cfRule>
    <cfRule type="expression" dxfId="16088" priority="1179">
      <formula>$A33="Level Crossing"</formula>
    </cfRule>
    <cfRule type="expression" dxfId="16087" priority="1180">
      <formula>$A33="Neutral Section"</formula>
    </cfRule>
    <cfRule type="expression" dxfId="16086" priority="1181">
      <formula>$A33="Tunnel"</formula>
    </cfRule>
    <cfRule type="expression" dxfId="16085" priority="1182">
      <formula>$A33="Bridge"</formula>
    </cfRule>
    <cfRule type="expression" dxfId="16084" priority="1183">
      <formula>$A33="Drainage Works"</formula>
    </cfRule>
    <cfRule type="expression" dxfId="16083" priority="1184">
      <formula>$A33="Underpass"</formula>
    </cfRule>
    <cfRule type="expression" dxfId="16082" priority="1185">
      <formula>$A33="Overcrossing"</formula>
    </cfRule>
    <cfRule type="expression" dxfId="16081" priority="1186">
      <formula>$A33="Overpass"</formula>
    </cfRule>
    <cfRule type="expression" dxfId="16080" priority="1187">
      <formula>$A33="Station"</formula>
    </cfRule>
    <cfRule type="expression" dxfId="16079" priority="1188">
      <formula>$A33="Overlap between sections"</formula>
    </cfRule>
  </conditionalFormatting>
  <conditionalFormatting sqref="AK35">
    <cfRule type="expression" dxfId="16078" priority="1175">
      <formula>$M35="NON DEFINED"</formula>
    </cfRule>
    <cfRule type="expression" dxfId="16077" priority="1176">
      <formula>$AZ35="N.D."</formula>
    </cfRule>
    <cfRule type="expression" dxfId="16076" priority="1177">
      <formula>$AY35="N.D."</formula>
    </cfRule>
  </conditionalFormatting>
  <conditionalFormatting sqref="AK35">
    <cfRule type="expression" dxfId="16075" priority="1164">
      <formula>$A35="Overhead Cable"</formula>
    </cfRule>
    <cfRule type="expression" dxfId="16074" priority="1165">
      <formula>$A35="Level Crossing"</formula>
    </cfRule>
    <cfRule type="expression" dxfId="16073" priority="1166">
      <formula>$A35="Neutral Section"</formula>
    </cfRule>
    <cfRule type="expression" dxfId="16072" priority="1167">
      <formula>$A35="Tunnel"</formula>
    </cfRule>
    <cfRule type="expression" dxfId="16071" priority="1168">
      <formula>$A35="Bridge"</formula>
    </cfRule>
    <cfRule type="expression" dxfId="16070" priority="1169">
      <formula>$A35="Drainage Works"</formula>
    </cfRule>
    <cfRule type="expression" dxfId="16069" priority="1170">
      <formula>$A35="Underpass"</formula>
    </cfRule>
    <cfRule type="expression" dxfId="16068" priority="1171">
      <formula>$A35="Overcrossing"</formula>
    </cfRule>
    <cfRule type="expression" dxfId="16067" priority="1172">
      <formula>$A35="Overpass"</formula>
    </cfRule>
    <cfRule type="expression" dxfId="16066" priority="1173">
      <formula>$A35="Station"</formula>
    </cfRule>
    <cfRule type="expression" dxfId="16065" priority="1174">
      <formula>$A35="Overlap between sections"</formula>
    </cfRule>
  </conditionalFormatting>
  <conditionalFormatting sqref="AK45">
    <cfRule type="expression" dxfId="16064" priority="1161">
      <formula>$M45="NON DEFINED"</formula>
    </cfRule>
    <cfRule type="expression" dxfId="16063" priority="1162">
      <formula>$AZ45="N.D."</formula>
    </cfRule>
    <cfRule type="expression" dxfId="16062" priority="1163">
      <formula>$AY45="N.D."</formula>
    </cfRule>
  </conditionalFormatting>
  <conditionalFormatting sqref="AK45">
    <cfRule type="expression" dxfId="16061" priority="1150">
      <formula>$A45="Overhead Cable"</formula>
    </cfRule>
    <cfRule type="expression" dxfId="16060" priority="1151">
      <formula>$A45="Level Crossing"</formula>
    </cfRule>
    <cfRule type="expression" dxfId="16059" priority="1152">
      <formula>$A45="Neutral Section"</formula>
    </cfRule>
    <cfRule type="expression" dxfId="16058" priority="1153">
      <formula>$A45="Tunnel"</formula>
    </cfRule>
    <cfRule type="expression" dxfId="16057" priority="1154">
      <formula>$A45="Bridge"</formula>
    </cfRule>
    <cfRule type="expression" dxfId="16056" priority="1155">
      <formula>$A45="Drainage Works"</formula>
    </cfRule>
    <cfRule type="expression" dxfId="16055" priority="1156">
      <formula>$A45="Underpass"</formula>
    </cfRule>
    <cfRule type="expression" dxfId="16054" priority="1157">
      <formula>$A45="Overcrossing"</formula>
    </cfRule>
    <cfRule type="expression" dxfId="16053" priority="1158">
      <formula>$A45="Overpass"</formula>
    </cfRule>
    <cfRule type="expression" dxfId="16052" priority="1159">
      <formula>$A45="Station"</formula>
    </cfRule>
    <cfRule type="expression" dxfId="16051" priority="1160">
      <formula>$A45="Overlap between sections"</formula>
    </cfRule>
  </conditionalFormatting>
  <conditionalFormatting sqref="AK43">
    <cfRule type="expression" dxfId="16050" priority="1147">
      <formula>$M43="NON DEFINED"</formula>
    </cfRule>
    <cfRule type="expression" dxfId="16049" priority="1148">
      <formula>$AZ43="N.D."</formula>
    </cfRule>
    <cfRule type="expression" dxfId="16048" priority="1149">
      <formula>$AY43="N.D."</formula>
    </cfRule>
  </conditionalFormatting>
  <conditionalFormatting sqref="AK43">
    <cfRule type="expression" dxfId="16047" priority="1136">
      <formula>$A43="Overhead Cable"</formula>
    </cfRule>
    <cfRule type="expression" dxfId="16046" priority="1137">
      <formula>$A43="Level Crossing"</formula>
    </cfRule>
    <cfRule type="expression" dxfId="16045" priority="1138">
      <formula>$A43="Neutral Section"</formula>
    </cfRule>
    <cfRule type="expression" dxfId="16044" priority="1139">
      <formula>$A43="Tunnel"</formula>
    </cfRule>
    <cfRule type="expression" dxfId="16043" priority="1140">
      <formula>$A43="Bridge"</formula>
    </cfRule>
    <cfRule type="expression" dxfId="16042" priority="1141">
      <formula>$A43="Drainage Works"</formula>
    </cfRule>
    <cfRule type="expression" dxfId="16041" priority="1142">
      <formula>$A43="Underpass"</formula>
    </cfRule>
    <cfRule type="expression" dxfId="16040" priority="1143">
      <formula>$A43="Overcrossing"</formula>
    </cfRule>
    <cfRule type="expression" dxfId="16039" priority="1144">
      <formula>$A43="Overpass"</formula>
    </cfRule>
    <cfRule type="expression" dxfId="16038" priority="1145">
      <formula>$A43="Station"</formula>
    </cfRule>
    <cfRule type="expression" dxfId="16037" priority="1146">
      <formula>$A43="Overlap between sections"</formula>
    </cfRule>
  </conditionalFormatting>
  <conditionalFormatting sqref="AK41">
    <cfRule type="expression" dxfId="16036" priority="1133">
      <formula>$M41="NON DEFINED"</formula>
    </cfRule>
    <cfRule type="expression" dxfId="16035" priority="1134">
      <formula>$AZ41="N.D."</formula>
    </cfRule>
    <cfRule type="expression" dxfId="16034" priority="1135">
      <formula>$AY41="N.D."</formula>
    </cfRule>
  </conditionalFormatting>
  <conditionalFormatting sqref="AK41">
    <cfRule type="expression" dxfId="16033" priority="1122">
      <formula>$A41="Overhead Cable"</formula>
    </cfRule>
    <cfRule type="expression" dxfId="16032" priority="1123">
      <formula>$A41="Level Crossing"</formula>
    </cfRule>
    <cfRule type="expression" dxfId="16031" priority="1124">
      <formula>$A41="Neutral Section"</formula>
    </cfRule>
    <cfRule type="expression" dxfId="16030" priority="1125">
      <formula>$A41="Tunnel"</formula>
    </cfRule>
    <cfRule type="expression" dxfId="16029" priority="1126">
      <formula>$A41="Bridge"</formula>
    </cfRule>
    <cfRule type="expression" dxfId="16028" priority="1127">
      <formula>$A41="Drainage Works"</formula>
    </cfRule>
    <cfRule type="expression" dxfId="16027" priority="1128">
      <formula>$A41="Underpass"</formula>
    </cfRule>
    <cfRule type="expression" dxfId="16026" priority="1129">
      <formula>$A41="Overcrossing"</formula>
    </cfRule>
    <cfRule type="expression" dxfId="16025" priority="1130">
      <formula>$A41="Overpass"</formula>
    </cfRule>
    <cfRule type="expression" dxfId="16024" priority="1131">
      <formula>$A41="Station"</formula>
    </cfRule>
    <cfRule type="expression" dxfId="16023" priority="1132">
      <formula>$A41="Overlap between sections"</formula>
    </cfRule>
  </conditionalFormatting>
  <conditionalFormatting sqref="AK39">
    <cfRule type="expression" dxfId="16022" priority="1119">
      <formula>$M39="NON DEFINED"</formula>
    </cfRule>
    <cfRule type="expression" dxfId="16021" priority="1120">
      <formula>$AZ39="N.D."</formula>
    </cfRule>
    <cfRule type="expression" dxfId="16020" priority="1121">
      <formula>$AY39="N.D."</formula>
    </cfRule>
  </conditionalFormatting>
  <conditionalFormatting sqref="AK39">
    <cfRule type="expression" dxfId="16019" priority="1108">
      <formula>$A39="Overhead Cable"</formula>
    </cfRule>
    <cfRule type="expression" dxfId="16018" priority="1109">
      <formula>$A39="Level Crossing"</formula>
    </cfRule>
    <cfRule type="expression" dxfId="16017" priority="1110">
      <formula>$A39="Neutral Section"</formula>
    </cfRule>
    <cfRule type="expression" dxfId="16016" priority="1111">
      <formula>$A39="Tunnel"</formula>
    </cfRule>
    <cfRule type="expression" dxfId="16015" priority="1112">
      <formula>$A39="Bridge"</formula>
    </cfRule>
    <cfRule type="expression" dxfId="16014" priority="1113">
      <formula>$A39="Drainage Works"</formula>
    </cfRule>
    <cfRule type="expression" dxfId="16013" priority="1114">
      <formula>$A39="Underpass"</formula>
    </cfRule>
    <cfRule type="expression" dxfId="16012" priority="1115">
      <formula>$A39="Overcrossing"</formula>
    </cfRule>
    <cfRule type="expression" dxfId="16011" priority="1116">
      <formula>$A39="Overpass"</formula>
    </cfRule>
    <cfRule type="expression" dxfId="16010" priority="1117">
      <formula>$A39="Station"</formula>
    </cfRule>
    <cfRule type="expression" dxfId="16009" priority="1118">
      <formula>$A39="Overlap between sections"</formula>
    </cfRule>
  </conditionalFormatting>
  <conditionalFormatting sqref="AK37">
    <cfRule type="expression" dxfId="16008" priority="1105">
      <formula>$M37="NON DEFINED"</formula>
    </cfRule>
    <cfRule type="expression" dxfId="16007" priority="1106">
      <formula>$AZ37="N.D."</formula>
    </cfRule>
    <cfRule type="expression" dxfId="16006" priority="1107">
      <formula>$AY37="N.D."</formula>
    </cfRule>
  </conditionalFormatting>
  <conditionalFormatting sqref="AK37">
    <cfRule type="expression" dxfId="16005" priority="1094">
      <formula>$A37="Overhead Cable"</formula>
    </cfRule>
    <cfRule type="expression" dxfId="16004" priority="1095">
      <formula>$A37="Level Crossing"</formula>
    </cfRule>
    <cfRule type="expression" dxfId="16003" priority="1096">
      <formula>$A37="Neutral Section"</formula>
    </cfRule>
    <cfRule type="expression" dxfId="16002" priority="1097">
      <formula>$A37="Tunnel"</formula>
    </cfRule>
    <cfRule type="expression" dxfId="16001" priority="1098">
      <formula>$A37="Bridge"</formula>
    </cfRule>
    <cfRule type="expression" dxfId="16000" priority="1099">
      <formula>$A37="Drainage Works"</formula>
    </cfRule>
    <cfRule type="expression" dxfId="15999" priority="1100">
      <formula>$A37="Underpass"</formula>
    </cfRule>
    <cfRule type="expression" dxfId="15998" priority="1101">
      <formula>$A37="Overcrossing"</formula>
    </cfRule>
    <cfRule type="expression" dxfId="15997" priority="1102">
      <formula>$A37="Overpass"</formula>
    </cfRule>
    <cfRule type="expression" dxfId="15996" priority="1103">
      <formula>$A37="Station"</formula>
    </cfRule>
    <cfRule type="expression" dxfId="15995" priority="1104">
      <formula>$A37="Overlap between sections"</formula>
    </cfRule>
  </conditionalFormatting>
  <conditionalFormatting sqref="AK47">
    <cfRule type="expression" dxfId="15994" priority="1091">
      <formula>$M47="NON DEFINED"</formula>
    </cfRule>
    <cfRule type="expression" dxfId="15993" priority="1092">
      <formula>$AZ47="N.D."</formula>
    </cfRule>
    <cfRule type="expression" dxfId="15992" priority="1093">
      <formula>$AY47="N.D."</formula>
    </cfRule>
  </conditionalFormatting>
  <conditionalFormatting sqref="AK47">
    <cfRule type="expression" dxfId="15991" priority="1080">
      <formula>$A47="Overhead Cable"</formula>
    </cfRule>
    <cfRule type="expression" dxfId="15990" priority="1081">
      <formula>$A47="Level Crossing"</formula>
    </cfRule>
    <cfRule type="expression" dxfId="15989" priority="1082">
      <formula>$A47="Neutral Section"</formula>
    </cfRule>
    <cfRule type="expression" dxfId="15988" priority="1083">
      <formula>$A47="Tunnel"</formula>
    </cfRule>
    <cfRule type="expression" dxfId="15987" priority="1084">
      <formula>$A47="Bridge"</formula>
    </cfRule>
    <cfRule type="expression" dxfId="15986" priority="1085">
      <formula>$A47="Drainage Works"</formula>
    </cfRule>
    <cfRule type="expression" dxfId="15985" priority="1086">
      <formula>$A47="Underpass"</formula>
    </cfRule>
    <cfRule type="expression" dxfId="15984" priority="1087">
      <formula>$A47="Overcrossing"</formula>
    </cfRule>
    <cfRule type="expression" dxfId="15983" priority="1088">
      <formula>$A47="Overpass"</formula>
    </cfRule>
    <cfRule type="expression" dxfId="15982" priority="1089">
      <formula>$A47="Station"</formula>
    </cfRule>
    <cfRule type="expression" dxfId="15981" priority="1090">
      <formula>$A47="Overlap between sections"</formula>
    </cfRule>
  </conditionalFormatting>
  <conditionalFormatting sqref="AK49">
    <cfRule type="expression" dxfId="15980" priority="1077">
      <formula>$M49="NON DEFINED"</formula>
    </cfRule>
    <cfRule type="expression" dxfId="15979" priority="1078">
      <formula>$AZ49="N.D."</formula>
    </cfRule>
    <cfRule type="expression" dxfId="15978" priority="1079">
      <formula>$AY49="N.D."</formula>
    </cfRule>
  </conditionalFormatting>
  <conditionalFormatting sqref="AK49">
    <cfRule type="expression" dxfId="15977" priority="1066">
      <formula>$A49="Overhead Cable"</formula>
    </cfRule>
    <cfRule type="expression" dxfId="15976" priority="1067">
      <formula>$A49="Level Crossing"</formula>
    </cfRule>
    <cfRule type="expression" dxfId="15975" priority="1068">
      <formula>$A49="Neutral Section"</formula>
    </cfRule>
    <cfRule type="expression" dxfId="15974" priority="1069">
      <formula>$A49="Tunnel"</formula>
    </cfRule>
    <cfRule type="expression" dxfId="15973" priority="1070">
      <formula>$A49="Bridge"</formula>
    </cfRule>
    <cfRule type="expression" dxfId="15972" priority="1071">
      <formula>$A49="Drainage Works"</formula>
    </cfRule>
    <cfRule type="expression" dxfId="15971" priority="1072">
      <formula>$A49="Underpass"</formula>
    </cfRule>
    <cfRule type="expression" dxfId="15970" priority="1073">
      <formula>$A49="Overcrossing"</formula>
    </cfRule>
    <cfRule type="expression" dxfId="15969" priority="1074">
      <formula>$A49="Overpass"</formula>
    </cfRule>
    <cfRule type="expression" dxfId="15968" priority="1075">
      <formula>$A49="Station"</formula>
    </cfRule>
    <cfRule type="expression" dxfId="15967" priority="1076">
      <formula>$A49="Overlap between sections"</formula>
    </cfRule>
  </conditionalFormatting>
  <conditionalFormatting sqref="B6:V15 X6:AZ15">
    <cfRule type="expression" dxfId="15966" priority="1063">
      <formula>$M6="NON DEFINED"</formula>
    </cfRule>
    <cfRule type="expression" dxfId="15965" priority="1064">
      <formula>$AZ6="N.D."</formula>
    </cfRule>
    <cfRule type="expression" dxfId="15964" priority="1065">
      <formula>$AY6="N.D."</formula>
    </cfRule>
  </conditionalFormatting>
  <conditionalFormatting sqref="AG6:AG15 A6:E15 AY6:AZ15 AM6:AS15 G6:H15 J6:J15">
    <cfRule type="expression" dxfId="15963" priority="1052">
      <formula>$A6="Overhead Cable"</formula>
    </cfRule>
    <cfRule type="expression" dxfId="15962" priority="1053">
      <formula>$A6="Level Crossing"</formula>
    </cfRule>
    <cfRule type="expression" dxfId="15961" priority="1054">
      <formula>$A6="Neutral Section"</formula>
    </cfRule>
    <cfRule type="expression" dxfId="15960" priority="1055">
      <formula>$A6="Tunnel"</formula>
    </cfRule>
    <cfRule type="expression" dxfId="15959" priority="1056">
      <formula>$A6="Bridge"</formula>
    </cfRule>
    <cfRule type="expression" dxfId="15958" priority="1057">
      <formula>$A6="Drainage Works"</formula>
    </cfRule>
    <cfRule type="expression" dxfId="15957" priority="1058">
      <formula>$A6="Underpass"</formula>
    </cfRule>
    <cfRule type="expression" dxfId="15956" priority="1059">
      <formula>$A6="Overcrossing"</formula>
    </cfRule>
    <cfRule type="expression" dxfId="15955" priority="1060">
      <formula>$A6="Overpass"</formula>
    </cfRule>
    <cfRule type="expression" dxfId="15954" priority="1061">
      <formula>$A6="Station"</formula>
    </cfRule>
    <cfRule type="expression" dxfId="15953" priority="1062">
      <formula>$A6="Overlap between sections"</formula>
    </cfRule>
  </conditionalFormatting>
  <conditionalFormatting sqref="AN6:AP15">
    <cfRule type="cellIs" dxfId="15952" priority="1051" operator="notEqual">
      <formula>5.5</formula>
    </cfRule>
  </conditionalFormatting>
  <conditionalFormatting sqref="B6:B15">
    <cfRule type="expression" dxfId="15951" priority="1050">
      <formula>AND($AH6&gt;2499,$AH6&lt;2901)</formula>
    </cfRule>
  </conditionalFormatting>
  <conditionalFormatting sqref="I6:I15">
    <cfRule type="expression" dxfId="15950" priority="1039">
      <formula>$A6="Overhead Cable"</formula>
    </cfRule>
    <cfRule type="expression" dxfId="15949" priority="1040">
      <formula>$A6="Level Crossing"</formula>
    </cfRule>
    <cfRule type="expression" dxfId="15948" priority="1041">
      <formula>$A6="Neutral Section"</formula>
    </cfRule>
    <cfRule type="expression" dxfId="15947" priority="1042">
      <formula>$A6="Tunnel"</formula>
    </cfRule>
    <cfRule type="expression" dxfId="15946" priority="1043">
      <formula>$A6="Bridge"</formula>
    </cfRule>
    <cfRule type="expression" dxfId="15945" priority="1044">
      <formula>$A6="Drainage Works"</formula>
    </cfRule>
    <cfRule type="expression" dxfId="15944" priority="1045">
      <formula>$A6="Underpass"</formula>
    </cfRule>
    <cfRule type="expression" dxfId="15943" priority="1046">
      <formula>$A6="Overcrossing"</formula>
    </cfRule>
    <cfRule type="expression" dxfId="15942" priority="1047">
      <formula>$A6="Overpass"</formula>
    </cfRule>
    <cfRule type="expression" dxfId="15941" priority="1048">
      <formula>$A6="Station"</formula>
    </cfRule>
    <cfRule type="expression" dxfId="15940" priority="1049">
      <formula>$A6="Overlap between sections"</formula>
    </cfRule>
  </conditionalFormatting>
  <conditionalFormatting sqref="K6:K15">
    <cfRule type="expression" dxfId="15939" priority="1028">
      <formula>$A6="Overhead Cable"</formula>
    </cfRule>
    <cfRule type="expression" dxfId="15938" priority="1029">
      <formula>$A6="Level Crossing"</formula>
    </cfRule>
    <cfRule type="expression" dxfId="15937" priority="1030">
      <formula>$A6="Neutral Section"</formula>
    </cfRule>
    <cfRule type="expression" dxfId="15936" priority="1031">
      <formula>$A6="Tunnel"</formula>
    </cfRule>
    <cfRule type="expression" dxfId="15935" priority="1032">
      <formula>$A6="Bridge"</formula>
    </cfRule>
    <cfRule type="expression" dxfId="15934" priority="1033">
      <formula>$A6="Drainage Works"</formula>
    </cfRule>
    <cfRule type="expression" dxfId="15933" priority="1034">
      <formula>$A6="Underpass"</formula>
    </cfRule>
    <cfRule type="expression" dxfId="15932" priority="1035">
      <formula>$A6="Overcrossing"</formula>
    </cfRule>
    <cfRule type="expression" dxfId="15931" priority="1036">
      <formula>$A6="Overpass"</formula>
    </cfRule>
    <cfRule type="expression" dxfId="15930" priority="1037">
      <formula>$A6="Station"</formula>
    </cfRule>
    <cfRule type="expression" dxfId="15929" priority="1038">
      <formula>$A6="Overlap between sections"</formula>
    </cfRule>
  </conditionalFormatting>
  <conditionalFormatting sqref="L6:L15">
    <cfRule type="expression" dxfId="15928" priority="1017">
      <formula>$A6="Overhead Cable"</formula>
    </cfRule>
    <cfRule type="expression" dxfId="15927" priority="1018">
      <formula>$A6="Level Crossing"</formula>
    </cfRule>
    <cfRule type="expression" dxfId="15926" priority="1019">
      <formula>$A6="Neutral Section"</formula>
    </cfRule>
    <cfRule type="expression" dxfId="15925" priority="1020">
      <formula>$A6="Tunnel"</formula>
    </cfRule>
    <cfRule type="expression" dxfId="15924" priority="1021">
      <formula>$A6="Bridge"</formula>
    </cfRule>
    <cfRule type="expression" dxfId="15923" priority="1022">
      <formula>$A6="Drainage Works"</formula>
    </cfRule>
    <cfRule type="expression" dxfId="15922" priority="1023">
      <formula>$A6="Underpass"</formula>
    </cfRule>
    <cfRule type="expression" dxfId="15921" priority="1024">
      <formula>$A6="Overcrossing"</formula>
    </cfRule>
    <cfRule type="expression" dxfId="15920" priority="1025">
      <formula>$A6="Overpass"</formula>
    </cfRule>
    <cfRule type="expression" dxfId="15919" priority="1026">
      <formula>$A6="Station"</formula>
    </cfRule>
    <cfRule type="expression" dxfId="15918" priority="1027">
      <formula>$A6="Overlap between sections"</formula>
    </cfRule>
  </conditionalFormatting>
  <conditionalFormatting sqref="M6:M15">
    <cfRule type="expression" dxfId="15917" priority="1006">
      <formula>$A6="Overhead Cable"</formula>
    </cfRule>
    <cfRule type="expression" dxfId="15916" priority="1007">
      <formula>$A6="Level Crossing"</formula>
    </cfRule>
    <cfRule type="expression" dxfId="15915" priority="1008">
      <formula>$A6="Neutral Section"</formula>
    </cfRule>
    <cfRule type="expression" dxfId="15914" priority="1009">
      <formula>$A6="Tunnel"</formula>
    </cfRule>
    <cfRule type="expression" dxfId="15913" priority="1010">
      <formula>$A6="Bridge"</formula>
    </cfRule>
    <cfRule type="expression" dxfId="15912" priority="1011">
      <formula>$A6="Drainage Works"</formula>
    </cfRule>
    <cfRule type="expression" dxfId="15911" priority="1012">
      <formula>$A6="Underpass"</formula>
    </cfRule>
    <cfRule type="expression" dxfId="15910" priority="1013">
      <formula>$A6="Overcrossing"</formula>
    </cfRule>
    <cfRule type="expression" dxfId="15909" priority="1014">
      <formula>$A6="Overpass"</formula>
    </cfRule>
    <cfRule type="expression" dxfId="15908" priority="1015">
      <formula>$A6="Station"</formula>
    </cfRule>
    <cfRule type="expression" dxfId="15907" priority="1016">
      <formula>$A6="Overlap between sections"</formula>
    </cfRule>
  </conditionalFormatting>
  <conditionalFormatting sqref="N6:N15">
    <cfRule type="expression" dxfId="15906" priority="995">
      <formula>$A6="Overhead Cable"</formula>
    </cfRule>
    <cfRule type="expression" dxfId="15905" priority="996">
      <formula>$A6="Level Crossing"</formula>
    </cfRule>
    <cfRule type="expression" dxfId="15904" priority="997">
      <formula>$A6="Neutral Section"</formula>
    </cfRule>
    <cfRule type="expression" dxfId="15903" priority="998">
      <formula>$A6="Tunnel"</formula>
    </cfRule>
    <cfRule type="expression" dxfId="15902" priority="999">
      <formula>$A6="Bridge"</formula>
    </cfRule>
    <cfRule type="expression" dxfId="15901" priority="1000">
      <formula>$A6="Drainage Works"</formula>
    </cfRule>
    <cfRule type="expression" dxfId="15900" priority="1001">
      <formula>$A6="Underpass"</formula>
    </cfRule>
    <cfRule type="expression" dxfId="15899" priority="1002">
      <formula>$A6="Overcrossing"</formula>
    </cfRule>
    <cfRule type="expression" dxfId="15898" priority="1003">
      <formula>$A6="Overpass"</formula>
    </cfRule>
    <cfRule type="expression" dxfId="15897" priority="1004">
      <formula>$A6="Station"</formula>
    </cfRule>
    <cfRule type="expression" dxfId="15896" priority="1005">
      <formula>$A6="Overlap between sections"</formula>
    </cfRule>
  </conditionalFormatting>
  <conditionalFormatting sqref="O6:O15">
    <cfRule type="expression" dxfId="15895" priority="984">
      <formula>$A6="Overhead Cable"</formula>
    </cfRule>
    <cfRule type="expression" dxfId="15894" priority="985">
      <formula>$A6="Level Crossing"</formula>
    </cfRule>
    <cfRule type="expression" dxfId="15893" priority="986">
      <formula>$A6="Neutral Section"</formula>
    </cfRule>
    <cfRule type="expression" dxfId="15892" priority="987">
      <formula>$A6="Tunnel"</formula>
    </cfRule>
    <cfRule type="expression" dxfId="15891" priority="988">
      <formula>$A6="Bridge"</formula>
    </cfRule>
    <cfRule type="expression" dxfId="15890" priority="989">
      <formula>$A6="Drainage Works"</formula>
    </cfRule>
    <cfRule type="expression" dxfId="15889" priority="990">
      <formula>$A6="Underpass"</formula>
    </cfRule>
    <cfRule type="expression" dxfId="15888" priority="991">
      <formula>$A6="Overcrossing"</formula>
    </cfRule>
    <cfRule type="expression" dxfId="15887" priority="992">
      <formula>$A6="Overpass"</formula>
    </cfRule>
    <cfRule type="expression" dxfId="15886" priority="993">
      <formula>$A6="Station"</formula>
    </cfRule>
    <cfRule type="expression" dxfId="15885" priority="994">
      <formula>$A6="Overlap between sections"</formula>
    </cfRule>
  </conditionalFormatting>
  <conditionalFormatting sqref="P6:P15">
    <cfRule type="expression" dxfId="15884" priority="973">
      <formula>$A6="Overhead Cable"</formula>
    </cfRule>
    <cfRule type="expression" dxfId="15883" priority="974">
      <formula>$A6="Level Crossing"</formula>
    </cfRule>
    <cfRule type="expression" dxfId="15882" priority="975">
      <formula>$A6="Neutral Section"</formula>
    </cfRule>
    <cfRule type="expression" dxfId="15881" priority="976">
      <formula>$A6="Tunnel"</formula>
    </cfRule>
    <cfRule type="expression" dxfId="15880" priority="977">
      <formula>$A6="Bridge"</formula>
    </cfRule>
    <cfRule type="expression" dxfId="15879" priority="978">
      <formula>$A6="Drainage Works"</formula>
    </cfRule>
    <cfRule type="expression" dxfId="15878" priority="979">
      <formula>$A6="Underpass"</formula>
    </cfRule>
    <cfRule type="expression" dxfId="15877" priority="980">
      <formula>$A6="Overcrossing"</formula>
    </cfRule>
    <cfRule type="expression" dxfId="15876" priority="981">
      <formula>$A6="Overpass"</formula>
    </cfRule>
    <cfRule type="expression" dxfId="15875" priority="982">
      <formula>$A6="Station"</formula>
    </cfRule>
    <cfRule type="expression" dxfId="15874" priority="983">
      <formula>$A6="Overlap between sections"</formula>
    </cfRule>
  </conditionalFormatting>
  <conditionalFormatting sqref="AC6:AC15">
    <cfRule type="expression" dxfId="15873" priority="962">
      <formula>$A6="Overhead Cable"</formula>
    </cfRule>
    <cfRule type="expression" dxfId="15872" priority="963">
      <formula>$A6="Level Crossing"</formula>
    </cfRule>
    <cfRule type="expression" dxfId="15871" priority="964">
      <formula>$A6="Neutral Section"</formula>
    </cfRule>
    <cfRule type="expression" dxfId="15870" priority="965">
      <formula>$A6="Tunnel"</formula>
    </cfRule>
    <cfRule type="expression" dxfId="15869" priority="966">
      <formula>$A6="Bridge"</formula>
    </cfRule>
    <cfRule type="expression" dxfId="15868" priority="967">
      <formula>$A6="Drainage Works"</formula>
    </cfRule>
    <cfRule type="expression" dxfId="15867" priority="968">
      <formula>$A6="Underpass"</formula>
    </cfRule>
    <cfRule type="expression" dxfId="15866" priority="969">
      <formula>$A6="Overcrossing"</formula>
    </cfRule>
    <cfRule type="expression" dxfId="15865" priority="970">
      <formula>$A6="Overpass"</formula>
    </cfRule>
    <cfRule type="expression" dxfId="15864" priority="971">
      <formula>$A6="Station"</formula>
    </cfRule>
    <cfRule type="expression" dxfId="15863" priority="972">
      <formula>$A6="Overlap between sections"</formula>
    </cfRule>
  </conditionalFormatting>
  <conditionalFormatting sqref="AD6:AD15">
    <cfRule type="expression" dxfId="15862" priority="951">
      <formula>$A6="Overhead Cable"</formula>
    </cfRule>
    <cfRule type="expression" dxfId="15861" priority="952">
      <formula>$A6="Level Crossing"</formula>
    </cfRule>
    <cfRule type="expression" dxfId="15860" priority="953">
      <formula>$A6="Neutral Section"</formula>
    </cfRule>
    <cfRule type="expression" dxfId="15859" priority="954">
      <formula>$A6="Tunnel"</formula>
    </cfRule>
    <cfRule type="expression" dxfId="15858" priority="955">
      <formula>$A6="Bridge"</formula>
    </cfRule>
    <cfRule type="expression" dxfId="15857" priority="956">
      <formula>$A6="Drainage Works"</formula>
    </cfRule>
    <cfRule type="expression" dxfId="15856" priority="957">
      <formula>$A6="Underpass"</formula>
    </cfRule>
    <cfRule type="expression" dxfId="15855" priority="958">
      <formula>$A6="Overcrossing"</formula>
    </cfRule>
    <cfRule type="expression" dxfId="15854" priority="959">
      <formula>$A6="Overpass"</formula>
    </cfRule>
    <cfRule type="expression" dxfId="15853" priority="960">
      <formula>$A6="Station"</formula>
    </cfRule>
    <cfRule type="expression" dxfId="15852" priority="961">
      <formula>$A6="Overlap between sections"</formula>
    </cfRule>
  </conditionalFormatting>
  <conditionalFormatting sqref="AE6:AE15">
    <cfRule type="expression" dxfId="15851" priority="940">
      <formula>$A6="Overhead Cable"</formula>
    </cfRule>
    <cfRule type="expression" dxfId="15850" priority="941">
      <formula>$A6="Level Crossing"</formula>
    </cfRule>
    <cfRule type="expression" dxfId="15849" priority="942">
      <formula>$A6="Neutral Section"</formula>
    </cfRule>
    <cfRule type="expression" dxfId="15848" priority="943">
      <formula>$A6="Tunnel"</formula>
    </cfRule>
    <cfRule type="expression" dxfId="15847" priority="944">
      <formula>$A6="Bridge"</formula>
    </cfRule>
    <cfRule type="expression" dxfId="15846" priority="945">
      <formula>$A6="Drainage Works"</formula>
    </cfRule>
    <cfRule type="expression" dxfId="15845" priority="946">
      <formula>$A6="Underpass"</formula>
    </cfRule>
    <cfRule type="expression" dxfId="15844" priority="947">
      <formula>$A6="Overcrossing"</formula>
    </cfRule>
    <cfRule type="expression" dxfId="15843" priority="948">
      <formula>$A6="Overpass"</formula>
    </cfRule>
    <cfRule type="expression" dxfId="15842" priority="949">
      <formula>$A6="Station"</formula>
    </cfRule>
    <cfRule type="expression" dxfId="15841" priority="950">
      <formula>$A6="Overlap between sections"</formula>
    </cfRule>
  </conditionalFormatting>
  <conditionalFormatting sqref="AJ6:AJ15">
    <cfRule type="expression" dxfId="15840" priority="929">
      <formula>$A6="Overhead Cable"</formula>
    </cfRule>
    <cfRule type="expression" dxfId="15839" priority="930">
      <formula>$A6="Level Crossing"</formula>
    </cfRule>
    <cfRule type="expression" dxfId="15838" priority="931">
      <formula>$A6="Neutral Section"</formula>
    </cfRule>
    <cfRule type="expression" dxfId="15837" priority="932">
      <formula>$A6="Tunnel"</formula>
    </cfRule>
    <cfRule type="expression" dxfId="15836" priority="933">
      <formula>$A6="Bridge"</formula>
    </cfRule>
    <cfRule type="expression" dxfId="15835" priority="934">
      <formula>$A6="Drainage Works"</formula>
    </cfRule>
    <cfRule type="expression" dxfId="15834" priority="935">
      <formula>$A6="Underpass"</formula>
    </cfRule>
    <cfRule type="expression" dxfId="15833" priority="936">
      <formula>$A6="Overcrossing"</formula>
    </cfRule>
    <cfRule type="expression" dxfId="15832" priority="937">
      <formula>$A6="Overpass"</formula>
    </cfRule>
    <cfRule type="expression" dxfId="15831" priority="938">
      <formula>$A6="Station"</formula>
    </cfRule>
    <cfRule type="expression" dxfId="15830" priority="939">
      <formula>$A6="Overlap between sections"</formula>
    </cfRule>
  </conditionalFormatting>
  <conditionalFormatting sqref="AK6:AK15">
    <cfRule type="expression" dxfId="15829" priority="918">
      <formula>$A6="Overhead Cable"</formula>
    </cfRule>
    <cfRule type="expression" dxfId="15828" priority="919">
      <formula>$A6="Level Crossing"</formula>
    </cfRule>
    <cfRule type="expression" dxfId="15827" priority="920">
      <formula>$A6="Neutral Section"</formula>
    </cfRule>
    <cfRule type="expression" dxfId="15826" priority="921">
      <formula>$A6="Tunnel"</formula>
    </cfRule>
    <cfRule type="expression" dxfId="15825" priority="922">
      <formula>$A6="Bridge"</formula>
    </cfRule>
    <cfRule type="expression" dxfId="15824" priority="923">
      <formula>$A6="Drainage Works"</formula>
    </cfRule>
    <cfRule type="expression" dxfId="15823" priority="924">
      <formula>$A6="Underpass"</formula>
    </cfRule>
    <cfRule type="expression" dxfId="15822" priority="925">
      <formula>$A6="Overcrossing"</formula>
    </cfRule>
    <cfRule type="expression" dxfId="15821" priority="926">
      <formula>$A6="Overpass"</formula>
    </cfRule>
    <cfRule type="expression" dxfId="15820" priority="927">
      <formula>$A6="Station"</formula>
    </cfRule>
    <cfRule type="expression" dxfId="15819" priority="928">
      <formula>$A6="Overlap between sections"</formula>
    </cfRule>
  </conditionalFormatting>
  <conditionalFormatting sqref="AL6:AL15">
    <cfRule type="expression" dxfId="15818" priority="907">
      <formula>$A6="Overhead Cable"</formula>
    </cfRule>
    <cfRule type="expression" dxfId="15817" priority="908">
      <formula>$A6="Level Crossing"</formula>
    </cfRule>
    <cfRule type="expression" dxfId="15816" priority="909">
      <formula>$A6="Neutral Section"</formula>
    </cfRule>
    <cfRule type="expression" dxfId="15815" priority="910">
      <formula>$A6="Tunnel"</formula>
    </cfRule>
    <cfRule type="expression" dxfId="15814" priority="911">
      <formula>$A6="Bridge"</formula>
    </cfRule>
    <cfRule type="expression" dxfId="15813" priority="912">
      <formula>$A6="Drainage Works"</formula>
    </cfRule>
    <cfRule type="expression" dxfId="15812" priority="913">
      <formula>$A6="Underpass"</formula>
    </cfRule>
    <cfRule type="expression" dxfId="15811" priority="914">
      <formula>$A6="Overcrossing"</formula>
    </cfRule>
    <cfRule type="expression" dxfId="15810" priority="915">
      <formula>$A6="Overpass"</formula>
    </cfRule>
    <cfRule type="expression" dxfId="15809" priority="916">
      <formula>$A6="Station"</formula>
    </cfRule>
    <cfRule type="expression" dxfId="15808" priority="917">
      <formula>$A6="Overlap between sections"</formula>
    </cfRule>
  </conditionalFormatting>
  <conditionalFormatting sqref="AT6:AT15">
    <cfRule type="expression" dxfId="15807" priority="896">
      <formula>$A6="Overhead Cable"</formula>
    </cfRule>
    <cfRule type="expression" dxfId="15806" priority="897">
      <formula>$A6="Level Crossing"</formula>
    </cfRule>
    <cfRule type="expression" dxfId="15805" priority="898">
      <formula>$A6="Neutral Section"</formula>
    </cfRule>
    <cfRule type="expression" dxfId="15804" priority="899">
      <formula>$A6="Tunnel"</formula>
    </cfRule>
    <cfRule type="expression" dxfId="15803" priority="900">
      <formula>$A6="Bridge"</formula>
    </cfRule>
    <cfRule type="expression" dxfId="15802" priority="901">
      <formula>$A6="Drainage Works"</formula>
    </cfRule>
    <cfRule type="expression" dxfId="15801" priority="902">
      <formula>$A6="Underpass"</formula>
    </cfRule>
    <cfRule type="expression" dxfId="15800" priority="903">
      <formula>$A6="Overcrossing"</formula>
    </cfRule>
    <cfRule type="expression" dxfId="15799" priority="904">
      <formula>$A6="Overpass"</formula>
    </cfRule>
    <cfRule type="expression" dxfId="15798" priority="905">
      <formula>$A6="Station"</formula>
    </cfRule>
    <cfRule type="expression" dxfId="15797" priority="906">
      <formula>$A6="Overlap between sections"</formula>
    </cfRule>
  </conditionalFormatting>
  <conditionalFormatting sqref="AU6:AU15">
    <cfRule type="expression" dxfId="15796" priority="885">
      <formula>$A6="Overhead Cable"</formula>
    </cfRule>
    <cfRule type="expression" dxfId="15795" priority="886">
      <formula>$A6="Level Crossing"</formula>
    </cfRule>
    <cfRule type="expression" dxfId="15794" priority="887">
      <formula>$A6="Neutral Section"</formula>
    </cfRule>
    <cfRule type="expression" dxfId="15793" priority="888">
      <formula>$A6="Tunnel"</formula>
    </cfRule>
    <cfRule type="expression" dxfId="15792" priority="889">
      <formula>$A6="Bridge"</formula>
    </cfRule>
    <cfRule type="expression" dxfId="15791" priority="890">
      <formula>$A6="Drainage Works"</formula>
    </cfRule>
    <cfRule type="expression" dxfId="15790" priority="891">
      <formula>$A6="Underpass"</formula>
    </cfRule>
    <cfRule type="expression" dxfId="15789" priority="892">
      <formula>$A6="Overcrossing"</formula>
    </cfRule>
    <cfRule type="expression" dxfId="15788" priority="893">
      <formula>$A6="Overpass"</formula>
    </cfRule>
    <cfRule type="expression" dxfId="15787" priority="894">
      <formula>$A6="Station"</formula>
    </cfRule>
    <cfRule type="expression" dxfId="15786" priority="895">
      <formula>$A6="Overlap between sections"</formula>
    </cfRule>
  </conditionalFormatting>
  <conditionalFormatting sqref="AV6:AV15">
    <cfRule type="expression" dxfId="15785" priority="874">
      <formula>$A6="Overhead Cable"</formula>
    </cfRule>
    <cfRule type="expression" dxfId="15784" priority="875">
      <formula>$A6="Level Crossing"</formula>
    </cfRule>
    <cfRule type="expression" dxfId="15783" priority="876">
      <formula>$A6="Neutral Section"</formula>
    </cfRule>
    <cfRule type="expression" dxfId="15782" priority="877">
      <formula>$A6="Tunnel"</formula>
    </cfRule>
    <cfRule type="expression" dxfId="15781" priority="878">
      <formula>$A6="Bridge"</formula>
    </cfRule>
    <cfRule type="expression" dxfId="15780" priority="879">
      <formula>$A6="Drainage Works"</formula>
    </cfRule>
    <cfRule type="expression" dxfId="15779" priority="880">
      <formula>$A6="Underpass"</formula>
    </cfRule>
    <cfRule type="expression" dxfId="15778" priority="881">
      <formula>$A6="Overcrossing"</formula>
    </cfRule>
    <cfRule type="expression" dxfId="15777" priority="882">
      <formula>$A6="Overpass"</formula>
    </cfRule>
    <cfRule type="expression" dxfId="15776" priority="883">
      <formula>$A6="Station"</formula>
    </cfRule>
    <cfRule type="expression" dxfId="15775" priority="884">
      <formula>$A6="Overlap between sections"</formula>
    </cfRule>
  </conditionalFormatting>
  <conditionalFormatting sqref="AW6:AW15">
    <cfRule type="expression" dxfId="15774" priority="863">
      <formula>$A6="Overhead Cable"</formula>
    </cfRule>
    <cfRule type="expression" dxfId="15773" priority="864">
      <formula>$A6="Level Crossing"</formula>
    </cfRule>
    <cfRule type="expression" dxfId="15772" priority="865">
      <formula>$A6="Neutral Section"</formula>
    </cfRule>
    <cfRule type="expression" dxfId="15771" priority="866">
      <formula>$A6="Tunnel"</formula>
    </cfRule>
    <cfRule type="expression" dxfId="15770" priority="867">
      <formula>$A6="Bridge"</formula>
    </cfRule>
    <cfRule type="expression" dxfId="15769" priority="868">
      <formula>$A6="Drainage Works"</formula>
    </cfRule>
    <cfRule type="expression" dxfId="15768" priority="869">
      <formula>$A6="Underpass"</formula>
    </cfRule>
    <cfRule type="expression" dxfId="15767" priority="870">
      <formula>$A6="Overcrossing"</formula>
    </cfRule>
    <cfRule type="expression" dxfId="15766" priority="871">
      <formula>$A6="Overpass"</formula>
    </cfRule>
    <cfRule type="expression" dxfId="15765" priority="872">
      <formula>$A6="Station"</formula>
    </cfRule>
    <cfRule type="expression" dxfId="15764" priority="873">
      <formula>$A6="Overlap between sections"</formula>
    </cfRule>
  </conditionalFormatting>
  <conditionalFormatting sqref="AX6:AX15">
    <cfRule type="expression" dxfId="15763" priority="852">
      <formula>$A6="Overhead Cable"</formula>
    </cfRule>
    <cfRule type="expression" dxfId="15762" priority="853">
      <formula>$A6="Level Crossing"</formula>
    </cfRule>
    <cfRule type="expression" dxfId="15761" priority="854">
      <formula>$A6="Neutral Section"</formula>
    </cfRule>
    <cfRule type="expression" dxfId="15760" priority="855">
      <formula>$A6="Tunnel"</formula>
    </cfRule>
    <cfRule type="expression" dxfId="15759" priority="856">
      <formula>$A6="Bridge"</formula>
    </cfRule>
    <cfRule type="expression" dxfId="15758" priority="857">
      <formula>$A6="Drainage Works"</formula>
    </cfRule>
    <cfRule type="expression" dxfId="15757" priority="858">
      <formula>$A6="Underpass"</formula>
    </cfRule>
    <cfRule type="expression" dxfId="15756" priority="859">
      <formula>$A6="Overcrossing"</formula>
    </cfRule>
    <cfRule type="expression" dxfId="15755" priority="860">
      <formula>$A6="Overpass"</formula>
    </cfRule>
    <cfRule type="expression" dxfId="15754" priority="861">
      <formula>$A6="Station"</formula>
    </cfRule>
    <cfRule type="expression" dxfId="15753" priority="862">
      <formula>$A6="Overlap between sections"</formula>
    </cfRule>
  </conditionalFormatting>
  <conditionalFormatting sqref="F6:F15">
    <cfRule type="expression" dxfId="15752" priority="841">
      <formula>$A6="Overhead Cable"</formula>
    </cfRule>
    <cfRule type="expression" dxfId="15751" priority="842">
      <formula>$A6="Level Crossing"</formula>
    </cfRule>
    <cfRule type="expression" dxfId="15750" priority="843">
      <formula>$A6="Neutral Section"</formula>
    </cfRule>
    <cfRule type="expression" dxfId="15749" priority="844">
      <formula>$A6="Tunnel"</formula>
    </cfRule>
    <cfRule type="expression" dxfId="15748" priority="845">
      <formula>$A6="Bridge"</formula>
    </cfRule>
    <cfRule type="expression" dxfId="15747" priority="846">
      <formula>$A6="Drainage Works"</formula>
    </cfRule>
    <cfRule type="expression" dxfId="15746" priority="847">
      <formula>$A6="Underpass"</formula>
    </cfRule>
    <cfRule type="expression" dxfId="15745" priority="848">
      <formula>$A6="Overcrossing"</formula>
    </cfRule>
    <cfRule type="expression" dxfId="15744" priority="849">
      <formula>$A6="Overpass"</formula>
    </cfRule>
    <cfRule type="expression" dxfId="15743" priority="850">
      <formula>$A6="Station"</formula>
    </cfRule>
    <cfRule type="expression" dxfId="15742" priority="851">
      <formula>$A6="Overlap between sections"</formula>
    </cfRule>
  </conditionalFormatting>
  <conditionalFormatting sqref="Q6:Q15">
    <cfRule type="expression" dxfId="15741" priority="830">
      <formula>$A6="Overhead Cable"</formula>
    </cfRule>
    <cfRule type="expression" dxfId="15740" priority="831">
      <formula>$A6="Level Crossing"</formula>
    </cfRule>
    <cfRule type="expression" dxfId="15739" priority="832">
      <formula>$A6="Neutral Section"</formula>
    </cfRule>
    <cfRule type="expression" dxfId="15738" priority="833">
      <formula>$A6="Tunnel"</formula>
    </cfRule>
    <cfRule type="expression" dxfId="15737" priority="834">
      <formula>$A6="Bridge"</formula>
    </cfRule>
    <cfRule type="expression" dxfId="15736" priority="835">
      <formula>$A6="Drainage Works"</formula>
    </cfRule>
    <cfRule type="expression" dxfId="15735" priority="836">
      <formula>$A6="Underpass"</formula>
    </cfRule>
    <cfRule type="expression" dxfId="15734" priority="837">
      <formula>$A6="Overcrossing"</formula>
    </cfRule>
    <cfRule type="expression" dxfId="15733" priority="838">
      <formula>$A6="Overpass"</formula>
    </cfRule>
    <cfRule type="expression" dxfId="15732" priority="839">
      <formula>$A6="Station"</formula>
    </cfRule>
    <cfRule type="expression" dxfId="15731" priority="840">
      <formula>$A6="Overlap between sections"</formula>
    </cfRule>
  </conditionalFormatting>
  <conditionalFormatting sqref="T6:T15">
    <cfRule type="expression" dxfId="15730" priority="819">
      <formula>$A6="Overhead Cable"</formula>
    </cfRule>
    <cfRule type="expression" dxfId="15729" priority="820">
      <formula>$A6="Level Crossing"</formula>
    </cfRule>
    <cfRule type="expression" dxfId="15728" priority="821">
      <formula>$A6="Neutral Section"</formula>
    </cfRule>
    <cfRule type="expression" dxfId="15727" priority="822">
      <formula>$A6="Tunnel"</formula>
    </cfRule>
    <cfRule type="expression" dxfId="15726" priority="823">
      <formula>$A6="Bridge"</formula>
    </cfRule>
    <cfRule type="expression" dxfId="15725" priority="824">
      <formula>$A6="Drainage Works"</formula>
    </cfRule>
    <cfRule type="expression" dxfId="15724" priority="825">
      <formula>$A6="Underpass"</formula>
    </cfRule>
    <cfRule type="expression" dxfId="15723" priority="826">
      <formula>$A6="Overcrossing"</formula>
    </cfRule>
    <cfRule type="expression" dxfId="15722" priority="827">
      <formula>$A6="Overpass"</formula>
    </cfRule>
    <cfRule type="expression" dxfId="15721" priority="828">
      <formula>$A6="Station"</formula>
    </cfRule>
    <cfRule type="expression" dxfId="15720" priority="829">
      <formula>$A6="Overlap between sections"</formula>
    </cfRule>
  </conditionalFormatting>
  <conditionalFormatting sqref="U6:U15">
    <cfRule type="expression" dxfId="15719" priority="808">
      <formula>$A6="Overhead Cable"</formula>
    </cfRule>
    <cfRule type="expression" dxfId="15718" priority="809">
      <formula>$A6="Level Crossing"</formula>
    </cfRule>
    <cfRule type="expression" dxfId="15717" priority="810">
      <formula>$A6="Neutral Section"</formula>
    </cfRule>
    <cfRule type="expression" dxfId="15716" priority="811">
      <formula>$A6="Tunnel"</formula>
    </cfRule>
    <cfRule type="expression" dxfId="15715" priority="812">
      <formula>$A6="Bridge"</formula>
    </cfRule>
    <cfRule type="expression" dxfId="15714" priority="813">
      <formula>$A6="Drainage Works"</formula>
    </cfRule>
    <cfRule type="expression" dxfId="15713" priority="814">
      <formula>$A6="Underpass"</formula>
    </cfRule>
    <cfRule type="expression" dxfId="15712" priority="815">
      <formula>$A6="Overcrossing"</formula>
    </cfRule>
    <cfRule type="expression" dxfId="15711" priority="816">
      <formula>$A6="Overpass"</formula>
    </cfRule>
    <cfRule type="expression" dxfId="15710" priority="817">
      <formula>$A6="Station"</formula>
    </cfRule>
    <cfRule type="expression" dxfId="15709" priority="818">
      <formula>$A6="Overlap between sections"</formula>
    </cfRule>
  </conditionalFormatting>
  <conditionalFormatting sqref="V6:V15">
    <cfRule type="expression" dxfId="15708" priority="797">
      <formula>$A6="Overhead Cable"</formula>
    </cfRule>
    <cfRule type="expression" dxfId="15707" priority="798">
      <formula>$A6="Level Crossing"</formula>
    </cfRule>
    <cfRule type="expression" dxfId="15706" priority="799">
      <formula>$A6="Neutral Section"</formula>
    </cfRule>
    <cfRule type="expression" dxfId="15705" priority="800">
      <formula>$A6="Tunnel"</formula>
    </cfRule>
    <cfRule type="expression" dxfId="15704" priority="801">
      <formula>$A6="Bridge"</formula>
    </cfRule>
    <cfRule type="expression" dxfId="15703" priority="802">
      <formula>$A6="Drainage Works"</formula>
    </cfRule>
    <cfRule type="expression" dxfId="15702" priority="803">
      <formula>$A6="Underpass"</formula>
    </cfRule>
    <cfRule type="expression" dxfId="15701" priority="804">
      <formula>$A6="Overcrossing"</formula>
    </cfRule>
    <cfRule type="expression" dxfId="15700" priority="805">
      <formula>$A6="Overpass"</formula>
    </cfRule>
    <cfRule type="expression" dxfId="15699" priority="806">
      <formula>$A6="Station"</formula>
    </cfRule>
    <cfRule type="expression" dxfId="15698" priority="807">
      <formula>$A6="Overlap between sections"</formula>
    </cfRule>
  </conditionalFormatting>
  <conditionalFormatting sqref="AF6:AF15">
    <cfRule type="expression" dxfId="15697" priority="786">
      <formula>$A6="Overhead Cable"</formula>
    </cfRule>
    <cfRule type="expression" dxfId="15696" priority="787">
      <formula>$A6="Level Crossing"</formula>
    </cfRule>
    <cfRule type="expression" dxfId="15695" priority="788">
      <formula>$A6="Neutral Section"</formula>
    </cfRule>
    <cfRule type="expression" dxfId="15694" priority="789">
      <formula>$A6="Tunnel"</formula>
    </cfRule>
    <cfRule type="expression" dxfId="15693" priority="790">
      <formula>$A6="Bridge"</formula>
    </cfRule>
    <cfRule type="expression" dxfId="15692" priority="791">
      <formula>$A6="Drainage Works"</formula>
    </cfRule>
    <cfRule type="expression" dxfId="15691" priority="792">
      <formula>$A6="Underpass"</formula>
    </cfRule>
    <cfRule type="expression" dxfId="15690" priority="793">
      <formula>$A6="Overcrossing"</formula>
    </cfRule>
    <cfRule type="expression" dxfId="15689" priority="794">
      <formula>$A6="Overpass"</formula>
    </cfRule>
    <cfRule type="expression" dxfId="15688" priority="795">
      <formula>$A6="Station"</formula>
    </cfRule>
    <cfRule type="expression" dxfId="15687" priority="796">
      <formula>$A6="Overlap between sections"</formula>
    </cfRule>
  </conditionalFormatting>
  <conditionalFormatting sqref="AH6:AH15">
    <cfRule type="expression" dxfId="15686" priority="775">
      <formula>$A6="Overhead Cable"</formula>
    </cfRule>
    <cfRule type="expression" dxfId="15685" priority="776">
      <formula>$A6="Level Crossing"</formula>
    </cfRule>
    <cfRule type="expression" dxfId="15684" priority="777">
      <formula>$A6="Neutral Section"</formula>
    </cfRule>
    <cfRule type="expression" dxfId="15683" priority="778">
      <formula>$A6="Tunnel"</formula>
    </cfRule>
    <cfRule type="expression" dxfId="15682" priority="779">
      <formula>$A6="Bridge"</formula>
    </cfRule>
    <cfRule type="expression" dxfId="15681" priority="780">
      <formula>$A6="Drainage Works"</formula>
    </cfRule>
    <cfRule type="expression" dxfId="15680" priority="781">
      <formula>$A6="Underpass"</formula>
    </cfRule>
    <cfRule type="expression" dxfId="15679" priority="782">
      <formula>$A6="Overcrossing"</formula>
    </cfRule>
    <cfRule type="expression" dxfId="15678" priority="783">
      <formula>$A6="Overpass"</formula>
    </cfRule>
    <cfRule type="expression" dxfId="15677" priority="784">
      <formula>$A6="Station"</formula>
    </cfRule>
    <cfRule type="expression" dxfId="15676" priority="785">
      <formula>$A6="Overlap between sections"</formula>
    </cfRule>
  </conditionalFormatting>
  <conditionalFormatting sqref="AI6:AI15">
    <cfRule type="expression" dxfId="15675" priority="764">
      <formula>$A6="Overhead Cable"</formula>
    </cfRule>
    <cfRule type="expression" dxfId="15674" priority="765">
      <formula>$A6="Level Crossing"</formula>
    </cfRule>
    <cfRule type="expression" dxfId="15673" priority="766">
      <formula>$A6="Neutral Section"</formula>
    </cfRule>
    <cfRule type="expression" dxfId="15672" priority="767">
      <formula>$A6="Tunnel"</formula>
    </cfRule>
    <cfRule type="expression" dxfId="15671" priority="768">
      <formula>$A6="Bridge"</formula>
    </cfRule>
    <cfRule type="expression" dxfId="15670" priority="769">
      <formula>$A6="Drainage Works"</formula>
    </cfRule>
    <cfRule type="expression" dxfId="15669" priority="770">
      <formula>$A6="Underpass"</formula>
    </cfRule>
    <cfRule type="expression" dxfId="15668" priority="771">
      <formula>$A6="Overcrossing"</formula>
    </cfRule>
    <cfRule type="expression" dxfId="15667" priority="772">
      <formula>$A6="Overpass"</formula>
    </cfRule>
    <cfRule type="expression" dxfId="15666" priority="773">
      <formula>$A6="Station"</formula>
    </cfRule>
    <cfRule type="expression" dxfId="15665" priority="774">
      <formula>$A6="Overlap between sections"</formula>
    </cfRule>
  </conditionalFormatting>
  <conditionalFormatting sqref="R6:R15">
    <cfRule type="expression" dxfId="15664" priority="753">
      <formula>$A6="Overhead Cable"</formula>
    </cfRule>
    <cfRule type="expression" dxfId="15663" priority="754">
      <formula>$A6="Level Crossing"</formula>
    </cfRule>
    <cfRule type="expression" dxfId="15662" priority="755">
      <formula>$A6="Neutral Section"</formula>
    </cfRule>
    <cfRule type="expression" dxfId="15661" priority="756">
      <formula>$A6="Tunnel"</formula>
    </cfRule>
    <cfRule type="expression" dxfId="15660" priority="757">
      <formula>$A6="Bridge"</formula>
    </cfRule>
    <cfRule type="expression" dxfId="15659" priority="758">
      <formula>$A6="Drainage Works"</formula>
    </cfRule>
    <cfRule type="expression" dxfId="15658" priority="759">
      <formula>$A6="Underpass"</formula>
    </cfRule>
    <cfRule type="expression" dxfId="15657" priority="760">
      <formula>$A6="Overcrossing"</formula>
    </cfRule>
    <cfRule type="expression" dxfId="15656" priority="761">
      <formula>$A6="Overpass"</formula>
    </cfRule>
    <cfRule type="expression" dxfId="15655" priority="762">
      <formula>$A6="Station"</formula>
    </cfRule>
    <cfRule type="expression" dxfId="15654" priority="763">
      <formula>$A6="Overlap between sections"</formula>
    </cfRule>
  </conditionalFormatting>
  <conditionalFormatting sqref="S6:S15">
    <cfRule type="expression" dxfId="15653" priority="742">
      <formula>$A6="Overhead Cable"</formula>
    </cfRule>
    <cfRule type="expression" dxfId="15652" priority="743">
      <formula>$A6="Level Crossing"</formula>
    </cfRule>
    <cfRule type="expression" dxfId="15651" priority="744">
      <formula>$A6="Neutral Section"</formula>
    </cfRule>
    <cfRule type="expression" dxfId="15650" priority="745">
      <formula>$A6="Tunnel"</formula>
    </cfRule>
    <cfRule type="expression" dxfId="15649" priority="746">
      <formula>$A6="Bridge"</formula>
    </cfRule>
    <cfRule type="expression" dxfId="15648" priority="747">
      <formula>$A6="Drainage Works"</formula>
    </cfRule>
    <cfRule type="expression" dxfId="15647" priority="748">
      <formula>$A6="Underpass"</formula>
    </cfRule>
    <cfRule type="expression" dxfId="15646" priority="749">
      <formula>$A6="Overcrossing"</formula>
    </cfRule>
    <cfRule type="expression" dxfId="15645" priority="750">
      <formula>$A6="Overpass"</formula>
    </cfRule>
    <cfRule type="expression" dxfId="15644" priority="751">
      <formula>$A6="Station"</formula>
    </cfRule>
    <cfRule type="expression" dxfId="15643" priority="752">
      <formula>$A6="Overlap between sections"</formula>
    </cfRule>
  </conditionalFormatting>
  <conditionalFormatting sqref="X6:X15">
    <cfRule type="expression" dxfId="15642" priority="731">
      <formula>$A6="Overhead Cable"</formula>
    </cfRule>
    <cfRule type="expression" dxfId="15641" priority="732">
      <formula>$A6="Level Crossing"</formula>
    </cfRule>
    <cfRule type="expression" dxfId="15640" priority="733">
      <formula>$A6="Neutral Section"</formula>
    </cfRule>
    <cfRule type="expression" dxfId="15639" priority="734">
      <formula>$A6="Tunnel"</formula>
    </cfRule>
    <cfRule type="expression" dxfId="15638" priority="735">
      <formula>$A6="Bridge"</formula>
    </cfRule>
    <cfRule type="expression" dxfId="15637" priority="736">
      <formula>$A6="Drainage Works"</formula>
    </cfRule>
    <cfRule type="expression" dxfId="15636" priority="737">
      <formula>$A6="Underpass"</formula>
    </cfRule>
    <cfRule type="expression" dxfId="15635" priority="738">
      <formula>$A6="Overcrossing"</formula>
    </cfRule>
    <cfRule type="expression" dxfId="15634" priority="739">
      <formula>$A6="Overpass"</formula>
    </cfRule>
    <cfRule type="expression" dxfId="15633" priority="740">
      <formula>$A6="Station"</formula>
    </cfRule>
    <cfRule type="expression" dxfId="15632" priority="741">
      <formula>$A6="Overlap between sections"</formula>
    </cfRule>
  </conditionalFormatting>
  <conditionalFormatting sqref="Y6:Y15">
    <cfRule type="expression" dxfId="15631" priority="720">
      <formula>$A6="Overhead Cable"</formula>
    </cfRule>
    <cfRule type="expression" dxfId="15630" priority="721">
      <formula>$A6="Level Crossing"</formula>
    </cfRule>
    <cfRule type="expression" dxfId="15629" priority="722">
      <formula>$A6="Neutral Section"</formula>
    </cfRule>
    <cfRule type="expression" dxfId="15628" priority="723">
      <formula>$A6="Tunnel"</formula>
    </cfRule>
    <cfRule type="expression" dxfId="15627" priority="724">
      <formula>$A6="Bridge"</formula>
    </cfRule>
    <cfRule type="expression" dxfId="15626" priority="725">
      <formula>$A6="Drainage Works"</formula>
    </cfRule>
    <cfRule type="expression" dxfId="15625" priority="726">
      <formula>$A6="Underpass"</formula>
    </cfRule>
    <cfRule type="expression" dxfId="15624" priority="727">
      <formula>$A6="Overcrossing"</formula>
    </cfRule>
    <cfRule type="expression" dxfId="15623" priority="728">
      <formula>$A6="Overpass"</formula>
    </cfRule>
    <cfRule type="expression" dxfId="15622" priority="729">
      <formula>$A6="Station"</formula>
    </cfRule>
    <cfRule type="expression" dxfId="15621" priority="730">
      <formula>$A6="Overlap between sections"</formula>
    </cfRule>
  </conditionalFormatting>
  <conditionalFormatting sqref="Z6:Z15">
    <cfRule type="expression" dxfId="15620" priority="709">
      <formula>$A6="Overhead Cable"</formula>
    </cfRule>
    <cfRule type="expression" dxfId="15619" priority="710">
      <formula>$A6="Level Crossing"</formula>
    </cfRule>
    <cfRule type="expression" dxfId="15618" priority="711">
      <formula>$A6="Neutral Section"</formula>
    </cfRule>
    <cfRule type="expression" dxfId="15617" priority="712">
      <formula>$A6="Tunnel"</formula>
    </cfRule>
    <cfRule type="expression" dxfId="15616" priority="713">
      <formula>$A6="Bridge"</formula>
    </cfRule>
    <cfRule type="expression" dxfId="15615" priority="714">
      <formula>$A6="Drainage Works"</formula>
    </cfRule>
    <cfRule type="expression" dxfId="15614" priority="715">
      <formula>$A6="Underpass"</formula>
    </cfRule>
    <cfRule type="expression" dxfId="15613" priority="716">
      <formula>$A6="Overcrossing"</formula>
    </cfRule>
    <cfRule type="expression" dxfId="15612" priority="717">
      <formula>$A6="Overpass"</formula>
    </cfRule>
    <cfRule type="expression" dxfId="15611" priority="718">
      <formula>$A6="Station"</formula>
    </cfRule>
    <cfRule type="expression" dxfId="15610" priority="719">
      <formula>$A6="Overlap between sections"</formula>
    </cfRule>
  </conditionalFormatting>
  <conditionalFormatting sqref="AA6:AA15">
    <cfRule type="expression" dxfId="15609" priority="698">
      <formula>$A6="Overhead Cable"</formula>
    </cfRule>
    <cfRule type="expression" dxfId="15608" priority="699">
      <formula>$A6="Level Crossing"</formula>
    </cfRule>
    <cfRule type="expression" dxfId="15607" priority="700">
      <formula>$A6="Neutral Section"</formula>
    </cfRule>
    <cfRule type="expression" dxfId="15606" priority="701">
      <formula>$A6="Tunnel"</formula>
    </cfRule>
    <cfRule type="expression" dxfId="15605" priority="702">
      <formula>$A6="Bridge"</formula>
    </cfRule>
    <cfRule type="expression" dxfId="15604" priority="703">
      <formula>$A6="Drainage Works"</formula>
    </cfRule>
    <cfRule type="expression" dxfId="15603" priority="704">
      <formula>$A6="Underpass"</formula>
    </cfRule>
    <cfRule type="expression" dxfId="15602" priority="705">
      <formula>$A6="Overcrossing"</formula>
    </cfRule>
    <cfRule type="expression" dxfId="15601" priority="706">
      <formula>$A6="Overpass"</formula>
    </cfRule>
    <cfRule type="expression" dxfId="15600" priority="707">
      <formula>$A6="Station"</formula>
    </cfRule>
    <cfRule type="expression" dxfId="15599" priority="708">
      <formula>$A6="Overlap between sections"</formula>
    </cfRule>
  </conditionalFormatting>
  <conditionalFormatting sqref="AB6:AB15">
    <cfRule type="expression" dxfId="15598" priority="687">
      <formula>$A6="Overhead Cable"</formula>
    </cfRule>
    <cfRule type="expression" dxfId="15597" priority="688">
      <formula>$A6="Level Crossing"</formula>
    </cfRule>
    <cfRule type="expression" dxfId="15596" priority="689">
      <formula>$A6="Neutral Section"</formula>
    </cfRule>
    <cfRule type="expression" dxfId="15595" priority="690">
      <formula>$A6="Tunnel"</formula>
    </cfRule>
    <cfRule type="expression" dxfId="15594" priority="691">
      <formula>$A6="Bridge"</formula>
    </cfRule>
    <cfRule type="expression" dxfId="15593" priority="692">
      <formula>$A6="Drainage Works"</formula>
    </cfRule>
    <cfRule type="expression" dxfId="15592" priority="693">
      <formula>$A6="Underpass"</formula>
    </cfRule>
    <cfRule type="expression" dxfId="15591" priority="694">
      <formula>$A6="Overcrossing"</formula>
    </cfRule>
    <cfRule type="expression" dxfId="15590" priority="695">
      <formula>$A6="Overpass"</formula>
    </cfRule>
    <cfRule type="expression" dxfId="15589" priority="696">
      <formula>$A6="Station"</formula>
    </cfRule>
    <cfRule type="expression" dxfId="15588" priority="697">
      <formula>$A6="Overlap between sections"</formula>
    </cfRule>
  </conditionalFormatting>
  <conditionalFormatting sqref="BD7:BD15">
    <cfRule type="containsText" dxfId="15587" priority="686" operator="containsText" text="Poner a mano">
      <formula>NOT(ISERROR(SEARCH("Poner a mano",BD7)))</formula>
    </cfRule>
  </conditionalFormatting>
  <conditionalFormatting sqref="BA6:BC15">
    <cfRule type="expression" dxfId="15586" priority="684">
      <formula>$BE6="A"</formula>
    </cfRule>
    <cfRule type="expression" dxfId="15585" priority="685">
      <formula>$BE6="R"</formula>
    </cfRule>
  </conditionalFormatting>
  <conditionalFormatting sqref="BC6:BC15">
    <cfRule type="expression" dxfId="15584" priority="683">
      <formula>$M6="U.S. N.D."</formula>
    </cfRule>
  </conditionalFormatting>
  <conditionalFormatting sqref="BB6:BB15">
    <cfRule type="expression" dxfId="15583" priority="681">
      <formula>$AZ6="N.D."</formula>
    </cfRule>
  </conditionalFormatting>
  <conditionalFormatting sqref="BA6:BA15">
    <cfRule type="expression" dxfId="15582" priority="682">
      <formula>$AY6="N.D."</formula>
    </cfRule>
  </conditionalFormatting>
  <conditionalFormatting sqref="W6:W15">
    <cfRule type="expression" dxfId="15581" priority="678">
      <formula>$M6="NON DEFINED"</formula>
    </cfRule>
    <cfRule type="expression" dxfId="15580" priority="679">
      <formula>$AZ6="N.D."</formula>
    </cfRule>
    <cfRule type="expression" dxfId="15579" priority="680">
      <formula>$AY6="N.D."</formula>
    </cfRule>
  </conditionalFormatting>
  <conditionalFormatting sqref="W6:W15">
    <cfRule type="expression" dxfId="15578" priority="667">
      <formula>$A6="Overhead Cable"</formula>
    </cfRule>
    <cfRule type="expression" dxfId="15577" priority="668">
      <formula>$A6="Level Crossing"</formula>
    </cfRule>
    <cfRule type="expression" dxfId="15576" priority="669">
      <formula>$A6="Neutral Section"</formula>
    </cfRule>
    <cfRule type="expression" dxfId="15575" priority="670">
      <formula>$A6="Tunnel"</formula>
    </cfRule>
    <cfRule type="expression" dxfId="15574" priority="671">
      <formula>$A6="Bridge"</formula>
    </cfRule>
    <cfRule type="expression" dxfId="15573" priority="672">
      <formula>$A6="Drainage Works"</formula>
    </cfRule>
    <cfRule type="expression" dxfId="15572" priority="673">
      <formula>$A6="Underpass"</formula>
    </cfRule>
    <cfRule type="expression" dxfId="15571" priority="674">
      <formula>$A6="Overcrossing"</formula>
    </cfRule>
    <cfRule type="expression" dxfId="15570" priority="675">
      <formula>$A6="Overpass"</formula>
    </cfRule>
    <cfRule type="expression" dxfId="15569" priority="676">
      <formula>$A6="Station"</formula>
    </cfRule>
    <cfRule type="expression" dxfId="15568" priority="677">
      <formula>$A6="Overlap between sections"</formula>
    </cfRule>
  </conditionalFormatting>
  <conditionalFormatting sqref="AN54:AP55">
    <cfRule type="cellIs" dxfId="15567" priority="652" operator="notEqual">
      <formula>5.5</formula>
    </cfRule>
  </conditionalFormatting>
  <conditionalFormatting sqref="BD55">
    <cfRule type="containsText" dxfId="15566" priority="270" operator="containsText" text="Poner a mano">
      <formula>NOT(ISERROR(SEARCH("Poner a mano",BD55)))</formula>
    </cfRule>
  </conditionalFormatting>
  <conditionalFormatting sqref="H34">
    <cfRule type="expression" dxfId="15565" priority="262">
      <formula>$M34="NON DEFINED"</formula>
    </cfRule>
    <cfRule type="expression" dxfId="15564" priority="263">
      <formula>$AZ34="N.D."</formula>
    </cfRule>
    <cfRule type="expression" dxfId="15563" priority="264">
      <formula>$AY34="N.D."</formula>
    </cfRule>
  </conditionalFormatting>
  <conditionalFormatting sqref="H34">
    <cfRule type="expression" dxfId="15562" priority="251">
      <formula>$A34="Overhead Cable"</formula>
    </cfRule>
    <cfRule type="expression" dxfId="15561" priority="252">
      <formula>$A34="Level Crossing"</formula>
    </cfRule>
    <cfRule type="expression" dxfId="15560" priority="253">
      <formula>$A34="Neutral Section"</formula>
    </cfRule>
    <cfRule type="expression" dxfId="15559" priority="254">
      <formula>$A34="Tunnel"</formula>
    </cfRule>
    <cfRule type="expression" dxfId="15558" priority="255">
      <formula>$A34="Bridge"</formula>
    </cfRule>
    <cfRule type="expression" dxfId="15557" priority="256">
      <formula>$A34="Drainage Works"</formula>
    </cfRule>
    <cfRule type="expression" dxfId="15556" priority="257">
      <formula>$A34="Underpass"</formula>
    </cfRule>
    <cfRule type="expression" dxfId="15555" priority="258">
      <formula>$A34="Overcrossing"</formula>
    </cfRule>
    <cfRule type="expression" dxfId="15554" priority="259">
      <formula>$A34="Overpass"</formula>
    </cfRule>
    <cfRule type="expression" dxfId="15553" priority="260">
      <formula>$A34="Station"</formula>
    </cfRule>
    <cfRule type="expression" dxfId="15552" priority="261">
      <formula>$A34="Overlap between sections"</formula>
    </cfRule>
  </conditionalFormatting>
  <conditionalFormatting sqref="BA56:BC56">
    <cfRule type="expression" dxfId="15551" priority="250">
      <formula>$BE56="R"</formula>
    </cfRule>
  </conditionalFormatting>
  <conditionalFormatting sqref="B56:E56 J56 AG56 AN56:AS56 AY56:BC56 G56:H56">
    <cfRule type="expression" dxfId="15550" priority="248">
      <formula>$M56="NON DEFINED"</formula>
    </cfRule>
    <cfRule type="expression" dxfId="15549" priority="249">
      <formula>$AY56="N.D."</formula>
    </cfRule>
  </conditionalFormatting>
  <conditionalFormatting sqref="A56:E56 J56 AG56 AN56:AS56 AY56:BD56 G56:H56">
    <cfRule type="cellIs" dxfId="15548" priority="247" operator="equal">
      <formula>0</formula>
    </cfRule>
  </conditionalFormatting>
  <conditionalFormatting sqref="I56">
    <cfRule type="expression" dxfId="15547" priority="245">
      <formula>$M56="NON DEFINED"</formula>
    </cfRule>
    <cfRule type="expression" dxfId="15546" priority="246">
      <formula>$AY56="N.D."</formula>
    </cfRule>
  </conditionalFormatting>
  <conditionalFormatting sqref="I56">
    <cfRule type="cellIs" dxfId="15545" priority="244" operator="equal">
      <formula>0</formula>
    </cfRule>
  </conditionalFormatting>
  <conditionalFormatting sqref="K56">
    <cfRule type="expression" dxfId="15544" priority="242">
      <formula>$M56="NON DEFINED"</formula>
    </cfRule>
    <cfRule type="expression" dxfId="15543" priority="243">
      <formula>$AY56="N.D."</formula>
    </cfRule>
  </conditionalFormatting>
  <conditionalFormatting sqref="K56">
    <cfRule type="cellIs" dxfId="15542" priority="241" operator="equal">
      <formula>0</formula>
    </cfRule>
  </conditionalFormatting>
  <conditionalFormatting sqref="L56">
    <cfRule type="expression" dxfId="15541" priority="239">
      <formula>$M56="NON DEFINED"</formula>
    </cfRule>
    <cfRule type="expression" dxfId="15540" priority="240">
      <formula>$AY56="N.D."</formula>
    </cfRule>
  </conditionalFormatting>
  <conditionalFormatting sqref="L56">
    <cfRule type="cellIs" dxfId="15539" priority="238" operator="equal">
      <formula>0</formula>
    </cfRule>
  </conditionalFormatting>
  <conditionalFormatting sqref="M56">
    <cfRule type="expression" dxfId="15538" priority="236">
      <formula>$M56="NON DEFINED"</formula>
    </cfRule>
    <cfRule type="expression" dxfId="15537" priority="237">
      <formula>$AY56="N.D."</formula>
    </cfRule>
  </conditionalFormatting>
  <conditionalFormatting sqref="M56">
    <cfRule type="cellIs" dxfId="15536" priority="235" operator="equal">
      <formula>0</formula>
    </cfRule>
  </conditionalFormatting>
  <conditionalFormatting sqref="N56">
    <cfRule type="expression" dxfId="15535" priority="233">
      <formula>$M56="NON DEFINED"</formula>
    </cfRule>
    <cfRule type="expression" dxfId="15534" priority="234">
      <formula>$AY56="N.D."</formula>
    </cfRule>
  </conditionalFormatting>
  <conditionalFormatting sqref="N56">
    <cfRule type="cellIs" dxfId="15533" priority="232" operator="equal">
      <formula>0</formula>
    </cfRule>
  </conditionalFormatting>
  <conditionalFormatting sqref="O56">
    <cfRule type="expression" dxfId="15532" priority="230">
      <formula>$M56="NON DEFINED"</formula>
    </cfRule>
    <cfRule type="expression" dxfId="15531" priority="231">
      <formula>$AY56="N.D."</formula>
    </cfRule>
  </conditionalFormatting>
  <conditionalFormatting sqref="O56">
    <cfRule type="cellIs" dxfId="15530" priority="229" operator="equal">
      <formula>0</formula>
    </cfRule>
  </conditionalFormatting>
  <conditionalFormatting sqref="P56">
    <cfRule type="expression" dxfId="15529" priority="227">
      <formula>$M56="NON DEFINED"</formula>
    </cfRule>
    <cfRule type="expression" dxfId="15528" priority="228">
      <formula>$AY56="N.D."</formula>
    </cfRule>
  </conditionalFormatting>
  <conditionalFormatting sqref="P56">
    <cfRule type="cellIs" dxfId="15527" priority="226" operator="equal">
      <formula>0</formula>
    </cfRule>
  </conditionalFormatting>
  <conditionalFormatting sqref="AC56">
    <cfRule type="expression" dxfId="15526" priority="224">
      <formula>$M56="NON DEFINED"</formula>
    </cfRule>
    <cfRule type="expression" dxfId="15525" priority="225">
      <formula>$AY56="N.D."</formula>
    </cfRule>
  </conditionalFormatting>
  <conditionalFormatting sqref="AC56">
    <cfRule type="cellIs" dxfId="15524" priority="223" operator="equal">
      <formula>0</formula>
    </cfRule>
  </conditionalFormatting>
  <conditionalFormatting sqref="AD56">
    <cfRule type="expression" dxfId="15523" priority="221">
      <formula>$M56="NON DEFINED"</formula>
    </cfRule>
    <cfRule type="expression" dxfId="15522" priority="222">
      <formula>$AY56="N.D."</formula>
    </cfRule>
  </conditionalFormatting>
  <conditionalFormatting sqref="AD56">
    <cfRule type="cellIs" dxfId="15521" priority="220" operator="equal">
      <formula>0</formula>
    </cfRule>
  </conditionalFormatting>
  <conditionalFormatting sqref="AE56">
    <cfRule type="expression" dxfId="15520" priority="218">
      <formula>$M56="NON DEFINED"</formula>
    </cfRule>
    <cfRule type="expression" dxfId="15519" priority="219">
      <formula>$AY56="N.D."</formula>
    </cfRule>
  </conditionalFormatting>
  <conditionalFormatting sqref="AE56">
    <cfRule type="cellIs" dxfId="15518" priority="217" operator="equal">
      <formula>0</formula>
    </cfRule>
  </conditionalFormatting>
  <conditionalFormatting sqref="AJ56">
    <cfRule type="expression" dxfId="15517" priority="215">
      <formula>$M56="NON DEFINED"</formula>
    </cfRule>
    <cfRule type="expression" dxfId="15516" priority="216">
      <formula>$AY56="N.D."</formula>
    </cfRule>
  </conditionalFormatting>
  <conditionalFormatting sqref="AJ56">
    <cfRule type="cellIs" dxfId="15515" priority="214" operator="equal">
      <formula>0</formula>
    </cfRule>
  </conditionalFormatting>
  <conditionalFormatting sqref="AK56">
    <cfRule type="expression" dxfId="15514" priority="212">
      <formula>$M56="NON DEFINED"</formula>
    </cfRule>
    <cfRule type="expression" dxfId="15513" priority="213">
      <formula>$AY56="N.D."</formula>
    </cfRule>
  </conditionalFormatting>
  <conditionalFormatting sqref="AK56">
    <cfRule type="cellIs" dxfId="15512" priority="211" operator="equal">
      <formula>0</formula>
    </cfRule>
  </conditionalFormatting>
  <conditionalFormatting sqref="AL56">
    <cfRule type="expression" dxfId="15511" priority="209">
      <formula>$M56="NON DEFINED"</formula>
    </cfRule>
    <cfRule type="expression" dxfId="15510" priority="210">
      <formula>$AY56="N.D."</formula>
    </cfRule>
  </conditionalFormatting>
  <conditionalFormatting sqref="AL56">
    <cfRule type="cellIs" dxfId="15509" priority="208" operator="equal">
      <formula>0</formula>
    </cfRule>
  </conditionalFormatting>
  <conditionalFormatting sqref="AM56">
    <cfRule type="expression" dxfId="15508" priority="206">
      <formula>$M56="NON DEFINED"</formula>
    </cfRule>
    <cfRule type="expression" dxfId="15507" priority="207">
      <formula>$AY56="N.D."</formula>
    </cfRule>
  </conditionalFormatting>
  <conditionalFormatting sqref="AM56">
    <cfRule type="cellIs" dxfId="15506" priority="205" operator="equal">
      <formula>0</formula>
    </cfRule>
  </conditionalFormatting>
  <conditionalFormatting sqref="AT56">
    <cfRule type="expression" dxfId="15505" priority="203">
      <formula>$M56="NON DEFINED"</formula>
    </cfRule>
    <cfRule type="expression" dxfId="15504" priority="204">
      <formula>$AY56="N.D."</formula>
    </cfRule>
  </conditionalFormatting>
  <conditionalFormatting sqref="AT56">
    <cfRule type="cellIs" dxfId="15503" priority="202" operator="equal">
      <formula>0</formula>
    </cfRule>
  </conditionalFormatting>
  <conditionalFormatting sqref="AU56">
    <cfRule type="expression" dxfId="15502" priority="200">
      <formula>$M56="NON DEFINED"</formula>
    </cfRule>
    <cfRule type="expression" dxfId="15501" priority="201">
      <formula>$AY56="N.D."</formula>
    </cfRule>
  </conditionalFormatting>
  <conditionalFormatting sqref="AU56">
    <cfRule type="cellIs" dxfId="15500" priority="199" operator="equal">
      <formula>0</formula>
    </cfRule>
  </conditionalFormatting>
  <conditionalFormatting sqref="AV56">
    <cfRule type="expression" dxfId="15499" priority="197">
      <formula>$M56="NON DEFINED"</formula>
    </cfRule>
    <cfRule type="expression" dxfId="15498" priority="198">
      <formula>$AY56="N.D."</formula>
    </cfRule>
  </conditionalFormatting>
  <conditionalFormatting sqref="AV56">
    <cfRule type="cellIs" dxfId="15497" priority="196" operator="equal">
      <formula>0</formula>
    </cfRule>
  </conditionalFormatting>
  <conditionalFormatting sqref="AW56">
    <cfRule type="expression" dxfId="15496" priority="194">
      <formula>$M56="NON DEFINED"</formula>
    </cfRule>
    <cfRule type="expression" dxfId="15495" priority="195">
      <formula>$AY56="N.D."</formula>
    </cfRule>
  </conditionalFormatting>
  <conditionalFormatting sqref="AW56">
    <cfRule type="cellIs" dxfId="15494" priority="193" operator="equal">
      <formula>0</formula>
    </cfRule>
  </conditionalFormatting>
  <conditionalFormatting sqref="AX56">
    <cfRule type="expression" dxfId="15493" priority="191">
      <formula>$M56="NON DEFINED"</formula>
    </cfRule>
    <cfRule type="expression" dxfId="15492" priority="192">
      <formula>$AY56="N.D."</formula>
    </cfRule>
  </conditionalFormatting>
  <conditionalFormatting sqref="AX56">
    <cfRule type="cellIs" dxfId="15491" priority="190" operator="equal">
      <formula>0</formula>
    </cfRule>
  </conditionalFormatting>
  <conditionalFormatting sqref="F56">
    <cfRule type="expression" dxfId="15490" priority="188">
      <formula>$M56="NON DEFINED"</formula>
    </cfRule>
    <cfRule type="expression" dxfId="15489" priority="189">
      <formula>$AY56="N.D."</formula>
    </cfRule>
  </conditionalFormatting>
  <conditionalFormatting sqref="F56">
    <cfRule type="cellIs" dxfId="15488" priority="187" operator="equal">
      <formula>0</formula>
    </cfRule>
  </conditionalFormatting>
  <conditionalFormatting sqref="Q56">
    <cfRule type="expression" dxfId="15487" priority="185">
      <formula>$M56="NON DEFINED"</formula>
    </cfRule>
    <cfRule type="expression" dxfId="15486" priority="186">
      <formula>$AY56="N.D."</formula>
    </cfRule>
  </conditionalFormatting>
  <conditionalFormatting sqref="Q56">
    <cfRule type="cellIs" dxfId="15485" priority="184" operator="equal">
      <formula>0</formula>
    </cfRule>
  </conditionalFormatting>
  <conditionalFormatting sqref="T56">
    <cfRule type="expression" dxfId="15484" priority="182">
      <formula>$M56="NON DEFINED"</formula>
    </cfRule>
    <cfRule type="expression" dxfId="15483" priority="183">
      <formula>$AY56="N.D."</formula>
    </cfRule>
  </conditionalFormatting>
  <conditionalFormatting sqref="T56">
    <cfRule type="cellIs" dxfId="15482" priority="181" operator="equal">
      <formula>0</formula>
    </cfRule>
  </conditionalFormatting>
  <conditionalFormatting sqref="U56">
    <cfRule type="expression" dxfId="15481" priority="179">
      <formula>$M56="NON DEFINED"</formula>
    </cfRule>
    <cfRule type="expression" dxfId="15480" priority="180">
      <formula>$AY56="N.D."</formula>
    </cfRule>
  </conditionalFormatting>
  <conditionalFormatting sqref="U56">
    <cfRule type="cellIs" dxfId="15479" priority="178" operator="equal">
      <formula>0</formula>
    </cfRule>
  </conditionalFormatting>
  <conditionalFormatting sqref="V56">
    <cfRule type="expression" dxfId="15478" priority="176">
      <formula>$M56="NON DEFINED"</formula>
    </cfRule>
    <cfRule type="expression" dxfId="15477" priority="177">
      <formula>$AY56="N.D."</formula>
    </cfRule>
  </conditionalFormatting>
  <conditionalFormatting sqref="V56">
    <cfRule type="cellIs" dxfId="15476" priority="175" operator="equal">
      <formula>0</formula>
    </cfRule>
  </conditionalFormatting>
  <conditionalFormatting sqref="AF56">
    <cfRule type="expression" dxfId="15475" priority="173">
      <formula>$M56="NON DEFINED"</formula>
    </cfRule>
    <cfRule type="expression" dxfId="15474" priority="174">
      <formula>$AY56="N.D."</formula>
    </cfRule>
  </conditionalFormatting>
  <conditionalFormatting sqref="AF56">
    <cfRule type="cellIs" dxfId="15473" priority="172" operator="equal">
      <formula>0</formula>
    </cfRule>
  </conditionalFormatting>
  <conditionalFormatting sqref="AH56">
    <cfRule type="expression" dxfId="15472" priority="170">
      <formula>$M56="NON DEFINED"</formula>
    </cfRule>
    <cfRule type="expression" dxfId="15471" priority="171">
      <formula>$AY56="N.D."</formula>
    </cfRule>
  </conditionalFormatting>
  <conditionalFormatting sqref="AH56">
    <cfRule type="cellIs" dxfId="15470" priority="169" operator="equal">
      <formula>0</formula>
    </cfRule>
  </conditionalFormatting>
  <conditionalFormatting sqref="AI56">
    <cfRule type="expression" dxfId="15469" priority="167">
      <formula>$M56="NON DEFINED"</formula>
    </cfRule>
    <cfRule type="expression" dxfId="15468" priority="168">
      <formula>$AY56="N.D."</formula>
    </cfRule>
  </conditionalFormatting>
  <conditionalFormatting sqref="AI56">
    <cfRule type="cellIs" dxfId="15467" priority="166" operator="equal">
      <formula>0</formula>
    </cfRule>
  </conditionalFormatting>
  <conditionalFormatting sqref="R56">
    <cfRule type="expression" dxfId="15466" priority="164">
      <formula>$M56="NON DEFINED"</formula>
    </cfRule>
    <cfRule type="expression" dxfId="15465" priority="165">
      <formula>$AY56="N.D."</formula>
    </cfRule>
  </conditionalFormatting>
  <conditionalFormatting sqref="R56">
    <cfRule type="cellIs" dxfId="15464" priority="163" operator="equal">
      <formula>0</formula>
    </cfRule>
  </conditionalFormatting>
  <conditionalFormatting sqref="S56">
    <cfRule type="expression" dxfId="15463" priority="161">
      <formula>$M56="NON DEFINED"</formula>
    </cfRule>
    <cfRule type="expression" dxfId="15462" priority="162">
      <formula>$AY56="N.D."</formula>
    </cfRule>
  </conditionalFormatting>
  <conditionalFormatting sqref="S56">
    <cfRule type="cellIs" dxfId="15461" priority="160" operator="equal">
      <formula>0</formula>
    </cfRule>
  </conditionalFormatting>
  <conditionalFormatting sqref="W56">
    <cfRule type="expression" dxfId="15460" priority="158">
      <formula>$M56="NON DEFINED"</formula>
    </cfRule>
    <cfRule type="expression" dxfId="15459" priority="159">
      <formula>$AY56="N.D."</formula>
    </cfRule>
  </conditionalFormatting>
  <conditionalFormatting sqref="W56">
    <cfRule type="cellIs" dxfId="15458" priority="157" operator="equal">
      <formula>0</formula>
    </cfRule>
  </conditionalFormatting>
  <conditionalFormatting sqref="X56">
    <cfRule type="expression" dxfId="15457" priority="155">
      <formula>$M56="NON DEFINED"</formula>
    </cfRule>
    <cfRule type="expression" dxfId="15456" priority="156">
      <formula>$AY56="N.D."</formula>
    </cfRule>
  </conditionalFormatting>
  <conditionalFormatting sqref="X56">
    <cfRule type="cellIs" dxfId="15455" priority="154" operator="equal">
      <formula>0</formula>
    </cfRule>
  </conditionalFormatting>
  <conditionalFormatting sqref="Y56">
    <cfRule type="expression" dxfId="15454" priority="152">
      <formula>$M56="NON DEFINED"</formula>
    </cfRule>
    <cfRule type="expression" dxfId="15453" priority="153">
      <formula>$AY56="N.D."</formula>
    </cfRule>
  </conditionalFormatting>
  <conditionalFormatting sqref="Y56">
    <cfRule type="cellIs" dxfId="15452" priority="151" operator="equal">
      <formula>0</formula>
    </cfRule>
  </conditionalFormatting>
  <conditionalFormatting sqref="Z56">
    <cfRule type="expression" dxfId="15451" priority="149">
      <formula>$M56="NON DEFINED"</formula>
    </cfRule>
    <cfRule type="expression" dxfId="15450" priority="150">
      <formula>$AY56="N.D."</formula>
    </cfRule>
  </conditionalFormatting>
  <conditionalFormatting sqref="Z56">
    <cfRule type="cellIs" dxfId="15449" priority="148" operator="equal">
      <formula>0</formula>
    </cfRule>
  </conditionalFormatting>
  <conditionalFormatting sqref="AA56">
    <cfRule type="expression" dxfId="15448" priority="146">
      <formula>$M56="NON DEFINED"</formula>
    </cfRule>
    <cfRule type="expression" dxfId="15447" priority="147">
      <formula>$AY56="N.D."</formula>
    </cfRule>
  </conditionalFormatting>
  <conditionalFormatting sqref="AA56">
    <cfRule type="cellIs" dxfId="15446" priority="145" operator="equal">
      <formula>0</formula>
    </cfRule>
  </conditionalFormatting>
  <conditionalFormatting sqref="AB56">
    <cfRule type="expression" dxfId="15445" priority="143">
      <formula>$M56="NON DEFINED"</formula>
    </cfRule>
    <cfRule type="expression" dxfId="15444" priority="144">
      <formula>$AY56="N.D."</formula>
    </cfRule>
  </conditionalFormatting>
  <conditionalFormatting sqref="AB56">
    <cfRule type="cellIs" dxfId="15443" priority="142" operator="equal">
      <formula>0</formula>
    </cfRule>
  </conditionalFormatting>
  <conditionalFormatting sqref="BD16">
    <cfRule type="containsText" dxfId="15442" priority="141" operator="containsText" text="Poner a mano">
      <formula>NOT(ISERROR(SEARCH("Poner a mano",BD16)))</formula>
    </cfRule>
  </conditionalFormatting>
  <conditionalFormatting sqref="BD6">
    <cfRule type="containsText" dxfId="15441" priority="140" operator="containsText" text="Poner a mano">
      <formula>NOT(ISERROR(SEARCH("Poner a mano",BD6)))</formula>
    </cfRule>
  </conditionalFormatting>
  <conditionalFormatting sqref="BD40">
    <cfRule type="containsText" dxfId="15440" priority="139" operator="containsText" text="Poner a mano">
      <formula>NOT(ISERROR(SEARCH("Poner a mano",BD40)))</formula>
    </cfRule>
  </conditionalFormatting>
  <conditionalFormatting sqref="BD42">
    <cfRule type="containsText" dxfId="15439" priority="138" operator="containsText" text="Poner a mano">
      <formula>NOT(ISERROR(SEARCH("Poner a mano",BD42)))</formula>
    </cfRule>
  </conditionalFormatting>
  <conditionalFormatting sqref="BD44">
    <cfRule type="containsText" dxfId="15438" priority="137" operator="containsText" text="Poner a mano">
      <formula>NOT(ISERROR(SEARCH("Poner a mano",BD44)))</formula>
    </cfRule>
  </conditionalFormatting>
  <conditionalFormatting sqref="BD46">
    <cfRule type="containsText" dxfId="15437" priority="136" operator="containsText" text="Poner a mano">
      <formula>NOT(ISERROR(SEARCH("Poner a mano",BD46)))</formula>
    </cfRule>
  </conditionalFormatting>
  <conditionalFormatting sqref="BD48">
    <cfRule type="containsText" dxfId="15436" priority="135" operator="containsText" text="Poner a mano">
      <formula>NOT(ISERROR(SEARCH("Poner a mano",BD48)))</formula>
    </cfRule>
  </conditionalFormatting>
  <conditionalFormatting sqref="BD50">
    <cfRule type="containsText" dxfId="15435" priority="134" operator="containsText" text="Poner a mano">
      <formula>NOT(ISERROR(SEARCH("Poner a mano",BD50)))</formula>
    </cfRule>
  </conditionalFormatting>
  <conditionalFormatting sqref="BD52">
    <cfRule type="containsText" dxfId="15434" priority="133" operator="containsText" text="Poner a mano">
      <formula>NOT(ISERROR(SEARCH("Poner a mano",BD52)))</formula>
    </cfRule>
  </conditionalFormatting>
  <conditionalFormatting sqref="BD54">
    <cfRule type="containsText" dxfId="15433" priority="132" operator="containsText" text="Poner a mano">
      <formula>NOT(ISERROR(SEARCH("Poner a mano",BD54)))</formula>
    </cfRule>
  </conditionalFormatting>
  <conditionalFormatting sqref="BF6:BG6 BI6 BF8:BG8 BF10:BG10 BF12:BG12 BF14:BG14 BF16:BG16 BF18:BG18 BF20:BG20 BF22:BG22 BF24:BG24 BF26:BG26 BF28:BG28 BF30:BG30 BF32:BG32 BF34:BG34 BF36:BG36 BF38:BG38 BF40:BG40 BF42:BG42 BF44:BG44 BF46:BG46 BF48:BG48 BF50:BG50 BF52:BG52 BF54:BG54 BF56:BG56 BI8 BI10 BI12 BI14 BI16 BI18 BI20 BI22 BI24 BI26 BI28 BI30 BI32 BI34 BI36 BI38 BI40 BI42 BI44 BI46 BI48 BI50 BI52 BI54 BI56">
    <cfRule type="containsBlanks" dxfId="15432" priority="130">
      <formula>LEN(TRIM(BF6))=0</formula>
    </cfRule>
  </conditionalFormatting>
  <conditionalFormatting sqref="AM20">
    <cfRule type="expression" dxfId="15431" priority="127">
      <formula>$M20="NON DEFINED"</formula>
    </cfRule>
    <cfRule type="expression" dxfId="15430" priority="128">
      <formula>$AZ20="N.D."</formula>
    </cfRule>
    <cfRule type="expression" dxfId="15429" priority="129">
      <formula>$AY20="N.D."</formula>
    </cfRule>
  </conditionalFormatting>
  <conditionalFormatting sqref="AM20">
    <cfRule type="expression" dxfId="15428" priority="116">
      <formula>$A20="Overhead Cable"</formula>
    </cfRule>
    <cfRule type="expression" dxfId="15427" priority="117">
      <formula>$A20="Level Crossing"</formula>
    </cfRule>
    <cfRule type="expression" dxfId="15426" priority="118">
      <formula>$A20="Neutral Section"</formula>
    </cfRule>
    <cfRule type="expression" dxfId="15425" priority="119">
      <formula>$A20="Tunnel"</formula>
    </cfRule>
    <cfRule type="expression" dxfId="15424" priority="120">
      <formula>$A20="Bridge"</formula>
    </cfRule>
    <cfRule type="expression" dxfId="15423" priority="121">
      <formula>$A20="Drainage Works"</formula>
    </cfRule>
    <cfRule type="expression" dxfId="15422" priority="122">
      <formula>$A20="Underpass"</formula>
    </cfRule>
    <cfRule type="expression" dxfId="15421" priority="123">
      <formula>$A20="Overcrossing"</formula>
    </cfRule>
    <cfRule type="expression" dxfId="15420" priority="124">
      <formula>$A20="Overpass"</formula>
    </cfRule>
    <cfRule type="expression" dxfId="15419" priority="125">
      <formula>$A20="Station"</formula>
    </cfRule>
    <cfRule type="expression" dxfId="15418" priority="126">
      <formula>$A20="Overlap between sections"</formula>
    </cfRule>
  </conditionalFormatting>
  <conditionalFormatting sqref="AZ20">
    <cfRule type="expression" dxfId="15417" priority="113">
      <formula>$M20="NON DEFINED"</formula>
    </cfRule>
    <cfRule type="expression" dxfId="15416" priority="114">
      <formula>$AZ20="N.D."</formula>
    </cfRule>
    <cfRule type="expression" dxfId="15415" priority="115">
      <formula>$AY20="N.D."</formula>
    </cfRule>
  </conditionalFormatting>
  <conditionalFormatting sqref="AY20">
    <cfRule type="expression" dxfId="15414" priority="110">
      <formula>$M20="NON DEFINED"</formula>
    </cfRule>
    <cfRule type="expression" dxfId="15413" priority="111">
      <formula>$AZ20="N.D."</formula>
    </cfRule>
    <cfRule type="expression" dxfId="15412" priority="112">
      <formula>$AY20="N.D."</formula>
    </cfRule>
  </conditionalFormatting>
  <conditionalFormatting sqref="AY20:AZ20">
    <cfRule type="expression" dxfId="15411" priority="99">
      <formula>$A20="Overhead Cable"</formula>
    </cfRule>
    <cfRule type="expression" dxfId="15410" priority="100">
      <formula>$A20="Level Crossing"</formula>
    </cfRule>
    <cfRule type="expression" dxfId="15409" priority="101">
      <formula>$A20="Neutral Section"</formula>
    </cfRule>
    <cfRule type="expression" dxfId="15408" priority="102">
      <formula>$A20="Tunnel"</formula>
    </cfRule>
    <cfRule type="expression" dxfId="15407" priority="103">
      <formula>$A20="Bridge"</formula>
    </cfRule>
    <cfRule type="expression" dxfId="15406" priority="104">
      <formula>$A20="Drainage Works"</formula>
    </cfRule>
    <cfRule type="expression" dxfId="15405" priority="105">
      <formula>$A20="Underpass"</formula>
    </cfRule>
    <cfRule type="expression" dxfId="15404" priority="106">
      <formula>$A20="Overcrossing"</formula>
    </cfRule>
    <cfRule type="expression" dxfId="15403" priority="107">
      <formula>$A20="Overpass"</formula>
    </cfRule>
    <cfRule type="expression" dxfId="15402" priority="108">
      <formula>$A20="Station"</formula>
    </cfRule>
    <cfRule type="expression" dxfId="15401" priority="109">
      <formula>$A20="Overlap between sections"</formula>
    </cfRule>
  </conditionalFormatting>
  <conditionalFormatting sqref="AW20">
    <cfRule type="expression" dxfId="15400" priority="96">
      <formula>$M20="NON DEFINED"</formula>
    </cfRule>
    <cfRule type="expression" dxfId="15399" priority="97">
      <formula>$AZ20="N.D."</formula>
    </cfRule>
    <cfRule type="expression" dxfId="15398" priority="98">
      <formula>$AY20="N.D."</formula>
    </cfRule>
  </conditionalFormatting>
  <conditionalFormatting sqref="AW20">
    <cfRule type="expression" dxfId="15397" priority="85">
      <formula>$A20="Overhead Cable"</formula>
    </cfRule>
    <cfRule type="expression" dxfId="15396" priority="86">
      <formula>$A20="Level Crossing"</formula>
    </cfRule>
    <cfRule type="expression" dxfId="15395" priority="87">
      <formula>$A20="Neutral Section"</formula>
    </cfRule>
    <cfRule type="expression" dxfId="15394" priority="88">
      <formula>$A20="Tunnel"</formula>
    </cfRule>
    <cfRule type="expression" dxfId="15393" priority="89">
      <formula>$A20="Bridge"</formula>
    </cfRule>
    <cfRule type="expression" dxfId="15392" priority="90">
      <formula>$A20="Drainage Works"</formula>
    </cfRule>
    <cfRule type="expression" dxfId="15391" priority="91">
      <formula>$A20="Underpass"</formula>
    </cfRule>
    <cfRule type="expression" dxfId="15390" priority="92">
      <formula>$A20="Overcrossing"</formula>
    </cfRule>
    <cfRule type="expression" dxfId="15389" priority="93">
      <formula>$A20="Overpass"</formula>
    </cfRule>
    <cfRule type="expression" dxfId="15388" priority="94">
      <formula>$A20="Station"</formula>
    </cfRule>
    <cfRule type="expression" dxfId="15387" priority="95">
      <formula>$A20="Overlap between sections"</formula>
    </cfRule>
  </conditionalFormatting>
  <conditionalFormatting sqref="AX20">
    <cfRule type="expression" dxfId="15386" priority="82">
      <formula>$M20="NON DEFINED"</formula>
    </cfRule>
    <cfRule type="expression" dxfId="15385" priority="83">
      <formula>$AZ20="N.D."</formula>
    </cfRule>
    <cfRule type="expression" dxfId="15384" priority="84">
      <formula>$AY20="N.D."</formula>
    </cfRule>
  </conditionalFormatting>
  <conditionalFormatting sqref="AX20">
    <cfRule type="expression" dxfId="15383" priority="71">
      <formula>$A20="Overhead Cable"</formula>
    </cfRule>
    <cfRule type="expression" dxfId="15382" priority="72">
      <formula>$A20="Level Crossing"</formula>
    </cfRule>
    <cfRule type="expression" dxfId="15381" priority="73">
      <formula>$A20="Neutral Section"</formula>
    </cfRule>
    <cfRule type="expression" dxfId="15380" priority="74">
      <formula>$A20="Tunnel"</formula>
    </cfRule>
    <cfRule type="expression" dxfId="15379" priority="75">
      <formula>$A20="Bridge"</formula>
    </cfRule>
    <cfRule type="expression" dxfId="15378" priority="76">
      <formula>$A20="Drainage Works"</formula>
    </cfRule>
    <cfRule type="expression" dxfId="15377" priority="77">
      <formula>$A20="Underpass"</formula>
    </cfRule>
    <cfRule type="expression" dxfId="15376" priority="78">
      <formula>$A20="Overcrossing"</formula>
    </cfRule>
    <cfRule type="expression" dxfId="15375" priority="79">
      <formula>$A20="Overpass"</formula>
    </cfRule>
    <cfRule type="expression" dxfId="15374" priority="80">
      <formula>$A20="Station"</formula>
    </cfRule>
    <cfRule type="expression" dxfId="15373" priority="81">
      <formula>$A20="Overlap between sections"</formula>
    </cfRule>
  </conditionalFormatting>
  <conditionalFormatting sqref="BA20:BC20">
    <cfRule type="expression" dxfId="15372" priority="69">
      <formula>$BE20="A"</formula>
    </cfRule>
    <cfRule type="expression" dxfId="15371" priority="70">
      <formula>$BE20="R"</formula>
    </cfRule>
  </conditionalFormatting>
  <conditionalFormatting sqref="BC20">
    <cfRule type="expression" dxfId="15370" priority="68">
      <formula>$M20="U.S. N.D."</formula>
    </cfRule>
  </conditionalFormatting>
  <conditionalFormatting sqref="BB20">
    <cfRule type="expression" dxfId="15369" priority="66">
      <formula>$AZ20="N.D."</formula>
    </cfRule>
  </conditionalFormatting>
  <conditionalFormatting sqref="BA20">
    <cfRule type="expression" dxfId="15368" priority="67">
      <formula>$AY20="N.D."</formula>
    </cfRule>
  </conditionalFormatting>
  <conditionalFormatting sqref="BD20">
    <cfRule type="containsText" dxfId="15367" priority="65" operator="containsText" text="Poner a mano">
      <formula>NOT(ISERROR(SEARCH("Poner a mano",BD20)))</formula>
    </cfRule>
  </conditionalFormatting>
  <conditionalFormatting sqref="A20">
    <cfRule type="expression" dxfId="15366" priority="54">
      <formula>$A20="Overhead Cable"</formula>
    </cfRule>
    <cfRule type="expression" dxfId="15365" priority="55">
      <formula>$A20="Level Crossing"</formula>
    </cfRule>
    <cfRule type="expression" dxfId="15364" priority="56">
      <formula>$A20="Neutral Section"</formula>
    </cfRule>
    <cfRule type="expression" dxfId="15363" priority="57">
      <formula>$A20="Tunnel"</formula>
    </cfRule>
    <cfRule type="expression" dxfId="15362" priority="58">
      <formula>$A20="Bridge"</formula>
    </cfRule>
    <cfRule type="expression" dxfId="15361" priority="59">
      <formula>$A20="Drainage Works"</formula>
    </cfRule>
    <cfRule type="expression" dxfId="15360" priority="60">
      <formula>$A20="Underpass"</formula>
    </cfRule>
    <cfRule type="expression" dxfId="15359" priority="61">
      <formula>$A20="Overcrossing"</formula>
    </cfRule>
    <cfRule type="expression" dxfId="15358" priority="62">
      <formula>$A20="Overpass"</formula>
    </cfRule>
    <cfRule type="expression" dxfId="15357" priority="63">
      <formula>$A20="Station"</formula>
    </cfRule>
    <cfRule type="expression" dxfId="15356" priority="64">
      <formula>$A20="Overlap between sections"</formula>
    </cfRule>
  </conditionalFormatting>
  <conditionalFormatting sqref="AM18">
    <cfRule type="expression" dxfId="15355" priority="51">
      <formula>$M18="NON DEFINED"</formula>
    </cfRule>
    <cfRule type="expression" dxfId="15354" priority="52">
      <formula>$AZ18="N.D."</formula>
    </cfRule>
    <cfRule type="expression" dxfId="15353" priority="53">
      <formula>$AY18="N.D."</formula>
    </cfRule>
  </conditionalFormatting>
  <conditionalFormatting sqref="AM18">
    <cfRule type="expression" dxfId="15352" priority="40">
      <formula>$A18="Overhead Cable"</formula>
    </cfRule>
    <cfRule type="expression" dxfId="15351" priority="41">
      <formula>$A18="Level Crossing"</formula>
    </cfRule>
    <cfRule type="expression" dxfId="15350" priority="42">
      <formula>$A18="Neutral Section"</formula>
    </cfRule>
    <cfRule type="expression" dxfId="15349" priority="43">
      <formula>$A18="Tunnel"</formula>
    </cfRule>
    <cfRule type="expression" dxfId="15348" priority="44">
      <formula>$A18="Bridge"</formula>
    </cfRule>
    <cfRule type="expression" dxfId="15347" priority="45">
      <formula>$A18="Drainage Works"</formula>
    </cfRule>
    <cfRule type="expression" dxfId="15346" priority="46">
      <formula>$A18="Underpass"</formula>
    </cfRule>
    <cfRule type="expression" dxfId="15345" priority="47">
      <formula>$A18="Overcrossing"</formula>
    </cfRule>
    <cfRule type="expression" dxfId="15344" priority="48">
      <formula>$A18="Overpass"</formula>
    </cfRule>
    <cfRule type="expression" dxfId="15343" priority="49">
      <formula>$A18="Station"</formula>
    </cfRule>
    <cfRule type="expression" dxfId="15342" priority="50">
      <formula>$A18="Overlap between sections"</formula>
    </cfRule>
  </conditionalFormatting>
  <conditionalFormatting sqref="AJ16">
    <cfRule type="expression" dxfId="15341" priority="37">
      <formula>$M16="NON DEFINED"</formula>
    </cfRule>
    <cfRule type="expression" dxfId="15340" priority="38">
      <formula>$AZ16="N.D."</formula>
    </cfRule>
    <cfRule type="expression" dxfId="15339" priority="39">
      <formula>$AY16="N.D."</formula>
    </cfRule>
  </conditionalFormatting>
  <conditionalFormatting sqref="AJ16">
    <cfRule type="expression" dxfId="15338" priority="26">
      <formula>$A16="Overhead Cable"</formula>
    </cfRule>
    <cfRule type="expression" dxfId="15337" priority="27">
      <formula>$A16="Level Crossing"</formula>
    </cfRule>
    <cfRule type="expression" dxfId="15336" priority="28">
      <formula>$A16="Neutral Section"</formula>
    </cfRule>
    <cfRule type="expression" dxfId="15335" priority="29">
      <formula>$A16="Tunnel"</formula>
    </cfRule>
    <cfRule type="expression" dxfId="15334" priority="30">
      <formula>$A16="Bridge"</formula>
    </cfRule>
    <cfRule type="expression" dxfId="15333" priority="31">
      <formula>$A16="Drainage Works"</formula>
    </cfRule>
    <cfRule type="expression" dxfId="15332" priority="32">
      <formula>$A16="Underpass"</formula>
    </cfRule>
    <cfRule type="expression" dxfId="15331" priority="33">
      <formula>$A16="Overcrossing"</formula>
    </cfRule>
    <cfRule type="expression" dxfId="15330" priority="34">
      <formula>$A16="Overpass"</formula>
    </cfRule>
    <cfRule type="expression" dxfId="15329" priority="35">
      <formula>$A16="Station"</formula>
    </cfRule>
    <cfRule type="expression" dxfId="15328" priority="36">
      <formula>$A16="Overlap between sections"</formula>
    </cfRule>
  </conditionalFormatting>
  <conditionalFormatting sqref="AW18:AX18">
    <cfRule type="expression" dxfId="15327" priority="23">
      <formula>$M18="NON DEFINED"</formula>
    </cfRule>
    <cfRule type="expression" dxfId="15326" priority="24">
      <formula>$AZ18="N.D."</formula>
    </cfRule>
    <cfRule type="expression" dxfId="15325" priority="25">
      <formula>$AY18="N.D."</formula>
    </cfRule>
  </conditionalFormatting>
  <conditionalFormatting sqref="AW18">
    <cfRule type="expression" dxfId="15324" priority="12">
      <formula>$A18="Overhead Cable"</formula>
    </cfRule>
    <cfRule type="expression" dxfId="15323" priority="13">
      <formula>$A18="Level Crossing"</formula>
    </cfRule>
    <cfRule type="expression" dxfId="15322" priority="14">
      <formula>$A18="Neutral Section"</formula>
    </cfRule>
    <cfRule type="expression" dxfId="15321" priority="15">
      <formula>$A18="Tunnel"</formula>
    </cfRule>
    <cfRule type="expression" dxfId="15320" priority="16">
      <formula>$A18="Bridge"</formula>
    </cfRule>
    <cfRule type="expression" dxfId="15319" priority="17">
      <formula>$A18="Drainage Works"</formula>
    </cfRule>
    <cfRule type="expression" dxfId="15318" priority="18">
      <formula>$A18="Underpass"</formula>
    </cfRule>
    <cfRule type="expression" dxfId="15317" priority="19">
      <formula>$A18="Overcrossing"</formula>
    </cfRule>
    <cfRule type="expression" dxfId="15316" priority="20">
      <formula>$A18="Overpass"</formula>
    </cfRule>
    <cfRule type="expression" dxfId="15315" priority="21">
      <formula>$A18="Station"</formula>
    </cfRule>
    <cfRule type="expression" dxfId="15314" priority="22">
      <formula>$A18="Overlap between sections"</formula>
    </cfRule>
  </conditionalFormatting>
  <conditionalFormatting sqref="AX18">
    <cfRule type="expression" dxfId="15313" priority="1">
      <formula>$A18="Overhead Cable"</formula>
    </cfRule>
    <cfRule type="expression" dxfId="15312" priority="2">
      <formula>$A18="Level Crossing"</formula>
    </cfRule>
    <cfRule type="expression" dxfId="15311" priority="3">
      <formula>$A18="Neutral Section"</formula>
    </cfRule>
    <cfRule type="expression" dxfId="15310" priority="4">
      <formula>$A18="Tunnel"</formula>
    </cfRule>
    <cfRule type="expression" dxfId="15309" priority="5">
      <formula>$A18="Bridge"</formula>
    </cfRule>
    <cfRule type="expression" dxfId="15308" priority="6">
      <formula>$A18="Drainage Works"</formula>
    </cfRule>
    <cfRule type="expression" dxfId="15307" priority="7">
      <formula>$A18="Underpass"</formula>
    </cfRule>
    <cfRule type="expression" dxfId="15306" priority="8">
      <formula>$A18="Overcrossing"</formula>
    </cfRule>
    <cfRule type="expression" dxfId="15305" priority="9">
      <formula>$A18="Overpass"</formula>
    </cfRule>
    <cfRule type="expression" dxfId="15304" priority="10">
      <formula>$A18="Station"</formula>
    </cfRule>
    <cfRule type="expression" dxfId="15303" priority="11">
      <formula>$A18="Overlap between sections"</formula>
    </cfRule>
  </conditionalFormatting>
  <printOptions horizontalCentered="1" gridLines="1"/>
  <pageMargins left="0.39370078740157483" right="0.39370078740157483" top="0.78740157480314965" bottom="0.78740157480314965" header="0.31496062992125984" footer="0.31496062992125984"/>
  <pageSetup paperSize="9" scale="53" orientation="landscape" r:id="rId1"/>
  <headerFooter alignWithMargins="0">
    <oddHeader>&amp;L&amp;G&amp;CLAYOUT AND EQUIPMENT
EP 04 TRACK 3 BIN
KP 40+760 to 41+850&amp;R&amp;G</oddHeader>
    <oddFooter>&amp;L&amp;G
&amp;F&amp;C&amp;D&amp;RPag &amp;P of &amp;N</oddFooter>
  </headerFooter>
  <legacyDrawing r:id="rId2"/>
  <legacyDrawingHF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9">
    <tabColor theme="3" tint="0.59999389629810485"/>
    <pageSetUpPr fitToPage="1"/>
  </sheetPr>
  <dimension ref="A1:BK1846"/>
  <sheetViews>
    <sheetView showGridLines="0" view="pageBreakPreview" zoomScale="80" zoomScaleNormal="80" zoomScaleSheetLayoutView="80" workbookViewId="0">
      <pane xSplit="3" ySplit="3" topLeftCell="F4" activePane="bottomRight" state="frozen"/>
      <selection pane="bottomRight" activeCell="K31" sqref="K31"/>
      <selection pane="bottomLeft" activeCell="K31" sqref="K31"/>
      <selection pane="topRight" activeCell="K31" sqref="K31"/>
    </sheetView>
  </sheetViews>
  <sheetFormatPr defaultColWidth="11.42578125" defaultRowHeight="15.75" customHeight="1" zeroHeight="1"/>
  <cols>
    <col min="1" max="1" width="20.7109375" style="14" customWidth="1"/>
    <col min="2" max="2" width="12.7109375" style="14" customWidth="1"/>
    <col min="3" max="3" width="12.7109375" style="18" customWidth="1"/>
    <col min="4" max="5" width="12.7109375" style="14" hidden="1" customWidth="1"/>
    <col min="6" max="7" width="12.7109375" style="14" customWidth="1"/>
    <col min="8" max="8" width="18.7109375" style="14" customWidth="1"/>
    <col min="9" max="9" width="12.7109375" style="14" customWidth="1"/>
    <col min="10" max="10" width="12.7109375" style="18" customWidth="1"/>
    <col min="11" max="11" width="12.7109375" style="14" customWidth="1"/>
    <col min="12" max="13" width="14.7109375" style="14" customWidth="1"/>
    <col min="14" max="16" width="8.7109375" style="14" hidden="1" customWidth="1"/>
    <col min="17" max="19" width="12.7109375" style="14" hidden="1" customWidth="1"/>
    <col min="20" max="28" width="8.7109375" style="14" hidden="1" customWidth="1"/>
    <col min="29" max="31" width="10.7109375" style="14" hidden="1" customWidth="1"/>
    <col min="32" max="36" width="12.7109375" style="14" hidden="1" customWidth="1"/>
    <col min="37" max="38" width="12.7109375" style="14" customWidth="1"/>
    <col min="39" max="39" width="12.7109375" style="14" hidden="1" customWidth="1"/>
    <col min="40" max="45" width="8.7109375" style="8" hidden="1" customWidth="1"/>
    <col min="46" max="46" width="8.7109375" style="16" hidden="1" customWidth="1"/>
    <col min="47" max="48" width="8.7109375" style="8" hidden="1" customWidth="1"/>
    <col min="49" max="52" width="12.7109375" style="8" customWidth="1"/>
    <col min="53" max="55" width="4.7109375" style="8" customWidth="1"/>
    <col min="56" max="56" width="21.7109375" style="14" customWidth="1"/>
    <col min="57" max="57" width="16.28515625" style="8" customWidth="1"/>
    <col min="58" max="61" width="14" style="8" customWidth="1"/>
    <col min="62" max="63" width="11.42578125" style="14" customWidth="1"/>
    <col min="64" max="16384" width="11.42578125" style="14"/>
  </cols>
  <sheetData>
    <row r="1" spans="1:63" s="435" customFormat="1" ht="36.75" customHeight="1" thickBot="1">
      <c r="A1" s="997" t="s">
        <v>1696</v>
      </c>
      <c r="B1" s="998"/>
      <c r="C1" s="998"/>
      <c r="D1" s="998"/>
      <c r="E1" s="998"/>
      <c r="F1" s="998"/>
      <c r="G1" s="998"/>
      <c r="H1" s="998"/>
      <c r="I1" s="998"/>
      <c r="J1" s="998"/>
      <c r="K1" s="998"/>
      <c r="L1" s="998"/>
      <c r="M1" s="998"/>
      <c r="N1" s="998"/>
      <c r="O1" s="998"/>
      <c r="P1" s="998"/>
      <c r="Q1" s="998"/>
      <c r="R1" s="998"/>
      <c r="S1" s="998"/>
      <c r="T1" s="998"/>
      <c r="U1" s="998"/>
      <c r="V1" s="998"/>
      <c r="W1" s="998"/>
      <c r="X1" s="998"/>
      <c r="Y1" s="998"/>
      <c r="Z1" s="998"/>
      <c r="AA1" s="998"/>
      <c r="AB1" s="998"/>
      <c r="AC1" s="998"/>
      <c r="AD1" s="998"/>
      <c r="AE1" s="998"/>
      <c r="AF1" s="998"/>
      <c r="AG1" s="998"/>
      <c r="AH1" s="998"/>
      <c r="AI1" s="998"/>
      <c r="AJ1" s="998"/>
      <c r="AK1" s="998"/>
      <c r="AL1" s="998"/>
      <c r="AM1" s="998"/>
      <c r="AN1" s="998"/>
      <c r="AO1" s="998"/>
      <c r="AP1" s="998"/>
      <c r="AQ1" s="998"/>
      <c r="AR1" s="998"/>
      <c r="AS1" s="998"/>
      <c r="AT1" s="998"/>
      <c r="AU1" s="998"/>
      <c r="AV1" s="998"/>
      <c r="AW1" s="998"/>
      <c r="AX1" s="998"/>
      <c r="AY1" s="998"/>
      <c r="AZ1" s="998"/>
      <c r="BA1" s="998"/>
      <c r="BB1" s="998"/>
      <c r="BC1" s="998"/>
      <c r="BD1" s="999"/>
      <c r="BE1" s="430" t="s">
        <v>933</v>
      </c>
      <c r="BF1" s="958" t="s">
        <v>50</v>
      </c>
      <c r="BG1" s="958"/>
      <c r="BH1" s="958"/>
      <c r="BI1" s="958"/>
    </row>
    <row r="2" spans="1:63" s="435" customFormat="1" ht="42" customHeight="1" thickBot="1">
      <c r="A2" s="460" t="s">
        <v>51</v>
      </c>
      <c r="B2" s="460" t="s">
        <v>52</v>
      </c>
      <c r="C2" s="460" t="s">
        <v>53</v>
      </c>
      <c r="D2" s="460" t="s">
        <v>54</v>
      </c>
      <c r="E2" s="460" t="s">
        <v>55</v>
      </c>
      <c r="F2" s="460" t="s">
        <v>56</v>
      </c>
      <c r="G2" s="460" t="s">
        <v>57</v>
      </c>
      <c r="H2" s="460" t="s">
        <v>58</v>
      </c>
      <c r="I2" s="460" t="s">
        <v>59</v>
      </c>
      <c r="J2" s="460" t="s">
        <v>60</v>
      </c>
      <c r="K2" s="460" t="s">
        <v>61</v>
      </c>
      <c r="L2" s="460" t="s">
        <v>62</v>
      </c>
      <c r="M2" s="460" t="s">
        <v>63</v>
      </c>
      <c r="N2" s="1000" t="s">
        <v>64</v>
      </c>
      <c r="O2" s="1001"/>
      <c r="P2" s="1002"/>
      <c r="Q2" s="460" t="s">
        <v>65</v>
      </c>
      <c r="R2" s="460" t="s">
        <v>66</v>
      </c>
      <c r="S2" s="460" t="s">
        <v>67</v>
      </c>
      <c r="T2" s="1000" t="s">
        <v>68</v>
      </c>
      <c r="U2" s="1001"/>
      <c r="V2" s="1002"/>
      <c r="W2" s="1000" t="s">
        <v>69</v>
      </c>
      <c r="X2" s="1001"/>
      <c r="Y2" s="1002"/>
      <c r="Z2" s="1000" t="s">
        <v>70</v>
      </c>
      <c r="AA2" s="1001"/>
      <c r="AB2" s="1002"/>
      <c r="AC2" s="1000" t="s">
        <v>71</v>
      </c>
      <c r="AD2" s="1001"/>
      <c r="AE2" s="1002"/>
      <c r="AF2" s="460" t="s">
        <v>72</v>
      </c>
      <c r="AG2" s="460" t="s">
        <v>73</v>
      </c>
      <c r="AH2" s="460" t="s">
        <v>74</v>
      </c>
      <c r="AI2" s="460" t="s">
        <v>75</v>
      </c>
      <c r="AJ2" s="460" t="s">
        <v>76</v>
      </c>
      <c r="AK2" s="460" t="s">
        <v>77</v>
      </c>
      <c r="AL2" s="534" t="s">
        <v>78</v>
      </c>
      <c r="AM2" s="534" t="s">
        <v>79</v>
      </c>
      <c r="AN2" s="1000" t="s">
        <v>80</v>
      </c>
      <c r="AO2" s="1001"/>
      <c r="AP2" s="1002"/>
      <c r="AQ2" s="1000" t="s">
        <v>81</v>
      </c>
      <c r="AR2" s="1001"/>
      <c r="AS2" s="1002"/>
      <c r="AT2" s="1000" t="s">
        <v>82</v>
      </c>
      <c r="AU2" s="1001"/>
      <c r="AV2" s="1002"/>
      <c r="AW2" s="534" t="s">
        <v>83</v>
      </c>
      <c r="AX2" s="534" t="s">
        <v>84</v>
      </c>
      <c r="AY2" s="534" t="s">
        <v>85</v>
      </c>
      <c r="AZ2" s="534" t="s">
        <v>86</v>
      </c>
      <c r="BA2" s="1000" t="s">
        <v>87</v>
      </c>
      <c r="BB2" s="1001"/>
      <c r="BC2" s="1002"/>
      <c r="BD2" s="460" t="s">
        <v>88</v>
      </c>
      <c r="BE2" s="430" t="s">
        <v>89</v>
      </c>
      <c r="BF2" s="431" t="s">
        <v>63</v>
      </c>
      <c r="BG2" s="431" t="s">
        <v>90</v>
      </c>
      <c r="BH2" s="431" t="s">
        <v>91</v>
      </c>
      <c r="BI2" s="431" t="s">
        <v>64</v>
      </c>
    </row>
    <row r="3" spans="1:63" s="435" customFormat="1" ht="15.75" customHeight="1" thickBot="1">
      <c r="A3" s="436"/>
      <c r="B3" s="456"/>
      <c r="C3" s="437"/>
      <c r="D3" s="611"/>
      <c r="E3" s="437"/>
      <c r="F3" s="437"/>
      <c r="G3" s="437"/>
      <c r="H3" s="456"/>
      <c r="I3" s="456"/>
      <c r="J3" s="437"/>
      <c r="K3" s="456"/>
      <c r="L3" s="456"/>
      <c r="M3" s="456"/>
      <c r="N3" s="461" t="s">
        <v>92</v>
      </c>
      <c r="O3" s="461" t="s">
        <v>93</v>
      </c>
      <c r="P3" s="461" t="s">
        <v>94</v>
      </c>
      <c r="Q3" s="437"/>
      <c r="R3" s="437"/>
      <c r="S3" s="437"/>
      <c r="T3" s="440" t="s">
        <v>95</v>
      </c>
      <c r="U3" s="441" t="s">
        <v>96</v>
      </c>
      <c r="V3" s="440" t="s">
        <v>97</v>
      </c>
      <c r="W3" s="440" t="s">
        <v>98</v>
      </c>
      <c r="X3" s="441" t="s">
        <v>99</v>
      </c>
      <c r="Y3" s="440" t="s">
        <v>100</v>
      </c>
      <c r="Z3" s="440" t="s">
        <v>101</v>
      </c>
      <c r="AA3" s="441" t="s">
        <v>102</v>
      </c>
      <c r="AB3" s="440" t="s">
        <v>103</v>
      </c>
      <c r="AC3" s="461" t="s">
        <v>104</v>
      </c>
      <c r="AD3" s="462" t="s">
        <v>105</v>
      </c>
      <c r="AE3" s="461" t="s">
        <v>106</v>
      </c>
      <c r="AF3" s="437"/>
      <c r="AG3" s="437"/>
      <c r="AH3" s="437"/>
      <c r="AI3" s="437"/>
      <c r="AJ3" s="456"/>
      <c r="AK3" s="456"/>
      <c r="AL3" s="456"/>
      <c r="AM3" s="456"/>
      <c r="AN3" s="440" t="s">
        <v>98</v>
      </c>
      <c r="AO3" s="440" t="s">
        <v>99</v>
      </c>
      <c r="AP3" s="440" t="s">
        <v>100</v>
      </c>
      <c r="AQ3" s="440" t="s">
        <v>107</v>
      </c>
      <c r="AR3" s="440" t="s">
        <v>108</v>
      </c>
      <c r="AS3" s="440" t="s">
        <v>109</v>
      </c>
      <c r="AT3" s="559" t="s">
        <v>110</v>
      </c>
      <c r="AU3" s="440" t="s">
        <v>111</v>
      </c>
      <c r="AV3" s="440" t="s">
        <v>112</v>
      </c>
      <c r="AW3" s="456"/>
      <c r="AX3" s="456"/>
      <c r="AY3" s="437"/>
      <c r="AZ3" s="437"/>
      <c r="BA3" s="461" t="s">
        <v>113</v>
      </c>
      <c r="BB3" s="461" t="s">
        <v>114</v>
      </c>
      <c r="BC3" s="461" t="s">
        <v>115</v>
      </c>
      <c r="BD3" s="459"/>
      <c r="BE3" s="429"/>
      <c r="BF3" s="434"/>
      <c r="BG3" s="434"/>
      <c r="BH3" s="434"/>
      <c r="BI3" s="434"/>
    </row>
    <row r="4" spans="1:63" ht="16.149999999999999" customHeight="1" thickTop="1">
      <c r="A4" s="502"/>
      <c r="B4" s="503"/>
      <c r="C4" s="504"/>
      <c r="D4" s="612"/>
      <c r="E4" s="506"/>
      <c r="F4" s="506"/>
      <c r="G4" s="507"/>
      <c r="H4" s="508"/>
      <c r="I4" s="508"/>
      <c r="J4" s="509"/>
      <c r="K4" s="508"/>
      <c r="L4" s="508"/>
      <c r="M4" s="508"/>
      <c r="N4" s="508"/>
      <c r="O4" s="508"/>
      <c r="P4" s="508"/>
      <c r="Q4" s="506"/>
      <c r="R4" s="507"/>
      <c r="S4" s="507"/>
      <c r="T4" s="506"/>
      <c r="U4" s="506"/>
      <c r="V4" s="506"/>
      <c r="W4" s="510"/>
      <c r="X4" s="510"/>
      <c r="Y4" s="510"/>
      <c r="Z4" s="510"/>
      <c r="AA4" s="510"/>
      <c r="AB4" s="510"/>
      <c r="AC4" s="508"/>
      <c r="AD4" s="508"/>
      <c r="AE4" s="508"/>
      <c r="AF4" s="506"/>
      <c r="AG4" s="505"/>
      <c r="AH4" s="506"/>
      <c r="AI4" s="506"/>
      <c r="AJ4" s="508"/>
      <c r="AK4" s="508"/>
      <c r="AL4" s="508"/>
      <c r="AM4" s="508"/>
      <c r="AN4" s="510"/>
      <c r="AO4" s="508"/>
      <c r="AP4" s="508"/>
      <c r="AQ4" s="510"/>
      <c r="AR4" s="510"/>
      <c r="AS4" s="510"/>
      <c r="AT4" s="510"/>
      <c r="AU4" s="511"/>
      <c r="AV4" s="511"/>
      <c r="AW4" s="508"/>
      <c r="AX4" s="508"/>
      <c r="AY4" s="510"/>
      <c r="AZ4" s="510"/>
      <c r="BA4" s="491"/>
      <c r="BB4" s="491"/>
      <c r="BC4" s="491"/>
      <c r="BD4" s="512"/>
      <c r="BE4" s="498"/>
      <c r="BF4" s="1175"/>
      <c r="BG4" s="1175"/>
      <c r="BH4" s="1175"/>
      <c r="BI4" s="1175"/>
      <c r="BK4" s="292"/>
    </row>
    <row r="5" spans="1:63" ht="16.149999999999999" customHeight="1">
      <c r="A5" s="502" t="str">
        <f>'HR Track 5 BIN'!A11</f>
        <v>station</v>
      </c>
      <c r="B5" s="503">
        <f>'HR Track 5 BIN'!B11</f>
        <v>0</v>
      </c>
      <c r="C5" s="504">
        <f>'HR Track 5 BIN'!C11</f>
        <v>0</v>
      </c>
      <c r="D5" s="612">
        <f>'HR Track 5 BIN'!D11</f>
        <v>0</v>
      </c>
      <c r="E5" s="506">
        <f>'HR Track 5 BIN'!E11</f>
        <v>0</v>
      </c>
      <c r="F5" s="506">
        <f>'HR Track 5 BIN'!F11</f>
        <v>0</v>
      </c>
      <c r="G5" s="507">
        <f>'HR Track 5 BIN'!G11</f>
        <v>27</v>
      </c>
      <c r="H5" s="508">
        <f>'HR Track 5 BIN'!H11</f>
        <v>0</v>
      </c>
      <c r="I5" s="508">
        <f>'HR Track 5 BIN'!I11</f>
        <v>0</v>
      </c>
      <c r="J5" s="509">
        <f>'HR Track 5 BIN'!J11</f>
        <v>41005.639999999992</v>
      </c>
      <c r="K5" s="508" t="str">
        <f>'HR Track 5 BIN'!K11</f>
        <v>AnM-R</v>
      </c>
      <c r="L5" s="508">
        <f>'HR Track 5 BIN'!L11</f>
        <v>0</v>
      </c>
      <c r="M5" s="508" t="str">
        <f>'HR Track 5 BIN'!M11</f>
        <v/>
      </c>
      <c r="N5" s="508">
        <f>'HR Track 5 BIN'!N11</f>
        <v>0</v>
      </c>
      <c r="O5" s="508">
        <f>'HR Track 5 BIN'!O11</f>
        <v>0</v>
      </c>
      <c r="P5" s="508">
        <f>'HR Track 5 BIN'!P11</f>
        <v>0</v>
      </c>
      <c r="Q5" s="506">
        <f>'HR Track 5 BIN'!Q11</f>
        <v>0</v>
      </c>
      <c r="R5" s="507">
        <f>'HR Track 5 BIN'!R11</f>
        <v>0</v>
      </c>
      <c r="S5" s="507">
        <f>'HR Track 5 BIN'!S11</f>
        <v>0</v>
      </c>
      <c r="T5" s="506">
        <f>'HR Track 5 BIN'!T11</f>
        <v>0</v>
      </c>
      <c r="U5" s="506">
        <f>'HR Track 5 BIN'!U11</f>
        <v>0</v>
      </c>
      <c r="V5" s="506">
        <f>'HR Track 5 BIN'!V11</f>
        <v>0</v>
      </c>
      <c r="W5" s="510">
        <f>'HR Track 5 BIN'!W11</f>
        <v>0</v>
      </c>
      <c r="X5" s="510">
        <f>'HR Track 5 BIN'!X11</f>
        <v>0</v>
      </c>
      <c r="Y5" s="510">
        <f>'HR Track 5 BIN'!Y11</f>
        <v>0</v>
      </c>
      <c r="Z5" s="510">
        <f>'HR Track 5 BIN'!Z11</f>
        <v>0</v>
      </c>
      <c r="AA5" s="510">
        <f>'HR Track 5 BIN'!AA11</f>
        <v>0</v>
      </c>
      <c r="AB5" s="510">
        <f>'HR Track 5 BIN'!AB11</f>
        <v>0</v>
      </c>
      <c r="AC5" s="508" t="str">
        <f>'HR Track 5 BIN'!AC11</f>
        <v/>
      </c>
      <c r="AD5" s="508">
        <f>'HR Track 5 BIN'!AD11</f>
        <v>0</v>
      </c>
      <c r="AE5" s="508">
        <f>'HR Track 5 BIN'!AE11</f>
        <v>0</v>
      </c>
      <c r="AF5" s="506">
        <f>'HR Track 5 BIN'!AF11</f>
        <v>0</v>
      </c>
      <c r="AG5" s="505">
        <f>'HR Track 5 BIN'!AG11</f>
        <v>0</v>
      </c>
      <c r="AH5" s="506">
        <f>'HR Track 5 BIN'!AH11</f>
        <v>0</v>
      </c>
      <c r="AI5" s="506">
        <f>'HR Track 5 BIN'!AI11</f>
        <v>0</v>
      </c>
      <c r="AJ5" s="508">
        <f>'HR Track 5 BIN'!AJ11</f>
        <v>0</v>
      </c>
      <c r="AK5" s="508">
        <f>'HR Track 5 BIN'!AK11</f>
        <v>0</v>
      </c>
      <c r="AL5" s="508">
        <f>'HR Track 5 BIN'!AL11</f>
        <v>0</v>
      </c>
      <c r="AM5" s="508">
        <f>'HR Track 5 BIN'!AM11</f>
        <v>0</v>
      </c>
      <c r="AN5" s="510">
        <f>'HR Track 5 BIN'!AN11</f>
        <v>0</v>
      </c>
      <c r="AO5" s="508">
        <f>'HR Track 5 BIN'!AO11</f>
        <v>0</v>
      </c>
      <c r="AP5" s="508">
        <f>'HR Track 5 BIN'!AP11</f>
        <v>0</v>
      </c>
      <c r="AQ5" s="510">
        <f>'HR Track 5 BIN'!AQ11</f>
        <v>-0.30107493930424001</v>
      </c>
      <c r="AR5" s="510">
        <f>'HR Track 5 BIN'!AR11</f>
        <v>0</v>
      </c>
      <c r="AS5" s="510">
        <f>'HR Track 5 BIN'!AS11</f>
        <v>0</v>
      </c>
      <c r="AT5" s="510">
        <f>'HR Track 5 BIN'!AT11</f>
        <v>0</v>
      </c>
      <c r="AU5" s="511">
        <f>'HR Track 5 BIN'!AU11</f>
        <v>0</v>
      </c>
      <c r="AV5" s="511">
        <f>'HR Track 5 BIN'!AV11</f>
        <v>0</v>
      </c>
      <c r="AW5" s="508" t="str">
        <f>'HR Track 5 BIN'!AW11</f>
        <v>Multi Soil</v>
      </c>
      <c r="AX5" s="508" t="str">
        <f>'HR Track 5 BIN'!AX11</f>
        <v>PT</v>
      </c>
      <c r="AY5" s="510" t="str">
        <f>'HR Track 5 BIN'!AY11</f>
        <v/>
      </c>
      <c r="AZ5" s="510">
        <f>'HR Track 5 BIN'!AZ11</f>
        <v>2.8</v>
      </c>
      <c r="BA5" s="491">
        <f>'HR Track 5 BIN'!BA11</f>
        <v>0</v>
      </c>
      <c r="BB5" s="491">
        <f>'HR Track 5 BIN'!BB11</f>
        <v>0</v>
      </c>
      <c r="BC5" s="491">
        <f>'HR Track 5 BIN'!BC11</f>
        <v>0</v>
      </c>
      <c r="BD5" s="512" t="str">
        <f>'HR Track 5 BIN'!BD11</f>
        <v/>
      </c>
      <c r="BE5" s="429" t="s">
        <v>118</v>
      </c>
      <c r="BF5" s="290"/>
      <c r="BG5" s="290"/>
      <c r="BH5" s="290"/>
      <c r="BI5" s="290"/>
    </row>
    <row r="6" spans="1:63" ht="16.149999999999999" customHeight="1">
      <c r="A6" s="634"/>
      <c r="B6" s="503" t="str">
        <f>'HR Track 3 BIN'!B10</f>
        <v>40-3.21</v>
      </c>
      <c r="C6" s="504">
        <f>'HR Track 3 BIN'!C10</f>
        <v>40826.639999999999</v>
      </c>
      <c r="D6" s="612">
        <f>'HR Track 3 BIN'!D10</f>
        <v>0</v>
      </c>
      <c r="E6" s="506">
        <f>'HR Track 3 BIN'!E10</f>
        <v>0</v>
      </c>
      <c r="F6" s="506">
        <f>'HR Track 3 BIN'!F10</f>
        <v>0</v>
      </c>
      <c r="G6" s="507">
        <f>'HR Track 3 BIN'!G10</f>
        <v>0</v>
      </c>
      <c r="H6" s="508" t="str">
        <f>'HR Track 3 BIN'!H10</f>
        <v>S/A A/S-Diag</v>
      </c>
      <c r="I6" s="508" t="str">
        <f>'HR Track 3 BIN'!I10</f>
        <v>CP+AnMC</v>
      </c>
      <c r="J6" s="509">
        <f>'HR Track 3 BIN'!J10</f>
        <v>0</v>
      </c>
      <c r="K6" s="508">
        <f>'HR Track 3 BIN'!K10</f>
        <v>0</v>
      </c>
      <c r="L6" s="508" t="str">
        <f>'HR Track 3 BIN'!L10</f>
        <v>HEB-280L</v>
      </c>
      <c r="M6" s="508" t="str">
        <f>'HR Track 3 BIN'!M10</f>
        <v>C5R</v>
      </c>
      <c r="N6" s="508" t="str">
        <f>'HR Track 3 BIN'!N10</f>
        <v>EMT-2</v>
      </c>
      <c r="O6" s="508" t="str">
        <f>'HR Track 3 BIN'!O10</f>
        <v>EMT-T</v>
      </c>
      <c r="P6" s="508">
        <f>'HR Track 3 BIN'!P10</f>
        <v>0</v>
      </c>
      <c r="Q6" s="506">
        <f>'HR Track 3 BIN'!Q10</f>
        <v>0</v>
      </c>
      <c r="R6" s="507">
        <f>'HR Track 3 BIN'!R10</f>
        <v>0</v>
      </c>
      <c r="S6" s="507">
        <f>'HR Track 3 BIN'!S10</f>
        <v>0</v>
      </c>
      <c r="T6" s="506">
        <f>'HR Track 3 BIN'!T10</f>
        <v>35</v>
      </c>
      <c r="U6" s="506">
        <f>'HR Track 3 BIN'!U10</f>
        <v>55</v>
      </c>
      <c r="V6" s="506">
        <f>'HR Track 3 BIN'!V10</f>
        <v>0</v>
      </c>
      <c r="W6" s="510">
        <f>'HR Track 3 BIN'!W10</f>
        <v>1.8</v>
      </c>
      <c r="X6" s="510">
        <f>'HR Track 3 BIN'!X10</f>
        <v>1.4</v>
      </c>
      <c r="Y6" s="510">
        <f>'HR Track 3 BIN'!Y10</f>
        <v>0</v>
      </c>
      <c r="Z6" s="510">
        <f>'HR Track 3 BIN'!Z10</f>
        <v>0</v>
      </c>
      <c r="AA6" s="510">
        <f>'HR Track 3 BIN'!AA10</f>
        <v>0.6</v>
      </c>
      <c r="AB6" s="510">
        <f>'HR Track 3 BIN'!AB10</f>
        <v>0</v>
      </c>
      <c r="AC6" s="508" t="str">
        <f>'HR Track 3 BIN'!AC10</f>
        <v>PH</v>
      </c>
      <c r="AD6" s="508">
        <f>'HR Track 3 BIN'!AD10</f>
        <v>0</v>
      </c>
      <c r="AE6" s="508">
        <f>'HR Track 3 BIN'!AE10</f>
        <v>0</v>
      </c>
      <c r="AF6" s="506">
        <f>'HR Track 3 BIN'!AF10</f>
        <v>0</v>
      </c>
      <c r="AG6" s="505">
        <f>'HR Track 3 BIN'!AG10</f>
        <v>0</v>
      </c>
      <c r="AH6" s="506">
        <f>'HR Track 3 BIN'!AH10</f>
        <v>0</v>
      </c>
      <c r="AI6" s="506">
        <f>'HR Track 3 BIN'!AI10</f>
        <v>0</v>
      </c>
      <c r="AJ6" s="508">
        <f>'HR Track 3 BIN'!AJ10</f>
        <v>0</v>
      </c>
      <c r="AK6" s="508">
        <f>'HR Track 3 BIN'!AK10</f>
        <v>0</v>
      </c>
      <c r="AL6" s="508" t="str">
        <f>'HR Track 3 BIN'!AL10</f>
        <v>PR1B</v>
      </c>
      <c r="AM6" s="508" t="str">
        <f>'HR Track 3 BIN'!AM10</f>
        <v>RW2</v>
      </c>
      <c r="AN6" s="510">
        <f>'HR Track 3 BIN'!AN10</f>
        <v>5.5</v>
      </c>
      <c r="AO6" s="508">
        <f>'HR Track 3 BIN'!AO10</f>
        <v>0</v>
      </c>
      <c r="AP6" s="508">
        <f>'HR Track 3 BIN'!AP10</f>
        <v>0</v>
      </c>
      <c r="AQ6" s="510">
        <f>'HR Track 3 BIN'!AQ10</f>
        <v>0</v>
      </c>
      <c r="AR6" s="510">
        <f>'HR Track 3 BIN'!AR10</f>
        <v>0</v>
      </c>
      <c r="AS6" s="510">
        <f>'HR Track 3 BIN'!AS10</f>
        <v>0</v>
      </c>
      <c r="AT6" s="510">
        <f>'HR Track 3 BIN'!AT10</f>
        <v>11.645710346389487</v>
      </c>
      <c r="AU6" s="511">
        <f>'HR Track 3 BIN'!AU10</f>
        <v>0</v>
      </c>
      <c r="AV6" s="511">
        <f>'HR Track 3 BIN'!AV10</f>
        <v>0</v>
      </c>
      <c r="AW6" s="508" t="str">
        <f>'HR Track 3 BIN'!AW10</f>
        <v>Multi Soil</v>
      </c>
      <c r="AX6" s="508" t="str">
        <f>'HR Track 3 BIN'!AX10</f>
        <v>PT</v>
      </c>
      <c r="AY6" s="510">
        <f>'HR Track 3 BIN'!AY10</f>
        <v>3.5</v>
      </c>
      <c r="AZ6" s="510" t="str">
        <f>'HR Track 3 BIN'!AZ10</f>
        <v/>
      </c>
      <c r="BA6" s="491">
        <f>'HR Track 3 BIN'!BA10</f>
        <v>0</v>
      </c>
      <c r="BB6" s="491">
        <f>'HR Track 3 BIN'!BB10</f>
        <v>0</v>
      </c>
      <c r="BC6" s="491">
        <f>'HR Track 3 BIN'!BC10</f>
        <v>0</v>
      </c>
      <c r="BD6" s="512" t="str">
        <f>'HR Track 3 BIN'!BD10</f>
        <v>App.8-V08H-P10.3</v>
      </c>
      <c r="BE6" s="429" t="s">
        <v>118</v>
      </c>
      <c r="BF6" s="289"/>
      <c r="BG6" s="289"/>
      <c r="BH6" s="290"/>
      <c r="BI6" s="289"/>
    </row>
    <row r="7" spans="1:63" ht="16.149999999999999" customHeight="1">
      <c r="A7" s="634"/>
      <c r="B7" s="503">
        <f>'HR Track 3 BIN'!B11</f>
        <v>0</v>
      </c>
      <c r="C7" s="504">
        <f>'HR Track 3 BIN'!C11</f>
        <v>0</v>
      </c>
      <c r="D7" s="505">
        <f>'HR Track 3 BIN'!D11</f>
        <v>0</v>
      </c>
      <c r="E7" s="506">
        <f>'HR Track 3 BIN'!E11</f>
        <v>0</v>
      </c>
      <c r="F7" s="506">
        <f>'HR Track 3 BIN'!F11</f>
        <v>0</v>
      </c>
      <c r="G7" s="507">
        <f>'HR Track 3 BIN'!G11</f>
        <v>40</v>
      </c>
      <c r="H7" s="508">
        <f>'HR Track 3 BIN'!H11</f>
        <v>0</v>
      </c>
      <c r="I7" s="508">
        <f>'HR Track 3 BIN'!I11</f>
        <v>0</v>
      </c>
      <c r="J7" s="509">
        <f>'HR Track 3 BIN'!J11</f>
        <v>0</v>
      </c>
      <c r="K7" s="508">
        <f>'HR Track 3 BIN'!K11</f>
        <v>0</v>
      </c>
      <c r="L7" s="508">
        <f>'HR Track 3 BIN'!L11</f>
        <v>0</v>
      </c>
      <c r="M7" s="508" t="str">
        <f>'HR Track 3 BIN'!M11</f>
        <v/>
      </c>
      <c r="N7" s="508">
        <f>'HR Track 3 BIN'!N11</f>
        <v>0</v>
      </c>
      <c r="O7" s="508">
        <f>'HR Track 3 BIN'!O11</f>
        <v>0</v>
      </c>
      <c r="P7" s="508">
        <f>'HR Track 3 BIN'!P11</f>
        <v>0</v>
      </c>
      <c r="Q7" s="506">
        <f>'HR Track 3 BIN'!Q11</f>
        <v>0</v>
      </c>
      <c r="R7" s="507">
        <f>'HR Track 3 BIN'!R11</f>
        <v>0</v>
      </c>
      <c r="S7" s="507">
        <f>'HR Track 3 BIN'!S11</f>
        <v>0</v>
      </c>
      <c r="T7" s="506">
        <f>'HR Track 3 BIN'!T11</f>
        <v>0</v>
      </c>
      <c r="U7" s="506">
        <f>'HR Track 3 BIN'!U11</f>
        <v>0</v>
      </c>
      <c r="V7" s="506">
        <f>'HR Track 3 BIN'!V11</f>
        <v>0</v>
      </c>
      <c r="W7" s="510">
        <f>'HR Track 3 BIN'!W11</f>
        <v>0</v>
      </c>
      <c r="X7" s="510">
        <f>'HR Track 3 BIN'!X11</f>
        <v>0</v>
      </c>
      <c r="Y7" s="510">
        <f>'HR Track 3 BIN'!Y11</f>
        <v>0</v>
      </c>
      <c r="Z7" s="510">
        <f>'HR Track 3 BIN'!Z11</f>
        <v>0</v>
      </c>
      <c r="AA7" s="510">
        <f>'HR Track 3 BIN'!AA11</f>
        <v>0</v>
      </c>
      <c r="AB7" s="510">
        <f>'HR Track 3 BIN'!AB11</f>
        <v>0</v>
      </c>
      <c r="AC7" s="508" t="str">
        <f>'HR Track 3 BIN'!AC11</f>
        <v/>
      </c>
      <c r="AD7" s="508">
        <f>'HR Track 3 BIN'!AD11</f>
        <v>0</v>
      </c>
      <c r="AE7" s="508">
        <f>'HR Track 3 BIN'!AE11</f>
        <v>0</v>
      </c>
      <c r="AF7" s="506">
        <f>'HR Track 3 BIN'!AF11</f>
        <v>0</v>
      </c>
      <c r="AG7" s="505">
        <f>'HR Track 3 BIN'!AG11</f>
        <v>0</v>
      </c>
      <c r="AH7" s="506">
        <f>'HR Track 3 BIN'!AH11</f>
        <v>0</v>
      </c>
      <c r="AI7" s="506">
        <f>'HR Track 3 BIN'!AI11</f>
        <v>0</v>
      </c>
      <c r="AJ7" s="508">
        <f>'HR Track 3 BIN'!AJ11</f>
        <v>0</v>
      </c>
      <c r="AK7" s="508">
        <f>'HR Track 3 BIN'!AK11</f>
        <v>0</v>
      </c>
      <c r="AL7" s="508">
        <f>'HR Track 3 BIN'!AL11</f>
        <v>0</v>
      </c>
      <c r="AM7" s="508">
        <f>'HR Track 3 BIN'!AM11</f>
        <v>0</v>
      </c>
      <c r="AN7" s="510">
        <f>'HR Track 3 BIN'!AN11</f>
        <v>0</v>
      </c>
      <c r="AO7" s="508">
        <f>'HR Track 3 BIN'!AO11</f>
        <v>0</v>
      </c>
      <c r="AP7" s="508">
        <f>'HR Track 3 BIN'!AP11</f>
        <v>0</v>
      </c>
      <c r="AQ7" s="510">
        <f>'HR Track 3 BIN'!AQ11</f>
        <v>0.35000000000000125</v>
      </c>
      <c r="AR7" s="510">
        <f>'HR Track 3 BIN'!AR11</f>
        <v>0</v>
      </c>
      <c r="AS7" s="510">
        <f>'HR Track 3 BIN'!AS11</f>
        <v>0</v>
      </c>
      <c r="AT7" s="510">
        <f>'HR Track 3 BIN'!AT11</f>
        <v>0</v>
      </c>
      <c r="AU7" s="511">
        <f>'HR Track 3 BIN'!AU11</f>
        <v>0</v>
      </c>
      <c r="AV7" s="511">
        <f>'HR Track 3 BIN'!AV11</f>
        <v>0</v>
      </c>
      <c r="AW7" s="508" t="str">
        <f>'HR Track 3 BIN'!AW11</f>
        <v/>
      </c>
      <c r="AX7" s="508" t="str">
        <f>'HR Track 3 BIN'!AX11</f>
        <v/>
      </c>
      <c r="AY7" s="510" t="str">
        <f>'HR Track 3 BIN'!AY11</f>
        <v/>
      </c>
      <c r="AZ7" s="510" t="str">
        <f>'HR Track 3 BIN'!AZ11</f>
        <v/>
      </c>
      <c r="BA7" s="491">
        <f>'HR Track 3 BIN'!BA11</f>
        <v>0</v>
      </c>
      <c r="BB7" s="491">
        <f>'HR Track 3 BIN'!BB11</f>
        <v>0</v>
      </c>
      <c r="BC7" s="491">
        <f>'HR Track 3 BIN'!BC11</f>
        <v>0</v>
      </c>
      <c r="BD7" s="512">
        <f>'HR Track 3 BIN'!BD11</f>
        <v>0</v>
      </c>
      <c r="BE7" s="429" t="s">
        <v>118</v>
      </c>
      <c r="BF7" s="290"/>
      <c r="BG7" s="290"/>
      <c r="BH7" s="290"/>
      <c r="BI7" s="290"/>
    </row>
    <row r="8" spans="1:63" ht="16.149999999999999" customHeight="1">
      <c r="A8" s="634"/>
      <c r="B8" s="503" t="str">
        <f>'HR Track 3 BIN'!B12</f>
        <v>40-3.22</v>
      </c>
      <c r="C8" s="504">
        <f>'HR Track 3 BIN'!C12</f>
        <v>40866.639999999999</v>
      </c>
      <c r="D8" s="505">
        <f>'HR Track 3 BIN'!D12</f>
        <v>0</v>
      </c>
      <c r="E8" s="506">
        <f>'HR Track 3 BIN'!E12</f>
        <v>0</v>
      </c>
      <c r="F8" s="506">
        <f>'HR Track 3 BIN'!F12</f>
        <v>0</v>
      </c>
      <c r="G8" s="507">
        <f>'HR Track 3 BIN'!G12</f>
        <v>0</v>
      </c>
      <c r="H8" s="508" t="str">
        <f>'HR Track 3 BIN'!H12</f>
        <v>A/S S/A</v>
      </c>
      <c r="I8" s="508" t="str">
        <f>'HR Track 3 BIN'!I12</f>
        <v>CP+AnMC</v>
      </c>
      <c r="J8" s="509">
        <f>'HR Track 3 BIN'!J12</f>
        <v>0</v>
      </c>
      <c r="K8" s="508">
        <f>'HR Track 3 BIN'!K12</f>
        <v>0</v>
      </c>
      <c r="L8" s="508" t="str">
        <f>'HR Track 3 BIN'!L12</f>
        <v>HEB-450PL</v>
      </c>
      <c r="M8" s="508" t="str">
        <f>'HR Track 3 BIN'!M12</f>
        <v>C12R</v>
      </c>
      <c r="N8" s="508" t="str">
        <f>'HR Track 3 BIN'!N12</f>
        <v>EMT-TP</v>
      </c>
      <c r="O8" s="508" t="str">
        <f>'HR Track 3 BIN'!O12</f>
        <v>EMT-2P</v>
      </c>
      <c r="P8" s="508">
        <f>'HR Track 3 BIN'!P12</f>
        <v>0</v>
      </c>
      <c r="Q8" s="506">
        <f>'HR Track 3 BIN'!Q12</f>
        <v>0</v>
      </c>
      <c r="R8" s="507">
        <f>'HR Track 3 BIN'!R12</f>
        <v>0</v>
      </c>
      <c r="S8" s="507">
        <f>'HR Track 3 BIN'!S12</f>
        <v>0</v>
      </c>
      <c r="T8" s="506">
        <f>'HR Track 3 BIN'!T12</f>
        <v>-10</v>
      </c>
      <c r="U8" s="506">
        <f>'HR Track 3 BIN'!U12</f>
        <v>35</v>
      </c>
      <c r="V8" s="506">
        <f>'HR Track 3 BIN'!V12</f>
        <v>0</v>
      </c>
      <c r="W8" s="510">
        <f>'HR Track 3 BIN'!W12</f>
        <v>1.8</v>
      </c>
      <c r="X8" s="510">
        <f>'HR Track 3 BIN'!X12</f>
        <v>1.4</v>
      </c>
      <c r="Y8" s="510">
        <f>'HR Track 3 BIN'!Y12</f>
        <v>0</v>
      </c>
      <c r="Z8" s="510">
        <f>'HR Track 3 BIN'!Z12</f>
        <v>0.5</v>
      </c>
      <c r="AA8" s="510">
        <f>'HR Track 3 BIN'!AA12</f>
        <v>0</v>
      </c>
      <c r="AB8" s="510">
        <f>'HR Track 3 BIN'!AB12</f>
        <v>0</v>
      </c>
      <c r="AC8" s="508">
        <f>'HR Track 3 BIN'!AC12</f>
        <v>0</v>
      </c>
      <c r="AD8" s="508">
        <f>'HR Track 3 BIN'!AD12</f>
        <v>0</v>
      </c>
      <c r="AE8" s="508">
        <f>'HR Track 3 BIN'!AE12</f>
        <v>0</v>
      </c>
      <c r="AF8" s="506">
        <f>'HR Track 3 BIN'!AF12</f>
        <v>0</v>
      </c>
      <c r="AG8" s="505">
        <f>'HR Track 3 BIN'!AG12</f>
        <v>0</v>
      </c>
      <c r="AH8" s="506">
        <f>'HR Track 3 BIN'!AH12</f>
        <v>0</v>
      </c>
      <c r="AI8" s="506">
        <f>'HR Track 3 BIN'!AI12</f>
        <v>0</v>
      </c>
      <c r="AJ8" s="508">
        <f>'HR Track 3 BIN'!AJ12</f>
        <v>0</v>
      </c>
      <c r="AK8" s="508" t="str">
        <f>'HR Track 3 BIN'!AK12</f>
        <v>S2</v>
      </c>
      <c r="AL8" s="508" t="str">
        <f>'HR Track 3 BIN'!AL12</f>
        <v>PR1C</v>
      </c>
      <c r="AM8" s="508" t="str">
        <f>'HR Track 3 BIN'!AM12</f>
        <v>RW2</v>
      </c>
      <c r="AN8" s="510">
        <f>'HR Track 3 BIN'!AN12</f>
        <v>5.5</v>
      </c>
      <c r="AO8" s="508">
        <f>'HR Track 3 BIN'!AO12</f>
        <v>0</v>
      </c>
      <c r="AP8" s="508">
        <f>'HR Track 3 BIN'!AP12</f>
        <v>0</v>
      </c>
      <c r="AQ8" s="510">
        <f>'HR Track 3 BIN'!AQ12</f>
        <v>0</v>
      </c>
      <c r="AR8" s="510">
        <f>'HR Track 3 BIN'!AR12</f>
        <v>0</v>
      </c>
      <c r="AS8" s="510">
        <f>'HR Track 3 BIN'!AS12</f>
        <v>0</v>
      </c>
      <c r="AT8" s="510">
        <f>'HR Track 3 BIN'!AT12</f>
        <v>-5.3338110802425458</v>
      </c>
      <c r="AU8" s="511">
        <f>'HR Track 3 BIN'!AU12</f>
        <v>0</v>
      </c>
      <c r="AV8" s="511">
        <f>'HR Track 3 BIN'!AV12</f>
        <v>0</v>
      </c>
      <c r="AW8" s="508" t="str">
        <f>'HR Track 3 BIN'!AW12</f>
        <v>Multi Soil</v>
      </c>
      <c r="AX8" s="508" t="str">
        <f>'HR Track 3 BIN'!AX12</f>
        <v>PT</v>
      </c>
      <c r="AY8" s="510">
        <f>'HR Track 3 BIN'!AY12</f>
        <v>6.2</v>
      </c>
      <c r="AZ8" s="510" t="str">
        <f>'HR Track 3 BIN'!AZ12</f>
        <v/>
      </c>
      <c r="BA8" s="491">
        <f>'HR Track 3 BIN'!BA12</f>
        <v>0</v>
      </c>
      <c r="BB8" s="491">
        <f>'HR Track 3 BIN'!BB12</f>
        <v>0</v>
      </c>
      <c r="BC8" s="491">
        <f>'HR Track 3 BIN'!BC12</f>
        <v>0</v>
      </c>
      <c r="BD8" s="512" t="str">
        <f>'HR Track 3 BIN'!BD12</f>
        <v>App.8-V08H-P10.3</v>
      </c>
      <c r="BE8" s="429" t="s">
        <v>118</v>
      </c>
      <c r="BF8" s="289"/>
      <c r="BG8" s="289"/>
      <c r="BH8" s="290"/>
      <c r="BI8" s="289"/>
    </row>
    <row r="9" spans="1:63" ht="16.149999999999999" customHeight="1">
      <c r="A9" s="634"/>
      <c r="B9" s="503">
        <f>'HR Track 3 BIN'!B13</f>
        <v>0</v>
      </c>
      <c r="C9" s="504">
        <f>'HR Track 3 BIN'!C13</f>
        <v>0</v>
      </c>
      <c r="D9" s="505">
        <f>'HR Track 3 BIN'!D13</f>
        <v>0</v>
      </c>
      <c r="E9" s="506">
        <f>'HR Track 3 BIN'!E13</f>
        <v>0</v>
      </c>
      <c r="F9" s="506">
        <f>'HR Track 3 BIN'!F13</f>
        <v>0</v>
      </c>
      <c r="G9" s="507">
        <f>'HR Track 3 BIN'!G13</f>
        <v>38.1</v>
      </c>
      <c r="H9" s="508">
        <f>'HR Track 3 BIN'!H13</f>
        <v>0</v>
      </c>
      <c r="I9" s="508">
        <f>'HR Track 3 BIN'!I13</f>
        <v>0</v>
      </c>
      <c r="J9" s="509">
        <f>'HR Track 3 BIN'!J13</f>
        <v>0</v>
      </c>
      <c r="K9" s="508">
        <f>'HR Track 3 BIN'!K13</f>
        <v>0</v>
      </c>
      <c r="L9" s="508">
        <f>'HR Track 3 BIN'!L13</f>
        <v>0</v>
      </c>
      <c r="M9" s="508" t="str">
        <f>'HR Track 3 BIN'!M13</f>
        <v/>
      </c>
      <c r="N9" s="508">
        <f>'HR Track 3 BIN'!N13</f>
        <v>0</v>
      </c>
      <c r="O9" s="508">
        <f>'HR Track 3 BIN'!O13</f>
        <v>0</v>
      </c>
      <c r="P9" s="508">
        <f>'HR Track 3 BIN'!P13</f>
        <v>0</v>
      </c>
      <c r="Q9" s="506">
        <f>'HR Track 3 BIN'!Q13</f>
        <v>0</v>
      </c>
      <c r="R9" s="507">
        <f>'HR Track 3 BIN'!R13</f>
        <v>0</v>
      </c>
      <c r="S9" s="507">
        <f>'HR Track 3 BIN'!S13</f>
        <v>0</v>
      </c>
      <c r="T9" s="506">
        <f>'HR Track 3 BIN'!T13</f>
        <v>0</v>
      </c>
      <c r="U9" s="506">
        <f>'HR Track 3 BIN'!U13</f>
        <v>0</v>
      </c>
      <c r="V9" s="506">
        <f>'HR Track 3 BIN'!V13</f>
        <v>0</v>
      </c>
      <c r="W9" s="510">
        <f>'HR Track 3 BIN'!W13</f>
        <v>0</v>
      </c>
      <c r="X9" s="510">
        <f>'HR Track 3 BIN'!X13</f>
        <v>0</v>
      </c>
      <c r="Y9" s="510">
        <f>'HR Track 3 BIN'!Y13</f>
        <v>0</v>
      </c>
      <c r="Z9" s="510">
        <f>'HR Track 3 BIN'!Z13</f>
        <v>0</v>
      </c>
      <c r="AA9" s="510">
        <f>'HR Track 3 BIN'!AA13</f>
        <v>0</v>
      </c>
      <c r="AB9" s="510">
        <f>'HR Track 3 BIN'!AB13</f>
        <v>0</v>
      </c>
      <c r="AC9" s="508" t="str">
        <f>'HR Track 3 BIN'!AC13</f>
        <v/>
      </c>
      <c r="AD9" s="508">
        <f>'HR Track 3 BIN'!AD13</f>
        <v>0</v>
      </c>
      <c r="AE9" s="508">
        <f>'HR Track 3 BIN'!AE13</f>
        <v>0</v>
      </c>
      <c r="AF9" s="506">
        <f>'HR Track 3 BIN'!AF13</f>
        <v>0</v>
      </c>
      <c r="AG9" s="505">
        <f>'HR Track 3 BIN'!AG13</f>
        <v>0</v>
      </c>
      <c r="AH9" s="506">
        <f>'HR Track 3 BIN'!AH13</f>
        <v>0</v>
      </c>
      <c r="AI9" s="506">
        <f>'HR Track 3 BIN'!AI13</f>
        <v>0</v>
      </c>
      <c r="AJ9" s="508">
        <f>'HR Track 3 BIN'!AJ13</f>
        <v>0</v>
      </c>
      <c r="AK9" s="508">
        <f>'HR Track 3 BIN'!AK13</f>
        <v>0</v>
      </c>
      <c r="AL9" s="508">
        <f>'HR Track 3 BIN'!AL13</f>
        <v>0</v>
      </c>
      <c r="AM9" s="508">
        <f>'HR Track 3 BIN'!AM13</f>
        <v>0</v>
      </c>
      <c r="AN9" s="510">
        <f>'HR Track 3 BIN'!AN13</f>
        <v>0</v>
      </c>
      <c r="AO9" s="508">
        <f>'HR Track 3 BIN'!AO13</f>
        <v>0</v>
      </c>
      <c r="AP9" s="508">
        <f>'HR Track 3 BIN'!AP13</f>
        <v>0</v>
      </c>
      <c r="AQ9" s="510">
        <f>'HR Track 3 BIN'!AQ13</f>
        <v>0.35</v>
      </c>
      <c r="AR9" s="510">
        <f>'HR Track 3 BIN'!AR13</f>
        <v>0</v>
      </c>
      <c r="AS9" s="510">
        <f>'HR Track 3 BIN'!AS13</f>
        <v>0</v>
      </c>
      <c r="AT9" s="510">
        <f>'HR Track 3 BIN'!AT13</f>
        <v>0</v>
      </c>
      <c r="AU9" s="511">
        <f>'HR Track 3 BIN'!AU13</f>
        <v>0</v>
      </c>
      <c r="AV9" s="511">
        <f>'HR Track 3 BIN'!AV13</f>
        <v>0</v>
      </c>
      <c r="AW9" s="508" t="str">
        <f>'HR Track 3 BIN'!AW13</f>
        <v/>
      </c>
      <c r="AX9" s="508" t="str">
        <f>'HR Track 3 BIN'!AX13</f>
        <v/>
      </c>
      <c r="AY9" s="510" t="str">
        <f>'HR Track 3 BIN'!AY13</f>
        <v/>
      </c>
      <c r="AZ9" s="510" t="str">
        <f>'HR Track 3 BIN'!AZ13</f>
        <v/>
      </c>
      <c r="BA9" s="491">
        <f>'HR Track 3 BIN'!BA13</f>
        <v>0</v>
      </c>
      <c r="BB9" s="491">
        <f>'HR Track 3 BIN'!BB13</f>
        <v>0</v>
      </c>
      <c r="BC9" s="491">
        <f>'HR Track 3 BIN'!BC13</f>
        <v>0</v>
      </c>
      <c r="BD9" s="512">
        <f>'HR Track 3 BIN'!BD13</f>
        <v>0</v>
      </c>
      <c r="BE9" s="429" t="s">
        <v>118</v>
      </c>
      <c r="BF9" s="290"/>
      <c r="BG9" s="290"/>
      <c r="BH9" s="290"/>
      <c r="BI9" s="290"/>
    </row>
    <row r="10" spans="1:63" ht="16.149999999999999" customHeight="1">
      <c r="A10" s="502" t="str">
        <f>'HR Track 3 BIN'!A14</f>
        <v>BIN-06</v>
      </c>
      <c r="B10" s="503" t="str">
        <f>'HR Track 3 BIN'!B14</f>
        <v>40-3.23</v>
      </c>
      <c r="C10" s="504">
        <f>'HR Track 3 BIN'!C14</f>
        <v>40904.74</v>
      </c>
      <c r="D10" s="505">
        <f>'HR Track 3 BIN'!D14</f>
        <v>0</v>
      </c>
      <c r="E10" s="506">
        <f>'HR Track 3 BIN'!E14</f>
        <v>0</v>
      </c>
      <c r="F10" s="506">
        <f>'HR Track 3 BIN'!F14</f>
        <v>0</v>
      </c>
      <c r="G10" s="507">
        <f>'HR Track 3 BIN'!G14</f>
        <v>0</v>
      </c>
      <c r="H10" s="508" t="str">
        <f>'HR Track 3 BIN'!H14</f>
        <v>S/A P50(CS)</v>
      </c>
      <c r="I10" s="508">
        <f>'HR Track 3 BIN'!I14</f>
        <v>0</v>
      </c>
      <c r="J10" s="509">
        <f>'HR Track 3 BIN'!J14</f>
        <v>0</v>
      </c>
      <c r="K10" s="508">
        <f>'HR Track 3 BIN'!K14</f>
        <v>0</v>
      </c>
      <c r="L10" s="508" t="str">
        <f>'HR Track 3 BIN'!L14</f>
        <v>HEB-280L</v>
      </c>
      <c r="M10" s="508" t="str">
        <f>'HR Track 3 BIN'!M14</f>
        <v>C5R</v>
      </c>
      <c r="N10" s="508" t="str">
        <f>'HR Track 3 BIN'!N14</f>
        <v>EMT-T</v>
      </c>
      <c r="O10" s="508" t="str">
        <f>'HR Track 3 BIN'!O14</f>
        <v>EMT-2</v>
      </c>
      <c r="P10" s="508" t="str">
        <f>'HR Track 3 BIN'!P14</f>
        <v>EMT-1</v>
      </c>
      <c r="Q10" s="506">
        <f>'HR Track 3 BIN'!Q14</f>
        <v>0</v>
      </c>
      <c r="R10" s="507">
        <f>'HR Track 3 BIN'!R14</f>
        <v>0</v>
      </c>
      <c r="S10" s="507">
        <f>'HR Track 3 BIN'!S14</f>
        <v>0</v>
      </c>
      <c r="T10" s="506">
        <f>'HR Track 3 BIN'!T14</f>
        <v>55</v>
      </c>
      <c r="U10" s="506">
        <f>'HR Track 3 BIN'!U14</f>
        <v>35</v>
      </c>
      <c r="V10" s="506">
        <f>'HR Track 3 BIN'!V14</f>
        <v>20</v>
      </c>
      <c r="W10" s="510">
        <f>'HR Track 3 BIN'!W14</f>
        <v>1.4</v>
      </c>
      <c r="X10" s="510">
        <f>'HR Track 3 BIN'!X14</f>
        <v>1.8</v>
      </c>
      <c r="Y10" s="510">
        <f>'HR Track 3 BIN'!Y14</f>
        <v>2</v>
      </c>
      <c r="Z10" s="510">
        <f>'HR Track 3 BIN'!Z14</f>
        <v>0.2</v>
      </c>
      <c r="AA10" s="510">
        <f>'HR Track 3 BIN'!AA14</f>
        <v>0</v>
      </c>
      <c r="AB10" s="510">
        <f>'HR Track 3 BIN'!AB14</f>
        <v>0</v>
      </c>
      <c r="AC10" s="508">
        <f>'HR Track 3 BIN'!AC14</f>
        <v>0</v>
      </c>
      <c r="AD10" s="508">
        <f>'HR Track 3 BIN'!AD14</f>
        <v>0</v>
      </c>
      <c r="AE10" s="508">
        <f>'HR Track 3 BIN'!AE14</f>
        <v>0</v>
      </c>
      <c r="AF10" s="506">
        <f>'HR Track 3 BIN'!AF14</f>
        <v>0</v>
      </c>
      <c r="AG10" s="505">
        <f>'HR Track 3 BIN'!AG14</f>
        <v>0</v>
      </c>
      <c r="AH10" s="506">
        <f>'HR Track 3 BIN'!AH14</f>
        <v>0</v>
      </c>
      <c r="AI10" s="506">
        <f>'HR Track 3 BIN'!AI14</f>
        <v>0</v>
      </c>
      <c r="AJ10" s="508" t="str">
        <f>'HR Track 3 BIN'!AJ14</f>
        <v>Disc-pr</v>
      </c>
      <c r="AK10" s="508">
        <f>'HR Track 3 BIN'!AK14</f>
        <v>0</v>
      </c>
      <c r="AL10" s="508" t="str">
        <f>'HR Track 3 BIN'!AL14</f>
        <v>PR1B</v>
      </c>
      <c r="AM10" s="508" t="str">
        <f>'HR Track 3 BIN'!AM14</f>
        <v>RW2</v>
      </c>
      <c r="AN10" s="510">
        <f>'HR Track 3 BIN'!AN14</f>
        <v>5.5</v>
      </c>
      <c r="AO10" s="508">
        <f>'HR Track 3 BIN'!AO14</f>
        <v>0</v>
      </c>
      <c r="AP10" s="508">
        <f>'HR Track 3 BIN'!AP14</f>
        <v>0</v>
      </c>
      <c r="AQ10" s="510">
        <f>'HR Track 3 BIN'!AQ14</f>
        <v>0</v>
      </c>
      <c r="AR10" s="510">
        <f>'HR Track 3 BIN'!AR14</f>
        <v>0</v>
      </c>
      <c r="AS10" s="510">
        <f>'HR Track 3 BIN'!AS14</f>
        <v>0</v>
      </c>
      <c r="AT10" s="510">
        <f>'HR Track 3 BIN'!AT14</f>
        <v>4.3698909802101591</v>
      </c>
      <c r="AU10" s="511">
        <f>'HR Track 3 BIN'!AU14</f>
        <v>0</v>
      </c>
      <c r="AV10" s="511">
        <f>'HR Track 3 BIN'!AV14</f>
        <v>0</v>
      </c>
      <c r="AW10" s="508" t="str">
        <f>'HR Track 3 BIN'!AW14</f>
        <v>Multi Soil</v>
      </c>
      <c r="AX10" s="508" t="str">
        <f>'HR Track 3 BIN'!AX14</f>
        <v>PT</v>
      </c>
      <c r="AY10" s="510">
        <f>'HR Track 3 BIN'!AY14</f>
        <v>3.5</v>
      </c>
      <c r="AZ10" s="510" t="str">
        <f>'HR Track 3 BIN'!AZ14</f>
        <v/>
      </c>
      <c r="BA10" s="491">
        <f>'HR Track 3 BIN'!BA14</f>
        <v>0</v>
      </c>
      <c r="BB10" s="491">
        <f>'HR Track 3 BIN'!BB14</f>
        <v>0</v>
      </c>
      <c r="BC10" s="491">
        <f>'HR Track 3 BIN'!BC14</f>
        <v>0</v>
      </c>
      <c r="BD10" s="512" t="str">
        <f>'HR Track 3 BIN'!BD14</f>
        <v>App.8-V08H-P10.3</v>
      </c>
      <c r="BE10" s="429" t="s">
        <v>118</v>
      </c>
      <c r="BF10" s="289"/>
      <c r="BG10" s="289"/>
      <c r="BH10" s="290"/>
      <c r="BI10" s="289"/>
    </row>
    <row r="11" spans="1:63" ht="16.149999999999999" customHeight="1">
      <c r="A11" s="389"/>
      <c r="B11" s="600">
        <f>'HR Track 3 BIN'!B15</f>
        <v>0</v>
      </c>
      <c r="C11" s="592">
        <f>'HR Track 3 BIN'!C15</f>
        <v>0</v>
      </c>
      <c r="D11" s="593">
        <f>'HR Track 3 BIN'!D15</f>
        <v>0</v>
      </c>
      <c r="E11" s="594">
        <f>'HR Track 3 BIN'!E15</f>
        <v>0</v>
      </c>
      <c r="F11" s="594">
        <f>'HR Track 3 BIN'!F15</f>
        <v>0</v>
      </c>
      <c r="G11" s="595">
        <f>'HR Track 3 BIN'!G15</f>
        <v>27.5</v>
      </c>
      <c r="H11" s="596">
        <f>'HR Track 3 BIN'!H15</f>
        <v>0</v>
      </c>
      <c r="I11" s="596">
        <f>'HR Track 3 BIN'!I15</f>
        <v>0</v>
      </c>
      <c r="J11" s="601">
        <f>'HR Track 3 BIN'!J15</f>
        <v>40924.74</v>
      </c>
      <c r="K11" s="596" t="str">
        <f>'HR Track 3 BIN'!K15</f>
        <v>AnMC-R</v>
      </c>
      <c r="L11" s="596">
        <f>'HR Track 3 BIN'!L15</f>
        <v>0</v>
      </c>
      <c r="M11" s="596" t="str">
        <f>'HR Track 3 BIN'!M15</f>
        <v/>
      </c>
      <c r="N11" s="596">
        <f>'HR Track 3 BIN'!N15</f>
        <v>0</v>
      </c>
      <c r="O11" s="596">
        <f>'HR Track 3 BIN'!O15</f>
        <v>0</v>
      </c>
      <c r="P11" s="596">
        <f>'HR Track 3 BIN'!P15</f>
        <v>0</v>
      </c>
      <c r="Q11" s="594">
        <f>'HR Track 3 BIN'!Q15</f>
        <v>0</v>
      </c>
      <c r="R11" s="595">
        <f>'HR Track 3 BIN'!R15</f>
        <v>0</v>
      </c>
      <c r="S11" s="595">
        <f>'HR Track 3 BIN'!S15</f>
        <v>0</v>
      </c>
      <c r="T11" s="594">
        <f>'HR Track 3 BIN'!T15</f>
        <v>0</v>
      </c>
      <c r="U11" s="594">
        <f>'HR Track 3 BIN'!U15</f>
        <v>0</v>
      </c>
      <c r="V11" s="594">
        <f>'HR Track 3 BIN'!V15</f>
        <v>0</v>
      </c>
      <c r="W11" s="597">
        <f>'HR Track 3 BIN'!W15</f>
        <v>0</v>
      </c>
      <c r="X11" s="597">
        <f>'HR Track 3 BIN'!X15</f>
        <v>0</v>
      </c>
      <c r="Y11" s="597">
        <f>'HR Track 3 BIN'!Y15</f>
        <v>0</v>
      </c>
      <c r="Z11" s="597">
        <f>'HR Track 3 BIN'!Z15</f>
        <v>0</v>
      </c>
      <c r="AA11" s="597">
        <f>'HR Track 3 BIN'!AA15</f>
        <v>0</v>
      </c>
      <c r="AB11" s="597">
        <f>'HR Track 3 BIN'!AB15</f>
        <v>0</v>
      </c>
      <c r="AC11" s="596" t="str">
        <f>'HR Track 3 BIN'!AC15</f>
        <v/>
      </c>
      <c r="AD11" s="596">
        <f>'HR Track 3 BIN'!AD15</f>
        <v>0</v>
      </c>
      <c r="AE11" s="596">
        <f>'HR Track 3 BIN'!AE15</f>
        <v>0</v>
      </c>
      <c r="AF11" s="594">
        <f>'HR Track 3 BIN'!AF15</f>
        <v>0</v>
      </c>
      <c r="AG11" s="593">
        <f>'HR Track 3 BIN'!AG15</f>
        <v>0</v>
      </c>
      <c r="AH11" s="594">
        <f>'HR Track 3 BIN'!AH15</f>
        <v>0</v>
      </c>
      <c r="AI11" s="594">
        <f>'HR Track 3 BIN'!AI15</f>
        <v>0</v>
      </c>
      <c r="AJ11" s="596">
        <f>'HR Track 3 BIN'!AJ15</f>
        <v>0</v>
      </c>
      <c r="AK11" s="596">
        <f>'HR Track 3 BIN'!AK15</f>
        <v>0</v>
      </c>
      <c r="AL11" s="596">
        <f>'HR Track 3 BIN'!AL15</f>
        <v>0</v>
      </c>
      <c r="AM11" s="596">
        <f>'HR Track 3 BIN'!AM15</f>
        <v>0</v>
      </c>
      <c r="AN11" s="597">
        <f>'HR Track 3 BIN'!AN15</f>
        <v>0</v>
      </c>
      <c r="AO11" s="596">
        <f>'HR Track 3 BIN'!AO15</f>
        <v>0</v>
      </c>
      <c r="AP11" s="596">
        <f>'HR Track 3 BIN'!AP15</f>
        <v>0</v>
      </c>
      <c r="AQ11" s="597">
        <f>'HR Track 3 BIN'!AQ15</f>
        <v>0.35000000000002218</v>
      </c>
      <c r="AR11" s="597">
        <f>'HR Track 3 BIN'!AR15</f>
        <v>0</v>
      </c>
      <c r="AS11" s="597">
        <f>'HR Track 3 BIN'!AS15</f>
        <v>0</v>
      </c>
      <c r="AT11" s="597">
        <f>'HR Track 3 BIN'!AT15</f>
        <v>0</v>
      </c>
      <c r="AU11" s="598">
        <f>'HR Track 3 BIN'!AU15</f>
        <v>0</v>
      </c>
      <c r="AV11" s="598">
        <f>'HR Track 3 BIN'!AV15</f>
        <v>0</v>
      </c>
      <c r="AW11" s="596" t="str">
        <f>'HR Track 3 BIN'!AW15</f>
        <v>Multi Soil</v>
      </c>
      <c r="AX11" s="596" t="str">
        <f>'HR Track 3 BIN'!AX15</f>
        <v>PT</v>
      </c>
      <c r="AY11" s="597" t="str">
        <f>'HR Track 3 BIN'!AY15</f>
        <v/>
      </c>
      <c r="AZ11" s="597">
        <f>'HR Track 3 BIN'!AZ15</f>
        <v>3.9</v>
      </c>
      <c r="BA11" s="474">
        <f>'HR Track 3 BIN'!BA15</f>
        <v>0</v>
      </c>
      <c r="BB11" s="474">
        <f>'HR Track 3 BIN'!BB15</f>
        <v>0</v>
      </c>
      <c r="BC11" s="474">
        <f>'HR Track 3 BIN'!BC15</f>
        <v>0</v>
      </c>
      <c r="BD11" s="602">
        <f>'HR Track 3 BIN'!BD15</f>
        <v>0</v>
      </c>
      <c r="BE11" s="429" t="s">
        <v>118</v>
      </c>
      <c r="BF11" s="290"/>
      <c r="BG11" s="290"/>
      <c r="BH11" s="290"/>
      <c r="BI11" s="290"/>
    </row>
    <row r="12" spans="1:63" ht="16.149999999999999" customHeight="1">
      <c r="A12" s="389"/>
      <c r="B12" s="600" t="str">
        <f>'HR Track 3 BIN'!B16</f>
        <v>40-3.24</v>
      </c>
      <c r="C12" s="592">
        <f>'HR Track 3 BIN'!C16</f>
        <v>40932.239999999998</v>
      </c>
      <c r="D12" s="593">
        <f>'HR Track 3 BIN'!D16</f>
        <v>0</v>
      </c>
      <c r="E12" s="594">
        <f>'HR Track 3 BIN'!E16</f>
        <v>0</v>
      </c>
      <c r="F12" s="594">
        <f>'HR Track 3 BIN'!F16</f>
        <v>0</v>
      </c>
      <c r="G12" s="595">
        <f>'HR Track 3 BIN'!G16</f>
        <v>0</v>
      </c>
      <c r="H12" s="596" t="str">
        <f>'HR Track 3 BIN'!H16</f>
        <v>P50(CS) S/A A/S-Diag</v>
      </c>
      <c r="I12" s="596" t="str">
        <f>'HR Track 3 BIN'!I16</f>
        <v>FP+AnMC</v>
      </c>
      <c r="J12" s="601">
        <f>'HR Track 3 BIN'!J16</f>
        <v>0</v>
      </c>
      <c r="K12" s="596">
        <f>'HR Track 3 BIN'!K16</f>
        <v>0</v>
      </c>
      <c r="L12" s="596" t="str">
        <f>'HR Track 3 BIN'!L16</f>
        <v>HEB-280L</v>
      </c>
      <c r="M12" s="596" t="str">
        <f>'HR Track 3 BIN'!M16</f>
        <v>C5R</v>
      </c>
      <c r="N12" s="596" t="str">
        <f>'HR Track 3 BIN'!N16</f>
        <v>EMT-2</v>
      </c>
      <c r="O12" s="596" t="str">
        <f>'HR Track 3 BIN'!O16</f>
        <v>EMT-1</v>
      </c>
      <c r="P12" s="596" t="str">
        <f>'HR Track 3 BIN'!P16</f>
        <v>EMT-T</v>
      </c>
      <c r="Q12" s="594">
        <f>'HR Track 3 BIN'!Q16</f>
        <v>0</v>
      </c>
      <c r="R12" s="595">
        <f>'HR Track 3 BIN'!R16</f>
        <v>0</v>
      </c>
      <c r="S12" s="595">
        <f>'HR Track 3 BIN'!S16</f>
        <v>0</v>
      </c>
      <c r="T12" s="594">
        <f>'HR Track 3 BIN'!T16</f>
        <v>-20</v>
      </c>
      <c r="U12" s="594">
        <f>'HR Track 3 BIN'!U16</f>
        <v>-35</v>
      </c>
      <c r="V12" s="594">
        <f>'HR Track 3 BIN'!V16</f>
        <v>-55</v>
      </c>
      <c r="W12" s="597">
        <f>'HR Track 3 BIN'!W16</f>
        <v>2</v>
      </c>
      <c r="X12" s="597">
        <f>'HR Track 3 BIN'!X16</f>
        <v>1.8</v>
      </c>
      <c r="Y12" s="597">
        <f>'HR Track 3 BIN'!Y16</f>
        <v>1.4</v>
      </c>
      <c r="Z12" s="597">
        <f>'HR Track 3 BIN'!Z16</f>
        <v>0</v>
      </c>
      <c r="AA12" s="597">
        <f>'HR Track 3 BIN'!AA16</f>
        <v>0</v>
      </c>
      <c r="AB12" s="597">
        <f>'HR Track 3 BIN'!AB16</f>
        <v>0.2</v>
      </c>
      <c r="AC12" s="596" t="str">
        <f>'HR Track 3 BIN'!AC16</f>
        <v>PHC</v>
      </c>
      <c r="AD12" s="596">
        <f>'HR Track 3 BIN'!AD16</f>
        <v>0</v>
      </c>
      <c r="AE12" s="596">
        <f>'HR Track 3 BIN'!AE16</f>
        <v>0</v>
      </c>
      <c r="AF12" s="594">
        <f>'HR Track 3 BIN'!AF16</f>
        <v>0</v>
      </c>
      <c r="AG12" s="593">
        <f>'HR Track 3 BIN'!AG16</f>
        <v>0</v>
      </c>
      <c r="AH12" s="594">
        <f>'HR Track 3 BIN'!AH16</f>
        <v>0</v>
      </c>
      <c r="AI12" s="594">
        <f>'HR Track 3 BIN'!AI16</f>
        <v>0</v>
      </c>
      <c r="AJ12" s="596" t="str">
        <f>'HR Track 3 BIN'!AJ16</f>
        <v>SECT-I</v>
      </c>
      <c r="AK12" s="596">
        <f>'HR Track 3 BIN'!AK16</f>
        <v>0</v>
      </c>
      <c r="AL12" s="596" t="str">
        <f>'HR Track 3 BIN'!AL16</f>
        <v>PR1B</v>
      </c>
      <c r="AM12" s="596" t="str">
        <f>'HR Track 3 BIN'!AM16</f>
        <v>RW2</v>
      </c>
      <c r="AN12" s="597">
        <f>'HR Track 3 BIN'!AN16</f>
        <v>5.5</v>
      </c>
      <c r="AO12" s="596">
        <f>'HR Track 3 BIN'!AO16</f>
        <v>0</v>
      </c>
      <c r="AP12" s="596">
        <f>'HR Track 3 BIN'!AP16</f>
        <v>0</v>
      </c>
      <c r="AQ12" s="597">
        <f>'HR Track 3 BIN'!AQ16</f>
        <v>0</v>
      </c>
      <c r="AR12" s="597">
        <f>'HR Track 3 BIN'!AR16</f>
        <v>0</v>
      </c>
      <c r="AS12" s="597">
        <f>'HR Track 3 BIN'!AS16</f>
        <v>0</v>
      </c>
      <c r="AT12" s="597">
        <f>'HR Track 3 BIN'!AT16</f>
        <v>-3.7294652034223326</v>
      </c>
      <c r="AU12" s="598">
        <f>'HR Track 3 BIN'!AU16</f>
        <v>0</v>
      </c>
      <c r="AV12" s="598">
        <f>'HR Track 3 BIN'!AV16</f>
        <v>0</v>
      </c>
      <c r="AW12" s="596" t="str">
        <f>'HR Track 3 BIN'!AW16</f>
        <v>Multi Soil</v>
      </c>
      <c r="AX12" s="596" t="str">
        <f>'HR Track 3 BIN'!AX16</f>
        <v>PT</v>
      </c>
      <c r="AY12" s="597">
        <f>'HR Track 3 BIN'!AY16</f>
        <v>3.5</v>
      </c>
      <c r="AZ12" s="597" t="str">
        <f>'HR Track 3 BIN'!AZ16</f>
        <v/>
      </c>
      <c r="BA12" s="474">
        <f>'HR Track 3 BIN'!BA16</f>
        <v>0</v>
      </c>
      <c r="BB12" s="474">
        <f>'HR Track 3 BIN'!BB16</f>
        <v>0</v>
      </c>
      <c r="BC12" s="474">
        <f>'HR Track 3 BIN'!BC16</f>
        <v>0</v>
      </c>
      <c r="BD12" s="602" t="str">
        <f>'HR Track 3 BIN'!BD16</f>
        <v>App.8-V08H-P10.3</v>
      </c>
      <c r="BE12" s="429" t="s">
        <v>118</v>
      </c>
      <c r="BF12" s="289"/>
      <c r="BG12" s="289"/>
      <c r="BH12" s="290"/>
      <c r="BI12" s="289"/>
    </row>
    <row r="13" spans="1:63" ht="16.149999999999999" customHeight="1">
      <c r="A13" s="770" t="s">
        <v>448</v>
      </c>
      <c r="B13" s="771"/>
      <c r="C13" s="772"/>
      <c r="D13" s="773"/>
      <c r="E13" s="774"/>
      <c r="F13" s="774"/>
      <c r="G13" s="775">
        <v>27.2</v>
      </c>
      <c r="H13" s="776"/>
      <c r="I13" s="776"/>
      <c r="J13" s="772"/>
      <c r="K13" s="776"/>
      <c r="L13" s="776"/>
      <c r="M13" s="776" t="str">
        <f>IF(L13="","",
IF(AX13="PT",VLOOKUP(L13,Foundation_Calc!$V$79:$X$113,VLOOKUP(AX13,Foundation_Calc!$I$10:$J$13,2,FALSE),0),
IF(AX13="K",VLOOKUP(L13,Foundation_Calc!$V$117:$X$151,VLOOKUP(AX13,Foundation_Calc!$I$10:$J$13,2,FALSE),0),"")))</f>
        <v/>
      </c>
      <c r="N13" s="776"/>
      <c r="O13" s="776"/>
      <c r="P13" s="776"/>
      <c r="Q13" s="774"/>
      <c r="R13" s="775"/>
      <c r="S13" s="775"/>
      <c r="T13" s="774"/>
      <c r="U13" s="774"/>
      <c r="V13" s="774"/>
      <c r="W13" s="777"/>
      <c r="X13" s="777"/>
      <c r="Y13" s="777"/>
      <c r="Z13" s="777"/>
      <c r="AA13" s="777"/>
      <c r="AB13" s="777"/>
      <c r="AC13" s="776" t="str">
        <f t="shared" ref="AC13:AC34" si="0">IF(OR(AT13&gt;8,AT13&lt;-8),"PH",
IF(OR(AT13&gt;5,AT13&lt;-5),"PHQ",
IF(OR(AT13&gt;1,AT13&lt;-1),
"PHC","")))</f>
        <v/>
      </c>
      <c r="AD13" s="776"/>
      <c r="AE13" s="776"/>
      <c r="AF13" s="774"/>
      <c r="AG13" s="773"/>
      <c r="AH13" s="774"/>
      <c r="AI13" s="774"/>
      <c r="AJ13" s="776"/>
      <c r="AK13" s="776"/>
      <c r="AL13" s="776"/>
      <c r="AM13" s="776"/>
      <c r="AN13" s="778"/>
      <c r="AO13" s="777"/>
      <c r="AP13" s="777"/>
      <c r="AQ13" s="777">
        <f>+FL_2($U$14,$U$12,$G$13,1200,9.28, 1*$F$14)</f>
        <v>-0.398702632</v>
      </c>
      <c r="AR13" s="777"/>
      <c r="AS13" s="777"/>
      <c r="AT13" s="777"/>
      <c r="AU13" s="779"/>
      <c r="AV13" s="779"/>
      <c r="AW13" s="776" t="str">
        <f>IF(C13&gt;0,VLOOKUP(C13,Foundation_Calc!$A$2:$C$13,3,1),
IF(J13&gt;0,VLOOKUP(J13,Foundation_Calc!$A$2:$C$13,3,1),""))</f>
        <v/>
      </c>
      <c r="AX13" s="776" t="str">
        <f>IF(C13&gt;0,VLOOKUP(C13,Foundation_Calc!$E$2:$G$33,3,1),
IF(J13&gt;0,VLOOKUP(J13,Foundation_Calc!$E$2:$G$33,3,1),""))</f>
        <v/>
      </c>
      <c r="AY13" s="778" t="str">
        <f>IF(L13="","",
IF(AX13="PT",VLOOKUP(L13,Foundation_Calc!$K$79:$R$113,VLOOKUP(AW13,Foundation_Calc!$I$2:$J$8,2,FALSE),0),
IF(AX13="K",VLOOKUP(L13,Foundation_Calc!$K$117:$R$151,VLOOKUP(AW13,Foundation_Calc!$I$2:$J$8,2,FALSE),0),"")))</f>
        <v/>
      </c>
      <c r="AZ13" s="778" t="str">
        <f>IF(K13="","",
IF(AX13="PT",VLOOKUP(K13,Foundation_Calc!$K$79:$R$113,VLOOKUP(AW13,Foundation_Calc!$I$2:$J$8,2,FALSE),0),
IF(AX13="K",VLOOKUP(K13,Foundation_Calc!$K$117:$R$151,VLOOKUP(AW13,Foundation_Calc!$I$2:$J$8,2,FALSE),0),"")))</f>
        <v/>
      </c>
      <c r="BA13" s="550"/>
      <c r="BB13" s="550"/>
      <c r="BC13" s="550"/>
      <c r="BD13" s="516"/>
      <c r="BE13" s="429" t="s">
        <v>118</v>
      </c>
      <c r="BF13" s="290"/>
      <c r="BG13" s="290"/>
      <c r="BH13" s="290"/>
      <c r="BI13" s="290"/>
    </row>
    <row r="14" spans="1:63" ht="16.149999999999999" customHeight="1">
      <c r="A14" s="721" t="s">
        <v>1697</v>
      </c>
      <c r="B14" s="722" t="s">
        <v>1698</v>
      </c>
      <c r="C14" s="723">
        <f>C12+G13-0.2</f>
        <v>40959.24</v>
      </c>
      <c r="D14" s="724"/>
      <c r="E14" s="725"/>
      <c r="F14" s="725">
        <v>0</v>
      </c>
      <c r="G14" s="726"/>
      <c r="H14" s="727" t="s">
        <v>1699</v>
      </c>
      <c r="I14" s="727" t="s">
        <v>162</v>
      </c>
      <c r="J14" s="723"/>
      <c r="K14" s="727"/>
      <c r="L14" s="727" t="s">
        <v>250</v>
      </c>
      <c r="M14" s="727" t="str">
        <f>IF(L14="","",
IF(AX14="PT",VLOOKUP(L14,Foundation_Calc!$V$79:$X$113,VLOOKUP(AX14,Foundation_Calc!$I$10:$J$13,2,FALSE),0),
IF(AX14="K",VLOOKUP(L14,Foundation_Calc!$V$117:$X$151,VLOOKUP(AX14,Foundation_Calc!$I$10:$J$13,2,FALSE),0),"")))</f>
        <v>2C4R</v>
      </c>
      <c r="N14" s="883" t="s">
        <v>134</v>
      </c>
      <c r="O14" s="727" t="s">
        <v>124</v>
      </c>
      <c r="P14" s="727"/>
      <c r="Q14" s="725"/>
      <c r="R14" s="726"/>
      <c r="S14" s="726"/>
      <c r="T14" s="725">
        <v>-15</v>
      </c>
      <c r="U14" s="725">
        <v>-30</v>
      </c>
      <c r="V14" s="725"/>
      <c r="W14" s="728">
        <v>1.4</v>
      </c>
      <c r="X14" s="728">
        <v>1.8</v>
      </c>
      <c r="Y14" s="728"/>
      <c r="Z14" s="728"/>
      <c r="AA14" s="782"/>
      <c r="AB14" s="728"/>
      <c r="AC14" s="727" t="str">
        <f t="shared" si="0"/>
        <v>PHC</v>
      </c>
      <c r="AD14" s="727"/>
      <c r="AE14" s="727"/>
      <c r="AF14" s="725"/>
      <c r="AG14" s="724"/>
      <c r="AH14" s="725"/>
      <c r="AI14" s="725"/>
      <c r="AJ14" s="727" t="s">
        <v>251</v>
      </c>
      <c r="AK14" s="746"/>
      <c r="AL14" s="727" t="s">
        <v>252</v>
      </c>
      <c r="AM14" s="727" t="s">
        <v>126</v>
      </c>
      <c r="AN14" s="729">
        <v>5.5</v>
      </c>
      <c r="AO14" s="728"/>
      <c r="AP14" s="728"/>
      <c r="AQ14" s="728"/>
      <c r="AR14" s="728"/>
      <c r="AS14" s="728"/>
      <c r="AT14" s="728">
        <f>+ab(-$U$14,$U$12,$T$16,$G$13,$G$15, 1*$F$14,1200)</f>
        <v>4.882963381649251</v>
      </c>
      <c r="AU14" s="730"/>
      <c r="AV14" s="730"/>
      <c r="AW14" s="727" t="str">
        <f>IF(C14&gt;0,VLOOKUP(C14,Foundation_Calc!$A$2:$C$13,3,1),
IF(J14&gt;0,VLOOKUP(J14,Foundation_Calc!$A$2:$C$13,3,1),""))</f>
        <v>Multi Soil</v>
      </c>
      <c r="AX14" s="727" t="str">
        <f>IF(C14&gt;0,VLOOKUP(C14,Foundation_Calc!$E$2:$G$33,3,1),
IF(J14&gt;0,VLOOKUP(J14,Foundation_Calc!$E$2:$G$33,3,1),""))</f>
        <v>PT</v>
      </c>
      <c r="AY14" s="729">
        <f>IF(L14="","",
IF(AX14="PT",VLOOKUP(L14,Foundation_Calc!$K$79:$R$113,VLOOKUP(AW14,Foundation_Calc!$I$2:$J$8,2,FALSE),0),
IF(AX14="K",VLOOKUP(L14,Foundation_Calc!$K$117:$R$151,VLOOKUP(AW14,Foundation_Calc!$I$2:$J$8,2,FALSE),0),"")))</f>
        <v>5.6</v>
      </c>
      <c r="AZ14" s="729" t="str">
        <f>IF(K14="","",
IF(AX14="PT",VLOOKUP(K14,Foundation_Calc!$K$79:$R$113,VLOOKUP(AW14,Foundation_Calc!$I$2:$J$8,2,FALSE),0),
IF(AX14="K",VLOOKUP(K14,Foundation_Calc!$K$117:$R$151,VLOOKUP(AW14,Foundation_Calc!$I$2:$J$8,2,FALSE),0),"")))</f>
        <v/>
      </c>
      <c r="BA14" s="495"/>
      <c r="BB14" s="495"/>
      <c r="BC14" s="495"/>
      <c r="BD14" s="513" t="str">
        <f>Pole_Calc!A$251</f>
        <v>App.8-V08H-P10.3</v>
      </c>
      <c r="BE14" s="429" t="s">
        <v>118</v>
      </c>
      <c r="BF14" s="289"/>
      <c r="BG14" s="289"/>
      <c r="BH14" s="290"/>
      <c r="BI14" s="289"/>
    </row>
    <row r="15" spans="1:63" ht="16.149999999999999" customHeight="1">
      <c r="A15" s="514" t="s">
        <v>438</v>
      </c>
      <c r="B15" s="450"/>
      <c r="C15" s="3"/>
      <c r="D15" s="83"/>
      <c r="E15" s="4"/>
      <c r="F15" s="4"/>
      <c r="G15" s="6">
        <v>39.200000000000003</v>
      </c>
      <c r="H15" s="449"/>
      <c r="I15" s="449"/>
      <c r="J15" s="3">
        <f>C14+7.5</f>
        <v>40966.74</v>
      </c>
      <c r="K15" s="449" t="s">
        <v>117</v>
      </c>
      <c r="L15" s="449"/>
      <c r="M15" s="449" t="str">
        <f>IF(L15="","",
IF(AX15="PT",VLOOKUP(L15,Foundation_Calc!$V$79:$X$113,VLOOKUP(AX15,Foundation_Calc!$I$10:$J$13,2,FALSE),0),
IF(AX15="K",VLOOKUP(L15,Foundation_Calc!$V$117:$X$151,VLOOKUP(AX15,Foundation_Calc!$I$10:$J$13,2,FALSE),0),"")))</f>
        <v/>
      </c>
      <c r="N15" s="449"/>
      <c r="O15" s="449"/>
      <c r="P15" s="449"/>
      <c r="Q15" s="4"/>
      <c r="R15" s="6"/>
      <c r="S15" s="6"/>
      <c r="T15" s="4"/>
      <c r="U15" s="4"/>
      <c r="V15" s="4"/>
      <c r="W15" s="9"/>
      <c r="X15" s="9"/>
      <c r="Y15" s="9"/>
      <c r="Z15" s="9"/>
      <c r="AA15" s="9"/>
      <c r="AB15" s="9"/>
      <c r="AC15" s="449" t="str">
        <f t="shared" si="0"/>
        <v/>
      </c>
      <c r="AD15" s="449"/>
      <c r="AE15" s="449"/>
      <c r="AF15" s="4"/>
      <c r="AG15" s="83"/>
      <c r="AH15" s="4"/>
      <c r="AI15" s="4"/>
      <c r="AJ15" s="449" t="s">
        <v>239</v>
      </c>
      <c r="AK15" s="449"/>
      <c r="AL15" s="449"/>
      <c r="AM15" s="449"/>
      <c r="AN15" s="10"/>
      <c r="AO15" s="9"/>
      <c r="AP15" s="9"/>
      <c r="AQ15" s="9">
        <f>+FL_2($T$16,$U$14,$G$15,1200,9.28, 1*$F$16)</f>
        <v>-0.30000000000004523</v>
      </c>
      <c r="AR15" s="9"/>
      <c r="AS15" s="9"/>
      <c r="AT15" s="9"/>
      <c r="AU15" s="428"/>
      <c r="AV15" s="428"/>
      <c r="AW15" s="449" t="str">
        <f>IF(C15&gt;0,VLOOKUP(C15,Foundation_Calc!$A$2:$C$13,3,1),
IF(J15&gt;0,VLOOKUP(J15,Foundation_Calc!$A$2:$C$13,3,1),""))</f>
        <v>Multi Soil</v>
      </c>
      <c r="AX15" s="449" t="str">
        <f>IF(C15&gt;0,VLOOKUP(C15,Foundation_Calc!$E$2:$G$33,3,1),
IF(J15&gt;0,VLOOKUP(J15,Foundation_Calc!$E$2:$G$33,3,1),""))</f>
        <v>PT</v>
      </c>
      <c r="AY15" s="10" t="str">
        <f>IF(L15="","",
IF(AX15="PT",VLOOKUP(L15,Foundation_Calc!$K$79:$R$113,VLOOKUP(AW15,Foundation_Calc!$I$2:$J$8,2,FALSE),0),
IF(AX15="K",VLOOKUP(L15,Foundation_Calc!$K$117:$R$151,VLOOKUP(AW15,Foundation_Calc!$I$2:$J$8,2,FALSE),0),"")))</f>
        <v/>
      </c>
      <c r="AZ15" s="10">
        <f>IF(K15="","",
IF(AX15="PT",VLOOKUP(K15,Foundation_Calc!$K$79:$R$113,VLOOKUP(AW15,Foundation_Calc!$I$2:$J$8,2,FALSE),0),
IF(AX15="K",VLOOKUP(K15,Foundation_Calc!$K$117:$R$151,VLOOKUP(AW15,Foundation_Calc!$I$2:$J$8,2,FALSE),0),"")))</f>
        <v>3.9</v>
      </c>
      <c r="BA15" s="495"/>
      <c r="BB15" s="495"/>
      <c r="BC15" s="495"/>
      <c r="BD15" s="513"/>
      <c r="BE15" s="429" t="s">
        <v>118</v>
      </c>
      <c r="BF15" s="290"/>
      <c r="BG15" s="290"/>
      <c r="BH15" s="290"/>
      <c r="BI15" s="290"/>
    </row>
    <row r="16" spans="1:63" ht="16.149999999999999" customHeight="1">
      <c r="A16" s="517" t="s">
        <v>442</v>
      </c>
      <c r="B16" s="450" t="s">
        <v>1700</v>
      </c>
      <c r="C16" s="3">
        <f>C14+G15-0.3</f>
        <v>40998.139999999992</v>
      </c>
      <c r="D16" s="83"/>
      <c r="E16" s="4"/>
      <c r="F16" s="4">
        <v>-400</v>
      </c>
      <c r="G16" s="6"/>
      <c r="H16" s="449"/>
      <c r="I16" s="449"/>
      <c r="J16" s="3"/>
      <c r="K16" s="449"/>
      <c r="L16" s="449" t="s">
        <v>201</v>
      </c>
      <c r="M16" s="449" t="str">
        <f>IF(L16="","",
IF(AX16="PT",VLOOKUP(L16,Foundation_Calc!$V$79:$X$113,VLOOKUP(AX16,Foundation_Calc!$I$10:$J$13,2,FALSE),0),
IF(AX16="K",VLOOKUP(L16,Foundation_Calc!$V$117:$X$151,VLOOKUP(AX16,Foundation_Calc!$I$10:$J$13,2,FALSE),0),"")))</f>
        <v/>
      </c>
      <c r="N16" s="449" t="s">
        <v>343</v>
      </c>
      <c r="O16" s="449"/>
      <c r="P16" s="449"/>
      <c r="Q16" s="4"/>
      <c r="R16" s="6"/>
      <c r="S16" s="6"/>
      <c r="T16" s="4">
        <v>-30</v>
      </c>
      <c r="U16" s="4"/>
      <c r="V16" s="4"/>
      <c r="W16" s="9">
        <v>1.4</v>
      </c>
      <c r="X16" s="9"/>
      <c r="Y16" s="9"/>
      <c r="Z16" s="9"/>
      <c r="AA16" s="9"/>
      <c r="AB16" s="9"/>
      <c r="AC16" s="449" t="str">
        <f t="shared" si="0"/>
        <v>PHC</v>
      </c>
      <c r="AD16" s="449"/>
      <c r="AE16" s="449"/>
      <c r="AF16" s="4"/>
      <c r="AG16" s="83"/>
      <c r="AH16" s="4"/>
      <c r="AI16" s="4"/>
      <c r="AJ16" s="449"/>
      <c r="AK16" s="449" t="s">
        <v>344</v>
      </c>
      <c r="AL16" s="449"/>
      <c r="AM16" s="449"/>
      <c r="AN16" s="10">
        <v>5.5</v>
      </c>
      <c r="AO16" s="9"/>
      <c r="AP16" s="9"/>
      <c r="AQ16" s="9"/>
      <c r="AR16" s="9"/>
      <c r="AS16" s="9"/>
      <c r="AT16" s="9">
        <f>+ab($T$16,$U$14,$T$18,$G$15,$G$17, 1*$F$16,1200)</f>
        <v>-1.9877271994072894</v>
      </c>
      <c r="AU16" s="428"/>
      <c r="AV16" s="428"/>
      <c r="AW16" s="449" t="s">
        <v>201</v>
      </c>
      <c r="AX16" s="449" t="s">
        <v>201</v>
      </c>
      <c r="AY16" s="10" t="str">
        <f>IF(L16="","",
IF(AX16="PT",VLOOKUP(L16,Foundation_Calc!$K$79:$R$113,VLOOKUP(AW16,Foundation_Calc!$I$2:$J$8,2,FALSE),0),
IF(AX16="K",VLOOKUP(L16,Foundation_Calc!$K$117:$R$151,VLOOKUP(AW16,Foundation_Calc!$I$2:$J$8,2,FALSE),0),"")))</f>
        <v/>
      </c>
      <c r="AZ16" s="10" t="str">
        <f>IF(K16="","",
IF(AX16="PT",VLOOKUP(K16,Foundation_Calc!$K$79:$R$113,VLOOKUP(AW16,Foundation_Calc!$I$2:$J$8,2,FALSE),0),
IF(AX16="K",VLOOKUP(K16,Foundation_Calc!$K$117:$R$151,VLOOKUP(AW16,Foundation_Calc!$I$2:$J$8,2,FALSE),0),"")))</f>
        <v/>
      </c>
      <c r="BA16" s="495"/>
      <c r="BB16" s="495"/>
      <c r="BC16" s="495"/>
      <c r="BD16" s="513"/>
      <c r="BE16" s="429" t="s">
        <v>118</v>
      </c>
      <c r="BF16" s="289"/>
      <c r="BG16" s="289"/>
      <c r="BH16" s="290"/>
      <c r="BI16" s="289"/>
    </row>
    <row r="17" spans="1:61" ht="16.149999999999999" customHeight="1">
      <c r="A17" s="517" t="s">
        <v>442</v>
      </c>
      <c r="B17" s="450"/>
      <c r="C17" s="603"/>
      <c r="D17" s="83"/>
      <c r="E17" s="4"/>
      <c r="F17" s="604"/>
      <c r="G17" s="6">
        <v>38</v>
      </c>
      <c r="H17" s="449"/>
      <c r="I17" s="449"/>
      <c r="J17" s="3"/>
      <c r="K17" s="449"/>
      <c r="L17" s="449"/>
      <c r="M17" s="449" t="str">
        <f>IF(L17="","",
IF(AX17="PT",VLOOKUP(L17,Foundation_Calc!$V$79:$X$113,VLOOKUP(AX17,Foundation_Calc!$I$10:$J$13,2,FALSE),0),
IF(AX17="K",VLOOKUP(L17,Foundation_Calc!$V$117:$X$151,VLOOKUP(AX17,Foundation_Calc!$I$10:$J$13,2,FALSE),0),"")))</f>
        <v/>
      </c>
      <c r="N17" s="561"/>
      <c r="O17" s="449"/>
      <c r="P17" s="449"/>
      <c r="Q17" s="4"/>
      <c r="R17" s="6"/>
      <c r="S17" s="6"/>
      <c r="T17" s="604"/>
      <c r="U17" s="4"/>
      <c r="V17" s="4"/>
      <c r="W17" s="605"/>
      <c r="X17" s="9"/>
      <c r="Y17" s="9"/>
      <c r="Z17" s="9"/>
      <c r="AA17" s="9"/>
      <c r="AB17" s="9"/>
      <c r="AC17" s="449" t="str">
        <f t="shared" si="0"/>
        <v/>
      </c>
      <c r="AD17" s="449"/>
      <c r="AE17" s="449"/>
      <c r="AF17" s="4"/>
      <c r="AG17" s="83"/>
      <c r="AH17" s="4"/>
      <c r="AI17" s="4"/>
      <c r="AJ17" s="449"/>
      <c r="AK17" s="561"/>
      <c r="AL17" s="449"/>
      <c r="AM17" s="449"/>
      <c r="AN17" s="606"/>
      <c r="AO17" s="9"/>
      <c r="AP17" s="9"/>
      <c r="AQ17" s="9">
        <f>+FL_2($T$18,$T$16,$G$17,1200,9.28, 1*$F$18)</f>
        <v>-0.43958666666666663</v>
      </c>
      <c r="AR17" s="9"/>
      <c r="AS17" s="9"/>
      <c r="AT17" s="9"/>
      <c r="AU17" s="428"/>
      <c r="AV17" s="428"/>
      <c r="AW17" s="449" t="str">
        <f>IF(C17&gt;0,VLOOKUP(C17,Foundation_Calc!$A$2:$C$13,3,1),
IF(J17&gt;0,VLOOKUP(J17,Foundation_Calc!$A$2:$C$13,3,1),""))</f>
        <v/>
      </c>
      <c r="AX17" s="449" t="str">
        <f>IF(C17&gt;0,VLOOKUP(C17,Foundation_Calc!$E$2:$G$33,3,1),
IF(J17&gt;0,VLOOKUP(J17,Foundation_Calc!$E$2:$G$33,3,1),""))</f>
        <v/>
      </c>
      <c r="AY17" s="10" t="str">
        <f>IF(L17="","",
IF(AX17="PT",VLOOKUP(L17,Foundation_Calc!$K$79:$R$113,VLOOKUP(AW17,Foundation_Calc!$I$2:$J$8,2,FALSE),0),
IF(AX17="K",VLOOKUP(L17,Foundation_Calc!$K$117:$R$151,VLOOKUP(AW17,Foundation_Calc!$I$2:$J$8,2,FALSE),0),"")))</f>
        <v/>
      </c>
      <c r="AZ17" s="10" t="str">
        <f>IF(K17="","",
IF(AX17="PT",VLOOKUP(K17,Foundation_Calc!$K$79:$R$113,VLOOKUP(AW17,Foundation_Calc!$I$2:$J$8,2,FALSE),0),
IF(AX17="K",VLOOKUP(K17,Foundation_Calc!$K$117:$R$151,VLOOKUP(AW17,Foundation_Calc!$I$2:$J$8,2,FALSE),0),"")))</f>
        <v/>
      </c>
      <c r="BA17" s="495"/>
      <c r="BB17" s="495"/>
      <c r="BC17" s="495"/>
      <c r="BD17" s="513"/>
      <c r="BE17" s="429" t="s">
        <v>118</v>
      </c>
      <c r="BF17" s="290"/>
      <c r="BG17" s="290"/>
      <c r="BH17" s="290"/>
      <c r="BI17" s="290"/>
    </row>
    <row r="18" spans="1:61" ht="16.149999999999999" customHeight="1">
      <c r="A18" s="517" t="s">
        <v>442</v>
      </c>
      <c r="B18" s="450" t="s">
        <v>1701</v>
      </c>
      <c r="C18" s="3">
        <f>C16+G17</f>
        <v>41036.139999999992</v>
      </c>
      <c r="D18" s="83"/>
      <c r="E18" s="4"/>
      <c r="F18" s="4">
        <v>0</v>
      </c>
      <c r="G18" s="6"/>
      <c r="H18" s="449"/>
      <c r="I18" s="449" t="s">
        <v>195</v>
      </c>
      <c r="J18" s="3"/>
      <c r="K18" s="449"/>
      <c r="L18" s="449" t="s">
        <v>455</v>
      </c>
      <c r="M18" s="449" t="str">
        <f>IF(L18="","",
IF(AX18="PT",VLOOKUP(L18,Foundation_Calc!$V$79:$X$113,VLOOKUP(AX18,Foundation_Calc!$I$10:$J$13,2,FALSE),0),
IF(AX18="K",VLOOKUP(L18,Foundation_Calc!$V$117:$X$151,VLOOKUP(AX18,Foundation_Calc!$I$10:$J$13,2,FALSE),0),"")))</f>
        <v>C11R</v>
      </c>
      <c r="N18" s="449" t="s">
        <v>124</v>
      </c>
      <c r="O18" s="449"/>
      <c r="P18" s="449"/>
      <c r="Q18" s="4"/>
      <c r="R18" s="6"/>
      <c r="S18" s="6"/>
      <c r="T18" s="4">
        <v>-30</v>
      </c>
      <c r="U18" s="4"/>
      <c r="V18" s="4"/>
      <c r="W18" s="9">
        <v>1.4</v>
      </c>
      <c r="X18" s="9"/>
      <c r="Y18" s="9"/>
      <c r="Z18" s="9"/>
      <c r="AA18" s="9"/>
      <c r="AB18" s="9"/>
      <c r="AC18" s="449" t="str">
        <f t="shared" si="0"/>
        <v>PH</v>
      </c>
      <c r="AD18" s="449"/>
      <c r="AE18" s="449"/>
      <c r="AF18" s="4"/>
      <c r="AG18" s="83"/>
      <c r="AH18" s="4"/>
      <c r="AI18" s="4"/>
      <c r="AJ18" s="449"/>
      <c r="AK18" s="449"/>
      <c r="AL18" s="449" t="s">
        <v>456</v>
      </c>
      <c r="AM18" s="449" t="s">
        <v>126</v>
      </c>
      <c r="AN18" s="10">
        <v>5.5</v>
      </c>
      <c r="AO18" s="9"/>
      <c r="AP18" s="9"/>
      <c r="AQ18" s="9"/>
      <c r="AR18" s="9"/>
      <c r="AS18" s="9"/>
      <c r="AT18" s="9">
        <f>+ab($T$18,$T$16,$T$20,$G$17,$G$19, 1*$F$18,1200)</f>
        <v>-18.860972132815437</v>
      </c>
      <c r="AU18" s="428"/>
      <c r="AV18" s="428"/>
      <c r="AW18" s="449" t="str">
        <f>IF(C18&gt;0,VLOOKUP(C18,Foundation_Calc!$A$2:$C$13,3,1),
IF(J18&gt;0,VLOOKUP(J18,Foundation_Calc!$A$2:$C$13,3,1),""))</f>
        <v>Multi Soil</v>
      </c>
      <c r="AX18" s="449" t="str">
        <f>IF(C18&gt;0,VLOOKUP(C18,Foundation_Calc!$E$2:$G$33,3,1),
IF(J18&gt;0,VLOOKUP(J18,Foundation_Calc!$E$2:$G$33,3,1),""))</f>
        <v>PT</v>
      </c>
      <c r="AY18" s="10">
        <f>IF(L18="","",
IF(AX18="PT",VLOOKUP(L18,Foundation_Calc!$K$79:$R$113,VLOOKUP(AW18,Foundation_Calc!$I$2:$J$8,2,FALSE),0),
IF(AX18="K",VLOOKUP(L18,Foundation_Calc!$K$117:$R$151,VLOOKUP(AW18,Foundation_Calc!$I$2:$J$8,2,FALSE),0),"")))</f>
        <v>4.5999999999999996</v>
      </c>
      <c r="AZ18" s="10" t="str">
        <f>IF(K18="","",
IF(AX18="PT",VLOOKUP(K18,Foundation_Calc!$K$79:$R$113,VLOOKUP(AW18,Foundation_Calc!$I$2:$J$8,2,FALSE),0),
IF(AX18="K",VLOOKUP(K18,Foundation_Calc!$K$117:$R$151,VLOOKUP(AW18,Foundation_Calc!$I$2:$J$8,2,FALSE),0),"")))</f>
        <v/>
      </c>
      <c r="BA18" s="495"/>
      <c r="BB18" s="495"/>
      <c r="BC18" s="495"/>
      <c r="BD18" s="513" t="str">
        <f>Pole_Calc!A$251</f>
        <v>App.8-V08H-P10.3</v>
      </c>
      <c r="BE18" s="429" t="s">
        <v>118</v>
      </c>
      <c r="BF18" s="289"/>
      <c r="BG18" s="289"/>
      <c r="BH18" s="290"/>
      <c r="BI18" s="289"/>
    </row>
    <row r="19" spans="1:61" ht="16.149999999999999" customHeight="1">
      <c r="A19" s="780" t="s">
        <v>442</v>
      </c>
      <c r="B19" s="450"/>
      <c r="C19" s="3"/>
      <c r="D19" s="83"/>
      <c r="E19" s="4"/>
      <c r="F19" s="4"/>
      <c r="G19" s="6">
        <v>51</v>
      </c>
      <c r="H19" s="449"/>
      <c r="I19" s="449"/>
      <c r="J19" s="3"/>
      <c r="K19" s="449"/>
      <c r="L19" s="449"/>
      <c r="M19" s="449" t="str">
        <f>IF(L19="","",
IF(AX19="PT",VLOOKUP(L19,Foundation_Calc!$V$79:$X$113,VLOOKUP(AX19,Foundation_Calc!$I$10:$J$13,2,FALSE),0),
IF(AX19="K",VLOOKUP(L19,Foundation_Calc!$V$117:$X$151,VLOOKUP(AX19,Foundation_Calc!$I$10:$J$13,2,FALSE),0),"")))</f>
        <v/>
      </c>
      <c r="N19" s="449"/>
      <c r="O19" s="575"/>
      <c r="P19" s="449"/>
      <c r="Q19" s="4"/>
      <c r="R19" s="6"/>
      <c r="S19" s="6"/>
      <c r="T19" s="4"/>
      <c r="U19" s="4"/>
      <c r="V19" s="4"/>
      <c r="W19" s="9"/>
      <c r="X19" s="9"/>
      <c r="Y19" s="9"/>
      <c r="Z19" s="9"/>
      <c r="AA19" s="9"/>
      <c r="AB19" s="9"/>
      <c r="AC19" s="449" t="str">
        <f t="shared" si="0"/>
        <v/>
      </c>
      <c r="AD19" s="449"/>
      <c r="AE19" s="449"/>
      <c r="AF19" s="4"/>
      <c r="AG19" s="83"/>
      <c r="AH19" s="4"/>
      <c r="AI19" s="4"/>
      <c r="AJ19" s="449"/>
      <c r="AK19" s="449"/>
      <c r="AL19" s="449"/>
      <c r="AM19" s="449"/>
      <c r="AN19" s="10"/>
      <c r="AO19" s="9"/>
      <c r="AP19" s="9"/>
      <c r="AQ19" s="9">
        <f>+FL_2($T$20,$T$18,$G$19,1200,9.28, 1*$F$20)</f>
        <v>-0.36357453082352942</v>
      </c>
      <c r="AR19" s="9"/>
      <c r="AS19" s="9"/>
      <c r="AT19" s="9"/>
      <c r="AU19" s="428"/>
      <c r="AV19" s="428"/>
      <c r="AW19" s="449" t="str">
        <f>IF(C19&gt;0,VLOOKUP(C19,Foundation_Calc!$A$2:$C$13,3,1),
IF(J19&gt;0,VLOOKUP(J19,Foundation_Calc!$A$2:$C$13,3,1),""))</f>
        <v/>
      </c>
      <c r="AX19" s="449" t="str">
        <f>IF(C19&gt;0,VLOOKUP(C19,Foundation_Calc!$E$2:$G$33,3,1),
IF(J19&gt;0,VLOOKUP(J19,Foundation_Calc!$E$2:$G$33,3,1),""))</f>
        <v/>
      </c>
      <c r="AY19" s="10" t="str">
        <f>IF(L19="","",
IF(AX19="PT",VLOOKUP(L19,Foundation_Calc!$K$79:$R$113,VLOOKUP(AW19,Foundation_Calc!$I$2:$J$8,2,FALSE),0),
IF(AX19="K",VLOOKUP(L19,Foundation_Calc!$K$117:$R$151,VLOOKUP(AW19,Foundation_Calc!$I$2:$J$8,2,FALSE),0),"")))</f>
        <v/>
      </c>
      <c r="AZ19" s="10" t="str">
        <f>IF(K19="","",
IF(AX19="PT",VLOOKUP(K19,Foundation_Calc!$K$79:$R$113,VLOOKUP(AW19,Foundation_Calc!$I$2:$J$8,2,FALSE),0),
IF(AX19="K",VLOOKUP(K19,Foundation_Calc!$K$117:$R$151,VLOOKUP(AW19,Foundation_Calc!$I$2:$J$8,2,FALSE),0),"")))</f>
        <v/>
      </c>
      <c r="BA19" s="495"/>
      <c r="BB19" s="495"/>
      <c r="BC19" s="495"/>
      <c r="BD19" s="513" t="str">
        <f>IF(AND(L19="",H19=""),"",
IF(H19="",Pole_Calc!A$9,
IF(H19="MP",Pole_Calc!A$10,
IF(H19="AnMP",Pole_Calc!A$11,
IF(H19="A",Pole_Calc!A$12,
IF(H19="S/A",Pole_Calc!A$13,
IF(H19="A/S",Pole_Calc!A$14,"Poner a mano")))))))</f>
        <v/>
      </c>
      <c r="BE19" s="429" t="s">
        <v>118</v>
      </c>
      <c r="BF19" s="290"/>
      <c r="BG19" s="290"/>
      <c r="BH19" s="290"/>
      <c r="BI19" s="290"/>
    </row>
    <row r="20" spans="1:61" ht="16.149999999999999" customHeight="1">
      <c r="A20" s="517" t="s">
        <v>442</v>
      </c>
      <c r="B20" s="450" t="s">
        <v>1702</v>
      </c>
      <c r="C20" s="3">
        <f>+$C$18+$G$19</f>
        <v>41087.139999999992</v>
      </c>
      <c r="D20" s="83"/>
      <c r="E20" s="4"/>
      <c r="F20" s="4">
        <v>0</v>
      </c>
      <c r="G20" s="6"/>
      <c r="H20" s="449"/>
      <c r="I20" s="449"/>
      <c r="J20" s="3"/>
      <c r="K20" s="449"/>
      <c r="L20" s="449" t="s">
        <v>455</v>
      </c>
      <c r="M20" s="449" t="str">
        <f>IF(L20="","",
IF(AX20="PT",VLOOKUP(L20,Foundation_Calc!$V$79:$X$113,VLOOKUP(AX20,Foundation_Calc!$I$10:$J$13,2,FALSE),0),
IF(AX20="K",VLOOKUP(L20,Foundation_Calc!$V$117:$X$151,VLOOKUP(AX20,Foundation_Calc!$I$10:$J$13,2,FALSE),0),"")))</f>
        <v>C11R</v>
      </c>
      <c r="N20" s="449" t="s">
        <v>134</v>
      </c>
      <c r="O20" s="575"/>
      <c r="P20" s="449"/>
      <c r="Q20" s="4"/>
      <c r="R20" s="6"/>
      <c r="S20" s="6"/>
      <c r="T20" s="4">
        <v>20</v>
      </c>
      <c r="U20" s="4"/>
      <c r="V20" s="4"/>
      <c r="W20" s="572">
        <v>1.2</v>
      </c>
      <c r="X20" s="9"/>
      <c r="Y20" s="9"/>
      <c r="Z20" s="9"/>
      <c r="AA20" s="9"/>
      <c r="AB20" s="9"/>
      <c r="AC20" s="449" t="str">
        <f t="shared" si="0"/>
        <v>PH</v>
      </c>
      <c r="AD20" s="449"/>
      <c r="AE20" s="449"/>
      <c r="AF20" s="4"/>
      <c r="AG20" s="83"/>
      <c r="AH20" s="4"/>
      <c r="AI20" s="4"/>
      <c r="AJ20" s="449"/>
      <c r="AK20" s="449"/>
      <c r="AL20" s="449" t="s">
        <v>456</v>
      </c>
      <c r="AM20" s="449" t="s">
        <v>126</v>
      </c>
      <c r="AN20" s="10">
        <v>5.5</v>
      </c>
      <c r="AO20" s="9"/>
      <c r="AP20" s="9"/>
      <c r="AQ20" s="9"/>
      <c r="AR20" s="9"/>
      <c r="AS20" s="9"/>
      <c r="AT20" s="9">
        <f>+ab($T$20,$T$18,$T$22,$G$19,$G$21, 1*$F$20,1200)</f>
        <v>11.493881203092494</v>
      </c>
      <c r="AU20" s="428"/>
      <c r="AV20" s="428"/>
      <c r="AW20" s="449" t="str">
        <f>IF(C20&gt;0,VLOOKUP(C20,Foundation_Calc!$A$2:$C$13,3,1),
IF(J20&gt;0,VLOOKUP(J20,Foundation_Calc!$A$2:$C$13,3,1),""))</f>
        <v>Multi Soil</v>
      </c>
      <c r="AX20" s="449" t="str">
        <f>IF(C20&gt;0,VLOOKUP(C20,Foundation_Calc!$E$2:$G$33,3,1),
IF(J20&gt;0,VLOOKUP(J20,Foundation_Calc!$E$2:$G$33,3,1),""))</f>
        <v>PT</v>
      </c>
      <c r="AY20" s="10">
        <f>IF(L20="","",
IF(AX20="PT",VLOOKUP(L20,Foundation_Calc!$K$79:$R$113,VLOOKUP(AW20,Foundation_Calc!$I$2:$J$8,2,FALSE),0),
IF(AX20="K",VLOOKUP(L20,Foundation_Calc!$K$117:$R$151,VLOOKUP(AW20,Foundation_Calc!$I$2:$J$8,2,FALSE),0),"")))</f>
        <v>4.5999999999999996</v>
      </c>
      <c r="AZ20" s="10" t="str">
        <f>IF(K20="","",
IF(AX20="PT",VLOOKUP(K20,Foundation_Calc!$K$79:$R$113,VLOOKUP(AW20,Foundation_Calc!$I$2:$J$8,2,FALSE),0),
IF(AX20="K",VLOOKUP(K20,Foundation_Calc!$K$117:$R$151,VLOOKUP(AW20,Foundation_Calc!$I$2:$J$8,2,FALSE),0),"")))</f>
        <v/>
      </c>
      <c r="BA20" s="495"/>
      <c r="BB20" s="495"/>
      <c r="BC20" s="495"/>
      <c r="BD20" s="513" t="str">
        <f>Pole_Calc!A$251</f>
        <v>App.8-V08H-P10.3</v>
      </c>
      <c r="BE20" s="429" t="s">
        <v>118</v>
      </c>
      <c r="BF20" s="289"/>
      <c r="BG20" s="289"/>
      <c r="BH20" s="290"/>
      <c r="BI20" s="289"/>
    </row>
    <row r="21" spans="1:61" ht="16.149999999999999" customHeight="1">
      <c r="A21" s="517" t="s">
        <v>442</v>
      </c>
      <c r="B21" s="450"/>
      <c r="C21" s="3"/>
      <c r="D21" s="83"/>
      <c r="E21" s="4"/>
      <c r="F21" s="4"/>
      <c r="G21" s="6">
        <v>60</v>
      </c>
      <c r="H21" s="449"/>
      <c r="I21" s="449"/>
      <c r="J21" s="3"/>
      <c r="K21" s="449"/>
      <c r="L21" s="449"/>
      <c r="M21" s="449" t="str">
        <f>IF(L21="","",
IF(AX21="PT",VLOOKUP(L21,Foundation_Calc!$V$79:$X$113,VLOOKUP(AX21,Foundation_Calc!$I$10:$J$13,2,FALSE),0),
IF(AX21="K",VLOOKUP(L21,Foundation_Calc!$V$117:$X$151,VLOOKUP(AX21,Foundation_Calc!$I$10:$J$13,2,FALSE),0),"")))</f>
        <v/>
      </c>
      <c r="N21" s="449"/>
      <c r="O21" s="449"/>
      <c r="P21" s="449"/>
      <c r="Q21" s="4"/>
      <c r="R21" s="6"/>
      <c r="S21" s="6"/>
      <c r="T21" s="4"/>
      <c r="U21" s="4"/>
      <c r="V21" s="4"/>
      <c r="W21" s="572"/>
      <c r="X21" s="9"/>
      <c r="Y21" s="9"/>
      <c r="Z21" s="9"/>
      <c r="AA21" s="9"/>
      <c r="AB21" s="9"/>
      <c r="AC21" s="449" t="str">
        <f t="shared" si="0"/>
        <v/>
      </c>
      <c r="AD21" s="449"/>
      <c r="AE21" s="449"/>
      <c r="AF21" s="4"/>
      <c r="AG21" s="83"/>
      <c r="AH21" s="4"/>
      <c r="AI21" s="4"/>
      <c r="AJ21" s="449"/>
      <c r="AK21" s="449"/>
      <c r="AL21" s="449"/>
      <c r="AM21" s="449"/>
      <c r="AN21" s="10"/>
      <c r="AO21" s="9"/>
      <c r="AP21" s="9"/>
      <c r="AQ21" s="9">
        <f>+FL_2($T$22,$T$20,$G$21,1200,9.28, 1*$F$22)</f>
        <v>-0.37673563199999993</v>
      </c>
      <c r="AR21" s="9"/>
      <c r="AS21" s="9"/>
      <c r="AT21" s="9"/>
      <c r="AU21" s="428"/>
      <c r="AV21" s="428"/>
      <c r="AW21" s="449" t="str">
        <f>IF(C21&gt;0,VLOOKUP(C21,Foundation_Calc!$A$2:$C$13,3,1),
IF(J21&gt;0,VLOOKUP(J21,Foundation_Calc!$A$2:$C$13,3,1),""))</f>
        <v/>
      </c>
      <c r="AX21" s="449" t="str">
        <f>IF(C21&gt;0,VLOOKUP(C21,Foundation_Calc!$E$2:$G$33,3,1),
IF(J21&gt;0,VLOOKUP(J21,Foundation_Calc!$E$2:$G$33,3,1),""))</f>
        <v/>
      </c>
      <c r="AY21" s="10" t="str">
        <f>IF(L21="","",
IF(AX21="PT",VLOOKUP(L21,Foundation_Calc!$K$79:$R$113,VLOOKUP(AW21,Foundation_Calc!$I$2:$J$8,2,FALSE),0),
IF(AX21="K",VLOOKUP(L21,Foundation_Calc!$K$117:$R$151,VLOOKUP(AW21,Foundation_Calc!$I$2:$J$8,2,FALSE),0),"")))</f>
        <v/>
      </c>
      <c r="AZ21" s="10" t="str">
        <f>IF(K21="","",
IF(AX21="PT",VLOOKUP(K21,Foundation_Calc!$K$79:$R$113,VLOOKUP(AW21,Foundation_Calc!$I$2:$J$8,2,FALSE),0),
IF(AX21="K",VLOOKUP(K21,Foundation_Calc!$K$117:$R$151,VLOOKUP(AW21,Foundation_Calc!$I$2:$J$8,2,FALSE),0),"")))</f>
        <v/>
      </c>
      <c r="BA21" s="495"/>
      <c r="BB21" s="495"/>
      <c r="BC21" s="495"/>
      <c r="BD21" s="513"/>
      <c r="BE21" s="429" t="s">
        <v>118</v>
      </c>
      <c r="BF21" s="290"/>
      <c r="BG21" s="290"/>
      <c r="BH21" s="290"/>
      <c r="BI21" s="290"/>
    </row>
    <row r="22" spans="1:61" ht="16.149999999999999" customHeight="1">
      <c r="A22" s="517" t="s">
        <v>442</v>
      </c>
      <c r="B22" s="450" t="s">
        <v>1703</v>
      </c>
      <c r="C22" s="3">
        <f>+$C$20+$G$21</f>
        <v>41147.139999999992</v>
      </c>
      <c r="D22" s="83"/>
      <c r="E22" s="4"/>
      <c r="F22" s="4">
        <v>0</v>
      </c>
      <c r="G22" s="540"/>
      <c r="H22" s="449"/>
      <c r="I22" s="449"/>
      <c r="J22" s="3"/>
      <c r="K22" s="449"/>
      <c r="L22" s="449" t="s">
        <v>455</v>
      </c>
      <c r="M22" s="449" t="str">
        <f>IF(L22="","",
IF(AX22="PT",VLOOKUP(L22,Foundation_Calc!$V$79:$X$113,VLOOKUP(AX22,Foundation_Calc!$I$10:$J$13,2,FALSE),0),
IF(AX22="K",VLOOKUP(L22,Foundation_Calc!$V$117:$X$151,VLOOKUP(AX22,Foundation_Calc!$I$10:$J$13,2,FALSE),0),"")))</f>
        <v>C11R</v>
      </c>
      <c r="N22" s="449" t="s">
        <v>124</v>
      </c>
      <c r="O22" s="575"/>
      <c r="P22" s="449"/>
      <c r="Q22" s="4"/>
      <c r="R22" s="6"/>
      <c r="S22" s="6"/>
      <c r="T22" s="4">
        <v>-20</v>
      </c>
      <c r="U22" s="4"/>
      <c r="V22" s="4"/>
      <c r="W22" s="572">
        <v>0.9</v>
      </c>
      <c r="X22" s="9"/>
      <c r="Y22" s="9"/>
      <c r="Z22" s="9"/>
      <c r="AA22" s="9"/>
      <c r="AB22" s="9"/>
      <c r="AC22" s="449" t="str">
        <f t="shared" ref="AC22:AC35" si="1">IF(OR(AT22&gt;8,AT22&lt;-8),"PH",
IF(OR(AT22&gt;5,AT22&lt;-5),"PHQ",
IF(OR(AT22&gt;1,AT22&lt;-1),
"PHC","")))</f>
        <v>PH</v>
      </c>
      <c r="AD22" s="449"/>
      <c r="AE22" s="449"/>
      <c r="AF22" s="4"/>
      <c r="AG22" s="83"/>
      <c r="AH22" s="4"/>
      <c r="AI22" s="4"/>
      <c r="AJ22" s="449"/>
      <c r="AK22" s="449"/>
      <c r="AL22" s="449" t="s">
        <v>456</v>
      </c>
      <c r="AM22" s="449" t="s">
        <v>126</v>
      </c>
      <c r="AN22" s="10">
        <v>5.5</v>
      </c>
      <c r="AO22" s="9"/>
      <c r="AP22" s="9"/>
      <c r="AQ22" s="9"/>
      <c r="AR22" s="9"/>
      <c r="AS22" s="9"/>
      <c r="AT22" s="9">
        <f>+ab($T$22,$T$20,$T$24,$G$21,$G$23, 1*$F$22,1200)</f>
        <v>-14.100289961004529</v>
      </c>
      <c r="AU22" s="428"/>
      <c r="AV22" s="428"/>
      <c r="AW22" s="449" t="str">
        <f>IF(C22&gt;0,VLOOKUP(C22,Foundation_Calc!$A$2:$C$13,3,1),
IF(J22&gt;0,VLOOKUP(J22,Foundation_Calc!$A$2:$C$13,3,1),""))</f>
        <v>Multi Soil</v>
      </c>
      <c r="AX22" s="449" t="str">
        <f>IF(C22&gt;0,VLOOKUP(C22,Foundation_Calc!$E$2:$G$33,3,1),
IF(J22&gt;0,VLOOKUP(J22,Foundation_Calc!$E$2:$G$33,3,1),""))</f>
        <v>PT</v>
      </c>
      <c r="AY22" s="10">
        <f>IF(L22="","",
IF(AX22="PT",VLOOKUP(L22,Foundation_Calc!$K$79:$R$113,VLOOKUP(AW22,Foundation_Calc!$I$2:$J$8,2,FALSE),0),
IF(AX22="K",VLOOKUP(L22,Foundation_Calc!$K$117:$R$151,VLOOKUP(AW22,Foundation_Calc!$I$2:$J$8,2,FALSE),0),"")))</f>
        <v>4.5999999999999996</v>
      </c>
      <c r="AZ22" s="10" t="str">
        <f>IF(K22="","",
IF(AX22="PT",VLOOKUP(K22,Foundation_Calc!$K$79:$R$113,VLOOKUP(AW22,Foundation_Calc!$I$2:$J$8,2,FALSE),0),
IF(AX22="K",VLOOKUP(K22,Foundation_Calc!$K$117:$R$151,VLOOKUP(AW22,Foundation_Calc!$I$2:$J$8,2,FALSE),0),"")))</f>
        <v/>
      </c>
      <c r="BA22" s="495"/>
      <c r="BB22" s="495"/>
      <c r="BC22" s="495"/>
      <c r="BD22" s="513" t="str">
        <f>Pole_Calc!A$251</f>
        <v>App.8-V08H-P10.3</v>
      </c>
      <c r="BE22" s="429" t="s">
        <v>118</v>
      </c>
      <c r="BF22" s="289"/>
      <c r="BG22" s="289"/>
      <c r="BH22" s="290"/>
      <c r="BI22" s="289"/>
    </row>
    <row r="23" spans="1:61" ht="16.149999999999999" customHeight="1">
      <c r="A23" s="514" t="s">
        <v>430</v>
      </c>
      <c r="B23" s="450"/>
      <c r="C23" s="3"/>
      <c r="D23" s="83"/>
      <c r="E23" s="4"/>
      <c r="F23" s="4"/>
      <c r="G23" s="6">
        <v>60</v>
      </c>
      <c r="H23" s="449"/>
      <c r="I23" s="4"/>
      <c r="J23" s="3">
        <f>C24-7.5</f>
        <v>41199.639999999992</v>
      </c>
      <c r="K23" s="449" t="s">
        <v>117</v>
      </c>
      <c r="L23" s="449"/>
      <c r="M23" s="449" t="str">
        <f>IF(L23="","",
IF(AX23="PT",VLOOKUP(L23,Foundation_Calc!$V$79:$X$113,VLOOKUP(AX23,Foundation_Calc!$I$10:$J$13,2,FALSE),0),
IF(AX23="K",VLOOKUP(L23,Foundation_Calc!$V$117:$X$151,VLOOKUP(AX23,Foundation_Calc!$I$10:$J$13,2,FALSE),0),"")))</f>
        <v/>
      </c>
      <c r="N23" s="449"/>
      <c r="O23" s="449"/>
      <c r="P23" s="449"/>
      <c r="Q23" s="4"/>
      <c r="R23" s="6"/>
      <c r="S23" s="6"/>
      <c r="T23" s="4"/>
      <c r="U23" s="4"/>
      <c r="V23" s="4"/>
      <c r="W23" s="572"/>
      <c r="X23" s="9"/>
      <c r="Y23" s="9"/>
      <c r="Z23" s="9"/>
      <c r="AA23" s="9"/>
      <c r="AB23" s="9"/>
      <c r="AC23" s="449" t="str">
        <f t="shared" si="0"/>
        <v/>
      </c>
      <c r="AD23" s="449"/>
      <c r="AE23" s="449"/>
      <c r="AF23" s="4"/>
      <c r="AG23" s="83"/>
      <c r="AH23" s="4"/>
      <c r="AI23" s="4"/>
      <c r="AJ23" s="449"/>
      <c r="AK23" s="449"/>
      <c r="AL23" s="449"/>
      <c r="AM23" s="449"/>
      <c r="AN23" s="10"/>
      <c r="AO23" s="9"/>
      <c r="AP23" s="9"/>
      <c r="AQ23" s="9">
        <f>+FL_1($T$24,$T$22,$G$23,1200,9.28, 1*$F$24)</f>
        <v>0.37673563199999993</v>
      </c>
      <c r="AR23" s="9"/>
      <c r="AS23" s="9"/>
      <c r="AT23" s="9"/>
      <c r="AU23" s="428"/>
      <c r="AV23" s="428"/>
      <c r="AW23" s="449" t="str">
        <f>IF(C23&gt;0,VLOOKUP(C23,Foundation_Calc!$A$2:$C$13,3,1),
IF(J23&gt;0,VLOOKUP(J23,Foundation_Calc!$A$2:$C$13,3,1),""))</f>
        <v>Multi Soil</v>
      </c>
      <c r="AX23" s="449" t="str">
        <f>IF(C23&gt;0,VLOOKUP(C23,Foundation_Calc!$E$2:$G$33,3,1),
IF(J23&gt;0,VLOOKUP(J23,Foundation_Calc!$E$2:$G$33,3,1),""))</f>
        <v>PT</v>
      </c>
      <c r="AY23" s="10" t="str">
        <f>IF(L23="","",
IF(AX23="PT",VLOOKUP(L23,Foundation_Calc!$K$79:$R$113,VLOOKUP(AW23,Foundation_Calc!$I$2:$J$8,2,FALSE),0),
IF(AX23="K",VLOOKUP(L23,Foundation_Calc!$K$117:$R$151,VLOOKUP(AW23,Foundation_Calc!$I$2:$J$8,2,FALSE),0),"")))</f>
        <v/>
      </c>
      <c r="AZ23" s="10">
        <f>IF(K23="","",
IF(AX23="PT",VLOOKUP(K23,Foundation_Calc!$K$79:$R$113,VLOOKUP(AW23,Foundation_Calc!$I$2:$J$8,2,FALSE),0),
IF(AX23="K",VLOOKUP(K23,Foundation_Calc!$K$117:$R$151,VLOOKUP(AW23,Foundation_Calc!$I$2:$J$8,2,FALSE),0),"")))</f>
        <v>3.9</v>
      </c>
      <c r="BA23" s="495"/>
      <c r="BB23" s="495"/>
      <c r="BC23" s="495"/>
      <c r="BD23" s="513"/>
      <c r="BE23" s="429" t="s">
        <v>118</v>
      </c>
      <c r="BF23" s="290"/>
      <c r="BG23" s="290"/>
      <c r="BH23" s="290"/>
      <c r="BI23" s="290"/>
    </row>
    <row r="24" spans="1:61" ht="16.149999999999999" customHeight="1">
      <c r="A24" s="517" t="s">
        <v>438</v>
      </c>
      <c r="B24" s="450" t="s">
        <v>1704</v>
      </c>
      <c r="C24" s="3">
        <f>+$C$22+$G$23</f>
        <v>41207.139999999992</v>
      </c>
      <c r="D24" s="83"/>
      <c r="E24" s="4"/>
      <c r="F24" s="4">
        <v>0</v>
      </c>
      <c r="G24" s="6"/>
      <c r="H24" s="449" t="s">
        <v>460</v>
      </c>
      <c r="I24" s="449"/>
      <c r="J24" s="3"/>
      <c r="K24" s="449"/>
      <c r="L24" s="449" t="s">
        <v>455</v>
      </c>
      <c r="M24" s="449" t="str">
        <f>IF(L24="","",
IF(AX24="PT",VLOOKUP(L24,Foundation_Calc!$V$79:$X$113,VLOOKUP(AX24,Foundation_Calc!$I$10:$J$13,2,FALSE),0),
IF(AX24="K",VLOOKUP(L24,Foundation_Calc!$V$117:$X$151,VLOOKUP(AX24,Foundation_Calc!$I$10:$J$13,2,FALSE),0),"")))</f>
        <v>C11R</v>
      </c>
      <c r="N24" s="449" t="s">
        <v>134</v>
      </c>
      <c r="O24" s="449"/>
      <c r="P24" s="449"/>
      <c r="Q24" s="4"/>
      <c r="R24" s="6"/>
      <c r="S24" s="6"/>
      <c r="T24" s="4">
        <v>20</v>
      </c>
      <c r="U24" s="4"/>
      <c r="V24" s="4"/>
      <c r="W24" s="572">
        <v>0.9</v>
      </c>
      <c r="X24" s="9"/>
      <c r="Y24" s="9"/>
      <c r="Z24" s="9"/>
      <c r="AA24" s="9"/>
      <c r="AB24" s="9"/>
      <c r="AC24" s="449" t="str">
        <f t="shared" si="0"/>
        <v>PH</v>
      </c>
      <c r="AD24" s="449"/>
      <c r="AE24" s="449"/>
      <c r="AF24" s="4"/>
      <c r="AG24" s="83"/>
      <c r="AH24" s="4"/>
      <c r="AI24" s="4"/>
      <c r="AJ24" s="449"/>
      <c r="AK24" s="449"/>
      <c r="AL24" s="449" t="s">
        <v>456</v>
      </c>
      <c r="AM24" s="449" t="s">
        <v>126</v>
      </c>
      <c r="AN24" s="10">
        <v>5.5</v>
      </c>
      <c r="AO24" s="9"/>
      <c r="AP24" s="9"/>
      <c r="AQ24" s="9"/>
      <c r="AR24" s="9"/>
      <c r="AS24" s="9"/>
      <c r="AT24" s="9">
        <f>+ab($T$24,$T$22,$T$26,$G$23,$G$25, 1*$F$24,1200)</f>
        <v>13.194150491117416</v>
      </c>
      <c r="AU24" s="428"/>
      <c r="AV24" s="428"/>
      <c r="AW24" s="449" t="str">
        <f>IF(C24&gt;0,VLOOKUP(C24,Foundation_Calc!$A$2:$C$13,3,1),
IF(J24&gt;0,VLOOKUP(J24,Foundation_Calc!$A$2:$C$13,3,1),""))</f>
        <v>Multi Soil</v>
      </c>
      <c r="AX24" s="449" t="str">
        <f>IF(C24&gt;0,VLOOKUP(C24,Foundation_Calc!$E$2:$G$33,3,1),
IF(J24&gt;0,VLOOKUP(J24,Foundation_Calc!$E$2:$G$33,3,1),""))</f>
        <v>PT</v>
      </c>
      <c r="AY24" s="10">
        <f>IF(L24="","",
IF(AX24="PT",VLOOKUP(L24,Foundation_Calc!$K$79:$R$113,VLOOKUP(AW24,Foundation_Calc!$I$2:$J$8,2,FALSE),0),
IF(AX24="K",VLOOKUP(L24,Foundation_Calc!$K$117:$R$151,VLOOKUP(AW24,Foundation_Calc!$I$2:$J$8,2,FALSE),0),"")))</f>
        <v>4.5999999999999996</v>
      </c>
      <c r="AZ24" s="10" t="str">
        <f>IF(K24="","",
IF(AX24="PT",VLOOKUP(K24,Foundation_Calc!$K$79:$R$113,VLOOKUP(AW24,Foundation_Calc!$I$2:$J$8,2,FALSE),0),
IF(AX24="K",VLOOKUP(K24,Foundation_Calc!$K$117:$R$151,VLOOKUP(AW24,Foundation_Calc!$I$2:$J$8,2,FALSE),0),"")))</f>
        <v/>
      </c>
      <c r="BA24" s="495"/>
      <c r="BB24" s="495"/>
      <c r="BC24" s="495"/>
      <c r="BD24" s="513" t="str">
        <f>Pole_Calc!A$251</f>
        <v>App.8-V08H-P10.3</v>
      </c>
      <c r="BE24" s="429" t="s">
        <v>118</v>
      </c>
      <c r="BF24" s="289"/>
      <c r="BG24" s="289"/>
      <c r="BH24" s="290"/>
      <c r="BI24" s="289"/>
    </row>
    <row r="25" spans="1:61" ht="16.149999999999999" customHeight="1">
      <c r="A25" s="517" t="s">
        <v>438</v>
      </c>
      <c r="B25" s="450"/>
      <c r="C25" s="3"/>
      <c r="D25" s="83"/>
      <c r="E25" s="4"/>
      <c r="F25" s="4"/>
      <c r="G25" s="6">
        <v>52.5</v>
      </c>
      <c r="H25" s="449"/>
      <c r="I25" s="4">
        <f>SUM(G7:G25)-22.2</f>
        <v>411.3</v>
      </c>
      <c r="J25" s="3"/>
      <c r="K25" s="449"/>
      <c r="L25" s="449"/>
      <c r="M25" s="449" t="str">
        <f>IF(L25="","",
IF(AX25="PT",VLOOKUP(L25,Foundation_Calc!$V$79:$X$113,VLOOKUP(AX25,Foundation_Calc!$I$10:$J$13,2,FALSE),0),
IF(AX25="K",VLOOKUP(L25,Foundation_Calc!$V$117:$X$151,VLOOKUP(AX25,Foundation_Calc!$I$10:$J$13,2,FALSE),0),"")))</f>
        <v/>
      </c>
      <c r="N25" s="449"/>
      <c r="O25" s="449"/>
      <c r="P25" s="449"/>
      <c r="Q25" s="4"/>
      <c r="R25" s="6"/>
      <c r="S25" s="6"/>
      <c r="T25" s="4"/>
      <c r="U25" s="4"/>
      <c r="V25" s="4"/>
      <c r="W25" s="572"/>
      <c r="X25" s="9"/>
      <c r="Y25" s="9"/>
      <c r="Z25" s="9"/>
      <c r="AA25" s="9"/>
      <c r="AB25" s="9"/>
      <c r="AC25" s="449" t="str">
        <f t="shared" si="0"/>
        <v/>
      </c>
      <c r="AD25" s="449"/>
      <c r="AE25" s="449"/>
      <c r="AF25" s="4"/>
      <c r="AG25" s="83"/>
      <c r="AH25" s="4"/>
      <c r="AI25" s="4"/>
      <c r="AJ25" s="449"/>
      <c r="AK25" s="449"/>
      <c r="AL25" s="449"/>
      <c r="AM25" s="449"/>
      <c r="AN25" s="10"/>
      <c r="AO25" s="9"/>
      <c r="AP25" s="9"/>
      <c r="AQ25" s="9">
        <f>+FL_1($T$26,$T$24,$G$25,1200,9.28, 1*$F$26)</f>
        <v>0.30396975238095242</v>
      </c>
      <c r="AR25" s="9"/>
      <c r="AS25" s="9"/>
      <c r="AT25" s="9"/>
      <c r="AU25" s="428"/>
      <c r="AV25" s="428"/>
      <c r="AW25" s="449" t="str">
        <f>IF(C25&gt;0,VLOOKUP(C25,Foundation_Calc!$A$2:$C$13,3,1),
IF(J25&gt;0,VLOOKUP(J25,Foundation_Calc!$A$2:$C$13,3,1),""))</f>
        <v/>
      </c>
      <c r="AX25" s="449" t="str">
        <f>IF(C25&gt;0,VLOOKUP(C25,Foundation_Calc!$E$2:$G$33,3,1),
IF(J25&gt;0,VLOOKUP(J25,Foundation_Calc!$E$2:$G$33,3,1),""))</f>
        <v/>
      </c>
      <c r="AY25" s="10" t="str">
        <f>IF(L25="","",
IF(AX25="PT",VLOOKUP(L25,Foundation_Calc!$K$79:$R$113,VLOOKUP(AW25,Foundation_Calc!$I$2:$J$8,2,FALSE),0),
IF(AX25="K",VLOOKUP(L25,Foundation_Calc!$K$117:$R$151,VLOOKUP(AW25,Foundation_Calc!$I$2:$J$8,2,FALSE),0),"")))</f>
        <v/>
      </c>
      <c r="AZ25" s="10" t="str">
        <f>IF(K25="","",
IF(AX25="PT",VLOOKUP(K25,Foundation_Calc!$K$79:$R$113,VLOOKUP(AW25,Foundation_Calc!$I$2:$J$8,2,FALSE),0),
IF(AX25="K",VLOOKUP(K25,Foundation_Calc!$K$117:$R$151,VLOOKUP(AW25,Foundation_Calc!$I$2:$J$8,2,FALSE),0),"")))</f>
        <v/>
      </c>
      <c r="BA25" s="495"/>
      <c r="BB25" s="495"/>
      <c r="BC25" s="495"/>
      <c r="BD25" s="513"/>
      <c r="BE25" s="429" t="s">
        <v>118</v>
      </c>
      <c r="BF25" s="290"/>
      <c r="BG25" s="290"/>
      <c r="BH25" s="290"/>
      <c r="BI25" s="290"/>
    </row>
    <row r="26" spans="1:61" ht="16.149999999999999" customHeight="1">
      <c r="A26" s="517" t="s">
        <v>438</v>
      </c>
      <c r="B26" s="450" t="s">
        <v>1705</v>
      </c>
      <c r="C26" s="3">
        <f>+$C$24+$G$25</f>
        <v>41259.639999999992</v>
      </c>
      <c r="D26" s="83"/>
      <c r="E26" s="4"/>
      <c r="F26" s="4">
        <v>0</v>
      </c>
      <c r="G26" s="6"/>
      <c r="H26" s="449" t="s">
        <v>171</v>
      </c>
      <c r="I26" s="449"/>
      <c r="J26" s="3"/>
      <c r="K26" s="449"/>
      <c r="L26" s="449" t="s">
        <v>455</v>
      </c>
      <c r="M26" s="449" t="str">
        <f>IF(L26="","",
IF(AX26="PT",VLOOKUP(L26,Foundation_Calc!$V$79:$X$113,VLOOKUP(AX26,Foundation_Calc!$I$10:$J$13,2,FALSE),0),
IF(AX26="K",VLOOKUP(L26,Foundation_Calc!$V$117:$X$151,VLOOKUP(AX26,Foundation_Calc!$I$10:$J$13,2,FALSE),0),"")))</f>
        <v>C11R</v>
      </c>
      <c r="N26" s="449" t="s">
        <v>124</v>
      </c>
      <c r="O26" s="449"/>
      <c r="P26" s="449"/>
      <c r="Q26" s="4"/>
      <c r="R26" s="6"/>
      <c r="S26" s="6"/>
      <c r="T26" s="4">
        <v>-20</v>
      </c>
      <c r="U26" s="4"/>
      <c r="V26" s="4"/>
      <c r="W26" s="572">
        <v>1.2</v>
      </c>
      <c r="X26" s="9"/>
      <c r="Y26" s="9"/>
      <c r="Z26" s="9"/>
      <c r="AA26" s="9"/>
      <c r="AB26" s="9"/>
      <c r="AC26" s="449" t="str">
        <f t="shared" si="0"/>
        <v>PH</v>
      </c>
      <c r="AD26" s="449"/>
      <c r="AE26" s="449"/>
      <c r="AF26" s="4"/>
      <c r="AG26" s="83"/>
      <c r="AH26" s="4"/>
      <c r="AI26" s="4"/>
      <c r="AJ26" s="449"/>
      <c r="AK26" s="449"/>
      <c r="AL26" s="449" t="s">
        <v>456</v>
      </c>
      <c r="AM26" s="449" t="s">
        <v>126</v>
      </c>
      <c r="AN26" s="10">
        <v>5.5</v>
      </c>
      <c r="AO26" s="9"/>
      <c r="AP26" s="9"/>
      <c r="AQ26" s="9"/>
      <c r="AR26" s="9"/>
      <c r="AS26" s="9"/>
      <c r="AT26" s="9">
        <f>+ab($T$26,$T$24,$T$28,$G$25,$G$27, 1*$F$26,1200)</f>
        <v>-30.455207452979199</v>
      </c>
      <c r="AU26" s="428"/>
      <c r="AV26" s="428"/>
      <c r="AW26" s="449" t="str">
        <f>IF(C26&gt;0,VLOOKUP(C26,Foundation_Calc!$A$2:$C$13,3,1),
IF(J26&gt;0,VLOOKUP(J26,Foundation_Calc!$A$2:$C$13,3,1),""))</f>
        <v>Multi Soil</v>
      </c>
      <c r="AX26" s="449" t="str">
        <f>IF(C26&gt;0,VLOOKUP(C26,Foundation_Calc!$E$2:$G$33,3,1),
IF(J26&gt;0,VLOOKUP(J26,Foundation_Calc!$E$2:$G$33,3,1),""))</f>
        <v>PT</v>
      </c>
      <c r="AY26" s="10">
        <f>IF(L26="","",
IF(AX26="PT",VLOOKUP(L26,Foundation_Calc!$K$79:$R$113,VLOOKUP(AW26,Foundation_Calc!$I$2:$J$8,2,FALSE),0),
IF(AX26="K",VLOOKUP(L26,Foundation_Calc!$K$117:$R$151,VLOOKUP(AW26,Foundation_Calc!$I$2:$J$8,2,FALSE),0),"")))</f>
        <v>4.5999999999999996</v>
      </c>
      <c r="AZ26" s="10" t="str">
        <f>IF(K26="","",
IF(AX26="PT",VLOOKUP(K26,Foundation_Calc!$K$79:$R$113,VLOOKUP(AW26,Foundation_Calc!$I$2:$J$8,2,FALSE),0),
IF(AX26="K",VLOOKUP(K26,Foundation_Calc!$K$117:$R$151,VLOOKUP(AW26,Foundation_Calc!$I$2:$J$8,2,FALSE),0),"")))</f>
        <v/>
      </c>
      <c r="BA26" s="495"/>
      <c r="BB26" s="495"/>
      <c r="BC26" s="495"/>
      <c r="BD26" s="513" t="str">
        <f>Pole_Calc!A$251</f>
        <v>App.8-V08H-P10.3</v>
      </c>
      <c r="BE26" s="429" t="s">
        <v>118</v>
      </c>
      <c r="BF26" s="289"/>
      <c r="BG26" s="289"/>
      <c r="BH26" s="290"/>
      <c r="BI26" s="289"/>
    </row>
    <row r="27" spans="1:61" ht="16.149999999999999" customHeight="1">
      <c r="A27" s="514" t="s">
        <v>438</v>
      </c>
      <c r="B27" s="450"/>
      <c r="C27" s="3"/>
      <c r="D27" s="83"/>
      <c r="E27" s="4"/>
      <c r="F27" s="4"/>
      <c r="G27" s="6">
        <v>52</v>
      </c>
      <c r="H27" s="449"/>
      <c r="I27" s="4">
        <f>SUM(G27:G39)</f>
        <v>322.79999999999995</v>
      </c>
      <c r="J27" s="3"/>
      <c r="K27" s="449"/>
      <c r="L27" s="449"/>
      <c r="M27" s="449" t="str">
        <f>IF(L27="","",
IF(AX27="PT",VLOOKUP(L27,Foundation_Calc!$V$79:$X$113,VLOOKUP(AX27,Foundation_Calc!$I$10:$J$13,2,FALSE),0),
IF(AX27="K",VLOOKUP(L27,Foundation_Calc!$V$117:$X$151,VLOOKUP(AX27,Foundation_Calc!$I$10:$J$13,2,FALSE),0),"")))</f>
        <v/>
      </c>
      <c r="N27" s="449"/>
      <c r="O27" s="449"/>
      <c r="P27" s="449"/>
      <c r="Q27" s="4"/>
      <c r="R27" s="6"/>
      <c r="S27" s="6"/>
      <c r="T27" s="4"/>
      <c r="U27" s="4"/>
      <c r="V27" s="4"/>
      <c r="W27" s="9"/>
      <c r="X27" s="9"/>
      <c r="Y27" s="9"/>
      <c r="Z27" s="9"/>
      <c r="AA27" s="9"/>
      <c r="AB27" s="9"/>
      <c r="AC27" s="449" t="str">
        <f t="shared" si="0"/>
        <v/>
      </c>
      <c r="AD27" s="449"/>
      <c r="AE27" s="449"/>
      <c r="AF27" s="4"/>
      <c r="AG27" s="83"/>
      <c r="AH27" s="4"/>
      <c r="AI27" s="4"/>
      <c r="AJ27" s="449"/>
      <c r="AK27" s="449"/>
      <c r="AL27" s="449"/>
      <c r="AM27" s="449"/>
      <c r="AN27" s="10"/>
      <c r="AO27" s="9"/>
      <c r="AP27" s="9"/>
      <c r="AQ27" s="9">
        <f>+FL_1($T$28,$T$26,$G$27,1200,9.28, 1*$F$28)</f>
        <v>3.4506911320544162</v>
      </c>
      <c r="AR27" s="9"/>
      <c r="AS27" s="9"/>
      <c r="AT27" s="9"/>
      <c r="AU27" s="428"/>
      <c r="AV27" s="428"/>
      <c r="AW27" s="449" t="str">
        <f>IF(C27&gt;0,VLOOKUP(C27,Foundation_Calc!$A$2:$C$13,3,1),
IF(J27&gt;0,VLOOKUP(J27,Foundation_Calc!$A$2:$C$13,3,1),""))</f>
        <v/>
      </c>
      <c r="AX27" s="449" t="str">
        <f>IF(C27&gt;0,VLOOKUP(C27,Foundation_Calc!$E$2:$G$33,3,1),
IF(J27&gt;0,VLOOKUP(J27,Foundation_Calc!$E$2:$G$33,3,1),""))</f>
        <v/>
      </c>
      <c r="AY27" s="10" t="str">
        <f>IF(L27="","",
IF(AX27="PT",VLOOKUP(L27,Foundation_Calc!$K$79:$R$113,VLOOKUP(AW27,Foundation_Calc!$I$2:$J$8,2,FALSE),0),
IF(AX27="K",VLOOKUP(L27,Foundation_Calc!$K$117:$R$151,VLOOKUP(AW27,Foundation_Calc!$I$2:$J$8,2,FALSE),0),"")))</f>
        <v/>
      </c>
      <c r="AZ27" s="10" t="str">
        <f>IF(K27="","",
IF(AX27="PT",VLOOKUP(K27,Foundation_Calc!$K$79:$R$113,VLOOKUP(AW27,Foundation_Calc!$I$2:$J$8,2,FALSE),0),
IF(AX27="K",VLOOKUP(K27,Foundation_Calc!$K$117:$R$151,VLOOKUP(AW27,Foundation_Calc!$I$2:$J$8,2,FALSE),0),"")))</f>
        <v/>
      </c>
      <c r="BA27" s="495"/>
      <c r="BB27" s="495"/>
      <c r="BC27" s="495"/>
      <c r="BD27" s="513" t="str">
        <f>IF(AND(L27="",H27=""),"",
IF(H27="",Pole_Calc!A$22,
IF(H27="MP",Pole_Calc!A$23,
IF(H27="AnMP",Pole_Calc!A$24,
IF(H27="A",Pole_Calc!A$25,
IF(H27="S/A",Pole_Calc!A$26,
IF(H27="A/S",Pole_Calc!A$27,"Poner a mano")))))))</f>
        <v/>
      </c>
      <c r="BE27" s="429" t="s">
        <v>118</v>
      </c>
      <c r="BF27" s="290"/>
      <c r="BG27" s="290"/>
      <c r="BH27" s="290"/>
      <c r="BI27" s="290"/>
    </row>
    <row r="28" spans="1:61" ht="16.149999999999999" customHeight="1">
      <c r="A28" s="514"/>
      <c r="B28" s="450" t="s">
        <v>1706</v>
      </c>
      <c r="C28" s="3">
        <f>+$C$26+$G$27</f>
        <v>41311.639999999992</v>
      </c>
      <c r="D28" s="83"/>
      <c r="E28" s="4"/>
      <c r="F28" s="4">
        <v>-100</v>
      </c>
      <c r="G28" s="6"/>
      <c r="H28" s="449" t="s">
        <v>168</v>
      </c>
      <c r="I28" s="4"/>
      <c r="J28" s="3"/>
      <c r="K28" s="449"/>
      <c r="L28" s="449" t="s">
        <v>455</v>
      </c>
      <c r="M28" s="449" t="str">
        <f>IF(L28="","",
IF(AX28="PT",VLOOKUP(L28,Foundation_Calc!$V$79:$X$113,VLOOKUP(AX28,Foundation_Calc!$I$10:$J$13,2,FALSE),0),
IF(AX28="K",VLOOKUP(L28,Foundation_Calc!$V$117:$X$151,VLOOKUP(AX28,Foundation_Calc!$I$10:$J$13,2,FALSE),0),"")))</f>
        <v>C11R</v>
      </c>
      <c r="N28" s="449" t="s">
        <v>124</v>
      </c>
      <c r="O28" s="449"/>
      <c r="P28" s="449"/>
      <c r="Q28" s="4"/>
      <c r="R28" s="6"/>
      <c r="S28" s="6"/>
      <c r="T28" s="4">
        <v>-30</v>
      </c>
      <c r="U28" s="4"/>
      <c r="V28" s="4"/>
      <c r="W28" s="9">
        <v>1.4</v>
      </c>
      <c r="X28" s="9"/>
      <c r="Y28" s="9"/>
      <c r="Z28" s="9"/>
      <c r="AA28" s="9"/>
      <c r="AB28" s="9"/>
      <c r="AC28" s="449" t="str">
        <f t="shared" si="0"/>
        <v>PHC</v>
      </c>
      <c r="AD28" s="449"/>
      <c r="AE28" s="449"/>
      <c r="AF28" s="4"/>
      <c r="AG28" s="83"/>
      <c r="AH28" s="4"/>
      <c r="AI28" s="4"/>
      <c r="AJ28" s="449"/>
      <c r="AK28" s="449"/>
      <c r="AL28" s="449" t="s">
        <v>456</v>
      </c>
      <c r="AM28" s="449" t="s">
        <v>126</v>
      </c>
      <c r="AN28" s="10">
        <v>5.5</v>
      </c>
      <c r="AO28" s="9"/>
      <c r="AP28" s="9"/>
      <c r="AQ28" s="9"/>
      <c r="AR28" s="9"/>
      <c r="AS28" s="9"/>
      <c r="AT28" s="9">
        <v>-3.5</v>
      </c>
      <c r="AU28" s="428"/>
      <c r="AV28" s="428"/>
      <c r="AW28" s="449" t="str">
        <f>IF(C28&gt;0,VLOOKUP(C28,Foundation_Calc!$A$2:$C$13,3,1),
IF(J28&gt;0,VLOOKUP(J28,Foundation_Calc!$A$2:$C$13,3,1),""))</f>
        <v>Multi Soil</v>
      </c>
      <c r="AX28" s="449" t="str">
        <f>IF(C28&gt;0,VLOOKUP(C28,Foundation_Calc!$E$2:$G$33,3,1),
IF(J28&gt;0,VLOOKUP(J28,Foundation_Calc!$E$2:$G$33,3,1),""))</f>
        <v>PT</v>
      </c>
      <c r="AY28" s="10">
        <f>IF(L28="","",
IF(AX28="PT",VLOOKUP(L28,Foundation_Calc!$K$79:$R$113,VLOOKUP(AW28,Foundation_Calc!$I$2:$J$8,2,FALSE),0),
IF(AX28="K",VLOOKUP(L28,Foundation_Calc!$K$117:$R$151,VLOOKUP(AW28,Foundation_Calc!$I$2:$J$8,2,FALSE),0),"")))</f>
        <v>4.5999999999999996</v>
      </c>
      <c r="AZ28" s="10" t="str">
        <f>IF(K28="","",
IF(AX28="PT",VLOOKUP(K28,Foundation_Calc!$K$79:$R$113,VLOOKUP(AW28,Foundation_Calc!$I$2:$J$8,2,FALSE),0),
IF(AX28="K",VLOOKUP(K28,Foundation_Calc!$K$117:$R$151,VLOOKUP(AW28,Foundation_Calc!$I$2:$J$8,2,FALSE),0),"")))</f>
        <v/>
      </c>
      <c r="BA28" s="495" t="str">
        <f t="shared" ref="BA28:BB35" si="2">IF(AY28="","",IF(AY28&gt;0,"ü",""))</f>
        <v>ü</v>
      </c>
      <c r="BB28" s="495" t="str">
        <f t="shared" si="2"/>
        <v/>
      </c>
      <c r="BC28" s="495" t="str">
        <f t="shared" ref="BC28:BC35" si="3">IF(M28="","",IF(M28="U.S.","ü",IF(M28="U.S. N.D.","ü","")))</f>
        <v/>
      </c>
      <c r="BD28" s="513" t="str">
        <f>Pole_Calc!A$251</f>
        <v>App.8-V08H-P10.3</v>
      </c>
      <c r="BE28" s="429" t="s">
        <v>118</v>
      </c>
      <c r="BF28" s="289"/>
      <c r="BG28" s="289"/>
      <c r="BH28" s="290"/>
      <c r="BI28" s="289"/>
    </row>
    <row r="29" spans="1:61" ht="16.149999999999999" customHeight="1">
      <c r="A29" s="514"/>
      <c r="B29" s="450"/>
      <c r="C29" s="3"/>
      <c r="D29" s="83"/>
      <c r="E29" s="4"/>
      <c r="F29" s="4"/>
      <c r="G29" s="6">
        <v>52</v>
      </c>
      <c r="H29" s="449"/>
      <c r="I29" s="4"/>
      <c r="J29" s="3"/>
      <c r="K29" s="449"/>
      <c r="L29" s="449"/>
      <c r="M29" s="449" t="str">
        <f>IF(L29="","",
IF(AX29="PT",VLOOKUP(L29,Foundation_Calc!$V$79:$X$113,VLOOKUP(AX29,Foundation_Calc!$I$10:$J$13,2,FALSE),0),
IF(AX29="K",VLOOKUP(L29,Foundation_Calc!$V$117:$X$151,VLOOKUP(AX29,Foundation_Calc!$I$10:$J$13,2,FALSE),0),"")))</f>
        <v/>
      </c>
      <c r="N29" s="449"/>
      <c r="O29" s="449"/>
      <c r="P29" s="449"/>
      <c r="Q29" s="4"/>
      <c r="R29" s="6"/>
      <c r="S29" s="6"/>
      <c r="T29" s="4"/>
      <c r="U29" s="4"/>
      <c r="V29" s="4"/>
      <c r="W29" s="9"/>
      <c r="X29" s="9"/>
      <c r="Y29" s="9"/>
      <c r="Z29" s="9"/>
      <c r="AA29" s="9"/>
      <c r="AB29" s="9"/>
      <c r="AC29" s="449" t="str">
        <f t="shared" si="0"/>
        <v/>
      </c>
      <c r="AD29" s="449"/>
      <c r="AE29" s="449"/>
      <c r="AF29" s="4"/>
      <c r="AG29" s="83"/>
      <c r="AH29" s="4"/>
      <c r="AI29" s="4"/>
      <c r="AJ29" s="449"/>
      <c r="AK29" s="449"/>
      <c r="AL29" s="449"/>
      <c r="AM29" s="449"/>
      <c r="AN29" s="10"/>
      <c r="AO29" s="9"/>
      <c r="AP29" s="9"/>
      <c r="AQ29" s="9">
        <f>+FL_2($T$30,$T$28,$G$29,1200,9.28, 1*$F$30)</f>
        <v>-0.39964416153846155</v>
      </c>
      <c r="AR29" s="9"/>
      <c r="AS29" s="9"/>
      <c r="AT29" s="9"/>
      <c r="AU29" s="428"/>
      <c r="AV29" s="428"/>
      <c r="AW29" s="449" t="str">
        <f>IF(C29&gt;0,VLOOKUP(C29,Foundation_Calc!$A$2:$C$13,3,1),
IF(J29&gt;0,VLOOKUP(J29,Foundation_Calc!$A$2:$C$13,3,1),""))</f>
        <v/>
      </c>
      <c r="AX29" s="449" t="str">
        <f>IF(C29&gt;0,VLOOKUP(C29,Foundation_Calc!$E$2:$G$33,3,1),
IF(J29&gt;0,VLOOKUP(J29,Foundation_Calc!$E$2:$G$33,3,1),""))</f>
        <v/>
      </c>
      <c r="AY29" s="10" t="str">
        <f>IF(L29="","",
IF(AX29="PT",VLOOKUP(L29,Foundation_Calc!$K$79:$R$113,VLOOKUP(AW29,Foundation_Calc!$I$2:$J$8,2,FALSE),0),
IF(AX29="K",VLOOKUP(L29,Foundation_Calc!$K$117:$R$151,VLOOKUP(AW29,Foundation_Calc!$I$2:$J$8,2,FALSE),0),"")))</f>
        <v/>
      </c>
      <c r="AZ29" s="10" t="str">
        <f>IF(K29="","",
IF(AX29="PT",VLOOKUP(K29,Foundation_Calc!$K$79:$R$113,VLOOKUP(AW29,Foundation_Calc!$I$2:$J$8,2,FALSE),0),
IF(AX29="K",VLOOKUP(K29,Foundation_Calc!$K$117:$R$151,VLOOKUP(AW29,Foundation_Calc!$I$2:$J$8,2,FALSE),0),"")))</f>
        <v/>
      </c>
      <c r="BA29" s="495" t="str">
        <f t="shared" si="2"/>
        <v/>
      </c>
      <c r="BB29" s="495" t="str">
        <f t="shared" si="2"/>
        <v/>
      </c>
      <c r="BC29" s="495" t="str">
        <f t="shared" si="3"/>
        <v/>
      </c>
      <c r="BD29" s="513" t="str">
        <f>IF(AND(L29="",H29=""),"",
IF(H29="",Pole_Calc!A$22,
IF(H29="MP",Pole_Calc!A$23,
IF(H29="AnMP",Pole_Calc!A$24,
IF(H29="A",Pole_Calc!A$25,
IF(H29="S/A",Pole_Calc!A$26,
IF(H29="A/S",Pole_Calc!A$27,"Poner a mano")))))))</f>
        <v/>
      </c>
      <c r="BE29" s="429" t="s">
        <v>118</v>
      </c>
      <c r="BF29" s="290"/>
      <c r="BG29" s="290"/>
      <c r="BH29" s="290"/>
      <c r="BI29" s="290"/>
    </row>
    <row r="30" spans="1:61" ht="16.149999999999999" customHeight="1">
      <c r="A30" s="545"/>
      <c r="B30" s="450" t="s">
        <v>1707</v>
      </c>
      <c r="C30" s="3">
        <f>+$C$28+$G$29</f>
        <v>41363.639999999992</v>
      </c>
      <c r="D30" s="83"/>
      <c r="E30" s="4"/>
      <c r="F30" s="4">
        <v>0</v>
      </c>
      <c r="G30" s="6"/>
      <c r="H30" s="449"/>
      <c r="I30" s="449"/>
      <c r="J30" s="3"/>
      <c r="K30" s="449"/>
      <c r="L30" s="449" t="s">
        <v>232</v>
      </c>
      <c r="M30" s="449" t="str">
        <f>IF(L30="","",
IF(AX30="PT",VLOOKUP(L30,Foundation_Calc!$V$79:$X$113,VLOOKUP(AX30,Foundation_Calc!$I$10:$J$13,2,FALSE),0),
IF(AX30="K",VLOOKUP(L30,Foundation_Calc!$V$117:$X$151,VLOOKUP(AX30,Foundation_Calc!$I$10:$J$13,2,FALSE),0),"")))</f>
        <v>C5R</v>
      </c>
      <c r="N30" s="449" t="s">
        <v>134</v>
      </c>
      <c r="O30" s="449"/>
      <c r="P30" s="449"/>
      <c r="Q30" s="4"/>
      <c r="R30" s="6"/>
      <c r="S30" s="6"/>
      <c r="T30" s="4">
        <v>10</v>
      </c>
      <c r="U30" s="4"/>
      <c r="V30" s="4"/>
      <c r="W30" s="9">
        <v>1.4</v>
      </c>
      <c r="X30" s="9"/>
      <c r="Y30" s="9"/>
      <c r="Z30" s="9"/>
      <c r="AA30" s="9"/>
      <c r="AB30" s="9"/>
      <c r="AC30" s="449" t="str">
        <f t="shared" si="0"/>
        <v>PH</v>
      </c>
      <c r="AD30" s="449"/>
      <c r="AE30" s="449"/>
      <c r="AF30" s="4"/>
      <c r="AG30" s="83"/>
      <c r="AH30" s="4"/>
      <c r="AI30" s="4"/>
      <c r="AJ30" s="449"/>
      <c r="AK30" s="449"/>
      <c r="AL30" s="449" t="s">
        <v>241</v>
      </c>
      <c r="AM30" s="449" t="s">
        <v>126</v>
      </c>
      <c r="AN30" s="10">
        <v>5.5</v>
      </c>
      <c r="AO30" s="9"/>
      <c r="AP30" s="9"/>
      <c r="AQ30" s="9"/>
      <c r="AR30" s="9"/>
      <c r="AS30" s="9"/>
      <c r="AT30" s="9">
        <f>+ab($T$30,$T$28,$T$32,$G$29,$G$31, 1*$F$30,1200)</f>
        <v>42.209609972045406</v>
      </c>
      <c r="AU30" s="428"/>
      <c r="AV30" s="428"/>
      <c r="AW30" s="449" t="str">
        <f>IF(C30&gt;0,VLOOKUP(C30,Foundation_Calc!$A$2:$C$13,3,1),
IF(J30&gt;0,VLOOKUP(J30,Foundation_Calc!$A$2:$C$13,3,1),""))</f>
        <v>Multi Soil</v>
      </c>
      <c r="AX30" s="449" t="str">
        <f>IF(C30&gt;0,VLOOKUP(C30,Foundation_Calc!$E$2:$G$33,3,1),
IF(J30&gt;0,VLOOKUP(J30,Foundation_Calc!$E$2:$G$33,3,1),""))</f>
        <v>PT</v>
      </c>
      <c r="AY30" s="10">
        <f>IF(L30="","",
IF(AX30="PT",VLOOKUP(L30,Foundation_Calc!$K$79:$R$113,VLOOKUP(AW30,Foundation_Calc!$I$2:$J$8,2,FALSE),0),
IF(AX30="K",VLOOKUP(L30,Foundation_Calc!$K$117:$R$151,VLOOKUP(AW30,Foundation_Calc!$I$2:$J$8,2,FALSE),0),"")))</f>
        <v>3.5</v>
      </c>
      <c r="AZ30" s="10" t="str">
        <f>IF(K30="","",
IF(AX30="PT",VLOOKUP(K30,Foundation_Calc!$K$79:$R$113,VLOOKUP(AW30,Foundation_Calc!$I$2:$J$8,2,FALSE),0),
IF(AX30="K",VLOOKUP(K30,Foundation_Calc!$K$117:$R$151,VLOOKUP(AW30,Foundation_Calc!$I$2:$J$8,2,FALSE),0),"")))</f>
        <v/>
      </c>
      <c r="BA30" s="495" t="str">
        <f t="shared" si="2"/>
        <v>ü</v>
      </c>
      <c r="BB30" s="495" t="str">
        <f t="shared" si="2"/>
        <v/>
      </c>
      <c r="BC30" s="495" t="str">
        <f t="shared" si="3"/>
        <v/>
      </c>
      <c r="BD30" s="513" t="str">
        <f>Pole_Calc!A$251</f>
        <v>App.8-V08H-P10.3</v>
      </c>
      <c r="BE30" s="429" t="s">
        <v>118</v>
      </c>
      <c r="BF30" s="289"/>
      <c r="BG30" s="289"/>
      <c r="BH30" s="290"/>
      <c r="BI30" s="289"/>
    </row>
    <row r="31" spans="1:61" ht="16.149999999999999" customHeight="1">
      <c r="A31" s="545"/>
      <c r="B31" s="450"/>
      <c r="C31" s="3"/>
      <c r="D31" s="83"/>
      <c r="E31" s="4"/>
      <c r="F31" s="4"/>
      <c r="G31" s="6">
        <v>50</v>
      </c>
      <c r="H31" s="449"/>
      <c r="I31" s="449"/>
      <c r="J31" s="3"/>
      <c r="K31" s="449"/>
      <c r="L31" s="449"/>
      <c r="M31" s="449" t="str">
        <f>IF(L31="","",
IF(AX31="PT",VLOOKUP(L31,Foundation_Calc!$V$79:$X$113,VLOOKUP(AX31,Foundation_Calc!$I$10:$J$13,2,FALSE),0),
IF(AX31="K",VLOOKUP(L31,Foundation_Calc!$V$117:$X$151,VLOOKUP(AX31,Foundation_Calc!$I$10:$J$13,2,FALSE),0),"")))</f>
        <v/>
      </c>
      <c r="N31" s="449"/>
      <c r="O31" s="449"/>
      <c r="P31" s="449"/>
      <c r="Q31" s="4"/>
      <c r="R31" s="6"/>
      <c r="S31" s="6"/>
      <c r="T31" s="4"/>
      <c r="U31" s="4"/>
      <c r="V31" s="4"/>
      <c r="W31" s="9"/>
      <c r="X31" s="9"/>
      <c r="Y31" s="9"/>
      <c r="Z31" s="9"/>
      <c r="AA31" s="9"/>
      <c r="AB31" s="9"/>
      <c r="AC31" s="449" t="str">
        <f t="shared" si="0"/>
        <v/>
      </c>
      <c r="AD31" s="449"/>
      <c r="AE31" s="449"/>
      <c r="AF31" s="4"/>
      <c r="AG31" s="83"/>
      <c r="AH31" s="4"/>
      <c r="AI31" s="4"/>
      <c r="AJ31" s="449"/>
      <c r="AK31" s="449"/>
      <c r="AL31" s="449"/>
      <c r="AM31" s="449"/>
      <c r="AN31" s="10"/>
      <c r="AO31" s="9"/>
      <c r="AP31" s="9"/>
      <c r="AQ31" s="9">
        <f>+FL_2($T$32,$T$30,$G$31,1200,9.28, 1*$F$32)</f>
        <v>-0.39320021038593828</v>
      </c>
      <c r="AR31" s="9"/>
      <c r="AS31" s="9"/>
      <c r="AT31" s="9"/>
      <c r="AU31" s="428"/>
      <c r="AV31" s="428"/>
      <c r="AW31" s="449" t="str">
        <f>IF(C31&gt;0,VLOOKUP(C31,Foundation_Calc!$A$2:$C$13,3,1),
IF(J31&gt;0,VLOOKUP(J31,Foundation_Calc!$A$2:$C$13,3,1),""))</f>
        <v/>
      </c>
      <c r="AX31" s="449" t="str">
        <f>IF(C31&gt;0,VLOOKUP(C31,Foundation_Calc!$E$2:$G$33,3,1),
IF(J31&gt;0,VLOOKUP(J31,Foundation_Calc!$E$2:$G$33,3,1),""))</f>
        <v/>
      </c>
      <c r="AY31" s="10" t="str">
        <f>IF(L31="","",
IF(AX31="PT",VLOOKUP(L31,Foundation_Calc!$K$79:$R$113,VLOOKUP(AW31,Foundation_Calc!$I$2:$J$8,2,FALSE),0),
IF(AX31="K",VLOOKUP(L31,Foundation_Calc!$K$117:$R$151,VLOOKUP(AW31,Foundation_Calc!$I$2:$J$8,2,FALSE),0),"")))</f>
        <v/>
      </c>
      <c r="AZ31" s="10" t="str">
        <f>IF(K31="","",
IF(AX31="PT",VLOOKUP(K31,Foundation_Calc!$K$79:$R$113,VLOOKUP(AW31,Foundation_Calc!$I$2:$J$8,2,FALSE),0),
IF(AX31="K",VLOOKUP(K31,Foundation_Calc!$K$117:$R$151,VLOOKUP(AW31,Foundation_Calc!$I$2:$J$8,2,FALSE),0),"")))</f>
        <v/>
      </c>
      <c r="BA31" s="495" t="str">
        <f t="shared" si="2"/>
        <v/>
      </c>
      <c r="BB31" s="495" t="str">
        <f t="shared" si="2"/>
        <v/>
      </c>
      <c r="BC31" s="495" t="str">
        <f t="shared" si="3"/>
        <v/>
      </c>
      <c r="BD31" s="513" t="str">
        <f>IF(AND(L31="",H31=""),"",
IF(H31="",Pole_Calc!A$22,
IF(H31="MP",Pole_Calc!A$23,
IF(H31="AnMP",Pole_Calc!A$24,
IF(H31="A",Pole_Calc!A$25,
IF(H31="S/A",Pole_Calc!A$26,
IF(H31="A/S",Pole_Calc!A$27,"Poner a mano")))))))</f>
        <v/>
      </c>
      <c r="BE31" s="429" t="s">
        <v>118</v>
      </c>
      <c r="BF31" s="290"/>
      <c r="BG31" s="290"/>
      <c r="BH31" s="290"/>
      <c r="BI31" s="290"/>
    </row>
    <row r="32" spans="1:61" ht="16.149999999999999" customHeight="1">
      <c r="A32" s="545"/>
      <c r="B32" s="450" t="s">
        <v>1708</v>
      </c>
      <c r="C32" s="3">
        <f>+$C$30+$G$31</f>
        <v>41413.639999999992</v>
      </c>
      <c r="D32" s="83"/>
      <c r="E32" s="4"/>
      <c r="F32" s="4">
        <v>900</v>
      </c>
      <c r="G32" s="6"/>
      <c r="H32" s="449"/>
      <c r="I32" s="449"/>
      <c r="J32" s="3"/>
      <c r="K32" s="449"/>
      <c r="L32" s="449" t="s">
        <v>201</v>
      </c>
      <c r="M32" s="449" t="s">
        <v>201</v>
      </c>
      <c r="N32" s="449" t="s">
        <v>453</v>
      </c>
      <c r="O32" s="449"/>
      <c r="P32" s="449"/>
      <c r="Q32" s="4"/>
      <c r="R32" s="6"/>
      <c r="S32" s="6"/>
      <c r="T32" s="4">
        <v>30</v>
      </c>
      <c r="U32" s="4"/>
      <c r="V32" s="4"/>
      <c r="W32" s="9">
        <v>1.4</v>
      </c>
      <c r="X32" s="9"/>
      <c r="Y32" s="9"/>
      <c r="Z32" s="9"/>
      <c r="AA32" s="9"/>
      <c r="AB32" s="9"/>
      <c r="AC32" s="449" t="str">
        <f t="shared" si="0"/>
        <v>PHC</v>
      </c>
      <c r="AD32" s="449"/>
      <c r="AE32" s="449"/>
      <c r="AF32" s="4"/>
      <c r="AG32" s="83"/>
      <c r="AH32" s="4"/>
      <c r="AI32" s="4"/>
      <c r="AJ32" s="449"/>
      <c r="AK32" s="449" t="s">
        <v>451</v>
      </c>
      <c r="AL32" s="449"/>
      <c r="AM32" s="449" t="s">
        <v>345</v>
      </c>
      <c r="AN32" s="10">
        <v>5.5</v>
      </c>
      <c r="AO32" s="9"/>
      <c r="AP32" s="9"/>
      <c r="AQ32" s="9"/>
      <c r="AR32" s="9"/>
      <c r="AS32" s="9"/>
      <c r="AT32" s="9">
        <f>+ab($T$32,$T$30,$U$34,$G$31,$G$33, 1*$F$32,1200)</f>
        <v>3.2489313585692345</v>
      </c>
      <c r="AU32" s="428"/>
      <c r="AV32" s="428"/>
      <c r="AW32" s="449" t="s">
        <v>201</v>
      </c>
      <c r="AX32" s="449" t="s">
        <v>201</v>
      </c>
      <c r="AY32" s="10" t="str">
        <f>IF(L32="","",
IF(AX32="PT",VLOOKUP(L32,Foundation_Calc!$K$79:$R$113,VLOOKUP(AW32,Foundation_Calc!$I$2:$J$8,2,FALSE),0),
IF(AX32="K",VLOOKUP(L32,Foundation_Calc!$K$117:$R$151,VLOOKUP(AW32,Foundation_Calc!$I$2:$J$8,2,FALSE),0),"")))</f>
        <v/>
      </c>
      <c r="AZ32" s="10" t="str">
        <f>IF(K32="","",
IF(AX32="PT",VLOOKUP(K32,Foundation_Calc!$K$79:$R$113,VLOOKUP(AW32,Foundation_Calc!$I$2:$J$8,2,FALSE),0),
IF(AX32="K",VLOOKUP(K32,Foundation_Calc!$K$117:$R$151,VLOOKUP(AW32,Foundation_Calc!$I$2:$J$8,2,FALSE),0),"")))</f>
        <v/>
      </c>
      <c r="BA32" s="495" t="str">
        <f t="shared" si="2"/>
        <v/>
      </c>
      <c r="BB32" s="495" t="str">
        <f t="shared" si="2"/>
        <v/>
      </c>
      <c r="BC32" s="495" t="str">
        <f t="shared" si="3"/>
        <v/>
      </c>
      <c r="BD32" s="513"/>
      <c r="BE32" s="429" t="s">
        <v>118</v>
      </c>
      <c r="BF32" s="289"/>
      <c r="BG32" s="289"/>
      <c r="BH32" s="290"/>
      <c r="BI32" s="289"/>
    </row>
    <row r="33" spans="1:61" ht="16.149999999999999" customHeight="1">
      <c r="A33" s="545"/>
      <c r="B33" s="450"/>
      <c r="C33" s="3"/>
      <c r="D33" s="83"/>
      <c r="E33" s="4"/>
      <c r="F33" s="4"/>
      <c r="G33" s="6">
        <v>40</v>
      </c>
      <c r="H33" s="449"/>
      <c r="I33" s="449"/>
      <c r="J33" s="3">
        <f>C34-7.5</f>
        <v>41446.139999999992</v>
      </c>
      <c r="K33" s="449" t="s">
        <v>117</v>
      </c>
      <c r="L33" s="449"/>
      <c r="M33" s="449" t="str">
        <f>IF(L33="","",
IF(AX33="PT",VLOOKUP(L33,Foundation_Calc!$V$4:$X$37,VLOOKUP(AX33,Foundation_Calc!$I$10:$J$13,2,FALSE),0),
IF(AX33="K",VLOOKUP(L33,Foundation_Calc!$V$41:$X$74,VLOOKUP(AX33,Foundation_Calc!$I$10:$J$13,2,FALSE),0),"")))</f>
        <v/>
      </c>
      <c r="N33" s="449"/>
      <c r="O33" s="449"/>
      <c r="P33" s="449"/>
      <c r="Q33" s="4"/>
      <c r="R33" s="6"/>
      <c r="S33" s="6"/>
      <c r="T33" s="4"/>
      <c r="U33" s="4"/>
      <c r="V33" s="4"/>
      <c r="W33" s="9"/>
      <c r="X33" s="9"/>
      <c r="Y33" s="9"/>
      <c r="Z33" s="9"/>
      <c r="AA33" s="9"/>
      <c r="AB33" s="9"/>
      <c r="AC33" s="449" t="str">
        <f t="shared" si="0"/>
        <v/>
      </c>
      <c r="AD33" s="449"/>
      <c r="AE33" s="449"/>
      <c r="AF33" s="4"/>
      <c r="AG33" s="83"/>
      <c r="AH33" s="4"/>
      <c r="AI33" s="4"/>
      <c r="AJ33" s="449"/>
      <c r="AK33" s="449"/>
      <c r="AL33" s="449"/>
      <c r="AM33" s="449"/>
      <c r="AN33" s="10"/>
      <c r="AO33" s="9"/>
      <c r="AP33" s="9"/>
      <c r="AQ33" s="9">
        <f>+FL_1($U$34,$T$32,$G$33,1200,9.28, 1*$F$34)</f>
        <v>0.37083045199999998</v>
      </c>
      <c r="AR33" s="9"/>
      <c r="AS33" s="9"/>
      <c r="AT33" s="9"/>
      <c r="AU33" s="428"/>
      <c r="AV33" s="428"/>
      <c r="AW33" s="449" t="str">
        <f>IF(C33&gt;0,VLOOKUP(C33,Foundation_Calc!$A$2:$C$13,3,1),
IF(J33&gt;0,VLOOKUP(J33,Foundation_Calc!$A$2:$C$13,3,1),""))</f>
        <v>Multi Soil</v>
      </c>
      <c r="AX33" s="449" t="str">
        <f>IF(C33&gt;0,VLOOKUP(C33,Foundation_Calc!$E$2:$G$33,3,1),
IF(J33&gt;0,VLOOKUP(J33,Foundation_Calc!$E$2:$G$33,3,1),""))</f>
        <v>PT</v>
      </c>
      <c r="AY33" s="10" t="str">
        <f>IF(L33="","",
IF(AX33="PT",VLOOKUP(L33,Foundation_Calc!$K$79:$R$113,VLOOKUP(AW33,Foundation_Calc!$I$2:$J$8,2,FALSE),0),
IF(AX33="K",VLOOKUP(L33,Foundation_Calc!$K$117:$R$151,VLOOKUP(AW33,Foundation_Calc!$I$2:$J$8,2,FALSE),0),"")))</f>
        <v/>
      </c>
      <c r="AZ33" s="10">
        <f>IF(K33="","",
IF(AX33="PT",VLOOKUP(K33,Foundation_Calc!$K$79:$R$113,VLOOKUP(AW33,Foundation_Calc!$I$2:$J$8,2,FALSE),0),
IF(AX33="K",VLOOKUP(K33,Foundation_Calc!$K$117:$R$151,VLOOKUP(AW33,Foundation_Calc!$I$2:$J$8,2,FALSE),0),"")))</f>
        <v>3.9</v>
      </c>
      <c r="BA33" s="495" t="str">
        <f t="shared" si="2"/>
        <v/>
      </c>
      <c r="BB33" s="495" t="str">
        <f t="shared" si="2"/>
        <v>ü</v>
      </c>
      <c r="BC33" s="495" t="str">
        <f t="shared" si="3"/>
        <v/>
      </c>
      <c r="BD33" s="513" t="str">
        <f>IF(AND(L33="",H33=""),"",
IF(H33="",Pole_Calc!A$22,
IF(H33="MP",Pole_Calc!A$23,
IF(H33="AnMP",Pole_Calc!A$24,
IF(H33="A",Pole_Calc!A$25,
IF(H33="S/A",Pole_Calc!A$26,
IF(H33="A/S",Pole_Calc!A$27,"Poner a mano")))))))</f>
        <v/>
      </c>
      <c r="BE33" s="429" t="s">
        <v>118</v>
      </c>
      <c r="BF33" s="290"/>
      <c r="BG33" s="290"/>
      <c r="BH33" s="290"/>
      <c r="BI33" s="290"/>
    </row>
    <row r="34" spans="1:61" ht="16.149999999999999" customHeight="1">
      <c r="A34" s="545"/>
      <c r="B34" s="450" t="s">
        <v>1709</v>
      </c>
      <c r="C34" s="3">
        <f>+$C$32+$G$33</f>
        <v>41453.639999999992</v>
      </c>
      <c r="D34" s="83"/>
      <c r="E34" s="4"/>
      <c r="F34" s="4">
        <v>0</v>
      </c>
      <c r="G34" s="6"/>
      <c r="H34" s="449" t="s">
        <v>1404</v>
      </c>
      <c r="I34" s="449" t="s">
        <v>162</v>
      </c>
      <c r="J34" s="3"/>
      <c r="K34" s="449"/>
      <c r="L34" s="449" t="s">
        <v>250</v>
      </c>
      <c r="M34" s="449" t="str">
        <f>IF(L34="","",
IF(AX34="PT",VLOOKUP(L34,Foundation_Calc!$V$79:$X$113,VLOOKUP(AX34,Foundation_Calc!$I$10:$J$13,2,FALSE),0),
IF(AX34="K",VLOOKUP(L34,Foundation_Calc!$V$117:$X$151,VLOOKUP(AX34,Foundation_Calc!$I$10:$J$13,2,FALSE),0),"")))</f>
        <v>2C4R</v>
      </c>
      <c r="N34" s="554" t="s">
        <v>134</v>
      </c>
      <c r="O34" s="449" t="s">
        <v>124</v>
      </c>
      <c r="P34" s="449"/>
      <c r="Q34" s="4"/>
      <c r="R34" s="6"/>
      <c r="S34" s="6"/>
      <c r="T34" s="4">
        <v>30</v>
      </c>
      <c r="U34" s="4">
        <v>10</v>
      </c>
      <c r="V34" s="4"/>
      <c r="W34" s="9">
        <v>1.4</v>
      </c>
      <c r="X34" s="9">
        <v>1.8</v>
      </c>
      <c r="Y34" s="9"/>
      <c r="Z34" s="9"/>
      <c r="AA34" s="9"/>
      <c r="AB34" s="9"/>
      <c r="AC34" s="449" t="str">
        <f t="shared" si="0"/>
        <v>PH</v>
      </c>
      <c r="AD34" s="449"/>
      <c r="AE34" s="449"/>
      <c r="AF34" s="4"/>
      <c r="AG34" s="83"/>
      <c r="AH34" s="4"/>
      <c r="AI34" s="4"/>
      <c r="AJ34" s="449" t="s">
        <v>239</v>
      </c>
      <c r="AK34" s="449"/>
      <c r="AL34" s="449" t="s">
        <v>252</v>
      </c>
      <c r="AM34" s="449" t="s">
        <v>126</v>
      </c>
      <c r="AN34" s="10">
        <v>5.5</v>
      </c>
      <c r="AO34" s="9"/>
      <c r="AP34" s="9"/>
      <c r="AQ34" s="9"/>
      <c r="AR34" s="9"/>
      <c r="AS34" s="9"/>
      <c r="AT34" s="9">
        <f>+ab(-$U$34,$T$32,$V$36,$G$33,$G$35, 1*$F$34,1200)</f>
        <v>-24.045753299568648</v>
      </c>
      <c r="AU34" s="428"/>
      <c r="AV34" s="428"/>
      <c r="AW34" s="449" t="str">
        <f>IF(C34&gt;0,VLOOKUP(C34,Foundation_Calc!$A$2:$C$13,3,1),
IF(J34&gt;0,VLOOKUP(J34,Foundation_Calc!$A$2:$C$13,3,1),""))</f>
        <v>Multi Soil</v>
      </c>
      <c r="AX34" s="449" t="str">
        <f>IF(C34&gt;0,VLOOKUP(C34,Foundation_Calc!$E$2:$G$33,3,1),
IF(J34&gt;0,VLOOKUP(J34,Foundation_Calc!$E$2:$G$33,3,1),""))</f>
        <v>PT</v>
      </c>
      <c r="AY34" s="10">
        <f>IF(L34="","",
IF(AX34="PT",VLOOKUP(L34,Foundation_Calc!$K$79:$R$113,VLOOKUP(AW34,Foundation_Calc!$I$2:$J$8,2,FALSE),0),
IF(AX34="K",VLOOKUP(L34,Foundation_Calc!$K$117:$R$151,VLOOKUP(AW34,Foundation_Calc!$I$2:$J$8,2,FALSE),0),"")))</f>
        <v>5.6</v>
      </c>
      <c r="AZ34" s="10" t="str">
        <f>IF(K34="","",
IF(AX34="PT",VLOOKUP(K34,Foundation_Calc!$K$79:$R$113,VLOOKUP(AW34,Foundation_Calc!$I$2:$J$8,2,FALSE),0),
IF(AX34="K",VLOOKUP(K34,Foundation_Calc!$K$117:$R$151,VLOOKUP(AW34,Foundation_Calc!$I$2:$J$8,2,FALSE),0),"")))</f>
        <v/>
      </c>
      <c r="BA34" s="495" t="str">
        <f t="shared" si="2"/>
        <v>ü</v>
      </c>
      <c r="BB34" s="495" t="str">
        <f t="shared" si="2"/>
        <v/>
      </c>
      <c r="BC34" s="495" t="str">
        <f t="shared" si="3"/>
        <v/>
      </c>
      <c r="BD34" s="513" t="str">
        <f>Pole_Calc!A$251</f>
        <v>App.8-V08H-P10.3</v>
      </c>
      <c r="BE34" s="429" t="s">
        <v>118</v>
      </c>
      <c r="BF34" s="289"/>
      <c r="BG34" s="289"/>
      <c r="BH34" s="290"/>
      <c r="BI34" s="289"/>
    </row>
    <row r="35" spans="1:61" ht="16.149999999999999" customHeight="1">
      <c r="A35" s="545"/>
      <c r="B35" s="450"/>
      <c r="C35" s="3"/>
      <c r="D35" s="83"/>
      <c r="E35" s="4"/>
      <c r="F35" s="4"/>
      <c r="G35" s="6">
        <v>40.1</v>
      </c>
      <c r="H35" s="449"/>
      <c r="I35" s="4"/>
      <c r="J35" s="3"/>
      <c r="K35" s="449"/>
      <c r="L35" s="449"/>
      <c r="M35" s="449" t="str">
        <f>IF(L35="","",
IF(AX35="PT",VLOOKUP(L35,Foundation_Calc!$V$79:$X$113,VLOOKUP(AX35,Foundation_Calc!$I$10:$J$13,2,FALSE),0),
IF(AX35="K",VLOOKUP(L35,Foundation_Calc!$V$117:$X$151,VLOOKUP(AX35,Foundation_Calc!$I$10:$J$13,2,FALSE),0),"")))</f>
        <v/>
      </c>
      <c r="N35" s="449"/>
      <c r="O35" s="449"/>
      <c r="P35" s="449"/>
      <c r="Q35" s="4"/>
      <c r="R35" s="6"/>
      <c r="S35" s="6"/>
      <c r="T35" s="4"/>
      <c r="U35" s="4"/>
      <c r="V35" s="4"/>
      <c r="W35" s="9"/>
      <c r="X35" s="9"/>
      <c r="Y35" s="9"/>
      <c r="Z35" s="9"/>
      <c r="AA35" s="9"/>
      <c r="AB35" s="9"/>
      <c r="AC35" s="449" t="str">
        <f t="shared" si="1"/>
        <v/>
      </c>
      <c r="AD35" s="449"/>
      <c r="AE35" s="449"/>
      <c r="AF35" s="4"/>
      <c r="AG35" s="83"/>
      <c r="AH35" s="4"/>
      <c r="AI35" s="4"/>
      <c r="AJ35" s="449"/>
      <c r="AK35" s="449"/>
      <c r="AL35" s="449"/>
      <c r="AM35" s="449"/>
      <c r="AN35" s="10"/>
      <c r="AO35" s="9"/>
      <c r="AP35" s="9"/>
      <c r="AQ35" s="9">
        <f>+FL_1($V$36,$T$34,$G$35,1200,9.28, 1*$F$36)</f>
        <v>0.30596143823441396</v>
      </c>
      <c r="AR35" s="9"/>
      <c r="AS35" s="9"/>
      <c r="AT35" s="9"/>
      <c r="AU35" s="428"/>
      <c r="AV35" s="428"/>
      <c r="AW35" s="449" t="str">
        <f>IF(C35&gt;0,VLOOKUP(C35,Foundation_Calc!$A$2:$C$13,3,1),
IF(J35&gt;0,VLOOKUP(J35,Foundation_Calc!$A$2:$C$13,3,1),""))</f>
        <v/>
      </c>
      <c r="AX35" s="449" t="str">
        <f>IF(C35&gt;0,VLOOKUP(C35,Foundation_Calc!$E$2:$G$33,3,1),
IF(J35&gt;0,VLOOKUP(J35,Foundation_Calc!$E$2:$G$33,3,1),""))</f>
        <v/>
      </c>
      <c r="AY35" s="10" t="str">
        <f>IF(L35="","",
IF(AX35="PT",VLOOKUP(L35,Foundation_Calc!$K$79:$R$113,VLOOKUP(AW35,Foundation_Calc!$I$2:$J$8,2,FALSE),0),
IF(AX35="K",VLOOKUP(L35,Foundation_Calc!$K$117:$R$151,VLOOKUP(AW35,Foundation_Calc!$I$2:$J$8,2,FALSE),0),"")))</f>
        <v/>
      </c>
      <c r="AZ35" s="10" t="str">
        <f>IF(K35="","",
IF(AX35="PT",VLOOKUP(K35,Foundation_Calc!$K$79:$R$113,VLOOKUP(AW35,Foundation_Calc!$I$2:$J$8,2,FALSE),0),
IF(AX35="K",VLOOKUP(K35,Foundation_Calc!$K$117:$R$151,VLOOKUP(AW35,Foundation_Calc!$I$2:$J$8,2,FALSE),0),"")))</f>
        <v/>
      </c>
      <c r="BA35" s="495" t="str">
        <f t="shared" si="2"/>
        <v/>
      </c>
      <c r="BB35" s="495" t="str">
        <f t="shared" si="2"/>
        <v/>
      </c>
      <c r="BC35" s="495" t="str">
        <f t="shared" si="3"/>
        <v/>
      </c>
      <c r="BD35" s="513" t="str">
        <f>IF(AND(L35="",H35=""),"",
IF(H35="",Pole_Calc!A$22,
IF(H35="MP",Pole_Calc!A$23,
IF(H35="AnMP",Pole_Calc!A$24,
IF(H35="A",Pole_Calc!A$25,
IF(H35="S/A",Pole_Calc!A$26,
IF(H35="A/S",Pole_Calc!A$27,"Poner a mano")))))))</f>
        <v/>
      </c>
      <c r="BE35" s="429" t="s">
        <v>118</v>
      </c>
      <c r="BF35" s="290"/>
      <c r="BG35" s="290"/>
      <c r="BH35" s="290"/>
      <c r="BI35" s="290"/>
    </row>
    <row r="36" spans="1:61" ht="16.149999999999999" customHeight="1">
      <c r="A36" s="502"/>
      <c r="B36" s="503" t="str">
        <f>'HR Track 3 BIN'!B40</f>
        <v>41-3.10</v>
      </c>
      <c r="C36" s="504">
        <f>'HR Track 3 BIN'!C40</f>
        <v>41493.339999999997</v>
      </c>
      <c r="D36" s="612">
        <f>'HR Track 3 BIN'!D40</f>
        <v>0</v>
      </c>
      <c r="E36" s="506">
        <f>'HR Track 3 BIN'!E40</f>
        <v>0</v>
      </c>
      <c r="F36" s="506">
        <f>'HR Track 3 BIN'!F40</f>
        <v>0</v>
      </c>
      <c r="G36" s="507">
        <f>'HR Track 3 BIN'!G40</f>
        <v>0</v>
      </c>
      <c r="H36" s="508" t="str">
        <f>'HR Track 3 BIN'!H40</f>
        <v>S/A P50(CS) A/S-Diag</v>
      </c>
      <c r="I36" s="508" t="str">
        <f>'HR Track 3 BIN'!I40</f>
        <v>CP+AnMC</v>
      </c>
      <c r="J36" s="509">
        <f>'HR Track 3 BIN'!J40</f>
        <v>0</v>
      </c>
      <c r="K36" s="508">
        <f>'HR Track 3 BIN'!K40</f>
        <v>0</v>
      </c>
      <c r="L36" s="508" t="str">
        <f>'HR Track 3 BIN'!L40</f>
        <v>HEB-280L</v>
      </c>
      <c r="M36" s="508" t="str">
        <f>'HR Track 3 BIN'!M40</f>
        <v>C5R</v>
      </c>
      <c r="N36" s="508" t="str">
        <f>'HR Track 3 BIN'!N40</f>
        <v>EMT-T</v>
      </c>
      <c r="O36" s="508" t="str">
        <f>'HR Track 3 BIN'!O40</f>
        <v>EMT1</v>
      </c>
      <c r="P36" s="508" t="str">
        <f>'HR Track 3 BIN'!P40</f>
        <v>EMT-2</v>
      </c>
      <c r="Q36" s="506">
        <f>'HR Track 3 BIN'!Q40</f>
        <v>0</v>
      </c>
      <c r="R36" s="507">
        <f>'HR Track 3 BIN'!R40</f>
        <v>0</v>
      </c>
      <c r="S36" s="507">
        <f>'HR Track 3 BIN'!S40</f>
        <v>0</v>
      </c>
      <c r="T36" s="506">
        <f>'HR Track 3 BIN'!T40</f>
        <v>-55</v>
      </c>
      <c r="U36" s="506">
        <f>'HR Track 3 BIN'!U40</f>
        <v>-35</v>
      </c>
      <c r="V36" s="506">
        <f>'HR Track 3 BIN'!V40</f>
        <v>-20</v>
      </c>
      <c r="W36" s="510">
        <f>'HR Track 3 BIN'!W40</f>
        <v>1.4</v>
      </c>
      <c r="X36" s="510">
        <f>'HR Track 3 BIN'!X40</f>
        <v>1.6</v>
      </c>
      <c r="Y36" s="510">
        <f>'HR Track 3 BIN'!Y40</f>
        <v>1.8</v>
      </c>
      <c r="Z36" s="510">
        <f>'HR Track 3 BIN'!Z40</f>
        <v>0.3</v>
      </c>
      <c r="AA36" s="510">
        <f>'HR Track 3 BIN'!AA40</f>
        <v>0</v>
      </c>
      <c r="AB36" s="510">
        <f>'HR Track 3 BIN'!AB40</f>
        <v>0</v>
      </c>
      <c r="AC36" s="508">
        <f>'HR Track 3 BIN'!AC40</f>
        <v>0</v>
      </c>
      <c r="AD36" s="508">
        <f>'HR Track 3 BIN'!AD40</f>
        <v>0</v>
      </c>
      <c r="AE36" s="508">
        <f>'HR Track 3 BIN'!AE40</f>
        <v>0</v>
      </c>
      <c r="AF36" s="506">
        <f>'HR Track 3 BIN'!AF40</f>
        <v>0</v>
      </c>
      <c r="AG36" s="505">
        <f>'HR Track 3 BIN'!AG40</f>
        <v>0</v>
      </c>
      <c r="AH36" s="506">
        <f>'HR Track 3 BIN'!AH40</f>
        <v>0</v>
      </c>
      <c r="AI36" s="506">
        <f>'HR Track 3 BIN'!AI40</f>
        <v>0</v>
      </c>
      <c r="AJ36" s="508" t="str">
        <f>'HR Track 3 BIN'!AJ40</f>
        <v>SECT-I</v>
      </c>
      <c r="AK36" s="508">
        <f>'HR Track 3 BIN'!AK40</f>
        <v>0</v>
      </c>
      <c r="AL36" s="508" t="str">
        <f>'HR Track 3 BIN'!AL40</f>
        <v>PR1B</v>
      </c>
      <c r="AM36" s="508" t="str">
        <f>'HR Track 3 BIN'!AM40</f>
        <v>RW2</v>
      </c>
      <c r="AN36" s="510">
        <f>'HR Track 3 BIN'!AN40</f>
        <v>5.5</v>
      </c>
      <c r="AO36" s="508">
        <f>'HR Track 3 BIN'!AO40</f>
        <v>0</v>
      </c>
      <c r="AP36" s="508">
        <f>'HR Track 3 BIN'!AP40</f>
        <v>0</v>
      </c>
      <c r="AQ36" s="510">
        <f>'HR Track 3 BIN'!AQ40</f>
        <v>0</v>
      </c>
      <c r="AR36" s="510">
        <f>'HR Track 3 BIN'!AR40</f>
        <v>0</v>
      </c>
      <c r="AS36" s="510">
        <f>'HR Track 3 BIN'!AS40</f>
        <v>0</v>
      </c>
      <c r="AT36" s="510">
        <f>'HR Track 3 BIN'!AT40</f>
        <v>-5.9944004267239253</v>
      </c>
      <c r="AU36" s="511">
        <f>'HR Track 3 BIN'!AU40</f>
        <v>0</v>
      </c>
      <c r="AV36" s="511">
        <f>'HR Track 3 BIN'!AV40</f>
        <v>0</v>
      </c>
      <c r="AW36" s="508" t="str">
        <f>'HR Track 3 BIN'!AW40</f>
        <v>Multi Soil</v>
      </c>
      <c r="AX36" s="508" t="str">
        <f>'HR Track 3 BIN'!AX40</f>
        <v>PT</v>
      </c>
      <c r="AY36" s="510">
        <f>'HR Track 3 BIN'!AY40</f>
        <v>3.5</v>
      </c>
      <c r="AZ36" s="510" t="str">
        <f>'HR Track 3 BIN'!AZ40</f>
        <v/>
      </c>
      <c r="BA36" s="491" t="str">
        <f>'HR Track 3 BIN'!BA40</f>
        <v>ü</v>
      </c>
      <c r="BB36" s="491" t="str">
        <f>'HR Track 3 BIN'!BB40</f>
        <v/>
      </c>
      <c r="BC36" s="491" t="str">
        <f>'HR Track 3 BIN'!BC40</f>
        <v/>
      </c>
      <c r="BD36" s="512" t="str">
        <f>'HR Track 3 BIN'!BD40</f>
        <v>App.8-V08H-P10.3</v>
      </c>
      <c r="BE36" s="429" t="s">
        <v>118</v>
      </c>
      <c r="BF36" s="289"/>
      <c r="BG36" s="289"/>
      <c r="BH36" s="290"/>
      <c r="BI36" s="289"/>
    </row>
    <row r="37" spans="1:61" ht="16.149999999999999" customHeight="1">
      <c r="A37" s="502"/>
      <c r="B37" s="503">
        <f>'HR Track 3 BIN'!B41</f>
        <v>0</v>
      </c>
      <c r="C37" s="504">
        <f>'HR Track 3 BIN'!C41</f>
        <v>0</v>
      </c>
      <c r="D37" s="505">
        <f>'HR Track 3 BIN'!D41</f>
        <v>0</v>
      </c>
      <c r="E37" s="506">
        <f>'HR Track 3 BIN'!E41</f>
        <v>0</v>
      </c>
      <c r="F37" s="506">
        <f>'HR Track 3 BIN'!F41</f>
        <v>0</v>
      </c>
      <c r="G37" s="507">
        <f>'HR Track 3 BIN'!G41</f>
        <v>38.799999999999997</v>
      </c>
      <c r="H37" s="508">
        <f>'HR Track 3 BIN'!H41</f>
        <v>0</v>
      </c>
      <c r="I37" s="508">
        <f>'HR Track 3 BIN'!I41</f>
        <v>0</v>
      </c>
      <c r="J37" s="509">
        <f>'HR Track 3 BIN'!J41</f>
        <v>41500.839999999997</v>
      </c>
      <c r="K37" s="508" t="str">
        <f>'HR Track 3 BIN'!K41</f>
        <v>AnMC-R</v>
      </c>
      <c r="L37" s="508">
        <f>'HR Track 3 BIN'!L41</f>
        <v>0</v>
      </c>
      <c r="M37" s="508" t="str">
        <f>'HR Track 3 BIN'!M41</f>
        <v/>
      </c>
      <c r="N37" s="508">
        <f>'HR Track 3 BIN'!N41</f>
        <v>0</v>
      </c>
      <c r="O37" s="508">
        <f>'HR Track 3 BIN'!O41</f>
        <v>0</v>
      </c>
      <c r="P37" s="508">
        <f>'HR Track 3 BIN'!P41</f>
        <v>0</v>
      </c>
      <c r="Q37" s="506">
        <f>'HR Track 3 BIN'!Q41</f>
        <v>0</v>
      </c>
      <c r="R37" s="507">
        <f>'HR Track 3 BIN'!R41</f>
        <v>0</v>
      </c>
      <c r="S37" s="507">
        <f>'HR Track 3 BIN'!S41</f>
        <v>0</v>
      </c>
      <c r="T37" s="506">
        <f>'HR Track 3 BIN'!T41</f>
        <v>0</v>
      </c>
      <c r="U37" s="506">
        <f>'HR Track 3 BIN'!U41</f>
        <v>0</v>
      </c>
      <c r="V37" s="506">
        <f>'HR Track 3 BIN'!V41</f>
        <v>0</v>
      </c>
      <c r="W37" s="510">
        <f>'HR Track 3 BIN'!W41</f>
        <v>0</v>
      </c>
      <c r="X37" s="510">
        <f>'HR Track 3 BIN'!X41</f>
        <v>0</v>
      </c>
      <c r="Y37" s="510">
        <f>'HR Track 3 BIN'!Y41</f>
        <v>0</v>
      </c>
      <c r="Z37" s="510">
        <f>'HR Track 3 BIN'!Z41</f>
        <v>0</v>
      </c>
      <c r="AA37" s="510">
        <f>'HR Track 3 BIN'!AA41</f>
        <v>0</v>
      </c>
      <c r="AB37" s="510">
        <f>'HR Track 3 BIN'!AB41</f>
        <v>0</v>
      </c>
      <c r="AC37" s="508" t="str">
        <f>'HR Track 3 BIN'!AC41</f>
        <v/>
      </c>
      <c r="AD37" s="508">
        <f>'HR Track 3 BIN'!AD41</f>
        <v>0</v>
      </c>
      <c r="AE37" s="508">
        <f>'HR Track 3 BIN'!AE41</f>
        <v>0</v>
      </c>
      <c r="AF37" s="506">
        <f>'HR Track 3 BIN'!AF41</f>
        <v>0</v>
      </c>
      <c r="AG37" s="505">
        <f>'HR Track 3 BIN'!AG41</f>
        <v>0</v>
      </c>
      <c r="AH37" s="506">
        <f>'HR Track 3 BIN'!AH41</f>
        <v>0</v>
      </c>
      <c r="AI37" s="506">
        <f>'HR Track 3 BIN'!AI41</f>
        <v>0</v>
      </c>
      <c r="AJ37" s="508">
        <f>'HR Track 3 BIN'!AJ41</f>
        <v>0</v>
      </c>
      <c r="AK37" s="508">
        <f>'HR Track 3 BIN'!AK41</f>
        <v>0</v>
      </c>
      <c r="AL37" s="508">
        <f>'HR Track 3 BIN'!AL41</f>
        <v>0</v>
      </c>
      <c r="AM37" s="508">
        <f>'HR Track 3 BIN'!AM41</f>
        <v>0</v>
      </c>
      <c r="AN37" s="510">
        <f>'HR Track 3 BIN'!AN41</f>
        <v>0</v>
      </c>
      <c r="AO37" s="508">
        <f>'HR Track 3 BIN'!AO41</f>
        <v>0</v>
      </c>
      <c r="AP37" s="508">
        <f>'HR Track 3 BIN'!AP41</f>
        <v>0</v>
      </c>
      <c r="AQ37" s="510">
        <f>'HR Track 3 BIN'!AQ41</f>
        <v>-0.35000000000000253</v>
      </c>
      <c r="AR37" s="510">
        <f>'HR Track 3 BIN'!AR41</f>
        <v>0</v>
      </c>
      <c r="AS37" s="510">
        <f>'HR Track 3 BIN'!AS41</f>
        <v>0</v>
      </c>
      <c r="AT37" s="510">
        <f>'HR Track 3 BIN'!AT41</f>
        <v>0</v>
      </c>
      <c r="AU37" s="511">
        <f>'HR Track 3 BIN'!AU41</f>
        <v>0</v>
      </c>
      <c r="AV37" s="511">
        <f>'HR Track 3 BIN'!AV41</f>
        <v>0</v>
      </c>
      <c r="AW37" s="508" t="str">
        <f>'HR Track 3 BIN'!AW41</f>
        <v>Multi Soil</v>
      </c>
      <c r="AX37" s="508" t="str">
        <f>'HR Track 3 BIN'!AX41</f>
        <v>PT</v>
      </c>
      <c r="AY37" s="510" t="str">
        <f>'HR Track 3 BIN'!AY41</f>
        <v/>
      </c>
      <c r="AZ37" s="510">
        <f>'HR Track 3 BIN'!AZ41</f>
        <v>3.9</v>
      </c>
      <c r="BA37" s="491" t="str">
        <f>'HR Track 3 BIN'!BA41</f>
        <v/>
      </c>
      <c r="BB37" s="491" t="str">
        <f>'HR Track 3 BIN'!BB41</f>
        <v>ü</v>
      </c>
      <c r="BC37" s="491" t="str">
        <f>'HR Track 3 BIN'!BC41</f>
        <v/>
      </c>
      <c r="BD37" s="512">
        <f>'HR Track 3 BIN'!BD41</f>
        <v>0</v>
      </c>
      <c r="BE37" s="429" t="s">
        <v>118</v>
      </c>
      <c r="BF37" s="290"/>
      <c r="BG37" s="290"/>
      <c r="BH37" s="290"/>
      <c r="BI37" s="290"/>
    </row>
    <row r="38" spans="1:61" ht="16.149999999999999" customHeight="1">
      <c r="A38" s="502"/>
      <c r="B38" s="503" t="str">
        <f>'HR Track 3 BIN'!B42</f>
        <v>41-3.11</v>
      </c>
      <c r="C38" s="504">
        <f>'HR Track 3 BIN'!C42</f>
        <v>41532.14</v>
      </c>
      <c r="D38" s="505">
        <f>'HR Track 3 BIN'!D42</f>
        <v>0</v>
      </c>
      <c r="E38" s="506">
        <f>'HR Track 3 BIN'!E42</f>
        <v>0</v>
      </c>
      <c r="F38" s="506">
        <f>'HR Track 3 BIN'!F42</f>
        <v>0</v>
      </c>
      <c r="G38" s="507">
        <f>'HR Track 3 BIN'!G42</f>
        <v>0</v>
      </c>
      <c r="H38" s="508" t="str">
        <f>'HR Track 3 BIN'!H42</f>
        <v>P50(CS) S/A</v>
      </c>
      <c r="I38" s="508">
        <f>'HR Track 3 BIN'!I42</f>
        <v>0</v>
      </c>
      <c r="J38" s="509">
        <f>'HR Track 3 BIN'!J42</f>
        <v>0</v>
      </c>
      <c r="K38" s="508">
        <f>'HR Track 3 BIN'!K42</f>
        <v>0</v>
      </c>
      <c r="L38" s="508" t="str">
        <f>'HR Track 3 BIN'!L42</f>
        <v>HEB-280L</v>
      </c>
      <c r="M38" s="508" t="str">
        <f>'HR Track 3 BIN'!M42</f>
        <v>C5R</v>
      </c>
      <c r="N38" s="508" t="str">
        <f>'HR Track 3 BIN'!N42</f>
        <v>EMT-1</v>
      </c>
      <c r="O38" s="508" t="str">
        <f>'HR Track 3 BIN'!O42</f>
        <v>EMT-2</v>
      </c>
      <c r="P38" s="508" t="str">
        <f>'HR Track 3 BIN'!P42</f>
        <v>EMT-T</v>
      </c>
      <c r="Q38" s="506">
        <f>'HR Track 3 BIN'!Q42</f>
        <v>0</v>
      </c>
      <c r="R38" s="507">
        <f>'HR Track 3 BIN'!R42</f>
        <v>0</v>
      </c>
      <c r="S38" s="507">
        <f>'HR Track 3 BIN'!S42</f>
        <v>0</v>
      </c>
      <c r="T38" s="506">
        <f>'HR Track 3 BIN'!T42</f>
        <v>20</v>
      </c>
      <c r="U38" s="506">
        <f>'HR Track 3 BIN'!U42</f>
        <v>35</v>
      </c>
      <c r="V38" s="506">
        <f>'HR Track 3 BIN'!V42</f>
        <v>55</v>
      </c>
      <c r="W38" s="510">
        <f>'HR Track 3 BIN'!W42</f>
        <v>1.8</v>
      </c>
      <c r="X38" s="510">
        <f>'HR Track 3 BIN'!X42</f>
        <v>1.6</v>
      </c>
      <c r="Y38" s="510">
        <f>'HR Track 3 BIN'!Y42</f>
        <v>1.2</v>
      </c>
      <c r="Z38" s="510">
        <f>'HR Track 3 BIN'!Z42</f>
        <v>0</v>
      </c>
      <c r="AA38" s="510">
        <f>'HR Track 3 BIN'!AA42</f>
        <v>0</v>
      </c>
      <c r="AB38" s="510">
        <f>'HR Track 3 BIN'!AB42</f>
        <v>0.3</v>
      </c>
      <c r="AC38" s="508" t="str">
        <f>'HR Track 3 BIN'!AC42</f>
        <v>PHQ</v>
      </c>
      <c r="AD38" s="508">
        <f>'HR Track 3 BIN'!AD42</f>
        <v>0</v>
      </c>
      <c r="AE38" s="508">
        <f>'HR Track 3 BIN'!AE42</f>
        <v>0</v>
      </c>
      <c r="AF38" s="506">
        <f>'HR Track 3 BIN'!AF42</f>
        <v>0</v>
      </c>
      <c r="AG38" s="505">
        <f>'HR Track 3 BIN'!AG42</f>
        <v>0</v>
      </c>
      <c r="AH38" s="506">
        <f>'HR Track 3 BIN'!AH42</f>
        <v>0</v>
      </c>
      <c r="AI38" s="506">
        <f>'HR Track 3 BIN'!AI42</f>
        <v>0</v>
      </c>
      <c r="AJ38" s="508">
        <f>'HR Track 3 BIN'!AJ42</f>
        <v>0</v>
      </c>
      <c r="AK38" s="508">
        <f>'HR Track 3 BIN'!AK42</f>
        <v>0</v>
      </c>
      <c r="AL38" s="508" t="str">
        <f>'HR Track 3 BIN'!AL42</f>
        <v>PR1B</v>
      </c>
      <c r="AM38" s="508" t="str">
        <f>'HR Track 3 BIN'!AM42</f>
        <v>RW2</v>
      </c>
      <c r="AN38" s="510">
        <f>'HR Track 3 BIN'!AN42</f>
        <v>5.5</v>
      </c>
      <c r="AO38" s="508">
        <f>'HR Track 3 BIN'!AO42</f>
        <v>0</v>
      </c>
      <c r="AP38" s="508">
        <f>'HR Track 3 BIN'!AP42</f>
        <v>0</v>
      </c>
      <c r="AQ38" s="510">
        <f>'HR Track 3 BIN'!AQ42</f>
        <v>0</v>
      </c>
      <c r="AR38" s="510">
        <f>'HR Track 3 BIN'!AR42</f>
        <v>0</v>
      </c>
      <c r="AS38" s="510">
        <f>'HR Track 3 BIN'!AS42</f>
        <v>0</v>
      </c>
      <c r="AT38" s="510">
        <f>'HR Track 3 BIN'!AT42</f>
        <v>5.9620675650992476</v>
      </c>
      <c r="AU38" s="511">
        <f>'HR Track 3 BIN'!AU42</f>
        <v>0</v>
      </c>
      <c r="AV38" s="511">
        <f>'HR Track 3 BIN'!AV42</f>
        <v>0</v>
      </c>
      <c r="AW38" s="508" t="str">
        <f>'HR Track 3 BIN'!AW42</f>
        <v>Multi Soil</v>
      </c>
      <c r="AX38" s="508" t="str">
        <f>'HR Track 3 BIN'!AX42</f>
        <v>PT</v>
      </c>
      <c r="AY38" s="510">
        <f>'HR Track 3 BIN'!AY42</f>
        <v>3.5</v>
      </c>
      <c r="AZ38" s="510" t="str">
        <f>'HR Track 3 BIN'!AZ42</f>
        <v/>
      </c>
      <c r="BA38" s="491" t="str">
        <f>'HR Track 3 BIN'!BA42</f>
        <v>ü</v>
      </c>
      <c r="BB38" s="491" t="str">
        <f>'HR Track 3 BIN'!BB42</f>
        <v/>
      </c>
      <c r="BC38" s="491" t="str">
        <f>'HR Track 3 BIN'!BC42</f>
        <v/>
      </c>
      <c r="BD38" s="512" t="str">
        <f>'HR Track 3 BIN'!BD42</f>
        <v>App.8-V08H-P10.3</v>
      </c>
      <c r="BE38" s="429" t="s">
        <v>118</v>
      </c>
      <c r="BF38" s="289"/>
      <c r="BG38" s="289"/>
      <c r="BH38" s="290"/>
      <c r="BI38" s="289"/>
    </row>
    <row r="39" spans="1:61" ht="16.149999999999999" customHeight="1">
      <c r="A39" s="502" t="s">
        <v>469</v>
      </c>
      <c r="B39" s="503">
        <f>'HR Track 3 BIN'!B43</f>
        <v>0</v>
      </c>
      <c r="C39" s="504">
        <f>'HR Track 3 BIN'!C43</f>
        <v>0</v>
      </c>
      <c r="D39" s="612">
        <f>'HR Track 3 BIN'!D43</f>
        <v>0</v>
      </c>
      <c r="E39" s="506">
        <f>'HR Track 3 BIN'!E43</f>
        <v>0</v>
      </c>
      <c r="F39" s="506">
        <f>'HR Track 3 BIN'!F43</f>
        <v>0</v>
      </c>
      <c r="G39" s="507">
        <f>'HR Track 3 BIN'!G43</f>
        <v>49.9</v>
      </c>
      <c r="H39" s="508">
        <f>'HR Track 3 BIN'!H43</f>
        <v>0</v>
      </c>
      <c r="I39" s="508" t="str">
        <f>'HR Track 3 BIN'!I43</f>
        <v>CP+AnMC</v>
      </c>
      <c r="J39" s="509">
        <f>'HR Track 3 BIN'!J43</f>
        <v>0</v>
      </c>
      <c r="K39" s="508">
        <f>'HR Track 3 BIN'!K43</f>
        <v>0</v>
      </c>
      <c r="L39" s="508">
        <f>'HR Track 3 BIN'!L43</f>
        <v>0</v>
      </c>
      <c r="M39" s="508" t="str">
        <f>'HR Track 3 BIN'!M43</f>
        <v/>
      </c>
      <c r="N39" s="508">
        <f>'HR Track 3 BIN'!N43</f>
        <v>0</v>
      </c>
      <c r="O39" s="508">
        <f>'HR Track 3 BIN'!O43</f>
        <v>0</v>
      </c>
      <c r="P39" s="508">
        <f>'HR Track 3 BIN'!P43</f>
        <v>0</v>
      </c>
      <c r="Q39" s="506">
        <f>'HR Track 3 BIN'!Q43</f>
        <v>0</v>
      </c>
      <c r="R39" s="507">
        <f>'HR Track 3 BIN'!R43</f>
        <v>0</v>
      </c>
      <c r="S39" s="507">
        <f>'HR Track 3 BIN'!S43</f>
        <v>0</v>
      </c>
      <c r="T39" s="506">
        <f>'HR Track 3 BIN'!T43</f>
        <v>0</v>
      </c>
      <c r="U39" s="506">
        <f>'HR Track 3 BIN'!U43</f>
        <v>0</v>
      </c>
      <c r="V39" s="506">
        <f>'HR Track 3 BIN'!V43</f>
        <v>0</v>
      </c>
      <c r="W39" s="510">
        <f>'HR Track 3 BIN'!W43</f>
        <v>0</v>
      </c>
      <c r="X39" s="510">
        <f>'HR Track 3 BIN'!X43</f>
        <v>0</v>
      </c>
      <c r="Y39" s="510">
        <f>'HR Track 3 BIN'!Y43</f>
        <v>0</v>
      </c>
      <c r="Z39" s="510">
        <f>'HR Track 3 BIN'!Z43</f>
        <v>0</v>
      </c>
      <c r="AA39" s="510">
        <f>'HR Track 3 BIN'!AA43</f>
        <v>0</v>
      </c>
      <c r="AB39" s="510">
        <f>'HR Track 3 BIN'!AB43</f>
        <v>0</v>
      </c>
      <c r="AC39" s="508" t="str">
        <f>'HR Track 3 BIN'!AC43</f>
        <v/>
      </c>
      <c r="AD39" s="508">
        <f>'HR Track 3 BIN'!AD43</f>
        <v>0</v>
      </c>
      <c r="AE39" s="508">
        <f>'HR Track 3 BIN'!AE43</f>
        <v>0</v>
      </c>
      <c r="AF39" s="506">
        <f>'HR Track 3 BIN'!AF43</f>
        <v>0</v>
      </c>
      <c r="AG39" s="505">
        <f>'HR Track 3 BIN'!AG43</f>
        <v>0</v>
      </c>
      <c r="AH39" s="506">
        <f>'HR Track 3 BIN'!AH43</f>
        <v>0</v>
      </c>
      <c r="AI39" s="506">
        <f>'HR Track 3 BIN'!AI43</f>
        <v>0</v>
      </c>
      <c r="AJ39" s="508">
        <f>'HR Track 3 BIN'!AJ43</f>
        <v>0</v>
      </c>
      <c r="AK39" s="508">
        <f>'HR Track 3 BIN'!AK43</f>
        <v>0</v>
      </c>
      <c r="AL39" s="508">
        <f>'HR Track 3 BIN'!AL43</f>
        <v>0</v>
      </c>
      <c r="AM39" s="508">
        <f>'HR Track 3 BIN'!AM43</f>
        <v>0</v>
      </c>
      <c r="AN39" s="510">
        <f>'HR Track 3 BIN'!AN43</f>
        <v>0</v>
      </c>
      <c r="AO39" s="508">
        <f>'HR Track 3 BIN'!AO43</f>
        <v>0</v>
      </c>
      <c r="AP39" s="508">
        <f>'HR Track 3 BIN'!AP43</f>
        <v>0</v>
      </c>
      <c r="AQ39" s="510">
        <f>'HR Track 3 BIN'!AQ43</f>
        <v>-0.36793352587575145</v>
      </c>
      <c r="AR39" s="510">
        <f>'HR Track 3 BIN'!AR43</f>
        <v>0</v>
      </c>
      <c r="AS39" s="510">
        <f>'HR Track 3 BIN'!AS43</f>
        <v>0</v>
      </c>
      <c r="AT39" s="510">
        <f>'HR Track 3 BIN'!AT43</f>
        <v>0</v>
      </c>
      <c r="AU39" s="511">
        <f>'HR Track 3 BIN'!AU43</f>
        <v>0</v>
      </c>
      <c r="AV39" s="511">
        <f>'HR Track 3 BIN'!AV43</f>
        <v>0</v>
      </c>
      <c r="AW39" s="508" t="str">
        <f>'HR Track 3 BIN'!AW43</f>
        <v/>
      </c>
      <c r="AX39" s="508" t="str">
        <f>'HR Track 3 BIN'!AX43</f>
        <v/>
      </c>
      <c r="AY39" s="510" t="str">
        <f>'HR Track 3 BIN'!AY43</f>
        <v/>
      </c>
      <c r="AZ39" s="510" t="str">
        <f>'HR Track 3 BIN'!AZ43</f>
        <v/>
      </c>
      <c r="BA39" s="491" t="str">
        <f>'HR Track 3 BIN'!BA43</f>
        <v/>
      </c>
      <c r="BB39" s="491" t="str">
        <f>'HR Track 3 BIN'!BB43</f>
        <v/>
      </c>
      <c r="BC39" s="491" t="str">
        <f>'HR Track 3 BIN'!BC43</f>
        <v/>
      </c>
      <c r="BD39" s="512">
        <f>'HR Track 3 BIN'!BD43</f>
        <v>0</v>
      </c>
      <c r="BE39" s="429" t="s">
        <v>118</v>
      </c>
      <c r="BF39" s="290"/>
      <c r="BG39" s="290"/>
      <c r="BH39" s="290"/>
      <c r="BI39" s="290"/>
    </row>
    <row r="40" spans="1:61" ht="16.149999999999999" customHeight="1">
      <c r="A40" s="502"/>
      <c r="B40" s="503" t="str">
        <f>'HR Track 3 BIN'!B44</f>
        <v>41-3.12</v>
      </c>
      <c r="C40" s="504">
        <f>'HR Track 3 BIN'!C44</f>
        <v>41582.04</v>
      </c>
      <c r="D40" s="505">
        <f>'HR Track 3 BIN'!D44</f>
        <v>0</v>
      </c>
      <c r="E40" s="506">
        <f>'HR Track 3 BIN'!E44</f>
        <v>0</v>
      </c>
      <c r="F40" s="506">
        <f>'HR Track 3 BIN'!F44</f>
        <v>0</v>
      </c>
      <c r="G40" s="507">
        <f>'HR Track 3 BIN'!G44</f>
        <v>0</v>
      </c>
      <c r="H40" s="508" t="str">
        <f>'HR Track 3 BIN'!H44</f>
        <v>A/S-Diag A/S-Diag</v>
      </c>
      <c r="I40" s="508">
        <f>'HR Track 3 BIN'!I44</f>
        <v>0</v>
      </c>
      <c r="J40" s="509">
        <f>'HR Track 3 BIN'!J44</f>
        <v>0</v>
      </c>
      <c r="K40" s="508">
        <f>'HR Track 3 BIN'!K44</f>
        <v>0</v>
      </c>
      <c r="L40" s="508" t="str">
        <f>'HR Track 3 BIN'!L44</f>
        <v>HEB-450PL</v>
      </c>
      <c r="M40" s="508" t="str">
        <f>'HR Track 3 BIN'!M44</f>
        <v>C12R</v>
      </c>
      <c r="N40" s="508" t="str">
        <f>'HR Track 3 BIN'!N44</f>
        <v>EMT-1</v>
      </c>
      <c r="O40" s="508">
        <f>'HR Track 3 BIN'!O44</f>
        <v>0</v>
      </c>
      <c r="P40" s="508">
        <f>'HR Track 3 BIN'!P44</f>
        <v>0</v>
      </c>
      <c r="Q40" s="506">
        <f>'HR Track 3 BIN'!Q44</f>
        <v>0</v>
      </c>
      <c r="R40" s="507">
        <f>'HR Track 3 BIN'!R44</f>
        <v>0</v>
      </c>
      <c r="S40" s="507">
        <f>'HR Track 3 BIN'!S44</f>
        <v>0</v>
      </c>
      <c r="T40" s="506">
        <f>'HR Track 3 BIN'!T44</f>
        <v>-35</v>
      </c>
      <c r="U40" s="506">
        <f>'HR Track 3 BIN'!U44</f>
        <v>0</v>
      </c>
      <c r="V40" s="506">
        <f>'HR Track 3 BIN'!V44</f>
        <v>0</v>
      </c>
      <c r="W40" s="510">
        <f>'HR Track 3 BIN'!W44</f>
        <v>0.8</v>
      </c>
      <c r="X40" s="510">
        <f>'HR Track 3 BIN'!X44</f>
        <v>0</v>
      </c>
      <c r="Y40" s="510">
        <f>'HR Track 3 BIN'!Y44</f>
        <v>0</v>
      </c>
      <c r="Z40" s="510">
        <f>'HR Track 3 BIN'!Z44</f>
        <v>0</v>
      </c>
      <c r="AA40" s="510">
        <f>'HR Track 3 BIN'!AA44</f>
        <v>0</v>
      </c>
      <c r="AB40" s="510">
        <f>'HR Track 3 BIN'!AB44</f>
        <v>0</v>
      </c>
      <c r="AC40" s="508" t="str">
        <f>'HR Track 3 BIN'!AC44</f>
        <v>PHQ</v>
      </c>
      <c r="AD40" s="508">
        <f>'HR Track 3 BIN'!AD44</f>
        <v>0</v>
      </c>
      <c r="AE40" s="508">
        <f>'HR Track 3 BIN'!AE44</f>
        <v>0</v>
      </c>
      <c r="AF40" s="506">
        <f>'HR Track 3 BIN'!AF44</f>
        <v>0</v>
      </c>
      <c r="AG40" s="505">
        <f>'HR Track 3 BIN'!AG44</f>
        <v>0</v>
      </c>
      <c r="AH40" s="506">
        <f>'HR Track 3 BIN'!AH44</f>
        <v>0</v>
      </c>
      <c r="AI40" s="506">
        <f>'HR Track 3 BIN'!AI44</f>
        <v>0</v>
      </c>
      <c r="AJ40" s="508">
        <f>'HR Track 3 BIN'!AJ44</f>
        <v>0</v>
      </c>
      <c r="AK40" s="508">
        <f>'HR Track 3 BIN'!AK44</f>
        <v>0</v>
      </c>
      <c r="AL40" s="508" t="str">
        <f>'HR Track 3 BIN'!AL44</f>
        <v>PR1B</v>
      </c>
      <c r="AM40" s="508" t="str">
        <f>'HR Track 3 BIN'!AM44</f>
        <v>RW2</v>
      </c>
      <c r="AN40" s="510">
        <f>'HR Track 3 BIN'!AN44</f>
        <v>5.5</v>
      </c>
      <c r="AO40" s="508">
        <f>'HR Track 3 BIN'!AO44</f>
        <v>0</v>
      </c>
      <c r="AP40" s="508">
        <f>'HR Track 3 BIN'!AP44</f>
        <v>0</v>
      </c>
      <c r="AQ40" s="510">
        <f>'HR Track 3 BIN'!AQ44</f>
        <v>0</v>
      </c>
      <c r="AR40" s="510">
        <f>'HR Track 3 BIN'!AR44</f>
        <v>0</v>
      </c>
      <c r="AS40" s="510">
        <f>'HR Track 3 BIN'!AS44</f>
        <v>0</v>
      </c>
      <c r="AT40" s="510">
        <f>'HR Track 3 BIN'!AT44</f>
        <v>-6.2903636451263925</v>
      </c>
      <c r="AU40" s="511">
        <f>'HR Track 3 BIN'!AU44</f>
        <v>0</v>
      </c>
      <c r="AV40" s="511">
        <f>'HR Track 3 BIN'!AV44</f>
        <v>0</v>
      </c>
      <c r="AW40" s="508" t="str">
        <f>'HR Track 3 BIN'!AW44</f>
        <v>Multi Soil</v>
      </c>
      <c r="AX40" s="508" t="str">
        <f>'HR Track 3 BIN'!AX44</f>
        <v>PT</v>
      </c>
      <c r="AY40" s="510">
        <f>'HR Track 3 BIN'!AY44</f>
        <v>6.2</v>
      </c>
      <c r="AZ40" s="510" t="str">
        <f>'HR Track 3 BIN'!AZ44</f>
        <v/>
      </c>
      <c r="BA40" s="491" t="str">
        <f>'HR Track 3 BIN'!BA44</f>
        <v>ü</v>
      </c>
      <c r="BB40" s="491" t="str">
        <f>'HR Track 3 BIN'!BB44</f>
        <v/>
      </c>
      <c r="BC40" s="491" t="str">
        <f>'HR Track 3 BIN'!BC44</f>
        <v/>
      </c>
      <c r="BD40" s="512" t="str">
        <f>'HR Track 3 BIN'!BD44</f>
        <v>App.8-V08H-P10.3</v>
      </c>
      <c r="BE40" s="429" t="s">
        <v>118</v>
      </c>
      <c r="BF40" s="289"/>
      <c r="BG40" s="289"/>
      <c r="BH40" s="290"/>
      <c r="BI40" s="289"/>
    </row>
    <row r="41" spans="1:61" ht="16.149999999999999" customHeight="1">
      <c r="A41" s="502"/>
      <c r="B41" s="503">
        <f>'HR Track 3 BIN'!B45</f>
        <v>0</v>
      </c>
      <c r="C41" s="504">
        <f>'HR Track 3 BIN'!C45</f>
        <v>0</v>
      </c>
      <c r="D41" s="505">
        <f>'HR Track 3 BIN'!D45</f>
        <v>0</v>
      </c>
      <c r="E41" s="506">
        <f>'HR Track 3 BIN'!E45</f>
        <v>0</v>
      </c>
      <c r="F41" s="506">
        <f>'HR Track 3 BIN'!F45</f>
        <v>0</v>
      </c>
      <c r="G41" s="507">
        <f>'HR Track 3 BIN'!G45</f>
        <v>42.8</v>
      </c>
      <c r="H41" s="508">
        <f>'HR Track 3 BIN'!H45</f>
        <v>0</v>
      </c>
      <c r="I41" s="508" t="str">
        <f>'HR Track 3 BIN'!I45</f>
        <v>FP+AnMC</v>
      </c>
      <c r="J41" s="509">
        <f>'HR Track 3 BIN'!J45</f>
        <v>0</v>
      </c>
      <c r="K41" s="508">
        <f>'HR Track 3 BIN'!K45</f>
        <v>0</v>
      </c>
      <c r="L41" s="508">
        <f>'HR Track 3 BIN'!L45</f>
        <v>0</v>
      </c>
      <c r="M41" s="508" t="str">
        <f>'HR Track 3 BIN'!M45</f>
        <v/>
      </c>
      <c r="N41" s="508">
        <f>'HR Track 3 BIN'!N45</f>
        <v>0</v>
      </c>
      <c r="O41" s="508">
        <f>'HR Track 3 BIN'!O45</f>
        <v>0</v>
      </c>
      <c r="P41" s="508">
        <f>'HR Track 3 BIN'!P45</f>
        <v>0</v>
      </c>
      <c r="Q41" s="506">
        <f>'HR Track 3 BIN'!Q45</f>
        <v>0</v>
      </c>
      <c r="R41" s="507">
        <f>'HR Track 3 BIN'!R45</f>
        <v>0</v>
      </c>
      <c r="S41" s="507">
        <f>'HR Track 3 BIN'!S45</f>
        <v>0</v>
      </c>
      <c r="T41" s="506">
        <f>'HR Track 3 BIN'!T45</f>
        <v>0</v>
      </c>
      <c r="U41" s="506">
        <f>'HR Track 3 BIN'!U45</f>
        <v>0</v>
      </c>
      <c r="V41" s="506">
        <f>'HR Track 3 BIN'!V45</f>
        <v>0</v>
      </c>
      <c r="W41" s="510">
        <f>'HR Track 3 BIN'!W45</f>
        <v>0</v>
      </c>
      <c r="X41" s="510">
        <f>'HR Track 3 BIN'!X45</f>
        <v>0</v>
      </c>
      <c r="Y41" s="510">
        <f>'HR Track 3 BIN'!Y45</f>
        <v>0</v>
      </c>
      <c r="Z41" s="510">
        <f>'HR Track 3 BIN'!Z45</f>
        <v>0</v>
      </c>
      <c r="AA41" s="510">
        <f>'HR Track 3 BIN'!AA45</f>
        <v>0</v>
      </c>
      <c r="AB41" s="510">
        <f>'HR Track 3 BIN'!AB45</f>
        <v>0</v>
      </c>
      <c r="AC41" s="508" t="str">
        <f>'HR Track 3 BIN'!AC45</f>
        <v/>
      </c>
      <c r="AD41" s="508">
        <f>'HR Track 3 BIN'!AD45</f>
        <v>0</v>
      </c>
      <c r="AE41" s="508">
        <f>'HR Track 3 BIN'!AE45</f>
        <v>0</v>
      </c>
      <c r="AF41" s="506">
        <f>'HR Track 3 BIN'!AF45</f>
        <v>0</v>
      </c>
      <c r="AG41" s="505">
        <f>'HR Track 3 BIN'!AG45</f>
        <v>0</v>
      </c>
      <c r="AH41" s="506">
        <f>'HR Track 3 BIN'!AH45</f>
        <v>0</v>
      </c>
      <c r="AI41" s="506">
        <f>'HR Track 3 BIN'!AI45</f>
        <v>0</v>
      </c>
      <c r="AJ41" s="508">
        <f>'HR Track 3 BIN'!AJ45</f>
        <v>0</v>
      </c>
      <c r="AK41" s="508">
        <f>'HR Track 3 BIN'!AK45</f>
        <v>0</v>
      </c>
      <c r="AL41" s="508">
        <f>'HR Track 3 BIN'!AL45</f>
        <v>0</v>
      </c>
      <c r="AM41" s="508">
        <f>'HR Track 3 BIN'!AM45</f>
        <v>0</v>
      </c>
      <c r="AN41" s="510">
        <f>'HR Track 3 BIN'!AN45</f>
        <v>0</v>
      </c>
      <c r="AO41" s="508">
        <f>'HR Track 3 BIN'!AO45</f>
        <v>0</v>
      </c>
      <c r="AP41" s="508">
        <f>'HR Track 3 BIN'!AP45</f>
        <v>0</v>
      </c>
      <c r="AQ41" s="510">
        <f>'HR Track 3 BIN'!AQ45</f>
        <v>0.35002438161993765</v>
      </c>
      <c r="AR41" s="510">
        <f>'HR Track 3 BIN'!AR45</f>
        <v>0</v>
      </c>
      <c r="AS41" s="510">
        <f>'HR Track 3 BIN'!AS45</f>
        <v>0</v>
      </c>
      <c r="AT41" s="510">
        <f>'HR Track 3 BIN'!AT45</f>
        <v>0</v>
      </c>
      <c r="AU41" s="511">
        <f>'HR Track 3 BIN'!AU45</f>
        <v>0</v>
      </c>
      <c r="AV41" s="511">
        <f>'HR Track 3 BIN'!AV45</f>
        <v>0</v>
      </c>
      <c r="AW41" s="508" t="str">
        <f>'HR Track 3 BIN'!AW45</f>
        <v/>
      </c>
      <c r="AX41" s="508" t="str">
        <f>'HR Track 3 BIN'!AX45</f>
        <v/>
      </c>
      <c r="AY41" s="510" t="str">
        <f>'HR Track 3 BIN'!AY45</f>
        <v/>
      </c>
      <c r="AZ41" s="510" t="str">
        <f>'HR Track 3 BIN'!AZ45</f>
        <v/>
      </c>
      <c r="BA41" s="491" t="str">
        <f>'HR Track 3 BIN'!BA45</f>
        <v/>
      </c>
      <c r="BB41" s="491" t="str">
        <f>'HR Track 3 BIN'!BB45</f>
        <v/>
      </c>
      <c r="BC41" s="491" t="str">
        <f>'HR Track 3 BIN'!BC45</f>
        <v/>
      </c>
      <c r="BD41" s="512">
        <f>'HR Track 3 BIN'!BD45</f>
        <v>0</v>
      </c>
      <c r="BE41" s="429" t="s">
        <v>118</v>
      </c>
      <c r="BF41" s="290"/>
      <c r="BG41" s="290"/>
      <c r="BH41" s="290"/>
      <c r="BI41" s="290"/>
    </row>
    <row r="42" spans="1:61" ht="16.149999999999999" customHeight="1">
      <c r="A42" s="502"/>
      <c r="B42" s="503" t="str">
        <f>'HR Track 3 BIN'!B46</f>
        <v>41-3.13</v>
      </c>
      <c r="C42" s="504">
        <f>'HR Track 3 BIN'!C46</f>
        <v>41624.840000000004</v>
      </c>
      <c r="D42" s="612">
        <f>'HR Track 3 BIN'!D46</f>
        <v>0</v>
      </c>
      <c r="E42" s="506">
        <f>'HR Track 3 BIN'!E46</f>
        <v>0</v>
      </c>
      <c r="F42" s="506">
        <f>'HR Track 3 BIN'!F46</f>
        <v>0</v>
      </c>
      <c r="G42" s="507">
        <f>'HR Track 3 BIN'!G46</f>
        <v>0</v>
      </c>
      <c r="H42" s="508" t="str">
        <f>'HR Track 3 BIN'!H46</f>
        <v>S/A</v>
      </c>
      <c r="I42" s="508">
        <f>'HR Track 3 BIN'!I46</f>
        <v>0</v>
      </c>
      <c r="J42" s="509">
        <f>'HR Track 3 BIN'!J46</f>
        <v>0</v>
      </c>
      <c r="K42" s="508">
        <f>'HR Track 3 BIN'!K46</f>
        <v>0</v>
      </c>
      <c r="L42" s="508" t="str">
        <f>'HR Track 3 BIN'!L46</f>
        <v>HEB-280L</v>
      </c>
      <c r="M42" s="508" t="str">
        <f>'HR Track 3 BIN'!M46</f>
        <v>C5R</v>
      </c>
      <c r="N42" s="508" t="str">
        <f>'HR Track 3 BIN'!N46</f>
        <v>EMT-T</v>
      </c>
      <c r="O42" s="508" t="str">
        <f>'HR Track 3 BIN'!O46</f>
        <v>EMT-2</v>
      </c>
      <c r="P42" s="508">
        <f>'HR Track 3 BIN'!P46</f>
        <v>0</v>
      </c>
      <c r="Q42" s="506">
        <f>'HR Track 3 BIN'!Q46</f>
        <v>0</v>
      </c>
      <c r="R42" s="507">
        <f>'HR Track 3 BIN'!R46</f>
        <v>0</v>
      </c>
      <c r="S42" s="507">
        <f>'HR Track 3 BIN'!S46</f>
        <v>0</v>
      </c>
      <c r="T42" s="506">
        <f>'HR Track 3 BIN'!T46</f>
        <v>55</v>
      </c>
      <c r="U42" s="506">
        <f>'HR Track 3 BIN'!U46</f>
        <v>35</v>
      </c>
      <c r="V42" s="506">
        <f>'HR Track 3 BIN'!V46</f>
        <v>0</v>
      </c>
      <c r="W42" s="510">
        <f>'HR Track 3 BIN'!W46</f>
        <v>0.8</v>
      </c>
      <c r="X42" s="510">
        <f>'HR Track 3 BIN'!X46</f>
        <v>0.9</v>
      </c>
      <c r="Y42" s="510">
        <f>'HR Track 3 BIN'!Y46</f>
        <v>0</v>
      </c>
      <c r="Z42" s="510">
        <f>'HR Track 3 BIN'!Z46</f>
        <v>0.3</v>
      </c>
      <c r="AA42" s="510">
        <f>'HR Track 3 BIN'!AA46</f>
        <v>0</v>
      </c>
      <c r="AB42" s="510">
        <f>'HR Track 3 BIN'!AB46</f>
        <v>0</v>
      </c>
      <c r="AC42" s="508">
        <f>'HR Track 3 BIN'!AC46</f>
        <v>0</v>
      </c>
      <c r="AD42" s="508">
        <f>'HR Track 3 BIN'!AD46</f>
        <v>0</v>
      </c>
      <c r="AE42" s="508">
        <f>'HR Track 3 BIN'!AE46</f>
        <v>0</v>
      </c>
      <c r="AF42" s="506">
        <f>'HR Track 3 BIN'!AF46</f>
        <v>0</v>
      </c>
      <c r="AG42" s="505">
        <f>'HR Track 3 BIN'!AG46</f>
        <v>0</v>
      </c>
      <c r="AH42" s="506">
        <f>'HR Track 3 BIN'!AH46</f>
        <v>0</v>
      </c>
      <c r="AI42" s="506">
        <f>'HR Track 3 BIN'!AI46</f>
        <v>0</v>
      </c>
      <c r="AJ42" s="508">
        <f>'HR Track 3 BIN'!AJ46</f>
        <v>0</v>
      </c>
      <c r="AK42" s="508">
        <f>'HR Track 3 BIN'!AK46</f>
        <v>0</v>
      </c>
      <c r="AL42" s="508" t="str">
        <f>'HR Track 3 BIN'!AL46</f>
        <v>PR1B</v>
      </c>
      <c r="AM42" s="508" t="str">
        <f>'HR Track 3 BIN'!AM46</f>
        <v>RW2</v>
      </c>
      <c r="AN42" s="510">
        <f>'HR Track 3 BIN'!AN46</f>
        <v>5.5</v>
      </c>
      <c r="AO42" s="508">
        <f>'HR Track 3 BIN'!AO46</f>
        <v>0</v>
      </c>
      <c r="AP42" s="508">
        <f>'HR Track 3 BIN'!AP46</f>
        <v>0</v>
      </c>
      <c r="AQ42" s="510">
        <f>'HR Track 3 BIN'!AQ46</f>
        <v>0</v>
      </c>
      <c r="AR42" s="510">
        <f>'HR Track 3 BIN'!AR46</f>
        <v>0</v>
      </c>
      <c r="AS42" s="510">
        <f>'HR Track 3 BIN'!AS46</f>
        <v>0</v>
      </c>
      <c r="AT42" s="510">
        <f>'HR Track 3 BIN'!AT46</f>
        <v>6.290344606923596</v>
      </c>
      <c r="AU42" s="511">
        <f>'HR Track 3 BIN'!AU46</f>
        <v>0</v>
      </c>
      <c r="AV42" s="511">
        <f>'HR Track 3 BIN'!AV46</f>
        <v>0</v>
      </c>
      <c r="AW42" s="508" t="str">
        <f>'HR Track 3 BIN'!AW46</f>
        <v>Multi Soil</v>
      </c>
      <c r="AX42" s="508" t="str">
        <f>'HR Track 3 BIN'!AX46</f>
        <v>PT</v>
      </c>
      <c r="AY42" s="510">
        <f>'HR Track 3 BIN'!AY46</f>
        <v>3.5</v>
      </c>
      <c r="AZ42" s="510" t="str">
        <f>'HR Track 3 BIN'!AZ46</f>
        <v/>
      </c>
      <c r="BA42" s="491" t="str">
        <f>'HR Track 3 BIN'!BA46</f>
        <v>ü</v>
      </c>
      <c r="BB42" s="491" t="str">
        <f>'HR Track 3 BIN'!BB46</f>
        <v/>
      </c>
      <c r="BC42" s="491" t="str">
        <f>'HR Track 3 BIN'!BC46</f>
        <v/>
      </c>
      <c r="BD42" s="512" t="str">
        <f>'HR Track 3 BIN'!BD46</f>
        <v>App.8-V08H-P10.3</v>
      </c>
      <c r="BE42" s="429" t="s">
        <v>118</v>
      </c>
      <c r="BF42" s="289"/>
      <c r="BG42" s="289"/>
      <c r="BH42" s="290"/>
      <c r="BI42" s="289"/>
    </row>
    <row r="43" spans="1:61" ht="16.149999999999999" customHeight="1">
      <c r="A43" s="599"/>
      <c r="B43" s="600">
        <f>'HR Track 3 BIN'!B47</f>
        <v>0</v>
      </c>
      <c r="C43" s="592">
        <f>'HR Track 3 BIN'!C47</f>
        <v>0</v>
      </c>
      <c r="D43" s="593">
        <f>'HR Track 3 BIN'!D47</f>
        <v>0</v>
      </c>
      <c r="E43" s="594">
        <f>'HR Track 3 BIN'!E47</f>
        <v>0</v>
      </c>
      <c r="F43" s="594">
        <f>'HR Track 3 BIN'!F47</f>
        <v>0</v>
      </c>
      <c r="G43" s="595">
        <f>'HR Track 3 BIN'!G47</f>
        <v>49.9</v>
      </c>
      <c r="H43" s="596">
        <f>'HR Track 3 BIN'!H47</f>
        <v>0</v>
      </c>
      <c r="I43" s="596">
        <f>'HR Track 3 BIN'!I47</f>
        <v>0</v>
      </c>
      <c r="J43" s="601">
        <f>'HR Track 3 BIN'!J47</f>
        <v>0</v>
      </c>
      <c r="K43" s="596">
        <f>'HR Track 3 BIN'!K47</f>
        <v>0</v>
      </c>
      <c r="L43" s="596">
        <f>'HR Track 3 BIN'!L47</f>
        <v>0</v>
      </c>
      <c r="M43" s="596" t="str">
        <f>'HR Track 3 BIN'!M47</f>
        <v/>
      </c>
      <c r="N43" s="596">
        <f>'HR Track 3 BIN'!N47</f>
        <v>0</v>
      </c>
      <c r="O43" s="596">
        <f>'HR Track 3 BIN'!O47</f>
        <v>0</v>
      </c>
      <c r="P43" s="596">
        <f>'HR Track 3 BIN'!P47</f>
        <v>0</v>
      </c>
      <c r="Q43" s="594">
        <f>'HR Track 3 BIN'!Q47</f>
        <v>0</v>
      </c>
      <c r="R43" s="595">
        <f>'HR Track 3 BIN'!R47</f>
        <v>0</v>
      </c>
      <c r="S43" s="595">
        <f>'HR Track 3 BIN'!S47</f>
        <v>0</v>
      </c>
      <c r="T43" s="594">
        <f>'HR Track 3 BIN'!T47</f>
        <v>0</v>
      </c>
      <c r="U43" s="594">
        <f>'HR Track 3 BIN'!U47</f>
        <v>0</v>
      </c>
      <c r="V43" s="594">
        <f>'HR Track 3 BIN'!V47</f>
        <v>0</v>
      </c>
      <c r="W43" s="597">
        <f>'HR Track 3 BIN'!W47</f>
        <v>0</v>
      </c>
      <c r="X43" s="597">
        <f>'HR Track 3 BIN'!X47</f>
        <v>0</v>
      </c>
      <c r="Y43" s="597">
        <f>'HR Track 3 BIN'!Y47</f>
        <v>0</v>
      </c>
      <c r="Z43" s="597">
        <f>'HR Track 3 BIN'!Z47</f>
        <v>0</v>
      </c>
      <c r="AA43" s="597">
        <f>'HR Track 3 BIN'!AA47</f>
        <v>0</v>
      </c>
      <c r="AB43" s="597">
        <f>'HR Track 3 BIN'!AB47</f>
        <v>0</v>
      </c>
      <c r="AC43" s="596" t="str">
        <f>'HR Track 3 BIN'!AC47</f>
        <v/>
      </c>
      <c r="AD43" s="596">
        <f>'HR Track 3 BIN'!AD47</f>
        <v>0</v>
      </c>
      <c r="AE43" s="596">
        <f>'HR Track 3 BIN'!AE47</f>
        <v>0</v>
      </c>
      <c r="AF43" s="594">
        <f>'HR Track 3 BIN'!AF47</f>
        <v>0</v>
      </c>
      <c r="AG43" s="593">
        <f>'HR Track 3 BIN'!AG47</f>
        <v>0</v>
      </c>
      <c r="AH43" s="594">
        <f>'HR Track 3 BIN'!AH47</f>
        <v>0</v>
      </c>
      <c r="AI43" s="594">
        <f>'HR Track 3 BIN'!AI47</f>
        <v>0</v>
      </c>
      <c r="AJ43" s="596">
        <f>'HR Track 3 BIN'!AJ47</f>
        <v>0</v>
      </c>
      <c r="AK43" s="596">
        <f>'HR Track 3 BIN'!AK47</f>
        <v>0</v>
      </c>
      <c r="AL43" s="596">
        <f>'HR Track 3 BIN'!AL47</f>
        <v>0</v>
      </c>
      <c r="AM43" s="596">
        <f>'HR Track 3 BIN'!AM47</f>
        <v>0</v>
      </c>
      <c r="AN43" s="597">
        <f>'HR Track 3 BIN'!AN47</f>
        <v>0</v>
      </c>
      <c r="AO43" s="596">
        <f>'HR Track 3 BIN'!AO47</f>
        <v>0</v>
      </c>
      <c r="AP43" s="596">
        <f>'HR Track 3 BIN'!AP47</f>
        <v>0</v>
      </c>
      <c r="AQ43" s="597">
        <f>'HR Track 3 BIN'!AQ47</f>
        <v>0.36793352587575157</v>
      </c>
      <c r="AR43" s="597">
        <f>'HR Track 3 BIN'!AR47</f>
        <v>0</v>
      </c>
      <c r="AS43" s="597">
        <f>'HR Track 3 BIN'!AS47</f>
        <v>0</v>
      </c>
      <c r="AT43" s="597">
        <f>'HR Track 3 BIN'!AT47</f>
        <v>0</v>
      </c>
      <c r="AU43" s="598">
        <f>'HR Track 3 BIN'!AU47</f>
        <v>0</v>
      </c>
      <c r="AV43" s="598">
        <f>'HR Track 3 BIN'!AV47</f>
        <v>0</v>
      </c>
      <c r="AW43" s="596" t="str">
        <f>'HR Track 3 BIN'!AW47</f>
        <v/>
      </c>
      <c r="AX43" s="596" t="str">
        <f>'HR Track 3 BIN'!AX47</f>
        <v/>
      </c>
      <c r="AY43" s="597" t="str">
        <f>'HR Track 3 BIN'!AY47</f>
        <v/>
      </c>
      <c r="AZ43" s="597" t="str">
        <f>'HR Track 3 BIN'!AZ47</f>
        <v/>
      </c>
      <c r="BA43" s="474" t="str">
        <f>'HR Track 3 BIN'!BA47</f>
        <v/>
      </c>
      <c r="BB43" s="474" t="str">
        <f>'HR Track 3 BIN'!BB47</f>
        <v/>
      </c>
      <c r="BC43" s="474" t="str">
        <f>'HR Track 3 BIN'!BC47</f>
        <v/>
      </c>
      <c r="BD43" s="602">
        <f>'HR Track 3 BIN'!BD47</f>
        <v>0</v>
      </c>
      <c r="BE43" s="429" t="s">
        <v>118</v>
      </c>
      <c r="BF43" s="290"/>
      <c r="BG43" s="290"/>
      <c r="BH43" s="290"/>
      <c r="BI43" s="290"/>
    </row>
    <row r="44" spans="1:61" ht="16.149999999999999" customHeight="1">
      <c r="A44" s="502"/>
      <c r="B44" s="503" t="str">
        <f>'HR Track 3 BIN'!B48</f>
        <v>41-3.14</v>
      </c>
      <c r="C44" s="504">
        <f>'HR Track 3 BIN'!C48</f>
        <v>41674.740000000005</v>
      </c>
      <c r="D44" s="505">
        <f>'HR Track 3 BIN'!D48</f>
        <v>0</v>
      </c>
      <c r="E44" s="506">
        <f>'HR Track 3 BIN'!E48</f>
        <v>0</v>
      </c>
      <c r="F44" s="506">
        <f>'HR Track 3 BIN'!F48</f>
        <v>0</v>
      </c>
      <c r="G44" s="507">
        <f>'HR Track 3 BIN'!G48</f>
        <v>0</v>
      </c>
      <c r="H44" s="508" t="str">
        <f>'HR Track 3 BIN'!H48</f>
        <v>S/A</v>
      </c>
      <c r="I44" s="508">
        <f>'HR Track 3 BIN'!I48</f>
        <v>0</v>
      </c>
      <c r="J44" s="509">
        <f>'HR Track 3 BIN'!J48</f>
        <v>0</v>
      </c>
      <c r="K44" s="508">
        <f>'HR Track 3 BIN'!K48</f>
        <v>0</v>
      </c>
      <c r="L44" s="508" t="str">
        <f>'HR Track 3 BIN'!L48</f>
        <v>HEB-280L</v>
      </c>
      <c r="M44" s="508" t="str">
        <f>'HR Track 3 BIN'!M48</f>
        <v>C5R</v>
      </c>
      <c r="N44" s="508" t="str">
        <f>'HR Track 3 BIN'!N48</f>
        <v>EMT-1</v>
      </c>
      <c r="O44" s="508" t="str">
        <f>'HR Track 3 BIN'!O48</f>
        <v>EMT-T</v>
      </c>
      <c r="P44" s="508">
        <f>'HR Track 3 BIN'!P48</f>
        <v>0</v>
      </c>
      <c r="Q44" s="506">
        <f>'HR Track 3 BIN'!Q48</f>
        <v>0</v>
      </c>
      <c r="R44" s="507">
        <f>'HR Track 3 BIN'!R48</f>
        <v>0</v>
      </c>
      <c r="S44" s="507">
        <f>'HR Track 3 BIN'!S48</f>
        <v>0</v>
      </c>
      <c r="T44" s="506">
        <f>'HR Track 3 BIN'!T48</f>
        <v>-35</v>
      </c>
      <c r="U44" s="506">
        <f>'HR Track 3 BIN'!U48</f>
        <v>55</v>
      </c>
      <c r="V44" s="506">
        <f>'HR Track 3 BIN'!V48</f>
        <v>0</v>
      </c>
      <c r="W44" s="510">
        <f>'HR Track 3 BIN'!W48</f>
        <v>1.4</v>
      </c>
      <c r="X44" s="510">
        <f>'HR Track 3 BIN'!X48</f>
        <v>1.1000000000000001</v>
      </c>
      <c r="Y44" s="510">
        <f>'HR Track 3 BIN'!Y48</f>
        <v>0</v>
      </c>
      <c r="Z44" s="510">
        <f>'HR Track 3 BIN'!Z48</f>
        <v>0</v>
      </c>
      <c r="AA44" s="510">
        <f>'HR Track 3 BIN'!AA48</f>
        <v>0.4</v>
      </c>
      <c r="AB44" s="510">
        <f>'HR Track 3 BIN'!AB48</f>
        <v>0</v>
      </c>
      <c r="AC44" s="508" t="str">
        <f>'HR Track 3 BIN'!AC48</f>
        <v>PHQ</v>
      </c>
      <c r="AD44" s="508">
        <f>'HR Track 3 BIN'!AD48</f>
        <v>0</v>
      </c>
      <c r="AE44" s="508">
        <f>'HR Track 3 BIN'!AE48</f>
        <v>0</v>
      </c>
      <c r="AF44" s="506">
        <f>'HR Track 3 BIN'!AF48</f>
        <v>0</v>
      </c>
      <c r="AG44" s="505">
        <f>'HR Track 3 BIN'!AG48</f>
        <v>0</v>
      </c>
      <c r="AH44" s="506">
        <f>'HR Track 3 BIN'!AH48</f>
        <v>0</v>
      </c>
      <c r="AI44" s="506">
        <f>'HR Track 3 BIN'!AI48</f>
        <v>0</v>
      </c>
      <c r="AJ44" s="508">
        <f>'HR Track 3 BIN'!AJ48</f>
        <v>0</v>
      </c>
      <c r="AK44" s="508">
        <f>'HR Track 3 BIN'!AK48</f>
        <v>0</v>
      </c>
      <c r="AL44" s="508" t="str">
        <f>'HR Track 3 BIN'!AL48</f>
        <v>PR1B</v>
      </c>
      <c r="AM44" s="508" t="str">
        <f>'HR Track 3 BIN'!AM48</f>
        <v>RW2</v>
      </c>
      <c r="AN44" s="510">
        <f>'HR Track 3 BIN'!AN48</f>
        <v>5.5</v>
      </c>
      <c r="AO44" s="508">
        <f>'HR Track 3 BIN'!AO48</f>
        <v>0</v>
      </c>
      <c r="AP44" s="508">
        <f>'HR Track 3 BIN'!AP48</f>
        <v>0</v>
      </c>
      <c r="AQ44" s="510">
        <f>'HR Track 3 BIN'!AQ48</f>
        <v>0</v>
      </c>
      <c r="AR44" s="510">
        <f>'HR Track 3 BIN'!AR48</f>
        <v>0</v>
      </c>
      <c r="AS44" s="510">
        <f>'HR Track 3 BIN'!AS48</f>
        <v>0</v>
      </c>
      <c r="AT44" s="510">
        <f>'HR Track 3 BIN'!AT48</f>
        <v>-6.7183839749285923</v>
      </c>
      <c r="AU44" s="511">
        <f>'HR Track 3 BIN'!AU48</f>
        <v>0</v>
      </c>
      <c r="AV44" s="511">
        <f>'HR Track 3 BIN'!AV48</f>
        <v>0</v>
      </c>
      <c r="AW44" s="508" t="str">
        <f>'HR Track 3 BIN'!AW48</f>
        <v>Multi Soil</v>
      </c>
      <c r="AX44" s="508" t="str">
        <f>'HR Track 3 BIN'!AX48</f>
        <v>PT</v>
      </c>
      <c r="AY44" s="510">
        <f>'HR Track 3 BIN'!AY48</f>
        <v>3.5</v>
      </c>
      <c r="AZ44" s="510" t="str">
        <f>'HR Track 3 BIN'!AZ48</f>
        <v/>
      </c>
      <c r="BA44" s="491" t="str">
        <f>'HR Track 3 BIN'!BA48</f>
        <v>ü</v>
      </c>
      <c r="BB44" s="491" t="str">
        <f>'HR Track 3 BIN'!BB48</f>
        <v/>
      </c>
      <c r="BC44" s="491" t="str">
        <f>'HR Track 3 BIN'!BC48</f>
        <v/>
      </c>
      <c r="BD44" s="512" t="str">
        <f>'HR Track 3 BIN'!BD48</f>
        <v>App.8-V08H-P10.3</v>
      </c>
      <c r="BE44" s="429" t="s">
        <v>118</v>
      </c>
      <c r="BF44" s="289"/>
      <c r="BG44" s="289"/>
      <c r="BH44" s="290"/>
      <c r="BI44" s="289"/>
    </row>
    <row r="45" spans="1:61" ht="16.149999999999999" customHeight="1" thickBot="1">
      <c r="A45" s="757"/>
      <c r="B45" s="758">
        <f>'HR Track 3 BIN'!B49</f>
        <v>0</v>
      </c>
      <c r="C45" s="759">
        <f>'HR Track 3 BIN'!C49</f>
        <v>0</v>
      </c>
      <c r="D45" s="783">
        <f>'HR Track 3 BIN'!D49</f>
        <v>0</v>
      </c>
      <c r="E45" s="761">
        <f>'HR Track 3 BIN'!E49</f>
        <v>0</v>
      </c>
      <c r="F45" s="761">
        <f>'HR Track 3 BIN'!F49</f>
        <v>0</v>
      </c>
      <c r="G45" s="762">
        <f>'HR Track 3 BIN'!G49</f>
        <v>48.6</v>
      </c>
      <c r="H45" s="763">
        <f>'HR Track 3 BIN'!H49</f>
        <v>0</v>
      </c>
      <c r="I45" s="763">
        <f>'HR Track 3 BIN'!I49</f>
        <v>280</v>
      </c>
      <c r="J45" s="764">
        <f>'HR Track 3 BIN'!J49</f>
        <v>0</v>
      </c>
      <c r="K45" s="763">
        <f>'HR Track 3 BIN'!K49</f>
        <v>0</v>
      </c>
      <c r="L45" s="763">
        <f>'HR Track 3 BIN'!L49</f>
        <v>0</v>
      </c>
      <c r="M45" s="763" t="str">
        <f>'HR Track 3 BIN'!M49</f>
        <v/>
      </c>
      <c r="N45" s="763">
        <f>'HR Track 3 BIN'!N49</f>
        <v>0</v>
      </c>
      <c r="O45" s="763">
        <f>'HR Track 3 BIN'!O49</f>
        <v>0</v>
      </c>
      <c r="P45" s="763">
        <f>'HR Track 3 BIN'!P49</f>
        <v>0</v>
      </c>
      <c r="Q45" s="761">
        <f>'HR Track 3 BIN'!Q49</f>
        <v>0</v>
      </c>
      <c r="R45" s="762">
        <f>'HR Track 3 BIN'!R49</f>
        <v>0</v>
      </c>
      <c r="S45" s="762">
        <f>'HR Track 3 BIN'!S49</f>
        <v>0</v>
      </c>
      <c r="T45" s="761">
        <f>'HR Track 3 BIN'!T49</f>
        <v>0</v>
      </c>
      <c r="U45" s="761">
        <f>'HR Track 3 BIN'!U49</f>
        <v>0</v>
      </c>
      <c r="V45" s="761">
        <f>'HR Track 3 BIN'!V49</f>
        <v>0</v>
      </c>
      <c r="W45" s="765">
        <f>'HR Track 3 BIN'!W49</f>
        <v>0</v>
      </c>
      <c r="X45" s="765">
        <f>'HR Track 3 BIN'!X49</f>
        <v>0</v>
      </c>
      <c r="Y45" s="765">
        <f>'HR Track 3 BIN'!Y49</f>
        <v>0</v>
      </c>
      <c r="Z45" s="765">
        <f>'HR Track 3 BIN'!Z49</f>
        <v>0</v>
      </c>
      <c r="AA45" s="765">
        <f>'HR Track 3 BIN'!AA49</f>
        <v>0</v>
      </c>
      <c r="AB45" s="765">
        <f>'HR Track 3 BIN'!AB49</f>
        <v>0</v>
      </c>
      <c r="AC45" s="763" t="str">
        <f>'HR Track 3 BIN'!AC49</f>
        <v/>
      </c>
      <c r="AD45" s="763">
        <f>'HR Track 3 BIN'!AD49</f>
        <v>0</v>
      </c>
      <c r="AE45" s="763">
        <f>'HR Track 3 BIN'!AE49</f>
        <v>0</v>
      </c>
      <c r="AF45" s="761">
        <f>'HR Track 3 BIN'!AF49</f>
        <v>0</v>
      </c>
      <c r="AG45" s="760">
        <f>'HR Track 3 BIN'!AG49</f>
        <v>0</v>
      </c>
      <c r="AH45" s="761">
        <f>'HR Track 3 BIN'!AH49</f>
        <v>0</v>
      </c>
      <c r="AI45" s="761">
        <f>'HR Track 3 BIN'!AI49</f>
        <v>0</v>
      </c>
      <c r="AJ45" s="763">
        <f>'HR Track 3 BIN'!AJ49</f>
        <v>0</v>
      </c>
      <c r="AK45" s="763">
        <f>'HR Track 3 BIN'!AK49</f>
        <v>0</v>
      </c>
      <c r="AL45" s="763">
        <f>'HR Track 3 BIN'!AL49</f>
        <v>0</v>
      </c>
      <c r="AM45" s="763">
        <f>'HR Track 3 BIN'!AM49</f>
        <v>0</v>
      </c>
      <c r="AN45" s="765">
        <f>'HR Track 3 BIN'!AN49</f>
        <v>0</v>
      </c>
      <c r="AO45" s="763">
        <f>'HR Track 3 BIN'!AO49</f>
        <v>0</v>
      </c>
      <c r="AP45" s="763">
        <f>'HR Track 3 BIN'!AP49</f>
        <v>0</v>
      </c>
      <c r="AQ45" s="765">
        <f>'HR Track 3 BIN'!AQ49</f>
        <v>-0.36245306574485592</v>
      </c>
      <c r="AR45" s="765">
        <f>'HR Track 3 BIN'!AR49</f>
        <v>0</v>
      </c>
      <c r="AS45" s="765">
        <f>'HR Track 3 BIN'!AS49</f>
        <v>0</v>
      </c>
      <c r="AT45" s="765">
        <f>'HR Track 3 BIN'!AT49</f>
        <v>0</v>
      </c>
      <c r="AU45" s="766">
        <f>'HR Track 3 BIN'!AU49</f>
        <v>0</v>
      </c>
      <c r="AV45" s="766">
        <f>'HR Track 3 BIN'!AV49</f>
        <v>0</v>
      </c>
      <c r="AW45" s="763" t="str">
        <f>'HR Track 3 BIN'!AW49</f>
        <v/>
      </c>
      <c r="AX45" s="763" t="str">
        <f>'HR Track 3 BIN'!AX49</f>
        <v/>
      </c>
      <c r="AY45" s="765" t="str">
        <f>'HR Track 3 BIN'!AY49</f>
        <v/>
      </c>
      <c r="AZ45" s="765" t="str">
        <f>'HR Track 3 BIN'!AZ49</f>
        <v/>
      </c>
      <c r="BA45" s="768" t="str">
        <f>'HR Track 3 BIN'!BA49</f>
        <v/>
      </c>
      <c r="BB45" s="768" t="str">
        <f>'HR Track 3 BIN'!BB49</f>
        <v/>
      </c>
      <c r="BC45" s="768" t="str">
        <f>'HR Track 3 BIN'!BC49</f>
        <v/>
      </c>
      <c r="BD45" s="769">
        <f>'HR Track 3 BIN'!BD49</f>
        <v>0</v>
      </c>
      <c r="BE45" s="429" t="s">
        <v>118</v>
      </c>
      <c r="BF45" s="290"/>
      <c r="BG45" s="290"/>
      <c r="BH45" s="290"/>
      <c r="BI45" s="290"/>
    </row>
    <row r="46" spans="1:61" ht="15.75" customHeight="1"/>
    <row r="47" spans="1:61" ht="15.75" customHeight="1"/>
    <row r="48" spans="1:61" ht="15.75" customHeight="1"/>
    <row r="1845" ht="15.75" customHeight="1"/>
    <row r="1846" ht="15.75" customHeight="1"/>
  </sheetData>
  <autoFilter ref="A2:BD45" xr:uid="{00000000-0009-0000-0000-000005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filterColumn colId="52" showButton="0"/>
    <filterColumn colId="53" showButton="0"/>
  </autoFilter>
  <mergeCells count="11">
    <mergeCell ref="BF1:BI1"/>
    <mergeCell ref="A1:BD1"/>
    <mergeCell ref="AN2:AP2"/>
    <mergeCell ref="AQ2:AS2"/>
    <mergeCell ref="AT2:AV2"/>
    <mergeCell ref="N2:P2"/>
    <mergeCell ref="T2:V2"/>
    <mergeCell ref="W2:Y2"/>
    <mergeCell ref="Z2:AB2"/>
    <mergeCell ref="AC2:AE2"/>
    <mergeCell ref="BA2:BC2"/>
  </mergeCells>
  <phoneticPr fontId="76" type="noConversion"/>
  <conditionalFormatting sqref="BE4">
    <cfRule type="expression" dxfId="15302" priority="5735">
      <formula>$M4="NON DEFINED"</formula>
    </cfRule>
    <cfRule type="expression" dxfId="15301" priority="5736">
      <formula>$AY4="N.D."</formula>
    </cfRule>
  </conditionalFormatting>
  <conditionalFormatting sqref="BE4">
    <cfRule type="cellIs" dxfId="15300" priority="5734" operator="equal">
      <formula>0</formula>
    </cfRule>
  </conditionalFormatting>
  <conditionalFormatting sqref="BA4:BC4">
    <cfRule type="expression" dxfId="15299" priority="5698">
      <formula>$BE4="R"</formula>
    </cfRule>
  </conditionalFormatting>
  <conditionalFormatting sqref="B4:E4 J4 AG4 AN4:AS4 AY4:BC4 G4:H4">
    <cfRule type="expression" dxfId="15298" priority="5696">
      <formula>$M4="NON DEFINED"</formula>
    </cfRule>
    <cfRule type="expression" dxfId="15297" priority="5697">
      <formula>$AY4="N.D."</formula>
    </cfRule>
  </conditionalFormatting>
  <conditionalFormatting sqref="A4:E4 J4 AG4 AN4:AS4 AY4:BD4 G4:H4">
    <cfRule type="cellIs" dxfId="15296" priority="5695" operator="equal">
      <formula>0</formula>
    </cfRule>
  </conditionalFormatting>
  <conditionalFormatting sqref="I4">
    <cfRule type="expression" dxfId="15295" priority="5677">
      <formula>$M4="NON DEFINED"</formula>
    </cfRule>
    <cfRule type="expression" dxfId="15294" priority="5678">
      <formula>$AY4="N.D."</formula>
    </cfRule>
  </conditionalFormatting>
  <conditionalFormatting sqref="I4">
    <cfRule type="cellIs" dxfId="15293" priority="5676" operator="equal">
      <formula>0</formula>
    </cfRule>
  </conditionalFormatting>
  <conditionalFormatting sqref="K4">
    <cfRule type="expression" dxfId="15292" priority="5660">
      <formula>$M4="NON DEFINED"</formula>
    </cfRule>
    <cfRule type="expression" dxfId="15291" priority="5661">
      <formula>$AY4="N.D."</formula>
    </cfRule>
  </conditionalFormatting>
  <conditionalFormatting sqref="K4">
    <cfRule type="cellIs" dxfId="15290" priority="5659" operator="equal">
      <formula>0</formula>
    </cfRule>
  </conditionalFormatting>
  <conditionalFormatting sqref="L4">
    <cfRule type="expression" dxfId="15289" priority="5643">
      <formula>$M4="NON DEFINED"</formula>
    </cfRule>
    <cfRule type="expression" dxfId="15288" priority="5644">
      <formula>$AY4="N.D."</formula>
    </cfRule>
  </conditionalFormatting>
  <conditionalFormatting sqref="L4">
    <cfRule type="cellIs" dxfId="15287" priority="5642" operator="equal">
      <formula>0</formula>
    </cfRule>
  </conditionalFormatting>
  <conditionalFormatting sqref="M4">
    <cfRule type="expression" dxfId="15286" priority="5626">
      <formula>$M4="NON DEFINED"</formula>
    </cfRule>
    <cfRule type="expression" dxfId="15285" priority="5627">
      <formula>$AY4="N.D."</formula>
    </cfRule>
  </conditionalFormatting>
  <conditionalFormatting sqref="M4">
    <cfRule type="cellIs" dxfId="15284" priority="5625" operator="equal">
      <formula>0</formula>
    </cfRule>
  </conditionalFormatting>
  <conditionalFormatting sqref="N4">
    <cfRule type="expression" dxfId="15283" priority="5606">
      <formula>$M4="NON DEFINED"</formula>
    </cfRule>
    <cfRule type="expression" dxfId="15282" priority="5607">
      <formula>$AY4="N.D."</formula>
    </cfRule>
  </conditionalFormatting>
  <conditionalFormatting sqref="N4">
    <cfRule type="cellIs" dxfId="15281" priority="5605" operator="equal">
      <formula>0</formula>
    </cfRule>
  </conditionalFormatting>
  <conditionalFormatting sqref="O4">
    <cfRule type="expression" dxfId="15280" priority="5589">
      <formula>$M4="NON DEFINED"</formula>
    </cfRule>
    <cfRule type="expression" dxfId="15279" priority="5590">
      <formula>$AY4="N.D."</formula>
    </cfRule>
  </conditionalFormatting>
  <conditionalFormatting sqref="O4">
    <cfRule type="cellIs" dxfId="15278" priority="5588" operator="equal">
      <formula>0</formula>
    </cfRule>
  </conditionalFormatting>
  <conditionalFormatting sqref="P4">
    <cfRule type="expression" dxfId="15277" priority="5572">
      <formula>$M4="NON DEFINED"</formula>
    </cfRule>
    <cfRule type="expression" dxfId="15276" priority="5573">
      <formula>$AY4="N.D."</formula>
    </cfRule>
  </conditionalFormatting>
  <conditionalFormatting sqref="P4">
    <cfRule type="cellIs" dxfId="15275" priority="5571" operator="equal">
      <formula>0</formula>
    </cfRule>
  </conditionalFormatting>
  <conditionalFormatting sqref="AC4">
    <cfRule type="expression" dxfId="15274" priority="5538">
      <formula>$M4="NON DEFINED"</formula>
    </cfRule>
    <cfRule type="expression" dxfId="15273" priority="5539">
      <formula>$AY4="N.D."</formula>
    </cfRule>
  </conditionalFormatting>
  <conditionalFormatting sqref="AC4">
    <cfRule type="cellIs" dxfId="15272" priority="5537" operator="equal">
      <formula>0</formula>
    </cfRule>
  </conditionalFormatting>
  <conditionalFormatting sqref="AD4">
    <cfRule type="expression" dxfId="15271" priority="5521">
      <formula>$M4="NON DEFINED"</formula>
    </cfRule>
    <cfRule type="expression" dxfId="15270" priority="5522">
      <formula>$AY4="N.D."</formula>
    </cfRule>
  </conditionalFormatting>
  <conditionalFormatting sqref="AD4">
    <cfRule type="cellIs" dxfId="15269" priority="5520" operator="equal">
      <formula>0</formula>
    </cfRule>
  </conditionalFormatting>
  <conditionalFormatting sqref="AE4">
    <cfRule type="expression" dxfId="15268" priority="5504">
      <formula>$M4="NON DEFINED"</formula>
    </cfRule>
    <cfRule type="expression" dxfId="15267" priority="5505">
      <formula>$AY4="N.D."</formula>
    </cfRule>
  </conditionalFormatting>
  <conditionalFormatting sqref="AE4">
    <cfRule type="cellIs" dxfId="15266" priority="5503" operator="equal">
      <formula>0</formula>
    </cfRule>
  </conditionalFormatting>
  <conditionalFormatting sqref="AJ4">
    <cfRule type="expression" dxfId="15265" priority="5487">
      <formula>$M4="NON DEFINED"</formula>
    </cfRule>
    <cfRule type="expression" dxfId="15264" priority="5488">
      <formula>$AY4="N.D."</formula>
    </cfRule>
  </conditionalFormatting>
  <conditionalFormatting sqref="AJ4">
    <cfRule type="cellIs" dxfId="15263" priority="5486" operator="equal">
      <formula>0</formula>
    </cfRule>
  </conditionalFormatting>
  <conditionalFormatting sqref="AK4">
    <cfRule type="expression" dxfId="15262" priority="5470">
      <formula>$M4="NON DEFINED"</formula>
    </cfRule>
    <cfRule type="expression" dxfId="15261" priority="5471">
      <formula>$AY4="N.D."</formula>
    </cfRule>
  </conditionalFormatting>
  <conditionalFormatting sqref="AK4">
    <cfRule type="cellIs" dxfId="15260" priority="5469" operator="equal">
      <formula>0</formula>
    </cfRule>
  </conditionalFormatting>
  <conditionalFormatting sqref="AL4">
    <cfRule type="expression" dxfId="15259" priority="5453">
      <formula>$M4="NON DEFINED"</formula>
    </cfRule>
    <cfRule type="expression" dxfId="15258" priority="5454">
      <formula>$AY4="N.D."</formula>
    </cfRule>
  </conditionalFormatting>
  <conditionalFormatting sqref="AL4">
    <cfRule type="cellIs" dxfId="15257" priority="5452" operator="equal">
      <formula>0</formula>
    </cfRule>
  </conditionalFormatting>
  <conditionalFormatting sqref="AM4">
    <cfRule type="expression" dxfId="15256" priority="5436">
      <formula>$M4="NON DEFINED"</formula>
    </cfRule>
    <cfRule type="expression" dxfId="15255" priority="5437">
      <formula>$AY4="N.D."</formula>
    </cfRule>
  </conditionalFormatting>
  <conditionalFormatting sqref="AM4">
    <cfRule type="cellIs" dxfId="15254" priority="5435" operator="equal">
      <formula>0</formula>
    </cfRule>
  </conditionalFormatting>
  <conditionalFormatting sqref="AT4">
    <cfRule type="expression" dxfId="15253" priority="5419">
      <formula>$M4="NON DEFINED"</formula>
    </cfRule>
    <cfRule type="expression" dxfId="15252" priority="5420">
      <formula>$AY4="N.D."</formula>
    </cfRule>
  </conditionalFormatting>
  <conditionalFormatting sqref="AT4">
    <cfRule type="cellIs" dxfId="15251" priority="5418" operator="equal">
      <formula>0</formula>
    </cfRule>
  </conditionalFormatting>
  <conditionalFormatting sqref="AU4">
    <cfRule type="expression" dxfId="15250" priority="5402">
      <formula>$M4="NON DEFINED"</formula>
    </cfRule>
    <cfRule type="expression" dxfId="15249" priority="5403">
      <formula>$AY4="N.D."</formula>
    </cfRule>
  </conditionalFormatting>
  <conditionalFormatting sqref="AU4">
    <cfRule type="cellIs" dxfId="15248" priority="5401" operator="equal">
      <formula>0</formula>
    </cfRule>
  </conditionalFormatting>
  <conditionalFormatting sqref="AV4">
    <cfRule type="expression" dxfId="15247" priority="5385">
      <formula>$M4="NON DEFINED"</formula>
    </cfRule>
    <cfRule type="expression" dxfId="15246" priority="5386">
      <formula>$AY4="N.D."</formula>
    </cfRule>
  </conditionalFormatting>
  <conditionalFormatting sqref="AV4">
    <cfRule type="cellIs" dxfId="15245" priority="5384" operator="equal">
      <formula>0</formula>
    </cfRule>
  </conditionalFormatting>
  <conditionalFormatting sqref="AW4">
    <cfRule type="expression" dxfId="15244" priority="5368">
      <formula>$M4="NON DEFINED"</formula>
    </cfRule>
    <cfRule type="expression" dxfId="15243" priority="5369">
      <formula>$AY4="N.D."</formula>
    </cfRule>
  </conditionalFormatting>
  <conditionalFormatting sqref="AW4">
    <cfRule type="cellIs" dxfId="15242" priority="5367" operator="equal">
      <formula>0</formula>
    </cfRule>
  </conditionalFormatting>
  <conditionalFormatting sqref="AX4">
    <cfRule type="expression" dxfId="15241" priority="5351">
      <formula>$M4="NON DEFINED"</formula>
    </cfRule>
    <cfRule type="expression" dxfId="15240" priority="5352">
      <formula>$AY4="N.D."</formula>
    </cfRule>
  </conditionalFormatting>
  <conditionalFormatting sqref="AX4">
    <cfRule type="cellIs" dxfId="15239" priority="5350" operator="equal">
      <formula>0</formula>
    </cfRule>
  </conditionalFormatting>
  <conditionalFormatting sqref="F4">
    <cfRule type="expression" dxfId="15238" priority="5334">
      <formula>$M4="NON DEFINED"</formula>
    </cfRule>
    <cfRule type="expression" dxfId="15237" priority="5335">
      <formula>$AY4="N.D."</formula>
    </cfRule>
  </conditionalFormatting>
  <conditionalFormatting sqref="F4">
    <cfRule type="cellIs" dxfId="15236" priority="5333" operator="equal">
      <formula>0</formula>
    </cfRule>
  </conditionalFormatting>
  <conditionalFormatting sqref="Q4">
    <cfRule type="expression" dxfId="15235" priority="5317">
      <formula>$M4="NON DEFINED"</formula>
    </cfRule>
    <cfRule type="expression" dxfId="15234" priority="5318">
      <formula>$AY4="N.D."</formula>
    </cfRule>
  </conditionalFormatting>
  <conditionalFormatting sqref="Q4">
    <cfRule type="cellIs" dxfId="15233" priority="5316" operator="equal">
      <formula>0</formula>
    </cfRule>
  </conditionalFormatting>
  <conditionalFormatting sqref="T4">
    <cfRule type="expression" dxfId="15232" priority="5300">
      <formula>$M4="NON DEFINED"</formula>
    </cfRule>
    <cfRule type="expression" dxfId="15231" priority="5301">
      <formula>$AY4="N.D."</formula>
    </cfRule>
  </conditionalFormatting>
  <conditionalFormatting sqref="T4">
    <cfRule type="cellIs" dxfId="15230" priority="5299" operator="equal">
      <formula>0</formula>
    </cfRule>
  </conditionalFormatting>
  <conditionalFormatting sqref="U4">
    <cfRule type="expression" dxfId="15229" priority="5283">
      <formula>$M4="NON DEFINED"</formula>
    </cfRule>
    <cfRule type="expression" dxfId="15228" priority="5284">
      <formula>$AY4="N.D."</formula>
    </cfRule>
  </conditionalFormatting>
  <conditionalFormatting sqref="U4">
    <cfRule type="cellIs" dxfId="15227" priority="5282" operator="equal">
      <formula>0</formula>
    </cfRule>
  </conditionalFormatting>
  <conditionalFormatting sqref="V4">
    <cfRule type="expression" dxfId="15226" priority="5266">
      <formula>$M4="NON DEFINED"</formula>
    </cfRule>
    <cfRule type="expression" dxfId="15225" priority="5267">
      <formula>$AY4="N.D."</formula>
    </cfRule>
  </conditionalFormatting>
  <conditionalFormatting sqref="V4">
    <cfRule type="cellIs" dxfId="15224" priority="5265" operator="equal">
      <formula>0</formula>
    </cfRule>
  </conditionalFormatting>
  <conditionalFormatting sqref="AF4">
    <cfRule type="expression" dxfId="15223" priority="5249">
      <formula>$M4="NON DEFINED"</formula>
    </cfRule>
    <cfRule type="expression" dxfId="15222" priority="5250">
      <formula>$AY4="N.D."</formula>
    </cfRule>
  </conditionalFormatting>
  <conditionalFormatting sqref="AF4">
    <cfRule type="cellIs" dxfId="15221" priority="5248" operator="equal">
      <formula>0</formula>
    </cfRule>
  </conditionalFormatting>
  <conditionalFormatting sqref="AH4">
    <cfRule type="expression" dxfId="15220" priority="5232">
      <formula>$M4="NON DEFINED"</formula>
    </cfRule>
    <cfRule type="expression" dxfId="15219" priority="5233">
      <formula>$AY4="N.D."</formula>
    </cfRule>
  </conditionalFormatting>
  <conditionalFormatting sqref="AH4">
    <cfRule type="cellIs" dxfId="15218" priority="5231" operator="equal">
      <formula>0</formula>
    </cfRule>
  </conditionalFormatting>
  <conditionalFormatting sqref="AI4">
    <cfRule type="expression" dxfId="15217" priority="5215">
      <formula>$M4="NON DEFINED"</formula>
    </cfRule>
    <cfRule type="expression" dxfId="15216" priority="5216">
      <formula>$AY4="N.D."</formula>
    </cfRule>
  </conditionalFormatting>
  <conditionalFormatting sqref="AI4">
    <cfRule type="cellIs" dxfId="15215" priority="5214" operator="equal">
      <formula>0</formula>
    </cfRule>
  </conditionalFormatting>
  <conditionalFormatting sqref="R4">
    <cfRule type="expression" dxfId="15214" priority="5198">
      <formula>$M4="NON DEFINED"</formula>
    </cfRule>
    <cfRule type="expression" dxfId="15213" priority="5199">
      <formula>$AY4="N.D."</formula>
    </cfRule>
  </conditionalFormatting>
  <conditionalFormatting sqref="R4">
    <cfRule type="cellIs" dxfId="15212" priority="5197" operator="equal">
      <formula>0</formula>
    </cfRule>
  </conditionalFormatting>
  <conditionalFormatting sqref="S4">
    <cfRule type="expression" dxfId="15211" priority="5181">
      <formula>$M4="NON DEFINED"</formula>
    </cfRule>
    <cfRule type="expression" dxfId="15210" priority="5182">
      <formula>$AY4="N.D."</formula>
    </cfRule>
  </conditionalFormatting>
  <conditionalFormatting sqref="S4">
    <cfRule type="cellIs" dxfId="15209" priority="5180" operator="equal">
      <formula>0</formula>
    </cfRule>
  </conditionalFormatting>
  <conditionalFormatting sqref="W4">
    <cfRule type="expression" dxfId="15208" priority="5164">
      <formula>$M4="NON DEFINED"</formula>
    </cfRule>
    <cfRule type="expression" dxfId="15207" priority="5165">
      <formula>$AY4="N.D."</formula>
    </cfRule>
  </conditionalFormatting>
  <conditionalFormatting sqref="W4">
    <cfRule type="cellIs" dxfId="15206" priority="5163" operator="equal">
      <formula>0</formula>
    </cfRule>
  </conditionalFormatting>
  <conditionalFormatting sqref="X4">
    <cfRule type="expression" dxfId="15205" priority="5130">
      <formula>$M4="NON DEFINED"</formula>
    </cfRule>
    <cfRule type="expression" dxfId="15204" priority="5131">
      <formula>$AY4="N.D."</formula>
    </cfRule>
  </conditionalFormatting>
  <conditionalFormatting sqref="X4">
    <cfRule type="cellIs" dxfId="15203" priority="5129" operator="equal">
      <formula>0</formula>
    </cfRule>
  </conditionalFormatting>
  <conditionalFormatting sqref="Y4">
    <cfRule type="expression" dxfId="15202" priority="5113">
      <formula>$M4="NON DEFINED"</formula>
    </cfRule>
    <cfRule type="expression" dxfId="15201" priority="5114">
      <formula>$AY4="N.D."</formula>
    </cfRule>
  </conditionalFormatting>
  <conditionalFormatting sqref="Y4">
    <cfRule type="cellIs" dxfId="15200" priority="5112" operator="equal">
      <formula>0</formula>
    </cfRule>
  </conditionalFormatting>
  <conditionalFormatting sqref="Z4">
    <cfRule type="expression" dxfId="15199" priority="5096">
      <formula>$M4="NON DEFINED"</formula>
    </cfRule>
    <cfRule type="expression" dxfId="15198" priority="5097">
      <formula>$AY4="N.D."</formula>
    </cfRule>
  </conditionalFormatting>
  <conditionalFormatting sqref="Z4">
    <cfRule type="cellIs" dxfId="15197" priority="5095" operator="equal">
      <formula>0</formula>
    </cfRule>
  </conditionalFormatting>
  <conditionalFormatting sqref="AA4">
    <cfRule type="expression" dxfId="15196" priority="5079">
      <formula>$M4="NON DEFINED"</formula>
    </cfRule>
    <cfRule type="expression" dxfId="15195" priority="5080">
      <formula>$AY4="N.D."</formula>
    </cfRule>
  </conditionalFormatting>
  <conditionalFormatting sqref="AA4">
    <cfRule type="cellIs" dxfId="15194" priority="5078" operator="equal">
      <formula>0</formula>
    </cfRule>
  </conditionalFormatting>
  <conditionalFormatting sqref="AB4">
    <cfRule type="expression" dxfId="15193" priority="5062">
      <formula>$M4="NON DEFINED"</formula>
    </cfRule>
    <cfRule type="expression" dxfId="15192" priority="5063">
      <formula>$AY4="N.D."</formula>
    </cfRule>
  </conditionalFormatting>
  <conditionalFormatting sqref="AB4">
    <cfRule type="cellIs" dxfId="15191" priority="5061" operator="equal">
      <formula>0</formula>
    </cfRule>
  </conditionalFormatting>
  <conditionalFormatting sqref="AM21 AO20:AV20 AM23 AM25 AM27 AM29 AM31 G17:K17 N17:AV17 AW22:AX24 AW26:AX28 AW30:AX32 H19:AV19 G18:AV18 G16:AV16 AN21:AV35 G34:AL35 AW35:AX35 H21:AL33 AW16:AX20 AY16:AZ35 B16:F35">
    <cfRule type="expression" dxfId="15190" priority="4543">
      <formula>$M16="NON DEFINED"</formula>
    </cfRule>
    <cfRule type="expression" dxfId="15189" priority="4544">
      <formula>$AZ16="N.D."</formula>
    </cfRule>
    <cfRule type="expression" dxfId="15188" priority="4545">
      <formula>$AY16="N.D."</formula>
    </cfRule>
  </conditionalFormatting>
  <conditionalFormatting sqref="AM21 AO20:AS20 AM23 AM25 AM27 AM29 AM31 B18:E18 H19 H21:H33 AN21:AS35 G34:H35 A19:E35 AW35:AX35 I21:AL35 G16:H18 A16:E17 A16:A18 AY16:AZ35 AT16:AV35 F16:F35 I16:K19 AW16:AX20 N16:AS19">
    <cfRule type="expression" dxfId="15187" priority="4523">
      <formula>$A16="Overhead Cable"</formula>
    </cfRule>
    <cfRule type="expression" dxfId="15186" priority="4524">
      <formula>$A16="Level Crossing"</formula>
    </cfRule>
    <cfRule type="expression" dxfId="15185" priority="4525">
      <formula>$A16="Neutral Section"</formula>
    </cfRule>
    <cfRule type="expression" dxfId="15184" priority="4526">
      <formula>$A16="Tunnel"</formula>
    </cfRule>
    <cfRule type="expression" dxfId="15183" priority="4527">
      <formula>$A16="Bridge"</formula>
    </cfRule>
    <cfRule type="expression" dxfId="15182" priority="4528">
      <formula>$A16="Drainage Works"</formula>
    </cfRule>
    <cfRule type="expression" dxfId="15181" priority="4529">
      <formula>$A16="Underpass"</formula>
    </cfRule>
    <cfRule type="expression" dxfId="15180" priority="4530">
      <formula>$A16="Overcrossing"</formula>
    </cfRule>
    <cfRule type="expression" dxfId="15179" priority="4531">
      <formula>$A16="Overpass"</formula>
    </cfRule>
    <cfRule type="expression" dxfId="15178" priority="4532">
      <formula>$A16="Station"</formula>
    </cfRule>
    <cfRule type="expression" dxfId="15177" priority="4533">
      <formula>$A16="Overlap between sections"</formula>
    </cfRule>
  </conditionalFormatting>
  <conditionalFormatting sqref="AN21:AP35 AO20:AP20 AN16:AP19">
    <cfRule type="cellIs" dxfId="15176" priority="4522" operator="notEqual">
      <formula>5.5</formula>
    </cfRule>
  </conditionalFormatting>
  <conditionalFormatting sqref="B16:B35">
    <cfRule type="expression" dxfId="15175" priority="4521">
      <formula>AND($AH16&gt;2499,$AH16&lt;2901)</formula>
    </cfRule>
  </conditionalFormatting>
  <conditionalFormatting sqref="L16 L18:L19">
    <cfRule type="expression" dxfId="15174" priority="4479">
      <formula>$A16="Overhead Cable"</formula>
    </cfRule>
    <cfRule type="expression" dxfId="15173" priority="4480">
      <formula>$A16="Level Crossing"</formula>
    </cfRule>
    <cfRule type="expression" dxfId="15172" priority="4481">
      <formula>$A16="Neutral Section"</formula>
    </cfRule>
    <cfRule type="expression" dxfId="15171" priority="4482">
      <formula>$A16="Tunnel"</formula>
    </cfRule>
    <cfRule type="expression" dxfId="15170" priority="4483">
      <formula>$A16="Bridge"</formula>
    </cfRule>
    <cfRule type="expression" dxfId="15169" priority="4484">
      <formula>$A16="Drainage Works"</formula>
    </cfRule>
    <cfRule type="expression" dxfId="15168" priority="4485">
      <formula>$A16="Underpass"</formula>
    </cfRule>
    <cfRule type="expression" dxfId="15167" priority="4486">
      <formula>$A16="Overcrossing"</formula>
    </cfRule>
    <cfRule type="expression" dxfId="15166" priority="4487">
      <formula>$A16="Overpass"</formula>
    </cfRule>
    <cfRule type="expression" dxfId="15165" priority="4488">
      <formula>$A16="Station"</formula>
    </cfRule>
    <cfRule type="expression" dxfId="15164" priority="4489">
      <formula>$A16="Overlap between sections"</formula>
    </cfRule>
  </conditionalFormatting>
  <conditionalFormatting sqref="M16 M18:M19">
    <cfRule type="expression" dxfId="15163" priority="4465">
      <formula>$A16="Overhead Cable"</formula>
    </cfRule>
    <cfRule type="expression" dxfId="15162" priority="4466">
      <formula>$A16="Level Crossing"</formula>
    </cfRule>
    <cfRule type="expression" dxfId="15161" priority="4467">
      <formula>$A16="Neutral Section"</formula>
    </cfRule>
    <cfRule type="expression" dxfId="15160" priority="4468">
      <formula>$A16="Tunnel"</formula>
    </cfRule>
    <cfRule type="expression" dxfId="15159" priority="4469">
      <formula>$A16="Bridge"</formula>
    </cfRule>
    <cfRule type="expression" dxfId="15158" priority="4470">
      <formula>$A16="Drainage Works"</formula>
    </cfRule>
    <cfRule type="expression" dxfId="15157" priority="4471">
      <formula>$A16="Underpass"</formula>
    </cfRule>
    <cfRule type="expression" dxfId="15156" priority="4472">
      <formula>$A16="Overcrossing"</formula>
    </cfRule>
    <cfRule type="expression" dxfId="15155" priority="4473">
      <formula>$A16="Overpass"</formula>
    </cfRule>
    <cfRule type="expression" dxfId="15154" priority="4474">
      <formula>$A16="Station"</formula>
    </cfRule>
    <cfRule type="expression" dxfId="15153" priority="4475">
      <formula>$A16="Overlap between sections"</formula>
    </cfRule>
  </conditionalFormatting>
  <conditionalFormatting sqref="AW22:AW24 AW26:AW28 AW30:AW31">
    <cfRule type="expression" dxfId="15152" priority="4269">
      <formula>$A22="Overhead Cable"</formula>
    </cfRule>
    <cfRule type="expression" dxfId="15151" priority="4270">
      <formula>$A22="Level Crossing"</formula>
    </cfRule>
    <cfRule type="expression" dxfId="15150" priority="4271">
      <formula>$A22="Neutral Section"</formula>
    </cfRule>
    <cfRule type="expression" dxfId="15149" priority="4272">
      <formula>$A22="Tunnel"</formula>
    </cfRule>
    <cfRule type="expression" dxfId="15148" priority="4273">
      <formula>$A22="Bridge"</formula>
    </cfRule>
    <cfRule type="expression" dxfId="15147" priority="4274">
      <formula>$A22="Drainage Works"</formula>
    </cfRule>
    <cfRule type="expression" dxfId="15146" priority="4275">
      <formula>$A22="Underpass"</formula>
    </cfRule>
    <cfRule type="expression" dxfId="15145" priority="4276">
      <formula>$A22="Overcrossing"</formula>
    </cfRule>
    <cfRule type="expression" dxfId="15144" priority="4277">
      <formula>$A22="Overpass"</formula>
    </cfRule>
    <cfRule type="expression" dxfId="15143" priority="4278">
      <formula>$A22="Station"</formula>
    </cfRule>
    <cfRule type="expression" dxfId="15142" priority="4279">
      <formula>$A22="Overlap between sections"</formula>
    </cfRule>
  </conditionalFormatting>
  <conditionalFormatting sqref="AX22:AX24 AX26:AX28 AX30:AX31">
    <cfRule type="expression" dxfId="15141" priority="4255">
      <formula>$A22="Overhead Cable"</formula>
    </cfRule>
    <cfRule type="expression" dxfId="15140" priority="4256">
      <formula>$A22="Level Crossing"</formula>
    </cfRule>
    <cfRule type="expression" dxfId="15139" priority="4257">
      <formula>$A22="Neutral Section"</formula>
    </cfRule>
    <cfRule type="expression" dxfId="15138" priority="4258">
      <formula>$A22="Tunnel"</formula>
    </cfRule>
    <cfRule type="expression" dxfId="15137" priority="4259">
      <formula>$A22="Bridge"</formula>
    </cfRule>
    <cfRule type="expression" dxfId="15136" priority="4260">
      <formula>$A22="Drainage Works"</formula>
    </cfRule>
    <cfRule type="expression" dxfId="15135" priority="4261">
      <formula>$A22="Underpass"</formula>
    </cfRule>
    <cfRule type="expression" dxfId="15134" priority="4262">
      <formula>$A22="Overcrossing"</formula>
    </cfRule>
    <cfRule type="expression" dxfId="15133" priority="4263">
      <formula>$A22="Overpass"</formula>
    </cfRule>
    <cfRule type="expression" dxfId="15132" priority="4264">
      <formula>$A22="Station"</formula>
    </cfRule>
    <cfRule type="expression" dxfId="15131" priority="4265">
      <formula>$A22="Overlap between sections"</formula>
    </cfRule>
  </conditionalFormatting>
  <conditionalFormatting sqref="BE5:BE45">
    <cfRule type="containsText" dxfId="15130" priority="4005" operator="containsText" text="a">
      <formula>NOT(ISERROR(SEARCH("a",BE5)))</formula>
    </cfRule>
    <cfRule type="containsText" dxfId="15129" priority="4006" operator="containsText" text="R">
      <formula>NOT(ISERROR(SEARCH("R",BE5)))</formula>
    </cfRule>
  </conditionalFormatting>
  <conditionalFormatting sqref="BA5:BC12">
    <cfRule type="expression" dxfId="15128" priority="4003">
      <formula>$BE5="R"</formula>
    </cfRule>
  </conditionalFormatting>
  <conditionalFormatting sqref="B5:E12 J5:J12 AG5:AG12 AN5:AS12 AY5:BC12 G5:H12">
    <cfRule type="expression" dxfId="15127" priority="4001">
      <formula>$M5="NON DEFINED"</formula>
    </cfRule>
    <cfRule type="expression" dxfId="15126" priority="4002">
      <formula>$AY5="N.D."</formula>
    </cfRule>
  </conditionalFormatting>
  <conditionalFormatting sqref="A5:E12 J5:J12 AG5:AG12 AN5:AS12 AY5:BD12 G5:H12">
    <cfRule type="cellIs" dxfId="15125" priority="4000" operator="equal">
      <formula>0</formula>
    </cfRule>
  </conditionalFormatting>
  <conditionalFormatting sqref="I5:I12">
    <cfRule type="expression" dxfId="15124" priority="3998">
      <formula>$M5="NON DEFINED"</formula>
    </cfRule>
    <cfRule type="expression" dxfId="15123" priority="3999">
      <formula>$AY5="N.D."</formula>
    </cfRule>
  </conditionalFormatting>
  <conditionalFormatting sqref="I5:I12">
    <cfRule type="cellIs" dxfId="15122" priority="3997" operator="equal">
      <formula>0</formula>
    </cfRule>
  </conditionalFormatting>
  <conditionalFormatting sqref="K5:K12">
    <cfRule type="expression" dxfId="15121" priority="3995">
      <formula>$M5="NON DEFINED"</formula>
    </cfRule>
    <cfRule type="expression" dxfId="15120" priority="3996">
      <formula>$AY5="N.D."</formula>
    </cfRule>
  </conditionalFormatting>
  <conditionalFormatting sqref="K5:K12">
    <cfRule type="cellIs" dxfId="15119" priority="3994" operator="equal">
      <formula>0</formula>
    </cfRule>
  </conditionalFormatting>
  <conditionalFormatting sqref="L5:L12">
    <cfRule type="expression" dxfId="15118" priority="3992">
      <formula>$M5="NON DEFINED"</formula>
    </cfRule>
    <cfRule type="expression" dxfId="15117" priority="3993">
      <formula>$AY5="N.D."</formula>
    </cfRule>
  </conditionalFormatting>
  <conditionalFormatting sqref="L5:L12">
    <cfRule type="cellIs" dxfId="15116" priority="3991" operator="equal">
      <formula>0</formula>
    </cfRule>
  </conditionalFormatting>
  <conditionalFormatting sqref="M5:M12">
    <cfRule type="expression" dxfId="15115" priority="3989">
      <formula>$M5="NON DEFINED"</formula>
    </cfRule>
    <cfRule type="expression" dxfId="15114" priority="3990">
      <formula>$AY5="N.D."</formula>
    </cfRule>
  </conditionalFormatting>
  <conditionalFormatting sqref="M5:M12">
    <cfRule type="cellIs" dxfId="15113" priority="3988" operator="equal">
      <formula>0</formula>
    </cfRule>
  </conditionalFormatting>
  <conditionalFormatting sqref="N5:N12">
    <cfRule type="expression" dxfId="15112" priority="3986">
      <formula>$M5="NON DEFINED"</formula>
    </cfRule>
    <cfRule type="expression" dxfId="15111" priority="3987">
      <formula>$AY5="N.D."</formula>
    </cfRule>
  </conditionalFormatting>
  <conditionalFormatting sqref="N5:N12">
    <cfRule type="cellIs" dxfId="15110" priority="3985" operator="equal">
      <formula>0</formula>
    </cfRule>
  </conditionalFormatting>
  <conditionalFormatting sqref="O5:O12">
    <cfRule type="expression" dxfId="15109" priority="3983">
      <formula>$M5="NON DEFINED"</formula>
    </cfRule>
    <cfRule type="expression" dxfId="15108" priority="3984">
      <formula>$AY5="N.D."</formula>
    </cfRule>
  </conditionalFormatting>
  <conditionalFormatting sqref="O5:O12">
    <cfRule type="cellIs" dxfId="15107" priority="3982" operator="equal">
      <formula>0</formula>
    </cfRule>
  </conditionalFormatting>
  <conditionalFormatting sqref="P5:P12">
    <cfRule type="expression" dxfId="15106" priority="3980">
      <formula>$M5="NON DEFINED"</formula>
    </cfRule>
    <cfRule type="expression" dxfId="15105" priority="3981">
      <formula>$AY5="N.D."</formula>
    </cfRule>
  </conditionalFormatting>
  <conditionalFormatting sqref="P5:P12">
    <cfRule type="cellIs" dxfId="15104" priority="3979" operator="equal">
      <formula>0</formula>
    </cfRule>
  </conditionalFormatting>
  <conditionalFormatting sqref="AC5:AC12">
    <cfRule type="expression" dxfId="15103" priority="3977">
      <formula>$M5="NON DEFINED"</formula>
    </cfRule>
    <cfRule type="expression" dxfId="15102" priority="3978">
      <formula>$AY5="N.D."</formula>
    </cfRule>
  </conditionalFormatting>
  <conditionalFormatting sqref="AC5:AC12">
    <cfRule type="cellIs" dxfId="15101" priority="3976" operator="equal">
      <formula>0</formula>
    </cfRule>
  </conditionalFormatting>
  <conditionalFormatting sqref="AD5:AD12">
    <cfRule type="expression" dxfId="15100" priority="3974">
      <formula>$M5="NON DEFINED"</formula>
    </cfRule>
    <cfRule type="expression" dxfId="15099" priority="3975">
      <formula>$AY5="N.D."</formula>
    </cfRule>
  </conditionalFormatting>
  <conditionalFormatting sqref="AD5:AD12">
    <cfRule type="cellIs" dxfId="15098" priority="3973" operator="equal">
      <formula>0</formula>
    </cfRule>
  </conditionalFormatting>
  <conditionalFormatting sqref="AE5:AE12">
    <cfRule type="expression" dxfId="15097" priority="3971">
      <formula>$M5="NON DEFINED"</formula>
    </cfRule>
    <cfRule type="expression" dxfId="15096" priority="3972">
      <formula>$AY5="N.D."</formula>
    </cfRule>
  </conditionalFormatting>
  <conditionalFormatting sqref="AE5:AE12">
    <cfRule type="cellIs" dxfId="15095" priority="3970" operator="equal">
      <formula>0</formula>
    </cfRule>
  </conditionalFormatting>
  <conditionalFormatting sqref="AJ5:AJ12">
    <cfRule type="expression" dxfId="15094" priority="3968">
      <formula>$M5="NON DEFINED"</formula>
    </cfRule>
    <cfRule type="expression" dxfId="15093" priority="3969">
      <formula>$AY5="N.D."</formula>
    </cfRule>
  </conditionalFormatting>
  <conditionalFormatting sqref="AJ5:AJ12">
    <cfRule type="cellIs" dxfId="15092" priority="3967" operator="equal">
      <formula>0</formula>
    </cfRule>
  </conditionalFormatting>
  <conditionalFormatting sqref="AK5:AK12">
    <cfRule type="expression" dxfId="15091" priority="3965">
      <formula>$M5="NON DEFINED"</formula>
    </cfRule>
    <cfRule type="expression" dxfId="15090" priority="3966">
      <formula>$AY5="N.D."</formula>
    </cfRule>
  </conditionalFormatting>
  <conditionalFormatting sqref="AK5:AK12">
    <cfRule type="cellIs" dxfId="15089" priority="3964" operator="equal">
      <formula>0</formula>
    </cfRule>
  </conditionalFormatting>
  <conditionalFormatting sqref="AL5:AL12">
    <cfRule type="expression" dxfId="15088" priority="3962">
      <formula>$M5="NON DEFINED"</formula>
    </cfRule>
    <cfRule type="expression" dxfId="15087" priority="3963">
      <formula>$AY5="N.D."</formula>
    </cfRule>
  </conditionalFormatting>
  <conditionalFormatting sqref="AL5:AL12">
    <cfRule type="cellIs" dxfId="15086" priority="3961" operator="equal">
      <formula>0</formula>
    </cfRule>
  </conditionalFormatting>
  <conditionalFormatting sqref="AM5:AM12">
    <cfRule type="expression" dxfId="15085" priority="3959">
      <formula>$M5="NON DEFINED"</formula>
    </cfRule>
    <cfRule type="expression" dxfId="15084" priority="3960">
      <formula>$AY5="N.D."</formula>
    </cfRule>
  </conditionalFormatting>
  <conditionalFormatting sqref="AM5:AM12">
    <cfRule type="cellIs" dxfId="15083" priority="3958" operator="equal">
      <formula>0</formula>
    </cfRule>
  </conditionalFormatting>
  <conditionalFormatting sqref="AT5:AT12">
    <cfRule type="expression" dxfId="15082" priority="3956">
      <formula>$M5="NON DEFINED"</formula>
    </cfRule>
    <cfRule type="expression" dxfId="15081" priority="3957">
      <formula>$AY5="N.D."</formula>
    </cfRule>
  </conditionalFormatting>
  <conditionalFormatting sqref="AT5:AT12">
    <cfRule type="cellIs" dxfId="15080" priority="3955" operator="equal">
      <formula>0</formula>
    </cfRule>
  </conditionalFormatting>
  <conditionalFormatting sqref="AU5:AU12">
    <cfRule type="expression" dxfId="15079" priority="3953">
      <formula>$M5="NON DEFINED"</formula>
    </cfRule>
    <cfRule type="expression" dxfId="15078" priority="3954">
      <formula>$AY5="N.D."</formula>
    </cfRule>
  </conditionalFormatting>
  <conditionalFormatting sqref="AU5:AU12">
    <cfRule type="cellIs" dxfId="15077" priority="3952" operator="equal">
      <formula>0</formula>
    </cfRule>
  </conditionalFormatting>
  <conditionalFormatting sqref="AV5:AV12">
    <cfRule type="expression" dxfId="15076" priority="3950">
      <formula>$M5="NON DEFINED"</formula>
    </cfRule>
    <cfRule type="expression" dxfId="15075" priority="3951">
      <formula>$AY5="N.D."</formula>
    </cfRule>
  </conditionalFormatting>
  <conditionalFormatting sqref="AV5:AV12">
    <cfRule type="cellIs" dxfId="15074" priority="3949" operator="equal">
      <formula>0</formula>
    </cfRule>
  </conditionalFormatting>
  <conditionalFormatting sqref="AW5:AW12">
    <cfRule type="expression" dxfId="15073" priority="3947">
      <formula>$M5="NON DEFINED"</formula>
    </cfRule>
    <cfRule type="expression" dxfId="15072" priority="3948">
      <formula>$AY5="N.D."</formula>
    </cfRule>
  </conditionalFormatting>
  <conditionalFormatting sqref="AW5:AW12">
    <cfRule type="cellIs" dxfId="15071" priority="3946" operator="equal">
      <formula>0</formula>
    </cfRule>
  </conditionalFormatting>
  <conditionalFormatting sqref="AX5:AX12">
    <cfRule type="expression" dxfId="15070" priority="3944">
      <formula>$M5="NON DEFINED"</formula>
    </cfRule>
    <cfRule type="expression" dxfId="15069" priority="3945">
      <formula>$AY5="N.D."</formula>
    </cfRule>
  </conditionalFormatting>
  <conditionalFormatting sqref="AX5:AX12">
    <cfRule type="cellIs" dxfId="15068" priority="3943" operator="equal">
      <formula>0</formula>
    </cfRule>
  </conditionalFormatting>
  <conditionalFormatting sqref="F5:F12">
    <cfRule type="expression" dxfId="15067" priority="3941">
      <formula>$M5="NON DEFINED"</formula>
    </cfRule>
    <cfRule type="expression" dxfId="15066" priority="3942">
      <formula>$AY5="N.D."</formula>
    </cfRule>
  </conditionalFormatting>
  <conditionalFormatting sqref="F5:F12">
    <cfRule type="cellIs" dxfId="15065" priority="3940" operator="equal">
      <formula>0</formula>
    </cfRule>
  </conditionalFormatting>
  <conditionalFormatting sqref="Q5:Q12">
    <cfRule type="expression" dxfId="15064" priority="3938">
      <formula>$M5="NON DEFINED"</formula>
    </cfRule>
    <cfRule type="expression" dxfId="15063" priority="3939">
      <formula>$AY5="N.D."</formula>
    </cfRule>
  </conditionalFormatting>
  <conditionalFormatting sqref="Q5:Q12">
    <cfRule type="cellIs" dxfId="15062" priority="3937" operator="equal">
      <formula>0</formula>
    </cfRule>
  </conditionalFormatting>
  <conditionalFormatting sqref="T5:T12">
    <cfRule type="expression" dxfId="15061" priority="3935">
      <formula>$M5="NON DEFINED"</formula>
    </cfRule>
    <cfRule type="expression" dxfId="15060" priority="3936">
      <formula>$AY5="N.D."</formula>
    </cfRule>
  </conditionalFormatting>
  <conditionalFormatting sqref="T5:T12">
    <cfRule type="cellIs" dxfId="15059" priority="3934" operator="equal">
      <formula>0</formula>
    </cfRule>
  </conditionalFormatting>
  <conditionalFormatting sqref="U5:U12">
    <cfRule type="expression" dxfId="15058" priority="3932">
      <formula>$M5="NON DEFINED"</formula>
    </cfRule>
    <cfRule type="expression" dxfId="15057" priority="3933">
      <formula>$AY5="N.D."</formula>
    </cfRule>
  </conditionalFormatting>
  <conditionalFormatting sqref="U5:U12">
    <cfRule type="cellIs" dxfId="15056" priority="3931" operator="equal">
      <formula>0</formula>
    </cfRule>
  </conditionalFormatting>
  <conditionalFormatting sqref="V5:V12">
    <cfRule type="expression" dxfId="15055" priority="3929">
      <formula>$M5="NON DEFINED"</formula>
    </cfRule>
    <cfRule type="expression" dxfId="15054" priority="3930">
      <formula>$AY5="N.D."</formula>
    </cfRule>
  </conditionalFormatting>
  <conditionalFormatting sqref="V5:V12">
    <cfRule type="cellIs" dxfId="15053" priority="3928" operator="equal">
      <formula>0</formula>
    </cfRule>
  </conditionalFormatting>
  <conditionalFormatting sqref="AF5:AF12">
    <cfRule type="expression" dxfId="15052" priority="3926">
      <formula>$M5="NON DEFINED"</formula>
    </cfRule>
    <cfRule type="expression" dxfId="15051" priority="3927">
      <formula>$AY5="N.D."</formula>
    </cfRule>
  </conditionalFormatting>
  <conditionalFormatting sqref="AF5:AF12">
    <cfRule type="cellIs" dxfId="15050" priority="3925" operator="equal">
      <formula>0</formula>
    </cfRule>
  </conditionalFormatting>
  <conditionalFormatting sqref="AH5:AH12">
    <cfRule type="expression" dxfId="15049" priority="3923">
      <formula>$M5="NON DEFINED"</formula>
    </cfRule>
    <cfRule type="expression" dxfId="15048" priority="3924">
      <formula>$AY5="N.D."</formula>
    </cfRule>
  </conditionalFormatting>
  <conditionalFormatting sqref="AH5:AH12">
    <cfRule type="cellIs" dxfId="15047" priority="3922" operator="equal">
      <formula>0</formula>
    </cfRule>
  </conditionalFormatting>
  <conditionalFormatting sqref="AI5:AI12">
    <cfRule type="expression" dxfId="15046" priority="3920">
      <formula>$M5="NON DEFINED"</formula>
    </cfRule>
    <cfRule type="expression" dxfId="15045" priority="3921">
      <formula>$AY5="N.D."</formula>
    </cfRule>
  </conditionalFormatting>
  <conditionalFormatting sqref="AI5:AI12">
    <cfRule type="cellIs" dxfId="15044" priority="3919" operator="equal">
      <formula>0</formula>
    </cfRule>
  </conditionalFormatting>
  <conditionalFormatting sqref="R5:R12">
    <cfRule type="expression" dxfId="15043" priority="3917">
      <formula>$M5="NON DEFINED"</formula>
    </cfRule>
    <cfRule type="expression" dxfId="15042" priority="3918">
      <formula>$AY5="N.D."</formula>
    </cfRule>
  </conditionalFormatting>
  <conditionalFormatting sqref="R5:R12">
    <cfRule type="cellIs" dxfId="15041" priority="3916" operator="equal">
      <formula>0</formula>
    </cfRule>
  </conditionalFormatting>
  <conditionalFormatting sqref="S5:S12">
    <cfRule type="expression" dxfId="15040" priority="3914">
      <formula>$M5="NON DEFINED"</formula>
    </cfRule>
    <cfRule type="expression" dxfId="15039" priority="3915">
      <formula>$AY5="N.D."</formula>
    </cfRule>
  </conditionalFormatting>
  <conditionalFormatting sqref="S5:S12">
    <cfRule type="cellIs" dxfId="15038" priority="3913" operator="equal">
      <formula>0</formula>
    </cfRule>
  </conditionalFormatting>
  <conditionalFormatting sqref="W5:W12">
    <cfRule type="expression" dxfId="15037" priority="3911">
      <formula>$M5="NON DEFINED"</formula>
    </cfRule>
    <cfRule type="expression" dxfId="15036" priority="3912">
      <formula>$AY5="N.D."</formula>
    </cfRule>
  </conditionalFormatting>
  <conditionalFormatting sqref="W5:W12">
    <cfRule type="cellIs" dxfId="15035" priority="3910" operator="equal">
      <formula>0</formula>
    </cfRule>
  </conditionalFormatting>
  <conditionalFormatting sqref="X5:X12">
    <cfRule type="expression" dxfId="15034" priority="3908">
      <formula>$M5="NON DEFINED"</formula>
    </cfRule>
    <cfRule type="expression" dxfId="15033" priority="3909">
      <formula>$AY5="N.D."</formula>
    </cfRule>
  </conditionalFormatting>
  <conditionalFormatting sqref="X5:X12">
    <cfRule type="cellIs" dxfId="15032" priority="3907" operator="equal">
      <formula>0</formula>
    </cfRule>
  </conditionalFormatting>
  <conditionalFormatting sqref="Y5:Y12">
    <cfRule type="expression" dxfId="15031" priority="3905">
      <formula>$M5="NON DEFINED"</formula>
    </cfRule>
    <cfRule type="expression" dxfId="15030" priority="3906">
      <formula>$AY5="N.D."</formula>
    </cfRule>
  </conditionalFormatting>
  <conditionalFormatting sqref="Y5:Y12">
    <cfRule type="cellIs" dxfId="15029" priority="3904" operator="equal">
      <formula>0</formula>
    </cfRule>
  </conditionalFormatting>
  <conditionalFormatting sqref="Z5:Z12">
    <cfRule type="expression" dxfId="15028" priority="3902">
      <formula>$M5="NON DEFINED"</formula>
    </cfRule>
    <cfRule type="expression" dxfId="15027" priority="3903">
      <formula>$AY5="N.D."</formula>
    </cfRule>
  </conditionalFormatting>
  <conditionalFormatting sqref="Z5:Z12">
    <cfRule type="cellIs" dxfId="15026" priority="3901" operator="equal">
      <formula>0</formula>
    </cfRule>
  </conditionalFormatting>
  <conditionalFormatting sqref="AA5:AA12">
    <cfRule type="expression" dxfId="15025" priority="3899">
      <formula>$M5="NON DEFINED"</formula>
    </cfRule>
    <cfRule type="expression" dxfId="15024" priority="3900">
      <formula>$AY5="N.D."</formula>
    </cfRule>
  </conditionalFormatting>
  <conditionalFormatting sqref="AA5:AA12">
    <cfRule type="cellIs" dxfId="15023" priority="3898" operator="equal">
      <formula>0</formula>
    </cfRule>
  </conditionalFormatting>
  <conditionalFormatting sqref="AB5:AB12">
    <cfRule type="expression" dxfId="15022" priority="3896">
      <formula>$M5="NON DEFINED"</formula>
    </cfRule>
    <cfRule type="expression" dxfId="15021" priority="3897">
      <formula>$AY5="N.D."</formula>
    </cfRule>
  </conditionalFormatting>
  <conditionalFormatting sqref="AB5:AB12">
    <cfRule type="cellIs" dxfId="15020" priority="3895" operator="equal">
      <formula>0</formula>
    </cfRule>
  </conditionalFormatting>
  <conditionalFormatting sqref="BD19 BD21 BD23 BD25 BD27 BD29 BD31:BD33 BD35 BD16:BD17">
    <cfRule type="containsText" dxfId="15019" priority="3785" operator="containsText" text="Poner a mano">
      <formula>NOT(ISERROR(SEARCH("Poner a mano",BD16)))</formula>
    </cfRule>
  </conditionalFormatting>
  <conditionalFormatting sqref="AW32">
    <cfRule type="expression" dxfId="15018" priority="3768">
      <formula>$A32="Overhead Cable"</formula>
    </cfRule>
    <cfRule type="expression" dxfId="15017" priority="3769">
      <formula>$A32="Level Crossing"</formula>
    </cfRule>
    <cfRule type="expression" dxfId="15016" priority="3770">
      <formula>$A32="Neutral Section"</formula>
    </cfRule>
    <cfRule type="expression" dxfId="15015" priority="3771">
      <formula>$A32="Tunnel"</formula>
    </cfRule>
    <cfRule type="expression" dxfId="15014" priority="3772">
      <formula>$A32="Bridge"</formula>
    </cfRule>
    <cfRule type="expression" dxfId="15013" priority="3773">
      <formula>$A32="Drainage Works"</formula>
    </cfRule>
    <cfRule type="expression" dxfId="15012" priority="3774">
      <formula>$A32="Underpass"</formula>
    </cfRule>
    <cfRule type="expression" dxfId="15011" priority="3775">
      <formula>$A32="Overcrossing"</formula>
    </cfRule>
    <cfRule type="expression" dxfId="15010" priority="3776">
      <formula>$A32="Overpass"</formula>
    </cfRule>
    <cfRule type="expression" dxfId="15009" priority="3777">
      <formula>$A32="Station"</formula>
    </cfRule>
    <cfRule type="expression" dxfId="15008" priority="3778">
      <formula>$A32="Overlap between sections"</formula>
    </cfRule>
  </conditionalFormatting>
  <conditionalFormatting sqref="AX32">
    <cfRule type="expression" dxfId="15007" priority="3754">
      <formula>$A32="Overhead Cable"</formula>
    </cfRule>
    <cfRule type="expression" dxfId="15006" priority="3755">
      <formula>$A32="Level Crossing"</formula>
    </cfRule>
    <cfRule type="expression" dxfId="15005" priority="3756">
      <formula>$A32="Neutral Section"</formula>
    </cfRule>
    <cfRule type="expression" dxfId="15004" priority="3757">
      <formula>$A32="Tunnel"</formula>
    </cfRule>
    <cfRule type="expression" dxfId="15003" priority="3758">
      <formula>$A32="Bridge"</formula>
    </cfRule>
    <cfRule type="expression" dxfId="15002" priority="3759">
      <formula>$A32="Drainage Works"</formula>
    </cfRule>
    <cfRule type="expression" dxfId="15001" priority="3760">
      <formula>$A32="Underpass"</formula>
    </cfRule>
    <cfRule type="expression" dxfId="15000" priority="3761">
      <formula>$A32="Overcrossing"</formula>
    </cfRule>
    <cfRule type="expression" dxfId="14999" priority="3762">
      <formula>$A32="Overpass"</formula>
    </cfRule>
    <cfRule type="expression" dxfId="14998" priority="3763">
      <formula>$A32="Station"</formula>
    </cfRule>
    <cfRule type="expression" dxfId="14997" priority="3764">
      <formula>$A32="Overlap between sections"</formula>
    </cfRule>
  </conditionalFormatting>
  <conditionalFormatting sqref="BA16:BC35">
    <cfRule type="expression" dxfId="14996" priority="3612">
      <formula>$BE16="A"</formula>
    </cfRule>
    <cfRule type="expression" dxfId="14995" priority="3613">
      <formula>$BE16="R"</formula>
    </cfRule>
  </conditionalFormatting>
  <conditionalFormatting sqref="BC16:BC35">
    <cfRule type="expression" dxfId="14994" priority="3611">
      <formula>$M16="U.S. N.D."</formula>
    </cfRule>
  </conditionalFormatting>
  <conditionalFormatting sqref="BB16:BB35">
    <cfRule type="expression" dxfId="14993" priority="3609">
      <formula>$AZ16="N.D."</formula>
    </cfRule>
  </conditionalFormatting>
  <conditionalFormatting sqref="BA16:BA35">
    <cfRule type="expression" dxfId="14992" priority="3610">
      <formula>$AY16="N.D."</formula>
    </cfRule>
  </conditionalFormatting>
  <conditionalFormatting sqref="AM33 AM35">
    <cfRule type="expression" dxfId="14991" priority="2923">
      <formula>$M31="NON DEFINED"</formula>
    </cfRule>
    <cfRule type="expression" dxfId="14990" priority="2924">
      <formula>$AZ31="N.D."</formula>
    </cfRule>
    <cfRule type="expression" dxfId="14989" priority="2925">
      <formula>$AY31="N.D."</formula>
    </cfRule>
  </conditionalFormatting>
  <conditionalFormatting sqref="AM33 AM35">
    <cfRule type="expression" dxfId="14988" priority="2926">
      <formula>$A31="Overhead Cable"</formula>
    </cfRule>
    <cfRule type="expression" dxfId="14987" priority="2927">
      <formula>$A31="Level Crossing"</formula>
    </cfRule>
    <cfRule type="expression" dxfId="14986" priority="2928">
      <formula>$A31="Neutral Section"</formula>
    </cfRule>
    <cfRule type="expression" dxfId="14985" priority="2929">
      <formula>$A31="Tunnel"</formula>
    </cfRule>
    <cfRule type="expression" dxfId="14984" priority="2930">
      <formula>$A31="Bridge"</formula>
    </cfRule>
    <cfRule type="expression" dxfId="14983" priority="2931">
      <formula>$A31="Drainage Works"</formula>
    </cfRule>
    <cfRule type="expression" dxfId="14982" priority="2932">
      <formula>$A31="Underpass"</formula>
    </cfRule>
    <cfRule type="expression" dxfId="14981" priority="2933">
      <formula>$A31="Overcrossing"</formula>
    </cfRule>
    <cfRule type="expression" dxfId="14980" priority="2934">
      <formula>$A31="Overpass"</formula>
    </cfRule>
    <cfRule type="expression" dxfId="14979" priority="2935">
      <formula>$A31="Station"</formula>
    </cfRule>
    <cfRule type="expression" dxfId="14978" priority="2936">
      <formula>$A31="Overlap between sections"</formula>
    </cfRule>
  </conditionalFormatting>
  <conditionalFormatting sqref="H20:K20 M20:AK20 AN20">
    <cfRule type="expression" dxfId="14977" priority="2447">
      <formula>$M20="NON DEFINED"</formula>
    </cfRule>
    <cfRule type="expression" dxfId="14976" priority="2448">
      <formula>$AZ20="N.D."</formula>
    </cfRule>
    <cfRule type="expression" dxfId="14975" priority="2449">
      <formula>$AY20="N.D."</formula>
    </cfRule>
  </conditionalFormatting>
  <conditionalFormatting sqref="J20 AG20 H20 AN20">
    <cfRule type="expression" dxfId="14974" priority="2436">
      <formula>$A20="Overhead Cable"</formula>
    </cfRule>
    <cfRule type="expression" dxfId="14973" priority="2437">
      <formula>$A20="Level Crossing"</formula>
    </cfRule>
    <cfRule type="expression" dxfId="14972" priority="2438">
      <formula>$A20="Neutral Section"</formula>
    </cfRule>
    <cfRule type="expression" dxfId="14971" priority="2439">
      <formula>$A20="Tunnel"</formula>
    </cfRule>
    <cfRule type="expression" dxfId="14970" priority="2440">
      <formula>$A20="Bridge"</formula>
    </cfRule>
    <cfRule type="expression" dxfId="14969" priority="2441">
      <formula>$A20="Drainage Works"</formula>
    </cfRule>
    <cfRule type="expression" dxfId="14968" priority="2442">
      <formula>$A20="Underpass"</formula>
    </cfRule>
    <cfRule type="expression" dxfId="14967" priority="2443">
      <formula>$A20="Overcrossing"</formula>
    </cfRule>
    <cfRule type="expression" dxfId="14966" priority="2444">
      <formula>$A20="Overpass"</formula>
    </cfRule>
    <cfRule type="expression" dxfId="14965" priority="2445">
      <formula>$A20="Station"</formula>
    </cfRule>
    <cfRule type="expression" dxfId="14964" priority="2446">
      <formula>$A20="Overlap between sections"</formula>
    </cfRule>
  </conditionalFormatting>
  <conditionalFormatting sqref="AN20">
    <cfRule type="cellIs" dxfId="14963" priority="2435" operator="notEqual">
      <formula>5.5</formula>
    </cfRule>
  </conditionalFormatting>
  <conditionalFormatting sqref="I20">
    <cfRule type="expression" dxfId="14962" priority="2424">
      <formula>$A20="Overhead Cable"</formula>
    </cfRule>
    <cfRule type="expression" dxfId="14961" priority="2425">
      <formula>$A20="Level Crossing"</formula>
    </cfRule>
    <cfRule type="expression" dxfId="14960" priority="2426">
      <formula>$A20="Neutral Section"</formula>
    </cfRule>
    <cfRule type="expression" dxfId="14959" priority="2427">
      <formula>$A20="Tunnel"</formula>
    </cfRule>
    <cfRule type="expression" dxfId="14958" priority="2428">
      <formula>$A20="Bridge"</formula>
    </cfRule>
    <cfRule type="expression" dxfId="14957" priority="2429">
      <formula>$A20="Drainage Works"</formula>
    </cfRule>
    <cfRule type="expression" dxfId="14956" priority="2430">
      <formula>$A20="Underpass"</formula>
    </cfRule>
    <cfRule type="expression" dxfId="14955" priority="2431">
      <formula>$A20="Overcrossing"</formula>
    </cfRule>
    <cfRule type="expression" dxfId="14954" priority="2432">
      <formula>$A20="Overpass"</formula>
    </cfRule>
    <cfRule type="expression" dxfId="14953" priority="2433">
      <formula>$A20="Station"</formula>
    </cfRule>
    <cfRule type="expression" dxfId="14952" priority="2434">
      <formula>$A20="Overlap between sections"</formula>
    </cfRule>
  </conditionalFormatting>
  <conditionalFormatting sqref="K20">
    <cfRule type="expression" dxfId="14951" priority="2413">
      <formula>$A20="Overhead Cable"</formula>
    </cfRule>
    <cfRule type="expression" dxfId="14950" priority="2414">
      <formula>$A20="Level Crossing"</formula>
    </cfRule>
    <cfRule type="expression" dxfId="14949" priority="2415">
      <formula>$A20="Neutral Section"</formula>
    </cfRule>
    <cfRule type="expression" dxfId="14948" priority="2416">
      <formula>$A20="Tunnel"</formula>
    </cfRule>
    <cfRule type="expression" dxfId="14947" priority="2417">
      <formula>$A20="Bridge"</formula>
    </cfRule>
    <cfRule type="expression" dxfId="14946" priority="2418">
      <formula>$A20="Drainage Works"</formula>
    </cfRule>
    <cfRule type="expression" dxfId="14945" priority="2419">
      <formula>$A20="Underpass"</formula>
    </cfRule>
    <cfRule type="expression" dxfId="14944" priority="2420">
      <formula>$A20="Overcrossing"</formula>
    </cfRule>
    <cfRule type="expression" dxfId="14943" priority="2421">
      <formula>$A20="Overpass"</formula>
    </cfRule>
    <cfRule type="expression" dxfId="14942" priority="2422">
      <formula>$A20="Station"</formula>
    </cfRule>
    <cfRule type="expression" dxfId="14941" priority="2423">
      <formula>$A20="Overlap between sections"</formula>
    </cfRule>
  </conditionalFormatting>
  <conditionalFormatting sqref="M20">
    <cfRule type="expression" dxfId="14940" priority="2391">
      <formula>$A20="Overhead Cable"</formula>
    </cfRule>
    <cfRule type="expression" dxfId="14939" priority="2392">
      <formula>$A20="Level Crossing"</formula>
    </cfRule>
    <cfRule type="expression" dxfId="14938" priority="2393">
      <formula>$A20="Neutral Section"</formula>
    </cfRule>
    <cfRule type="expression" dxfId="14937" priority="2394">
      <formula>$A20="Tunnel"</formula>
    </cfRule>
    <cfRule type="expression" dxfId="14936" priority="2395">
      <formula>$A20="Bridge"</formula>
    </cfRule>
    <cfRule type="expression" dxfId="14935" priority="2396">
      <formula>$A20="Drainage Works"</formula>
    </cfRule>
    <cfRule type="expression" dxfId="14934" priority="2397">
      <formula>$A20="Underpass"</formula>
    </cfRule>
    <cfRule type="expression" dxfId="14933" priority="2398">
      <formula>$A20="Overcrossing"</formula>
    </cfRule>
    <cfRule type="expression" dxfId="14932" priority="2399">
      <formula>$A20="Overpass"</formula>
    </cfRule>
    <cfRule type="expression" dxfId="14931" priority="2400">
      <formula>$A20="Station"</formula>
    </cfRule>
    <cfRule type="expression" dxfId="14930" priority="2401">
      <formula>$A20="Overlap between sections"</formula>
    </cfRule>
  </conditionalFormatting>
  <conditionalFormatting sqref="N20">
    <cfRule type="expression" dxfId="14929" priority="2380">
      <formula>$A20="Overhead Cable"</formula>
    </cfRule>
    <cfRule type="expression" dxfId="14928" priority="2381">
      <formula>$A20="Level Crossing"</formula>
    </cfRule>
    <cfRule type="expression" dxfId="14927" priority="2382">
      <formula>$A20="Neutral Section"</formula>
    </cfRule>
    <cfRule type="expression" dxfId="14926" priority="2383">
      <formula>$A20="Tunnel"</formula>
    </cfRule>
    <cfRule type="expression" dxfId="14925" priority="2384">
      <formula>$A20="Bridge"</formula>
    </cfRule>
    <cfRule type="expression" dxfId="14924" priority="2385">
      <formula>$A20="Drainage Works"</formula>
    </cfRule>
    <cfRule type="expression" dxfId="14923" priority="2386">
      <formula>$A20="Underpass"</formula>
    </cfRule>
    <cfRule type="expression" dxfId="14922" priority="2387">
      <formula>$A20="Overcrossing"</formula>
    </cfRule>
    <cfRule type="expression" dxfId="14921" priority="2388">
      <formula>$A20="Overpass"</formula>
    </cfRule>
    <cfRule type="expression" dxfId="14920" priority="2389">
      <formula>$A20="Station"</formula>
    </cfRule>
    <cfRule type="expression" dxfId="14919" priority="2390">
      <formula>$A20="Overlap between sections"</formula>
    </cfRule>
  </conditionalFormatting>
  <conditionalFormatting sqref="O20">
    <cfRule type="expression" dxfId="14918" priority="2369">
      <formula>$A20="Overhead Cable"</formula>
    </cfRule>
    <cfRule type="expression" dxfId="14917" priority="2370">
      <formula>$A20="Level Crossing"</formula>
    </cfRule>
    <cfRule type="expression" dxfId="14916" priority="2371">
      <formula>$A20="Neutral Section"</formula>
    </cfRule>
    <cfRule type="expression" dxfId="14915" priority="2372">
      <formula>$A20="Tunnel"</formula>
    </cfRule>
    <cfRule type="expression" dxfId="14914" priority="2373">
      <formula>$A20="Bridge"</formula>
    </cfRule>
    <cfRule type="expression" dxfId="14913" priority="2374">
      <formula>$A20="Drainage Works"</formula>
    </cfRule>
    <cfRule type="expression" dxfId="14912" priority="2375">
      <formula>$A20="Underpass"</formula>
    </cfRule>
    <cfRule type="expression" dxfId="14911" priority="2376">
      <formula>$A20="Overcrossing"</formula>
    </cfRule>
    <cfRule type="expression" dxfId="14910" priority="2377">
      <formula>$A20="Overpass"</formula>
    </cfRule>
    <cfRule type="expression" dxfId="14909" priority="2378">
      <formula>$A20="Station"</formula>
    </cfRule>
    <cfRule type="expression" dxfId="14908" priority="2379">
      <formula>$A20="Overlap between sections"</formula>
    </cfRule>
  </conditionalFormatting>
  <conditionalFormatting sqref="P20">
    <cfRule type="expression" dxfId="14907" priority="2358">
      <formula>$A20="Overhead Cable"</formula>
    </cfRule>
    <cfRule type="expression" dxfId="14906" priority="2359">
      <formula>$A20="Level Crossing"</formula>
    </cfRule>
    <cfRule type="expression" dxfId="14905" priority="2360">
      <formula>$A20="Neutral Section"</formula>
    </cfRule>
    <cfRule type="expression" dxfId="14904" priority="2361">
      <formula>$A20="Tunnel"</formula>
    </cfRule>
    <cfRule type="expression" dxfId="14903" priority="2362">
      <formula>$A20="Bridge"</formula>
    </cfRule>
    <cfRule type="expression" dxfId="14902" priority="2363">
      <formula>$A20="Drainage Works"</formula>
    </cfRule>
    <cfRule type="expression" dxfId="14901" priority="2364">
      <formula>$A20="Underpass"</formula>
    </cfRule>
    <cfRule type="expression" dxfId="14900" priority="2365">
      <formula>$A20="Overcrossing"</formula>
    </cfRule>
    <cfRule type="expression" dxfId="14899" priority="2366">
      <formula>$A20="Overpass"</formula>
    </cfRule>
    <cfRule type="expression" dxfId="14898" priority="2367">
      <formula>$A20="Station"</formula>
    </cfRule>
    <cfRule type="expression" dxfId="14897" priority="2368">
      <formula>$A20="Overlap between sections"</formula>
    </cfRule>
  </conditionalFormatting>
  <conditionalFormatting sqref="AC20">
    <cfRule type="expression" dxfId="14896" priority="2347">
      <formula>$A20="Overhead Cable"</formula>
    </cfRule>
    <cfRule type="expression" dxfId="14895" priority="2348">
      <formula>$A20="Level Crossing"</formula>
    </cfRule>
    <cfRule type="expression" dxfId="14894" priority="2349">
      <formula>$A20="Neutral Section"</formula>
    </cfRule>
    <cfRule type="expression" dxfId="14893" priority="2350">
      <formula>$A20="Tunnel"</formula>
    </cfRule>
    <cfRule type="expression" dxfId="14892" priority="2351">
      <formula>$A20="Bridge"</formula>
    </cfRule>
    <cfRule type="expression" dxfId="14891" priority="2352">
      <formula>$A20="Drainage Works"</formula>
    </cfRule>
    <cfRule type="expression" dxfId="14890" priority="2353">
      <formula>$A20="Underpass"</formula>
    </cfRule>
    <cfRule type="expression" dxfId="14889" priority="2354">
      <formula>$A20="Overcrossing"</formula>
    </cfRule>
    <cfRule type="expression" dxfId="14888" priority="2355">
      <formula>$A20="Overpass"</formula>
    </cfRule>
    <cfRule type="expression" dxfId="14887" priority="2356">
      <formula>$A20="Station"</formula>
    </cfRule>
    <cfRule type="expression" dxfId="14886" priority="2357">
      <formula>$A20="Overlap between sections"</formula>
    </cfRule>
  </conditionalFormatting>
  <conditionalFormatting sqref="AD20">
    <cfRule type="expression" dxfId="14885" priority="2336">
      <formula>$A20="Overhead Cable"</formula>
    </cfRule>
    <cfRule type="expression" dxfId="14884" priority="2337">
      <formula>$A20="Level Crossing"</formula>
    </cfRule>
    <cfRule type="expression" dxfId="14883" priority="2338">
      <formula>$A20="Neutral Section"</formula>
    </cfRule>
    <cfRule type="expression" dxfId="14882" priority="2339">
      <formula>$A20="Tunnel"</formula>
    </cfRule>
    <cfRule type="expression" dxfId="14881" priority="2340">
      <formula>$A20="Bridge"</formula>
    </cfRule>
    <cfRule type="expression" dxfId="14880" priority="2341">
      <formula>$A20="Drainage Works"</formula>
    </cfRule>
    <cfRule type="expression" dxfId="14879" priority="2342">
      <formula>$A20="Underpass"</formula>
    </cfRule>
    <cfRule type="expression" dxfId="14878" priority="2343">
      <formula>$A20="Overcrossing"</formula>
    </cfRule>
    <cfRule type="expression" dxfId="14877" priority="2344">
      <formula>$A20="Overpass"</formula>
    </cfRule>
    <cfRule type="expression" dxfId="14876" priority="2345">
      <formula>$A20="Station"</formula>
    </cfRule>
    <cfRule type="expression" dxfId="14875" priority="2346">
      <formula>$A20="Overlap between sections"</formula>
    </cfRule>
  </conditionalFormatting>
  <conditionalFormatting sqref="AE20">
    <cfRule type="expression" dxfId="14874" priority="2325">
      <formula>$A20="Overhead Cable"</formula>
    </cfRule>
    <cfRule type="expression" dxfId="14873" priority="2326">
      <formula>$A20="Level Crossing"</formula>
    </cfRule>
    <cfRule type="expression" dxfId="14872" priority="2327">
      <formula>$A20="Neutral Section"</formula>
    </cfRule>
    <cfRule type="expression" dxfId="14871" priority="2328">
      <formula>$A20="Tunnel"</formula>
    </cfRule>
    <cfRule type="expression" dxfId="14870" priority="2329">
      <formula>$A20="Bridge"</formula>
    </cfRule>
    <cfRule type="expression" dxfId="14869" priority="2330">
      <formula>$A20="Drainage Works"</formula>
    </cfRule>
    <cfRule type="expression" dxfId="14868" priority="2331">
      <formula>$A20="Underpass"</formula>
    </cfRule>
    <cfRule type="expression" dxfId="14867" priority="2332">
      <formula>$A20="Overcrossing"</formula>
    </cfRule>
    <cfRule type="expression" dxfId="14866" priority="2333">
      <formula>$A20="Overpass"</formula>
    </cfRule>
    <cfRule type="expression" dxfId="14865" priority="2334">
      <formula>$A20="Station"</formula>
    </cfRule>
    <cfRule type="expression" dxfId="14864" priority="2335">
      <formula>$A20="Overlap between sections"</formula>
    </cfRule>
  </conditionalFormatting>
  <conditionalFormatting sqref="AJ20">
    <cfRule type="expression" dxfId="14863" priority="2314">
      <formula>$A20="Overhead Cable"</formula>
    </cfRule>
    <cfRule type="expression" dxfId="14862" priority="2315">
      <formula>$A20="Level Crossing"</formula>
    </cfRule>
    <cfRule type="expression" dxfId="14861" priority="2316">
      <formula>$A20="Neutral Section"</formula>
    </cfRule>
    <cfRule type="expression" dxfId="14860" priority="2317">
      <formula>$A20="Tunnel"</formula>
    </cfRule>
    <cfRule type="expression" dxfId="14859" priority="2318">
      <formula>$A20="Bridge"</formula>
    </cfRule>
    <cfRule type="expression" dxfId="14858" priority="2319">
      <formula>$A20="Drainage Works"</formula>
    </cfRule>
    <cfRule type="expression" dxfId="14857" priority="2320">
      <formula>$A20="Underpass"</formula>
    </cfRule>
    <cfRule type="expression" dxfId="14856" priority="2321">
      <formula>$A20="Overcrossing"</formula>
    </cfRule>
    <cfRule type="expression" dxfId="14855" priority="2322">
      <formula>$A20="Overpass"</formula>
    </cfRule>
    <cfRule type="expression" dxfId="14854" priority="2323">
      <formula>$A20="Station"</formula>
    </cfRule>
    <cfRule type="expression" dxfId="14853" priority="2324">
      <formula>$A20="Overlap between sections"</formula>
    </cfRule>
  </conditionalFormatting>
  <conditionalFormatting sqref="AK20">
    <cfRule type="expression" dxfId="14852" priority="2303">
      <formula>$A20="Overhead Cable"</formula>
    </cfRule>
    <cfRule type="expression" dxfId="14851" priority="2304">
      <formula>$A20="Level Crossing"</formula>
    </cfRule>
    <cfRule type="expression" dxfId="14850" priority="2305">
      <formula>$A20="Neutral Section"</formula>
    </cfRule>
    <cfRule type="expression" dxfId="14849" priority="2306">
      <formula>$A20="Tunnel"</formula>
    </cfRule>
    <cfRule type="expression" dxfId="14848" priority="2307">
      <formula>$A20="Bridge"</formula>
    </cfRule>
    <cfRule type="expression" dxfId="14847" priority="2308">
      <formula>$A20="Drainage Works"</formula>
    </cfRule>
    <cfRule type="expression" dxfId="14846" priority="2309">
      <formula>$A20="Underpass"</formula>
    </cfRule>
    <cfRule type="expression" dxfId="14845" priority="2310">
      <formula>$A20="Overcrossing"</formula>
    </cfRule>
    <cfRule type="expression" dxfId="14844" priority="2311">
      <formula>$A20="Overpass"</formula>
    </cfRule>
    <cfRule type="expression" dxfId="14843" priority="2312">
      <formula>$A20="Station"</formula>
    </cfRule>
    <cfRule type="expression" dxfId="14842" priority="2313">
      <formula>$A20="Overlap between sections"</formula>
    </cfRule>
  </conditionalFormatting>
  <conditionalFormatting sqref="Q20">
    <cfRule type="expression" dxfId="14841" priority="2281">
      <formula>$A20="Overhead Cable"</formula>
    </cfRule>
    <cfRule type="expression" dxfId="14840" priority="2282">
      <formula>$A20="Level Crossing"</formula>
    </cfRule>
    <cfRule type="expression" dxfId="14839" priority="2283">
      <formula>$A20="Neutral Section"</formula>
    </cfRule>
    <cfRule type="expression" dxfId="14838" priority="2284">
      <formula>$A20="Tunnel"</formula>
    </cfRule>
    <cfRule type="expression" dxfId="14837" priority="2285">
      <formula>$A20="Bridge"</formula>
    </cfRule>
    <cfRule type="expression" dxfId="14836" priority="2286">
      <formula>$A20="Drainage Works"</formula>
    </cfRule>
    <cfRule type="expression" dxfId="14835" priority="2287">
      <formula>$A20="Underpass"</formula>
    </cfRule>
    <cfRule type="expression" dxfId="14834" priority="2288">
      <formula>$A20="Overcrossing"</formula>
    </cfRule>
    <cfRule type="expression" dxfId="14833" priority="2289">
      <formula>$A20="Overpass"</formula>
    </cfRule>
    <cfRule type="expression" dxfId="14832" priority="2290">
      <formula>$A20="Station"</formula>
    </cfRule>
    <cfRule type="expression" dxfId="14831" priority="2291">
      <formula>$A20="Overlap between sections"</formula>
    </cfRule>
  </conditionalFormatting>
  <conditionalFormatting sqref="T20">
    <cfRule type="expression" dxfId="14830" priority="2270">
      <formula>$A20="Overhead Cable"</formula>
    </cfRule>
    <cfRule type="expression" dxfId="14829" priority="2271">
      <formula>$A20="Level Crossing"</formula>
    </cfRule>
    <cfRule type="expression" dxfId="14828" priority="2272">
      <formula>$A20="Neutral Section"</formula>
    </cfRule>
    <cfRule type="expression" dxfId="14827" priority="2273">
      <formula>$A20="Tunnel"</formula>
    </cfRule>
    <cfRule type="expression" dxfId="14826" priority="2274">
      <formula>$A20="Bridge"</formula>
    </cfRule>
    <cfRule type="expression" dxfId="14825" priority="2275">
      <formula>$A20="Drainage Works"</formula>
    </cfRule>
    <cfRule type="expression" dxfId="14824" priority="2276">
      <formula>$A20="Underpass"</formula>
    </cfRule>
    <cfRule type="expression" dxfId="14823" priority="2277">
      <formula>$A20="Overcrossing"</formula>
    </cfRule>
    <cfRule type="expression" dxfId="14822" priority="2278">
      <formula>$A20="Overpass"</formula>
    </cfRule>
    <cfRule type="expression" dxfId="14821" priority="2279">
      <formula>$A20="Station"</formula>
    </cfRule>
    <cfRule type="expression" dxfId="14820" priority="2280">
      <formula>$A20="Overlap between sections"</formula>
    </cfRule>
  </conditionalFormatting>
  <conditionalFormatting sqref="U20">
    <cfRule type="expression" dxfId="14819" priority="2259">
      <formula>$A20="Overhead Cable"</formula>
    </cfRule>
    <cfRule type="expression" dxfId="14818" priority="2260">
      <formula>$A20="Level Crossing"</formula>
    </cfRule>
    <cfRule type="expression" dxfId="14817" priority="2261">
      <formula>$A20="Neutral Section"</formula>
    </cfRule>
    <cfRule type="expression" dxfId="14816" priority="2262">
      <formula>$A20="Tunnel"</formula>
    </cfRule>
    <cfRule type="expression" dxfId="14815" priority="2263">
      <formula>$A20="Bridge"</formula>
    </cfRule>
    <cfRule type="expression" dxfId="14814" priority="2264">
      <formula>$A20="Drainage Works"</formula>
    </cfRule>
    <cfRule type="expression" dxfId="14813" priority="2265">
      <formula>$A20="Underpass"</formula>
    </cfRule>
    <cfRule type="expression" dxfId="14812" priority="2266">
      <formula>$A20="Overcrossing"</formula>
    </cfRule>
    <cfRule type="expression" dxfId="14811" priority="2267">
      <formula>$A20="Overpass"</formula>
    </cfRule>
    <cfRule type="expression" dxfId="14810" priority="2268">
      <formula>$A20="Station"</formula>
    </cfRule>
    <cfRule type="expression" dxfId="14809" priority="2269">
      <formula>$A20="Overlap between sections"</formula>
    </cfRule>
  </conditionalFormatting>
  <conditionalFormatting sqref="V20">
    <cfRule type="expression" dxfId="14808" priority="2248">
      <formula>$A20="Overhead Cable"</formula>
    </cfRule>
    <cfRule type="expression" dxfId="14807" priority="2249">
      <formula>$A20="Level Crossing"</formula>
    </cfRule>
    <cfRule type="expression" dxfId="14806" priority="2250">
      <formula>$A20="Neutral Section"</formula>
    </cfRule>
    <cfRule type="expression" dxfId="14805" priority="2251">
      <formula>$A20="Tunnel"</formula>
    </cfRule>
    <cfRule type="expression" dxfId="14804" priority="2252">
      <formula>$A20="Bridge"</formula>
    </cfRule>
    <cfRule type="expression" dxfId="14803" priority="2253">
      <formula>$A20="Drainage Works"</formula>
    </cfRule>
    <cfRule type="expression" dxfId="14802" priority="2254">
      <formula>$A20="Underpass"</formula>
    </cfRule>
    <cfRule type="expression" dxfId="14801" priority="2255">
      <formula>$A20="Overcrossing"</formula>
    </cfRule>
    <cfRule type="expression" dxfId="14800" priority="2256">
      <formula>$A20="Overpass"</formula>
    </cfRule>
    <cfRule type="expression" dxfId="14799" priority="2257">
      <formula>$A20="Station"</formula>
    </cfRule>
    <cfRule type="expression" dxfId="14798" priority="2258">
      <formula>$A20="Overlap between sections"</formula>
    </cfRule>
  </conditionalFormatting>
  <conditionalFormatting sqref="AF20">
    <cfRule type="expression" dxfId="14797" priority="2237">
      <formula>$A20="Overhead Cable"</formula>
    </cfRule>
    <cfRule type="expression" dxfId="14796" priority="2238">
      <formula>$A20="Level Crossing"</formula>
    </cfRule>
    <cfRule type="expression" dxfId="14795" priority="2239">
      <formula>$A20="Neutral Section"</formula>
    </cfRule>
    <cfRule type="expression" dxfId="14794" priority="2240">
      <formula>$A20="Tunnel"</formula>
    </cfRule>
    <cfRule type="expression" dxfId="14793" priority="2241">
      <formula>$A20="Bridge"</formula>
    </cfRule>
    <cfRule type="expression" dxfId="14792" priority="2242">
      <formula>$A20="Drainage Works"</formula>
    </cfRule>
    <cfRule type="expression" dxfId="14791" priority="2243">
      <formula>$A20="Underpass"</formula>
    </cfRule>
    <cfRule type="expression" dxfId="14790" priority="2244">
      <formula>$A20="Overcrossing"</formula>
    </cfRule>
    <cfRule type="expression" dxfId="14789" priority="2245">
      <formula>$A20="Overpass"</formula>
    </cfRule>
    <cfRule type="expression" dxfId="14788" priority="2246">
      <formula>$A20="Station"</formula>
    </cfRule>
    <cfRule type="expression" dxfId="14787" priority="2247">
      <formula>$A20="Overlap between sections"</formula>
    </cfRule>
  </conditionalFormatting>
  <conditionalFormatting sqref="AH20">
    <cfRule type="expression" dxfId="14786" priority="2226">
      <formula>$A20="Overhead Cable"</formula>
    </cfRule>
    <cfRule type="expression" dxfId="14785" priority="2227">
      <formula>$A20="Level Crossing"</formula>
    </cfRule>
    <cfRule type="expression" dxfId="14784" priority="2228">
      <formula>$A20="Neutral Section"</formula>
    </cfRule>
    <cfRule type="expression" dxfId="14783" priority="2229">
      <formula>$A20="Tunnel"</formula>
    </cfRule>
    <cfRule type="expression" dxfId="14782" priority="2230">
      <formula>$A20="Bridge"</formula>
    </cfRule>
    <cfRule type="expression" dxfId="14781" priority="2231">
      <formula>$A20="Drainage Works"</formula>
    </cfRule>
    <cfRule type="expression" dxfId="14780" priority="2232">
      <formula>$A20="Underpass"</formula>
    </cfRule>
    <cfRule type="expression" dxfId="14779" priority="2233">
      <formula>$A20="Overcrossing"</formula>
    </cfRule>
    <cfRule type="expression" dxfId="14778" priority="2234">
      <formula>$A20="Overpass"</formula>
    </cfRule>
    <cfRule type="expression" dxfId="14777" priority="2235">
      <formula>$A20="Station"</formula>
    </cfRule>
    <cfRule type="expression" dxfId="14776" priority="2236">
      <formula>$A20="Overlap between sections"</formula>
    </cfRule>
  </conditionalFormatting>
  <conditionalFormatting sqref="AI20">
    <cfRule type="expression" dxfId="14775" priority="2215">
      <formula>$A20="Overhead Cable"</formula>
    </cfRule>
    <cfRule type="expression" dxfId="14774" priority="2216">
      <formula>$A20="Level Crossing"</formula>
    </cfRule>
    <cfRule type="expression" dxfId="14773" priority="2217">
      <formula>$A20="Neutral Section"</formula>
    </cfRule>
    <cfRule type="expression" dxfId="14772" priority="2218">
      <formula>$A20="Tunnel"</formula>
    </cfRule>
    <cfRule type="expression" dxfId="14771" priority="2219">
      <formula>$A20="Bridge"</formula>
    </cfRule>
    <cfRule type="expression" dxfId="14770" priority="2220">
      <formula>$A20="Drainage Works"</formula>
    </cfRule>
    <cfRule type="expression" dxfId="14769" priority="2221">
      <formula>$A20="Underpass"</formula>
    </cfRule>
    <cfRule type="expression" dxfId="14768" priority="2222">
      <formula>$A20="Overcrossing"</formula>
    </cfRule>
    <cfRule type="expression" dxfId="14767" priority="2223">
      <formula>$A20="Overpass"</formula>
    </cfRule>
    <cfRule type="expression" dxfId="14766" priority="2224">
      <formula>$A20="Station"</formula>
    </cfRule>
    <cfRule type="expression" dxfId="14765" priority="2225">
      <formula>$A20="Overlap between sections"</formula>
    </cfRule>
  </conditionalFormatting>
  <conditionalFormatting sqref="R20">
    <cfRule type="expression" dxfId="14764" priority="2204">
      <formula>$A20="Overhead Cable"</formula>
    </cfRule>
    <cfRule type="expression" dxfId="14763" priority="2205">
      <formula>$A20="Level Crossing"</formula>
    </cfRule>
    <cfRule type="expression" dxfId="14762" priority="2206">
      <formula>$A20="Neutral Section"</formula>
    </cfRule>
    <cfRule type="expression" dxfId="14761" priority="2207">
      <formula>$A20="Tunnel"</formula>
    </cfRule>
    <cfRule type="expression" dxfId="14760" priority="2208">
      <formula>$A20="Bridge"</formula>
    </cfRule>
    <cfRule type="expression" dxfId="14759" priority="2209">
      <formula>$A20="Drainage Works"</formula>
    </cfRule>
    <cfRule type="expression" dxfId="14758" priority="2210">
      <formula>$A20="Underpass"</formula>
    </cfRule>
    <cfRule type="expression" dxfId="14757" priority="2211">
      <formula>$A20="Overcrossing"</formula>
    </cfRule>
    <cfRule type="expression" dxfId="14756" priority="2212">
      <formula>$A20="Overpass"</formula>
    </cfRule>
    <cfRule type="expression" dxfId="14755" priority="2213">
      <formula>$A20="Station"</formula>
    </cfRule>
    <cfRule type="expression" dxfId="14754" priority="2214">
      <formula>$A20="Overlap between sections"</formula>
    </cfRule>
  </conditionalFormatting>
  <conditionalFormatting sqref="S20">
    <cfRule type="expression" dxfId="14753" priority="2193">
      <formula>$A20="Overhead Cable"</formula>
    </cfRule>
    <cfRule type="expression" dxfId="14752" priority="2194">
      <formula>$A20="Level Crossing"</formula>
    </cfRule>
    <cfRule type="expression" dxfId="14751" priority="2195">
      <formula>$A20="Neutral Section"</formula>
    </cfRule>
    <cfRule type="expression" dxfId="14750" priority="2196">
      <formula>$A20="Tunnel"</formula>
    </cfRule>
    <cfRule type="expression" dxfId="14749" priority="2197">
      <formula>$A20="Bridge"</formula>
    </cfRule>
    <cfRule type="expression" dxfId="14748" priority="2198">
      <formula>$A20="Drainage Works"</formula>
    </cfRule>
    <cfRule type="expression" dxfId="14747" priority="2199">
      <formula>$A20="Underpass"</formula>
    </cfRule>
    <cfRule type="expression" dxfId="14746" priority="2200">
      <formula>$A20="Overcrossing"</formula>
    </cfRule>
    <cfRule type="expression" dxfId="14745" priority="2201">
      <formula>$A20="Overpass"</formula>
    </cfRule>
    <cfRule type="expression" dxfId="14744" priority="2202">
      <formula>$A20="Station"</formula>
    </cfRule>
    <cfRule type="expression" dxfId="14743" priority="2203">
      <formula>$A20="Overlap between sections"</formula>
    </cfRule>
  </conditionalFormatting>
  <conditionalFormatting sqref="W20">
    <cfRule type="expression" dxfId="14742" priority="2182">
      <formula>$A20="Overhead Cable"</formula>
    </cfRule>
    <cfRule type="expression" dxfId="14741" priority="2183">
      <formula>$A20="Level Crossing"</formula>
    </cfRule>
    <cfRule type="expression" dxfId="14740" priority="2184">
      <formula>$A20="Neutral Section"</formula>
    </cfRule>
    <cfRule type="expression" dxfId="14739" priority="2185">
      <formula>$A20="Tunnel"</formula>
    </cfRule>
    <cfRule type="expression" dxfId="14738" priority="2186">
      <formula>$A20="Bridge"</formula>
    </cfRule>
    <cfRule type="expression" dxfId="14737" priority="2187">
      <formula>$A20="Drainage Works"</formula>
    </cfRule>
    <cfRule type="expression" dxfId="14736" priority="2188">
      <formula>$A20="Underpass"</formula>
    </cfRule>
    <cfRule type="expression" dxfId="14735" priority="2189">
      <formula>$A20="Overcrossing"</formula>
    </cfRule>
    <cfRule type="expression" dxfId="14734" priority="2190">
      <formula>$A20="Overpass"</formula>
    </cfRule>
    <cfRule type="expression" dxfId="14733" priority="2191">
      <formula>$A20="Station"</formula>
    </cfRule>
    <cfRule type="expression" dxfId="14732" priority="2192">
      <formula>$A20="Overlap between sections"</formula>
    </cfRule>
  </conditionalFormatting>
  <conditionalFormatting sqref="X20">
    <cfRule type="expression" dxfId="14731" priority="2171">
      <formula>$A20="Overhead Cable"</formula>
    </cfRule>
    <cfRule type="expression" dxfId="14730" priority="2172">
      <formula>$A20="Level Crossing"</formula>
    </cfRule>
    <cfRule type="expression" dxfId="14729" priority="2173">
      <formula>$A20="Neutral Section"</formula>
    </cfRule>
    <cfRule type="expression" dxfId="14728" priority="2174">
      <formula>$A20="Tunnel"</formula>
    </cfRule>
    <cfRule type="expression" dxfId="14727" priority="2175">
      <formula>$A20="Bridge"</formula>
    </cfRule>
    <cfRule type="expression" dxfId="14726" priority="2176">
      <formula>$A20="Drainage Works"</formula>
    </cfRule>
    <cfRule type="expression" dxfId="14725" priority="2177">
      <formula>$A20="Underpass"</formula>
    </cfRule>
    <cfRule type="expression" dxfId="14724" priority="2178">
      <formula>$A20="Overcrossing"</formula>
    </cfRule>
    <cfRule type="expression" dxfId="14723" priority="2179">
      <formula>$A20="Overpass"</formula>
    </cfRule>
    <cfRule type="expression" dxfId="14722" priority="2180">
      <formula>$A20="Station"</formula>
    </cfRule>
    <cfRule type="expression" dxfId="14721" priority="2181">
      <formula>$A20="Overlap between sections"</formula>
    </cfRule>
  </conditionalFormatting>
  <conditionalFormatting sqref="Y20">
    <cfRule type="expression" dxfId="14720" priority="2160">
      <formula>$A20="Overhead Cable"</formula>
    </cfRule>
    <cfRule type="expression" dxfId="14719" priority="2161">
      <formula>$A20="Level Crossing"</formula>
    </cfRule>
    <cfRule type="expression" dxfId="14718" priority="2162">
      <formula>$A20="Neutral Section"</formula>
    </cfRule>
    <cfRule type="expression" dxfId="14717" priority="2163">
      <formula>$A20="Tunnel"</formula>
    </cfRule>
    <cfRule type="expression" dxfId="14716" priority="2164">
      <formula>$A20="Bridge"</formula>
    </cfRule>
    <cfRule type="expression" dxfId="14715" priority="2165">
      <formula>$A20="Drainage Works"</formula>
    </cfRule>
    <cfRule type="expression" dxfId="14714" priority="2166">
      <formula>$A20="Underpass"</formula>
    </cfRule>
    <cfRule type="expression" dxfId="14713" priority="2167">
      <formula>$A20="Overcrossing"</formula>
    </cfRule>
    <cfRule type="expression" dxfId="14712" priority="2168">
      <formula>$A20="Overpass"</formula>
    </cfRule>
    <cfRule type="expression" dxfId="14711" priority="2169">
      <formula>$A20="Station"</formula>
    </cfRule>
    <cfRule type="expression" dxfId="14710" priority="2170">
      <formula>$A20="Overlap between sections"</formula>
    </cfRule>
  </conditionalFormatting>
  <conditionalFormatting sqref="Z20">
    <cfRule type="expression" dxfId="14709" priority="2149">
      <formula>$A20="Overhead Cable"</formula>
    </cfRule>
    <cfRule type="expression" dxfId="14708" priority="2150">
      <formula>$A20="Level Crossing"</formula>
    </cfRule>
    <cfRule type="expression" dxfId="14707" priority="2151">
      <formula>$A20="Neutral Section"</formula>
    </cfRule>
    <cfRule type="expression" dxfId="14706" priority="2152">
      <formula>$A20="Tunnel"</formula>
    </cfRule>
    <cfRule type="expression" dxfId="14705" priority="2153">
      <formula>$A20="Bridge"</formula>
    </cfRule>
    <cfRule type="expression" dxfId="14704" priority="2154">
      <formula>$A20="Drainage Works"</formula>
    </cfRule>
    <cfRule type="expression" dxfId="14703" priority="2155">
      <formula>$A20="Underpass"</formula>
    </cfRule>
    <cfRule type="expression" dxfId="14702" priority="2156">
      <formula>$A20="Overcrossing"</formula>
    </cfRule>
    <cfRule type="expression" dxfId="14701" priority="2157">
      <formula>$A20="Overpass"</formula>
    </cfRule>
    <cfRule type="expression" dxfId="14700" priority="2158">
      <formula>$A20="Station"</formula>
    </cfRule>
    <cfRule type="expression" dxfId="14699" priority="2159">
      <formula>$A20="Overlap between sections"</formula>
    </cfRule>
  </conditionalFormatting>
  <conditionalFormatting sqref="AA20">
    <cfRule type="expression" dxfId="14698" priority="2138">
      <formula>$A20="Overhead Cable"</formula>
    </cfRule>
    <cfRule type="expression" dxfId="14697" priority="2139">
      <formula>$A20="Level Crossing"</formula>
    </cfRule>
    <cfRule type="expression" dxfId="14696" priority="2140">
      <formula>$A20="Neutral Section"</formula>
    </cfRule>
    <cfRule type="expression" dxfId="14695" priority="2141">
      <formula>$A20="Tunnel"</formula>
    </cfRule>
    <cfRule type="expression" dxfId="14694" priority="2142">
      <formula>$A20="Bridge"</formula>
    </cfRule>
    <cfRule type="expression" dxfId="14693" priority="2143">
      <formula>$A20="Drainage Works"</formula>
    </cfRule>
    <cfRule type="expression" dxfId="14692" priority="2144">
      <formula>$A20="Underpass"</formula>
    </cfRule>
    <cfRule type="expression" dxfId="14691" priority="2145">
      <formula>$A20="Overcrossing"</formula>
    </cfRule>
    <cfRule type="expression" dxfId="14690" priority="2146">
      <formula>$A20="Overpass"</formula>
    </cfRule>
    <cfRule type="expression" dxfId="14689" priority="2147">
      <formula>$A20="Station"</formula>
    </cfRule>
    <cfRule type="expression" dxfId="14688" priority="2148">
      <formula>$A20="Overlap between sections"</formula>
    </cfRule>
  </conditionalFormatting>
  <conditionalFormatting sqref="AB20">
    <cfRule type="expression" dxfId="14687" priority="2127">
      <formula>$A20="Overhead Cable"</formula>
    </cfRule>
    <cfRule type="expression" dxfId="14686" priority="2128">
      <formula>$A20="Level Crossing"</formula>
    </cfRule>
    <cfRule type="expression" dxfId="14685" priority="2129">
      <formula>$A20="Neutral Section"</formula>
    </cfRule>
    <cfRule type="expression" dxfId="14684" priority="2130">
      <formula>$A20="Tunnel"</formula>
    </cfRule>
    <cfRule type="expression" dxfId="14683" priority="2131">
      <formula>$A20="Bridge"</formula>
    </cfRule>
    <cfRule type="expression" dxfId="14682" priority="2132">
      <formula>$A20="Drainage Works"</formula>
    </cfRule>
    <cfRule type="expression" dxfId="14681" priority="2133">
      <formula>$A20="Underpass"</formula>
    </cfRule>
    <cfRule type="expression" dxfId="14680" priority="2134">
      <formula>$A20="Overcrossing"</formula>
    </cfRule>
    <cfRule type="expression" dxfId="14679" priority="2135">
      <formula>$A20="Overpass"</formula>
    </cfRule>
    <cfRule type="expression" dxfId="14678" priority="2136">
      <formula>$A20="Station"</formula>
    </cfRule>
    <cfRule type="expression" dxfId="14677" priority="2137">
      <formula>$A20="Overlap between sections"</formula>
    </cfRule>
  </conditionalFormatting>
  <conditionalFormatting sqref="B13:AZ15">
    <cfRule type="expression" dxfId="14676" priority="2096">
      <formula>$M13="NON DEFINED"</formula>
    </cfRule>
    <cfRule type="expression" dxfId="14675" priority="2097">
      <formula>$AZ13="N.D."</formula>
    </cfRule>
    <cfRule type="expression" dxfId="14674" priority="2098">
      <formula>$AY13="N.D."</formula>
    </cfRule>
  </conditionalFormatting>
  <conditionalFormatting sqref="AY13:AZ15 AM13:AS15 AG13:AG15 G13:H15 J13:J15 A13:E15">
    <cfRule type="expression" dxfId="14673" priority="2085">
      <formula>$A13="Overhead Cable"</formula>
    </cfRule>
    <cfRule type="expression" dxfId="14672" priority="2086">
      <formula>$A13="Level Crossing"</formula>
    </cfRule>
    <cfRule type="expression" dxfId="14671" priority="2087">
      <formula>$A13="Neutral Section"</formula>
    </cfRule>
    <cfRule type="expression" dxfId="14670" priority="2088">
      <formula>$A13="Tunnel"</formula>
    </cfRule>
    <cfRule type="expression" dxfId="14669" priority="2089">
      <formula>$A13="Bridge"</formula>
    </cfRule>
    <cfRule type="expression" dxfId="14668" priority="2090">
      <formula>$A13="Drainage Works"</formula>
    </cfRule>
    <cfRule type="expression" dxfId="14667" priority="2091">
      <formula>$A13="Underpass"</formula>
    </cfRule>
    <cfRule type="expression" dxfId="14666" priority="2092">
      <formula>$A13="Overcrossing"</formula>
    </cfRule>
    <cfRule type="expression" dxfId="14665" priority="2093">
      <formula>$A13="Overpass"</formula>
    </cfRule>
    <cfRule type="expression" dxfId="14664" priority="2094">
      <formula>$A13="Station"</formula>
    </cfRule>
    <cfRule type="expression" dxfId="14663" priority="2095">
      <formula>$A13="Overlap between sections"</formula>
    </cfRule>
  </conditionalFormatting>
  <conditionalFormatting sqref="AN13:AP15">
    <cfRule type="cellIs" dxfId="14662" priority="2084" operator="notEqual">
      <formula>5.5</formula>
    </cfRule>
  </conditionalFormatting>
  <conditionalFormatting sqref="B13:B15">
    <cfRule type="expression" dxfId="14661" priority="2083">
      <formula>AND($AH13&gt;2499,$AH13&lt;2901)</formula>
    </cfRule>
  </conditionalFormatting>
  <conditionalFormatting sqref="I13:I15">
    <cfRule type="expression" dxfId="14660" priority="2072">
      <formula>$A13="Overhead Cable"</formula>
    </cfRule>
    <cfRule type="expression" dxfId="14659" priority="2073">
      <formula>$A13="Level Crossing"</formula>
    </cfRule>
    <cfRule type="expression" dxfId="14658" priority="2074">
      <formula>$A13="Neutral Section"</formula>
    </cfRule>
    <cfRule type="expression" dxfId="14657" priority="2075">
      <formula>$A13="Tunnel"</formula>
    </cfRule>
    <cfRule type="expression" dxfId="14656" priority="2076">
      <formula>$A13="Bridge"</formula>
    </cfRule>
    <cfRule type="expression" dxfId="14655" priority="2077">
      <formula>$A13="Drainage Works"</formula>
    </cfRule>
    <cfRule type="expression" dxfId="14654" priority="2078">
      <formula>$A13="Underpass"</formula>
    </cfRule>
    <cfRule type="expression" dxfId="14653" priority="2079">
      <formula>$A13="Overcrossing"</formula>
    </cfRule>
    <cfRule type="expression" dxfId="14652" priority="2080">
      <formula>$A13="Overpass"</formula>
    </cfRule>
    <cfRule type="expression" dxfId="14651" priority="2081">
      <formula>$A13="Station"</formula>
    </cfRule>
    <cfRule type="expression" dxfId="14650" priority="2082">
      <formula>$A13="Overlap between sections"</formula>
    </cfRule>
  </conditionalFormatting>
  <conditionalFormatting sqref="K13:K15">
    <cfRule type="expression" dxfId="14649" priority="2061">
      <formula>$A13="Overhead Cable"</formula>
    </cfRule>
    <cfRule type="expression" dxfId="14648" priority="2062">
      <formula>$A13="Level Crossing"</formula>
    </cfRule>
    <cfRule type="expression" dxfId="14647" priority="2063">
      <formula>$A13="Neutral Section"</formula>
    </cfRule>
    <cfRule type="expression" dxfId="14646" priority="2064">
      <formula>$A13="Tunnel"</formula>
    </cfRule>
    <cfRule type="expression" dxfId="14645" priority="2065">
      <formula>$A13="Bridge"</formula>
    </cfRule>
    <cfRule type="expression" dxfId="14644" priority="2066">
      <formula>$A13="Drainage Works"</formula>
    </cfRule>
    <cfRule type="expression" dxfId="14643" priority="2067">
      <formula>$A13="Underpass"</formula>
    </cfRule>
    <cfRule type="expression" dxfId="14642" priority="2068">
      <formula>$A13="Overcrossing"</formula>
    </cfRule>
    <cfRule type="expression" dxfId="14641" priority="2069">
      <formula>$A13="Overpass"</formula>
    </cfRule>
    <cfRule type="expression" dxfId="14640" priority="2070">
      <formula>$A13="Station"</formula>
    </cfRule>
    <cfRule type="expression" dxfId="14639" priority="2071">
      <formula>$A13="Overlap between sections"</formula>
    </cfRule>
  </conditionalFormatting>
  <conditionalFormatting sqref="L13:L15">
    <cfRule type="expression" dxfId="14638" priority="2050">
      <formula>$A13="Overhead Cable"</formula>
    </cfRule>
    <cfRule type="expression" dxfId="14637" priority="2051">
      <formula>$A13="Level Crossing"</formula>
    </cfRule>
    <cfRule type="expression" dxfId="14636" priority="2052">
      <formula>$A13="Neutral Section"</formula>
    </cfRule>
    <cfRule type="expression" dxfId="14635" priority="2053">
      <formula>$A13="Tunnel"</formula>
    </cfRule>
    <cfRule type="expression" dxfId="14634" priority="2054">
      <formula>$A13="Bridge"</formula>
    </cfRule>
    <cfRule type="expression" dxfId="14633" priority="2055">
      <formula>$A13="Drainage Works"</formula>
    </cfRule>
    <cfRule type="expression" dxfId="14632" priority="2056">
      <formula>$A13="Underpass"</formula>
    </cfRule>
    <cfRule type="expression" dxfId="14631" priority="2057">
      <formula>$A13="Overcrossing"</formula>
    </cfRule>
    <cfRule type="expression" dxfId="14630" priority="2058">
      <formula>$A13="Overpass"</formula>
    </cfRule>
    <cfRule type="expression" dxfId="14629" priority="2059">
      <formula>$A13="Station"</formula>
    </cfRule>
    <cfRule type="expression" dxfId="14628" priority="2060">
      <formula>$A13="Overlap between sections"</formula>
    </cfRule>
  </conditionalFormatting>
  <conditionalFormatting sqref="M13:M15">
    <cfRule type="expression" dxfId="14627" priority="2039">
      <formula>$A13="Overhead Cable"</formula>
    </cfRule>
    <cfRule type="expression" dxfId="14626" priority="2040">
      <formula>$A13="Level Crossing"</formula>
    </cfRule>
    <cfRule type="expression" dxfId="14625" priority="2041">
      <formula>$A13="Neutral Section"</formula>
    </cfRule>
    <cfRule type="expression" dxfId="14624" priority="2042">
      <formula>$A13="Tunnel"</formula>
    </cfRule>
    <cfRule type="expression" dxfId="14623" priority="2043">
      <formula>$A13="Bridge"</formula>
    </cfRule>
    <cfRule type="expression" dxfId="14622" priority="2044">
      <formula>$A13="Drainage Works"</formula>
    </cfRule>
    <cfRule type="expression" dxfId="14621" priority="2045">
      <formula>$A13="Underpass"</formula>
    </cfRule>
    <cfRule type="expression" dxfId="14620" priority="2046">
      <formula>$A13="Overcrossing"</formula>
    </cfRule>
    <cfRule type="expression" dxfId="14619" priority="2047">
      <formula>$A13="Overpass"</formula>
    </cfRule>
    <cfRule type="expression" dxfId="14618" priority="2048">
      <formula>$A13="Station"</formula>
    </cfRule>
    <cfRule type="expression" dxfId="14617" priority="2049">
      <formula>$A13="Overlap between sections"</formula>
    </cfRule>
  </conditionalFormatting>
  <conditionalFormatting sqref="N13:N15">
    <cfRule type="expression" dxfId="14616" priority="2028">
      <formula>$A13="Overhead Cable"</formula>
    </cfRule>
    <cfRule type="expression" dxfId="14615" priority="2029">
      <formula>$A13="Level Crossing"</formula>
    </cfRule>
    <cfRule type="expression" dxfId="14614" priority="2030">
      <formula>$A13="Neutral Section"</formula>
    </cfRule>
    <cfRule type="expression" dxfId="14613" priority="2031">
      <formula>$A13="Tunnel"</formula>
    </cfRule>
    <cfRule type="expression" dxfId="14612" priority="2032">
      <formula>$A13="Bridge"</formula>
    </cfRule>
    <cfRule type="expression" dxfId="14611" priority="2033">
      <formula>$A13="Drainage Works"</formula>
    </cfRule>
    <cfRule type="expression" dxfId="14610" priority="2034">
      <formula>$A13="Underpass"</formula>
    </cfRule>
    <cfRule type="expression" dxfId="14609" priority="2035">
      <formula>$A13="Overcrossing"</formula>
    </cfRule>
    <cfRule type="expression" dxfId="14608" priority="2036">
      <formula>$A13="Overpass"</formula>
    </cfRule>
    <cfRule type="expression" dxfId="14607" priority="2037">
      <formula>$A13="Station"</formula>
    </cfRule>
    <cfRule type="expression" dxfId="14606" priority="2038">
      <formula>$A13="Overlap between sections"</formula>
    </cfRule>
  </conditionalFormatting>
  <conditionalFormatting sqref="O13:O15">
    <cfRule type="expression" dxfId="14605" priority="2017">
      <formula>$A13="Overhead Cable"</formula>
    </cfRule>
    <cfRule type="expression" dxfId="14604" priority="2018">
      <formula>$A13="Level Crossing"</formula>
    </cfRule>
    <cfRule type="expression" dxfId="14603" priority="2019">
      <formula>$A13="Neutral Section"</formula>
    </cfRule>
    <cfRule type="expression" dxfId="14602" priority="2020">
      <formula>$A13="Tunnel"</formula>
    </cfRule>
    <cfRule type="expression" dxfId="14601" priority="2021">
      <formula>$A13="Bridge"</formula>
    </cfRule>
    <cfRule type="expression" dxfId="14600" priority="2022">
      <formula>$A13="Drainage Works"</formula>
    </cfRule>
    <cfRule type="expression" dxfId="14599" priority="2023">
      <formula>$A13="Underpass"</formula>
    </cfRule>
    <cfRule type="expression" dxfId="14598" priority="2024">
      <formula>$A13="Overcrossing"</formula>
    </cfRule>
    <cfRule type="expression" dxfId="14597" priority="2025">
      <formula>$A13="Overpass"</formula>
    </cfRule>
    <cfRule type="expression" dxfId="14596" priority="2026">
      <formula>$A13="Station"</formula>
    </cfRule>
    <cfRule type="expression" dxfId="14595" priority="2027">
      <formula>$A13="Overlap between sections"</formula>
    </cfRule>
  </conditionalFormatting>
  <conditionalFormatting sqref="P13:P15">
    <cfRule type="expression" dxfId="14594" priority="2006">
      <formula>$A13="Overhead Cable"</formula>
    </cfRule>
    <cfRule type="expression" dxfId="14593" priority="2007">
      <formula>$A13="Level Crossing"</formula>
    </cfRule>
    <cfRule type="expression" dxfId="14592" priority="2008">
      <formula>$A13="Neutral Section"</formula>
    </cfRule>
    <cfRule type="expression" dxfId="14591" priority="2009">
      <formula>$A13="Tunnel"</formula>
    </cfRule>
    <cfRule type="expression" dxfId="14590" priority="2010">
      <formula>$A13="Bridge"</formula>
    </cfRule>
    <cfRule type="expression" dxfId="14589" priority="2011">
      <formula>$A13="Drainage Works"</formula>
    </cfRule>
    <cfRule type="expression" dxfId="14588" priority="2012">
      <formula>$A13="Underpass"</formula>
    </cfRule>
    <cfRule type="expression" dxfId="14587" priority="2013">
      <formula>$A13="Overcrossing"</formula>
    </cfRule>
    <cfRule type="expression" dxfId="14586" priority="2014">
      <formula>$A13="Overpass"</formula>
    </cfRule>
    <cfRule type="expression" dxfId="14585" priority="2015">
      <formula>$A13="Station"</formula>
    </cfRule>
    <cfRule type="expression" dxfId="14584" priority="2016">
      <formula>$A13="Overlap between sections"</formula>
    </cfRule>
  </conditionalFormatting>
  <conditionalFormatting sqref="AC13:AC15">
    <cfRule type="expression" dxfId="14583" priority="1995">
      <formula>$A13="Overhead Cable"</formula>
    </cfRule>
    <cfRule type="expression" dxfId="14582" priority="1996">
      <formula>$A13="Level Crossing"</formula>
    </cfRule>
    <cfRule type="expression" dxfId="14581" priority="1997">
      <formula>$A13="Neutral Section"</formula>
    </cfRule>
    <cfRule type="expression" dxfId="14580" priority="1998">
      <formula>$A13="Tunnel"</formula>
    </cfRule>
    <cfRule type="expression" dxfId="14579" priority="1999">
      <formula>$A13="Bridge"</formula>
    </cfRule>
    <cfRule type="expression" dxfId="14578" priority="2000">
      <formula>$A13="Drainage Works"</formula>
    </cfRule>
    <cfRule type="expression" dxfId="14577" priority="2001">
      <formula>$A13="Underpass"</formula>
    </cfRule>
    <cfRule type="expression" dxfId="14576" priority="2002">
      <formula>$A13="Overcrossing"</formula>
    </cfRule>
    <cfRule type="expression" dxfId="14575" priority="2003">
      <formula>$A13="Overpass"</formula>
    </cfRule>
    <cfRule type="expression" dxfId="14574" priority="2004">
      <formula>$A13="Station"</formula>
    </cfRule>
    <cfRule type="expression" dxfId="14573" priority="2005">
      <formula>$A13="Overlap between sections"</formula>
    </cfRule>
  </conditionalFormatting>
  <conditionalFormatting sqref="AD13:AD15">
    <cfRule type="expression" dxfId="14572" priority="1984">
      <formula>$A13="Overhead Cable"</formula>
    </cfRule>
    <cfRule type="expression" dxfId="14571" priority="1985">
      <formula>$A13="Level Crossing"</formula>
    </cfRule>
    <cfRule type="expression" dxfId="14570" priority="1986">
      <formula>$A13="Neutral Section"</formula>
    </cfRule>
    <cfRule type="expression" dxfId="14569" priority="1987">
      <formula>$A13="Tunnel"</formula>
    </cfRule>
    <cfRule type="expression" dxfId="14568" priority="1988">
      <formula>$A13="Bridge"</formula>
    </cfRule>
    <cfRule type="expression" dxfId="14567" priority="1989">
      <formula>$A13="Drainage Works"</formula>
    </cfRule>
    <cfRule type="expression" dxfId="14566" priority="1990">
      <formula>$A13="Underpass"</formula>
    </cfRule>
    <cfRule type="expression" dxfId="14565" priority="1991">
      <formula>$A13="Overcrossing"</formula>
    </cfRule>
    <cfRule type="expression" dxfId="14564" priority="1992">
      <formula>$A13="Overpass"</formula>
    </cfRule>
    <cfRule type="expression" dxfId="14563" priority="1993">
      <formula>$A13="Station"</formula>
    </cfRule>
    <cfRule type="expression" dxfId="14562" priority="1994">
      <formula>$A13="Overlap between sections"</formula>
    </cfRule>
  </conditionalFormatting>
  <conditionalFormatting sqref="AE13:AE15">
    <cfRule type="expression" dxfId="14561" priority="1973">
      <formula>$A13="Overhead Cable"</formula>
    </cfRule>
    <cfRule type="expression" dxfId="14560" priority="1974">
      <formula>$A13="Level Crossing"</formula>
    </cfRule>
    <cfRule type="expression" dxfId="14559" priority="1975">
      <formula>$A13="Neutral Section"</formula>
    </cfRule>
    <cfRule type="expression" dxfId="14558" priority="1976">
      <formula>$A13="Tunnel"</formula>
    </cfRule>
    <cfRule type="expression" dxfId="14557" priority="1977">
      <formula>$A13="Bridge"</formula>
    </cfRule>
    <cfRule type="expression" dxfId="14556" priority="1978">
      <formula>$A13="Drainage Works"</formula>
    </cfRule>
    <cfRule type="expression" dxfId="14555" priority="1979">
      <formula>$A13="Underpass"</formula>
    </cfRule>
    <cfRule type="expression" dxfId="14554" priority="1980">
      <formula>$A13="Overcrossing"</formula>
    </cfRule>
    <cfRule type="expression" dxfId="14553" priority="1981">
      <formula>$A13="Overpass"</formula>
    </cfRule>
    <cfRule type="expression" dxfId="14552" priority="1982">
      <formula>$A13="Station"</formula>
    </cfRule>
    <cfRule type="expression" dxfId="14551" priority="1983">
      <formula>$A13="Overlap between sections"</formula>
    </cfRule>
  </conditionalFormatting>
  <conditionalFormatting sqref="AJ13:AJ15">
    <cfRule type="expression" dxfId="14550" priority="1962">
      <formula>$A13="Overhead Cable"</formula>
    </cfRule>
    <cfRule type="expression" dxfId="14549" priority="1963">
      <formula>$A13="Level Crossing"</formula>
    </cfRule>
    <cfRule type="expression" dxfId="14548" priority="1964">
      <formula>$A13="Neutral Section"</formula>
    </cfRule>
    <cfRule type="expression" dxfId="14547" priority="1965">
      <formula>$A13="Tunnel"</formula>
    </cfRule>
    <cfRule type="expression" dxfId="14546" priority="1966">
      <formula>$A13="Bridge"</formula>
    </cfRule>
    <cfRule type="expression" dxfId="14545" priority="1967">
      <formula>$A13="Drainage Works"</formula>
    </cfRule>
    <cfRule type="expression" dxfId="14544" priority="1968">
      <formula>$A13="Underpass"</formula>
    </cfRule>
    <cfRule type="expression" dxfId="14543" priority="1969">
      <formula>$A13="Overcrossing"</formula>
    </cfRule>
    <cfRule type="expression" dxfId="14542" priority="1970">
      <formula>$A13="Overpass"</formula>
    </cfRule>
    <cfRule type="expression" dxfId="14541" priority="1971">
      <formula>$A13="Station"</formula>
    </cfRule>
    <cfRule type="expression" dxfId="14540" priority="1972">
      <formula>$A13="Overlap between sections"</formula>
    </cfRule>
  </conditionalFormatting>
  <conditionalFormatting sqref="AK13:AK15">
    <cfRule type="expression" dxfId="14539" priority="1951">
      <formula>$A13="Overhead Cable"</formula>
    </cfRule>
    <cfRule type="expression" dxfId="14538" priority="1952">
      <formula>$A13="Level Crossing"</formula>
    </cfRule>
    <cfRule type="expression" dxfId="14537" priority="1953">
      <formula>$A13="Neutral Section"</formula>
    </cfRule>
    <cfRule type="expression" dxfId="14536" priority="1954">
      <formula>$A13="Tunnel"</formula>
    </cfRule>
    <cfRule type="expression" dxfId="14535" priority="1955">
      <formula>$A13="Bridge"</formula>
    </cfRule>
    <cfRule type="expression" dxfId="14534" priority="1956">
      <formula>$A13="Drainage Works"</formula>
    </cfRule>
    <cfRule type="expression" dxfId="14533" priority="1957">
      <formula>$A13="Underpass"</formula>
    </cfRule>
    <cfRule type="expression" dxfId="14532" priority="1958">
      <formula>$A13="Overcrossing"</formula>
    </cfRule>
    <cfRule type="expression" dxfId="14531" priority="1959">
      <formula>$A13="Overpass"</formula>
    </cfRule>
    <cfRule type="expression" dxfId="14530" priority="1960">
      <formula>$A13="Station"</formula>
    </cfRule>
    <cfRule type="expression" dxfId="14529" priority="1961">
      <formula>$A13="Overlap between sections"</formula>
    </cfRule>
  </conditionalFormatting>
  <conditionalFormatting sqref="AL13:AL15">
    <cfRule type="expression" dxfId="14528" priority="1940">
      <formula>$A13="Overhead Cable"</formula>
    </cfRule>
    <cfRule type="expression" dxfId="14527" priority="1941">
      <formula>$A13="Level Crossing"</formula>
    </cfRule>
    <cfRule type="expression" dxfId="14526" priority="1942">
      <formula>$A13="Neutral Section"</formula>
    </cfRule>
    <cfRule type="expression" dxfId="14525" priority="1943">
      <formula>$A13="Tunnel"</formula>
    </cfRule>
    <cfRule type="expression" dxfId="14524" priority="1944">
      <formula>$A13="Bridge"</formula>
    </cfRule>
    <cfRule type="expression" dxfId="14523" priority="1945">
      <formula>$A13="Drainage Works"</formula>
    </cfRule>
    <cfRule type="expression" dxfId="14522" priority="1946">
      <formula>$A13="Underpass"</formula>
    </cfRule>
    <cfRule type="expression" dxfId="14521" priority="1947">
      <formula>$A13="Overcrossing"</formula>
    </cfRule>
    <cfRule type="expression" dxfId="14520" priority="1948">
      <formula>$A13="Overpass"</formula>
    </cfRule>
    <cfRule type="expression" dxfId="14519" priority="1949">
      <formula>$A13="Station"</formula>
    </cfRule>
    <cfRule type="expression" dxfId="14518" priority="1950">
      <formula>$A13="Overlap between sections"</formula>
    </cfRule>
  </conditionalFormatting>
  <conditionalFormatting sqref="AT13:AT15">
    <cfRule type="expression" dxfId="14517" priority="1929">
      <formula>$A13="Overhead Cable"</formula>
    </cfRule>
    <cfRule type="expression" dxfId="14516" priority="1930">
      <formula>$A13="Level Crossing"</formula>
    </cfRule>
    <cfRule type="expression" dxfId="14515" priority="1931">
      <formula>$A13="Neutral Section"</formula>
    </cfRule>
    <cfRule type="expression" dxfId="14514" priority="1932">
      <formula>$A13="Tunnel"</formula>
    </cfRule>
    <cfRule type="expression" dxfId="14513" priority="1933">
      <formula>$A13="Bridge"</formula>
    </cfRule>
    <cfRule type="expression" dxfId="14512" priority="1934">
      <formula>$A13="Drainage Works"</formula>
    </cfRule>
    <cfRule type="expression" dxfId="14511" priority="1935">
      <formula>$A13="Underpass"</formula>
    </cfRule>
    <cfRule type="expression" dxfId="14510" priority="1936">
      <formula>$A13="Overcrossing"</formula>
    </cfRule>
    <cfRule type="expression" dxfId="14509" priority="1937">
      <formula>$A13="Overpass"</formula>
    </cfRule>
    <cfRule type="expression" dxfId="14508" priority="1938">
      <formula>$A13="Station"</formula>
    </cfRule>
    <cfRule type="expression" dxfId="14507" priority="1939">
      <formula>$A13="Overlap between sections"</formula>
    </cfRule>
  </conditionalFormatting>
  <conditionalFormatting sqref="AU13:AU15">
    <cfRule type="expression" dxfId="14506" priority="1918">
      <formula>$A13="Overhead Cable"</formula>
    </cfRule>
    <cfRule type="expression" dxfId="14505" priority="1919">
      <formula>$A13="Level Crossing"</formula>
    </cfRule>
    <cfRule type="expression" dxfId="14504" priority="1920">
      <formula>$A13="Neutral Section"</formula>
    </cfRule>
    <cfRule type="expression" dxfId="14503" priority="1921">
      <formula>$A13="Tunnel"</formula>
    </cfRule>
    <cfRule type="expression" dxfId="14502" priority="1922">
      <formula>$A13="Bridge"</formula>
    </cfRule>
    <cfRule type="expression" dxfId="14501" priority="1923">
      <formula>$A13="Drainage Works"</formula>
    </cfRule>
    <cfRule type="expression" dxfId="14500" priority="1924">
      <formula>$A13="Underpass"</formula>
    </cfRule>
    <cfRule type="expression" dxfId="14499" priority="1925">
      <formula>$A13="Overcrossing"</formula>
    </cfRule>
    <cfRule type="expression" dxfId="14498" priority="1926">
      <formula>$A13="Overpass"</formula>
    </cfRule>
    <cfRule type="expression" dxfId="14497" priority="1927">
      <formula>$A13="Station"</formula>
    </cfRule>
    <cfRule type="expression" dxfId="14496" priority="1928">
      <formula>$A13="Overlap between sections"</formula>
    </cfRule>
  </conditionalFormatting>
  <conditionalFormatting sqref="AV13:AV15">
    <cfRule type="expression" dxfId="14495" priority="1907">
      <formula>$A13="Overhead Cable"</formula>
    </cfRule>
    <cfRule type="expression" dxfId="14494" priority="1908">
      <formula>$A13="Level Crossing"</formula>
    </cfRule>
    <cfRule type="expression" dxfId="14493" priority="1909">
      <formula>$A13="Neutral Section"</formula>
    </cfRule>
    <cfRule type="expression" dxfId="14492" priority="1910">
      <formula>$A13="Tunnel"</formula>
    </cfRule>
    <cfRule type="expression" dxfId="14491" priority="1911">
      <formula>$A13="Bridge"</formula>
    </cfRule>
    <cfRule type="expression" dxfId="14490" priority="1912">
      <formula>$A13="Drainage Works"</formula>
    </cfRule>
    <cfRule type="expression" dxfId="14489" priority="1913">
      <formula>$A13="Underpass"</formula>
    </cfRule>
    <cfRule type="expression" dxfId="14488" priority="1914">
      <formula>$A13="Overcrossing"</formula>
    </cfRule>
    <cfRule type="expression" dxfId="14487" priority="1915">
      <formula>$A13="Overpass"</formula>
    </cfRule>
    <cfRule type="expression" dxfId="14486" priority="1916">
      <formula>$A13="Station"</formula>
    </cfRule>
    <cfRule type="expression" dxfId="14485" priority="1917">
      <formula>$A13="Overlap between sections"</formula>
    </cfRule>
  </conditionalFormatting>
  <conditionalFormatting sqref="AW13:AW15">
    <cfRule type="expression" dxfId="14484" priority="1896">
      <formula>$A13="Overhead Cable"</formula>
    </cfRule>
    <cfRule type="expression" dxfId="14483" priority="1897">
      <formula>$A13="Level Crossing"</formula>
    </cfRule>
    <cfRule type="expression" dxfId="14482" priority="1898">
      <formula>$A13="Neutral Section"</formula>
    </cfRule>
    <cfRule type="expression" dxfId="14481" priority="1899">
      <formula>$A13="Tunnel"</formula>
    </cfRule>
    <cfRule type="expression" dxfId="14480" priority="1900">
      <formula>$A13="Bridge"</formula>
    </cfRule>
    <cfRule type="expression" dxfId="14479" priority="1901">
      <formula>$A13="Drainage Works"</formula>
    </cfRule>
    <cfRule type="expression" dxfId="14478" priority="1902">
      <formula>$A13="Underpass"</formula>
    </cfRule>
    <cfRule type="expression" dxfId="14477" priority="1903">
      <formula>$A13="Overcrossing"</formula>
    </cfRule>
    <cfRule type="expression" dxfId="14476" priority="1904">
      <formula>$A13="Overpass"</formula>
    </cfRule>
    <cfRule type="expression" dxfId="14475" priority="1905">
      <formula>$A13="Station"</formula>
    </cfRule>
    <cfRule type="expression" dxfId="14474" priority="1906">
      <formula>$A13="Overlap between sections"</formula>
    </cfRule>
  </conditionalFormatting>
  <conditionalFormatting sqref="AX13:AX15">
    <cfRule type="expression" dxfId="14473" priority="1885">
      <formula>$A13="Overhead Cable"</formula>
    </cfRule>
    <cfRule type="expression" dxfId="14472" priority="1886">
      <formula>$A13="Level Crossing"</formula>
    </cfRule>
    <cfRule type="expression" dxfId="14471" priority="1887">
      <formula>$A13="Neutral Section"</formula>
    </cfRule>
    <cfRule type="expression" dxfId="14470" priority="1888">
      <formula>$A13="Tunnel"</formula>
    </cfRule>
    <cfRule type="expression" dxfId="14469" priority="1889">
      <formula>$A13="Bridge"</formula>
    </cfRule>
    <cfRule type="expression" dxfId="14468" priority="1890">
      <formula>$A13="Drainage Works"</formula>
    </cfRule>
    <cfRule type="expression" dxfId="14467" priority="1891">
      <formula>$A13="Underpass"</formula>
    </cfRule>
    <cfRule type="expression" dxfId="14466" priority="1892">
      <formula>$A13="Overcrossing"</formula>
    </cfRule>
    <cfRule type="expression" dxfId="14465" priority="1893">
      <formula>$A13="Overpass"</formula>
    </cfRule>
    <cfRule type="expression" dxfId="14464" priority="1894">
      <formula>$A13="Station"</formula>
    </cfRule>
    <cfRule type="expression" dxfId="14463" priority="1895">
      <formula>$A13="Overlap between sections"</formula>
    </cfRule>
  </conditionalFormatting>
  <conditionalFormatting sqref="F13:F15">
    <cfRule type="expression" dxfId="14462" priority="1874">
      <formula>$A13="Overhead Cable"</formula>
    </cfRule>
    <cfRule type="expression" dxfId="14461" priority="1875">
      <formula>$A13="Level Crossing"</formula>
    </cfRule>
    <cfRule type="expression" dxfId="14460" priority="1876">
      <formula>$A13="Neutral Section"</formula>
    </cfRule>
    <cfRule type="expression" dxfId="14459" priority="1877">
      <formula>$A13="Tunnel"</formula>
    </cfRule>
    <cfRule type="expression" dxfId="14458" priority="1878">
      <formula>$A13="Bridge"</formula>
    </cfRule>
    <cfRule type="expression" dxfId="14457" priority="1879">
      <formula>$A13="Drainage Works"</formula>
    </cfRule>
    <cfRule type="expression" dxfId="14456" priority="1880">
      <formula>$A13="Underpass"</formula>
    </cfRule>
    <cfRule type="expression" dxfId="14455" priority="1881">
      <formula>$A13="Overcrossing"</formula>
    </cfRule>
    <cfRule type="expression" dxfId="14454" priority="1882">
      <formula>$A13="Overpass"</formula>
    </cfRule>
    <cfRule type="expression" dxfId="14453" priority="1883">
      <formula>$A13="Station"</formula>
    </cfRule>
    <cfRule type="expression" dxfId="14452" priority="1884">
      <formula>$A13="Overlap between sections"</formula>
    </cfRule>
  </conditionalFormatting>
  <conditionalFormatting sqref="Q13:Q15">
    <cfRule type="expression" dxfId="14451" priority="1863">
      <formula>$A13="Overhead Cable"</formula>
    </cfRule>
    <cfRule type="expression" dxfId="14450" priority="1864">
      <formula>$A13="Level Crossing"</formula>
    </cfRule>
    <cfRule type="expression" dxfId="14449" priority="1865">
      <formula>$A13="Neutral Section"</formula>
    </cfRule>
    <cfRule type="expression" dxfId="14448" priority="1866">
      <formula>$A13="Tunnel"</formula>
    </cfRule>
    <cfRule type="expression" dxfId="14447" priority="1867">
      <formula>$A13="Bridge"</formula>
    </cfRule>
    <cfRule type="expression" dxfId="14446" priority="1868">
      <formula>$A13="Drainage Works"</formula>
    </cfRule>
    <cfRule type="expression" dxfId="14445" priority="1869">
      <formula>$A13="Underpass"</formula>
    </cfRule>
    <cfRule type="expression" dxfId="14444" priority="1870">
      <formula>$A13="Overcrossing"</formula>
    </cfRule>
    <cfRule type="expression" dxfId="14443" priority="1871">
      <formula>$A13="Overpass"</formula>
    </cfRule>
    <cfRule type="expression" dxfId="14442" priority="1872">
      <formula>$A13="Station"</formula>
    </cfRule>
    <cfRule type="expression" dxfId="14441" priority="1873">
      <formula>$A13="Overlap between sections"</formula>
    </cfRule>
  </conditionalFormatting>
  <conditionalFormatting sqref="T13:T15">
    <cfRule type="expression" dxfId="14440" priority="1852">
      <formula>$A13="Overhead Cable"</formula>
    </cfRule>
    <cfRule type="expression" dxfId="14439" priority="1853">
      <formula>$A13="Level Crossing"</formula>
    </cfRule>
    <cfRule type="expression" dxfId="14438" priority="1854">
      <formula>$A13="Neutral Section"</formula>
    </cfRule>
    <cfRule type="expression" dxfId="14437" priority="1855">
      <formula>$A13="Tunnel"</formula>
    </cfRule>
    <cfRule type="expression" dxfId="14436" priority="1856">
      <formula>$A13="Bridge"</formula>
    </cfRule>
    <cfRule type="expression" dxfId="14435" priority="1857">
      <formula>$A13="Drainage Works"</formula>
    </cfRule>
    <cfRule type="expression" dxfId="14434" priority="1858">
      <formula>$A13="Underpass"</formula>
    </cfRule>
    <cfRule type="expression" dxfId="14433" priority="1859">
      <formula>$A13="Overcrossing"</formula>
    </cfRule>
    <cfRule type="expression" dxfId="14432" priority="1860">
      <formula>$A13="Overpass"</formula>
    </cfRule>
    <cfRule type="expression" dxfId="14431" priority="1861">
      <formula>$A13="Station"</formula>
    </cfRule>
    <cfRule type="expression" dxfId="14430" priority="1862">
      <formula>$A13="Overlap between sections"</formula>
    </cfRule>
  </conditionalFormatting>
  <conditionalFormatting sqref="U13:U15">
    <cfRule type="expression" dxfId="14429" priority="1841">
      <formula>$A13="Overhead Cable"</formula>
    </cfRule>
    <cfRule type="expression" dxfId="14428" priority="1842">
      <formula>$A13="Level Crossing"</formula>
    </cfRule>
    <cfRule type="expression" dxfId="14427" priority="1843">
      <formula>$A13="Neutral Section"</formula>
    </cfRule>
    <cfRule type="expression" dxfId="14426" priority="1844">
      <formula>$A13="Tunnel"</formula>
    </cfRule>
    <cfRule type="expression" dxfId="14425" priority="1845">
      <formula>$A13="Bridge"</formula>
    </cfRule>
    <cfRule type="expression" dxfId="14424" priority="1846">
      <formula>$A13="Drainage Works"</formula>
    </cfRule>
    <cfRule type="expression" dxfId="14423" priority="1847">
      <formula>$A13="Underpass"</formula>
    </cfRule>
    <cfRule type="expression" dxfId="14422" priority="1848">
      <formula>$A13="Overcrossing"</formula>
    </cfRule>
    <cfRule type="expression" dxfId="14421" priority="1849">
      <formula>$A13="Overpass"</formula>
    </cfRule>
    <cfRule type="expression" dxfId="14420" priority="1850">
      <formula>$A13="Station"</formula>
    </cfRule>
    <cfRule type="expression" dxfId="14419" priority="1851">
      <formula>$A13="Overlap between sections"</formula>
    </cfRule>
  </conditionalFormatting>
  <conditionalFormatting sqref="V13:V15">
    <cfRule type="expression" dxfId="14418" priority="1830">
      <formula>$A13="Overhead Cable"</formula>
    </cfRule>
    <cfRule type="expression" dxfId="14417" priority="1831">
      <formula>$A13="Level Crossing"</formula>
    </cfRule>
    <cfRule type="expression" dxfId="14416" priority="1832">
      <formula>$A13="Neutral Section"</formula>
    </cfRule>
    <cfRule type="expression" dxfId="14415" priority="1833">
      <formula>$A13="Tunnel"</formula>
    </cfRule>
    <cfRule type="expression" dxfId="14414" priority="1834">
      <formula>$A13="Bridge"</formula>
    </cfRule>
    <cfRule type="expression" dxfId="14413" priority="1835">
      <formula>$A13="Drainage Works"</formula>
    </cfRule>
    <cfRule type="expression" dxfId="14412" priority="1836">
      <formula>$A13="Underpass"</formula>
    </cfRule>
    <cfRule type="expression" dxfId="14411" priority="1837">
      <formula>$A13="Overcrossing"</formula>
    </cfRule>
    <cfRule type="expression" dxfId="14410" priority="1838">
      <formula>$A13="Overpass"</formula>
    </cfRule>
    <cfRule type="expression" dxfId="14409" priority="1839">
      <formula>$A13="Station"</formula>
    </cfRule>
    <cfRule type="expression" dxfId="14408" priority="1840">
      <formula>$A13="Overlap between sections"</formula>
    </cfRule>
  </conditionalFormatting>
  <conditionalFormatting sqref="AF13:AF15">
    <cfRule type="expression" dxfId="14407" priority="1819">
      <formula>$A13="Overhead Cable"</formula>
    </cfRule>
    <cfRule type="expression" dxfId="14406" priority="1820">
      <formula>$A13="Level Crossing"</formula>
    </cfRule>
    <cfRule type="expression" dxfId="14405" priority="1821">
      <formula>$A13="Neutral Section"</formula>
    </cfRule>
    <cfRule type="expression" dxfId="14404" priority="1822">
      <formula>$A13="Tunnel"</formula>
    </cfRule>
    <cfRule type="expression" dxfId="14403" priority="1823">
      <formula>$A13="Bridge"</formula>
    </cfRule>
    <cfRule type="expression" dxfId="14402" priority="1824">
      <formula>$A13="Drainage Works"</formula>
    </cfRule>
    <cfRule type="expression" dxfId="14401" priority="1825">
      <formula>$A13="Underpass"</formula>
    </cfRule>
    <cfRule type="expression" dxfId="14400" priority="1826">
      <formula>$A13="Overcrossing"</formula>
    </cfRule>
    <cfRule type="expression" dxfId="14399" priority="1827">
      <formula>$A13="Overpass"</formula>
    </cfRule>
    <cfRule type="expression" dxfId="14398" priority="1828">
      <formula>$A13="Station"</formula>
    </cfRule>
    <cfRule type="expression" dxfId="14397" priority="1829">
      <formula>$A13="Overlap between sections"</formula>
    </cfRule>
  </conditionalFormatting>
  <conditionalFormatting sqref="AH13:AH15">
    <cfRule type="expression" dxfId="14396" priority="1808">
      <formula>$A13="Overhead Cable"</formula>
    </cfRule>
    <cfRule type="expression" dxfId="14395" priority="1809">
      <formula>$A13="Level Crossing"</formula>
    </cfRule>
    <cfRule type="expression" dxfId="14394" priority="1810">
      <formula>$A13="Neutral Section"</formula>
    </cfRule>
    <cfRule type="expression" dxfId="14393" priority="1811">
      <formula>$A13="Tunnel"</formula>
    </cfRule>
    <cfRule type="expression" dxfId="14392" priority="1812">
      <formula>$A13="Bridge"</formula>
    </cfRule>
    <cfRule type="expression" dxfId="14391" priority="1813">
      <formula>$A13="Drainage Works"</formula>
    </cfRule>
    <cfRule type="expression" dxfId="14390" priority="1814">
      <formula>$A13="Underpass"</formula>
    </cfRule>
    <cfRule type="expression" dxfId="14389" priority="1815">
      <formula>$A13="Overcrossing"</formula>
    </cfRule>
    <cfRule type="expression" dxfId="14388" priority="1816">
      <formula>$A13="Overpass"</formula>
    </cfRule>
    <cfRule type="expression" dxfId="14387" priority="1817">
      <formula>$A13="Station"</formula>
    </cfRule>
    <cfRule type="expression" dxfId="14386" priority="1818">
      <formula>$A13="Overlap between sections"</formula>
    </cfRule>
  </conditionalFormatting>
  <conditionalFormatting sqref="AI13:AI15">
    <cfRule type="expression" dxfId="14385" priority="1797">
      <formula>$A13="Overhead Cable"</formula>
    </cfRule>
    <cfRule type="expression" dxfId="14384" priority="1798">
      <formula>$A13="Level Crossing"</formula>
    </cfRule>
    <cfRule type="expression" dxfId="14383" priority="1799">
      <formula>$A13="Neutral Section"</formula>
    </cfRule>
    <cfRule type="expression" dxfId="14382" priority="1800">
      <formula>$A13="Tunnel"</formula>
    </cfRule>
    <cfRule type="expression" dxfId="14381" priority="1801">
      <formula>$A13="Bridge"</formula>
    </cfRule>
    <cfRule type="expression" dxfId="14380" priority="1802">
      <formula>$A13="Drainage Works"</formula>
    </cfRule>
    <cfRule type="expression" dxfId="14379" priority="1803">
      <formula>$A13="Underpass"</formula>
    </cfRule>
    <cfRule type="expression" dxfId="14378" priority="1804">
      <formula>$A13="Overcrossing"</formula>
    </cfRule>
    <cfRule type="expression" dxfId="14377" priority="1805">
      <formula>$A13="Overpass"</formula>
    </cfRule>
    <cfRule type="expression" dxfId="14376" priority="1806">
      <formula>$A13="Station"</formula>
    </cfRule>
    <cfRule type="expression" dxfId="14375" priority="1807">
      <formula>$A13="Overlap between sections"</formula>
    </cfRule>
  </conditionalFormatting>
  <conditionalFormatting sqref="R13:R15">
    <cfRule type="expression" dxfId="14374" priority="1786">
      <formula>$A13="Overhead Cable"</formula>
    </cfRule>
    <cfRule type="expression" dxfId="14373" priority="1787">
      <formula>$A13="Level Crossing"</formula>
    </cfRule>
    <cfRule type="expression" dxfId="14372" priority="1788">
      <formula>$A13="Neutral Section"</formula>
    </cfRule>
    <cfRule type="expression" dxfId="14371" priority="1789">
      <formula>$A13="Tunnel"</formula>
    </cfRule>
    <cfRule type="expression" dxfId="14370" priority="1790">
      <formula>$A13="Bridge"</formula>
    </cfRule>
    <cfRule type="expression" dxfId="14369" priority="1791">
      <formula>$A13="Drainage Works"</formula>
    </cfRule>
    <cfRule type="expression" dxfId="14368" priority="1792">
      <formula>$A13="Underpass"</formula>
    </cfRule>
    <cfRule type="expression" dxfId="14367" priority="1793">
      <formula>$A13="Overcrossing"</formula>
    </cfRule>
    <cfRule type="expression" dxfId="14366" priority="1794">
      <formula>$A13="Overpass"</formula>
    </cfRule>
    <cfRule type="expression" dxfId="14365" priority="1795">
      <formula>$A13="Station"</formula>
    </cfRule>
    <cfRule type="expression" dxfId="14364" priority="1796">
      <formula>$A13="Overlap between sections"</formula>
    </cfRule>
  </conditionalFormatting>
  <conditionalFormatting sqref="S13:S15">
    <cfRule type="expression" dxfId="14363" priority="1775">
      <formula>$A13="Overhead Cable"</formula>
    </cfRule>
    <cfRule type="expression" dxfId="14362" priority="1776">
      <formula>$A13="Level Crossing"</formula>
    </cfRule>
    <cfRule type="expression" dxfId="14361" priority="1777">
      <formula>$A13="Neutral Section"</formula>
    </cfRule>
    <cfRule type="expression" dxfId="14360" priority="1778">
      <formula>$A13="Tunnel"</formula>
    </cfRule>
    <cfRule type="expression" dxfId="14359" priority="1779">
      <formula>$A13="Bridge"</formula>
    </cfRule>
    <cfRule type="expression" dxfId="14358" priority="1780">
      <formula>$A13="Drainage Works"</formula>
    </cfRule>
    <cfRule type="expression" dxfId="14357" priority="1781">
      <formula>$A13="Underpass"</formula>
    </cfRule>
    <cfRule type="expression" dxfId="14356" priority="1782">
      <formula>$A13="Overcrossing"</formula>
    </cfRule>
    <cfRule type="expression" dxfId="14355" priority="1783">
      <formula>$A13="Overpass"</formula>
    </cfRule>
    <cfRule type="expression" dxfId="14354" priority="1784">
      <formula>$A13="Station"</formula>
    </cfRule>
    <cfRule type="expression" dxfId="14353" priority="1785">
      <formula>$A13="Overlap between sections"</formula>
    </cfRule>
  </conditionalFormatting>
  <conditionalFormatting sqref="W13:W15">
    <cfRule type="expression" dxfId="14352" priority="1764">
      <formula>$A13="Overhead Cable"</formula>
    </cfRule>
    <cfRule type="expression" dxfId="14351" priority="1765">
      <formula>$A13="Level Crossing"</formula>
    </cfRule>
    <cfRule type="expression" dxfId="14350" priority="1766">
      <formula>$A13="Neutral Section"</formula>
    </cfRule>
    <cfRule type="expression" dxfId="14349" priority="1767">
      <formula>$A13="Tunnel"</formula>
    </cfRule>
    <cfRule type="expression" dxfId="14348" priority="1768">
      <formula>$A13="Bridge"</formula>
    </cfRule>
    <cfRule type="expression" dxfId="14347" priority="1769">
      <formula>$A13="Drainage Works"</formula>
    </cfRule>
    <cfRule type="expression" dxfId="14346" priority="1770">
      <formula>$A13="Underpass"</formula>
    </cfRule>
    <cfRule type="expression" dxfId="14345" priority="1771">
      <formula>$A13="Overcrossing"</formula>
    </cfRule>
    <cfRule type="expression" dxfId="14344" priority="1772">
      <formula>$A13="Overpass"</formula>
    </cfRule>
    <cfRule type="expression" dxfId="14343" priority="1773">
      <formula>$A13="Station"</formula>
    </cfRule>
    <cfRule type="expression" dxfId="14342" priority="1774">
      <formula>$A13="Overlap between sections"</formula>
    </cfRule>
  </conditionalFormatting>
  <conditionalFormatting sqref="X13:X15">
    <cfRule type="expression" dxfId="14341" priority="1753">
      <formula>$A13="Overhead Cable"</formula>
    </cfRule>
    <cfRule type="expression" dxfId="14340" priority="1754">
      <formula>$A13="Level Crossing"</formula>
    </cfRule>
    <cfRule type="expression" dxfId="14339" priority="1755">
      <formula>$A13="Neutral Section"</formula>
    </cfRule>
    <cfRule type="expression" dxfId="14338" priority="1756">
      <formula>$A13="Tunnel"</formula>
    </cfRule>
    <cfRule type="expression" dxfId="14337" priority="1757">
      <formula>$A13="Bridge"</formula>
    </cfRule>
    <cfRule type="expression" dxfId="14336" priority="1758">
      <formula>$A13="Drainage Works"</formula>
    </cfRule>
    <cfRule type="expression" dxfId="14335" priority="1759">
      <formula>$A13="Underpass"</formula>
    </cfRule>
    <cfRule type="expression" dxfId="14334" priority="1760">
      <formula>$A13="Overcrossing"</formula>
    </cfRule>
    <cfRule type="expression" dxfId="14333" priority="1761">
      <formula>$A13="Overpass"</formula>
    </cfRule>
    <cfRule type="expression" dxfId="14332" priority="1762">
      <formula>$A13="Station"</formula>
    </cfRule>
    <cfRule type="expression" dxfId="14331" priority="1763">
      <formula>$A13="Overlap between sections"</formula>
    </cfRule>
  </conditionalFormatting>
  <conditionalFormatting sqref="Y13:Y15">
    <cfRule type="expression" dxfId="14330" priority="1742">
      <formula>$A13="Overhead Cable"</formula>
    </cfRule>
    <cfRule type="expression" dxfId="14329" priority="1743">
      <formula>$A13="Level Crossing"</formula>
    </cfRule>
    <cfRule type="expression" dxfId="14328" priority="1744">
      <formula>$A13="Neutral Section"</formula>
    </cfRule>
    <cfRule type="expression" dxfId="14327" priority="1745">
      <formula>$A13="Tunnel"</formula>
    </cfRule>
    <cfRule type="expression" dxfId="14326" priority="1746">
      <formula>$A13="Bridge"</formula>
    </cfRule>
    <cfRule type="expression" dxfId="14325" priority="1747">
      <formula>$A13="Drainage Works"</formula>
    </cfRule>
    <cfRule type="expression" dxfId="14324" priority="1748">
      <formula>$A13="Underpass"</formula>
    </cfRule>
    <cfRule type="expression" dxfId="14323" priority="1749">
      <formula>$A13="Overcrossing"</formula>
    </cfRule>
    <cfRule type="expression" dxfId="14322" priority="1750">
      <formula>$A13="Overpass"</formula>
    </cfRule>
    <cfRule type="expression" dxfId="14321" priority="1751">
      <formula>$A13="Station"</formula>
    </cfRule>
    <cfRule type="expression" dxfId="14320" priority="1752">
      <formula>$A13="Overlap between sections"</formula>
    </cfRule>
  </conditionalFormatting>
  <conditionalFormatting sqref="Z13:Z15">
    <cfRule type="expression" dxfId="14319" priority="1731">
      <formula>$A13="Overhead Cable"</formula>
    </cfRule>
    <cfRule type="expression" dxfId="14318" priority="1732">
      <formula>$A13="Level Crossing"</formula>
    </cfRule>
    <cfRule type="expression" dxfId="14317" priority="1733">
      <formula>$A13="Neutral Section"</formula>
    </cfRule>
    <cfRule type="expression" dxfId="14316" priority="1734">
      <formula>$A13="Tunnel"</formula>
    </cfRule>
    <cfRule type="expression" dxfId="14315" priority="1735">
      <formula>$A13="Bridge"</formula>
    </cfRule>
    <cfRule type="expression" dxfId="14314" priority="1736">
      <formula>$A13="Drainage Works"</formula>
    </cfRule>
    <cfRule type="expression" dxfId="14313" priority="1737">
      <formula>$A13="Underpass"</formula>
    </cfRule>
    <cfRule type="expression" dxfId="14312" priority="1738">
      <formula>$A13="Overcrossing"</formula>
    </cfRule>
    <cfRule type="expression" dxfId="14311" priority="1739">
      <formula>$A13="Overpass"</formula>
    </cfRule>
    <cfRule type="expression" dxfId="14310" priority="1740">
      <formula>$A13="Station"</formula>
    </cfRule>
    <cfRule type="expression" dxfId="14309" priority="1741">
      <formula>$A13="Overlap between sections"</formula>
    </cfRule>
  </conditionalFormatting>
  <conditionalFormatting sqref="AA13:AA15">
    <cfRule type="expression" dxfId="14308" priority="1720">
      <formula>$A13="Overhead Cable"</formula>
    </cfRule>
    <cfRule type="expression" dxfId="14307" priority="1721">
      <formula>$A13="Level Crossing"</formula>
    </cfRule>
    <cfRule type="expression" dxfId="14306" priority="1722">
      <formula>$A13="Neutral Section"</formula>
    </cfRule>
    <cfRule type="expression" dxfId="14305" priority="1723">
      <formula>$A13="Tunnel"</formula>
    </cfRule>
    <cfRule type="expression" dxfId="14304" priority="1724">
      <formula>$A13="Bridge"</formula>
    </cfRule>
    <cfRule type="expression" dxfId="14303" priority="1725">
      <formula>$A13="Drainage Works"</formula>
    </cfRule>
    <cfRule type="expression" dxfId="14302" priority="1726">
      <formula>$A13="Underpass"</formula>
    </cfRule>
    <cfRule type="expression" dxfId="14301" priority="1727">
      <formula>$A13="Overcrossing"</formula>
    </cfRule>
    <cfRule type="expression" dxfId="14300" priority="1728">
      <formula>$A13="Overpass"</formula>
    </cfRule>
    <cfRule type="expression" dxfId="14299" priority="1729">
      <formula>$A13="Station"</formula>
    </cfRule>
    <cfRule type="expression" dxfId="14298" priority="1730">
      <formula>$A13="Overlap between sections"</formula>
    </cfRule>
  </conditionalFormatting>
  <conditionalFormatting sqref="AB13:AB15">
    <cfRule type="expression" dxfId="14297" priority="1709">
      <formula>$A13="Overhead Cable"</formula>
    </cfRule>
    <cfRule type="expression" dxfId="14296" priority="1710">
      <formula>$A13="Level Crossing"</formula>
    </cfRule>
    <cfRule type="expression" dxfId="14295" priority="1711">
      <formula>$A13="Neutral Section"</formula>
    </cfRule>
    <cfRule type="expression" dxfId="14294" priority="1712">
      <formula>$A13="Tunnel"</formula>
    </cfRule>
    <cfRule type="expression" dxfId="14293" priority="1713">
      <formula>$A13="Bridge"</formula>
    </cfRule>
    <cfRule type="expression" dxfId="14292" priority="1714">
      <formula>$A13="Drainage Works"</formula>
    </cfRule>
    <cfRule type="expression" dxfId="14291" priority="1715">
      <formula>$A13="Underpass"</formula>
    </cfRule>
    <cfRule type="expression" dxfId="14290" priority="1716">
      <formula>$A13="Overcrossing"</formula>
    </cfRule>
    <cfRule type="expression" dxfId="14289" priority="1717">
      <formula>$A13="Overpass"</formula>
    </cfRule>
    <cfRule type="expression" dxfId="14288" priority="1718">
      <formula>$A13="Station"</formula>
    </cfRule>
    <cfRule type="expression" dxfId="14287" priority="1719">
      <formula>$A13="Overlap between sections"</formula>
    </cfRule>
  </conditionalFormatting>
  <conditionalFormatting sqref="BD13 BD15">
    <cfRule type="containsText" dxfId="14286" priority="1708" operator="containsText" text="Poner a mano">
      <formula>NOT(ISERROR(SEARCH("Poner a mano",BD13)))</formula>
    </cfRule>
  </conditionalFormatting>
  <conditionalFormatting sqref="BA13:BC15">
    <cfRule type="expression" dxfId="14285" priority="1706">
      <formula>$BE13="A"</formula>
    </cfRule>
    <cfRule type="expression" dxfId="14284" priority="1707">
      <formula>$BE13="R"</formula>
    </cfRule>
  </conditionalFormatting>
  <conditionalFormatting sqref="BC13:BC15">
    <cfRule type="expression" dxfId="14283" priority="1705">
      <formula>$M13="U.S. N.D."</formula>
    </cfRule>
  </conditionalFormatting>
  <conditionalFormatting sqref="BB13:BB15">
    <cfRule type="expression" dxfId="14282" priority="1703">
      <formula>$AZ13="N.D."</formula>
    </cfRule>
  </conditionalFormatting>
  <conditionalFormatting sqref="BA13:BA15">
    <cfRule type="expression" dxfId="14281" priority="1704">
      <formula>$AY13="N.D."</formula>
    </cfRule>
  </conditionalFormatting>
  <conditionalFormatting sqref="AM22">
    <cfRule type="expression" dxfId="14280" priority="1700">
      <formula>$M22="NON DEFINED"</formula>
    </cfRule>
    <cfRule type="expression" dxfId="14279" priority="1701">
      <formula>$AZ22="N.D."</formula>
    </cfRule>
    <cfRule type="expression" dxfId="14278" priority="1702">
      <formula>$AY22="N.D."</formula>
    </cfRule>
  </conditionalFormatting>
  <conditionalFormatting sqref="AM22">
    <cfRule type="expression" dxfId="14277" priority="1689">
      <formula>$A22="Overhead Cable"</formula>
    </cfRule>
    <cfRule type="expression" dxfId="14276" priority="1690">
      <formula>$A22="Level Crossing"</formula>
    </cfRule>
    <cfRule type="expression" dxfId="14275" priority="1691">
      <formula>$A22="Neutral Section"</formula>
    </cfRule>
    <cfRule type="expression" dxfId="14274" priority="1692">
      <formula>$A22="Tunnel"</formula>
    </cfRule>
    <cfRule type="expression" dxfId="14273" priority="1693">
      <formula>$A22="Bridge"</formula>
    </cfRule>
    <cfRule type="expression" dxfId="14272" priority="1694">
      <formula>$A22="Drainage Works"</formula>
    </cfRule>
    <cfRule type="expression" dxfId="14271" priority="1695">
      <formula>$A22="Underpass"</formula>
    </cfRule>
    <cfRule type="expression" dxfId="14270" priority="1696">
      <formula>$A22="Overcrossing"</formula>
    </cfRule>
    <cfRule type="expression" dxfId="14269" priority="1697">
      <formula>$A22="Overpass"</formula>
    </cfRule>
    <cfRule type="expression" dxfId="14268" priority="1698">
      <formula>$A22="Station"</formula>
    </cfRule>
    <cfRule type="expression" dxfId="14267" priority="1699">
      <formula>$A22="Overlap between sections"</formula>
    </cfRule>
  </conditionalFormatting>
  <conditionalFormatting sqref="AM24">
    <cfRule type="expression" dxfId="14266" priority="1686">
      <formula>$M24="NON DEFINED"</formula>
    </cfRule>
    <cfRule type="expression" dxfId="14265" priority="1687">
      <formula>$AZ24="N.D."</formula>
    </cfRule>
    <cfRule type="expression" dxfId="14264" priority="1688">
      <formula>$AY24="N.D."</formula>
    </cfRule>
  </conditionalFormatting>
  <conditionalFormatting sqref="AM24">
    <cfRule type="expression" dxfId="14263" priority="1675">
      <formula>$A24="Overhead Cable"</formula>
    </cfRule>
    <cfRule type="expression" dxfId="14262" priority="1676">
      <formula>$A24="Level Crossing"</formula>
    </cfRule>
    <cfRule type="expression" dxfId="14261" priority="1677">
      <formula>$A24="Neutral Section"</formula>
    </cfRule>
    <cfRule type="expression" dxfId="14260" priority="1678">
      <formula>$A24="Tunnel"</formula>
    </cfRule>
    <cfRule type="expression" dxfId="14259" priority="1679">
      <formula>$A24="Bridge"</formula>
    </cfRule>
    <cfRule type="expression" dxfId="14258" priority="1680">
      <formula>$A24="Drainage Works"</formula>
    </cfRule>
    <cfRule type="expression" dxfId="14257" priority="1681">
      <formula>$A24="Underpass"</formula>
    </cfRule>
    <cfRule type="expression" dxfId="14256" priority="1682">
      <formula>$A24="Overcrossing"</formula>
    </cfRule>
    <cfRule type="expression" dxfId="14255" priority="1683">
      <formula>$A24="Overpass"</formula>
    </cfRule>
    <cfRule type="expression" dxfId="14254" priority="1684">
      <formula>$A24="Station"</formula>
    </cfRule>
    <cfRule type="expression" dxfId="14253" priority="1685">
      <formula>$A24="Overlap between sections"</formula>
    </cfRule>
  </conditionalFormatting>
  <conditionalFormatting sqref="AM26">
    <cfRule type="expression" dxfId="14252" priority="1672">
      <formula>$M26="NON DEFINED"</formula>
    </cfRule>
    <cfRule type="expression" dxfId="14251" priority="1673">
      <formula>$AZ26="N.D."</formula>
    </cfRule>
    <cfRule type="expression" dxfId="14250" priority="1674">
      <formula>$AY26="N.D."</formula>
    </cfRule>
  </conditionalFormatting>
  <conditionalFormatting sqref="AM26">
    <cfRule type="expression" dxfId="14249" priority="1661">
      <formula>$A26="Overhead Cable"</formula>
    </cfRule>
    <cfRule type="expression" dxfId="14248" priority="1662">
      <formula>$A26="Level Crossing"</formula>
    </cfRule>
    <cfRule type="expression" dxfId="14247" priority="1663">
      <formula>$A26="Neutral Section"</formula>
    </cfRule>
    <cfRule type="expression" dxfId="14246" priority="1664">
      <formula>$A26="Tunnel"</formula>
    </cfRule>
    <cfRule type="expression" dxfId="14245" priority="1665">
      <formula>$A26="Bridge"</formula>
    </cfRule>
    <cfRule type="expression" dxfId="14244" priority="1666">
      <formula>$A26="Drainage Works"</formula>
    </cfRule>
    <cfRule type="expression" dxfId="14243" priority="1667">
      <formula>$A26="Underpass"</formula>
    </cfRule>
    <cfRule type="expression" dxfId="14242" priority="1668">
      <formula>$A26="Overcrossing"</formula>
    </cfRule>
    <cfRule type="expression" dxfId="14241" priority="1669">
      <formula>$A26="Overpass"</formula>
    </cfRule>
    <cfRule type="expression" dxfId="14240" priority="1670">
      <formula>$A26="Station"</formula>
    </cfRule>
    <cfRule type="expression" dxfId="14239" priority="1671">
      <formula>$A26="Overlap between sections"</formula>
    </cfRule>
  </conditionalFormatting>
  <conditionalFormatting sqref="AM28">
    <cfRule type="expression" dxfId="14238" priority="1658">
      <formula>$M28="NON DEFINED"</formula>
    </cfRule>
    <cfRule type="expression" dxfId="14237" priority="1659">
      <formula>$AZ28="N.D."</formula>
    </cfRule>
    <cfRule type="expression" dxfId="14236" priority="1660">
      <formula>$AY28="N.D."</formula>
    </cfRule>
  </conditionalFormatting>
  <conditionalFormatting sqref="AM28">
    <cfRule type="expression" dxfId="14235" priority="1647">
      <formula>$A28="Overhead Cable"</formula>
    </cfRule>
    <cfRule type="expression" dxfId="14234" priority="1648">
      <formula>$A28="Level Crossing"</formula>
    </cfRule>
    <cfRule type="expression" dxfId="14233" priority="1649">
      <formula>$A28="Neutral Section"</formula>
    </cfRule>
    <cfRule type="expression" dxfId="14232" priority="1650">
      <formula>$A28="Tunnel"</formula>
    </cfRule>
    <cfRule type="expression" dxfId="14231" priority="1651">
      <formula>$A28="Bridge"</formula>
    </cfRule>
    <cfRule type="expression" dxfId="14230" priority="1652">
      <formula>$A28="Drainage Works"</formula>
    </cfRule>
    <cfRule type="expression" dxfId="14229" priority="1653">
      <formula>$A28="Underpass"</formula>
    </cfRule>
    <cfRule type="expression" dxfId="14228" priority="1654">
      <formula>$A28="Overcrossing"</formula>
    </cfRule>
    <cfRule type="expression" dxfId="14227" priority="1655">
      <formula>$A28="Overpass"</formula>
    </cfRule>
    <cfRule type="expression" dxfId="14226" priority="1656">
      <formula>$A28="Station"</formula>
    </cfRule>
    <cfRule type="expression" dxfId="14225" priority="1657">
      <formula>$A28="Overlap between sections"</formula>
    </cfRule>
  </conditionalFormatting>
  <conditionalFormatting sqref="AM30">
    <cfRule type="expression" dxfId="14224" priority="1644">
      <formula>$M30="NON DEFINED"</formula>
    </cfRule>
    <cfRule type="expression" dxfId="14223" priority="1645">
      <formula>$AZ30="N.D."</formula>
    </cfRule>
    <cfRule type="expression" dxfId="14222" priority="1646">
      <formula>$AY30="N.D."</formula>
    </cfRule>
  </conditionalFormatting>
  <conditionalFormatting sqref="AM30">
    <cfRule type="expression" dxfId="14221" priority="1633">
      <formula>$A30="Overhead Cable"</formula>
    </cfRule>
    <cfRule type="expression" dxfId="14220" priority="1634">
      <formula>$A30="Level Crossing"</formula>
    </cfRule>
    <cfRule type="expression" dxfId="14219" priority="1635">
      <formula>$A30="Neutral Section"</formula>
    </cfRule>
    <cfRule type="expression" dxfId="14218" priority="1636">
      <formula>$A30="Tunnel"</formula>
    </cfRule>
    <cfRule type="expression" dxfId="14217" priority="1637">
      <formula>$A30="Bridge"</formula>
    </cfRule>
    <cfRule type="expression" dxfId="14216" priority="1638">
      <formula>$A30="Drainage Works"</formula>
    </cfRule>
    <cfRule type="expression" dxfId="14215" priority="1639">
      <formula>$A30="Underpass"</formula>
    </cfRule>
    <cfRule type="expression" dxfId="14214" priority="1640">
      <formula>$A30="Overcrossing"</formula>
    </cfRule>
    <cfRule type="expression" dxfId="14213" priority="1641">
      <formula>$A30="Overpass"</formula>
    </cfRule>
    <cfRule type="expression" dxfId="14212" priority="1642">
      <formula>$A30="Station"</formula>
    </cfRule>
    <cfRule type="expression" dxfId="14211" priority="1643">
      <formula>$A30="Overlap between sections"</formula>
    </cfRule>
  </conditionalFormatting>
  <conditionalFormatting sqref="AM32">
    <cfRule type="expression" dxfId="14210" priority="1630">
      <formula>$M32="NON DEFINED"</formula>
    </cfRule>
    <cfRule type="expression" dxfId="14209" priority="1631">
      <formula>$AZ32="N.D."</formula>
    </cfRule>
    <cfRule type="expression" dxfId="14208" priority="1632">
      <formula>$AY32="N.D."</formula>
    </cfRule>
  </conditionalFormatting>
  <conditionalFormatting sqref="AM32">
    <cfRule type="expression" dxfId="14207" priority="1619">
      <formula>$A32="Overhead Cable"</formula>
    </cfRule>
    <cfRule type="expression" dxfId="14206" priority="1620">
      <formula>$A32="Level Crossing"</formula>
    </cfRule>
    <cfRule type="expression" dxfId="14205" priority="1621">
      <formula>$A32="Neutral Section"</formula>
    </cfRule>
    <cfRule type="expression" dxfId="14204" priority="1622">
      <formula>$A32="Tunnel"</formula>
    </cfRule>
    <cfRule type="expression" dxfId="14203" priority="1623">
      <formula>$A32="Bridge"</formula>
    </cfRule>
    <cfRule type="expression" dxfId="14202" priority="1624">
      <formula>$A32="Drainage Works"</formula>
    </cfRule>
    <cfRule type="expression" dxfId="14201" priority="1625">
      <formula>$A32="Underpass"</formula>
    </cfRule>
    <cfRule type="expression" dxfId="14200" priority="1626">
      <formula>$A32="Overcrossing"</formula>
    </cfRule>
    <cfRule type="expression" dxfId="14199" priority="1627">
      <formula>$A32="Overpass"</formula>
    </cfRule>
    <cfRule type="expression" dxfId="14198" priority="1628">
      <formula>$A32="Station"</formula>
    </cfRule>
    <cfRule type="expression" dxfId="14197" priority="1629">
      <formula>$A32="Overlap between sections"</formula>
    </cfRule>
  </conditionalFormatting>
  <conditionalFormatting sqref="AM34">
    <cfRule type="expression" dxfId="14196" priority="1616">
      <formula>$M34="NON DEFINED"</formula>
    </cfRule>
    <cfRule type="expression" dxfId="14195" priority="1617">
      <formula>$AZ34="N.D."</formula>
    </cfRule>
    <cfRule type="expression" dxfId="14194" priority="1618">
      <formula>$AY34="N.D."</formula>
    </cfRule>
  </conditionalFormatting>
  <conditionalFormatting sqref="AM34">
    <cfRule type="expression" dxfId="14193" priority="1605">
      <formula>$A34="Overhead Cable"</formula>
    </cfRule>
    <cfRule type="expression" dxfId="14192" priority="1606">
      <formula>$A34="Level Crossing"</formula>
    </cfRule>
    <cfRule type="expression" dxfId="14191" priority="1607">
      <formula>$A34="Neutral Section"</formula>
    </cfRule>
    <cfRule type="expression" dxfId="14190" priority="1608">
      <formula>$A34="Tunnel"</formula>
    </cfRule>
    <cfRule type="expression" dxfId="14189" priority="1609">
      <formula>$A34="Bridge"</formula>
    </cfRule>
    <cfRule type="expression" dxfId="14188" priority="1610">
      <formula>$A34="Drainage Works"</formula>
    </cfRule>
    <cfRule type="expression" dxfId="14187" priority="1611">
      <formula>$A34="Underpass"</formula>
    </cfRule>
    <cfRule type="expression" dxfId="14186" priority="1612">
      <formula>$A34="Overcrossing"</formula>
    </cfRule>
    <cfRule type="expression" dxfId="14185" priority="1613">
      <formula>$A34="Overpass"</formula>
    </cfRule>
    <cfRule type="expression" dxfId="14184" priority="1614">
      <formula>$A34="Station"</formula>
    </cfRule>
    <cfRule type="expression" dxfId="14183" priority="1615">
      <formula>$A34="Overlap between sections"</formula>
    </cfRule>
  </conditionalFormatting>
  <conditionalFormatting sqref="L17:M17">
    <cfRule type="expression" dxfId="14182" priority="1535">
      <formula>$M17="NON DEFINED"</formula>
    </cfRule>
    <cfRule type="expression" dxfId="14181" priority="1536">
      <formula>$AZ17="N.D."</formula>
    </cfRule>
    <cfRule type="expression" dxfId="14180" priority="1537">
      <formula>$AY17="N.D."</formula>
    </cfRule>
  </conditionalFormatting>
  <conditionalFormatting sqref="L17">
    <cfRule type="expression" dxfId="14179" priority="1524">
      <formula>$A17="Overhead Cable"</formula>
    </cfRule>
    <cfRule type="expression" dxfId="14178" priority="1525">
      <formula>$A17="Level Crossing"</formula>
    </cfRule>
    <cfRule type="expression" dxfId="14177" priority="1526">
      <formula>$A17="Neutral Section"</formula>
    </cfRule>
    <cfRule type="expression" dxfId="14176" priority="1527">
      <formula>$A17="Tunnel"</formula>
    </cfRule>
    <cfRule type="expression" dxfId="14175" priority="1528">
      <formula>$A17="Bridge"</formula>
    </cfRule>
    <cfRule type="expression" dxfId="14174" priority="1529">
      <formula>$A17="Drainage Works"</formula>
    </cfRule>
    <cfRule type="expression" dxfId="14173" priority="1530">
      <formula>$A17="Underpass"</formula>
    </cfRule>
    <cfRule type="expression" dxfId="14172" priority="1531">
      <formula>$A17="Overcrossing"</formula>
    </cfRule>
    <cfRule type="expression" dxfId="14171" priority="1532">
      <formula>$A17="Overpass"</formula>
    </cfRule>
    <cfRule type="expression" dxfId="14170" priority="1533">
      <formula>$A17="Station"</formula>
    </cfRule>
    <cfRule type="expression" dxfId="14169" priority="1534">
      <formula>$A17="Overlap between sections"</formula>
    </cfRule>
  </conditionalFormatting>
  <conditionalFormatting sqref="M17">
    <cfRule type="expression" dxfId="14168" priority="1513">
      <formula>$A17="Overhead Cable"</formula>
    </cfRule>
    <cfRule type="expression" dxfId="14167" priority="1514">
      <formula>$A17="Level Crossing"</formula>
    </cfRule>
    <cfRule type="expression" dxfId="14166" priority="1515">
      <formula>$A17="Neutral Section"</formula>
    </cfRule>
    <cfRule type="expression" dxfId="14165" priority="1516">
      <formula>$A17="Tunnel"</formula>
    </cfRule>
    <cfRule type="expression" dxfId="14164" priority="1517">
      <formula>$A17="Bridge"</formula>
    </cfRule>
    <cfRule type="expression" dxfId="14163" priority="1518">
      <formula>$A17="Drainage Works"</formula>
    </cfRule>
    <cfRule type="expression" dxfId="14162" priority="1519">
      <formula>$A17="Underpass"</formula>
    </cfRule>
    <cfRule type="expression" dxfId="14161" priority="1520">
      <formula>$A17="Overcrossing"</formula>
    </cfRule>
    <cfRule type="expression" dxfId="14160" priority="1521">
      <formula>$A17="Overpass"</formula>
    </cfRule>
    <cfRule type="expression" dxfId="14159" priority="1522">
      <formula>$A17="Station"</formula>
    </cfRule>
    <cfRule type="expression" dxfId="14158" priority="1523">
      <formula>$A17="Overlap between sections"</formula>
    </cfRule>
  </conditionalFormatting>
  <conditionalFormatting sqref="AW32">
    <cfRule type="expression" dxfId="14157" priority="1502">
      <formula>$A32="Overhead Cable"</formula>
    </cfRule>
    <cfRule type="expression" dxfId="14156" priority="1503">
      <formula>$A32="Level Crossing"</formula>
    </cfRule>
    <cfRule type="expression" dxfId="14155" priority="1504">
      <formula>$A32="Neutral Section"</formula>
    </cfRule>
    <cfRule type="expression" dxfId="14154" priority="1505">
      <formula>$A32="Tunnel"</formula>
    </cfRule>
    <cfRule type="expression" dxfId="14153" priority="1506">
      <formula>$A32="Bridge"</formula>
    </cfRule>
    <cfRule type="expression" dxfId="14152" priority="1507">
      <formula>$A32="Drainage Works"</formula>
    </cfRule>
    <cfRule type="expression" dxfId="14151" priority="1508">
      <formula>$A32="Underpass"</formula>
    </cfRule>
    <cfRule type="expression" dxfId="14150" priority="1509">
      <formula>$A32="Overcrossing"</formula>
    </cfRule>
    <cfRule type="expression" dxfId="14149" priority="1510">
      <formula>$A32="Overpass"</formula>
    </cfRule>
    <cfRule type="expression" dxfId="14148" priority="1511">
      <formula>$A32="Station"</formula>
    </cfRule>
    <cfRule type="expression" dxfId="14147" priority="1512">
      <formula>$A32="Overlap between sections"</formula>
    </cfRule>
  </conditionalFormatting>
  <conditionalFormatting sqref="AX32">
    <cfRule type="expression" dxfId="14146" priority="1491">
      <formula>$A32="Overhead Cable"</formula>
    </cfRule>
    <cfRule type="expression" dxfId="14145" priority="1492">
      <formula>$A32="Level Crossing"</formula>
    </cfRule>
    <cfRule type="expression" dxfId="14144" priority="1493">
      <formula>$A32="Neutral Section"</formula>
    </cfRule>
    <cfRule type="expression" dxfId="14143" priority="1494">
      <formula>$A32="Tunnel"</formula>
    </cfRule>
    <cfRule type="expression" dxfId="14142" priority="1495">
      <formula>$A32="Bridge"</formula>
    </cfRule>
    <cfRule type="expression" dxfId="14141" priority="1496">
      <formula>$A32="Drainage Works"</formula>
    </cfRule>
    <cfRule type="expression" dxfId="14140" priority="1497">
      <formula>$A32="Underpass"</formula>
    </cfRule>
    <cfRule type="expression" dxfId="14139" priority="1498">
      <formula>$A32="Overcrossing"</formula>
    </cfRule>
    <cfRule type="expression" dxfId="14138" priority="1499">
      <formula>$A32="Overpass"</formula>
    </cfRule>
    <cfRule type="expression" dxfId="14137" priority="1500">
      <formula>$A32="Station"</formula>
    </cfRule>
    <cfRule type="expression" dxfId="14136" priority="1501">
      <formula>$A32="Overlap between sections"</formula>
    </cfRule>
  </conditionalFormatting>
  <conditionalFormatting sqref="AW34:AX34">
    <cfRule type="expression" dxfId="14135" priority="1488">
      <formula>$M34="NON DEFINED"</formula>
    </cfRule>
    <cfRule type="expression" dxfId="14134" priority="1489">
      <formula>$AZ34="N.D."</formula>
    </cfRule>
    <cfRule type="expression" dxfId="14133" priority="1490">
      <formula>$AY34="N.D."</formula>
    </cfRule>
  </conditionalFormatting>
  <conditionalFormatting sqref="AW34">
    <cfRule type="expression" dxfId="14132" priority="1477">
      <formula>$A34="Overhead Cable"</formula>
    </cfRule>
    <cfRule type="expression" dxfId="14131" priority="1478">
      <formula>$A34="Level Crossing"</formula>
    </cfRule>
    <cfRule type="expression" dxfId="14130" priority="1479">
      <formula>$A34="Neutral Section"</formula>
    </cfRule>
    <cfRule type="expression" dxfId="14129" priority="1480">
      <formula>$A34="Tunnel"</formula>
    </cfRule>
    <cfRule type="expression" dxfId="14128" priority="1481">
      <formula>$A34="Bridge"</formula>
    </cfRule>
    <cfRule type="expression" dxfId="14127" priority="1482">
      <formula>$A34="Drainage Works"</formula>
    </cfRule>
    <cfRule type="expression" dxfId="14126" priority="1483">
      <formula>$A34="Underpass"</formula>
    </cfRule>
    <cfRule type="expression" dxfId="14125" priority="1484">
      <formula>$A34="Overcrossing"</formula>
    </cfRule>
    <cfRule type="expression" dxfId="14124" priority="1485">
      <formula>$A34="Overpass"</formula>
    </cfRule>
    <cfRule type="expression" dxfId="14123" priority="1486">
      <formula>$A34="Station"</formula>
    </cfRule>
    <cfRule type="expression" dxfId="14122" priority="1487">
      <formula>$A34="Overlap between sections"</formula>
    </cfRule>
  </conditionalFormatting>
  <conditionalFormatting sqref="AX34">
    <cfRule type="expression" dxfId="14121" priority="1466">
      <formula>$A34="Overhead Cable"</formula>
    </cfRule>
    <cfRule type="expression" dxfId="14120" priority="1467">
      <formula>$A34="Level Crossing"</formula>
    </cfRule>
    <cfRule type="expression" dxfId="14119" priority="1468">
      <formula>$A34="Neutral Section"</formula>
    </cfRule>
    <cfRule type="expression" dxfId="14118" priority="1469">
      <formula>$A34="Tunnel"</formula>
    </cfRule>
    <cfRule type="expression" dxfId="14117" priority="1470">
      <formula>$A34="Bridge"</formula>
    </cfRule>
    <cfRule type="expression" dxfId="14116" priority="1471">
      <formula>$A34="Drainage Works"</formula>
    </cfRule>
    <cfRule type="expression" dxfId="14115" priority="1472">
      <formula>$A34="Underpass"</formula>
    </cfRule>
    <cfRule type="expression" dxfId="14114" priority="1473">
      <formula>$A34="Overcrossing"</formula>
    </cfRule>
    <cfRule type="expression" dxfId="14113" priority="1474">
      <formula>$A34="Overpass"</formula>
    </cfRule>
    <cfRule type="expression" dxfId="14112" priority="1475">
      <formula>$A34="Station"</formula>
    </cfRule>
    <cfRule type="expression" dxfId="14111" priority="1476">
      <formula>$A34="Overlap between sections"</formula>
    </cfRule>
  </conditionalFormatting>
  <conditionalFormatting sqref="AW34">
    <cfRule type="expression" dxfId="14110" priority="1455">
      <formula>$A34="Overhead Cable"</formula>
    </cfRule>
    <cfRule type="expression" dxfId="14109" priority="1456">
      <formula>$A34="Level Crossing"</formula>
    </cfRule>
    <cfRule type="expression" dxfId="14108" priority="1457">
      <formula>$A34="Neutral Section"</formula>
    </cfRule>
    <cfRule type="expression" dxfId="14107" priority="1458">
      <formula>$A34="Tunnel"</formula>
    </cfRule>
    <cfRule type="expression" dxfId="14106" priority="1459">
      <formula>$A34="Bridge"</formula>
    </cfRule>
    <cfRule type="expression" dxfId="14105" priority="1460">
      <formula>$A34="Drainage Works"</formula>
    </cfRule>
    <cfRule type="expression" dxfId="14104" priority="1461">
      <formula>$A34="Underpass"</formula>
    </cfRule>
    <cfRule type="expression" dxfId="14103" priority="1462">
      <formula>$A34="Overcrossing"</formula>
    </cfRule>
    <cfRule type="expression" dxfId="14102" priority="1463">
      <formula>$A34="Overpass"</formula>
    </cfRule>
    <cfRule type="expression" dxfId="14101" priority="1464">
      <formula>$A34="Station"</formula>
    </cfRule>
    <cfRule type="expression" dxfId="14100" priority="1465">
      <formula>$A34="Overlap between sections"</formula>
    </cfRule>
  </conditionalFormatting>
  <conditionalFormatting sqref="AX34">
    <cfRule type="expression" dxfId="14099" priority="1444">
      <formula>$A34="Overhead Cable"</formula>
    </cfRule>
    <cfRule type="expression" dxfId="14098" priority="1445">
      <formula>$A34="Level Crossing"</formula>
    </cfRule>
    <cfRule type="expression" dxfId="14097" priority="1446">
      <formula>$A34="Neutral Section"</formula>
    </cfRule>
    <cfRule type="expression" dxfId="14096" priority="1447">
      <formula>$A34="Tunnel"</formula>
    </cfRule>
    <cfRule type="expression" dxfId="14095" priority="1448">
      <formula>$A34="Bridge"</formula>
    </cfRule>
    <cfRule type="expression" dxfId="14094" priority="1449">
      <formula>$A34="Drainage Works"</formula>
    </cfRule>
    <cfRule type="expression" dxfId="14093" priority="1450">
      <formula>$A34="Underpass"</formula>
    </cfRule>
    <cfRule type="expression" dxfId="14092" priority="1451">
      <formula>$A34="Overcrossing"</formula>
    </cfRule>
    <cfRule type="expression" dxfId="14091" priority="1452">
      <formula>$A34="Overpass"</formula>
    </cfRule>
    <cfRule type="expression" dxfId="14090" priority="1453">
      <formula>$A34="Station"</formula>
    </cfRule>
    <cfRule type="expression" dxfId="14089" priority="1454">
      <formula>$A34="Overlap between sections"</formula>
    </cfRule>
  </conditionalFormatting>
  <conditionalFormatting sqref="AW21:AX21">
    <cfRule type="expression" dxfId="14088" priority="1394">
      <formula>$M21="NON DEFINED"</formula>
    </cfRule>
    <cfRule type="expression" dxfId="14087" priority="1395">
      <formula>$AZ21="N.D."</formula>
    </cfRule>
    <cfRule type="expression" dxfId="14086" priority="1396">
      <formula>$AY21="N.D."</formula>
    </cfRule>
  </conditionalFormatting>
  <conditionalFormatting sqref="AW21">
    <cfRule type="expression" dxfId="14085" priority="1383">
      <formula>$A21="Overhead Cable"</formula>
    </cfRule>
    <cfRule type="expression" dxfId="14084" priority="1384">
      <formula>$A21="Level Crossing"</formula>
    </cfRule>
    <cfRule type="expression" dxfId="14083" priority="1385">
      <formula>$A21="Neutral Section"</formula>
    </cfRule>
    <cfRule type="expression" dxfId="14082" priority="1386">
      <formula>$A21="Tunnel"</formula>
    </cfRule>
    <cfRule type="expression" dxfId="14081" priority="1387">
      <formula>$A21="Bridge"</formula>
    </cfRule>
    <cfRule type="expression" dxfId="14080" priority="1388">
      <formula>$A21="Drainage Works"</formula>
    </cfRule>
    <cfRule type="expression" dxfId="14079" priority="1389">
      <formula>$A21="Underpass"</formula>
    </cfRule>
    <cfRule type="expression" dxfId="14078" priority="1390">
      <formula>$A21="Overcrossing"</formula>
    </cfRule>
    <cfRule type="expression" dxfId="14077" priority="1391">
      <formula>$A21="Overpass"</formula>
    </cfRule>
    <cfRule type="expression" dxfId="14076" priority="1392">
      <formula>$A21="Station"</formula>
    </cfRule>
    <cfRule type="expression" dxfId="14075" priority="1393">
      <formula>$A21="Overlap between sections"</formula>
    </cfRule>
  </conditionalFormatting>
  <conditionalFormatting sqref="AX21">
    <cfRule type="expression" dxfId="14074" priority="1372">
      <formula>$A21="Overhead Cable"</formula>
    </cfRule>
    <cfRule type="expression" dxfId="14073" priority="1373">
      <formula>$A21="Level Crossing"</formula>
    </cfRule>
    <cfRule type="expression" dxfId="14072" priority="1374">
      <formula>$A21="Neutral Section"</formula>
    </cfRule>
    <cfRule type="expression" dxfId="14071" priority="1375">
      <formula>$A21="Tunnel"</formula>
    </cfRule>
    <cfRule type="expression" dxfId="14070" priority="1376">
      <formula>$A21="Bridge"</formula>
    </cfRule>
    <cfRule type="expression" dxfId="14069" priority="1377">
      <formula>$A21="Drainage Works"</formula>
    </cfRule>
    <cfRule type="expression" dxfId="14068" priority="1378">
      <formula>$A21="Underpass"</formula>
    </cfRule>
    <cfRule type="expression" dxfId="14067" priority="1379">
      <formula>$A21="Overcrossing"</formula>
    </cfRule>
    <cfRule type="expression" dxfId="14066" priority="1380">
      <formula>$A21="Overpass"</formula>
    </cfRule>
    <cfRule type="expression" dxfId="14065" priority="1381">
      <formula>$A21="Station"</formula>
    </cfRule>
    <cfRule type="expression" dxfId="14064" priority="1382">
      <formula>$A21="Overlap between sections"</formula>
    </cfRule>
  </conditionalFormatting>
  <conditionalFormatting sqref="AW21">
    <cfRule type="expression" dxfId="14063" priority="1361">
      <formula>$A21="Overhead Cable"</formula>
    </cfRule>
    <cfRule type="expression" dxfId="14062" priority="1362">
      <formula>$A21="Level Crossing"</formula>
    </cfRule>
    <cfRule type="expression" dxfId="14061" priority="1363">
      <formula>$A21="Neutral Section"</formula>
    </cfRule>
    <cfRule type="expression" dxfId="14060" priority="1364">
      <formula>$A21="Tunnel"</formula>
    </cfRule>
    <cfRule type="expression" dxfId="14059" priority="1365">
      <formula>$A21="Bridge"</formula>
    </cfRule>
    <cfRule type="expression" dxfId="14058" priority="1366">
      <formula>$A21="Drainage Works"</formula>
    </cfRule>
    <cfRule type="expression" dxfId="14057" priority="1367">
      <formula>$A21="Underpass"</formula>
    </cfRule>
    <cfRule type="expression" dxfId="14056" priority="1368">
      <formula>$A21="Overcrossing"</formula>
    </cfRule>
    <cfRule type="expression" dxfId="14055" priority="1369">
      <formula>$A21="Overpass"</formula>
    </cfRule>
    <cfRule type="expression" dxfId="14054" priority="1370">
      <formula>$A21="Station"</formula>
    </cfRule>
    <cfRule type="expression" dxfId="14053" priority="1371">
      <formula>$A21="Overlap between sections"</formula>
    </cfRule>
  </conditionalFormatting>
  <conditionalFormatting sqref="AX21">
    <cfRule type="expression" dxfId="14052" priority="1350">
      <formula>$A21="Overhead Cable"</formula>
    </cfRule>
    <cfRule type="expression" dxfId="14051" priority="1351">
      <formula>$A21="Level Crossing"</formula>
    </cfRule>
    <cfRule type="expression" dxfId="14050" priority="1352">
      <formula>$A21="Neutral Section"</formula>
    </cfRule>
    <cfRule type="expression" dxfId="14049" priority="1353">
      <formula>$A21="Tunnel"</formula>
    </cfRule>
    <cfRule type="expression" dxfId="14048" priority="1354">
      <formula>$A21="Bridge"</formula>
    </cfRule>
    <cfRule type="expression" dxfId="14047" priority="1355">
      <formula>$A21="Drainage Works"</formula>
    </cfRule>
    <cfRule type="expression" dxfId="14046" priority="1356">
      <formula>$A21="Underpass"</formula>
    </cfRule>
    <cfRule type="expression" dxfId="14045" priority="1357">
      <formula>$A21="Overcrossing"</formula>
    </cfRule>
    <cfRule type="expression" dxfId="14044" priority="1358">
      <formula>$A21="Overpass"</formula>
    </cfRule>
    <cfRule type="expression" dxfId="14043" priority="1359">
      <formula>$A21="Station"</formula>
    </cfRule>
    <cfRule type="expression" dxfId="14042" priority="1360">
      <formula>$A21="Overlap between sections"</formula>
    </cfRule>
  </conditionalFormatting>
  <conditionalFormatting sqref="AW25:AX25">
    <cfRule type="expression" dxfId="14041" priority="1347">
      <formula>$M25="NON DEFINED"</formula>
    </cfRule>
    <cfRule type="expression" dxfId="14040" priority="1348">
      <formula>$AZ25="N.D."</formula>
    </cfRule>
    <cfRule type="expression" dxfId="14039" priority="1349">
      <formula>$AY25="N.D."</formula>
    </cfRule>
  </conditionalFormatting>
  <conditionalFormatting sqref="AW25">
    <cfRule type="expression" dxfId="14038" priority="1336">
      <formula>$A25="Overhead Cable"</formula>
    </cfRule>
    <cfRule type="expression" dxfId="14037" priority="1337">
      <formula>$A25="Level Crossing"</formula>
    </cfRule>
    <cfRule type="expression" dxfId="14036" priority="1338">
      <formula>$A25="Neutral Section"</formula>
    </cfRule>
    <cfRule type="expression" dxfId="14035" priority="1339">
      <formula>$A25="Tunnel"</formula>
    </cfRule>
    <cfRule type="expression" dxfId="14034" priority="1340">
      <formula>$A25="Bridge"</formula>
    </cfRule>
    <cfRule type="expression" dxfId="14033" priority="1341">
      <formula>$A25="Drainage Works"</formula>
    </cfRule>
    <cfRule type="expression" dxfId="14032" priority="1342">
      <formula>$A25="Underpass"</formula>
    </cfRule>
    <cfRule type="expression" dxfId="14031" priority="1343">
      <formula>$A25="Overcrossing"</formula>
    </cfRule>
    <cfRule type="expression" dxfId="14030" priority="1344">
      <formula>$A25="Overpass"</formula>
    </cfRule>
    <cfRule type="expression" dxfId="14029" priority="1345">
      <formula>$A25="Station"</formula>
    </cfRule>
    <cfRule type="expression" dxfId="14028" priority="1346">
      <formula>$A25="Overlap between sections"</formula>
    </cfRule>
  </conditionalFormatting>
  <conditionalFormatting sqref="AX25">
    <cfRule type="expression" dxfId="14027" priority="1325">
      <formula>$A25="Overhead Cable"</formula>
    </cfRule>
    <cfRule type="expression" dxfId="14026" priority="1326">
      <formula>$A25="Level Crossing"</formula>
    </cfRule>
    <cfRule type="expression" dxfId="14025" priority="1327">
      <formula>$A25="Neutral Section"</formula>
    </cfRule>
    <cfRule type="expression" dxfId="14024" priority="1328">
      <formula>$A25="Tunnel"</formula>
    </cfRule>
    <cfRule type="expression" dxfId="14023" priority="1329">
      <formula>$A25="Bridge"</formula>
    </cfRule>
    <cfRule type="expression" dxfId="14022" priority="1330">
      <formula>$A25="Drainage Works"</formula>
    </cfRule>
    <cfRule type="expression" dxfId="14021" priority="1331">
      <formula>$A25="Underpass"</formula>
    </cfRule>
    <cfRule type="expression" dxfId="14020" priority="1332">
      <formula>$A25="Overcrossing"</formula>
    </cfRule>
    <cfRule type="expression" dxfId="14019" priority="1333">
      <formula>$A25="Overpass"</formula>
    </cfRule>
    <cfRule type="expression" dxfId="14018" priority="1334">
      <formula>$A25="Station"</formula>
    </cfRule>
    <cfRule type="expression" dxfId="14017" priority="1335">
      <formula>$A25="Overlap between sections"</formula>
    </cfRule>
  </conditionalFormatting>
  <conditionalFormatting sqref="AW25">
    <cfRule type="expression" dxfId="14016" priority="1314">
      <formula>$A25="Overhead Cable"</formula>
    </cfRule>
    <cfRule type="expression" dxfId="14015" priority="1315">
      <formula>$A25="Level Crossing"</formula>
    </cfRule>
    <cfRule type="expression" dxfId="14014" priority="1316">
      <formula>$A25="Neutral Section"</formula>
    </cfRule>
    <cfRule type="expression" dxfId="14013" priority="1317">
      <formula>$A25="Tunnel"</formula>
    </cfRule>
    <cfRule type="expression" dxfId="14012" priority="1318">
      <formula>$A25="Bridge"</formula>
    </cfRule>
    <cfRule type="expression" dxfId="14011" priority="1319">
      <formula>$A25="Drainage Works"</formula>
    </cfRule>
    <cfRule type="expression" dxfId="14010" priority="1320">
      <formula>$A25="Underpass"</formula>
    </cfRule>
    <cfRule type="expression" dxfId="14009" priority="1321">
      <formula>$A25="Overcrossing"</formula>
    </cfRule>
    <cfRule type="expression" dxfId="14008" priority="1322">
      <formula>$A25="Overpass"</formula>
    </cfRule>
    <cfRule type="expression" dxfId="14007" priority="1323">
      <formula>$A25="Station"</formula>
    </cfRule>
    <cfRule type="expression" dxfId="14006" priority="1324">
      <formula>$A25="Overlap between sections"</formula>
    </cfRule>
  </conditionalFormatting>
  <conditionalFormatting sqref="AX25">
    <cfRule type="expression" dxfId="14005" priority="1303">
      <formula>$A25="Overhead Cable"</formula>
    </cfRule>
    <cfRule type="expression" dxfId="14004" priority="1304">
      <formula>$A25="Level Crossing"</formula>
    </cfRule>
    <cfRule type="expression" dxfId="14003" priority="1305">
      <formula>$A25="Neutral Section"</formula>
    </cfRule>
    <cfRule type="expression" dxfId="14002" priority="1306">
      <formula>$A25="Tunnel"</formula>
    </cfRule>
    <cfRule type="expression" dxfId="14001" priority="1307">
      <formula>$A25="Bridge"</formula>
    </cfRule>
    <cfRule type="expression" dxfId="14000" priority="1308">
      <formula>$A25="Drainage Works"</formula>
    </cfRule>
    <cfRule type="expression" dxfId="13999" priority="1309">
      <formula>$A25="Underpass"</formula>
    </cfRule>
    <cfRule type="expression" dxfId="13998" priority="1310">
      <formula>$A25="Overcrossing"</formula>
    </cfRule>
    <cfRule type="expression" dxfId="13997" priority="1311">
      <formula>$A25="Overpass"</formula>
    </cfRule>
    <cfRule type="expression" dxfId="13996" priority="1312">
      <formula>$A25="Station"</formula>
    </cfRule>
    <cfRule type="expression" dxfId="13995" priority="1313">
      <formula>$A25="Overlap between sections"</formula>
    </cfRule>
  </conditionalFormatting>
  <conditionalFormatting sqref="AW29:AX29">
    <cfRule type="expression" dxfId="13994" priority="1300">
      <formula>$M29="NON DEFINED"</formula>
    </cfRule>
    <cfRule type="expression" dxfId="13993" priority="1301">
      <formula>$AZ29="N.D."</formula>
    </cfRule>
    <cfRule type="expression" dxfId="13992" priority="1302">
      <formula>$AY29="N.D."</formula>
    </cfRule>
  </conditionalFormatting>
  <conditionalFormatting sqref="AW29">
    <cfRule type="expression" dxfId="13991" priority="1289">
      <formula>$A29="Overhead Cable"</formula>
    </cfRule>
    <cfRule type="expression" dxfId="13990" priority="1290">
      <formula>$A29="Level Crossing"</formula>
    </cfRule>
    <cfRule type="expression" dxfId="13989" priority="1291">
      <formula>$A29="Neutral Section"</formula>
    </cfRule>
    <cfRule type="expression" dxfId="13988" priority="1292">
      <formula>$A29="Tunnel"</formula>
    </cfRule>
    <cfRule type="expression" dxfId="13987" priority="1293">
      <formula>$A29="Bridge"</formula>
    </cfRule>
    <cfRule type="expression" dxfId="13986" priority="1294">
      <formula>$A29="Drainage Works"</formula>
    </cfRule>
    <cfRule type="expression" dxfId="13985" priority="1295">
      <formula>$A29="Underpass"</formula>
    </cfRule>
    <cfRule type="expression" dxfId="13984" priority="1296">
      <formula>$A29="Overcrossing"</formula>
    </cfRule>
    <cfRule type="expression" dxfId="13983" priority="1297">
      <formula>$A29="Overpass"</formula>
    </cfRule>
    <cfRule type="expression" dxfId="13982" priority="1298">
      <formula>$A29="Station"</formula>
    </cfRule>
    <cfRule type="expression" dxfId="13981" priority="1299">
      <formula>$A29="Overlap between sections"</formula>
    </cfRule>
  </conditionalFormatting>
  <conditionalFormatting sqref="AX29">
    <cfRule type="expression" dxfId="13980" priority="1278">
      <formula>$A29="Overhead Cable"</formula>
    </cfRule>
    <cfRule type="expression" dxfId="13979" priority="1279">
      <formula>$A29="Level Crossing"</formula>
    </cfRule>
    <cfRule type="expression" dxfId="13978" priority="1280">
      <formula>$A29="Neutral Section"</formula>
    </cfRule>
    <cfRule type="expression" dxfId="13977" priority="1281">
      <formula>$A29="Tunnel"</formula>
    </cfRule>
    <cfRule type="expression" dxfId="13976" priority="1282">
      <formula>$A29="Bridge"</formula>
    </cfRule>
    <cfRule type="expression" dxfId="13975" priority="1283">
      <formula>$A29="Drainage Works"</formula>
    </cfRule>
    <cfRule type="expression" dxfId="13974" priority="1284">
      <formula>$A29="Underpass"</formula>
    </cfRule>
    <cfRule type="expression" dxfId="13973" priority="1285">
      <formula>$A29="Overcrossing"</formula>
    </cfRule>
    <cfRule type="expression" dxfId="13972" priority="1286">
      <formula>$A29="Overpass"</formula>
    </cfRule>
    <cfRule type="expression" dxfId="13971" priority="1287">
      <formula>$A29="Station"</formula>
    </cfRule>
    <cfRule type="expression" dxfId="13970" priority="1288">
      <formula>$A29="Overlap between sections"</formula>
    </cfRule>
  </conditionalFormatting>
  <conditionalFormatting sqref="AW29">
    <cfRule type="expression" dxfId="13969" priority="1267">
      <formula>$A29="Overhead Cable"</formula>
    </cfRule>
    <cfRule type="expression" dxfId="13968" priority="1268">
      <formula>$A29="Level Crossing"</formula>
    </cfRule>
    <cfRule type="expression" dxfId="13967" priority="1269">
      <formula>$A29="Neutral Section"</formula>
    </cfRule>
    <cfRule type="expression" dxfId="13966" priority="1270">
      <formula>$A29="Tunnel"</formula>
    </cfRule>
    <cfRule type="expression" dxfId="13965" priority="1271">
      <formula>$A29="Bridge"</formula>
    </cfRule>
    <cfRule type="expression" dxfId="13964" priority="1272">
      <formula>$A29="Drainage Works"</formula>
    </cfRule>
    <cfRule type="expression" dxfId="13963" priority="1273">
      <formula>$A29="Underpass"</formula>
    </cfRule>
    <cfRule type="expression" dxfId="13962" priority="1274">
      <formula>$A29="Overcrossing"</formula>
    </cfRule>
    <cfRule type="expression" dxfId="13961" priority="1275">
      <formula>$A29="Overpass"</formula>
    </cfRule>
    <cfRule type="expression" dxfId="13960" priority="1276">
      <formula>$A29="Station"</formula>
    </cfRule>
    <cfRule type="expression" dxfId="13959" priority="1277">
      <formula>$A29="Overlap between sections"</formula>
    </cfRule>
  </conditionalFormatting>
  <conditionalFormatting sqref="AX29">
    <cfRule type="expression" dxfId="13958" priority="1256">
      <formula>$A29="Overhead Cable"</formula>
    </cfRule>
    <cfRule type="expression" dxfId="13957" priority="1257">
      <formula>$A29="Level Crossing"</formula>
    </cfRule>
    <cfRule type="expression" dxfId="13956" priority="1258">
      <formula>$A29="Neutral Section"</formula>
    </cfRule>
    <cfRule type="expression" dxfId="13955" priority="1259">
      <formula>$A29="Tunnel"</formula>
    </cfRule>
    <cfRule type="expression" dxfId="13954" priority="1260">
      <formula>$A29="Bridge"</formula>
    </cfRule>
    <cfRule type="expression" dxfId="13953" priority="1261">
      <formula>$A29="Drainage Works"</formula>
    </cfRule>
    <cfRule type="expression" dxfId="13952" priority="1262">
      <formula>$A29="Underpass"</formula>
    </cfRule>
    <cfRule type="expression" dxfId="13951" priority="1263">
      <formula>$A29="Overcrossing"</formula>
    </cfRule>
    <cfRule type="expression" dxfId="13950" priority="1264">
      <formula>$A29="Overpass"</formula>
    </cfRule>
    <cfRule type="expression" dxfId="13949" priority="1265">
      <formula>$A29="Station"</formula>
    </cfRule>
    <cfRule type="expression" dxfId="13948" priority="1266">
      <formula>$A29="Overlap between sections"</formula>
    </cfRule>
  </conditionalFormatting>
  <conditionalFormatting sqref="AW33:AX33">
    <cfRule type="expression" dxfId="13947" priority="1253">
      <formula>$M33="NON DEFINED"</formula>
    </cfRule>
    <cfRule type="expression" dxfId="13946" priority="1254">
      <formula>$AZ33="N.D."</formula>
    </cfRule>
    <cfRule type="expression" dxfId="13945" priority="1255">
      <formula>$AY33="N.D."</formula>
    </cfRule>
  </conditionalFormatting>
  <conditionalFormatting sqref="AW33">
    <cfRule type="expression" dxfId="13944" priority="1242">
      <formula>$A33="Overhead Cable"</formula>
    </cfRule>
    <cfRule type="expression" dxfId="13943" priority="1243">
      <formula>$A33="Level Crossing"</formula>
    </cfRule>
    <cfRule type="expression" dxfId="13942" priority="1244">
      <formula>$A33="Neutral Section"</formula>
    </cfRule>
    <cfRule type="expression" dxfId="13941" priority="1245">
      <formula>$A33="Tunnel"</formula>
    </cfRule>
    <cfRule type="expression" dxfId="13940" priority="1246">
      <formula>$A33="Bridge"</formula>
    </cfRule>
    <cfRule type="expression" dxfId="13939" priority="1247">
      <formula>$A33="Drainage Works"</formula>
    </cfRule>
    <cfRule type="expression" dxfId="13938" priority="1248">
      <formula>$A33="Underpass"</formula>
    </cfRule>
    <cfRule type="expression" dxfId="13937" priority="1249">
      <formula>$A33="Overcrossing"</formula>
    </cfRule>
    <cfRule type="expression" dxfId="13936" priority="1250">
      <formula>$A33="Overpass"</formula>
    </cfRule>
    <cfRule type="expression" dxfId="13935" priority="1251">
      <formula>$A33="Station"</formula>
    </cfRule>
    <cfRule type="expression" dxfId="13934" priority="1252">
      <formula>$A33="Overlap between sections"</formula>
    </cfRule>
  </conditionalFormatting>
  <conditionalFormatting sqref="AX33">
    <cfRule type="expression" dxfId="13933" priority="1231">
      <formula>$A33="Overhead Cable"</formula>
    </cfRule>
    <cfRule type="expression" dxfId="13932" priority="1232">
      <formula>$A33="Level Crossing"</formula>
    </cfRule>
    <cfRule type="expression" dxfId="13931" priority="1233">
      <formula>$A33="Neutral Section"</formula>
    </cfRule>
    <cfRule type="expression" dxfId="13930" priority="1234">
      <formula>$A33="Tunnel"</formula>
    </cfRule>
    <cfRule type="expression" dxfId="13929" priority="1235">
      <formula>$A33="Bridge"</formula>
    </cfRule>
    <cfRule type="expression" dxfId="13928" priority="1236">
      <formula>$A33="Drainage Works"</formula>
    </cfRule>
    <cfRule type="expression" dxfId="13927" priority="1237">
      <formula>$A33="Underpass"</formula>
    </cfRule>
    <cfRule type="expression" dxfId="13926" priority="1238">
      <formula>$A33="Overcrossing"</formula>
    </cfRule>
    <cfRule type="expression" dxfId="13925" priority="1239">
      <formula>$A33="Overpass"</formula>
    </cfRule>
    <cfRule type="expression" dxfId="13924" priority="1240">
      <formula>$A33="Station"</formula>
    </cfRule>
    <cfRule type="expression" dxfId="13923" priority="1241">
      <formula>$A33="Overlap between sections"</formula>
    </cfRule>
  </conditionalFormatting>
  <conditionalFormatting sqref="AW33">
    <cfRule type="expression" dxfId="13922" priority="1220">
      <formula>$A33="Overhead Cable"</formula>
    </cfRule>
    <cfRule type="expression" dxfId="13921" priority="1221">
      <formula>$A33="Level Crossing"</formula>
    </cfRule>
    <cfRule type="expression" dxfId="13920" priority="1222">
      <formula>$A33="Neutral Section"</formula>
    </cfRule>
    <cfRule type="expression" dxfId="13919" priority="1223">
      <formula>$A33="Tunnel"</formula>
    </cfRule>
    <cfRule type="expression" dxfId="13918" priority="1224">
      <formula>$A33="Bridge"</formula>
    </cfRule>
    <cfRule type="expression" dxfId="13917" priority="1225">
      <formula>$A33="Drainage Works"</formula>
    </cfRule>
    <cfRule type="expression" dxfId="13916" priority="1226">
      <formula>$A33="Underpass"</formula>
    </cfRule>
    <cfRule type="expression" dxfId="13915" priority="1227">
      <formula>$A33="Overcrossing"</formula>
    </cfRule>
    <cfRule type="expression" dxfId="13914" priority="1228">
      <formula>$A33="Overpass"</formula>
    </cfRule>
    <cfRule type="expression" dxfId="13913" priority="1229">
      <formula>$A33="Station"</formula>
    </cfRule>
    <cfRule type="expression" dxfId="13912" priority="1230">
      <formula>$A33="Overlap between sections"</formula>
    </cfRule>
  </conditionalFormatting>
  <conditionalFormatting sqref="AX33">
    <cfRule type="expression" dxfId="13911" priority="1209">
      <formula>$A33="Overhead Cable"</formula>
    </cfRule>
    <cfRule type="expression" dxfId="13910" priority="1210">
      <formula>$A33="Level Crossing"</formula>
    </cfRule>
    <cfRule type="expression" dxfId="13909" priority="1211">
      <formula>$A33="Neutral Section"</formula>
    </cfRule>
    <cfRule type="expression" dxfId="13908" priority="1212">
      <formula>$A33="Tunnel"</formula>
    </cfRule>
    <cfRule type="expression" dxfId="13907" priority="1213">
      <formula>$A33="Bridge"</formula>
    </cfRule>
    <cfRule type="expression" dxfId="13906" priority="1214">
      <formula>$A33="Drainage Works"</formula>
    </cfRule>
    <cfRule type="expression" dxfId="13905" priority="1215">
      <formula>$A33="Underpass"</formula>
    </cfRule>
    <cfRule type="expression" dxfId="13904" priority="1216">
      <formula>$A33="Overcrossing"</formula>
    </cfRule>
    <cfRule type="expression" dxfId="13903" priority="1217">
      <formula>$A33="Overpass"</formula>
    </cfRule>
    <cfRule type="expression" dxfId="13902" priority="1218">
      <formula>$A33="Station"</formula>
    </cfRule>
    <cfRule type="expression" dxfId="13901" priority="1219">
      <formula>$A33="Overlap between sections"</formula>
    </cfRule>
  </conditionalFormatting>
  <conditionalFormatting sqref="BF6:BG6 BI6 BF8:BG8 BF10:BG10 BF12:BG12 BF14:BG14 BF16:BG16 BF18:BG18 BF20:BG20 BF22:BG22 BF24:BG24 BF26:BG26 BF28:BG28 BF30:BG30 BF32:BG32 BF34:BG34 BF36:BG36 BF38:BG38 BF40:BG40 BF42:BG42 BF44:BG44 BI8 BI10 BI12 BI14 BI16 BI18 BI20 BI22 BI24 BI26 BI28 BI30 BI32 BI34 BI36 BI38 BI40 BI42 BI44">
    <cfRule type="containsBlanks" dxfId="13900" priority="315">
      <formula>LEN(TRIM(BF6))=0</formula>
    </cfRule>
  </conditionalFormatting>
  <conditionalFormatting sqref="G19:G33">
    <cfRule type="expression" dxfId="13899" priority="304">
      <formula>$A19="Overhead Cable"</formula>
    </cfRule>
    <cfRule type="expression" dxfId="13898" priority="305">
      <formula>$A19="Level Crossing"</formula>
    </cfRule>
    <cfRule type="expression" dxfId="13897" priority="306">
      <formula>$A19="Neutral Section"</formula>
    </cfRule>
    <cfRule type="expression" dxfId="13896" priority="307">
      <formula>$A19="Tunnel"</formula>
    </cfRule>
    <cfRule type="expression" dxfId="13895" priority="308">
      <formula>$A19="Bridge"</formula>
    </cfRule>
    <cfRule type="expression" dxfId="13894" priority="309">
      <formula>$A19="Drainage Works"</formula>
    </cfRule>
    <cfRule type="expression" dxfId="13893" priority="310">
      <formula>$A19="Underpass"</formula>
    </cfRule>
    <cfRule type="expression" dxfId="13892" priority="311">
      <formula>$A19="Overcrossing"</formula>
    </cfRule>
    <cfRule type="expression" dxfId="13891" priority="312">
      <formula>$A19="Overpass"</formula>
    </cfRule>
    <cfRule type="expression" dxfId="13890" priority="313">
      <formula>$A19="Station"</formula>
    </cfRule>
    <cfRule type="expression" dxfId="13889" priority="314">
      <formula>$A19="Overlap between sections"</formula>
    </cfRule>
  </conditionalFormatting>
  <conditionalFormatting sqref="G19:G33">
    <cfRule type="expression" dxfId="13888" priority="301">
      <formula>$M19="NON DEFINED"</formula>
    </cfRule>
    <cfRule type="expression" dxfId="13887" priority="302">
      <formula>$AZ19="N.D."</formula>
    </cfRule>
    <cfRule type="expression" dxfId="13886" priority="303">
      <formula>$AY19="N.D."</formula>
    </cfRule>
  </conditionalFormatting>
  <conditionalFormatting sqref="BA36:BC38">
    <cfRule type="expression" dxfId="13885" priority="300">
      <formula>$BE36="R"</formula>
    </cfRule>
  </conditionalFormatting>
  <conditionalFormatting sqref="B36:E38 J36:J38 AG36:AG38 AN36:AS38 AY36:BC38 G36:H38">
    <cfRule type="expression" dxfId="13884" priority="298">
      <formula>$M36="NON DEFINED"</formula>
    </cfRule>
    <cfRule type="expression" dxfId="13883" priority="299">
      <formula>$AY36="N.D."</formula>
    </cfRule>
  </conditionalFormatting>
  <conditionalFormatting sqref="A36:E38 J36:J38 AG36:AG38 AN36:AS38 AY36:BD38 G36:H38">
    <cfRule type="cellIs" dxfId="13882" priority="297" operator="equal">
      <formula>0</formula>
    </cfRule>
  </conditionalFormatting>
  <conditionalFormatting sqref="I36:I38">
    <cfRule type="expression" dxfId="13881" priority="295">
      <formula>$M36="NON DEFINED"</formula>
    </cfRule>
    <cfRule type="expression" dxfId="13880" priority="296">
      <formula>$AY36="N.D."</formula>
    </cfRule>
  </conditionalFormatting>
  <conditionalFormatting sqref="I36:I38">
    <cfRule type="cellIs" dxfId="13879" priority="294" operator="equal">
      <formula>0</formula>
    </cfRule>
  </conditionalFormatting>
  <conditionalFormatting sqref="K36:K38">
    <cfRule type="expression" dxfId="13878" priority="292">
      <formula>$M36="NON DEFINED"</formula>
    </cfRule>
    <cfRule type="expression" dxfId="13877" priority="293">
      <formula>$AY36="N.D."</formula>
    </cfRule>
  </conditionalFormatting>
  <conditionalFormatting sqref="K36:K38">
    <cfRule type="cellIs" dxfId="13876" priority="291" operator="equal">
      <formula>0</formula>
    </cfRule>
  </conditionalFormatting>
  <conditionalFormatting sqref="L36:L38">
    <cfRule type="expression" dxfId="13875" priority="289">
      <formula>$M36="NON DEFINED"</formula>
    </cfRule>
    <cfRule type="expression" dxfId="13874" priority="290">
      <formula>$AY36="N.D."</formula>
    </cfRule>
  </conditionalFormatting>
  <conditionalFormatting sqref="L36:L38">
    <cfRule type="cellIs" dxfId="13873" priority="288" operator="equal">
      <formula>0</formula>
    </cfRule>
  </conditionalFormatting>
  <conditionalFormatting sqref="M36:M38">
    <cfRule type="expression" dxfId="13872" priority="286">
      <formula>$M36="NON DEFINED"</formula>
    </cfRule>
    <cfRule type="expression" dxfId="13871" priority="287">
      <formula>$AY36="N.D."</formula>
    </cfRule>
  </conditionalFormatting>
  <conditionalFormatting sqref="M36:M38">
    <cfRule type="cellIs" dxfId="13870" priority="285" operator="equal">
      <formula>0</formula>
    </cfRule>
  </conditionalFormatting>
  <conditionalFormatting sqref="N36:N38">
    <cfRule type="expression" dxfId="13869" priority="283">
      <formula>$M36="NON DEFINED"</formula>
    </cfRule>
    <cfRule type="expression" dxfId="13868" priority="284">
      <formula>$AY36="N.D."</formula>
    </cfRule>
  </conditionalFormatting>
  <conditionalFormatting sqref="N36:N38">
    <cfRule type="cellIs" dxfId="13867" priority="282" operator="equal">
      <formula>0</formula>
    </cfRule>
  </conditionalFormatting>
  <conditionalFormatting sqref="O36:O38">
    <cfRule type="expression" dxfId="13866" priority="280">
      <formula>$M36="NON DEFINED"</formula>
    </cfRule>
    <cfRule type="expression" dxfId="13865" priority="281">
      <formula>$AY36="N.D."</formula>
    </cfRule>
  </conditionalFormatting>
  <conditionalFormatting sqref="O36:O38">
    <cfRule type="cellIs" dxfId="13864" priority="279" operator="equal">
      <formula>0</formula>
    </cfRule>
  </conditionalFormatting>
  <conditionalFormatting sqref="P36:P38">
    <cfRule type="expression" dxfId="13863" priority="277">
      <formula>$M36="NON DEFINED"</formula>
    </cfRule>
    <cfRule type="expression" dxfId="13862" priority="278">
      <formula>$AY36="N.D."</formula>
    </cfRule>
  </conditionalFormatting>
  <conditionalFormatting sqref="P36:P38">
    <cfRule type="cellIs" dxfId="13861" priority="276" operator="equal">
      <formula>0</formula>
    </cfRule>
  </conditionalFormatting>
  <conditionalFormatting sqref="AC36:AC38">
    <cfRule type="expression" dxfId="13860" priority="274">
      <formula>$M36="NON DEFINED"</formula>
    </cfRule>
    <cfRule type="expression" dxfId="13859" priority="275">
      <formula>$AY36="N.D."</formula>
    </cfRule>
  </conditionalFormatting>
  <conditionalFormatting sqref="AC36:AC38">
    <cfRule type="cellIs" dxfId="13858" priority="273" operator="equal">
      <formula>0</formula>
    </cfRule>
  </conditionalFormatting>
  <conditionalFormatting sqref="AD36:AD38">
    <cfRule type="expression" dxfId="13857" priority="271">
      <formula>$M36="NON DEFINED"</formula>
    </cfRule>
    <cfRule type="expression" dxfId="13856" priority="272">
      <formula>$AY36="N.D."</formula>
    </cfRule>
  </conditionalFormatting>
  <conditionalFormatting sqref="AD36:AD38">
    <cfRule type="cellIs" dxfId="13855" priority="270" operator="equal">
      <formula>0</formula>
    </cfRule>
  </conditionalFormatting>
  <conditionalFormatting sqref="AE36:AE38">
    <cfRule type="expression" dxfId="13854" priority="268">
      <formula>$M36="NON DEFINED"</formula>
    </cfRule>
    <cfRule type="expression" dxfId="13853" priority="269">
      <formula>$AY36="N.D."</formula>
    </cfRule>
  </conditionalFormatting>
  <conditionalFormatting sqref="AE36:AE38">
    <cfRule type="cellIs" dxfId="13852" priority="267" operator="equal">
      <formula>0</formula>
    </cfRule>
  </conditionalFormatting>
  <conditionalFormatting sqref="AJ36:AJ38">
    <cfRule type="expression" dxfId="13851" priority="265">
      <formula>$M36="NON DEFINED"</formula>
    </cfRule>
    <cfRule type="expression" dxfId="13850" priority="266">
      <formula>$AY36="N.D."</formula>
    </cfRule>
  </conditionalFormatting>
  <conditionalFormatting sqref="AJ36:AJ38">
    <cfRule type="cellIs" dxfId="13849" priority="264" operator="equal">
      <formula>0</formula>
    </cfRule>
  </conditionalFormatting>
  <conditionalFormatting sqref="AK36:AK38">
    <cfRule type="expression" dxfId="13848" priority="262">
      <formula>$M36="NON DEFINED"</formula>
    </cfRule>
    <cfRule type="expression" dxfId="13847" priority="263">
      <formula>$AY36="N.D."</formula>
    </cfRule>
  </conditionalFormatting>
  <conditionalFormatting sqref="AK36:AK38">
    <cfRule type="cellIs" dxfId="13846" priority="261" operator="equal">
      <formula>0</formula>
    </cfRule>
  </conditionalFormatting>
  <conditionalFormatting sqref="AL36:AL38">
    <cfRule type="expression" dxfId="13845" priority="259">
      <formula>$M36="NON DEFINED"</formula>
    </cfRule>
    <cfRule type="expression" dxfId="13844" priority="260">
      <formula>$AY36="N.D."</formula>
    </cfRule>
  </conditionalFormatting>
  <conditionalFormatting sqref="AL36:AL38">
    <cfRule type="cellIs" dxfId="13843" priority="258" operator="equal">
      <formula>0</formula>
    </cfRule>
  </conditionalFormatting>
  <conditionalFormatting sqref="AM36:AM38">
    <cfRule type="expression" dxfId="13842" priority="256">
      <formula>$M36="NON DEFINED"</formula>
    </cfRule>
    <cfRule type="expression" dxfId="13841" priority="257">
      <formula>$AY36="N.D."</formula>
    </cfRule>
  </conditionalFormatting>
  <conditionalFormatting sqref="AM36:AM38">
    <cfRule type="cellIs" dxfId="13840" priority="255" operator="equal">
      <formula>0</formula>
    </cfRule>
  </conditionalFormatting>
  <conditionalFormatting sqref="AT36:AT38">
    <cfRule type="expression" dxfId="13839" priority="253">
      <formula>$M36="NON DEFINED"</formula>
    </cfRule>
    <cfRule type="expression" dxfId="13838" priority="254">
      <formula>$AY36="N.D."</formula>
    </cfRule>
  </conditionalFormatting>
  <conditionalFormatting sqref="AT36:AT38">
    <cfRule type="cellIs" dxfId="13837" priority="252" operator="equal">
      <formula>0</formula>
    </cfRule>
  </conditionalFormatting>
  <conditionalFormatting sqref="AU36:AU38">
    <cfRule type="expression" dxfId="13836" priority="250">
      <formula>$M36="NON DEFINED"</formula>
    </cfRule>
    <cfRule type="expression" dxfId="13835" priority="251">
      <formula>$AY36="N.D."</formula>
    </cfRule>
  </conditionalFormatting>
  <conditionalFormatting sqref="AU36:AU38">
    <cfRule type="cellIs" dxfId="13834" priority="249" operator="equal">
      <formula>0</formula>
    </cfRule>
  </conditionalFormatting>
  <conditionalFormatting sqref="AV36:AV38">
    <cfRule type="expression" dxfId="13833" priority="247">
      <formula>$M36="NON DEFINED"</formula>
    </cfRule>
    <cfRule type="expression" dxfId="13832" priority="248">
      <formula>$AY36="N.D."</formula>
    </cfRule>
  </conditionalFormatting>
  <conditionalFormatting sqref="AV36:AV38">
    <cfRule type="cellIs" dxfId="13831" priority="246" operator="equal">
      <formula>0</formula>
    </cfRule>
  </conditionalFormatting>
  <conditionalFormatting sqref="AW36:AW38">
    <cfRule type="expression" dxfId="13830" priority="244">
      <formula>$M36="NON DEFINED"</formula>
    </cfRule>
    <cfRule type="expression" dxfId="13829" priority="245">
      <formula>$AY36="N.D."</formula>
    </cfRule>
  </conditionalFormatting>
  <conditionalFormatting sqref="AW36:AW38">
    <cfRule type="cellIs" dxfId="13828" priority="243" operator="equal">
      <formula>0</formula>
    </cfRule>
  </conditionalFormatting>
  <conditionalFormatting sqref="AX36:AX38">
    <cfRule type="expression" dxfId="13827" priority="241">
      <formula>$M36="NON DEFINED"</formula>
    </cfRule>
    <cfRule type="expression" dxfId="13826" priority="242">
      <formula>$AY36="N.D."</formula>
    </cfRule>
  </conditionalFormatting>
  <conditionalFormatting sqref="AX36:AX38">
    <cfRule type="cellIs" dxfId="13825" priority="240" operator="equal">
      <formula>0</formula>
    </cfRule>
  </conditionalFormatting>
  <conditionalFormatting sqref="F36:F38">
    <cfRule type="expression" dxfId="13824" priority="238">
      <formula>$M36="NON DEFINED"</formula>
    </cfRule>
    <cfRule type="expression" dxfId="13823" priority="239">
      <formula>$AY36="N.D."</formula>
    </cfRule>
  </conditionalFormatting>
  <conditionalFormatting sqref="F36:F38">
    <cfRule type="cellIs" dxfId="13822" priority="237" operator="equal">
      <formula>0</formula>
    </cfRule>
  </conditionalFormatting>
  <conditionalFormatting sqref="Q36:Q38">
    <cfRule type="expression" dxfId="13821" priority="235">
      <formula>$M36="NON DEFINED"</formula>
    </cfRule>
    <cfRule type="expression" dxfId="13820" priority="236">
      <formula>$AY36="N.D."</formula>
    </cfRule>
  </conditionalFormatting>
  <conditionalFormatting sqref="Q36:Q38">
    <cfRule type="cellIs" dxfId="13819" priority="234" operator="equal">
      <formula>0</formula>
    </cfRule>
  </conditionalFormatting>
  <conditionalFormatting sqref="T36:T38">
    <cfRule type="expression" dxfId="13818" priority="232">
      <formula>$M36="NON DEFINED"</formula>
    </cfRule>
    <cfRule type="expression" dxfId="13817" priority="233">
      <formula>$AY36="N.D."</formula>
    </cfRule>
  </conditionalFormatting>
  <conditionalFormatting sqref="T36:T38">
    <cfRule type="cellIs" dxfId="13816" priority="231" operator="equal">
      <formula>0</formula>
    </cfRule>
  </conditionalFormatting>
  <conditionalFormatting sqref="U36:U38">
    <cfRule type="expression" dxfId="13815" priority="229">
      <formula>$M36="NON DEFINED"</formula>
    </cfRule>
    <cfRule type="expression" dxfId="13814" priority="230">
      <formula>$AY36="N.D."</formula>
    </cfRule>
  </conditionalFormatting>
  <conditionalFormatting sqref="U36:U38">
    <cfRule type="cellIs" dxfId="13813" priority="228" operator="equal">
      <formula>0</formula>
    </cfRule>
  </conditionalFormatting>
  <conditionalFormatting sqref="V36:V38">
    <cfRule type="expression" dxfId="13812" priority="226">
      <formula>$M36="NON DEFINED"</formula>
    </cfRule>
    <cfRule type="expression" dxfId="13811" priority="227">
      <formula>$AY36="N.D."</formula>
    </cfRule>
  </conditionalFormatting>
  <conditionalFormatting sqref="V36:V38">
    <cfRule type="cellIs" dxfId="13810" priority="225" operator="equal">
      <formula>0</formula>
    </cfRule>
  </conditionalFormatting>
  <conditionalFormatting sqref="AF36:AF38">
    <cfRule type="expression" dxfId="13809" priority="223">
      <formula>$M36="NON DEFINED"</formula>
    </cfRule>
    <cfRule type="expression" dxfId="13808" priority="224">
      <formula>$AY36="N.D."</formula>
    </cfRule>
  </conditionalFormatting>
  <conditionalFormatting sqref="AF36:AF38">
    <cfRule type="cellIs" dxfId="13807" priority="222" operator="equal">
      <formula>0</formula>
    </cfRule>
  </conditionalFormatting>
  <conditionalFormatting sqref="AH36:AH38">
    <cfRule type="expression" dxfId="13806" priority="220">
      <formula>$M36="NON DEFINED"</formula>
    </cfRule>
    <cfRule type="expression" dxfId="13805" priority="221">
      <formula>$AY36="N.D."</formula>
    </cfRule>
  </conditionalFormatting>
  <conditionalFormatting sqref="AH36:AH38">
    <cfRule type="cellIs" dxfId="13804" priority="219" operator="equal">
      <formula>0</formula>
    </cfRule>
  </conditionalFormatting>
  <conditionalFormatting sqref="AI36:AI38">
    <cfRule type="expression" dxfId="13803" priority="217">
      <formula>$M36="NON DEFINED"</formula>
    </cfRule>
    <cfRule type="expression" dxfId="13802" priority="218">
      <formula>$AY36="N.D."</formula>
    </cfRule>
  </conditionalFormatting>
  <conditionalFormatting sqref="AI36:AI38">
    <cfRule type="cellIs" dxfId="13801" priority="216" operator="equal">
      <formula>0</formula>
    </cfRule>
  </conditionalFormatting>
  <conditionalFormatting sqref="R36:R38">
    <cfRule type="expression" dxfId="13800" priority="214">
      <formula>$M36="NON DEFINED"</formula>
    </cfRule>
    <cfRule type="expression" dxfId="13799" priority="215">
      <formula>$AY36="N.D."</formula>
    </cfRule>
  </conditionalFormatting>
  <conditionalFormatting sqref="R36:R38">
    <cfRule type="cellIs" dxfId="13798" priority="213" operator="equal">
      <formula>0</formula>
    </cfRule>
  </conditionalFormatting>
  <conditionalFormatting sqref="S36:S38">
    <cfRule type="expression" dxfId="13797" priority="211">
      <formula>$M36="NON DEFINED"</formula>
    </cfRule>
    <cfRule type="expression" dxfId="13796" priority="212">
      <formula>$AY36="N.D."</formula>
    </cfRule>
  </conditionalFormatting>
  <conditionalFormatting sqref="S36:S38">
    <cfRule type="cellIs" dxfId="13795" priority="210" operator="equal">
      <formula>0</formula>
    </cfRule>
  </conditionalFormatting>
  <conditionalFormatting sqref="W36:W38">
    <cfRule type="expression" dxfId="13794" priority="208">
      <formula>$M36="NON DEFINED"</formula>
    </cfRule>
    <cfRule type="expression" dxfId="13793" priority="209">
      <formula>$AY36="N.D."</formula>
    </cfRule>
  </conditionalFormatting>
  <conditionalFormatting sqref="W36:W38">
    <cfRule type="cellIs" dxfId="13792" priority="207" operator="equal">
      <formula>0</formula>
    </cfRule>
  </conditionalFormatting>
  <conditionalFormatting sqref="X36:X38">
    <cfRule type="expression" dxfId="13791" priority="205">
      <formula>$M36="NON DEFINED"</formula>
    </cfRule>
    <cfRule type="expression" dxfId="13790" priority="206">
      <formula>$AY36="N.D."</formula>
    </cfRule>
  </conditionalFormatting>
  <conditionalFormatting sqref="X36:X38">
    <cfRule type="cellIs" dxfId="13789" priority="204" operator="equal">
      <formula>0</formula>
    </cfRule>
  </conditionalFormatting>
  <conditionalFormatting sqref="Y36:Y38">
    <cfRule type="expression" dxfId="13788" priority="202">
      <formula>$M36="NON DEFINED"</formula>
    </cfRule>
    <cfRule type="expression" dxfId="13787" priority="203">
      <formula>$AY36="N.D."</formula>
    </cfRule>
  </conditionalFormatting>
  <conditionalFormatting sqref="Y36:Y38">
    <cfRule type="cellIs" dxfId="13786" priority="201" operator="equal">
      <formula>0</formula>
    </cfRule>
  </conditionalFormatting>
  <conditionalFormatting sqref="Z36:Z38">
    <cfRule type="expression" dxfId="13785" priority="199">
      <formula>$M36="NON DEFINED"</formula>
    </cfRule>
    <cfRule type="expression" dxfId="13784" priority="200">
      <formula>$AY36="N.D."</formula>
    </cfRule>
  </conditionalFormatting>
  <conditionalFormatting sqref="Z36:Z38">
    <cfRule type="cellIs" dxfId="13783" priority="198" operator="equal">
      <formula>0</formula>
    </cfRule>
  </conditionalFormatting>
  <conditionalFormatting sqref="AA36:AA38">
    <cfRule type="expression" dxfId="13782" priority="196">
      <formula>$M36="NON DEFINED"</formula>
    </cfRule>
    <cfRule type="expression" dxfId="13781" priority="197">
      <formula>$AY36="N.D."</formula>
    </cfRule>
  </conditionalFormatting>
  <conditionalFormatting sqref="AA36:AA38">
    <cfRule type="cellIs" dxfId="13780" priority="195" operator="equal">
      <formula>0</formula>
    </cfRule>
  </conditionalFormatting>
  <conditionalFormatting sqref="AB36:AB38">
    <cfRule type="expression" dxfId="13779" priority="193">
      <formula>$M36="NON DEFINED"</formula>
    </cfRule>
    <cfRule type="expression" dxfId="13778" priority="194">
      <formula>$AY36="N.D."</formula>
    </cfRule>
  </conditionalFormatting>
  <conditionalFormatting sqref="AB36:AB38">
    <cfRule type="cellIs" dxfId="13777" priority="192" operator="equal">
      <formula>0</formula>
    </cfRule>
  </conditionalFormatting>
  <conditionalFormatting sqref="BA39:BC45">
    <cfRule type="expression" dxfId="13776" priority="191">
      <formula>$BE39="R"</formula>
    </cfRule>
  </conditionalFormatting>
  <conditionalFormatting sqref="B39:E45 J39:J45 AG39:AG45 AN39:AS45 AY39:BC45 G39:H45">
    <cfRule type="expression" dxfId="13775" priority="189">
      <formula>$M39="NON DEFINED"</formula>
    </cfRule>
    <cfRule type="expression" dxfId="13774" priority="190">
      <formula>$AY39="N.D."</formula>
    </cfRule>
  </conditionalFormatting>
  <conditionalFormatting sqref="A39:E45 J39:J45 AG39:AG45 AN39:AS45 AY39:BD45 G39:H45">
    <cfRule type="cellIs" dxfId="13773" priority="188" operator="equal">
      <formula>0</formula>
    </cfRule>
  </conditionalFormatting>
  <conditionalFormatting sqref="I39:I45">
    <cfRule type="expression" dxfId="13772" priority="186">
      <formula>$M39="NON DEFINED"</formula>
    </cfRule>
    <cfRule type="expression" dxfId="13771" priority="187">
      <formula>$AY39="N.D."</formula>
    </cfRule>
  </conditionalFormatting>
  <conditionalFormatting sqref="I39:I45">
    <cfRule type="cellIs" dxfId="13770" priority="185" operator="equal">
      <formula>0</formula>
    </cfRule>
  </conditionalFormatting>
  <conditionalFormatting sqref="K39:K45">
    <cfRule type="expression" dxfId="13769" priority="183">
      <formula>$M39="NON DEFINED"</formula>
    </cfRule>
    <cfRule type="expression" dxfId="13768" priority="184">
      <formula>$AY39="N.D."</formula>
    </cfRule>
  </conditionalFormatting>
  <conditionalFormatting sqref="K39:K45">
    <cfRule type="cellIs" dxfId="13767" priority="182" operator="equal">
      <formula>0</formula>
    </cfRule>
  </conditionalFormatting>
  <conditionalFormatting sqref="L39:L45">
    <cfRule type="expression" dxfId="13766" priority="180">
      <formula>$M39="NON DEFINED"</formula>
    </cfRule>
    <cfRule type="expression" dxfId="13765" priority="181">
      <formula>$AY39="N.D."</formula>
    </cfRule>
  </conditionalFormatting>
  <conditionalFormatting sqref="L39:L45">
    <cfRule type="cellIs" dxfId="13764" priority="179" operator="equal">
      <formula>0</formula>
    </cfRule>
  </conditionalFormatting>
  <conditionalFormatting sqref="M39:M45">
    <cfRule type="expression" dxfId="13763" priority="177">
      <formula>$M39="NON DEFINED"</formula>
    </cfRule>
    <cfRule type="expression" dxfId="13762" priority="178">
      <formula>$AY39="N.D."</formula>
    </cfRule>
  </conditionalFormatting>
  <conditionalFormatting sqref="M39:M45">
    <cfRule type="cellIs" dxfId="13761" priority="176" operator="equal">
      <formula>0</formula>
    </cfRule>
  </conditionalFormatting>
  <conditionalFormatting sqref="N39:N45">
    <cfRule type="expression" dxfId="13760" priority="174">
      <formula>$M39="NON DEFINED"</formula>
    </cfRule>
    <cfRule type="expression" dxfId="13759" priority="175">
      <formula>$AY39="N.D."</formula>
    </cfRule>
  </conditionalFormatting>
  <conditionalFormatting sqref="N39:N45">
    <cfRule type="cellIs" dxfId="13758" priority="173" operator="equal">
      <formula>0</formula>
    </cfRule>
  </conditionalFormatting>
  <conditionalFormatting sqref="O39:O45">
    <cfRule type="expression" dxfId="13757" priority="171">
      <formula>$M39="NON DEFINED"</formula>
    </cfRule>
    <cfRule type="expression" dxfId="13756" priority="172">
      <formula>$AY39="N.D."</formula>
    </cfRule>
  </conditionalFormatting>
  <conditionalFormatting sqref="O39:O45">
    <cfRule type="cellIs" dxfId="13755" priority="170" operator="equal">
      <formula>0</formula>
    </cfRule>
  </conditionalFormatting>
  <conditionalFormatting sqref="P39:P45">
    <cfRule type="expression" dxfId="13754" priority="168">
      <formula>$M39="NON DEFINED"</formula>
    </cfRule>
    <cfRule type="expression" dxfId="13753" priority="169">
      <formula>$AY39="N.D."</formula>
    </cfRule>
  </conditionalFormatting>
  <conditionalFormatting sqref="P39:P45">
    <cfRule type="cellIs" dxfId="13752" priority="167" operator="equal">
      <formula>0</formula>
    </cfRule>
  </conditionalFormatting>
  <conditionalFormatting sqref="AC39:AC45">
    <cfRule type="expression" dxfId="13751" priority="165">
      <formula>$M39="NON DEFINED"</formula>
    </cfRule>
    <cfRule type="expression" dxfId="13750" priority="166">
      <formula>$AY39="N.D."</formula>
    </cfRule>
  </conditionalFormatting>
  <conditionalFormatting sqref="AC39:AC45">
    <cfRule type="cellIs" dxfId="13749" priority="164" operator="equal">
      <formula>0</formula>
    </cfRule>
  </conditionalFormatting>
  <conditionalFormatting sqref="AD39:AD45">
    <cfRule type="expression" dxfId="13748" priority="162">
      <formula>$M39="NON DEFINED"</formula>
    </cfRule>
    <cfRule type="expression" dxfId="13747" priority="163">
      <formula>$AY39="N.D."</formula>
    </cfRule>
  </conditionalFormatting>
  <conditionalFormatting sqref="AD39:AD45">
    <cfRule type="cellIs" dxfId="13746" priority="161" operator="equal">
      <formula>0</formula>
    </cfRule>
  </conditionalFormatting>
  <conditionalFormatting sqref="AE39:AE45">
    <cfRule type="expression" dxfId="13745" priority="159">
      <formula>$M39="NON DEFINED"</formula>
    </cfRule>
    <cfRule type="expression" dxfId="13744" priority="160">
      <formula>$AY39="N.D."</formula>
    </cfRule>
  </conditionalFormatting>
  <conditionalFormatting sqref="AE39:AE45">
    <cfRule type="cellIs" dxfId="13743" priority="158" operator="equal">
      <formula>0</formula>
    </cfRule>
  </conditionalFormatting>
  <conditionalFormatting sqref="AJ39:AJ45">
    <cfRule type="expression" dxfId="13742" priority="156">
      <formula>$M39="NON DEFINED"</formula>
    </cfRule>
    <cfRule type="expression" dxfId="13741" priority="157">
      <formula>$AY39="N.D."</formula>
    </cfRule>
  </conditionalFormatting>
  <conditionalFormatting sqref="AJ39:AJ45">
    <cfRule type="cellIs" dxfId="13740" priority="155" operator="equal">
      <formula>0</formula>
    </cfRule>
  </conditionalFormatting>
  <conditionalFormatting sqref="AK39:AK45">
    <cfRule type="expression" dxfId="13739" priority="153">
      <formula>$M39="NON DEFINED"</formula>
    </cfRule>
    <cfRule type="expression" dxfId="13738" priority="154">
      <formula>$AY39="N.D."</formula>
    </cfRule>
  </conditionalFormatting>
  <conditionalFormatting sqref="AK39:AK45">
    <cfRule type="cellIs" dxfId="13737" priority="152" operator="equal">
      <formula>0</formula>
    </cfRule>
  </conditionalFormatting>
  <conditionalFormatting sqref="AL39:AL45">
    <cfRule type="expression" dxfId="13736" priority="150">
      <formula>$M39="NON DEFINED"</formula>
    </cfRule>
    <cfRule type="expression" dxfId="13735" priority="151">
      <formula>$AY39="N.D."</formula>
    </cfRule>
  </conditionalFormatting>
  <conditionalFormatting sqref="AL39:AL45">
    <cfRule type="cellIs" dxfId="13734" priority="149" operator="equal">
      <formula>0</formula>
    </cfRule>
  </conditionalFormatting>
  <conditionalFormatting sqref="AM39:AM45">
    <cfRule type="expression" dxfId="13733" priority="147">
      <formula>$M39="NON DEFINED"</formula>
    </cfRule>
    <cfRule type="expression" dxfId="13732" priority="148">
      <formula>$AY39="N.D."</formula>
    </cfRule>
  </conditionalFormatting>
  <conditionalFormatting sqref="AM39:AM45">
    <cfRule type="cellIs" dxfId="13731" priority="146" operator="equal">
      <formula>0</formula>
    </cfRule>
  </conditionalFormatting>
  <conditionalFormatting sqref="AT39:AT45">
    <cfRule type="expression" dxfId="13730" priority="144">
      <formula>$M39="NON DEFINED"</formula>
    </cfRule>
    <cfRule type="expression" dxfId="13729" priority="145">
      <formula>$AY39="N.D."</formula>
    </cfRule>
  </conditionalFormatting>
  <conditionalFormatting sqref="AT39:AT45">
    <cfRule type="cellIs" dxfId="13728" priority="143" operator="equal">
      <formula>0</formula>
    </cfRule>
  </conditionalFormatting>
  <conditionalFormatting sqref="AU39:AU45">
    <cfRule type="expression" dxfId="13727" priority="141">
      <formula>$M39="NON DEFINED"</formula>
    </cfRule>
    <cfRule type="expression" dxfId="13726" priority="142">
      <formula>$AY39="N.D."</formula>
    </cfRule>
  </conditionalFormatting>
  <conditionalFormatting sqref="AU39:AU45">
    <cfRule type="cellIs" dxfId="13725" priority="140" operator="equal">
      <formula>0</formula>
    </cfRule>
  </conditionalFormatting>
  <conditionalFormatting sqref="AV39:AV45">
    <cfRule type="expression" dxfId="13724" priority="138">
      <formula>$M39="NON DEFINED"</formula>
    </cfRule>
    <cfRule type="expression" dxfId="13723" priority="139">
      <formula>$AY39="N.D."</formula>
    </cfRule>
  </conditionalFormatting>
  <conditionalFormatting sqref="AV39:AV45">
    <cfRule type="cellIs" dxfId="13722" priority="137" operator="equal">
      <formula>0</formula>
    </cfRule>
  </conditionalFormatting>
  <conditionalFormatting sqref="AW39:AW45">
    <cfRule type="expression" dxfId="13721" priority="135">
      <formula>$M39="NON DEFINED"</formula>
    </cfRule>
    <cfRule type="expression" dxfId="13720" priority="136">
      <formula>$AY39="N.D."</formula>
    </cfRule>
  </conditionalFormatting>
  <conditionalFormatting sqref="AW39:AW45">
    <cfRule type="cellIs" dxfId="13719" priority="134" operator="equal">
      <formula>0</formula>
    </cfRule>
  </conditionalFormatting>
  <conditionalFormatting sqref="AX39:AX45">
    <cfRule type="expression" dxfId="13718" priority="132">
      <formula>$M39="NON DEFINED"</formula>
    </cfRule>
    <cfRule type="expression" dxfId="13717" priority="133">
      <formula>$AY39="N.D."</formula>
    </cfRule>
  </conditionalFormatting>
  <conditionalFormatting sqref="AX39:AX45">
    <cfRule type="cellIs" dxfId="13716" priority="131" operator="equal">
      <formula>0</formula>
    </cfRule>
  </conditionalFormatting>
  <conditionalFormatting sqref="F39:F45">
    <cfRule type="expression" dxfId="13715" priority="129">
      <formula>$M39="NON DEFINED"</formula>
    </cfRule>
    <cfRule type="expression" dxfId="13714" priority="130">
      <formula>$AY39="N.D."</formula>
    </cfRule>
  </conditionalFormatting>
  <conditionalFormatting sqref="F39:F45">
    <cfRule type="cellIs" dxfId="13713" priority="128" operator="equal">
      <formula>0</formula>
    </cfRule>
  </conditionalFormatting>
  <conditionalFormatting sqref="Q39:Q45">
    <cfRule type="expression" dxfId="13712" priority="126">
      <formula>$M39="NON DEFINED"</formula>
    </cfRule>
    <cfRule type="expression" dxfId="13711" priority="127">
      <formula>$AY39="N.D."</formula>
    </cfRule>
  </conditionalFormatting>
  <conditionalFormatting sqref="Q39:Q45">
    <cfRule type="cellIs" dxfId="13710" priority="125" operator="equal">
      <formula>0</formula>
    </cfRule>
  </conditionalFormatting>
  <conditionalFormatting sqref="T39:T45">
    <cfRule type="expression" dxfId="13709" priority="123">
      <formula>$M39="NON DEFINED"</formula>
    </cfRule>
    <cfRule type="expression" dxfId="13708" priority="124">
      <formula>$AY39="N.D."</formula>
    </cfRule>
  </conditionalFormatting>
  <conditionalFormatting sqref="T39:T45">
    <cfRule type="cellIs" dxfId="13707" priority="122" operator="equal">
      <formula>0</formula>
    </cfRule>
  </conditionalFormatting>
  <conditionalFormatting sqref="U39:U45">
    <cfRule type="expression" dxfId="13706" priority="120">
      <formula>$M39="NON DEFINED"</formula>
    </cfRule>
    <cfRule type="expression" dxfId="13705" priority="121">
      <formula>$AY39="N.D."</formula>
    </cfRule>
  </conditionalFormatting>
  <conditionalFormatting sqref="U39:U45">
    <cfRule type="cellIs" dxfId="13704" priority="119" operator="equal">
      <formula>0</formula>
    </cfRule>
  </conditionalFormatting>
  <conditionalFormatting sqref="V39:V45">
    <cfRule type="expression" dxfId="13703" priority="117">
      <formula>$M39="NON DEFINED"</formula>
    </cfRule>
    <cfRule type="expression" dxfId="13702" priority="118">
      <formula>$AY39="N.D."</formula>
    </cfRule>
  </conditionalFormatting>
  <conditionalFormatting sqref="V39:V45">
    <cfRule type="cellIs" dxfId="13701" priority="116" operator="equal">
      <formula>0</formula>
    </cfRule>
  </conditionalFormatting>
  <conditionalFormatting sqref="AF39:AF45">
    <cfRule type="expression" dxfId="13700" priority="114">
      <formula>$M39="NON DEFINED"</formula>
    </cfRule>
    <cfRule type="expression" dxfId="13699" priority="115">
      <formula>$AY39="N.D."</formula>
    </cfRule>
  </conditionalFormatting>
  <conditionalFormatting sqref="AF39:AF45">
    <cfRule type="cellIs" dxfId="13698" priority="113" operator="equal">
      <formula>0</formula>
    </cfRule>
  </conditionalFormatting>
  <conditionalFormatting sqref="AH39:AH45">
    <cfRule type="expression" dxfId="13697" priority="111">
      <formula>$M39="NON DEFINED"</formula>
    </cfRule>
    <cfRule type="expression" dxfId="13696" priority="112">
      <formula>$AY39="N.D."</formula>
    </cfRule>
  </conditionalFormatting>
  <conditionalFormatting sqref="AH39:AH45">
    <cfRule type="cellIs" dxfId="13695" priority="110" operator="equal">
      <formula>0</formula>
    </cfRule>
  </conditionalFormatting>
  <conditionalFormatting sqref="AI39:AI45">
    <cfRule type="expression" dxfId="13694" priority="108">
      <formula>$M39="NON DEFINED"</formula>
    </cfRule>
    <cfRule type="expression" dxfId="13693" priority="109">
      <formula>$AY39="N.D."</formula>
    </cfRule>
  </conditionalFormatting>
  <conditionalFormatting sqref="AI39:AI45">
    <cfRule type="cellIs" dxfId="13692" priority="107" operator="equal">
      <formula>0</formula>
    </cfRule>
  </conditionalFormatting>
  <conditionalFormatting sqref="R39:R45">
    <cfRule type="expression" dxfId="13691" priority="105">
      <formula>$M39="NON DEFINED"</formula>
    </cfRule>
    <cfRule type="expression" dxfId="13690" priority="106">
      <formula>$AY39="N.D."</formula>
    </cfRule>
  </conditionalFormatting>
  <conditionalFormatting sqref="R39:R45">
    <cfRule type="cellIs" dxfId="13689" priority="104" operator="equal">
      <formula>0</formula>
    </cfRule>
  </conditionalFormatting>
  <conditionalFormatting sqref="S39:S45">
    <cfRule type="expression" dxfId="13688" priority="102">
      <formula>$M39="NON DEFINED"</formula>
    </cfRule>
    <cfRule type="expression" dxfId="13687" priority="103">
      <formula>$AY39="N.D."</formula>
    </cfRule>
  </conditionalFormatting>
  <conditionalFormatting sqref="S39:S45">
    <cfRule type="cellIs" dxfId="13686" priority="101" operator="equal">
      <formula>0</formula>
    </cfRule>
  </conditionalFormatting>
  <conditionalFormatting sqref="W39:W45">
    <cfRule type="expression" dxfId="13685" priority="99">
      <formula>$M39="NON DEFINED"</formula>
    </cfRule>
    <cfRule type="expression" dxfId="13684" priority="100">
      <formula>$AY39="N.D."</formula>
    </cfRule>
  </conditionalFormatting>
  <conditionalFormatting sqref="W39:W45">
    <cfRule type="cellIs" dxfId="13683" priority="98" operator="equal">
      <formula>0</formula>
    </cfRule>
  </conditionalFormatting>
  <conditionalFormatting sqref="X39:X45">
    <cfRule type="expression" dxfId="13682" priority="96">
      <formula>$M39="NON DEFINED"</formula>
    </cfRule>
    <cfRule type="expression" dxfId="13681" priority="97">
      <formula>$AY39="N.D."</formula>
    </cfRule>
  </conditionalFormatting>
  <conditionalFormatting sqref="X39:X45">
    <cfRule type="cellIs" dxfId="13680" priority="95" operator="equal">
      <formula>0</formula>
    </cfRule>
  </conditionalFormatting>
  <conditionalFormatting sqref="Y39:Y45">
    <cfRule type="expression" dxfId="13679" priority="93">
      <formula>$M39="NON DEFINED"</formula>
    </cfRule>
    <cfRule type="expression" dxfId="13678" priority="94">
      <formula>$AY39="N.D."</formula>
    </cfRule>
  </conditionalFormatting>
  <conditionalFormatting sqref="Y39:Y45">
    <cfRule type="cellIs" dxfId="13677" priority="92" operator="equal">
      <formula>0</formula>
    </cfRule>
  </conditionalFormatting>
  <conditionalFormatting sqref="Z39:Z45">
    <cfRule type="expression" dxfId="13676" priority="90">
      <formula>$M39="NON DEFINED"</formula>
    </cfRule>
    <cfRule type="expression" dxfId="13675" priority="91">
      <formula>$AY39="N.D."</formula>
    </cfRule>
  </conditionalFormatting>
  <conditionalFormatting sqref="Z39:Z45">
    <cfRule type="cellIs" dxfId="13674" priority="89" operator="equal">
      <formula>0</formula>
    </cfRule>
  </conditionalFormatting>
  <conditionalFormatting sqref="AA39:AA45">
    <cfRule type="expression" dxfId="13673" priority="87">
      <formula>$M39="NON DEFINED"</formula>
    </cfRule>
    <cfRule type="expression" dxfId="13672" priority="88">
      <formula>$AY39="N.D."</formula>
    </cfRule>
  </conditionalFormatting>
  <conditionalFormatting sqref="AA39:AA45">
    <cfRule type="cellIs" dxfId="13671" priority="86" operator="equal">
      <formula>0</formula>
    </cfRule>
  </conditionalFormatting>
  <conditionalFormatting sqref="AB39:AB45">
    <cfRule type="expression" dxfId="13670" priority="84">
      <formula>$M39="NON DEFINED"</formula>
    </cfRule>
    <cfRule type="expression" dxfId="13669" priority="85">
      <formula>$AY39="N.D."</formula>
    </cfRule>
  </conditionalFormatting>
  <conditionalFormatting sqref="AB39:AB45">
    <cfRule type="cellIs" dxfId="13668" priority="83" operator="equal">
      <formula>0</formula>
    </cfRule>
  </conditionalFormatting>
  <conditionalFormatting sqref="I18">
    <cfRule type="expression" dxfId="13667" priority="72">
      <formula>$A18="Overhead Cable"</formula>
    </cfRule>
    <cfRule type="expression" dxfId="13666" priority="73">
      <formula>$A18="Level Crossing"</formula>
    </cfRule>
    <cfRule type="expression" dxfId="13665" priority="74">
      <formula>$A18="Neutral Section"</formula>
    </cfRule>
    <cfRule type="expression" dxfId="13664" priority="75">
      <formula>$A18="Tunnel"</formula>
    </cfRule>
    <cfRule type="expression" dxfId="13663" priority="76">
      <formula>$A18="Bridge"</formula>
    </cfRule>
    <cfRule type="expression" dxfId="13662" priority="77">
      <formula>$A18="Drainage Works"</formula>
    </cfRule>
    <cfRule type="expression" dxfId="13661" priority="78">
      <formula>$A18="Underpass"</formula>
    </cfRule>
    <cfRule type="expression" dxfId="13660" priority="79">
      <formula>$A18="Overcrossing"</formula>
    </cfRule>
    <cfRule type="expression" dxfId="13659" priority="80">
      <formula>$A18="Overpass"</formula>
    </cfRule>
    <cfRule type="expression" dxfId="13658" priority="81">
      <formula>$A18="Station"</formula>
    </cfRule>
    <cfRule type="expression" dxfId="13657" priority="82">
      <formula>$A18="Overlap between sections"</formula>
    </cfRule>
  </conditionalFormatting>
  <conditionalFormatting sqref="AK16">
    <cfRule type="expression" dxfId="13656" priority="61">
      <formula>$A16="Overhead Cable"</formula>
    </cfRule>
    <cfRule type="expression" dxfId="13655" priority="62">
      <formula>$A16="Level Crossing"</formula>
    </cfRule>
    <cfRule type="expression" dxfId="13654" priority="63">
      <formula>$A16="Neutral Section"</formula>
    </cfRule>
    <cfRule type="expression" dxfId="13653" priority="64">
      <formula>$A16="Tunnel"</formula>
    </cfRule>
    <cfRule type="expression" dxfId="13652" priority="65">
      <formula>$A16="Bridge"</formula>
    </cfRule>
    <cfRule type="expression" dxfId="13651" priority="66">
      <formula>$A16="Drainage Works"</formula>
    </cfRule>
    <cfRule type="expression" dxfId="13650" priority="67">
      <formula>$A16="Underpass"</formula>
    </cfRule>
    <cfRule type="expression" dxfId="13649" priority="68">
      <formula>$A16="Overcrossing"</formula>
    </cfRule>
    <cfRule type="expression" dxfId="13648" priority="69">
      <formula>$A16="Overpass"</formula>
    </cfRule>
    <cfRule type="expression" dxfId="13647" priority="70">
      <formula>$A16="Station"</formula>
    </cfRule>
    <cfRule type="expression" dxfId="13646" priority="71">
      <formula>$A16="Overlap between sections"</formula>
    </cfRule>
  </conditionalFormatting>
  <conditionalFormatting sqref="L20">
    <cfRule type="expression" dxfId="13645" priority="58">
      <formula>$M20="NON DEFINED"</formula>
    </cfRule>
    <cfRule type="expression" dxfId="13644" priority="59">
      <formula>$AZ20="N.D."</formula>
    </cfRule>
    <cfRule type="expression" dxfId="13643" priority="60">
      <formula>$AY20="N.D."</formula>
    </cfRule>
  </conditionalFormatting>
  <conditionalFormatting sqref="L20">
    <cfRule type="expression" dxfId="13642" priority="47">
      <formula>$A20="Overhead Cable"</formula>
    </cfRule>
    <cfRule type="expression" dxfId="13641" priority="48">
      <formula>$A20="Level Crossing"</formula>
    </cfRule>
    <cfRule type="expression" dxfId="13640" priority="49">
      <formula>$A20="Neutral Section"</formula>
    </cfRule>
    <cfRule type="expression" dxfId="13639" priority="50">
      <formula>$A20="Tunnel"</formula>
    </cfRule>
    <cfRule type="expression" dxfId="13638" priority="51">
      <formula>$A20="Bridge"</formula>
    </cfRule>
    <cfRule type="expression" dxfId="13637" priority="52">
      <formula>$A20="Drainage Works"</formula>
    </cfRule>
    <cfRule type="expression" dxfId="13636" priority="53">
      <formula>$A20="Underpass"</formula>
    </cfRule>
    <cfRule type="expression" dxfId="13635" priority="54">
      <formula>$A20="Overcrossing"</formula>
    </cfRule>
    <cfRule type="expression" dxfId="13634" priority="55">
      <formula>$A20="Overpass"</formula>
    </cfRule>
    <cfRule type="expression" dxfId="13633" priority="56">
      <formula>$A20="Station"</formula>
    </cfRule>
    <cfRule type="expression" dxfId="13632" priority="57">
      <formula>$A20="Overlap between sections"</formula>
    </cfRule>
  </conditionalFormatting>
  <conditionalFormatting sqref="AL20:AM20">
    <cfRule type="expression" dxfId="13631" priority="44">
      <formula>$M20="NON DEFINED"</formula>
    </cfRule>
    <cfRule type="expression" dxfId="13630" priority="45">
      <formula>$AZ20="N.D."</formula>
    </cfRule>
    <cfRule type="expression" dxfId="13629" priority="46">
      <formula>$AY20="N.D."</formula>
    </cfRule>
  </conditionalFormatting>
  <conditionalFormatting sqref="AM20">
    <cfRule type="expression" dxfId="13628" priority="33">
      <formula>$A20="Overhead Cable"</formula>
    </cfRule>
    <cfRule type="expression" dxfId="13627" priority="34">
      <formula>$A20="Level Crossing"</formula>
    </cfRule>
    <cfRule type="expression" dxfId="13626" priority="35">
      <formula>$A20="Neutral Section"</formula>
    </cfRule>
    <cfRule type="expression" dxfId="13625" priority="36">
      <formula>$A20="Tunnel"</formula>
    </cfRule>
    <cfRule type="expression" dxfId="13624" priority="37">
      <formula>$A20="Bridge"</formula>
    </cfRule>
    <cfRule type="expression" dxfId="13623" priority="38">
      <formula>$A20="Drainage Works"</formula>
    </cfRule>
    <cfRule type="expression" dxfId="13622" priority="39">
      <formula>$A20="Underpass"</formula>
    </cfRule>
    <cfRule type="expression" dxfId="13621" priority="40">
      <formula>$A20="Overcrossing"</formula>
    </cfRule>
    <cfRule type="expression" dxfId="13620" priority="41">
      <formula>$A20="Overpass"</formula>
    </cfRule>
    <cfRule type="expression" dxfId="13619" priority="42">
      <formula>$A20="Station"</formula>
    </cfRule>
    <cfRule type="expression" dxfId="13618" priority="43">
      <formula>$A20="Overlap between sections"</formula>
    </cfRule>
  </conditionalFormatting>
  <conditionalFormatting sqref="AL20">
    <cfRule type="expression" dxfId="13617" priority="22">
      <formula>$A20="Overhead Cable"</formula>
    </cfRule>
    <cfRule type="expression" dxfId="13616" priority="23">
      <formula>$A20="Level Crossing"</formula>
    </cfRule>
    <cfRule type="expression" dxfId="13615" priority="24">
      <formula>$A20="Neutral Section"</formula>
    </cfRule>
    <cfRule type="expression" dxfId="13614" priority="25">
      <formula>$A20="Tunnel"</formula>
    </cfRule>
    <cfRule type="expression" dxfId="13613" priority="26">
      <formula>$A20="Bridge"</formula>
    </cfRule>
    <cfRule type="expression" dxfId="13612" priority="27">
      <formula>$A20="Drainage Works"</formula>
    </cfRule>
    <cfRule type="expression" dxfId="13611" priority="28">
      <formula>$A20="Underpass"</formula>
    </cfRule>
    <cfRule type="expression" dxfId="13610" priority="29">
      <formula>$A20="Overcrossing"</formula>
    </cfRule>
    <cfRule type="expression" dxfId="13609" priority="30">
      <formula>$A20="Overpass"</formula>
    </cfRule>
    <cfRule type="expression" dxfId="13608" priority="31">
      <formula>$A20="Station"</formula>
    </cfRule>
    <cfRule type="expression" dxfId="13607" priority="32">
      <formula>$A20="Overlap between sections"</formula>
    </cfRule>
  </conditionalFormatting>
  <conditionalFormatting sqref="BD14">
    <cfRule type="containsText" dxfId="13606" priority="10" operator="containsText" text="Poner a mano">
      <formula>NOT(ISERROR(SEARCH("Poner a mano",BD14)))</formula>
    </cfRule>
  </conditionalFormatting>
  <conditionalFormatting sqref="BD18">
    <cfRule type="containsText" dxfId="13605" priority="9" operator="containsText" text="Poner a mano">
      <formula>NOT(ISERROR(SEARCH("Poner a mano",BD18)))</formula>
    </cfRule>
  </conditionalFormatting>
  <conditionalFormatting sqref="BD20">
    <cfRule type="containsText" dxfId="13604" priority="8" operator="containsText" text="Poner a mano">
      <formula>NOT(ISERROR(SEARCH("Poner a mano",BD20)))</formula>
    </cfRule>
  </conditionalFormatting>
  <conditionalFormatting sqref="BD22">
    <cfRule type="containsText" dxfId="13603" priority="7" operator="containsText" text="Poner a mano">
      <formula>NOT(ISERROR(SEARCH("Poner a mano",BD22)))</formula>
    </cfRule>
  </conditionalFormatting>
  <conditionalFormatting sqref="BD24">
    <cfRule type="containsText" dxfId="13602" priority="6" operator="containsText" text="Poner a mano">
      <formula>NOT(ISERROR(SEARCH("Poner a mano",BD24)))</formula>
    </cfRule>
  </conditionalFormatting>
  <conditionalFormatting sqref="BD26">
    <cfRule type="containsText" dxfId="13601" priority="5" operator="containsText" text="Poner a mano">
      <formula>NOT(ISERROR(SEARCH("Poner a mano",BD26)))</formula>
    </cfRule>
  </conditionalFormatting>
  <conditionalFormatting sqref="BD28">
    <cfRule type="containsText" dxfId="13600" priority="4" operator="containsText" text="Poner a mano">
      <formula>NOT(ISERROR(SEARCH("Poner a mano",BD28)))</formula>
    </cfRule>
  </conditionalFormatting>
  <conditionalFormatting sqref="BD30">
    <cfRule type="containsText" dxfId="13599" priority="3" operator="containsText" text="Poner a mano">
      <formula>NOT(ISERROR(SEARCH("Poner a mano",BD30)))</formula>
    </cfRule>
  </conditionalFormatting>
  <conditionalFormatting sqref="BD34">
    <cfRule type="containsText" dxfId="13598" priority="2" operator="containsText" text="Poner a mano">
      <formula>NOT(ISERROR(SEARCH("Poner a mano",BD34)))</formula>
    </cfRule>
  </conditionalFormatting>
  <printOptions horizontalCentered="1" gridLines="1"/>
  <pageMargins left="0.39370078740157483" right="0.39370078740157483" top="0.78740157480314965" bottom="0.78740157480314965" header="0.31496062992125984" footer="0.31496062992125984"/>
  <pageSetup paperSize="9" scale="52" fitToHeight="0" orientation="landscape" r:id="rId1"/>
  <headerFooter alignWithMargins="0">
    <oddHeader>&amp;L&amp;G&amp;C
LAYOUT AND EQUIPMENT
EP 04 TRACK 4 BIN
KP 40+826 to 41+582&amp;R&amp;G</oddHeader>
    <oddFooter>&amp;L&amp;G
&amp;F&amp;C&amp;D&amp;RPag &amp;P of &amp;N</oddFooter>
  </headerFooter>
  <legacyDrawing r:id="rId2"/>
  <legacyDrawingHF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tabColor theme="3" tint="0.59999389629810485"/>
    <pageSetUpPr fitToPage="1"/>
  </sheetPr>
  <dimension ref="A1:BK1841"/>
  <sheetViews>
    <sheetView showGridLines="0" view="pageBreakPreview" zoomScale="80" zoomScaleNormal="80" zoomScaleSheetLayoutView="80" workbookViewId="0">
      <pane xSplit="3" ySplit="3" topLeftCell="F4" activePane="bottomRight" state="frozen"/>
      <selection pane="bottomRight" activeCell="K31" sqref="K31"/>
      <selection pane="bottomLeft" activeCell="K31" sqref="K31"/>
      <selection pane="topRight" activeCell="K31" sqref="K31"/>
    </sheetView>
  </sheetViews>
  <sheetFormatPr defaultColWidth="11.42578125" defaultRowHeight="15.75" customHeight="1" zeroHeight="1"/>
  <cols>
    <col min="1" max="1" width="20.7109375" style="14" customWidth="1"/>
    <col min="2" max="2" width="12.7109375" style="14" customWidth="1"/>
    <col min="3" max="3" width="12.7109375" style="18" customWidth="1"/>
    <col min="4" max="5" width="12.7109375" style="14" hidden="1" customWidth="1"/>
    <col min="6" max="7" width="12.7109375" style="14" customWidth="1"/>
    <col min="8" max="8" width="18.7109375" style="14" customWidth="1"/>
    <col min="9" max="9" width="12.7109375" style="14" customWidth="1"/>
    <col min="10" max="10" width="12.7109375" style="18" customWidth="1"/>
    <col min="11" max="11" width="12.7109375" style="14" customWidth="1"/>
    <col min="12" max="13" width="14.7109375" style="14" customWidth="1"/>
    <col min="14" max="16" width="8.7109375" style="14" hidden="1" customWidth="1"/>
    <col min="17" max="19" width="12.7109375" style="14" hidden="1" customWidth="1"/>
    <col min="20" max="28" width="8.7109375" style="14" hidden="1" customWidth="1"/>
    <col min="29" max="31" width="10.7109375" style="14" hidden="1" customWidth="1"/>
    <col min="32" max="36" width="12.7109375" style="14" hidden="1" customWidth="1"/>
    <col min="37" max="38" width="12.7109375" style="14" customWidth="1"/>
    <col min="39" max="39" width="12.7109375" style="14" hidden="1" customWidth="1"/>
    <col min="40" max="45" width="8.7109375" style="8" hidden="1" customWidth="1"/>
    <col min="46" max="46" width="8.7109375" style="16" hidden="1" customWidth="1"/>
    <col min="47" max="48" width="8.7109375" style="8" hidden="1" customWidth="1"/>
    <col min="49" max="52" width="12.7109375" style="8" customWidth="1"/>
    <col min="53" max="55" width="4.7109375" style="8" customWidth="1"/>
    <col min="56" max="56" width="21.7109375" style="14" customWidth="1"/>
    <col min="57" max="57" width="16.28515625" style="8" customWidth="1"/>
    <col min="58" max="61" width="14" style="8" customWidth="1"/>
    <col min="62" max="63" width="11.42578125" style="14" customWidth="1"/>
    <col min="64" max="16384" width="11.42578125" style="14"/>
  </cols>
  <sheetData>
    <row r="1" spans="1:63" s="435" customFormat="1" ht="35.25" customHeight="1" thickBot="1">
      <c r="A1" s="1003" t="s">
        <v>1710</v>
      </c>
      <c r="B1" s="1004"/>
      <c r="C1" s="1004"/>
      <c r="D1" s="1004"/>
      <c r="E1" s="1004"/>
      <c r="F1" s="1004"/>
      <c r="G1" s="1004"/>
      <c r="H1" s="1004"/>
      <c r="I1" s="1004"/>
      <c r="J1" s="1004"/>
      <c r="K1" s="1004"/>
      <c r="L1" s="1004"/>
      <c r="M1" s="1004"/>
      <c r="N1" s="1004"/>
      <c r="O1" s="1004"/>
      <c r="P1" s="1004"/>
      <c r="Q1" s="1004"/>
      <c r="R1" s="1004"/>
      <c r="S1" s="1004"/>
      <c r="T1" s="1004"/>
      <c r="U1" s="1004"/>
      <c r="V1" s="1004"/>
      <c r="W1" s="1004"/>
      <c r="X1" s="1004"/>
      <c r="Y1" s="1004"/>
      <c r="Z1" s="1004"/>
      <c r="AA1" s="1004"/>
      <c r="AB1" s="1004"/>
      <c r="AC1" s="1004"/>
      <c r="AD1" s="1004"/>
      <c r="AE1" s="1004"/>
      <c r="AF1" s="1004"/>
      <c r="AG1" s="1004"/>
      <c r="AH1" s="1004"/>
      <c r="AI1" s="1004"/>
      <c r="AJ1" s="1004"/>
      <c r="AK1" s="1004"/>
      <c r="AL1" s="1004"/>
      <c r="AM1" s="1004"/>
      <c r="AN1" s="1004"/>
      <c r="AO1" s="1004"/>
      <c r="AP1" s="1004"/>
      <c r="AQ1" s="1004"/>
      <c r="AR1" s="1004"/>
      <c r="AS1" s="1004"/>
      <c r="AT1" s="1004"/>
      <c r="AU1" s="1004"/>
      <c r="AV1" s="1004"/>
      <c r="AW1" s="1004"/>
      <c r="AX1" s="1004"/>
      <c r="AY1" s="1004"/>
      <c r="AZ1" s="1004"/>
      <c r="BA1" s="1004"/>
      <c r="BB1" s="1004"/>
      <c r="BC1" s="1004"/>
      <c r="BD1" s="1005"/>
      <c r="BE1" s="430" t="s">
        <v>933</v>
      </c>
      <c r="BF1" s="958" t="s">
        <v>50</v>
      </c>
      <c r="BG1" s="958"/>
      <c r="BH1" s="958"/>
      <c r="BI1" s="958"/>
    </row>
    <row r="2" spans="1:63" s="435" customFormat="1" ht="42" customHeight="1" thickBot="1">
      <c r="A2" s="455" t="s">
        <v>51</v>
      </c>
      <c r="B2" s="455" t="s">
        <v>52</v>
      </c>
      <c r="C2" s="455" t="s">
        <v>53</v>
      </c>
      <c r="D2" s="455" t="s">
        <v>54</v>
      </c>
      <c r="E2" s="455" t="s">
        <v>55</v>
      </c>
      <c r="F2" s="455" t="s">
        <v>56</v>
      </c>
      <c r="G2" s="455" t="s">
        <v>57</v>
      </c>
      <c r="H2" s="455" t="s">
        <v>58</v>
      </c>
      <c r="I2" s="455" t="s">
        <v>59</v>
      </c>
      <c r="J2" s="455" t="s">
        <v>60</v>
      </c>
      <c r="K2" s="455" t="s">
        <v>61</v>
      </c>
      <c r="L2" s="455" t="s">
        <v>62</v>
      </c>
      <c r="M2" s="455" t="s">
        <v>63</v>
      </c>
      <c r="N2" s="1006" t="s">
        <v>64</v>
      </c>
      <c r="O2" s="1007"/>
      <c r="P2" s="1008"/>
      <c r="Q2" s="455" t="s">
        <v>65</v>
      </c>
      <c r="R2" s="455" t="s">
        <v>66</v>
      </c>
      <c r="S2" s="455" t="s">
        <v>67</v>
      </c>
      <c r="T2" s="1006" t="s">
        <v>68</v>
      </c>
      <c r="U2" s="1007"/>
      <c r="V2" s="1008"/>
      <c r="W2" s="1006" t="s">
        <v>69</v>
      </c>
      <c r="X2" s="1007"/>
      <c r="Y2" s="1008"/>
      <c r="Z2" s="1006" t="s">
        <v>70</v>
      </c>
      <c r="AA2" s="1007"/>
      <c r="AB2" s="1008"/>
      <c r="AC2" s="1006" t="s">
        <v>71</v>
      </c>
      <c r="AD2" s="1007"/>
      <c r="AE2" s="1008"/>
      <c r="AF2" s="455" t="s">
        <v>72</v>
      </c>
      <c r="AG2" s="455" t="s">
        <v>73</v>
      </c>
      <c r="AH2" s="455" t="s">
        <v>74</v>
      </c>
      <c r="AI2" s="455" t="s">
        <v>75</v>
      </c>
      <c r="AJ2" s="455" t="s">
        <v>76</v>
      </c>
      <c r="AK2" s="455" t="s">
        <v>77</v>
      </c>
      <c r="AL2" s="535" t="s">
        <v>78</v>
      </c>
      <c r="AM2" s="535" t="s">
        <v>79</v>
      </c>
      <c r="AN2" s="1006" t="s">
        <v>80</v>
      </c>
      <c r="AO2" s="1007"/>
      <c r="AP2" s="1008"/>
      <c r="AQ2" s="1006" t="s">
        <v>81</v>
      </c>
      <c r="AR2" s="1007"/>
      <c r="AS2" s="1008"/>
      <c r="AT2" s="1006" t="s">
        <v>82</v>
      </c>
      <c r="AU2" s="1007"/>
      <c r="AV2" s="1008"/>
      <c r="AW2" s="535" t="s">
        <v>83</v>
      </c>
      <c r="AX2" s="535" t="s">
        <v>84</v>
      </c>
      <c r="AY2" s="535" t="s">
        <v>85</v>
      </c>
      <c r="AZ2" s="535" t="s">
        <v>86</v>
      </c>
      <c r="BA2" s="1006" t="s">
        <v>87</v>
      </c>
      <c r="BB2" s="1007"/>
      <c r="BC2" s="1008"/>
      <c r="BD2" s="455" t="s">
        <v>88</v>
      </c>
      <c r="BE2" s="430" t="s">
        <v>89</v>
      </c>
      <c r="BF2" s="431" t="s">
        <v>63</v>
      </c>
      <c r="BG2" s="431" t="s">
        <v>90</v>
      </c>
      <c r="BH2" s="431" t="s">
        <v>91</v>
      </c>
      <c r="BI2" s="431" t="s">
        <v>64</v>
      </c>
    </row>
    <row r="3" spans="1:63" s="435" customFormat="1" ht="15.75" customHeight="1" thickBot="1">
      <c r="A3" s="436"/>
      <c r="B3" s="456"/>
      <c r="C3" s="437"/>
      <c r="D3" s="611"/>
      <c r="E3" s="437"/>
      <c r="F3" s="437"/>
      <c r="G3" s="437"/>
      <c r="H3" s="456"/>
      <c r="I3" s="456"/>
      <c r="J3" s="437"/>
      <c r="K3" s="456"/>
      <c r="L3" s="456"/>
      <c r="M3" s="456"/>
      <c r="N3" s="457" t="s">
        <v>92</v>
      </c>
      <c r="O3" s="457" t="s">
        <v>93</v>
      </c>
      <c r="P3" s="457" t="s">
        <v>94</v>
      </c>
      <c r="Q3" s="437"/>
      <c r="R3" s="437"/>
      <c r="S3" s="437"/>
      <c r="T3" s="438" t="s">
        <v>95</v>
      </c>
      <c r="U3" s="439" t="s">
        <v>96</v>
      </c>
      <c r="V3" s="438" t="s">
        <v>97</v>
      </c>
      <c r="W3" s="438" t="s">
        <v>98</v>
      </c>
      <c r="X3" s="439" t="s">
        <v>99</v>
      </c>
      <c r="Y3" s="438" t="s">
        <v>100</v>
      </c>
      <c r="Z3" s="438" t="s">
        <v>101</v>
      </c>
      <c r="AA3" s="439" t="s">
        <v>102</v>
      </c>
      <c r="AB3" s="438" t="s">
        <v>103</v>
      </c>
      <c r="AC3" s="457" t="s">
        <v>104</v>
      </c>
      <c r="AD3" s="458" t="s">
        <v>105</v>
      </c>
      <c r="AE3" s="457" t="s">
        <v>106</v>
      </c>
      <c r="AF3" s="437"/>
      <c r="AG3" s="437"/>
      <c r="AH3" s="437"/>
      <c r="AI3" s="437"/>
      <c r="AJ3" s="456"/>
      <c r="AK3" s="456"/>
      <c r="AL3" s="456"/>
      <c r="AM3" s="456"/>
      <c r="AN3" s="438" t="s">
        <v>98</v>
      </c>
      <c r="AO3" s="438" t="s">
        <v>99</v>
      </c>
      <c r="AP3" s="438" t="s">
        <v>100</v>
      </c>
      <c r="AQ3" s="438" t="s">
        <v>107</v>
      </c>
      <c r="AR3" s="438" t="s">
        <v>108</v>
      </c>
      <c r="AS3" s="438" t="s">
        <v>109</v>
      </c>
      <c r="AT3" s="560" t="s">
        <v>110</v>
      </c>
      <c r="AU3" s="438" t="s">
        <v>111</v>
      </c>
      <c r="AV3" s="438" t="s">
        <v>112</v>
      </c>
      <c r="AW3" s="456"/>
      <c r="AX3" s="456"/>
      <c r="AY3" s="437"/>
      <c r="AZ3" s="437"/>
      <c r="BA3" s="457" t="s">
        <v>113</v>
      </c>
      <c r="BB3" s="457" t="s">
        <v>114</v>
      </c>
      <c r="BC3" s="457" t="s">
        <v>115</v>
      </c>
      <c r="BD3" s="459"/>
      <c r="BE3" s="429"/>
      <c r="BF3" s="434"/>
      <c r="BG3" s="434"/>
      <c r="BH3" s="434"/>
      <c r="BI3" s="434"/>
    </row>
    <row r="4" spans="1:63" ht="16.149999999999999" customHeight="1" thickTop="1">
      <c r="A4" s="502"/>
      <c r="B4" s="503"/>
      <c r="C4" s="504"/>
      <c r="D4" s="612"/>
      <c r="E4" s="506"/>
      <c r="F4" s="506"/>
      <c r="G4" s="507"/>
      <c r="H4" s="508"/>
      <c r="I4" s="508"/>
      <c r="J4" s="509"/>
      <c r="K4" s="508"/>
      <c r="L4" s="508"/>
      <c r="M4" s="508"/>
      <c r="N4" s="508"/>
      <c r="O4" s="508"/>
      <c r="P4" s="508"/>
      <c r="Q4" s="506"/>
      <c r="R4" s="507"/>
      <c r="S4" s="507"/>
      <c r="T4" s="506"/>
      <c r="U4" s="506"/>
      <c r="V4" s="506"/>
      <c r="W4" s="510"/>
      <c r="X4" s="510"/>
      <c r="Y4" s="510"/>
      <c r="Z4" s="510"/>
      <c r="AA4" s="510"/>
      <c r="AB4" s="510"/>
      <c r="AC4" s="508"/>
      <c r="AD4" s="508"/>
      <c r="AE4" s="508"/>
      <c r="AF4" s="506"/>
      <c r="AG4" s="505"/>
      <c r="AH4" s="506"/>
      <c r="AI4" s="506"/>
      <c r="AJ4" s="508"/>
      <c r="AK4" s="508"/>
      <c r="AL4" s="508"/>
      <c r="AM4" s="508"/>
      <c r="AN4" s="510"/>
      <c r="AO4" s="508"/>
      <c r="AP4" s="508"/>
      <c r="AQ4" s="510"/>
      <c r="AR4" s="510"/>
      <c r="AS4" s="510"/>
      <c r="AT4" s="510"/>
      <c r="AU4" s="511"/>
      <c r="AV4" s="511"/>
      <c r="AW4" s="508"/>
      <c r="AX4" s="508"/>
      <c r="AY4" s="510"/>
      <c r="AZ4" s="510"/>
      <c r="BA4" s="491"/>
      <c r="BB4" s="491"/>
      <c r="BC4" s="491"/>
      <c r="BD4" s="512"/>
      <c r="BE4" s="498"/>
      <c r="BF4" s="1175"/>
      <c r="BG4" s="1175"/>
      <c r="BH4" s="1175"/>
      <c r="BI4" s="1175"/>
      <c r="BK4" s="292"/>
    </row>
    <row r="5" spans="1:63" ht="16.149999999999999" customHeight="1">
      <c r="A5" s="502">
        <f>'HR Track 4 BIN'!A11</f>
        <v>0</v>
      </c>
      <c r="B5" s="503">
        <f>'HR Track 4 BIN'!B11</f>
        <v>0</v>
      </c>
      <c r="C5" s="504">
        <f>'HR Track 4 BIN'!C11</f>
        <v>0</v>
      </c>
      <c r="D5" s="612">
        <f>'HR Track 4 BIN'!D11</f>
        <v>0</v>
      </c>
      <c r="E5" s="506">
        <f>'HR Track 4 BIN'!E11</f>
        <v>0</v>
      </c>
      <c r="F5" s="506">
        <f>'HR Track 4 BIN'!F11</f>
        <v>0</v>
      </c>
      <c r="G5" s="507">
        <f>'HR Track 4 BIN'!G11</f>
        <v>27.5</v>
      </c>
      <c r="H5" s="508">
        <f>'HR Track 4 BIN'!H11</f>
        <v>0</v>
      </c>
      <c r="I5" s="508">
        <f>'HR Track 4 BIN'!I11</f>
        <v>0</v>
      </c>
      <c r="J5" s="509">
        <f>'HR Track 4 BIN'!J11</f>
        <v>40924.74</v>
      </c>
      <c r="K5" s="508" t="str">
        <f>'HR Track 4 BIN'!K11</f>
        <v>AnMC-R</v>
      </c>
      <c r="L5" s="508">
        <f>'HR Track 4 BIN'!L11</f>
        <v>0</v>
      </c>
      <c r="M5" s="508" t="str">
        <f>'HR Track 4 BIN'!M11</f>
        <v/>
      </c>
      <c r="N5" s="508">
        <f>'HR Track 4 BIN'!N11</f>
        <v>0</v>
      </c>
      <c r="O5" s="508">
        <f>'HR Track 4 BIN'!O11</f>
        <v>0</v>
      </c>
      <c r="P5" s="508">
        <f>'HR Track 4 BIN'!P11</f>
        <v>0</v>
      </c>
      <c r="Q5" s="506">
        <f>'HR Track 4 BIN'!Q11</f>
        <v>0</v>
      </c>
      <c r="R5" s="507">
        <f>'HR Track 4 BIN'!R11</f>
        <v>0</v>
      </c>
      <c r="S5" s="507">
        <f>'HR Track 4 BIN'!S11</f>
        <v>0</v>
      </c>
      <c r="T5" s="506">
        <f>'HR Track 4 BIN'!T11</f>
        <v>0</v>
      </c>
      <c r="U5" s="506">
        <f>'HR Track 4 BIN'!U11</f>
        <v>0</v>
      </c>
      <c r="V5" s="506">
        <f>'HR Track 4 BIN'!V11</f>
        <v>0</v>
      </c>
      <c r="W5" s="510">
        <f>'HR Track 4 BIN'!W11</f>
        <v>0</v>
      </c>
      <c r="X5" s="510">
        <f>'HR Track 4 BIN'!X11</f>
        <v>0</v>
      </c>
      <c r="Y5" s="510">
        <f>'HR Track 4 BIN'!Y11</f>
        <v>0</v>
      </c>
      <c r="Z5" s="510">
        <f>'HR Track 4 BIN'!Z11</f>
        <v>0</v>
      </c>
      <c r="AA5" s="510">
        <f>'HR Track 4 BIN'!AA11</f>
        <v>0</v>
      </c>
      <c r="AB5" s="510">
        <f>'HR Track 4 BIN'!AB11</f>
        <v>0</v>
      </c>
      <c r="AC5" s="508" t="str">
        <f>'HR Track 4 BIN'!AC11</f>
        <v/>
      </c>
      <c r="AD5" s="508">
        <f>'HR Track 4 BIN'!AD11</f>
        <v>0</v>
      </c>
      <c r="AE5" s="508">
        <f>'HR Track 4 BIN'!AE11</f>
        <v>0</v>
      </c>
      <c r="AF5" s="506">
        <f>'HR Track 4 BIN'!AF11</f>
        <v>0</v>
      </c>
      <c r="AG5" s="505">
        <f>'HR Track 4 BIN'!AG11</f>
        <v>0</v>
      </c>
      <c r="AH5" s="506">
        <f>'HR Track 4 BIN'!AH11</f>
        <v>0</v>
      </c>
      <c r="AI5" s="506">
        <f>'HR Track 4 BIN'!AI11</f>
        <v>0</v>
      </c>
      <c r="AJ5" s="508">
        <f>'HR Track 4 BIN'!AJ11</f>
        <v>0</v>
      </c>
      <c r="AK5" s="508">
        <f>'HR Track 4 BIN'!AK11</f>
        <v>0</v>
      </c>
      <c r="AL5" s="508">
        <f>'HR Track 4 BIN'!AL11</f>
        <v>0</v>
      </c>
      <c r="AM5" s="508">
        <f>'HR Track 4 BIN'!AM11</f>
        <v>0</v>
      </c>
      <c r="AN5" s="510">
        <f>'HR Track 4 BIN'!AN11</f>
        <v>0</v>
      </c>
      <c r="AO5" s="508">
        <f>'HR Track 4 BIN'!AO11</f>
        <v>0</v>
      </c>
      <c r="AP5" s="508">
        <f>'HR Track 4 BIN'!AP11</f>
        <v>0</v>
      </c>
      <c r="AQ5" s="510">
        <f>'HR Track 4 BIN'!AQ11</f>
        <v>0.35000000000002218</v>
      </c>
      <c r="AR5" s="510">
        <f>'HR Track 4 BIN'!AR11</f>
        <v>0</v>
      </c>
      <c r="AS5" s="510">
        <f>'HR Track 4 BIN'!AS11</f>
        <v>0</v>
      </c>
      <c r="AT5" s="510">
        <f>'HR Track 4 BIN'!AT11</f>
        <v>0</v>
      </c>
      <c r="AU5" s="511">
        <f>'HR Track 4 BIN'!AU11</f>
        <v>0</v>
      </c>
      <c r="AV5" s="511">
        <f>'HR Track 4 BIN'!AV11</f>
        <v>0</v>
      </c>
      <c r="AW5" s="508" t="str">
        <f>'HR Track 4 BIN'!AW11</f>
        <v>Multi Soil</v>
      </c>
      <c r="AX5" s="508" t="str">
        <f>'HR Track 4 BIN'!AX11</f>
        <v>PT</v>
      </c>
      <c r="AY5" s="510" t="str">
        <f>'HR Track 4 BIN'!AY11</f>
        <v/>
      </c>
      <c r="AZ5" s="510">
        <f>'HR Track 4 BIN'!AZ11</f>
        <v>3.9</v>
      </c>
      <c r="BA5" s="491">
        <f>'HR Track 4 BIN'!BA11</f>
        <v>0</v>
      </c>
      <c r="BB5" s="491">
        <f>'HR Track 4 BIN'!BB11</f>
        <v>0</v>
      </c>
      <c r="BC5" s="491">
        <f>'HR Track 4 BIN'!BC11</f>
        <v>0</v>
      </c>
      <c r="BD5" s="512">
        <f>'HR Track 4 BIN'!BD11</f>
        <v>0</v>
      </c>
      <c r="BE5" s="429" t="s">
        <v>118</v>
      </c>
      <c r="BF5" s="290"/>
      <c r="BG5" s="290"/>
      <c r="BH5" s="290"/>
      <c r="BI5" s="290"/>
    </row>
    <row r="6" spans="1:63" ht="16.149999999999999" customHeight="1">
      <c r="A6" s="502">
        <f>'HR Track 4 BIN'!A12</f>
        <v>0</v>
      </c>
      <c r="B6" s="503" t="str">
        <f>'HR Track 4 BIN'!B12</f>
        <v>40-3.24</v>
      </c>
      <c r="C6" s="504">
        <f>'HR Track 4 BIN'!C12</f>
        <v>40932.239999999998</v>
      </c>
      <c r="D6" s="612">
        <f>'HR Track 4 BIN'!D12</f>
        <v>0</v>
      </c>
      <c r="E6" s="506">
        <f>'HR Track 4 BIN'!E12</f>
        <v>0</v>
      </c>
      <c r="F6" s="506">
        <f>'HR Track 4 BIN'!F12</f>
        <v>0</v>
      </c>
      <c r="G6" s="507">
        <f>'HR Track 4 BIN'!G12</f>
        <v>0</v>
      </c>
      <c r="H6" s="508" t="str">
        <f>'HR Track 4 BIN'!H12</f>
        <v>P50(CS) S/A A/S-Diag</v>
      </c>
      <c r="I6" s="508" t="str">
        <f>'HR Track 4 BIN'!I12</f>
        <v>FP+AnMC</v>
      </c>
      <c r="J6" s="509">
        <f>'HR Track 4 BIN'!J12</f>
        <v>0</v>
      </c>
      <c r="K6" s="508">
        <f>'HR Track 4 BIN'!K12</f>
        <v>0</v>
      </c>
      <c r="L6" s="508" t="str">
        <f>'HR Track 4 BIN'!L12</f>
        <v>HEB-280L</v>
      </c>
      <c r="M6" s="508" t="str">
        <f>'HR Track 4 BIN'!M12</f>
        <v>C5R</v>
      </c>
      <c r="N6" s="508" t="str">
        <f>'HR Track 4 BIN'!N12</f>
        <v>EMT-2</v>
      </c>
      <c r="O6" s="508" t="str">
        <f>'HR Track 4 BIN'!O12</f>
        <v>EMT-1</v>
      </c>
      <c r="P6" s="508" t="str">
        <f>'HR Track 4 BIN'!P12</f>
        <v>EMT-T</v>
      </c>
      <c r="Q6" s="506">
        <f>'HR Track 4 BIN'!Q12</f>
        <v>0</v>
      </c>
      <c r="R6" s="507">
        <f>'HR Track 4 BIN'!R12</f>
        <v>0</v>
      </c>
      <c r="S6" s="507">
        <f>'HR Track 4 BIN'!S12</f>
        <v>0</v>
      </c>
      <c r="T6" s="506">
        <f>'HR Track 4 BIN'!T12</f>
        <v>-20</v>
      </c>
      <c r="U6" s="506">
        <f>'HR Track 4 BIN'!U12</f>
        <v>-35</v>
      </c>
      <c r="V6" s="506">
        <f>'HR Track 4 BIN'!V12</f>
        <v>-55</v>
      </c>
      <c r="W6" s="510">
        <f>'HR Track 4 BIN'!W12</f>
        <v>2</v>
      </c>
      <c r="X6" s="510">
        <f>'HR Track 4 BIN'!X12</f>
        <v>1.8</v>
      </c>
      <c r="Y6" s="510">
        <f>'HR Track 4 BIN'!Y12</f>
        <v>1.4</v>
      </c>
      <c r="Z6" s="510">
        <f>'HR Track 4 BIN'!Z12</f>
        <v>0</v>
      </c>
      <c r="AA6" s="510">
        <f>'HR Track 4 BIN'!AA12</f>
        <v>0</v>
      </c>
      <c r="AB6" s="510">
        <f>'HR Track 4 BIN'!AB12</f>
        <v>0.2</v>
      </c>
      <c r="AC6" s="508" t="str">
        <f>'HR Track 4 BIN'!AC12</f>
        <v>PHC</v>
      </c>
      <c r="AD6" s="508">
        <f>'HR Track 4 BIN'!AD12</f>
        <v>0</v>
      </c>
      <c r="AE6" s="508">
        <f>'HR Track 4 BIN'!AE12</f>
        <v>0</v>
      </c>
      <c r="AF6" s="506">
        <f>'HR Track 4 BIN'!AF12</f>
        <v>0</v>
      </c>
      <c r="AG6" s="505">
        <f>'HR Track 4 BIN'!AG12</f>
        <v>0</v>
      </c>
      <c r="AH6" s="506">
        <f>'HR Track 4 BIN'!AH12</f>
        <v>0</v>
      </c>
      <c r="AI6" s="506">
        <f>'HR Track 4 BIN'!AI12</f>
        <v>0</v>
      </c>
      <c r="AJ6" s="508" t="str">
        <f>'HR Track 4 BIN'!AJ12</f>
        <v>SECT-I</v>
      </c>
      <c r="AK6" s="508">
        <f>'HR Track 4 BIN'!AK12</f>
        <v>0</v>
      </c>
      <c r="AL6" s="508" t="str">
        <f>'HR Track 4 BIN'!AL12</f>
        <v>PR1B</v>
      </c>
      <c r="AM6" s="508" t="str">
        <f>'HR Track 4 BIN'!AM12</f>
        <v>RW2</v>
      </c>
      <c r="AN6" s="510">
        <f>'HR Track 4 BIN'!AN12</f>
        <v>5.5</v>
      </c>
      <c r="AO6" s="508">
        <f>'HR Track 4 BIN'!AO12</f>
        <v>0</v>
      </c>
      <c r="AP6" s="508">
        <f>'HR Track 4 BIN'!AP12</f>
        <v>0</v>
      </c>
      <c r="AQ6" s="510">
        <f>'HR Track 4 BIN'!AQ12</f>
        <v>0</v>
      </c>
      <c r="AR6" s="510">
        <f>'HR Track 4 BIN'!AR12</f>
        <v>0</v>
      </c>
      <c r="AS6" s="510">
        <f>'HR Track 4 BIN'!AS12</f>
        <v>0</v>
      </c>
      <c r="AT6" s="510">
        <f>'HR Track 4 BIN'!AT12</f>
        <v>-3.7294652034223326</v>
      </c>
      <c r="AU6" s="511">
        <f>'HR Track 4 BIN'!AU12</f>
        <v>0</v>
      </c>
      <c r="AV6" s="511">
        <f>'HR Track 4 BIN'!AV12</f>
        <v>0</v>
      </c>
      <c r="AW6" s="508" t="str">
        <f>'HR Track 4 BIN'!AW12</f>
        <v>Multi Soil</v>
      </c>
      <c r="AX6" s="508" t="str">
        <f>'HR Track 4 BIN'!AX12</f>
        <v>PT</v>
      </c>
      <c r="AY6" s="510">
        <f>'HR Track 4 BIN'!AY12</f>
        <v>3.5</v>
      </c>
      <c r="AZ6" s="510" t="str">
        <f>'HR Track 4 BIN'!AZ12</f>
        <v/>
      </c>
      <c r="BA6" s="491">
        <f>'HR Track 4 BIN'!BA12</f>
        <v>0</v>
      </c>
      <c r="BB6" s="491">
        <f>'HR Track 4 BIN'!BB12</f>
        <v>0</v>
      </c>
      <c r="BC6" s="491">
        <f>'HR Track 4 BIN'!BC12</f>
        <v>0</v>
      </c>
      <c r="BD6" s="512" t="str">
        <f>'HR Track 4 BIN'!BD12</f>
        <v>App.8-V08H-P10.3</v>
      </c>
      <c r="BE6" s="429" t="s">
        <v>118</v>
      </c>
      <c r="BF6" s="289"/>
      <c r="BG6" s="289"/>
      <c r="BH6" s="290"/>
      <c r="BI6" s="289"/>
    </row>
    <row r="7" spans="1:63" ht="16.149999999999999" customHeight="1">
      <c r="A7" s="502"/>
      <c r="B7" s="503">
        <f>'HR Track 4 BIN'!B13</f>
        <v>0</v>
      </c>
      <c r="C7" s="504">
        <f>'HR Track 4 BIN'!C13</f>
        <v>0</v>
      </c>
      <c r="D7" s="612">
        <f>'HR Track 4 BIN'!D13</f>
        <v>0</v>
      </c>
      <c r="E7" s="506">
        <f>'HR Track 4 BIN'!E13</f>
        <v>0</v>
      </c>
      <c r="F7" s="506">
        <f>'HR Track 4 BIN'!F13</f>
        <v>0</v>
      </c>
      <c r="G7" s="507">
        <f>'HR Track 4 BIN'!G13</f>
        <v>27.2</v>
      </c>
      <c r="H7" s="508">
        <f>'HR Track 4 BIN'!H13</f>
        <v>0</v>
      </c>
      <c r="I7" s="508">
        <f>'HR Track 4 BIN'!I13</f>
        <v>0</v>
      </c>
      <c r="J7" s="509">
        <f>'HR Track 4 BIN'!J13</f>
        <v>0</v>
      </c>
      <c r="K7" s="508">
        <f>'HR Track 4 BIN'!K13</f>
        <v>0</v>
      </c>
      <c r="L7" s="508">
        <f>'HR Track 4 BIN'!L13</f>
        <v>0</v>
      </c>
      <c r="M7" s="508" t="str">
        <f>'HR Track 4 BIN'!M13</f>
        <v/>
      </c>
      <c r="N7" s="508">
        <f>'HR Track 4 BIN'!N13</f>
        <v>0</v>
      </c>
      <c r="O7" s="508">
        <f>'HR Track 4 BIN'!O13</f>
        <v>0</v>
      </c>
      <c r="P7" s="508">
        <f>'HR Track 4 BIN'!P13</f>
        <v>0</v>
      </c>
      <c r="Q7" s="506">
        <f>'HR Track 4 BIN'!Q13</f>
        <v>0</v>
      </c>
      <c r="R7" s="507">
        <f>'HR Track 4 BIN'!R13</f>
        <v>0</v>
      </c>
      <c r="S7" s="507">
        <f>'HR Track 4 BIN'!S13</f>
        <v>0</v>
      </c>
      <c r="T7" s="506">
        <f>'HR Track 4 BIN'!T13</f>
        <v>0</v>
      </c>
      <c r="U7" s="506">
        <f>'HR Track 4 BIN'!U13</f>
        <v>0</v>
      </c>
      <c r="V7" s="506">
        <f>'HR Track 4 BIN'!V13</f>
        <v>0</v>
      </c>
      <c r="W7" s="510">
        <f>'HR Track 4 BIN'!W13</f>
        <v>0</v>
      </c>
      <c r="X7" s="510">
        <f>'HR Track 4 BIN'!X13</f>
        <v>0</v>
      </c>
      <c r="Y7" s="510">
        <f>'HR Track 4 BIN'!Y13</f>
        <v>0</v>
      </c>
      <c r="Z7" s="510">
        <f>'HR Track 4 BIN'!Z13</f>
        <v>0</v>
      </c>
      <c r="AA7" s="510">
        <f>'HR Track 4 BIN'!AA13</f>
        <v>0</v>
      </c>
      <c r="AB7" s="510">
        <f>'HR Track 4 BIN'!AB13</f>
        <v>0</v>
      </c>
      <c r="AC7" s="508" t="str">
        <f>'HR Track 4 BIN'!AC13</f>
        <v/>
      </c>
      <c r="AD7" s="508">
        <f>'HR Track 4 BIN'!AD13</f>
        <v>0</v>
      </c>
      <c r="AE7" s="508">
        <f>'HR Track 4 BIN'!AE13</f>
        <v>0</v>
      </c>
      <c r="AF7" s="506">
        <f>'HR Track 4 BIN'!AF13</f>
        <v>0</v>
      </c>
      <c r="AG7" s="505">
        <f>'HR Track 4 BIN'!AG13</f>
        <v>0</v>
      </c>
      <c r="AH7" s="506">
        <f>'HR Track 4 BIN'!AH13</f>
        <v>0</v>
      </c>
      <c r="AI7" s="506">
        <f>'HR Track 4 BIN'!AI13</f>
        <v>0</v>
      </c>
      <c r="AJ7" s="508">
        <f>'HR Track 4 BIN'!AJ13</f>
        <v>0</v>
      </c>
      <c r="AK7" s="508">
        <f>'HR Track 4 BIN'!AK13</f>
        <v>0</v>
      </c>
      <c r="AL7" s="508">
        <f>'HR Track 4 BIN'!AL13</f>
        <v>0</v>
      </c>
      <c r="AM7" s="508">
        <f>'HR Track 4 BIN'!AM13</f>
        <v>0</v>
      </c>
      <c r="AN7" s="510">
        <f>'HR Track 4 BIN'!AN13</f>
        <v>0</v>
      </c>
      <c r="AO7" s="508">
        <f>'HR Track 4 BIN'!AO13</f>
        <v>0</v>
      </c>
      <c r="AP7" s="508">
        <f>'HR Track 4 BIN'!AP13</f>
        <v>0</v>
      </c>
      <c r="AQ7" s="510">
        <f>'HR Track 4 BIN'!AQ13</f>
        <v>-0.398702632</v>
      </c>
      <c r="AR7" s="510">
        <f>'HR Track 4 BIN'!AR13</f>
        <v>0</v>
      </c>
      <c r="AS7" s="510">
        <f>'HR Track 4 BIN'!AS13</f>
        <v>0</v>
      </c>
      <c r="AT7" s="510">
        <f>'HR Track 4 BIN'!AT13</f>
        <v>0</v>
      </c>
      <c r="AU7" s="511">
        <f>'HR Track 4 BIN'!AU13</f>
        <v>0</v>
      </c>
      <c r="AV7" s="511">
        <f>'HR Track 4 BIN'!AV13</f>
        <v>0</v>
      </c>
      <c r="AW7" s="508" t="str">
        <f>'HR Track 4 BIN'!AW13</f>
        <v/>
      </c>
      <c r="AX7" s="508" t="str">
        <f>'HR Track 4 BIN'!AX13</f>
        <v/>
      </c>
      <c r="AY7" s="510" t="str">
        <f>'HR Track 4 BIN'!AY13</f>
        <v/>
      </c>
      <c r="AZ7" s="510" t="str">
        <f>'HR Track 4 BIN'!AZ13</f>
        <v/>
      </c>
      <c r="BA7" s="491">
        <f>'HR Track 4 BIN'!BA13</f>
        <v>0</v>
      </c>
      <c r="BB7" s="491">
        <f>'HR Track 4 BIN'!BB13</f>
        <v>0</v>
      </c>
      <c r="BC7" s="491">
        <f>'HR Track 4 BIN'!BC13</f>
        <v>0</v>
      </c>
      <c r="BD7" s="512">
        <f>'HR Track 4 BIN'!BD13</f>
        <v>0</v>
      </c>
      <c r="BE7" s="429" t="s">
        <v>118</v>
      </c>
      <c r="BF7" s="290"/>
      <c r="BG7" s="290"/>
      <c r="BH7" s="290"/>
      <c r="BI7" s="290"/>
    </row>
    <row r="8" spans="1:63" ht="16.149999999999999" customHeight="1">
      <c r="A8" s="502" t="str">
        <f>'HR Track 4 BIN'!A14</f>
        <v>BIN-08</v>
      </c>
      <c r="B8" s="503" t="str">
        <f>'HR Track 4 BIN'!B14</f>
        <v>40-4.25</v>
      </c>
      <c r="C8" s="504">
        <f>'HR Track 4 BIN'!C14</f>
        <v>40959.24</v>
      </c>
      <c r="D8" s="612">
        <f>'HR Track 4 BIN'!D14</f>
        <v>0</v>
      </c>
      <c r="E8" s="506">
        <f>'HR Track 4 BIN'!E14</f>
        <v>0</v>
      </c>
      <c r="F8" s="506">
        <f>'HR Track 4 BIN'!F14</f>
        <v>0</v>
      </c>
      <c r="G8" s="507">
        <f>'HR Track 4 BIN'!G14</f>
        <v>0</v>
      </c>
      <c r="H8" s="508" t="str">
        <f>'HR Track 4 BIN'!H14</f>
        <v>A/S-Diag P50(CS)</v>
      </c>
      <c r="I8" s="508" t="str">
        <f>'HR Track 4 BIN'!I14</f>
        <v>FP+AnMC</v>
      </c>
      <c r="J8" s="509">
        <f>'HR Track 4 BIN'!J14</f>
        <v>0</v>
      </c>
      <c r="K8" s="508">
        <f>'HR Track 4 BIN'!K14</f>
        <v>0</v>
      </c>
      <c r="L8" s="508" t="str">
        <f>'HR Track 4 BIN'!L14</f>
        <v>HEB-320PL</v>
      </c>
      <c r="M8" s="508" t="str">
        <f>'HR Track 4 BIN'!M14</f>
        <v>2C4R</v>
      </c>
      <c r="N8" s="508" t="str">
        <f>'HR Track 4 BIN'!N14</f>
        <v>EMT-2</v>
      </c>
      <c r="O8" s="508" t="str">
        <f>'HR Track 4 BIN'!O14</f>
        <v>EMT-1</v>
      </c>
      <c r="P8" s="508">
        <f>'HR Track 4 BIN'!P14</f>
        <v>0</v>
      </c>
      <c r="Q8" s="506">
        <f>'HR Track 4 BIN'!Q14</f>
        <v>0</v>
      </c>
      <c r="R8" s="507">
        <f>'HR Track 4 BIN'!R14</f>
        <v>0</v>
      </c>
      <c r="S8" s="507">
        <f>'HR Track 4 BIN'!S14</f>
        <v>0</v>
      </c>
      <c r="T8" s="506">
        <f>'HR Track 4 BIN'!T14</f>
        <v>-15</v>
      </c>
      <c r="U8" s="506">
        <f>'HR Track 4 BIN'!U14</f>
        <v>-30</v>
      </c>
      <c r="V8" s="506">
        <f>'HR Track 4 BIN'!V14</f>
        <v>0</v>
      </c>
      <c r="W8" s="510">
        <f>'HR Track 4 BIN'!W14</f>
        <v>1.4</v>
      </c>
      <c r="X8" s="510">
        <f>'HR Track 4 BIN'!X14</f>
        <v>1.8</v>
      </c>
      <c r="Y8" s="510">
        <f>'HR Track 4 BIN'!Y14</f>
        <v>0</v>
      </c>
      <c r="Z8" s="510">
        <f>'HR Track 4 BIN'!Z14</f>
        <v>0</v>
      </c>
      <c r="AA8" s="510">
        <f>'HR Track 4 BIN'!AA14</f>
        <v>0</v>
      </c>
      <c r="AB8" s="510">
        <f>'HR Track 4 BIN'!AB14</f>
        <v>0</v>
      </c>
      <c r="AC8" s="508" t="str">
        <f>'HR Track 4 BIN'!AC14</f>
        <v>PHC</v>
      </c>
      <c r="AD8" s="508">
        <f>'HR Track 4 BIN'!AD14</f>
        <v>0</v>
      </c>
      <c r="AE8" s="508">
        <f>'HR Track 4 BIN'!AE14</f>
        <v>0</v>
      </c>
      <c r="AF8" s="506">
        <f>'HR Track 4 BIN'!AF14</f>
        <v>0</v>
      </c>
      <c r="AG8" s="505">
        <f>'HR Track 4 BIN'!AG14</f>
        <v>0</v>
      </c>
      <c r="AH8" s="506">
        <f>'HR Track 4 BIN'!AH14</f>
        <v>0</v>
      </c>
      <c r="AI8" s="506">
        <f>'HR Track 4 BIN'!AI14</f>
        <v>0</v>
      </c>
      <c r="AJ8" s="508" t="str">
        <f>'HR Track 4 BIN'!AJ14</f>
        <v>Disc-pr</v>
      </c>
      <c r="AK8" s="508">
        <f>'HR Track 4 BIN'!AK14</f>
        <v>0</v>
      </c>
      <c r="AL8" s="508" t="str">
        <f>'HR Track 4 BIN'!AL14</f>
        <v>PR1D</v>
      </c>
      <c r="AM8" s="508" t="str">
        <f>'HR Track 4 BIN'!AM14</f>
        <v>RW2</v>
      </c>
      <c r="AN8" s="510">
        <f>'HR Track 4 BIN'!AN14</f>
        <v>5.5</v>
      </c>
      <c r="AO8" s="508">
        <f>'HR Track 4 BIN'!AO14</f>
        <v>0</v>
      </c>
      <c r="AP8" s="508">
        <f>'HR Track 4 BIN'!AP14</f>
        <v>0</v>
      </c>
      <c r="AQ8" s="510">
        <f>'HR Track 4 BIN'!AQ14</f>
        <v>0</v>
      </c>
      <c r="AR8" s="510">
        <f>'HR Track 4 BIN'!AR14</f>
        <v>0</v>
      </c>
      <c r="AS8" s="510">
        <f>'HR Track 4 BIN'!AS14</f>
        <v>0</v>
      </c>
      <c r="AT8" s="510">
        <f>'HR Track 4 BIN'!AT14</f>
        <v>4.882963381649251</v>
      </c>
      <c r="AU8" s="511">
        <f>'HR Track 4 BIN'!AU14</f>
        <v>0</v>
      </c>
      <c r="AV8" s="511">
        <f>'HR Track 4 BIN'!AV14</f>
        <v>0</v>
      </c>
      <c r="AW8" s="508" t="str">
        <f>'HR Track 4 BIN'!AW14</f>
        <v>Multi Soil</v>
      </c>
      <c r="AX8" s="508" t="str">
        <f>'HR Track 4 BIN'!AX14</f>
        <v>PT</v>
      </c>
      <c r="AY8" s="510">
        <f>'HR Track 4 BIN'!AY14</f>
        <v>5.6</v>
      </c>
      <c r="AZ8" s="510" t="str">
        <f>'HR Track 4 BIN'!AZ14</f>
        <v/>
      </c>
      <c r="BA8" s="491">
        <f>'HR Track 4 BIN'!BA14</f>
        <v>0</v>
      </c>
      <c r="BB8" s="491">
        <f>'HR Track 4 BIN'!BB14</f>
        <v>0</v>
      </c>
      <c r="BC8" s="491">
        <f>'HR Track 4 BIN'!BC14</f>
        <v>0</v>
      </c>
      <c r="BD8" s="512" t="str">
        <f>'HR Track 4 BIN'!BD14</f>
        <v>App.8-V08H-P10.3</v>
      </c>
      <c r="BE8" s="429" t="s">
        <v>118</v>
      </c>
      <c r="BF8" s="289"/>
      <c r="BG8" s="289"/>
      <c r="BH8" s="290"/>
      <c r="BI8" s="289"/>
    </row>
    <row r="9" spans="1:63" ht="16.149999999999999" customHeight="1">
      <c r="A9" s="502"/>
      <c r="B9" s="503">
        <f>'HR Track 4 BIN'!B15</f>
        <v>0</v>
      </c>
      <c r="C9" s="504">
        <f>'HR Track 4 BIN'!C15</f>
        <v>0</v>
      </c>
      <c r="D9" s="612">
        <f>'HR Track 4 BIN'!D15</f>
        <v>0</v>
      </c>
      <c r="E9" s="506">
        <f>'HR Track 4 BIN'!E15</f>
        <v>0</v>
      </c>
      <c r="F9" s="506">
        <f>'HR Track 4 BIN'!F15</f>
        <v>0</v>
      </c>
      <c r="G9" s="507">
        <f>'HR Track 4 BIN'!G15</f>
        <v>39.200000000000003</v>
      </c>
      <c r="H9" s="508">
        <f>'HR Track 4 BIN'!H15</f>
        <v>0</v>
      </c>
      <c r="I9" s="508">
        <f>'HR Track 4 BIN'!I15</f>
        <v>0</v>
      </c>
      <c r="J9" s="509">
        <f>'HR Track 4 BIN'!J15</f>
        <v>40966.74</v>
      </c>
      <c r="K9" s="508" t="str">
        <f>'HR Track 4 BIN'!K15</f>
        <v>AnMC-R</v>
      </c>
      <c r="L9" s="508">
        <f>'HR Track 4 BIN'!L15</f>
        <v>0</v>
      </c>
      <c r="M9" s="508" t="str">
        <f>'HR Track 4 BIN'!M15</f>
        <v/>
      </c>
      <c r="N9" s="508">
        <f>'HR Track 4 BIN'!N15</f>
        <v>0</v>
      </c>
      <c r="O9" s="508">
        <f>'HR Track 4 BIN'!O15</f>
        <v>0</v>
      </c>
      <c r="P9" s="508">
        <f>'HR Track 4 BIN'!P15</f>
        <v>0</v>
      </c>
      <c r="Q9" s="506">
        <f>'HR Track 4 BIN'!Q15</f>
        <v>0</v>
      </c>
      <c r="R9" s="507">
        <f>'HR Track 4 BIN'!R15</f>
        <v>0</v>
      </c>
      <c r="S9" s="507">
        <f>'HR Track 4 BIN'!S15</f>
        <v>0</v>
      </c>
      <c r="T9" s="506">
        <f>'HR Track 4 BIN'!T15</f>
        <v>0</v>
      </c>
      <c r="U9" s="506">
        <f>'HR Track 4 BIN'!U15</f>
        <v>0</v>
      </c>
      <c r="V9" s="506">
        <f>'HR Track 4 BIN'!V15</f>
        <v>0</v>
      </c>
      <c r="W9" s="510">
        <f>'HR Track 4 BIN'!W15</f>
        <v>0</v>
      </c>
      <c r="X9" s="510">
        <f>'HR Track 4 BIN'!X15</f>
        <v>0</v>
      </c>
      <c r="Y9" s="510">
        <f>'HR Track 4 BIN'!Y15</f>
        <v>0</v>
      </c>
      <c r="Z9" s="510">
        <f>'HR Track 4 BIN'!Z15</f>
        <v>0</v>
      </c>
      <c r="AA9" s="510">
        <f>'HR Track 4 BIN'!AA15</f>
        <v>0</v>
      </c>
      <c r="AB9" s="510">
        <f>'HR Track 4 BIN'!AB15</f>
        <v>0</v>
      </c>
      <c r="AC9" s="508" t="str">
        <f>'HR Track 4 BIN'!AC15</f>
        <v/>
      </c>
      <c r="AD9" s="508">
        <f>'HR Track 4 BIN'!AD15</f>
        <v>0</v>
      </c>
      <c r="AE9" s="508">
        <f>'HR Track 4 BIN'!AE15</f>
        <v>0</v>
      </c>
      <c r="AF9" s="506">
        <f>'HR Track 4 BIN'!AF15</f>
        <v>0</v>
      </c>
      <c r="AG9" s="505">
        <f>'HR Track 4 BIN'!AG15</f>
        <v>0</v>
      </c>
      <c r="AH9" s="506">
        <f>'HR Track 4 BIN'!AH15</f>
        <v>0</v>
      </c>
      <c r="AI9" s="506">
        <f>'HR Track 4 BIN'!AI15</f>
        <v>0</v>
      </c>
      <c r="AJ9" s="508" t="str">
        <f>'HR Track 4 BIN'!AJ15</f>
        <v>SECT-I</v>
      </c>
      <c r="AK9" s="508">
        <f>'HR Track 4 BIN'!AK15</f>
        <v>0</v>
      </c>
      <c r="AL9" s="508">
        <f>'HR Track 4 BIN'!AL15</f>
        <v>0</v>
      </c>
      <c r="AM9" s="508">
        <f>'HR Track 4 BIN'!AM15</f>
        <v>0</v>
      </c>
      <c r="AN9" s="510">
        <f>'HR Track 4 BIN'!AN15</f>
        <v>0</v>
      </c>
      <c r="AO9" s="508">
        <f>'HR Track 4 BIN'!AO15</f>
        <v>0</v>
      </c>
      <c r="AP9" s="508">
        <f>'HR Track 4 BIN'!AP15</f>
        <v>0</v>
      </c>
      <c r="AQ9" s="510">
        <f>'HR Track 4 BIN'!AQ15</f>
        <v>-0.30000000000004523</v>
      </c>
      <c r="AR9" s="510">
        <f>'HR Track 4 BIN'!AR15</f>
        <v>0</v>
      </c>
      <c r="AS9" s="510">
        <f>'HR Track 4 BIN'!AS15</f>
        <v>0</v>
      </c>
      <c r="AT9" s="510">
        <f>'HR Track 4 BIN'!AT15</f>
        <v>0</v>
      </c>
      <c r="AU9" s="511">
        <f>'HR Track 4 BIN'!AU15</f>
        <v>0</v>
      </c>
      <c r="AV9" s="511">
        <f>'HR Track 4 BIN'!AV15</f>
        <v>0</v>
      </c>
      <c r="AW9" s="508" t="str">
        <f>'HR Track 4 BIN'!AW15</f>
        <v>Multi Soil</v>
      </c>
      <c r="AX9" s="508" t="str">
        <f>'HR Track 4 BIN'!AX15</f>
        <v>PT</v>
      </c>
      <c r="AY9" s="510" t="str">
        <f>'HR Track 4 BIN'!AY15</f>
        <v/>
      </c>
      <c r="AZ9" s="510">
        <f>'HR Track 4 BIN'!AZ15</f>
        <v>3.9</v>
      </c>
      <c r="BA9" s="491">
        <f>'HR Track 4 BIN'!BA15</f>
        <v>0</v>
      </c>
      <c r="BB9" s="491">
        <f>'HR Track 4 BIN'!BB15</f>
        <v>0</v>
      </c>
      <c r="BC9" s="491">
        <f>'HR Track 4 BIN'!BC15</f>
        <v>0</v>
      </c>
      <c r="BD9" s="512">
        <f>'HR Track 4 BIN'!BD15</f>
        <v>0</v>
      </c>
      <c r="BE9" s="429" t="s">
        <v>118</v>
      </c>
      <c r="BF9" s="290"/>
      <c r="BG9" s="290"/>
      <c r="BH9" s="290"/>
      <c r="BI9" s="290"/>
    </row>
    <row r="10" spans="1:63" ht="16.149999999999999" customHeight="1">
      <c r="A10" s="514" t="s">
        <v>1711</v>
      </c>
      <c r="B10" s="450" t="s">
        <v>1712</v>
      </c>
      <c r="C10" s="3">
        <f>'HR Track 4 BIN'!C16</f>
        <v>40998.139999999992</v>
      </c>
      <c r="D10" s="83"/>
      <c r="E10" s="4"/>
      <c r="F10" s="4">
        <v>0</v>
      </c>
      <c r="G10" s="6"/>
      <c r="H10" s="449"/>
      <c r="I10" s="449" t="s">
        <v>195</v>
      </c>
      <c r="J10" s="3"/>
      <c r="K10" s="449"/>
      <c r="L10" s="449" t="s">
        <v>568</v>
      </c>
      <c r="M10" s="449" t="str">
        <f>IF(L10="","",
IF(AX10="PT",VLOOKUP(L10,Foundation_Calc!$V$79:$X$113,VLOOKUP(AX10,Foundation_Calc!$I$10:$J$13,2,FALSE),0),
IF(AX10="K",VLOOKUP(L10,Foundation_Calc!$V$117:$X$151,VLOOKUP(AX10,Foundation_Calc!$I$10:$J$13,2,FALSE),0),"")))</f>
        <v>C9R</v>
      </c>
      <c r="N10" s="449" t="s">
        <v>124</v>
      </c>
      <c r="O10" s="449"/>
      <c r="P10" s="449"/>
      <c r="Q10" s="4"/>
      <c r="R10" s="6"/>
      <c r="S10" s="6"/>
      <c r="T10" s="4">
        <v>-10</v>
      </c>
      <c r="U10" s="4"/>
      <c r="V10" s="4"/>
      <c r="W10" s="9">
        <v>1.4</v>
      </c>
      <c r="X10" s="9"/>
      <c r="Y10" s="9"/>
      <c r="Z10" s="9"/>
      <c r="AA10" s="9"/>
      <c r="AB10" s="9"/>
      <c r="AC10" s="449" t="e">
        <f t="shared" ref="AC10:AC23" si="0">IF(OR(AT10&gt;8,AT10&lt;-8),"PH",
IF(OR(AT10&gt;5,AT10&lt;-5),"PHQ",
IF(OR(AT10&gt;1,AT10&lt;-1),
"PHC","")))</f>
        <v>#VALUE!</v>
      </c>
      <c r="AD10" s="449"/>
      <c r="AE10" s="449"/>
      <c r="AF10" s="4"/>
      <c r="AG10" s="83"/>
      <c r="AH10" s="4"/>
      <c r="AI10" s="4"/>
      <c r="AJ10" s="449" t="s">
        <v>251</v>
      </c>
      <c r="AK10" s="449"/>
      <c r="AL10" s="449" t="s">
        <v>569</v>
      </c>
      <c r="AM10" s="449" t="s">
        <v>126</v>
      </c>
      <c r="AN10" s="10">
        <v>5.5</v>
      </c>
      <c r="AO10" s="9"/>
      <c r="AP10" s="9"/>
      <c r="AQ10" s="9"/>
      <c r="AR10" s="9"/>
      <c r="AS10" s="9"/>
      <c r="AT10" s="9" t="e">
        <f>+ab($T$10,#REF!,$T$12,#REF!,$G$11,-1*$F$10,1200)</f>
        <v>#VALUE!</v>
      </c>
      <c r="AU10" s="428"/>
      <c r="AV10" s="428"/>
      <c r="AW10" s="449" t="str">
        <f>IF(C10&gt;0,VLOOKUP(C10,Foundation_Calc!$A$2:$C$13,3,1),
IF(J10&gt;0,VLOOKUP(J10,Foundation_Calc!$A$2:$C$13,3,1),""))</f>
        <v>Multi Soil</v>
      </c>
      <c r="AX10" s="449" t="str">
        <f>IF(C10&gt;0,VLOOKUP(C10,Foundation_Calc!$E$2:$G$33,3,1),
IF(J10&gt;0,VLOOKUP(J10,Foundation_Calc!$E$2:$G$33,3,1),""))</f>
        <v>PT</v>
      </c>
      <c r="AY10" s="10">
        <f>IF(L10="","",
IF(AX10="PT",VLOOKUP(L10,Foundation_Calc!$K$79:$R$113,VLOOKUP(AW10,Foundation_Calc!$I$2:$J$8,2,FALSE),0),
IF(AX10="K",VLOOKUP(L10,Foundation_Calc!$K$117:$R$151,VLOOKUP(AW10,Foundation_Calc!$I$2:$J$8,2,FALSE),0),"")))</f>
        <v>4.5999999999999996</v>
      </c>
      <c r="AZ10" s="10" t="str">
        <f>IF(K10="","",
IF(AX10="PT",VLOOKUP(K10,Foundation_Calc!$K$79:$R$113,VLOOKUP(AW10,Foundation_Calc!$I$2:$J$8,2,FALSE),0),
IF(AX10="K",VLOOKUP(K10,Foundation_Calc!$K$117:$R$151,VLOOKUP(AW10,Foundation_Calc!$I$2:$J$8,2,FALSE),0),"")))</f>
        <v/>
      </c>
      <c r="BA10" s="495" t="str">
        <f t="shared" ref="BA10:BB33" si="1">IF(AY10="","",IF(AY10&gt;0,"ü",""))</f>
        <v>ü</v>
      </c>
      <c r="BB10" s="495" t="str">
        <f t="shared" si="1"/>
        <v/>
      </c>
      <c r="BC10" s="495" t="str">
        <f t="shared" ref="BC10:BC33" si="2">IF(M10="","",IF(M10="U.S.","ü",IF(M10="U.S. N.D.","ü","")))</f>
        <v/>
      </c>
      <c r="BD10" s="513" t="str">
        <f>Pole_Calc!A$232</f>
        <v>App.7-V11I-P13.3</v>
      </c>
      <c r="BE10" s="429" t="s">
        <v>118</v>
      </c>
      <c r="BF10" s="289"/>
      <c r="BG10" s="289"/>
      <c r="BH10" s="290"/>
      <c r="BI10" s="289"/>
    </row>
    <row r="11" spans="1:63" ht="16.149999999999999" customHeight="1">
      <c r="A11" s="517" t="s">
        <v>442</v>
      </c>
      <c r="B11" s="450"/>
      <c r="C11" s="3"/>
      <c r="D11" s="83"/>
      <c r="E11" s="4"/>
      <c r="F11" s="4"/>
      <c r="G11" s="6">
        <v>27</v>
      </c>
      <c r="H11" s="449"/>
      <c r="I11" s="449"/>
      <c r="J11" s="3">
        <f>C10+7.5</f>
        <v>41005.639999999992</v>
      </c>
      <c r="K11" s="449" t="s">
        <v>166</v>
      </c>
      <c r="L11" s="449"/>
      <c r="M11" s="449" t="str">
        <f>IF(L11="","",
IF(AX11="PT",VLOOKUP(L11,Foundation_Calc!$V$79:$X$113,VLOOKUP(AX11,Foundation_Calc!$I$10:$J$13,2,FALSE),0),
IF(AX11="K",VLOOKUP(L11,Foundation_Calc!$V$117:$X$151,VLOOKUP(AX11,Foundation_Calc!$I$10:$J$13,2,FALSE),0),"")))</f>
        <v/>
      </c>
      <c r="N11" s="449"/>
      <c r="O11" s="449"/>
      <c r="P11" s="449"/>
      <c r="Q11" s="4"/>
      <c r="R11" s="6"/>
      <c r="S11" s="6"/>
      <c r="T11" s="4"/>
      <c r="U11" s="4"/>
      <c r="V11" s="4"/>
      <c r="W11" s="9"/>
      <c r="X11" s="9"/>
      <c r="Y11" s="9"/>
      <c r="Z11" s="9"/>
      <c r="AA11" s="9"/>
      <c r="AB11" s="9"/>
      <c r="AC11" s="449" t="str">
        <f t="shared" si="0"/>
        <v/>
      </c>
      <c r="AD11" s="449"/>
      <c r="AE11" s="449"/>
      <c r="AF11" s="4"/>
      <c r="AG11" s="83"/>
      <c r="AH11" s="4"/>
      <c r="AI11" s="4"/>
      <c r="AJ11" s="449"/>
      <c r="AK11" s="449"/>
      <c r="AL11" s="449"/>
      <c r="AM11" s="449"/>
      <c r="AN11" s="10"/>
      <c r="AO11" s="9"/>
      <c r="AP11" s="9"/>
      <c r="AQ11" s="9">
        <f>+FL_2($T$12,$T$10,$G$11,1200,9.28,-1*$F$12)</f>
        <v>-0.30107493930424001</v>
      </c>
      <c r="AR11" s="9"/>
      <c r="AS11" s="9"/>
      <c r="AT11" s="9"/>
      <c r="AU11" s="428"/>
      <c r="AV11" s="428"/>
      <c r="AW11" s="449" t="str">
        <f>IF(C11&gt;0,VLOOKUP(C11,Foundation_Calc!$A$2:$C$13,3,1),
IF(J11&gt;0,VLOOKUP(J11,Foundation_Calc!$A$2:$C$13,3,1),""))</f>
        <v>Multi Soil</v>
      </c>
      <c r="AX11" s="449" t="str">
        <f>IF(C11&gt;0,VLOOKUP(C11,Foundation_Calc!$E$2:$G$33,3,1),
IF(J11&gt;0,VLOOKUP(J11,Foundation_Calc!$E$2:$G$33,3,1),""))</f>
        <v>PT</v>
      </c>
      <c r="AY11" s="10" t="str">
        <f>IF(L11="","",
IF(AX11="PT",VLOOKUP(L11,Foundation_Calc!$K$79:$R$113,VLOOKUP(AW11,Foundation_Calc!$I$2:$J$8,2,FALSE),0),
IF(AX11="K",VLOOKUP(L11,Foundation_Calc!$K$117:$R$151,VLOOKUP(AW11,Foundation_Calc!$I$2:$J$8,2,FALSE),0),"")))</f>
        <v/>
      </c>
      <c r="AZ11" s="10">
        <f>IF(K11="","",
IF(AX11="PT",VLOOKUP(K11,Foundation_Calc!$K$79:$R$113,VLOOKUP(AW11,Foundation_Calc!$I$2:$J$8,2,FALSE),0),
IF(AX11="K",VLOOKUP(K11,Foundation_Calc!$K$117:$R$151,VLOOKUP(AW11,Foundation_Calc!$I$2:$J$8,2,FALSE),0),"")))</f>
        <v>2.8</v>
      </c>
      <c r="BA11" s="495"/>
      <c r="BB11" s="495"/>
      <c r="BC11" s="495"/>
      <c r="BD11" s="513" t="str">
        <f>IF(AND(L11="",H11=""),"",
IF(H11="",Pole_Calc!A$9,
IF(H11="MP",Pole_Calc!A$10,
IF(H11="AnMP",Pole_Calc!A$11,
IF(H11="A",Pole_Calc!A$12,
IF(H11="S/A",Pole_Calc!A$13,
IF(H11="A/S",Pole_Calc!A$14,"Poner a mano")))))))</f>
        <v/>
      </c>
      <c r="BE11" s="429" t="s">
        <v>118</v>
      </c>
      <c r="BF11" s="290"/>
      <c r="BG11" s="290"/>
      <c r="BH11" s="290"/>
      <c r="BI11" s="290"/>
    </row>
    <row r="12" spans="1:63" ht="16.149999999999999" customHeight="1">
      <c r="A12" s="517" t="s">
        <v>442</v>
      </c>
      <c r="B12" s="450" t="s">
        <v>1713</v>
      </c>
      <c r="C12" s="3">
        <f>C10+G11</f>
        <v>41025.139999999992</v>
      </c>
      <c r="D12" s="83"/>
      <c r="E12" s="4"/>
      <c r="F12" s="4">
        <v>-300</v>
      </c>
      <c r="G12" s="6"/>
      <c r="H12" s="449"/>
      <c r="I12" s="449" t="s">
        <v>549</v>
      </c>
      <c r="J12" s="3">
        <f>C12-7.5</f>
        <v>41017.639999999992</v>
      </c>
      <c r="K12" s="449" t="s">
        <v>166</v>
      </c>
      <c r="L12" s="449" t="s">
        <v>1714</v>
      </c>
      <c r="M12" s="449" t="str">
        <f>IF(L12="","",
IF(AX12="PT",VLOOKUP(L12,Foundation_Calc!$V$79:$X$113,VLOOKUP(AX12,Foundation_Calc!$I$10:$J$13,2,FALSE),0),
IF(AX12="K",VLOOKUP(L12,Foundation_Calc!$V$117:$X$151,VLOOKUP(AX12,Foundation_Calc!$I$10:$J$13,2,FALSE),0),"")))</f>
        <v>C7R</v>
      </c>
      <c r="N12" s="553" t="s">
        <v>1715</v>
      </c>
      <c r="O12" s="449"/>
      <c r="P12" s="449"/>
      <c r="Q12" s="4"/>
      <c r="R12" s="6"/>
      <c r="S12" s="6"/>
      <c r="T12" s="4">
        <v>30</v>
      </c>
      <c r="U12" s="4"/>
      <c r="V12" s="4"/>
      <c r="W12" s="9">
        <v>1.4</v>
      </c>
      <c r="X12" s="9"/>
      <c r="Y12" s="9"/>
      <c r="Z12" s="9"/>
      <c r="AA12" s="9"/>
      <c r="AB12" s="9"/>
      <c r="AC12" s="449" t="str">
        <f t="shared" si="0"/>
        <v>PHC</v>
      </c>
      <c r="AD12" s="449"/>
      <c r="AE12" s="449"/>
      <c r="AF12" s="4"/>
      <c r="AG12" s="83"/>
      <c r="AH12" s="4"/>
      <c r="AI12" s="4"/>
      <c r="AJ12" s="449"/>
      <c r="AK12" s="449"/>
      <c r="AL12" s="449"/>
      <c r="AM12" s="449" t="s">
        <v>552</v>
      </c>
      <c r="AN12" s="10">
        <v>5.5</v>
      </c>
      <c r="AO12" s="9"/>
      <c r="AP12" s="9"/>
      <c r="AQ12" s="9"/>
      <c r="AR12" s="9"/>
      <c r="AS12" s="9"/>
      <c r="AT12" s="9">
        <f>+ab($T$12,$T$10,$T$14,$G$11,$G$13,-1*$F$12,1200)</f>
        <v>1.9217658271268039</v>
      </c>
      <c r="AU12" s="428"/>
      <c r="AV12" s="428"/>
      <c r="AW12" s="449" t="str">
        <f>IF(C12&gt;0,VLOOKUP(C12,Foundation_Calc!$A$2:$C$13,3,1),
IF(J12&gt;0,VLOOKUP(J12,Foundation_Calc!$A$2:$C$13,3,1),""))</f>
        <v>Multi Soil</v>
      </c>
      <c r="AX12" s="449" t="str">
        <f>IF(C12&gt;0,VLOOKUP(C12,Foundation_Calc!$E$2:$G$33,3,1),
IF(J12&gt;0,VLOOKUP(J12,Foundation_Calc!$E$2:$G$33,3,1),""))</f>
        <v>PT</v>
      </c>
      <c r="AY12" s="10">
        <f>IF(L12="","",
IF(AX12="PT",VLOOKUP(L12,Foundation_Calc!$K$79:$R$113,VLOOKUP(AW12,Foundation_Calc!$I$2:$J$8,2,FALSE),0),
IF(AX12="K",VLOOKUP(L12,Foundation_Calc!$K$117:$R$151,VLOOKUP(AW12,Foundation_Calc!$I$2:$J$8,2,FALSE),0),"")))</f>
        <v>4</v>
      </c>
      <c r="AZ12" s="10">
        <f>IF(K12="","",
IF(AX12="PT",VLOOKUP(K12,Foundation_Calc!$K$79:$R$113,VLOOKUP(AW12,Foundation_Calc!$I$2:$J$8,2,FALSE),0),
IF(AX12="K",VLOOKUP(K12,Foundation_Calc!$K$117:$R$151,VLOOKUP(AW12,Foundation_Calc!$I$2:$J$8,2,FALSE),0),"")))</f>
        <v>2.8</v>
      </c>
      <c r="BA12" s="495"/>
      <c r="BB12" s="495"/>
      <c r="BC12" s="495"/>
      <c r="BD12" s="513" t="str">
        <f>IF(AND(L12="",H12=""),"",
IF(H12="",Pole_Calc!A$9,
IF(H12="MP",Pole_Calc!A$10,
IF(H12="AnMP",Pole_Calc!A$11,
IF(H12="A",Pole_Calc!A$12,
IF(H12="S/A",Pole_Calc!A$13,
IF(H12="A/S",Pole_Calc!A$14,"Poner a mano")))))))</f>
        <v>App.7-V11I-P9.5.1.1</v>
      </c>
      <c r="BE12" s="429" t="s">
        <v>118</v>
      </c>
      <c r="BF12" s="289"/>
      <c r="BG12" s="289"/>
      <c r="BH12" s="290"/>
      <c r="BI12" s="289"/>
    </row>
    <row r="13" spans="1:63" ht="16.149999999999999" customHeight="1">
      <c r="A13" s="517" t="s">
        <v>442</v>
      </c>
      <c r="B13" s="450"/>
      <c r="C13" s="3"/>
      <c r="D13" s="83"/>
      <c r="E13" s="4"/>
      <c r="F13" s="4"/>
      <c r="G13" s="6">
        <v>24</v>
      </c>
      <c r="H13" s="449"/>
      <c r="I13" s="449"/>
      <c r="J13" s="3"/>
      <c r="K13" s="449"/>
      <c r="L13" s="449"/>
      <c r="M13" s="449" t="str">
        <f>IF(L13="","",
IF(AX13="PT",VLOOKUP(L13,Foundation_Calc!$V$79:$X$113,VLOOKUP(AX13,Foundation_Calc!$I$10:$J$13,2,FALSE),0),
IF(AX13="K",VLOOKUP(L13,Foundation_Calc!$V$117:$X$151,VLOOKUP(AX13,Foundation_Calc!$I$10:$J$13,2,FALSE),0),"")))</f>
        <v/>
      </c>
      <c r="N13" s="553"/>
      <c r="O13" s="449"/>
      <c r="P13" s="449"/>
      <c r="Q13" s="4"/>
      <c r="R13" s="6"/>
      <c r="S13" s="6"/>
      <c r="T13" s="4"/>
      <c r="U13" s="4"/>
      <c r="V13" s="4"/>
      <c r="W13" s="9"/>
      <c r="X13" s="9"/>
      <c r="Y13" s="9"/>
      <c r="Z13" s="9"/>
      <c r="AA13" s="9"/>
      <c r="AB13" s="9"/>
      <c r="AC13" s="449" t="str">
        <f t="shared" si="0"/>
        <v/>
      </c>
      <c r="AD13" s="449"/>
      <c r="AE13" s="449"/>
      <c r="AF13" s="4"/>
      <c r="AG13" s="83"/>
      <c r="AH13" s="4"/>
      <c r="AI13" s="4"/>
      <c r="AJ13" s="449"/>
      <c r="AK13" s="449"/>
      <c r="AL13" s="449"/>
      <c r="AM13" s="449"/>
      <c r="AN13" s="10"/>
      <c r="AO13" s="9"/>
      <c r="AP13" s="9"/>
      <c r="AQ13" s="9">
        <f>+FL_1($T$14,$T$12,$G$13,1200,9.28,-1*$F$14)</f>
        <v>0.30000000000004801</v>
      </c>
      <c r="AR13" s="9"/>
      <c r="AS13" s="9"/>
      <c r="AT13" s="9"/>
      <c r="AU13" s="428"/>
      <c r="AV13" s="428"/>
      <c r="AW13" s="449" t="str">
        <f>IF(C13&gt;0,VLOOKUP(C13,Foundation_Calc!$A$2:$C$13,3,1),
IF(J13&gt;0,VLOOKUP(J13,Foundation_Calc!$A$2:$C$13,3,1),""))</f>
        <v/>
      </c>
      <c r="AX13" s="449" t="str">
        <f>IF(C13&gt;0,VLOOKUP(C13,Foundation_Calc!$E$2:$G$33,3,1),
IF(J13&gt;0,VLOOKUP(J13,Foundation_Calc!$E$2:$G$33,3,1),""))</f>
        <v/>
      </c>
      <c r="AY13" s="10" t="str">
        <f>IF(L13="","",
IF(AX13="PT",VLOOKUP(L13,Foundation_Calc!$K$79:$R$113,VLOOKUP(AW13,Foundation_Calc!$I$2:$J$8,2,FALSE),0),
IF(AX13="K",VLOOKUP(L13,Foundation_Calc!$K$117:$R$151,VLOOKUP(AW13,Foundation_Calc!$I$2:$J$8,2,FALSE),0),"")))</f>
        <v/>
      </c>
      <c r="AZ13" s="10" t="str">
        <f>IF(K13="","",
IF(AX13="PT",VLOOKUP(K13,Foundation_Calc!$K$79:$R$113,VLOOKUP(AW13,Foundation_Calc!$I$2:$J$8,2,FALSE),0),
IF(AX13="K",VLOOKUP(K13,Foundation_Calc!$K$117:$R$151,VLOOKUP(AW13,Foundation_Calc!$I$2:$J$8,2,FALSE),0),"")))</f>
        <v/>
      </c>
      <c r="BA13" s="495"/>
      <c r="BB13" s="495"/>
      <c r="BC13" s="495"/>
      <c r="BD13" s="513" t="str">
        <f>IF(AND(L13="",H13=""),"",
IF(H13="",Pole_Calc!A$9,
IF(H13="MP",Pole_Calc!A$10,
IF(H13="AnMP",Pole_Calc!A$11,
IF(H13="A",Pole_Calc!A$12,
IF(H13="S/A",Pole_Calc!A$13,
IF(H13="A/S",Pole_Calc!A$14,"Poner a mano")))))))</f>
        <v/>
      </c>
      <c r="BE13" s="429" t="s">
        <v>118</v>
      </c>
      <c r="BF13" s="290"/>
      <c r="BG13" s="290"/>
      <c r="BH13" s="290"/>
      <c r="BI13" s="290"/>
    </row>
    <row r="14" spans="1:63" ht="16.149999999999999" customHeight="1">
      <c r="A14" s="517" t="s">
        <v>442</v>
      </c>
      <c r="B14" s="450" t="s">
        <v>1716</v>
      </c>
      <c r="C14" s="3">
        <f>C12+G13</f>
        <v>41049.139999999992</v>
      </c>
      <c r="D14" s="83"/>
      <c r="E14" s="4"/>
      <c r="F14" s="4">
        <v>-300</v>
      </c>
      <c r="G14" s="6"/>
      <c r="H14" s="449"/>
      <c r="I14" s="449"/>
      <c r="J14" s="3"/>
      <c r="K14" s="449"/>
      <c r="L14" s="449" t="s">
        <v>1714</v>
      </c>
      <c r="M14" s="449" t="str">
        <f>IF(L14="","",
IF(AX14="PT",VLOOKUP(L14,Foundation_Calc!$V$79:$X$113,VLOOKUP(AX14,Foundation_Calc!$I$10:$J$13,2,FALSE),0),
IF(AX14="K",VLOOKUP(L14,Foundation_Calc!$V$117:$X$151,VLOOKUP(AX14,Foundation_Calc!$I$10:$J$13,2,FALSE),0),"")))</f>
        <v>C7R</v>
      </c>
      <c r="N14" s="553" t="s">
        <v>134</v>
      </c>
      <c r="O14" s="449"/>
      <c r="P14" s="449"/>
      <c r="Q14" s="4"/>
      <c r="R14" s="6"/>
      <c r="S14" s="6"/>
      <c r="T14" s="4">
        <v>30</v>
      </c>
      <c r="U14" s="4"/>
      <c r="V14" s="4"/>
      <c r="W14" s="9">
        <v>1.4</v>
      </c>
      <c r="X14" s="9"/>
      <c r="Y14" s="9"/>
      <c r="Z14" s="9"/>
      <c r="AA14" s="9"/>
      <c r="AB14" s="9"/>
      <c r="AC14" s="449" t="str">
        <f t="shared" si="0"/>
        <v>PHC</v>
      </c>
      <c r="AD14" s="449"/>
      <c r="AE14" s="449"/>
      <c r="AF14" s="4"/>
      <c r="AG14" s="83"/>
      <c r="AH14" s="4"/>
      <c r="AI14" s="4"/>
      <c r="AJ14" s="449"/>
      <c r="AK14" s="449"/>
      <c r="AL14" s="449"/>
      <c r="AM14" s="449" t="s">
        <v>552</v>
      </c>
      <c r="AN14" s="10">
        <v>5.5</v>
      </c>
      <c r="AO14" s="9"/>
      <c r="AP14" s="9"/>
      <c r="AQ14" s="9"/>
      <c r="AR14" s="9"/>
      <c r="AS14" s="9"/>
      <c r="AT14" s="9">
        <f>+ab($T$14,$T$12,$T$16,$G$13,$G$15,-1*$F$14,1200)</f>
        <v>2.1311573525867904</v>
      </c>
      <c r="AU14" s="428"/>
      <c r="AV14" s="428"/>
      <c r="AW14" s="449" t="str">
        <f>IF(C14&gt;0,VLOOKUP(C14,Foundation_Calc!$A$2:$C$13,3,1),
IF(J14&gt;0,VLOOKUP(J14,Foundation_Calc!$A$2:$C$13,3,1),""))</f>
        <v>Multi Soil</v>
      </c>
      <c r="AX14" s="449" t="str">
        <f>IF(C14&gt;0,VLOOKUP(C14,Foundation_Calc!$E$2:$G$33,3,1),
IF(J14&gt;0,VLOOKUP(J14,Foundation_Calc!$E$2:$G$33,3,1),""))</f>
        <v>PT</v>
      </c>
      <c r="AY14" s="10">
        <f>IF(L14="","",
IF(AX14="PT",VLOOKUP(L14,Foundation_Calc!$K$79:$R$113,VLOOKUP(AW14,Foundation_Calc!$I$2:$J$8,2,FALSE),0),
IF(AX14="K",VLOOKUP(L14,Foundation_Calc!$K$117:$R$151,VLOOKUP(AW14,Foundation_Calc!$I$2:$J$8,2,FALSE),0),"")))</f>
        <v>4</v>
      </c>
      <c r="AZ14" s="10" t="str">
        <f>IF(K14="","",
IF(AX14="PT",VLOOKUP(K14,Foundation_Calc!$K$79:$R$113,VLOOKUP(AW14,Foundation_Calc!$I$2:$J$8,2,FALSE),0),
IF(AX14="K",VLOOKUP(K14,Foundation_Calc!$K$117:$R$151,VLOOKUP(AW14,Foundation_Calc!$I$2:$J$8,2,FALSE),0),"")))</f>
        <v/>
      </c>
      <c r="BA14" s="495"/>
      <c r="BB14" s="495"/>
      <c r="BC14" s="495"/>
      <c r="BD14" s="513" t="str">
        <f>IF(AND(L14="",H14=""),"",
IF(H14="",Pole_Calc!A$9,
IF(H14="MP",Pole_Calc!A$10,
IF(H14="AnMP",Pole_Calc!A$11,
IF(H14="A",Pole_Calc!A$12,
IF(H14="S/A",Pole_Calc!A$13,
IF(H14="A/S",Pole_Calc!A$14,"Poner a mano")))))))</f>
        <v>App.7-V11I-P9.5.1.1</v>
      </c>
      <c r="BE14" s="429" t="s">
        <v>118</v>
      </c>
      <c r="BF14" s="289"/>
      <c r="BG14" s="289"/>
      <c r="BH14" s="290"/>
      <c r="BI14" s="289"/>
    </row>
    <row r="15" spans="1:63" ht="16.149999999999999" customHeight="1">
      <c r="A15" s="517" t="s">
        <v>442</v>
      </c>
      <c r="B15" s="450"/>
      <c r="C15" s="3"/>
      <c r="D15" s="83"/>
      <c r="E15" s="4"/>
      <c r="F15" s="4"/>
      <c r="G15" s="6">
        <v>30</v>
      </c>
      <c r="H15" s="449"/>
      <c r="I15" s="449"/>
      <c r="J15" s="3"/>
      <c r="K15" s="449"/>
      <c r="L15" s="449"/>
      <c r="M15" s="449" t="str">
        <f>IF(L15="","",
IF(AX15="PT",VLOOKUP(L15,Foundation_Calc!$V$79:$X$113,VLOOKUP(AX15,Foundation_Calc!$I$10:$J$13,2,FALSE),0),
IF(AX15="K",VLOOKUP(L15,Foundation_Calc!$V$117:$X$151,VLOOKUP(AX15,Foundation_Calc!$I$10:$J$13,2,FALSE),0),"")))</f>
        <v/>
      </c>
      <c r="N15" s="553"/>
      <c r="O15" s="449"/>
      <c r="P15" s="449"/>
      <c r="Q15" s="4"/>
      <c r="R15" s="6"/>
      <c r="S15" s="6"/>
      <c r="T15" s="4"/>
      <c r="U15" s="4"/>
      <c r="V15" s="4"/>
      <c r="W15" s="9"/>
      <c r="X15" s="9"/>
      <c r="Y15" s="9"/>
      <c r="Z15" s="9"/>
      <c r="AA15" s="9"/>
      <c r="AB15" s="9"/>
      <c r="AC15" s="449" t="str">
        <f t="shared" si="0"/>
        <v/>
      </c>
      <c r="AD15" s="449"/>
      <c r="AE15" s="449"/>
      <c r="AF15" s="4"/>
      <c r="AG15" s="83"/>
      <c r="AH15" s="4"/>
      <c r="AI15" s="4"/>
      <c r="AJ15" s="449"/>
      <c r="AK15" s="449"/>
      <c r="AL15" s="449"/>
      <c r="AM15" s="449"/>
      <c r="AN15" s="10"/>
      <c r="AO15" s="9"/>
      <c r="AP15" s="9"/>
      <c r="AQ15" s="9">
        <f>+FL_1($T$16,$T$14,$G$15,1200,9.28,-1*$F$16)</f>
        <v>0.3000000000000918</v>
      </c>
      <c r="AR15" s="9"/>
      <c r="AS15" s="9"/>
      <c r="AT15" s="9"/>
      <c r="AU15" s="428"/>
      <c r="AV15" s="428"/>
      <c r="AW15" s="449" t="str">
        <f>IF(C15&gt;0,VLOOKUP(C15,Foundation_Calc!$A$2:$C$13,3,1),
IF(J15&gt;0,VLOOKUP(J15,Foundation_Calc!$A$2:$C$13,3,1),""))</f>
        <v/>
      </c>
      <c r="AX15" s="449" t="str">
        <f>IF(C15&gt;0,VLOOKUP(C15,Foundation_Calc!$E$2:$G$33,3,1),
IF(J15&gt;0,VLOOKUP(J15,Foundation_Calc!$E$2:$G$33,3,1),""))</f>
        <v/>
      </c>
      <c r="AY15" s="10" t="str">
        <f>IF(L15="","",
IF(AX15="PT",VLOOKUP(L15,Foundation_Calc!$K$79:$R$113,VLOOKUP(AW15,Foundation_Calc!$I$2:$J$8,2,FALSE),0),
IF(AX15="K",VLOOKUP(L15,Foundation_Calc!$K$117:$R$151,VLOOKUP(AW15,Foundation_Calc!$I$2:$J$8,2,FALSE),0),"")))</f>
        <v/>
      </c>
      <c r="AZ15" s="10" t="str">
        <f>IF(K15="","",
IF(AX15="PT",VLOOKUP(K15,Foundation_Calc!$K$79:$R$113,VLOOKUP(AW15,Foundation_Calc!$I$2:$J$8,2,FALSE),0),
IF(AX15="K",VLOOKUP(K15,Foundation_Calc!$K$117:$R$151,VLOOKUP(AW15,Foundation_Calc!$I$2:$J$8,2,FALSE),0),"")))</f>
        <v/>
      </c>
      <c r="BA15" s="495"/>
      <c r="BB15" s="495"/>
      <c r="BC15" s="495"/>
      <c r="BD15" s="513" t="str">
        <f>IF(AND(L15="",H15=""),"",
IF(H15="",Pole_Calc!A$9,
IF(H15="MP",Pole_Calc!A$10,
IF(H15="AnMP",Pole_Calc!A$11,
IF(H15="A",Pole_Calc!A$12,
IF(H15="S/A",Pole_Calc!A$13,
IF(H15="A/S",Pole_Calc!A$14,"Poner a mano")))))))</f>
        <v/>
      </c>
      <c r="BE15" s="429" t="s">
        <v>118</v>
      </c>
      <c r="BF15" s="290"/>
      <c r="BG15" s="290"/>
      <c r="BH15" s="290"/>
      <c r="BI15" s="290"/>
    </row>
    <row r="16" spans="1:63" ht="16.149999999999999" customHeight="1">
      <c r="A16" s="517" t="s">
        <v>442</v>
      </c>
      <c r="B16" s="450" t="s">
        <v>1717</v>
      </c>
      <c r="C16" s="3">
        <f>C14+G15</f>
        <v>41079.139999999992</v>
      </c>
      <c r="D16" s="83"/>
      <c r="E16" s="4"/>
      <c r="F16" s="4">
        <v>-300</v>
      </c>
      <c r="G16" s="6"/>
      <c r="H16" s="449"/>
      <c r="I16" s="449"/>
      <c r="J16" s="3"/>
      <c r="K16" s="449"/>
      <c r="L16" s="449" t="s">
        <v>1714</v>
      </c>
      <c r="M16" s="449" t="str">
        <f>IF(L16="","",
IF(AX16="PT",VLOOKUP(L16,Foundation_Calc!$V$79:$X$113,VLOOKUP(AX16,Foundation_Calc!$I$10:$J$13,2,FALSE),0),
IF(AX16="K",VLOOKUP(L16,Foundation_Calc!$V$117:$X$151,VLOOKUP(AX16,Foundation_Calc!$I$10:$J$13,2,FALSE),0),"")))</f>
        <v>C7R</v>
      </c>
      <c r="N16" s="553" t="s">
        <v>134</v>
      </c>
      <c r="O16" s="449"/>
      <c r="P16" s="449"/>
      <c r="Q16" s="4"/>
      <c r="R16" s="6"/>
      <c r="S16" s="6"/>
      <c r="T16" s="4">
        <v>30</v>
      </c>
      <c r="U16" s="4"/>
      <c r="V16" s="4"/>
      <c r="W16" s="9">
        <v>1.4</v>
      </c>
      <c r="X16" s="9"/>
      <c r="Y16" s="9"/>
      <c r="Z16" s="9"/>
      <c r="AA16" s="9"/>
      <c r="AB16" s="9"/>
      <c r="AC16" s="449" t="str">
        <f t="shared" si="0"/>
        <v>PHC</v>
      </c>
      <c r="AD16" s="449"/>
      <c r="AE16" s="449"/>
      <c r="AF16" s="4"/>
      <c r="AG16" s="83"/>
      <c r="AH16" s="4"/>
      <c r="AI16" s="4"/>
      <c r="AJ16" s="449"/>
      <c r="AK16" s="449"/>
      <c r="AL16" s="449"/>
      <c r="AM16" s="449" t="s">
        <v>552</v>
      </c>
      <c r="AN16" s="10">
        <v>5.5</v>
      </c>
      <c r="AO16" s="9"/>
      <c r="AP16" s="9"/>
      <c r="AQ16" s="9"/>
      <c r="AR16" s="9"/>
      <c r="AS16" s="9"/>
      <c r="AT16" s="9">
        <f>+ab($T$16,$T$14,$T$18,$G$15,$G$17,-1*$F$16,1200)</f>
        <v>1.5768017984127984</v>
      </c>
      <c r="AU16" s="428"/>
      <c r="AV16" s="428"/>
      <c r="AW16" s="449" t="str">
        <f>IF(C16&gt;0,VLOOKUP(C16,Foundation_Calc!$A$2:$C$13,3,1),
IF(J16&gt;0,VLOOKUP(J16,Foundation_Calc!$A$2:$C$13,3,1),""))</f>
        <v>Multi Soil</v>
      </c>
      <c r="AX16" s="449" t="str">
        <f>IF(C16&gt;0,VLOOKUP(C16,Foundation_Calc!$E$2:$G$33,3,1),
IF(J16&gt;0,VLOOKUP(J16,Foundation_Calc!$E$2:$G$33,3,1),""))</f>
        <v>PT</v>
      </c>
      <c r="AY16" s="10">
        <f>IF(L16="","",
IF(AX16="PT",VLOOKUP(L16,Foundation_Calc!$K$79:$R$113,VLOOKUP(AW16,Foundation_Calc!$I$2:$J$8,2,FALSE),0),
IF(AX16="K",VLOOKUP(L16,Foundation_Calc!$K$117:$R$151,VLOOKUP(AW16,Foundation_Calc!$I$2:$J$8,2,FALSE),0),"")))</f>
        <v>4</v>
      </c>
      <c r="AZ16" s="10" t="str">
        <f>IF(K16="","",
IF(AX16="PT",VLOOKUP(K16,Foundation_Calc!$K$79:$R$113,VLOOKUP(AW16,Foundation_Calc!$I$2:$J$8,2,FALSE),0),
IF(AX16="K",VLOOKUP(K16,Foundation_Calc!$K$117:$R$151,VLOOKUP(AW16,Foundation_Calc!$I$2:$J$8,2,FALSE),0),"")))</f>
        <v/>
      </c>
      <c r="BA16" s="495"/>
      <c r="BB16" s="495"/>
      <c r="BC16" s="495"/>
      <c r="BD16" s="513" t="str">
        <f>IF(AND(L16="",H16=""),"",
IF(H16="",Pole_Calc!A$9,
IF(H16="MP",Pole_Calc!A$10,
IF(H16="AnMP",Pole_Calc!A$11,
IF(H16="A",Pole_Calc!A$12,
IF(H16="S/A",Pole_Calc!A$13,
IF(H16="A/S",Pole_Calc!A$14,"Poner a mano")))))))</f>
        <v>App.7-V11I-P9.5.1.1</v>
      </c>
      <c r="BE16" s="429" t="s">
        <v>118</v>
      </c>
      <c r="BF16" s="289"/>
      <c r="BG16" s="289"/>
      <c r="BH16" s="290"/>
      <c r="BI16" s="289"/>
    </row>
    <row r="17" spans="1:61" ht="16.149999999999999" customHeight="1">
      <c r="A17" s="732" t="s">
        <v>448</v>
      </c>
      <c r="B17" s="722"/>
      <c r="C17" s="723"/>
      <c r="D17" s="724"/>
      <c r="E17" s="725"/>
      <c r="F17" s="725"/>
      <c r="G17" s="726">
        <v>30</v>
      </c>
      <c r="H17" s="727"/>
      <c r="I17" s="727"/>
      <c r="J17" s="723"/>
      <c r="K17" s="727"/>
      <c r="L17" s="727"/>
      <c r="M17" s="727" t="str">
        <f>IF(L17="","",
IF(AX17="PT",VLOOKUP(L17,Foundation_Calc!$V$79:$X$113,VLOOKUP(AX17,Foundation_Calc!$I$10:$J$13,2,FALSE),0),
IF(AX17="K",VLOOKUP(L17,Foundation_Calc!$V$117:$X$151,VLOOKUP(AX17,Foundation_Calc!$I$10:$J$13,2,FALSE),0),"")))</f>
        <v/>
      </c>
      <c r="N17" s="883"/>
      <c r="O17" s="727"/>
      <c r="P17" s="727"/>
      <c r="Q17" s="725"/>
      <c r="R17" s="726"/>
      <c r="S17" s="726"/>
      <c r="T17" s="725"/>
      <c r="U17" s="725"/>
      <c r="V17" s="725"/>
      <c r="W17" s="728"/>
      <c r="X17" s="728"/>
      <c r="Y17" s="728"/>
      <c r="Z17" s="728"/>
      <c r="AA17" s="728"/>
      <c r="AB17" s="728"/>
      <c r="AC17" s="727" t="str">
        <f t="shared" si="0"/>
        <v/>
      </c>
      <c r="AD17" s="727"/>
      <c r="AE17" s="727"/>
      <c r="AF17" s="725"/>
      <c r="AG17" s="724"/>
      <c r="AH17" s="725"/>
      <c r="AI17" s="725"/>
      <c r="AJ17" s="727"/>
      <c r="AK17" s="727"/>
      <c r="AL17" s="727"/>
      <c r="AM17" s="727"/>
      <c r="AN17" s="729"/>
      <c r="AO17" s="728"/>
      <c r="AP17" s="728"/>
      <c r="AQ17" s="728">
        <f>+FL_2($T$18,$T$16,$G$17,1200,9.28,-1*$F$18)</f>
        <v>-0.35</v>
      </c>
      <c r="AR17" s="728"/>
      <c r="AS17" s="728"/>
      <c r="AT17" s="728"/>
      <c r="AU17" s="730"/>
      <c r="AV17" s="730"/>
      <c r="AW17" s="727" t="str">
        <f>IF(C17&gt;0,VLOOKUP(C17,Foundation_Calc!$A$2:$C$13,3,1),
IF(J17&gt;0,VLOOKUP(J17,Foundation_Calc!$A$2:$C$13,3,1),""))</f>
        <v/>
      </c>
      <c r="AX17" s="727" t="str">
        <f>IF(C17&gt;0,VLOOKUP(C17,Foundation_Calc!$E$2:$G$33,3,1),
IF(J17&gt;0,VLOOKUP(J17,Foundation_Calc!$E$2:$G$33,3,1),""))</f>
        <v/>
      </c>
      <c r="AY17" s="729" t="str">
        <f>IF(L17="","",
IF(AX17="PT",VLOOKUP(L17,Foundation_Calc!$K$79:$R$113,VLOOKUP(AW17,Foundation_Calc!$I$2:$J$8,2,FALSE),0),
IF(AX17="K",VLOOKUP(L17,Foundation_Calc!$K$117:$R$151,VLOOKUP(AW17,Foundation_Calc!$I$2:$J$8,2,FALSE),0),"")))</f>
        <v/>
      </c>
      <c r="AZ17" s="729" t="str">
        <f>IF(K17="","",
IF(AX17="PT",VLOOKUP(K17,Foundation_Calc!$K$79:$R$113,VLOOKUP(AW17,Foundation_Calc!$I$2:$J$8,2,FALSE),0),
IF(AX17="K",VLOOKUP(K17,Foundation_Calc!$K$117:$R$151,VLOOKUP(AW17,Foundation_Calc!$I$2:$J$8,2,FALSE),0),"")))</f>
        <v/>
      </c>
      <c r="BA17" s="495"/>
      <c r="BB17" s="495"/>
      <c r="BC17" s="495"/>
      <c r="BD17" s="513" t="str">
        <f>IF(AND(L17="",H17=""),"",
IF(H17="",Pole_Calc!A$9,
IF(H17="MP",Pole_Calc!A$10,
IF(H17="AnMP",Pole_Calc!A$11,
IF(H17="A",Pole_Calc!A$12,
IF(H17="S/A",Pole_Calc!A$13,
IF(H17="A/S",Pole_Calc!A$14,"Poner a mano")))))))</f>
        <v/>
      </c>
      <c r="BE17" s="429" t="s">
        <v>118</v>
      </c>
      <c r="BF17" s="290"/>
      <c r="BG17" s="290"/>
      <c r="BH17" s="290"/>
      <c r="BI17" s="290"/>
    </row>
    <row r="18" spans="1:61" ht="16.149999999999999" customHeight="1">
      <c r="A18" s="518" t="s">
        <v>438</v>
      </c>
      <c r="B18" s="450" t="s">
        <v>1718</v>
      </c>
      <c r="C18" s="3">
        <f>C16+G17</f>
        <v>41109.139999999992</v>
      </c>
      <c r="D18" s="83"/>
      <c r="E18" s="4"/>
      <c r="F18" s="4">
        <v>0</v>
      </c>
      <c r="G18" s="6"/>
      <c r="H18" s="449"/>
      <c r="I18" s="449"/>
      <c r="J18" s="3"/>
      <c r="K18" s="449"/>
      <c r="L18" s="449" t="s">
        <v>153</v>
      </c>
      <c r="M18" s="449" t="str">
        <f>IF(L18="","",
IF(AX18="PT",VLOOKUP(L18,Foundation_Calc!$V$79:$X$113,VLOOKUP(AX18,Foundation_Calc!$I$10:$J$13,2,FALSE),0),
IF(AX18="K",VLOOKUP(L18,Foundation_Calc!$V$117:$X$151,VLOOKUP(AX18,Foundation_Calc!$I$10:$J$13,2,FALSE),0),"")))</f>
        <v>C3R</v>
      </c>
      <c r="N18" s="553" t="s">
        <v>124</v>
      </c>
      <c r="O18" s="575"/>
      <c r="P18" s="449"/>
      <c r="Q18" s="4"/>
      <c r="R18" s="6"/>
      <c r="S18" s="6"/>
      <c r="T18" s="4">
        <v>-35</v>
      </c>
      <c r="U18" s="4"/>
      <c r="V18" s="4"/>
      <c r="W18" s="9">
        <v>1.4</v>
      </c>
      <c r="X18" s="9"/>
      <c r="Y18" s="9"/>
      <c r="Z18" s="9"/>
      <c r="AA18" s="9"/>
      <c r="AB18" s="9"/>
      <c r="AC18" s="449" t="str">
        <f t="shared" si="0"/>
        <v>PHC</v>
      </c>
      <c r="AD18" s="449"/>
      <c r="AE18" s="449"/>
      <c r="AF18" s="4"/>
      <c r="AG18" s="83"/>
      <c r="AH18" s="4"/>
      <c r="AI18" s="4"/>
      <c r="AJ18" s="449"/>
      <c r="AK18" s="449"/>
      <c r="AL18" s="449"/>
      <c r="AM18" s="449" t="s">
        <v>552</v>
      </c>
      <c r="AN18" s="10">
        <v>5.5</v>
      </c>
      <c r="AO18" s="9"/>
      <c r="AP18" s="9"/>
      <c r="AQ18" s="9"/>
      <c r="AR18" s="9"/>
      <c r="AS18" s="9"/>
      <c r="AT18" s="9">
        <f>+ab($T$18,$T$16,$T$20,$G$17,$G$19,-1*$F$18,1200)</f>
        <v>-4.2564367668747991</v>
      </c>
      <c r="AU18" s="428"/>
      <c r="AV18" s="428"/>
      <c r="AW18" s="449" t="str">
        <f>IF(C18&gt;0,VLOOKUP(C18,Foundation_Calc!$A$2:$C$13,3,1),
IF(J18&gt;0,VLOOKUP(J18,Foundation_Calc!$A$2:$C$13,3,1),""))</f>
        <v>Multi Soil</v>
      </c>
      <c r="AX18" s="449" t="str">
        <f>IF(C18&gt;0,VLOOKUP(C18,Foundation_Calc!$E$2:$G$33,3,1),
IF(J18&gt;0,VLOOKUP(J18,Foundation_Calc!$E$2:$G$33,3,1),""))</f>
        <v>PT</v>
      </c>
      <c r="AY18" s="10">
        <f>IF(L18="","",
IF(AX18="PT",VLOOKUP(L18,Foundation_Calc!$K$79:$R$113,VLOOKUP(AW18,Foundation_Calc!$I$2:$J$8,2,FALSE),0),
IF(AX18="K",VLOOKUP(L18,Foundation_Calc!$K$117:$R$151,VLOOKUP(AW18,Foundation_Calc!$I$2:$J$8,2,FALSE),0),"")))</f>
        <v>3.5</v>
      </c>
      <c r="AZ18" s="10" t="str">
        <f>IF(K18="","",
IF(AX18="PT",VLOOKUP(K18,Foundation_Calc!$K$79:$R$113,VLOOKUP(AW18,Foundation_Calc!$I$2:$J$8,2,FALSE),0),
IF(AX18="K",VLOOKUP(K18,Foundation_Calc!$K$117:$R$151,VLOOKUP(AW18,Foundation_Calc!$I$2:$J$8,2,FALSE),0),"")))</f>
        <v/>
      </c>
      <c r="BA18" s="495"/>
      <c r="BB18" s="495"/>
      <c r="BC18" s="495"/>
      <c r="BD18" s="513" t="str">
        <f>IF(AND(L18="",H18=""),"",
IF(H18="",Pole_Calc!A$9,
IF(H18="MP",Pole_Calc!A$10,
IF(H18="AnMP",Pole_Calc!A$11,
IF(H18="A",Pole_Calc!A$12,
IF(H18="S/A",Pole_Calc!A$13,
IF(H18="A/S",Pole_Calc!A$14,"Poner a mano")))))))</f>
        <v>App.7-V11I-P9.5.1.1</v>
      </c>
      <c r="BE18" s="429" t="s">
        <v>118</v>
      </c>
      <c r="BF18" s="289"/>
      <c r="BG18" s="289"/>
      <c r="BH18" s="290"/>
      <c r="BI18" s="289"/>
    </row>
    <row r="19" spans="1:61" ht="16.149999999999999" customHeight="1">
      <c r="A19" s="517" t="s">
        <v>442</v>
      </c>
      <c r="B19" s="450"/>
      <c r="C19" s="3"/>
      <c r="D19" s="83"/>
      <c r="E19" s="4"/>
      <c r="F19" s="4"/>
      <c r="G19" s="6">
        <v>30</v>
      </c>
      <c r="H19" s="449"/>
      <c r="I19" s="449"/>
      <c r="J19" s="3"/>
      <c r="K19" s="449"/>
      <c r="L19" s="449"/>
      <c r="M19" s="449" t="str">
        <f>IF(L19="","",
IF(AX19="PT",VLOOKUP(L19,Foundation_Calc!$V$79:$X$113,VLOOKUP(AX19,Foundation_Calc!$I$10:$J$13,2,FALSE),0),
IF(AX19="K",VLOOKUP(L19,Foundation_Calc!$V$117:$X$151,VLOOKUP(AX19,Foundation_Calc!$I$10:$J$13,2,FALSE),0),"")))</f>
        <v/>
      </c>
      <c r="N19" s="553"/>
      <c r="O19" s="449"/>
      <c r="P19" s="449"/>
      <c r="Q19" s="4"/>
      <c r="R19" s="6"/>
      <c r="S19" s="6"/>
      <c r="T19" s="4"/>
      <c r="U19" s="4"/>
      <c r="V19" s="4"/>
      <c r="W19" s="9"/>
      <c r="X19" s="9"/>
      <c r="Y19" s="9"/>
      <c r="Z19" s="9"/>
      <c r="AA19" s="9"/>
      <c r="AB19" s="9"/>
      <c r="AC19" s="449" t="str">
        <f t="shared" si="0"/>
        <v/>
      </c>
      <c r="AD19" s="449"/>
      <c r="AE19" s="449"/>
      <c r="AF19" s="4"/>
      <c r="AG19" s="83"/>
      <c r="AH19" s="4"/>
      <c r="AI19" s="4"/>
      <c r="AJ19" s="449"/>
      <c r="AK19" s="449"/>
      <c r="AL19" s="449"/>
      <c r="AM19" s="449"/>
      <c r="AN19" s="10"/>
      <c r="AO19" s="9"/>
      <c r="AP19" s="9"/>
      <c r="AQ19" s="9">
        <f>+FL_2($T$20,$T$18,$G$19,1200,9.28,-1*$F$20)</f>
        <v>-0.35000000000002224</v>
      </c>
      <c r="AR19" s="9"/>
      <c r="AS19" s="9"/>
      <c r="AT19" s="9"/>
      <c r="AU19" s="428"/>
      <c r="AV19" s="428"/>
      <c r="AW19" s="449" t="str">
        <f>IF(C19&gt;0,VLOOKUP(C19,Foundation_Calc!$A$2:$C$13,3,1),
IF(J19&gt;0,VLOOKUP(J19,Foundation_Calc!$A$2:$C$13,3,1),""))</f>
        <v/>
      </c>
      <c r="AX19" s="449" t="str">
        <f>IF(C19&gt;0,VLOOKUP(C19,Foundation_Calc!$E$2:$G$33,3,1),
IF(J19&gt;0,VLOOKUP(J19,Foundation_Calc!$E$2:$G$33,3,1),""))</f>
        <v/>
      </c>
      <c r="AY19" s="10" t="str">
        <f>IF(L19="","",
IF(AX19="PT",VLOOKUP(L19,Foundation_Calc!$K$79:$R$113,VLOOKUP(AW19,Foundation_Calc!$I$2:$J$8,2,FALSE),0),
IF(AX19="K",VLOOKUP(L19,Foundation_Calc!$K$117:$R$151,VLOOKUP(AW19,Foundation_Calc!$I$2:$J$8,2,FALSE),0),"")))</f>
        <v/>
      </c>
      <c r="AZ19" s="10" t="str">
        <f>IF(K19="","",
IF(AX19="PT",VLOOKUP(K19,Foundation_Calc!$K$79:$R$113,VLOOKUP(AW19,Foundation_Calc!$I$2:$J$8,2,FALSE),0),
IF(AX19="K",VLOOKUP(K19,Foundation_Calc!$K$117:$R$151,VLOOKUP(AW19,Foundation_Calc!$I$2:$J$8,2,FALSE),0),"")))</f>
        <v/>
      </c>
      <c r="BA19" s="495"/>
      <c r="BB19" s="495"/>
      <c r="BC19" s="495"/>
      <c r="BD19" s="513" t="str">
        <f>IF(AND(L19="",H19=""),"",
IF(H19="",Pole_Calc!A$9,
IF(H19="MP",Pole_Calc!A$10,
IF(H19="AnMP",Pole_Calc!A$11,
IF(H19="A",Pole_Calc!A$12,
IF(H19="S/A",Pole_Calc!A$13,
IF(H19="A/S",Pole_Calc!A$14,"Poner a mano")))))))</f>
        <v/>
      </c>
      <c r="BE19" s="429" t="s">
        <v>118</v>
      </c>
      <c r="BF19" s="290"/>
      <c r="BG19" s="290"/>
      <c r="BH19" s="290"/>
      <c r="BI19" s="290"/>
    </row>
    <row r="20" spans="1:61" ht="16.149999999999999" customHeight="1">
      <c r="A20" s="517" t="s">
        <v>442</v>
      </c>
      <c r="B20" s="450" t="s">
        <v>1719</v>
      </c>
      <c r="C20" s="3">
        <f>C18+G19</f>
        <v>41139.139999999992</v>
      </c>
      <c r="D20" s="83"/>
      <c r="E20" s="4"/>
      <c r="F20" s="4">
        <v>0</v>
      </c>
      <c r="G20" s="6"/>
      <c r="H20" s="449"/>
      <c r="I20" s="449"/>
      <c r="J20" s="3"/>
      <c r="K20" s="449"/>
      <c r="L20" s="449" t="s">
        <v>153</v>
      </c>
      <c r="M20" s="449" t="str">
        <f>IF(L20="","",
IF(AX20="PT",VLOOKUP(L20,Foundation_Calc!$V$79:$X$113,VLOOKUP(AX20,Foundation_Calc!$I$10:$J$13,2,FALSE),0),
IF(AX20="K",VLOOKUP(L20,Foundation_Calc!$V$117:$X$151,VLOOKUP(AX20,Foundation_Calc!$I$10:$J$13,2,FALSE),0),"")))</f>
        <v>C3R</v>
      </c>
      <c r="N20" s="553" t="s">
        <v>134</v>
      </c>
      <c r="O20" s="449"/>
      <c r="P20" s="449"/>
      <c r="Q20" s="4"/>
      <c r="R20" s="6"/>
      <c r="S20" s="6"/>
      <c r="T20" s="4">
        <v>35</v>
      </c>
      <c r="U20" s="4"/>
      <c r="V20" s="4"/>
      <c r="W20" s="572">
        <v>1.2</v>
      </c>
      <c r="X20" s="9"/>
      <c r="Y20" s="9"/>
      <c r="Z20" s="9"/>
      <c r="AA20" s="9"/>
      <c r="AB20" s="9"/>
      <c r="AC20" s="449" t="str">
        <f t="shared" si="0"/>
        <v>PHC</v>
      </c>
      <c r="AD20" s="449"/>
      <c r="AE20" s="449"/>
      <c r="AF20" s="4"/>
      <c r="AG20" s="83"/>
      <c r="AH20" s="4"/>
      <c r="AI20" s="4"/>
      <c r="AJ20" s="449"/>
      <c r="AK20" s="449"/>
      <c r="AL20" s="449"/>
      <c r="AM20" s="449" t="s">
        <v>552</v>
      </c>
      <c r="AN20" s="10">
        <v>5.5</v>
      </c>
      <c r="AO20" s="9"/>
      <c r="AP20" s="9"/>
      <c r="AQ20" s="9"/>
      <c r="AR20" s="9"/>
      <c r="AS20" s="9"/>
      <c r="AT20" s="9">
        <f>+ab($T$20,$T$18,$T$22,$G$19,$G$21,-1*$F$20,1200)</f>
        <v>4.3303632481624108</v>
      </c>
      <c r="AU20" s="428"/>
      <c r="AV20" s="428"/>
      <c r="AW20" s="449" t="str">
        <f>IF(C20&gt;0,VLOOKUP(C20,Foundation_Calc!$A$2:$C$13,3,1),
IF(J20&gt;0,VLOOKUP(J20,Foundation_Calc!$A$2:$C$13,3,1),""))</f>
        <v>Multi Soil</v>
      </c>
      <c r="AX20" s="449" t="str">
        <f>IF(C20&gt;0,VLOOKUP(C20,Foundation_Calc!$E$2:$G$33,3,1),
IF(J20&gt;0,VLOOKUP(J20,Foundation_Calc!$E$2:$G$33,3,1),""))</f>
        <v>PT</v>
      </c>
      <c r="AY20" s="10">
        <f>IF(L20="","",
IF(AX20="PT",VLOOKUP(L20,Foundation_Calc!$K$79:$R$113,VLOOKUP(AW20,Foundation_Calc!$I$2:$J$8,2,FALSE),0),
IF(AX20="K",VLOOKUP(L20,Foundation_Calc!$K$117:$R$151,VLOOKUP(AW20,Foundation_Calc!$I$2:$J$8,2,FALSE),0),"")))</f>
        <v>3.5</v>
      </c>
      <c r="AZ20" s="10" t="str">
        <f>IF(K20="","",
IF(AX20="PT",VLOOKUP(K20,Foundation_Calc!$K$79:$R$113,VLOOKUP(AW20,Foundation_Calc!$I$2:$J$8,2,FALSE),0),
IF(AX20="K",VLOOKUP(K20,Foundation_Calc!$K$117:$R$151,VLOOKUP(AW20,Foundation_Calc!$I$2:$J$8,2,FALSE),0),"")))</f>
        <v/>
      </c>
      <c r="BA20" s="495"/>
      <c r="BB20" s="495"/>
      <c r="BC20" s="495"/>
      <c r="BD20" s="513" t="str">
        <f>IF(AND(L20="",H20=""),"",
IF(H20="",Pole_Calc!A$9,
IF(H20="MP",Pole_Calc!A$10,
IF(H20="AnMP",Pole_Calc!A$11,
IF(H20="A",Pole_Calc!A$12,
IF(H20="S/A",Pole_Calc!A$13,
IF(H20="A/S",Pole_Calc!A$14,"Poner a mano")))))))</f>
        <v>App.7-V11I-P9.5.1.1</v>
      </c>
      <c r="BE20" s="429" t="s">
        <v>118</v>
      </c>
      <c r="BF20" s="289"/>
      <c r="BG20" s="289"/>
      <c r="BH20" s="290"/>
      <c r="BI20" s="289"/>
    </row>
    <row r="21" spans="1:61" ht="16.149999999999999" customHeight="1">
      <c r="A21" s="517" t="s">
        <v>442</v>
      </c>
      <c r="B21" s="450"/>
      <c r="C21" s="3"/>
      <c r="D21" s="83"/>
      <c r="E21" s="4"/>
      <c r="F21" s="4"/>
      <c r="G21" s="6">
        <v>33.5</v>
      </c>
      <c r="H21" s="449"/>
      <c r="I21" s="449"/>
      <c r="J21" s="3"/>
      <c r="K21" s="449"/>
      <c r="L21" s="449"/>
      <c r="M21" s="449" t="str">
        <f>IF(L21="","",
IF(AX21="PT",VLOOKUP(L21,Foundation_Calc!$V$79:$X$113,VLOOKUP(AX21,Foundation_Calc!$I$10:$J$13,2,FALSE),0),
IF(AX21="K",VLOOKUP(L21,Foundation_Calc!$V$117:$X$151,VLOOKUP(AX21,Foundation_Calc!$I$10:$J$13,2,FALSE),0),"")))</f>
        <v/>
      </c>
      <c r="N21" s="553"/>
      <c r="O21" s="449"/>
      <c r="P21" s="449"/>
      <c r="Q21" s="4"/>
      <c r="R21" s="6"/>
      <c r="S21" s="6"/>
      <c r="T21" s="4"/>
      <c r="U21" s="4"/>
      <c r="V21" s="4"/>
      <c r="W21" s="572"/>
      <c r="X21" s="9"/>
      <c r="Y21" s="9"/>
      <c r="Z21" s="9"/>
      <c r="AA21" s="9"/>
      <c r="AB21" s="9"/>
      <c r="AC21" s="449" t="str">
        <f t="shared" si="0"/>
        <v/>
      </c>
      <c r="AD21" s="449"/>
      <c r="AE21" s="449"/>
      <c r="AF21" s="4"/>
      <c r="AG21" s="83"/>
      <c r="AH21" s="4"/>
      <c r="AI21" s="4"/>
      <c r="AJ21" s="449"/>
      <c r="AK21" s="449"/>
      <c r="AL21" s="449"/>
      <c r="AM21" s="449"/>
      <c r="AN21" s="10"/>
      <c r="AO21" s="9"/>
      <c r="AP21" s="9"/>
      <c r="AQ21" s="9">
        <f>+FL_1($T$22,$T$20,$G$21,1200,9.28,-1*$F$22)</f>
        <v>0.35000000000001502</v>
      </c>
      <c r="AR21" s="9"/>
      <c r="AS21" s="9"/>
      <c r="AT21" s="9"/>
      <c r="AU21" s="428"/>
      <c r="AV21" s="428"/>
      <c r="AW21" s="449" t="str">
        <f>IF(C21&gt;0,VLOOKUP(C21,Foundation_Calc!$A$2:$C$13,3,1),
IF(J21&gt;0,VLOOKUP(J21,Foundation_Calc!$A$2:$C$13,3,1),""))</f>
        <v/>
      </c>
      <c r="AX21" s="449" t="str">
        <f>IF(C21&gt;0,VLOOKUP(C21,Foundation_Calc!$E$2:$G$33,3,1),
IF(J21&gt;0,VLOOKUP(J21,Foundation_Calc!$E$2:$G$33,3,1),""))</f>
        <v/>
      </c>
      <c r="AY21" s="10" t="str">
        <f>IF(L21="","",
IF(AX21="PT",VLOOKUP(L21,Foundation_Calc!$K$79:$R$113,VLOOKUP(AW21,Foundation_Calc!$I$2:$J$8,2,FALSE),0),
IF(AX21="K",VLOOKUP(L21,Foundation_Calc!$K$117:$R$151,VLOOKUP(AW21,Foundation_Calc!$I$2:$J$8,2,FALSE),0),"")))</f>
        <v/>
      </c>
      <c r="AZ21" s="10" t="str">
        <f>IF(K21="","",
IF(AX21="PT",VLOOKUP(K21,Foundation_Calc!$K$79:$R$113,VLOOKUP(AW21,Foundation_Calc!$I$2:$J$8,2,FALSE),0),
IF(AX21="K",VLOOKUP(K21,Foundation_Calc!$K$117:$R$151,VLOOKUP(AW21,Foundation_Calc!$I$2:$J$8,2,FALSE),0),"")))</f>
        <v/>
      </c>
      <c r="BA21" s="495"/>
      <c r="BB21" s="495"/>
      <c r="BC21" s="495"/>
      <c r="BD21" s="513" t="str">
        <f>IF(AND(L21="",H21=""),"",
IF(H21="",Pole_Calc!A$9,
IF(H21="MP",Pole_Calc!A$10,
IF(H21="AnMP",Pole_Calc!A$11,
IF(H21="A",Pole_Calc!A$12,
IF(H21="S/A",Pole_Calc!A$13,
IF(H21="A/S",Pole_Calc!A$14,"Poner a mano")))))))</f>
        <v/>
      </c>
      <c r="BE21" s="429" t="s">
        <v>118</v>
      </c>
      <c r="BF21" s="290"/>
      <c r="BG21" s="290"/>
      <c r="BH21" s="290"/>
      <c r="BI21" s="290"/>
    </row>
    <row r="22" spans="1:61" ht="16.149999999999999" customHeight="1">
      <c r="A22" s="517" t="s">
        <v>442</v>
      </c>
      <c r="B22" s="450" t="s">
        <v>1720</v>
      </c>
      <c r="C22" s="3">
        <f>C20+G21</f>
        <v>41172.639999999992</v>
      </c>
      <c r="D22" s="83"/>
      <c r="E22" s="4"/>
      <c r="F22" s="4">
        <v>0</v>
      </c>
      <c r="G22" s="6"/>
      <c r="H22" s="449"/>
      <c r="I22" s="449"/>
      <c r="J22" s="3"/>
      <c r="K22" s="449"/>
      <c r="L22" s="449" t="s">
        <v>153</v>
      </c>
      <c r="M22" s="449" t="str">
        <f>IF(L22="","",
IF(AX22="PT",VLOOKUP(L22,Foundation_Calc!$V$79:$X$113,VLOOKUP(AX22,Foundation_Calc!$I$10:$J$13,2,FALSE),0),
IF(AX22="K",VLOOKUP(L22,Foundation_Calc!$V$117:$X$151,VLOOKUP(AX22,Foundation_Calc!$I$10:$J$13,2,FALSE),0),"")))</f>
        <v>C3R</v>
      </c>
      <c r="N22" s="553" t="s">
        <v>124</v>
      </c>
      <c r="O22" s="575"/>
      <c r="P22" s="449"/>
      <c r="Q22" s="4"/>
      <c r="R22" s="6"/>
      <c r="S22" s="6"/>
      <c r="T22" s="4">
        <v>-35</v>
      </c>
      <c r="U22" s="4"/>
      <c r="V22" s="4"/>
      <c r="W22" s="572">
        <v>0.9</v>
      </c>
      <c r="X22" s="9"/>
      <c r="Y22" s="9"/>
      <c r="Z22" s="9"/>
      <c r="AA22" s="9"/>
      <c r="AB22" s="9"/>
      <c r="AC22" s="449" t="str">
        <f t="shared" si="0"/>
        <v>PHQ</v>
      </c>
      <c r="AD22" s="449"/>
      <c r="AE22" s="449"/>
      <c r="AF22" s="4"/>
      <c r="AG22" s="83"/>
      <c r="AH22" s="4"/>
      <c r="AI22" s="4"/>
      <c r="AJ22" s="449"/>
      <c r="AK22" s="449"/>
      <c r="AL22" s="449"/>
      <c r="AM22" s="449" t="s">
        <v>552</v>
      </c>
      <c r="AN22" s="10">
        <v>5.5</v>
      </c>
      <c r="AO22" s="9"/>
      <c r="AP22" s="9"/>
      <c r="AQ22" s="9"/>
      <c r="AR22" s="9"/>
      <c r="AS22" s="9"/>
      <c r="AT22" s="9">
        <f>+ab($T$22,$T$20,$T$24,$G$21,$G$23,-1*$F$22,1200)</f>
        <v>-5.1520444630826905</v>
      </c>
      <c r="AU22" s="428"/>
      <c r="AV22" s="428"/>
      <c r="AW22" s="449" t="str">
        <f>IF(C22&gt;0,VLOOKUP(C22,Foundation_Calc!$A$2:$C$13,3,1),
IF(J22&gt;0,VLOOKUP(J22,Foundation_Calc!$A$2:$C$13,3,1),""))</f>
        <v>Multi Soil</v>
      </c>
      <c r="AX22" s="449" t="str">
        <f>IF(C22&gt;0,VLOOKUP(C22,Foundation_Calc!$E$2:$G$33,3,1),
IF(J22&gt;0,VLOOKUP(J22,Foundation_Calc!$E$2:$G$33,3,1),""))</f>
        <v>PT</v>
      </c>
      <c r="AY22" s="10">
        <f>IF(L22="","",
IF(AX22="PT",VLOOKUP(L22,Foundation_Calc!$K$79:$R$113,VLOOKUP(AW22,Foundation_Calc!$I$2:$J$8,2,FALSE),0),
IF(AX22="K",VLOOKUP(L22,Foundation_Calc!$K$117:$R$151,VLOOKUP(AW22,Foundation_Calc!$I$2:$J$8,2,FALSE),0),"")))</f>
        <v>3.5</v>
      </c>
      <c r="AZ22" s="10" t="str">
        <f>IF(K22="","",
IF(AX22="PT",VLOOKUP(K22,Foundation_Calc!$K$79:$R$113,VLOOKUP(AW22,Foundation_Calc!$I$2:$J$8,2,FALSE),0),
IF(AX22="K",VLOOKUP(K22,Foundation_Calc!$K$117:$R$151,VLOOKUP(AW22,Foundation_Calc!$I$2:$J$8,2,FALSE),0),"")))</f>
        <v/>
      </c>
      <c r="BA22" s="495"/>
      <c r="BB22" s="495"/>
      <c r="BC22" s="495"/>
      <c r="BD22" s="513" t="str">
        <f>IF(AND(L22="",H22=""),"",
IF(H22="",Pole_Calc!A$9,
IF(H22="MP",Pole_Calc!A$10,
IF(H22="AnMP",Pole_Calc!A$11,
IF(H22="A",Pole_Calc!A$12,
IF(H22="S/A",Pole_Calc!A$13,
IF(H22="A/S",Pole_Calc!A$14,"Poner a mano")))))))</f>
        <v>App.7-V11I-P9.5.1.1</v>
      </c>
      <c r="BE22" s="429" t="s">
        <v>118</v>
      </c>
      <c r="BF22" s="289"/>
      <c r="BG22" s="289"/>
      <c r="BH22" s="290"/>
      <c r="BI22" s="289"/>
    </row>
    <row r="23" spans="1:61" ht="16.149999999999999" customHeight="1">
      <c r="A23" s="514" t="s">
        <v>430</v>
      </c>
      <c r="B23" s="450"/>
      <c r="C23" s="3"/>
      <c r="D23" s="83"/>
      <c r="E23" s="4"/>
      <c r="F23" s="4"/>
      <c r="G23" s="6">
        <v>40</v>
      </c>
      <c r="H23" s="449"/>
      <c r="I23" s="449"/>
      <c r="J23" s="3"/>
      <c r="K23" s="449"/>
      <c r="L23" s="449"/>
      <c r="M23" s="449" t="str">
        <f>IF(L23="","",
IF(AX23="PT",VLOOKUP(L23,Foundation_Calc!$V$79:$X$113,VLOOKUP(AX23,Foundation_Calc!$I$10:$J$13,2,FALSE),0),
IF(AX23="K",VLOOKUP(L23,Foundation_Calc!$V$117:$X$151,VLOOKUP(AX23,Foundation_Calc!$I$10:$J$13,2,FALSE),0),"")))</f>
        <v/>
      </c>
      <c r="N23" s="449"/>
      <c r="O23" s="449"/>
      <c r="P23" s="449"/>
      <c r="Q23" s="4"/>
      <c r="R23" s="6"/>
      <c r="S23" s="6"/>
      <c r="T23" s="4"/>
      <c r="U23" s="4"/>
      <c r="V23" s="4"/>
      <c r="W23" s="572"/>
      <c r="X23" s="9"/>
      <c r="Y23" s="9"/>
      <c r="Z23" s="9"/>
      <c r="AA23" s="9"/>
      <c r="AB23" s="9"/>
      <c r="AC23" s="449" t="str">
        <f t="shared" si="0"/>
        <v/>
      </c>
      <c r="AD23" s="449"/>
      <c r="AE23" s="449"/>
      <c r="AF23" s="4"/>
      <c r="AG23" s="83"/>
      <c r="AH23" s="4"/>
      <c r="AI23" s="4"/>
      <c r="AJ23" s="449"/>
      <c r="AK23" s="449"/>
      <c r="AL23" s="449"/>
      <c r="AM23" s="449"/>
      <c r="AN23" s="10"/>
      <c r="AO23" s="9"/>
      <c r="AP23" s="9"/>
      <c r="AQ23" s="9">
        <f>+FL_2($T$24,$T$22,$G$23,1200,9.28,-1*$F$24)</f>
        <v>-0.35000000000000053</v>
      </c>
      <c r="AR23" s="9"/>
      <c r="AS23" s="9"/>
      <c r="AT23" s="9"/>
      <c r="AU23" s="428"/>
      <c r="AV23" s="428"/>
      <c r="AW23" s="449" t="str">
        <f>IF(C23&gt;0,VLOOKUP(C23,Foundation_Calc!$A$2:$C$13,3,1),
IF(J23&gt;0,VLOOKUP(J23,Foundation_Calc!$A$2:$C$13,3,1),""))</f>
        <v/>
      </c>
      <c r="AX23" s="449" t="str">
        <f>IF(C23&gt;0,VLOOKUP(C23,Foundation_Calc!$E$2:$G$33,3,1),
IF(J23&gt;0,VLOOKUP(J23,Foundation_Calc!$E$2:$G$33,3,1),""))</f>
        <v/>
      </c>
      <c r="AY23" s="10" t="str">
        <f>IF(L23="","",
IF(AX23="PT",VLOOKUP(L23,Foundation_Calc!$K$79:$R$113,VLOOKUP(AW23,Foundation_Calc!$I$2:$J$8,2,FALSE),0),
IF(AX23="K",VLOOKUP(L23,Foundation_Calc!$K$117:$R$151,VLOOKUP(AW23,Foundation_Calc!$I$2:$J$8,2,FALSE),0),"")))</f>
        <v/>
      </c>
      <c r="AZ23" s="10" t="str">
        <f>IF(K23="","",
IF(AX23="PT",VLOOKUP(K23,Foundation_Calc!$K$79:$R$113,VLOOKUP(AW23,Foundation_Calc!$I$2:$J$8,2,FALSE),0),
IF(AX23="K",VLOOKUP(K23,Foundation_Calc!$K$117:$R$151,VLOOKUP(AW23,Foundation_Calc!$I$2:$J$8,2,FALSE),0),"")))</f>
        <v/>
      </c>
      <c r="BA23" s="495"/>
      <c r="BB23" s="495"/>
      <c r="BC23" s="495"/>
      <c r="BD23" s="513" t="str">
        <f>IF(AND(L23="",H23=""),"",
IF(H23="",Pole_Calc!A$9,
IF(H23="MP",Pole_Calc!A$10,
IF(H23="AnMP",Pole_Calc!A$11,
IF(H23="A",Pole_Calc!A$12,
IF(H23="S/A",Pole_Calc!A$13,
IF(H23="A/S",Pole_Calc!A$14,"Poner a mano")))))))</f>
        <v/>
      </c>
      <c r="BE23" s="429" t="s">
        <v>118</v>
      </c>
      <c r="BF23" s="290"/>
      <c r="BG23" s="290"/>
      <c r="BH23" s="290"/>
      <c r="BI23" s="290"/>
    </row>
    <row r="24" spans="1:61" ht="16.149999999999999" customHeight="1">
      <c r="A24" s="517" t="s">
        <v>442</v>
      </c>
      <c r="B24" s="450" t="s">
        <v>1721</v>
      </c>
      <c r="C24" s="3">
        <f>C22+G23</f>
        <v>41212.639999999992</v>
      </c>
      <c r="D24" s="83"/>
      <c r="E24" s="4"/>
      <c r="F24" s="4">
        <v>0</v>
      </c>
      <c r="G24" s="6"/>
      <c r="H24" s="449"/>
      <c r="I24" s="449"/>
      <c r="J24" s="3"/>
      <c r="K24" s="449"/>
      <c r="L24" s="449" t="s">
        <v>153</v>
      </c>
      <c r="M24" s="449" t="str">
        <f>IF(L24="","",
IF(AX24="PT",VLOOKUP(L24,Foundation_Calc!$V$79:$X$113,VLOOKUP(AX24,Foundation_Calc!$I$10:$J$13,2,FALSE),0),
IF(AX24="K",VLOOKUP(L24,Foundation_Calc!$V$117:$X$151,VLOOKUP(AX24,Foundation_Calc!$I$10:$J$13,2,FALSE),0),"")))</f>
        <v>C3R</v>
      </c>
      <c r="N24" s="553" t="s">
        <v>134</v>
      </c>
      <c r="O24" s="449"/>
      <c r="P24" s="449"/>
      <c r="Q24" s="4"/>
      <c r="R24" s="6"/>
      <c r="S24" s="6"/>
      <c r="T24" s="4">
        <v>30</v>
      </c>
      <c r="U24" s="4"/>
      <c r="V24" s="4"/>
      <c r="W24" s="572">
        <v>0.9</v>
      </c>
      <c r="X24" s="9"/>
      <c r="Y24" s="9"/>
      <c r="Z24" s="9"/>
      <c r="AA24" s="9"/>
      <c r="AB24" s="9"/>
      <c r="AC24" s="449" t="str">
        <f t="shared" ref="AC24:AC34" si="3">IF(OR(AT24&gt;8,AT24&lt;-8),"PH",
IF(OR(AT24&gt;5,AT24&lt;-5),"PHQ",
IF(OR(AT24&gt;1,AT24&lt;-1),
"PHC","")))</f>
        <v>PH</v>
      </c>
      <c r="AD24" s="449"/>
      <c r="AE24" s="449"/>
      <c r="AF24" s="4"/>
      <c r="AG24" s="83"/>
      <c r="AH24" s="4"/>
      <c r="AI24" s="4"/>
      <c r="AJ24" s="449"/>
      <c r="AK24" s="449"/>
      <c r="AL24" s="449"/>
      <c r="AM24" s="449" t="s">
        <v>552</v>
      </c>
      <c r="AN24" s="10">
        <v>5.5</v>
      </c>
      <c r="AO24" s="9"/>
      <c r="AP24" s="9"/>
      <c r="AQ24" s="9"/>
      <c r="AR24" s="9"/>
      <c r="AS24" s="9"/>
      <c r="AT24" s="9">
        <f>+ab($T$24,$T$22,$T$26,$G$23,$G$25,-1*$F$24,1200)</f>
        <v>11.645678977727341</v>
      </c>
      <c r="AU24" s="428"/>
      <c r="AV24" s="428"/>
      <c r="AW24" s="449" t="str">
        <f>IF(C24&gt;0,VLOOKUP(C24,Foundation_Calc!$A$2:$C$13,3,1),
IF(J24&gt;0,VLOOKUP(J24,Foundation_Calc!$A$2:$C$13,3,1),""))</f>
        <v>Multi Soil</v>
      </c>
      <c r="AX24" s="449" t="str">
        <f>IF(C24&gt;0,VLOOKUP(C24,Foundation_Calc!$E$2:$G$33,3,1),
IF(J24&gt;0,VLOOKUP(J24,Foundation_Calc!$E$2:$G$33,3,1),""))</f>
        <v>PT</v>
      </c>
      <c r="AY24" s="10">
        <f>IF(L24="","",
IF(AX24="PT",VLOOKUP(L24,Foundation_Calc!$K$79:$R$113,VLOOKUP(AW24,Foundation_Calc!$I$2:$J$8,2,FALSE),0),
IF(AX24="K",VLOOKUP(L24,Foundation_Calc!$K$117:$R$151,VLOOKUP(AW24,Foundation_Calc!$I$2:$J$8,2,FALSE),0),"")))</f>
        <v>3.5</v>
      </c>
      <c r="AZ24" s="10" t="str">
        <f>IF(K24="","",
IF(AX24="PT",VLOOKUP(K24,Foundation_Calc!$K$79:$R$113,VLOOKUP(AW24,Foundation_Calc!$I$2:$J$8,2,FALSE),0),
IF(AX24="K",VLOOKUP(K24,Foundation_Calc!$K$117:$R$151,VLOOKUP(AW24,Foundation_Calc!$I$2:$J$8,2,FALSE),0),"")))</f>
        <v/>
      </c>
      <c r="BA24" s="495"/>
      <c r="BB24" s="495"/>
      <c r="BC24" s="495"/>
      <c r="BD24" s="513" t="str">
        <f>IF(AND(L24="",H24=""),"",
IF(H24="",Pole_Calc!A$9,
IF(H24="MP",Pole_Calc!A$10,
IF(H24="AnMP",Pole_Calc!A$11,
IF(H24="A",Pole_Calc!A$12,
IF(H24="S/A",Pole_Calc!A$13,
IF(H24="A/S",Pole_Calc!A$14,"Poner a mano")))))))</f>
        <v>App.7-V11I-P9.5.1.1</v>
      </c>
      <c r="BE24" s="429" t="s">
        <v>118</v>
      </c>
      <c r="BF24" s="289"/>
      <c r="BG24" s="289"/>
      <c r="BH24" s="290"/>
      <c r="BI24" s="289"/>
    </row>
    <row r="25" spans="1:61" ht="16.149999999999999" customHeight="1">
      <c r="A25" s="517" t="s">
        <v>442</v>
      </c>
      <c r="B25" s="450"/>
      <c r="C25" s="3"/>
      <c r="D25" s="83"/>
      <c r="E25" s="4"/>
      <c r="F25" s="4"/>
      <c r="G25" s="6">
        <v>50</v>
      </c>
      <c r="H25" s="449"/>
      <c r="I25" s="449"/>
      <c r="J25" s="3"/>
      <c r="K25" s="449"/>
      <c r="L25" s="449"/>
      <c r="M25" s="449" t="str">
        <f>IF(L25="","",
IF(AX25="PT",VLOOKUP(L25,Foundation_Calc!$V$79:$X$113,VLOOKUP(AX25,Foundation_Calc!$I$10:$J$13,2,FALSE),0),
IF(AX25="K",VLOOKUP(L25,Foundation_Calc!$V$117:$X$151,VLOOKUP(AX25,Foundation_Calc!$I$10:$J$13,2,FALSE),0),"")))</f>
        <v/>
      </c>
      <c r="N25" s="553"/>
      <c r="O25" s="449"/>
      <c r="P25" s="449"/>
      <c r="Q25" s="4"/>
      <c r="R25" s="6"/>
      <c r="S25" s="6"/>
      <c r="T25" s="4"/>
      <c r="U25" s="4"/>
      <c r="V25" s="4"/>
      <c r="W25" s="572"/>
      <c r="X25" s="9"/>
      <c r="Y25" s="9"/>
      <c r="Z25" s="9"/>
      <c r="AA25" s="9"/>
      <c r="AB25" s="9"/>
      <c r="AC25" s="449" t="str">
        <f t="shared" si="3"/>
        <v/>
      </c>
      <c r="AD25" s="449"/>
      <c r="AE25" s="449"/>
      <c r="AF25" s="4"/>
      <c r="AG25" s="83"/>
      <c r="AH25" s="4"/>
      <c r="AI25" s="4"/>
      <c r="AJ25" s="449"/>
      <c r="AK25" s="449"/>
      <c r="AL25" s="449"/>
      <c r="AM25" s="449"/>
      <c r="AN25" s="10"/>
      <c r="AO25" s="9"/>
      <c r="AP25" s="9"/>
      <c r="AQ25" s="9">
        <f>+FL_1($T$26,$T$24,-$G$25,1200,9.28,-1*$F$26)</f>
        <v>0.3</v>
      </c>
      <c r="AR25" s="9"/>
      <c r="AS25" s="9"/>
      <c r="AT25" s="9"/>
      <c r="AU25" s="428"/>
      <c r="AV25" s="428"/>
      <c r="AW25" s="449" t="str">
        <f>IF(C25&gt;0,VLOOKUP(C25,Foundation_Calc!$A$2:$C$13,3,1),
IF(J25&gt;0,VLOOKUP(J25,Foundation_Calc!$A$2:$C$13,3,1),""))</f>
        <v/>
      </c>
      <c r="AX25" s="449" t="str">
        <f>IF(C25&gt;0,VLOOKUP(C25,Foundation_Calc!$E$2:$G$33,3,1),
IF(J25&gt;0,VLOOKUP(J25,Foundation_Calc!$E$2:$G$33,3,1),""))</f>
        <v/>
      </c>
      <c r="AY25" s="10" t="str">
        <f>IF(L25="","",
IF(AX25="PT",VLOOKUP(L25,Foundation_Calc!$K$79:$R$113,VLOOKUP(AW25,Foundation_Calc!$I$2:$J$8,2,FALSE),0),
IF(AX25="K",VLOOKUP(L25,Foundation_Calc!$K$117:$R$151,VLOOKUP(AW25,Foundation_Calc!$I$2:$J$8,2,FALSE),0),"")))</f>
        <v/>
      </c>
      <c r="AZ25" s="10" t="str">
        <f>IF(K25="","",
IF(AX25="PT",VLOOKUP(K25,Foundation_Calc!$K$79:$R$113,VLOOKUP(AW25,Foundation_Calc!$I$2:$J$8,2,FALSE),0),
IF(AX25="K",VLOOKUP(K25,Foundation_Calc!$K$117:$R$151,VLOOKUP(AW25,Foundation_Calc!$I$2:$J$8,2,FALSE),0),"")))</f>
        <v/>
      </c>
      <c r="BA25" s="495"/>
      <c r="BB25" s="495"/>
      <c r="BC25" s="495"/>
      <c r="BD25" s="513" t="str">
        <f>IF(AND(L25="",H25=""),"",
IF(H25="",Pole_Calc!A$9,
IF(H25="MP",Pole_Calc!A$10,
IF(H25="AnMP",Pole_Calc!A$11,
IF(H25="A",Pole_Calc!A$12,
IF(H25="S/A",Pole_Calc!A$13,
IF(H25="A/S",Pole_Calc!A$14,"Poner a mano")))))))</f>
        <v/>
      </c>
      <c r="BE25" s="429" t="s">
        <v>118</v>
      </c>
      <c r="BF25" s="290"/>
      <c r="BG25" s="290"/>
      <c r="BH25" s="290"/>
      <c r="BI25" s="290"/>
    </row>
    <row r="26" spans="1:61" ht="16.149999999999999" customHeight="1">
      <c r="A26" s="517" t="s">
        <v>442</v>
      </c>
      <c r="B26" s="450" t="s">
        <v>1722</v>
      </c>
      <c r="C26" s="3">
        <f>C24+G25</f>
        <v>41262.639999999992</v>
      </c>
      <c r="D26" s="83"/>
      <c r="E26" s="4"/>
      <c r="F26" s="4">
        <v>700</v>
      </c>
      <c r="G26" s="6"/>
      <c r="H26" s="449"/>
      <c r="I26" s="449"/>
      <c r="J26" s="3"/>
      <c r="K26" s="449"/>
      <c r="L26" s="449" t="s">
        <v>158</v>
      </c>
      <c r="M26" s="449" t="str">
        <f>IF(L26="","",
IF(AX26="PT",VLOOKUP(L26,Foundation_Calc!$V$79:$X$113,VLOOKUP(AX26,Foundation_Calc!$I$10:$J$13,2,FALSE),0),
IF(AX26="K",VLOOKUP(L26,Foundation_Calc!$V$117:$X$151,VLOOKUP(AX26,Foundation_Calc!$I$10:$J$13,2,FALSE),0),"")))</f>
        <v>C4R</v>
      </c>
      <c r="N26" s="553" t="s">
        <v>134</v>
      </c>
      <c r="O26" s="449"/>
      <c r="P26" s="449"/>
      <c r="Q26" s="4"/>
      <c r="R26" s="6"/>
      <c r="S26" s="6"/>
      <c r="T26" s="4">
        <v>30</v>
      </c>
      <c r="U26" s="4"/>
      <c r="V26" s="4"/>
      <c r="W26" s="572">
        <v>1.2</v>
      </c>
      <c r="X26" s="9"/>
      <c r="Y26" s="9"/>
      <c r="Z26" s="9"/>
      <c r="AA26" s="9"/>
      <c r="AB26" s="9"/>
      <c r="AC26" s="449" t="str">
        <f t="shared" si="3"/>
        <v>PHC</v>
      </c>
      <c r="AD26" s="449"/>
      <c r="AE26" s="449"/>
      <c r="AF26" s="4"/>
      <c r="AG26" s="83"/>
      <c r="AH26" s="4"/>
      <c r="AI26" s="4"/>
      <c r="AJ26" s="449"/>
      <c r="AK26" s="449"/>
      <c r="AL26" s="449"/>
      <c r="AM26" s="449" t="s">
        <v>552</v>
      </c>
      <c r="AN26" s="10">
        <v>5.5</v>
      </c>
      <c r="AO26" s="9"/>
      <c r="AP26" s="9"/>
      <c r="AQ26" s="9"/>
      <c r="AR26" s="9"/>
      <c r="AS26" s="9"/>
      <c r="AT26" s="9">
        <f>+ab($T$26,$T$24,$T$28,$G$25,$G$27,-1*$F$26,1200)</f>
        <v>-2.9495864318995708</v>
      </c>
      <c r="AU26" s="428"/>
      <c r="AV26" s="428"/>
      <c r="AW26" s="449" t="str">
        <f>IF(C26&gt;0,VLOOKUP(C26,Foundation_Calc!$A$2:$C$13,3,1),
IF(J26&gt;0,VLOOKUP(J26,Foundation_Calc!$A$2:$C$13,3,1),""))</f>
        <v>Multi Soil</v>
      </c>
      <c r="AX26" s="449" t="str">
        <f>IF(C26&gt;0,VLOOKUP(C26,Foundation_Calc!$E$2:$G$33,3,1),
IF(J26&gt;0,VLOOKUP(J26,Foundation_Calc!$E$2:$G$33,3,1),""))</f>
        <v>PT</v>
      </c>
      <c r="AY26" s="10">
        <f>IF(L26="","",
IF(AX26="PT",VLOOKUP(L26,Foundation_Calc!$K$79:$R$113,VLOOKUP(AW26,Foundation_Calc!$I$2:$J$8,2,FALSE),0),
IF(AX26="K",VLOOKUP(L26,Foundation_Calc!$K$117:$R$151,VLOOKUP(AW26,Foundation_Calc!$I$2:$J$8,2,FALSE),0),"")))</f>
        <v>3.5</v>
      </c>
      <c r="AZ26" s="10" t="str">
        <f>IF(K26="","",
IF(AX26="PT",VLOOKUP(K26,Foundation_Calc!$K$79:$R$113,VLOOKUP(AW26,Foundation_Calc!$I$2:$J$8,2,FALSE),0),
IF(AX26="K",VLOOKUP(K26,Foundation_Calc!$K$117:$R$151,VLOOKUP(AW26,Foundation_Calc!$I$2:$J$8,2,FALSE),0),"")))</f>
        <v/>
      </c>
      <c r="BA26" s="495"/>
      <c r="BB26" s="495"/>
      <c r="BC26" s="495"/>
      <c r="BD26" s="513" t="str">
        <f>IF(AND(L26="",H26=""),"",
IF(H26="",Pole_Calc!A$9,
IF(H26="MP",Pole_Calc!A$10,
IF(H26="AnMP",Pole_Calc!A$11,
IF(H26="A",Pole_Calc!A$12,
IF(H26="S/A",Pole_Calc!A$13,
IF(H26="A/S",Pole_Calc!A$14,"Poner a mano")))))))</f>
        <v>App.7-V11I-P9.5.1.1</v>
      </c>
      <c r="BE26" s="429" t="s">
        <v>118</v>
      </c>
      <c r="BF26" s="289"/>
      <c r="BG26" s="289"/>
      <c r="BH26" s="290"/>
      <c r="BI26" s="289"/>
    </row>
    <row r="27" spans="1:61" ht="16.149999999999999" customHeight="1">
      <c r="A27" s="514" t="s">
        <v>438</v>
      </c>
      <c r="B27" s="450"/>
      <c r="C27" s="3"/>
      <c r="D27" s="83"/>
      <c r="E27" s="4"/>
      <c r="F27" s="4"/>
      <c r="G27" s="6">
        <v>41</v>
      </c>
      <c r="H27" s="449"/>
      <c r="I27" s="449"/>
      <c r="J27" s="3"/>
      <c r="K27" s="449"/>
      <c r="L27" s="449"/>
      <c r="M27" s="449" t="str">
        <f>IF(L27="","",
IF(AX27="PT",VLOOKUP(L27,Foundation_Calc!$V$79:$X$113,VLOOKUP(AX27,Foundation_Calc!$I$10:$J$13,2,FALSE),0),
IF(AX27="K",VLOOKUP(L27,Foundation_Calc!$V$117:$X$151,VLOOKUP(AX27,Foundation_Calc!$I$10:$J$13,2,FALSE),0),"")))</f>
        <v/>
      </c>
      <c r="N27" s="553"/>
      <c r="O27" s="449"/>
      <c r="P27" s="449"/>
      <c r="Q27" s="4"/>
      <c r="R27" s="6"/>
      <c r="S27" s="6"/>
      <c r="T27" s="4"/>
      <c r="U27" s="4"/>
      <c r="V27" s="4"/>
      <c r="W27" s="9"/>
      <c r="X27" s="9"/>
      <c r="Y27" s="9"/>
      <c r="Z27" s="9"/>
      <c r="AA27" s="9"/>
      <c r="AB27" s="9"/>
      <c r="AC27" s="449" t="str">
        <f t="shared" si="3"/>
        <v/>
      </c>
      <c r="AD27" s="449"/>
      <c r="AE27" s="449"/>
      <c r="AF27" s="4"/>
      <c r="AG27" s="83"/>
      <c r="AH27" s="4"/>
      <c r="AI27" s="4"/>
      <c r="AJ27" s="449"/>
      <c r="AK27" s="449"/>
      <c r="AL27" s="449"/>
      <c r="AM27" s="449"/>
      <c r="AN27" s="10"/>
      <c r="AO27" s="9"/>
      <c r="AP27" s="9"/>
      <c r="AQ27" s="9">
        <f>+FL_1($T$28,-$T$26,$G$27,1200,9.28,-1*$F$28)</f>
        <v>0.51135700534299611</v>
      </c>
      <c r="AR27" s="9"/>
      <c r="AS27" s="9"/>
      <c r="AT27" s="9"/>
      <c r="AU27" s="428"/>
      <c r="AV27" s="428"/>
      <c r="AW27" s="449" t="str">
        <f>IF(C27&gt;0,VLOOKUP(C27,Foundation_Calc!$A$2:$C$13,3,1),
IF(J27&gt;0,VLOOKUP(J27,Foundation_Calc!$A$2:$C$13,3,1),""))</f>
        <v/>
      </c>
      <c r="AX27" s="449" t="str">
        <f>IF(C27&gt;0,VLOOKUP(C27,Foundation_Calc!$E$2:$G$33,3,1),
IF(J27&gt;0,VLOOKUP(J27,Foundation_Calc!$E$2:$G$33,3,1),""))</f>
        <v/>
      </c>
      <c r="AY27" s="10" t="str">
        <f>IF(L27="","",
IF(AX27="PT",VLOOKUP(L27,Foundation_Calc!$K$79:$R$113,VLOOKUP(AW27,Foundation_Calc!$I$2:$J$8,2,FALSE),0),
IF(AX27="K",VLOOKUP(L27,Foundation_Calc!$K$117:$R$151,VLOOKUP(AW27,Foundation_Calc!$I$2:$J$8,2,FALSE),0),"")))</f>
        <v/>
      </c>
      <c r="AZ27" s="10" t="str">
        <f>IF(K27="","",
IF(AX27="PT",VLOOKUP(K27,Foundation_Calc!$K$79:$R$113,VLOOKUP(AW27,Foundation_Calc!$I$2:$J$8,2,FALSE),0),
IF(AX27="K",VLOOKUP(K27,Foundation_Calc!$K$117:$R$151,VLOOKUP(AW27,Foundation_Calc!$I$2:$J$8,2,FALSE),0),"")))</f>
        <v/>
      </c>
      <c r="BA27" s="495"/>
      <c r="BB27" s="495"/>
      <c r="BC27" s="495"/>
      <c r="BD27" s="513" t="str">
        <f>IF(AND(L27="",H27=""),"",
IF(H27="",Pole_Calc!A$9,
IF(H27="MP",Pole_Calc!A$10,
IF(H27="AnMP",Pole_Calc!A$11,
IF(H27="A",Pole_Calc!A$12,
IF(H27="S/A",Pole_Calc!A$13,
IF(H27="A/S",Pole_Calc!A$14,"Poner a mano")))))))</f>
        <v/>
      </c>
      <c r="BE27" s="429" t="s">
        <v>118</v>
      </c>
      <c r="BF27" s="290"/>
      <c r="BG27" s="290"/>
      <c r="BH27" s="290"/>
      <c r="BI27" s="290"/>
    </row>
    <row r="28" spans="1:61" ht="16.149999999999999" customHeight="1">
      <c r="A28" s="514"/>
      <c r="B28" s="450" t="s">
        <v>1723</v>
      </c>
      <c r="C28" s="3">
        <f>C26+G27</f>
        <v>41303.639999999992</v>
      </c>
      <c r="D28" s="83"/>
      <c r="E28" s="4"/>
      <c r="F28" s="4">
        <v>700</v>
      </c>
      <c r="G28" s="6"/>
      <c r="H28" s="449"/>
      <c r="I28" s="449"/>
      <c r="J28" s="3"/>
      <c r="K28" s="449"/>
      <c r="L28" s="449" t="s">
        <v>158</v>
      </c>
      <c r="M28" s="449" t="str">
        <f>IF(L28="","",
IF(AX28="PT",VLOOKUP(L28,Foundation_Calc!$V$79:$X$113,VLOOKUP(AX28,Foundation_Calc!$I$10:$J$13,2,FALSE),0),
IF(AX28="K",VLOOKUP(L28,Foundation_Calc!$V$117:$X$151,VLOOKUP(AX28,Foundation_Calc!$I$10:$J$13,2,FALSE),0),"")))</f>
        <v>C4R</v>
      </c>
      <c r="N28" s="553" t="s">
        <v>134</v>
      </c>
      <c r="O28" s="449"/>
      <c r="P28" s="449"/>
      <c r="Q28" s="4"/>
      <c r="R28" s="6"/>
      <c r="S28" s="6"/>
      <c r="T28" s="4">
        <v>30</v>
      </c>
      <c r="U28" s="4"/>
      <c r="V28" s="4"/>
      <c r="W28" s="9">
        <v>1.4</v>
      </c>
      <c r="X28" s="9"/>
      <c r="Y28" s="9"/>
      <c r="Z28" s="9"/>
      <c r="AA28" s="9"/>
      <c r="AB28" s="9"/>
      <c r="AC28" s="449" t="str">
        <f t="shared" si="3"/>
        <v>PHC</v>
      </c>
      <c r="AD28" s="449"/>
      <c r="AE28" s="449"/>
      <c r="AF28" s="4"/>
      <c r="AG28" s="83"/>
      <c r="AH28" s="4"/>
      <c r="AI28" s="4"/>
      <c r="AJ28" s="449"/>
      <c r="AK28" s="449"/>
      <c r="AL28" s="449"/>
      <c r="AM28" s="449" t="s">
        <v>552</v>
      </c>
      <c r="AN28" s="10">
        <v>5.5</v>
      </c>
      <c r="AO28" s="9"/>
      <c r="AP28" s="9"/>
      <c r="AQ28" s="9"/>
      <c r="AR28" s="9"/>
      <c r="AS28" s="9"/>
      <c r="AT28" s="9">
        <f>+ab($T$28,$T$26,$T$30,$G$27,$G$29,-1*$F$28,1200)</f>
        <v>-3.2726525415265617</v>
      </c>
      <c r="AU28" s="428"/>
      <c r="AV28" s="428"/>
      <c r="AW28" s="541" t="str">
        <f>IF(C28&gt;0,VLOOKUP(C28,Foundation_Calc!$A$2:$C$13,3,1),
IF(J28&gt;0,VLOOKUP(J28,Foundation_Calc!$A$2:$C$13,3,1),""))</f>
        <v>Multi Soil</v>
      </c>
      <c r="AX28" s="541" t="str">
        <f>IF(C28&gt;0,VLOOKUP(C28,Foundation_Calc!$E$2:$G$33,3,1),
IF(J28&gt;0,VLOOKUP(J28,Foundation_Calc!$E$2:$G$33,3,1),""))</f>
        <v>PT</v>
      </c>
      <c r="AY28" s="10">
        <f>IF(L28="","",
IF(AX28="PT",VLOOKUP(L28,Foundation_Calc!$K$79:$R$113,VLOOKUP(AW28,Foundation_Calc!$I$2:$J$8,2,FALSE),0),
IF(AX28="K",VLOOKUP(L28,Foundation_Calc!$K$117:$R$151,VLOOKUP(AW28,Foundation_Calc!$I$2:$J$8,2,FALSE),0),"")))</f>
        <v>3.5</v>
      </c>
      <c r="AZ28" s="10" t="str">
        <f>IF(K28="","",
IF(AX28="PT",VLOOKUP(K28,Foundation_Calc!$K$79:$R$113,VLOOKUP(AW28,Foundation_Calc!$I$2:$J$8,2,FALSE),0),
IF(AX28="K",VLOOKUP(K28,Foundation_Calc!$K$117:$R$151,VLOOKUP(AW28,Foundation_Calc!$I$2:$J$8,2,FALSE),0),"")))</f>
        <v/>
      </c>
      <c r="BA28" s="495" t="str">
        <f t="shared" si="1"/>
        <v>ü</v>
      </c>
      <c r="BB28" s="495" t="str">
        <f t="shared" si="1"/>
        <v/>
      </c>
      <c r="BC28" s="495" t="str">
        <f t="shared" si="2"/>
        <v/>
      </c>
      <c r="BD28" s="513" t="str">
        <f>IF(AND(L28="",H28=""),"",
IF(H28="",Pole_Calc!A$9,
IF(H28="MP",Pole_Calc!A$10,
IF(H28="AnMP",Pole_Calc!A$11,
IF(H28="A",Pole_Calc!A$12,
IF(H28="S/A",Pole_Calc!A$13,
IF(H28="A/S",Pole_Calc!A$14,"Poner a mano")))))))</f>
        <v>App.7-V11I-P9.5.1.1</v>
      </c>
      <c r="BE28" s="429" t="s">
        <v>118</v>
      </c>
      <c r="BF28" s="289"/>
      <c r="BG28" s="289"/>
      <c r="BH28" s="290"/>
      <c r="BI28" s="289"/>
    </row>
    <row r="29" spans="1:61" ht="16.149999999999999" customHeight="1">
      <c r="A29" s="514"/>
      <c r="B29" s="450"/>
      <c r="C29" s="3"/>
      <c r="D29" s="83"/>
      <c r="E29" s="4"/>
      <c r="F29" s="4"/>
      <c r="G29" s="6">
        <v>41</v>
      </c>
      <c r="H29" s="449"/>
      <c r="I29" s="449"/>
      <c r="J29" s="3"/>
      <c r="K29" s="449"/>
      <c r="L29" s="449"/>
      <c r="M29" s="449" t="str">
        <f>IF(L29="","",
IF(AX29="PT",VLOOKUP(L29,Foundation_Calc!$V$79:$X$113,VLOOKUP(AX29,Foundation_Calc!$I$10:$J$13,2,FALSE),0),
IF(AX29="K",VLOOKUP(L29,Foundation_Calc!$V$117:$X$151,VLOOKUP(AX29,Foundation_Calc!$I$10:$J$13,2,FALSE),0),"")))</f>
        <v/>
      </c>
      <c r="N29" s="553"/>
      <c r="O29" s="449"/>
      <c r="P29" s="449"/>
      <c r="Q29" s="4"/>
      <c r="R29" s="6"/>
      <c r="S29" s="6"/>
      <c r="T29" s="4"/>
      <c r="U29" s="4"/>
      <c r="V29" s="4"/>
      <c r="W29" s="9"/>
      <c r="X29" s="9"/>
      <c r="Y29" s="9"/>
      <c r="Z29" s="9"/>
      <c r="AA29" s="9"/>
      <c r="AB29" s="9"/>
      <c r="AC29" s="449" t="str">
        <f t="shared" si="3"/>
        <v/>
      </c>
      <c r="AD29" s="449"/>
      <c r="AE29" s="449"/>
      <c r="AF29" s="4"/>
      <c r="AG29" s="83"/>
      <c r="AH29" s="4"/>
      <c r="AI29" s="4"/>
      <c r="AJ29" s="449"/>
      <c r="AK29" s="449"/>
      <c r="AL29" s="449"/>
      <c r="AM29" s="449"/>
      <c r="AN29" s="10"/>
      <c r="AO29" s="9"/>
      <c r="AP29" s="9"/>
      <c r="AQ29" s="9">
        <f>+FL_1(-$T$30,$T$28,$G$29,1200,9.28,-1*$F$30)</f>
        <v>0.43302013121897914</v>
      </c>
      <c r="AR29" s="9"/>
      <c r="AS29" s="9"/>
      <c r="AT29" s="9"/>
      <c r="AU29" s="428"/>
      <c r="AV29" s="428"/>
      <c r="AW29" s="449" t="str">
        <f>IF(C29&gt;0,VLOOKUP(C29,Foundation_Calc!$A$2:$C$13,3,1),
IF(J29&gt;0,VLOOKUP(J29,Foundation_Calc!$A$2:$C$13,3,1),""))</f>
        <v/>
      </c>
      <c r="AX29" s="449" t="str">
        <f>IF(C29&gt;0,VLOOKUP(C29,Foundation_Calc!$E$2:$G$33,3,1),
IF(J29&gt;0,VLOOKUP(J29,Foundation_Calc!$E$2:$G$33,3,1),""))</f>
        <v/>
      </c>
      <c r="AY29" s="10" t="str">
        <f>IF(L29="","",
IF(AX29="PT",VLOOKUP(L29,Foundation_Calc!$K$79:$R$113,VLOOKUP(AW29,Foundation_Calc!$I$2:$J$8,2,FALSE),0),
IF(AX29="K",VLOOKUP(L29,Foundation_Calc!$K$117:$R$151,VLOOKUP(AW29,Foundation_Calc!$I$2:$J$8,2,FALSE),0),"")))</f>
        <v/>
      </c>
      <c r="AZ29" s="10" t="str">
        <f>IF(K29="","",
IF(AX29="PT",VLOOKUP(K29,Foundation_Calc!$K$79:$R$113,VLOOKUP(AW29,Foundation_Calc!$I$2:$J$8,2,FALSE),0),
IF(AX29="K",VLOOKUP(K29,Foundation_Calc!$K$117:$R$151,VLOOKUP(AW29,Foundation_Calc!$I$2:$J$8,2,FALSE),0),"")))</f>
        <v/>
      </c>
      <c r="BA29" s="495" t="str">
        <f t="shared" si="1"/>
        <v/>
      </c>
      <c r="BB29" s="495" t="str">
        <f t="shared" si="1"/>
        <v/>
      </c>
      <c r="BC29" s="495" t="str">
        <f t="shared" si="2"/>
        <v/>
      </c>
      <c r="BD29" s="513" t="str">
        <f>IF(AND(L29="",H29=""),"",
IF(H29="",Pole_Calc!A$9,
IF(H29="MP",Pole_Calc!A$10,
IF(H29="AnMP",Pole_Calc!A$11,
IF(H29="A",Pole_Calc!A$12,
IF(H29="S/A",Pole_Calc!A$13,
IF(H29="A/S",Pole_Calc!A$14,"Poner a mano")))))))</f>
        <v/>
      </c>
      <c r="BE29" s="429" t="s">
        <v>118</v>
      </c>
      <c r="BF29" s="290"/>
      <c r="BG29" s="290"/>
      <c r="BH29" s="290"/>
      <c r="BI29" s="290"/>
    </row>
    <row r="30" spans="1:61" ht="16.149999999999999" customHeight="1">
      <c r="A30" s="514"/>
      <c r="B30" s="450" t="s">
        <v>1724</v>
      </c>
      <c r="C30" s="3">
        <f>C28+G29</f>
        <v>41344.639999999992</v>
      </c>
      <c r="D30" s="83"/>
      <c r="E30" s="4"/>
      <c r="F30" s="4">
        <v>1000</v>
      </c>
      <c r="G30" s="6"/>
      <c r="H30" s="449"/>
      <c r="I30" s="449"/>
      <c r="J30" s="3"/>
      <c r="K30" s="449"/>
      <c r="L30" s="449" t="s">
        <v>158</v>
      </c>
      <c r="M30" s="449" t="str">
        <f>IF(L30="","",
IF(AX30="PT",VLOOKUP(L30,Foundation_Calc!$V$79:$X$113,VLOOKUP(AX30,Foundation_Calc!$I$10:$J$13,2,FALSE),0),
IF(AX30="K",VLOOKUP(L30,Foundation_Calc!$V$117:$X$151,VLOOKUP(AX30,Foundation_Calc!$I$10:$J$13,2,FALSE),0),"")))</f>
        <v>C4R</v>
      </c>
      <c r="N30" s="553" t="s">
        <v>134</v>
      </c>
      <c r="O30" s="449"/>
      <c r="P30" s="449"/>
      <c r="Q30" s="4"/>
      <c r="R30" s="6"/>
      <c r="S30" s="6"/>
      <c r="T30" s="4">
        <v>30</v>
      </c>
      <c r="U30" s="4"/>
      <c r="V30" s="4"/>
      <c r="W30" s="9">
        <v>1.4</v>
      </c>
      <c r="X30" s="9"/>
      <c r="Y30" s="9"/>
      <c r="Z30" s="9"/>
      <c r="AA30" s="9"/>
      <c r="AB30" s="9"/>
      <c r="AC30" s="449" t="str">
        <f t="shared" si="3"/>
        <v>PHQ</v>
      </c>
      <c r="AD30" s="449"/>
      <c r="AE30" s="449"/>
      <c r="AF30" s="4"/>
      <c r="AG30" s="83"/>
      <c r="AH30" s="4"/>
      <c r="AI30" s="4"/>
      <c r="AJ30" s="449"/>
      <c r="AK30" s="449"/>
      <c r="AL30" s="449"/>
      <c r="AM30" s="449" t="s">
        <v>552</v>
      </c>
      <c r="AN30" s="10">
        <v>5.5</v>
      </c>
      <c r="AO30" s="9"/>
      <c r="AP30" s="9"/>
      <c r="AQ30" s="9"/>
      <c r="AR30" s="9"/>
      <c r="AS30" s="9"/>
      <c r="AT30" s="9">
        <f>+ab($T$30,$T$28,$T$32,$G$29,$G$31,-1*$F$30,1200)</f>
        <v>-7.2393040981722985</v>
      </c>
      <c r="AU30" s="428"/>
      <c r="AV30" s="428"/>
      <c r="AW30" s="541" t="str">
        <f>IF(C30&gt;0,VLOOKUP(C30,Foundation_Calc!$A$2:$C$13,3,1),
IF(J30&gt;0,VLOOKUP(J30,Foundation_Calc!$A$2:$C$13,3,1),""))</f>
        <v>Multi Soil</v>
      </c>
      <c r="AX30" s="541" t="str">
        <f>IF(C30&gt;0,VLOOKUP(C30,Foundation_Calc!$E$2:$G$33,3,1),
IF(J30&gt;0,VLOOKUP(J30,Foundation_Calc!$E$2:$G$33,3,1),""))</f>
        <v>PT</v>
      </c>
      <c r="AY30" s="10">
        <f>IF(L30="","",
IF(AX30="PT",VLOOKUP(L30,Foundation_Calc!$K$79:$R$113,VLOOKUP(AW30,Foundation_Calc!$I$2:$J$8,2,FALSE),0),
IF(AX30="K",VLOOKUP(L30,Foundation_Calc!$K$117:$R$151,VLOOKUP(AW30,Foundation_Calc!$I$2:$J$8,2,FALSE),0),"")))</f>
        <v>3.5</v>
      </c>
      <c r="AZ30" s="10" t="str">
        <f>IF(K30="","",
IF(AX30="PT",VLOOKUP(K30,Foundation_Calc!$K$79:$R$113,VLOOKUP(AW30,Foundation_Calc!$I$2:$J$8,2,FALSE),0),
IF(AX30="K",VLOOKUP(K30,Foundation_Calc!$K$117:$R$151,VLOOKUP(AW30,Foundation_Calc!$I$2:$J$8,2,FALSE),0),"")))</f>
        <v/>
      </c>
      <c r="BA30" s="495" t="str">
        <f t="shared" si="1"/>
        <v>ü</v>
      </c>
      <c r="BB30" s="495" t="str">
        <f t="shared" si="1"/>
        <v/>
      </c>
      <c r="BC30" s="495" t="str">
        <f t="shared" si="2"/>
        <v/>
      </c>
      <c r="BD30" s="513" t="str">
        <f>IF(AND(L30="",H30=""),"",
IF(H30="",Pole_Calc!A$9,
IF(H30="MP",Pole_Calc!A$10,
IF(H30="AnMP",Pole_Calc!A$11,
IF(H30="A",Pole_Calc!A$12,
IF(H30="S/A",Pole_Calc!A$13,
IF(H30="A/S",Pole_Calc!A$14,"Poner a mano")))))))</f>
        <v>App.7-V11I-P9.5.1.1</v>
      </c>
      <c r="BE30" s="429" t="s">
        <v>118</v>
      </c>
      <c r="BF30" s="289"/>
      <c r="BG30" s="289"/>
      <c r="BH30" s="290"/>
      <c r="BI30" s="289"/>
    </row>
    <row r="31" spans="1:61" ht="16.149999999999999" customHeight="1">
      <c r="A31" s="514"/>
      <c r="B31" s="450"/>
      <c r="C31" s="3"/>
      <c r="D31" s="83"/>
      <c r="E31" s="4"/>
      <c r="F31" s="4"/>
      <c r="G31" s="6">
        <v>41</v>
      </c>
      <c r="H31" s="449"/>
      <c r="I31" s="449"/>
      <c r="J31" s="3"/>
      <c r="K31" s="449"/>
      <c r="L31" s="449"/>
      <c r="M31" s="449" t="str">
        <f>IF(L31="","",
IF(AX31="PT",VLOOKUP(L31,Foundation_Calc!$V$79:$X$113,VLOOKUP(AX31,Foundation_Calc!$I$10:$J$13,2,FALSE),0),
IF(AX31="K",VLOOKUP(L31,Foundation_Calc!$V$117:$X$151,VLOOKUP(AX31,Foundation_Calc!$I$10:$J$13,2,FALSE),0),"")))</f>
        <v/>
      </c>
      <c r="N31" s="553"/>
      <c r="O31" s="449"/>
      <c r="P31" s="449"/>
      <c r="Q31" s="4"/>
      <c r="R31" s="6"/>
      <c r="S31" s="6"/>
      <c r="T31" s="4"/>
      <c r="U31" s="4"/>
      <c r="V31" s="4"/>
      <c r="W31" s="9"/>
      <c r="X31" s="9"/>
      <c r="Y31" s="9"/>
      <c r="Z31" s="9"/>
      <c r="AA31" s="9"/>
      <c r="AB31" s="9"/>
      <c r="AC31" s="449" t="str">
        <f t="shared" si="3"/>
        <v/>
      </c>
      <c r="AD31" s="449"/>
      <c r="AE31" s="449"/>
      <c r="AF31" s="4"/>
      <c r="AG31" s="83"/>
      <c r="AH31" s="4"/>
      <c r="AI31" s="4"/>
      <c r="AJ31" s="449"/>
      <c r="AK31" s="449"/>
      <c r="AL31" s="449"/>
      <c r="AM31" s="449"/>
      <c r="AN31" s="10"/>
      <c r="AO31" s="9"/>
      <c r="AP31" s="9"/>
      <c r="AQ31" s="9">
        <f>+FL_1($T$32,$T$30,$G$31,1200,9.28,-1*$F$32)</f>
        <v>0.30096104078048769</v>
      </c>
      <c r="AR31" s="9"/>
      <c r="AS31" s="9"/>
      <c r="AT31" s="9"/>
      <c r="AU31" s="428"/>
      <c r="AV31" s="428"/>
      <c r="AW31" s="449" t="str">
        <f>IF(C31&gt;0,VLOOKUP(C31,Foundation_Calc!$A$2:$C$13,3,1),
IF(J31&gt;0,VLOOKUP(J31,Foundation_Calc!$A$2:$C$13,3,1),""))</f>
        <v/>
      </c>
      <c r="AX31" s="449" t="str">
        <f>IF(C31&gt;0,VLOOKUP(C31,Foundation_Calc!$E$2:$G$33,3,1),
IF(J31&gt;0,VLOOKUP(J31,Foundation_Calc!$E$2:$G$33,3,1),""))</f>
        <v/>
      </c>
      <c r="AY31" s="10" t="str">
        <f>IF(L31="","",
IF(AX31="PT",VLOOKUP(L31,Foundation_Calc!$K$79:$R$113,VLOOKUP(AW31,Foundation_Calc!$I$2:$J$8,2,FALSE),0),
IF(AX31="K",VLOOKUP(L31,Foundation_Calc!$K$117:$R$151,VLOOKUP(AW31,Foundation_Calc!$I$2:$J$8,2,FALSE),0),"")))</f>
        <v/>
      </c>
      <c r="AZ31" s="10" t="str">
        <f>IF(K31="","",
IF(AX31="PT",VLOOKUP(K31,Foundation_Calc!$K$79:$R$113,VLOOKUP(AW31,Foundation_Calc!$I$2:$J$8,2,FALSE),0),
IF(AX31="K",VLOOKUP(K31,Foundation_Calc!$K$117:$R$151,VLOOKUP(AW31,Foundation_Calc!$I$2:$J$8,2,FALSE),0),"")))</f>
        <v/>
      </c>
      <c r="BA31" s="495" t="str">
        <f t="shared" si="1"/>
        <v/>
      </c>
      <c r="BB31" s="495" t="str">
        <f t="shared" si="1"/>
        <v/>
      </c>
      <c r="BC31" s="495" t="str">
        <f t="shared" si="2"/>
        <v/>
      </c>
      <c r="BD31" s="513" t="str">
        <f>IF(AND(L31="",H31=""),"",
IF(H31="",Pole_Calc!A$9,
IF(H31="MP",Pole_Calc!A$10,
IF(H31="AnMP",Pole_Calc!A$11,
IF(H31="A",Pole_Calc!A$12,
IF(H31="S/A",Pole_Calc!A$13,
IF(H31="A/S",Pole_Calc!A$14,"Poner a mano")))))))</f>
        <v/>
      </c>
      <c r="BE31" s="429" t="s">
        <v>118</v>
      </c>
      <c r="BF31" s="290"/>
      <c r="BG31" s="290"/>
      <c r="BH31" s="290"/>
      <c r="BI31" s="290"/>
    </row>
    <row r="32" spans="1:61" ht="16.149999999999999" customHeight="1">
      <c r="A32" s="514"/>
      <c r="B32" s="450" t="s">
        <v>1725</v>
      </c>
      <c r="C32" s="3">
        <f>C30+G31</f>
        <v>41385.639999999992</v>
      </c>
      <c r="D32" s="83"/>
      <c r="E32" s="4"/>
      <c r="F32" s="4">
        <v>0</v>
      </c>
      <c r="G32" s="6"/>
      <c r="H32" s="449"/>
      <c r="I32" s="449" t="s">
        <v>195</v>
      </c>
      <c r="J32" s="3"/>
      <c r="K32" s="449"/>
      <c r="L32" s="449" t="s">
        <v>158</v>
      </c>
      <c r="M32" s="449" t="str">
        <f>IF(L32="","",
IF(AX32="PT",VLOOKUP(L32,Foundation_Calc!$V$79:$X$113,VLOOKUP(AX32,Foundation_Calc!$I$10:$J$13,2,FALSE),0),
IF(AX32="K",VLOOKUP(L32,Foundation_Calc!$V$117:$X$151,VLOOKUP(AX32,Foundation_Calc!$I$10:$J$13,2,FALSE),0),"")))</f>
        <v>C4R</v>
      </c>
      <c r="N32" s="553" t="s">
        <v>124</v>
      </c>
      <c r="O32" s="449"/>
      <c r="P32" s="449"/>
      <c r="Q32" s="4"/>
      <c r="R32" s="6"/>
      <c r="S32" s="6"/>
      <c r="T32" s="4">
        <v>-30</v>
      </c>
      <c r="U32" s="4"/>
      <c r="V32" s="4"/>
      <c r="W32" s="9">
        <v>1.4</v>
      </c>
      <c r="X32" s="9"/>
      <c r="Y32" s="9"/>
      <c r="Z32" s="9"/>
      <c r="AA32" s="9"/>
      <c r="AB32" s="9"/>
      <c r="AC32" s="449" t="str">
        <f t="shared" si="3"/>
        <v>PH</v>
      </c>
      <c r="AD32" s="449"/>
      <c r="AE32" s="449"/>
      <c r="AF32" s="4"/>
      <c r="AG32" s="83"/>
      <c r="AH32" s="4"/>
      <c r="AI32" s="4"/>
      <c r="AJ32" s="449"/>
      <c r="AK32" s="449"/>
      <c r="AL32" s="449"/>
      <c r="AM32" s="449" t="s">
        <v>552</v>
      </c>
      <c r="AN32" s="10">
        <v>5.5</v>
      </c>
      <c r="AO32" s="9"/>
      <c r="AP32" s="9"/>
      <c r="AQ32" s="9"/>
      <c r="AR32" s="9"/>
      <c r="AS32" s="9"/>
      <c r="AT32" s="9">
        <f>+ab($T$32,$T$30,$T$34,$G$31,$G$33,-1*$F$32,1200)</f>
        <v>-14.424273391657168</v>
      </c>
      <c r="AU32" s="428"/>
      <c r="AV32" s="428"/>
      <c r="AW32" s="541" t="str">
        <f>IF(C32&gt;0,VLOOKUP(C32,Foundation_Calc!$A$2:$C$13,3,1),
IF(J32&gt;0,VLOOKUP(J32,Foundation_Calc!$A$2:$C$13,3,1),""))</f>
        <v>Multi Soil</v>
      </c>
      <c r="AX32" s="541" t="str">
        <f>IF(C32&gt;0,VLOOKUP(C32,Foundation_Calc!$E$2:$G$33,3,1),
IF(J32&gt;0,VLOOKUP(J32,Foundation_Calc!$E$2:$G$33,3,1),""))</f>
        <v>PT</v>
      </c>
      <c r="AY32" s="10">
        <f>IF(L32="","",
IF(AX32="PT",VLOOKUP(L32,Foundation_Calc!$K$79:$R$113,VLOOKUP(AW32,Foundation_Calc!$I$2:$J$8,2,FALSE),0),
IF(AX32="K",VLOOKUP(L32,Foundation_Calc!$K$117:$R$151,VLOOKUP(AW32,Foundation_Calc!$I$2:$J$8,2,FALSE),0),"")))</f>
        <v>3.5</v>
      </c>
      <c r="AZ32" s="10" t="str">
        <f>IF(K32="","",
IF(AX32="PT",VLOOKUP(K32,Foundation_Calc!$K$79:$R$113,VLOOKUP(AW32,Foundation_Calc!$I$2:$J$8,2,FALSE),0),
IF(AX32="K",VLOOKUP(K32,Foundation_Calc!$K$117:$R$151,VLOOKUP(AW32,Foundation_Calc!$I$2:$J$8,2,FALSE),0),"")))</f>
        <v/>
      </c>
      <c r="BA32" s="495" t="str">
        <f t="shared" si="1"/>
        <v>ü</v>
      </c>
      <c r="BB32" s="495" t="str">
        <f t="shared" si="1"/>
        <v/>
      </c>
      <c r="BC32" s="495" t="str">
        <f t="shared" si="2"/>
        <v/>
      </c>
      <c r="BD32" s="513" t="str">
        <f>IF(AND(L32="",H32=""),"",
IF(H32="",Pole_Calc!A$9,
IF(H32="MP",Pole_Calc!A$10,
IF(H32="AnMP",Pole_Calc!A$11,
IF(H32="A",Pole_Calc!A$12,
IF(H32="S/A",Pole_Calc!A$13,
IF(H32="A/S",Pole_Calc!A$14,"Poner a mano")))))))</f>
        <v>App.7-V11I-P9.5.1.1</v>
      </c>
      <c r="BE32" s="429" t="s">
        <v>118</v>
      </c>
      <c r="BF32" s="289"/>
      <c r="BG32" s="289"/>
      <c r="BH32" s="290"/>
      <c r="BI32" s="289"/>
    </row>
    <row r="33" spans="1:61" ht="16.149999999999999" customHeight="1">
      <c r="A33" s="514"/>
      <c r="B33" s="450"/>
      <c r="C33" s="3"/>
      <c r="D33" s="83"/>
      <c r="E33" s="4"/>
      <c r="F33" s="4"/>
      <c r="G33" s="6">
        <v>31</v>
      </c>
      <c r="H33" s="449"/>
      <c r="I33" s="449" t="s">
        <v>549</v>
      </c>
      <c r="J33" s="3">
        <f>C32+7.5</f>
        <v>41393.139999999992</v>
      </c>
      <c r="K33" s="449" t="s">
        <v>117</v>
      </c>
      <c r="L33" s="449"/>
      <c r="M33" s="449" t="str">
        <f>IF(L33="","",
IF(AX33="PT",VLOOKUP(L33,Foundation_Calc!$V$79:$X$113,VLOOKUP(AX33,Foundation_Calc!$I$10:$J$13,2,FALSE),0),
IF(AX33="K",VLOOKUP(L33,Foundation_Calc!$V$117:$X$151,VLOOKUP(AX33,Foundation_Calc!$I$10:$J$13,2,FALSE),0),"")))</f>
        <v/>
      </c>
      <c r="N33" s="449"/>
      <c r="O33" s="449"/>
      <c r="P33" s="449"/>
      <c r="Q33" s="4"/>
      <c r="R33" s="6"/>
      <c r="S33" s="6"/>
      <c r="T33" s="4"/>
      <c r="U33" s="4"/>
      <c r="V33" s="4"/>
      <c r="W33" s="9"/>
      <c r="X33" s="9"/>
      <c r="Y33" s="9"/>
      <c r="Z33" s="9"/>
      <c r="AA33" s="9"/>
      <c r="AB33" s="9"/>
      <c r="AC33" s="449" t="str">
        <f t="shared" si="3"/>
        <v/>
      </c>
      <c r="AD33" s="449"/>
      <c r="AE33" s="449"/>
      <c r="AF33" s="4"/>
      <c r="AG33" s="83"/>
      <c r="AH33" s="4"/>
      <c r="AI33" s="4"/>
      <c r="AJ33" s="449"/>
      <c r="AK33" s="449"/>
      <c r="AL33" s="449"/>
      <c r="AM33" s="449"/>
      <c r="AN33" s="10"/>
      <c r="AO33" s="9"/>
      <c r="AP33" s="9"/>
      <c r="AQ33" s="9">
        <f>+FL_2($T$34,$T$32,$G$33,1200,9.28,-1*$F$34)</f>
        <v>-0.35</v>
      </c>
      <c r="AR33" s="9"/>
      <c r="AS33" s="9"/>
      <c r="AT33" s="9"/>
      <c r="AU33" s="428"/>
      <c r="AV33" s="428"/>
      <c r="AW33" s="449" t="str">
        <f>IF(C33&gt;0,VLOOKUP(C33,Foundation_Calc!$A$2:$C$13,3,1),
IF(J33&gt;0,VLOOKUP(J33,Foundation_Calc!$A$2:$C$13,3,1),""))</f>
        <v>Multi Soil</v>
      </c>
      <c r="AX33" s="449" t="str">
        <f>IF(C33&gt;0,VLOOKUP(C33,Foundation_Calc!$E$2:$G$33,3,1),
IF(J33&gt;0,VLOOKUP(J33,Foundation_Calc!$E$2:$G$33,3,1),""))</f>
        <v>PT</v>
      </c>
      <c r="AY33" s="10" t="str">
        <f>IF(L33="","",
IF(AX33="PT",VLOOKUP(L33,Foundation_Calc!$K$79:$R$113,VLOOKUP(AW33,Foundation_Calc!$I$2:$J$8,2,FALSE),0),
IF(AX33="K",VLOOKUP(L33,Foundation_Calc!$K$117:$R$151,VLOOKUP(AW33,Foundation_Calc!$I$2:$J$8,2,FALSE),0),"")))</f>
        <v/>
      </c>
      <c r="AZ33" s="10">
        <f>IF(K33="","",
IF(AX33="PT",VLOOKUP(K33,Foundation_Calc!$K$79:$R$113,VLOOKUP(AW33,Foundation_Calc!$I$2:$J$8,2,FALSE),0),
IF(AX33="K",VLOOKUP(K33,Foundation_Calc!$K$117:$R$151,VLOOKUP(AW33,Foundation_Calc!$I$2:$J$8,2,FALSE),0),"")))</f>
        <v>3.9</v>
      </c>
      <c r="BA33" s="495" t="str">
        <f t="shared" si="1"/>
        <v/>
      </c>
      <c r="BB33" s="495" t="str">
        <f t="shared" si="1"/>
        <v>ü</v>
      </c>
      <c r="BC33" s="495" t="str">
        <f t="shared" si="2"/>
        <v/>
      </c>
      <c r="BD33" s="513" t="str">
        <f>IF(AND(L33="",H33=""),"",
IF(H33="",Pole_Calc!A$9,
IF(H33="MP",Pole_Calc!A$10,
IF(H33="AnMP",Pole_Calc!A$11,
IF(H33="A",Pole_Calc!A$12,
IF(H33="S/A",Pole_Calc!A$13,
IF(H33="A/S",Pole_Calc!A$14,"Poner a mano")))))))</f>
        <v/>
      </c>
      <c r="BE33" s="429" t="s">
        <v>118</v>
      </c>
      <c r="BF33" s="290"/>
      <c r="BG33" s="290"/>
      <c r="BH33" s="290"/>
      <c r="BI33" s="290"/>
    </row>
    <row r="34" spans="1:61" ht="16.149999999999999" customHeight="1">
      <c r="A34" s="514"/>
      <c r="B34" s="450" t="s">
        <v>1726</v>
      </c>
      <c r="C34" s="3">
        <f>'HR Track 4 BIN'!C32</f>
        <v>41413.639999999992</v>
      </c>
      <c r="D34" s="83"/>
      <c r="E34" s="4"/>
      <c r="F34" s="4">
        <f>'HR Track 4 BIN'!F32</f>
        <v>900</v>
      </c>
      <c r="G34" s="6"/>
      <c r="H34" s="449"/>
      <c r="I34" s="449" t="s">
        <v>195</v>
      </c>
      <c r="J34" s="3"/>
      <c r="K34" s="449"/>
      <c r="L34" s="449" t="s">
        <v>455</v>
      </c>
      <c r="M34" s="449" t="str">
        <f>IF(L34="","",
IF(AX34="PT",VLOOKUP(L34,Foundation_Calc!$V$79:$X$113,VLOOKUP(AX34,Foundation_Calc!$I$10:$J$13,2,FALSE),0),
IF(AX34="K",VLOOKUP(L34,Foundation_Calc!$V$117:$X$151,VLOOKUP(AX34,Foundation_Calc!$I$10:$J$13,2,FALSE),0),"")))</f>
        <v>C11R</v>
      </c>
      <c r="N34" s="449" t="s">
        <v>124</v>
      </c>
      <c r="O34" s="449"/>
      <c r="P34" s="449"/>
      <c r="Q34" s="4"/>
      <c r="R34" s="6"/>
      <c r="S34" s="6"/>
      <c r="T34" s="4">
        <v>-35</v>
      </c>
      <c r="U34" s="4"/>
      <c r="V34" s="4"/>
      <c r="W34" s="9">
        <v>1.4</v>
      </c>
      <c r="X34" s="9"/>
      <c r="Y34" s="9"/>
      <c r="Z34" s="9"/>
      <c r="AA34" s="9"/>
      <c r="AB34" s="9"/>
      <c r="AC34" s="449" t="str">
        <f t="shared" si="3"/>
        <v>PHC</v>
      </c>
      <c r="AD34" s="449"/>
      <c r="AE34" s="449"/>
      <c r="AF34" s="4"/>
      <c r="AG34" s="83"/>
      <c r="AH34" s="4"/>
      <c r="AI34" s="4"/>
      <c r="AJ34" s="449"/>
      <c r="AK34" s="449"/>
      <c r="AL34" s="449" t="s">
        <v>456</v>
      </c>
      <c r="AM34" s="449" t="s">
        <v>126</v>
      </c>
      <c r="AN34" s="10">
        <v>5.5</v>
      </c>
      <c r="AO34" s="9"/>
      <c r="AP34" s="9"/>
      <c r="AQ34" s="9"/>
      <c r="AR34" s="9"/>
      <c r="AS34" s="9"/>
      <c r="AT34" s="9">
        <f>+ab($T$34,$T$32,$T$36,$G$33,$G$35,-1*$F$34,1200)</f>
        <v>-3.3446783259869819</v>
      </c>
      <c r="AU34" s="428"/>
      <c r="AV34" s="428"/>
      <c r="AW34" s="541" t="str">
        <f>IF(C34&gt;0,VLOOKUP(C34,Foundation_Calc!$A$2:$C$13,3,1),
IF(J34&gt;0,VLOOKUP(J34,Foundation_Calc!$A$2:$C$13,3,1),""))</f>
        <v>Multi Soil</v>
      </c>
      <c r="AX34" s="541" t="str">
        <f>IF(C34&gt;0,VLOOKUP(C34,Foundation_Calc!$E$2:$G$33,3,1),
IF(J34&gt;0,VLOOKUP(J34,Foundation_Calc!$E$2:$G$33,3,1),""))</f>
        <v>PT</v>
      </c>
      <c r="AY34" s="10">
        <f>IF(L34="","",
IF(AX34="PT",VLOOKUP(L34,Foundation_Calc!$K$79:$R$113,VLOOKUP(AW34,Foundation_Calc!$I$2:$J$8,2,FALSE),0),
IF(AX34="K",VLOOKUP(L34,Foundation_Calc!$K$117:$R$151,VLOOKUP(AW34,Foundation_Calc!$I$2:$J$8,2,FALSE),0),"")))</f>
        <v>4.5999999999999996</v>
      </c>
      <c r="AZ34" s="10" t="str">
        <f>IF(K34="","",
IF(AX34="PT",VLOOKUP(K34,Foundation_Calc!$K$79:$R$113,VLOOKUP(AW34,Foundation_Calc!$I$2:$J$8,2,FALSE),0),
IF(AX34="K",VLOOKUP(K34,Foundation_Calc!$K$117:$R$151,VLOOKUP(AW34,Foundation_Calc!$I$2:$J$8,2,FALSE),0),"")))</f>
        <v/>
      </c>
      <c r="BA34" s="495"/>
      <c r="BB34" s="495"/>
      <c r="BC34" s="495"/>
      <c r="BD34" s="513" t="str">
        <f>Pole_Calc!A$251</f>
        <v>App.8-V08H-P10.3</v>
      </c>
      <c r="BE34" s="429" t="s">
        <v>118</v>
      </c>
      <c r="BF34" s="289"/>
      <c r="BG34" s="289"/>
      <c r="BH34" s="290"/>
      <c r="BI34" s="289"/>
    </row>
    <row r="35" spans="1:61" ht="16.149999999999999" customHeight="1">
      <c r="A35" s="514"/>
      <c r="B35" s="450"/>
      <c r="C35" s="3"/>
      <c r="D35" s="83"/>
      <c r="E35" s="4"/>
      <c r="F35" s="4"/>
      <c r="G35" s="6">
        <v>40</v>
      </c>
      <c r="H35" s="449"/>
      <c r="I35" s="449"/>
      <c r="J35" s="3"/>
      <c r="K35" s="449"/>
      <c r="L35" s="449"/>
      <c r="M35" s="449" t="str">
        <f>IF(L35="","",
IF(AX35="PT",VLOOKUP(L35,Foundation_Calc!$V$79:$X$113,VLOOKUP(AX35,Foundation_Calc!$I$10:$J$13,2,FALSE),0),
IF(AX35="K",VLOOKUP(L35,Foundation_Calc!$V$117:$X$151,VLOOKUP(AX35,Foundation_Calc!$I$10:$J$13,2,FALSE),0),"")))</f>
        <v/>
      </c>
      <c r="N35" s="449"/>
      <c r="O35" s="449"/>
      <c r="P35" s="449"/>
      <c r="Q35" s="4"/>
      <c r="R35" s="6"/>
      <c r="S35" s="6"/>
      <c r="T35" s="4"/>
      <c r="U35" s="4"/>
      <c r="V35" s="4"/>
      <c r="W35" s="9"/>
      <c r="X35" s="9"/>
      <c r="Y35" s="9"/>
      <c r="Z35" s="9"/>
      <c r="AA35" s="9"/>
      <c r="AB35" s="9"/>
      <c r="AC35" s="449"/>
      <c r="AD35" s="449"/>
      <c r="AE35" s="449"/>
      <c r="AF35" s="4"/>
      <c r="AG35" s="83"/>
      <c r="AH35" s="4"/>
      <c r="AI35" s="4"/>
      <c r="AJ35" s="449"/>
      <c r="AK35" s="449"/>
      <c r="AL35" s="449"/>
      <c r="AM35" s="449"/>
      <c r="AN35" s="10"/>
      <c r="AO35" s="9"/>
      <c r="AP35" s="9"/>
      <c r="AQ35" s="9">
        <f>+FL_2($T$36,$T$34,$G$35,1200,9.28,-1*$F$36)</f>
        <v>-0.35000000000000053</v>
      </c>
      <c r="AR35" s="9"/>
      <c r="AS35" s="9"/>
      <c r="AT35" s="9"/>
      <c r="AU35" s="428"/>
      <c r="AV35" s="428"/>
      <c r="AW35" s="541" t="str">
        <f>IF(C35&gt;0,VLOOKUP(C35,Foundation_Calc!$A$2:$C$13,3,1),
IF(J35&gt;0,VLOOKUP(J35,Foundation_Calc!$A$2:$C$13,3,1),""))</f>
        <v/>
      </c>
      <c r="AX35" s="541" t="str">
        <f>IF(C35&gt;0,VLOOKUP(C35,Foundation_Calc!$E$2:$G$33,3,1),
IF(J35&gt;0,VLOOKUP(J35,Foundation_Calc!$E$2:$G$33,3,1),""))</f>
        <v/>
      </c>
      <c r="AY35" s="10" t="str">
        <f>IF(L35="","",
IF(AX35="PT",VLOOKUP(L35,Foundation_Calc!$K$79:$R$113,VLOOKUP(AW35,Foundation_Calc!$I$2:$J$8,2,FALSE),0),
IF(AX35="K",VLOOKUP(L35,Foundation_Calc!$K$117:$R$151,VLOOKUP(AW35,Foundation_Calc!$I$2:$J$8,2,FALSE),0),"")))</f>
        <v/>
      </c>
      <c r="AZ35" s="10" t="str">
        <f>IF(K35="","",
IF(AX35="PT",VLOOKUP(K35,Foundation_Calc!$K$79:$R$113,VLOOKUP(AW35,Foundation_Calc!$I$2:$J$8,2,FALSE),0),
IF(AX35="K",VLOOKUP(K35,Foundation_Calc!$K$117:$R$151,VLOOKUP(AW35,Foundation_Calc!$I$2:$J$8,2,FALSE),0),"")))</f>
        <v/>
      </c>
      <c r="BA35" s="495"/>
      <c r="BB35" s="495"/>
      <c r="BC35" s="495"/>
      <c r="BD35" s="513"/>
      <c r="BE35" s="429" t="s">
        <v>118</v>
      </c>
      <c r="BF35" s="290"/>
      <c r="BG35" s="290"/>
      <c r="BH35" s="290"/>
      <c r="BI35" s="290"/>
    </row>
    <row r="36" spans="1:61" ht="16.149999999999999" customHeight="1">
      <c r="A36" s="502">
        <f>'HR Track 4 BIN'!A34</f>
        <v>0</v>
      </c>
      <c r="B36" s="503" t="str">
        <f>'HR Track 4 BIN'!B34</f>
        <v>41-4.09</v>
      </c>
      <c r="C36" s="504">
        <f>'HR Track 4 BIN'!C34</f>
        <v>41453.639999999992</v>
      </c>
      <c r="D36" s="612">
        <f>'HR Track 4 BIN'!D34</f>
        <v>0</v>
      </c>
      <c r="E36" s="506">
        <f>'HR Track 4 BIN'!E34</f>
        <v>0</v>
      </c>
      <c r="F36" s="506">
        <f>'HR Track 4 BIN'!F34</f>
        <v>0</v>
      </c>
      <c r="G36" s="507">
        <f>'HR Track 4 BIN'!G34</f>
        <v>0</v>
      </c>
      <c r="H36" s="508" t="str">
        <f>'HR Track 4 BIN'!H34</f>
        <v>P50(CS) A/S-Diag</v>
      </c>
      <c r="I36" s="508" t="str">
        <f>'HR Track 4 BIN'!I34</f>
        <v>FP+AnMC</v>
      </c>
      <c r="J36" s="509">
        <f>'HR Track 4 BIN'!J34</f>
        <v>0</v>
      </c>
      <c r="K36" s="508">
        <f>'HR Track 4 BIN'!K34</f>
        <v>0</v>
      </c>
      <c r="L36" s="508" t="str">
        <f>'HR Track 4 BIN'!L34</f>
        <v>HEB-320PL</v>
      </c>
      <c r="M36" s="508" t="str">
        <f>'HR Track 4 BIN'!M34</f>
        <v>2C4R</v>
      </c>
      <c r="N36" s="508" t="str">
        <f>'HR Track 4 BIN'!N34</f>
        <v>EMT-2</v>
      </c>
      <c r="O36" s="508" t="str">
        <f>'HR Track 4 BIN'!O34</f>
        <v>EMT-1</v>
      </c>
      <c r="P36" s="508">
        <f>'HR Track 4 BIN'!P34</f>
        <v>0</v>
      </c>
      <c r="Q36" s="506">
        <f>'HR Track 4 BIN'!Q34</f>
        <v>0</v>
      </c>
      <c r="R36" s="507">
        <f>'HR Track 4 BIN'!R34</f>
        <v>0</v>
      </c>
      <c r="S36" s="507">
        <f>'HR Track 4 BIN'!S34</f>
        <v>0</v>
      </c>
      <c r="T36" s="506">
        <f>'HR Track 4 BIN'!T34</f>
        <v>30</v>
      </c>
      <c r="U36" s="506">
        <f>'HR Track 4 BIN'!U34</f>
        <v>10</v>
      </c>
      <c r="V36" s="506">
        <f>'HR Track 4 BIN'!V34</f>
        <v>0</v>
      </c>
      <c r="W36" s="510">
        <f>'HR Track 4 BIN'!W34</f>
        <v>1.4</v>
      </c>
      <c r="X36" s="510">
        <f>'HR Track 4 BIN'!X34</f>
        <v>1.8</v>
      </c>
      <c r="Y36" s="510">
        <f>'HR Track 4 BIN'!Y34</f>
        <v>0</v>
      </c>
      <c r="Z36" s="510">
        <f>'HR Track 4 BIN'!Z34</f>
        <v>0</v>
      </c>
      <c r="AA36" s="510">
        <f>'HR Track 4 BIN'!AA34</f>
        <v>0</v>
      </c>
      <c r="AB36" s="510">
        <f>'HR Track 4 BIN'!AB34</f>
        <v>0</v>
      </c>
      <c r="AC36" s="508" t="str">
        <f>'HR Track 4 BIN'!AC34</f>
        <v>PH</v>
      </c>
      <c r="AD36" s="508">
        <f>'HR Track 4 BIN'!AD34</f>
        <v>0</v>
      </c>
      <c r="AE36" s="508">
        <f>'HR Track 4 BIN'!AE34</f>
        <v>0</v>
      </c>
      <c r="AF36" s="506">
        <f>'HR Track 4 BIN'!AF34</f>
        <v>0</v>
      </c>
      <c r="AG36" s="505">
        <f>'HR Track 4 BIN'!AG34</f>
        <v>0</v>
      </c>
      <c r="AH36" s="506">
        <f>'HR Track 4 BIN'!AH34</f>
        <v>0</v>
      </c>
      <c r="AI36" s="506">
        <f>'HR Track 4 BIN'!AI34</f>
        <v>0</v>
      </c>
      <c r="AJ36" s="508" t="str">
        <f>'HR Track 4 BIN'!AJ34</f>
        <v>SECT-I</v>
      </c>
      <c r="AK36" s="508">
        <f>'HR Track 4 BIN'!AK34</f>
        <v>0</v>
      </c>
      <c r="AL36" s="508" t="str">
        <f>'HR Track 4 BIN'!AL34</f>
        <v>PR1D</v>
      </c>
      <c r="AM36" s="508" t="str">
        <f>'HR Track 4 BIN'!AM34</f>
        <v>RW2</v>
      </c>
      <c r="AN36" s="510">
        <f>'HR Track 4 BIN'!AN34</f>
        <v>5.5</v>
      </c>
      <c r="AO36" s="508">
        <f>'HR Track 4 BIN'!AO34</f>
        <v>0</v>
      </c>
      <c r="AP36" s="508">
        <f>'HR Track 4 BIN'!AP34</f>
        <v>0</v>
      </c>
      <c r="AQ36" s="510">
        <f>'HR Track 4 BIN'!AQ34</f>
        <v>0</v>
      </c>
      <c r="AR36" s="510">
        <f>'HR Track 4 BIN'!AR34</f>
        <v>0</v>
      </c>
      <c r="AS36" s="510">
        <f>'HR Track 4 BIN'!AS34</f>
        <v>0</v>
      </c>
      <c r="AT36" s="510">
        <f>'HR Track 4 BIN'!AT34</f>
        <v>-24.045753299568648</v>
      </c>
      <c r="AU36" s="511">
        <f>'HR Track 4 BIN'!AU34</f>
        <v>0</v>
      </c>
      <c r="AV36" s="511">
        <f>'HR Track 4 BIN'!AV34</f>
        <v>0</v>
      </c>
      <c r="AW36" s="508" t="str">
        <f>'HR Track 4 BIN'!AW34</f>
        <v>Multi Soil</v>
      </c>
      <c r="AX36" s="508" t="str">
        <f>'HR Track 4 BIN'!AX34</f>
        <v>PT</v>
      </c>
      <c r="AY36" s="510">
        <f>'HR Track 4 BIN'!AY34</f>
        <v>5.6</v>
      </c>
      <c r="AZ36" s="510" t="str">
        <f>'HR Track 4 BIN'!AZ34</f>
        <v/>
      </c>
      <c r="BA36" s="491" t="str">
        <f>'HR Track 4 BIN'!BA34</f>
        <v>ü</v>
      </c>
      <c r="BB36" s="491" t="str">
        <f>'HR Track 4 BIN'!BB34</f>
        <v/>
      </c>
      <c r="BC36" s="491" t="str">
        <f>'HR Track 4 BIN'!BC34</f>
        <v/>
      </c>
      <c r="BD36" s="512" t="str">
        <f>'HR Track 4 BIN'!BD34</f>
        <v>App.8-V08H-P10.3</v>
      </c>
      <c r="BE36" s="429" t="s">
        <v>118</v>
      </c>
      <c r="BF36" s="289"/>
      <c r="BG36" s="289"/>
      <c r="BH36" s="290"/>
      <c r="BI36" s="289"/>
    </row>
    <row r="37" spans="1:61" ht="16.149999999999999" customHeight="1">
      <c r="A37" s="502">
        <f>'HR Track 4 BIN'!A35</f>
        <v>0</v>
      </c>
      <c r="B37" s="503">
        <f>'HR Track 4 BIN'!B35</f>
        <v>0</v>
      </c>
      <c r="C37" s="504">
        <f>'HR Track 4 BIN'!C35</f>
        <v>0</v>
      </c>
      <c r="D37" s="612">
        <f>'HR Track 4 BIN'!D35</f>
        <v>0</v>
      </c>
      <c r="E37" s="506">
        <f>'HR Track 4 BIN'!E35</f>
        <v>0</v>
      </c>
      <c r="F37" s="506">
        <f>'HR Track 4 BIN'!F35</f>
        <v>0</v>
      </c>
      <c r="G37" s="507">
        <f>'HR Track 4 BIN'!G35</f>
        <v>40.1</v>
      </c>
      <c r="H37" s="508">
        <f>'HR Track 4 BIN'!H35</f>
        <v>0</v>
      </c>
      <c r="I37" s="539">
        <f>SUM(G7:G37)-22.2</f>
        <v>542.79999999999995</v>
      </c>
      <c r="J37" s="509">
        <f>'HR Track 4 BIN'!J35</f>
        <v>0</v>
      </c>
      <c r="K37" s="508">
        <f>'HR Track 4 BIN'!K35</f>
        <v>0</v>
      </c>
      <c r="L37" s="508">
        <f>'HR Track 4 BIN'!L35</f>
        <v>0</v>
      </c>
      <c r="M37" s="508" t="str">
        <f>'HR Track 4 BIN'!M35</f>
        <v/>
      </c>
      <c r="N37" s="508">
        <f>'HR Track 4 BIN'!N35</f>
        <v>0</v>
      </c>
      <c r="O37" s="508">
        <f>'HR Track 4 BIN'!O35</f>
        <v>0</v>
      </c>
      <c r="P37" s="508">
        <f>'HR Track 4 BIN'!P35</f>
        <v>0</v>
      </c>
      <c r="Q37" s="506">
        <f>'HR Track 4 BIN'!Q35</f>
        <v>0</v>
      </c>
      <c r="R37" s="507">
        <f>'HR Track 4 BIN'!R35</f>
        <v>0</v>
      </c>
      <c r="S37" s="507">
        <f>'HR Track 4 BIN'!S35</f>
        <v>0</v>
      </c>
      <c r="T37" s="506">
        <f>'HR Track 4 BIN'!T35</f>
        <v>0</v>
      </c>
      <c r="U37" s="506">
        <f>'HR Track 4 BIN'!U35</f>
        <v>0</v>
      </c>
      <c r="V37" s="506">
        <f>'HR Track 4 BIN'!V35</f>
        <v>0</v>
      </c>
      <c r="W37" s="510">
        <f>'HR Track 4 BIN'!W35</f>
        <v>0</v>
      </c>
      <c r="X37" s="510">
        <f>'HR Track 4 BIN'!X35</f>
        <v>0</v>
      </c>
      <c r="Y37" s="510">
        <f>'HR Track 4 BIN'!Y35</f>
        <v>0</v>
      </c>
      <c r="Z37" s="510">
        <f>'HR Track 4 BIN'!Z35</f>
        <v>0</v>
      </c>
      <c r="AA37" s="510">
        <f>'HR Track 4 BIN'!AA35</f>
        <v>0</v>
      </c>
      <c r="AB37" s="510">
        <f>'HR Track 4 BIN'!AB35</f>
        <v>0</v>
      </c>
      <c r="AC37" s="508" t="str">
        <f>'HR Track 4 BIN'!AC35</f>
        <v/>
      </c>
      <c r="AD37" s="508">
        <f>'HR Track 4 BIN'!AD35</f>
        <v>0</v>
      </c>
      <c r="AE37" s="508">
        <f>'HR Track 4 BIN'!AE35</f>
        <v>0</v>
      </c>
      <c r="AF37" s="506">
        <f>'HR Track 4 BIN'!AF35</f>
        <v>0</v>
      </c>
      <c r="AG37" s="505">
        <f>'HR Track 4 BIN'!AG35</f>
        <v>0</v>
      </c>
      <c r="AH37" s="506">
        <f>'HR Track 4 BIN'!AH35</f>
        <v>0</v>
      </c>
      <c r="AI37" s="506">
        <f>'HR Track 4 BIN'!AI35</f>
        <v>0</v>
      </c>
      <c r="AJ37" s="508">
        <f>'HR Track 4 BIN'!AJ35</f>
        <v>0</v>
      </c>
      <c r="AK37" s="508">
        <f>'HR Track 4 BIN'!AK35</f>
        <v>0</v>
      </c>
      <c r="AL37" s="508">
        <f>'HR Track 4 BIN'!AL35</f>
        <v>0</v>
      </c>
      <c r="AM37" s="508">
        <f>'HR Track 4 BIN'!AM35</f>
        <v>0</v>
      </c>
      <c r="AN37" s="510">
        <f>'HR Track 4 BIN'!AN35</f>
        <v>0</v>
      </c>
      <c r="AO37" s="508">
        <f>'HR Track 4 BIN'!AO35</f>
        <v>0</v>
      </c>
      <c r="AP37" s="508">
        <f>'HR Track 4 BIN'!AP35</f>
        <v>0</v>
      </c>
      <c r="AQ37" s="510">
        <f>'HR Track 4 BIN'!AQ35</f>
        <v>0.30596143823441396</v>
      </c>
      <c r="AR37" s="510">
        <f>'HR Track 4 BIN'!AR35</f>
        <v>0</v>
      </c>
      <c r="AS37" s="510">
        <f>'HR Track 4 BIN'!AS35</f>
        <v>0</v>
      </c>
      <c r="AT37" s="510">
        <f>'HR Track 4 BIN'!AT35</f>
        <v>0</v>
      </c>
      <c r="AU37" s="511">
        <f>'HR Track 4 BIN'!AU35</f>
        <v>0</v>
      </c>
      <c r="AV37" s="511">
        <f>'HR Track 4 BIN'!AV35</f>
        <v>0</v>
      </c>
      <c r="AW37" s="508" t="str">
        <f>'HR Track 4 BIN'!AW35</f>
        <v/>
      </c>
      <c r="AX37" s="508" t="str">
        <f>'HR Track 4 BIN'!AX35</f>
        <v/>
      </c>
      <c r="AY37" s="510" t="str">
        <f>'HR Track 4 BIN'!AY35</f>
        <v/>
      </c>
      <c r="AZ37" s="510" t="str">
        <f>'HR Track 4 BIN'!AZ35</f>
        <v/>
      </c>
      <c r="BA37" s="491" t="str">
        <f>'HR Track 4 BIN'!BA35</f>
        <v/>
      </c>
      <c r="BB37" s="491" t="str">
        <f>'HR Track 4 BIN'!BB35</f>
        <v/>
      </c>
      <c r="BC37" s="491" t="str">
        <f>'HR Track 4 BIN'!BC35</f>
        <v/>
      </c>
      <c r="BD37" s="512" t="str">
        <f>'HR Track 4 BIN'!BD35</f>
        <v/>
      </c>
      <c r="BE37" s="429" t="s">
        <v>118</v>
      </c>
      <c r="BF37" s="290"/>
      <c r="BG37" s="290"/>
      <c r="BH37" s="290"/>
      <c r="BI37" s="290"/>
    </row>
    <row r="38" spans="1:61" ht="16.149999999999999" customHeight="1">
      <c r="A38" s="502">
        <f>'HR Track 4 BIN'!A36</f>
        <v>0</v>
      </c>
      <c r="B38" s="503" t="str">
        <f>'HR Track 4 BIN'!B36</f>
        <v>41-3.10</v>
      </c>
      <c r="C38" s="504">
        <f>'HR Track 4 BIN'!C36</f>
        <v>41493.339999999997</v>
      </c>
      <c r="D38" s="612">
        <f>'HR Track 4 BIN'!D36</f>
        <v>0</v>
      </c>
      <c r="E38" s="506">
        <f>'HR Track 4 BIN'!E36</f>
        <v>0</v>
      </c>
      <c r="F38" s="506">
        <f>'HR Track 4 BIN'!F36</f>
        <v>0</v>
      </c>
      <c r="G38" s="507">
        <f>'HR Track 4 BIN'!G36</f>
        <v>0</v>
      </c>
      <c r="H38" s="508" t="str">
        <f>'HR Track 4 BIN'!H36</f>
        <v>S/A P50(CS) A/S-Diag</v>
      </c>
      <c r="I38" s="508" t="str">
        <f>'HR Track 4 BIN'!I36</f>
        <v>CP+AnMC</v>
      </c>
      <c r="J38" s="509">
        <f>'HR Track 4 BIN'!J36</f>
        <v>0</v>
      </c>
      <c r="K38" s="508">
        <f>'HR Track 4 BIN'!K36</f>
        <v>0</v>
      </c>
      <c r="L38" s="508" t="str">
        <f>'HR Track 4 BIN'!L36</f>
        <v>HEB-280L</v>
      </c>
      <c r="M38" s="508" t="str">
        <f>'HR Track 4 BIN'!M36</f>
        <v>C5R</v>
      </c>
      <c r="N38" s="508" t="str">
        <f>'HR Track 4 BIN'!N36</f>
        <v>EMT-T</v>
      </c>
      <c r="O38" s="508" t="str">
        <f>'HR Track 4 BIN'!O36</f>
        <v>EMT1</v>
      </c>
      <c r="P38" s="508" t="str">
        <f>'HR Track 4 BIN'!P36</f>
        <v>EMT-2</v>
      </c>
      <c r="Q38" s="506">
        <f>'HR Track 4 BIN'!Q36</f>
        <v>0</v>
      </c>
      <c r="R38" s="507">
        <f>'HR Track 4 BIN'!R36</f>
        <v>0</v>
      </c>
      <c r="S38" s="507">
        <f>'HR Track 4 BIN'!S36</f>
        <v>0</v>
      </c>
      <c r="T38" s="506">
        <f>'HR Track 4 BIN'!T36</f>
        <v>-55</v>
      </c>
      <c r="U38" s="506">
        <f>'HR Track 4 BIN'!U36</f>
        <v>-35</v>
      </c>
      <c r="V38" s="506">
        <f>'HR Track 4 BIN'!V36</f>
        <v>-20</v>
      </c>
      <c r="W38" s="510">
        <f>'HR Track 4 BIN'!W36</f>
        <v>1.4</v>
      </c>
      <c r="X38" s="510">
        <f>'HR Track 4 BIN'!X36</f>
        <v>1.6</v>
      </c>
      <c r="Y38" s="510">
        <f>'HR Track 4 BIN'!Y36</f>
        <v>1.8</v>
      </c>
      <c r="Z38" s="510">
        <f>'HR Track 4 BIN'!Z36</f>
        <v>0.3</v>
      </c>
      <c r="AA38" s="510">
        <f>'HR Track 4 BIN'!AA36</f>
        <v>0</v>
      </c>
      <c r="AB38" s="510">
        <f>'HR Track 4 BIN'!AB36</f>
        <v>0</v>
      </c>
      <c r="AC38" s="508">
        <f>'HR Track 4 BIN'!AC36</f>
        <v>0</v>
      </c>
      <c r="AD38" s="508">
        <f>'HR Track 4 BIN'!AD36</f>
        <v>0</v>
      </c>
      <c r="AE38" s="508">
        <f>'HR Track 4 BIN'!AE36</f>
        <v>0</v>
      </c>
      <c r="AF38" s="506">
        <f>'HR Track 4 BIN'!AF36</f>
        <v>0</v>
      </c>
      <c r="AG38" s="505">
        <f>'HR Track 4 BIN'!AG36</f>
        <v>0</v>
      </c>
      <c r="AH38" s="506">
        <f>'HR Track 4 BIN'!AH36</f>
        <v>0</v>
      </c>
      <c r="AI38" s="506">
        <f>'HR Track 4 BIN'!AI36</f>
        <v>0</v>
      </c>
      <c r="AJ38" s="508" t="str">
        <f>'HR Track 4 BIN'!AJ36</f>
        <v>SECT-I</v>
      </c>
      <c r="AK38" s="508">
        <f>'HR Track 4 BIN'!AK36</f>
        <v>0</v>
      </c>
      <c r="AL38" s="508" t="str">
        <f>'HR Track 4 BIN'!AL36</f>
        <v>PR1B</v>
      </c>
      <c r="AM38" s="508" t="str">
        <f>'HR Track 4 BIN'!AM36</f>
        <v>RW2</v>
      </c>
      <c r="AN38" s="510">
        <f>'HR Track 4 BIN'!AN36</f>
        <v>5.5</v>
      </c>
      <c r="AO38" s="508">
        <f>'HR Track 4 BIN'!AO36</f>
        <v>0</v>
      </c>
      <c r="AP38" s="508">
        <f>'HR Track 4 BIN'!AP36</f>
        <v>0</v>
      </c>
      <c r="AQ38" s="510">
        <f>'HR Track 4 BIN'!AQ36</f>
        <v>0</v>
      </c>
      <c r="AR38" s="510">
        <f>'HR Track 4 BIN'!AR36</f>
        <v>0</v>
      </c>
      <c r="AS38" s="510">
        <f>'HR Track 4 BIN'!AS36</f>
        <v>0</v>
      </c>
      <c r="AT38" s="510">
        <f>'HR Track 4 BIN'!AT36</f>
        <v>-5.9944004267239253</v>
      </c>
      <c r="AU38" s="511">
        <f>'HR Track 4 BIN'!AU36</f>
        <v>0</v>
      </c>
      <c r="AV38" s="511">
        <f>'HR Track 4 BIN'!AV36</f>
        <v>0</v>
      </c>
      <c r="AW38" s="508" t="str">
        <f>'HR Track 4 BIN'!AW36</f>
        <v>Multi Soil</v>
      </c>
      <c r="AX38" s="508" t="str">
        <f>'HR Track 4 BIN'!AX36</f>
        <v>PT</v>
      </c>
      <c r="AY38" s="510">
        <f>'HR Track 4 BIN'!AY36</f>
        <v>3.5</v>
      </c>
      <c r="AZ38" s="510" t="str">
        <f>'HR Track 4 BIN'!AZ36</f>
        <v/>
      </c>
      <c r="BA38" s="491" t="str">
        <f>'HR Track 4 BIN'!BA36</f>
        <v>ü</v>
      </c>
      <c r="BB38" s="491" t="str">
        <f>'HR Track 4 BIN'!BB36</f>
        <v/>
      </c>
      <c r="BC38" s="491" t="str">
        <f>'HR Track 4 BIN'!BC36</f>
        <v/>
      </c>
      <c r="BD38" s="512" t="str">
        <f>'HR Track 4 BIN'!BD36</f>
        <v>App.8-V08H-P10.3</v>
      </c>
      <c r="BE38" s="429" t="s">
        <v>118</v>
      </c>
      <c r="BF38" s="289"/>
      <c r="BG38" s="289"/>
      <c r="BH38" s="290"/>
      <c r="BI38" s="289"/>
    </row>
    <row r="39" spans="1:61" ht="16.149999999999999" customHeight="1" thickBot="1">
      <c r="A39" s="784">
        <f>'HR Track 4 BIN'!A37</f>
        <v>0</v>
      </c>
      <c r="B39" s="785">
        <f>'HR Track 4 BIN'!B37</f>
        <v>0</v>
      </c>
      <c r="C39" s="786">
        <f>'HR Track 4 BIN'!C37</f>
        <v>0</v>
      </c>
      <c r="D39" s="787">
        <f>'HR Track 4 BIN'!D37</f>
        <v>0</v>
      </c>
      <c r="E39" s="788">
        <f>'HR Track 4 BIN'!E37</f>
        <v>0</v>
      </c>
      <c r="F39" s="788">
        <f>'HR Track 4 BIN'!F37</f>
        <v>0</v>
      </c>
      <c r="G39" s="789">
        <f>'HR Track 4 BIN'!G37</f>
        <v>38.799999999999997</v>
      </c>
      <c r="H39" s="790">
        <f>'HR Track 4 BIN'!H37</f>
        <v>0</v>
      </c>
      <c r="I39" s="790">
        <f>'HR Track 4 BIN'!I37</f>
        <v>0</v>
      </c>
      <c r="J39" s="791">
        <f>'HR Track 4 BIN'!J37</f>
        <v>41500.839999999997</v>
      </c>
      <c r="K39" s="790" t="str">
        <f>'HR Track 4 BIN'!K37</f>
        <v>AnMC-R</v>
      </c>
      <c r="L39" s="790">
        <f>'HR Track 4 BIN'!L37</f>
        <v>0</v>
      </c>
      <c r="M39" s="790" t="str">
        <f>'HR Track 4 BIN'!M37</f>
        <v/>
      </c>
      <c r="N39" s="790">
        <f>'HR Track 4 BIN'!N37</f>
        <v>0</v>
      </c>
      <c r="O39" s="790">
        <f>'HR Track 4 BIN'!O37</f>
        <v>0</v>
      </c>
      <c r="P39" s="790">
        <f>'HR Track 4 BIN'!P37</f>
        <v>0</v>
      </c>
      <c r="Q39" s="788">
        <f>'HR Track 4 BIN'!Q37</f>
        <v>0</v>
      </c>
      <c r="R39" s="789">
        <f>'HR Track 4 BIN'!R37</f>
        <v>0</v>
      </c>
      <c r="S39" s="789">
        <f>'HR Track 4 BIN'!S37</f>
        <v>0</v>
      </c>
      <c r="T39" s="788">
        <f>'HR Track 4 BIN'!T37</f>
        <v>0</v>
      </c>
      <c r="U39" s="788">
        <f>'HR Track 4 BIN'!U37</f>
        <v>0</v>
      </c>
      <c r="V39" s="788">
        <f>'HR Track 4 BIN'!V37</f>
        <v>0</v>
      </c>
      <c r="W39" s="792">
        <f>'HR Track 4 BIN'!W37</f>
        <v>0</v>
      </c>
      <c r="X39" s="792">
        <f>'HR Track 4 BIN'!X37</f>
        <v>0</v>
      </c>
      <c r="Y39" s="792">
        <f>'HR Track 4 BIN'!Y37</f>
        <v>0</v>
      </c>
      <c r="Z39" s="792">
        <f>'HR Track 4 BIN'!Z37</f>
        <v>0</v>
      </c>
      <c r="AA39" s="792">
        <f>'HR Track 4 BIN'!AA37</f>
        <v>0</v>
      </c>
      <c r="AB39" s="792">
        <f>'HR Track 4 BIN'!AB37</f>
        <v>0</v>
      </c>
      <c r="AC39" s="790" t="str">
        <f>'HR Track 4 BIN'!AC37</f>
        <v/>
      </c>
      <c r="AD39" s="790">
        <f>'HR Track 4 BIN'!AD37</f>
        <v>0</v>
      </c>
      <c r="AE39" s="790">
        <f>'HR Track 4 BIN'!AE37</f>
        <v>0</v>
      </c>
      <c r="AF39" s="788">
        <f>'HR Track 4 BIN'!AF37</f>
        <v>0</v>
      </c>
      <c r="AG39" s="793">
        <f>'HR Track 4 BIN'!AG37</f>
        <v>0</v>
      </c>
      <c r="AH39" s="788">
        <f>'HR Track 4 BIN'!AH37</f>
        <v>0</v>
      </c>
      <c r="AI39" s="788">
        <f>'HR Track 4 BIN'!AI37</f>
        <v>0</v>
      </c>
      <c r="AJ39" s="790">
        <f>'HR Track 4 BIN'!AJ37</f>
        <v>0</v>
      </c>
      <c r="AK39" s="790">
        <f>'HR Track 4 BIN'!AK37</f>
        <v>0</v>
      </c>
      <c r="AL39" s="790">
        <f>'HR Track 4 BIN'!AL37</f>
        <v>0</v>
      </c>
      <c r="AM39" s="790">
        <f>'HR Track 4 BIN'!AM37</f>
        <v>0</v>
      </c>
      <c r="AN39" s="792">
        <f>'HR Track 4 BIN'!AN37</f>
        <v>0</v>
      </c>
      <c r="AO39" s="790">
        <f>'HR Track 4 BIN'!AO37</f>
        <v>0</v>
      </c>
      <c r="AP39" s="790">
        <f>'HR Track 4 BIN'!AP37</f>
        <v>0</v>
      </c>
      <c r="AQ39" s="792">
        <f>'HR Track 4 BIN'!AQ37</f>
        <v>-0.35000000000000253</v>
      </c>
      <c r="AR39" s="792">
        <f>'HR Track 4 BIN'!AR37</f>
        <v>0</v>
      </c>
      <c r="AS39" s="792">
        <f>'HR Track 4 BIN'!AS37</f>
        <v>0</v>
      </c>
      <c r="AT39" s="792">
        <f>'HR Track 4 BIN'!AT37</f>
        <v>0</v>
      </c>
      <c r="AU39" s="794">
        <f>'HR Track 4 BIN'!AU37</f>
        <v>0</v>
      </c>
      <c r="AV39" s="794">
        <f>'HR Track 4 BIN'!AV37</f>
        <v>0</v>
      </c>
      <c r="AW39" s="790" t="str">
        <f>'HR Track 4 BIN'!AW37</f>
        <v>Multi Soil</v>
      </c>
      <c r="AX39" s="790" t="str">
        <f>'HR Track 4 BIN'!AX37</f>
        <v>PT</v>
      </c>
      <c r="AY39" s="792" t="str">
        <f>'HR Track 4 BIN'!AY37</f>
        <v/>
      </c>
      <c r="AZ39" s="792">
        <f>'HR Track 4 BIN'!AZ37</f>
        <v>3.9</v>
      </c>
      <c r="BA39" s="552" t="str">
        <f>'HR Track 4 BIN'!BA37</f>
        <v/>
      </c>
      <c r="BB39" s="552" t="str">
        <f>'HR Track 4 BIN'!BB37</f>
        <v>ü</v>
      </c>
      <c r="BC39" s="552" t="str">
        <f>'HR Track 4 BIN'!BC37</f>
        <v/>
      </c>
      <c r="BD39" s="795">
        <f>'HR Track 4 BIN'!BD37</f>
        <v>0</v>
      </c>
      <c r="BE39" s="429" t="s">
        <v>118</v>
      </c>
      <c r="BF39" s="290"/>
      <c r="BG39" s="290"/>
      <c r="BH39" s="290"/>
      <c r="BI39" s="290"/>
    </row>
    <row r="40" spans="1:61" ht="15.75" customHeight="1"/>
    <row r="41" spans="1:61" ht="15.75" customHeight="1"/>
    <row r="42" spans="1:61" ht="15.75" customHeight="1"/>
    <row r="43" spans="1:61" ht="15.75" customHeight="1"/>
    <row r="44" spans="1:61" ht="15.75" customHeight="1"/>
    <row r="45" spans="1:61" ht="15.75" customHeight="1"/>
    <row r="46" spans="1:61" ht="15.75" customHeight="1"/>
    <row r="47" spans="1:61" ht="15.75" customHeight="1"/>
    <row r="48" spans="1:61" ht="15.75" customHeight="1"/>
    <row r="1840" ht="15.75" customHeight="1"/>
    <row r="1841" ht="15.75" customHeight="1"/>
  </sheetData>
  <autoFilter ref="A2:BD39" xr:uid="{00000000-0009-0000-0000-000006000000}">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filterColumn colId="52" showButton="0"/>
    <filterColumn colId="53" showButton="0"/>
  </autoFilter>
  <mergeCells count="11">
    <mergeCell ref="BF1:BI1"/>
    <mergeCell ref="A1:BD1"/>
    <mergeCell ref="N2:P2"/>
    <mergeCell ref="AN2:AP2"/>
    <mergeCell ref="AQ2:AS2"/>
    <mergeCell ref="AT2:AV2"/>
    <mergeCell ref="T2:V2"/>
    <mergeCell ref="W2:Y2"/>
    <mergeCell ref="Z2:AB2"/>
    <mergeCell ref="AC2:AE2"/>
    <mergeCell ref="BA2:BC2"/>
  </mergeCells>
  <phoneticPr fontId="77" type="noConversion"/>
  <conditionalFormatting sqref="BE4 AW34:AX35 B7:BC9">
    <cfRule type="expression" dxfId="13597" priority="7768">
      <formula>$M4="NON DEFINED"</formula>
    </cfRule>
    <cfRule type="expression" dxfId="13596" priority="7769">
      <formula>$AY4="N.D."</formula>
    </cfRule>
  </conditionalFormatting>
  <conditionalFormatting sqref="BE4">
    <cfRule type="cellIs" dxfId="13595" priority="7767" operator="equal">
      <formula>0</formula>
    </cfRule>
  </conditionalFormatting>
  <conditionalFormatting sqref="BA4:BC4 BA7:BC9">
    <cfRule type="expression" dxfId="13594" priority="7731">
      <formula>$BE4="R"</formula>
    </cfRule>
  </conditionalFormatting>
  <conditionalFormatting sqref="B4:E4 J4 AG4 AN4:AS4 AY4:BC4 G4:H4">
    <cfRule type="expression" dxfId="13593" priority="7729">
      <formula>$M4="NON DEFINED"</formula>
    </cfRule>
    <cfRule type="expression" dxfId="13592" priority="7730">
      <formula>$AY4="N.D."</formula>
    </cfRule>
  </conditionalFormatting>
  <conditionalFormatting sqref="A4:E4 J4 AG4 AN4:AS4 AY4:BD4 G4:H4">
    <cfRule type="cellIs" dxfId="13591" priority="7728" operator="equal">
      <formula>0</formula>
    </cfRule>
  </conditionalFormatting>
  <conditionalFormatting sqref="I4">
    <cfRule type="expression" dxfId="13590" priority="7710">
      <formula>$M4="NON DEFINED"</formula>
    </cfRule>
    <cfRule type="expression" dxfId="13589" priority="7711">
      <formula>$AY4="N.D."</formula>
    </cfRule>
  </conditionalFormatting>
  <conditionalFormatting sqref="I4">
    <cfRule type="cellIs" dxfId="13588" priority="7709" operator="equal">
      <formula>0</formula>
    </cfRule>
  </conditionalFormatting>
  <conditionalFormatting sqref="K4">
    <cfRule type="expression" dxfId="13587" priority="7693">
      <formula>$M4="NON DEFINED"</formula>
    </cfRule>
    <cfRule type="expression" dxfId="13586" priority="7694">
      <formula>$AY4="N.D."</formula>
    </cfRule>
  </conditionalFormatting>
  <conditionalFormatting sqref="K4">
    <cfRule type="cellIs" dxfId="13585" priority="7692" operator="equal">
      <formula>0</formula>
    </cfRule>
  </conditionalFormatting>
  <conditionalFormatting sqref="L4">
    <cfRule type="expression" dxfId="13584" priority="7676">
      <formula>$M4="NON DEFINED"</formula>
    </cfRule>
    <cfRule type="expression" dxfId="13583" priority="7677">
      <formula>$AY4="N.D."</formula>
    </cfRule>
  </conditionalFormatting>
  <conditionalFormatting sqref="L4">
    <cfRule type="cellIs" dxfId="13582" priority="7675" operator="equal">
      <formula>0</formula>
    </cfRule>
  </conditionalFormatting>
  <conditionalFormatting sqref="M4">
    <cfRule type="expression" dxfId="13581" priority="7659">
      <formula>$M4="NON DEFINED"</formula>
    </cfRule>
    <cfRule type="expression" dxfId="13580" priority="7660">
      <formula>$AY4="N.D."</formula>
    </cfRule>
  </conditionalFormatting>
  <conditionalFormatting sqref="M4">
    <cfRule type="cellIs" dxfId="13579" priority="7658" operator="equal">
      <formula>0</formula>
    </cfRule>
  </conditionalFormatting>
  <conditionalFormatting sqref="N4">
    <cfRule type="expression" dxfId="13578" priority="7639">
      <formula>$M4="NON DEFINED"</formula>
    </cfRule>
    <cfRule type="expression" dxfId="13577" priority="7640">
      <formula>$AY4="N.D."</formula>
    </cfRule>
  </conditionalFormatting>
  <conditionalFormatting sqref="N4">
    <cfRule type="cellIs" dxfId="13576" priority="7638" operator="equal">
      <formula>0</formula>
    </cfRule>
  </conditionalFormatting>
  <conditionalFormatting sqref="O4">
    <cfRule type="expression" dxfId="13575" priority="7622">
      <formula>$M4="NON DEFINED"</formula>
    </cfRule>
    <cfRule type="expression" dxfId="13574" priority="7623">
      <formula>$AY4="N.D."</formula>
    </cfRule>
  </conditionalFormatting>
  <conditionalFormatting sqref="O4">
    <cfRule type="cellIs" dxfId="13573" priority="7621" operator="equal">
      <formula>0</formula>
    </cfRule>
  </conditionalFormatting>
  <conditionalFormatting sqref="P4">
    <cfRule type="expression" dxfId="13572" priority="7605">
      <formula>$M4="NON DEFINED"</formula>
    </cfRule>
    <cfRule type="expression" dxfId="13571" priority="7606">
      <formula>$AY4="N.D."</formula>
    </cfRule>
  </conditionalFormatting>
  <conditionalFormatting sqref="P4">
    <cfRule type="cellIs" dxfId="13570" priority="7604" operator="equal">
      <formula>0</formula>
    </cfRule>
  </conditionalFormatting>
  <conditionalFormatting sqref="AC4">
    <cfRule type="expression" dxfId="13569" priority="7571">
      <formula>$M4="NON DEFINED"</formula>
    </cfRule>
    <cfRule type="expression" dxfId="13568" priority="7572">
      <formula>$AY4="N.D."</formula>
    </cfRule>
  </conditionalFormatting>
  <conditionalFormatting sqref="AC4">
    <cfRule type="cellIs" dxfId="13567" priority="7570" operator="equal">
      <formula>0</formula>
    </cfRule>
  </conditionalFormatting>
  <conditionalFormatting sqref="AD4">
    <cfRule type="expression" dxfId="13566" priority="7554">
      <formula>$M4="NON DEFINED"</formula>
    </cfRule>
    <cfRule type="expression" dxfId="13565" priority="7555">
      <formula>$AY4="N.D."</formula>
    </cfRule>
  </conditionalFormatting>
  <conditionalFormatting sqref="AD4">
    <cfRule type="cellIs" dxfId="13564" priority="7553" operator="equal">
      <formula>0</formula>
    </cfRule>
  </conditionalFormatting>
  <conditionalFormatting sqref="AE4">
    <cfRule type="expression" dxfId="13563" priority="7537">
      <formula>$M4="NON DEFINED"</formula>
    </cfRule>
    <cfRule type="expression" dxfId="13562" priority="7538">
      <formula>$AY4="N.D."</formula>
    </cfRule>
  </conditionalFormatting>
  <conditionalFormatting sqref="AE4">
    <cfRule type="cellIs" dxfId="13561" priority="7536" operator="equal">
      <formula>0</formula>
    </cfRule>
  </conditionalFormatting>
  <conditionalFormatting sqref="AJ4">
    <cfRule type="expression" dxfId="13560" priority="7520">
      <formula>$M4="NON DEFINED"</formula>
    </cfRule>
    <cfRule type="expression" dxfId="13559" priority="7521">
      <formula>$AY4="N.D."</formula>
    </cfRule>
  </conditionalFormatting>
  <conditionalFormatting sqref="AJ4">
    <cfRule type="cellIs" dxfId="13558" priority="7519" operator="equal">
      <formula>0</formula>
    </cfRule>
  </conditionalFormatting>
  <conditionalFormatting sqref="AK4">
    <cfRule type="expression" dxfId="13557" priority="7503">
      <formula>$M4="NON DEFINED"</formula>
    </cfRule>
    <cfRule type="expression" dxfId="13556" priority="7504">
      <formula>$AY4="N.D."</formula>
    </cfRule>
  </conditionalFormatting>
  <conditionalFormatting sqref="AK4">
    <cfRule type="cellIs" dxfId="13555" priority="7502" operator="equal">
      <formula>0</formula>
    </cfRule>
  </conditionalFormatting>
  <conditionalFormatting sqref="AL4">
    <cfRule type="expression" dxfId="13554" priority="7486">
      <formula>$M4="NON DEFINED"</formula>
    </cfRule>
    <cfRule type="expression" dxfId="13553" priority="7487">
      <formula>$AY4="N.D."</formula>
    </cfRule>
  </conditionalFormatting>
  <conditionalFormatting sqref="AL4">
    <cfRule type="cellIs" dxfId="13552" priority="7485" operator="equal">
      <formula>0</formula>
    </cfRule>
  </conditionalFormatting>
  <conditionalFormatting sqref="AM4">
    <cfRule type="expression" dxfId="13551" priority="7469">
      <formula>$M4="NON DEFINED"</formula>
    </cfRule>
    <cfRule type="expression" dxfId="13550" priority="7470">
      <formula>$AY4="N.D."</formula>
    </cfRule>
  </conditionalFormatting>
  <conditionalFormatting sqref="AM4">
    <cfRule type="cellIs" dxfId="13549" priority="7468" operator="equal">
      <formula>0</formula>
    </cfRule>
  </conditionalFormatting>
  <conditionalFormatting sqref="AT4">
    <cfRule type="expression" dxfId="13548" priority="7452">
      <formula>$M4="NON DEFINED"</formula>
    </cfRule>
    <cfRule type="expression" dxfId="13547" priority="7453">
      <formula>$AY4="N.D."</formula>
    </cfRule>
  </conditionalFormatting>
  <conditionalFormatting sqref="AT4">
    <cfRule type="cellIs" dxfId="13546" priority="7451" operator="equal">
      <formula>0</formula>
    </cfRule>
  </conditionalFormatting>
  <conditionalFormatting sqref="AU4">
    <cfRule type="expression" dxfId="13545" priority="7435">
      <formula>$M4="NON DEFINED"</formula>
    </cfRule>
    <cfRule type="expression" dxfId="13544" priority="7436">
      <formula>$AY4="N.D."</formula>
    </cfRule>
  </conditionalFormatting>
  <conditionalFormatting sqref="AU4">
    <cfRule type="cellIs" dxfId="13543" priority="7434" operator="equal">
      <formula>0</formula>
    </cfRule>
  </conditionalFormatting>
  <conditionalFormatting sqref="AV4">
    <cfRule type="expression" dxfId="13542" priority="7418">
      <formula>$M4="NON DEFINED"</formula>
    </cfRule>
    <cfRule type="expression" dxfId="13541" priority="7419">
      <formula>$AY4="N.D."</formula>
    </cfRule>
  </conditionalFormatting>
  <conditionalFormatting sqref="AV4">
    <cfRule type="cellIs" dxfId="13540" priority="7417" operator="equal">
      <formula>0</formula>
    </cfRule>
  </conditionalFormatting>
  <conditionalFormatting sqref="AW4">
    <cfRule type="expression" dxfId="13539" priority="7401">
      <formula>$M4="NON DEFINED"</formula>
    </cfRule>
    <cfRule type="expression" dxfId="13538" priority="7402">
      <formula>$AY4="N.D."</formula>
    </cfRule>
  </conditionalFormatting>
  <conditionalFormatting sqref="AW4">
    <cfRule type="cellIs" dxfId="13537" priority="7400" operator="equal">
      <formula>0</formula>
    </cfRule>
  </conditionalFormatting>
  <conditionalFormatting sqref="AX4">
    <cfRule type="expression" dxfId="13536" priority="7384">
      <formula>$M4="NON DEFINED"</formula>
    </cfRule>
    <cfRule type="expression" dxfId="13535" priority="7385">
      <formula>$AY4="N.D."</formula>
    </cfRule>
  </conditionalFormatting>
  <conditionalFormatting sqref="AX4">
    <cfRule type="cellIs" dxfId="13534" priority="7383" operator="equal">
      <formula>0</formula>
    </cfRule>
  </conditionalFormatting>
  <conditionalFormatting sqref="F4">
    <cfRule type="expression" dxfId="13533" priority="7367">
      <formula>$M4="NON DEFINED"</formula>
    </cfRule>
    <cfRule type="expression" dxfId="13532" priority="7368">
      <formula>$AY4="N.D."</formula>
    </cfRule>
  </conditionalFormatting>
  <conditionalFormatting sqref="F4">
    <cfRule type="cellIs" dxfId="13531" priority="7366" operator="equal">
      <formula>0</formula>
    </cfRule>
  </conditionalFormatting>
  <conditionalFormatting sqref="Q4">
    <cfRule type="expression" dxfId="13530" priority="7350">
      <formula>$M4="NON DEFINED"</formula>
    </cfRule>
    <cfRule type="expression" dxfId="13529" priority="7351">
      <formula>$AY4="N.D."</formula>
    </cfRule>
  </conditionalFormatting>
  <conditionalFormatting sqref="Q4">
    <cfRule type="cellIs" dxfId="13528" priority="7349" operator="equal">
      <formula>0</formula>
    </cfRule>
  </conditionalFormatting>
  <conditionalFormatting sqref="T4">
    <cfRule type="expression" dxfId="13527" priority="7333">
      <formula>$M4="NON DEFINED"</formula>
    </cfRule>
    <cfRule type="expression" dxfId="13526" priority="7334">
      <formula>$AY4="N.D."</formula>
    </cfRule>
  </conditionalFormatting>
  <conditionalFormatting sqref="T4">
    <cfRule type="cellIs" dxfId="13525" priority="7332" operator="equal">
      <formula>0</formula>
    </cfRule>
  </conditionalFormatting>
  <conditionalFormatting sqref="U4">
    <cfRule type="expression" dxfId="13524" priority="7316">
      <formula>$M4="NON DEFINED"</formula>
    </cfRule>
    <cfRule type="expression" dxfId="13523" priority="7317">
      <formula>$AY4="N.D."</formula>
    </cfRule>
  </conditionalFormatting>
  <conditionalFormatting sqref="U4">
    <cfRule type="cellIs" dxfId="13522" priority="7315" operator="equal">
      <formula>0</formula>
    </cfRule>
  </conditionalFormatting>
  <conditionalFormatting sqref="V4">
    <cfRule type="expression" dxfId="13521" priority="7299">
      <formula>$M4="NON DEFINED"</formula>
    </cfRule>
    <cfRule type="expression" dxfId="13520" priority="7300">
      <formula>$AY4="N.D."</formula>
    </cfRule>
  </conditionalFormatting>
  <conditionalFormatting sqref="V4">
    <cfRule type="cellIs" dxfId="13519" priority="7298" operator="equal">
      <formula>0</formula>
    </cfRule>
  </conditionalFormatting>
  <conditionalFormatting sqref="AF4">
    <cfRule type="expression" dxfId="13518" priority="7282">
      <formula>$M4="NON DEFINED"</formula>
    </cfRule>
    <cfRule type="expression" dxfId="13517" priority="7283">
      <formula>$AY4="N.D."</formula>
    </cfRule>
  </conditionalFormatting>
  <conditionalFormatting sqref="AF4">
    <cfRule type="cellIs" dxfId="13516" priority="7281" operator="equal">
      <formula>0</formula>
    </cfRule>
  </conditionalFormatting>
  <conditionalFormatting sqref="AH4">
    <cfRule type="expression" dxfId="13515" priority="7265">
      <formula>$M4="NON DEFINED"</formula>
    </cfRule>
    <cfRule type="expression" dxfId="13514" priority="7266">
      <formula>$AY4="N.D."</formula>
    </cfRule>
  </conditionalFormatting>
  <conditionalFormatting sqref="AH4">
    <cfRule type="cellIs" dxfId="13513" priority="7264" operator="equal">
      <formula>0</formula>
    </cfRule>
  </conditionalFormatting>
  <conditionalFormatting sqref="AI4">
    <cfRule type="expression" dxfId="13512" priority="7248">
      <formula>$M4="NON DEFINED"</formula>
    </cfRule>
    <cfRule type="expression" dxfId="13511" priority="7249">
      <formula>$AY4="N.D."</formula>
    </cfRule>
  </conditionalFormatting>
  <conditionalFormatting sqref="AI4">
    <cfRule type="cellIs" dxfId="13510" priority="7247" operator="equal">
      <formula>0</formula>
    </cfRule>
  </conditionalFormatting>
  <conditionalFormatting sqref="R4">
    <cfRule type="expression" dxfId="13509" priority="7231">
      <formula>$M4="NON DEFINED"</formula>
    </cfRule>
    <cfRule type="expression" dxfId="13508" priority="7232">
      <formula>$AY4="N.D."</formula>
    </cfRule>
  </conditionalFormatting>
  <conditionalFormatting sqref="R4">
    <cfRule type="cellIs" dxfId="13507" priority="7230" operator="equal">
      <formula>0</formula>
    </cfRule>
  </conditionalFormatting>
  <conditionalFormatting sqref="S4">
    <cfRule type="expression" dxfId="13506" priority="7214">
      <formula>$M4="NON DEFINED"</formula>
    </cfRule>
    <cfRule type="expression" dxfId="13505" priority="7215">
      <formula>$AY4="N.D."</formula>
    </cfRule>
  </conditionalFormatting>
  <conditionalFormatting sqref="S4">
    <cfRule type="cellIs" dxfId="13504" priority="7213" operator="equal">
      <formula>0</formula>
    </cfRule>
  </conditionalFormatting>
  <conditionalFormatting sqref="W4">
    <cfRule type="expression" dxfId="13503" priority="7197">
      <formula>$M4="NON DEFINED"</formula>
    </cfRule>
    <cfRule type="expression" dxfId="13502" priority="7198">
      <formula>$AY4="N.D."</formula>
    </cfRule>
  </conditionalFormatting>
  <conditionalFormatting sqref="W4">
    <cfRule type="cellIs" dxfId="13501" priority="7196" operator="equal">
      <formula>0</formula>
    </cfRule>
  </conditionalFormatting>
  <conditionalFormatting sqref="X4">
    <cfRule type="expression" dxfId="13500" priority="7163">
      <formula>$M4="NON DEFINED"</formula>
    </cfRule>
    <cfRule type="expression" dxfId="13499" priority="7164">
      <formula>$AY4="N.D."</formula>
    </cfRule>
  </conditionalFormatting>
  <conditionalFormatting sqref="X4">
    <cfRule type="cellIs" dxfId="13498" priority="7162" operator="equal">
      <formula>0</formula>
    </cfRule>
  </conditionalFormatting>
  <conditionalFormatting sqref="Y4">
    <cfRule type="expression" dxfId="13497" priority="7146">
      <formula>$M4="NON DEFINED"</formula>
    </cfRule>
    <cfRule type="expression" dxfId="13496" priority="7147">
      <formula>$AY4="N.D."</formula>
    </cfRule>
  </conditionalFormatting>
  <conditionalFormatting sqref="Y4">
    <cfRule type="cellIs" dxfId="13495" priority="7145" operator="equal">
      <formula>0</formula>
    </cfRule>
  </conditionalFormatting>
  <conditionalFormatting sqref="Z4">
    <cfRule type="expression" dxfId="13494" priority="7129">
      <formula>$M4="NON DEFINED"</formula>
    </cfRule>
    <cfRule type="expression" dxfId="13493" priority="7130">
      <formula>$AY4="N.D."</formula>
    </cfRule>
  </conditionalFormatting>
  <conditionalFormatting sqref="Z4">
    <cfRule type="cellIs" dxfId="13492" priority="7128" operator="equal">
      <formula>0</formula>
    </cfRule>
  </conditionalFormatting>
  <conditionalFormatting sqref="AA4">
    <cfRule type="expression" dxfId="13491" priority="7112">
      <formula>$M4="NON DEFINED"</formula>
    </cfRule>
    <cfRule type="expression" dxfId="13490" priority="7113">
      <formula>$AY4="N.D."</formula>
    </cfRule>
  </conditionalFormatting>
  <conditionalFormatting sqref="AA4">
    <cfRule type="cellIs" dxfId="13489" priority="7111" operator="equal">
      <formula>0</formula>
    </cfRule>
  </conditionalFormatting>
  <conditionalFormatting sqref="AB4">
    <cfRule type="expression" dxfId="13488" priority="7095">
      <formula>$M4="NON DEFINED"</formula>
    </cfRule>
    <cfRule type="expression" dxfId="13487" priority="7096">
      <formula>$AY4="N.D."</formula>
    </cfRule>
  </conditionalFormatting>
  <conditionalFormatting sqref="AB4">
    <cfRule type="cellIs" dxfId="13486" priority="7094" operator="equal">
      <formula>0</formula>
    </cfRule>
  </conditionalFormatting>
  <conditionalFormatting sqref="BE5:BE39">
    <cfRule type="containsText" dxfId="13485" priority="6038" operator="containsText" text="a">
      <formula>NOT(ISERROR(SEARCH("a",BE5)))</formula>
    </cfRule>
    <cfRule type="containsText" dxfId="13484" priority="6039" operator="containsText" text="R">
      <formula>NOT(ISERROR(SEARCH("R",BE5)))</formula>
    </cfRule>
  </conditionalFormatting>
  <conditionalFormatting sqref="AG21:AG33 AZ21:AZ33 J21:J33 AN21:AS21 C21:E21 G22:H33 AN33:AS33 AO32:AS32 AN31:AS31 AO30:AS30 AN29:AS29 AO28:AS28 AN27:AS27 AO24:AS26 AN23:AS23 AO22:AS22 H21 C23:E23 D22:E22 C25:E25 D24:E24 C27:E27 D26:E26 B31:E31 D28:E30 B33:E33 D32:E32 AY34:AZ35 I35:AV35 C34:H35 B35 J34:AB34 AD34:AV34">
    <cfRule type="expression" dxfId="13483" priority="4455">
      <formula>$M21="NON DEFINED"</formula>
    </cfRule>
    <cfRule type="expression" dxfId="13482" priority="4456">
      <formula>$AZ21="N.D."</formula>
    </cfRule>
    <cfRule type="expression" dxfId="13481" priority="4457">
      <formula>$AY21="N.D."</formula>
    </cfRule>
  </conditionalFormatting>
  <conditionalFormatting sqref="AY21:AY33">
    <cfRule type="expression" dxfId="13480" priority="4452">
      <formula>$M21="NON DEFINED"</formula>
    </cfRule>
    <cfRule type="expression" dxfId="13479" priority="4453">
      <formula>$AZ21="N.D."</formula>
    </cfRule>
    <cfRule type="expression" dxfId="13478" priority="4454">
      <formula>$AY21="N.D."</formula>
    </cfRule>
  </conditionalFormatting>
  <conditionalFormatting sqref="J21:J33 AG21:AG33 AN21:AS21 C21:E21 G22:H33 AN33:AS33 AO32:AS32 AN31:AS31 AO30:AS30 AN29:AS29 AO28:AS28 AN27:AS27 AO24:AS26 AN23:AS23 AO22:AS22 H21 C23:E23 D22:E22 C25:E25 D24:E24 C27:E27 D26:E26 A31:E31 D28:E30 A33:E33 A32 D32:E32 A21:A30 AY21:AZ35 A34:A35 I35:AV35 C34:H35 B35 J34:AB34 AD34:AV34">
    <cfRule type="expression" dxfId="13477" priority="4441">
      <formula>$A21="Overhead Cable"</formula>
    </cfRule>
    <cfRule type="expression" dxfId="13476" priority="4442">
      <formula>$A21="Level Crossing"</formula>
    </cfRule>
    <cfRule type="expression" dxfId="13475" priority="4443">
      <formula>$A21="Neutral Section"</formula>
    </cfRule>
    <cfRule type="expression" dxfId="13474" priority="4444">
      <formula>$A21="Tunnel"</formula>
    </cfRule>
    <cfRule type="expression" dxfId="13473" priority="4445">
      <formula>$A21="Bridge"</formula>
    </cfRule>
    <cfRule type="expression" dxfId="13472" priority="4446">
      <formula>$A21="Drainage Works"</formula>
    </cfRule>
    <cfRule type="expression" dxfId="13471" priority="4447">
      <formula>$A21="Underpass"</formula>
    </cfRule>
    <cfRule type="expression" dxfId="13470" priority="4448">
      <formula>$A21="Overcrossing"</formula>
    </cfRule>
    <cfRule type="expression" dxfId="13469" priority="4449">
      <formula>$A21="Overpass"</formula>
    </cfRule>
    <cfRule type="expression" dxfId="13468" priority="4450">
      <formula>$A21="Station"</formula>
    </cfRule>
    <cfRule type="expression" dxfId="13467" priority="4451">
      <formula>$A21="Overlap between sections"</formula>
    </cfRule>
  </conditionalFormatting>
  <conditionalFormatting sqref="AN21:AP21 AN33:AP33 AO32:AP32 AN31:AP31 AO30:AP30 AN29:AP29 AO28:AP28 AN27:AP27 AO24:AP26 AN23:AP23 AO22:AP22">
    <cfRule type="cellIs" dxfId="13466" priority="4440" operator="notEqual">
      <formula>5.5</formula>
    </cfRule>
  </conditionalFormatting>
  <conditionalFormatting sqref="B31 B33 B35">
    <cfRule type="expression" dxfId="13465" priority="4439">
      <formula>AND($AH31&gt;2499,$AH31&lt;2901)</formula>
    </cfRule>
  </conditionalFormatting>
  <conditionalFormatting sqref="I21:I33">
    <cfRule type="expression" dxfId="13464" priority="4436">
      <formula>$M21="NON DEFINED"</formula>
    </cfRule>
    <cfRule type="expression" dxfId="13463" priority="4437">
      <formula>$AZ21="N.D."</formula>
    </cfRule>
    <cfRule type="expression" dxfId="13462" priority="4438">
      <formula>$AY21="N.D."</formula>
    </cfRule>
  </conditionalFormatting>
  <conditionalFormatting sqref="I21:I33">
    <cfRule type="expression" dxfId="13461" priority="4425">
      <formula>$A21="Overhead Cable"</formula>
    </cfRule>
    <cfRule type="expression" dxfId="13460" priority="4426">
      <formula>$A21="Level Crossing"</formula>
    </cfRule>
    <cfRule type="expression" dxfId="13459" priority="4427">
      <formula>$A21="Neutral Section"</formula>
    </cfRule>
    <cfRule type="expression" dxfId="13458" priority="4428">
      <formula>$A21="Tunnel"</formula>
    </cfRule>
    <cfRule type="expression" dxfId="13457" priority="4429">
      <formula>$A21="Bridge"</formula>
    </cfRule>
    <cfRule type="expression" dxfId="13456" priority="4430">
      <formula>$A21="Drainage Works"</formula>
    </cfRule>
    <cfRule type="expression" dxfId="13455" priority="4431">
      <formula>$A21="Underpass"</formula>
    </cfRule>
    <cfRule type="expression" dxfId="13454" priority="4432">
      <formula>$A21="Overcrossing"</formula>
    </cfRule>
    <cfRule type="expression" dxfId="13453" priority="4433">
      <formula>$A21="Overpass"</formula>
    </cfRule>
    <cfRule type="expression" dxfId="13452" priority="4434">
      <formula>$A21="Station"</formula>
    </cfRule>
    <cfRule type="expression" dxfId="13451" priority="4435">
      <formula>$A21="Overlap between sections"</formula>
    </cfRule>
  </conditionalFormatting>
  <conditionalFormatting sqref="K21:K33">
    <cfRule type="expression" dxfId="13450" priority="4422">
      <formula>$M21="NON DEFINED"</formula>
    </cfRule>
    <cfRule type="expression" dxfId="13449" priority="4423">
      <formula>$AZ21="N.D."</formula>
    </cfRule>
    <cfRule type="expression" dxfId="13448" priority="4424">
      <formula>$AY21="N.D."</formula>
    </cfRule>
  </conditionalFormatting>
  <conditionalFormatting sqref="K21:K33">
    <cfRule type="expression" dxfId="13447" priority="4411">
      <formula>$A21="Overhead Cable"</formula>
    </cfRule>
    <cfRule type="expression" dxfId="13446" priority="4412">
      <formula>$A21="Level Crossing"</formula>
    </cfRule>
    <cfRule type="expression" dxfId="13445" priority="4413">
      <formula>$A21="Neutral Section"</formula>
    </cfRule>
    <cfRule type="expression" dxfId="13444" priority="4414">
      <formula>$A21="Tunnel"</formula>
    </cfRule>
    <cfRule type="expression" dxfId="13443" priority="4415">
      <formula>$A21="Bridge"</formula>
    </cfRule>
    <cfRule type="expression" dxfId="13442" priority="4416">
      <formula>$A21="Drainage Works"</formula>
    </cfRule>
    <cfRule type="expression" dxfId="13441" priority="4417">
      <formula>$A21="Underpass"</formula>
    </cfRule>
    <cfRule type="expression" dxfId="13440" priority="4418">
      <formula>$A21="Overcrossing"</formula>
    </cfRule>
    <cfRule type="expression" dxfId="13439" priority="4419">
      <formula>$A21="Overpass"</formula>
    </cfRule>
    <cfRule type="expression" dxfId="13438" priority="4420">
      <formula>$A21="Station"</formula>
    </cfRule>
    <cfRule type="expression" dxfId="13437" priority="4421">
      <formula>$A21="Overlap between sections"</formula>
    </cfRule>
  </conditionalFormatting>
  <conditionalFormatting sqref="L21:L33">
    <cfRule type="expression" dxfId="13436" priority="4408">
      <formula>$M21="NON DEFINED"</formula>
    </cfRule>
    <cfRule type="expression" dxfId="13435" priority="4409">
      <formula>$AZ21="N.D."</formula>
    </cfRule>
    <cfRule type="expression" dxfId="13434" priority="4410">
      <formula>$AY21="N.D."</formula>
    </cfRule>
  </conditionalFormatting>
  <conditionalFormatting sqref="L21:L33">
    <cfRule type="expression" dxfId="13433" priority="4397">
      <formula>$A21="Overhead Cable"</formula>
    </cfRule>
    <cfRule type="expression" dxfId="13432" priority="4398">
      <formula>$A21="Level Crossing"</formula>
    </cfRule>
    <cfRule type="expression" dxfId="13431" priority="4399">
      <formula>$A21="Neutral Section"</formula>
    </cfRule>
    <cfRule type="expression" dxfId="13430" priority="4400">
      <formula>$A21="Tunnel"</formula>
    </cfRule>
    <cfRule type="expression" dxfId="13429" priority="4401">
      <formula>$A21="Bridge"</formula>
    </cfRule>
    <cfRule type="expression" dxfId="13428" priority="4402">
      <formula>$A21="Drainage Works"</formula>
    </cfRule>
    <cfRule type="expression" dxfId="13427" priority="4403">
      <formula>$A21="Underpass"</formula>
    </cfRule>
    <cfRule type="expression" dxfId="13426" priority="4404">
      <formula>$A21="Overcrossing"</formula>
    </cfRule>
    <cfRule type="expression" dxfId="13425" priority="4405">
      <formula>$A21="Overpass"</formula>
    </cfRule>
    <cfRule type="expression" dxfId="13424" priority="4406">
      <formula>$A21="Station"</formula>
    </cfRule>
    <cfRule type="expression" dxfId="13423" priority="4407">
      <formula>$A21="Overlap between sections"</formula>
    </cfRule>
  </conditionalFormatting>
  <conditionalFormatting sqref="M21:M33">
    <cfRule type="expression" dxfId="13422" priority="4394">
      <formula>$M21="NON DEFINED"</formula>
    </cfRule>
    <cfRule type="expression" dxfId="13421" priority="4395">
      <formula>$AZ21="N.D."</formula>
    </cfRule>
    <cfRule type="expression" dxfId="13420" priority="4396">
      <formula>$AY21="N.D."</formula>
    </cfRule>
  </conditionalFormatting>
  <conditionalFormatting sqref="M21:M33">
    <cfRule type="expression" dxfId="13419" priority="4383">
      <formula>$A21="Overhead Cable"</formula>
    </cfRule>
    <cfRule type="expression" dxfId="13418" priority="4384">
      <formula>$A21="Level Crossing"</formula>
    </cfRule>
    <cfRule type="expression" dxfId="13417" priority="4385">
      <formula>$A21="Neutral Section"</formula>
    </cfRule>
    <cfRule type="expression" dxfId="13416" priority="4386">
      <formula>$A21="Tunnel"</formula>
    </cfRule>
    <cfRule type="expression" dxfId="13415" priority="4387">
      <formula>$A21="Bridge"</formula>
    </cfRule>
    <cfRule type="expression" dxfId="13414" priority="4388">
      <formula>$A21="Drainage Works"</formula>
    </cfRule>
    <cfRule type="expression" dxfId="13413" priority="4389">
      <formula>$A21="Underpass"</formula>
    </cfRule>
    <cfRule type="expression" dxfId="13412" priority="4390">
      <formula>$A21="Overcrossing"</formula>
    </cfRule>
    <cfRule type="expression" dxfId="13411" priority="4391">
      <formula>$A21="Overpass"</formula>
    </cfRule>
    <cfRule type="expression" dxfId="13410" priority="4392">
      <formula>$A21="Station"</formula>
    </cfRule>
    <cfRule type="expression" dxfId="13409" priority="4393">
      <formula>$A21="Overlap between sections"</formula>
    </cfRule>
  </conditionalFormatting>
  <conditionalFormatting sqref="N21:N33">
    <cfRule type="expression" dxfId="13408" priority="4380">
      <formula>$M21="NON DEFINED"</formula>
    </cfRule>
    <cfRule type="expression" dxfId="13407" priority="4381">
      <formula>$AZ21="N.D."</formula>
    </cfRule>
    <cfRule type="expression" dxfId="13406" priority="4382">
      <formula>$AY21="N.D."</formula>
    </cfRule>
  </conditionalFormatting>
  <conditionalFormatting sqref="N21:N33">
    <cfRule type="expression" dxfId="13405" priority="4369">
      <formula>$A21="Overhead Cable"</formula>
    </cfRule>
    <cfRule type="expression" dxfId="13404" priority="4370">
      <formula>$A21="Level Crossing"</formula>
    </cfRule>
    <cfRule type="expression" dxfId="13403" priority="4371">
      <formula>$A21="Neutral Section"</formula>
    </cfRule>
    <cfRule type="expression" dxfId="13402" priority="4372">
      <formula>$A21="Tunnel"</formula>
    </cfRule>
    <cfRule type="expression" dxfId="13401" priority="4373">
      <formula>$A21="Bridge"</formula>
    </cfRule>
    <cfRule type="expression" dxfId="13400" priority="4374">
      <formula>$A21="Drainage Works"</formula>
    </cfRule>
    <cfRule type="expression" dxfId="13399" priority="4375">
      <formula>$A21="Underpass"</formula>
    </cfRule>
    <cfRule type="expression" dxfId="13398" priority="4376">
      <formula>$A21="Overcrossing"</formula>
    </cfRule>
    <cfRule type="expression" dxfId="13397" priority="4377">
      <formula>$A21="Overpass"</formula>
    </cfRule>
    <cfRule type="expression" dxfId="13396" priority="4378">
      <formula>$A21="Station"</formula>
    </cfRule>
    <cfRule type="expression" dxfId="13395" priority="4379">
      <formula>$A21="Overlap between sections"</formula>
    </cfRule>
  </conditionalFormatting>
  <conditionalFormatting sqref="O21:O33">
    <cfRule type="expression" dxfId="13394" priority="4366">
      <formula>$M21="NON DEFINED"</formula>
    </cfRule>
    <cfRule type="expression" dxfId="13393" priority="4367">
      <formula>$AZ21="N.D."</formula>
    </cfRule>
    <cfRule type="expression" dxfId="13392" priority="4368">
      <formula>$AY21="N.D."</formula>
    </cfRule>
  </conditionalFormatting>
  <conditionalFormatting sqref="O21:O33">
    <cfRule type="expression" dxfId="13391" priority="4355">
      <formula>$A21="Overhead Cable"</formula>
    </cfRule>
    <cfRule type="expression" dxfId="13390" priority="4356">
      <formula>$A21="Level Crossing"</formula>
    </cfRule>
    <cfRule type="expression" dxfId="13389" priority="4357">
      <formula>$A21="Neutral Section"</formula>
    </cfRule>
    <cfRule type="expression" dxfId="13388" priority="4358">
      <formula>$A21="Tunnel"</formula>
    </cfRule>
    <cfRule type="expression" dxfId="13387" priority="4359">
      <formula>$A21="Bridge"</formula>
    </cfRule>
    <cfRule type="expression" dxfId="13386" priority="4360">
      <formula>$A21="Drainage Works"</formula>
    </cfRule>
    <cfRule type="expression" dxfId="13385" priority="4361">
      <formula>$A21="Underpass"</formula>
    </cfRule>
    <cfRule type="expression" dxfId="13384" priority="4362">
      <formula>$A21="Overcrossing"</formula>
    </cfRule>
    <cfRule type="expression" dxfId="13383" priority="4363">
      <formula>$A21="Overpass"</formula>
    </cfRule>
    <cfRule type="expression" dxfId="13382" priority="4364">
      <formula>$A21="Station"</formula>
    </cfRule>
    <cfRule type="expression" dxfId="13381" priority="4365">
      <formula>$A21="Overlap between sections"</formula>
    </cfRule>
  </conditionalFormatting>
  <conditionalFormatting sqref="P21:P33">
    <cfRule type="expression" dxfId="13380" priority="4352">
      <formula>$M21="NON DEFINED"</formula>
    </cfRule>
    <cfRule type="expression" dxfId="13379" priority="4353">
      <formula>$AZ21="N.D."</formula>
    </cfRule>
    <cfRule type="expression" dxfId="13378" priority="4354">
      <formula>$AY21="N.D."</formula>
    </cfRule>
  </conditionalFormatting>
  <conditionalFormatting sqref="P21:P33">
    <cfRule type="expression" dxfId="13377" priority="4341">
      <formula>$A21="Overhead Cable"</formula>
    </cfRule>
    <cfRule type="expression" dxfId="13376" priority="4342">
      <formula>$A21="Level Crossing"</formula>
    </cfRule>
    <cfRule type="expression" dxfId="13375" priority="4343">
      <formula>$A21="Neutral Section"</formula>
    </cfRule>
    <cfRule type="expression" dxfId="13374" priority="4344">
      <formula>$A21="Tunnel"</formula>
    </cfRule>
    <cfRule type="expression" dxfId="13373" priority="4345">
      <formula>$A21="Bridge"</formula>
    </cfRule>
    <cfRule type="expression" dxfId="13372" priority="4346">
      <formula>$A21="Drainage Works"</formula>
    </cfRule>
    <cfRule type="expression" dxfId="13371" priority="4347">
      <formula>$A21="Underpass"</formula>
    </cfRule>
    <cfRule type="expression" dxfId="13370" priority="4348">
      <formula>$A21="Overcrossing"</formula>
    </cfRule>
    <cfRule type="expression" dxfId="13369" priority="4349">
      <formula>$A21="Overpass"</formula>
    </cfRule>
    <cfRule type="expression" dxfId="13368" priority="4350">
      <formula>$A21="Station"</formula>
    </cfRule>
    <cfRule type="expression" dxfId="13367" priority="4351">
      <formula>$A21="Overlap between sections"</formula>
    </cfRule>
  </conditionalFormatting>
  <conditionalFormatting sqref="AC21:AC33">
    <cfRule type="expression" dxfId="13366" priority="4338">
      <formula>$M21="NON DEFINED"</formula>
    </cfRule>
    <cfRule type="expression" dxfId="13365" priority="4339">
      <formula>$AZ21="N.D."</formula>
    </cfRule>
    <cfRule type="expression" dxfId="13364" priority="4340">
      <formula>$AY21="N.D."</formula>
    </cfRule>
  </conditionalFormatting>
  <conditionalFormatting sqref="AC21:AC33">
    <cfRule type="expression" dxfId="13363" priority="4327">
      <formula>$A21="Overhead Cable"</formula>
    </cfRule>
    <cfRule type="expression" dxfId="13362" priority="4328">
      <formula>$A21="Level Crossing"</formula>
    </cfRule>
    <cfRule type="expression" dxfId="13361" priority="4329">
      <formula>$A21="Neutral Section"</formula>
    </cfRule>
    <cfRule type="expression" dxfId="13360" priority="4330">
      <formula>$A21="Tunnel"</formula>
    </cfRule>
    <cfRule type="expression" dxfId="13359" priority="4331">
      <formula>$A21="Bridge"</formula>
    </cfRule>
    <cfRule type="expression" dxfId="13358" priority="4332">
      <formula>$A21="Drainage Works"</formula>
    </cfRule>
    <cfRule type="expression" dxfId="13357" priority="4333">
      <formula>$A21="Underpass"</formula>
    </cfRule>
    <cfRule type="expression" dxfId="13356" priority="4334">
      <formula>$A21="Overcrossing"</formula>
    </cfRule>
    <cfRule type="expression" dxfId="13355" priority="4335">
      <formula>$A21="Overpass"</formula>
    </cfRule>
    <cfRule type="expression" dxfId="13354" priority="4336">
      <formula>$A21="Station"</formula>
    </cfRule>
    <cfRule type="expression" dxfId="13353" priority="4337">
      <formula>$A21="Overlap between sections"</formula>
    </cfRule>
  </conditionalFormatting>
  <conditionalFormatting sqref="AD21:AD33">
    <cfRule type="expression" dxfId="13352" priority="4324">
      <formula>$M21="NON DEFINED"</formula>
    </cfRule>
    <cfRule type="expression" dxfId="13351" priority="4325">
      <formula>$AZ21="N.D."</formula>
    </cfRule>
    <cfRule type="expression" dxfId="13350" priority="4326">
      <formula>$AY21="N.D."</formula>
    </cfRule>
  </conditionalFormatting>
  <conditionalFormatting sqref="AD21:AD33">
    <cfRule type="expression" dxfId="13349" priority="4313">
      <formula>$A21="Overhead Cable"</formula>
    </cfRule>
    <cfRule type="expression" dxfId="13348" priority="4314">
      <formula>$A21="Level Crossing"</formula>
    </cfRule>
    <cfRule type="expression" dxfId="13347" priority="4315">
      <formula>$A21="Neutral Section"</formula>
    </cfRule>
    <cfRule type="expression" dxfId="13346" priority="4316">
      <formula>$A21="Tunnel"</formula>
    </cfRule>
    <cfRule type="expression" dxfId="13345" priority="4317">
      <formula>$A21="Bridge"</formula>
    </cfRule>
    <cfRule type="expression" dxfId="13344" priority="4318">
      <formula>$A21="Drainage Works"</formula>
    </cfRule>
    <cfRule type="expression" dxfId="13343" priority="4319">
      <formula>$A21="Underpass"</formula>
    </cfRule>
    <cfRule type="expression" dxfId="13342" priority="4320">
      <formula>$A21="Overcrossing"</formula>
    </cfRule>
    <cfRule type="expression" dxfId="13341" priority="4321">
      <formula>$A21="Overpass"</formula>
    </cfRule>
    <cfRule type="expression" dxfId="13340" priority="4322">
      <formula>$A21="Station"</formula>
    </cfRule>
    <cfRule type="expression" dxfId="13339" priority="4323">
      <formula>$A21="Overlap between sections"</formula>
    </cfRule>
  </conditionalFormatting>
  <conditionalFormatting sqref="AE21:AE33">
    <cfRule type="expression" dxfId="13338" priority="4310">
      <formula>$M21="NON DEFINED"</formula>
    </cfRule>
    <cfRule type="expression" dxfId="13337" priority="4311">
      <formula>$AZ21="N.D."</formula>
    </cfRule>
    <cfRule type="expression" dxfId="13336" priority="4312">
      <formula>$AY21="N.D."</formula>
    </cfRule>
  </conditionalFormatting>
  <conditionalFormatting sqref="AE21:AE33">
    <cfRule type="expression" dxfId="13335" priority="4299">
      <formula>$A21="Overhead Cable"</formula>
    </cfRule>
    <cfRule type="expression" dxfId="13334" priority="4300">
      <formula>$A21="Level Crossing"</formula>
    </cfRule>
    <cfRule type="expression" dxfId="13333" priority="4301">
      <formula>$A21="Neutral Section"</formula>
    </cfRule>
    <cfRule type="expression" dxfId="13332" priority="4302">
      <formula>$A21="Tunnel"</formula>
    </cfRule>
    <cfRule type="expression" dxfId="13331" priority="4303">
      <formula>$A21="Bridge"</formula>
    </cfRule>
    <cfRule type="expression" dxfId="13330" priority="4304">
      <formula>$A21="Drainage Works"</formula>
    </cfRule>
    <cfRule type="expression" dxfId="13329" priority="4305">
      <formula>$A21="Underpass"</formula>
    </cfRule>
    <cfRule type="expression" dxfId="13328" priority="4306">
      <formula>$A21="Overcrossing"</formula>
    </cfRule>
    <cfRule type="expression" dxfId="13327" priority="4307">
      <formula>$A21="Overpass"</formula>
    </cfRule>
    <cfRule type="expression" dxfId="13326" priority="4308">
      <formula>$A21="Station"</formula>
    </cfRule>
    <cfRule type="expression" dxfId="13325" priority="4309">
      <formula>$A21="Overlap between sections"</formula>
    </cfRule>
  </conditionalFormatting>
  <conditionalFormatting sqref="AJ21:AJ33">
    <cfRule type="expression" dxfId="13324" priority="4296">
      <formula>$M21="NON DEFINED"</formula>
    </cfRule>
    <cfRule type="expression" dxfId="13323" priority="4297">
      <formula>$AZ21="N.D."</formula>
    </cfRule>
    <cfRule type="expression" dxfId="13322" priority="4298">
      <formula>$AY21="N.D."</formula>
    </cfRule>
  </conditionalFormatting>
  <conditionalFormatting sqref="AJ21:AJ33">
    <cfRule type="expression" dxfId="13321" priority="4285">
      <formula>$A21="Overhead Cable"</formula>
    </cfRule>
    <cfRule type="expression" dxfId="13320" priority="4286">
      <formula>$A21="Level Crossing"</formula>
    </cfRule>
    <cfRule type="expression" dxfId="13319" priority="4287">
      <formula>$A21="Neutral Section"</formula>
    </cfRule>
    <cfRule type="expression" dxfId="13318" priority="4288">
      <formula>$A21="Tunnel"</formula>
    </cfRule>
    <cfRule type="expression" dxfId="13317" priority="4289">
      <formula>$A21="Bridge"</formula>
    </cfRule>
    <cfRule type="expression" dxfId="13316" priority="4290">
      <formula>$A21="Drainage Works"</formula>
    </cfRule>
    <cfRule type="expression" dxfId="13315" priority="4291">
      <formula>$A21="Underpass"</formula>
    </cfRule>
    <cfRule type="expression" dxfId="13314" priority="4292">
      <formula>$A21="Overcrossing"</formula>
    </cfRule>
    <cfRule type="expression" dxfId="13313" priority="4293">
      <formula>$A21="Overpass"</formula>
    </cfRule>
    <cfRule type="expression" dxfId="13312" priority="4294">
      <formula>$A21="Station"</formula>
    </cfRule>
    <cfRule type="expression" dxfId="13311" priority="4295">
      <formula>$A21="Overlap between sections"</formula>
    </cfRule>
  </conditionalFormatting>
  <conditionalFormatting sqref="AK21:AK33">
    <cfRule type="expression" dxfId="13310" priority="4282">
      <formula>$M21="NON DEFINED"</formula>
    </cfRule>
    <cfRule type="expression" dxfId="13309" priority="4283">
      <formula>$AZ21="N.D."</formula>
    </cfRule>
    <cfRule type="expression" dxfId="13308" priority="4284">
      <formula>$AY21="N.D."</formula>
    </cfRule>
  </conditionalFormatting>
  <conditionalFormatting sqref="AK21:AK33">
    <cfRule type="expression" dxfId="13307" priority="4271">
      <formula>$A21="Overhead Cable"</formula>
    </cfRule>
    <cfRule type="expression" dxfId="13306" priority="4272">
      <formula>$A21="Level Crossing"</formula>
    </cfRule>
    <cfRule type="expression" dxfId="13305" priority="4273">
      <formula>$A21="Neutral Section"</formula>
    </cfRule>
    <cfRule type="expression" dxfId="13304" priority="4274">
      <formula>$A21="Tunnel"</formula>
    </cfRule>
    <cfRule type="expression" dxfId="13303" priority="4275">
      <formula>$A21="Bridge"</formula>
    </cfRule>
    <cfRule type="expression" dxfId="13302" priority="4276">
      <formula>$A21="Drainage Works"</formula>
    </cfRule>
    <cfRule type="expression" dxfId="13301" priority="4277">
      <formula>$A21="Underpass"</formula>
    </cfRule>
    <cfRule type="expression" dxfId="13300" priority="4278">
      <formula>$A21="Overcrossing"</formula>
    </cfRule>
    <cfRule type="expression" dxfId="13299" priority="4279">
      <formula>$A21="Overpass"</formula>
    </cfRule>
    <cfRule type="expression" dxfId="13298" priority="4280">
      <formula>$A21="Station"</formula>
    </cfRule>
    <cfRule type="expression" dxfId="13297" priority="4281">
      <formula>$A21="Overlap between sections"</formula>
    </cfRule>
  </conditionalFormatting>
  <conditionalFormatting sqref="AL21:AL33">
    <cfRule type="expression" dxfId="13296" priority="4268">
      <formula>$M21="NON DEFINED"</formula>
    </cfRule>
    <cfRule type="expression" dxfId="13295" priority="4269">
      <formula>$AZ21="N.D."</formula>
    </cfRule>
    <cfRule type="expression" dxfId="13294" priority="4270">
      <formula>$AY21="N.D."</formula>
    </cfRule>
  </conditionalFormatting>
  <conditionalFormatting sqref="AL21:AL33">
    <cfRule type="expression" dxfId="13293" priority="4257">
      <formula>$A21="Overhead Cable"</formula>
    </cfRule>
    <cfRule type="expression" dxfId="13292" priority="4258">
      <formula>$A21="Level Crossing"</formula>
    </cfRule>
    <cfRule type="expression" dxfId="13291" priority="4259">
      <formula>$A21="Neutral Section"</formula>
    </cfRule>
    <cfRule type="expression" dxfId="13290" priority="4260">
      <formula>$A21="Tunnel"</formula>
    </cfRule>
    <cfRule type="expression" dxfId="13289" priority="4261">
      <formula>$A21="Bridge"</formula>
    </cfRule>
    <cfRule type="expression" dxfId="13288" priority="4262">
      <formula>$A21="Drainage Works"</formula>
    </cfRule>
    <cfRule type="expression" dxfId="13287" priority="4263">
      <formula>$A21="Underpass"</formula>
    </cfRule>
    <cfRule type="expression" dxfId="13286" priority="4264">
      <formula>$A21="Overcrossing"</formula>
    </cfRule>
    <cfRule type="expression" dxfId="13285" priority="4265">
      <formula>$A21="Overpass"</formula>
    </cfRule>
    <cfRule type="expression" dxfId="13284" priority="4266">
      <formula>$A21="Station"</formula>
    </cfRule>
    <cfRule type="expression" dxfId="13283" priority="4267">
      <formula>$A21="Overlap between sections"</formula>
    </cfRule>
  </conditionalFormatting>
  <conditionalFormatting sqref="AM21 AM23 AM25 AM27 AM29 AM31 AM33">
    <cfRule type="expression" dxfId="13282" priority="4254">
      <formula>$M21="NON DEFINED"</formula>
    </cfRule>
    <cfRule type="expression" dxfId="13281" priority="4255">
      <formula>$AZ21="N.D."</formula>
    </cfRule>
    <cfRule type="expression" dxfId="13280" priority="4256">
      <formula>$AY21="N.D."</formula>
    </cfRule>
  </conditionalFormatting>
  <conditionalFormatting sqref="AM21 AM23 AM25 AM27 AM29 AM31 AM33">
    <cfRule type="expression" dxfId="13279" priority="4243">
      <formula>$A21="Overhead Cable"</formula>
    </cfRule>
    <cfRule type="expression" dxfId="13278" priority="4244">
      <formula>$A21="Level Crossing"</formula>
    </cfRule>
    <cfRule type="expression" dxfId="13277" priority="4245">
      <formula>$A21="Neutral Section"</formula>
    </cfRule>
    <cfRule type="expression" dxfId="13276" priority="4246">
      <formula>$A21="Tunnel"</formula>
    </cfRule>
    <cfRule type="expression" dxfId="13275" priority="4247">
      <formula>$A21="Bridge"</formula>
    </cfRule>
    <cfRule type="expression" dxfId="13274" priority="4248">
      <formula>$A21="Drainage Works"</formula>
    </cfRule>
    <cfRule type="expression" dxfId="13273" priority="4249">
      <formula>$A21="Underpass"</formula>
    </cfRule>
    <cfRule type="expression" dxfId="13272" priority="4250">
      <formula>$A21="Overcrossing"</formula>
    </cfRule>
    <cfRule type="expression" dxfId="13271" priority="4251">
      <formula>$A21="Overpass"</formula>
    </cfRule>
    <cfRule type="expression" dxfId="13270" priority="4252">
      <formula>$A21="Station"</formula>
    </cfRule>
    <cfRule type="expression" dxfId="13269" priority="4253">
      <formula>$A21="Overlap between sections"</formula>
    </cfRule>
  </conditionalFormatting>
  <conditionalFormatting sqref="AT21:AT33">
    <cfRule type="expression" dxfId="13268" priority="4240">
      <formula>$M21="NON DEFINED"</formula>
    </cfRule>
    <cfRule type="expression" dxfId="13267" priority="4241">
      <formula>$AZ21="N.D."</formula>
    </cfRule>
    <cfRule type="expression" dxfId="13266" priority="4242">
      <formula>$AY21="N.D."</formula>
    </cfRule>
  </conditionalFormatting>
  <conditionalFormatting sqref="AT21:AT33">
    <cfRule type="expression" dxfId="13265" priority="4229">
      <formula>$A21="Overhead Cable"</formula>
    </cfRule>
    <cfRule type="expression" dxfId="13264" priority="4230">
      <formula>$A21="Level Crossing"</formula>
    </cfRule>
    <cfRule type="expression" dxfId="13263" priority="4231">
      <formula>$A21="Neutral Section"</formula>
    </cfRule>
    <cfRule type="expression" dxfId="13262" priority="4232">
      <formula>$A21="Tunnel"</formula>
    </cfRule>
    <cfRule type="expression" dxfId="13261" priority="4233">
      <formula>$A21="Bridge"</formula>
    </cfRule>
    <cfRule type="expression" dxfId="13260" priority="4234">
      <formula>$A21="Drainage Works"</formula>
    </cfRule>
    <cfRule type="expression" dxfId="13259" priority="4235">
      <formula>$A21="Underpass"</formula>
    </cfRule>
    <cfRule type="expression" dxfId="13258" priority="4236">
      <formula>$A21="Overcrossing"</formula>
    </cfRule>
    <cfRule type="expression" dxfId="13257" priority="4237">
      <formula>$A21="Overpass"</formula>
    </cfRule>
    <cfRule type="expression" dxfId="13256" priority="4238">
      <formula>$A21="Station"</formula>
    </cfRule>
    <cfRule type="expression" dxfId="13255" priority="4239">
      <formula>$A21="Overlap between sections"</formula>
    </cfRule>
  </conditionalFormatting>
  <conditionalFormatting sqref="AU21:AU33">
    <cfRule type="expression" dxfId="13254" priority="4226">
      <formula>$M21="NON DEFINED"</formula>
    </cfRule>
    <cfRule type="expression" dxfId="13253" priority="4227">
      <formula>$AZ21="N.D."</formula>
    </cfRule>
    <cfRule type="expression" dxfId="13252" priority="4228">
      <formula>$AY21="N.D."</formula>
    </cfRule>
  </conditionalFormatting>
  <conditionalFormatting sqref="AU21:AU33">
    <cfRule type="expression" dxfId="13251" priority="4215">
      <formula>$A21="Overhead Cable"</formula>
    </cfRule>
    <cfRule type="expression" dxfId="13250" priority="4216">
      <formula>$A21="Level Crossing"</formula>
    </cfRule>
    <cfRule type="expression" dxfId="13249" priority="4217">
      <formula>$A21="Neutral Section"</formula>
    </cfRule>
    <cfRule type="expression" dxfId="13248" priority="4218">
      <formula>$A21="Tunnel"</formula>
    </cfRule>
    <cfRule type="expression" dxfId="13247" priority="4219">
      <formula>$A21="Bridge"</formula>
    </cfRule>
    <cfRule type="expression" dxfId="13246" priority="4220">
      <formula>$A21="Drainage Works"</formula>
    </cfRule>
    <cfRule type="expression" dxfId="13245" priority="4221">
      <formula>$A21="Underpass"</formula>
    </cfRule>
    <cfRule type="expression" dxfId="13244" priority="4222">
      <formula>$A21="Overcrossing"</formula>
    </cfRule>
    <cfRule type="expression" dxfId="13243" priority="4223">
      <formula>$A21="Overpass"</formula>
    </cfRule>
    <cfRule type="expression" dxfId="13242" priority="4224">
      <formula>$A21="Station"</formula>
    </cfRule>
    <cfRule type="expression" dxfId="13241" priority="4225">
      <formula>$A21="Overlap between sections"</formula>
    </cfRule>
  </conditionalFormatting>
  <conditionalFormatting sqref="AV21:AV33">
    <cfRule type="expression" dxfId="13240" priority="4212">
      <formula>$M21="NON DEFINED"</formula>
    </cfRule>
    <cfRule type="expression" dxfId="13239" priority="4213">
      <formula>$AZ21="N.D."</formula>
    </cfRule>
    <cfRule type="expression" dxfId="13238" priority="4214">
      <formula>$AY21="N.D."</formula>
    </cfRule>
  </conditionalFormatting>
  <conditionalFormatting sqref="AV21:AV33">
    <cfRule type="expression" dxfId="13237" priority="4201">
      <formula>$A21="Overhead Cable"</formula>
    </cfRule>
    <cfRule type="expression" dxfId="13236" priority="4202">
      <formula>$A21="Level Crossing"</formula>
    </cfRule>
    <cfRule type="expression" dxfId="13235" priority="4203">
      <formula>$A21="Neutral Section"</formula>
    </cfRule>
    <cfRule type="expression" dxfId="13234" priority="4204">
      <formula>$A21="Tunnel"</formula>
    </cfRule>
    <cfRule type="expression" dxfId="13233" priority="4205">
      <formula>$A21="Bridge"</formula>
    </cfRule>
    <cfRule type="expression" dxfId="13232" priority="4206">
      <formula>$A21="Drainage Works"</formula>
    </cfRule>
    <cfRule type="expression" dxfId="13231" priority="4207">
      <formula>$A21="Underpass"</formula>
    </cfRule>
    <cfRule type="expression" dxfId="13230" priority="4208">
      <formula>$A21="Overcrossing"</formula>
    </cfRule>
    <cfRule type="expression" dxfId="13229" priority="4209">
      <formula>$A21="Overpass"</formula>
    </cfRule>
    <cfRule type="expression" dxfId="13228" priority="4210">
      <formula>$A21="Station"</formula>
    </cfRule>
    <cfRule type="expression" dxfId="13227" priority="4211">
      <formula>$A21="Overlap between sections"</formula>
    </cfRule>
  </conditionalFormatting>
  <conditionalFormatting sqref="AW21 AW23 AW27 AW29 AW31 AW33">
    <cfRule type="expression" dxfId="13226" priority="4198">
      <formula>$M21="NON DEFINED"</formula>
    </cfRule>
    <cfRule type="expression" dxfId="13225" priority="4199">
      <formula>$AZ21="N.D."</formula>
    </cfRule>
    <cfRule type="expression" dxfId="13224" priority="4200">
      <formula>$AY21="N.D."</formula>
    </cfRule>
  </conditionalFormatting>
  <conditionalFormatting sqref="AW21 AW23 AW27 AW29 AW31 AW33">
    <cfRule type="expression" dxfId="13223" priority="4187">
      <formula>$A21="Overhead Cable"</formula>
    </cfRule>
    <cfRule type="expression" dxfId="13222" priority="4188">
      <formula>$A21="Level Crossing"</formula>
    </cfRule>
    <cfRule type="expression" dxfId="13221" priority="4189">
      <formula>$A21="Neutral Section"</formula>
    </cfRule>
    <cfRule type="expression" dxfId="13220" priority="4190">
      <formula>$A21="Tunnel"</formula>
    </cfRule>
    <cfRule type="expression" dxfId="13219" priority="4191">
      <formula>$A21="Bridge"</formula>
    </cfRule>
    <cfRule type="expression" dxfId="13218" priority="4192">
      <formula>$A21="Drainage Works"</formula>
    </cfRule>
    <cfRule type="expression" dxfId="13217" priority="4193">
      <formula>$A21="Underpass"</formula>
    </cfRule>
    <cfRule type="expression" dxfId="13216" priority="4194">
      <formula>$A21="Overcrossing"</formula>
    </cfRule>
    <cfRule type="expression" dxfId="13215" priority="4195">
      <formula>$A21="Overpass"</formula>
    </cfRule>
    <cfRule type="expression" dxfId="13214" priority="4196">
      <formula>$A21="Station"</formula>
    </cfRule>
    <cfRule type="expression" dxfId="13213" priority="4197">
      <formula>$A21="Overlap between sections"</formula>
    </cfRule>
  </conditionalFormatting>
  <conditionalFormatting sqref="AX21 AX23 AX27 AX29 AX31 AX33">
    <cfRule type="expression" dxfId="13212" priority="4184">
      <formula>$M21="NON DEFINED"</formula>
    </cfRule>
    <cfRule type="expression" dxfId="13211" priority="4185">
      <formula>$AZ21="N.D."</formula>
    </cfRule>
    <cfRule type="expression" dxfId="13210" priority="4186">
      <formula>$AY21="N.D."</formula>
    </cfRule>
  </conditionalFormatting>
  <conditionalFormatting sqref="AX21 AX23 AX27 AX29 AX31 AX33">
    <cfRule type="expression" dxfId="13209" priority="4173">
      <formula>$A21="Overhead Cable"</formula>
    </cfRule>
    <cfRule type="expression" dxfId="13208" priority="4174">
      <formula>$A21="Level Crossing"</formula>
    </cfRule>
    <cfRule type="expression" dxfId="13207" priority="4175">
      <formula>$A21="Neutral Section"</formula>
    </cfRule>
    <cfRule type="expression" dxfId="13206" priority="4176">
      <formula>$A21="Tunnel"</formula>
    </cfRule>
    <cfRule type="expression" dxfId="13205" priority="4177">
      <formula>$A21="Bridge"</formula>
    </cfRule>
    <cfRule type="expression" dxfId="13204" priority="4178">
      <formula>$A21="Drainage Works"</formula>
    </cfRule>
    <cfRule type="expression" dxfId="13203" priority="4179">
      <formula>$A21="Underpass"</formula>
    </cfRule>
    <cfRule type="expression" dxfId="13202" priority="4180">
      <formula>$A21="Overcrossing"</formula>
    </cfRule>
    <cfRule type="expression" dxfId="13201" priority="4181">
      <formula>$A21="Overpass"</formula>
    </cfRule>
    <cfRule type="expression" dxfId="13200" priority="4182">
      <formula>$A21="Station"</formula>
    </cfRule>
    <cfRule type="expression" dxfId="13199" priority="4183">
      <formula>$A21="Overlap between sections"</formula>
    </cfRule>
  </conditionalFormatting>
  <conditionalFormatting sqref="F21:F33">
    <cfRule type="expression" dxfId="13198" priority="4170">
      <formula>$M21="NON DEFINED"</formula>
    </cfRule>
    <cfRule type="expression" dxfId="13197" priority="4171">
      <formula>$AZ21="N.D."</formula>
    </cfRule>
    <cfRule type="expression" dxfId="13196" priority="4172">
      <formula>$AY21="N.D."</formula>
    </cfRule>
  </conditionalFormatting>
  <conditionalFormatting sqref="F21:F33">
    <cfRule type="expression" dxfId="13195" priority="4159">
      <formula>$A21="Overhead Cable"</formula>
    </cfRule>
    <cfRule type="expression" dxfId="13194" priority="4160">
      <formula>$A21="Level Crossing"</formula>
    </cfRule>
    <cfRule type="expression" dxfId="13193" priority="4161">
      <formula>$A21="Neutral Section"</formula>
    </cfRule>
    <cfRule type="expression" dxfId="13192" priority="4162">
      <formula>$A21="Tunnel"</formula>
    </cfRule>
    <cfRule type="expression" dxfId="13191" priority="4163">
      <formula>$A21="Bridge"</formula>
    </cfRule>
    <cfRule type="expression" dxfId="13190" priority="4164">
      <formula>$A21="Drainage Works"</formula>
    </cfRule>
    <cfRule type="expression" dxfId="13189" priority="4165">
      <formula>$A21="Underpass"</formula>
    </cfRule>
    <cfRule type="expression" dxfId="13188" priority="4166">
      <formula>$A21="Overcrossing"</formula>
    </cfRule>
    <cfRule type="expression" dxfId="13187" priority="4167">
      <formula>$A21="Overpass"</formula>
    </cfRule>
    <cfRule type="expression" dxfId="13186" priority="4168">
      <formula>$A21="Station"</formula>
    </cfRule>
    <cfRule type="expression" dxfId="13185" priority="4169">
      <formula>$A21="Overlap between sections"</formula>
    </cfRule>
  </conditionalFormatting>
  <conditionalFormatting sqref="Q21:Q33">
    <cfRule type="expression" dxfId="13184" priority="4156">
      <formula>$M21="NON DEFINED"</formula>
    </cfRule>
    <cfRule type="expression" dxfId="13183" priority="4157">
      <formula>$AZ21="N.D."</formula>
    </cfRule>
    <cfRule type="expression" dxfId="13182" priority="4158">
      <formula>$AY21="N.D."</formula>
    </cfRule>
  </conditionalFormatting>
  <conditionalFormatting sqref="Q21:Q33">
    <cfRule type="expression" dxfId="13181" priority="4145">
      <formula>$A21="Overhead Cable"</formula>
    </cfRule>
    <cfRule type="expression" dxfId="13180" priority="4146">
      <formula>$A21="Level Crossing"</formula>
    </cfRule>
    <cfRule type="expression" dxfId="13179" priority="4147">
      <formula>$A21="Neutral Section"</formula>
    </cfRule>
    <cfRule type="expression" dxfId="13178" priority="4148">
      <formula>$A21="Tunnel"</formula>
    </cfRule>
    <cfRule type="expression" dxfId="13177" priority="4149">
      <formula>$A21="Bridge"</formula>
    </cfRule>
    <cfRule type="expression" dxfId="13176" priority="4150">
      <formula>$A21="Drainage Works"</formula>
    </cfRule>
    <cfRule type="expression" dxfId="13175" priority="4151">
      <formula>$A21="Underpass"</formula>
    </cfRule>
    <cfRule type="expression" dxfId="13174" priority="4152">
      <formula>$A21="Overcrossing"</formula>
    </cfRule>
    <cfRule type="expression" dxfId="13173" priority="4153">
      <formula>$A21="Overpass"</formula>
    </cfRule>
    <cfRule type="expression" dxfId="13172" priority="4154">
      <formula>$A21="Station"</formula>
    </cfRule>
    <cfRule type="expression" dxfId="13171" priority="4155">
      <formula>$A21="Overlap between sections"</formula>
    </cfRule>
  </conditionalFormatting>
  <conditionalFormatting sqref="T21:T33">
    <cfRule type="expression" dxfId="13170" priority="4142">
      <formula>$M21="NON DEFINED"</formula>
    </cfRule>
    <cfRule type="expression" dxfId="13169" priority="4143">
      <formula>$AZ21="N.D."</formula>
    </cfRule>
    <cfRule type="expression" dxfId="13168" priority="4144">
      <formula>$AY21="N.D."</formula>
    </cfRule>
  </conditionalFormatting>
  <conditionalFormatting sqref="T21:T33">
    <cfRule type="expression" dxfId="13167" priority="4131">
      <formula>$A21="Overhead Cable"</formula>
    </cfRule>
    <cfRule type="expression" dxfId="13166" priority="4132">
      <formula>$A21="Level Crossing"</formula>
    </cfRule>
    <cfRule type="expression" dxfId="13165" priority="4133">
      <formula>$A21="Neutral Section"</formula>
    </cfRule>
    <cfRule type="expression" dxfId="13164" priority="4134">
      <formula>$A21="Tunnel"</formula>
    </cfRule>
    <cfRule type="expression" dxfId="13163" priority="4135">
      <formula>$A21="Bridge"</formula>
    </cfRule>
    <cfRule type="expression" dxfId="13162" priority="4136">
      <formula>$A21="Drainage Works"</formula>
    </cfRule>
    <cfRule type="expression" dxfId="13161" priority="4137">
      <formula>$A21="Underpass"</formula>
    </cfRule>
    <cfRule type="expression" dxfId="13160" priority="4138">
      <formula>$A21="Overcrossing"</formula>
    </cfRule>
    <cfRule type="expression" dxfId="13159" priority="4139">
      <formula>$A21="Overpass"</formula>
    </cfRule>
    <cfRule type="expression" dxfId="13158" priority="4140">
      <formula>$A21="Station"</formula>
    </cfRule>
    <cfRule type="expression" dxfId="13157" priority="4141">
      <formula>$A21="Overlap between sections"</formula>
    </cfRule>
  </conditionalFormatting>
  <conditionalFormatting sqref="U21:U33">
    <cfRule type="expression" dxfId="13156" priority="4128">
      <formula>$M21="NON DEFINED"</formula>
    </cfRule>
    <cfRule type="expression" dxfId="13155" priority="4129">
      <formula>$AZ21="N.D."</formula>
    </cfRule>
    <cfRule type="expression" dxfId="13154" priority="4130">
      <formula>$AY21="N.D."</formula>
    </cfRule>
  </conditionalFormatting>
  <conditionalFormatting sqref="U21:U33">
    <cfRule type="expression" dxfId="13153" priority="4117">
      <formula>$A21="Overhead Cable"</formula>
    </cfRule>
    <cfRule type="expression" dxfId="13152" priority="4118">
      <formula>$A21="Level Crossing"</formula>
    </cfRule>
    <cfRule type="expression" dxfId="13151" priority="4119">
      <formula>$A21="Neutral Section"</formula>
    </cfRule>
    <cfRule type="expression" dxfId="13150" priority="4120">
      <formula>$A21="Tunnel"</formula>
    </cfRule>
    <cfRule type="expression" dxfId="13149" priority="4121">
      <formula>$A21="Bridge"</formula>
    </cfRule>
    <cfRule type="expression" dxfId="13148" priority="4122">
      <formula>$A21="Drainage Works"</formula>
    </cfRule>
    <cfRule type="expression" dxfId="13147" priority="4123">
      <formula>$A21="Underpass"</formula>
    </cfRule>
    <cfRule type="expression" dxfId="13146" priority="4124">
      <formula>$A21="Overcrossing"</formula>
    </cfRule>
    <cfRule type="expression" dxfId="13145" priority="4125">
      <formula>$A21="Overpass"</formula>
    </cfRule>
    <cfRule type="expression" dxfId="13144" priority="4126">
      <formula>$A21="Station"</formula>
    </cfRule>
    <cfRule type="expression" dxfId="13143" priority="4127">
      <formula>$A21="Overlap between sections"</formula>
    </cfRule>
  </conditionalFormatting>
  <conditionalFormatting sqref="V21:V33">
    <cfRule type="expression" dxfId="13142" priority="4114">
      <formula>$M21="NON DEFINED"</formula>
    </cfRule>
    <cfRule type="expression" dxfId="13141" priority="4115">
      <formula>$AZ21="N.D."</formula>
    </cfRule>
    <cfRule type="expression" dxfId="13140" priority="4116">
      <formula>$AY21="N.D."</formula>
    </cfRule>
  </conditionalFormatting>
  <conditionalFormatting sqref="V21:V33">
    <cfRule type="expression" dxfId="13139" priority="4103">
      <formula>$A21="Overhead Cable"</formula>
    </cfRule>
    <cfRule type="expression" dxfId="13138" priority="4104">
      <formula>$A21="Level Crossing"</formula>
    </cfRule>
    <cfRule type="expression" dxfId="13137" priority="4105">
      <formula>$A21="Neutral Section"</formula>
    </cfRule>
    <cfRule type="expression" dxfId="13136" priority="4106">
      <formula>$A21="Tunnel"</formula>
    </cfRule>
    <cfRule type="expression" dxfId="13135" priority="4107">
      <formula>$A21="Bridge"</formula>
    </cfRule>
    <cfRule type="expression" dxfId="13134" priority="4108">
      <formula>$A21="Drainage Works"</formula>
    </cfRule>
    <cfRule type="expression" dxfId="13133" priority="4109">
      <formula>$A21="Underpass"</formula>
    </cfRule>
    <cfRule type="expression" dxfId="13132" priority="4110">
      <formula>$A21="Overcrossing"</formula>
    </cfRule>
    <cfRule type="expression" dxfId="13131" priority="4111">
      <formula>$A21="Overpass"</formula>
    </cfRule>
    <cfRule type="expression" dxfId="13130" priority="4112">
      <formula>$A21="Station"</formula>
    </cfRule>
    <cfRule type="expression" dxfId="13129" priority="4113">
      <formula>$A21="Overlap between sections"</formula>
    </cfRule>
  </conditionalFormatting>
  <conditionalFormatting sqref="AF21:AF33">
    <cfRule type="expression" dxfId="13128" priority="4100">
      <formula>$M21="NON DEFINED"</formula>
    </cfRule>
    <cfRule type="expression" dxfId="13127" priority="4101">
      <formula>$AZ21="N.D."</formula>
    </cfRule>
    <cfRule type="expression" dxfId="13126" priority="4102">
      <formula>$AY21="N.D."</formula>
    </cfRule>
  </conditionalFormatting>
  <conditionalFormatting sqref="AF21:AF33">
    <cfRule type="expression" dxfId="13125" priority="4089">
      <formula>$A21="Overhead Cable"</formula>
    </cfRule>
    <cfRule type="expression" dxfId="13124" priority="4090">
      <formula>$A21="Level Crossing"</formula>
    </cfRule>
    <cfRule type="expression" dxfId="13123" priority="4091">
      <formula>$A21="Neutral Section"</formula>
    </cfRule>
    <cfRule type="expression" dxfId="13122" priority="4092">
      <formula>$A21="Tunnel"</formula>
    </cfRule>
    <cfRule type="expression" dxfId="13121" priority="4093">
      <formula>$A21="Bridge"</formula>
    </cfRule>
    <cfRule type="expression" dxfId="13120" priority="4094">
      <formula>$A21="Drainage Works"</formula>
    </cfRule>
    <cfRule type="expression" dxfId="13119" priority="4095">
      <formula>$A21="Underpass"</formula>
    </cfRule>
    <cfRule type="expression" dxfId="13118" priority="4096">
      <formula>$A21="Overcrossing"</formula>
    </cfRule>
    <cfRule type="expression" dxfId="13117" priority="4097">
      <formula>$A21="Overpass"</formula>
    </cfRule>
    <cfRule type="expression" dxfId="13116" priority="4098">
      <formula>$A21="Station"</formula>
    </cfRule>
    <cfRule type="expression" dxfId="13115" priority="4099">
      <formula>$A21="Overlap between sections"</formula>
    </cfRule>
  </conditionalFormatting>
  <conditionalFormatting sqref="AH21:AH33">
    <cfRule type="expression" dxfId="13114" priority="4086">
      <formula>$M21="NON DEFINED"</formula>
    </cfRule>
    <cfRule type="expression" dxfId="13113" priority="4087">
      <formula>$AZ21="N.D."</formula>
    </cfRule>
    <cfRule type="expression" dxfId="13112" priority="4088">
      <formula>$AY21="N.D."</formula>
    </cfRule>
  </conditionalFormatting>
  <conditionalFormatting sqref="AH21:AH33">
    <cfRule type="expression" dxfId="13111" priority="4075">
      <formula>$A21="Overhead Cable"</formula>
    </cfRule>
    <cfRule type="expression" dxfId="13110" priority="4076">
      <formula>$A21="Level Crossing"</formula>
    </cfRule>
    <cfRule type="expression" dxfId="13109" priority="4077">
      <formula>$A21="Neutral Section"</formula>
    </cfRule>
    <cfRule type="expression" dxfId="13108" priority="4078">
      <formula>$A21="Tunnel"</formula>
    </cfRule>
    <cfRule type="expression" dxfId="13107" priority="4079">
      <formula>$A21="Bridge"</formula>
    </cfRule>
    <cfRule type="expression" dxfId="13106" priority="4080">
      <formula>$A21="Drainage Works"</formula>
    </cfRule>
    <cfRule type="expression" dxfId="13105" priority="4081">
      <formula>$A21="Underpass"</formula>
    </cfRule>
    <cfRule type="expression" dxfId="13104" priority="4082">
      <formula>$A21="Overcrossing"</formula>
    </cfRule>
    <cfRule type="expression" dxfId="13103" priority="4083">
      <formula>$A21="Overpass"</formula>
    </cfRule>
    <cfRule type="expression" dxfId="13102" priority="4084">
      <formula>$A21="Station"</formula>
    </cfRule>
    <cfRule type="expression" dxfId="13101" priority="4085">
      <formula>$A21="Overlap between sections"</formula>
    </cfRule>
  </conditionalFormatting>
  <conditionalFormatting sqref="AI21:AI33">
    <cfRule type="expression" dxfId="13100" priority="4072">
      <formula>$M21="NON DEFINED"</formula>
    </cfRule>
    <cfRule type="expression" dxfId="13099" priority="4073">
      <formula>$AZ21="N.D."</formula>
    </cfRule>
    <cfRule type="expression" dxfId="13098" priority="4074">
      <formula>$AY21="N.D."</formula>
    </cfRule>
  </conditionalFormatting>
  <conditionalFormatting sqref="AI21:AI33">
    <cfRule type="expression" dxfId="13097" priority="4061">
      <formula>$A21="Overhead Cable"</formula>
    </cfRule>
    <cfRule type="expression" dxfId="13096" priority="4062">
      <formula>$A21="Level Crossing"</formula>
    </cfRule>
    <cfRule type="expression" dxfId="13095" priority="4063">
      <formula>$A21="Neutral Section"</formula>
    </cfRule>
    <cfRule type="expression" dxfId="13094" priority="4064">
      <formula>$A21="Tunnel"</formula>
    </cfRule>
    <cfRule type="expression" dxfId="13093" priority="4065">
      <formula>$A21="Bridge"</formula>
    </cfRule>
    <cfRule type="expression" dxfId="13092" priority="4066">
      <formula>$A21="Drainage Works"</formula>
    </cfRule>
    <cfRule type="expression" dxfId="13091" priority="4067">
      <formula>$A21="Underpass"</formula>
    </cfRule>
    <cfRule type="expression" dxfId="13090" priority="4068">
      <formula>$A21="Overcrossing"</formula>
    </cfRule>
    <cfRule type="expression" dxfId="13089" priority="4069">
      <formula>$A21="Overpass"</formula>
    </cfRule>
    <cfRule type="expression" dxfId="13088" priority="4070">
      <formula>$A21="Station"</formula>
    </cfRule>
    <cfRule type="expression" dxfId="13087" priority="4071">
      <formula>$A21="Overlap between sections"</formula>
    </cfRule>
  </conditionalFormatting>
  <conditionalFormatting sqref="R21:R33">
    <cfRule type="expression" dxfId="13086" priority="4058">
      <formula>$M21="NON DEFINED"</formula>
    </cfRule>
    <cfRule type="expression" dxfId="13085" priority="4059">
      <formula>$AZ21="N.D."</formula>
    </cfRule>
    <cfRule type="expression" dxfId="13084" priority="4060">
      <formula>$AY21="N.D."</formula>
    </cfRule>
  </conditionalFormatting>
  <conditionalFormatting sqref="R21:R33">
    <cfRule type="expression" dxfId="13083" priority="4047">
      <formula>$A21="Overhead Cable"</formula>
    </cfRule>
    <cfRule type="expression" dxfId="13082" priority="4048">
      <formula>$A21="Level Crossing"</formula>
    </cfRule>
    <cfRule type="expression" dxfId="13081" priority="4049">
      <formula>$A21="Neutral Section"</formula>
    </cfRule>
    <cfRule type="expression" dxfId="13080" priority="4050">
      <formula>$A21="Tunnel"</formula>
    </cfRule>
    <cfRule type="expression" dxfId="13079" priority="4051">
      <formula>$A21="Bridge"</formula>
    </cfRule>
    <cfRule type="expression" dxfId="13078" priority="4052">
      <formula>$A21="Drainage Works"</formula>
    </cfRule>
    <cfRule type="expression" dxfId="13077" priority="4053">
      <formula>$A21="Underpass"</formula>
    </cfRule>
    <cfRule type="expression" dxfId="13076" priority="4054">
      <formula>$A21="Overcrossing"</formula>
    </cfRule>
    <cfRule type="expression" dxfId="13075" priority="4055">
      <formula>$A21="Overpass"</formula>
    </cfRule>
    <cfRule type="expression" dxfId="13074" priority="4056">
      <formula>$A21="Station"</formula>
    </cfRule>
    <cfRule type="expression" dxfId="13073" priority="4057">
      <formula>$A21="Overlap between sections"</formula>
    </cfRule>
  </conditionalFormatting>
  <conditionalFormatting sqref="S21:S33">
    <cfRule type="expression" dxfId="13072" priority="4044">
      <formula>$M21="NON DEFINED"</formula>
    </cfRule>
    <cfRule type="expression" dxfId="13071" priority="4045">
      <formula>$AZ21="N.D."</formula>
    </cfRule>
    <cfRule type="expression" dxfId="13070" priority="4046">
      <formula>$AY21="N.D."</formula>
    </cfRule>
  </conditionalFormatting>
  <conditionalFormatting sqref="S21:S33">
    <cfRule type="expression" dxfId="13069" priority="4033">
      <formula>$A21="Overhead Cable"</formula>
    </cfRule>
    <cfRule type="expression" dxfId="13068" priority="4034">
      <formula>$A21="Level Crossing"</formula>
    </cfRule>
    <cfRule type="expression" dxfId="13067" priority="4035">
      <formula>$A21="Neutral Section"</formula>
    </cfRule>
    <cfRule type="expression" dxfId="13066" priority="4036">
      <formula>$A21="Tunnel"</formula>
    </cfRule>
    <cfRule type="expression" dxfId="13065" priority="4037">
      <formula>$A21="Bridge"</formula>
    </cfRule>
    <cfRule type="expression" dxfId="13064" priority="4038">
      <formula>$A21="Drainage Works"</formula>
    </cfRule>
    <cfRule type="expression" dxfId="13063" priority="4039">
      <formula>$A21="Underpass"</formula>
    </cfRule>
    <cfRule type="expression" dxfId="13062" priority="4040">
      <formula>$A21="Overcrossing"</formula>
    </cfRule>
    <cfRule type="expression" dxfId="13061" priority="4041">
      <formula>$A21="Overpass"</formula>
    </cfRule>
    <cfRule type="expression" dxfId="13060" priority="4042">
      <formula>$A21="Station"</formula>
    </cfRule>
    <cfRule type="expression" dxfId="13059" priority="4043">
      <formula>$A21="Overlap between sections"</formula>
    </cfRule>
  </conditionalFormatting>
  <conditionalFormatting sqref="W21:W33">
    <cfRule type="expression" dxfId="13058" priority="4030">
      <formula>$M21="NON DEFINED"</formula>
    </cfRule>
    <cfRule type="expression" dxfId="13057" priority="4031">
      <formula>$AZ21="N.D."</formula>
    </cfRule>
    <cfRule type="expression" dxfId="13056" priority="4032">
      <formula>$AY21="N.D."</formula>
    </cfRule>
  </conditionalFormatting>
  <conditionalFormatting sqref="W21:W33">
    <cfRule type="expression" dxfId="13055" priority="4019">
      <formula>$A21="Overhead Cable"</formula>
    </cfRule>
    <cfRule type="expression" dxfId="13054" priority="4020">
      <formula>$A21="Level Crossing"</formula>
    </cfRule>
    <cfRule type="expression" dxfId="13053" priority="4021">
      <formula>$A21="Neutral Section"</formula>
    </cfRule>
    <cfRule type="expression" dxfId="13052" priority="4022">
      <formula>$A21="Tunnel"</formula>
    </cfRule>
    <cfRule type="expression" dxfId="13051" priority="4023">
      <formula>$A21="Bridge"</formula>
    </cfRule>
    <cfRule type="expression" dxfId="13050" priority="4024">
      <formula>$A21="Drainage Works"</formula>
    </cfRule>
    <cfRule type="expression" dxfId="13049" priority="4025">
      <formula>$A21="Underpass"</formula>
    </cfRule>
    <cfRule type="expression" dxfId="13048" priority="4026">
      <formula>$A21="Overcrossing"</formula>
    </cfRule>
    <cfRule type="expression" dxfId="13047" priority="4027">
      <formula>$A21="Overpass"</formula>
    </cfRule>
    <cfRule type="expression" dxfId="13046" priority="4028">
      <formula>$A21="Station"</formula>
    </cfRule>
    <cfRule type="expression" dxfId="13045" priority="4029">
      <formula>$A21="Overlap between sections"</formula>
    </cfRule>
  </conditionalFormatting>
  <conditionalFormatting sqref="X21:X33">
    <cfRule type="expression" dxfId="13044" priority="4016">
      <formula>$M21="NON DEFINED"</formula>
    </cfRule>
    <cfRule type="expression" dxfId="13043" priority="4017">
      <formula>$AZ21="N.D."</formula>
    </cfRule>
    <cfRule type="expression" dxfId="13042" priority="4018">
      <formula>$AY21="N.D."</formula>
    </cfRule>
  </conditionalFormatting>
  <conditionalFormatting sqref="X21:X33">
    <cfRule type="expression" dxfId="13041" priority="4005">
      <formula>$A21="Overhead Cable"</formula>
    </cfRule>
    <cfRule type="expression" dxfId="13040" priority="4006">
      <formula>$A21="Level Crossing"</formula>
    </cfRule>
    <cfRule type="expression" dxfId="13039" priority="4007">
      <formula>$A21="Neutral Section"</formula>
    </cfRule>
    <cfRule type="expression" dxfId="13038" priority="4008">
      <formula>$A21="Tunnel"</formula>
    </cfRule>
    <cfRule type="expression" dxfId="13037" priority="4009">
      <formula>$A21="Bridge"</formula>
    </cfRule>
    <cfRule type="expression" dxfId="13036" priority="4010">
      <formula>$A21="Drainage Works"</formula>
    </cfRule>
    <cfRule type="expression" dxfId="13035" priority="4011">
      <formula>$A21="Underpass"</formula>
    </cfRule>
    <cfRule type="expression" dxfId="13034" priority="4012">
      <formula>$A21="Overcrossing"</formula>
    </cfRule>
    <cfRule type="expression" dxfId="13033" priority="4013">
      <formula>$A21="Overpass"</formula>
    </cfRule>
    <cfRule type="expression" dxfId="13032" priority="4014">
      <formula>$A21="Station"</formula>
    </cfRule>
    <cfRule type="expression" dxfId="13031" priority="4015">
      <formula>$A21="Overlap between sections"</formula>
    </cfRule>
  </conditionalFormatting>
  <conditionalFormatting sqref="Y21:Y33">
    <cfRule type="expression" dxfId="13030" priority="4002">
      <formula>$M21="NON DEFINED"</formula>
    </cfRule>
    <cfRule type="expression" dxfId="13029" priority="4003">
      <formula>$AZ21="N.D."</formula>
    </cfRule>
    <cfRule type="expression" dxfId="13028" priority="4004">
      <formula>$AY21="N.D."</formula>
    </cfRule>
  </conditionalFormatting>
  <conditionalFormatting sqref="Y21:Y33">
    <cfRule type="expression" dxfId="13027" priority="3991">
      <formula>$A21="Overhead Cable"</formula>
    </cfRule>
    <cfRule type="expression" dxfId="13026" priority="3992">
      <formula>$A21="Level Crossing"</formula>
    </cfRule>
    <cfRule type="expression" dxfId="13025" priority="3993">
      <formula>$A21="Neutral Section"</formula>
    </cfRule>
    <cfRule type="expression" dxfId="13024" priority="3994">
      <formula>$A21="Tunnel"</formula>
    </cfRule>
    <cfRule type="expression" dxfId="13023" priority="3995">
      <formula>$A21="Bridge"</formula>
    </cfRule>
    <cfRule type="expression" dxfId="13022" priority="3996">
      <formula>$A21="Drainage Works"</formula>
    </cfRule>
    <cfRule type="expression" dxfId="13021" priority="3997">
      <formula>$A21="Underpass"</formula>
    </cfRule>
    <cfRule type="expression" dxfId="13020" priority="3998">
      <formula>$A21="Overcrossing"</formula>
    </cfRule>
    <cfRule type="expression" dxfId="13019" priority="3999">
      <formula>$A21="Overpass"</formula>
    </cfRule>
    <cfRule type="expression" dxfId="13018" priority="4000">
      <formula>$A21="Station"</formula>
    </cfRule>
    <cfRule type="expression" dxfId="13017" priority="4001">
      <formula>$A21="Overlap between sections"</formula>
    </cfRule>
  </conditionalFormatting>
  <conditionalFormatting sqref="Z21:Z33">
    <cfRule type="expression" dxfId="13016" priority="3988">
      <formula>$M21="NON DEFINED"</formula>
    </cfRule>
    <cfRule type="expression" dxfId="13015" priority="3989">
      <formula>$AZ21="N.D."</formula>
    </cfRule>
    <cfRule type="expression" dxfId="13014" priority="3990">
      <formula>$AY21="N.D."</formula>
    </cfRule>
  </conditionalFormatting>
  <conditionalFormatting sqref="Z21:Z33">
    <cfRule type="expression" dxfId="13013" priority="3977">
      <formula>$A21="Overhead Cable"</formula>
    </cfRule>
    <cfRule type="expression" dxfId="13012" priority="3978">
      <formula>$A21="Level Crossing"</formula>
    </cfRule>
    <cfRule type="expression" dxfId="13011" priority="3979">
      <formula>$A21="Neutral Section"</formula>
    </cfRule>
    <cfRule type="expression" dxfId="13010" priority="3980">
      <formula>$A21="Tunnel"</formula>
    </cfRule>
    <cfRule type="expression" dxfId="13009" priority="3981">
      <formula>$A21="Bridge"</formula>
    </cfRule>
    <cfRule type="expression" dxfId="13008" priority="3982">
      <formula>$A21="Drainage Works"</formula>
    </cfRule>
    <cfRule type="expression" dxfId="13007" priority="3983">
      <formula>$A21="Underpass"</formula>
    </cfRule>
    <cfRule type="expression" dxfId="13006" priority="3984">
      <formula>$A21="Overcrossing"</formula>
    </cfRule>
    <cfRule type="expression" dxfId="13005" priority="3985">
      <formula>$A21="Overpass"</formula>
    </cfRule>
    <cfRule type="expression" dxfId="13004" priority="3986">
      <formula>$A21="Station"</formula>
    </cfRule>
    <cfRule type="expression" dxfId="13003" priority="3987">
      <formula>$A21="Overlap between sections"</formula>
    </cfRule>
  </conditionalFormatting>
  <conditionalFormatting sqref="AA21:AA33">
    <cfRule type="expression" dxfId="13002" priority="3974">
      <formula>$M21="NON DEFINED"</formula>
    </cfRule>
    <cfRule type="expression" dxfId="13001" priority="3975">
      <formula>$AZ21="N.D."</formula>
    </cfRule>
    <cfRule type="expression" dxfId="13000" priority="3976">
      <formula>$AY21="N.D."</formula>
    </cfRule>
  </conditionalFormatting>
  <conditionalFormatting sqref="AA21:AA33">
    <cfRule type="expression" dxfId="12999" priority="3963">
      <formula>$A21="Overhead Cable"</formula>
    </cfRule>
    <cfRule type="expression" dxfId="12998" priority="3964">
      <formula>$A21="Level Crossing"</formula>
    </cfRule>
    <cfRule type="expression" dxfId="12997" priority="3965">
      <formula>$A21="Neutral Section"</formula>
    </cfRule>
    <cfRule type="expression" dxfId="12996" priority="3966">
      <formula>$A21="Tunnel"</formula>
    </cfRule>
    <cfRule type="expression" dxfId="12995" priority="3967">
      <formula>$A21="Bridge"</formula>
    </cfRule>
    <cfRule type="expression" dxfId="12994" priority="3968">
      <formula>$A21="Drainage Works"</formula>
    </cfRule>
    <cfRule type="expression" dxfId="12993" priority="3969">
      <formula>$A21="Underpass"</formula>
    </cfRule>
    <cfRule type="expression" dxfId="12992" priority="3970">
      <formula>$A21="Overcrossing"</formula>
    </cfRule>
    <cfRule type="expression" dxfId="12991" priority="3971">
      <formula>$A21="Overpass"</formula>
    </cfRule>
    <cfRule type="expression" dxfId="12990" priority="3972">
      <formula>$A21="Station"</formula>
    </cfRule>
    <cfRule type="expression" dxfId="12989" priority="3973">
      <formula>$A21="Overlap between sections"</formula>
    </cfRule>
  </conditionalFormatting>
  <conditionalFormatting sqref="AB21:AB33">
    <cfRule type="expression" dxfId="12988" priority="3960">
      <formula>$M21="NON DEFINED"</formula>
    </cfRule>
    <cfRule type="expression" dxfId="12987" priority="3961">
      <formula>$AZ21="N.D."</formula>
    </cfRule>
    <cfRule type="expression" dxfId="12986" priority="3962">
      <formula>$AY21="N.D."</formula>
    </cfRule>
  </conditionalFormatting>
  <conditionalFormatting sqref="AB21:AB33">
    <cfRule type="expression" dxfId="12985" priority="3949">
      <formula>$A21="Overhead Cable"</formula>
    </cfRule>
    <cfRule type="expression" dxfId="12984" priority="3950">
      <formula>$A21="Level Crossing"</formula>
    </cfRule>
    <cfRule type="expression" dxfId="12983" priority="3951">
      <formula>$A21="Neutral Section"</formula>
    </cfRule>
    <cfRule type="expression" dxfId="12982" priority="3952">
      <formula>$A21="Tunnel"</formula>
    </cfRule>
    <cfRule type="expression" dxfId="12981" priority="3953">
      <formula>$A21="Bridge"</formula>
    </cfRule>
    <cfRule type="expression" dxfId="12980" priority="3954">
      <formula>$A21="Drainage Works"</formula>
    </cfRule>
    <cfRule type="expression" dxfId="12979" priority="3955">
      <formula>$A21="Underpass"</formula>
    </cfRule>
    <cfRule type="expression" dxfId="12978" priority="3956">
      <formula>$A21="Overcrossing"</formula>
    </cfRule>
    <cfRule type="expression" dxfId="12977" priority="3957">
      <formula>$A21="Overpass"</formula>
    </cfRule>
    <cfRule type="expression" dxfId="12976" priority="3958">
      <formula>$A21="Station"</formula>
    </cfRule>
    <cfRule type="expression" dxfId="12975" priority="3959">
      <formula>$A21="Overlap between sections"</formula>
    </cfRule>
  </conditionalFormatting>
  <conditionalFormatting sqref="BA21:BC35">
    <cfRule type="expression" dxfId="12974" priority="3947">
      <formula>$BE21="A"</formula>
    </cfRule>
    <cfRule type="expression" dxfId="12973" priority="3948">
      <formula>$BE21="R"</formula>
    </cfRule>
  </conditionalFormatting>
  <conditionalFormatting sqref="BD21:BD22 BD27 BD25 BD29:BD33">
    <cfRule type="containsText" dxfId="12972" priority="3946" operator="containsText" text="Poner a mano">
      <formula>NOT(ISERROR(SEARCH("Poner a mano",BD21)))</formula>
    </cfRule>
  </conditionalFormatting>
  <conditionalFormatting sqref="BC21:BC35">
    <cfRule type="expression" dxfId="12971" priority="3945">
      <formula>$M21="U.S. N.D."</formula>
    </cfRule>
  </conditionalFormatting>
  <conditionalFormatting sqref="BB21:BB35">
    <cfRule type="expression" dxfId="12970" priority="3943">
      <formula>$AZ21="N.D."</formula>
    </cfRule>
  </conditionalFormatting>
  <conditionalFormatting sqref="BA21:BA35">
    <cfRule type="expression" dxfId="12969" priority="3944">
      <formula>$AY21="N.D."</formula>
    </cfRule>
  </conditionalFormatting>
  <conditionalFormatting sqref="AG18:AG20 AZ18:AZ20 J18:J20 G18:H20 C19:E19 AO20:AS20 AN19:AS19 AO18:AS18 D18:E18 B25 D20:E20 B27 B29">
    <cfRule type="expression" dxfId="12968" priority="3831">
      <formula>$M18="NON DEFINED"</formula>
    </cfRule>
    <cfRule type="expression" dxfId="12967" priority="3832">
      <formula>$AZ18="N.D."</formula>
    </cfRule>
    <cfRule type="expression" dxfId="12966" priority="3833">
      <formula>$AY18="N.D."</formula>
    </cfRule>
  </conditionalFormatting>
  <conditionalFormatting sqref="AY18:AY20">
    <cfRule type="expression" dxfId="12965" priority="3828">
      <formula>$M18="NON DEFINED"</formula>
    </cfRule>
    <cfRule type="expression" dxfId="12964" priority="3829">
      <formula>$AZ18="N.D."</formula>
    </cfRule>
    <cfRule type="expression" dxfId="12963" priority="3830">
      <formula>$AY18="N.D."</formula>
    </cfRule>
  </conditionalFormatting>
  <conditionalFormatting sqref="J18:J20 AG18:AG20 G18:H20 AY18:AZ20 AO20:AS20 AN19:AS19 AO18:AS18 B25 D18:E18 D20:E20 C19:E19 B27 B29">
    <cfRule type="expression" dxfId="12962" priority="3817">
      <formula>$A18="Overhead Cable"</formula>
    </cfRule>
    <cfRule type="expression" dxfId="12961" priority="3818">
      <formula>$A18="Level Crossing"</formula>
    </cfRule>
    <cfRule type="expression" dxfId="12960" priority="3819">
      <formula>$A18="Neutral Section"</formula>
    </cfRule>
    <cfRule type="expression" dxfId="12959" priority="3820">
      <formula>$A18="Tunnel"</formula>
    </cfRule>
    <cfRule type="expression" dxfId="12958" priority="3821">
      <formula>$A18="Bridge"</formula>
    </cfRule>
    <cfRule type="expression" dxfId="12957" priority="3822">
      <formula>$A18="Drainage Works"</formula>
    </cfRule>
    <cfRule type="expression" dxfId="12956" priority="3823">
      <formula>$A18="Underpass"</formula>
    </cfRule>
    <cfRule type="expression" dxfId="12955" priority="3824">
      <formula>$A18="Overcrossing"</formula>
    </cfRule>
    <cfRule type="expression" dxfId="12954" priority="3825">
      <formula>$A18="Overpass"</formula>
    </cfRule>
    <cfRule type="expression" dxfId="12953" priority="3826">
      <formula>$A18="Station"</formula>
    </cfRule>
    <cfRule type="expression" dxfId="12952" priority="3827">
      <formula>$A18="Overlap between sections"</formula>
    </cfRule>
  </conditionalFormatting>
  <conditionalFormatting sqref="AO20:AP20 AN19:AP19 AO18:AP18">
    <cfRule type="cellIs" dxfId="12951" priority="3816" operator="notEqual">
      <formula>5.5</formula>
    </cfRule>
  </conditionalFormatting>
  <conditionalFormatting sqref="B25 B27 B29">
    <cfRule type="expression" dxfId="12950" priority="3815">
      <formula>AND($AH25&gt;2499,$AH25&lt;2901)</formula>
    </cfRule>
  </conditionalFormatting>
  <conditionalFormatting sqref="I18:I20">
    <cfRule type="expression" dxfId="12949" priority="3812">
      <formula>$M18="NON DEFINED"</formula>
    </cfRule>
    <cfRule type="expression" dxfId="12948" priority="3813">
      <formula>$AZ18="N.D."</formula>
    </cfRule>
    <cfRule type="expression" dxfId="12947" priority="3814">
      <formula>$AY18="N.D."</formula>
    </cfRule>
  </conditionalFormatting>
  <conditionalFormatting sqref="I18:I20">
    <cfRule type="expression" dxfId="12946" priority="3801">
      <formula>$A18="Overhead Cable"</formula>
    </cfRule>
    <cfRule type="expression" dxfId="12945" priority="3802">
      <formula>$A18="Level Crossing"</formula>
    </cfRule>
    <cfRule type="expression" dxfId="12944" priority="3803">
      <formula>$A18="Neutral Section"</formula>
    </cfRule>
    <cfRule type="expression" dxfId="12943" priority="3804">
      <formula>$A18="Tunnel"</formula>
    </cfRule>
    <cfRule type="expression" dxfId="12942" priority="3805">
      <formula>$A18="Bridge"</formula>
    </cfRule>
    <cfRule type="expression" dxfId="12941" priority="3806">
      <formula>$A18="Drainage Works"</formula>
    </cfRule>
    <cfRule type="expression" dxfId="12940" priority="3807">
      <formula>$A18="Underpass"</formula>
    </cfRule>
    <cfRule type="expression" dxfId="12939" priority="3808">
      <formula>$A18="Overcrossing"</formula>
    </cfRule>
    <cfRule type="expression" dxfId="12938" priority="3809">
      <formula>$A18="Overpass"</formula>
    </cfRule>
    <cfRule type="expression" dxfId="12937" priority="3810">
      <formula>$A18="Station"</formula>
    </cfRule>
    <cfRule type="expression" dxfId="12936" priority="3811">
      <formula>$A18="Overlap between sections"</formula>
    </cfRule>
  </conditionalFormatting>
  <conditionalFormatting sqref="K18:K20">
    <cfRule type="expression" dxfId="12935" priority="3798">
      <formula>$M18="NON DEFINED"</formula>
    </cfRule>
    <cfRule type="expression" dxfId="12934" priority="3799">
      <formula>$AZ18="N.D."</formula>
    </cfRule>
    <cfRule type="expression" dxfId="12933" priority="3800">
      <formula>$AY18="N.D."</formula>
    </cfRule>
  </conditionalFormatting>
  <conditionalFormatting sqref="K18:K20">
    <cfRule type="expression" dxfId="12932" priority="3787">
      <formula>$A18="Overhead Cable"</formula>
    </cfRule>
    <cfRule type="expression" dxfId="12931" priority="3788">
      <formula>$A18="Level Crossing"</formula>
    </cfRule>
    <cfRule type="expression" dxfId="12930" priority="3789">
      <formula>$A18="Neutral Section"</formula>
    </cfRule>
    <cfRule type="expression" dxfId="12929" priority="3790">
      <formula>$A18="Tunnel"</formula>
    </cfRule>
    <cfRule type="expression" dxfId="12928" priority="3791">
      <formula>$A18="Bridge"</formula>
    </cfRule>
    <cfRule type="expression" dxfId="12927" priority="3792">
      <formula>$A18="Drainage Works"</formula>
    </cfRule>
    <cfRule type="expression" dxfId="12926" priority="3793">
      <formula>$A18="Underpass"</formula>
    </cfRule>
    <cfRule type="expression" dxfId="12925" priority="3794">
      <formula>$A18="Overcrossing"</formula>
    </cfRule>
    <cfRule type="expression" dxfId="12924" priority="3795">
      <formula>$A18="Overpass"</formula>
    </cfRule>
    <cfRule type="expression" dxfId="12923" priority="3796">
      <formula>$A18="Station"</formula>
    </cfRule>
    <cfRule type="expression" dxfId="12922" priority="3797">
      <formula>$A18="Overlap between sections"</formula>
    </cfRule>
  </conditionalFormatting>
  <conditionalFormatting sqref="L18:L19">
    <cfRule type="expression" dxfId="12921" priority="3784">
      <formula>$M18="NON DEFINED"</formula>
    </cfRule>
    <cfRule type="expression" dxfId="12920" priority="3785">
      <formula>$AZ18="N.D."</formula>
    </cfRule>
    <cfRule type="expression" dxfId="12919" priority="3786">
      <formula>$AY18="N.D."</formula>
    </cfRule>
  </conditionalFormatting>
  <conditionalFormatting sqref="L18:L19">
    <cfRule type="expression" dxfId="12918" priority="3773">
      <formula>$A18="Overhead Cable"</formula>
    </cfRule>
    <cfRule type="expression" dxfId="12917" priority="3774">
      <formula>$A18="Level Crossing"</formula>
    </cfRule>
    <cfRule type="expression" dxfId="12916" priority="3775">
      <formula>$A18="Neutral Section"</formula>
    </cfRule>
    <cfRule type="expression" dxfId="12915" priority="3776">
      <formula>$A18="Tunnel"</formula>
    </cfRule>
    <cfRule type="expression" dxfId="12914" priority="3777">
      <formula>$A18="Bridge"</formula>
    </cfRule>
    <cfRule type="expression" dxfId="12913" priority="3778">
      <formula>$A18="Drainage Works"</formula>
    </cfRule>
    <cfRule type="expression" dxfId="12912" priority="3779">
      <formula>$A18="Underpass"</formula>
    </cfRule>
    <cfRule type="expression" dxfId="12911" priority="3780">
      <formula>$A18="Overcrossing"</formula>
    </cfRule>
    <cfRule type="expression" dxfId="12910" priority="3781">
      <formula>$A18="Overpass"</formula>
    </cfRule>
    <cfRule type="expression" dxfId="12909" priority="3782">
      <formula>$A18="Station"</formula>
    </cfRule>
    <cfRule type="expression" dxfId="12908" priority="3783">
      <formula>$A18="Overlap between sections"</formula>
    </cfRule>
  </conditionalFormatting>
  <conditionalFormatting sqref="M18:M20">
    <cfRule type="expression" dxfId="12907" priority="3770">
      <formula>$M18="NON DEFINED"</formula>
    </cfRule>
    <cfRule type="expression" dxfId="12906" priority="3771">
      <formula>$AZ18="N.D."</formula>
    </cfRule>
    <cfRule type="expression" dxfId="12905" priority="3772">
      <formula>$AY18="N.D."</formula>
    </cfRule>
  </conditionalFormatting>
  <conditionalFormatting sqref="M18:M20">
    <cfRule type="expression" dxfId="12904" priority="3759">
      <formula>$A18="Overhead Cable"</formula>
    </cfRule>
    <cfRule type="expression" dxfId="12903" priority="3760">
      <formula>$A18="Level Crossing"</formula>
    </cfRule>
    <cfRule type="expression" dxfId="12902" priority="3761">
      <formula>$A18="Neutral Section"</formula>
    </cfRule>
    <cfRule type="expression" dxfId="12901" priority="3762">
      <formula>$A18="Tunnel"</formula>
    </cfRule>
    <cfRule type="expression" dxfId="12900" priority="3763">
      <formula>$A18="Bridge"</formula>
    </cfRule>
    <cfRule type="expression" dxfId="12899" priority="3764">
      <formula>$A18="Drainage Works"</formula>
    </cfRule>
    <cfRule type="expression" dxfId="12898" priority="3765">
      <formula>$A18="Underpass"</formula>
    </cfRule>
    <cfRule type="expression" dxfId="12897" priority="3766">
      <formula>$A18="Overcrossing"</formula>
    </cfRule>
    <cfRule type="expression" dxfId="12896" priority="3767">
      <formula>$A18="Overpass"</formula>
    </cfRule>
    <cfRule type="expression" dxfId="12895" priority="3768">
      <formula>$A18="Station"</formula>
    </cfRule>
    <cfRule type="expression" dxfId="12894" priority="3769">
      <formula>$A18="Overlap between sections"</formula>
    </cfRule>
  </conditionalFormatting>
  <conditionalFormatting sqref="N18:N20">
    <cfRule type="expression" dxfId="12893" priority="3756">
      <formula>$M18="NON DEFINED"</formula>
    </cfRule>
    <cfRule type="expression" dxfId="12892" priority="3757">
      <formula>$AZ18="N.D."</formula>
    </cfRule>
    <cfRule type="expression" dxfId="12891" priority="3758">
      <formula>$AY18="N.D."</formula>
    </cfRule>
  </conditionalFormatting>
  <conditionalFormatting sqref="N18:N20">
    <cfRule type="expression" dxfId="12890" priority="3745">
      <formula>$A18="Overhead Cable"</formula>
    </cfRule>
    <cfRule type="expression" dxfId="12889" priority="3746">
      <formula>$A18="Level Crossing"</formula>
    </cfRule>
    <cfRule type="expression" dxfId="12888" priority="3747">
      <formula>$A18="Neutral Section"</formula>
    </cfRule>
    <cfRule type="expression" dxfId="12887" priority="3748">
      <formula>$A18="Tunnel"</formula>
    </cfRule>
    <cfRule type="expression" dxfId="12886" priority="3749">
      <formula>$A18="Bridge"</formula>
    </cfRule>
    <cfRule type="expression" dxfId="12885" priority="3750">
      <formula>$A18="Drainage Works"</formula>
    </cfRule>
    <cfRule type="expression" dxfId="12884" priority="3751">
      <formula>$A18="Underpass"</formula>
    </cfRule>
    <cfRule type="expression" dxfId="12883" priority="3752">
      <formula>$A18="Overcrossing"</formula>
    </cfRule>
    <cfRule type="expression" dxfId="12882" priority="3753">
      <formula>$A18="Overpass"</formula>
    </cfRule>
    <cfRule type="expression" dxfId="12881" priority="3754">
      <formula>$A18="Station"</formula>
    </cfRule>
    <cfRule type="expression" dxfId="12880" priority="3755">
      <formula>$A18="Overlap between sections"</formula>
    </cfRule>
  </conditionalFormatting>
  <conditionalFormatting sqref="O18:O20">
    <cfRule type="expression" dxfId="12879" priority="3742">
      <formula>$M18="NON DEFINED"</formula>
    </cfRule>
    <cfRule type="expression" dxfId="12878" priority="3743">
      <formula>$AZ18="N.D."</formula>
    </cfRule>
    <cfRule type="expression" dxfId="12877" priority="3744">
      <formula>$AY18="N.D."</formula>
    </cfRule>
  </conditionalFormatting>
  <conditionalFormatting sqref="O18:O20">
    <cfRule type="expression" dxfId="12876" priority="3731">
      <formula>$A18="Overhead Cable"</formula>
    </cfRule>
    <cfRule type="expression" dxfId="12875" priority="3732">
      <formula>$A18="Level Crossing"</formula>
    </cfRule>
    <cfRule type="expression" dxfId="12874" priority="3733">
      <formula>$A18="Neutral Section"</formula>
    </cfRule>
    <cfRule type="expression" dxfId="12873" priority="3734">
      <formula>$A18="Tunnel"</formula>
    </cfRule>
    <cfRule type="expression" dxfId="12872" priority="3735">
      <formula>$A18="Bridge"</formula>
    </cfRule>
    <cfRule type="expression" dxfId="12871" priority="3736">
      <formula>$A18="Drainage Works"</formula>
    </cfRule>
    <cfRule type="expression" dxfId="12870" priority="3737">
      <formula>$A18="Underpass"</formula>
    </cfRule>
    <cfRule type="expression" dxfId="12869" priority="3738">
      <formula>$A18="Overcrossing"</formula>
    </cfRule>
    <cfRule type="expression" dxfId="12868" priority="3739">
      <formula>$A18="Overpass"</formula>
    </cfRule>
    <cfRule type="expression" dxfId="12867" priority="3740">
      <formula>$A18="Station"</formula>
    </cfRule>
    <cfRule type="expression" dxfId="12866" priority="3741">
      <formula>$A18="Overlap between sections"</formula>
    </cfRule>
  </conditionalFormatting>
  <conditionalFormatting sqref="P18:P20">
    <cfRule type="expression" dxfId="12865" priority="3728">
      <formula>$M18="NON DEFINED"</formula>
    </cfRule>
    <cfRule type="expression" dxfId="12864" priority="3729">
      <formula>$AZ18="N.D."</formula>
    </cfRule>
    <cfRule type="expression" dxfId="12863" priority="3730">
      <formula>$AY18="N.D."</formula>
    </cfRule>
  </conditionalFormatting>
  <conditionalFormatting sqref="P18:P20">
    <cfRule type="expression" dxfId="12862" priority="3717">
      <formula>$A18="Overhead Cable"</formula>
    </cfRule>
    <cfRule type="expression" dxfId="12861" priority="3718">
      <formula>$A18="Level Crossing"</formula>
    </cfRule>
    <cfRule type="expression" dxfId="12860" priority="3719">
      <formula>$A18="Neutral Section"</formula>
    </cfRule>
    <cfRule type="expression" dxfId="12859" priority="3720">
      <formula>$A18="Tunnel"</formula>
    </cfRule>
    <cfRule type="expression" dxfId="12858" priority="3721">
      <formula>$A18="Bridge"</formula>
    </cfRule>
    <cfRule type="expression" dxfId="12857" priority="3722">
      <formula>$A18="Drainage Works"</formula>
    </cfRule>
    <cfRule type="expression" dxfId="12856" priority="3723">
      <formula>$A18="Underpass"</formula>
    </cfRule>
    <cfRule type="expression" dxfId="12855" priority="3724">
      <formula>$A18="Overcrossing"</formula>
    </cfRule>
    <cfRule type="expression" dxfId="12854" priority="3725">
      <formula>$A18="Overpass"</formula>
    </cfRule>
    <cfRule type="expression" dxfId="12853" priority="3726">
      <formula>$A18="Station"</formula>
    </cfRule>
    <cfRule type="expression" dxfId="12852" priority="3727">
      <formula>$A18="Overlap between sections"</formula>
    </cfRule>
  </conditionalFormatting>
  <conditionalFormatting sqref="AC18:AC20">
    <cfRule type="expression" dxfId="12851" priority="3714">
      <formula>$M18="NON DEFINED"</formula>
    </cfRule>
    <cfRule type="expression" dxfId="12850" priority="3715">
      <formula>$AZ18="N.D."</formula>
    </cfRule>
    <cfRule type="expression" dxfId="12849" priority="3716">
      <formula>$AY18="N.D."</formula>
    </cfRule>
  </conditionalFormatting>
  <conditionalFormatting sqref="AC18:AC20">
    <cfRule type="expression" dxfId="12848" priority="3703">
      <formula>$A18="Overhead Cable"</formula>
    </cfRule>
    <cfRule type="expression" dxfId="12847" priority="3704">
      <formula>$A18="Level Crossing"</formula>
    </cfRule>
    <cfRule type="expression" dxfId="12846" priority="3705">
      <formula>$A18="Neutral Section"</formula>
    </cfRule>
    <cfRule type="expression" dxfId="12845" priority="3706">
      <formula>$A18="Tunnel"</formula>
    </cfRule>
    <cfRule type="expression" dxfId="12844" priority="3707">
      <formula>$A18="Bridge"</formula>
    </cfRule>
    <cfRule type="expression" dxfId="12843" priority="3708">
      <formula>$A18="Drainage Works"</formula>
    </cfRule>
    <cfRule type="expression" dxfId="12842" priority="3709">
      <formula>$A18="Underpass"</formula>
    </cfRule>
    <cfRule type="expression" dxfId="12841" priority="3710">
      <formula>$A18="Overcrossing"</formula>
    </cfRule>
    <cfRule type="expression" dxfId="12840" priority="3711">
      <formula>$A18="Overpass"</formula>
    </cfRule>
    <cfRule type="expression" dxfId="12839" priority="3712">
      <formula>$A18="Station"</formula>
    </cfRule>
    <cfRule type="expression" dxfId="12838" priority="3713">
      <formula>$A18="Overlap between sections"</formula>
    </cfRule>
  </conditionalFormatting>
  <conditionalFormatting sqref="AD18:AD20">
    <cfRule type="expression" dxfId="12837" priority="3700">
      <formula>$M18="NON DEFINED"</formula>
    </cfRule>
    <cfRule type="expression" dxfId="12836" priority="3701">
      <formula>$AZ18="N.D."</formula>
    </cfRule>
    <cfRule type="expression" dxfId="12835" priority="3702">
      <formula>$AY18="N.D."</formula>
    </cfRule>
  </conditionalFormatting>
  <conditionalFormatting sqref="AD18:AD20">
    <cfRule type="expression" dxfId="12834" priority="3689">
      <formula>$A18="Overhead Cable"</formula>
    </cfRule>
    <cfRule type="expression" dxfId="12833" priority="3690">
      <formula>$A18="Level Crossing"</formula>
    </cfRule>
    <cfRule type="expression" dxfId="12832" priority="3691">
      <formula>$A18="Neutral Section"</formula>
    </cfRule>
    <cfRule type="expression" dxfId="12831" priority="3692">
      <formula>$A18="Tunnel"</formula>
    </cfRule>
    <cfRule type="expression" dxfId="12830" priority="3693">
      <formula>$A18="Bridge"</formula>
    </cfRule>
    <cfRule type="expression" dxfId="12829" priority="3694">
      <formula>$A18="Drainage Works"</formula>
    </cfRule>
    <cfRule type="expression" dxfId="12828" priority="3695">
      <formula>$A18="Underpass"</formula>
    </cfRule>
    <cfRule type="expression" dxfId="12827" priority="3696">
      <formula>$A18="Overcrossing"</formula>
    </cfRule>
    <cfRule type="expression" dxfId="12826" priority="3697">
      <formula>$A18="Overpass"</formula>
    </cfRule>
    <cfRule type="expression" dxfId="12825" priority="3698">
      <formula>$A18="Station"</formula>
    </cfRule>
    <cfRule type="expression" dxfId="12824" priority="3699">
      <formula>$A18="Overlap between sections"</formula>
    </cfRule>
  </conditionalFormatting>
  <conditionalFormatting sqref="AE18:AE20">
    <cfRule type="expression" dxfId="12823" priority="3686">
      <formula>$M18="NON DEFINED"</formula>
    </cfRule>
    <cfRule type="expression" dxfId="12822" priority="3687">
      <formula>$AZ18="N.D."</formula>
    </cfRule>
    <cfRule type="expression" dxfId="12821" priority="3688">
      <formula>$AY18="N.D."</formula>
    </cfRule>
  </conditionalFormatting>
  <conditionalFormatting sqref="AE18:AE20">
    <cfRule type="expression" dxfId="12820" priority="3675">
      <formula>$A18="Overhead Cable"</formula>
    </cfRule>
    <cfRule type="expression" dxfId="12819" priority="3676">
      <formula>$A18="Level Crossing"</formula>
    </cfRule>
    <cfRule type="expression" dxfId="12818" priority="3677">
      <formula>$A18="Neutral Section"</formula>
    </cfRule>
    <cfRule type="expression" dxfId="12817" priority="3678">
      <formula>$A18="Tunnel"</formula>
    </cfRule>
    <cfRule type="expression" dxfId="12816" priority="3679">
      <formula>$A18="Bridge"</formula>
    </cfRule>
    <cfRule type="expression" dxfId="12815" priority="3680">
      <formula>$A18="Drainage Works"</formula>
    </cfRule>
    <cfRule type="expression" dxfId="12814" priority="3681">
      <formula>$A18="Underpass"</formula>
    </cfRule>
    <cfRule type="expression" dxfId="12813" priority="3682">
      <formula>$A18="Overcrossing"</formula>
    </cfRule>
    <cfRule type="expression" dxfId="12812" priority="3683">
      <formula>$A18="Overpass"</formula>
    </cfRule>
    <cfRule type="expression" dxfId="12811" priority="3684">
      <formula>$A18="Station"</formula>
    </cfRule>
    <cfRule type="expression" dxfId="12810" priority="3685">
      <formula>$A18="Overlap between sections"</formula>
    </cfRule>
  </conditionalFormatting>
  <conditionalFormatting sqref="AJ18:AJ20">
    <cfRule type="expression" dxfId="12809" priority="3672">
      <formula>$M18="NON DEFINED"</formula>
    </cfRule>
    <cfRule type="expression" dxfId="12808" priority="3673">
      <formula>$AZ18="N.D."</formula>
    </cfRule>
    <cfRule type="expression" dxfId="12807" priority="3674">
      <formula>$AY18="N.D."</formula>
    </cfRule>
  </conditionalFormatting>
  <conditionalFormatting sqref="AJ18:AJ20">
    <cfRule type="expression" dxfId="12806" priority="3661">
      <formula>$A18="Overhead Cable"</formula>
    </cfRule>
    <cfRule type="expression" dxfId="12805" priority="3662">
      <formula>$A18="Level Crossing"</formula>
    </cfRule>
    <cfRule type="expression" dxfId="12804" priority="3663">
      <formula>$A18="Neutral Section"</formula>
    </cfRule>
    <cfRule type="expression" dxfId="12803" priority="3664">
      <formula>$A18="Tunnel"</formula>
    </cfRule>
    <cfRule type="expression" dxfId="12802" priority="3665">
      <formula>$A18="Bridge"</formula>
    </cfRule>
    <cfRule type="expression" dxfId="12801" priority="3666">
      <formula>$A18="Drainage Works"</formula>
    </cfRule>
    <cfRule type="expression" dxfId="12800" priority="3667">
      <formula>$A18="Underpass"</formula>
    </cfRule>
    <cfRule type="expression" dxfId="12799" priority="3668">
      <formula>$A18="Overcrossing"</formula>
    </cfRule>
    <cfRule type="expression" dxfId="12798" priority="3669">
      <formula>$A18="Overpass"</formula>
    </cfRule>
    <cfRule type="expression" dxfId="12797" priority="3670">
      <formula>$A18="Station"</formula>
    </cfRule>
    <cfRule type="expression" dxfId="12796" priority="3671">
      <formula>$A18="Overlap between sections"</formula>
    </cfRule>
  </conditionalFormatting>
  <conditionalFormatting sqref="AK18:AK20">
    <cfRule type="expression" dxfId="12795" priority="3658">
      <formula>$M18="NON DEFINED"</formula>
    </cfRule>
    <cfRule type="expression" dxfId="12794" priority="3659">
      <formula>$AZ18="N.D."</formula>
    </cfRule>
    <cfRule type="expression" dxfId="12793" priority="3660">
      <formula>$AY18="N.D."</formula>
    </cfRule>
  </conditionalFormatting>
  <conditionalFormatting sqref="AK18:AK20">
    <cfRule type="expression" dxfId="12792" priority="3647">
      <formula>$A18="Overhead Cable"</formula>
    </cfRule>
    <cfRule type="expression" dxfId="12791" priority="3648">
      <formula>$A18="Level Crossing"</formula>
    </cfRule>
    <cfRule type="expression" dxfId="12790" priority="3649">
      <formula>$A18="Neutral Section"</formula>
    </cfRule>
    <cfRule type="expression" dxfId="12789" priority="3650">
      <formula>$A18="Tunnel"</formula>
    </cfRule>
    <cfRule type="expression" dxfId="12788" priority="3651">
      <formula>$A18="Bridge"</formula>
    </cfRule>
    <cfRule type="expression" dxfId="12787" priority="3652">
      <formula>$A18="Drainage Works"</formula>
    </cfRule>
    <cfRule type="expression" dxfId="12786" priority="3653">
      <formula>$A18="Underpass"</formula>
    </cfRule>
    <cfRule type="expression" dxfId="12785" priority="3654">
      <formula>$A18="Overcrossing"</formula>
    </cfRule>
    <cfRule type="expression" dxfId="12784" priority="3655">
      <formula>$A18="Overpass"</formula>
    </cfRule>
    <cfRule type="expression" dxfId="12783" priority="3656">
      <formula>$A18="Station"</formula>
    </cfRule>
    <cfRule type="expression" dxfId="12782" priority="3657">
      <formula>$A18="Overlap between sections"</formula>
    </cfRule>
  </conditionalFormatting>
  <conditionalFormatting sqref="AL18:AL20">
    <cfRule type="expression" dxfId="12781" priority="3644">
      <formula>$M18="NON DEFINED"</formula>
    </cfRule>
    <cfRule type="expression" dxfId="12780" priority="3645">
      <formula>$AZ18="N.D."</formula>
    </cfRule>
    <cfRule type="expression" dxfId="12779" priority="3646">
      <formula>$AY18="N.D."</formula>
    </cfRule>
  </conditionalFormatting>
  <conditionalFormatting sqref="AL18:AL20">
    <cfRule type="expression" dxfId="12778" priority="3633">
      <formula>$A18="Overhead Cable"</formula>
    </cfRule>
    <cfRule type="expression" dxfId="12777" priority="3634">
      <formula>$A18="Level Crossing"</formula>
    </cfRule>
    <cfRule type="expression" dxfId="12776" priority="3635">
      <formula>$A18="Neutral Section"</formula>
    </cfRule>
    <cfRule type="expression" dxfId="12775" priority="3636">
      <formula>$A18="Tunnel"</formula>
    </cfRule>
    <cfRule type="expression" dxfId="12774" priority="3637">
      <formula>$A18="Bridge"</formula>
    </cfRule>
    <cfRule type="expression" dxfId="12773" priority="3638">
      <formula>$A18="Drainage Works"</formula>
    </cfRule>
    <cfRule type="expression" dxfId="12772" priority="3639">
      <formula>$A18="Underpass"</formula>
    </cfRule>
    <cfRule type="expression" dxfId="12771" priority="3640">
      <formula>$A18="Overcrossing"</formula>
    </cfRule>
    <cfRule type="expression" dxfId="12770" priority="3641">
      <formula>$A18="Overpass"</formula>
    </cfRule>
    <cfRule type="expression" dxfId="12769" priority="3642">
      <formula>$A18="Station"</formula>
    </cfRule>
    <cfRule type="expression" dxfId="12768" priority="3643">
      <formula>$A18="Overlap between sections"</formula>
    </cfRule>
  </conditionalFormatting>
  <conditionalFormatting sqref="AM19">
    <cfRule type="expression" dxfId="12767" priority="3630">
      <formula>$M19="NON DEFINED"</formula>
    </cfRule>
    <cfRule type="expression" dxfId="12766" priority="3631">
      <formula>$AZ19="N.D."</formula>
    </cfRule>
    <cfRule type="expression" dxfId="12765" priority="3632">
      <formula>$AY19="N.D."</formula>
    </cfRule>
  </conditionalFormatting>
  <conditionalFormatting sqref="AM19">
    <cfRule type="expression" dxfId="12764" priority="3619">
      <formula>$A19="Overhead Cable"</formula>
    </cfRule>
    <cfRule type="expression" dxfId="12763" priority="3620">
      <formula>$A19="Level Crossing"</formula>
    </cfRule>
    <cfRule type="expression" dxfId="12762" priority="3621">
      <formula>$A19="Neutral Section"</formula>
    </cfRule>
    <cfRule type="expression" dxfId="12761" priority="3622">
      <formula>$A19="Tunnel"</formula>
    </cfRule>
    <cfRule type="expression" dxfId="12760" priority="3623">
      <formula>$A19="Bridge"</formula>
    </cfRule>
    <cfRule type="expression" dxfId="12759" priority="3624">
      <formula>$A19="Drainage Works"</formula>
    </cfRule>
    <cfRule type="expression" dxfId="12758" priority="3625">
      <formula>$A19="Underpass"</formula>
    </cfRule>
    <cfRule type="expression" dxfId="12757" priority="3626">
      <formula>$A19="Overcrossing"</formula>
    </cfRule>
    <cfRule type="expression" dxfId="12756" priority="3627">
      <formula>$A19="Overpass"</formula>
    </cfRule>
    <cfRule type="expression" dxfId="12755" priority="3628">
      <formula>$A19="Station"</formula>
    </cfRule>
    <cfRule type="expression" dxfId="12754" priority="3629">
      <formula>$A19="Overlap between sections"</formula>
    </cfRule>
  </conditionalFormatting>
  <conditionalFormatting sqref="AT18:AT20">
    <cfRule type="expression" dxfId="12753" priority="3616">
      <formula>$M18="NON DEFINED"</formula>
    </cfRule>
    <cfRule type="expression" dxfId="12752" priority="3617">
      <formula>$AZ18="N.D."</formula>
    </cfRule>
    <cfRule type="expression" dxfId="12751" priority="3618">
      <formula>$AY18="N.D."</formula>
    </cfRule>
  </conditionalFormatting>
  <conditionalFormatting sqref="AT18:AT20">
    <cfRule type="expression" dxfId="12750" priority="3605">
      <formula>$A18="Overhead Cable"</formula>
    </cfRule>
    <cfRule type="expression" dxfId="12749" priority="3606">
      <formula>$A18="Level Crossing"</formula>
    </cfRule>
    <cfRule type="expression" dxfId="12748" priority="3607">
      <formula>$A18="Neutral Section"</formula>
    </cfRule>
    <cfRule type="expression" dxfId="12747" priority="3608">
      <formula>$A18="Tunnel"</formula>
    </cfRule>
    <cfRule type="expression" dxfId="12746" priority="3609">
      <formula>$A18="Bridge"</formula>
    </cfRule>
    <cfRule type="expression" dxfId="12745" priority="3610">
      <formula>$A18="Drainage Works"</formula>
    </cfRule>
    <cfRule type="expression" dxfId="12744" priority="3611">
      <formula>$A18="Underpass"</formula>
    </cfRule>
    <cfRule type="expression" dxfId="12743" priority="3612">
      <formula>$A18="Overcrossing"</formula>
    </cfRule>
    <cfRule type="expression" dxfId="12742" priority="3613">
      <formula>$A18="Overpass"</formula>
    </cfRule>
    <cfRule type="expression" dxfId="12741" priority="3614">
      <formula>$A18="Station"</formula>
    </cfRule>
    <cfRule type="expression" dxfId="12740" priority="3615">
      <formula>$A18="Overlap between sections"</formula>
    </cfRule>
  </conditionalFormatting>
  <conditionalFormatting sqref="AU18:AU20">
    <cfRule type="expression" dxfId="12739" priority="3602">
      <formula>$M18="NON DEFINED"</formula>
    </cfRule>
    <cfRule type="expression" dxfId="12738" priority="3603">
      <formula>$AZ18="N.D."</formula>
    </cfRule>
    <cfRule type="expression" dxfId="12737" priority="3604">
      <formula>$AY18="N.D."</formula>
    </cfRule>
  </conditionalFormatting>
  <conditionalFormatting sqref="AU18:AU20">
    <cfRule type="expression" dxfId="12736" priority="3591">
      <formula>$A18="Overhead Cable"</formula>
    </cfRule>
    <cfRule type="expression" dxfId="12735" priority="3592">
      <formula>$A18="Level Crossing"</formula>
    </cfRule>
    <cfRule type="expression" dxfId="12734" priority="3593">
      <formula>$A18="Neutral Section"</formula>
    </cfRule>
    <cfRule type="expression" dxfId="12733" priority="3594">
      <formula>$A18="Tunnel"</formula>
    </cfRule>
    <cfRule type="expression" dxfId="12732" priority="3595">
      <formula>$A18="Bridge"</formula>
    </cfRule>
    <cfRule type="expression" dxfId="12731" priority="3596">
      <formula>$A18="Drainage Works"</formula>
    </cfRule>
    <cfRule type="expression" dxfId="12730" priority="3597">
      <formula>$A18="Underpass"</formula>
    </cfRule>
    <cfRule type="expression" dxfId="12729" priority="3598">
      <formula>$A18="Overcrossing"</formula>
    </cfRule>
    <cfRule type="expression" dxfId="12728" priority="3599">
      <formula>$A18="Overpass"</formula>
    </cfRule>
    <cfRule type="expression" dxfId="12727" priority="3600">
      <formula>$A18="Station"</formula>
    </cfRule>
    <cfRule type="expression" dxfId="12726" priority="3601">
      <formula>$A18="Overlap between sections"</formula>
    </cfRule>
  </conditionalFormatting>
  <conditionalFormatting sqref="AV18:AV20">
    <cfRule type="expression" dxfId="12725" priority="3588">
      <formula>$M18="NON DEFINED"</formula>
    </cfRule>
    <cfRule type="expression" dxfId="12724" priority="3589">
      <formula>$AZ18="N.D."</formula>
    </cfRule>
    <cfRule type="expression" dxfId="12723" priority="3590">
      <formula>$AY18="N.D."</formula>
    </cfRule>
  </conditionalFormatting>
  <conditionalFormatting sqref="AV18:AV20">
    <cfRule type="expression" dxfId="12722" priority="3577">
      <formula>$A18="Overhead Cable"</formula>
    </cfRule>
    <cfRule type="expression" dxfId="12721" priority="3578">
      <formula>$A18="Level Crossing"</formula>
    </cfRule>
    <cfRule type="expression" dxfId="12720" priority="3579">
      <formula>$A18="Neutral Section"</formula>
    </cfRule>
    <cfRule type="expression" dxfId="12719" priority="3580">
      <formula>$A18="Tunnel"</formula>
    </cfRule>
    <cfRule type="expression" dxfId="12718" priority="3581">
      <formula>$A18="Bridge"</formula>
    </cfRule>
    <cfRule type="expression" dxfId="12717" priority="3582">
      <formula>$A18="Drainage Works"</formula>
    </cfRule>
    <cfRule type="expression" dxfId="12716" priority="3583">
      <formula>$A18="Underpass"</formula>
    </cfRule>
    <cfRule type="expression" dxfId="12715" priority="3584">
      <formula>$A18="Overcrossing"</formula>
    </cfRule>
    <cfRule type="expression" dxfId="12714" priority="3585">
      <formula>$A18="Overpass"</formula>
    </cfRule>
    <cfRule type="expression" dxfId="12713" priority="3586">
      <formula>$A18="Station"</formula>
    </cfRule>
    <cfRule type="expression" dxfId="12712" priority="3587">
      <formula>$A18="Overlap between sections"</formula>
    </cfRule>
  </conditionalFormatting>
  <conditionalFormatting sqref="AW10:AW25">
    <cfRule type="expression" dxfId="12711" priority="3574">
      <formula>$M10="NON DEFINED"</formula>
    </cfRule>
    <cfRule type="expression" dxfId="12710" priority="3575">
      <formula>$AZ10="N.D."</formula>
    </cfRule>
    <cfRule type="expression" dxfId="12709" priority="3576">
      <formula>$AY10="N.D."</formula>
    </cfRule>
  </conditionalFormatting>
  <conditionalFormatting sqref="AW10:AW25">
    <cfRule type="expression" dxfId="12708" priority="3563">
      <formula>$A10="Overhead Cable"</formula>
    </cfRule>
    <cfRule type="expression" dxfId="12707" priority="3564">
      <formula>$A10="Level Crossing"</formula>
    </cfRule>
    <cfRule type="expression" dxfId="12706" priority="3565">
      <formula>$A10="Neutral Section"</formula>
    </cfRule>
    <cfRule type="expression" dxfId="12705" priority="3566">
      <formula>$A10="Tunnel"</formula>
    </cfRule>
    <cfRule type="expression" dxfId="12704" priority="3567">
      <formula>$A10="Bridge"</formula>
    </cfRule>
    <cfRule type="expression" dxfId="12703" priority="3568">
      <formula>$A10="Drainage Works"</formula>
    </cfRule>
    <cfRule type="expression" dxfId="12702" priority="3569">
      <formula>$A10="Underpass"</formula>
    </cfRule>
    <cfRule type="expression" dxfId="12701" priority="3570">
      <formula>$A10="Overcrossing"</formula>
    </cfRule>
    <cfRule type="expression" dxfId="12700" priority="3571">
      <formula>$A10="Overpass"</formula>
    </cfRule>
    <cfRule type="expression" dxfId="12699" priority="3572">
      <formula>$A10="Station"</formula>
    </cfRule>
    <cfRule type="expression" dxfId="12698" priority="3573">
      <formula>$A10="Overlap between sections"</formula>
    </cfRule>
  </conditionalFormatting>
  <conditionalFormatting sqref="AX10:AX25">
    <cfRule type="expression" dxfId="12697" priority="3560">
      <formula>$M10="NON DEFINED"</formula>
    </cfRule>
    <cfRule type="expression" dxfId="12696" priority="3561">
      <formula>$AZ10="N.D."</formula>
    </cfRule>
    <cfRule type="expression" dxfId="12695" priority="3562">
      <formula>$AY10="N.D."</formula>
    </cfRule>
  </conditionalFormatting>
  <conditionalFormatting sqref="AX10:AX25">
    <cfRule type="expression" dxfId="12694" priority="3549">
      <formula>$A10="Overhead Cable"</formula>
    </cfRule>
    <cfRule type="expression" dxfId="12693" priority="3550">
      <formula>$A10="Level Crossing"</formula>
    </cfRule>
    <cfRule type="expression" dxfId="12692" priority="3551">
      <formula>$A10="Neutral Section"</formula>
    </cfRule>
    <cfRule type="expression" dxfId="12691" priority="3552">
      <formula>$A10="Tunnel"</formula>
    </cfRule>
    <cfRule type="expression" dxfId="12690" priority="3553">
      <formula>$A10="Bridge"</formula>
    </cfRule>
    <cfRule type="expression" dxfId="12689" priority="3554">
      <formula>$A10="Drainage Works"</formula>
    </cfRule>
    <cfRule type="expression" dxfId="12688" priority="3555">
      <formula>$A10="Underpass"</formula>
    </cfRule>
    <cfRule type="expression" dxfId="12687" priority="3556">
      <formula>$A10="Overcrossing"</formula>
    </cfRule>
    <cfRule type="expression" dxfId="12686" priority="3557">
      <formula>$A10="Overpass"</formula>
    </cfRule>
    <cfRule type="expression" dxfId="12685" priority="3558">
      <formula>$A10="Station"</formula>
    </cfRule>
    <cfRule type="expression" dxfId="12684" priority="3559">
      <formula>$A10="Overlap between sections"</formula>
    </cfRule>
  </conditionalFormatting>
  <conditionalFormatting sqref="F18:F20">
    <cfRule type="expression" dxfId="12683" priority="3546">
      <formula>$M18="NON DEFINED"</formula>
    </cfRule>
    <cfRule type="expression" dxfId="12682" priority="3547">
      <formula>$AZ18="N.D."</formula>
    </cfRule>
    <cfRule type="expression" dxfId="12681" priority="3548">
      <formula>$AY18="N.D."</formula>
    </cfRule>
  </conditionalFormatting>
  <conditionalFormatting sqref="F18:F20">
    <cfRule type="expression" dxfId="12680" priority="3535">
      <formula>$A18="Overhead Cable"</formula>
    </cfRule>
    <cfRule type="expression" dxfId="12679" priority="3536">
      <formula>$A18="Level Crossing"</formula>
    </cfRule>
    <cfRule type="expression" dxfId="12678" priority="3537">
      <formula>$A18="Neutral Section"</formula>
    </cfRule>
    <cfRule type="expression" dxfId="12677" priority="3538">
      <formula>$A18="Tunnel"</formula>
    </cfRule>
    <cfRule type="expression" dxfId="12676" priority="3539">
      <formula>$A18="Bridge"</formula>
    </cfRule>
    <cfRule type="expression" dxfId="12675" priority="3540">
      <formula>$A18="Drainage Works"</formula>
    </cfRule>
    <cfRule type="expression" dxfId="12674" priority="3541">
      <formula>$A18="Underpass"</formula>
    </cfRule>
    <cfRule type="expression" dxfId="12673" priority="3542">
      <formula>$A18="Overcrossing"</formula>
    </cfRule>
    <cfRule type="expression" dxfId="12672" priority="3543">
      <formula>$A18="Overpass"</formula>
    </cfRule>
    <cfRule type="expression" dxfId="12671" priority="3544">
      <formula>$A18="Station"</formula>
    </cfRule>
    <cfRule type="expression" dxfId="12670" priority="3545">
      <formula>$A18="Overlap between sections"</formula>
    </cfRule>
  </conditionalFormatting>
  <conditionalFormatting sqref="Q18:Q20">
    <cfRule type="expression" dxfId="12669" priority="3532">
      <formula>$M18="NON DEFINED"</formula>
    </cfRule>
    <cfRule type="expression" dxfId="12668" priority="3533">
      <formula>$AZ18="N.D."</formula>
    </cfRule>
    <cfRule type="expression" dxfId="12667" priority="3534">
      <formula>$AY18="N.D."</formula>
    </cfRule>
  </conditionalFormatting>
  <conditionalFormatting sqref="Q18:Q20">
    <cfRule type="expression" dxfId="12666" priority="3521">
      <formula>$A18="Overhead Cable"</formula>
    </cfRule>
    <cfRule type="expression" dxfId="12665" priority="3522">
      <formula>$A18="Level Crossing"</formula>
    </cfRule>
    <cfRule type="expression" dxfId="12664" priority="3523">
      <formula>$A18="Neutral Section"</formula>
    </cfRule>
    <cfRule type="expression" dxfId="12663" priority="3524">
      <formula>$A18="Tunnel"</formula>
    </cfRule>
    <cfRule type="expression" dxfId="12662" priority="3525">
      <formula>$A18="Bridge"</formula>
    </cfRule>
    <cfRule type="expression" dxfId="12661" priority="3526">
      <formula>$A18="Drainage Works"</formula>
    </cfRule>
    <cfRule type="expression" dxfId="12660" priority="3527">
      <formula>$A18="Underpass"</formula>
    </cfRule>
    <cfRule type="expression" dxfId="12659" priority="3528">
      <formula>$A18="Overcrossing"</formula>
    </cfRule>
    <cfRule type="expression" dxfId="12658" priority="3529">
      <formula>$A18="Overpass"</formula>
    </cfRule>
    <cfRule type="expression" dxfId="12657" priority="3530">
      <formula>$A18="Station"</formula>
    </cfRule>
    <cfRule type="expression" dxfId="12656" priority="3531">
      <formula>$A18="Overlap between sections"</formula>
    </cfRule>
  </conditionalFormatting>
  <conditionalFormatting sqref="T18:T20">
    <cfRule type="expression" dxfId="12655" priority="3518">
      <formula>$M18="NON DEFINED"</formula>
    </cfRule>
    <cfRule type="expression" dxfId="12654" priority="3519">
      <formula>$AZ18="N.D."</formula>
    </cfRule>
    <cfRule type="expression" dxfId="12653" priority="3520">
      <formula>$AY18="N.D."</formula>
    </cfRule>
  </conditionalFormatting>
  <conditionalFormatting sqref="T18:T20">
    <cfRule type="expression" dxfId="12652" priority="3507">
      <formula>$A18="Overhead Cable"</formula>
    </cfRule>
    <cfRule type="expression" dxfId="12651" priority="3508">
      <formula>$A18="Level Crossing"</formula>
    </cfRule>
    <cfRule type="expression" dxfId="12650" priority="3509">
      <formula>$A18="Neutral Section"</formula>
    </cfRule>
    <cfRule type="expression" dxfId="12649" priority="3510">
      <formula>$A18="Tunnel"</formula>
    </cfRule>
    <cfRule type="expression" dxfId="12648" priority="3511">
      <formula>$A18="Bridge"</formula>
    </cfRule>
    <cfRule type="expression" dxfId="12647" priority="3512">
      <formula>$A18="Drainage Works"</formula>
    </cfRule>
    <cfRule type="expression" dxfId="12646" priority="3513">
      <formula>$A18="Underpass"</formula>
    </cfRule>
    <cfRule type="expression" dxfId="12645" priority="3514">
      <formula>$A18="Overcrossing"</formula>
    </cfRule>
    <cfRule type="expression" dxfId="12644" priority="3515">
      <formula>$A18="Overpass"</formula>
    </cfRule>
    <cfRule type="expression" dxfId="12643" priority="3516">
      <formula>$A18="Station"</formula>
    </cfRule>
    <cfRule type="expression" dxfId="12642" priority="3517">
      <formula>$A18="Overlap between sections"</formula>
    </cfRule>
  </conditionalFormatting>
  <conditionalFormatting sqref="U18:U20">
    <cfRule type="expression" dxfId="12641" priority="3504">
      <formula>$M18="NON DEFINED"</formula>
    </cfRule>
    <cfRule type="expression" dxfId="12640" priority="3505">
      <formula>$AZ18="N.D."</formula>
    </cfRule>
    <cfRule type="expression" dxfId="12639" priority="3506">
      <formula>$AY18="N.D."</formula>
    </cfRule>
  </conditionalFormatting>
  <conditionalFormatting sqref="U18:U20">
    <cfRule type="expression" dxfId="12638" priority="3493">
      <formula>$A18="Overhead Cable"</formula>
    </cfRule>
    <cfRule type="expression" dxfId="12637" priority="3494">
      <formula>$A18="Level Crossing"</formula>
    </cfRule>
    <cfRule type="expression" dxfId="12636" priority="3495">
      <formula>$A18="Neutral Section"</formula>
    </cfRule>
    <cfRule type="expression" dxfId="12635" priority="3496">
      <formula>$A18="Tunnel"</formula>
    </cfRule>
    <cfRule type="expression" dxfId="12634" priority="3497">
      <formula>$A18="Bridge"</formula>
    </cfRule>
    <cfRule type="expression" dxfId="12633" priority="3498">
      <formula>$A18="Drainage Works"</formula>
    </cfRule>
    <cfRule type="expression" dxfId="12632" priority="3499">
      <formula>$A18="Underpass"</formula>
    </cfRule>
    <cfRule type="expression" dxfId="12631" priority="3500">
      <formula>$A18="Overcrossing"</formula>
    </cfRule>
    <cfRule type="expression" dxfId="12630" priority="3501">
      <formula>$A18="Overpass"</formula>
    </cfRule>
    <cfRule type="expression" dxfId="12629" priority="3502">
      <formula>$A18="Station"</formula>
    </cfRule>
    <cfRule type="expression" dxfId="12628" priority="3503">
      <formula>$A18="Overlap between sections"</formula>
    </cfRule>
  </conditionalFormatting>
  <conditionalFormatting sqref="V18:V20">
    <cfRule type="expression" dxfId="12627" priority="3490">
      <formula>$M18="NON DEFINED"</formula>
    </cfRule>
    <cfRule type="expression" dxfId="12626" priority="3491">
      <formula>$AZ18="N.D."</formula>
    </cfRule>
    <cfRule type="expression" dxfId="12625" priority="3492">
      <formula>$AY18="N.D."</formula>
    </cfRule>
  </conditionalFormatting>
  <conditionalFormatting sqref="V18:V20">
    <cfRule type="expression" dxfId="12624" priority="3479">
      <formula>$A18="Overhead Cable"</formula>
    </cfRule>
    <cfRule type="expression" dxfId="12623" priority="3480">
      <formula>$A18="Level Crossing"</formula>
    </cfRule>
    <cfRule type="expression" dxfId="12622" priority="3481">
      <formula>$A18="Neutral Section"</formula>
    </cfRule>
    <cfRule type="expression" dxfId="12621" priority="3482">
      <formula>$A18="Tunnel"</formula>
    </cfRule>
    <cfRule type="expression" dxfId="12620" priority="3483">
      <formula>$A18="Bridge"</formula>
    </cfRule>
    <cfRule type="expression" dxfId="12619" priority="3484">
      <formula>$A18="Drainage Works"</formula>
    </cfRule>
    <cfRule type="expression" dxfId="12618" priority="3485">
      <formula>$A18="Underpass"</formula>
    </cfRule>
    <cfRule type="expression" dxfId="12617" priority="3486">
      <formula>$A18="Overcrossing"</formula>
    </cfRule>
    <cfRule type="expression" dxfId="12616" priority="3487">
      <formula>$A18="Overpass"</formula>
    </cfRule>
    <cfRule type="expression" dxfId="12615" priority="3488">
      <formula>$A18="Station"</formula>
    </cfRule>
    <cfRule type="expression" dxfId="12614" priority="3489">
      <formula>$A18="Overlap between sections"</formula>
    </cfRule>
  </conditionalFormatting>
  <conditionalFormatting sqref="AF18:AF20">
    <cfRule type="expression" dxfId="12613" priority="3476">
      <formula>$M18="NON DEFINED"</formula>
    </cfRule>
    <cfRule type="expression" dxfId="12612" priority="3477">
      <formula>$AZ18="N.D."</formula>
    </cfRule>
    <cfRule type="expression" dxfId="12611" priority="3478">
      <formula>$AY18="N.D."</formula>
    </cfRule>
  </conditionalFormatting>
  <conditionalFormatting sqref="AF18:AF20">
    <cfRule type="expression" dxfId="12610" priority="3465">
      <formula>$A18="Overhead Cable"</formula>
    </cfRule>
    <cfRule type="expression" dxfId="12609" priority="3466">
      <formula>$A18="Level Crossing"</formula>
    </cfRule>
    <cfRule type="expression" dxfId="12608" priority="3467">
      <formula>$A18="Neutral Section"</formula>
    </cfRule>
    <cfRule type="expression" dxfId="12607" priority="3468">
      <formula>$A18="Tunnel"</formula>
    </cfRule>
    <cfRule type="expression" dxfId="12606" priority="3469">
      <formula>$A18="Bridge"</formula>
    </cfRule>
    <cfRule type="expression" dxfId="12605" priority="3470">
      <formula>$A18="Drainage Works"</formula>
    </cfRule>
    <cfRule type="expression" dxfId="12604" priority="3471">
      <formula>$A18="Underpass"</formula>
    </cfRule>
    <cfRule type="expression" dxfId="12603" priority="3472">
      <formula>$A18="Overcrossing"</formula>
    </cfRule>
    <cfRule type="expression" dxfId="12602" priority="3473">
      <formula>$A18="Overpass"</formula>
    </cfRule>
    <cfRule type="expression" dxfId="12601" priority="3474">
      <formula>$A18="Station"</formula>
    </cfRule>
    <cfRule type="expression" dxfId="12600" priority="3475">
      <formula>$A18="Overlap between sections"</formula>
    </cfRule>
  </conditionalFormatting>
  <conditionalFormatting sqref="AH18:AH20">
    <cfRule type="expression" dxfId="12599" priority="3462">
      <formula>$M18="NON DEFINED"</formula>
    </cfRule>
    <cfRule type="expression" dxfId="12598" priority="3463">
      <formula>$AZ18="N.D."</formula>
    </cfRule>
    <cfRule type="expression" dxfId="12597" priority="3464">
      <formula>$AY18="N.D."</formula>
    </cfRule>
  </conditionalFormatting>
  <conditionalFormatting sqref="AH18:AH20">
    <cfRule type="expression" dxfId="12596" priority="3451">
      <formula>$A18="Overhead Cable"</formula>
    </cfRule>
    <cfRule type="expression" dxfId="12595" priority="3452">
      <formula>$A18="Level Crossing"</formula>
    </cfRule>
    <cfRule type="expression" dxfId="12594" priority="3453">
      <formula>$A18="Neutral Section"</formula>
    </cfRule>
    <cfRule type="expression" dxfId="12593" priority="3454">
      <formula>$A18="Tunnel"</formula>
    </cfRule>
    <cfRule type="expression" dxfId="12592" priority="3455">
      <formula>$A18="Bridge"</formula>
    </cfRule>
    <cfRule type="expression" dxfId="12591" priority="3456">
      <formula>$A18="Drainage Works"</formula>
    </cfRule>
    <cfRule type="expression" dxfId="12590" priority="3457">
      <formula>$A18="Underpass"</formula>
    </cfRule>
    <cfRule type="expression" dxfId="12589" priority="3458">
      <formula>$A18="Overcrossing"</formula>
    </cfRule>
    <cfRule type="expression" dxfId="12588" priority="3459">
      <formula>$A18="Overpass"</formula>
    </cfRule>
    <cfRule type="expression" dxfId="12587" priority="3460">
      <formula>$A18="Station"</formula>
    </cfRule>
    <cfRule type="expression" dxfId="12586" priority="3461">
      <formula>$A18="Overlap between sections"</formula>
    </cfRule>
  </conditionalFormatting>
  <conditionalFormatting sqref="AI18:AI20">
    <cfRule type="expression" dxfId="12585" priority="3448">
      <formula>$M18="NON DEFINED"</formula>
    </cfRule>
    <cfRule type="expression" dxfId="12584" priority="3449">
      <formula>$AZ18="N.D."</formula>
    </cfRule>
    <cfRule type="expression" dxfId="12583" priority="3450">
      <formula>$AY18="N.D."</formula>
    </cfRule>
  </conditionalFormatting>
  <conditionalFormatting sqref="AI18:AI20">
    <cfRule type="expression" dxfId="12582" priority="3437">
      <formula>$A18="Overhead Cable"</formula>
    </cfRule>
    <cfRule type="expression" dxfId="12581" priority="3438">
      <formula>$A18="Level Crossing"</formula>
    </cfRule>
    <cfRule type="expression" dxfId="12580" priority="3439">
      <formula>$A18="Neutral Section"</formula>
    </cfRule>
    <cfRule type="expression" dxfId="12579" priority="3440">
      <formula>$A18="Tunnel"</formula>
    </cfRule>
    <cfRule type="expression" dxfId="12578" priority="3441">
      <formula>$A18="Bridge"</formula>
    </cfRule>
    <cfRule type="expression" dxfId="12577" priority="3442">
      <formula>$A18="Drainage Works"</formula>
    </cfRule>
    <cfRule type="expression" dxfId="12576" priority="3443">
      <formula>$A18="Underpass"</formula>
    </cfRule>
    <cfRule type="expression" dxfId="12575" priority="3444">
      <formula>$A18="Overcrossing"</formula>
    </cfRule>
    <cfRule type="expression" dxfId="12574" priority="3445">
      <formula>$A18="Overpass"</formula>
    </cfRule>
    <cfRule type="expression" dxfId="12573" priority="3446">
      <formula>$A18="Station"</formula>
    </cfRule>
    <cfRule type="expression" dxfId="12572" priority="3447">
      <formula>$A18="Overlap between sections"</formula>
    </cfRule>
  </conditionalFormatting>
  <conditionalFormatting sqref="R18:R20">
    <cfRule type="expression" dxfId="12571" priority="3434">
      <formula>$M18="NON DEFINED"</formula>
    </cfRule>
    <cfRule type="expression" dxfId="12570" priority="3435">
      <formula>$AZ18="N.D."</formula>
    </cfRule>
    <cfRule type="expression" dxfId="12569" priority="3436">
      <formula>$AY18="N.D."</formula>
    </cfRule>
  </conditionalFormatting>
  <conditionalFormatting sqref="R18:R20">
    <cfRule type="expression" dxfId="12568" priority="3423">
      <formula>$A18="Overhead Cable"</formula>
    </cfRule>
    <cfRule type="expression" dxfId="12567" priority="3424">
      <formula>$A18="Level Crossing"</formula>
    </cfRule>
    <cfRule type="expression" dxfId="12566" priority="3425">
      <formula>$A18="Neutral Section"</formula>
    </cfRule>
    <cfRule type="expression" dxfId="12565" priority="3426">
      <formula>$A18="Tunnel"</formula>
    </cfRule>
    <cfRule type="expression" dxfId="12564" priority="3427">
      <formula>$A18="Bridge"</formula>
    </cfRule>
    <cfRule type="expression" dxfId="12563" priority="3428">
      <formula>$A18="Drainage Works"</formula>
    </cfRule>
    <cfRule type="expression" dxfId="12562" priority="3429">
      <formula>$A18="Underpass"</formula>
    </cfRule>
    <cfRule type="expression" dxfId="12561" priority="3430">
      <formula>$A18="Overcrossing"</formula>
    </cfRule>
    <cfRule type="expression" dxfId="12560" priority="3431">
      <formula>$A18="Overpass"</formula>
    </cfRule>
    <cfRule type="expression" dxfId="12559" priority="3432">
      <formula>$A18="Station"</formula>
    </cfRule>
    <cfRule type="expression" dxfId="12558" priority="3433">
      <formula>$A18="Overlap between sections"</formula>
    </cfRule>
  </conditionalFormatting>
  <conditionalFormatting sqref="S18:S20">
    <cfRule type="expression" dxfId="12557" priority="3420">
      <formula>$M18="NON DEFINED"</formula>
    </cfRule>
    <cfRule type="expression" dxfId="12556" priority="3421">
      <formula>$AZ18="N.D."</formula>
    </cfRule>
    <cfRule type="expression" dxfId="12555" priority="3422">
      <formula>$AY18="N.D."</formula>
    </cfRule>
  </conditionalFormatting>
  <conditionalFormatting sqref="S18:S20">
    <cfRule type="expression" dxfId="12554" priority="3409">
      <formula>$A18="Overhead Cable"</formula>
    </cfRule>
    <cfRule type="expression" dxfId="12553" priority="3410">
      <formula>$A18="Level Crossing"</formula>
    </cfRule>
    <cfRule type="expression" dxfId="12552" priority="3411">
      <formula>$A18="Neutral Section"</formula>
    </cfRule>
    <cfRule type="expression" dxfId="12551" priority="3412">
      <formula>$A18="Tunnel"</formula>
    </cfRule>
    <cfRule type="expression" dxfId="12550" priority="3413">
      <formula>$A18="Bridge"</formula>
    </cfRule>
    <cfRule type="expression" dxfId="12549" priority="3414">
      <formula>$A18="Drainage Works"</formula>
    </cfRule>
    <cfRule type="expression" dxfId="12548" priority="3415">
      <formula>$A18="Underpass"</formula>
    </cfRule>
    <cfRule type="expression" dxfId="12547" priority="3416">
      <formula>$A18="Overcrossing"</formula>
    </cfRule>
    <cfRule type="expression" dxfId="12546" priority="3417">
      <formula>$A18="Overpass"</formula>
    </cfRule>
    <cfRule type="expression" dxfId="12545" priority="3418">
      <formula>$A18="Station"</formula>
    </cfRule>
    <cfRule type="expression" dxfId="12544" priority="3419">
      <formula>$A18="Overlap between sections"</formula>
    </cfRule>
  </conditionalFormatting>
  <conditionalFormatting sqref="W18:W20">
    <cfRule type="expression" dxfId="12543" priority="3406">
      <formula>$M18="NON DEFINED"</formula>
    </cfRule>
    <cfRule type="expression" dxfId="12542" priority="3407">
      <formula>$AZ18="N.D."</formula>
    </cfRule>
    <cfRule type="expression" dxfId="12541" priority="3408">
      <formula>$AY18="N.D."</formula>
    </cfRule>
  </conditionalFormatting>
  <conditionalFormatting sqref="W18:W20">
    <cfRule type="expression" dxfId="12540" priority="3395">
      <formula>$A18="Overhead Cable"</formula>
    </cfRule>
    <cfRule type="expression" dxfId="12539" priority="3396">
      <formula>$A18="Level Crossing"</formula>
    </cfRule>
    <cfRule type="expression" dxfId="12538" priority="3397">
      <formula>$A18="Neutral Section"</formula>
    </cfRule>
    <cfRule type="expression" dxfId="12537" priority="3398">
      <formula>$A18="Tunnel"</formula>
    </cfRule>
    <cfRule type="expression" dxfId="12536" priority="3399">
      <formula>$A18="Bridge"</formula>
    </cfRule>
    <cfRule type="expression" dxfId="12535" priority="3400">
      <formula>$A18="Drainage Works"</formula>
    </cfRule>
    <cfRule type="expression" dxfId="12534" priority="3401">
      <formula>$A18="Underpass"</formula>
    </cfRule>
    <cfRule type="expression" dxfId="12533" priority="3402">
      <formula>$A18="Overcrossing"</formula>
    </cfRule>
    <cfRule type="expression" dxfId="12532" priority="3403">
      <formula>$A18="Overpass"</formula>
    </cfRule>
    <cfRule type="expression" dxfId="12531" priority="3404">
      <formula>$A18="Station"</formula>
    </cfRule>
    <cfRule type="expression" dxfId="12530" priority="3405">
      <formula>$A18="Overlap between sections"</formula>
    </cfRule>
  </conditionalFormatting>
  <conditionalFormatting sqref="X18:X20">
    <cfRule type="expression" dxfId="12529" priority="3392">
      <formula>$M18="NON DEFINED"</formula>
    </cfRule>
    <cfRule type="expression" dxfId="12528" priority="3393">
      <formula>$AZ18="N.D."</formula>
    </cfRule>
    <cfRule type="expression" dxfId="12527" priority="3394">
      <formula>$AY18="N.D."</formula>
    </cfRule>
  </conditionalFormatting>
  <conditionalFormatting sqref="X18:X20">
    <cfRule type="expression" dxfId="12526" priority="3381">
      <formula>$A18="Overhead Cable"</formula>
    </cfRule>
    <cfRule type="expression" dxfId="12525" priority="3382">
      <formula>$A18="Level Crossing"</formula>
    </cfRule>
    <cfRule type="expression" dxfId="12524" priority="3383">
      <formula>$A18="Neutral Section"</formula>
    </cfRule>
    <cfRule type="expression" dxfId="12523" priority="3384">
      <formula>$A18="Tunnel"</formula>
    </cfRule>
    <cfRule type="expression" dxfId="12522" priority="3385">
      <formula>$A18="Bridge"</formula>
    </cfRule>
    <cfRule type="expression" dxfId="12521" priority="3386">
      <formula>$A18="Drainage Works"</formula>
    </cfRule>
    <cfRule type="expression" dxfId="12520" priority="3387">
      <formula>$A18="Underpass"</formula>
    </cfRule>
    <cfRule type="expression" dxfId="12519" priority="3388">
      <formula>$A18="Overcrossing"</formula>
    </cfRule>
    <cfRule type="expression" dxfId="12518" priority="3389">
      <formula>$A18="Overpass"</formula>
    </cfRule>
    <cfRule type="expression" dxfId="12517" priority="3390">
      <formula>$A18="Station"</formula>
    </cfRule>
    <cfRule type="expression" dxfId="12516" priority="3391">
      <formula>$A18="Overlap between sections"</formula>
    </cfRule>
  </conditionalFormatting>
  <conditionalFormatting sqref="Y18:Y20">
    <cfRule type="expression" dxfId="12515" priority="3378">
      <formula>$M18="NON DEFINED"</formula>
    </cfRule>
    <cfRule type="expression" dxfId="12514" priority="3379">
      <formula>$AZ18="N.D."</formula>
    </cfRule>
    <cfRule type="expression" dxfId="12513" priority="3380">
      <formula>$AY18="N.D."</formula>
    </cfRule>
  </conditionalFormatting>
  <conditionalFormatting sqref="Y18:Y20">
    <cfRule type="expression" dxfId="12512" priority="3367">
      <formula>$A18="Overhead Cable"</formula>
    </cfRule>
    <cfRule type="expression" dxfId="12511" priority="3368">
      <formula>$A18="Level Crossing"</formula>
    </cfRule>
    <cfRule type="expression" dxfId="12510" priority="3369">
      <formula>$A18="Neutral Section"</formula>
    </cfRule>
    <cfRule type="expression" dxfId="12509" priority="3370">
      <formula>$A18="Tunnel"</formula>
    </cfRule>
    <cfRule type="expression" dxfId="12508" priority="3371">
      <formula>$A18="Bridge"</formula>
    </cfRule>
    <cfRule type="expression" dxfId="12507" priority="3372">
      <formula>$A18="Drainage Works"</formula>
    </cfRule>
    <cfRule type="expression" dxfId="12506" priority="3373">
      <formula>$A18="Underpass"</formula>
    </cfRule>
    <cfRule type="expression" dxfId="12505" priority="3374">
      <formula>$A18="Overcrossing"</formula>
    </cfRule>
    <cfRule type="expression" dxfId="12504" priority="3375">
      <formula>$A18="Overpass"</formula>
    </cfRule>
    <cfRule type="expression" dxfId="12503" priority="3376">
      <formula>$A18="Station"</formula>
    </cfRule>
    <cfRule type="expression" dxfId="12502" priority="3377">
      <formula>$A18="Overlap between sections"</formula>
    </cfRule>
  </conditionalFormatting>
  <conditionalFormatting sqref="Z18:Z20">
    <cfRule type="expression" dxfId="12501" priority="3364">
      <formula>$M18="NON DEFINED"</formula>
    </cfRule>
    <cfRule type="expression" dxfId="12500" priority="3365">
      <formula>$AZ18="N.D."</formula>
    </cfRule>
    <cfRule type="expression" dxfId="12499" priority="3366">
      <formula>$AY18="N.D."</formula>
    </cfRule>
  </conditionalFormatting>
  <conditionalFormatting sqref="Z18:Z20">
    <cfRule type="expression" dxfId="12498" priority="3353">
      <formula>$A18="Overhead Cable"</formula>
    </cfRule>
    <cfRule type="expression" dxfId="12497" priority="3354">
      <formula>$A18="Level Crossing"</formula>
    </cfRule>
    <cfRule type="expression" dxfId="12496" priority="3355">
      <formula>$A18="Neutral Section"</formula>
    </cfRule>
    <cfRule type="expression" dxfId="12495" priority="3356">
      <formula>$A18="Tunnel"</formula>
    </cfRule>
    <cfRule type="expression" dxfId="12494" priority="3357">
      <formula>$A18="Bridge"</formula>
    </cfRule>
    <cfRule type="expression" dxfId="12493" priority="3358">
      <formula>$A18="Drainage Works"</formula>
    </cfRule>
    <cfRule type="expression" dxfId="12492" priority="3359">
      <formula>$A18="Underpass"</formula>
    </cfRule>
    <cfRule type="expression" dxfId="12491" priority="3360">
      <formula>$A18="Overcrossing"</formula>
    </cfRule>
    <cfRule type="expression" dxfId="12490" priority="3361">
      <formula>$A18="Overpass"</formula>
    </cfRule>
    <cfRule type="expression" dxfId="12489" priority="3362">
      <formula>$A18="Station"</formula>
    </cfRule>
    <cfRule type="expression" dxfId="12488" priority="3363">
      <formula>$A18="Overlap between sections"</formula>
    </cfRule>
  </conditionalFormatting>
  <conditionalFormatting sqref="AA18:AA20">
    <cfRule type="expression" dxfId="12487" priority="3350">
      <formula>$M18="NON DEFINED"</formula>
    </cfRule>
    <cfRule type="expression" dxfId="12486" priority="3351">
      <formula>$AZ18="N.D."</formula>
    </cfRule>
    <cfRule type="expression" dxfId="12485" priority="3352">
      <formula>$AY18="N.D."</formula>
    </cfRule>
  </conditionalFormatting>
  <conditionalFormatting sqref="AA18:AA20">
    <cfRule type="expression" dxfId="12484" priority="3339">
      <formula>$A18="Overhead Cable"</formula>
    </cfRule>
    <cfRule type="expression" dxfId="12483" priority="3340">
      <formula>$A18="Level Crossing"</formula>
    </cfRule>
    <cfRule type="expression" dxfId="12482" priority="3341">
      <formula>$A18="Neutral Section"</formula>
    </cfRule>
    <cfRule type="expression" dxfId="12481" priority="3342">
      <formula>$A18="Tunnel"</formula>
    </cfRule>
    <cfRule type="expression" dxfId="12480" priority="3343">
      <formula>$A18="Bridge"</formula>
    </cfRule>
    <cfRule type="expression" dxfId="12479" priority="3344">
      <formula>$A18="Drainage Works"</formula>
    </cfRule>
    <cfRule type="expression" dxfId="12478" priority="3345">
      <formula>$A18="Underpass"</formula>
    </cfRule>
    <cfRule type="expression" dxfId="12477" priority="3346">
      <formula>$A18="Overcrossing"</formula>
    </cfRule>
    <cfRule type="expression" dxfId="12476" priority="3347">
      <formula>$A18="Overpass"</formula>
    </cfRule>
    <cfRule type="expression" dxfId="12475" priority="3348">
      <formula>$A18="Station"</formula>
    </cfRule>
    <cfRule type="expression" dxfId="12474" priority="3349">
      <formula>$A18="Overlap between sections"</formula>
    </cfRule>
  </conditionalFormatting>
  <conditionalFormatting sqref="AB18:AB20">
    <cfRule type="expression" dxfId="12473" priority="3336">
      <formula>$M18="NON DEFINED"</formula>
    </cfRule>
    <cfRule type="expression" dxfId="12472" priority="3337">
      <formula>$AZ18="N.D."</formula>
    </cfRule>
    <cfRule type="expression" dxfId="12471" priority="3338">
      <formula>$AY18="N.D."</formula>
    </cfRule>
  </conditionalFormatting>
  <conditionalFormatting sqref="AB18:AB20">
    <cfRule type="expression" dxfId="12470" priority="3325">
      <formula>$A18="Overhead Cable"</formula>
    </cfRule>
    <cfRule type="expression" dxfId="12469" priority="3326">
      <formula>$A18="Level Crossing"</formula>
    </cfRule>
    <cfRule type="expression" dxfId="12468" priority="3327">
      <formula>$A18="Neutral Section"</formula>
    </cfRule>
    <cfRule type="expression" dxfId="12467" priority="3328">
      <formula>$A18="Tunnel"</formula>
    </cfRule>
    <cfRule type="expression" dxfId="12466" priority="3329">
      <formula>$A18="Bridge"</formula>
    </cfRule>
    <cfRule type="expression" dxfId="12465" priority="3330">
      <formula>$A18="Drainage Works"</formula>
    </cfRule>
    <cfRule type="expression" dxfId="12464" priority="3331">
      <formula>$A18="Underpass"</formula>
    </cfRule>
    <cfRule type="expression" dxfId="12463" priority="3332">
      <formula>$A18="Overcrossing"</formula>
    </cfRule>
    <cfRule type="expression" dxfId="12462" priority="3333">
      <formula>$A18="Overpass"</formula>
    </cfRule>
    <cfRule type="expression" dxfId="12461" priority="3334">
      <formula>$A18="Station"</formula>
    </cfRule>
    <cfRule type="expression" dxfId="12460" priority="3335">
      <formula>$A18="Overlap between sections"</formula>
    </cfRule>
  </conditionalFormatting>
  <conditionalFormatting sqref="BA18:BC20">
    <cfRule type="expression" dxfId="12459" priority="3323">
      <formula>$BE18="A"</formula>
    </cfRule>
    <cfRule type="expression" dxfId="12458" priority="3324">
      <formula>$BE18="R"</formula>
    </cfRule>
  </conditionalFormatting>
  <conditionalFormatting sqref="BD18:BD20">
    <cfRule type="containsText" dxfId="12457" priority="3322" operator="containsText" text="Poner a mano">
      <formula>NOT(ISERROR(SEARCH("Poner a mano",BD18)))</formula>
    </cfRule>
  </conditionalFormatting>
  <conditionalFormatting sqref="BC18:BC20">
    <cfRule type="expression" dxfId="12456" priority="3321">
      <formula>$M18="U.S. N.D."</formula>
    </cfRule>
  </conditionalFormatting>
  <conditionalFormatting sqref="BB18:BB20">
    <cfRule type="expression" dxfId="12455" priority="3319">
      <formula>$AZ18="N.D."</formula>
    </cfRule>
  </conditionalFormatting>
  <conditionalFormatting sqref="BA18:BA20">
    <cfRule type="expression" dxfId="12454" priority="3320">
      <formula>$AY18="N.D."</formula>
    </cfRule>
  </conditionalFormatting>
  <conditionalFormatting sqref="AM28">
    <cfRule type="expression" dxfId="12453" priority="3274">
      <formula>$M28="NON DEFINED"</formula>
    </cfRule>
    <cfRule type="expression" dxfId="12452" priority="3275">
      <formula>$AZ28="N.D."</formula>
    </cfRule>
    <cfRule type="expression" dxfId="12451" priority="3276">
      <formula>$AY28="N.D."</formula>
    </cfRule>
  </conditionalFormatting>
  <conditionalFormatting sqref="AM28">
    <cfRule type="expression" dxfId="12450" priority="3263">
      <formula>$A28="Overhead Cable"</formula>
    </cfRule>
    <cfRule type="expression" dxfId="12449" priority="3264">
      <formula>$A28="Level Crossing"</formula>
    </cfRule>
    <cfRule type="expression" dxfId="12448" priority="3265">
      <formula>$A28="Neutral Section"</formula>
    </cfRule>
    <cfRule type="expression" dxfId="12447" priority="3266">
      <formula>$A28="Tunnel"</formula>
    </cfRule>
    <cfRule type="expression" dxfId="12446" priority="3267">
      <formula>$A28="Bridge"</formula>
    </cfRule>
    <cfRule type="expression" dxfId="12445" priority="3268">
      <formula>$A28="Drainage Works"</formula>
    </cfRule>
    <cfRule type="expression" dxfId="12444" priority="3269">
      <formula>$A28="Underpass"</formula>
    </cfRule>
    <cfRule type="expression" dxfId="12443" priority="3270">
      <formula>$A28="Overcrossing"</formula>
    </cfRule>
    <cfRule type="expression" dxfId="12442" priority="3271">
      <formula>$A28="Overpass"</formula>
    </cfRule>
    <cfRule type="expression" dxfId="12441" priority="3272">
      <formula>$A28="Station"</formula>
    </cfRule>
    <cfRule type="expression" dxfId="12440" priority="3273">
      <formula>$A28="Overlap between sections"</formula>
    </cfRule>
  </conditionalFormatting>
  <conditionalFormatting sqref="AM30">
    <cfRule type="expression" dxfId="12439" priority="3260">
      <formula>$M30="NON DEFINED"</formula>
    </cfRule>
    <cfRule type="expression" dxfId="12438" priority="3261">
      <formula>$AZ30="N.D."</formula>
    </cfRule>
    <cfRule type="expression" dxfId="12437" priority="3262">
      <formula>$AY30="N.D."</formula>
    </cfRule>
  </conditionalFormatting>
  <conditionalFormatting sqref="AM30">
    <cfRule type="expression" dxfId="12436" priority="3249">
      <formula>$A30="Overhead Cable"</formula>
    </cfRule>
    <cfRule type="expression" dxfId="12435" priority="3250">
      <formula>$A30="Level Crossing"</formula>
    </cfRule>
    <cfRule type="expression" dxfId="12434" priority="3251">
      <formula>$A30="Neutral Section"</formula>
    </cfRule>
    <cfRule type="expression" dxfId="12433" priority="3252">
      <formula>$A30="Tunnel"</formula>
    </cfRule>
    <cfRule type="expression" dxfId="12432" priority="3253">
      <formula>$A30="Bridge"</formula>
    </cfRule>
    <cfRule type="expression" dxfId="12431" priority="3254">
      <formula>$A30="Drainage Works"</formula>
    </cfRule>
    <cfRule type="expression" dxfId="12430" priority="3255">
      <formula>$A30="Underpass"</formula>
    </cfRule>
    <cfRule type="expression" dxfId="12429" priority="3256">
      <formula>$A30="Overcrossing"</formula>
    </cfRule>
    <cfRule type="expression" dxfId="12428" priority="3257">
      <formula>$A30="Overpass"</formula>
    </cfRule>
    <cfRule type="expression" dxfId="12427" priority="3258">
      <formula>$A30="Station"</formula>
    </cfRule>
    <cfRule type="expression" dxfId="12426" priority="3259">
      <formula>$A30="Overlap between sections"</formula>
    </cfRule>
  </conditionalFormatting>
  <conditionalFormatting sqref="AM32">
    <cfRule type="expression" dxfId="12425" priority="3246">
      <formula>$M32="NON DEFINED"</formula>
    </cfRule>
    <cfRule type="expression" dxfId="12424" priority="3247">
      <formula>$AZ32="N.D."</formula>
    </cfRule>
    <cfRule type="expression" dxfId="12423" priority="3248">
      <formula>$AY32="N.D."</formula>
    </cfRule>
  </conditionalFormatting>
  <conditionalFormatting sqref="AM32">
    <cfRule type="expression" dxfId="12422" priority="3235">
      <formula>$A32="Overhead Cable"</formula>
    </cfRule>
    <cfRule type="expression" dxfId="12421" priority="3236">
      <formula>$A32="Level Crossing"</formula>
    </cfRule>
    <cfRule type="expression" dxfId="12420" priority="3237">
      <formula>$A32="Neutral Section"</formula>
    </cfRule>
    <cfRule type="expression" dxfId="12419" priority="3238">
      <formula>$A32="Tunnel"</formula>
    </cfRule>
    <cfRule type="expression" dxfId="12418" priority="3239">
      <formula>$A32="Bridge"</formula>
    </cfRule>
    <cfRule type="expression" dxfId="12417" priority="3240">
      <formula>$A32="Drainage Works"</formula>
    </cfRule>
    <cfRule type="expression" dxfId="12416" priority="3241">
      <formula>$A32="Underpass"</formula>
    </cfRule>
    <cfRule type="expression" dxfId="12415" priority="3242">
      <formula>$A32="Overcrossing"</formula>
    </cfRule>
    <cfRule type="expression" dxfId="12414" priority="3243">
      <formula>$A32="Overpass"</formula>
    </cfRule>
    <cfRule type="expression" dxfId="12413" priority="3244">
      <formula>$A32="Station"</formula>
    </cfRule>
    <cfRule type="expression" dxfId="12412" priority="3245">
      <formula>$A32="Overlap between sections"</formula>
    </cfRule>
  </conditionalFormatting>
  <conditionalFormatting sqref="AN32">
    <cfRule type="expression" dxfId="12411" priority="3061">
      <formula>$M32="NON DEFINED"</formula>
    </cfRule>
    <cfRule type="expression" dxfId="12410" priority="3062">
      <formula>$AZ32="N.D."</formula>
    </cfRule>
    <cfRule type="expression" dxfId="12409" priority="3063">
      <formula>$AY32="N.D."</formula>
    </cfRule>
  </conditionalFormatting>
  <conditionalFormatting sqref="AN32">
    <cfRule type="expression" dxfId="12408" priority="3050">
      <formula>$A32="Overhead Cable"</formula>
    </cfRule>
    <cfRule type="expression" dxfId="12407" priority="3051">
      <formula>$A32="Level Crossing"</formula>
    </cfRule>
    <cfRule type="expression" dxfId="12406" priority="3052">
      <formula>$A32="Neutral Section"</formula>
    </cfRule>
    <cfRule type="expression" dxfId="12405" priority="3053">
      <formula>$A32="Tunnel"</formula>
    </cfRule>
    <cfRule type="expression" dxfId="12404" priority="3054">
      <formula>$A32="Bridge"</formula>
    </cfRule>
    <cfRule type="expression" dxfId="12403" priority="3055">
      <formula>$A32="Drainage Works"</formula>
    </cfRule>
    <cfRule type="expression" dxfId="12402" priority="3056">
      <formula>$A32="Underpass"</formula>
    </cfRule>
    <cfRule type="expression" dxfId="12401" priority="3057">
      <formula>$A32="Overcrossing"</formula>
    </cfRule>
    <cfRule type="expression" dxfId="12400" priority="3058">
      <formula>$A32="Overpass"</formula>
    </cfRule>
    <cfRule type="expression" dxfId="12399" priority="3059">
      <formula>$A32="Station"</formula>
    </cfRule>
    <cfRule type="expression" dxfId="12398" priority="3060">
      <formula>$A32="Overlap between sections"</formula>
    </cfRule>
  </conditionalFormatting>
  <conditionalFormatting sqref="AN32">
    <cfRule type="cellIs" dxfId="12397" priority="3049" operator="notEqual">
      <formula>5.5</formula>
    </cfRule>
  </conditionalFormatting>
  <conditionalFormatting sqref="AN30">
    <cfRule type="expression" dxfId="12396" priority="3046">
      <formula>$M30="NON DEFINED"</formula>
    </cfRule>
    <cfRule type="expression" dxfId="12395" priority="3047">
      <formula>$AZ30="N.D."</formula>
    </cfRule>
    <cfRule type="expression" dxfId="12394" priority="3048">
      <formula>$AY30="N.D."</formula>
    </cfRule>
  </conditionalFormatting>
  <conditionalFormatting sqref="AN30">
    <cfRule type="expression" dxfId="12393" priority="3035">
      <formula>$A30="Overhead Cable"</formula>
    </cfRule>
    <cfRule type="expression" dxfId="12392" priority="3036">
      <formula>$A30="Level Crossing"</formula>
    </cfRule>
    <cfRule type="expression" dxfId="12391" priority="3037">
      <formula>$A30="Neutral Section"</formula>
    </cfRule>
    <cfRule type="expression" dxfId="12390" priority="3038">
      <formula>$A30="Tunnel"</formula>
    </cfRule>
    <cfRule type="expression" dxfId="12389" priority="3039">
      <formula>$A30="Bridge"</formula>
    </cfRule>
    <cfRule type="expression" dxfId="12388" priority="3040">
      <formula>$A30="Drainage Works"</formula>
    </cfRule>
    <cfRule type="expression" dxfId="12387" priority="3041">
      <formula>$A30="Underpass"</formula>
    </cfRule>
    <cfRule type="expression" dxfId="12386" priority="3042">
      <formula>$A30="Overcrossing"</formula>
    </cfRule>
    <cfRule type="expression" dxfId="12385" priority="3043">
      <formula>$A30="Overpass"</formula>
    </cfRule>
    <cfRule type="expression" dxfId="12384" priority="3044">
      <formula>$A30="Station"</formula>
    </cfRule>
    <cfRule type="expression" dxfId="12383" priority="3045">
      <formula>$A30="Overlap between sections"</formula>
    </cfRule>
  </conditionalFormatting>
  <conditionalFormatting sqref="AN30">
    <cfRule type="cellIs" dxfId="12382" priority="3034" operator="notEqual">
      <formula>5.5</formula>
    </cfRule>
  </conditionalFormatting>
  <conditionalFormatting sqref="AN28">
    <cfRule type="expression" dxfId="12381" priority="3031">
      <formula>$M28="NON DEFINED"</formula>
    </cfRule>
    <cfRule type="expression" dxfId="12380" priority="3032">
      <formula>$AZ28="N.D."</formula>
    </cfRule>
    <cfRule type="expression" dxfId="12379" priority="3033">
      <formula>$AY28="N.D."</formula>
    </cfRule>
  </conditionalFormatting>
  <conditionalFormatting sqref="AN28">
    <cfRule type="expression" dxfId="12378" priority="3020">
      <formula>$A28="Overhead Cable"</formula>
    </cfRule>
    <cfRule type="expression" dxfId="12377" priority="3021">
      <formula>$A28="Level Crossing"</formula>
    </cfRule>
    <cfRule type="expression" dxfId="12376" priority="3022">
      <formula>$A28="Neutral Section"</formula>
    </cfRule>
    <cfRule type="expression" dxfId="12375" priority="3023">
      <formula>$A28="Tunnel"</formula>
    </cfRule>
    <cfRule type="expression" dxfId="12374" priority="3024">
      <formula>$A28="Bridge"</formula>
    </cfRule>
    <cfRule type="expression" dxfId="12373" priority="3025">
      <formula>$A28="Drainage Works"</formula>
    </cfRule>
    <cfRule type="expression" dxfId="12372" priority="3026">
      <formula>$A28="Underpass"</formula>
    </cfRule>
    <cfRule type="expression" dxfId="12371" priority="3027">
      <formula>$A28="Overcrossing"</formula>
    </cfRule>
    <cfRule type="expression" dxfId="12370" priority="3028">
      <formula>$A28="Overpass"</formula>
    </cfRule>
    <cfRule type="expression" dxfId="12369" priority="3029">
      <formula>$A28="Station"</formula>
    </cfRule>
    <cfRule type="expression" dxfId="12368" priority="3030">
      <formula>$A28="Overlap between sections"</formula>
    </cfRule>
  </conditionalFormatting>
  <conditionalFormatting sqref="AN28">
    <cfRule type="cellIs" dxfId="12367" priority="3019" operator="notEqual">
      <formula>5.5</formula>
    </cfRule>
  </conditionalFormatting>
  <conditionalFormatting sqref="AN26">
    <cfRule type="expression" dxfId="12366" priority="3016">
      <formula>$M26="NON DEFINED"</formula>
    </cfRule>
    <cfRule type="expression" dxfId="12365" priority="3017">
      <formula>$AZ26="N.D."</formula>
    </cfRule>
    <cfRule type="expression" dxfId="12364" priority="3018">
      <formula>$AY26="N.D."</formula>
    </cfRule>
  </conditionalFormatting>
  <conditionalFormatting sqref="AN26">
    <cfRule type="expression" dxfId="12363" priority="3005">
      <formula>$A26="Overhead Cable"</formula>
    </cfRule>
    <cfRule type="expression" dxfId="12362" priority="3006">
      <formula>$A26="Level Crossing"</formula>
    </cfRule>
    <cfRule type="expression" dxfId="12361" priority="3007">
      <formula>$A26="Neutral Section"</formula>
    </cfRule>
    <cfRule type="expression" dxfId="12360" priority="3008">
      <formula>$A26="Tunnel"</formula>
    </cfRule>
    <cfRule type="expression" dxfId="12359" priority="3009">
      <formula>$A26="Bridge"</formula>
    </cfRule>
    <cfRule type="expression" dxfId="12358" priority="3010">
      <formula>$A26="Drainage Works"</formula>
    </cfRule>
    <cfRule type="expression" dxfId="12357" priority="3011">
      <formula>$A26="Underpass"</formula>
    </cfRule>
    <cfRule type="expression" dxfId="12356" priority="3012">
      <formula>$A26="Overcrossing"</formula>
    </cfRule>
    <cfRule type="expression" dxfId="12355" priority="3013">
      <formula>$A26="Overpass"</formula>
    </cfRule>
    <cfRule type="expression" dxfId="12354" priority="3014">
      <formula>$A26="Station"</formula>
    </cfRule>
    <cfRule type="expression" dxfId="12353" priority="3015">
      <formula>$A26="Overlap between sections"</formula>
    </cfRule>
  </conditionalFormatting>
  <conditionalFormatting sqref="AN26">
    <cfRule type="cellIs" dxfId="12352" priority="3004" operator="notEqual">
      <formula>5.5</formula>
    </cfRule>
  </conditionalFormatting>
  <conditionalFormatting sqref="AN25">
    <cfRule type="expression" dxfId="12351" priority="3001">
      <formula>$M25="NON DEFINED"</formula>
    </cfRule>
    <cfRule type="expression" dxfId="12350" priority="3002">
      <formula>$AZ25="N.D."</formula>
    </cfRule>
    <cfRule type="expression" dxfId="12349" priority="3003">
      <formula>$AY25="N.D."</formula>
    </cfRule>
  </conditionalFormatting>
  <conditionalFormatting sqref="AN25">
    <cfRule type="expression" dxfId="12348" priority="2990">
      <formula>$A25="Overhead Cable"</formula>
    </cfRule>
    <cfRule type="expression" dxfId="12347" priority="2991">
      <formula>$A25="Level Crossing"</formula>
    </cfRule>
    <cfRule type="expression" dxfId="12346" priority="2992">
      <formula>$A25="Neutral Section"</formula>
    </cfRule>
    <cfRule type="expression" dxfId="12345" priority="2993">
      <formula>$A25="Tunnel"</formula>
    </cfRule>
    <cfRule type="expression" dxfId="12344" priority="2994">
      <formula>$A25="Bridge"</formula>
    </cfRule>
    <cfRule type="expression" dxfId="12343" priority="2995">
      <formula>$A25="Drainage Works"</formula>
    </cfRule>
    <cfRule type="expression" dxfId="12342" priority="2996">
      <formula>$A25="Underpass"</formula>
    </cfRule>
    <cfRule type="expression" dxfId="12341" priority="2997">
      <formula>$A25="Overcrossing"</formula>
    </cfRule>
    <cfRule type="expression" dxfId="12340" priority="2998">
      <formula>$A25="Overpass"</formula>
    </cfRule>
    <cfRule type="expression" dxfId="12339" priority="2999">
      <formula>$A25="Station"</formula>
    </cfRule>
    <cfRule type="expression" dxfId="12338" priority="3000">
      <formula>$A25="Overlap between sections"</formula>
    </cfRule>
  </conditionalFormatting>
  <conditionalFormatting sqref="AN25">
    <cfRule type="cellIs" dxfId="12337" priority="2989" operator="notEqual">
      <formula>5.5</formula>
    </cfRule>
  </conditionalFormatting>
  <conditionalFormatting sqref="AN24">
    <cfRule type="expression" dxfId="12336" priority="2986">
      <formula>$M24="NON DEFINED"</formula>
    </cfRule>
    <cfRule type="expression" dxfId="12335" priority="2987">
      <formula>$AZ24="N.D."</formula>
    </cfRule>
    <cfRule type="expression" dxfId="12334" priority="2988">
      <formula>$AY24="N.D."</formula>
    </cfRule>
  </conditionalFormatting>
  <conditionalFormatting sqref="AN24">
    <cfRule type="expression" dxfId="12333" priority="2975">
      <formula>$A24="Overhead Cable"</formula>
    </cfRule>
    <cfRule type="expression" dxfId="12332" priority="2976">
      <formula>$A24="Level Crossing"</formula>
    </cfRule>
    <cfRule type="expression" dxfId="12331" priority="2977">
      <formula>$A24="Neutral Section"</formula>
    </cfRule>
    <cfRule type="expression" dxfId="12330" priority="2978">
      <formula>$A24="Tunnel"</formula>
    </cfRule>
    <cfRule type="expression" dxfId="12329" priority="2979">
      <formula>$A24="Bridge"</formula>
    </cfRule>
    <cfRule type="expression" dxfId="12328" priority="2980">
      <formula>$A24="Drainage Works"</formula>
    </cfRule>
    <cfRule type="expression" dxfId="12327" priority="2981">
      <formula>$A24="Underpass"</formula>
    </cfRule>
    <cfRule type="expression" dxfId="12326" priority="2982">
      <formula>$A24="Overcrossing"</formula>
    </cfRule>
    <cfRule type="expression" dxfId="12325" priority="2983">
      <formula>$A24="Overpass"</formula>
    </cfRule>
    <cfRule type="expression" dxfId="12324" priority="2984">
      <formula>$A24="Station"</formula>
    </cfRule>
    <cfRule type="expression" dxfId="12323" priority="2985">
      <formula>$A24="Overlap between sections"</formula>
    </cfRule>
  </conditionalFormatting>
  <conditionalFormatting sqref="AN24">
    <cfRule type="cellIs" dxfId="12322" priority="2974" operator="notEqual">
      <formula>5.5</formula>
    </cfRule>
  </conditionalFormatting>
  <conditionalFormatting sqref="AN22">
    <cfRule type="expression" dxfId="12321" priority="2971">
      <formula>$M22="NON DEFINED"</formula>
    </cfRule>
    <cfRule type="expression" dxfId="12320" priority="2972">
      <formula>$AZ22="N.D."</formula>
    </cfRule>
    <cfRule type="expression" dxfId="12319" priority="2973">
      <formula>$AY22="N.D."</formula>
    </cfRule>
  </conditionalFormatting>
  <conditionalFormatting sqref="AN22">
    <cfRule type="expression" dxfId="12318" priority="2960">
      <formula>$A22="Overhead Cable"</formula>
    </cfRule>
    <cfRule type="expression" dxfId="12317" priority="2961">
      <formula>$A22="Level Crossing"</formula>
    </cfRule>
    <cfRule type="expression" dxfId="12316" priority="2962">
      <formula>$A22="Neutral Section"</formula>
    </cfRule>
    <cfRule type="expression" dxfId="12315" priority="2963">
      <formula>$A22="Tunnel"</formula>
    </cfRule>
    <cfRule type="expression" dxfId="12314" priority="2964">
      <formula>$A22="Bridge"</formula>
    </cfRule>
    <cfRule type="expression" dxfId="12313" priority="2965">
      <formula>$A22="Drainage Works"</formula>
    </cfRule>
    <cfRule type="expression" dxfId="12312" priority="2966">
      <formula>$A22="Underpass"</formula>
    </cfRule>
    <cfRule type="expression" dxfId="12311" priority="2967">
      <formula>$A22="Overcrossing"</formula>
    </cfRule>
    <cfRule type="expression" dxfId="12310" priority="2968">
      <formula>$A22="Overpass"</formula>
    </cfRule>
    <cfRule type="expression" dxfId="12309" priority="2969">
      <formula>$A22="Station"</formula>
    </cfRule>
    <cfRule type="expression" dxfId="12308" priority="2970">
      <formula>$A22="Overlap between sections"</formula>
    </cfRule>
  </conditionalFormatting>
  <conditionalFormatting sqref="AN22">
    <cfRule type="cellIs" dxfId="12307" priority="2959" operator="notEqual">
      <formula>5.5</formula>
    </cfRule>
  </conditionalFormatting>
  <conditionalFormatting sqref="AN20">
    <cfRule type="expression" dxfId="12306" priority="2956">
      <formula>$M20="NON DEFINED"</formula>
    </cfRule>
    <cfRule type="expression" dxfId="12305" priority="2957">
      <formula>$AZ20="N.D."</formula>
    </cfRule>
    <cfRule type="expression" dxfId="12304" priority="2958">
      <formula>$AY20="N.D."</formula>
    </cfRule>
  </conditionalFormatting>
  <conditionalFormatting sqref="AN20">
    <cfRule type="expression" dxfId="12303" priority="2945">
      <formula>$A20="Overhead Cable"</formula>
    </cfRule>
    <cfRule type="expression" dxfId="12302" priority="2946">
      <formula>$A20="Level Crossing"</formula>
    </cfRule>
    <cfRule type="expression" dxfId="12301" priority="2947">
      <formula>$A20="Neutral Section"</formula>
    </cfRule>
    <cfRule type="expression" dxfId="12300" priority="2948">
      <formula>$A20="Tunnel"</formula>
    </cfRule>
    <cfRule type="expression" dxfId="12299" priority="2949">
      <formula>$A20="Bridge"</formula>
    </cfRule>
    <cfRule type="expression" dxfId="12298" priority="2950">
      <formula>$A20="Drainage Works"</formula>
    </cfRule>
    <cfRule type="expression" dxfId="12297" priority="2951">
      <formula>$A20="Underpass"</formula>
    </cfRule>
    <cfRule type="expression" dxfId="12296" priority="2952">
      <formula>$A20="Overcrossing"</formula>
    </cfRule>
    <cfRule type="expression" dxfId="12295" priority="2953">
      <formula>$A20="Overpass"</formula>
    </cfRule>
    <cfRule type="expression" dxfId="12294" priority="2954">
      <formula>$A20="Station"</formula>
    </cfRule>
    <cfRule type="expression" dxfId="12293" priority="2955">
      <formula>$A20="Overlap between sections"</formula>
    </cfRule>
  </conditionalFormatting>
  <conditionalFormatting sqref="AN20">
    <cfRule type="cellIs" dxfId="12292" priority="2944" operator="notEqual">
      <formula>5.5</formula>
    </cfRule>
  </conditionalFormatting>
  <conditionalFormatting sqref="AN18">
    <cfRule type="expression" dxfId="12291" priority="2941">
      <formula>$M18="NON DEFINED"</formula>
    </cfRule>
    <cfRule type="expression" dxfId="12290" priority="2942">
      <formula>$AZ18="N.D."</formula>
    </cfRule>
    <cfRule type="expression" dxfId="12289" priority="2943">
      <formula>$AY18="N.D."</formula>
    </cfRule>
  </conditionalFormatting>
  <conditionalFormatting sqref="AN18">
    <cfRule type="expression" dxfId="12288" priority="2930">
      <formula>$A18="Overhead Cable"</formula>
    </cfRule>
    <cfRule type="expression" dxfId="12287" priority="2931">
      <formula>$A18="Level Crossing"</formula>
    </cfRule>
    <cfRule type="expression" dxfId="12286" priority="2932">
      <formula>$A18="Neutral Section"</formula>
    </cfRule>
    <cfRule type="expression" dxfId="12285" priority="2933">
      <formula>$A18="Tunnel"</formula>
    </cfRule>
    <cfRule type="expression" dxfId="12284" priority="2934">
      <formula>$A18="Bridge"</formula>
    </cfRule>
    <cfRule type="expression" dxfId="12283" priority="2935">
      <formula>$A18="Drainage Works"</formula>
    </cfRule>
    <cfRule type="expression" dxfId="12282" priority="2936">
      <formula>$A18="Underpass"</formula>
    </cfRule>
    <cfRule type="expression" dxfId="12281" priority="2937">
      <formula>$A18="Overcrossing"</formula>
    </cfRule>
    <cfRule type="expression" dxfId="12280" priority="2938">
      <formula>$A18="Overpass"</formula>
    </cfRule>
    <cfRule type="expression" dxfId="12279" priority="2939">
      <formula>$A18="Station"</formula>
    </cfRule>
    <cfRule type="expression" dxfId="12278" priority="2940">
      <formula>$A18="Overlap between sections"</formula>
    </cfRule>
  </conditionalFormatting>
  <conditionalFormatting sqref="AN18">
    <cfRule type="cellIs" dxfId="12277" priority="2929" operator="notEqual">
      <formula>5.5</formula>
    </cfRule>
  </conditionalFormatting>
  <conditionalFormatting sqref="AW18">
    <cfRule type="expression" dxfId="12276" priority="2759">
      <formula>$M18="NON DEFINED"</formula>
    </cfRule>
    <cfRule type="expression" dxfId="12275" priority="2760">
      <formula>$AY18="N.D."</formula>
    </cfRule>
  </conditionalFormatting>
  <conditionalFormatting sqref="AW18">
    <cfRule type="cellIs" dxfId="12274" priority="2758" operator="equal">
      <formula>0</formula>
    </cfRule>
  </conditionalFormatting>
  <conditionalFormatting sqref="AX18">
    <cfRule type="expression" dxfId="12273" priority="2756">
      <formula>$M18="NON DEFINED"</formula>
    </cfRule>
    <cfRule type="expression" dxfId="12272" priority="2757">
      <formula>$AY18="N.D."</formula>
    </cfRule>
  </conditionalFormatting>
  <conditionalFormatting sqref="AX18">
    <cfRule type="cellIs" dxfId="12271" priority="2755" operator="equal">
      <formula>0</formula>
    </cfRule>
  </conditionalFormatting>
  <conditionalFormatting sqref="AW20">
    <cfRule type="expression" dxfId="12270" priority="2753">
      <formula>$M20="NON DEFINED"</formula>
    </cfRule>
    <cfRule type="expression" dxfId="12269" priority="2754">
      <formula>$AY20="N.D."</formula>
    </cfRule>
  </conditionalFormatting>
  <conditionalFormatting sqref="AW20">
    <cfRule type="cellIs" dxfId="12268" priority="2752" operator="equal">
      <formula>0</formula>
    </cfRule>
  </conditionalFormatting>
  <conditionalFormatting sqref="AX20">
    <cfRule type="expression" dxfId="12267" priority="2750">
      <formula>$M20="NON DEFINED"</formula>
    </cfRule>
    <cfRule type="expression" dxfId="12266" priority="2751">
      <formula>$AY20="N.D."</formula>
    </cfRule>
  </conditionalFormatting>
  <conditionalFormatting sqref="AX20">
    <cfRule type="cellIs" dxfId="12265" priority="2749" operator="equal">
      <formula>0</formula>
    </cfRule>
  </conditionalFormatting>
  <conditionalFormatting sqref="AW22">
    <cfRule type="expression" dxfId="12264" priority="2747">
      <formula>$M22="NON DEFINED"</formula>
    </cfRule>
    <cfRule type="expression" dxfId="12263" priority="2748">
      <formula>$AY22="N.D."</formula>
    </cfRule>
  </conditionalFormatting>
  <conditionalFormatting sqref="AW22">
    <cfRule type="cellIs" dxfId="12262" priority="2746" operator="equal">
      <formula>0</formula>
    </cfRule>
  </conditionalFormatting>
  <conditionalFormatting sqref="AX22">
    <cfRule type="expression" dxfId="12261" priority="2744">
      <formula>$M22="NON DEFINED"</formula>
    </cfRule>
    <cfRule type="expression" dxfId="12260" priority="2745">
      <formula>$AY22="N.D."</formula>
    </cfRule>
  </conditionalFormatting>
  <conditionalFormatting sqref="AX22">
    <cfRule type="cellIs" dxfId="12259" priority="2743" operator="equal">
      <formula>0</formula>
    </cfRule>
  </conditionalFormatting>
  <conditionalFormatting sqref="AW24">
    <cfRule type="expression" dxfId="12258" priority="2741">
      <formula>$M24="NON DEFINED"</formula>
    </cfRule>
    <cfRule type="expression" dxfId="12257" priority="2742">
      <formula>$AY24="N.D."</formula>
    </cfRule>
  </conditionalFormatting>
  <conditionalFormatting sqref="AW24">
    <cfRule type="cellIs" dxfId="12256" priority="2740" operator="equal">
      <formula>0</formula>
    </cfRule>
  </conditionalFormatting>
  <conditionalFormatting sqref="AX24">
    <cfRule type="expression" dxfId="12255" priority="2738">
      <formula>$M24="NON DEFINED"</formula>
    </cfRule>
    <cfRule type="expression" dxfId="12254" priority="2739">
      <formula>$AY24="N.D."</formula>
    </cfRule>
  </conditionalFormatting>
  <conditionalFormatting sqref="AX24">
    <cfRule type="cellIs" dxfId="12253" priority="2737" operator="equal">
      <formula>0</formula>
    </cfRule>
  </conditionalFormatting>
  <conditionalFormatting sqref="AW25">
    <cfRule type="expression" dxfId="12252" priority="2735">
      <formula>$M25="NON DEFINED"</formula>
    </cfRule>
    <cfRule type="expression" dxfId="12251" priority="2736">
      <formula>$AY25="N.D."</formula>
    </cfRule>
  </conditionalFormatting>
  <conditionalFormatting sqref="AW25">
    <cfRule type="cellIs" dxfId="12250" priority="2734" operator="equal">
      <formula>0</formula>
    </cfRule>
  </conditionalFormatting>
  <conditionalFormatting sqref="AX25">
    <cfRule type="expression" dxfId="12249" priority="2732">
      <formula>$M25="NON DEFINED"</formula>
    </cfRule>
    <cfRule type="expression" dxfId="12248" priority="2733">
      <formula>$AY25="N.D."</formula>
    </cfRule>
  </conditionalFormatting>
  <conditionalFormatting sqref="AX25">
    <cfRule type="cellIs" dxfId="12247" priority="2731" operator="equal">
      <formula>0</formula>
    </cfRule>
  </conditionalFormatting>
  <conditionalFormatting sqref="AW28">
    <cfRule type="expression" dxfId="12246" priority="2723">
      <formula>$M28="NON DEFINED"</formula>
    </cfRule>
    <cfRule type="expression" dxfId="12245" priority="2724">
      <formula>$AY28="N.D."</formula>
    </cfRule>
  </conditionalFormatting>
  <conditionalFormatting sqref="AW28">
    <cfRule type="cellIs" dxfId="12244" priority="2722" operator="equal">
      <formula>0</formula>
    </cfRule>
  </conditionalFormatting>
  <conditionalFormatting sqref="AX28">
    <cfRule type="expression" dxfId="12243" priority="2720">
      <formula>$M28="NON DEFINED"</formula>
    </cfRule>
    <cfRule type="expression" dxfId="12242" priority="2721">
      <formula>$AY28="N.D."</formula>
    </cfRule>
  </conditionalFormatting>
  <conditionalFormatting sqref="AX28">
    <cfRule type="cellIs" dxfId="12241" priority="2719" operator="equal">
      <formula>0</formula>
    </cfRule>
  </conditionalFormatting>
  <conditionalFormatting sqref="AW30">
    <cfRule type="expression" dxfId="12240" priority="2717">
      <formula>$M30="NON DEFINED"</formula>
    </cfRule>
    <cfRule type="expression" dxfId="12239" priority="2718">
      <formula>$AY30="N.D."</formula>
    </cfRule>
  </conditionalFormatting>
  <conditionalFormatting sqref="AW30">
    <cfRule type="cellIs" dxfId="12238" priority="2716" operator="equal">
      <formula>0</formula>
    </cfRule>
  </conditionalFormatting>
  <conditionalFormatting sqref="AX30">
    <cfRule type="expression" dxfId="12237" priority="2714">
      <formula>$M30="NON DEFINED"</formula>
    </cfRule>
    <cfRule type="expression" dxfId="12236" priority="2715">
      <formula>$AY30="N.D."</formula>
    </cfRule>
  </conditionalFormatting>
  <conditionalFormatting sqref="AX30">
    <cfRule type="cellIs" dxfId="12235" priority="2713" operator="equal">
      <formula>0</formula>
    </cfRule>
  </conditionalFormatting>
  <conditionalFormatting sqref="AW32">
    <cfRule type="expression" dxfId="12234" priority="2711">
      <formula>$M32="NON DEFINED"</formula>
    </cfRule>
    <cfRule type="expression" dxfId="12233" priority="2712">
      <formula>$AY32="N.D."</formula>
    </cfRule>
  </conditionalFormatting>
  <conditionalFormatting sqref="AW32">
    <cfRule type="cellIs" dxfId="12232" priority="2710" operator="equal">
      <formula>0</formula>
    </cfRule>
  </conditionalFormatting>
  <conditionalFormatting sqref="AX32">
    <cfRule type="expression" dxfId="12231" priority="2708">
      <formula>$M32="NON DEFINED"</formula>
    </cfRule>
    <cfRule type="expression" dxfId="12230" priority="2709">
      <formula>$AY32="N.D."</formula>
    </cfRule>
  </conditionalFormatting>
  <conditionalFormatting sqref="AX32">
    <cfRule type="cellIs" dxfId="12229" priority="2707" operator="equal">
      <formula>0</formula>
    </cfRule>
  </conditionalFormatting>
  <conditionalFormatting sqref="BD26">
    <cfRule type="containsText" dxfId="12228" priority="7771" operator="containsText" text="Poner a mano">
      <formula>NOT(ISERROR(SEARCH("Poner a mano",BD26)))</formula>
    </cfRule>
  </conditionalFormatting>
  <conditionalFormatting sqref="BD23">
    <cfRule type="containsText" dxfId="12227" priority="1991" operator="containsText" text="Poner a mano">
      <formula>NOT(ISERROR(SEARCH("Poner a mano",BD23)))</formula>
    </cfRule>
  </conditionalFormatting>
  <conditionalFormatting sqref="BD24">
    <cfRule type="containsText" dxfId="12226" priority="1990" operator="containsText" text="Poner a mano">
      <formula>NOT(ISERROR(SEARCH("Poner a mano",BD24)))</formula>
    </cfRule>
  </conditionalFormatting>
  <conditionalFormatting sqref="BD28">
    <cfRule type="containsText" dxfId="12225" priority="1989" operator="containsText" text="Poner a mano">
      <formula>NOT(ISERROR(SEARCH("Poner a mano",BD28)))</formula>
    </cfRule>
  </conditionalFormatting>
  <conditionalFormatting sqref="BF6:BG6 BI6 BF8:BG8 BF10:BG10 BF12:BG12 BF14:BG14 BF16:BG16 BF18:BG18 BF20:BG20 BF22:BG22 BF24:BG24 BF26:BG26 BF28:BG28 BF30:BG30 BF32:BG32 BF34:BG34 BF36:BG36 BF38:BG38 BI8 BI10 BI12 BI14 BI16 BI18 BI20 BI22 BI24 BI26 BI28 BI30 BI32 BI34 BI36 BI38">
    <cfRule type="containsBlanks" dxfId="12224" priority="1916">
      <formula>LEN(TRIM(BF6))=0</formula>
    </cfRule>
  </conditionalFormatting>
  <conditionalFormatting sqref="AG10:AG17 AZ10:AZ17 J10:J17 G10:H17 AO10:AS17 B10:E14 C15:E17 B15:B24">
    <cfRule type="expression" dxfId="12223" priority="1913">
      <formula>$M10="NON DEFINED"</formula>
    </cfRule>
    <cfRule type="expression" dxfId="12222" priority="1914">
      <formula>$AZ10="N.D."</formula>
    </cfRule>
    <cfRule type="expression" dxfId="12221" priority="1915">
      <formula>$AY10="N.D."</formula>
    </cfRule>
  </conditionalFormatting>
  <conditionalFormatting sqref="AY10:AY17">
    <cfRule type="expression" dxfId="12220" priority="1910">
      <formula>$M10="NON DEFINED"</formula>
    </cfRule>
    <cfRule type="expression" dxfId="12219" priority="1911">
      <formula>$AZ10="N.D."</formula>
    </cfRule>
    <cfRule type="expression" dxfId="12218" priority="1912">
      <formula>$AY10="N.D."</formula>
    </cfRule>
  </conditionalFormatting>
  <conditionalFormatting sqref="J10:J17 AG10:AG17 G10:H17 AY10:AZ17 AO10:AS17 A10:E14 A15 C15:E17 B15:B24 A17">
    <cfRule type="expression" dxfId="12217" priority="1899">
      <formula>$A10="Overhead Cable"</formula>
    </cfRule>
    <cfRule type="expression" dxfId="12216" priority="1900">
      <formula>$A10="Level Crossing"</formula>
    </cfRule>
    <cfRule type="expression" dxfId="12215" priority="1901">
      <formula>$A10="Neutral Section"</formula>
    </cfRule>
    <cfRule type="expression" dxfId="12214" priority="1902">
      <formula>$A10="Tunnel"</formula>
    </cfRule>
    <cfRule type="expression" dxfId="12213" priority="1903">
      <formula>$A10="Bridge"</formula>
    </cfRule>
    <cfRule type="expression" dxfId="12212" priority="1904">
      <formula>$A10="Drainage Works"</formula>
    </cfRule>
    <cfRule type="expression" dxfId="12211" priority="1905">
      <formula>$A10="Underpass"</formula>
    </cfRule>
    <cfRule type="expression" dxfId="12210" priority="1906">
      <formula>$A10="Overcrossing"</formula>
    </cfRule>
    <cfRule type="expression" dxfId="12209" priority="1907">
      <formula>$A10="Overpass"</formula>
    </cfRule>
    <cfRule type="expression" dxfId="12208" priority="1908">
      <formula>$A10="Station"</formula>
    </cfRule>
    <cfRule type="expression" dxfId="12207" priority="1909">
      <formula>$A10="Overlap between sections"</formula>
    </cfRule>
  </conditionalFormatting>
  <conditionalFormatting sqref="AO10:AP17">
    <cfRule type="cellIs" dxfId="12206" priority="1898" operator="notEqual">
      <formula>5.5</formula>
    </cfRule>
  </conditionalFormatting>
  <conditionalFormatting sqref="B10:B24">
    <cfRule type="expression" dxfId="12205" priority="1897">
      <formula>AND($AH10&gt;2499,$AH10&lt;2901)</formula>
    </cfRule>
  </conditionalFormatting>
  <conditionalFormatting sqref="I10:I17">
    <cfRule type="expression" dxfId="12204" priority="1894">
      <formula>$M10="NON DEFINED"</formula>
    </cfRule>
    <cfRule type="expression" dxfId="12203" priority="1895">
      <formula>$AZ10="N.D."</formula>
    </cfRule>
    <cfRule type="expression" dxfId="12202" priority="1896">
      <formula>$AY10="N.D."</formula>
    </cfRule>
  </conditionalFormatting>
  <conditionalFormatting sqref="I10:I17">
    <cfRule type="expression" dxfId="12201" priority="1883">
      <formula>$A10="Overhead Cable"</formula>
    </cfRule>
    <cfRule type="expression" dxfId="12200" priority="1884">
      <formula>$A10="Level Crossing"</formula>
    </cfRule>
    <cfRule type="expression" dxfId="12199" priority="1885">
      <formula>$A10="Neutral Section"</formula>
    </cfRule>
    <cfRule type="expression" dxfId="12198" priority="1886">
      <formula>$A10="Tunnel"</formula>
    </cfRule>
    <cfRule type="expression" dxfId="12197" priority="1887">
      <formula>$A10="Bridge"</formula>
    </cfRule>
    <cfRule type="expression" dxfId="12196" priority="1888">
      <formula>$A10="Drainage Works"</formula>
    </cfRule>
    <cfRule type="expression" dxfId="12195" priority="1889">
      <formula>$A10="Underpass"</formula>
    </cfRule>
    <cfRule type="expression" dxfId="12194" priority="1890">
      <formula>$A10="Overcrossing"</formula>
    </cfRule>
    <cfRule type="expression" dxfId="12193" priority="1891">
      <formula>$A10="Overpass"</formula>
    </cfRule>
    <cfRule type="expression" dxfId="12192" priority="1892">
      <formula>$A10="Station"</formula>
    </cfRule>
    <cfRule type="expression" dxfId="12191" priority="1893">
      <formula>$A10="Overlap between sections"</formula>
    </cfRule>
  </conditionalFormatting>
  <conditionalFormatting sqref="K10:K17">
    <cfRule type="expression" dxfId="12190" priority="1880">
      <formula>$M10="NON DEFINED"</formula>
    </cfRule>
    <cfRule type="expression" dxfId="12189" priority="1881">
      <formula>$AZ10="N.D."</formula>
    </cfRule>
    <cfRule type="expression" dxfId="12188" priority="1882">
      <formula>$AY10="N.D."</formula>
    </cfRule>
  </conditionalFormatting>
  <conditionalFormatting sqref="K10:K17">
    <cfRule type="expression" dxfId="12187" priority="1869">
      <formula>$A10="Overhead Cable"</formula>
    </cfRule>
    <cfRule type="expression" dxfId="12186" priority="1870">
      <formula>$A10="Level Crossing"</formula>
    </cfRule>
    <cfRule type="expression" dxfId="12185" priority="1871">
      <formula>$A10="Neutral Section"</formula>
    </cfRule>
    <cfRule type="expression" dxfId="12184" priority="1872">
      <formula>$A10="Tunnel"</formula>
    </cfRule>
    <cfRule type="expression" dxfId="12183" priority="1873">
      <formula>$A10="Bridge"</formula>
    </cfRule>
    <cfRule type="expression" dxfId="12182" priority="1874">
      <formula>$A10="Drainage Works"</formula>
    </cfRule>
    <cfRule type="expression" dxfId="12181" priority="1875">
      <formula>$A10="Underpass"</formula>
    </cfRule>
    <cfRule type="expression" dxfId="12180" priority="1876">
      <formula>$A10="Overcrossing"</formula>
    </cfRule>
    <cfRule type="expression" dxfId="12179" priority="1877">
      <formula>$A10="Overpass"</formula>
    </cfRule>
    <cfRule type="expression" dxfId="12178" priority="1878">
      <formula>$A10="Station"</formula>
    </cfRule>
    <cfRule type="expression" dxfId="12177" priority="1879">
      <formula>$A10="Overlap between sections"</formula>
    </cfRule>
  </conditionalFormatting>
  <conditionalFormatting sqref="L10:L17">
    <cfRule type="expression" dxfId="12176" priority="1866">
      <formula>$M10="NON DEFINED"</formula>
    </cfRule>
    <cfRule type="expression" dxfId="12175" priority="1867">
      <formula>$AZ10="N.D."</formula>
    </cfRule>
    <cfRule type="expression" dxfId="12174" priority="1868">
      <formula>$AY10="N.D."</formula>
    </cfRule>
  </conditionalFormatting>
  <conditionalFormatting sqref="L10:L17">
    <cfRule type="expression" dxfId="12173" priority="1855">
      <formula>$A10="Overhead Cable"</formula>
    </cfRule>
    <cfRule type="expression" dxfId="12172" priority="1856">
      <formula>$A10="Level Crossing"</formula>
    </cfRule>
    <cfRule type="expression" dxfId="12171" priority="1857">
      <formula>$A10="Neutral Section"</formula>
    </cfRule>
    <cfRule type="expression" dxfId="12170" priority="1858">
      <formula>$A10="Tunnel"</formula>
    </cfRule>
    <cfRule type="expression" dxfId="12169" priority="1859">
      <formula>$A10="Bridge"</formula>
    </cfRule>
    <cfRule type="expression" dxfId="12168" priority="1860">
      <formula>$A10="Drainage Works"</formula>
    </cfRule>
    <cfRule type="expression" dxfId="12167" priority="1861">
      <formula>$A10="Underpass"</formula>
    </cfRule>
    <cfRule type="expression" dxfId="12166" priority="1862">
      <formula>$A10="Overcrossing"</formula>
    </cfRule>
    <cfRule type="expression" dxfId="12165" priority="1863">
      <formula>$A10="Overpass"</formula>
    </cfRule>
    <cfRule type="expression" dxfId="12164" priority="1864">
      <formula>$A10="Station"</formula>
    </cfRule>
    <cfRule type="expression" dxfId="12163" priority="1865">
      <formula>$A10="Overlap between sections"</formula>
    </cfRule>
  </conditionalFormatting>
  <conditionalFormatting sqref="M10:M17">
    <cfRule type="expression" dxfId="12162" priority="1852">
      <formula>$M10="NON DEFINED"</formula>
    </cfRule>
    <cfRule type="expression" dxfId="12161" priority="1853">
      <formula>$AZ10="N.D."</formula>
    </cfRule>
    <cfRule type="expression" dxfId="12160" priority="1854">
      <formula>$AY10="N.D."</formula>
    </cfRule>
  </conditionalFormatting>
  <conditionalFormatting sqref="M10:M17">
    <cfRule type="expression" dxfId="12159" priority="1841">
      <formula>$A10="Overhead Cable"</formula>
    </cfRule>
    <cfRule type="expression" dxfId="12158" priority="1842">
      <formula>$A10="Level Crossing"</formula>
    </cfRule>
    <cfRule type="expression" dxfId="12157" priority="1843">
      <formula>$A10="Neutral Section"</formula>
    </cfRule>
    <cfRule type="expression" dxfId="12156" priority="1844">
      <formula>$A10="Tunnel"</formula>
    </cfRule>
    <cfRule type="expression" dxfId="12155" priority="1845">
      <formula>$A10="Bridge"</formula>
    </cfRule>
    <cfRule type="expression" dxfId="12154" priority="1846">
      <formula>$A10="Drainage Works"</formula>
    </cfRule>
    <cfRule type="expression" dxfId="12153" priority="1847">
      <formula>$A10="Underpass"</formula>
    </cfRule>
    <cfRule type="expression" dxfId="12152" priority="1848">
      <formula>$A10="Overcrossing"</formula>
    </cfRule>
    <cfRule type="expression" dxfId="12151" priority="1849">
      <formula>$A10="Overpass"</formula>
    </cfRule>
    <cfRule type="expression" dxfId="12150" priority="1850">
      <formula>$A10="Station"</formula>
    </cfRule>
    <cfRule type="expression" dxfId="12149" priority="1851">
      <formula>$A10="Overlap between sections"</formula>
    </cfRule>
  </conditionalFormatting>
  <conditionalFormatting sqref="N10:N17">
    <cfRule type="expression" dxfId="12148" priority="1838">
      <formula>$M10="NON DEFINED"</formula>
    </cfRule>
    <cfRule type="expression" dxfId="12147" priority="1839">
      <formula>$AZ10="N.D."</formula>
    </cfRule>
    <cfRule type="expression" dxfId="12146" priority="1840">
      <formula>$AY10="N.D."</formula>
    </cfRule>
  </conditionalFormatting>
  <conditionalFormatting sqref="N10:N17">
    <cfRule type="expression" dxfId="12145" priority="1827">
      <formula>$A10="Overhead Cable"</formula>
    </cfRule>
    <cfRule type="expression" dxfId="12144" priority="1828">
      <formula>$A10="Level Crossing"</formula>
    </cfRule>
    <cfRule type="expression" dxfId="12143" priority="1829">
      <formula>$A10="Neutral Section"</formula>
    </cfRule>
    <cfRule type="expression" dxfId="12142" priority="1830">
      <formula>$A10="Tunnel"</formula>
    </cfRule>
    <cfRule type="expression" dxfId="12141" priority="1831">
      <formula>$A10="Bridge"</formula>
    </cfRule>
    <cfRule type="expression" dxfId="12140" priority="1832">
      <formula>$A10="Drainage Works"</formula>
    </cfRule>
    <cfRule type="expression" dxfId="12139" priority="1833">
      <formula>$A10="Underpass"</formula>
    </cfRule>
    <cfRule type="expression" dxfId="12138" priority="1834">
      <formula>$A10="Overcrossing"</formula>
    </cfRule>
    <cfRule type="expression" dxfId="12137" priority="1835">
      <formula>$A10="Overpass"</formula>
    </cfRule>
    <cfRule type="expression" dxfId="12136" priority="1836">
      <formula>$A10="Station"</formula>
    </cfRule>
    <cfRule type="expression" dxfId="12135" priority="1837">
      <formula>$A10="Overlap between sections"</formula>
    </cfRule>
  </conditionalFormatting>
  <conditionalFormatting sqref="O10:O17">
    <cfRule type="expression" dxfId="12134" priority="1824">
      <formula>$M10="NON DEFINED"</formula>
    </cfRule>
    <cfRule type="expression" dxfId="12133" priority="1825">
      <formula>$AZ10="N.D."</formula>
    </cfRule>
    <cfRule type="expression" dxfId="12132" priority="1826">
      <formula>$AY10="N.D."</formula>
    </cfRule>
  </conditionalFormatting>
  <conditionalFormatting sqref="O10:O17">
    <cfRule type="expression" dxfId="12131" priority="1813">
      <formula>$A10="Overhead Cable"</formula>
    </cfRule>
    <cfRule type="expression" dxfId="12130" priority="1814">
      <formula>$A10="Level Crossing"</formula>
    </cfRule>
    <cfRule type="expression" dxfId="12129" priority="1815">
      <formula>$A10="Neutral Section"</formula>
    </cfRule>
    <cfRule type="expression" dxfId="12128" priority="1816">
      <formula>$A10="Tunnel"</formula>
    </cfRule>
    <cfRule type="expression" dxfId="12127" priority="1817">
      <formula>$A10="Bridge"</formula>
    </cfRule>
    <cfRule type="expression" dxfId="12126" priority="1818">
      <formula>$A10="Drainage Works"</formula>
    </cfRule>
    <cfRule type="expression" dxfId="12125" priority="1819">
      <formula>$A10="Underpass"</formula>
    </cfRule>
    <cfRule type="expression" dxfId="12124" priority="1820">
      <formula>$A10="Overcrossing"</formula>
    </cfRule>
    <cfRule type="expression" dxfId="12123" priority="1821">
      <formula>$A10="Overpass"</formula>
    </cfRule>
    <cfRule type="expression" dxfId="12122" priority="1822">
      <formula>$A10="Station"</formula>
    </cfRule>
    <cfRule type="expression" dxfId="12121" priority="1823">
      <formula>$A10="Overlap between sections"</formula>
    </cfRule>
  </conditionalFormatting>
  <conditionalFormatting sqref="P10:P17">
    <cfRule type="expression" dxfId="12120" priority="1810">
      <formula>$M10="NON DEFINED"</formula>
    </cfRule>
    <cfRule type="expression" dxfId="12119" priority="1811">
      <formula>$AZ10="N.D."</formula>
    </cfRule>
    <cfRule type="expression" dxfId="12118" priority="1812">
      <formula>$AY10="N.D."</formula>
    </cfRule>
  </conditionalFormatting>
  <conditionalFormatting sqref="P10:P17">
    <cfRule type="expression" dxfId="12117" priority="1799">
      <formula>$A10="Overhead Cable"</formula>
    </cfRule>
    <cfRule type="expression" dxfId="12116" priority="1800">
      <formula>$A10="Level Crossing"</formula>
    </cfRule>
    <cfRule type="expression" dxfId="12115" priority="1801">
      <formula>$A10="Neutral Section"</formula>
    </cfRule>
    <cfRule type="expression" dxfId="12114" priority="1802">
      <formula>$A10="Tunnel"</formula>
    </cfRule>
    <cfRule type="expression" dxfId="12113" priority="1803">
      <formula>$A10="Bridge"</formula>
    </cfRule>
    <cfRule type="expression" dxfId="12112" priority="1804">
      <formula>$A10="Drainage Works"</formula>
    </cfRule>
    <cfRule type="expression" dxfId="12111" priority="1805">
      <formula>$A10="Underpass"</formula>
    </cfRule>
    <cfRule type="expression" dxfId="12110" priority="1806">
      <formula>$A10="Overcrossing"</formula>
    </cfRule>
    <cfRule type="expression" dxfId="12109" priority="1807">
      <formula>$A10="Overpass"</formula>
    </cfRule>
    <cfRule type="expression" dxfId="12108" priority="1808">
      <formula>$A10="Station"</formula>
    </cfRule>
    <cfRule type="expression" dxfId="12107" priority="1809">
      <formula>$A10="Overlap between sections"</formula>
    </cfRule>
  </conditionalFormatting>
  <conditionalFormatting sqref="AC10:AC17">
    <cfRule type="expression" dxfId="12106" priority="1796">
      <formula>$M10="NON DEFINED"</formula>
    </cfRule>
    <cfRule type="expression" dxfId="12105" priority="1797">
      <formula>$AZ10="N.D."</formula>
    </cfRule>
    <cfRule type="expression" dxfId="12104" priority="1798">
      <formula>$AY10="N.D."</formula>
    </cfRule>
  </conditionalFormatting>
  <conditionalFormatting sqref="AC10:AC17">
    <cfRule type="expression" dxfId="12103" priority="1785">
      <formula>$A10="Overhead Cable"</formula>
    </cfRule>
    <cfRule type="expression" dxfId="12102" priority="1786">
      <formula>$A10="Level Crossing"</formula>
    </cfRule>
    <cfRule type="expression" dxfId="12101" priority="1787">
      <formula>$A10="Neutral Section"</formula>
    </cfRule>
    <cfRule type="expression" dxfId="12100" priority="1788">
      <formula>$A10="Tunnel"</formula>
    </cfRule>
    <cfRule type="expression" dxfId="12099" priority="1789">
      <formula>$A10="Bridge"</formula>
    </cfRule>
    <cfRule type="expression" dxfId="12098" priority="1790">
      <formula>$A10="Drainage Works"</formula>
    </cfRule>
    <cfRule type="expression" dxfId="12097" priority="1791">
      <formula>$A10="Underpass"</formula>
    </cfRule>
    <cfRule type="expression" dxfId="12096" priority="1792">
      <formula>$A10="Overcrossing"</formula>
    </cfRule>
    <cfRule type="expression" dxfId="12095" priority="1793">
      <formula>$A10="Overpass"</formula>
    </cfRule>
    <cfRule type="expression" dxfId="12094" priority="1794">
      <formula>$A10="Station"</formula>
    </cfRule>
    <cfRule type="expression" dxfId="12093" priority="1795">
      <formula>$A10="Overlap between sections"</formula>
    </cfRule>
  </conditionalFormatting>
  <conditionalFormatting sqref="AD10:AD17">
    <cfRule type="expression" dxfId="12092" priority="1782">
      <formula>$M10="NON DEFINED"</formula>
    </cfRule>
    <cfRule type="expression" dxfId="12091" priority="1783">
      <formula>$AZ10="N.D."</formula>
    </cfRule>
    <cfRule type="expression" dxfId="12090" priority="1784">
      <formula>$AY10="N.D."</formula>
    </cfRule>
  </conditionalFormatting>
  <conditionalFormatting sqref="AD10:AD17">
    <cfRule type="expression" dxfId="12089" priority="1771">
      <formula>$A10="Overhead Cable"</formula>
    </cfRule>
    <cfRule type="expression" dxfId="12088" priority="1772">
      <formula>$A10="Level Crossing"</formula>
    </cfRule>
    <cfRule type="expression" dxfId="12087" priority="1773">
      <formula>$A10="Neutral Section"</formula>
    </cfRule>
    <cfRule type="expression" dxfId="12086" priority="1774">
      <formula>$A10="Tunnel"</formula>
    </cfRule>
    <cfRule type="expression" dxfId="12085" priority="1775">
      <formula>$A10="Bridge"</formula>
    </cfRule>
    <cfRule type="expression" dxfId="12084" priority="1776">
      <formula>$A10="Drainage Works"</formula>
    </cfRule>
    <cfRule type="expression" dxfId="12083" priority="1777">
      <formula>$A10="Underpass"</formula>
    </cfRule>
    <cfRule type="expression" dxfId="12082" priority="1778">
      <formula>$A10="Overcrossing"</formula>
    </cfRule>
    <cfRule type="expression" dxfId="12081" priority="1779">
      <formula>$A10="Overpass"</formula>
    </cfRule>
    <cfRule type="expression" dxfId="12080" priority="1780">
      <formula>$A10="Station"</formula>
    </cfRule>
    <cfRule type="expression" dxfId="12079" priority="1781">
      <formula>$A10="Overlap between sections"</formula>
    </cfRule>
  </conditionalFormatting>
  <conditionalFormatting sqref="AE10:AE17">
    <cfRule type="expression" dxfId="12078" priority="1768">
      <formula>$M10="NON DEFINED"</formula>
    </cfRule>
    <cfRule type="expression" dxfId="12077" priority="1769">
      <formula>$AZ10="N.D."</formula>
    </cfRule>
    <cfRule type="expression" dxfId="12076" priority="1770">
      <formula>$AY10="N.D."</formula>
    </cfRule>
  </conditionalFormatting>
  <conditionalFormatting sqref="AE10:AE17">
    <cfRule type="expression" dxfId="12075" priority="1757">
      <formula>$A10="Overhead Cable"</formula>
    </cfRule>
    <cfRule type="expression" dxfId="12074" priority="1758">
      <formula>$A10="Level Crossing"</formula>
    </cfRule>
    <cfRule type="expression" dxfId="12073" priority="1759">
      <formula>$A10="Neutral Section"</formula>
    </cfRule>
    <cfRule type="expression" dxfId="12072" priority="1760">
      <formula>$A10="Tunnel"</formula>
    </cfRule>
    <cfRule type="expression" dxfId="12071" priority="1761">
      <formula>$A10="Bridge"</formula>
    </cfRule>
    <cfRule type="expression" dxfId="12070" priority="1762">
      <formula>$A10="Drainage Works"</formula>
    </cfRule>
    <cfRule type="expression" dxfId="12069" priority="1763">
      <formula>$A10="Underpass"</formula>
    </cfRule>
    <cfRule type="expression" dxfId="12068" priority="1764">
      <formula>$A10="Overcrossing"</formula>
    </cfRule>
    <cfRule type="expression" dxfId="12067" priority="1765">
      <formula>$A10="Overpass"</formula>
    </cfRule>
    <cfRule type="expression" dxfId="12066" priority="1766">
      <formula>$A10="Station"</formula>
    </cfRule>
    <cfRule type="expression" dxfId="12065" priority="1767">
      <formula>$A10="Overlap between sections"</formula>
    </cfRule>
  </conditionalFormatting>
  <conditionalFormatting sqref="AJ10:AJ17">
    <cfRule type="expression" dxfId="12064" priority="1754">
      <formula>$M10="NON DEFINED"</formula>
    </cfRule>
    <cfRule type="expression" dxfId="12063" priority="1755">
      <formula>$AZ10="N.D."</formula>
    </cfRule>
    <cfRule type="expression" dxfId="12062" priority="1756">
      <formula>$AY10="N.D."</formula>
    </cfRule>
  </conditionalFormatting>
  <conditionalFormatting sqref="AJ10:AJ17">
    <cfRule type="expression" dxfId="12061" priority="1743">
      <formula>$A10="Overhead Cable"</formula>
    </cfRule>
    <cfRule type="expression" dxfId="12060" priority="1744">
      <formula>$A10="Level Crossing"</formula>
    </cfRule>
    <cfRule type="expression" dxfId="12059" priority="1745">
      <formula>$A10="Neutral Section"</formula>
    </cfRule>
    <cfRule type="expression" dxfId="12058" priority="1746">
      <formula>$A10="Tunnel"</formula>
    </cfRule>
    <cfRule type="expression" dxfId="12057" priority="1747">
      <formula>$A10="Bridge"</formula>
    </cfRule>
    <cfRule type="expression" dxfId="12056" priority="1748">
      <formula>$A10="Drainage Works"</formula>
    </cfRule>
    <cfRule type="expression" dxfId="12055" priority="1749">
      <formula>$A10="Underpass"</formula>
    </cfRule>
    <cfRule type="expression" dxfId="12054" priority="1750">
      <formula>$A10="Overcrossing"</formula>
    </cfRule>
    <cfRule type="expression" dxfId="12053" priority="1751">
      <formula>$A10="Overpass"</formula>
    </cfRule>
    <cfRule type="expression" dxfId="12052" priority="1752">
      <formula>$A10="Station"</formula>
    </cfRule>
    <cfRule type="expression" dxfId="12051" priority="1753">
      <formula>$A10="Overlap between sections"</formula>
    </cfRule>
  </conditionalFormatting>
  <conditionalFormatting sqref="AK10:AK17">
    <cfRule type="expression" dxfId="12050" priority="1740">
      <formula>$M10="NON DEFINED"</formula>
    </cfRule>
    <cfRule type="expression" dxfId="12049" priority="1741">
      <formula>$AZ10="N.D."</formula>
    </cfRule>
    <cfRule type="expression" dxfId="12048" priority="1742">
      <formula>$AY10="N.D."</formula>
    </cfRule>
  </conditionalFormatting>
  <conditionalFormatting sqref="AK10:AK17">
    <cfRule type="expression" dxfId="12047" priority="1729">
      <formula>$A10="Overhead Cable"</formula>
    </cfRule>
    <cfRule type="expression" dxfId="12046" priority="1730">
      <formula>$A10="Level Crossing"</formula>
    </cfRule>
    <cfRule type="expression" dxfId="12045" priority="1731">
      <formula>$A10="Neutral Section"</formula>
    </cfRule>
    <cfRule type="expression" dxfId="12044" priority="1732">
      <formula>$A10="Tunnel"</formula>
    </cfRule>
    <cfRule type="expression" dxfId="12043" priority="1733">
      <formula>$A10="Bridge"</formula>
    </cfRule>
    <cfRule type="expression" dxfId="12042" priority="1734">
      <formula>$A10="Drainage Works"</formula>
    </cfRule>
    <cfRule type="expression" dxfId="12041" priority="1735">
      <formula>$A10="Underpass"</formula>
    </cfRule>
    <cfRule type="expression" dxfId="12040" priority="1736">
      <formula>$A10="Overcrossing"</formula>
    </cfRule>
    <cfRule type="expression" dxfId="12039" priority="1737">
      <formula>$A10="Overpass"</formula>
    </cfRule>
    <cfRule type="expression" dxfId="12038" priority="1738">
      <formula>$A10="Station"</formula>
    </cfRule>
    <cfRule type="expression" dxfId="12037" priority="1739">
      <formula>$A10="Overlap between sections"</formula>
    </cfRule>
  </conditionalFormatting>
  <conditionalFormatting sqref="AL10:AL17">
    <cfRule type="expression" dxfId="12036" priority="1726">
      <formula>$M10="NON DEFINED"</formula>
    </cfRule>
    <cfRule type="expression" dxfId="12035" priority="1727">
      <formula>$AZ10="N.D."</formula>
    </cfRule>
    <cfRule type="expression" dxfId="12034" priority="1728">
      <formula>$AY10="N.D."</formula>
    </cfRule>
  </conditionalFormatting>
  <conditionalFormatting sqref="AL10:AL17">
    <cfRule type="expression" dxfId="12033" priority="1715">
      <formula>$A10="Overhead Cable"</formula>
    </cfRule>
    <cfRule type="expression" dxfId="12032" priority="1716">
      <formula>$A10="Level Crossing"</formula>
    </cfRule>
    <cfRule type="expression" dxfId="12031" priority="1717">
      <formula>$A10="Neutral Section"</formula>
    </cfRule>
    <cfRule type="expression" dxfId="12030" priority="1718">
      <formula>$A10="Tunnel"</formula>
    </cfRule>
    <cfRule type="expression" dxfId="12029" priority="1719">
      <formula>$A10="Bridge"</formula>
    </cfRule>
    <cfRule type="expression" dxfId="12028" priority="1720">
      <formula>$A10="Drainage Works"</formula>
    </cfRule>
    <cfRule type="expression" dxfId="12027" priority="1721">
      <formula>$A10="Underpass"</formula>
    </cfRule>
    <cfRule type="expression" dxfId="12026" priority="1722">
      <formula>$A10="Overcrossing"</formula>
    </cfRule>
    <cfRule type="expression" dxfId="12025" priority="1723">
      <formula>$A10="Overpass"</formula>
    </cfRule>
    <cfRule type="expression" dxfId="12024" priority="1724">
      <formula>$A10="Station"</formula>
    </cfRule>
    <cfRule type="expression" dxfId="12023" priority="1725">
      <formula>$A10="Overlap between sections"</formula>
    </cfRule>
  </conditionalFormatting>
  <conditionalFormatting sqref="AM10:AM17">
    <cfRule type="expression" dxfId="12022" priority="1712">
      <formula>$M10="NON DEFINED"</formula>
    </cfRule>
    <cfRule type="expression" dxfId="12021" priority="1713">
      <formula>$AZ10="N.D."</formula>
    </cfRule>
    <cfRule type="expression" dxfId="12020" priority="1714">
      <formula>$AY10="N.D."</formula>
    </cfRule>
  </conditionalFormatting>
  <conditionalFormatting sqref="AM10:AM17">
    <cfRule type="expression" dxfId="12019" priority="1701">
      <formula>$A10="Overhead Cable"</formula>
    </cfRule>
    <cfRule type="expression" dxfId="12018" priority="1702">
      <formula>$A10="Level Crossing"</formula>
    </cfRule>
    <cfRule type="expression" dxfId="12017" priority="1703">
      <formula>$A10="Neutral Section"</formula>
    </cfRule>
    <cfRule type="expression" dxfId="12016" priority="1704">
      <formula>$A10="Tunnel"</formula>
    </cfRule>
    <cfRule type="expression" dxfId="12015" priority="1705">
      <formula>$A10="Bridge"</formula>
    </cfRule>
    <cfRule type="expression" dxfId="12014" priority="1706">
      <formula>$A10="Drainage Works"</formula>
    </cfRule>
    <cfRule type="expression" dxfId="12013" priority="1707">
      <formula>$A10="Underpass"</formula>
    </cfRule>
    <cfRule type="expression" dxfId="12012" priority="1708">
      <formula>$A10="Overcrossing"</formula>
    </cfRule>
    <cfRule type="expression" dxfId="12011" priority="1709">
      <formula>$A10="Overpass"</formula>
    </cfRule>
    <cfRule type="expression" dxfId="12010" priority="1710">
      <formula>$A10="Station"</formula>
    </cfRule>
    <cfRule type="expression" dxfId="12009" priority="1711">
      <formula>$A10="Overlap between sections"</formula>
    </cfRule>
  </conditionalFormatting>
  <conditionalFormatting sqref="AT10:AT17">
    <cfRule type="expression" dxfId="12008" priority="1698">
      <formula>$M10="NON DEFINED"</formula>
    </cfRule>
    <cfRule type="expression" dxfId="12007" priority="1699">
      <formula>$AZ10="N.D."</formula>
    </cfRule>
    <cfRule type="expression" dxfId="12006" priority="1700">
      <formula>$AY10="N.D."</formula>
    </cfRule>
  </conditionalFormatting>
  <conditionalFormatting sqref="AT10:AT17">
    <cfRule type="expression" dxfId="12005" priority="1687">
      <formula>$A10="Overhead Cable"</formula>
    </cfRule>
    <cfRule type="expression" dxfId="12004" priority="1688">
      <formula>$A10="Level Crossing"</formula>
    </cfRule>
    <cfRule type="expression" dxfId="12003" priority="1689">
      <formula>$A10="Neutral Section"</formula>
    </cfRule>
    <cfRule type="expression" dxfId="12002" priority="1690">
      <formula>$A10="Tunnel"</formula>
    </cfRule>
    <cfRule type="expression" dxfId="12001" priority="1691">
      <formula>$A10="Bridge"</formula>
    </cfRule>
    <cfRule type="expression" dxfId="12000" priority="1692">
      <formula>$A10="Drainage Works"</formula>
    </cfRule>
    <cfRule type="expression" dxfId="11999" priority="1693">
      <formula>$A10="Underpass"</formula>
    </cfRule>
    <cfRule type="expression" dxfId="11998" priority="1694">
      <formula>$A10="Overcrossing"</formula>
    </cfRule>
    <cfRule type="expression" dxfId="11997" priority="1695">
      <formula>$A10="Overpass"</formula>
    </cfRule>
    <cfRule type="expression" dxfId="11996" priority="1696">
      <formula>$A10="Station"</formula>
    </cfRule>
    <cfRule type="expression" dxfId="11995" priority="1697">
      <formula>$A10="Overlap between sections"</formula>
    </cfRule>
  </conditionalFormatting>
  <conditionalFormatting sqref="AU10:AU17">
    <cfRule type="expression" dxfId="11994" priority="1684">
      <formula>$M10="NON DEFINED"</formula>
    </cfRule>
    <cfRule type="expression" dxfId="11993" priority="1685">
      <formula>$AZ10="N.D."</formula>
    </cfRule>
    <cfRule type="expression" dxfId="11992" priority="1686">
      <formula>$AY10="N.D."</formula>
    </cfRule>
  </conditionalFormatting>
  <conditionalFormatting sqref="AU10:AU17">
    <cfRule type="expression" dxfId="11991" priority="1673">
      <formula>$A10="Overhead Cable"</formula>
    </cfRule>
    <cfRule type="expression" dxfId="11990" priority="1674">
      <formula>$A10="Level Crossing"</formula>
    </cfRule>
    <cfRule type="expression" dxfId="11989" priority="1675">
      <formula>$A10="Neutral Section"</formula>
    </cfRule>
    <cfRule type="expression" dxfId="11988" priority="1676">
      <formula>$A10="Tunnel"</formula>
    </cfRule>
    <cfRule type="expression" dxfId="11987" priority="1677">
      <formula>$A10="Bridge"</formula>
    </cfRule>
    <cfRule type="expression" dxfId="11986" priority="1678">
      <formula>$A10="Drainage Works"</formula>
    </cfRule>
    <cfRule type="expression" dxfId="11985" priority="1679">
      <formula>$A10="Underpass"</formula>
    </cfRule>
    <cfRule type="expression" dxfId="11984" priority="1680">
      <formula>$A10="Overcrossing"</formula>
    </cfRule>
    <cfRule type="expression" dxfId="11983" priority="1681">
      <formula>$A10="Overpass"</formula>
    </cfRule>
    <cfRule type="expression" dxfId="11982" priority="1682">
      <formula>$A10="Station"</formula>
    </cfRule>
    <cfRule type="expression" dxfId="11981" priority="1683">
      <formula>$A10="Overlap between sections"</formula>
    </cfRule>
  </conditionalFormatting>
  <conditionalFormatting sqref="AV10:AV17">
    <cfRule type="expression" dxfId="11980" priority="1670">
      <formula>$M10="NON DEFINED"</formula>
    </cfRule>
    <cfRule type="expression" dxfId="11979" priority="1671">
      <formula>$AZ10="N.D."</formula>
    </cfRule>
    <cfRule type="expression" dxfId="11978" priority="1672">
      <formula>$AY10="N.D."</formula>
    </cfRule>
  </conditionalFormatting>
  <conditionalFormatting sqref="AV10:AV17">
    <cfRule type="expression" dxfId="11977" priority="1659">
      <formula>$A10="Overhead Cable"</formula>
    </cfRule>
    <cfRule type="expression" dxfId="11976" priority="1660">
      <formula>$A10="Level Crossing"</formula>
    </cfRule>
    <cfRule type="expression" dxfId="11975" priority="1661">
      <formula>$A10="Neutral Section"</formula>
    </cfRule>
    <cfRule type="expression" dxfId="11974" priority="1662">
      <formula>$A10="Tunnel"</formula>
    </cfRule>
    <cfRule type="expression" dxfId="11973" priority="1663">
      <formula>$A10="Bridge"</formula>
    </cfRule>
    <cfRule type="expression" dxfId="11972" priority="1664">
      <formula>$A10="Drainage Works"</formula>
    </cfRule>
    <cfRule type="expression" dxfId="11971" priority="1665">
      <formula>$A10="Underpass"</formula>
    </cfRule>
    <cfRule type="expression" dxfId="11970" priority="1666">
      <formula>$A10="Overcrossing"</formula>
    </cfRule>
    <cfRule type="expression" dxfId="11969" priority="1667">
      <formula>$A10="Overpass"</formula>
    </cfRule>
    <cfRule type="expression" dxfId="11968" priority="1668">
      <formula>$A10="Station"</formula>
    </cfRule>
    <cfRule type="expression" dxfId="11967" priority="1669">
      <formula>$A10="Overlap between sections"</formula>
    </cfRule>
  </conditionalFormatting>
  <conditionalFormatting sqref="F10:F17">
    <cfRule type="expression" dxfId="11966" priority="1656">
      <formula>$M10="NON DEFINED"</formula>
    </cfRule>
    <cfRule type="expression" dxfId="11965" priority="1657">
      <formula>$AZ10="N.D."</formula>
    </cfRule>
    <cfRule type="expression" dxfId="11964" priority="1658">
      <formula>$AY10="N.D."</formula>
    </cfRule>
  </conditionalFormatting>
  <conditionalFormatting sqref="F10:F17">
    <cfRule type="expression" dxfId="11963" priority="1645">
      <formula>$A10="Overhead Cable"</formula>
    </cfRule>
    <cfRule type="expression" dxfId="11962" priority="1646">
      <formula>$A10="Level Crossing"</formula>
    </cfRule>
    <cfRule type="expression" dxfId="11961" priority="1647">
      <formula>$A10="Neutral Section"</formula>
    </cfRule>
    <cfRule type="expression" dxfId="11960" priority="1648">
      <formula>$A10="Tunnel"</formula>
    </cfRule>
    <cfRule type="expression" dxfId="11959" priority="1649">
      <formula>$A10="Bridge"</formula>
    </cfRule>
    <cfRule type="expression" dxfId="11958" priority="1650">
      <formula>$A10="Drainage Works"</formula>
    </cfRule>
    <cfRule type="expression" dxfId="11957" priority="1651">
      <formula>$A10="Underpass"</formula>
    </cfRule>
    <cfRule type="expression" dxfId="11956" priority="1652">
      <formula>$A10="Overcrossing"</formula>
    </cfRule>
    <cfRule type="expression" dxfId="11955" priority="1653">
      <formula>$A10="Overpass"</formula>
    </cfRule>
    <cfRule type="expression" dxfId="11954" priority="1654">
      <formula>$A10="Station"</formula>
    </cfRule>
    <cfRule type="expression" dxfId="11953" priority="1655">
      <formula>$A10="Overlap between sections"</formula>
    </cfRule>
  </conditionalFormatting>
  <conditionalFormatting sqref="Q10:Q17">
    <cfRule type="expression" dxfId="11952" priority="1642">
      <formula>$M10="NON DEFINED"</formula>
    </cfRule>
    <cfRule type="expression" dxfId="11951" priority="1643">
      <formula>$AZ10="N.D."</formula>
    </cfRule>
    <cfRule type="expression" dxfId="11950" priority="1644">
      <formula>$AY10="N.D."</formula>
    </cfRule>
  </conditionalFormatting>
  <conditionalFormatting sqref="Q10:Q17">
    <cfRule type="expression" dxfId="11949" priority="1631">
      <formula>$A10="Overhead Cable"</formula>
    </cfRule>
    <cfRule type="expression" dxfId="11948" priority="1632">
      <formula>$A10="Level Crossing"</formula>
    </cfRule>
    <cfRule type="expression" dxfId="11947" priority="1633">
      <formula>$A10="Neutral Section"</formula>
    </cfRule>
    <cfRule type="expression" dxfId="11946" priority="1634">
      <formula>$A10="Tunnel"</formula>
    </cfRule>
    <cfRule type="expression" dxfId="11945" priority="1635">
      <formula>$A10="Bridge"</formula>
    </cfRule>
    <cfRule type="expression" dxfId="11944" priority="1636">
      <formula>$A10="Drainage Works"</formula>
    </cfRule>
    <cfRule type="expression" dxfId="11943" priority="1637">
      <formula>$A10="Underpass"</formula>
    </cfRule>
    <cfRule type="expression" dxfId="11942" priority="1638">
      <formula>$A10="Overcrossing"</formula>
    </cfRule>
    <cfRule type="expression" dxfId="11941" priority="1639">
      <formula>$A10="Overpass"</formula>
    </cfRule>
    <cfRule type="expression" dxfId="11940" priority="1640">
      <formula>$A10="Station"</formula>
    </cfRule>
    <cfRule type="expression" dxfId="11939" priority="1641">
      <formula>$A10="Overlap between sections"</formula>
    </cfRule>
  </conditionalFormatting>
  <conditionalFormatting sqref="T10:T17">
    <cfRule type="expression" dxfId="11938" priority="1628">
      <formula>$M10="NON DEFINED"</formula>
    </cfRule>
    <cfRule type="expression" dxfId="11937" priority="1629">
      <formula>$AZ10="N.D."</formula>
    </cfRule>
    <cfRule type="expression" dxfId="11936" priority="1630">
      <formula>$AY10="N.D."</formula>
    </cfRule>
  </conditionalFormatting>
  <conditionalFormatting sqref="T10:T17">
    <cfRule type="expression" dxfId="11935" priority="1617">
      <formula>$A10="Overhead Cable"</formula>
    </cfRule>
    <cfRule type="expression" dxfId="11934" priority="1618">
      <formula>$A10="Level Crossing"</formula>
    </cfRule>
    <cfRule type="expression" dxfId="11933" priority="1619">
      <formula>$A10="Neutral Section"</formula>
    </cfRule>
    <cfRule type="expression" dxfId="11932" priority="1620">
      <formula>$A10="Tunnel"</formula>
    </cfRule>
    <cfRule type="expression" dxfId="11931" priority="1621">
      <formula>$A10="Bridge"</formula>
    </cfRule>
    <cfRule type="expression" dxfId="11930" priority="1622">
      <formula>$A10="Drainage Works"</formula>
    </cfRule>
    <cfRule type="expression" dxfId="11929" priority="1623">
      <formula>$A10="Underpass"</formula>
    </cfRule>
    <cfRule type="expression" dxfId="11928" priority="1624">
      <formula>$A10="Overcrossing"</formula>
    </cfRule>
    <cfRule type="expression" dxfId="11927" priority="1625">
      <formula>$A10="Overpass"</formula>
    </cfRule>
    <cfRule type="expression" dxfId="11926" priority="1626">
      <formula>$A10="Station"</formula>
    </cfRule>
    <cfRule type="expression" dxfId="11925" priority="1627">
      <formula>$A10="Overlap between sections"</formula>
    </cfRule>
  </conditionalFormatting>
  <conditionalFormatting sqref="U10:U17">
    <cfRule type="expression" dxfId="11924" priority="1614">
      <formula>$M10="NON DEFINED"</formula>
    </cfRule>
    <cfRule type="expression" dxfId="11923" priority="1615">
      <formula>$AZ10="N.D."</formula>
    </cfRule>
    <cfRule type="expression" dxfId="11922" priority="1616">
      <formula>$AY10="N.D."</formula>
    </cfRule>
  </conditionalFormatting>
  <conditionalFormatting sqref="U10:U17">
    <cfRule type="expression" dxfId="11921" priority="1603">
      <formula>$A10="Overhead Cable"</formula>
    </cfRule>
    <cfRule type="expression" dxfId="11920" priority="1604">
      <formula>$A10="Level Crossing"</formula>
    </cfRule>
    <cfRule type="expression" dxfId="11919" priority="1605">
      <formula>$A10="Neutral Section"</formula>
    </cfRule>
    <cfRule type="expression" dxfId="11918" priority="1606">
      <formula>$A10="Tunnel"</formula>
    </cfRule>
    <cfRule type="expression" dxfId="11917" priority="1607">
      <formula>$A10="Bridge"</formula>
    </cfRule>
    <cfRule type="expression" dxfId="11916" priority="1608">
      <formula>$A10="Drainage Works"</formula>
    </cfRule>
    <cfRule type="expression" dxfId="11915" priority="1609">
      <formula>$A10="Underpass"</formula>
    </cfRule>
    <cfRule type="expression" dxfId="11914" priority="1610">
      <formula>$A10="Overcrossing"</formula>
    </cfRule>
    <cfRule type="expression" dxfId="11913" priority="1611">
      <formula>$A10="Overpass"</formula>
    </cfRule>
    <cfRule type="expression" dxfId="11912" priority="1612">
      <formula>$A10="Station"</formula>
    </cfRule>
    <cfRule type="expression" dxfId="11911" priority="1613">
      <formula>$A10="Overlap between sections"</formula>
    </cfRule>
  </conditionalFormatting>
  <conditionalFormatting sqref="V10:V17">
    <cfRule type="expression" dxfId="11910" priority="1600">
      <formula>$M10="NON DEFINED"</formula>
    </cfRule>
    <cfRule type="expression" dxfId="11909" priority="1601">
      <formula>$AZ10="N.D."</formula>
    </cfRule>
    <cfRule type="expression" dxfId="11908" priority="1602">
      <formula>$AY10="N.D."</formula>
    </cfRule>
  </conditionalFormatting>
  <conditionalFormatting sqref="V10:V17">
    <cfRule type="expression" dxfId="11907" priority="1589">
      <formula>$A10="Overhead Cable"</formula>
    </cfRule>
    <cfRule type="expression" dxfId="11906" priority="1590">
      <formula>$A10="Level Crossing"</formula>
    </cfRule>
    <cfRule type="expression" dxfId="11905" priority="1591">
      <formula>$A10="Neutral Section"</formula>
    </cfRule>
    <cfRule type="expression" dxfId="11904" priority="1592">
      <formula>$A10="Tunnel"</formula>
    </cfRule>
    <cfRule type="expression" dxfId="11903" priority="1593">
      <formula>$A10="Bridge"</formula>
    </cfRule>
    <cfRule type="expression" dxfId="11902" priority="1594">
      <formula>$A10="Drainage Works"</formula>
    </cfRule>
    <cfRule type="expression" dxfId="11901" priority="1595">
      <formula>$A10="Underpass"</formula>
    </cfRule>
    <cfRule type="expression" dxfId="11900" priority="1596">
      <formula>$A10="Overcrossing"</formula>
    </cfRule>
    <cfRule type="expression" dxfId="11899" priority="1597">
      <formula>$A10="Overpass"</formula>
    </cfRule>
    <cfRule type="expression" dxfId="11898" priority="1598">
      <formula>$A10="Station"</formula>
    </cfRule>
    <cfRule type="expression" dxfId="11897" priority="1599">
      <formula>$A10="Overlap between sections"</formula>
    </cfRule>
  </conditionalFormatting>
  <conditionalFormatting sqref="AF10:AF17">
    <cfRule type="expression" dxfId="11896" priority="1586">
      <formula>$M10="NON DEFINED"</formula>
    </cfRule>
    <cfRule type="expression" dxfId="11895" priority="1587">
      <formula>$AZ10="N.D."</formula>
    </cfRule>
    <cfRule type="expression" dxfId="11894" priority="1588">
      <formula>$AY10="N.D."</formula>
    </cfRule>
  </conditionalFormatting>
  <conditionalFormatting sqref="AF10:AF17">
    <cfRule type="expression" dxfId="11893" priority="1575">
      <formula>$A10="Overhead Cable"</formula>
    </cfRule>
    <cfRule type="expression" dxfId="11892" priority="1576">
      <formula>$A10="Level Crossing"</formula>
    </cfRule>
    <cfRule type="expression" dxfId="11891" priority="1577">
      <formula>$A10="Neutral Section"</formula>
    </cfRule>
    <cfRule type="expression" dxfId="11890" priority="1578">
      <formula>$A10="Tunnel"</formula>
    </cfRule>
    <cfRule type="expression" dxfId="11889" priority="1579">
      <formula>$A10="Bridge"</formula>
    </cfRule>
    <cfRule type="expression" dxfId="11888" priority="1580">
      <formula>$A10="Drainage Works"</formula>
    </cfRule>
    <cfRule type="expression" dxfId="11887" priority="1581">
      <formula>$A10="Underpass"</formula>
    </cfRule>
    <cfRule type="expression" dxfId="11886" priority="1582">
      <formula>$A10="Overcrossing"</formula>
    </cfRule>
    <cfRule type="expression" dxfId="11885" priority="1583">
      <formula>$A10="Overpass"</formula>
    </cfRule>
    <cfRule type="expression" dxfId="11884" priority="1584">
      <formula>$A10="Station"</formula>
    </cfRule>
    <cfRule type="expression" dxfId="11883" priority="1585">
      <formula>$A10="Overlap between sections"</formula>
    </cfRule>
  </conditionalFormatting>
  <conditionalFormatting sqref="AH10:AH17">
    <cfRule type="expression" dxfId="11882" priority="1572">
      <formula>$M10="NON DEFINED"</formula>
    </cfRule>
    <cfRule type="expression" dxfId="11881" priority="1573">
      <formula>$AZ10="N.D."</formula>
    </cfRule>
    <cfRule type="expression" dxfId="11880" priority="1574">
      <formula>$AY10="N.D."</formula>
    </cfRule>
  </conditionalFormatting>
  <conditionalFormatting sqref="AH10:AH17">
    <cfRule type="expression" dxfId="11879" priority="1561">
      <formula>$A10="Overhead Cable"</formula>
    </cfRule>
    <cfRule type="expression" dxfId="11878" priority="1562">
      <formula>$A10="Level Crossing"</formula>
    </cfRule>
    <cfRule type="expression" dxfId="11877" priority="1563">
      <formula>$A10="Neutral Section"</formula>
    </cfRule>
    <cfRule type="expression" dxfId="11876" priority="1564">
      <formula>$A10="Tunnel"</formula>
    </cfRule>
    <cfRule type="expression" dxfId="11875" priority="1565">
      <formula>$A10="Bridge"</formula>
    </cfRule>
    <cfRule type="expression" dxfId="11874" priority="1566">
      <formula>$A10="Drainage Works"</formula>
    </cfRule>
    <cfRule type="expression" dxfId="11873" priority="1567">
      <formula>$A10="Underpass"</formula>
    </cfRule>
    <cfRule type="expression" dxfId="11872" priority="1568">
      <formula>$A10="Overcrossing"</formula>
    </cfRule>
    <cfRule type="expression" dxfId="11871" priority="1569">
      <formula>$A10="Overpass"</formula>
    </cfRule>
    <cfRule type="expression" dxfId="11870" priority="1570">
      <formula>$A10="Station"</formula>
    </cfRule>
    <cfRule type="expression" dxfId="11869" priority="1571">
      <formula>$A10="Overlap between sections"</formula>
    </cfRule>
  </conditionalFormatting>
  <conditionalFormatting sqref="AI10:AI17">
    <cfRule type="expression" dxfId="11868" priority="1558">
      <formula>$M10="NON DEFINED"</formula>
    </cfRule>
    <cfRule type="expression" dxfId="11867" priority="1559">
      <formula>$AZ10="N.D."</formula>
    </cfRule>
    <cfRule type="expression" dxfId="11866" priority="1560">
      <formula>$AY10="N.D."</formula>
    </cfRule>
  </conditionalFormatting>
  <conditionalFormatting sqref="AI10:AI17">
    <cfRule type="expression" dxfId="11865" priority="1547">
      <formula>$A10="Overhead Cable"</formula>
    </cfRule>
    <cfRule type="expression" dxfId="11864" priority="1548">
      <formula>$A10="Level Crossing"</formula>
    </cfRule>
    <cfRule type="expression" dxfId="11863" priority="1549">
      <formula>$A10="Neutral Section"</formula>
    </cfRule>
    <cfRule type="expression" dxfId="11862" priority="1550">
      <formula>$A10="Tunnel"</formula>
    </cfRule>
    <cfRule type="expression" dxfId="11861" priority="1551">
      <formula>$A10="Bridge"</formula>
    </cfRule>
    <cfRule type="expression" dxfId="11860" priority="1552">
      <formula>$A10="Drainage Works"</formula>
    </cfRule>
    <cfRule type="expression" dxfId="11859" priority="1553">
      <formula>$A10="Underpass"</formula>
    </cfRule>
    <cfRule type="expression" dxfId="11858" priority="1554">
      <formula>$A10="Overcrossing"</formula>
    </cfRule>
    <cfRule type="expression" dxfId="11857" priority="1555">
      <formula>$A10="Overpass"</formula>
    </cfRule>
    <cfRule type="expression" dxfId="11856" priority="1556">
      <formula>$A10="Station"</formula>
    </cfRule>
    <cfRule type="expression" dxfId="11855" priority="1557">
      <formula>$A10="Overlap between sections"</formula>
    </cfRule>
  </conditionalFormatting>
  <conditionalFormatting sqref="R10:R17">
    <cfRule type="expression" dxfId="11854" priority="1544">
      <formula>$M10="NON DEFINED"</formula>
    </cfRule>
    <cfRule type="expression" dxfId="11853" priority="1545">
      <formula>$AZ10="N.D."</formula>
    </cfRule>
    <cfRule type="expression" dxfId="11852" priority="1546">
      <formula>$AY10="N.D."</formula>
    </cfRule>
  </conditionalFormatting>
  <conditionalFormatting sqref="R10:R17">
    <cfRule type="expression" dxfId="11851" priority="1533">
      <formula>$A10="Overhead Cable"</formula>
    </cfRule>
    <cfRule type="expression" dxfId="11850" priority="1534">
      <formula>$A10="Level Crossing"</formula>
    </cfRule>
    <cfRule type="expression" dxfId="11849" priority="1535">
      <formula>$A10="Neutral Section"</formula>
    </cfRule>
    <cfRule type="expression" dxfId="11848" priority="1536">
      <formula>$A10="Tunnel"</formula>
    </cfRule>
    <cfRule type="expression" dxfId="11847" priority="1537">
      <formula>$A10="Bridge"</formula>
    </cfRule>
    <cfRule type="expression" dxfId="11846" priority="1538">
      <formula>$A10="Drainage Works"</formula>
    </cfRule>
    <cfRule type="expression" dxfId="11845" priority="1539">
      <formula>$A10="Underpass"</formula>
    </cfRule>
    <cfRule type="expression" dxfId="11844" priority="1540">
      <formula>$A10="Overcrossing"</formula>
    </cfRule>
    <cfRule type="expression" dxfId="11843" priority="1541">
      <formula>$A10="Overpass"</formula>
    </cfRule>
    <cfRule type="expression" dxfId="11842" priority="1542">
      <formula>$A10="Station"</formula>
    </cfRule>
    <cfRule type="expression" dxfId="11841" priority="1543">
      <formula>$A10="Overlap between sections"</formula>
    </cfRule>
  </conditionalFormatting>
  <conditionalFormatting sqref="S10:S17">
    <cfRule type="expression" dxfId="11840" priority="1530">
      <formula>$M10="NON DEFINED"</formula>
    </cfRule>
    <cfRule type="expression" dxfId="11839" priority="1531">
      <formula>$AZ10="N.D."</formula>
    </cfRule>
    <cfRule type="expression" dxfId="11838" priority="1532">
      <formula>$AY10="N.D."</formula>
    </cfRule>
  </conditionalFormatting>
  <conditionalFormatting sqref="S10:S17">
    <cfRule type="expression" dxfId="11837" priority="1519">
      <formula>$A10="Overhead Cable"</formula>
    </cfRule>
    <cfRule type="expression" dxfId="11836" priority="1520">
      <formula>$A10="Level Crossing"</formula>
    </cfRule>
    <cfRule type="expression" dxfId="11835" priority="1521">
      <formula>$A10="Neutral Section"</formula>
    </cfRule>
    <cfRule type="expression" dxfId="11834" priority="1522">
      <formula>$A10="Tunnel"</formula>
    </cfRule>
    <cfRule type="expression" dxfId="11833" priority="1523">
      <formula>$A10="Bridge"</formula>
    </cfRule>
    <cfRule type="expression" dxfId="11832" priority="1524">
      <formula>$A10="Drainage Works"</formula>
    </cfRule>
    <cfRule type="expression" dxfId="11831" priority="1525">
      <formula>$A10="Underpass"</formula>
    </cfRule>
    <cfRule type="expression" dxfId="11830" priority="1526">
      <formula>$A10="Overcrossing"</formula>
    </cfRule>
    <cfRule type="expression" dxfId="11829" priority="1527">
      <formula>$A10="Overpass"</formula>
    </cfRule>
    <cfRule type="expression" dxfId="11828" priority="1528">
      <formula>$A10="Station"</formula>
    </cfRule>
    <cfRule type="expression" dxfId="11827" priority="1529">
      <formula>$A10="Overlap between sections"</formula>
    </cfRule>
  </conditionalFormatting>
  <conditionalFormatting sqref="W10:W17">
    <cfRule type="expression" dxfId="11826" priority="1516">
      <formula>$M10="NON DEFINED"</formula>
    </cfRule>
    <cfRule type="expression" dxfId="11825" priority="1517">
      <formula>$AZ10="N.D."</formula>
    </cfRule>
    <cfRule type="expression" dxfId="11824" priority="1518">
      <formula>$AY10="N.D."</formula>
    </cfRule>
  </conditionalFormatting>
  <conditionalFormatting sqref="W10:W17">
    <cfRule type="expression" dxfId="11823" priority="1505">
      <formula>$A10="Overhead Cable"</formula>
    </cfRule>
    <cfRule type="expression" dxfId="11822" priority="1506">
      <formula>$A10="Level Crossing"</formula>
    </cfRule>
    <cfRule type="expression" dxfId="11821" priority="1507">
      <formula>$A10="Neutral Section"</formula>
    </cfRule>
    <cfRule type="expression" dxfId="11820" priority="1508">
      <formula>$A10="Tunnel"</formula>
    </cfRule>
    <cfRule type="expression" dxfId="11819" priority="1509">
      <formula>$A10="Bridge"</formula>
    </cfRule>
    <cfRule type="expression" dxfId="11818" priority="1510">
      <formula>$A10="Drainage Works"</formula>
    </cfRule>
    <cfRule type="expression" dxfId="11817" priority="1511">
      <formula>$A10="Underpass"</formula>
    </cfRule>
    <cfRule type="expression" dxfId="11816" priority="1512">
      <formula>$A10="Overcrossing"</formula>
    </cfRule>
    <cfRule type="expression" dxfId="11815" priority="1513">
      <formula>$A10="Overpass"</formula>
    </cfRule>
    <cfRule type="expression" dxfId="11814" priority="1514">
      <formula>$A10="Station"</formula>
    </cfRule>
    <cfRule type="expression" dxfId="11813" priority="1515">
      <formula>$A10="Overlap between sections"</formula>
    </cfRule>
  </conditionalFormatting>
  <conditionalFormatting sqref="X10:X17">
    <cfRule type="expression" dxfId="11812" priority="1502">
      <formula>$M10="NON DEFINED"</formula>
    </cfRule>
    <cfRule type="expression" dxfId="11811" priority="1503">
      <formula>$AZ10="N.D."</formula>
    </cfRule>
    <cfRule type="expression" dxfId="11810" priority="1504">
      <formula>$AY10="N.D."</formula>
    </cfRule>
  </conditionalFormatting>
  <conditionalFormatting sqref="X10:X17">
    <cfRule type="expression" dxfId="11809" priority="1491">
      <formula>$A10="Overhead Cable"</formula>
    </cfRule>
    <cfRule type="expression" dxfId="11808" priority="1492">
      <formula>$A10="Level Crossing"</formula>
    </cfRule>
    <cfRule type="expression" dxfId="11807" priority="1493">
      <formula>$A10="Neutral Section"</formula>
    </cfRule>
    <cfRule type="expression" dxfId="11806" priority="1494">
      <formula>$A10="Tunnel"</formula>
    </cfRule>
    <cfRule type="expression" dxfId="11805" priority="1495">
      <formula>$A10="Bridge"</formula>
    </cfRule>
    <cfRule type="expression" dxfId="11804" priority="1496">
      <formula>$A10="Drainage Works"</formula>
    </cfRule>
    <cfRule type="expression" dxfId="11803" priority="1497">
      <formula>$A10="Underpass"</formula>
    </cfRule>
    <cfRule type="expression" dxfId="11802" priority="1498">
      <formula>$A10="Overcrossing"</formula>
    </cfRule>
    <cfRule type="expression" dxfId="11801" priority="1499">
      <formula>$A10="Overpass"</formula>
    </cfRule>
    <cfRule type="expression" dxfId="11800" priority="1500">
      <formula>$A10="Station"</formula>
    </cfRule>
    <cfRule type="expression" dxfId="11799" priority="1501">
      <formula>$A10="Overlap between sections"</formula>
    </cfRule>
  </conditionalFormatting>
  <conditionalFormatting sqref="Y10:Y17">
    <cfRule type="expression" dxfId="11798" priority="1488">
      <formula>$M10="NON DEFINED"</formula>
    </cfRule>
    <cfRule type="expression" dxfId="11797" priority="1489">
      <formula>$AZ10="N.D."</formula>
    </cfRule>
    <cfRule type="expression" dxfId="11796" priority="1490">
      <formula>$AY10="N.D."</formula>
    </cfRule>
  </conditionalFormatting>
  <conditionalFormatting sqref="Y10:Y17">
    <cfRule type="expression" dxfId="11795" priority="1477">
      <formula>$A10="Overhead Cable"</formula>
    </cfRule>
    <cfRule type="expression" dxfId="11794" priority="1478">
      <formula>$A10="Level Crossing"</formula>
    </cfRule>
    <cfRule type="expression" dxfId="11793" priority="1479">
      <formula>$A10="Neutral Section"</formula>
    </cfRule>
    <cfRule type="expression" dxfId="11792" priority="1480">
      <formula>$A10="Tunnel"</formula>
    </cfRule>
    <cfRule type="expression" dxfId="11791" priority="1481">
      <formula>$A10="Bridge"</formula>
    </cfRule>
    <cfRule type="expression" dxfId="11790" priority="1482">
      <formula>$A10="Drainage Works"</formula>
    </cfRule>
    <cfRule type="expression" dxfId="11789" priority="1483">
      <formula>$A10="Underpass"</formula>
    </cfRule>
    <cfRule type="expression" dxfId="11788" priority="1484">
      <formula>$A10="Overcrossing"</formula>
    </cfRule>
    <cfRule type="expression" dxfId="11787" priority="1485">
      <formula>$A10="Overpass"</formula>
    </cfRule>
    <cfRule type="expression" dxfId="11786" priority="1486">
      <formula>$A10="Station"</formula>
    </cfRule>
    <cfRule type="expression" dxfId="11785" priority="1487">
      <formula>$A10="Overlap between sections"</formula>
    </cfRule>
  </conditionalFormatting>
  <conditionalFormatting sqref="Z10:Z17">
    <cfRule type="expression" dxfId="11784" priority="1474">
      <formula>$M10="NON DEFINED"</formula>
    </cfRule>
    <cfRule type="expression" dxfId="11783" priority="1475">
      <formula>$AZ10="N.D."</formula>
    </cfRule>
    <cfRule type="expression" dxfId="11782" priority="1476">
      <formula>$AY10="N.D."</formula>
    </cfRule>
  </conditionalFormatting>
  <conditionalFormatting sqref="Z10:Z17">
    <cfRule type="expression" dxfId="11781" priority="1463">
      <formula>$A10="Overhead Cable"</formula>
    </cfRule>
    <cfRule type="expression" dxfId="11780" priority="1464">
      <formula>$A10="Level Crossing"</formula>
    </cfRule>
    <cfRule type="expression" dxfId="11779" priority="1465">
      <formula>$A10="Neutral Section"</formula>
    </cfRule>
    <cfRule type="expression" dxfId="11778" priority="1466">
      <formula>$A10="Tunnel"</formula>
    </cfRule>
    <cfRule type="expression" dxfId="11777" priority="1467">
      <formula>$A10="Bridge"</formula>
    </cfRule>
    <cfRule type="expression" dxfId="11776" priority="1468">
      <formula>$A10="Drainage Works"</formula>
    </cfRule>
    <cfRule type="expression" dxfId="11775" priority="1469">
      <formula>$A10="Underpass"</formula>
    </cfRule>
    <cfRule type="expression" dxfId="11774" priority="1470">
      <formula>$A10="Overcrossing"</formula>
    </cfRule>
    <cfRule type="expression" dxfId="11773" priority="1471">
      <formula>$A10="Overpass"</formula>
    </cfRule>
    <cfRule type="expression" dxfId="11772" priority="1472">
      <formula>$A10="Station"</formula>
    </cfRule>
    <cfRule type="expression" dxfId="11771" priority="1473">
      <formula>$A10="Overlap between sections"</formula>
    </cfRule>
  </conditionalFormatting>
  <conditionalFormatting sqref="AA10:AA17">
    <cfRule type="expression" dxfId="11770" priority="1460">
      <formula>$M10="NON DEFINED"</formula>
    </cfRule>
    <cfRule type="expression" dxfId="11769" priority="1461">
      <formula>$AZ10="N.D."</formula>
    </cfRule>
    <cfRule type="expression" dxfId="11768" priority="1462">
      <formula>$AY10="N.D."</formula>
    </cfRule>
  </conditionalFormatting>
  <conditionalFormatting sqref="AA10:AA17">
    <cfRule type="expression" dxfId="11767" priority="1449">
      <formula>$A10="Overhead Cable"</formula>
    </cfRule>
    <cfRule type="expression" dxfId="11766" priority="1450">
      <formula>$A10="Level Crossing"</formula>
    </cfRule>
    <cfRule type="expression" dxfId="11765" priority="1451">
      <formula>$A10="Neutral Section"</formula>
    </cfRule>
    <cfRule type="expression" dxfId="11764" priority="1452">
      <formula>$A10="Tunnel"</formula>
    </cfRule>
    <cfRule type="expression" dxfId="11763" priority="1453">
      <formula>$A10="Bridge"</formula>
    </cfRule>
    <cfRule type="expression" dxfId="11762" priority="1454">
      <formula>$A10="Drainage Works"</formula>
    </cfRule>
    <cfRule type="expression" dxfId="11761" priority="1455">
      <formula>$A10="Underpass"</formula>
    </cfRule>
    <cfRule type="expression" dxfId="11760" priority="1456">
      <formula>$A10="Overcrossing"</formula>
    </cfRule>
    <cfRule type="expression" dxfId="11759" priority="1457">
      <formula>$A10="Overpass"</formula>
    </cfRule>
    <cfRule type="expression" dxfId="11758" priority="1458">
      <formula>$A10="Station"</formula>
    </cfRule>
    <cfRule type="expression" dxfId="11757" priority="1459">
      <formula>$A10="Overlap between sections"</formula>
    </cfRule>
  </conditionalFormatting>
  <conditionalFormatting sqref="AB10:AB17">
    <cfRule type="expression" dxfId="11756" priority="1446">
      <formula>$M10="NON DEFINED"</formula>
    </cfRule>
    <cfRule type="expression" dxfId="11755" priority="1447">
      <formula>$AZ10="N.D."</formula>
    </cfRule>
    <cfRule type="expression" dxfId="11754" priority="1448">
      <formula>$AY10="N.D."</formula>
    </cfRule>
  </conditionalFormatting>
  <conditionalFormatting sqref="AB10:AB17">
    <cfRule type="expression" dxfId="11753" priority="1435">
      <formula>$A10="Overhead Cable"</formula>
    </cfRule>
    <cfRule type="expression" dxfId="11752" priority="1436">
      <formula>$A10="Level Crossing"</formula>
    </cfRule>
    <cfRule type="expression" dxfId="11751" priority="1437">
      <formula>$A10="Neutral Section"</formula>
    </cfRule>
    <cfRule type="expression" dxfId="11750" priority="1438">
      <formula>$A10="Tunnel"</formula>
    </cfRule>
    <cfRule type="expression" dxfId="11749" priority="1439">
      <formula>$A10="Bridge"</formula>
    </cfRule>
    <cfRule type="expression" dxfId="11748" priority="1440">
      <formula>$A10="Drainage Works"</formula>
    </cfRule>
    <cfRule type="expression" dxfId="11747" priority="1441">
      <formula>$A10="Underpass"</formula>
    </cfRule>
    <cfRule type="expression" dxfId="11746" priority="1442">
      <formula>$A10="Overcrossing"</formula>
    </cfRule>
    <cfRule type="expression" dxfId="11745" priority="1443">
      <formula>$A10="Overpass"</formula>
    </cfRule>
    <cfRule type="expression" dxfId="11744" priority="1444">
      <formula>$A10="Station"</formula>
    </cfRule>
    <cfRule type="expression" dxfId="11743" priority="1445">
      <formula>$A10="Overlap between sections"</formula>
    </cfRule>
  </conditionalFormatting>
  <conditionalFormatting sqref="BA10:BC17">
    <cfRule type="expression" dxfId="11742" priority="1433">
      <formula>$BE10="A"</formula>
    </cfRule>
    <cfRule type="expression" dxfId="11741" priority="1434">
      <formula>$BE10="R"</formula>
    </cfRule>
  </conditionalFormatting>
  <conditionalFormatting sqref="BD10:BD17">
    <cfRule type="containsText" dxfId="11740" priority="1432" operator="containsText" text="Poner a mano">
      <formula>NOT(ISERROR(SEARCH("Poner a mano",BD10)))</formula>
    </cfRule>
  </conditionalFormatting>
  <conditionalFormatting sqref="BC10:BC17">
    <cfRule type="expression" dxfId="11739" priority="1431">
      <formula>$M10="U.S. N.D."</formula>
    </cfRule>
  </conditionalFormatting>
  <conditionalFormatting sqref="BB10:BB17">
    <cfRule type="expression" dxfId="11738" priority="1429">
      <formula>$AZ10="N.D."</formula>
    </cfRule>
  </conditionalFormatting>
  <conditionalFormatting sqref="BA10:BA17">
    <cfRule type="expression" dxfId="11737" priority="1430">
      <formula>$AY10="N.D."</formula>
    </cfRule>
  </conditionalFormatting>
  <conditionalFormatting sqref="AN10:AN17">
    <cfRule type="expression" dxfId="11736" priority="1426">
      <formula>$M10="NON DEFINED"</formula>
    </cfRule>
    <cfRule type="expression" dxfId="11735" priority="1427">
      <formula>$AZ10="N.D."</formula>
    </cfRule>
    <cfRule type="expression" dxfId="11734" priority="1428">
      <formula>$AY10="N.D."</formula>
    </cfRule>
  </conditionalFormatting>
  <conditionalFormatting sqref="AN10:AN17">
    <cfRule type="expression" dxfId="11733" priority="1415">
      <formula>$A10="Overhead Cable"</formula>
    </cfRule>
    <cfRule type="expression" dxfId="11732" priority="1416">
      <formula>$A10="Level Crossing"</formula>
    </cfRule>
    <cfRule type="expression" dxfId="11731" priority="1417">
      <formula>$A10="Neutral Section"</formula>
    </cfRule>
    <cfRule type="expression" dxfId="11730" priority="1418">
      <formula>$A10="Tunnel"</formula>
    </cfRule>
    <cfRule type="expression" dxfId="11729" priority="1419">
      <formula>$A10="Bridge"</formula>
    </cfRule>
    <cfRule type="expression" dxfId="11728" priority="1420">
      <formula>$A10="Drainage Works"</formula>
    </cfRule>
    <cfRule type="expression" dxfId="11727" priority="1421">
      <formula>$A10="Underpass"</formula>
    </cfRule>
    <cfRule type="expression" dxfId="11726" priority="1422">
      <formula>$A10="Overcrossing"</formula>
    </cfRule>
    <cfRule type="expression" dxfId="11725" priority="1423">
      <formula>$A10="Overpass"</formula>
    </cfRule>
    <cfRule type="expression" dxfId="11724" priority="1424">
      <formula>$A10="Station"</formula>
    </cfRule>
    <cfRule type="expression" dxfId="11723" priority="1425">
      <formula>$A10="Overlap between sections"</formula>
    </cfRule>
  </conditionalFormatting>
  <conditionalFormatting sqref="AN10:AN17">
    <cfRule type="cellIs" dxfId="11722" priority="1414" operator="notEqual">
      <formula>5.5</formula>
    </cfRule>
  </conditionalFormatting>
  <conditionalFormatting sqref="AW10:AW17">
    <cfRule type="expression" dxfId="11721" priority="1412">
      <formula>$M10="NON DEFINED"</formula>
    </cfRule>
    <cfRule type="expression" dxfId="11720" priority="1413">
      <formula>$AY10="N.D."</formula>
    </cfRule>
  </conditionalFormatting>
  <conditionalFormatting sqref="AW10:AW17">
    <cfRule type="cellIs" dxfId="11719" priority="1411" operator="equal">
      <formula>0</formula>
    </cfRule>
  </conditionalFormatting>
  <conditionalFormatting sqref="AX10:AX17">
    <cfRule type="expression" dxfId="11718" priority="1409">
      <formula>$M10="NON DEFINED"</formula>
    </cfRule>
    <cfRule type="expression" dxfId="11717" priority="1410">
      <formula>$AY10="N.D."</formula>
    </cfRule>
  </conditionalFormatting>
  <conditionalFormatting sqref="AX10:AX17">
    <cfRule type="cellIs" dxfId="11716" priority="1408" operator="equal">
      <formula>0</formula>
    </cfRule>
  </conditionalFormatting>
  <conditionalFormatting sqref="BA5:BC6">
    <cfRule type="expression" dxfId="11715" priority="1407">
      <formula>$BE5="R"</formula>
    </cfRule>
  </conditionalFormatting>
  <conditionalFormatting sqref="B5:E6 J5:J6 AG5:AG6 AN5:AS6 AY5:BC6 G5:H6">
    <cfRule type="expression" dxfId="11714" priority="1405">
      <formula>$M5="NON DEFINED"</formula>
    </cfRule>
    <cfRule type="expression" dxfId="11713" priority="1406">
      <formula>$AY5="N.D."</formula>
    </cfRule>
  </conditionalFormatting>
  <conditionalFormatting sqref="A5:E6 J5:J6 AG5:AG6 AN5:AS6 AY5:BD6 G5:H6">
    <cfRule type="cellIs" dxfId="11712" priority="1404" operator="equal">
      <formula>0</formula>
    </cfRule>
  </conditionalFormatting>
  <conditionalFormatting sqref="I5:I6">
    <cfRule type="expression" dxfId="11711" priority="1402">
      <formula>$M5="NON DEFINED"</formula>
    </cfRule>
    <cfRule type="expression" dxfId="11710" priority="1403">
      <formula>$AY5="N.D."</formula>
    </cfRule>
  </conditionalFormatting>
  <conditionalFormatting sqref="I5:I6">
    <cfRule type="cellIs" dxfId="11709" priority="1401" operator="equal">
      <formula>0</formula>
    </cfRule>
  </conditionalFormatting>
  <conditionalFormatting sqref="K5:K6">
    <cfRule type="expression" dxfId="11708" priority="1399">
      <formula>$M5="NON DEFINED"</formula>
    </cfRule>
    <cfRule type="expression" dxfId="11707" priority="1400">
      <formula>$AY5="N.D."</formula>
    </cfRule>
  </conditionalFormatting>
  <conditionalFormatting sqref="K5:K6">
    <cfRule type="cellIs" dxfId="11706" priority="1398" operator="equal">
      <formula>0</formula>
    </cfRule>
  </conditionalFormatting>
  <conditionalFormatting sqref="L5:L6">
    <cfRule type="expression" dxfId="11705" priority="1396">
      <formula>$M5="NON DEFINED"</formula>
    </cfRule>
    <cfRule type="expression" dxfId="11704" priority="1397">
      <formula>$AY5="N.D."</formula>
    </cfRule>
  </conditionalFormatting>
  <conditionalFormatting sqref="L5:L6">
    <cfRule type="cellIs" dxfId="11703" priority="1395" operator="equal">
      <formula>0</formula>
    </cfRule>
  </conditionalFormatting>
  <conditionalFormatting sqref="M5:M6">
    <cfRule type="expression" dxfId="11702" priority="1393">
      <formula>$M5="NON DEFINED"</formula>
    </cfRule>
    <cfRule type="expression" dxfId="11701" priority="1394">
      <formula>$AY5="N.D."</formula>
    </cfRule>
  </conditionalFormatting>
  <conditionalFormatting sqref="M5:M6">
    <cfRule type="cellIs" dxfId="11700" priority="1392" operator="equal">
      <formula>0</formula>
    </cfRule>
  </conditionalFormatting>
  <conditionalFormatting sqref="N5:N6">
    <cfRule type="expression" dxfId="11699" priority="1390">
      <formula>$M5="NON DEFINED"</formula>
    </cfRule>
    <cfRule type="expression" dxfId="11698" priority="1391">
      <formula>$AY5="N.D."</formula>
    </cfRule>
  </conditionalFormatting>
  <conditionalFormatting sqref="N5:N6">
    <cfRule type="cellIs" dxfId="11697" priority="1389" operator="equal">
      <formula>0</formula>
    </cfRule>
  </conditionalFormatting>
  <conditionalFormatting sqref="O5:O6">
    <cfRule type="expression" dxfId="11696" priority="1387">
      <formula>$M5="NON DEFINED"</formula>
    </cfRule>
    <cfRule type="expression" dxfId="11695" priority="1388">
      <formula>$AY5="N.D."</formula>
    </cfRule>
  </conditionalFormatting>
  <conditionalFormatting sqref="O5:O6">
    <cfRule type="cellIs" dxfId="11694" priority="1386" operator="equal">
      <formula>0</formula>
    </cfRule>
  </conditionalFormatting>
  <conditionalFormatting sqref="P5:P6">
    <cfRule type="expression" dxfId="11693" priority="1384">
      <formula>$M5="NON DEFINED"</formula>
    </cfRule>
    <cfRule type="expression" dxfId="11692" priority="1385">
      <formula>$AY5="N.D."</formula>
    </cfRule>
  </conditionalFormatting>
  <conditionalFormatting sqref="P5:P6">
    <cfRule type="cellIs" dxfId="11691" priority="1383" operator="equal">
      <formula>0</formula>
    </cfRule>
  </conditionalFormatting>
  <conditionalFormatting sqref="AC5:AC6">
    <cfRule type="expression" dxfId="11690" priority="1381">
      <formula>$M5="NON DEFINED"</formula>
    </cfRule>
    <cfRule type="expression" dxfId="11689" priority="1382">
      <formula>$AY5="N.D."</formula>
    </cfRule>
  </conditionalFormatting>
  <conditionalFormatting sqref="AC5:AC6">
    <cfRule type="cellIs" dxfId="11688" priority="1380" operator="equal">
      <formula>0</formula>
    </cfRule>
  </conditionalFormatting>
  <conditionalFormatting sqref="AD5:AD6">
    <cfRule type="expression" dxfId="11687" priority="1378">
      <formula>$M5="NON DEFINED"</formula>
    </cfRule>
    <cfRule type="expression" dxfId="11686" priority="1379">
      <formula>$AY5="N.D."</formula>
    </cfRule>
  </conditionalFormatting>
  <conditionalFormatting sqref="AD5:AD6">
    <cfRule type="cellIs" dxfId="11685" priority="1377" operator="equal">
      <formula>0</formula>
    </cfRule>
  </conditionalFormatting>
  <conditionalFormatting sqref="AE5:AE6">
    <cfRule type="expression" dxfId="11684" priority="1375">
      <formula>$M5="NON DEFINED"</formula>
    </cfRule>
    <cfRule type="expression" dxfId="11683" priority="1376">
      <formula>$AY5="N.D."</formula>
    </cfRule>
  </conditionalFormatting>
  <conditionalFormatting sqref="AE5:AE6">
    <cfRule type="cellIs" dxfId="11682" priority="1374" operator="equal">
      <formula>0</formula>
    </cfRule>
  </conditionalFormatting>
  <conditionalFormatting sqref="AJ5:AJ6">
    <cfRule type="expression" dxfId="11681" priority="1372">
      <formula>$M5="NON DEFINED"</formula>
    </cfRule>
    <cfRule type="expression" dxfId="11680" priority="1373">
      <formula>$AY5="N.D."</formula>
    </cfRule>
  </conditionalFormatting>
  <conditionalFormatting sqref="AJ5:AJ6">
    <cfRule type="cellIs" dxfId="11679" priority="1371" operator="equal">
      <formula>0</formula>
    </cfRule>
  </conditionalFormatting>
  <conditionalFormatting sqref="AK5:AK6">
    <cfRule type="expression" dxfId="11678" priority="1369">
      <formula>$M5="NON DEFINED"</formula>
    </cfRule>
    <cfRule type="expression" dxfId="11677" priority="1370">
      <formula>$AY5="N.D."</formula>
    </cfRule>
  </conditionalFormatting>
  <conditionalFormatting sqref="AK5:AK6">
    <cfRule type="cellIs" dxfId="11676" priority="1368" operator="equal">
      <formula>0</formula>
    </cfRule>
  </conditionalFormatting>
  <conditionalFormatting sqref="AL5:AL6">
    <cfRule type="expression" dxfId="11675" priority="1366">
      <formula>$M5="NON DEFINED"</formula>
    </cfRule>
    <cfRule type="expression" dxfId="11674" priority="1367">
      <formula>$AY5="N.D."</formula>
    </cfRule>
  </conditionalFormatting>
  <conditionalFormatting sqref="AL5:AL6">
    <cfRule type="cellIs" dxfId="11673" priority="1365" operator="equal">
      <formula>0</formula>
    </cfRule>
  </conditionalFormatting>
  <conditionalFormatting sqref="AM5:AM6">
    <cfRule type="expression" dxfId="11672" priority="1363">
      <formula>$M5="NON DEFINED"</formula>
    </cfRule>
    <cfRule type="expression" dxfId="11671" priority="1364">
      <formula>$AY5="N.D."</formula>
    </cfRule>
  </conditionalFormatting>
  <conditionalFormatting sqref="AM5:AM6">
    <cfRule type="cellIs" dxfId="11670" priority="1362" operator="equal">
      <formula>0</formula>
    </cfRule>
  </conditionalFormatting>
  <conditionalFormatting sqref="AT5:AT6">
    <cfRule type="expression" dxfId="11669" priority="1360">
      <formula>$M5="NON DEFINED"</formula>
    </cfRule>
    <cfRule type="expression" dxfId="11668" priority="1361">
      <formula>$AY5="N.D."</formula>
    </cfRule>
  </conditionalFormatting>
  <conditionalFormatting sqref="AT5:AT6">
    <cfRule type="cellIs" dxfId="11667" priority="1359" operator="equal">
      <formula>0</formula>
    </cfRule>
  </conditionalFormatting>
  <conditionalFormatting sqref="AU5:AU6">
    <cfRule type="expression" dxfId="11666" priority="1357">
      <formula>$M5="NON DEFINED"</formula>
    </cfRule>
    <cfRule type="expression" dxfId="11665" priority="1358">
      <formula>$AY5="N.D."</formula>
    </cfRule>
  </conditionalFormatting>
  <conditionalFormatting sqref="AU5:AU6">
    <cfRule type="cellIs" dxfId="11664" priority="1356" operator="equal">
      <formula>0</formula>
    </cfRule>
  </conditionalFormatting>
  <conditionalFormatting sqref="AV5:AV6">
    <cfRule type="expression" dxfId="11663" priority="1354">
      <formula>$M5="NON DEFINED"</formula>
    </cfRule>
    <cfRule type="expression" dxfId="11662" priority="1355">
      <formula>$AY5="N.D."</formula>
    </cfRule>
  </conditionalFormatting>
  <conditionalFormatting sqref="AV5:AV6">
    <cfRule type="cellIs" dxfId="11661" priority="1353" operator="equal">
      <formula>0</formula>
    </cfRule>
  </conditionalFormatting>
  <conditionalFormatting sqref="AW5:AW6">
    <cfRule type="expression" dxfId="11660" priority="1351">
      <formula>$M5="NON DEFINED"</formula>
    </cfRule>
    <cfRule type="expression" dxfId="11659" priority="1352">
      <formula>$AY5="N.D."</formula>
    </cfRule>
  </conditionalFormatting>
  <conditionalFormatting sqref="AW5:AW6">
    <cfRule type="cellIs" dxfId="11658" priority="1350" operator="equal">
      <formula>0</formula>
    </cfRule>
  </conditionalFormatting>
  <conditionalFormatting sqref="AX5:AX6">
    <cfRule type="expression" dxfId="11657" priority="1348">
      <formula>$M5="NON DEFINED"</formula>
    </cfRule>
    <cfRule type="expression" dxfId="11656" priority="1349">
      <formula>$AY5="N.D."</formula>
    </cfRule>
  </conditionalFormatting>
  <conditionalFormatting sqref="AX5:AX6">
    <cfRule type="cellIs" dxfId="11655" priority="1347" operator="equal">
      <formula>0</formula>
    </cfRule>
  </conditionalFormatting>
  <conditionalFormatting sqref="F5:F6">
    <cfRule type="expression" dxfId="11654" priority="1345">
      <formula>$M5="NON DEFINED"</formula>
    </cfRule>
    <cfRule type="expression" dxfId="11653" priority="1346">
      <formula>$AY5="N.D."</formula>
    </cfRule>
  </conditionalFormatting>
  <conditionalFormatting sqref="F5:F6">
    <cfRule type="cellIs" dxfId="11652" priority="1344" operator="equal">
      <formula>0</formula>
    </cfRule>
  </conditionalFormatting>
  <conditionalFormatting sqref="Q5:Q6">
    <cfRule type="expression" dxfId="11651" priority="1342">
      <formula>$M5="NON DEFINED"</formula>
    </cfRule>
    <cfRule type="expression" dxfId="11650" priority="1343">
      <formula>$AY5="N.D."</formula>
    </cfRule>
  </conditionalFormatting>
  <conditionalFormatting sqref="Q5:Q6">
    <cfRule type="cellIs" dxfId="11649" priority="1341" operator="equal">
      <formula>0</formula>
    </cfRule>
  </conditionalFormatting>
  <conditionalFormatting sqref="T5:T6">
    <cfRule type="expression" dxfId="11648" priority="1339">
      <formula>$M5="NON DEFINED"</formula>
    </cfRule>
    <cfRule type="expression" dxfId="11647" priority="1340">
      <formula>$AY5="N.D."</formula>
    </cfRule>
  </conditionalFormatting>
  <conditionalFormatting sqref="T5:T6">
    <cfRule type="cellIs" dxfId="11646" priority="1338" operator="equal">
      <formula>0</formula>
    </cfRule>
  </conditionalFormatting>
  <conditionalFormatting sqref="U5:U6">
    <cfRule type="expression" dxfId="11645" priority="1336">
      <formula>$M5="NON DEFINED"</formula>
    </cfRule>
    <cfRule type="expression" dxfId="11644" priority="1337">
      <formula>$AY5="N.D."</formula>
    </cfRule>
  </conditionalFormatting>
  <conditionalFormatting sqref="U5:U6">
    <cfRule type="cellIs" dxfId="11643" priority="1335" operator="equal">
      <formula>0</formula>
    </cfRule>
  </conditionalFormatting>
  <conditionalFormatting sqref="V5:V6">
    <cfRule type="expression" dxfId="11642" priority="1333">
      <formula>$M5="NON DEFINED"</formula>
    </cfRule>
    <cfRule type="expression" dxfId="11641" priority="1334">
      <formula>$AY5="N.D."</formula>
    </cfRule>
  </conditionalFormatting>
  <conditionalFormatting sqref="V5:V6">
    <cfRule type="cellIs" dxfId="11640" priority="1332" operator="equal">
      <formula>0</formula>
    </cfRule>
  </conditionalFormatting>
  <conditionalFormatting sqref="AF5:AF6">
    <cfRule type="expression" dxfId="11639" priority="1330">
      <formula>$M5="NON DEFINED"</formula>
    </cfRule>
    <cfRule type="expression" dxfId="11638" priority="1331">
      <formula>$AY5="N.D."</formula>
    </cfRule>
  </conditionalFormatting>
  <conditionalFormatting sqref="AF5:AF6">
    <cfRule type="cellIs" dxfId="11637" priority="1329" operator="equal">
      <formula>0</formula>
    </cfRule>
  </conditionalFormatting>
  <conditionalFormatting sqref="AH5:AH6">
    <cfRule type="expression" dxfId="11636" priority="1327">
      <formula>$M5="NON DEFINED"</formula>
    </cfRule>
    <cfRule type="expression" dxfId="11635" priority="1328">
      <formula>$AY5="N.D."</formula>
    </cfRule>
  </conditionalFormatting>
  <conditionalFormatting sqref="AH5:AH6">
    <cfRule type="cellIs" dxfId="11634" priority="1326" operator="equal">
      <formula>0</formula>
    </cfRule>
  </conditionalFormatting>
  <conditionalFormatting sqref="AI5:AI6">
    <cfRule type="expression" dxfId="11633" priority="1324">
      <formula>$M5="NON DEFINED"</formula>
    </cfRule>
    <cfRule type="expression" dxfId="11632" priority="1325">
      <formula>$AY5="N.D."</formula>
    </cfRule>
  </conditionalFormatting>
  <conditionalFormatting sqref="AI5:AI6">
    <cfRule type="cellIs" dxfId="11631" priority="1323" operator="equal">
      <formula>0</formula>
    </cfRule>
  </conditionalFormatting>
  <conditionalFormatting sqref="R5:R6">
    <cfRule type="expression" dxfId="11630" priority="1321">
      <formula>$M5="NON DEFINED"</formula>
    </cfRule>
    <cfRule type="expression" dxfId="11629" priority="1322">
      <formula>$AY5="N.D."</formula>
    </cfRule>
  </conditionalFormatting>
  <conditionalFormatting sqref="R5:R6">
    <cfRule type="cellIs" dxfId="11628" priority="1320" operator="equal">
      <formula>0</formula>
    </cfRule>
  </conditionalFormatting>
  <conditionalFormatting sqref="S5:S6">
    <cfRule type="expression" dxfId="11627" priority="1318">
      <formula>$M5="NON DEFINED"</formula>
    </cfRule>
    <cfRule type="expression" dxfId="11626" priority="1319">
      <formula>$AY5="N.D."</formula>
    </cfRule>
  </conditionalFormatting>
  <conditionalFormatting sqref="S5:S6">
    <cfRule type="cellIs" dxfId="11625" priority="1317" operator="equal">
      <formula>0</formula>
    </cfRule>
  </conditionalFormatting>
  <conditionalFormatting sqref="W5:W6">
    <cfRule type="expression" dxfId="11624" priority="1315">
      <formula>$M5="NON DEFINED"</formula>
    </cfRule>
    <cfRule type="expression" dxfId="11623" priority="1316">
      <formula>$AY5="N.D."</formula>
    </cfRule>
  </conditionalFormatting>
  <conditionalFormatting sqref="W5:W6">
    <cfRule type="cellIs" dxfId="11622" priority="1314" operator="equal">
      <formula>0</formula>
    </cfRule>
  </conditionalFormatting>
  <conditionalFormatting sqref="X5:X6">
    <cfRule type="expression" dxfId="11621" priority="1312">
      <formula>$M5="NON DEFINED"</formula>
    </cfRule>
    <cfRule type="expression" dxfId="11620" priority="1313">
      <formula>$AY5="N.D."</formula>
    </cfRule>
  </conditionalFormatting>
  <conditionalFormatting sqref="X5:X6">
    <cfRule type="cellIs" dxfId="11619" priority="1311" operator="equal">
      <formula>0</formula>
    </cfRule>
  </conditionalFormatting>
  <conditionalFormatting sqref="Y5:Y6">
    <cfRule type="expression" dxfId="11618" priority="1309">
      <formula>$M5="NON DEFINED"</formula>
    </cfRule>
    <cfRule type="expression" dxfId="11617" priority="1310">
      <formula>$AY5="N.D."</formula>
    </cfRule>
  </conditionalFormatting>
  <conditionalFormatting sqref="Y5:Y6">
    <cfRule type="cellIs" dxfId="11616" priority="1308" operator="equal">
      <formula>0</formula>
    </cfRule>
  </conditionalFormatting>
  <conditionalFormatting sqref="Z5:Z6">
    <cfRule type="expression" dxfId="11615" priority="1306">
      <formula>$M5="NON DEFINED"</formula>
    </cfRule>
    <cfRule type="expression" dxfId="11614" priority="1307">
      <formula>$AY5="N.D."</formula>
    </cfRule>
  </conditionalFormatting>
  <conditionalFormatting sqref="Z5:Z6">
    <cfRule type="cellIs" dxfId="11613" priority="1305" operator="equal">
      <formula>0</formula>
    </cfRule>
  </conditionalFormatting>
  <conditionalFormatting sqref="AA5:AA6">
    <cfRule type="expression" dxfId="11612" priority="1303">
      <formula>$M5="NON DEFINED"</formula>
    </cfRule>
    <cfRule type="expression" dxfId="11611" priority="1304">
      <formula>$AY5="N.D."</formula>
    </cfRule>
  </conditionalFormatting>
  <conditionalFormatting sqref="AA5:AA6">
    <cfRule type="cellIs" dxfId="11610" priority="1302" operator="equal">
      <formula>0</formula>
    </cfRule>
  </conditionalFormatting>
  <conditionalFormatting sqref="AB5:AB6">
    <cfRule type="expression" dxfId="11609" priority="1300">
      <formula>$M5="NON DEFINED"</formula>
    </cfRule>
    <cfRule type="expression" dxfId="11608" priority="1301">
      <formula>$AY5="N.D."</formula>
    </cfRule>
  </conditionalFormatting>
  <conditionalFormatting sqref="AB5:AB6">
    <cfRule type="cellIs" dxfId="11607" priority="1299" operator="equal">
      <formula>0</formula>
    </cfRule>
  </conditionalFormatting>
  <conditionalFormatting sqref="G21">
    <cfRule type="expression" dxfId="11606" priority="1296">
      <formula>$M21="NON DEFINED"</formula>
    </cfRule>
    <cfRule type="expression" dxfId="11605" priority="1297">
      <formula>$AZ21="N.D."</formula>
    </cfRule>
    <cfRule type="expression" dxfId="11604" priority="1298">
      <formula>$AY21="N.D."</formula>
    </cfRule>
  </conditionalFormatting>
  <conditionalFormatting sqref="G21">
    <cfRule type="expression" dxfId="11603" priority="1285">
      <formula>$A21="Overhead Cable"</formula>
    </cfRule>
    <cfRule type="expression" dxfId="11602" priority="1286">
      <formula>$A21="Level Crossing"</formula>
    </cfRule>
    <cfRule type="expression" dxfId="11601" priority="1287">
      <formula>$A21="Neutral Section"</formula>
    </cfRule>
    <cfRule type="expression" dxfId="11600" priority="1288">
      <formula>$A21="Tunnel"</formula>
    </cfRule>
    <cfRule type="expression" dxfId="11599" priority="1289">
      <formula>$A21="Bridge"</formula>
    </cfRule>
    <cfRule type="expression" dxfId="11598" priority="1290">
      <formula>$A21="Drainage Works"</formula>
    </cfRule>
    <cfRule type="expression" dxfId="11597" priority="1291">
      <formula>$A21="Underpass"</formula>
    </cfRule>
    <cfRule type="expression" dxfId="11596" priority="1292">
      <formula>$A21="Overcrossing"</formula>
    </cfRule>
    <cfRule type="expression" dxfId="11595" priority="1293">
      <formula>$A21="Overpass"</formula>
    </cfRule>
    <cfRule type="expression" dxfId="11594" priority="1294">
      <formula>$A21="Station"</formula>
    </cfRule>
    <cfRule type="expression" dxfId="11593" priority="1295">
      <formula>$A21="Overlap between sections"</formula>
    </cfRule>
  </conditionalFormatting>
  <conditionalFormatting sqref="A7:E9 J7:J9 AG7:AG9 AN7:AS9 AY7:BD9 G7:H9">
    <cfRule type="cellIs" dxfId="11592" priority="1281" operator="equal">
      <formula>0</formula>
    </cfRule>
  </conditionalFormatting>
  <conditionalFormatting sqref="I7:I9">
    <cfRule type="cellIs" dxfId="11591" priority="1278" operator="equal">
      <formula>0</formula>
    </cfRule>
  </conditionalFormatting>
  <conditionalFormatting sqref="K7:K9">
    <cfRule type="cellIs" dxfId="11590" priority="1275" operator="equal">
      <formula>0</formula>
    </cfRule>
  </conditionalFormatting>
  <conditionalFormatting sqref="L7:L9">
    <cfRule type="cellIs" dxfId="11589" priority="1272" operator="equal">
      <formula>0</formula>
    </cfRule>
  </conditionalFormatting>
  <conditionalFormatting sqref="M7:M9">
    <cfRule type="cellIs" dxfId="11588" priority="1269" operator="equal">
      <formula>0</formula>
    </cfRule>
  </conditionalFormatting>
  <conditionalFormatting sqref="N7:N9">
    <cfRule type="cellIs" dxfId="11587" priority="1266" operator="equal">
      <formula>0</formula>
    </cfRule>
  </conditionalFormatting>
  <conditionalFormatting sqref="O7:O9">
    <cfRule type="cellIs" dxfId="11586" priority="1263" operator="equal">
      <formula>0</formula>
    </cfRule>
  </conditionalFormatting>
  <conditionalFormatting sqref="P7:P9">
    <cfRule type="cellIs" dxfId="11585" priority="1260" operator="equal">
      <formula>0</formula>
    </cfRule>
  </conditionalFormatting>
  <conditionalFormatting sqref="AC7:AC9">
    <cfRule type="cellIs" dxfId="11584" priority="1257" operator="equal">
      <formula>0</formula>
    </cfRule>
  </conditionalFormatting>
  <conditionalFormatting sqref="AD7:AD9">
    <cfRule type="cellIs" dxfId="11583" priority="1254" operator="equal">
      <formula>0</formula>
    </cfRule>
  </conditionalFormatting>
  <conditionalFormatting sqref="AE7:AE9">
    <cfRule type="cellIs" dxfId="11582" priority="1251" operator="equal">
      <formula>0</formula>
    </cfRule>
  </conditionalFormatting>
  <conditionalFormatting sqref="AJ7:AJ9">
    <cfRule type="cellIs" dxfId="11581" priority="1248" operator="equal">
      <formula>0</formula>
    </cfRule>
  </conditionalFormatting>
  <conditionalFormatting sqref="AK7:AK9">
    <cfRule type="cellIs" dxfId="11580" priority="1245" operator="equal">
      <formula>0</formula>
    </cfRule>
  </conditionalFormatting>
  <conditionalFormatting sqref="AL7:AL9">
    <cfRule type="cellIs" dxfId="11579" priority="1242" operator="equal">
      <formula>0</formula>
    </cfRule>
  </conditionalFormatting>
  <conditionalFormatting sqref="AM7:AM9">
    <cfRule type="cellIs" dxfId="11578" priority="1239" operator="equal">
      <formula>0</formula>
    </cfRule>
  </conditionalFormatting>
  <conditionalFormatting sqref="AT7:AT9">
    <cfRule type="cellIs" dxfId="11577" priority="1236" operator="equal">
      <formula>0</formula>
    </cfRule>
  </conditionalFormatting>
  <conditionalFormatting sqref="AU7:AU9">
    <cfRule type="cellIs" dxfId="11576" priority="1233" operator="equal">
      <formula>0</formula>
    </cfRule>
  </conditionalFormatting>
  <conditionalFormatting sqref="AV7:AV9">
    <cfRule type="cellIs" dxfId="11575" priority="1230" operator="equal">
      <formula>0</formula>
    </cfRule>
  </conditionalFormatting>
  <conditionalFormatting sqref="AW7:AW9">
    <cfRule type="cellIs" dxfId="11574" priority="1227" operator="equal">
      <formula>0</formula>
    </cfRule>
  </conditionalFormatting>
  <conditionalFormatting sqref="AX7:AX9">
    <cfRule type="cellIs" dxfId="11573" priority="1224" operator="equal">
      <formula>0</formula>
    </cfRule>
  </conditionalFormatting>
  <conditionalFormatting sqref="F7:F9">
    <cfRule type="cellIs" dxfId="11572" priority="1221" operator="equal">
      <formula>0</formula>
    </cfRule>
  </conditionalFormatting>
  <conditionalFormatting sqref="Q7:Q9">
    <cfRule type="cellIs" dxfId="11571" priority="1218" operator="equal">
      <formula>0</formula>
    </cfRule>
  </conditionalFormatting>
  <conditionalFormatting sqref="T7:T9">
    <cfRule type="cellIs" dxfId="11570" priority="1215" operator="equal">
      <formula>0</formula>
    </cfRule>
  </conditionalFormatting>
  <conditionalFormatting sqref="U7:U9">
    <cfRule type="cellIs" dxfId="11569" priority="1212" operator="equal">
      <formula>0</formula>
    </cfRule>
  </conditionalFormatting>
  <conditionalFormatting sqref="V7:V9">
    <cfRule type="cellIs" dxfId="11568" priority="1209" operator="equal">
      <formula>0</formula>
    </cfRule>
  </conditionalFormatting>
  <conditionalFormatting sqref="AF7:AF9">
    <cfRule type="cellIs" dxfId="11567" priority="1206" operator="equal">
      <formula>0</formula>
    </cfRule>
  </conditionalFormatting>
  <conditionalFormatting sqref="AH7:AH9">
    <cfRule type="cellIs" dxfId="11566" priority="1203" operator="equal">
      <formula>0</formula>
    </cfRule>
  </conditionalFormatting>
  <conditionalFormatting sqref="AI7:AI9">
    <cfRule type="cellIs" dxfId="11565" priority="1200" operator="equal">
      <formula>0</formula>
    </cfRule>
  </conditionalFormatting>
  <conditionalFormatting sqref="R7:R9">
    <cfRule type="cellIs" dxfId="11564" priority="1197" operator="equal">
      <formula>0</formula>
    </cfRule>
  </conditionalFormatting>
  <conditionalFormatting sqref="S7:S9">
    <cfRule type="cellIs" dxfId="11563" priority="1194" operator="equal">
      <formula>0</formula>
    </cfRule>
  </conditionalFormatting>
  <conditionalFormatting sqref="W7:W9">
    <cfRule type="cellIs" dxfId="11562" priority="1191" operator="equal">
      <formula>0</formula>
    </cfRule>
  </conditionalFormatting>
  <conditionalFormatting sqref="X7:X9">
    <cfRule type="cellIs" dxfId="11561" priority="1188" operator="equal">
      <formula>0</formula>
    </cfRule>
  </conditionalFormatting>
  <conditionalFormatting sqref="Y7:Y9">
    <cfRule type="cellIs" dxfId="11560" priority="1185" operator="equal">
      <formula>0</formula>
    </cfRule>
  </conditionalFormatting>
  <conditionalFormatting sqref="Z7:Z9">
    <cfRule type="cellIs" dxfId="11559" priority="1182" operator="equal">
      <formula>0</formula>
    </cfRule>
  </conditionalFormatting>
  <conditionalFormatting sqref="AA7:AA9">
    <cfRule type="cellIs" dxfId="11558" priority="1179" operator="equal">
      <formula>0</formula>
    </cfRule>
  </conditionalFormatting>
  <conditionalFormatting sqref="AB7:AB9">
    <cfRule type="cellIs" dxfId="11557" priority="1176" operator="equal">
      <formula>0</formula>
    </cfRule>
  </conditionalFormatting>
  <conditionalFormatting sqref="BA36:BC39">
    <cfRule type="expression" dxfId="11556" priority="1175">
      <formula>$BE36="R"</formula>
    </cfRule>
  </conditionalFormatting>
  <conditionalFormatting sqref="B36:E39 J36:J39 AG36:AG39 AN36:AS39 AY36:BC39 G36:H39">
    <cfRule type="expression" dxfId="11555" priority="1173">
      <formula>$M36="NON DEFINED"</formula>
    </cfRule>
    <cfRule type="expression" dxfId="11554" priority="1174">
      <formula>$AY36="N.D."</formula>
    </cfRule>
  </conditionalFormatting>
  <conditionalFormatting sqref="A36:E39 J36:J39 AG36:AG39 AN36:AS39 AY36:BD39 G36:H39">
    <cfRule type="cellIs" dxfId="11553" priority="1172" operator="equal">
      <formula>0</formula>
    </cfRule>
  </conditionalFormatting>
  <conditionalFormatting sqref="I36:I39">
    <cfRule type="expression" dxfId="11552" priority="1170">
      <formula>$M36="NON DEFINED"</formula>
    </cfRule>
    <cfRule type="expression" dxfId="11551" priority="1171">
      <formula>$AY36="N.D."</formula>
    </cfRule>
  </conditionalFormatting>
  <conditionalFormatting sqref="I36:I39">
    <cfRule type="cellIs" dxfId="11550" priority="1169" operator="equal">
      <formula>0</formula>
    </cfRule>
  </conditionalFormatting>
  <conditionalFormatting sqref="K36:K39">
    <cfRule type="expression" dxfId="11549" priority="1167">
      <formula>$M36="NON DEFINED"</formula>
    </cfRule>
    <cfRule type="expression" dxfId="11548" priority="1168">
      <formula>$AY36="N.D."</formula>
    </cfRule>
  </conditionalFormatting>
  <conditionalFormatting sqref="K36:K39">
    <cfRule type="cellIs" dxfId="11547" priority="1166" operator="equal">
      <formula>0</formula>
    </cfRule>
  </conditionalFormatting>
  <conditionalFormatting sqref="L36:L39">
    <cfRule type="expression" dxfId="11546" priority="1164">
      <formula>$M36="NON DEFINED"</formula>
    </cfRule>
    <cfRule type="expression" dxfId="11545" priority="1165">
      <formula>$AY36="N.D."</formula>
    </cfRule>
  </conditionalFormatting>
  <conditionalFormatting sqref="L36:L39">
    <cfRule type="cellIs" dxfId="11544" priority="1163" operator="equal">
      <formula>0</formula>
    </cfRule>
  </conditionalFormatting>
  <conditionalFormatting sqref="M36:M39">
    <cfRule type="expression" dxfId="11543" priority="1161">
      <formula>$M36="NON DEFINED"</formula>
    </cfRule>
    <cfRule type="expression" dxfId="11542" priority="1162">
      <formula>$AY36="N.D."</formula>
    </cfRule>
  </conditionalFormatting>
  <conditionalFormatting sqref="M36:M39">
    <cfRule type="cellIs" dxfId="11541" priority="1160" operator="equal">
      <formula>0</formula>
    </cfRule>
  </conditionalFormatting>
  <conditionalFormatting sqref="N36:N39">
    <cfRule type="expression" dxfId="11540" priority="1158">
      <formula>$M36="NON DEFINED"</formula>
    </cfRule>
    <cfRule type="expression" dxfId="11539" priority="1159">
      <formula>$AY36="N.D."</formula>
    </cfRule>
  </conditionalFormatting>
  <conditionalFormatting sqref="N36:N39">
    <cfRule type="cellIs" dxfId="11538" priority="1157" operator="equal">
      <formula>0</formula>
    </cfRule>
  </conditionalFormatting>
  <conditionalFormatting sqref="O36:O39">
    <cfRule type="expression" dxfId="11537" priority="1155">
      <formula>$M36="NON DEFINED"</formula>
    </cfRule>
    <cfRule type="expression" dxfId="11536" priority="1156">
      <formula>$AY36="N.D."</formula>
    </cfRule>
  </conditionalFormatting>
  <conditionalFormatting sqref="O36:O39">
    <cfRule type="cellIs" dxfId="11535" priority="1154" operator="equal">
      <formula>0</formula>
    </cfRule>
  </conditionalFormatting>
  <conditionalFormatting sqref="P36:P39">
    <cfRule type="expression" dxfId="11534" priority="1152">
      <formula>$M36="NON DEFINED"</formula>
    </cfRule>
    <cfRule type="expression" dxfId="11533" priority="1153">
      <formula>$AY36="N.D."</formula>
    </cfRule>
  </conditionalFormatting>
  <conditionalFormatting sqref="P36:P39">
    <cfRule type="cellIs" dxfId="11532" priority="1151" operator="equal">
      <formula>0</formula>
    </cfRule>
  </conditionalFormatting>
  <conditionalFormatting sqref="AC36:AC39">
    <cfRule type="expression" dxfId="11531" priority="1149">
      <formula>$M36="NON DEFINED"</formula>
    </cfRule>
    <cfRule type="expression" dxfId="11530" priority="1150">
      <formula>$AY36="N.D."</formula>
    </cfRule>
  </conditionalFormatting>
  <conditionalFormatting sqref="AC36:AC39">
    <cfRule type="cellIs" dxfId="11529" priority="1148" operator="equal">
      <formula>0</formula>
    </cfRule>
  </conditionalFormatting>
  <conditionalFormatting sqref="AD36:AD39">
    <cfRule type="expression" dxfId="11528" priority="1146">
      <formula>$M36="NON DEFINED"</formula>
    </cfRule>
    <cfRule type="expression" dxfId="11527" priority="1147">
      <formula>$AY36="N.D."</formula>
    </cfRule>
  </conditionalFormatting>
  <conditionalFormatting sqref="AD36:AD39">
    <cfRule type="cellIs" dxfId="11526" priority="1145" operator="equal">
      <formula>0</formula>
    </cfRule>
  </conditionalFormatting>
  <conditionalFormatting sqref="AE36:AE39">
    <cfRule type="expression" dxfId="11525" priority="1143">
      <formula>$M36="NON DEFINED"</formula>
    </cfRule>
    <cfRule type="expression" dxfId="11524" priority="1144">
      <formula>$AY36="N.D."</formula>
    </cfRule>
  </conditionalFormatting>
  <conditionalFormatting sqref="AE36:AE39">
    <cfRule type="cellIs" dxfId="11523" priority="1142" operator="equal">
      <formula>0</formula>
    </cfRule>
  </conditionalFormatting>
  <conditionalFormatting sqref="AJ36:AJ39">
    <cfRule type="expression" dxfId="11522" priority="1140">
      <formula>$M36="NON DEFINED"</formula>
    </cfRule>
    <cfRule type="expression" dxfId="11521" priority="1141">
      <formula>$AY36="N.D."</formula>
    </cfRule>
  </conditionalFormatting>
  <conditionalFormatting sqref="AJ36:AJ39">
    <cfRule type="cellIs" dxfId="11520" priority="1139" operator="equal">
      <formula>0</formula>
    </cfRule>
  </conditionalFormatting>
  <conditionalFormatting sqref="AK36:AK39">
    <cfRule type="expression" dxfId="11519" priority="1137">
      <formula>$M36="NON DEFINED"</formula>
    </cfRule>
    <cfRule type="expression" dxfId="11518" priority="1138">
      <formula>$AY36="N.D."</formula>
    </cfRule>
  </conditionalFormatting>
  <conditionalFormatting sqref="AK36:AK39">
    <cfRule type="cellIs" dxfId="11517" priority="1136" operator="equal">
      <formula>0</formula>
    </cfRule>
  </conditionalFormatting>
  <conditionalFormatting sqref="AL36:AL39">
    <cfRule type="expression" dxfId="11516" priority="1134">
      <formula>$M36="NON DEFINED"</formula>
    </cfRule>
    <cfRule type="expression" dxfId="11515" priority="1135">
      <formula>$AY36="N.D."</formula>
    </cfRule>
  </conditionalFormatting>
  <conditionalFormatting sqref="AL36:AL39">
    <cfRule type="cellIs" dxfId="11514" priority="1133" operator="equal">
      <formula>0</formula>
    </cfRule>
  </conditionalFormatting>
  <conditionalFormatting sqref="AM36:AM39">
    <cfRule type="expression" dxfId="11513" priority="1131">
      <formula>$M36="NON DEFINED"</formula>
    </cfRule>
    <cfRule type="expression" dxfId="11512" priority="1132">
      <formula>$AY36="N.D."</formula>
    </cfRule>
  </conditionalFormatting>
  <conditionalFormatting sqref="AM36:AM39">
    <cfRule type="cellIs" dxfId="11511" priority="1130" operator="equal">
      <formula>0</formula>
    </cfRule>
  </conditionalFormatting>
  <conditionalFormatting sqref="AT36:AT39">
    <cfRule type="expression" dxfId="11510" priority="1128">
      <formula>$M36="NON DEFINED"</formula>
    </cfRule>
    <cfRule type="expression" dxfId="11509" priority="1129">
      <formula>$AY36="N.D."</formula>
    </cfRule>
  </conditionalFormatting>
  <conditionalFormatting sqref="AT36:AT39">
    <cfRule type="cellIs" dxfId="11508" priority="1127" operator="equal">
      <formula>0</formula>
    </cfRule>
  </conditionalFormatting>
  <conditionalFormatting sqref="AU36:AU39">
    <cfRule type="expression" dxfId="11507" priority="1125">
      <formula>$M36="NON DEFINED"</formula>
    </cfRule>
    <cfRule type="expression" dxfId="11506" priority="1126">
      <formula>$AY36="N.D."</formula>
    </cfRule>
  </conditionalFormatting>
  <conditionalFormatting sqref="AU36:AU39">
    <cfRule type="cellIs" dxfId="11505" priority="1124" operator="equal">
      <formula>0</formula>
    </cfRule>
  </conditionalFormatting>
  <conditionalFormatting sqref="AV36:AV39">
    <cfRule type="expression" dxfId="11504" priority="1122">
      <formula>$M36="NON DEFINED"</formula>
    </cfRule>
    <cfRule type="expression" dxfId="11503" priority="1123">
      <formula>$AY36="N.D."</formula>
    </cfRule>
  </conditionalFormatting>
  <conditionalFormatting sqref="AV36:AV39">
    <cfRule type="cellIs" dxfId="11502" priority="1121" operator="equal">
      <formula>0</formula>
    </cfRule>
  </conditionalFormatting>
  <conditionalFormatting sqref="AW36:AW39">
    <cfRule type="expression" dxfId="11501" priority="1119">
      <formula>$M36="NON DEFINED"</formula>
    </cfRule>
    <cfRule type="expression" dxfId="11500" priority="1120">
      <formula>$AY36="N.D."</formula>
    </cfRule>
  </conditionalFormatting>
  <conditionalFormatting sqref="AW36:AW39">
    <cfRule type="cellIs" dxfId="11499" priority="1118" operator="equal">
      <formula>0</formula>
    </cfRule>
  </conditionalFormatting>
  <conditionalFormatting sqref="AX36:AX39">
    <cfRule type="expression" dxfId="11498" priority="1116">
      <formula>$M36="NON DEFINED"</formula>
    </cfRule>
    <cfRule type="expression" dxfId="11497" priority="1117">
      <formula>$AY36="N.D."</formula>
    </cfRule>
  </conditionalFormatting>
  <conditionalFormatting sqref="AX36:AX39">
    <cfRule type="cellIs" dxfId="11496" priority="1115" operator="equal">
      <formula>0</formula>
    </cfRule>
  </conditionalFormatting>
  <conditionalFormatting sqref="F36:F39">
    <cfRule type="expression" dxfId="11495" priority="1113">
      <formula>$M36="NON DEFINED"</formula>
    </cfRule>
    <cfRule type="expression" dxfId="11494" priority="1114">
      <formula>$AY36="N.D."</formula>
    </cfRule>
  </conditionalFormatting>
  <conditionalFormatting sqref="F36:F39">
    <cfRule type="cellIs" dxfId="11493" priority="1112" operator="equal">
      <formula>0</formula>
    </cfRule>
  </conditionalFormatting>
  <conditionalFormatting sqref="Q36:Q39">
    <cfRule type="expression" dxfId="11492" priority="1110">
      <formula>$M36="NON DEFINED"</formula>
    </cfRule>
    <cfRule type="expression" dxfId="11491" priority="1111">
      <formula>$AY36="N.D."</formula>
    </cfRule>
  </conditionalFormatting>
  <conditionalFormatting sqref="Q36:Q39">
    <cfRule type="cellIs" dxfId="11490" priority="1109" operator="equal">
      <formula>0</formula>
    </cfRule>
  </conditionalFormatting>
  <conditionalFormatting sqref="T36:T39">
    <cfRule type="expression" dxfId="11489" priority="1107">
      <formula>$M36="NON DEFINED"</formula>
    </cfRule>
    <cfRule type="expression" dxfId="11488" priority="1108">
      <formula>$AY36="N.D."</formula>
    </cfRule>
  </conditionalFormatting>
  <conditionalFormatting sqref="T36:T39">
    <cfRule type="cellIs" dxfId="11487" priority="1106" operator="equal">
      <formula>0</formula>
    </cfRule>
  </conditionalFormatting>
  <conditionalFormatting sqref="U36:U39">
    <cfRule type="expression" dxfId="11486" priority="1104">
      <formula>$M36="NON DEFINED"</formula>
    </cfRule>
    <cfRule type="expression" dxfId="11485" priority="1105">
      <formula>$AY36="N.D."</formula>
    </cfRule>
  </conditionalFormatting>
  <conditionalFormatting sqref="U36:U39">
    <cfRule type="cellIs" dxfId="11484" priority="1103" operator="equal">
      <formula>0</formula>
    </cfRule>
  </conditionalFormatting>
  <conditionalFormatting sqref="V36:V39">
    <cfRule type="expression" dxfId="11483" priority="1101">
      <formula>$M36="NON DEFINED"</formula>
    </cfRule>
    <cfRule type="expression" dxfId="11482" priority="1102">
      <formula>$AY36="N.D."</formula>
    </cfRule>
  </conditionalFormatting>
  <conditionalFormatting sqref="V36:V39">
    <cfRule type="cellIs" dxfId="11481" priority="1100" operator="equal">
      <formula>0</formula>
    </cfRule>
  </conditionalFormatting>
  <conditionalFormatting sqref="AF36:AF39">
    <cfRule type="expression" dxfId="11480" priority="1098">
      <formula>$M36="NON DEFINED"</formula>
    </cfRule>
    <cfRule type="expression" dxfId="11479" priority="1099">
      <formula>$AY36="N.D."</formula>
    </cfRule>
  </conditionalFormatting>
  <conditionalFormatting sqref="AF36:AF39">
    <cfRule type="cellIs" dxfId="11478" priority="1097" operator="equal">
      <formula>0</formula>
    </cfRule>
  </conditionalFormatting>
  <conditionalFormatting sqref="AH36:AH39">
    <cfRule type="expression" dxfId="11477" priority="1095">
      <formula>$M36="NON DEFINED"</formula>
    </cfRule>
    <cfRule type="expression" dxfId="11476" priority="1096">
      <formula>$AY36="N.D."</formula>
    </cfRule>
  </conditionalFormatting>
  <conditionalFormatting sqref="AH36:AH39">
    <cfRule type="cellIs" dxfId="11475" priority="1094" operator="equal">
      <formula>0</formula>
    </cfRule>
  </conditionalFormatting>
  <conditionalFormatting sqref="AI36:AI39">
    <cfRule type="expression" dxfId="11474" priority="1092">
      <formula>$M36="NON DEFINED"</formula>
    </cfRule>
    <cfRule type="expression" dxfId="11473" priority="1093">
      <formula>$AY36="N.D."</formula>
    </cfRule>
  </conditionalFormatting>
  <conditionalFormatting sqref="AI36:AI39">
    <cfRule type="cellIs" dxfId="11472" priority="1091" operator="equal">
      <formula>0</formula>
    </cfRule>
  </conditionalFormatting>
  <conditionalFormatting sqref="R36:R39">
    <cfRule type="expression" dxfId="11471" priority="1089">
      <formula>$M36="NON DEFINED"</formula>
    </cfRule>
    <cfRule type="expression" dxfId="11470" priority="1090">
      <formula>$AY36="N.D."</formula>
    </cfRule>
  </conditionalFormatting>
  <conditionalFormatting sqref="R36:R39">
    <cfRule type="cellIs" dxfId="11469" priority="1088" operator="equal">
      <formula>0</formula>
    </cfRule>
  </conditionalFormatting>
  <conditionalFormatting sqref="S36:S39">
    <cfRule type="expression" dxfId="11468" priority="1086">
      <formula>$M36="NON DEFINED"</formula>
    </cfRule>
    <cfRule type="expression" dxfId="11467" priority="1087">
      <formula>$AY36="N.D."</formula>
    </cfRule>
  </conditionalFormatting>
  <conditionalFormatting sqref="S36:S39">
    <cfRule type="cellIs" dxfId="11466" priority="1085" operator="equal">
      <formula>0</formula>
    </cfRule>
  </conditionalFormatting>
  <conditionalFormatting sqref="W36:W39">
    <cfRule type="expression" dxfId="11465" priority="1083">
      <formula>$M36="NON DEFINED"</formula>
    </cfRule>
    <cfRule type="expression" dxfId="11464" priority="1084">
      <formula>$AY36="N.D."</formula>
    </cfRule>
  </conditionalFormatting>
  <conditionalFormatting sqref="W36:W39">
    <cfRule type="cellIs" dxfId="11463" priority="1082" operator="equal">
      <formula>0</formula>
    </cfRule>
  </conditionalFormatting>
  <conditionalFormatting sqref="X36:X39">
    <cfRule type="expression" dxfId="11462" priority="1080">
      <formula>$M36="NON DEFINED"</formula>
    </cfRule>
    <cfRule type="expression" dxfId="11461" priority="1081">
      <formula>$AY36="N.D."</formula>
    </cfRule>
  </conditionalFormatting>
  <conditionalFormatting sqref="X36:X39">
    <cfRule type="cellIs" dxfId="11460" priority="1079" operator="equal">
      <formula>0</formula>
    </cfRule>
  </conditionalFormatting>
  <conditionalFormatting sqref="Y36:Y39">
    <cfRule type="expression" dxfId="11459" priority="1077">
      <formula>$M36="NON DEFINED"</formula>
    </cfRule>
    <cfRule type="expression" dxfId="11458" priority="1078">
      <formula>$AY36="N.D."</formula>
    </cfRule>
  </conditionalFormatting>
  <conditionalFormatting sqref="Y36:Y39">
    <cfRule type="cellIs" dxfId="11457" priority="1076" operator="equal">
      <formula>0</formula>
    </cfRule>
  </conditionalFormatting>
  <conditionalFormatting sqref="Z36:Z39">
    <cfRule type="expression" dxfId="11456" priority="1074">
      <formula>$M36="NON DEFINED"</formula>
    </cfRule>
    <cfRule type="expression" dxfId="11455" priority="1075">
      <formula>$AY36="N.D."</formula>
    </cfRule>
  </conditionalFormatting>
  <conditionalFormatting sqref="Z36:Z39">
    <cfRule type="cellIs" dxfId="11454" priority="1073" operator="equal">
      <formula>0</formula>
    </cfRule>
  </conditionalFormatting>
  <conditionalFormatting sqref="AA36:AA39">
    <cfRule type="expression" dxfId="11453" priority="1071">
      <formula>$M36="NON DEFINED"</formula>
    </cfRule>
    <cfRule type="expression" dxfId="11452" priority="1072">
      <formula>$AY36="N.D."</formula>
    </cfRule>
  </conditionalFormatting>
  <conditionalFormatting sqref="AA36:AA39">
    <cfRule type="cellIs" dxfId="11451" priority="1070" operator="equal">
      <formula>0</formula>
    </cfRule>
  </conditionalFormatting>
  <conditionalFormatting sqref="AB36:AB39">
    <cfRule type="expression" dxfId="11450" priority="1068">
      <formula>$M36="NON DEFINED"</formula>
    </cfRule>
    <cfRule type="expression" dxfId="11449" priority="1069">
      <formula>$AY36="N.D."</formula>
    </cfRule>
  </conditionalFormatting>
  <conditionalFormatting sqref="AB36:AB39">
    <cfRule type="cellIs" dxfId="11448" priority="1067" operator="equal">
      <formula>0</formula>
    </cfRule>
  </conditionalFormatting>
  <conditionalFormatting sqref="C18">
    <cfRule type="expression" dxfId="11447" priority="1064">
      <formula>$M18="NON DEFINED"</formula>
    </cfRule>
    <cfRule type="expression" dxfId="11446" priority="1065">
      <formula>$AZ18="N.D."</formula>
    </cfRule>
    <cfRule type="expression" dxfId="11445" priority="1066">
      <formula>$AY18="N.D."</formula>
    </cfRule>
  </conditionalFormatting>
  <conditionalFormatting sqref="C18">
    <cfRule type="expression" dxfId="11444" priority="1053">
      <formula>$A18="Overhead Cable"</formula>
    </cfRule>
    <cfRule type="expression" dxfId="11443" priority="1054">
      <formula>$A18="Level Crossing"</formula>
    </cfRule>
    <cfRule type="expression" dxfId="11442" priority="1055">
      <formula>$A18="Neutral Section"</formula>
    </cfRule>
    <cfRule type="expression" dxfId="11441" priority="1056">
      <formula>$A18="Tunnel"</formula>
    </cfRule>
    <cfRule type="expression" dxfId="11440" priority="1057">
      <formula>$A18="Bridge"</formula>
    </cfRule>
    <cfRule type="expression" dxfId="11439" priority="1058">
      <formula>$A18="Drainage Works"</formula>
    </cfRule>
    <cfRule type="expression" dxfId="11438" priority="1059">
      <formula>$A18="Underpass"</formula>
    </cfRule>
    <cfRule type="expression" dxfId="11437" priority="1060">
      <formula>$A18="Overcrossing"</formula>
    </cfRule>
    <cfRule type="expression" dxfId="11436" priority="1061">
      <formula>$A18="Overpass"</formula>
    </cfRule>
    <cfRule type="expression" dxfId="11435" priority="1062">
      <formula>$A18="Station"</formula>
    </cfRule>
    <cfRule type="expression" dxfId="11434" priority="1063">
      <formula>$A18="Overlap between sections"</formula>
    </cfRule>
  </conditionalFormatting>
  <conditionalFormatting sqref="C20">
    <cfRule type="expression" dxfId="11433" priority="1050">
      <formula>$M20="NON DEFINED"</formula>
    </cfRule>
    <cfRule type="expression" dxfId="11432" priority="1051">
      <formula>$AZ20="N.D."</formula>
    </cfRule>
    <cfRule type="expression" dxfId="11431" priority="1052">
      <formula>$AY20="N.D."</formula>
    </cfRule>
  </conditionalFormatting>
  <conditionalFormatting sqref="C20">
    <cfRule type="expression" dxfId="11430" priority="1039">
      <formula>$A20="Overhead Cable"</formula>
    </cfRule>
    <cfRule type="expression" dxfId="11429" priority="1040">
      <formula>$A20="Level Crossing"</formula>
    </cfRule>
    <cfRule type="expression" dxfId="11428" priority="1041">
      <formula>$A20="Neutral Section"</formula>
    </cfRule>
    <cfRule type="expression" dxfId="11427" priority="1042">
      <formula>$A20="Tunnel"</formula>
    </cfRule>
    <cfRule type="expression" dxfId="11426" priority="1043">
      <formula>$A20="Bridge"</formula>
    </cfRule>
    <cfRule type="expression" dxfId="11425" priority="1044">
      <formula>$A20="Drainage Works"</formula>
    </cfRule>
    <cfRule type="expression" dxfId="11424" priority="1045">
      <formula>$A20="Underpass"</formula>
    </cfRule>
    <cfRule type="expression" dxfId="11423" priority="1046">
      <formula>$A20="Overcrossing"</formula>
    </cfRule>
    <cfRule type="expression" dxfId="11422" priority="1047">
      <formula>$A20="Overpass"</formula>
    </cfRule>
    <cfRule type="expression" dxfId="11421" priority="1048">
      <formula>$A20="Station"</formula>
    </cfRule>
    <cfRule type="expression" dxfId="11420" priority="1049">
      <formula>$A20="Overlap between sections"</formula>
    </cfRule>
  </conditionalFormatting>
  <conditionalFormatting sqref="C22">
    <cfRule type="expression" dxfId="11419" priority="1036">
      <formula>$M22="NON DEFINED"</formula>
    </cfRule>
    <cfRule type="expression" dxfId="11418" priority="1037">
      <formula>$AZ22="N.D."</formula>
    </cfRule>
    <cfRule type="expression" dxfId="11417" priority="1038">
      <formula>$AY22="N.D."</formula>
    </cfRule>
  </conditionalFormatting>
  <conditionalFormatting sqref="C22">
    <cfRule type="expression" dxfId="11416" priority="1025">
      <formula>$A22="Overhead Cable"</formula>
    </cfRule>
    <cfRule type="expression" dxfId="11415" priority="1026">
      <formula>$A22="Level Crossing"</formula>
    </cfRule>
    <cfRule type="expression" dxfId="11414" priority="1027">
      <formula>$A22="Neutral Section"</formula>
    </cfRule>
    <cfRule type="expression" dxfId="11413" priority="1028">
      <formula>$A22="Tunnel"</formula>
    </cfRule>
    <cfRule type="expression" dxfId="11412" priority="1029">
      <formula>$A22="Bridge"</formula>
    </cfRule>
    <cfRule type="expression" dxfId="11411" priority="1030">
      <formula>$A22="Drainage Works"</formula>
    </cfRule>
    <cfRule type="expression" dxfId="11410" priority="1031">
      <formula>$A22="Underpass"</formula>
    </cfRule>
    <cfRule type="expression" dxfId="11409" priority="1032">
      <formula>$A22="Overcrossing"</formula>
    </cfRule>
    <cfRule type="expression" dxfId="11408" priority="1033">
      <formula>$A22="Overpass"</formula>
    </cfRule>
    <cfRule type="expression" dxfId="11407" priority="1034">
      <formula>$A22="Station"</formula>
    </cfRule>
    <cfRule type="expression" dxfId="11406" priority="1035">
      <formula>$A22="Overlap between sections"</formula>
    </cfRule>
  </conditionalFormatting>
  <conditionalFormatting sqref="C24">
    <cfRule type="expression" dxfId="11405" priority="1022">
      <formula>$M24="NON DEFINED"</formula>
    </cfRule>
    <cfRule type="expression" dxfId="11404" priority="1023">
      <formula>$AZ24="N.D."</formula>
    </cfRule>
    <cfRule type="expression" dxfId="11403" priority="1024">
      <formula>$AY24="N.D."</formula>
    </cfRule>
  </conditionalFormatting>
  <conditionalFormatting sqref="C24">
    <cfRule type="expression" dxfId="11402" priority="1011">
      <formula>$A24="Overhead Cable"</formula>
    </cfRule>
    <cfRule type="expression" dxfId="11401" priority="1012">
      <formula>$A24="Level Crossing"</formula>
    </cfRule>
    <cfRule type="expression" dxfId="11400" priority="1013">
      <formula>$A24="Neutral Section"</formula>
    </cfRule>
    <cfRule type="expression" dxfId="11399" priority="1014">
      <formula>$A24="Tunnel"</formula>
    </cfRule>
    <cfRule type="expression" dxfId="11398" priority="1015">
      <formula>$A24="Bridge"</formula>
    </cfRule>
    <cfRule type="expression" dxfId="11397" priority="1016">
      <formula>$A24="Drainage Works"</formula>
    </cfRule>
    <cfRule type="expression" dxfId="11396" priority="1017">
      <formula>$A24="Underpass"</formula>
    </cfRule>
    <cfRule type="expression" dxfId="11395" priority="1018">
      <formula>$A24="Overcrossing"</formula>
    </cfRule>
    <cfRule type="expression" dxfId="11394" priority="1019">
      <formula>$A24="Overpass"</formula>
    </cfRule>
    <cfRule type="expression" dxfId="11393" priority="1020">
      <formula>$A24="Station"</formula>
    </cfRule>
    <cfRule type="expression" dxfId="11392" priority="1021">
      <formula>$A24="Overlap between sections"</formula>
    </cfRule>
  </conditionalFormatting>
  <conditionalFormatting sqref="C26">
    <cfRule type="expression" dxfId="11391" priority="1008">
      <formula>$M26="NON DEFINED"</formula>
    </cfRule>
    <cfRule type="expression" dxfId="11390" priority="1009">
      <formula>$AZ26="N.D."</formula>
    </cfRule>
    <cfRule type="expression" dxfId="11389" priority="1010">
      <formula>$AY26="N.D."</formula>
    </cfRule>
  </conditionalFormatting>
  <conditionalFormatting sqref="C26">
    <cfRule type="expression" dxfId="11388" priority="997">
      <formula>$A26="Overhead Cable"</formula>
    </cfRule>
    <cfRule type="expression" dxfId="11387" priority="998">
      <formula>$A26="Level Crossing"</formula>
    </cfRule>
    <cfRule type="expression" dxfId="11386" priority="999">
      <formula>$A26="Neutral Section"</formula>
    </cfRule>
    <cfRule type="expression" dxfId="11385" priority="1000">
      <formula>$A26="Tunnel"</formula>
    </cfRule>
    <cfRule type="expression" dxfId="11384" priority="1001">
      <formula>$A26="Bridge"</formula>
    </cfRule>
    <cfRule type="expression" dxfId="11383" priority="1002">
      <formula>$A26="Drainage Works"</formula>
    </cfRule>
    <cfRule type="expression" dxfId="11382" priority="1003">
      <formula>$A26="Underpass"</formula>
    </cfRule>
    <cfRule type="expression" dxfId="11381" priority="1004">
      <formula>$A26="Overcrossing"</formula>
    </cfRule>
    <cfRule type="expression" dxfId="11380" priority="1005">
      <formula>$A26="Overpass"</formula>
    </cfRule>
    <cfRule type="expression" dxfId="11379" priority="1006">
      <formula>$A26="Station"</formula>
    </cfRule>
    <cfRule type="expression" dxfId="11378" priority="1007">
      <formula>$A26="Overlap between sections"</formula>
    </cfRule>
  </conditionalFormatting>
  <conditionalFormatting sqref="C28">
    <cfRule type="expression" dxfId="11377" priority="994">
      <formula>$M28="NON DEFINED"</formula>
    </cfRule>
    <cfRule type="expression" dxfId="11376" priority="995">
      <formula>$AZ28="N.D."</formula>
    </cfRule>
    <cfRule type="expression" dxfId="11375" priority="996">
      <formula>$AY28="N.D."</formula>
    </cfRule>
  </conditionalFormatting>
  <conditionalFormatting sqref="C28">
    <cfRule type="expression" dxfId="11374" priority="983">
      <formula>$A28="Overhead Cable"</formula>
    </cfRule>
    <cfRule type="expression" dxfId="11373" priority="984">
      <formula>$A28="Level Crossing"</formula>
    </cfRule>
    <cfRule type="expression" dxfId="11372" priority="985">
      <formula>$A28="Neutral Section"</formula>
    </cfRule>
    <cfRule type="expression" dxfId="11371" priority="986">
      <formula>$A28="Tunnel"</formula>
    </cfRule>
    <cfRule type="expression" dxfId="11370" priority="987">
      <formula>$A28="Bridge"</formula>
    </cfRule>
    <cfRule type="expression" dxfId="11369" priority="988">
      <formula>$A28="Drainage Works"</formula>
    </cfRule>
    <cfRule type="expression" dxfId="11368" priority="989">
      <formula>$A28="Underpass"</formula>
    </cfRule>
    <cfRule type="expression" dxfId="11367" priority="990">
      <formula>$A28="Overcrossing"</formula>
    </cfRule>
    <cfRule type="expression" dxfId="11366" priority="991">
      <formula>$A28="Overpass"</formula>
    </cfRule>
    <cfRule type="expression" dxfId="11365" priority="992">
      <formula>$A28="Station"</formula>
    </cfRule>
    <cfRule type="expression" dxfId="11364" priority="993">
      <formula>$A28="Overlap between sections"</formula>
    </cfRule>
  </conditionalFormatting>
  <conditionalFormatting sqref="C29">
    <cfRule type="expression" dxfId="11363" priority="980">
      <formula>$M29="NON DEFINED"</formula>
    </cfRule>
    <cfRule type="expression" dxfId="11362" priority="981">
      <formula>$AZ29="N.D."</formula>
    </cfRule>
    <cfRule type="expression" dxfId="11361" priority="982">
      <formula>$AY29="N.D."</formula>
    </cfRule>
  </conditionalFormatting>
  <conditionalFormatting sqref="C29">
    <cfRule type="expression" dxfId="11360" priority="969">
      <formula>$A29="Overhead Cable"</formula>
    </cfRule>
    <cfRule type="expression" dxfId="11359" priority="970">
      <formula>$A29="Level Crossing"</formula>
    </cfRule>
    <cfRule type="expression" dxfId="11358" priority="971">
      <formula>$A29="Neutral Section"</formula>
    </cfRule>
    <cfRule type="expression" dxfId="11357" priority="972">
      <formula>$A29="Tunnel"</formula>
    </cfRule>
    <cfRule type="expression" dxfId="11356" priority="973">
      <formula>$A29="Bridge"</formula>
    </cfRule>
    <cfRule type="expression" dxfId="11355" priority="974">
      <formula>$A29="Drainage Works"</formula>
    </cfRule>
    <cfRule type="expression" dxfId="11354" priority="975">
      <formula>$A29="Underpass"</formula>
    </cfRule>
    <cfRule type="expression" dxfId="11353" priority="976">
      <formula>$A29="Overcrossing"</formula>
    </cfRule>
    <cfRule type="expression" dxfId="11352" priority="977">
      <formula>$A29="Overpass"</formula>
    </cfRule>
    <cfRule type="expression" dxfId="11351" priority="978">
      <formula>$A29="Station"</formula>
    </cfRule>
    <cfRule type="expression" dxfId="11350" priority="979">
      <formula>$A29="Overlap between sections"</formula>
    </cfRule>
  </conditionalFormatting>
  <conditionalFormatting sqref="C30">
    <cfRule type="expression" dxfId="11349" priority="966">
      <formula>$M30="NON DEFINED"</formula>
    </cfRule>
    <cfRule type="expression" dxfId="11348" priority="967">
      <formula>$AZ30="N.D."</formula>
    </cfRule>
    <cfRule type="expression" dxfId="11347" priority="968">
      <formula>$AY30="N.D."</formula>
    </cfRule>
  </conditionalFormatting>
  <conditionalFormatting sqref="C30">
    <cfRule type="expression" dxfId="11346" priority="955">
      <formula>$A30="Overhead Cable"</formula>
    </cfRule>
    <cfRule type="expression" dxfId="11345" priority="956">
      <formula>$A30="Level Crossing"</formula>
    </cfRule>
    <cfRule type="expression" dxfId="11344" priority="957">
      <formula>$A30="Neutral Section"</formula>
    </cfRule>
    <cfRule type="expression" dxfId="11343" priority="958">
      <formula>$A30="Tunnel"</formula>
    </cfRule>
    <cfRule type="expression" dxfId="11342" priority="959">
      <formula>$A30="Bridge"</formula>
    </cfRule>
    <cfRule type="expression" dxfId="11341" priority="960">
      <formula>$A30="Drainage Works"</formula>
    </cfRule>
    <cfRule type="expression" dxfId="11340" priority="961">
      <formula>$A30="Underpass"</formula>
    </cfRule>
    <cfRule type="expression" dxfId="11339" priority="962">
      <formula>$A30="Overcrossing"</formula>
    </cfRule>
    <cfRule type="expression" dxfId="11338" priority="963">
      <formula>$A30="Overpass"</formula>
    </cfRule>
    <cfRule type="expression" dxfId="11337" priority="964">
      <formula>$A30="Station"</formula>
    </cfRule>
    <cfRule type="expression" dxfId="11336" priority="965">
      <formula>$A30="Overlap between sections"</formula>
    </cfRule>
  </conditionalFormatting>
  <conditionalFormatting sqref="C32">
    <cfRule type="expression" dxfId="11335" priority="952">
      <formula>$M32="NON DEFINED"</formula>
    </cfRule>
    <cfRule type="expression" dxfId="11334" priority="953">
      <formula>$AZ32="N.D."</formula>
    </cfRule>
    <cfRule type="expression" dxfId="11333" priority="954">
      <formula>$AY32="N.D."</formula>
    </cfRule>
  </conditionalFormatting>
  <conditionalFormatting sqref="C32">
    <cfRule type="expression" dxfId="11332" priority="941">
      <formula>$A32="Overhead Cable"</formula>
    </cfRule>
    <cfRule type="expression" dxfId="11331" priority="942">
      <formula>$A32="Level Crossing"</formula>
    </cfRule>
    <cfRule type="expression" dxfId="11330" priority="943">
      <formula>$A32="Neutral Section"</formula>
    </cfRule>
    <cfRule type="expression" dxfId="11329" priority="944">
      <formula>$A32="Tunnel"</formula>
    </cfRule>
    <cfRule type="expression" dxfId="11328" priority="945">
      <formula>$A32="Bridge"</formula>
    </cfRule>
    <cfRule type="expression" dxfId="11327" priority="946">
      <formula>$A32="Drainage Works"</formula>
    </cfRule>
    <cfRule type="expression" dxfId="11326" priority="947">
      <formula>$A32="Underpass"</formula>
    </cfRule>
    <cfRule type="expression" dxfId="11325" priority="948">
      <formula>$A32="Overcrossing"</formula>
    </cfRule>
    <cfRule type="expression" dxfId="11324" priority="949">
      <formula>$A32="Overpass"</formula>
    </cfRule>
    <cfRule type="expression" dxfId="11323" priority="950">
      <formula>$A32="Station"</formula>
    </cfRule>
    <cfRule type="expression" dxfId="11322" priority="951">
      <formula>$A32="Overlap between sections"</formula>
    </cfRule>
  </conditionalFormatting>
  <conditionalFormatting sqref="B28">
    <cfRule type="expression" dxfId="11321" priority="909">
      <formula>$M28="NON DEFINED"</formula>
    </cfRule>
    <cfRule type="expression" dxfId="11320" priority="910">
      <formula>$AZ28="N.D."</formula>
    </cfRule>
    <cfRule type="expression" dxfId="11319" priority="911">
      <formula>$AY28="N.D."</formula>
    </cfRule>
  </conditionalFormatting>
  <conditionalFormatting sqref="B28">
    <cfRule type="expression" dxfId="11318" priority="898">
      <formula>$A28="Overhead Cable"</formula>
    </cfRule>
    <cfRule type="expression" dxfId="11317" priority="899">
      <formula>$A28="Level Crossing"</formula>
    </cfRule>
    <cfRule type="expression" dxfId="11316" priority="900">
      <formula>$A28="Neutral Section"</formula>
    </cfRule>
    <cfRule type="expression" dxfId="11315" priority="901">
      <formula>$A28="Tunnel"</formula>
    </cfRule>
    <cfRule type="expression" dxfId="11314" priority="902">
      <formula>$A28="Bridge"</formula>
    </cfRule>
    <cfRule type="expression" dxfId="11313" priority="903">
      <formula>$A28="Drainage Works"</formula>
    </cfRule>
    <cfRule type="expression" dxfId="11312" priority="904">
      <formula>$A28="Underpass"</formula>
    </cfRule>
    <cfRule type="expression" dxfId="11311" priority="905">
      <formula>$A28="Overcrossing"</formula>
    </cfRule>
    <cfRule type="expression" dxfId="11310" priority="906">
      <formula>$A28="Overpass"</formula>
    </cfRule>
    <cfRule type="expression" dxfId="11309" priority="907">
      <formula>$A28="Station"</formula>
    </cfRule>
    <cfRule type="expression" dxfId="11308" priority="908">
      <formula>$A28="Overlap between sections"</formula>
    </cfRule>
  </conditionalFormatting>
  <conditionalFormatting sqref="B28">
    <cfRule type="expression" dxfId="11307" priority="897">
      <formula>AND($AH28&gt;2499,$AH28&lt;2901)</formula>
    </cfRule>
  </conditionalFormatting>
  <conditionalFormatting sqref="B30">
    <cfRule type="expression" dxfId="11306" priority="894">
      <formula>$M30="NON DEFINED"</formula>
    </cfRule>
    <cfRule type="expression" dxfId="11305" priority="895">
      <formula>$AZ30="N.D."</formula>
    </cfRule>
    <cfRule type="expression" dxfId="11304" priority="896">
      <formula>$AY30="N.D."</formula>
    </cfRule>
  </conditionalFormatting>
  <conditionalFormatting sqref="B30">
    <cfRule type="expression" dxfId="11303" priority="883">
      <formula>$A30="Overhead Cable"</formula>
    </cfRule>
    <cfRule type="expression" dxfId="11302" priority="884">
      <formula>$A30="Level Crossing"</formula>
    </cfRule>
    <cfRule type="expression" dxfId="11301" priority="885">
      <formula>$A30="Neutral Section"</formula>
    </cfRule>
    <cfRule type="expression" dxfId="11300" priority="886">
      <formula>$A30="Tunnel"</formula>
    </cfRule>
    <cfRule type="expression" dxfId="11299" priority="887">
      <formula>$A30="Bridge"</formula>
    </cfRule>
    <cfRule type="expression" dxfId="11298" priority="888">
      <formula>$A30="Drainage Works"</formula>
    </cfRule>
    <cfRule type="expression" dxfId="11297" priority="889">
      <formula>$A30="Underpass"</formula>
    </cfRule>
    <cfRule type="expression" dxfId="11296" priority="890">
      <formula>$A30="Overcrossing"</formula>
    </cfRule>
    <cfRule type="expression" dxfId="11295" priority="891">
      <formula>$A30="Overpass"</formula>
    </cfRule>
    <cfRule type="expression" dxfId="11294" priority="892">
      <formula>$A30="Station"</formula>
    </cfRule>
    <cfRule type="expression" dxfId="11293" priority="893">
      <formula>$A30="Overlap between sections"</formula>
    </cfRule>
  </conditionalFormatting>
  <conditionalFormatting sqref="B30">
    <cfRule type="expression" dxfId="11292" priority="882">
      <formula>AND($AH30&gt;2499,$AH30&lt;2901)</formula>
    </cfRule>
  </conditionalFormatting>
  <conditionalFormatting sqref="B32">
    <cfRule type="expression" dxfId="11291" priority="879">
      <formula>$M32="NON DEFINED"</formula>
    </cfRule>
    <cfRule type="expression" dxfId="11290" priority="880">
      <formula>$AZ32="N.D."</formula>
    </cfRule>
    <cfRule type="expression" dxfId="11289" priority="881">
      <formula>$AY32="N.D."</formula>
    </cfRule>
  </conditionalFormatting>
  <conditionalFormatting sqref="B32">
    <cfRule type="expression" dxfId="11288" priority="868">
      <formula>$A32="Overhead Cable"</formula>
    </cfRule>
    <cfRule type="expression" dxfId="11287" priority="869">
      <formula>$A32="Level Crossing"</formula>
    </cfRule>
    <cfRule type="expression" dxfId="11286" priority="870">
      <formula>$A32="Neutral Section"</formula>
    </cfRule>
    <cfRule type="expression" dxfId="11285" priority="871">
      <formula>$A32="Tunnel"</formula>
    </cfRule>
    <cfRule type="expression" dxfId="11284" priority="872">
      <formula>$A32="Bridge"</formula>
    </cfRule>
    <cfRule type="expression" dxfId="11283" priority="873">
      <formula>$A32="Drainage Works"</formula>
    </cfRule>
    <cfRule type="expression" dxfId="11282" priority="874">
      <formula>$A32="Underpass"</formula>
    </cfRule>
    <cfRule type="expression" dxfId="11281" priority="875">
      <formula>$A32="Overcrossing"</formula>
    </cfRule>
    <cfRule type="expression" dxfId="11280" priority="876">
      <formula>$A32="Overpass"</formula>
    </cfRule>
    <cfRule type="expression" dxfId="11279" priority="877">
      <formula>$A32="Station"</formula>
    </cfRule>
    <cfRule type="expression" dxfId="11278" priority="878">
      <formula>$A32="Overlap between sections"</formula>
    </cfRule>
  </conditionalFormatting>
  <conditionalFormatting sqref="B32">
    <cfRule type="expression" dxfId="11277" priority="867">
      <formula>AND($AH32&gt;2499,$AH32&lt;2901)</formula>
    </cfRule>
  </conditionalFormatting>
  <conditionalFormatting sqref="B26">
    <cfRule type="expression" dxfId="11276" priority="864">
      <formula>$M26="NON DEFINED"</formula>
    </cfRule>
    <cfRule type="expression" dxfId="11275" priority="865">
      <formula>$AZ26="N.D."</formula>
    </cfRule>
    <cfRule type="expression" dxfId="11274" priority="866">
      <formula>$AY26="N.D."</formula>
    </cfRule>
  </conditionalFormatting>
  <conditionalFormatting sqref="B26">
    <cfRule type="expression" dxfId="11273" priority="853">
      <formula>$A26="Overhead Cable"</formula>
    </cfRule>
    <cfRule type="expression" dxfId="11272" priority="854">
      <formula>$A26="Level Crossing"</formula>
    </cfRule>
    <cfRule type="expression" dxfId="11271" priority="855">
      <formula>$A26="Neutral Section"</formula>
    </cfRule>
    <cfRule type="expression" dxfId="11270" priority="856">
      <formula>$A26="Tunnel"</formula>
    </cfRule>
    <cfRule type="expression" dxfId="11269" priority="857">
      <formula>$A26="Bridge"</formula>
    </cfRule>
    <cfRule type="expression" dxfId="11268" priority="858">
      <formula>$A26="Drainage Works"</formula>
    </cfRule>
    <cfRule type="expression" dxfId="11267" priority="859">
      <formula>$A26="Underpass"</formula>
    </cfRule>
    <cfRule type="expression" dxfId="11266" priority="860">
      <formula>$A26="Overcrossing"</formula>
    </cfRule>
    <cfRule type="expression" dxfId="11265" priority="861">
      <formula>$A26="Overpass"</formula>
    </cfRule>
    <cfRule type="expression" dxfId="11264" priority="862">
      <formula>$A26="Station"</formula>
    </cfRule>
    <cfRule type="expression" dxfId="11263" priority="863">
      <formula>$A26="Overlap between sections"</formula>
    </cfRule>
  </conditionalFormatting>
  <conditionalFormatting sqref="B26">
    <cfRule type="expression" dxfId="11262" priority="852">
      <formula>AND($AH26&gt;2499,$AH26&lt;2901)</formula>
    </cfRule>
  </conditionalFormatting>
  <conditionalFormatting sqref="AO34:AP35">
    <cfRule type="cellIs" dxfId="11261" priority="725" operator="notEqual">
      <formula>5.5</formula>
    </cfRule>
  </conditionalFormatting>
  <conditionalFormatting sqref="BD35">
    <cfRule type="containsText" dxfId="11260" priority="274" operator="containsText" text="Poner a mano">
      <formula>NOT(ISERROR(SEARCH("Poner a mano",BD35)))</formula>
    </cfRule>
  </conditionalFormatting>
  <conditionalFormatting sqref="AN34:AN35">
    <cfRule type="cellIs" dxfId="11259" priority="242" operator="notEqual">
      <formula>5.5</formula>
    </cfRule>
  </conditionalFormatting>
  <conditionalFormatting sqref="AW34:AW35">
    <cfRule type="cellIs" dxfId="11258" priority="239" operator="equal">
      <formula>0</formula>
    </cfRule>
  </conditionalFormatting>
  <conditionalFormatting sqref="AX34:AX35">
    <cfRule type="cellIs" dxfId="11257" priority="236" operator="equal">
      <formula>0</formula>
    </cfRule>
  </conditionalFormatting>
  <conditionalFormatting sqref="B34">
    <cfRule type="expression" dxfId="11256" priority="204">
      <formula>$M34="NON DEFINED"</formula>
    </cfRule>
    <cfRule type="expression" dxfId="11255" priority="205">
      <formula>$AZ34="N.D."</formula>
    </cfRule>
    <cfRule type="expression" dxfId="11254" priority="206">
      <formula>$AY34="N.D."</formula>
    </cfRule>
  </conditionalFormatting>
  <conditionalFormatting sqref="B34">
    <cfRule type="expression" dxfId="11253" priority="193">
      <formula>$A34="Overhead Cable"</formula>
    </cfRule>
    <cfRule type="expression" dxfId="11252" priority="194">
      <formula>$A34="Level Crossing"</formula>
    </cfRule>
    <cfRule type="expression" dxfId="11251" priority="195">
      <formula>$A34="Neutral Section"</formula>
    </cfRule>
    <cfRule type="expression" dxfId="11250" priority="196">
      <formula>$A34="Tunnel"</formula>
    </cfRule>
    <cfRule type="expression" dxfId="11249" priority="197">
      <formula>$A34="Bridge"</formula>
    </cfRule>
    <cfRule type="expression" dxfId="11248" priority="198">
      <formula>$A34="Drainage Works"</formula>
    </cfRule>
    <cfRule type="expression" dxfId="11247" priority="199">
      <formula>$A34="Underpass"</formula>
    </cfRule>
    <cfRule type="expression" dxfId="11246" priority="200">
      <formula>$A34="Overcrossing"</formula>
    </cfRule>
    <cfRule type="expression" dxfId="11245" priority="201">
      <formula>$A34="Overpass"</formula>
    </cfRule>
    <cfRule type="expression" dxfId="11244" priority="202">
      <formula>$A34="Station"</formula>
    </cfRule>
    <cfRule type="expression" dxfId="11243" priority="203">
      <formula>$A34="Overlap between sections"</formula>
    </cfRule>
  </conditionalFormatting>
  <conditionalFormatting sqref="B34">
    <cfRule type="expression" dxfId="11242" priority="192">
      <formula>AND($AH34&gt;2499,$AH34&lt;2901)</formula>
    </cfRule>
  </conditionalFormatting>
  <conditionalFormatting sqref="A20">
    <cfRule type="expression" dxfId="11241" priority="181">
      <formula>$A20="Overhead Cable"</formula>
    </cfRule>
    <cfRule type="expression" dxfId="11240" priority="182">
      <formula>$A20="Level Crossing"</formula>
    </cfRule>
    <cfRule type="expression" dxfId="11239" priority="183">
      <formula>$A20="Neutral Section"</formula>
    </cfRule>
    <cfRule type="expression" dxfId="11238" priority="184">
      <formula>$A20="Tunnel"</formula>
    </cfRule>
    <cfRule type="expression" dxfId="11237" priority="185">
      <formula>$A20="Bridge"</formula>
    </cfRule>
    <cfRule type="expression" dxfId="11236" priority="186">
      <formula>$A20="Drainage Works"</formula>
    </cfRule>
    <cfRule type="expression" dxfId="11235" priority="187">
      <formula>$A20="Underpass"</formula>
    </cfRule>
    <cfRule type="expression" dxfId="11234" priority="188">
      <formula>$A20="Overcrossing"</formula>
    </cfRule>
    <cfRule type="expression" dxfId="11233" priority="189">
      <formula>$A20="Overpass"</formula>
    </cfRule>
    <cfRule type="expression" dxfId="11232" priority="190">
      <formula>$A20="Station"</formula>
    </cfRule>
    <cfRule type="expression" dxfId="11231" priority="191">
      <formula>$A20="Overlap between sections"</formula>
    </cfRule>
  </conditionalFormatting>
  <conditionalFormatting sqref="A19">
    <cfRule type="expression" dxfId="11230" priority="170">
      <formula>$A19="Overhead Cable"</formula>
    </cfRule>
    <cfRule type="expression" dxfId="11229" priority="171">
      <formula>$A19="Level Crossing"</formula>
    </cfRule>
    <cfRule type="expression" dxfId="11228" priority="172">
      <formula>$A19="Neutral Section"</formula>
    </cfRule>
    <cfRule type="expression" dxfId="11227" priority="173">
      <formula>$A19="Tunnel"</formula>
    </cfRule>
    <cfRule type="expression" dxfId="11226" priority="174">
      <formula>$A19="Bridge"</formula>
    </cfRule>
    <cfRule type="expression" dxfId="11225" priority="175">
      <formula>$A19="Drainage Works"</formula>
    </cfRule>
    <cfRule type="expression" dxfId="11224" priority="176">
      <formula>$A19="Underpass"</formula>
    </cfRule>
    <cfRule type="expression" dxfId="11223" priority="177">
      <formula>$A19="Overcrossing"</formula>
    </cfRule>
    <cfRule type="expression" dxfId="11222" priority="178">
      <formula>$A19="Overpass"</formula>
    </cfRule>
    <cfRule type="expression" dxfId="11221" priority="179">
      <formula>$A19="Station"</formula>
    </cfRule>
    <cfRule type="expression" dxfId="11220" priority="180">
      <formula>$A19="Overlap between sections"</formula>
    </cfRule>
  </conditionalFormatting>
  <conditionalFormatting sqref="A18">
    <cfRule type="expression" dxfId="11219" priority="159">
      <formula>$A18="Overhead Cable"</formula>
    </cfRule>
    <cfRule type="expression" dxfId="11218" priority="160">
      <formula>$A18="Level Crossing"</formula>
    </cfRule>
    <cfRule type="expression" dxfId="11217" priority="161">
      <formula>$A18="Neutral Section"</formula>
    </cfRule>
    <cfRule type="expression" dxfId="11216" priority="162">
      <formula>$A18="Tunnel"</formula>
    </cfRule>
    <cfRule type="expression" dxfId="11215" priority="163">
      <formula>$A18="Bridge"</formula>
    </cfRule>
    <cfRule type="expression" dxfId="11214" priority="164">
      <formula>$A18="Drainage Works"</formula>
    </cfRule>
    <cfRule type="expression" dxfId="11213" priority="165">
      <formula>$A18="Underpass"</formula>
    </cfRule>
    <cfRule type="expression" dxfId="11212" priority="166">
      <formula>$A18="Overcrossing"</formula>
    </cfRule>
    <cfRule type="expression" dxfId="11211" priority="167">
      <formula>$A18="Overpass"</formula>
    </cfRule>
    <cfRule type="expression" dxfId="11210" priority="168">
      <formula>$A18="Station"</formula>
    </cfRule>
    <cfRule type="expression" dxfId="11209" priority="169">
      <formula>$A18="Overlap between sections"</formula>
    </cfRule>
  </conditionalFormatting>
  <conditionalFormatting sqref="A16">
    <cfRule type="expression" dxfId="11208" priority="148">
      <formula>$A16="Overhead Cable"</formula>
    </cfRule>
    <cfRule type="expression" dxfId="11207" priority="149">
      <formula>$A16="Level Crossing"</formula>
    </cfRule>
    <cfRule type="expression" dxfId="11206" priority="150">
      <formula>$A16="Neutral Section"</formula>
    </cfRule>
    <cfRule type="expression" dxfId="11205" priority="151">
      <formula>$A16="Tunnel"</formula>
    </cfRule>
    <cfRule type="expression" dxfId="11204" priority="152">
      <formula>$A16="Bridge"</formula>
    </cfRule>
    <cfRule type="expression" dxfId="11203" priority="153">
      <formula>$A16="Drainage Works"</formula>
    </cfRule>
    <cfRule type="expression" dxfId="11202" priority="154">
      <formula>$A16="Underpass"</formula>
    </cfRule>
    <cfRule type="expression" dxfId="11201" priority="155">
      <formula>$A16="Overcrossing"</formula>
    </cfRule>
    <cfRule type="expression" dxfId="11200" priority="156">
      <formula>$A16="Overpass"</formula>
    </cfRule>
    <cfRule type="expression" dxfId="11199" priority="157">
      <formula>$A16="Station"</formula>
    </cfRule>
    <cfRule type="expression" dxfId="11198" priority="158">
      <formula>$A16="Overlap between sections"</formula>
    </cfRule>
  </conditionalFormatting>
  <conditionalFormatting sqref="AW26">
    <cfRule type="expression" dxfId="11197" priority="145">
      <formula>$M26="NON DEFINED"</formula>
    </cfRule>
    <cfRule type="expression" dxfId="11196" priority="146">
      <formula>$AZ26="N.D."</formula>
    </cfRule>
    <cfRule type="expression" dxfId="11195" priority="147">
      <formula>$AY26="N.D."</formula>
    </cfRule>
  </conditionalFormatting>
  <conditionalFormatting sqref="AW26">
    <cfRule type="expression" dxfId="11194" priority="134">
      <formula>$A26="Overhead Cable"</formula>
    </cfRule>
    <cfRule type="expression" dxfId="11193" priority="135">
      <formula>$A26="Level Crossing"</formula>
    </cfRule>
    <cfRule type="expression" dxfId="11192" priority="136">
      <formula>$A26="Neutral Section"</formula>
    </cfRule>
    <cfRule type="expression" dxfId="11191" priority="137">
      <formula>$A26="Tunnel"</formula>
    </cfRule>
    <cfRule type="expression" dxfId="11190" priority="138">
      <formula>$A26="Bridge"</formula>
    </cfRule>
    <cfRule type="expression" dxfId="11189" priority="139">
      <formula>$A26="Drainage Works"</formula>
    </cfRule>
    <cfRule type="expression" dxfId="11188" priority="140">
      <formula>$A26="Underpass"</formula>
    </cfRule>
    <cfRule type="expression" dxfId="11187" priority="141">
      <formula>$A26="Overcrossing"</formula>
    </cfRule>
    <cfRule type="expression" dxfId="11186" priority="142">
      <formula>$A26="Overpass"</formula>
    </cfRule>
    <cfRule type="expression" dxfId="11185" priority="143">
      <formula>$A26="Station"</formula>
    </cfRule>
    <cfRule type="expression" dxfId="11184" priority="144">
      <formula>$A26="Overlap between sections"</formula>
    </cfRule>
  </conditionalFormatting>
  <conditionalFormatting sqref="AX26">
    <cfRule type="expression" dxfId="11183" priority="131">
      <formula>$M26="NON DEFINED"</formula>
    </cfRule>
    <cfRule type="expression" dxfId="11182" priority="132">
      <formula>$AZ26="N.D."</formula>
    </cfRule>
    <cfRule type="expression" dxfId="11181" priority="133">
      <formula>$AY26="N.D."</formula>
    </cfRule>
  </conditionalFormatting>
  <conditionalFormatting sqref="AX26">
    <cfRule type="expression" dxfId="11180" priority="120">
      <formula>$A26="Overhead Cable"</formula>
    </cfRule>
    <cfRule type="expression" dxfId="11179" priority="121">
      <formula>$A26="Level Crossing"</formula>
    </cfRule>
    <cfRule type="expression" dxfId="11178" priority="122">
      <formula>$A26="Neutral Section"</formula>
    </cfRule>
    <cfRule type="expression" dxfId="11177" priority="123">
      <formula>$A26="Tunnel"</formula>
    </cfRule>
    <cfRule type="expression" dxfId="11176" priority="124">
      <formula>$A26="Bridge"</formula>
    </cfRule>
    <cfRule type="expression" dxfId="11175" priority="125">
      <formula>$A26="Drainage Works"</formula>
    </cfRule>
    <cfRule type="expression" dxfId="11174" priority="126">
      <formula>$A26="Underpass"</formula>
    </cfRule>
    <cfRule type="expression" dxfId="11173" priority="127">
      <formula>$A26="Overcrossing"</formula>
    </cfRule>
    <cfRule type="expression" dxfId="11172" priority="128">
      <formula>$A26="Overpass"</formula>
    </cfRule>
    <cfRule type="expression" dxfId="11171" priority="129">
      <formula>$A26="Station"</formula>
    </cfRule>
    <cfRule type="expression" dxfId="11170" priority="130">
      <formula>$A26="Overlap between sections"</formula>
    </cfRule>
  </conditionalFormatting>
  <conditionalFormatting sqref="AW26">
    <cfRule type="expression" dxfId="11169" priority="118">
      <formula>$M26="NON DEFINED"</formula>
    </cfRule>
    <cfRule type="expression" dxfId="11168" priority="119">
      <formula>$AY26="N.D."</formula>
    </cfRule>
  </conditionalFormatting>
  <conditionalFormatting sqref="AW26">
    <cfRule type="cellIs" dxfId="11167" priority="117" operator="equal">
      <formula>0</formula>
    </cfRule>
  </conditionalFormatting>
  <conditionalFormatting sqref="AX26">
    <cfRule type="expression" dxfId="11166" priority="115">
      <formula>$M26="NON DEFINED"</formula>
    </cfRule>
    <cfRule type="expression" dxfId="11165" priority="116">
      <formula>$AY26="N.D."</formula>
    </cfRule>
  </conditionalFormatting>
  <conditionalFormatting sqref="AX26">
    <cfRule type="cellIs" dxfId="11164" priority="114" operator="equal">
      <formula>0</formula>
    </cfRule>
  </conditionalFormatting>
  <conditionalFormatting sqref="L20">
    <cfRule type="expression" dxfId="11163" priority="111">
      <formula>$M20="NON DEFINED"</formula>
    </cfRule>
    <cfRule type="expression" dxfId="11162" priority="112">
      <formula>$AZ20="N.D."</formula>
    </cfRule>
    <cfRule type="expression" dxfId="11161" priority="113">
      <formula>$AY20="N.D."</formula>
    </cfRule>
  </conditionalFormatting>
  <conditionalFormatting sqref="L20">
    <cfRule type="expression" dxfId="11160" priority="100">
      <formula>$A20="Overhead Cable"</formula>
    </cfRule>
    <cfRule type="expression" dxfId="11159" priority="101">
      <formula>$A20="Level Crossing"</formula>
    </cfRule>
    <cfRule type="expression" dxfId="11158" priority="102">
      <formula>$A20="Neutral Section"</formula>
    </cfRule>
    <cfRule type="expression" dxfId="11157" priority="103">
      <formula>$A20="Tunnel"</formula>
    </cfRule>
    <cfRule type="expression" dxfId="11156" priority="104">
      <formula>$A20="Bridge"</formula>
    </cfRule>
    <cfRule type="expression" dxfId="11155" priority="105">
      <formula>$A20="Drainage Works"</formula>
    </cfRule>
    <cfRule type="expression" dxfId="11154" priority="106">
      <formula>$A20="Underpass"</formula>
    </cfRule>
    <cfRule type="expression" dxfId="11153" priority="107">
      <formula>$A20="Overcrossing"</formula>
    </cfRule>
    <cfRule type="expression" dxfId="11152" priority="108">
      <formula>$A20="Overpass"</formula>
    </cfRule>
    <cfRule type="expression" dxfId="11151" priority="109">
      <formula>$A20="Station"</formula>
    </cfRule>
    <cfRule type="expression" dxfId="11150" priority="110">
      <formula>$A20="Overlap between sections"</formula>
    </cfRule>
  </conditionalFormatting>
  <conditionalFormatting sqref="I34">
    <cfRule type="expression" dxfId="11149" priority="97">
      <formula>$M34="NON DEFINED"</formula>
    </cfRule>
    <cfRule type="expression" dxfId="11148" priority="98">
      <formula>$AZ34="N.D."</formula>
    </cfRule>
    <cfRule type="expression" dxfId="11147" priority="99">
      <formula>$AY34="N.D."</formula>
    </cfRule>
  </conditionalFormatting>
  <conditionalFormatting sqref="I34">
    <cfRule type="expression" dxfId="11146" priority="86">
      <formula>$A34="Overhead Cable"</formula>
    </cfRule>
    <cfRule type="expression" dxfId="11145" priority="87">
      <formula>$A34="Level Crossing"</formula>
    </cfRule>
    <cfRule type="expression" dxfId="11144" priority="88">
      <formula>$A34="Neutral Section"</formula>
    </cfRule>
    <cfRule type="expression" dxfId="11143" priority="89">
      <formula>$A34="Tunnel"</formula>
    </cfRule>
    <cfRule type="expression" dxfId="11142" priority="90">
      <formula>$A34="Bridge"</formula>
    </cfRule>
    <cfRule type="expression" dxfId="11141" priority="91">
      <formula>$A34="Drainage Works"</formula>
    </cfRule>
    <cfRule type="expression" dxfId="11140" priority="92">
      <formula>$A34="Underpass"</formula>
    </cfRule>
    <cfRule type="expression" dxfId="11139" priority="93">
      <formula>$A34="Overcrossing"</formula>
    </cfRule>
    <cfRule type="expression" dxfId="11138" priority="94">
      <formula>$A34="Overpass"</formula>
    </cfRule>
    <cfRule type="expression" dxfId="11137" priority="95">
      <formula>$A34="Station"</formula>
    </cfRule>
    <cfRule type="expression" dxfId="11136" priority="96">
      <formula>$A34="Overlap between sections"</formula>
    </cfRule>
  </conditionalFormatting>
  <conditionalFormatting sqref="AM18">
    <cfRule type="expression" dxfId="11135" priority="83">
      <formula>$M18="NON DEFINED"</formula>
    </cfRule>
    <cfRule type="expression" dxfId="11134" priority="84">
      <formula>$AZ18="N.D."</formula>
    </cfRule>
    <cfRule type="expression" dxfId="11133" priority="85">
      <formula>$AY18="N.D."</formula>
    </cfRule>
  </conditionalFormatting>
  <conditionalFormatting sqref="AM18">
    <cfRule type="expression" dxfId="11132" priority="72">
      <formula>$A18="Overhead Cable"</formula>
    </cfRule>
    <cfRule type="expression" dxfId="11131" priority="73">
      <formula>$A18="Level Crossing"</formula>
    </cfRule>
    <cfRule type="expression" dxfId="11130" priority="74">
      <formula>$A18="Neutral Section"</formula>
    </cfRule>
    <cfRule type="expression" dxfId="11129" priority="75">
      <formula>$A18="Tunnel"</formula>
    </cfRule>
    <cfRule type="expression" dxfId="11128" priority="76">
      <formula>$A18="Bridge"</formula>
    </cfRule>
    <cfRule type="expression" dxfId="11127" priority="77">
      <formula>$A18="Drainage Works"</formula>
    </cfRule>
    <cfRule type="expression" dxfId="11126" priority="78">
      <formula>$A18="Underpass"</formula>
    </cfRule>
    <cfRule type="expression" dxfId="11125" priority="79">
      <formula>$A18="Overcrossing"</formula>
    </cfRule>
    <cfRule type="expression" dxfId="11124" priority="80">
      <formula>$A18="Overpass"</formula>
    </cfRule>
    <cfRule type="expression" dxfId="11123" priority="81">
      <formula>$A18="Station"</formula>
    </cfRule>
    <cfRule type="expression" dxfId="11122" priority="82">
      <formula>$A18="Overlap between sections"</formula>
    </cfRule>
  </conditionalFormatting>
  <conditionalFormatting sqref="AM20">
    <cfRule type="expression" dxfId="11121" priority="69">
      <formula>$M20="NON DEFINED"</formula>
    </cfRule>
    <cfRule type="expression" dxfId="11120" priority="70">
      <formula>$AZ20="N.D."</formula>
    </cfRule>
    <cfRule type="expression" dxfId="11119" priority="71">
      <formula>$AY20="N.D."</formula>
    </cfRule>
  </conditionalFormatting>
  <conditionalFormatting sqref="AM20">
    <cfRule type="expression" dxfId="11118" priority="58">
      <formula>$A20="Overhead Cable"</formula>
    </cfRule>
    <cfRule type="expression" dxfId="11117" priority="59">
      <formula>$A20="Level Crossing"</formula>
    </cfRule>
    <cfRule type="expression" dxfId="11116" priority="60">
      <formula>$A20="Neutral Section"</formula>
    </cfRule>
    <cfRule type="expression" dxfId="11115" priority="61">
      <formula>$A20="Tunnel"</formula>
    </cfRule>
    <cfRule type="expression" dxfId="11114" priority="62">
      <formula>$A20="Bridge"</formula>
    </cfRule>
    <cfRule type="expression" dxfId="11113" priority="63">
      <formula>$A20="Drainage Works"</formula>
    </cfRule>
    <cfRule type="expression" dxfId="11112" priority="64">
      <formula>$A20="Underpass"</formula>
    </cfRule>
    <cfRule type="expression" dxfId="11111" priority="65">
      <formula>$A20="Overcrossing"</formula>
    </cfRule>
    <cfRule type="expression" dxfId="11110" priority="66">
      <formula>$A20="Overpass"</formula>
    </cfRule>
    <cfRule type="expression" dxfId="11109" priority="67">
      <formula>$A20="Station"</formula>
    </cfRule>
    <cfRule type="expression" dxfId="11108" priority="68">
      <formula>$A20="Overlap between sections"</formula>
    </cfRule>
  </conditionalFormatting>
  <conditionalFormatting sqref="AM22">
    <cfRule type="expression" dxfId="11107" priority="55">
      <formula>$M22="NON DEFINED"</formula>
    </cfRule>
    <cfRule type="expression" dxfId="11106" priority="56">
      <formula>$AZ22="N.D."</formula>
    </cfRule>
    <cfRule type="expression" dxfId="11105" priority="57">
      <formula>$AY22="N.D."</formula>
    </cfRule>
  </conditionalFormatting>
  <conditionalFormatting sqref="AM22">
    <cfRule type="expression" dxfId="11104" priority="44">
      <formula>$A22="Overhead Cable"</formula>
    </cfRule>
    <cfRule type="expression" dxfId="11103" priority="45">
      <formula>$A22="Level Crossing"</formula>
    </cfRule>
    <cfRule type="expression" dxfId="11102" priority="46">
      <formula>$A22="Neutral Section"</formula>
    </cfRule>
    <cfRule type="expression" dxfId="11101" priority="47">
      <formula>$A22="Tunnel"</formula>
    </cfRule>
    <cfRule type="expression" dxfId="11100" priority="48">
      <formula>$A22="Bridge"</formula>
    </cfRule>
    <cfRule type="expression" dxfId="11099" priority="49">
      <formula>$A22="Drainage Works"</formula>
    </cfRule>
    <cfRule type="expression" dxfId="11098" priority="50">
      <formula>$A22="Underpass"</formula>
    </cfRule>
    <cfRule type="expression" dxfId="11097" priority="51">
      <formula>$A22="Overcrossing"</formula>
    </cfRule>
    <cfRule type="expression" dxfId="11096" priority="52">
      <formula>$A22="Overpass"</formula>
    </cfRule>
    <cfRule type="expression" dxfId="11095" priority="53">
      <formula>$A22="Station"</formula>
    </cfRule>
    <cfRule type="expression" dxfId="11094" priority="54">
      <formula>$A22="Overlap between sections"</formula>
    </cfRule>
  </conditionalFormatting>
  <conditionalFormatting sqref="AM24">
    <cfRule type="expression" dxfId="11093" priority="41">
      <formula>$M24="NON DEFINED"</formula>
    </cfRule>
    <cfRule type="expression" dxfId="11092" priority="42">
      <formula>$AZ24="N.D."</formula>
    </cfRule>
    <cfRule type="expression" dxfId="11091" priority="43">
      <formula>$AY24="N.D."</formula>
    </cfRule>
  </conditionalFormatting>
  <conditionalFormatting sqref="AM24">
    <cfRule type="expression" dxfId="11090" priority="30">
      <formula>$A24="Overhead Cable"</formula>
    </cfRule>
    <cfRule type="expression" dxfId="11089" priority="31">
      <formula>$A24="Level Crossing"</formula>
    </cfRule>
    <cfRule type="expression" dxfId="11088" priority="32">
      <formula>$A24="Neutral Section"</formula>
    </cfRule>
    <cfRule type="expression" dxfId="11087" priority="33">
      <formula>$A24="Tunnel"</formula>
    </cfRule>
    <cfRule type="expression" dxfId="11086" priority="34">
      <formula>$A24="Bridge"</formula>
    </cfRule>
    <cfRule type="expression" dxfId="11085" priority="35">
      <formula>$A24="Drainage Works"</formula>
    </cfRule>
    <cfRule type="expression" dxfId="11084" priority="36">
      <formula>$A24="Underpass"</formula>
    </cfRule>
    <cfRule type="expression" dxfId="11083" priority="37">
      <formula>$A24="Overcrossing"</formula>
    </cfRule>
    <cfRule type="expression" dxfId="11082" priority="38">
      <formula>$A24="Overpass"</formula>
    </cfRule>
    <cfRule type="expression" dxfId="11081" priority="39">
      <formula>$A24="Station"</formula>
    </cfRule>
    <cfRule type="expression" dxfId="11080" priority="40">
      <formula>$A24="Overlap between sections"</formula>
    </cfRule>
  </conditionalFormatting>
  <conditionalFormatting sqref="AM26">
    <cfRule type="expression" dxfId="11079" priority="27">
      <formula>$M26="NON DEFINED"</formula>
    </cfRule>
    <cfRule type="expression" dxfId="11078" priority="28">
      <formula>$AZ26="N.D."</formula>
    </cfRule>
    <cfRule type="expression" dxfId="11077" priority="29">
      <formula>$AY26="N.D."</formula>
    </cfRule>
  </conditionalFormatting>
  <conditionalFormatting sqref="AM26">
    <cfRule type="expression" dxfId="11076" priority="16">
      <formula>$A26="Overhead Cable"</formula>
    </cfRule>
    <cfRule type="expression" dxfId="11075" priority="17">
      <formula>$A26="Level Crossing"</formula>
    </cfRule>
    <cfRule type="expression" dxfId="11074" priority="18">
      <formula>$A26="Neutral Section"</formula>
    </cfRule>
    <cfRule type="expression" dxfId="11073" priority="19">
      <formula>$A26="Tunnel"</formula>
    </cfRule>
    <cfRule type="expression" dxfId="11072" priority="20">
      <formula>$A26="Bridge"</formula>
    </cfRule>
    <cfRule type="expression" dxfId="11071" priority="21">
      <formula>$A26="Drainage Works"</formula>
    </cfRule>
    <cfRule type="expression" dxfId="11070" priority="22">
      <formula>$A26="Underpass"</formula>
    </cfRule>
    <cfRule type="expression" dxfId="11069" priority="23">
      <formula>$A26="Overcrossing"</formula>
    </cfRule>
    <cfRule type="expression" dxfId="11068" priority="24">
      <formula>$A26="Overpass"</formula>
    </cfRule>
    <cfRule type="expression" dxfId="11067" priority="25">
      <formula>$A26="Station"</formula>
    </cfRule>
    <cfRule type="expression" dxfId="11066" priority="26">
      <formula>$A26="Overlap between sections"</formula>
    </cfRule>
  </conditionalFormatting>
  <conditionalFormatting sqref="BD34">
    <cfRule type="containsText" dxfId="11065" priority="15" operator="containsText" text="Poner a mano">
      <formula>NOT(ISERROR(SEARCH("Poner a mano",BD34)))</formula>
    </cfRule>
  </conditionalFormatting>
  <conditionalFormatting sqref="AC34">
    <cfRule type="expression" dxfId="11064" priority="12">
      <formula>$M34="NON DEFINED"</formula>
    </cfRule>
    <cfRule type="expression" dxfId="11063" priority="13">
      <formula>$AZ34="N.D."</formula>
    </cfRule>
    <cfRule type="expression" dxfId="11062" priority="14">
      <formula>$AY34="N.D."</formula>
    </cfRule>
  </conditionalFormatting>
  <conditionalFormatting sqref="AC34">
    <cfRule type="expression" dxfId="11061" priority="1">
      <formula>$A34="Overhead Cable"</formula>
    </cfRule>
    <cfRule type="expression" dxfId="11060" priority="2">
      <formula>$A34="Level Crossing"</formula>
    </cfRule>
    <cfRule type="expression" dxfId="11059" priority="3">
      <formula>$A34="Neutral Section"</formula>
    </cfRule>
    <cfRule type="expression" dxfId="11058" priority="4">
      <formula>$A34="Tunnel"</formula>
    </cfRule>
    <cfRule type="expression" dxfId="11057" priority="5">
      <formula>$A34="Bridge"</formula>
    </cfRule>
    <cfRule type="expression" dxfId="11056" priority="6">
      <formula>$A34="Drainage Works"</formula>
    </cfRule>
    <cfRule type="expression" dxfId="11055" priority="7">
      <formula>$A34="Underpass"</formula>
    </cfRule>
    <cfRule type="expression" dxfId="11054" priority="8">
      <formula>$A34="Overcrossing"</formula>
    </cfRule>
    <cfRule type="expression" dxfId="11053" priority="9">
      <formula>$A34="Overpass"</formula>
    </cfRule>
    <cfRule type="expression" dxfId="11052" priority="10">
      <formula>$A34="Station"</formula>
    </cfRule>
    <cfRule type="expression" dxfId="11051" priority="11">
      <formula>$A34="Overlap between sections"</formula>
    </cfRule>
  </conditionalFormatting>
  <printOptions horizontalCentered="1" gridLines="1"/>
  <pageMargins left="0.39370078740157483" right="0.39370078740157483" top="0.78740157480314965" bottom="0.78740157480314965" header="0.31496062992125984" footer="0.31496062992125984"/>
  <pageSetup paperSize="9" scale="52" fitToHeight="0" orientation="landscape" r:id="rId1"/>
  <headerFooter alignWithMargins="0">
    <oddHeader>&amp;L&amp;G&amp;C
LAYOUT AND EQUIPMENT
EP 04 TRACK 5 BIN
KP 40+930 to 41+495&amp;R&amp;G</oddHeader>
    <oddFooter>&amp;L&amp;G
&amp;F&amp;C&amp;D&amp;RPag &amp;P of &amp;N</oddFooter>
  </headerFooter>
  <legacyDrawing r:id="rId2"/>
  <legacyDrawingHF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5DE87-536E-4308-B7B2-45D4A5421F50}">
  <sheetPr>
    <tabColor theme="4" tint="0.39997558519241921"/>
  </sheetPr>
  <dimension ref="A1:BK1851"/>
  <sheetViews>
    <sheetView view="pageBreakPreview" zoomScale="80" zoomScaleNormal="80" zoomScaleSheetLayoutView="80" workbookViewId="0">
      <pane xSplit="2" ySplit="3" topLeftCell="C4" activePane="bottomRight" state="frozen"/>
      <selection pane="bottomRight" activeCell="K31" sqref="K31"/>
      <selection pane="bottomLeft" activeCell="K31" sqref="K31"/>
      <selection pane="topRight" activeCell="K31" sqref="K31"/>
    </sheetView>
  </sheetViews>
  <sheetFormatPr defaultColWidth="11.42578125" defaultRowHeight="13.15" zeroHeight="1"/>
  <cols>
    <col min="1" max="1" width="20.7109375" style="14" customWidth="1"/>
    <col min="2" max="2" width="12.7109375" style="14" customWidth="1"/>
    <col min="3" max="3" width="12.7109375" style="18" customWidth="1"/>
    <col min="4" max="5" width="12.7109375" style="14" hidden="1" customWidth="1"/>
    <col min="6" max="7" width="12.7109375" style="14" customWidth="1"/>
    <col min="8" max="8" width="18.7109375" style="14" customWidth="1"/>
    <col min="9" max="9" width="12.7109375" style="14" customWidth="1"/>
    <col min="10" max="10" width="12.7109375" style="18" customWidth="1"/>
    <col min="11" max="11" width="12.7109375" style="14" customWidth="1"/>
    <col min="12" max="13" width="14.7109375" style="14" customWidth="1"/>
    <col min="14" max="16" width="8.7109375" style="14" hidden="1" customWidth="1"/>
    <col min="17" max="19" width="12.7109375" style="14" hidden="1" customWidth="1"/>
    <col min="20" max="28" width="8.7109375" style="14" hidden="1" customWidth="1"/>
    <col min="29" max="31" width="10.7109375" style="14" hidden="1" customWidth="1"/>
    <col min="32" max="36" width="12.7109375" style="14" hidden="1" customWidth="1"/>
    <col min="37" max="38" width="12.7109375" style="14" customWidth="1"/>
    <col min="39" max="39" width="12.7109375" style="14" hidden="1" customWidth="1"/>
    <col min="40" max="45" width="8.7109375" style="8" hidden="1" customWidth="1"/>
    <col min="46" max="46" width="8.7109375" style="16" hidden="1" customWidth="1"/>
    <col min="47" max="48" width="8.7109375" style="8" hidden="1" customWidth="1"/>
    <col min="49" max="52" width="12.7109375" style="8" customWidth="1"/>
    <col min="53" max="55" width="4.7109375" style="8" customWidth="1"/>
    <col min="56" max="56" width="21.7109375" style="14" customWidth="1"/>
    <col min="57" max="57" width="16.28515625" style="8" customWidth="1"/>
    <col min="58" max="61" width="14" style="8" customWidth="1"/>
    <col min="62" max="63" width="11.42578125" style="14" customWidth="1"/>
    <col min="64" max="16384" width="11.42578125" style="14"/>
  </cols>
  <sheetData>
    <row r="1" spans="1:63" s="435" customFormat="1" ht="36.75" customHeight="1" thickBot="1">
      <c r="A1" s="994" t="s">
        <v>1727</v>
      </c>
      <c r="B1" s="995"/>
      <c r="C1" s="995"/>
      <c r="D1" s="995"/>
      <c r="E1" s="995"/>
      <c r="F1" s="995"/>
      <c r="G1" s="995"/>
      <c r="H1" s="995"/>
      <c r="I1" s="995"/>
      <c r="J1" s="995"/>
      <c r="K1" s="995"/>
      <c r="L1" s="995"/>
      <c r="M1" s="995"/>
      <c r="N1" s="995"/>
      <c r="O1" s="995"/>
      <c r="P1" s="995"/>
      <c r="Q1" s="995"/>
      <c r="R1" s="995"/>
      <c r="S1" s="995"/>
      <c r="T1" s="995"/>
      <c r="U1" s="995"/>
      <c r="V1" s="995"/>
      <c r="W1" s="995"/>
      <c r="X1" s="995"/>
      <c r="Y1" s="995"/>
      <c r="Z1" s="995"/>
      <c r="AA1" s="995"/>
      <c r="AB1" s="995"/>
      <c r="AC1" s="995"/>
      <c r="AD1" s="995"/>
      <c r="AE1" s="995"/>
      <c r="AF1" s="995"/>
      <c r="AG1" s="995"/>
      <c r="AH1" s="995"/>
      <c r="AI1" s="995"/>
      <c r="AJ1" s="995"/>
      <c r="AK1" s="995"/>
      <c r="AL1" s="995"/>
      <c r="AM1" s="995"/>
      <c r="AN1" s="995"/>
      <c r="AO1" s="995"/>
      <c r="AP1" s="995"/>
      <c r="AQ1" s="995"/>
      <c r="AR1" s="995"/>
      <c r="AS1" s="995"/>
      <c r="AT1" s="995"/>
      <c r="AU1" s="995"/>
      <c r="AV1" s="995"/>
      <c r="AW1" s="995"/>
      <c r="AX1" s="995"/>
      <c r="AY1" s="995"/>
      <c r="AZ1" s="995"/>
      <c r="BA1" s="995"/>
      <c r="BB1" s="995"/>
      <c r="BC1" s="995"/>
      <c r="BD1" s="996"/>
      <c r="BE1" s="430" t="s">
        <v>933</v>
      </c>
      <c r="BF1" s="958" t="s">
        <v>50</v>
      </c>
      <c r="BG1" s="958"/>
      <c r="BH1" s="958"/>
      <c r="BI1" s="958"/>
    </row>
    <row r="2" spans="1:63" s="435" customFormat="1" ht="42" customHeight="1" thickBot="1">
      <c r="A2" s="581" t="s">
        <v>51</v>
      </c>
      <c r="B2" s="581" t="s">
        <v>52</v>
      </c>
      <c r="C2" s="581" t="s">
        <v>53</v>
      </c>
      <c r="D2" s="581" t="s">
        <v>54</v>
      </c>
      <c r="E2" s="581" t="s">
        <v>55</v>
      </c>
      <c r="F2" s="581" t="s">
        <v>56</v>
      </c>
      <c r="G2" s="581" t="s">
        <v>57</v>
      </c>
      <c r="H2" s="581" t="s">
        <v>58</v>
      </c>
      <c r="I2" s="581" t="s">
        <v>59</v>
      </c>
      <c r="J2" s="581" t="s">
        <v>60</v>
      </c>
      <c r="K2" s="581" t="s">
        <v>61</v>
      </c>
      <c r="L2" s="581" t="s">
        <v>62</v>
      </c>
      <c r="M2" s="581" t="s">
        <v>63</v>
      </c>
      <c r="N2" s="991" t="s">
        <v>64</v>
      </c>
      <c r="O2" s="992"/>
      <c r="P2" s="993"/>
      <c r="Q2" s="581" t="s">
        <v>65</v>
      </c>
      <c r="R2" s="581" t="s">
        <v>66</v>
      </c>
      <c r="S2" s="581" t="s">
        <v>67</v>
      </c>
      <c r="T2" s="991" t="s">
        <v>68</v>
      </c>
      <c r="U2" s="992"/>
      <c r="V2" s="993"/>
      <c r="W2" s="991" t="s">
        <v>69</v>
      </c>
      <c r="X2" s="992"/>
      <c r="Y2" s="993"/>
      <c r="Z2" s="991" t="s">
        <v>70</v>
      </c>
      <c r="AA2" s="992"/>
      <c r="AB2" s="993"/>
      <c r="AC2" s="991" t="s">
        <v>71</v>
      </c>
      <c r="AD2" s="992"/>
      <c r="AE2" s="993"/>
      <c r="AF2" s="581" t="s">
        <v>72</v>
      </c>
      <c r="AG2" s="581" t="s">
        <v>73</v>
      </c>
      <c r="AH2" s="581" t="s">
        <v>74</v>
      </c>
      <c r="AI2" s="581" t="s">
        <v>75</v>
      </c>
      <c r="AJ2" s="581" t="s">
        <v>76</v>
      </c>
      <c r="AK2" s="581" t="s">
        <v>77</v>
      </c>
      <c r="AL2" s="582" t="s">
        <v>78</v>
      </c>
      <c r="AM2" s="582" t="s">
        <v>79</v>
      </c>
      <c r="AN2" s="991" t="s">
        <v>80</v>
      </c>
      <c r="AO2" s="992"/>
      <c r="AP2" s="993"/>
      <c r="AQ2" s="991" t="s">
        <v>81</v>
      </c>
      <c r="AR2" s="992"/>
      <c r="AS2" s="993"/>
      <c r="AT2" s="991" t="s">
        <v>82</v>
      </c>
      <c r="AU2" s="992"/>
      <c r="AV2" s="993"/>
      <c r="AW2" s="582" t="s">
        <v>83</v>
      </c>
      <c r="AX2" s="582" t="s">
        <v>84</v>
      </c>
      <c r="AY2" s="582" t="s">
        <v>85</v>
      </c>
      <c r="AZ2" s="582" t="s">
        <v>86</v>
      </c>
      <c r="BA2" s="991" t="s">
        <v>87</v>
      </c>
      <c r="BB2" s="992"/>
      <c r="BC2" s="993"/>
      <c r="BD2" s="581" t="s">
        <v>88</v>
      </c>
      <c r="BE2" s="430" t="s">
        <v>89</v>
      </c>
      <c r="BF2" s="431" t="s">
        <v>63</v>
      </c>
      <c r="BG2" s="431" t="s">
        <v>90</v>
      </c>
      <c r="BH2" s="431" t="s">
        <v>91</v>
      </c>
      <c r="BI2" s="431" t="s">
        <v>64</v>
      </c>
    </row>
    <row r="3" spans="1:63" s="435" customFormat="1" ht="15.75" customHeight="1" thickBot="1">
      <c r="A3" s="436"/>
      <c r="B3" s="456"/>
      <c r="C3" s="437"/>
      <c r="D3" s="611"/>
      <c r="E3" s="437"/>
      <c r="F3" s="437"/>
      <c r="G3" s="437"/>
      <c r="H3" s="456"/>
      <c r="I3" s="456"/>
      <c r="J3" s="437"/>
      <c r="K3" s="456"/>
      <c r="L3" s="456"/>
      <c r="M3" s="456"/>
      <c r="N3" s="583" t="s">
        <v>92</v>
      </c>
      <c r="O3" s="583" t="s">
        <v>93</v>
      </c>
      <c r="P3" s="583" t="s">
        <v>94</v>
      </c>
      <c r="Q3" s="437"/>
      <c r="R3" s="437"/>
      <c r="S3" s="437"/>
      <c r="T3" s="584" t="s">
        <v>95</v>
      </c>
      <c r="U3" s="585" t="s">
        <v>96</v>
      </c>
      <c r="V3" s="584" t="s">
        <v>97</v>
      </c>
      <c r="W3" s="584" t="s">
        <v>98</v>
      </c>
      <c r="X3" s="585" t="s">
        <v>99</v>
      </c>
      <c r="Y3" s="584" t="s">
        <v>100</v>
      </c>
      <c r="Z3" s="584" t="s">
        <v>101</v>
      </c>
      <c r="AA3" s="585" t="s">
        <v>102</v>
      </c>
      <c r="AB3" s="584" t="s">
        <v>103</v>
      </c>
      <c r="AC3" s="583" t="s">
        <v>104</v>
      </c>
      <c r="AD3" s="586" t="s">
        <v>105</v>
      </c>
      <c r="AE3" s="583" t="s">
        <v>106</v>
      </c>
      <c r="AF3" s="437"/>
      <c r="AG3" s="437"/>
      <c r="AH3" s="437"/>
      <c r="AI3" s="437"/>
      <c r="AJ3" s="456"/>
      <c r="AK3" s="456"/>
      <c r="AL3" s="456"/>
      <c r="AM3" s="456"/>
      <c r="AN3" s="584" t="s">
        <v>98</v>
      </c>
      <c r="AO3" s="584" t="s">
        <v>99</v>
      </c>
      <c r="AP3" s="584" t="s">
        <v>100</v>
      </c>
      <c r="AQ3" s="584" t="s">
        <v>107</v>
      </c>
      <c r="AR3" s="584" t="s">
        <v>108</v>
      </c>
      <c r="AS3" s="584" t="s">
        <v>109</v>
      </c>
      <c r="AT3" s="587" t="s">
        <v>110</v>
      </c>
      <c r="AU3" s="584" t="s">
        <v>111</v>
      </c>
      <c r="AV3" s="584" t="s">
        <v>112</v>
      </c>
      <c r="AW3" s="456"/>
      <c r="AX3" s="456"/>
      <c r="AY3" s="437"/>
      <c r="AZ3" s="437"/>
      <c r="BA3" s="583" t="s">
        <v>113</v>
      </c>
      <c r="BB3" s="583" t="s">
        <v>114</v>
      </c>
      <c r="BC3" s="583" t="s">
        <v>115</v>
      </c>
      <c r="BD3" s="459"/>
      <c r="BE3" s="429"/>
      <c r="BF3" s="434"/>
      <c r="BG3" s="434"/>
      <c r="BH3" s="434"/>
      <c r="BI3" s="434"/>
    </row>
    <row r="4" spans="1:63" ht="16.149999999999999" customHeight="1" thickTop="1">
      <c r="A4" s="502"/>
      <c r="B4" s="503"/>
      <c r="C4" s="504"/>
      <c r="D4" s="612"/>
      <c r="E4" s="506"/>
      <c r="F4" s="506"/>
      <c r="G4" s="507"/>
      <c r="H4" s="508"/>
      <c r="I4" s="508"/>
      <c r="J4" s="509"/>
      <c r="K4" s="508"/>
      <c r="L4" s="508"/>
      <c r="M4" s="508"/>
      <c r="N4" s="508"/>
      <c r="O4" s="508"/>
      <c r="P4" s="508"/>
      <c r="Q4" s="506"/>
      <c r="R4" s="507"/>
      <c r="S4" s="507"/>
      <c r="T4" s="506"/>
      <c r="U4" s="506"/>
      <c r="V4" s="506"/>
      <c r="W4" s="510"/>
      <c r="X4" s="510"/>
      <c r="Y4" s="510"/>
      <c r="Z4" s="510"/>
      <c r="AA4" s="510"/>
      <c r="AB4" s="510"/>
      <c r="AC4" s="508"/>
      <c r="AD4" s="508"/>
      <c r="AE4" s="508"/>
      <c r="AF4" s="506"/>
      <c r="AG4" s="505"/>
      <c r="AH4" s="506"/>
      <c r="AI4" s="506"/>
      <c r="AJ4" s="508"/>
      <c r="AK4" s="508"/>
      <c r="AL4" s="508"/>
      <c r="AM4" s="508"/>
      <c r="AN4" s="510"/>
      <c r="AO4" s="508"/>
      <c r="AP4" s="508"/>
      <c r="AQ4" s="510"/>
      <c r="AR4" s="510"/>
      <c r="AS4" s="510"/>
      <c r="AT4" s="510"/>
      <c r="AU4" s="511"/>
      <c r="AV4" s="511"/>
      <c r="AW4" s="508"/>
      <c r="AX4" s="508"/>
      <c r="AY4" s="510"/>
      <c r="AZ4" s="510" t="str">
        <f>'HR Track 2'!AZ614</f>
        <v/>
      </c>
      <c r="BA4" s="491"/>
      <c r="BB4" s="491" t="str">
        <f>'HR Track 2'!BB614</f>
        <v/>
      </c>
      <c r="BC4" s="491" t="str">
        <f>'HR Track 2'!BC614</f>
        <v/>
      </c>
      <c r="BD4" s="512"/>
      <c r="BE4" s="498"/>
      <c r="BF4" s="1175"/>
      <c r="BG4" s="1175"/>
      <c r="BH4" s="1175"/>
      <c r="BI4" s="1175"/>
      <c r="BK4" s="292"/>
    </row>
    <row r="5" spans="1:63" ht="16.149999999999999" customHeight="1">
      <c r="A5" s="514" t="s">
        <v>169</v>
      </c>
      <c r="B5" s="450"/>
      <c r="C5" s="3"/>
      <c r="D5" s="83"/>
      <c r="E5" s="4"/>
      <c r="F5" s="4"/>
      <c r="G5" s="6"/>
      <c r="H5" s="449"/>
      <c r="I5" s="449"/>
      <c r="J5" s="3"/>
      <c r="K5" s="449"/>
      <c r="L5" s="449"/>
      <c r="M5" s="449" t="str">
        <f>IF(L5="","",
IF(AX5="PT",VLOOKUP(L5,Foundation_Calc!$V$79:$X$113,VLOOKUP(AX5,Foundation_Calc!$I$10:$J$13,2,FALSE),0),
IF(AX5="K",VLOOKUP(L5,Foundation_Calc!$V$117:$X$151,VLOOKUP(AX5,Foundation_Calc!$I$10:$J$13,2,FALSE),0),"")))</f>
        <v/>
      </c>
      <c r="N5" s="449"/>
      <c r="O5" s="449"/>
      <c r="P5" s="449"/>
      <c r="Q5" s="4"/>
      <c r="R5" s="6"/>
      <c r="S5" s="6"/>
      <c r="T5" s="4"/>
      <c r="U5" s="4"/>
      <c r="V5" s="4"/>
      <c r="W5" s="9"/>
      <c r="X5" s="9"/>
      <c r="Y5" s="9"/>
      <c r="Z5" s="9"/>
      <c r="AA5" s="9"/>
      <c r="AB5" s="9"/>
      <c r="AC5" s="449"/>
      <c r="AD5" s="449"/>
      <c r="AE5" s="449"/>
      <c r="AF5" s="4"/>
      <c r="AG5" s="83"/>
      <c r="AH5" s="4"/>
      <c r="AI5" s="4"/>
      <c r="AJ5" s="449"/>
      <c r="AK5" s="449"/>
      <c r="AL5" s="449"/>
      <c r="AM5" s="449"/>
      <c r="AN5" s="10"/>
      <c r="AO5" s="9"/>
      <c r="AP5" s="9"/>
      <c r="AQ5" s="9"/>
      <c r="AR5" s="9"/>
      <c r="AS5" s="9"/>
      <c r="AT5" s="9"/>
      <c r="AU5" s="428"/>
      <c r="AV5" s="428"/>
      <c r="AW5" s="449" t="str">
        <f>IF(C5&gt;0,VLOOKUP(C5,Foundation_Calc!$A$2:$C$13,3,1),
IF(J5&gt;0,VLOOKUP(J5,Foundation_Calc!$A$2:$C$13,3,1),""))</f>
        <v/>
      </c>
      <c r="AX5" s="449" t="str">
        <f>IF(C5&gt;0,VLOOKUP(C5,Foundation_Calc!$E$2:$G$13,3,1),
IF(J5&gt;0,VLOOKUP(J5,Foundation_Calc!$E$2:$G$13,3,1),""))</f>
        <v/>
      </c>
      <c r="AY5" s="10"/>
      <c r="AZ5" s="10" t="str">
        <f>IF(K5="","",
IF(AX5="PT",VLOOKUP(K5,Foundation_Calc!$K$4:$R$37,VLOOKUP(AW5,Foundation_Calc!$I$2:$J$8,2,FALSE),0),
IF(AX5="K",VLOOKUP(K5,Foundation_Calc!$K$41:$R$74,VLOOKUP(AW5,Foundation_Calc!$I$2:$J$8,2,FALSE),0),"")))</f>
        <v/>
      </c>
      <c r="BA5" s="491" t="str">
        <f t="shared" ref="BA5:BB5" si="0">IF(AY5="","",IF(AY5&gt;0,"ü",""))</f>
        <v/>
      </c>
      <c r="BB5" s="491" t="str">
        <f t="shared" si="0"/>
        <v/>
      </c>
      <c r="BC5" s="491" t="str">
        <f t="shared" ref="BC5" si="1">IF(M5="","",IF(M5="U.S.","ü",IF(M5="U.S. N.D.","ü","")))</f>
        <v/>
      </c>
      <c r="BD5" s="512" t="str">
        <f>IF(AND(L5="",H5=""),"",
IF(H5="",Pole_Calc!A$9,
IF(H5="MP",Pole_Calc!A$10,
IF(H5="AnMP",Pole_Calc!A$11,
IF(H5="A",Pole_Calc!A$12,
IF(H5="S/A",Pole_Calc!A$13,
IF(H5="A/S",Pole_Calc!A$14,"Poner a mano")))))))</f>
        <v/>
      </c>
      <c r="BE5" s="429" t="s">
        <v>118</v>
      </c>
      <c r="BF5" s="290"/>
      <c r="BG5" s="290"/>
      <c r="BH5" s="290"/>
      <c r="BI5" s="290"/>
    </row>
    <row r="6" spans="1:63" ht="16.149999999999999" customHeight="1">
      <c r="A6" s="514"/>
      <c r="B6" s="450" t="s">
        <v>1728</v>
      </c>
      <c r="C6" s="3">
        <v>51653.900000000009</v>
      </c>
      <c r="D6" s="83"/>
      <c r="E6" s="4"/>
      <c r="F6" s="4">
        <v>0</v>
      </c>
      <c r="G6" s="6"/>
      <c r="H6" s="449" t="s">
        <v>121</v>
      </c>
      <c r="I6" s="449" t="s">
        <v>1729</v>
      </c>
      <c r="J6" s="3"/>
      <c r="K6" s="449"/>
      <c r="L6" s="449" t="s">
        <v>247</v>
      </c>
      <c r="M6" s="449" t="str">
        <f>IF(L6="","",
IF(AX6="PT",VLOOKUP(L6,Foundation_Calc!$V$79:$X$113,VLOOKUP(AX6,Foundation_Calc!$I$10:$J$13,2,FALSE),0),
IF(AX6="K",VLOOKUP(L6,Foundation_Calc!$V$117:$X$151,VLOOKUP(AX6,Foundation_Calc!$I$10:$J$13,2,FALSE),0),"")))</f>
        <v>C12R</v>
      </c>
      <c r="N6" s="449" t="s">
        <v>201</v>
      </c>
      <c r="O6" s="449"/>
      <c r="P6" s="449"/>
      <c r="Q6" s="4"/>
      <c r="R6" s="6"/>
      <c r="S6" s="6"/>
      <c r="T6" s="4">
        <v>0</v>
      </c>
      <c r="U6" s="4"/>
      <c r="V6" s="4"/>
      <c r="W6" s="9"/>
      <c r="X6" s="9"/>
      <c r="Y6" s="9"/>
      <c r="Z6" s="9"/>
      <c r="AA6" s="9"/>
      <c r="AB6" s="9"/>
      <c r="AC6" s="449" t="str">
        <f t="shared" ref="AC6:AC13" si="2">IF(OR(AT6&gt;8,AT6&lt;-8),"PH",
IF(OR(AT6&gt;5,AT6&lt;-5),"PHQ",
IF(OR(AT6&gt;1,AT6&lt;-1),
"PHC","")))</f>
        <v/>
      </c>
      <c r="AD6" s="449"/>
      <c r="AE6" s="449"/>
      <c r="AF6" s="4"/>
      <c r="AG6" s="83"/>
      <c r="AH6" s="4"/>
      <c r="AI6" s="4"/>
      <c r="AJ6" s="449"/>
      <c r="AK6" s="449"/>
      <c r="AL6" s="449" t="s">
        <v>241</v>
      </c>
      <c r="AM6" s="449" t="s">
        <v>552</v>
      </c>
      <c r="AN6" s="10"/>
      <c r="AO6" s="9"/>
      <c r="AP6" s="9"/>
      <c r="AQ6" s="9"/>
      <c r="AR6" s="9"/>
      <c r="AS6" s="9"/>
      <c r="AT6" s="9"/>
      <c r="AU6" s="428"/>
      <c r="AV6" s="428"/>
      <c r="AW6" s="449" t="str">
        <f>IF(C6&gt;0,VLOOKUP(C6,Foundation_Calc!$A$2:$C$13,3,1),
IF(J6&gt;0,VLOOKUP(J6,Foundation_Calc!$A$2:$C$13,3,1),""))</f>
        <v>Multi Soil</v>
      </c>
      <c r="AX6" s="449" t="str">
        <f>IF(C6&gt;0,VLOOKUP(C6,Foundation_Calc!$E$2:$G$33,3,1),
IF(J6&gt;0,VLOOKUP(J6,Foundation_Calc!$E$2:$G$33,3,1),""))</f>
        <v>PT</v>
      </c>
      <c r="AY6" s="10">
        <f>IF(L6="","",
IF(AX6="PT",VLOOKUP(L6,Foundation_Calc!$K$79:$R$113,VLOOKUP(AW6,Foundation_Calc!$I$2:$J$8,2,FALSE),0),
IF(AX6="K",VLOOKUP(L6,Foundation_Calc!$K$117:$R$151,VLOOKUP(AW6,Foundation_Calc!$I$2:$J$8,2,FALSE),0),"")))</f>
        <v>6.2</v>
      </c>
      <c r="AZ6" s="10" t="str">
        <f>IF(K6="","",
IF(AX6="PT",VLOOKUP(K6,Foundation_Calc!$K$79:$R$113,VLOOKUP(AW6,Foundation_Calc!$I$2:$J$8,2,FALSE),0),
IF(AX6="K",VLOOKUP(K6,Foundation_Calc!$K$117:$R$151,VLOOKUP(AW6,Foundation_Calc!$I$2:$J$8,2,FALSE),0),"")))</f>
        <v/>
      </c>
      <c r="BA6" s="495" t="str">
        <f t="shared" ref="BA6:BA62" si="3">IF(AY6="","",IF(AY6&gt;0,"ü",""))</f>
        <v>ü</v>
      </c>
      <c r="BB6" s="495" t="str">
        <f t="shared" ref="BB6:BB62" si="4">IF(AZ6="","",IF(AZ6&gt;0,"ü",""))</f>
        <v/>
      </c>
      <c r="BC6" s="495" t="str">
        <f t="shared" ref="BC6:BC62" si="5">IF(M6="","",IF(M6="U.S.","ü",IF(M6="U.S. N.D.","ü","")))</f>
        <v/>
      </c>
      <c r="BD6" s="513" t="str">
        <f>Pole_Calc!A$251</f>
        <v>App.8-V08H-P10.3</v>
      </c>
      <c r="BE6" s="429" t="s">
        <v>118</v>
      </c>
      <c r="BF6" s="289"/>
      <c r="BG6" s="289"/>
      <c r="BH6" s="290"/>
      <c r="BI6" s="289"/>
    </row>
    <row r="7" spans="1:63" ht="16.149999999999999" customHeight="1">
      <c r="A7" s="514" t="s">
        <v>169</v>
      </c>
      <c r="B7" s="450"/>
      <c r="C7" s="3"/>
      <c r="D7" s="83"/>
      <c r="E7" s="4"/>
      <c r="F7" s="4"/>
      <c r="G7" s="6">
        <v>27.5</v>
      </c>
      <c r="H7" s="449"/>
      <c r="I7" s="449"/>
      <c r="J7" s="3"/>
      <c r="K7" s="449"/>
      <c r="L7" s="449"/>
      <c r="M7" s="449" t="str">
        <f>IF(L7="","",
IF(AX7="PT",VLOOKUP(L7,Foundation_Calc!$V$79:$X$113,VLOOKUP(AX7,Foundation_Calc!$I$10:$J$13,2,FALSE),0),
IF(AX7="K",VLOOKUP(L7,Foundation_Calc!$V$117:$X$151,VLOOKUP(AX7,Foundation_Calc!$I$10:$J$13,2,FALSE),0),"")))</f>
        <v/>
      </c>
      <c r="N7" s="449"/>
      <c r="O7" s="449"/>
      <c r="P7" s="449"/>
      <c r="Q7" s="4"/>
      <c r="R7" s="6"/>
      <c r="S7" s="6"/>
      <c r="T7" s="4"/>
      <c r="U7" s="4"/>
      <c r="V7" s="4"/>
      <c r="W7" s="9"/>
      <c r="X7" s="9"/>
      <c r="Y7" s="9"/>
      <c r="Z7" s="9"/>
      <c r="AA7" s="9"/>
      <c r="AB7" s="9"/>
      <c r="AC7" s="449" t="str">
        <f t="shared" si="2"/>
        <v/>
      </c>
      <c r="AD7" s="449"/>
      <c r="AE7" s="449"/>
      <c r="AF7" s="4"/>
      <c r="AG7" s="83"/>
      <c r="AH7" s="4"/>
      <c r="AI7" s="4"/>
      <c r="AJ7" s="449"/>
      <c r="AK7" s="449"/>
      <c r="AL7" s="449"/>
      <c r="AM7" s="449"/>
      <c r="AN7" s="10"/>
      <c r="AO7" s="9"/>
      <c r="AP7" s="9"/>
      <c r="AQ7" s="9">
        <f>+FL_1($T$8,$T$6,$G$7,1200,9.28, 1*$F$8)</f>
        <v>4.1095870725829273E-16</v>
      </c>
      <c r="AR7" s="9"/>
      <c r="AS7" s="9"/>
      <c r="AT7" s="9"/>
      <c r="AU7" s="428"/>
      <c r="AV7" s="428"/>
      <c r="AW7" s="449" t="str">
        <f>IF(C7&gt;0,VLOOKUP(C7,Foundation_Calc!$A$2:$C$13,3,1),
IF(J7&gt;0,VLOOKUP(J7,Foundation_Calc!$A$2:$C$13,3,1),""))</f>
        <v/>
      </c>
      <c r="AX7" s="449" t="str">
        <f>IF(C7&gt;0,VLOOKUP(C7,Foundation_Calc!$E$2:$G$33,3,1),
IF(J7&gt;0,VLOOKUP(J7,Foundation_Calc!$E$2:$G$33,3,1),""))</f>
        <v/>
      </c>
      <c r="AY7" s="10" t="str">
        <f>IF(L7="","",
IF(AX7="PT",VLOOKUP(L7,Foundation_Calc!$K$79:$R$113,VLOOKUP(AW7,Foundation_Calc!$I$2:$J$8,2,FALSE),0),
IF(AX7="K",VLOOKUP(L7,Foundation_Calc!$K$117:$R$151,VLOOKUP(AW7,Foundation_Calc!$I$2:$J$8,2,FALSE),0),"")))</f>
        <v/>
      </c>
      <c r="AZ7" s="10" t="str">
        <f>IF(K7="","",
IF(AX7="PT",VLOOKUP(K7,Foundation_Calc!$K$79:$R$113,VLOOKUP(AW7,Foundation_Calc!$I$2:$J$8,2,FALSE),0),
IF(AX7="K",VLOOKUP(K7,Foundation_Calc!$K$117:$R$151,VLOOKUP(AW7,Foundation_Calc!$I$2:$J$8,2,FALSE),0),"")))</f>
        <v/>
      </c>
      <c r="BA7" s="495" t="str">
        <f t="shared" si="3"/>
        <v/>
      </c>
      <c r="BB7" s="495" t="str">
        <f t="shared" si="4"/>
        <v/>
      </c>
      <c r="BC7" s="495" t="str">
        <f t="shared" si="5"/>
        <v/>
      </c>
      <c r="BD7" s="513" t="str">
        <f>IF(AND(L7="",H7=""),"",
IF(H7="",Pole_Calc!A$9,
IF(H7="MP",Pole_Calc!A$10,
IF(H7="AnMP",Pole_Calc!A$11,
IF(H7="A",Pole_Calc!A$12,
IF(H7="S/A",Pole_Calc!A$13,
IF(H7="A/S",Pole_Calc!A$14,"Poner a mano")))))))</f>
        <v/>
      </c>
      <c r="BE7" s="429" t="s">
        <v>118</v>
      </c>
      <c r="BF7" s="290"/>
      <c r="BG7" s="290"/>
      <c r="BH7" s="290"/>
      <c r="BI7" s="290"/>
    </row>
    <row r="8" spans="1:63" ht="16.149999999999999" customHeight="1">
      <c r="A8" s="514" t="s">
        <v>1730</v>
      </c>
      <c r="B8" s="450" t="s">
        <v>1731</v>
      </c>
      <c r="C8" s="3">
        <f>+$C$6+$G$7-0.1</f>
        <v>51681.30000000001</v>
      </c>
      <c r="D8" s="83"/>
      <c r="E8" s="4"/>
      <c r="F8" s="4">
        <v>0</v>
      </c>
      <c r="G8" s="6"/>
      <c r="H8" s="449" t="s">
        <v>131</v>
      </c>
      <c r="I8" s="449" t="s">
        <v>549</v>
      </c>
      <c r="J8" s="3"/>
      <c r="K8" s="449"/>
      <c r="L8" s="449" t="s">
        <v>232</v>
      </c>
      <c r="M8" s="449" t="str">
        <f>IF(L8="","",
IF(AX8="PT",VLOOKUP(L8,Foundation_Calc!$V$79:$X$113,VLOOKUP(AX8,Foundation_Calc!$I$10:$J$13,2,FALSE),0),
IF(AX8="K",VLOOKUP(L8,Foundation_Calc!$V$117:$X$151,VLOOKUP(AX8,Foundation_Calc!$I$10:$J$13,2,FALSE),0),"")))</f>
        <v>C5R</v>
      </c>
      <c r="N8" s="449" t="s">
        <v>124</v>
      </c>
      <c r="O8" s="449" t="s">
        <v>133</v>
      </c>
      <c r="P8" s="449"/>
      <c r="Q8" s="4"/>
      <c r="R8" s="6"/>
      <c r="S8" s="6"/>
      <c r="T8" s="4">
        <v>-30</v>
      </c>
      <c r="U8" s="4">
        <v>60</v>
      </c>
      <c r="V8" s="4"/>
      <c r="W8" s="572">
        <v>0.9</v>
      </c>
      <c r="X8" s="572">
        <v>0.8</v>
      </c>
      <c r="Y8" s="9"/>
      <c r="Z8" s="9"/>
      <c r="AA8" s="9">
        <v>0.4</v>
      </c>
      <c r="AB8" s="9"/>
      <c r="AC8" s="449" t="str">
        <f t="shared" si="2"/>
        <v>PH</v>
      </c>
      <c r="AD8" s="449"/>
      <c r="AE8" s="449"/>
      <c r="AF8" s="4"/>
      <c r="AG8" s="83"/>
      <c r="AH8" s="4"/>
      <c r="AI8" s="4"/>
      <c r="AJ8" s="449" t="s">
        <v>251</v>
      </c>
      <c r="AK8" s="449"/>
      <c r="AL8" s="449" t="s">
        <v>241</v>
      </c>
      <c r="AM8" s="449" t="s">
        <v>552</v>
      </c>
      <c r="AN8" s="10">
        <v>5.15</v>
      </c>
      <c r="AO8" s="9"/>
      <c r="AP8" s="9"/>
      <c r="AQ8" s="9"/>
      <c r="AR8" s="9"/>
      <c r="AS8" s="9"/>
      <c r="AT8" s="9">
        <f>+ab($T$8,$T$6,$U$10,$G$7,$G$9, 1*$F$8,1200)</f>
        <v>-13.959645189277925</v>
      </c>
      <c r="AU8" s="428"/>
      <c r="AV8" s="428"/>
      <c r="AW8" s="449" t="str">
        <f>IF(C8&gt;0,VLOOKUP(C8,Foundation_Calc!$A$2:$C$13,3,1),
IF(J8&gt;0,VLOOKUP(J8,Foundation_Calc!$A$2:$C$13,3,1),""))</f>
        <v>Multi Soil</v>
      </c>
      <c r="AX8" s="449" t="str">
        <f>IF(C8&gt;0,VLOOKUP(C8,Foundation_Calc!$E$2:$G$33,3,1),
IF(J8&gt;0,VLOOKUP(J8,Foundation_Calc!$E$2:$G$33,3,1),""))</f>
        <v>PT</v>
      </c>
      <c r="AY8" s="10">
        <f>IF(L8="","",
IF(AX8="PT",VLOOKUP(L8,Foundation_Calc!$K$79:$R$113,VLOOKUP(AW8,Foundation_Calc!$I$2:$J$8,2,FALSE),0),
IF(AX8="K",VLOOKUP(L8,Foundation_Calc!$K$117:$R$151,VLOOKUP(AW8,Foundation_Calc!$I$2:$J$8,2,FALSE),0),"")))</f>
        <v>3.5</v>
      </c>
      <c r="AZ8" s="10" t="str">
        <f>IF(K8="","",
IF(AX8="PT",VLOOKUP(K8,Foundation_Calc!$K$79:$R$113,VLOOKUP(AW8,Foundation_Calc!$I$2:$J$8,2,FALSE),0),
IF(AX8="K",VLOOKUP(K8,Foundation_Calc!$K$117:$R$151,VLOOKUP(AW8,Foundation_Calc!$I$2:$J$8,2,FALSE),0),"")))</f>
        <v/>
      </c>
      <c r="BA8" s="495" t="str">
        <f t="shared" si="3"/>
        <v>ü</v>
      </c>
      <c r="BB8" s="495" t="str">
        <f t="shared" si="4"/>
        <v/>
      </c>
      <c r="BC8" s="495" t="str">
        <f t="shared" si="5"/>
        <v/>
      </c>
      <c r="BD8" s="513" t="str">
        <f>Pole_Calc!A$251</f>
        <v>App.8-V08H-P10.3</v>
      </c>
      <c r="BE8" s="429" t="s">
        <v>118</v>
      </c>
      <c r="BF8" s="289"/>
      <c r="BG8" s="289"/>
      <c r="BH8" s="290"/>
      <c r="BI8" s="289"/>
    </row>
    <row r="9" spans="1:63" ht="16.149999999999999" customHeight="1">
      <c r="A9" s="514"/>
      <c r="B9" s="3"/>
      <c r="C9" s="3"/>
      <c r="D9" s="83"/>
      <c r="E9" s="4"/>
      <c r="F9" s="4"/>
      <c r="G9" s="6">
        <v>39</v>
      </c>
      <c r="H9" s="449"/>
      <c r="I9" s="449"/>
      <c r="J9" s="3">
        <f>C8+7.5</f>
        <v>51688.80000000001</v>
      </c>
      <c r="K9" s="449" t="s">
        <v>166</v>
      </c>
      <c r="L9" s="449"/>
      <c r="M9" s="449" t="str">
        <f>IF(L9="","",
IF(AX9="PT",VLOOKUP(L9,Foundation_Calc!$V$79:$X$113,VLOOKUP(AX9,Foundation_Calc!$I$10:$J$13,2,FALSE),0),
IF(AX9="K",VLOOKUP(L9,Foundation_Calc!$V$117:$X$151,VLOOKUP(AX9,Foundation_Calc!$I$10:$J$13,2,FALSE),0),"")))</f>
        <v/>
      </c>
      <c r="N9" s="449"/>
      <c r="O9" s="449"/>
      <c r="P9" s="449"/>
      <c r="Q9" s="4"/>
      <c r="R9" s="6"/>
      <c r="S9" s="6"/>
      <c r="T9" s="4"/>
      <c r="U9" s="4"/>
      <c r="V9" s="4"/>
      <c r="W9" s="572"/>
      <c r="X9" s="572"/>
      <c r="Y9" s="9"/>
      <c r="Z9" s="9"/>
      <c r="AA9" s="9"/>
      <c r="AB9" s="9"/>
      <c r="AC9" s="449" t="str">
        <f t="shared" si="2"/>
        <v/>
      </c>
      <c r="AD9" s="449"/>
      <c r="AE9" s="449"/>
      <c r="AF9" s="4"/>
      <c r="AG9" s="83"/>
      <c r="AH9" s="4"/>
      <c r="AI9" s="4"/>
      <c r="AJ9" s="449"/>
      <c r="AK9" s="449"/>
      <c r="AL9" s="449"/>
      <c r="AM9" s="449"/>
      <c r="AN9" s="10"/>
      <c r="AO9" s="9"/>
      <c r="AP9" s="9"/>
      <c r="AQ9" s="9">
        <f>+FL_2($U$10,$T$8,$G$9,1200,9.28, 1*$F$10)</f>
        <v>-0.40128082584615388</v>
      </c>
      <c r="AR9" s="9"/>
      <c r="AS9" s="9"/>
      <c r="AT9" s="9"/>
      <c r="AU9" s="428"/>
      <c r="AV9" s="428"/>
      <c r="AW9" s="449" t="str">
        <f>IF(C9&gt;0,VLOOKUP(C9,Foundation_Calc!$A$2:$C$13,3,1),
IF(J9&gt;0,VLOOKUP(J9,Foundation_Calc!$A$2:$C$13,3,1),""))</f>
        <v>Multi Soil</v>
      </c>
      <c r="AX9" s="449" t="str">
        <f>IF(C9&gt;0,VLOOKUP(C9,Foundation_Calc!$E$2:$G$33,3,1),
IF(J9&gt;0,VLOOKUP(J9,Foundation_Calc!$E$2:$G$33,3,1),""))</f>
        <v>PT</v>
      </c>
      <c r="AY9" s="10" t="str">
        <f>IF(L9="","",
IF(AX9="PT",VLOOKUP(L9,Foundation_Calc!$K$79:$R$113,VLOOKUP(AW9,Foundation_Calc!$I$2:$J$8,2,FALSE),0),
IF(AX9="K",VLOOKUP(L9,Foundation_Calc!$K$117:$R$151,VLOOKUP(AW9,Foundation_Calc!$I$2:$J$8,2,FALSE),0),"")))</f>
        <v/>
      </c>
      <c r="AZ9" s="10">
        <f>IF(K9="","",
IF(AX9="PT",VLOOKUP(K9,Foundation_Calc!$K$79:$R$113,VLOOKUP(AW9,Foundation_Calc!$I$2:$J$8,2,FALSE),0),
IF(AX9="K",VLOOKUP(K9,Foundation_Calc!$K$117:$R$151,VLOOKUP(AW9,Foundation_Calc!$I$2:$J$8,2,FALSE),0),"")))</f>
        <v>2.8</v>
      </c>
      <c r="BA9" s="495" t="str">
        <f t="shared" si="3"/>
        <v/>
      </c>
      <c r="BB9" s="495" t="str">
        <f t="shared" si="4"/>
        <v>ü</v>
      </c>
      <c r="BC9" s="495" t="str">
        <f t="shared" si="5"/>
        <v/>
      </c>
      <c r="BD9" s="513"/>
      <c r="BE9" s="429" t="s">
        <v>118</v>
      </c>
      <c r="BF9" s="290"/>
      <c r="BG9" s="290"/>
      <c r="BH9" s="290"/>
      <c r="BI9" s="290"/>
    </row>
    <row r="10" spans="1:63" ht="16.149999999999999" customHeight="1">
      <c r="A10" s="574"/>
      <c r="B10" s="450" t="s">
        <v>1732</v>
      </c>
      <c r="C10" s="3">
        <f>+$C$8+$G$9</f>
        <v>51720.30000000001</v>
      </c>
      <c r="D10" s="83"/>
      <c r="E10" s="4"/>
      <c r="F10" s="4">
        <v>0</v>
      </c>
      <c r="G10" s="6"/>
      <c r="H10" s="449" t="s">
        <v>1733</v>
      </c>
      <c r="I10" s="449" t="s">
        <v>549</v>
      </c>
      <c r="J10" s="3"/>
      <c r="K10" s="449"/>
      <c r="L10" s="449" t="s">
        <v>206</v>
      </c>
      <c r="M10" s="449" t="str">
        <f>IF(L10="","",
IF(AX10="PT",VLOOKUP(L10,Foundation_Calc!$V$79:$X$113,VLOOKUP(AX10,Foundation_Calc!$I$10:$J$13,2,FALSE),0),
IF(AX10="K",VLOOKUP(L10,Foundation_Calc!$V$117:$X$151,VLOOKUP(AX10,Foundation_Calc!$I$10:$J$13,2,FALSE),0),"")))</f>
        <v>2C4R</v>
      </c>
      <c r="N10" s="554" t="s">
        <v>134</v>
      </c>
      <c r="O10" s="449" t="s">
        <v>124</v>
      </c>
      <c r="P10" s="449"/>
      <c r="Q10" s="4"/>
      <c r="R10" s="6"/>
      <c r="S10" s="6"/>
      <c r="T10" s="4">
        <v>5</v>
      </c>
      <c r="U10" s="4">
        <v>-20</v>
      </c>
      <c r="V10" s="4"/>
      <c r="W10" s="572">
        <v>0.7</v>
      </c>
      <c r="X10" s="572">
        <v>0.7</v>
      </c>
      <c r="Y10" s="9"/>
      <c r="Z10" s="9"/>
      <c r="AA10" s="9"/>
      <c r="AB10" s="9"/>
      <c r="AC10" s="449" t="str">
        <f t="shared" si="2"/>
        <v>PH</v>
      </c>
      <c r="AD10" s="449"/>
      <c r="AE10" s="449"/>
      <c r="AF10" s="4"/>
      <c r="AG10" s="83"/>
      <c r="AH10" s="4"/>
      <c r="AI10" s="4"/>
      <c r="AJ10" s="449"/>
      <c r="AK10" s="449"/>
      <c r="AL10" s="449"/>
      <c r="AM10" s="449" t="s">
        <v>552</v>
      </c>
      <c r="AN10" s="10">
        <v>5.15</v>
      </c>
      <c r="AO10" s="9"/>
      <c r="AP10" s="9"/>
      <c r="AQ10" s="9"/>
      <c r="AR10" s="9"/>
      <c r="AS10" s="9"/>
      <c r="AT10" s="9">
        <f>+ab($U$10,$T$8,$T$12,$G$9,$G$11, 1*$F$10,1200)</f>
        <v>-38.11151820051721</v>
      </c>
      <c r="AU10" s="428"/>
      <c r="AV10" s="428"/>
      <c r="AW10" s="449" t="str">
        <f>IF(C10&gt;0,VLOOKUP(C10,Foundation_Calc!$A$2:$C$13,3,1),
IF(J10&gt;0,VLOOKUP(J10,Foundation_Calc!$A$2:$C$13,3,1),""))</f>
        <v>Multi Soil</v>
      </c>
      <c r="AX10" s="449" t="str">
        <f>IF(C10&gt;0,VLOOKUP(C10,Foundation_Calc!$E$2:$G$33,3,1),
IF(J10&gt;0,VLOOKUP(J10,Foundation_Calc!$E$2:$G$33,3,1),""))</f>
        <v>PT</v>
      </c>
      <c r="AY10" s="10">
        <f>IF(L10="","",
IF(AX10="PT",VLOOKUP(L10,Foundation_Calc!$K$79:$R$113,VLOOKUP(AW10,Foundation_Calc!$I$2:$J$8,2,FALSE),0),
IF(AX10="K",VLOOKUP(L10,Foundation_Calc!$K$117:$R$151,VLOOKUP(AW10,Foundation_Calc!$I$2:$J$8,2,FALSE),0),"")))</f>
        <v>4</v>
      </c>
      <c r="AZ10" s="10" t="str">
        <f>IF(K10="","",
IF(AX10="PT",VLOOKUP(K10,Foundation_Calc!$K$79:$R$113,VLOOKUP(AW10,Foundation_Calc!$I$2:$J$8,2,FALSE),0),
IF(AX10="K",VLOOKUP(K10,Foundation_Calc!$K$117:$R$151,VLOOKUP(AW10,Foundation_Calc!$I$2:$J$8,2,FALSE),0),"")))</f>
        <v/>
      </c>
      <c r="BA10" s="495" t="str">
        <f t="shared" si="3"/>
        <v>ü</v>
      </c>
      <c r="BB10" s="495" t="str">
        <f t="shared" si="4"/>
        <v/>
      </c>
      <c r="BC10" s="495" t="str">
        <f t="shared" si="5"/>
        <v/>
      </c>
      <c r="BD10" s="513" t="str">
        <f>Pole_Calc!A$16</f>
        <v>App.7-V11I-P9.5.1.8</v>
      </c>
      <c r="BE10" s="429" t="s">
        <v>118</v>
      </c>
      <c r="BF10" s="289"/>
      <c r="BG10" s="289"/>
      <c r="BH10" s="290"/>
      <c r="BI10" s="289"/>
    </row>
    <row r="11" spans="1:63" ht="16.149999999999999" customHeight="1">
      <c r="A11" s="514" t="s">
        <v>199</v>
      </c>
      <c r="B11" s="450"/>
      <c r="C11" s="3"/>
      <c r="D11" s="83"/>
      <c r="E11" s="4"/>
      <c r="F11" s="4"/>
      <c r="G11" s="6">
        <v>43.9</v>
      </c>
      <c r="H11" s="449"/>
      <c r="I11" s="449"/>
      <c r="J11" s="3"/>
      <c r="K11" s="449"/>
      <c r="L11" s="449"/>
      <c r="M11" s="449" t="str">
        <f>IF(L11="","",
IF(AX11="PT",VLOOKUP(L11,Foundation_Calc!$V$79:$X$113,VLOOKUP(AX11,Foundation_Calc!$I$10:$J$13,2,FALSE),0),
IF(AX11="K",VLOOKUP(L11,Foundation_Calc!$V$117:$X$151,VLOOKUP(AX11,Foundation_Calc!$I$10:$J$13,2,FALSE),0),"")))</f>
        <v/>
      </c>
      <c r="N11" s="449"/>
      <c r="O11" s="449"/>
      <c r="P11" s="449"/>
      <c r="Q11" s="4"/>
      <c r="R11" s="6"/>
      <c r="S11" s="6"/>
      <c r="T11" s="4"/>
      <c r="U11" s="4"/>
      <c r="V11" s="4"/>
      <c r="W11" s="572"/>
      <c r="X11" s="572"/>
      <c r="Y11" s="9"/>
      <c r="Z11" s="9"/>
      <c r="AA11" s="9"/>
      <c r="AB11" s="9"/>
      <c r="AC11" s="449" t="str">
        <f t="shared" si="2"/>
        <v/>
      </c>
      <c r="AD11" s="449"/>
      <c r="AE11" s="449"/>
      <c r="AF11" s="4"/>
      <c r="AG11" s="83"/>
      <c r="AH11" s="4"/>
      <c r="AI11" s="4"/>
      <c r="AJ11" s="449"/>
      <c r="AK11" s="449"/>
      <c r="AL11" s="449"/>
      <c r="AM11" s="449"/>
      <c r="AN11" s="10"/>
      <c r="AO11" s="9"/>
      <c r="AP11" s="9"/>
      <c r="AQ11" s="9">
        <f>+FL_1($T$12,$U$10,$G$11,1200,9.28, 1*$F$12)</f>
        <v>0.16649069077904324</v>
      </c>
      <c r="AR11" s="9"/>
      <c r="AS11" s="9"/>
      <c r="AT11" s="9"/>
      <c r="AU11" s="428"/>
      <c r="AV11" s="428"/>
      <c r="AW11" s="449" t="str">
        <f>IF(C11&gt;0,VLOOKUP(C11,Foundation_Calc!$A$2:$C$13,3,1),
IF(J11&gt;0,VLOOKUP(J11,Foundation_Calc!$A$2:$C$13,3,1),""))</f>
        <v/>
      </c>
      <c r="AX11" s="449" t="str">
        <f>IF(C11&gt;0,VLOOKUP(C11,Foundation_Calc!$E$2:$G$33,3,1),
IF(J11&gt;0,VLOOKUP(J11,Foundation_Calc!$E$2:$G$33,3,1),""))</f>
        <v/>
      </c>
      <c r="AY11" s="10" t="str">
        <f>IF(L11="","",
IF(AX11="PT",VLOOKUP(L11,Foundation_Calc!$K$79:$R$113,VLOOKUP(AW11,Foundation_Calc!$I$2:$J$8,2,FALSE),0),
IF(AX11="K",VLOOKUP(L11,Foundation_Calc!$K$117:$R$151,VLOOKUP(AW11,Foundation_Calc!$I$2:$J$8,2,FALSE),0),"")))</f>
        <v/>
      </c>
      <c r="AZ11" s="10" t="str">
        <f>IF(K11="","",
IF(AX11="PT",VLOOKUP(K11,Foundation_Calc!$K$79:$R$113,VLOOKUP(AW11,Foundation_Calc!$I$2:$J$8,2,FALSE),0),
IF(AX11="K",VLOOKUP(K11,Foundation_Calc!$K$117:$R$151,VLOOKUP(AW11,Foundation_Calc!$I$2:$J$8,2,FALSE),0),"")))</f>
        <v/>
      </c>
      <c r="BA11" s="495" t="str">
        <f t="shared" si="3"/>
        <v/>
      </c>
      <c r="BB11" s="495" t="str">
        <f t="shared" si="4"/>
        <v/>
      </c>
      <c r="BC11" s="495" t="str">
        <f t="shared" si="5"/>
        <v/>
      </c>
      <c r="BD11" s="513" t="str">
        <f>IF(AND(L11="",H11=""),"",
IF(H11="",Pole_Calc!A$9,
IF(H11="MP",Pole_Calc!A$10,
IF(H11="AnMP",Pole_Calc!A$11,
IF(H11="A",Pole_Calc!A$12,
IF(H11="S/A",Pole_Calc!A$13,
IF(H11="A/S",Pole_Calc!A$14,"Poner a mano")))))))</f>
        <v/>
      </c>
      <c r="BE11" s="429" t="s">
        <v>118</v>
      </c>
      <c r="BF11" s="290"/>
      <c r="BG11" s="290"/>
      <c r="BH11" s="290"/>
      <c r="BI11" s="290"/>
    </row>
    <row r="12" spans="1:63" ht="16.149999999999999" customHeight="1">
      <c r="A12" s="514"/>
      <c r="B12" s="450" t="s">
        <v>1734</v>
      </c>
      <c r="C12" s="3">
        <f>+$C$10+$G$11-0.3</f>
        <v>51763.900000000009</v>
      </c>
      <c r="D12" s="83"/>
      <c r="E12" s="4"/>
      <c r="F12" s="4">
        <v>0</v>
      </c>
      <c r="G12" s="6"/>
      <c r="H12" s="449" t="s">
        <v>238</v>
      </c>
      <c r="I12" s="449" t="s">
        <v>549</v>
      </c>
      <c r="J12" s="3"/>
      <c r="K12" s="449"/>
      <c r="L12" s="449" t="s">
        <v>247</v>
      </c>
      <c r="M12" s="449" t="str">
        <f>IF(L12="","",
IF(AX12="PT",VLOOKUP(L12,Foundation_Calc!$V$79:$X$113,VLOOKUP(AX12,Foundation_Calc!$I$10:$J$13,2,FALSE),0),
IF(AX12="K",VLOOKUP(L12,Foundation_Calc!$V$117:$X$151,VLOOKUP(AX12,Foundation_Calc!$I$10:$J$13,2,FALSE),0),"")))</f>
        <v>C12R</v>
      </c>
      <c r="N12" s="553" t="s">
        <v>134</v>
      </c>
      <c r="O12" s="575" t="s">
        <v>133</v>
      </c>
      <c r="P12" s="449"/>
      <c r="Q12" s="4"/>
      <c r="R12" s="6"/>
      <c r="S12" s="6"/>
      <c r="T12" s="4">
        <v>10</v>
      </c>
      <c r="U12" s="4">
        <v>35</v>
      </c>
      <c r="V12" s="4"/>
      <c r="W12" s="572">
        <v>0.7</v>
      </c>
      <c r="X12" s="572">
        <v>0.6</v>
      </c>
      <c r="Y12" s="9"/>
      <c r="Z12" s="9"/>
      <c r="AA12" s="9">
        <v>0.35</v>
      </c>
      <c r="AB12" s="9"/>
      <c r="AC12" s="449" t="str">
        <f t="shared" si="2"/>
        <v>PH</v>
      </c>
      <c r="AD12" s="449"/>
      <c r="AE12" s="449"/>
      <c r="AF12" s="4"/>
      <c r="AG12" s="83"/>
      <c r="AH12" s="4"/>
      <c r="AI12" s="4"/>
      <c r="AJ12" s="449"/>
      <c r="AK12" s="449"/>
      <c r="AL12" s="449" t="s">
        <v>241</v>
      </c>
      <c r="AM12" s="449" t="s">
        <v>552</v>
      </c>
      <c r="AN12" s="10">
        <v>5.15</v>
      </c>
      <c r="AO12" s="9"/>
      <c r="AP12" s="9"/>
      <c r="AQ12" s="9"/>
      <c r="AR12" s="9"/>
      <c r="AS12" s="9"/>
      <c r="AT12" s="9">
        <f>+ab($T$12,$U$10,$T$14,$G$11,$G$13,-1*$F$12,1200)</f>
        <v>13.151518712671328</v>
      </c>
      <c r="AU12" s="428"/>
      <c r="AV12" s="428"/>
      <c r="AW12" s="449" t="str">
        <f>IF(C12&gt;0,VLOOKUP(C12,Foundation_Calc!$A$2:$C$13,3,1),
IF(J12&gt;0,VLOOKUP(J12,Foundation_Calc!$A$2:$C$13,3,1),""))</f>
        <v>Multi Soil</v>
      </c>
      <c r="AX12" s="449" t="str">
        <f>IF(C12&gt;0,VLOOKUP(C12,Foundation_Calc!$E$2:$G$33,3,1),
IF(J12&gt;0,VLOOKUP(J12,Foundation_Calc!$E$2:$G$33,3,1),""))</f>
        <v>PT</v>
      </c>
      <c r="AY12" s="10">
        <f>IF(L12="","",
IF(AX12="PT",VLOOKUP(L12,Foundation_Calc!$K$79:$R$113,VLOOKUP(AW12,Foundation_Calc!$I$2:$J$8,2,FALSE),0),
IF(AX12="K",VLOOKUP(L12,Foundation_Calc!$K$117:$R$151,VLOOKUP(AW12,Foundation_Calc!$I$2:$J$8,2,FALSE),0),"")))</f>
        <v>6.2</v>
      </c>
      <c r="AZ12" s="10" t="str">
        <f>IF(K12="","",
IF(AX12="PT",VLOOKUP(K12,Foundation_Calc!$K$79:$R$113,VLOOKUP(AW12,Foundation_Calc!$I$2:$J$8,2,FALSE),0),
IF(AX12="K",VLOOKUP(K12,Foundation_Calc!$K$117:$R$151,VLOOKUP(AW12,Foundation_Calc!$I$2:$J$8,2,FALSE),0),"")))</f>
        <v/>
      </c>
      <c r="BA12" s="495" t="str">
        <f t="shared" si="3"/>
        <v>ü</v>
      </c>
      <c r="BB12" s="495" t="str">
        <f t="shared" si="4"/>
        <v/>
      </c>
      <c r="BC12" s="495" t="str">
        <f t="shared" si="5"/>
        <v/>
      </c>
      <c r="BD12" s="513" t="str">
        <f>Pole_Calc!A$251</f>
        <v>App.8-V08H-P10.3</v>
      </c>
      <c r="BE12" s="429" t="s">
        <v>118</v>
      </c>
      <c r="BF12" s="289"/>
      <c r="BG12" s="289"/>
      <c r="BH12" s="290"/>
      <c r="BI12" s="289"/>
    </row>
    <row r="13" spans="1:63" ht="16.149999999999999" customHeight="1">
      <c r="A13" s="514"/>
      <c r="B13" s="503"/>
      <c r="C13" s="3"/>
      <c r="D13" s="83"/>
      <c r="E13" s="4"/>
      <c r="F13" s="4"/>
      <c r="G13" s="6">
        <v>40</v>
      </c>
      <c r="H13" s="449"/>
      <c r="I13" s="449"/>
      <c r="J13" s="3">
        <f>C14-7.5</f>
        <v>51796.400000000009</v>
      </c>
      <c r="K13" s="449" t="s">
        <v>166</v>
      </c>
      <c r="L13" s="449"/>
      <c r="M13" s="449" t="str">
        <f>IF(L13="","",
IF(AX13="PT",VLOOKUP(L13,Foundation_Calc!$V$79:$X$113,VLOOKUP(AX13,Foundation_Calc!$I$10:$J$13,2,FALSE),0),
IF(AX13="K",VLOOKUP(L13,Foundation_Calc!$V$117:$X$151,VLOOKUP(AX13,Foundation_Calc!$I$10:$J$13,2,FALSE),0),"")))</f>
        <v/>
      </c>
      <c r="N13" s="449"/>
      <c r="O13" s="449"/>
      <c r="P13" s="449"/>
      <c r="Q13" s="4"/>
      <c r="R13" s="6"/>
      <c r="S13" s="6"/>
      <c r="T13" s="4"/>
      <c r="U13" s="4"/>
      <c r="V13" s="4"/>
      <c r="W13" s="572"/>
      <c r="X13" s="572"/>
      <c r="Y13" s="9"/>
      <c r="Z13" s="9"/>
      <c r="AA13" s="9"/>
      <c r="AB13" s="9"/>
      <c r="AC13" s="449" t="str">
        <f t="shared" si="2"/>
        <v/>
      </c>
      <c r="AD13" s="449"/>
      <c r="AE13" s="449"/>
      <c r="AF13" s="4"/>
      <c r="AG13" s="83"/>
      <c r="AH13" s="4"/>
      <c r="AI13" s="4"/>
      <c r="AJ13" s="449"/>
      <c r="AK13" s="449"/>
      <c r="AL13" s="449"/>
      <c r="AM13" s="449"/>
      <c r="AN13" s="10"/>
      <c r="AO13" s="9"/>
      <c r="AP13" s="9"/>
      <c r="AQ13" s="9">
        <f>+FL_2($T$14,$T$12,$G$13,1200,9.28,-1*$F$14)</f>
        <v>-0.24103520000000001</v>
      </c>
      <c r="AR13" s="9"/>
      <c r="AS13" s="9"/>
      <c r="AT13" s="9"/>
      <c r="AU13" s="428"/>
      <c r="AV13" s="428"/>
      <c r="AW13" s="449" t="str">
        <f>IF(C13&gt;0,VLOOKUP(C13,Foundation_Calc!$A$2:$C$13,3,1),
IF(J13&gt;0,VLOOKUP(J13,Foundation_Calc!$A$2:$C$13,3,1),""))</f>
        <v>Multi Soil</v>
      </c>
      <c r="AX13" s="449" t="str">
        <f>IF(C13&gt;0,VLOOKUP(C13,Foundation_Calc!$E$2:$G$33,3,1),
IF(J13&gt;0,VLOOKUP(J13,Foundation_Calc!$E$2:$G$33,3,1),""))</f>
        <v>PT</v>
      </c>
      <c r="AY13" s="10" t="str">
        <f>IF(L13="","",
IF(AX13="PT",VLOOKUP(L13,Foundation_Calc!$K$79:$R$113,VLOOKUP(AW13,Foundation_Calc!$I$2:$J$8,2,FALSE),0),
IF(AX13="K",VLOOKUP(L13,Foundation_Calc!$K$117:$R$151,VLOOKUP(AW13,Foundation_Calc!$I$2:$J$8,2,FALSE),0),"")))</f>
        <v/>
      </c>
      <c r="AZ13" s="10">
        <f>IF(K13="","",
IF(AX13="PT",VLOOKUP(K13,Foundation_Calc!$K$79:$R$113,VLOOKUP(AW13,Foundation_Calc!$I$2:$J$8,2,FALSE),0),
IF(AX13="K",VLOOKUP(K13,Foundation_Calc!$K$117:$R$151,VLOOKUP(AW13,Foundation_Calc!$I$2:$J$8,2,FALSE),0),"")))</f>
        <v>2.8</v>
      </c>
      <c r="BA13" s="495" t="str">
        <f t="shared" si="3"/>
        <v/>
      </c>
      <c r="BB13" s="495" t="str">
        <f t="shared" si="4"/>
        <v>ü</v>
      </c>
      <c r="BC13" s="495" t="str">
        <f t="shared" si="5"/>
        <v/>
      </c>
      <c r="BD13" s="513" t="str">
        <f>IF(AND(L13="",H13=""),"",
IF(H13="",Pole_Calc!A$9,
IF(H13="MP",Pole_Calc!A$10,
IF(H13="AnMP",Pole_Calc!A$11,
IF(H13="A",Pole_Calc!A$12,
IF(H13="S/A",Pole_Calc!A$13,
IF(H13="A/S",Pole_Calc!A$14,"Poner a mano")))))))</f>
        <v/>
      </c>
      <c r="BE13" s="429" t="s">
        <v>118</v>
      </c>
      <c r="BF13" s="290"/>
      <c r="BG13" s="290"/>
      <c r="BH13" s="290"/>
      <c r="BI13" s="290"/>
    </row>
    <row r="14" spans="1:63" ht="16.149999999999999" customHeight="1">
      <c r="A14" s="514"/>
      <c r="B14" s="450" t="s">
        <v>1735</v>
      </c>
      <c r="C14" s="3">
        <f>+$C$12+$G$13</f>
        <v>51803.900000000009</v>
      </c>
      <c r="D14" s="83"/>
      <c r="E14" s="4"/>
      <c r="F14" s="4">
        <v>0</v>
      </c>
      <c r="G14" s="6"/>
      <c r="H14" s="449" t="s">
        <v>131</v>
      </c>
      <c r="I14" s="449" t="s">
        <v>549</v>
      </c>
      <c r="J14" s="3"/>
      <c r="K14" s="449"/>
      <c r="L14" s="449" t="s">
        <v>232</v>
      </c>
      <c r="M14" s="449" t="str">
        <f>IF(L14="","",
IF(AX14="PT",VLOOKUP(L14,Foundation_Calc!$V$79:$X$113,VLOOKUP(AX14,Foundation_Calc!$I$10:$J$13,2,FALSE),0),
IF(AX14="K",VLOOKUP(L14,Foundation_Calc!$V$117:$X$151,VLOOKUP(AX14,Foundation_Calc!$I$10:$J$13,2,FALSE),0),"")))</f>
        <v>C5R</v>
      </c>
      <c r="N14" s="553" t="s">
        <v>124</v>
      </c>
      <c r="O14" s="575" t="s">
        <v>133</v>
      </c>
      <c r="P14" s="449"/>
      <c r="Q14" s="4"/>
      <c r="R14" s="6"/>
      <c r="S14" s="6"/>
      <c r="T14" s="4">
        <v>-20</v>
      </c>
      <c r="U14" s="4">
        <v>35</v>
      </c>
      <c r="V14" s="4"/>
      <c r="W14" s="572">
        <v>1</v>
      </c>
      <c r="X14" s="572">
        <v>0.8</v>
      </c>
      <c r="Y14" s="9"/>
      <c r="Z14" s="9"/>
      <c r="AA14" s="9">
        <v>0.5</v>
      </c>
      <c r="AB14" s="9"/>
      <c r="AC14" s="449" t="str">
        <f t="shared" ref="AC14:AC61" si="6">IF(OR(AT14&gt;8,AT14&lt;-8),"PH",
IF(OR(AT14&gt;5,AT14&lt;-5),"PHQ",
IF(OR(AT14&gt;1,AT14&lt;-1),
"PHC","")))</f>
        <v>PH</v>
      </c>
      <c r="AD14" s="449"/>
      <c r="AE14" s="449"/>
      <c r="AF14" s="4"/>
      <c r="AG14" s="83"/>
      <c r="AH14" s="4"/>
      <c r="AI14" s="4"/>
      <c r="AJ14" s="449"/>
      <c r="AK14" s="449"/>
      <c r="AL14" s="449" t="s">
        <v>241</v>
      </c>
      <c r="AM14" s="449" t="s">
        <v>552</v>
      </c>
      <c r="AN14" s="10">
        <f>AN12+0.06</f>
        <v>5.21</v>
      </c>
      <c r="AO14" s="9"/>
      <c r="AP14" s="9"/>
      <c r="AQ14" s="9"/>
      <c r="AR14" s="9"/>
      <c r="AS14" s="9"/>
      <c r="AT14" s="9">
        <f>+ab($T$14,$T$12,$T$16,$G$13,$G$15,-1*$F$14,1200)</f>
        <v>-10.201487683922769</v>
      </c>
      <c r="AU14" s="428"/>
      <c r="AV14" s="428"/>
      <c r="AW14" s="449" t="str">
        <f>IF(C14&gt;0,VLOOKUP(C14,Foundation_Calc!$A$2:$C$13,3,1),
IF(J14&gt;0,VLOOKUP(J14,Foundation_Calc!$A$2:$C$13,3,1),""))</f>
        <v>Multi Soil</v>
      </c>
      <c r="AX14" s="449" t="str">
        <f>IF(C14&gt;0,VLOOKUP(C14,Foundation_Calc!$E$2:$G$33,3,1),
IF(J14&gt;0,VLOOKUP(J14,Foundation_Calc!$E$2:$G$33,3,1),""))</f>
        <v>PT</v>
      </c>
      <c r="AY14" s="10">
        <f>IF(L14="","",
IF(AX14="PT",VLOOKUP(L14,Foundation_Calc!$K$79:$R$113,VLOOKUP(AW14,Foundation_Calc!$I$2:$J$8,2,FALSE),0),
IF(AX14="K",VLOOKUP(L14,Foundation_Calc!$K$117:$R$151,VLOOKUP(AW14,Foundation_Calc!$I$2:$J$8,2,FALSE),0),"")))</f>
        <v>3.5</v>
      </c>
      <c r="AZ14" s="10" t="str">
        <f>IF(K14="","",
IF(AX14="PT",VLOOKUP(K14,Foundation_Calc!$K$79:$R$113,VLOOKUP(AW14,Foundation_Calc!$I$2:$J$8,2,FALSE),0),
IF(AX14="K",VLOOKUP(K14,Foundation_Calc!$K$117:$R$151,VLOOKUP(AW14,Foundation_Calc!$I$2:$J$8,2,FALSE),0),"")))</f>
        <v/>
      </c>
      <c r="BA14" s="495" t="str">
        <f t="shared" si="3"/>
        <v>ü</v>
      </c>
      <c r="BB14" s="495" t="str">
        <f t="shared" si="4"/>
        <v/>
      </c>
      <c r="BC14" s="495" t="str">
        <f t="shared" si="5"/>
        <v/>
      </c>
      <c r="BD14" s="513" t="str">
        <f>Pole_Calc!A$251</f>
        <v>App.8-V08H-P10.3</v>
      </c>
      <c r="BE14" s="429" t="s">
        <v>118</v>
      </c>
      <c r="BF14" s="289"/>
      <c r="BG14" s="289"/>
      <c r="BH14" s="290"/>
      <c r="BI14" s="289"/>
    </row>
    <row r="15" spans="1:63" ht="16.149999999999999" customHeight="1">
      <c r="A15" s="514"/>
      <c r="B15" s="450"/>
      <c r="C15" s="3"/>
      <c r="D15" s="83"/>
      <c r="E15" s="4"/>
      <c r="F15" s="4"/>
      <c r="G15" s="6">
        <v>45</v>
      </c>
      <c r="H15" s="449"/>
      <c r="I15" s="449"/>
      <c r="J15" s="3"/>
      <c r="K15" s="449"/>
      <c r="L15" s="449"/>
      <c r="M15" s="449" t="str">
        <f>IF(L15="","",
IF(AX15="PT",VLOOKUP(L15,Foundation_Calc!$V$79:$X$113,VLOOKUP(AX15,Foundation_Calc!$I$10:$J$13,2,FALSE),0),
IF(AX15="K",VLOOKUP(L15,Foundation_Calc!$V$117:$X$151,VLOOKUP(AX15,Foundation_Calc!$I$10:$J$13,2,FALSE),0),"")))</f>
        <v/>
      </c>
      <c r="N15" s="449"/>
      <c r="O15" s="449"/>
      <c r="P15" s="449"/>
      <c r="Q15" s="4"/>
      <c r="R15" s="6"/>
      <c r="S15" s="6"/>
      <c r="T15" s="4"/>
      <c r="U15" s="4"/>
      <c r="V15" s="4"/>
      <c r="W15" s="572"/>
      <c r="X15" s="572"/>
      <c r="Y15" s="9"/>
      <c r="Z15" s="9"/>
      <c r="AA15" s="9"/>
      <c r="AB15" s="9"/>
      <c r="AC15" s="449" t="str">
        <f t="shared" si="6"/>
        <v/>
      </c>
      <c r="AD15" s="449"/>
      <c r="AE15" s="449"/>
      <c r="AF15" s="4"/>
      <c r="AG15" s="83"/>
      <c r="AH15" s="4"/>
      <c r="AI15" s="4"/>
      <c r="AJ15" s="449"/>
      <c r="AK15" s="449"/>
      <c r="AL15" s="449"/>
      <c r="AM15" s="449"/>
      <c r="AN15" s="10"/>
      <c r="AO15" s="9"/>
      <c r="AP15" s="9"/>
      <c r="AQ15" s="9">
        <f>+FL_1($T$16,$T$14,$G$15,1200,9.28,-1*$F$16)</f>
        <v>0.32557119866666662</v>
      </c>
      <c r="AR15" s="9"/>
      <c r="AS15" s="9"/>
      <c r="AT15" s="9"/>
      <c r="AU15" s="428"/>
      <c r="AV15" s="428"/>
      <c r="AW15" s="449" t="str">
        <f>IF(C15&gt;0,VLOOKUP(C15,Foundation_Calc!$A$2:$C$13,3,1),
IF(J15&gt;0,VLOOKUP(J15,Foundation_Calc!$A$2:$C$13,3,1),""))</f>
        <v/>
      </c>
      <c r="AX15" s="449" t="str">
        <f>IF(C15&gt;0,VLOOKUP(C15,Foundation_Calc!$E$2:$G$33,3,1),
IF(J15&gt;0,VLOOKUP(J15,Foundation_Calc!$E$2:$G$33,3,1),""))</f>
        <v/>
      </c>
      <c r="AY15" s="10" t="str">
        <f>IF(L15="","",
IF(AX15="PT",VLOOKUP(L15,Foundation_Calc!$K$79:$R$113,VLOOKUP(AW15,Foundation_Calc!$I$2:$J$8,2,FALSE),0),
IF(AX15="K",VLOOKUP(L15,Foundation_Calc!$K$117:$R$151,VLOOKUP(AW15,Foundation_Calc!$I$2:$J$8,2,FALSE),0),"")))</f>
        <v/>
      </c>
      <c r="AZ15" s="10" t="str">
        <f>IF(K15="","",
IF(AX15="PT",VLOOKUP(K15,Foundation_Calc!$K$79:$R$113,VLOOKUP(AW15,Foundation_Calc!$I$2:$J$8,2,FALSE),0),
IF(AX15="K",VLOOKUP(K15,Foundation_Calc!$K$117:$R$151,VLOOKUP(AW15,Foundation_Calc!$I$2:$J$8,2,FALSE),0),"")))</f>
        <v/>
      </c>
      <c r="BA15" s="495" t="str">
        <f t="shared" si="3"/>
        <v/>
      </c>
      <c r="BB15" s="495" t="str">
        <f t="shared" si="4"/>
        <v/>
      </c>
      <c r="BC15" s="495" t="str">
        <f t="shared" si="5"/>
        <v/>
      </c>
      <c r="BD15" s="513" t="str">
        <f>IF(AND(L15="",H15=""),"",
IF(H15="",Pole_Calc!A$9,
IF(H15="MP",Pole_Calc!A$10,
IF(H15="AnMP",Pole_Calc!A$11,
IF(H15="A",Pole_Calc!A$12,
IF(H15="S/A",Pole_Calc!A$13,
IF(H15="A/S",Pole_Calc!A$14,"Poner a mano")))))))</f>
        <v/>
      </c>
      <c r="BE15" s="429" t="s">
        <v>118</v>
      </c>
      <c r="BF15" s="290"/>
      <c r="BG15" s="290"/>
      <c r="BH15" s="290"/>
      <c r="BI15" s="290"/>
    </row>
    <row r="16" spans="1:63" ht="16.149999999999999" customHeight="1">
      <c r="A16" s="514"/>
      <c r="B16" s="450" t="s">
        <v>1736</v>
      </c>
      <c r="C16" s="3">
        <f>+$C$14+$G$15</f>
        <v>51848.900000000009</v>
      </c>
      <c r="D16" s="83"/>
      <c r="E16" s="4"/>
      <c r="F16" s="4">
        <v>0</v>
      </c>
      <c r="G16" s="6"/>
      <c r="H16" s="449" t="s">
        <v>284</v>
      </c>
      <c r="I16" s="449" t="s">
        <v>162</v>
      </c>
      <c r="J16" s="3"/>
      <c r="K16" s="449"/>
      <c r="L16" s="449" t="s">
        <v>232</v>
      </c>
      <c r="M16" s="449" t="str">
        <f>IF(L16="","",
IF(AX16="PT",VLOOKUP(L16,Foundation_Calc!$V$79:$X$113,VLOOKUP(AX16,Foundation_Calc!$I$10:$J$13,2,FALSE),0),
IF(AX16="K",VLOOKUP(L16,Foundation_Calc!$V$117:$X$151,VLOOKUP(AX16,Foundation_Calc!$I$10:$J$13,2,FALSE),0),"")))</f>
        <v>C5R</v>
      </c>
      <c r="N16" s="553" t="s">
        <v>134</v>
      </c>
      <c r="O16" s="449"/>
      <c r="P16" s="449"/>
      <c r="Q16" s="4"/>
      <c r="R16" s="6"/>
      <c r="S16" s="6"/>
      <c r="T16" s="4">
        <v>30</v>
      </c>
      <c r="U16" s="4"/>
      <c r="V16" s="4"/>
      <c r="W16" s="572">
        <v>1</v>
      </c>
      <c r="X16" s="572"/>
      <c r="Y16" s="9"/>
      <c r="Z16" s="9"/>
      <c r="AA16" s="9"/>
      <c r="AB16" s="9"/>
      <c r="AC16" s="449" t="str">
        <f t="shared" si="6"/>
        <v>PHQ</v>
      </c>
      <c r="AD16" s="449"/>
      <c r="AE16" s="449"/>
      <c r="AF16" s="4"/>
      <c r="AG16" s="83"/>
      <c r="AH16" s="4"/>
      <c r="AI16" s="4"/>
      <c r="AJ16" s="449"/>
      <c r="AK16" s="449"/>
      <c r="AL16" s="449" t="s">
        <v>241</v>
      </c>
      <c r="AM16" s="449" t="s">
        <v>552</v>
      </c>
      <c r="AN16" s="10">
        <f>AN14+0.11</f>
        <v>5.32</v>
      </c>
      <c r="AO16" s="9"/>
      <c r="AP16" s="9"/>
      <c r="AQ16" s="9"/>
      <c r="AR16" s="9"/>
      <c r="AS16" s="9"/>
      <c r="AT16" s="9">
        <f>+ab($T$16,$T$14,$T$18,$G$15,$G$17,-1*$F$16,1200)</f>
        <v>6.7601521352219436</v>
      </c>
      <c r="AU16" s="428"/>
      <c r="AV16" s="428"/>
      <c r="AW16" s="449" t="str">
        <f>IF(C16&gt;0,VLOOKUP(C16,Foundation_Calc!$A$2:$C$13,3,1),
IF(J16&gt;0,VLOOKUP(J16,Foundation_Calc!$A$2:$C$13,3,1),""))</f>
        <v>Multi Soil</v>
      </c>
      <c r="AX16" s="449" t="str">
        <f>IF(C16&gt;0,VLOOKUP(C16,Foundation_Calc!$E$2:$G$33,3,1),
IF(J16&gt;0,VLOOKUP(J16,Foundation_Calc!$E$2:$G$33,3,1),""))</f>
        <v>PT</v>
      </c>
      <c r="AY16" s="10">
        <f>IF(L16="","",
IF(AX16="PT",VLOOKUP(L16,Foundation_Calc!$K$79:$R$113,VLOOKUP(AW16,Foundation_Calc!$I$2:$J$8,2,FALSE),0),
IF(AX16="K",VLOOKUP(L16,Foundation_Calc!$K$117:$R$151,VLOOKUP(AW16,Foundation_Calc!$I$2:$J$8,2,FALSE),0),"")))</f>
        <v>3.5</v>
      </c>
      <c r="AZ16" s="10" t="str">
        <f>IF(K16="","",
IF(AX16="PT",VLOOKUP(K16,Foundation_Calc!$K$79:$R$113,VLOOKUP(AW16,Foundation_Calc!$I$2:$J$8,2,FALSE),0),
IF(AX16="K",VLOOKUP(K16,Foundation_Calc!$K$117:$R$151,VLOOKUP(AW16,Foundation_Calc!$I$2:$J$8,2,FALSE),0),"")))</f>
        <v/>
      </c>
      <c r="BA16" s="495" t="str">
        <f t="shared" si="3"/>
        <v>ü</v>
      </c>
      <c r="BB16" s="495" t="str">
        <f t="shared" si="4"/>
        <v/>
      </c>
      <c r="BC16" s="495" t="str">
        <f t="shared" si="5"/>
        <v/>
      </c>
      <c r="BD16" s="513" t="str">
        <f>Pole_Calc!A$251</f>
        <v>App.8-V08H-P10.3</v>
      </c>
      <c r="BE16" s="429" t="s">
        <v>118</v>
      </c>
      <c r="BF16" s="289"/>
      <c r="BG16" s="289"/>
      <c r="BH16" s="290"/>
      <c r="BI16" s="289"/>
    </row>
    <row r="17" spans="1:61" ht="16.149999999999999" customHeight="1">
      <c r="A17" s="518"/>
      <c r="B17" s="503"/>
      <c r="C17" s="3"/>
      <c r="D17" s="83"/>
      <c r="E17" s="4"/>
      <c r="F17" s="4"/>
      <c r="G17" s="6">
        <v>35</v>
      </c>
      <c r="H17" s="449"/>
      <c r="I17" s="4"/>
      <c r="J17" s="3">
        <f>C16+7.5</f>
        <v>51856.400000000009</v>
      </c>
      <c r="K17" s="449" t="s">
        <v>117</v>
      </c>
      <c r="L17" s="449"/>
      <c r="M17" s="449" t="str">
        <f>IF(L17="","",
IF(AX17="PT",VLOOKUP(L17,Foundation_Calc!$V$79:$X$113,VLOOKUP(AX17,Foundation_Calc!$I$10:$J$13,2,FALSE),0),
IF(AX17="K",VLOOKUP(L17,Foundation_Calc!$V$117:$X$151,VLOOKUP(AX17,Foundation_Calc!$I$10:$J$13,2,FALSE),0),"")))</f>
        <v/>
      </c>
      <c r="N17" s="449"/>
      <c r="O17" s="449"/>
      <c r="P17" s="449"/>
      <c r="Q17" s="4"/>
      <c r="R17" s="6"/>
      <c r="S17" s="6"/>
      <c r="T17" s="4"/>
      <c r="U17" s="4"/>
      <c r="V17" s="4"/>
      <c r="W17" s="572"/>
      <c r="X17" s="572"/>
      <c r="Y17" s="9"/>
      <c r="Z17" s="9"/>
      <c r="AA17" s="9"/>
      <c r="AB17" s="9"/>
      <c r="AC17" s="449" t="str">
        <f t="shared" si="6"/>
        <v/>
      </c>
      <c r="AD17" s="449"/>
      <c r="AE17" s="449"/>
      <c r="AF17" s="4"/>
      <c r="AG17" s="83"/>
      <c r="AH17" s="4"/>
      <c r="AI17" s="4"/>
      <c r="AJ17" s="449"/>
      <c r="AK17" s="449"/>
      <c r="AL17" s="449"/>
      <c r="AM17" s="449"/>
      <c r="AN17" s="10"/>
      <c r="AO17" s="9"/>
      <c r="AP17" s="9"/>
      <c r="AQ17" s="9">
        <f>+FL_1($T$18,$T$16,$G$17,1200,9.28,-1*$F$18)</f>
        <v>0.30000000000000587</v>
      </c>
      <c r="AR17" s="9"/>
      <c r="AS17" s="9"/>
      <c r="AT17" s="9"/>
      <c r="AU17" s="428"/>
      <c r="AV17" s="428"/>
      <c r="AW17" s="449" t="str">
        <f>IF(C17&gt;0,VLOOKUP(C17,Foundation_Calc!$A$2:$C$13,3,1),
IF(J17&gt;0,VLOOKUP(J17,Foundation_Calc!$A$2:$C$13,3,1),""))</f>
        <v>Multi Soil</v>
      </c>
      <c r="AX17" s="449" t="str">
        <f>IF(C17&gt;0,VLOOKUP(C17,Foundation_Calc!$E$2:$G$33,3,1),
IF(J17&gt;0,VLOOKUP(J17,Foundation_Calc!$E$2:$G$33,3,1),""))</f>
        <v>PT</v>
      </c>
      <c r="AY17" s="10" t="str">
        <f>IF(L17="","",
IF(AX17="PT",VLOOKUP(L17,Foundation_Calc!$K$79:$R$113,VLOOKUP(AW17,Foundation_Calc!$I$2:$J$8,2,FALSE),0),
IF(AX17="K",VLOOKUP(L17,Foundation_Calc!$K$117:$R$151,VLOOKUP(AW17,Foundation_Calc!$I$2:$J$8,2,FALSE),0),"")))</f>
        <v/>
      </c>
      <c r="AZ17" s="10">
        <f>IF(K17="","",
IF(AX17="PT",VLOOKUP(K17,Foundation_Calc!$K$79:$R$113,VLOOKUP(AW17,Foundation_Calc!$I$2:$J$8,2,FALSE),0),
IF(AX17="K",VLOOKUP(K17,Foundation_Calc!$K$117:$R$151,VLOOKUP(AW17,Foundation_Calc!$I$2:$J$8,2,FALSE),0),"")))</f>
        <v>3.9</v>
      </c>
      <c r="BA17" s="495" t="str">
        <f t="shared" si="3"/>
        <v/>
      </c>
      <c r="BB17" s="495" t="str">
        <f t="shared" si="4"/>
        <v>ü</v>
      </c>
      <c r="BC17" s="495" t="str">
        <f t="shared" si="5"/>
        <v/>
      </c>
      <c r="BD17" s="513" t="str">
        <f>IF(AND(L17="",H17=""),"",
IF(H17="",Pole_Calc!A$9,
IF(H17="MP",Pole_Calc!A$10,
IF(H17="AnMP",Pole_Calc!A$11,
IF(H17="A",Pole_Calc!A$12,
IF(H17="S/A",Pole_Calc!A$13,
IF(H17="A/S",Pole_Calc!A$14,"Poner a mano")))))))</f>
        <v/>
      </c>
      <c r="BE17" s="429" t="s">
        <v>118</v>
      </c>
      <c r="BF17" s="290"/>
      <c r="BG17" s="290"/>
      <c r="BH17" s="290"/>
      <c r="BI17" s="290"/>
    </row>
    <row r="18" spans="1:61" ht="16.149999999999999" customHeight="1">
      <c r="A18" s="518"/>
      <c r="B18" s="450" t="s">
        <v>1737</v>
      </c>
      <c r="C18" s="3">
        <f>+$C$16+$G$17</f>
        <v>51883.900000000009</v>
      </c>
      <c r="D18" s="83"/>
      <c r="E18" s="4"/>
      <c r="F18" s="4">
        <v>0</v>
      </c>
      <c r="G18" s="6"/>
      <c r="H18" s="449"/>
      <c r="I18" s="449"/>
      <c r="J18" s="3"/>
      <c r="K18" s="449"/>
      <c r="L18" s="449" t="s">
        <v>232</v>
      </c>
      <c r="M18" s="449" t="str">
        <f>IF(L18="","",
IF(AX18="PT",VLOOKUP(L18,Foundation_Calc!$V$79:$X$113,VLOOKUP(AX18,Foundation_Calc!$I$10:$J$13,2,FALSE),0),
IF(AX18="K",VLOOKUP(L18,Foundation_Calc!$V$117:$X$151,VLOOKUP(AX18,Foundation_Calc!$I$10:$J$13,2,FALSE),0),"")))</f>
        <v>C5R</v>
      </c>
      <c r="N18" s="553" t="s">
        <v>124</v>
      </c>
      <c r="O18" s="449"/>
      <c r="P18" s="449"/>
      <c r="Q18" s="4"/>
      <c r="R18" s="6"/>
      <c r="S18" s="6"/>
      <c r="T18" s="4">
        <v>-30</v>
      </c>
      <c r="U18" s="4"/>
      <c r="V18" s="4"/>
      <c r="W18" s="572">
        <v>1</v>
      </c>
      <c r="X18" s="572"/>
      <c r="Y18" s="9"/>
      <c r="Z18" s="9"/>
      <c r="AA18" s="9"/>
      <c r="AB18" s="9"/>
      <c r="AC18" s="449" t="str">
        <f t="shared" si="6"/>
        <v>PHQ</v>
      </c>
      <c r="AD18" s="449"/>
      <c r="AE18" s="449"/>
      <c r="AF18" s="4"/>
      <c r="AG18" s="83"/>
      <c r="AH18" s="4"/>
      <c r="AI18" s="4"/>
      <c r="AJ18" s="449"/>
      <c r="AK18" s="449"/>
      <c r="AL18" s="449" t="s">
        <v>241</v>
      </c>
      <c r="AM18" s="449" t="s">
        <v>552</v>
      </c>
      <c r="AN18" s="10">
        <f>AN20-0.07</f>
        <v>5.43</v>
      </c>
      <c r="AO18" s="9"/>
      <c r="AP18" s="9"/>
      <c r="AQ18" s="9"/>
      <c r="AR18" s="9"/>
      <c r="AS18" s="9"/>
      <c r="AT18" s="9">
        <f>+ab($T$18,$T$16,$T$20,$G$17,$G$19,-1*$F$18,1200)</f>
        <v>-6.2713212524953681</v>
      </c>
      <c r="AU18" s="428"/>
      <c r="AV18" s="428"/>
      <c r="AW18" s="449" t="str">
        <f>IF(C18&gt;0,VLOOKUP(C18,Foundation_Calc!$A$2:$C$13,3,1),
IF(J18&gt;0,VLOOKUP(J18,Foundation_Calc!$A$2:$C$13,3,1),""))</f>
        <v>Multi Soil</v>
      </c>
      <c r="AX18" s="449" t="str">
        <f>IF(C18&gt;0,VLOOKUP(C18,Foundation_Calc!$E$2:$G$33,3,1),
IF(J18&gt;0,VLOOKUP(J18,Foundation_Calc!$E$2:$G$33,3,1),""))</f>
        <v>PT</v>
      </c>
      <c r="AY18" s="10">
        <f>IF(L18="","",
IF(AX18="PT",VLOOKUP(L18,Foundation_Calc!$K$79:$R$113,VLOOKUP(AW18,Foundation_Calc!$I$2:$J$8,2,FALSE),0),
IF(AX18="K",VLOOKUP(L18,Foundation_Calc!$K$117:$R$151,VLOOKUP(AW18,Foundation_Calc!$I$2:$J$8,2,FALSE),0),"")))</f>
        <v>3.5</v>
      </c>
      <c r="AZ18" s="10" t="str">
        <f>IF(K18="","",
IF(AX18="PT",VLOOKUP(K18,Foundation_Calc!$K$79:$R$113,VLOOKUP(AW18,Foundation_Calc!$I$2:$J$8,2,FALSE),0),
IF(AX18="K",VLOOKUP(K18,Foundation_Calc!$K$117:$R$151,VLOOKUP(AW18,Foundation_Calc!$I$2:$J$8,2,FALSE),0),"")))</f>
        <v/>
      </c>
      <c r="BA18" s="495" t="str">
        <f t="shared" si="3"/>
        <v>ü</v>
      </c>
      <c r="BB18" s="495" t="str">
        <f t="shared" si="4"/>
        <v/>
      </c>
      <c r="BC18" s="495" t="str">
        <f t="shared" si="5"/>
        <v/>
      </c>
      <c r="BD18" s="513" t="str">
        <f>Pole_Calc!A$251</f>
        <v>App.8-V08H-P10.3</v>
      </c>
      <c r="BE18" s="429" t="s">
        <v>118</v>
      </c>
      <c r="BF18" s="289"/>
      <c r="BG18" s="289"/>
      <c r="BH18" s="290"/>
      <c r="BI18" s="289"/>
    </row>
    <row r="19" spans="1:61" ht="16.149999999999999" customHeight="1">
      <c r="A19" s="514" t="s">
        <v>430</v>
      </c>
      <c r="B19" s="450"/>
      <c r="C19" s="3"/>
      <c r="D19" s="83"/>
      <c r="E19" s="4"/>
      <c r="F19" s="4"/>
      <c r="G19" s="6">
        <v>45</v>
      </c>
      <c r="H19" s="449"/>
      <c r="I19" s="449"/>
      <c r="J19" s="3">
        <f>C18+7.5</f>
        <v>51891.400000000009</v>
      </c>
      <c r="K19" s="449" t="s">
        <v>117</v>
      </c>
      <c r="L19" s="449" t="s">
        <v>1190</v>
      </c>
      <c r="M19" s="449"/>
      <c r="N19" s="449"/>
      <c r="O19" s="449"/>
      <c r="P19" s="449"/>
      <c r="Q19" s="4"/>
      <c r="R19" s="6"/>
      <c r="S19" s="6"/>
      <c r="T19" s="4"/>
      <c r="U19" s="4"/>
      <c r="V19" s="4"/>
      <c r="W19" s="572"/>
      <c r="X19" s="572"/>
      <c r="Y19" s="9"/>
      <c r="Z19" s="9"/>
      <c r="AA19" s="9"/>
      <c r="AB19" s="9"/>
      <c r="AC19" s="449" t="str">
        <f t="shared" si="6"/>
        <v/>
      </c>
      <c r="AD19" s="449"/>
      <c r="AE19" s="449"/>
      <c r="AF19" s="4"/>
      <c r="AG19" s="83"/>
      <c r="AH19" s="4"/>
      <c r="AI19" s="4"/>
      <c r="AJ19" s="449"/>
      <c r="AK19" s="449"/>
      <c r="AL19" s="449"/>
      <c r="AM19" s="449"/>
      <c r="AN19" s="10"/>
      <c r="AO19" s="9"/>
      <c r="AP19" s="9"/>
      <c r="AQ19" s="9">
        <f>+FL_1($T$20,$T$18,$G$19,1200,9.28,-1*$F$20)</f>
        <v>0.31069252800000002</v>
      </c>
      <c r="AR19" s="9"/>
      <c r="AS19" s="9"/>
      <c r="AT19" s="9"/>
      <c r="AU19" s="428"/>
      <c r="AV19" s="428"/>
      <c r="AW19" s="449" t="str">
        <f>IF(C19&gt;0,VLOOKUP(C19,Foundation_Calc!$A$2:$C$13,3,1),
IF(J19&gt;0,VLOOKUP(J19,Foundation_Calc!$A$2:$C$13,3,1),""))</f>
        <v>Multi Soil</v>
      </c>
      <c r="AX19" s="449" t="str">
        <f>IF(C19&gt;0,VLOOKUP(C19,Foundation_Calc!$E$2:$G$33,3,1),
IF(J19&gt;0,VLOOKUP(J19,Foundation_Calc!$E$2:$G$33,3,1),""))</f>
        <v>PT</v>
      </c>
      <c r="AY19" s="10"/>
      <c r="AZ19" s="10">
        <f>IF(K19="","",
IF(AX19="PT",VLOOKUP(K19,Foundation_Calc!$K$79:$R$113,VLOOKUP(AW19,Foundation_Calc!$I$2:$J$8,2,FALSE),0),
IF(AX19="K",VLOOKUP(K19,Foundation_Calc!$K$117:$R$151,VLOOKUP(AW19,Foundation_Calc!$I$2:$J$8,2,FALSE),0),"")))</f>
        <v>3.9</v>
      </c>
      <c r="BA19" s="495" t="str">
        <f t="shared" si="3"/>
        <v/>
      </c>
      <c r="BB19" s="495" t="str">
        <f t="shared" si="4"/>
        <v>ü</v>
      </c>
      <c r="BC19" s="495" t="str">
        <f t="shared" si="5"/>
        <v/>
      </c>
      <c r="BD19" s="513"/>
      <c r="BE19" s="429" t="s">
        <v>118</v>
      </c>
      <c r="BF19" s="290"/>
      <c r="BG19" s="290"/>
      <c r="BH19" s="290"/>
      <c r="BI19" s="290"/>
    </row>
    <row r="20" spans="1:61" ht="16.149999999999999" customHeight="1">
      <c r="A20" s="514"/>
      <c r="B20" s="450" t="s">
        <v>1738</v>
      </c>
      <c r="C20" s="3">
        <f>+$C$18+$G$19</f>
        <v>51928.900000000009</v>
      </c>
      <c r="D20" s="83"/>
      <c r="E20" s="4"/>
      <c r="F20" s="4">
        <v>0</v>
      </c>
      <c r="G20" s="6"/>
      <c r="H20" s="449"/>
      <c r="I20" s="9" t="s">
        <v>549</v>
      </c>
      <c r="J20" s="9"/>
      <c r="K20" s="449"/>
      <c r="L20" s="449" t="s">
        <v>250</v>
      </c>
      <c r="M20" s="449" t="str">
        <f>IF(L20="","",
IF(AX20="PT",VLOOKUP(L20,Foundation_Calc!$V$79:$X$113,VLOOKUP(AX20,Foundation_Calc!$I$10:$J$13,2,FALSE),0),
IF(AX20="K",VLOOKUP(L20,Foundation_Calc!$V$117:$X$151,VLOOKUP(AX20,Foundation_Calc!$I$10:$J$13,2,FALSE),0),"")))</f>
        <v>2C4R</v>
      </c>
      <c r="N20" s="449" t="s">
        <v>134</v>
      </c>
      <c r="O20" s="449"/>
      <c r="P20" s="449"/>
      <c r="Q20" s="4"/>
      <c r="R20" s="6"/>
      <c r="S20" s="6"/>
      <c r="T20" s="4">
        <v>30</v>
      </c>
      <c r="U20" s="4"/>
      <c r="V20" s="4"/>
      <c r="W20" s="572">
        <v>1</v>
      </c>
      <c r="X20" s="572"/>
      <c r="Y20" s="9"/>
      <c r="Z20" s="9"/>
      <c r="AA20" s="9"/>
      <c r="AB20" s="9"/>
      <c r="AC20" s="449" t="str">
        <f t="shared" si="6"/>
        <v>PHQ</v>
      </c>
      <c r="AD20" s="449"/>
      <c r="AE20" s="449"/>
      <c r="AF20" s="4"/>
      <c r="AG20" s="83"/>
      <c r="AH20" s="4"/>
      <c r="AI20" s="4"/>
      <c r="AJ20" s="449"/>
      <c r="AK20" s="449"/>
      <c r="AL20" s="449" t="s">
        <v>252</v>
      </c>
      <c r="AM20" s="449" t="s">
        <v>552</v>
      </c>
      <c r="AN20" s="10">
        <v>5.5</v>
      </c>
      <c r="AO20" s="9"/>
      <c r="AP20" s="9"/>
      <c r="AQ20" s="9"/>
      <c r="AR20" s="9"/>
      <c r="AS20" s="9"/>
      <c r="AT20" s="9">
        <f>+ab($T$20,$T$18,$T$22,$G$19,$G$21,-1*$F$20,1200)</f>
        <v>7.8093386909803382</v>
      </c>
      <c r="AU20" s="428"/>
      <c r="AV20" s="428"/>
      <c r="AW20" s="449" t="str">
        <f>IF(C20&gt;0,VLOOKUP(C20,Foundation_Calc!$A$2:$C$13,3,1),
IF(J20&gt;0,VLOOKUP(J20,Foundation_Calc!$A$2:$C$13,3,1),""))</f>
        <v>Multi Soil</v>
      </c>
      <c r="AX20" s="449" t="str">
        <f>IF(C20&gt;0,VLOOKUP(C20,Foundation_Calc!$E$2:$G$33,3,1),
IF(J20&gt;0,VLOOKUP(J20,Foundation_Calc!$E$2:$G$33,3,1),""))</f>
        <v>PT</v>
      </c>
      <c r="AY20" s="10">
        <f>IF(L20="","",
IF(AX20="PT",VLOOKUP(L20,Foundation_Calc!$K$79:$R$113,VLOOKUP(AW20,Foundation_Calc!$I$2:$J$8,2,FALSE),0),
IF(AX20="K",VLOOKUP(L20,Foundation_Calc!$K$117:$R$151,VLOOKUP(AW20,Foundation_Calc!$I$2:$J$8,2,FALSE),0),"")))</f>
        <v>5.6</v>
      </c>
      <c r="AZ20" s="10" t="str">
        <f>IF(K20="","",
IF(AX20="PT",VLOOKUP(K20,Foundation_Calc!$K$79:$R$113,VLOOKUP(AW20,Foundation_Calc!$I$2:$J$8,2,FALSE),0),
IF(AX20="K",VLOOKUP(K20,Foundation_Calc!$K$117:$R$151,VLOOKUP(AW20,Foundation_Calc!$I$2:$J$8,2,FALSE),0),"")))</f>
        <v/>
      </c>
      <c r="BA20" s="495" t="str">
        <f t="shared" si="3"/>
        <v>ü</v>
      </c>
      <c r="BB20" s="495" t="str">
        <f t="shared" si="4"/>
        <v/>
      </c>
      <c r="BC20" s="495" t="str">
        <f t="shared" si="5"/>
        <v/>
      </c>
      <c r="BD20" s="513" t="str">
        <f>Pole_Calc!A$251</f>
        <v>App.8-V08H-P10.3</v>
      </c>
      <c r="BE20" s="429" t="s">
        <v>118</v>
      </c>
      <c r="BF20" s="289"/>
      <c r="BG20" s="289"/>
      <c r="BH20" s="290"/>
      <c r="BI20" s="289"/>
    </row>
    <row r="21" spans="1:61" ht="16.149999999999999" customHeight="1">
      <c r="A21" s="514" t="s">
        <v>438</v>
      </c>
      <c r="B21" s="450"/>
      <c r="C21" s="3"/>
      <c r="D21" s="83"/>
      <c r="E21" s="4"/>
      <c r="F21" s="4"/>
      <c r="G21" s="6">
        <v>45.1</v>
      </c>
      <c r="H21" s="449"/>
      <c r="I21" s="449"/>
      <c r="J21" s="449"/>
      <c r="K21" s="449"/>
      <c r="L21" s="449"/>
      <c r="M21" s="449" t="str">
        <f>IF(L21="","",
IF(AX21="PT",VLOOKUP(L21,Foundation_Calc!$V$79:$X$113,VLOOKUP(AX21,Foundation_Calc!$I$10:$J$13,2,FALSE),0),
IF(AX21="K",VLOOKUP(L21,Foundation_Calc!$V$117:$X$151,VLOOKUP(AX21,Foundation_Calc!$I$10:$J$13,2,FALSE),0),"")))</f>
        <v/>
      </c>
      <c r="N21" s="449"/>
      <c r="O21" s="449"/>
      <c r="P21" s="449"/>
      <c r="Q21" s="4"/>
      <c r="R21" s="6"/>
      <c r="S21" s="6"/>
      <c r="T21" s="4"/>
      <c r="U21" s="4"/>
      <c r="V21" s="4"/>
      <c r="W21" s="572"/>
      <c r="X21" s="572"/>
      <c r="Y21" s="9"/>
      <c r="Z21" s="9"/>
      <c r="AA21" s="9"/>
      <c r="AB21" s="9"/>
      <c r="AC21" s="449" t="str">
        <f t="shared" si="6"/>
        <v/>
      </c>
      <c r="AD21" s="449"/>
      <c r="AE21" s="449"/>
      <c r="AF21" s="4"/>
      <c r="AG21" s="83"/>
      <c r="AH21" s="4"/>
      <c r="AI21" s="4"/>
      <c r="AJ21" s="449"/>
      <c r="AK21" s="449"/>
      <c r="AL21" s="449"/>
      <c r="AM21" s="449"/>
      <c r="AN21" s="10"/>
      <c r="AO21" s="9"/>
      <c r="AP21" s="9"/>
      <c r="AQ21" s="9">
        <f>+FL_1($T$22,$T$20,$G$21,1200,9.28, 1*$F$22)</f>
        <v>0.32608857901256455</v>
      </c>
      <c r="AR21" s="9"/>
      <c r="AS21" s="9"/>
      <c r="AT21" s="9"/>
      <c r="AU21" s="428"/>
      <c r="AV21" s="428"/>
      <c r="AW21" s="449" t="str">
        <f>IF(C21&gt;0,VLOOKUP(C21,Foundation_Calc!$A$2:$C$13,3,1),
IF(J21&gt;0,VLOOKUP(J21,Foundation_Calc!$A$2:$C$13,3,1),""))</f>
        <v/>
      </c>
      <c r="AX21" s="449" t="str">
        <f>IF(C21&gt;0,VLOOKUP(C21,Foundation_Calc!$E$2:$G$33,3,1),
IF(J21&gt;0,VLOOKUP(J21,Foundation_Calc!$E$2:$G$33,3,1),""))</f>
        <v/>
      </c>
      <c r="AY21" s="10" t="str">
        <f>IF(L21="","",
IF(AX21="PT",VLOOKUP(L21,Foundation_Calc!$K$79:$R$113,VLOOKUP(AW21,Foundation_Calc!$I$2:$J$8,2,FALSE),0),
IF(AX21="K",VLOOKUP(L21,Foundation_Calc!$K$117:$R$151,VLOOKUP(AW21,Foundation_Calc!$I$2:$J$8,2,FALSE),0),"")))</f>
        <v/>
      </c>
      <c r="AZ21" s="10" t="str">
        <f>IF(K21="","",
IF(AX21="PT",VLOOKUP(K21,Foundation_Calc!$K$79:$R$113,VLOOKUP(AW21,Foundation_Calc!$I$2:$J$8,2,FALSE),0),
IF(AX21="K",VLOOKUP(K21,Foundation_Calc!$K$117:$R$151,VLOOKUP(AW21,Foundation_Calc!$I$2:$J$8,2,FALSE),0),"")))</f>
        <v/>
      </c>
      <c r="BA21" s="495" t="str">
        <f t="shared" ref="BA21:BA31" si="7">IF(AY21="","",IF(AY21&gt;0,"ü",""))</f>
        <v/>
      </c>
      <c r="BB21" s="495" t="str">
        <f t="shared" ref="BB21:BB31" si="8">IF(AZ21="","",IF(AZ21&gt;0,"ü",""))</f>
        <v/>
      </c>
      <c r="BC21" s="495" t="str">
        <f t="shared" ref="BC21:BC31" si="9">IF(M21="","",IF(M21="U.S.","ü",IF(M21="U.S. N.D.","ü","")))</f>
        <v/>
      </c>
      <c r="BD21" s="513" t="str">
        <f>IF(AND(L21="",H21=""),"",
IF(H21="",Pole_Calc!A$9,
IF(H21="MP",Pole_Calc!A$10,
IF(H21="AnMP",Pole_Calc!A$11,
IF(H21="A",Pole_Calc!A$12,
IF(H21="S/A",Pole_Calc!A$13,
IF(H21="A/S",Pole_Calc!A$14,"Poner a mano")))))))</f>
        <v/>
      </c>
      <c r="BE21" s="429" t="s">
        <v>118</v>
      </c>
      <c r="BF21" s="290"/>
      <c r="BG21" s="290"/>
      <c r="BH21" s="290"/>
      <c r="BI21" s="290"/>
    </row>
    <row r="22" spans="1:61" ht="16.149999999999999" customHeight="1">
      <c r="A22" s="517" t="s">
        <v>438</v>
      </c>
      <c r="B22" s="450" t="s">
        <v>1739</v>
      </c>
      <c r="C22" s="3">
        <f>+$C$20+$G$21</f>
        <v>51974.000000000007</v>
      </c>
      <c r="D22" s="83"/>
      <c r="E22" s="4"/>
      <c r="F22" s="4">
        <v>0</v>
      </c>
      <c r="G22" s="6"/>
      <c r="H22" s="449"/>
      <c r="I22" s="9" t="s">
        <v>549</v>
      </c>
      <c r="J22" s="9"/>
      <c r="K22" s="449"/>
      <c r="L22" s="449" t="s">
        <v>1740</v>
      </c>
      <c r="M22" s="449" t="str">
        <f>IF(L22="","",
IF(AX22="PT",VLOOKUP(L22,Foundation_Calc!$V$79:$X$113,VLOOKUP(AX22,Foundation_Calc!$I$10:$J$13,2,FALSE),0),
IF(AX22="K",VLOOKUP(L22,Foundation_Calc!$V$117:$X$151,VLOOKUP(AX22,Foundation_Calc!$I$10:$J$13,2,FALSE),0),"")))</f>
        <v>C10R</v>
      </c>
      <c r="N22" s="449" t="s">
        <v>124</v>
      </c>
      <c r="O22" s="449"/>
      <c r="P22" s="449"/>
      <c r="Q22" s="4"/>
      <c r="R22" s="6"/>
      <c r="S22" s="6"/>
      <c r="T22" s="4">
        <v>-20</v>
      </c>
      <c r="U22" s="4"/>
      <c r="V22" s="4"/>
      <c r="W22" s="572">
        <v>1.2</v>
      </c>
      <c r="X22" s="572"/>
      <c r="Y22" s="9"/>
      <c r="Z22" s="9"/>
      <c r="AA22" s="9"/>
      <c r="AB22" s="9"/>
      <c r="AC22" s="449" t="str">
        <f t="shared" si="6"/>
        <v>PH</v>
      </c>
      <c r="AD22" s="449"/>
      <c r="AE22" s="449"/>
      <c r="AF22" s="4"/>
      <c r="AG22" s="83"/>
      <c r="AH22" s="4"/>
      <c r="AI22" s="4"/>
      <c r="AJ22" s="449"/>
      <c r="AK22" s="449"/>
      <c r="AL22" s="449" t="s">
        <v>1741</v>
      </c>
      <c r="AM22" s="449" t="s">
        <v>552</v>
      </c>
      <c r="AN22" s="10">
        <v>5.5</v>
      </c>
      <c r="AO22" s="9"/>
      <c r="AP22" s="9"/>
      <c r="AQ22" s="9"/>
      <c r="AR22" s="9"/>
      <c r="AS22" s="9"/>
      <c r="AT22" s="9">
        <f>+ab($T$22,$T$20,$T$24,$G$21,$G$23, 1*$F$22,1200)</f>
        <v>-9.3283831267238959</v>
      </c>
      <c r="AU22" s="428"/>
      <c r="AV22" s="428"/>
      <c r="AW22" s="449" t="str">
        <f>IF(C22&gt;0,VLOOKUP(C22,Foundation_Calc!$A$2:$C$13,3,1),
IF(J22&gt;0,VLOOKUP(J22,Foundation_Calc!$A$2:$C$13,3,1),""))</f>
        <v>Multi Soil</v>
      </c>
      <c r="AX22" s="449" t="str">
        <f>IF(C22&gt;0,VLOOKUP(C22,Foundation_Calc!$E$2:$G$33,3,1),
IF(J22&gt;0,VLOOKUP(J22,Foundation_Calc!$E$2:$G$33,3,1),""))</f>
        <v>PT</v>
      </c>
      <c r="AY22" s="10" t="str">
        <f>IF(L22="","",
IF(AX22="PT",VLOOKUP(L22,Foundation_Calc!$K$79:$R$113,VLOOKUP(AW22,Foundation_Calc!$I$2:$J$8,2,FALSE),0),
IF(AX22="K",VLOOKUP(L22,Foundation_Calc!$K$117:$R$151,VLOOKUP(AW22,Foundation_Calc!$I$2:$J$8,2,FALSE),0),"")))</f>
        <v>N.D.</v>
      </c>
      <c r="AZ22" s="10" t="str">
        <f>IF(K22="","",
IF(AX22="PT",VLOOKUP(K22,Foundation_Calc!$K$79:$R$113,VLOOKUP(AW22,Foundation_Calc!$I$2:$J$8,2,FALSE),0),
IF(AX22="K",VLOOKUP(K22,Foundation_Calc!$K$117:$R$151,VLOOKUP(AW22,Foundation_Calc!$I$2:$J$8,2,FALSE),0),"")))</f>
        <v/>
      </c>
      <c r="BA22" s="495" t="str">
        <f t="shared" si="7"/>
        <v>ü</v>
      </c>
      <c r="BB22" s="495" t="str">
        <f t="shared" si="8"/>
        <v/>
      </c>
      <c r="BC22" s="495" t="str">
        <f t="shared" si="9"/>
        <v/>
      </c>
      <c r="BD22" s="513" t="str">
        <f>Pole_Calc!A$251</f>
        <v>App.8-V08H-P10.3</v>
      </c>
      <c r="BE22" s="429" t="s">
        <v>118</v>
      </c>
      <c r="BF22" s="289"/>
      <c r="BG22" s="289"/>
      <c r="BH22" s="290"/>
      <c r="BI22" s="289"/>
    </row>
    <row r="23" spans="1:61" ht="16.149999999999999" customHeight="1">
      <c r="A23" s="517" t="s">
        <v>438</v>
      </c>
      <c r="B23" s="450"/>
      <c r="C23" s="3"/>
      <c r="D23" s="83"/>
      <c r="E23" s="4"/>
      <c r="F23" s="4"/>
      <c r="G23" s="6">
        <v>43</v>
      </c>
      <c r="H23" s="449"/>
      <c r="I23" s="449"/>
      <c r="J23" s="3"/>
      <c r="K23" s="449"/>
      <c r="L23" s="449"/>
      <c r="M23" s="449" t="str">
        <f>IF(L23="","",
IF(AX23="PT",VLOOKUP(L23,Foundation_Calc!$V$79:$X$113,VLOOKUP(AX23,Foundation_Calc!$I$10:$J$13,2,FALSE),0),
IF(AX23="K",VLOOKUP(L23,Foundation_Calc!$V$117:$X$151,VLOOKUP(AX23,Foundation_Calc!$I$10:$J$13,2,FALSE),0),"")))</f>
        <v/>
      </c>
      <c r="N23" s="449"/>
      <c r="O23" s="449"/>
      <c r="P23" s="449"/>
      <c r="Q23" s="4"/>
      <c r="R23" s="6"/>
      <c r="S23" s="6"/>
      <c r="T23" s="4"/>
      <c r="U23" s="4"/>
      <c r="V23" s="4"/>
      <c r="W23" s="9"/>
      <c r="X23" s="9"/>
      <c r="Y23" s="9"/>
      <c r="Z23" s="9"/>
      <c r="AA23" s="9"/>
      <c r="AB23" s="9"/>
      <c r="AC23" s="449" t="str">
        <f t="shared" si="6"/>
        <v/>
      </c>
      <c r="AD23" s="449"/>
      <c r="AE23" s="449"/>
      <c r="AF23" s="4"/>
      <c r="AG23" s="83"/>
      <c r="AH23" s="4"/>
      <c r="AI23" s="4"/>
      <c r="AJ23" s="449"/>
      <c r="AK23" s="449"/>
      <c r="AL23" s="449"/>
      <c r="AM23" s="449"/>
      <c r="AN23" s="10"/>
      <c r="AO23" s="9"/>
      <c r="AP23" s="9"/>
      <c r="AQ23" s="9">
        <f>+FL_1($T$24,$T$22,$G$23,1200,9.28, 1*$F$24)</f>
        <v>0.23468489541085272</v>
      </c>
      <c r="AR23" s="9"/>
      <c r="AS23" s="9"/>
      <c r="AT23" s="9"/>
      <c r="AU23" s="428"/>
      <c r="AV23" s="428"/>
      <c r="AW23" s="449" t="str">
        <f>IF(C23&gt;0,VLOOKUP(C23,Foundation_Calc!$A$2:$C$13,3,1),
IF(J23&gt;0,VLOOKUP(J23,Foundation_Calc!$A$2:$C$13,3,1),""))</f>
        <v/>
      </c>
      <c r="AX23" s="449" t="str">
        <f>IF(C23&gt;0,VLOOKUP(C23,Foundation_Calc!$E$2:$G$33,3,1),
IF(J23&gt;0,VLOOKUP(J23,Foundation_Calc!$E$2:$G$33,3,1),""))</f>
        <v/>
      </c>
      <c r="AY23" s="10" t="str">
        <f>IF(L23="","",
IF(AX23="PT",VLOOKUP(L23,Foundation_Calc!$K$79:$R$113,VLOOKUP(AW23,Foundation_Calc!$I$2:$J$8,2,FALSE),0),
IF(AX23="K",VLOOKUP(L23,Foundation_Calc!$K$117:$R$151,VLOOKUP(AW23,Foundation_Calc!$I$2:$J$8,2,FALSE),0),"")))</f>
        <v/>
      </c>
      <c r="AZ23" s="10" t="str">
        <f>IF(K23="","",
IF(AX23="PT",VLOOKUP(K23,Foundation_Calc!$K$79:$R$113,VLOOKUP(AW23,Foundation_Calc!$I$2:$J$8,2,FALSE),0),
IF(AX23="K",VLOOKUP(K23,Foundation_Calc!$K$117:$R$151,VLOOKUP(AW23,Foundation_Calc!$I$2:$J$8,2,FALSE),0),"")))</f>
        <v/>
      </c>
      <c r="BA23" s="495" t="str">
        <f t="shared" si="7"/>
        <v/>
      </c>
      <c r="BB23" s="495" t="str">
        <f t="shared" si="8"/>
        <v/>
      </c>
      <c r="BC23" s="495" t="str">
        <f t="shared" si="9"/>
        <v/>
      </c>
      <c r="BD23" s="513" t="str">
        <f>IF(AND(L23="",H23=""),"",
IF(H23="",Pole_Calc!A$9,
IF(H23="MP",Pole_Calc!A$10,
IF(H23="AnMP",Pole_Calc!A$11,
IF(H23="A",Pole_Calc!A$12,
IF(H23="S/A",Pole_Calc!A$13,
IF(H23="A/S",Pole_Calc!A$14,"Poner a mano")))))))</f>
        <v/>
      </c>
      <c r="BE23" s="429" t="s">
        <v>118</v>
      </c>
      <c r="BF23" s="290"/>
      <c r="BG23" s="290"/>
      <c r="BH23" s="290"/>
      <c r="BI23" s="290"/>
    </row>
    <row r="24" spans="1:61" ht="16.149999999999999" customHeight="1">
      <c r="A24" s="517" t="s">
        <v>438</v>
      </c>
      <c r="B24" s="450" t="s">
        <v>1742</v>
      </c>
      <c r="C24" s="3">
        <f>+$C$22+$G$23</f>
        <v>52017.000000000007</v>
      </c>
      <c r="D24" s="83"/>
      <c r="E24" s="4"/>
      <c r="F24" s="4">
        <v>0</v>
      </c>
      <c r="G24" s="6"/>
      <c r="H24" s="449"/>
      <c r="I24" s="449"/>
      <c r="J24" s="3"/>
      <c r="K24" s="449"/>
      <c r="L24" s="449" t="s">
        <v>455</v>
      </c>
      <c r="M24" s="449" t="str">
        <f>IF(L24="","",
IF(AX24="PT",VLOOKUP(L24,Foundation_Calc!$V$79:$X$113,VLOOKUP(AX24,Foundation_Calc!$I$10:$J$13,2,FALSE),0),
IF(AX24="K",VLOOKUP(L24,Foundation_Calc!$V$117:$X$151,VLOOKUP(AX24,Foundation_Calc!$I$10:$J$13,2,FALSE),0),"")))</f>
        <v>C11R</v>
      </c>
      <c r="N24" s="449" t="s">
        <v>134</v>
      </c>
      <c r="O24" s="449"/>
      <c r="P24" s="449"/>
      <c r="Q24" s="4"/>
      <c r="R24" s="6"/>
      <c r="S24" s="6"/>
      <c r="T24" s="4">
        <v>20</v>
      </c>
      <c r="U24" s="4"/>
      <c r="V24" s="4"/>
      <c r="W24" s="9">
        <v>1.4</v>
      </c>
      <c r="X24" s="9"/>
      <c r="Y24" s="9"/>
      <c r="Z24" s="9"/>
      <c r="AA24" s="9"/>
      <c r="AB24" s="9"/>
      <c r="AC24" s="449" t="str">
        <f t="shared" si="6"/>
        <v>PH</v>
      </c>
      <c r="AD24" s="449"/>
      <c r="AE24" s="449"/>
      <c r="AF24" s="4"/>
      <c r="AG24" s="83"/>
      <c r="AH24" s="4"/>
      <c r="AI24" s="4"/>
      <c r="AJ24" s="449"/>
      <c r="AK24" s="449"/>
      <c r="AL24" s="449" t="s">
        <v>456</v>
      </c>
      <c r="AM24" s="449" t="s">
        <v>552</v>
      </c>
      <c r="AN24" s="10">
        <v>5.5</v>
      </c>
      <c r="AO24" s="9"/>
      <c r="AP24" s="9"/>
      <c r="AQ24" s="9"/>
      <c r="AR24" s="9"/>
      <c r="AS24" s="9"/>
      <c r="AT24" s="9">
        <f>+ab($T$24,$T$22,$T$26,$G$23,$G$25, 1*$F$24,1200)</f>
        <v>10.648300052390752</v>
      </c>
      <c r="AU24" s="428"/>
      <c r="AV24" s="428"/>
      <c r="AW24" s="449" t="str">
        <f>IF(C24&gt;0,VLOOKUP(C24,Foundation_Calc!$A$2:$C$13,3,1),
IF(J24&gt;0,VLOOKUP(J24,Foundation_Calc!$A$2:$C$13,3,1),""))</f>
        <v>Multi Soil</v>
      </c>
      <c r="AX24" s="449" t="str">
        <f>IF(C24&gt;0,VLOOKUP(C24,Foundation_Calc!$E$2:$G$33,3,1),
IF(J24&gt;0,VLOOKUP(J24,Foundation_Calc!$E$2:$G$33,3,1),""))</f>
        <v>PT</v>
      </c>
      <c r="AY24" s="10">
        <f>IF(L24="","",
IF(AX24="PT",VLOOKUP(L24,Foundation_Calc!$K$79:$R$113,VLOOKUP(AW24,Foundation_Calc!$I$2:$J$8,2,FALSE),0),
IF(AX24="K",VLOOKUP(L24,Foundation_Calc!$K$117:$R$151,VLOOKUP(AW24,Foundation_Calc!$I$2:$J$8,2,FALSE),0),"")))</f>
        <v>4.5999999999999996</v>
      </c>
      <c r="AZ24" s="10" t="str">
        <f>IF(K24="","",
IF(AX24="PT",VLOOKUP(K24,Foundation_Calc!$K$79:$R$113,VLOOKUP(AW24,Foundation_Calc!$I$2:$J$8,2,FALSE),0),
IF(AX24="K",VLOOKUP(K24,Foundation_Calc!$K$117:$R$151,VLOOKUP(AW24,Foundation_Calc!$I$2:$J$8,2,FALSE),0),"")))</f>
        <v/>
      </c>
      <c r="BA24" s="495" t="str">
        <f t="shared" si="7"/>
        <v>ü</v>
      </c>
      <c r="BB24" s="495" t="str">
        <f t="shared" si="8"/>
        <v/>
      </c>
      <c r="BC24" s="495" t="str">
        <f t="shared" si="9"/>
        <v/>
      </c>
      <c r="BD24" s="513" t="str">
        <f>Pole_Calc!A$251</f>
        <v>App.8-V08H-P10.3</v>
      </c>
      <c r="BE24" s="429" t="s">
        <v>118</v>
      </c>
      <c r="BF24" s="289"/>
      <c r="BG24" s="289"/>
      <c r="BH24" s="290"/>
      <c r="BI24" s="289"/>
    </row>
    <row r="25" spans="1:61" ht="16.149999999999999" customHeight="1">
      <c r="A25" s="721" t="s">
        <v>724</v>
      </c>
      <c r="B25" s="796"/>
      <c r="C25" s="797"/>
      <c r="D25" s="798"/>
      <c r="E25" s="799"/>
      <c r="F25" s="799"/>
      <c r="G25" s="726">
        <v>47</v>
      </c>
      <c r="H25" s="801"/>
      <c r="I25" s="801"/>
      <c r="J25" s="797"/>
      <c r="K25" s="801"/>
      <c r="L25" s="801"/>
      <c r="M25" s="801" t="str">
        <f>IF(L25="","",
IF(AX25="PT",VLOOKUP(L25,Foundation_Calc!$V$79:$X$113,VLOOKUP(AX25,Foundation_Calc!$I$10:$J$13,2,FALSE),0),
IF(AX25="K",VLOOKUP(L25,Foundation_Calc!$V$117:$X$151,VLOOKUP(AX25,Foundation_Calc!$I$10:$J$13,2,FALSE),0),"")))</f>
        <v/>
      </c>
      <c r="N25" s="801"/>
      <c r="O25" s="801"/>
      <c r="P25" s="801"/>
      <c r="Q25" s="799"/>
      <c r="R25" s="800"/>
      <c r="S25" s="800"/>
      <c r="T25" s="799"/>
      <c r="U25" s="799"/>
      <c r="V25" s="799"/>
      <c r="W25" s="802"/>
      <c r="X25" s="802"/>
      <c r="Y25" s="802"/>
      <c r="Z25" s="802"/>
      <c r="AA25" s="802"/>
      <c r="AB25" s="802"/>
      <c r="AC25" s="801" t="str">
        <f t="shared" si="6"/>
        <v/>
      </c>
      <c r="AD25" s="801"/>
      <c r="AE25" s="801"/>
      <c r="AF25" s="799"/>
      <c r="AG25" s="798"/>
      <c r="AH25" s="799"/>
      <c r="AI25" s="799"/>
      <c r="AJ25" s="801"/>
      <c r="AK25" s="801"/>
      <c r="AL25" s="801"/>
      <c r="AM25" s="801"/>
      <c r="AN25" s="803"/>
      <c r="AO25" s="802"/>
      <c r="AP25" s="802"/>
      <c r="AQ25" s="728">
        <f>+FL_1($T$26,$T$24,$G$25,1200,9.28, 1*$F$26)</f>
        <v>0.26036702232624115</v>
      </c>
      <c r="AR25" s="802"/>
      <c r="AS25" s="802"/>
      <c r="AT25" s="802"/>
      <c r="AU25" s="804"/>
      <c r="AV25" s="804"/>
      <c r="AW25" s="801" t="str">
        <f>IF(C25&gt;0,VLOOKUP(C25,Foundation_Calc!$A$2:$C$13,3,1),
IF(J25&gt;0,VLOOKUP(J25,Foundation_Calc!$A$2:$C$13,3,1),""))</f>
        <v/>
      </c>
      <c r="AX25" s="801" t="str">
        <f>IF(C25&gt;0,VLOOKUP(C25,Foundation_Calc!$E$2:$G$33,3,1),
IF(J25&gt;0,VLOOKUP(J25,Foundation_Calc!$E$2:$G$33,3,1),""))</f>
        <v/>
      </c>
      <c r="AY25" s="803" t="str">
        <f>IF(L25="","",
IF(AX25="PT",VLOOKUP(L25,Foundation_Calc!$K$79:$R$113,VLOOKUP(AW25,Foundation_Calc!$I$2:$J$8,2,FALSE),0),
IF(AX25="K",VLOOKUP(L25,Foundation_Calc!$K$117:$R$151,VLOOKUP(AW25,Foundation_Calc!$I$2:$J$8,2,FALSE),0),"")))</f>
        <v/>
      </c>
      <c r="AZ25" s="803" t="str">
        <f>IF(K25="","",
IF(AX25="PT",VLOOKUP(K25,Foundation_Calc!$K$79:$R$113,VLOOKUP(AW25,Foundation_Calc!$I$2:$J$8,2,FALSE),0),
IF(AX25="K",VLOOKUP(K25,Foundation_Calc!$K$117:$R$151,VLOOKUP(AW25,Foundation_Calc!$I$2:$J$8,2,FALSE),0),"")))</f>
        <v/>
      </c>
      <c r="BA25" s="495" t="str">
        <f t="shared" si="7"/>
        <v/>
      </c>
      <c r="BB25" s="495" t="str">
        <f t="shared" si="8"/>
        <v/>
      </c>
      <c r="BC25" s="495" t="str">
        <f t="shared" si="9"/>
        <v/>
      </c>
      <c r="BD25" s="513" t="str">
        <f>IF(AND(L25="",H25=""),"",
IF(H25="",Pole_Calc!A$9,
IF(H25="MP",Pole_Calc!A$10,
IF(H25="AnMP",Pole_Calc!A$11,
IF(H25="A",Pole_Calc!A$12,
IF(H25="S/A",Pole_Calc!A$13,
IF(H25="A/S",Pole_Calc!A$14,"Poner a mano")))))))</f>
        <v/>
      </c>
      <c r="BE25" s="429" t="s">
        <v>118</v>
      </c>
      <c r="BF25" s="290"/>
      <c r="BG25" s="290"/>
      <c r="BH25" s="290"/>
      <c r="BI25" s="290"/>
    </row>
    <row r="26" spans="1:61" ht="16.149999999999999" customHeight="1">
      <c r="A26" s="514" t="s">
        <v>438</v>
      </c>
      <c r="B26" s="450" t="s">
        <v>1743</v>
      </c>
      <c r="C26" s="3">
        <f>+$C$24+$G$25</f>
        <v>52064.000000000007</v>
      </c>
      <c r="D26" s="83"/>
      <c r="E26" s="4"/>
      <c r="F26" s="4">
        <v>0</v>
      </c>
      <c r="G26" s="6"/>
      <c r="H26" s="449"/>
      <c r="I26" s="449"/>
      <c r="J26" s="3"/>
      <c r="K26" s="449"/>
      <c r="L26" s="449" t="s">
        <v>1740</v>
      </c>
      <c r="M26" s="449" t="str">
        <f>IF(L26="","",
IF(AX26="PT",VLOOKUP(L26,Foundation_Calc!$V$79:$X$113,VLOOKUP(AX26,Foundation_Calc!$I$10:$J$13,2,FALSE),0),
IF(AX26="K",VLOOKUP(L26,Foundation_Calc!$V$117:$X$151,VLOOKUP(AX26,Foundation_Calc!$I$10:$J$13,2,FALSE),0),"")))</f>
        <v>C10R</v>
      </c>
      <c r="N26" s="449" t="s">
        <v>124</v>
      </c>
      <c r="O26" s="449"/>
      <c r="P26" s="449"/>
      <c r="Q26" s="4"/>
      <c r="R26" s="6"/>
      <c r="S26" s="6"/>
      <c r="T26" s="4">
        <v>-20</v>
      </c>
      <c r="U26" s="4"/>
      <c r="V26" s="4"/>
      <c r="W26" s="9">
        <v>1.4</v>
      </c>
      <c r="X26" s="9"/>
      <c r="Y26" s="9"/>
      <c r="Z26" s="9"/>
      <c r="AA26" s="9"/>
      <c r="AB26" s="9"/>
      <c r="AC26" s="449" t="str">
        <f t="shared" si="6"/>
        <v>PH</v>
      </c>
      <c r="AD26" s="449"/>
      <c r="AE26" s="449"/>
      <c r="AF26" s="4"/>
      <c r="AG26" s="83"/>
      <c r="AH26" s="4"/>
      <c r="AI26" s="4"/>
      <c r="AJ26" s="449"/>
      <c r="AK26" s="449"/>
      <c r="AL26" s="449" t="s">
        <v>1741</v>
      </c>
      <c r="AM26" s="449" t="s">
        <v>552</v>
      </c>
      <c r="AN26" s="10">
        <v>5.5</v>
      </c>
      <c r="AO26" s="9"/>
      <c r="AP26" s="9"/>
      <c r="AQ26" s="9"/>
      <c r="AR26" s="9"/>
      <c r="AS26" s="9"/>
      <c r="AT26" s="9">
        <f>+ab($T$26,$T$24,$T$28,$G$25,$G$27, 1*$F$26,1200)</f>
        <v>-11.931257292461789</v>
      </c>
      <c r="AU26" s="428"/>
      <c r="AV26" s="428"/>
      <c r="AW26" s="449" t="str">
        <f>IF(C26&gt;0,VLOOKUP(C26,Foundation_Calc!$A$2:$C$13,3,1),
IF(J26&gt;0,VLOOKUP(J26,Foundation_Calc!$A$2:$C$13,3,1),""))</f>
        <v>Multi Soil</v>
      </c>
      <c r="AX26" s="449" t="str">
        <f>IF(C26&gt;0,VLOOKUP(C26,Foundation_Calc!$E$2:$G$33,3,1),
IF(J26&gt;0,VLOOKUP(J26,Foundation_Calc!$E$2:$G$33,3,1),""))</f>
        <v>PT</v>
      </c>
      <c r="AY26" s="10" t="str">
        <f>IF(L26="","",
IF(AX26="PT",VLOOKUP(L26,Foundation_Calc!$K$79:$R$113,VLOOKUP(AW26,Foundation_Calc!$I$2:$J$8,2,FALSE),0),
IF(AX26="K",VLOOKUP(L26,Foundation_Calc!$K$117:$R$151,VLOOKUP(AW26,Foundation_Calc!$I$2:$J$8,2,FALSE),0),"")))</f>
        <v>N.D.</v>
      </c>
      <c r="AZ26" s="10" t="str">
        <f>IF(K26="","",
IF(AX26="PT",VLOOKUP(K26,Foundation_Calc!$K$79:$R$113,VLOOKUP(AW26,Foundation_Calc!$I$2:$J$8,2,FALSE),0),
IF(AX26="K",VLOOKUP(K26,Foundation_Calc!$K$117:$R$151,VLOOKUP(AW26,Foundation_Calc!$I$2:$J$8,2,FALSE),0),"")))</f>
        <v/>
      </c>
      <c r="BA26" s="495" t="str">
        <f t="shared" si="7"/>
        <v>ü</v>
      </c>
      <c r="BB26" s="495" t="str">
        <f t="shared" si="8"/>
        <v/>
      </c>
      <c r="BC26" s="495" t="str">
        <f t="shared" si="9"/>
        <v/>
      </c>
      <c r="BD26" s="513" t="str">
        <f>Pole_Calc!A$251</f>
        <v>App.8-V08H-P10.3</v>
      </c>
      <c r="BE26" s="429" t="s">
        <v>118</v>
      </c>
      <c r="BF26" s="289"/>
      <c r="BG26" s="289"/>
      <c r="BH26" s="290"/>
      <c r="BI26" s="289"/>
    </row>
    <row r="27" spans="1:61" ht="16.149999999999999" customHeight="1">
      <c r="A27" s="514" t="s">
        <v>413</v>
      </c>
      <c r="B27" s="450"/>
      <c r="C27" s="3"/>
      <c r="D27" s="83"/>
      <c r="E27" s="4"/>
      <c r="F27" s="4"/>
      <c r="G27" s="6">
        <v>54.5</v>
      </c>
      <c r="H27" s="449"/>
      <c r="I27" s="449"/>
      <c r="J27" s="3"/>
      <c r="K27" s="449"/>
      <c r="L27" s="449"/>
      <c r="M27" s="449" t="str">
        <f>IF(L27="","",
IF(AX27="PT",VLOOKUP(L27,Foundation_Calc!$V$79:$X$113,VLOOKUP(AX27,Foundation_Calc!$I$10:$J$13,2,FALSE),0),
IF(AX27="K",VLOOKUP(L27,Foundation_Calc!$V$117:$X$151,VLOOKUP(AX27,Foundation_Calc!$I$10:$J$13,2,FALSE),0),"")))</f>
        <v/>
      </c>
      <c r="N27" s="449"/>
      <c r="O27" s="449"/>
      <c r="P27" s="449"/>
      <c r="Q27" s="4"/>
      <c r="R27" s="6"/>
      <c r="S27" s="6"/>
      <c r="T27" s="4"/>
      <c r="U27" s="4"/>
      <c r="V27" s="4"/>
      <c r="W27" s="9"/>
      <c r="X27" s="9"/>
      <c r="Y27" s="9"/>
      <c r="Z27" s="9"/>
      <c r="AA27" s="9"/>
      <c r="AB27" s="9"/>
      <c r="AC27" s="449" t="str">
        <f t="shared" si="6"/>
        <v/>
      </c>
      <c r="AD27" s="449"/>
      <c r="AE27" s="449"/>
      <c r="AF27" s="4"/>
      <c r="AG27" s="83"/>
      <c r="AH27" s="4"/>
      <c r="AI27" s="4"/>
      <c r="AJ27" s="449"/>
      <c r="AK27" s="449"/>
      <c r="AL27" s="449"/>
      <c r="AM27" s="449"/>
      <c r="AN27" s="10"/>
      <c r="AO27" s="9"/>
      <c r="AP27" s="9"/>
      <c r="AQ27" s="9">
        <f>+FL_1($T$28,$T$26,$G$27,1200,9.28, 1*$F$28)</f>
        <v>0.32195230414678894</v>
      </c>
      <c r="AR27" s="9"/>
      <c r="AS27" s="9"/>
      <c r="AT27" s="9"/>
      <c r="AU27" s="428"/>
      <c r="AV27" s="428"/>
      <c r="AW27" s="449" t="str">
        <f>IF(C27&gt;0,VLOOKUP(C27,Foundation_Calc!$A$2:$C$13,3,1),
IF(J27&gt;0,VLOOKUP(J27,Foundation_Calc!$A$2:$C$13,3,1),""))</f>
        <v/>
      </c>
      <c r="AX27" s="449" t="str">
        <f>IF(C27&gt;0,VLOOKUP(C27,Foundation_Calc!$E$2:$G$33,3,1),
IF(J27&gt;0,VLOOKUP(J27,Foundation_Calc!$E$2:$G$33,3,1),""))</f>
        <v/>
      </c>
      <c r="AY27" s="10" t="str">
        <f>IF(L27="","",
IF(AX27="PT",VLOOKUP(L27,Foundation_Calc!$K$79:$R$113,VLOOKUP(AW27,Foundation_Calc!$I$2:$J$8,2,FALSE),0),
IF(AX27="K",VLOOKUP(L27,Foundation_Calc!$K$117:$R$151,VLOOKUP(AW27,Foundation_Calc!$I$2:$J$8,2,FALSE),0),"")))</f>
        <v/>
      </c>
      <c r="AZ27" s="10" t="str">
        <f>IF(K27="","",
IF(AX27="PT",VLOOKUP(K27,Foundation_Calc!$K$79:$R$113,VLOOKUP(AW27,Foundation_Calc!$I$2:$J$8,2,FALSE),0),
IF(AX27="K",VLOOKUP(K27,Foundation_Calc!$K$117:$R$151,VLOOKUP(AW27,Foundation_Calc!$I$2:$J$8,2,FALSE),0),"")))</f>
        <v/>
      </c>
      <c r="BA27" s="495" t="str">
        <f t="shared" si="7"/>
        <v/>
      </c>
      <c r="BB27" s="495" t="str">
        <f t="shared" si="8"/>
        <v/>
      </c>
      <c r="BC27" s="495" t="str">
        <f t="shared" si="9"/>
        <v/>
      </c>
      <c r="BD27" s="513" t="str">
        <f>IF(AND(L27="",H27=""),"",
IF(H27="",Pole_Calc!A$9,
IF(H27="MP",Pole_Calc!A$10,
IF(H27="AnMP",Pole_Calc!A$11,
IF(H27="A",Pole_Calc!A$12,
IF(H27="S/A",Pole_Calc!A$13,
IF(H27="A/S",Pole_Calc!A$14,"Poner a mano")))))))</f>
        <v/>
      </c>
      <c r="BE27" s="429" t="s">
        <v>118</v>
      </c>
      <c r="BF27" s="290"/>
      <c r="BG27" s="290"/>
      <c r="BH27" s="290"/>
      <c r="BI27" s="290"/>
    </row>
    <row r="28" spans="1:61" ht="16.149999999999999" customHeight="1">
      <c r="A28" s="517" t="s">
        <v>438</v>
      </c>
      <c r="B28" s="450" t="s">
        <v>1744</v>
      </c>
      <c r="C28" s="3">
        <f>+$C$26+$G$27</f>
        <v>52118.500000000007</v>
      </c>
      <c r="D28" s="83"/>
      <c r="E28" s="4"/>
      <c r="F28" s="4">
        <v>0</v>
      </c>
      <c r="G28" s="6"/>
      <c r="H28" s="449"/>
      <c r="I28" s="4"/>
      <c r="J28" s="3"/>
      <c r="K28" s="449"/>
      <c r="L28" s="449" t="s">
        <v>1740</v>
      </c>
      <c r="M28" s="449" t="str">
        <f>IF(L28="","",
IF(AX28="PT",VLOOKUP(L28,Foundation_Calc!$V$79:$X$113,VLOOKUP(AX28,Foundation_Calc!$I$10:$J$13,2,FALSE),0),
IF(AX28="K",VLOOKUP(L28,Foundation_Calc!$V$117:$X$151,VLOOKUP(AX28,Foundation_Calc!$I$10:$J$13,2,FALSE),0),"")))</f>
        <v>C10R</v>
      </c>
      <c r="N28" s="449" t="s">
        <v>134</v>
      </c>
      <c r="O28" s="449"/>
      <c r="P28" s="449"/>
      <c r="Q28" s="4"/>
      <c r="R28" s="6"/>
      <c r="S28" s="6"/>
      <c r="T28" s="4">
        <v>20</v>
      </c>
      <c r="U28" s="4"/>
      <c r="V28" s="4"/>
      <c r="W28" s="9">
        <v>1.4</v>
      </c>
      <c r="X28" s="9"/>
      <c r="Y28" s="9"/>
      <c r="Z28" s="9"/>
      <c r="AA28" s="9"/>
      <c r="AB28" s="9"/>
      <c r="AC28" s="449" t="str">
        <f t="shared" si="6"/>
        <v>PH</v>
      </c>
      <c r="AD28" s="449"/>
      <c r="AE28" s="449"/>
      <c r="AF28" s="4"/>
      <c r="AG28" s="83"/>
      <c r="AH28" s="4"/>
      <c r="AI28" s="4"/>
      <c r="AJ28" s="449"/>
      <c r="AK28" s="449"/>
      <c r="AL28" s="449" t="s">
        <v>1741</v>
      </c>
      <c r="AM28" s="449" t="s">
        <v>552</v>
      </c>
      <c r="AN28" s="10">
        <v>5.5</v>
      </c>
      <c r="AO28" s="9"/>
      <c r="AP28" s="9"/>
      <c r="AQ28" s="9"/>
      <c r="AR28" s="9"/>
      <c r="AS28" s="9"/>
      <c r="AT28" s="9">
        <f>+ab($T$28,$T$26,$T$30,$G$27,$G$29, 1*$F$28,1200)</f>
        <v>11.660794827536824</v>
      </c>
      <c r="AU28" s="428"/>
      <c r="AV28" s="428"/>
      <c r="AW28" s="449" t="str">
        <f>IF(C28&gt;0,VLOOKUP(C28,Foundation_Calc!$A$2:$C$13,3,1),
IF(J28&gt;0,VLOOKUP(J28,Foundation_Calc!$A$2:$C$13,3,1),""))</f>
        <v>Multi Soil</v>
      </c>
      <c r="AX28" s="449" t="str">
        <f>IF(C28&gt;0,VLOOKUP(C28,Foundation_Calc!$E$2:$G$33,3,1),
IF(J28&gt;0,VLOOKUP(J28,Foundation_Calc!$E$2:$G$33,3,1),""))</f>
        <v>PT</v>
      </c>
      <c r="AY28" s="10" t="str">
        <f>IF(L28="","",
IF(AX28="PT",VLOOKUP(L28,Foundation_Calc!$K$79:$R$113,VLOOKUP(AW28,Foundation_Calc!$I$2:$J$8,2,FALSE),0),
IF(AX28="K",VLOOKUP(L28,Foundation_Calc!$K$117:$R$151,VLOOKUP(AW28,Foundation_Calc!$I$2:$J$8,2,FALSE),0),"")))</f>
        <v>N.D.</v>
      </c>
      <c r="AZ28" s="10" t="str">
        <f>IF(K28="","",
IF(AX28="PT",VLOOKUP(K28,Foundation_Calc!$K$79:$R$113,VLOOKUP(AW28,Foundation_Calc!$I$2:$J$8,2,FALSE),0),
IF(AX28="K",VLOOKUP(K28,Foundation_Calc!$K$117:$R$151,VLOOKUP(AW28,Foundation_Calc!$I$2:$J$8,2,FALSE),0),"")))</f>
        <v/>
      </c>
      <c r="BA28" s="495" t="str">
        <f t="shared" si="7"/>
        <v>ü</v>
      </c>
      <c r="BB28" s="495" t="str">
        <f t="shared" si="8"/>
        <v/>
      </c>
      <c r="BC28" s="495" t="str">
        <f t="shared" si="9"/>
        <v/>
      </c>
      <c r="BD28" s="513" t="str">
        <f>Pole_Calc!A$251</f>
        <v>App.8-V08H-P10.3</v>
      </c>
      <c r="BE28" s="429" t="s">
        <v>118</v>
      </c>
      <c r="BF28" s="289"/>
      <c r="BG28" s="289"/>
      <c r="BH28" s="290"/>
      <c r="BI28" s="289"/>
    </row>
    <row r="29" spans="1:61" ht="16.149999999999999" customHeight="1">
      <c r="A29" s="517" t="s">
        <v>438</v>
      </c>
      <c r="B29" s="450"/>
      <c r="C29" s="3"/>
      <c r="D29" s="83"/>
      <c r="E29" s="4"/>
      <c r="F29" s="4"/>
      <c r="G29" s="6">
        <v>45</v>
      </c>
      <c r="H29" s="449"/>
      <c r="I29" s="4"/>
      <c r="J29" s="3"/>
      <c r="K29" s="449"/>
      <c r="L29" s="449"/>
      <c r="M29" s="449" t="str">
        <f>IF(L29="","",
IF(AX29="PT",VLOOKUP(L29,Foundation_Calc!$V$79:$X$113,VLOOKUP(AX29,Foundation_Calc!$I$10:$J$13,2,FALSE),0),
IF(AX29="K",VLOOKUP(L29,Foundation_Calc!$V$117:$X$151,VLOOKUP(AX29,Foundation_Calc!$I$10:$J$13,2,FALSE),0),"")))</f>
        <v/>
      </c>
      <c r="N29" s="449"/>
      <c r="O29" s="449"/>
      <c r="P29" s="449"/>
      <c r="Q29" s="4"/>
      <c r="R29" s="6"/>
      <c r="S29" s="6"/>
      <c r="T29" s="4"/>
      <c r="U29" s="4"/>
      <c r="V29" s="4"/>
      <c r="W29" s="9"/>
      <c r="X29" s="9"/>
      <c r="Y29" s="9"/>
      <c r="Z29" s="9"/>
      <c r="AA29" s="9"/>
      <c r="AB29" s="9"/>
      <c r="AC29" s="449" t="str">
        <f t="shared" si="6"/>
        <v/>
      </c>
      <c r="AD29" s="449"/>
      <c r="AE29" s="449"/>
      <c r="AF29" s="4"/>
      <c r="AG29" s="83"/>
      <c r="AH29" s="4"/>
      <c r="AI29" s="4"/>
      <c r="AJ29" s="449"/>
      <c r="AK29" s="449"/>
      <c r="AL29" s="449"/>
      <c r="AM29" s="449"/>
      <c r="AN29" s="10"/>
      <c r="AO29" s="9"/>
      <c r="AP29" s="9"/>
      <c r="AQ29" s="9">
        <f>+FL_2($T$30,$T$28,$G$29,1200,9.28, 1*$F$30)</f>
        <v>-0.24683556133333334</v>
      </c>
      <c r="AR29" s="9"/>
      <c r="AS29" s="9"/>
      <c r="AT29" s="9"/>
      <c r="AU29" s="428"/>
      <c r="AV29" s="428"/>
      <c r="AW29" s="449" t="str">
        <f>IF(C29&gt;0,VLOOKUP(C29,Foundation_Calc!$A$2:$C$13,3,1),
IF(J29&gt;0,VLOOKUP(J29,Foundation_Calc!$A$2:$C$13,3,1),""))</f>
        <v/>
      </c>
      <c r="AX29" s="449" t="str">
        <f>IF(C29&gt;0,VLOOKUP(C29,Foundation_Calc!$E$2:$G$33,3,1),
IF(J29&gt;0,VLOOKUP(J29,Foundation_Calc!$E$2:$G$33,3,1),""))</f>
        <v/>
      </c>
      <c r="AY29" s="10" t="str">
        <f>IF(L29="","",
IF(AX29="PT",VLOOKUP(L29,Foundation_Calc!$K$79:$R$113,VLOOKUP(AW29,Foundation_Calc!$I$2:$J$8,2,FALSE),0),
IF(AX29="K",VLOOKUP(L29,Foundation_Calc!$K$117:$R$151,VLOOKUP(AW29,Foundation_Calc!$I$2:$J$8,2,FALSE),0),"")))</f>
        <v/>
      </c>
      <c r="AZ29" s="10" t="str">
        <f>IF(K29="","",
IF(AX29="PT",VLOOKUP(K29,Foundation_Calc!$K$79:$R$113,VLOOKUP(AW29,Foundation_Calc!$I$2:$J$8,2,FALSE),0),
IF(AX29="K",VLOOKUP(K29,Foundation_Calc!$K$117:$R$151,VLOOKUP(AW29,Foundation_Calc!$I$2:$J$8,2,FALSE),0),"")))</f>
        <v/>
      </c>
      <c r="BA29" s="495" t="str">
        <f t="shared" si="7"/>
        <v/>
      </c>
      <c r="BB29" s="495" t="str">
        <f t="shared" si="8"/>
        <v/>
      </c>
      <c r="BC29" s="495" t="str">
        <f t="shared" si="9"/>
        <v/>
      </c>
      <c r="BD29" s="513" t="str">
        <f>IF(AND(L29="",H29=""),"",
IF(H29="",Pole_Calc!A$9,
IF(H29="MP",Pole_Calc!A$10,
IF(H29="AnMP",Pole_Calc!A$11,
IF(H29="A",Pole_Calc!A$12,
IF(H29="S/A",Pole_Calc!A$13,
IF(H29="A/S",Pole_Calc!A$14,"Poner a mano")))))))</f>
        <v/>
      </c>
      <c r="BE29" s="429" t="s">
        <v>118</v>
      </c>
      <c r="BF29" s="290"/>
      <c r="BG29" s="290"/>
      <c r="BH29" s="290"/>
      <c r="BI29" s="290"/>
    </row>
    <row r="30" spans="1:61" ht="16.149999999999999" customHeight="1">
      <c r="A30" s="517" t="s">
        <v>438</v>
      </c>
      <c r="B30" s="450" t="s">
        <v>1745</v>
      </c>
      <c r="C30" s="3">
        <f>+$C$28+$G$29</f>
        <v>52163.500000000007</v>
      </c>
      <c r="D30" s="83"/>
      <c r="E30" s="4"/>
      <c r="F30" s="4">
        <v>0</v>
      </c>
      <c r="G30" s="6"/>
      <c r="H30" s="449" t="s">
        <v>460</v>
      </c>
      <c r="I30" s="4"/>
      <c r="J30" s="3"/>
      <c r="K30" s="449"/>
      <c r="L30" s="449" t="s">
        <v>247</v>
      </c>
      <c r="M30" s="449" t="str">
        <f>IF(L30="","",
IF(AX30="PT",VLOOKUP(L30,Foundation_Calc!$V$79:$X$113,VLOOKUP(AX30,Foundation_Calc!$I$10:$J$13,2,FALSE),0),
IF(AX30="K",VLOOKUP(L30,Foundation_Calc!$V$117:$X$151,VLOOKUP(AX30,Foundation_Calc!$I$10:$J$13,2,FALSE),0),"")))</f>
        <v>C12R</v>
      </c>
      <c r="N30" s="449" t="s">
        <v>124</v>
      </c>
      <c r="O30" s="449"/>
      <c r="P30" s="449"/>
      <c r="Q30" s="4"/>
      <c r="R30" s="6"/>
      <c r="S30" s="6"/>
      <c r="T30" s="4">
        <v>-20</v>
      </c>
      <c r="U30" s="4"/>
      <c r="V30" s="4"/>
      <c r="W30" s="9">
        <v>1.4</v>
      </c>
      <c r="X30" s="9"/>
      <c r="Y30" s="9"/>
      <c r="Z30" s="9"/>
      <c r="AA30" s="9"/>
      <c r="AB30" s="9"/>
      <c r="AC30" s="449" t="str">
        <f t="shared" si="6"/>
        <v>PH</v>
      </c>
      <c r="AD30" s="449"/>
      <c r="AE30" s="449"/>
      <c r="AF30" s="4"/>
      <c r="AG30" s="83"/>
      <c r="AH30" s="4"/>
      <c r="AI30" s="4"/>
      <c r="AJ30" s="449"/>
      <c r="AK30" s="449"/>
      <c r="AL30" s="449" t="s">
        <v>252</v>
      </c>
      <c r="AM30" s="449" t="s">
        <v>552</v>
      </c>
      <c r="AN30" s="10">
        <v>5.5</v>
      </c>
      <c r="AO30" s="9"/>
      <c r="AP30" s="9"/>
      <c r="AQ30" s="9"/>
      <c r="AR30" s="9"/>
      <c r="AS30" s="9"/>
      <c r="AT30" s="9">
        <f>+ab($T$30,$T$28,$T$32,$G$29,$G$31, 1*$F$30,1200)</f>
        <v>-20.645515805138622</v>
      </c>
      <c r="AU30" s="428"/>
      <c r="AV30" s="428"/>
      <c r="AW30" s="449" t="str">
        <f>IF(C30&gt;0,VLOOKUP(C30,Foundation_Calc!$A$2:$C$13,3,1),
IF(J30&gt;0,VLOOKUP(J30,Foundation_Calc!$A$2:$C$13,3,1),""))</f>
        <v>Multi Soil</v>
      </c>
      <c r="AX30" s="449" t="str">
        <f>IF(C30&gt;0,VLOOKUP(C30,Foundation_Calc!$E$2:$G$33,3,1),
IF(J30&gt;0,VLOOKUP(J30,Foundation_Calc!$E$2:$G$33,3,1),""))</f>
        <v>PT</v>
      </c>
      <c r="AY30" s="10">
        <f>IF(L30="","",
IF(AX30="PT",VLOOKUP(L30,Foundation_Calc!$K$79:$R$113,VLOOKUP(AW30,Foundation_Calc!$I$2:$J$8,2,FALSE),0),
IF(AX30="K",VLOOKUP(L30,Foundation_Calc!$K$117:$R$151,VLOOKUP(AW30,Foundation_Calc!$I$2:$J$8,2,FALSE),0),"")))</f>
        <v>6.2</v>
      </c>
      <c r="AZ30" s="10" t="str">
        <f>IF(K30="","",
IF(AX30="PT",VLOOKUP(K30,Foundation_Calc!$K$79:$R$113,VLOOKUP(AW30,Foundation_Calc!$I$2:$J$8,2,FALSE),0),
IF(AX30="K",VLOOKUP(K30,Foundation_Calc!$K$117:$R$151,VLOOKUP(AW30,Foundation_Calc!$I$2:$J$8,2,FALSE),0),"")))</f>
        <v/>
      </c>
      <c r="BA30" s="495" t="str">
        <f t="shared" si="7"/>
        <v>ü</v>
      </c>
      <c r="BB30" s="495" t="str">
        <f t="shared" si="8"/>
        <v/>
      </c>
      <c r="BC30" s="495" t="str">
        <f t="shared" si="9"/>
        <v/>
      </c>
      <c r="BD30" s="513" t="str">
        <f>Pole_Calc!A$289</f>
        <v>App.8-V08H-P10.3.2</v>
      </c>
      <c r="BE30" s="429" t="s">
        <v>118</v>
      </c>
      <c r="BF30" s="289"/>
      <c r="BG30" s="289"/>
      <c r="BH30" s="290"/>
      <c r="BI30" s="289"/>
    </row>
    <row r="31" spans="1:61" ht="16.149999999999999" customHeight="1">
      <c r="A31" s="517" t="s">
        <v>438</v>
      </c>
      <c r="B31" s="450"/>
      <c r="C31" s="3"/>
      <c r="D31" s="83"/>
      <c r="E31" s="4"/>
      <c r="F31" s="4"/>
      <c r="G31" s="6">
        <v>45</v>
      </c>
      <c r="H31" s="449"/>
      <c r="I31" s="4">
        <f>SUM(G7:G31)</f>
        <v>555</v>
      </c>
      <c r="J31" s="3">
        <f>C32-7.5</f>
        <v>52201.000000000007</v>
      </c>
      <c r="K31" s="449" t="s">
        <v>166</v>
      </c>
      <c r="L31" s="449"/>
      <c r="M31" s="449" t="str">
        <f>IF(L31="","",
IF(AX31="PT",VLOOKUP(L31,Foundation_Calc!$V$79:$X$113,VLOOKUP(AX31,Foundation_Calc!$I$10:$J$13,2,FALSE),0),
IF(AX31="K",VLOOKUP(L31,Foundation_Calc!$V$117:$X$151,VLOOKUP(AX31,Foundation_Calc!$I$10:$J$13,2,FALSE),0),"")))</f>
        <v/>
      </c>
      <c r="N31" s="449"/>
      <c r="O31" s="449"/>
      <c r="P31" s="449"/>
      <c r="Q31" s="4"/>
      <c r="R31" s="6"/>
      <c r="S31" s="6"/>
      <c r="T31" s="4"/>
      <c r="U31" s="4"/>
      <c r="V31" s="4"/>
      <c r="W31" s="9"/>
      <c r="X31" s="9"/>
      <c r="Y31" s="9"/>
      <c r="Z31" s="9"/>
      <c r="AA31" s="9"/>
      <c r="AB31" s="9"/>
      <c r="AC31" s="449" t="str">
        <f t="shared" si="6"/>
        <v/>
      </c>
      <c r="AD31" s="449"/>
      <c r="AE31" s="449"/>
      <c r="AF31" s="4"/>
      <c r="AG31" s="83"/>
      <c r="AH31" s="4"/>
      <c r="AI31" s="4"/>
      <c r="AJ31" s="449"/>
      <c r="AK31" s="449"/>
      <c r="AL31" s="449"/>
      <c r="AM31" s="449"/>
      <c r="AN31" s="10"/>
      <c r="AO31" s="9"/>
      <c r="AP31" s="9"/>
      <c r="AQ31" s="9">
        <f>+FL_2($T$32,$T$30,$G$31,1200,9.28, 1*$F$32)</f>
        <v>-0.39574999999999999</v>
      </c>
      <c r="AR31" s="9"/>
      <c r="AS31" s="9"/>
      <c r="AT31" s="9"/>
      <c r="AU31" s="428"/>
      <c r="AV31" s="428"/>
      <c r="AW31" s="449" t="str">
        <f>IF(C31&gt;0,VLOOKUP(C31,Foundation_Calc!$A$2:$C$13,3,1),
IF(J31&gt;0,VLOOKUP(J31,Foundation_Calc!$A$2:$C$13,3,1),""))</f>
        <v>Multi Soil</v>
      </c>
      <c r="AX31" s="449" t="str">
        <f>IF(C31&gt;0,VLOOKUP(C31,Foundation_Calc!$E$2:$G$33,3,1),
IF(J31&gt;0,VLOOKUP(J31,Foundation_Calc!$E$2:$G$33,3,1),""))</f>
        <v>PT</v>
      </c>
      <c r="AY31" s="10" t="str">
        <f>IF(L31="","",
IF(AX31="PT",VLOOKUP(L31,Foundation_Calc!$K$79:$R$113,VLOOKUP(AW31,Foundation_Calc!$I$2:$J$8,2,FALSE),0),
IF(AX31="K",VLOOKUP(L31,Foundation_Calc!$K$117:$R$151,VLOOKUP(AW31,Foundation_Calc!$I$2:$J$8,2,FALSE),0),"")))</f>
        <v/>
      </c>
      <c r="AZ31" s="10">
        <f>IF(K31="","",
IF(AX31="PT",VLOOKUP(K31,Foundation_Calc!$K$79:$R$113,VLOOKUP(AW31,Foundation_Calc!$I$2:$J$8,2,FALSE),0),
IF(AX31="K",VLOOKUP(K31,Foundation_Calc!$K$117:$R$151,VLOOKUP(AW31,Foundation_Calc!$I$2:$J$8,2,FALSE),0),"")))</f>
        <v>2.8</v>
      </c>
      <c r="BA31" s="495" t="str">
        <f t="shared" si="7"/>
        <v/>
      </c>
      <c r="BB31" s="495" t="str">
        <f t="shared" si="8"/>
        <v>ü</v>
      </c>
      <c r="BC31" s="495" t="str">
        <f t="shared" si="9"/>
        <v/>
      </c>
      <c r="BD31" s="513" t="str">
        <f>IF(AND(L31="",H31=""),"",
IF(H31="",Pole_Calc!A$9,
IF(H31="MP",Pole_Calc!A$10,
IF(H31="AnMP",Pole_Calc!A$11,
IF(H31="A",Pole_Calc!A$12,
IF(H31="S/A",Pole_Calc!A$13,
IF(H31="A/S",Pole_Calc!A$14,"Poner a mano")))))))</f>
        <v/>
      </c>
      <c r="BE31" s="429" t="s">
        <v>118</v>
      </c>
      <c r="BF31" s="290"/>
      <c r="BG31" s="290"/>
      <c r="BH31" s="290"/>
      <c r="BI31" s="290"/>
    </row>
    <row r="32" spans="1:61" ht="16.149999999999999" customHeight="1">
      <c r="A32" s="517" t="s">
        <v>438</v>
      </c>
      <c r="B32" s="450" t="s">
        <v>1746</v>
      </c>
      <c r="C32" s="3">
        <f>+$C$30+$G$31</f>
        <v>52208.500000000007</v>
      </c>
      <c r="D32" s="83"/>
      <c r="E32" s="4"/>
      <c r="F32" s="4">
        <v>0</v>
      </c>
      <c r="G32" s="6"/>
      <c r="H32" s="449" t="s">
        <v>171</v>
      </c>
      <c r="I32" s="4"/>
      <c r="J32" s="3"/>
      <c r="K32" s="449"/>
      <c r="L32" s="449" t="s">
        <v>250</v>
      </c>
      <c r="M32" s="449" t="str">
        <f>IF(L32="","",
IF(AX32="PT",VLOOKUP(L32,Foundation_Calc!$V$79:$X$113,VLOOKUP(AX32,Foundation_Calc!$I$10:$J$13,2,FALSE),0),
IF(AX32="K",VLOOKUP(L32,Foundation_Calc!$V$117:$X$151,VLOOKUP(AX32,Foundation_Calc!$I$10:$J$13,2,FALSE),0),"")))</f>
        <v>2C4R</v>
      </c>
      <c r="N32" s="449" t="s">
        <v>124</v>
      </c>
      <c r="O32" s="449"/>
      <c r="P32" s="449"/>
      <c r="Q32" s="4"/>
      <c r="R32" s="6"/>
      <c r="S32" s="6"/>
      <c r="T32" s="4">
        <v>-20</v>
      </c>
      <c r="U32" s="4"/>
      <c r="V32" s="4"/>
      <c r="W32" s="9">
        <v>1.4</v>
      </c>
      <c r="X32" s="9"/>
      <c r="Y32" s="9"/>
      <c r="Z32" s="9"/>
      <c r="AA32" s="9"/>
      <c r="AB32" s="9"/>
      <c r="AC32" s="449" t="str">
        <f t="shared" si="6"/>
        <v>PH</v>
      </c>
      <c r="AD32" s="449"/>
      <c r="AE32" s="449"/>
      <c r="AF32" s="4"/>
      <c r="AG32" s="83"/>
      <c r="AH32" s="4"/>
      <c r="AI32" s="4"/>
      <c r="AJ32" s="449"/>
      <c r="AK32" s="449"/>
      <c r="AL32" s="449" t="s">
        <v>252</v>
      </c>
      <c r="AM32" s="449" t="s">
        <v>552</v>
      </c>
      <c r="AN32" s="10">
        <v>5.5</v>
      </c>
      <c r="AO32" s="9"/>
      <c r="AP32" s="9"/>
      <c r="AQ32" s="9"/>
      <c r="AR32" s="9"/>
      <c r="AS32" s="9"/>
      <c r="AT32" s="9">
        <f>+ab($T$32,$T$30,$T$34,$G$31,$G$33, 1*$F$32,1200)</f>
        <v>-15.356644912642262</v>
      </c>
      <c r="AU32" s="428"/>
      <c r="AV32" s="428"/>
      <c r="AW32" s="449" t="str">
        <f>IF(C32&gt;0,VLOOKUP(C32,Foundation_Calc!$A$2:$C$13,3,1),
IF(J32&gt;0,VLOOKUP(J32,Foundation_Calc!$A$2:$C$13,3,1),""))</f>
        <v>Multi Soil</v>
      </c>
      <c r="AX32" s="449" t="str">
        <f>IF(C32&gt;0,VLOOKUP(C32,Foundation_Calc!$E$2:$G$33,3,1),
IF(J32&gt;0,VLOOKUP(J32,Foundation_Calc!$E$2:$G$33,3,1),""))</f>
        <v>PT</v>
      </c>
      <c r="AY32" s="10">
        <f>IF(L32="","",
IF(AX32="PT",VLOOKUP(L32,Foundation_Calc!$K$79:$R$113,VLOOKUP(AW32,Foundation_Calc!$I$2:$J$8,2,FALSE),0),
IF(AX32="K",VLOOKUP(L32,Foundation_Calc!$K$117:$R$151,VLOOKUP(AW32,Foundation_Calc!$I$2:$J$8,2,FALSE),0),"")))</f>
        <v>5.6</v>
      </c>
      <c r="AZ32" s="10" t="str">
        <f>IF(K32="","",
IF(AX32="PT",VLOOKUP(K32,Foundation_Calc!$K$79:$R$113,VLOOKUP(AW32,Foundation_Calc!$I$2:$J$8,2,FALSE),0),
IF(AX32="K",VLOOKUP(K32,Foundation_Calc!$K$117:$R$151,VLOOKUP(AW32,Foundation_Calc!$I$2:$J$8,2,FALSE),0),"")))</f>
        <v/>
      </c>
      <c r="BA32" s="495" t="str">
        <f t="shared" si="3"/>
        <v>ü</v>
      </c>
      <c r="BB32" s="495" t="str">
        <f t="shared" si="4"/>
        <v/>
      </c>
      <c r="BC32" s="495" t="str">
        <f t="shared" si="5"/>
        <v/>
      </c>
      <c r="BD32" s="513" t="str">
        <f>Pole_Calc!A$251</f>
        <v>App.8-V08H-P10.3</v>
      </c>
      <c r="BE32" s="429" t="s">
        <v>118</v>
      </c>
      <c r="BF32" s="289"/>
      <c r="BG32" s="289"/>
      <c r="BH32" s="290"/>
      <c r="BI32" s="289"/>
    </row>
    <row r="33" spans="1:61" ht="16.149999999999999" customHeight="1">
      <c r="A33" s="517" t="s">
        <v>438</v>
      </c>
      <c r="B33" s="450"/>
      <c r="C33" s="3"/>
      <c r="D33" s="83"/>
      <c r="E33" s="4"/>
      <c r="F33" s="4"/>
      <c r="G33" s="6">
        <v>41</v>
      </c>
      <c r="H33" s="449"/>
      <c r="I33" s="4">
        <f>SUM(G33:G61)</f>
        <v>562.9</v>
      </c>
      <c r="J33" s="3"/>
      <c r="K33" s="449"/>
      <c r="L33" s="449"/>
      <c r="M33" s="449" t="str">
        <f>IF(L33="","",
IF(AX33="PT",VLOOKUP(L33,Foundation_Calc!$V$79:$X$113,VLOOKUP(AX33,Foundation_Calc!$I$10:$J$13,2,FALSE),0),
IF(AX33="K",VLOOKUP(L33,Foundation_Calc!$V$117:$X$151,VLOOKUP(AX33,Foundation_Calc!$I$10:$J$13,2,FALSE),0),"")))</f>
        <v/>
      </c>
      <c r="N33" s="449"/>
      <c r="O33" s="449"/>
      <c r="P33" s="449"/>
      <c r="Q33" s="4"/>
      <c r="R33" s="6"/>
      <c r="S33" s="6"/>
      <c r="T33" s="4"/>
      <c r="U33" s="4"/>
      <c r="V33" s="4"/>
      <c r="W33" s="9"/>
      <c r="X33" s="9"/>
      <c r="Y33" s="9"/>
      <c r="Z33" s="9"/>
      <c r="AA33" s="9"/>
      <c r="AB33" s="9"/>
      <c r="AC33" s="449" t="str">
        <f t="shared" si="6"/>
        <v/>
      </c>
      <c r="AD33" s="449"/>
      <c r="AE33" s="449"/>
      <c r="AF33" s="4"/>
      <c r="AG33" s="83"/>
      <c r="AH33" s="4"/>
      <c r="AI33" s="4"/>
      <c r="AJ33" s="449"/>
      <c r="AK33" s="449"/>
      <c r="AL33" s="449"/>
      <c r="AM33" s="449"/>
      <c r="AN33" s="10"/>
      <c r="AO33" s="9"/>
      <c r="AP33" s="9"/>
      <c r="AQ33" s="9">
        <f>+FL_2($T$34,$T$32,$G$33,1200,9.28,-1*$F$34)</f>
        <v>-0.20865248517073171</v>
      </c>
      <c r="AR33" s="9"/>
      <c r="AS33" s="9"/>
      <c r="AT33" s="9"/>
      <c r="AU33" s="428"/>
      <c r="AV33" s="428"/>
      <c r="AW33" s="449" t="str">
        <f>IF(C33&gt;0,VLOOKUP(C33,Foundation_Calc!$A$2:$C$13,3,1),
IF(J33&gt;0,VLOOKUP(J33,Foundation_Calc!$A$2:$C$13,3,1),""))</f>
        <v/>
      </c>
      <c r="AX33" s="449" t="str">
        <f>IF(C33&gt;0,VLOOKUP(C33,Foundation_Calc!$E$2:$G$33,3,1),
IF(J33&gt;0,VLOOKUP(J33,Foundation_Calc!$E$2:$G$33,3,1),""))</f>
        <v/>
      </c>
      <c r="AY33" s="10" t="str">
        <f>IF(L33="","",
IF(AX33="PT",VLOOKUP(L33,Foundation_Calc!$K$79:$R$113,VLOOKUP(AW33,Foundation_Calc!$I$2:$J$8,2,FALSE),0),
IF(AX33="K",VLOOKUP(L33,Foundation_Calc!$K$117:$R$151,VLOOKUP(AW33,Foundation_Calc!$I$2:$J$8,2,FALSE),0),"")))</f>
        <v/>
      </c>
      <c r="AZ33" s="10" t="str">
        <f>IF(K33="","",
IF(AX33="PT",VLOOKUP(K33,Foundation_Calc!$K$79:$R$113,VLOOKUP(AW33,Foundation_Calc!$I$2:$J$8,2,FALSE),0),
IF(AX33="K",VLOOKUP(K33,Foundation_Calc!$K$117:$R$151,VLOOKUP(AW33,Foundation_Calc!$I$2:$J$8,2,FALSE),0),"")))</f>
        <v/>
      </c>
      <c r="BA33" s="495" t="str">
        <f t="shared" si="3"/>
        <v/>
      </c>
      <c r="BB33" s="495" t="str">
        <f t="shared" si="4"/>
        <v/>
      </c>
      <c r="BC33" s="495" t="str">
        <f t="shared" si="5"/>
        <v/>
      </c>
      <c r="BD33" s="513" t="str">
        <f>IF(AND(L33="",H33=""),"",
IF(H33="",Pole_Calc!A$9,
IF(H33="MP",Pole_Calc!A$10,
IF(H33="AnMP",Pole_Calc!A$11,
IF(H33="A",Pole_Calc!A$12,
IF(H33="S/A",Pole_Calc!A$13,
IF(H33="A/S",Pole_Calc!A$14,"Poner a mano")))))))</f>
        <v/>
      </c>
      <c r="BE33" s="429" t="s">
        <v>118</v>
      </c>
      <c r="BF33" s="290"/>
      <c r="BG33" s="290"/>
      <c r="BH33" s="290"/>
      <c r="BI33" s="290"/>
    </row>
    <row r="34" spans="1:61" ht="16.149999999999999" customHeight="1">
      <c r="A34" s="517" t="s">
        <v>438</v>
      </c>
      <c r="B34" s="450" t="s">
        <v>1747</v>
      </c>
      <c r="C34" s="3">
        <f>+$C$32+$G$33</f>
        <v>52249.500000000007</v>
      </c>
      <c r="D34" s="83"/>
      <c r="E34" s="4"/>
      <c r="F34" s="4">
        <v>0</v>
      </c>
      <c r="G34" s="6"/>
      <c r="H34" s="449" t="s">
        <v>849</v>
      </c>
      <c r="I34" s="4" t="s">
        <v>162</v>
      </c>
      <c r="J34" s="3"/>
      <c r="K34" s="449"/>
      <c r="L34" s="449" t="s">
        <v>247</v>
      </c>
      <c r="M34" s="449" t="str">
        <f>IF(L34="","",
IF(AX34="PT",VLOOKUP(L34,Foundation_Calc!$V$79:$X$113,VLOOKUP(AX34,Foundation_Calc!$I$10:$J$13,2,FALSE),0),
IF(AX34="K",VLOOKUP(L34,Foundation_Calc!$V$117:$X$151,VLOOKUP(AX34,Foundation_Calc!$I$10:$J$13,2,FALSE),0),"")))</f>
        <v>C12R</v>
      </c>
      <c r="N34" s="449" t="s">
        <v>134</v>
      </c>
      <c r="O34" s="449"/>
      <c r="P34" s="449"/>
      <c r="Q34" s="4"/>
      <c r="R34" s="6"/>
      <c r="S34" s="6"/>
      <c r="T34" s="4">
        <v>30</v>
      </c>
      <c r="U34" s="4"/>
      <c r="V34" s="4"/>
      <c r="W34" s="9">
        <v>1.4</v>
      </c>
      <c r="X34" s="9"/>
      <c r="Y34" s="9"/>
      <c r="Z34" s="9"/>
      <c r="AA34" s="9"/>
      <c r="AB34" s="9"/>
      <c r="AC34" s="449" t="str">
        <f t="shared" si="6"/>
        <v>PH</v>
      </c>
      <c r="AD34" s="449"/>
      <c r="AE34" s="449"/>
      <c r="AF34" s="4"/>
      <c r="AG34" s="83"/>
      <c r="AH34" s="4"/>
      <c r="AI34" s="4"/>
      <c r="AJ34" s="449"/>
      <c r="AK34" s="449"/>
      <c r="AL34" s="449" t="s">
        <v>252</v>
      </c>
      <c r="AM34" s="449" t="s">
        <v>552</v>
      </c>
      <c r="AN34" s="10">
        <v>5.5</v>
      </c>
      <c r="AO34" s="9"/>
      <c r="AP34" s="9"/>
      <c r="AQ34" s="9"/>
      <c r="AR34" s="9"/>
      <c r="AS34" s="9"/>
      <c r="AT34" s="9">
        <f>+ab($T$34,$T$32,$T$36,$G$33,$G$35,-1*$F$34,1200)</f>
        <v>9.4783556593145057</v>
      </c>
      <c r="AU34" s="428"/>
      <c r="AV34" s="428"/>
      <c r="AW34" s="449" t="str">
        <f>IF(C34&gt;0,VLOOKUP(C34,Foundation_Calc!$A$2:$C$13,3,1),
IF(J34&gt;0,VLOOKUP(J34,Foundation_Calc!$A$2:$C$13,3,1),""))</f>
        <v>Multi Soil</v>
      </c>
      <c r="AX34" s="449" t="str">
        <f>IF(C34&gt;0,VLOOKUP(C34,Foundation_Calc!$E$2:$G$33,3,1),
IF(J34&gt;0,VLOOKUP(J34,Foundation_Calc!$E$2:$G$33,3,1),""))</f>
        <v>PT</v>
      </c>
      <c r="AY34" s="10">
        <f>IF(L34="","",
IF(AX34="PT",VLOOKUP(L34,Foundation_Calc!$K$79:$R$113,VLOOKUP(AW34,Foundation_Calc!$I$2:$J$8,2,FALSE),0),
IF(AX34="K",VLOOKUP(L34,Foundation_Calc!$K$117:$R$151,VLOOKUP(AW34,Foundation_Calc!$I$2:$J$8,2,FALSE),0),"")))</f>
        <v>6.2</v>
      </c>
      <c r="AZ34" s="10" t="str">
        <f>IF(K34="","",
IF(AX34="PT",VLOOKUP(K34,Foundation_Calc!$K$79:$R$113,VLOOKUP(AW34,Foundation_Calc!$I$2:$J$8,2,FALSE),0),
IF(AX34="K",VLOOKUP(K34,Foundation_Calc!$K$117:$R$151,VLOOKUP(AW34,Foundation_Calc!$I$2:$J$8,2,FALSE),0),"")))</f>
        <v/>
      </c>
      <c r="BA34" s="495" t="str">
        <f t="shared" si="3"/>
        <v>ü</v>
      </c>
      <c r="BB34" s="495" t="str">
        <f t="shared" si="4"/>
        <v/>
      </c>
      <c r="BC34" s="495" t="str">
        <f t="shared" si="5"/>
        <v/>
      </c>
      <c r="BD34" s="513" t="str">
        <f>Pole_Calc!A$289</f>
        <v>App.8-V08H-P10.3.2</v>
      </c>
      <c r="BE34" s="429" t="s">
        <v>118</v>
      </c>
      <c r="BF34" s="289"/>
      <c r="BG34" s="289"/>
      <c r="BH34" s="290"/>
      <c r="BI34" s="289"/>
    </row>
    <row r="35" spans="1:61" ht="16.149999999999999" customHeight="1">
      <c r="A35" s="514" t="s">
        <v>438</v>
      </c>
      <c r="B35" s="450"/>
      <c r="C35" s="3"/>
      <c r="D35" s="83"/>
      <c r="E35" s="4"/>
      <c r="F35" s="4"/>
      <c r="G35" s="6">
        <v>44.5</v>
      </c>
      <c r="H35" s="449"/>
      <c r="I35" s="4" t="s">
        <v>549</v>
      </c>
      <c r="J35" s="3"/>
      <c r="K35" s="449"/>
      <c r="L35" s="449"/>
      <c r="M35" s="449" t="str">
        <f>IF(L35="","",
IF(AX35="PT",VLOOKUP(L35,Foundation_Calc!$V$79:$X$113,VLOOKUP(AX35,Foundation_Calc!$I$10:$J$13,2,FALSE),0),
IF(AX35="K",VLOOKUP(L35,Foundation_Calc!$V$117:$X$151,VLOOKUP(AX35,Foundation_Calc!$I$10:$J$13,2,FALSE),0),"")))</f>
        <v/>
      </c>
      <c r="N35" s="449"/>
      <c r="O35" s="449"/>
      <c r="P35" s="449"/>
      <c r="Q35" s="4"/>
      <c r="R35" s="6"/>
      <c r="S35" s="6"/>
      <c r="T35" s="4"/>
      <c r="U35" s="4"/>
      <c r="V35" s="4"/>
      <c r="W35" s="9"/>
      <c r="X35" s="9"/>
      <c r="Y35" s="9"/>
      <c r="Z35" s="9"/>
      <c r="AA35" s="9"/>
      <c r="AB35" s="9"/>
      <c r="AC35" s="449" t="str">
        <f t="shared" si="6"/>
        <v/>
      </c>
      <c r="AD35" s="449"/>
      <c r="AE35" s="449"/>
      <c r="AF35" s="4"/>
      <c r="AG35" s="83"/>
      <c r="AH35" s="4"/>
      <c r="AI35" s="4"/>
      <c r="AJ35" s="449"/>
      <c r="AK35" s="449"/>
      <c r="AL35" s="449"/>
      <c r="AM35" s="449"/>
      <c r="AN35" s="10"/>
      <c r="AO35" s="9"/>
      <c r="AP35" s="9"/>
      <c r="AQ35" s="9">
        <f>+FL_1($T$36,$T$34,$G$35,1200,9.28,-1*$F$36)</f>
        <v>0.35642042271161045</v>
      </c>
      <c r="AR35" s="9"/>
      <c r="AS35" s="9"/>
      <c r="AT35" s="9"/>
      <c r="AU35" s="428"/>
      <c r="AV35" s="428"/>
      <c r="AW35" s="449" t="str">
        <f>IF(C35&gt;0,VLOOKUP(C35,Foundation_Calc!$A$2:$C$13,3,1),
IF(J35&gt;0,VLOOKUP(J35,Foundation_Calc!$A$2:$C$13,3,1),""))</f>
        <v/>
      </c>
      <c r="AX35" s="449" t="str">
        <f>IF(C35&gt;0,VLOOKUP(C35,Foundation_Calc!$E$2:$G$33,3,1),
IF(J35&gt;0,VLOOKUP(J35,Foundation_Calc!$E$2:$G$33,3,1),""))</f>
        <v/>
      </c>
      <c r="AY35" s="10" t="str">
        <f>IF(L35="","",
IF(AX35="PT",VLOOKUP(L35,Foundation_Calc!$K$79:$R$113,VLOOKUP(AW35,Foundation_Calc!$I$2:$J$8,2,FALSE),0),
IF(AX35="K",VLOOKUP(L35,Foundation_Calc!$K$117:$R$151,VLOOKUP(AW35,Foundation_Calc!$I$2:$J$8,2,FALSE),0),"")))</f>
        <v/>
      </c>
      <c r="AZ35" s="10" t="str">
        <f>IF(K35="","",
IF(AX35="PT",VLOOKUP(K35,Foundation_Calc!$K$79:$R$113,VLOOKUP(AW35,Foundation_Calc!$I$2:$J$8,2,FALSE),0),
IF(AX35="K",VLOOKUP(K35,Foundation_Calc!$K$117:$R$151,VLOOKUP(AW35,Foundation_Calc!$I$2:$J$8,2,FALSE),0),"")))</f>
        <v/>
      </c>
      <c r="BA35" s="495" t="str">
        <f t="shared" si="3"/>
        <v/>
      </c>
      <c r="BB35" s="495" t="str">
        <f t="shared" si="4"/>
        <v/>
      </c>
      <c r="BC35" s="495" t="str">
        <f t="shared" si="5"/>
        <v/>
      </c>
      <c r="BD35" s="513" t="str">
        <f>IF(AND(L35="",H35=""),"",
IF(H35="",Pole_Calc!A$9,
IF(H35="MP",Pole_Calc!A$10,
IF(H35="AnMP",Pole_Calc!A$11,
IF(H35="A",Pole_Calc!A$12,
IF(H35="S/A",Pole_Calc!A$13,
IF(H35="A/S",Pole_Calc!A$14,"Poner a mano")))))))</f>
        <v/>
      </c>
      <c r="BE35" s="429" t="s">
        <v>118</v>
      </c>
      <c r="BF35" s="290"/>
      <c r="BG35" s="290"/>
      <c r="BH35" s="290"/>
      <c r="BI35" s="290"/>
    </row>
    <row r="36" spans="1:61" ht="26.45">
      <c r="A36" s="514"/>
      <c r="B36" s="450" t="s">
        <v>1748</v>
      </c>
      <c r="C36" s="3">
        <f>+$C$34+$G$35</f>
        <v>52294.000000000007</v>
      </c>
      <c r="D36" s="83"/>
      <c r="E36" s="4"/>
      <c r="F36" s="4">
        <v>0</v>
      </c>
      <c r="G36" s="6"/>
      <c r="H36" s="449" t="s">
        <v>131</v>
      </c>
      <c r="I36" s="566" t="s">
        <v>1749</v>
      </c>
      <c r="J36" s="3"/>
      <c r="K36" s="449"/>
      <c r="L36" s="449" t="s">
        <v>232</v>
      </c>
      <c r="M36" s="449" t="str">
        <f>IF(L36="","",
IF(AX36="PT",VLOOKUP(L36,Foundation_Calc!$V$79:$X$113,VLOOKUP(AX36,Foundation_Calc!$I$10:$J$13,2,FALSE),0),
IF(AX36="K",VLOOKUP(L36,Foundation_Calc!$V$117:$X$151,VLOOKUP(AX36,Foundation_Calc!$I$10:$J$13,2,FALSE),0),"")))</f>
        <v>C5R</v>
      </c>
      <c r="N36" s="575" t="s">
        <v>133</v>
      </c>
      <c r="O36" s="553" t="s">
        <v>124</v>
      </c>
      <c r="P36" s="449"/>
      <c r="Q36" s="4"/>
      <c r="R36" s="6"/>
      <c r="S36" s="6"/>
      <c r="T36" s="4">
        <v>-5</v>
      </c>
      <c r="U36" s="4">
        <v>-30</v>
      </c>
      <c r="V36" s="4"/>
      <c r="W36" s="9">
        <v>1.4</v>
      </c>
      <c r="X36" s="9">
        <v>1.8</v>
      </c>
      <c r="Y36" s="9"/>
      <c r="Z36" s="9">
        <v>0.6</v>
      </c>
      <c r="AA36" s="9"/>
      <c r="AB36" s="9"/>
      <c r="AC36" s="449" t="str">
        <f t="shared" si="6"/>
        <v>PH</v>
      </c>
      <c r="AD36" s="449"/>
      <c r="AE36" s="449"/>
      <c r="AF36" s="4"/>
      <c r="AG36" s="83"/>
      <c r="AH36" s="4"/>
      <c r="AI36" s="4"/>
      <c r="AJ36" s="449"/>
      <c r="AK36" s="449"/>
      <c r="AL36" s="449" t="s">
        <v>241</v>
      </c>
      <c r="AM36" s="449" t="s">
        <v>552</v>
      </c>
      <c r="AN36" s="10">
        <v>5.5</v>
      </c>
      <c r="AO36" s="9"/>
      <c r="AP36" s="9"/>
      <c r="AQ36" s="9"/>
      <c r="AR36" s="9"/>
      <c r="AS36" s="9"/>
      <c r="AT36" s="9">
        <f>+ab($T$36,$T$34,$T$38,$G$35,$G$37,-1*$F$36,1200)</f>
        <v>-8.7267907556587279</v>
      </c>
      <c r="AU36" s="428"/>
      <c r="AV36" s="428"/>
      <c r="AW36" s="449" t="str">
        <f>IF(C36&gt;0,VLOOKUP(C36,Foundation_Calc!$A$2:$C$13,3,1),
IF(J36&gt;0,VLOOKUP(J36,Foundation_Calc!$A$2:$C$13,3,1),""))</f>
        <v>Multi Soil</v>
      </c>
      <c r="AX36" s="449" t="str">
        <f>IF(C36&gt;0,VLOOKUP(C36,Foundation_Calc!$E$2:$G$33,3,1),
IF(J36&gt;0,VLOOKUP(J36,Foundation_Calc!$E$2:$G$33,3,1),""))</f>
        <v>PT</v>
      </c>
      <c r="AY36" s="10">
        <f>IF(L36="","",
IF(AX36="PT",VLOOKUP(L36,Foundation_Calc!$K$79:$R$113,VLOOKUP(AW36,Foundation_Calc!$I$2:$J$8,2,FALSE),0),
IF(AX36="K",VLOOKUP(L36,Foundation_Calc!$K$117:$R$151,VLOOKUP(AW36,Foundation_Calc!$I$2:$J$8,2,FALSE),0),"")))</f>
        <v>3.5</v>
      </c>
      <c r="AZ36" s="10" t="str">
        <f>IF(K36="","",
IF(AX36="PT",VLOOKUP(K36,Foundation_Calc!$K$79:$R$113,VLOOKUP(AW36,Foundation_Calc!$I$2:$J$8,2,FALSE),0),
IF(AX36="K",VLOOKUP(K36,Foundation_Calc!$K$117:$R$151,VLOOKUP(AW36,Foundation_Calc!$I$2:$J$8,2,FALSE),0),"")))</f>
        <v/>
      </c>
      <c r="BA36" s="495" t="str">
        <f t="shared" si="3"/>
        <v>ü</v>
      </c>
      <c r="BB36" s="495" t="str">
        <f t="shared" si="4"/>
        <v/>
      </c>
      <c r="BC36" s="495" t="str">
        <f t="shared" si="5"/>
        <v/>
      </c>
      <c r="BD36" s="513" t="str">
        <f>Pole_Calc!A$251</f>
        <v>App.8-V08H-P10.3</v>
      </c>
      <c r="BE36" s="429" t="s">
        <v>118</v>
      </c>
      <c r="BF36" s="289"/>
      <c r="BG36" s="289"/>
      <c r="BH36" s="290"/>
      <c r="BI36" s="289"/>
    </row>
    <row r="37" spans="1:61" ht="16.149999999999999" customHeight="1">
      <c r="A37" s="685" t="s">
        <v>305</v>
      </c>
      <c r="B37" s="686"/>
      <c r="C37" s="687"/>
      <c r="D37" s="688"/>
      <c r="E37" s="689"/>
      <c r="F37" s="689"/>
      <c r="G37" s="690">
        <v>43</v>
      </c>
      <c r="H37" s="691"/>
      <c r="I37" s="689"/>
      <c r="J37" s="687">
        <f>C36+7.5</f>
        <v>52301.500000000007</v>
      </c>
      <c r="K37" s="691" t="s">
        <v>166</v>
      </c>
      <c r="L37" s="691"/>
      <c r="M37" s="691" t="str">
        <f>IF(L37="","",
IF(AX37="PT",VLOOKUP(L37,Foundation_Calc!$V$79:$X$113,VLOOKUP(AX37,Foundation_Calc!$I$10:$J$13,2,FALSE),0),
IF(AX37="K",VLOOKUP(L37,Foundation_Calc!$V$117:$X$151,VLOOKUP(AX37,Foundation_Calc!$I$10:$J$13,2,FALSE),0),"")))</f>
        <v/>
      </c>
      <c r="N37" s="691"/>
      <c r="O37" s="691"/>
      <c r="P37" s="691"/>
      <c r="Q37" s="689"/>
      <c r="R37" s="690"/>
      <c r="S37" s="690"/>
      <c r="T37" s="689"/>
      <c r="U37" s="689"/>
      <c r="V37" s="689"/>
      <c r="W37" s="692"/>
      <c r="X37" s="692"/>
      <c r="Y37" s="692"/>
      <c r="Z37" s="692"/>
      <c r="AA37" s="692"/>
      <c r="AB37" s="692"/>
      <c r="AC37" s="691" t="str">
        <f t="shared" si="6"/>
        <v/>
      </c>
      <c r="AD37" s="691"/>
      <c r="AE37" s="691"/>
      <c r="AF37" s="689"/>
      <c r="AG37" s="688"/>
      <c r="AH37" s="689"/>
      <c r="AI37" s="689"/>
      <c r="AJ37" s="691"/>
      <c r="AK37" s="691"/>
      <c r="AL37" s="691"/>
      <c r="AM37" s="691"/>
      <c r="AN37" s="693"/>
      <c r="AO37" s="692"/>
      <c r="AP37" s="692"/>
      <c r="AQ37" s="692">
        <f>+FL_1($U$38,$U$36,$G$37,1200,9.28,-1*$F$38)</f>
        <v>0.3046201782325581</v>
      </c>
      <c r="AR37" s="692"/>
      <c r="AS37" s="692"/>
      <c r="AT37" s="692"/>
      <c r="AU37" s="694"/>
      <c r="AV37" s="694"/>
      <c r="AW37" s="691" t="str">
        <f>IF(C37&gt;0,VLOOKUP(C37,Foundation_Calc!$A$2:$C$13,3,1),
IF(J37&gt;0,VLOOKUP(J37,Foundation_Calc!$A$2:$C$13,3,1),""))</f>
        <v>Multi Soil</v>
      </c>
      <c r="AX37" s="691" t="str">
        <f>IF(C37&gt;0,VLOOKUP(C37,Foundation_Calc!$E$2:$G$33,3,1),
IF(J37&gt;0,VLOOKUP(J37,Foundation_Calc!$E$2:$G$33,3,1),""))</f>
        <v>PT</v>
      </c>
      <c r="AY37" s="693" t="str">
        <f>IF(L37="","",
IF(AX37="PT",VLOOKUP(L37,Foundation_Calc!$K$79:$R$113,VLOOKUP(AW37,Foundation_Calc!$I$2:$J$8,2,FALSE),0),
IF(AX37="K",VLOOKUP(L37,Foundation_Calc!$K$117:$R$151,VLOOKUP(AW37,Foundation_Calc!$I$2:$J$8,2,FALSE),0),"")))</f>
        <v/>
      </c>
      <c r="AZ37" s="693">
        <f>IF(K37="","",
IF(AX37="PT",VLOOKUP(K37,Foundation_Calc!$K$79:$R$113,VLOOKUP(AW37,Foundation_Calc!$I$2:$J$8,2,FALSE),0),
IF(AX37="K",VLOOKUP(K37,Foundation_Calc!$K$117:$R$151,VLOOKUP(AW37,Foundation_Calc!$I$2:$J$8,2,FALSE),0),"")))</f>
        <v>2.8</v>
      </c>
      <c r="BA37" s="495" t="str">
        <f t="shared" si="3"/>
        <v/>
      </c>
      <c r="BB37" s="495" t="str">
        <f t="shared" si="4"/>
        <v>ü</v>
      </c>
      <c r="BC37" s="495" t="str">
        <f t="shared" si="5"/>
        <v/>
      </c>
      <c r="BD37" s="513" t="str">
        <f>IF(AND(L37="",H37=""),"",
IF(H37="",Pole_Calc!A$9,
IF(H37="MP",Pole_Calc!A$10,
IF(H37="AnMP",Pole_Calc!A$11,
IF(H37="A",Pole_Calc!A$12,
IF(H37="S/A",Pole_Calc!A$13,
IF(H37="A/S",Pole_Calc!A$14,"Poner a mano")))))))</f>
        <v/>
      </c>
      <c r="BE37" s="429" t="s">
        <v>118</v>
      </c>
      <c r="BF37" s="290"/>
      <c r="BG37" s="290"/>
      <c r="BH37" s="290"/>
      <c r="BI37" s="290"/>
    </row>
    <row r="38" spans="1:61" ht="16.149999999999999" customHeight="1">
      <c r="A38" s="514"/>
      <c r="B38" s="450" t="s">
        <v>1750</v>
      </c>
      <c r="C38" s="3">
        <f>+$C$36+$G$37</f>
        <v>52337.000000000007</v>
      </c>
      <c r="D38" s="83"/>
      <c r="E38" s="4"/>
      <c r="F38" s="4">
        <v>0</v>
      </c>
      <c r="G38" s="6"/>
      <c r="H38" s="449" t="s">
        <v>131</v>
      </c>
      <c r="I38" s="4"/>
      <c r="J38" s="3"/>
      <c r="K38" s="449"/>
      <c r="L38" s="449" t="s">
        <v>183</v>
      </c>
      <c r="M38" s="449" t="str">
        <f>IF(L38="","",
IF(AX38="PT",VLOOKUP(L38,Foundation_Calc!$V$79:$X$113,VLOOKUP(AX38,Foundation_Calc!$I$10:$J$13,2,FALSE),0),
IF(AX38="K",VLOOKUP(L38,Foundation_Calc!$V$117:$X$151,VLOOKUP(AX38,Foundation_Calc!$I$10:$J$13,2,FALSE),0),"")))</f>
        <v>2C3R</v>
      </c>
      <c r="N38" s="575" t="s">
        <v>133</v>
      </c>
      <c r="O38" s="553" t="s">
        <v>134</v>
      </c>
      <c r="P38" s="449"/>
      <c r="Q38" s="4"/>
      <c r="R38" s="6"/>
      <c r="S38" s="6"/>
      <c r="T38" s="4">
        <v>55</v>
      </c>
      <c r="U38" s="4">
        <v>30</v>
      </c>
      <c r="V38" s="4"/>
      <c r="W38" s="9">
        <v>1.4</v>
      </c>
      <c r="X38" s="9">
        <v>1.8</v>
      </c>
      <c r="Y38" s="9"/>
      <c r="Z38" s="9">
        <v>0.3</v>
      </c>
      <c r="AA38" s="9"/>
      <c r="AB38" s="9"/>
      <c r="AC38" s="449" t="str">
        <f t="shared" si="6"/>
        <v>PH</v>
      </c>
      <c r="AD38" s="449"/>
      <c r="AE38" s="449"/>
      <c r="AF38" s="4"/>
      <c r="AG38" s="83"/>
      <c r="AH38" s="4"/>
      <c r="AI38" s="4"/>
      <c r="AJ38" s="449"/>
      <c r="AK38" s="449"/>
      <c r="AL38" s="449"/>
      <c r="AM38" s="449" t="s">
        <v>552</v>
      </c>
      <c r="AN38" s="10">
        <v>5.5</v>
      </c>
      <c r="AO38" s="9"/>
      <c r="AP38" s="9"/>
      <c r="AQ38" s="9"/>
      <c r="AR38" s="9"/>
      <c r="AS38" s="9"/>
      <c r="AT38" s="9">
        <f>+ab($U$38,$U$36,$U$40,$G$37,$G$39,-1*$F$38,1200)</f>
        <v>12.230588678437501</v>
      </c>
      <c r="AU38" s="428"/>
      <c r="AV38" s="428"/>
      <c r="AW38" s="449" t="str">
        <f>IF(C38&gt;0,VLOOKUP(C38,Foundation_Calc!$A$2:$C$13,3,1),
IF(J38&gt;0,VLOOKUP(J38,Foundation_Calc!$A$2:$C$13,3,1),""))</f>
        <v>Multi Soil</v>
      </c>
      <c r="AX38" s="449" t="str">
        <f>IF(C38&gt;0,VLOOKUP(C38,Foundation_Calc!$E$2:$G$33,3,1),
IF(J38&gt;0,VLOOKUP(J38,Foundation_Calc!$E$2:$G$33,3,1),""))</f>
        <v>PT</v>
      </c>
      <c r="AY38" s="10">
        <f>IF(L38="","",
IF(AX38="PT",VLOOKUP(L38,Foundation_Calc!$K$79:$R$113,VLOOKUP(AW38,Foundation_Calc!$I$2:$J$8,2,FALSE),0),
IF(AX38="K",VLOOKUP(L38,Foundation_Calc!$K$117:$R$151,VLOOKUP(AW38,Foundation_Calc!$I$2:$J$8,2,FALSE),0),"")))</f>
        <v>3.7</v>
      </c>
      <c r="AZ38" s="10" t="str">
        <f>IF(K38="","",
IF(AX38="PT",VLOOKUP(K38,Foundation_Calc!$K$79:$R$113,VLOOKUP(AW38,Foundation_Calc!$I$2:$J$8,2,FALSE),0),
IF(AX38="K",VLOOKUP(K38,Foundation_Calc!$K$117:$R$151,VLOOKUP(AW38,Foundation_Calc!$I$2:$J$8,2,FALSE),0),"")))</f>
        <v/>
      </c>
      <c r="BA38" s="495" t="str">
        <f t="shared" si="3"/>
        <v>ü</v>
      </c>
      <c r="BB38" s="495" t="str">
        <f t="shared" si="4"/>
        <v/>
      </c>
      <c r="BC38" s="495" t="str">
        <f t="shared" si="5"/>
        <v/>
      </c>
      <c r="BD38" s="513" t="str">
        <f>IF(AND(L38="",H38=""),"",
IF(H38="",Pole_Calc!A$9,
IF(H38="MP",Pole_Calc!A$10,
IF(H38="AnMP",Pole_Calc!A$11,
IF(H38="A",Pole_Calc!A$12,
IF(H38="S/A",Pole_Calc!A$13,
IF(H38="A/S",Pole_Calc!A$14,"Poner a mano")))))))</f>
        <v>App.7-V11I-P9.5.1.5</v>
      </c>
      <c r="BE38" s="429" t="s">
        <v>118</v>
      </c>
      <c r="BF38" s="289"/>
      <c r="BG38" s="289"/>
      <c r="BH38" s="290"/>
      <c r="BI38" s="289"/>
    </row>
    <row r="39" spans="1:61" ht="16.149999999999999" customHeight="1">
      <c r="A39" s="514"/>
      <c r="B39" s="450"/>
      <c r="C39" s="3"/>
      <c r="D39" s="83"/>
      <c r="E39" s="4"/>
      <c r="F39" s="4"/>
      <c r="G39" s="6">
        <v>33.4</v>
      </c>
      <c r="H39" s="449"/>
      <c r="I39" s="4"/>
      <c r="J39" s="3"/>
      <c r="K39" s="449"/>
      <c r="L39" s="449"/>
      <c r="M39" s="449" t="str">
        <f>IF(L39="","",
IF(AX39="PT",VLOOKUP(L39,Foundation_Calc!$V$79:$X$113,VLOOKUP(AX39,Foundation_Calc!$I$10:$J$13,2,FALSE),0),
IF(AX39="K",VLOOKUP(L39,Foundation_Calc!$V$117:$X$151,VLOOKUP(AX39,Foundation_Calc!$I$10:$J$13,2,FALSE),0),"")))</f>
        <v/>
      </c>
      <c r="N39" s="449"/>
      <c r="O39" s="449"/>
      <c r="P39" s="449"/>
      <c r="Q39" s="4"/>
      <c r="R39" s="6"/>
      <c r="S39" s="6"/>
      <c r="T39" s="4"/>
      <c r="U39" s="4"/>
      <c r="V39" s="4"/>
      <c r="W39" s="9"/>
      <c r="X39" s="9"/>
      <c r="Y39" s="9"/>
      <c r="Z39" s="9"/>
      <c r="AA39" s="9"/>
      <c r="AB39" s="9"/>
      <c r="AC39" s="449" t="str">
        <f t="shared" si="6"/>
        <v/>
      </c>
      <c r="AD39" s="449"/>
      <c r="AE39" s="449"/>
      <c r="AF39" s="4"/>
      <c r="AG39" s="83"/>
      <c r="AH39" s="4"/>
      <c r="AI39" s="4"/>
      <c r="AJ39" s="449"/>
      <c r="AK39" s="449"/>
      <c r="AL39" s="449"/>
      <c r="AM39" s="449"/>
      <c r="AN39" s="10"/>
      <c r="AO39" s="9"/>
      <c r="AP39" s="9"/>
      <c r="AQ39" s="9">
        <f>+FL_1($U$40,$U$38,$G$39,1200,9.28,-1*$F$40)</f>
        <v>0.38428639961676642</v>
      </c>
      <c r="AR39" s="9"/>
      <c r="AS39" s="9"/>
      <c r="AT39" s="9"/>
      <c r="AU39" s="428"/>
      <c r="AV39" s="428"/>
      <c r="AW39" s="449" t="str">
        <f>IF(C39&gt;0,VLOOKUP(C39,Foundation_Calc!$A$2:$C$13,3,1),
IF(J39&gt;0,VLOOKUP(J39,Foundation_Calc!$A$2:$C$13,3,1),""))</f>
        <v/>
      </c>
      <c r="AX39" s="449" t="str">
        <f>IF(C39&gt;0,VLOOKUP(C39,Foundation_Calc!$E$2:$G$33,3,1),
IF(J39&gt;0,VLOOKUP(J39,Foundation_Calc!$E$2:$G$33,3,1),""))</f>
        <v/>
      </c>
      <c r="AY39" s="10" t="str">
        <f>IF(L39="","",
IF(AX39="PT",VLOOKUP(L39,Foundation_Calc!$K$79:$R$113,VLOOKUP(AW39,Foundation_Calc!$I$2:$J$8,2,FALSE),0),
IF(AX39="K",VLOOKUP(L39,Foundation_Calc!$K$117:$R$151,VLOOKUP(AW39,Foundation_Calc!$I$2:$J$8,2,FALSE),0),"")))</f>
        <v/>
      </c>
      <c r="AZ39" s="10" t="str">
        <f>IF(K39="","",
IF(AX39="PT",VLOOKUP(K39,Foundation_Calc!$K$79:$R$113,VLOOKUP(AW39,Foundation_Calc!$I$2:$J$8,2,FALSE),0),
IF(AX39="K",VLOOKUP(K39,Foundation_Calc!$K$117:$R$151,VLOOKUP(AW39,Foundation_Calc!$I$2:$J$8,2,FALSE),0),"")))</f>
        <v/>
      </c>
      <c r="BA39" s="495" t="str">
        <f t="shared" si="3"/>
        <v/>
      </c>
      <c r="BB39" s="495" t="str">
        <f t="shared" si="4"/>
        <v/>
      </c>
      <c r="BC39" s="495" t="str">
        <f t="shared" si="5"/>
        <v/>
      </c>
      <c r="BD39" s="513" t="str">
        <f>IF(AND(L39="",H39=""),"",
IF(H39="",Pole_Calc!A$9,
IF(H39="MP",Pole_Calc!A$10,
IF(H39="AnMP",Pole_Calc!A$11,
IF(H39="A",Pole_Calc!A$12,
IF(H39="S/A",Pole_Calc!A$13,
IF(H39="A/S",Pole_Calc!A$14,"Poner a mano")))))))</f>
        <v/>
      </c>
      <c r="BE39" s="429" t="s">
        <v>118</v>
      </c>
      <c r="BF39" s="290"/>
      <c r="BG39" s="290"/>
      <c r="BH39" s="290"/>
      <c r="BI39" s="290"/>
    </row>
    <row r="40" spans="1:61" ht="16.149999999999999" customHeight="1">
      <c r="A40" s="514"/>
      <c r="B40" s="450" t="s">
        <v>1751</v>
      </c>
      <c r="C40" s="3">
        <f>+$C$38+$G$39-0.2</f>
        <v>52370.200000000012</v>
      </c>
      <c r="D40" s="83"/>
      <c r="E40" s="4"/>
      <c r="F40" s="4">
        <v>0</v>
      </c>
      <c r="G40" s="6"/>
      <c r="H40" s="449" t="s">
        <v>238</v>
      </c>
      <c r="I40" s="4" t="s">
        <v>549</v>
      </c>
      <c r="J40" s="3"/>
      <c r="K40" s="449"/>
      <c r="L40" s="449" t="s">
        <v>250</v>
      </c>
      <c r="M40" s="449" t="str">
        <f>IF(L40="","",
IF(AX40="PT",VLOOKUP(L40,Foundation_Calc!$V$79:$X$113,VLOOKUP(AX40,Foundation_Calc!$I$10:$J$13,2,FALSE),0),
IF(AX40="K",VLOOKUP(L40,Foundation_Calc!$V$117:$X$151,VLOOKUP(AX40,Foundation_Calc!$I$10:$J$13,2,FALSE),0),"")))</f>
        <v>2C4R</v>
      </c>
      <c r="N40" s="554" t="s">
        <v>343</v>
      </c>
      <c r="O40" s="449" t="s">
        <v>453</v>
      </c>
      <c r="P40" s="449"/>
      <c r="Q40" s="4"/>
      <c r="R40" s="6"/>
      <c r="S40" s="6"/>
      <c r="T40" s="4">
        <v>-15</v>
      </c>
      <c r="U40" s="4">
        <v>25</v>
      </c>
      <c r="V40" s="4"/>
      <c r="W40" s="9">
        <v>2</v>
      </c>
      <c r="X40" s="9">
        <v>1.4</v>
      </c>
      <c r="Y40" s="9"/>
      <c r="Z40" s="9"/>
      <c r="AA40" s="9"/>
      <c r="AB40" s="9"/>
      <c r="AC40" s="449" t="str">
        <f t="shared" si="6"/>
        <v>PH</v>
      </c>
      <c r="AD40" s="449"/>
      <c r="AE40" s="449"/>
      <c r="AF40" s="4"/>
      <c r="AG40" s="83"/>
      <c r="AH40" s="4"/>
      <c r="AI40" s="4"/>
      <c r="AJ40" s="449"/>
      <c r="AK40" s="449" t="s">
        <v>841</v>
      </c>
      <c r="AL40" s="449" t="s">
        <v>252</v>
      </c>
      <c r="AM40" s="449" t="s">
        <v>552</v>
      </c>
      <c r="AN40" s="10">
        <v>5.5</v>
      </c>
      <c r="AO40" s="9"/>
      <c r="AP40" s="9"/>
      <c r="AQ40" s="9"/>
      <c r="AR40" s="9"/>
      <c r="AS40" s="9"/>
      <c r="AT40" s="9">
        <f>+ab($U$40,$U$38,$T$42,$G$39,$G$41,-1*$F$40,1200)</f>
        <v>13.174699533077266</v>
      </c>
      <c r="AU40" s="428"/>
      <c r="AV40" s="428"/>
      <c r="AW40" s="449" t="str">
        <f>IF(C40&gt;0,VLOOKUP(C40,Foundation_Calc!$A$2:$C$13,3,1),
IF(J40&gt;0,VLOOKUP(J40,Foundation_Calc!$A$2:$C$13,3,1),""))</f>
        <v>Multi Soil</v>
      </c>
      <c r="AX40" s="449" t="str">
        <f>IF(C40&gt;0,VLOOKUP(C40,Foundation_Calc!$E$2:$G$33,3,1),
IF(J40&gt;0,VLOOKUP(J40,Foundation_Calc!$E$2:$G$33,3,1),""))</f>
        <v>PT</v>
      </c>
      <c r="AY40" s="10">
        <f>IF(L40="","",
IF(AX40="PT",VLOOKUP(L40,Foundation_Calc!$K$79:$R$113,VLOOKUP(AW40,Foundation_Calc!$I$2:$J$8,2,FALSE),0),
IF(AX40="K",VLOOKUP(L40,Foundation_Calc!$K$117:$R$151,VLOOKUP(AW40,Foundation_Calc!$I$2:$J$8,2,FALSE),0),"")))</f>
        <v>5.6</v>
      </c>
      <c r="AZ40" s="10" t="str">
        <f>IF(K40="","",
IF(AX40="PT",VLOOKUP(K40,Foundation_Calc!$K$79:$R$113,VLOOKUP(AW40,Foundation_Calc!$I$2:$J$8,2,FALSE),0),
IF(AX40="K",VLOOKUP(K40,Foundation_Calc!$K$117:$R$151,VLOOKUP(AW40,Foundation_Calc!$I$2:$J$8,2,FALSE),0),"")))</f>
        <v/>
      </c>
      <c r="BA40" s="495" t="str">
        <f t="shared" si="3"/>
        <v>ü</v>
      </c>
      <c r="BB40" s="495" t="str">
        <f t="shared" si="4"/>
        <v/>
      </c>
      <c r="BC40" s="495" t="str">
        <f t="shared" si="5"/>
        <v/>
      </c>
      <c r="BD40" s="513" t="str">
        <f>Pole_Calc!A$251</f>
        <v>App.8-V08H-P10.3</v>
      </c>
      <c r="BE40" s="429" t="s">
        <v>118</v>
      </c>
      <c r="BF40" s="289"/>
      <c r="BG40" s="289"/>
      <c r="BH40" s="290"/>
      <c r="BI40" s="289"/>
    </row>
    <row r="41" spans="1:61" ht="16.149999999999999" customHeight="1">
      <c r="A41" s="545"/>
      <c r="B41" s="450"/>
      <c r="C41" s="3"/>
      <c r="D41" s="83"/>
      <c r="E41" s="4"/>
      <c r="F41" s="4"/>
      <c r="G41" s="6">
        <v>34.799999999999997</v>
      </c>
      <c r="H41" s="449"/>
      <c r="I41" s="449"/>
      <c r="J41" s="3"/>
      <c r="K41" s="449"/>
      <c r="L41" s="449"/>
      <c r="M41" s="449" t="str">
        <f>IF(L41="","",
IF(AX41="PT",VLOOKUP(L41,Foundation_Calc!$V$79:$X$113,VLOOKUP(AX41,Foundation_Calc!$I$10:$J$13,2,FALSE),0),
IF(AX41="K",VLOOKUP(L41,Foundation_Calc!$V$117:$X$151,VLOOKUP(AX41,Foundation_Calc!$I$10:$J$13,2,FALSE),0),"")))</f>
        <v/>
      </c>
      <c r="N41" s="449"/>
      <c r="O41" s="449"/>
      <c r="P41" s="449"/>
      <c r="Q41" s="4"/>
      <c r="R41" s="6"/>
      <c r="S41" s="6"/>
      <c r="T41" s="4"/>
      <c r="U41" s="4"/>
      <c r="V41" s="4"/>
      <c r="W41" s="9"/>
      <c r="X41" s="9"/>
      <c r="Y41" s="9"/>
      <c r="Z41" s="9"/>
      <c r="AA41" s="9"/>
      <c r="AB41" s="9"/>
      <c r="AC41" s="449" t="str">
        <f t="shared" si="6"/>
        <v/>
      </c>
      <c r="AD41" s="449"/>
      <c r="AE41" s="449"/>
      <c r="AF41" s="4"/>
      <c r="AG41" s="83"/>
      <c r="AH41" s="4"/>
      <c r="AI41" s="4"/>
      <c r="AJ41" s="449"/>
      <c r="AK41" s="449"/>
      <c r="AL41" s="449"/>
      <c r="AM41" s="449"/>
      <c r="AN41" s="10"/>
      <c r="AO41" s="9"/>
      <c r="AP41" s="9"/>
      <c r="AQ41" s="9">
        <f>+FL_2($T$42,$U$40,$G$41,1200,9.28, 1*$F$42)</f>
        <v>-0.3</v>
      </c>
      <c r="AR41" s="9"/>
      <c r="AS41" s="9"/>
      <c r="AT41" s="9"/>
      <c r="AU41" s="428"/>
      <c r="AV41" s="428"/>
      <c r="AW41" s="449" t="str">
        <f>IF(C41&gt;0,VLOOKUP(C41,Foundation_Calc!$A$2:$C$13,3,1),
IF(J41&gt;0,VLOOKUP(J41,Foundation_Calc!$A$2:$C$13,3,1),""))</f>
        <v/>
      </c>
      <c r="AX41" s="449" t="str">
        <f>IF(C41&gt;0,VLOOKUP(C41,Foundation_Calc!$E$2:$G$33,3,1),
IF(J41&gt;0,VLOOKUP(J41,Foundation_Calc!$E$2:$G$33,3,1),""))</f>
        <v/>
      </c>
      <c r="AY41" s="10" t="str">
        <f>IF(L41="","",
IF(AX41="PT",VLOOKUP(L41,Foundation_Calc!$K$79:$R$113,VLOOKUP(AW41,Foundation_Calc!$I$2:$J$8,2,FALSE),0),
IF(AX41="K",VLOOKUP(L41,Foundation_Calc!$K$117:$R$151,VLOOKUP(AW41,Foundation_Calc!$I$2:$J$8,2,FALSE),0),"")))</f>
        <v/>
      </c>
      <c r="AZ41" s="10" t="str">
        <f>IF(K41="","",
IF(AX41="PT",VLOOKUP(K41,Foundation_Calc!$K$79:$R$113,VLOOKUP(AW41,Foundation_Calc!$I$2:$J$8,2,FALSE),0),
IF(AX41="K",VLOOKUP(K41,Foundation_Calc!$K$117:$R$151,VLOOKUP(AW41,Foundation_Calc!$I$2:$J$8,2,FALSE),0),"")))</f>
        <v/>
      </c>
      <c r="BA41" s="495" t="str">
        <f t="shared" si="3"/>
        <v/>
      </c>
      <c r="BB41" s="495" t="str">
        <f t="shared" si="4"/>
        <v/>
      </c>
      <c r="BC41" s="495" t="str">
        <f t="shared" si="5"/>
        <v/>
      </c>
      <c r="BD41" s="513" t="str">
        <f>IF(AND(L41="",H41=""),"",
IF(H41="",Pole_Calc!A$9,
IF(H41="MP",Pole_Calc!A$10,
IF(H41="AnMP",Pole_Calc!A$11,
IF(H41="A",Pole_Calc!A$12,
IF(H41="S/A",Pole_Calc!A$13,
IF(H41="A/S",Pole_Calc!A$14,"Poner a mano")))))))</f>
        <v/>
      </c>
      <c r="BE41" s="429" t="s">
        <v>118</v>
      </c>
      <c r="BF41" s="290"/>
      <c r="BG41" s="290"/>
      <c r="BH41" s="290"/>
      <c r="BI41" s="290"/>
    </row>
    <row r="42" spans="1:61" ht="16.149999999999999" customHeight="1">
      <c r="A42" s="545"/>
      <c r="B42" s="450" t="s">
        <v>1752</v>
      </c>
      <c r="C42" s="3">
        <f>+$C$40+$G$41</f>
        <v>52405.000000000015</v>
      </c>
      <c r="D42" s="83"/>
      <c r="E42" s="4"/>
      <c r="F42" s="4">
        <v>0</v>
      </c>
      <c r="G42" s="6"/>
      <c r="H42" s="6"/>
      <c r="I42" s="4"/>
      <c r="J42" s="3"/>
      <c r="K42" s="449"/>
      <c r="L42" s="449" t="s">
        <v>158</v>
      </c>
      <c r="M42" s="449" t="str">
        <f>IF(L42="","",
IF(AX42="PT",VLOOKUP(L42,Foundation_Calc!$V$79:$X$113,VLOOKUP(AX42,Foundation_Calc!$I$10:$J$13,2,FALSE),0),
IF(AX42="K",VLOOKUP(L42,Foundation_Calc!$V$117:$X$151,VLOOKUP(AX42,Foundation_Calc!$I$10:$J$13,2,FALSE),0),"")))</f>
        <v>C4R</v>
      </c>
      <c r="N42" s="449" t="s">
        <v>124</v>
      </c>
      <c r="O42" s="449"/>
      <c r="P42" s="449"/>
      <c r="Q42" s="4"/>
      <c r="R42" s="6"/>
      <c r="S42" s="6"/>
      <c r="T42" s="4">
        <v>-30</v>
      </c>
      <c r="U42" s="4"/>
      <c r="V42" s="4"/>
      <c r="W42" s="9">
        <v>1.4</v>
      </c>
      <c r="X42" s="9"/>
      <c r="Y42" s="9"/>
      <c r="Z42" s="9"/>
      <c r="AA42" s="9"/>
      <c r="AB42" s="9"/>
      <c r="AC42" s="449" t="str">
        <f t="shared" si="6"/>
        <v>PHQ</v>
      </c>
      <c r="AD42" s="449"/>
      <c r="AE42" s="449"/>
      <c r="AF42" s="4"/>
      <c r="AG42" s="83"/>
      <c r="AH42" s="4"/>
      <c r="AI42" s="4"/>
      <c r="AJ42" s="449"/>
      <c r="AK42" s="449"/>
      <c r="AL42" s="449"/>
      <c r="AM42" s="449" t="s">
        <v>552</v>
      </c>
      <c r="AN42" s="10">
        <v>5.5</v>
      </c>
      <c r="AO42" s="9"/>
      <c r="AP42" s="9"/>
      <c r="AQ42" s="9"/>
      <c r="AR42" s="9"/>
      <c r="AS42" s="9"/>
      <c r="AT42" s="9">
        <f>+ab($T$42,$U$40,$T$44,$G$41,$G$43, 1*$F$42,1200)</f>
        <v>-6.2789743689373498</v>
      </c>
      <c r="AU42" s="428"/>
      <c r="AV42" s="428"/>
      <c r="AW42" s="449" t="str">
        <f>IF(C42&gt;0,VLOOKUP(C42,Foundation_Calc!$A$2:$C$13,3,1),
IF(J42&gt;0,VLOOKUP(J42,Foundation_Calc!$A$2:$C$13,3,1),""))</f>
        <v>Multi Soil</v>
      </c>
      <c r="AX42" s="449" t="str">
        <f>IF(C42&gt;0,VLOOKUP(C42,Foundation_Calc!$E$2:$G$33,3,1),
IF(J42&gt;0,VLOOKUP(J42,Foundation_Calc!$E$2:$G$33,3,1),""))</f>
        <v>PT</v>
      </c>
      <c r="AY42" s="10">
        <f>IF(L42="","",
IF(AX42="PT",VLOOKUP(L42,Foundation_Calc!$K$79:$R$113,VLOOKUP(AW42,Foundation_Calc!$I$2:$J$8,2,FALSE),0),
IF(AX42="K",VLOOKUP(L42,Foundation_Calc!$K$117:$R$151,VLOOKUP(AW42,Foundation_Calc!$I$2:$J$8,2,FALSE),0),"")))</f>
        <v>3.5</v>
      </c>
      <c r="AZ42" s="10" t="str">
        <f>IF(K42="","",
IF(AX42="PT",VLOOKUP(K42,Foundation_Calc!$K$79:$R$113,VLOOKUP(AW42,Foundation_Calc!$I$2:$J$8,2,FALSE),0),
IF(AX42="K",VLOOKUP(K42,Foundation_Calc!$K$117:$R$151,VLOOKUP(AW42,Foundation_Calc!$I$2:$J$8,2,FALSE),0),"")))</f>
        <v/>
      </c>
      <c r="BA42" s="495" t="str">
        <f t="shared" si="3"/>
        <v>ü</v>
      </c>
      <c r="BB42" s="495" t="str">
        <f t="shared" si="4"/>
        <v/>
      </c>
      <c r="BC42" s="495" t="str">
        <f t="shared" si="5"/>
        <v/>
      </c>
      <c r="BD42" s="513" t="str">
        <f>IF(AND(L42="",H42=""),"",
IF(H42="",Pole_Calc!A$9,
IF(H42="MP",Pole_Calc!A$10,
IF(H42="AnMP",Pole_Calc!A$11,
IF(H42="A",Pole_Calc!A$12,
IF(H42="S/A",Pole_Calc!A$13,
IF(H42="A/S",Pole_Calc!A$14,"Poner a mano")))))))</f>
        <v>App.7-V11I-P9.5.1.1</v>
      </c>
      <c r="BE42" s="429" t="s">
        <v>118</v>
      </c>
      <c r="BF42" s="289"/>
      <c r="BG42" s="289"/>
      <c r="BH42" s="290"/>
      <c r="BI42" s="289"/>
    </row>
    <row r="43" spans="1:61" ht="16.149999999999999" customHeight="1">
      <c r="A43" s="545"/>
      <c r="B43" s="450"/>
      <c r="C43" s="3"/>
      <c r="D43" s="83"/>
      <c r="E43" s="4"/>
      <c r="F43" s="4"/>
      <c r="G43" s="6">
        <v>41</v>
      </c>
      <c r="H43" s="449"/>
      <c r="I43" s="449"/>
      <c r="J43" s="3"/>
      <c r="K43" s="449"/>
      <c r="L43" s="449"/>
      <c r="M43" s="449" t="str">
        <f>IF(L43="","",
IF(AX43="PT",VLOOKUP(L43,Foundation_Calc!$V$79:$X$113,VLOOKUP(AX43,Foundation_Calc!$I$10:$J$13,2,FALSE),0),
IF(AX43="K",VLOOKUP(L43,Foundation_Calc!$V$117:$X$151,VLOOKUP(AX43,Foundation_Calc!$I$10:$J$13,2,FALSE),0),"")))</f>
        <v/>
      </c>
      <c r="N43" s="575"/>
      <c r="O43" s="449"/>
      <c r="P43" s="449"/>
      <c r="Q43" s="4"/>
      <c r="R43" s="6"/>
      <c r="S43" s="6"/>
      <c r="T43" s="4"/>
      <c r="U43" s="4"/>
      <c r="V43" s="4"/>
      <c r="W43" s="9"/>
      <c r="X43" s="9"/>
      <c r="Y43" s="9"/>
      <c r="Z43" s="9"/>
      <c r="AA43" s="9"/>
      <c r="AB43" s="9"/>
      <c r="AC43" s="449" t="str">
        <f t="shared" si="6"/>
        <v/>
      </c>
      <c r="AD43" s="449"/>
      <c r="AE43" s="449"/>
      <c r="AF43" s="4"/>
      <c r="AG43" s="83"/>
      <c r="AH43" s="4"/>
      <c r="AI43" s="4"/>
      <c r="AJ43" s="449"/>
      <c r="AK43" s="449"/>
      <c r="AL43" s="449"/>
      <c r="AM43" s="449"/>
      <c r="AN43" s="10"/>
      <c r="AO43" s="9"/>
      <c r="AP43" s="9"/>
      <c r="AQ43" s="9">
        <f>+FL_2($T$44,$T$42,$G$43,1200,9.28, 1*$F$44)</f>
        <v>-0.30096104078048769</v>
      </c>
      <c r="AR43" s="9"/>
      <c r="AS43" s="9"/>
      <c r="AT43" s="9"/>
      <c r="AU43" s="428"/>
      <c r="AV43" s="428"/>
      <c r="AW43" s="449" t="str">
        <f>IF(C43&gt;0,VLOOKUP(C43,Foundation_Calc!$A$2:$C$13,3,1),
IF(J43&gt;0,VLOOKUP(J43,Foundation_Calc!$A$2:$C$13,3,1),""))</f>
        <v/>
      </c>
      <c r="AX43" s="449" t="str">
        <f>IF(C43&gt;0,VLOOKUP(C43,Foundation_Calc!$E$2:$G$33,3,1),
IF(J43&gt;0,VLOOKUP(J43,Foundation_Calc!$E$2:$G$33,3,1),""))</f>
        <v/>
      </c>
      <c r="AY43" s="10" t="str">
        <f>IF(L43="","",
IF(AX43="PT",VLOOKUP(L43,Foundation_Calc!$K$79:$R$113,VLOOKUP(AW43,Foundation_Calc!$I$2:$J$8,2,FALSE),0),
IF(AX43="K",VLOOKUP(L43,Foundation_Calc!$K$117:$R$151,VLOOKUP(AW43,Foundation_Calc!$I$2:$J$8,2,FALSE),0),"")))</f>
        <v/>
      </c>
      <c r="AZ43" s="10" t="str">
        <f>IF(K43="","",
IF(AX43="PT",VLOOKUP(K43,Foundation_Calc!$K$79:$R$113,VLOOKUP(AW43,Foundation_Calc!$I$2:$J$8,2,FALSE),0),
IF(AX43="K",VLOOKUP(K43,Foundation_Calc!$K$117:$R$151,VLOOKUP(AW43,Foundation_Calc!$I$2:$J$8,2,FALSE),0),"")))</f>
        <v/>
      </c>
      <c r="BA43" s="495" t="str">
        <f t="shared" si="3"/>
        <v/>
      </c>
      <c r="BB43" s="495" t="str">
        <f t="shared" si="4"/>
        <v/>
      </c>
      <c r="BC43" s="495" t="str">
        <f t="shared" si="5"/>
        <v/>
      </c>
      <c r="BD43" s="513" t="str">
        <f>IF(AND(L43="",H43=""),"",
IF(H43="",Pole_Calc!A$9,
IF(H43="MP",Pole_Calc!A$10,
IF(H43="AnMP",Pole_Calc!A$11,
IF(H43="A",Pole_Calc!A$12,
IF(H43="S/A",Pole_Calc!A$13,
IF(H43="A/S",Pole_Calc!A$14,"Poner a mano")))))))</f>
        <v/>
      </c>
      <c r="BE43" s="429" t="s">
        <v>118</v>
      </c>
      <c r="BF43" s="290"/>
      <c r="BG43" s="290"/>
      <c r="BH43" s="290"/>
      <c r="BI43" s="290"/>
    </row>
    <row r="44" spans="1:61" ht="16.149999999999999" customHeight="1">
      <c r="A44" s="514"/>
      <c r="B44" s="891" t="s">
        <v>1753</v>
      </c>
      <c r="C44" s="3">
        <f>+$C$42+$G$43</f>
        <v>52446.000000000015</v>
      </c>
      <c r="D44" s="83"/>
      <c r="E44" s="4"/>
      <c r="F44" s="4">
        <v>0</v>
      </c>
      <c r="G44" s="6"/>
      <c r="H44" s="449"/>
      <c r="I44" s="449"/>
      <c r="J44" s="3"/>
      <c r="K44" s="449"/>
      <c r="L44" s="449" t="s">
        <v>153</v>
      </c>
      <c r="M44" s="449" t="str">
        <f>IF(L44="","",
IF(AX44="PT",VLOOKUP(L44,Foundation_Calc!$V$79:$X$113,VLOOKUP(AX44,Foundation_Calc!$I$10:$J$13,2,FALSE),0),
IF(AX44="K",VLOOKUP(L44,Foundation_Calc!$V$117:$X$151,VLOOKUP(AX44,Foundation_Calc!$I$10:$J$13,2,FALSE),0),"")))</f>
        <v>C3R</v>
      </c>
      <c r="N44" s="449" t="s">
        <v>134</v>
      </c>
      <c r="O44" s="449"/>
      <c r="P44" s="449"/>
      <c r="Q44" s="4"/>
      <c r="R44" s="6"/>
      <c r="S44" s="6"/>
      <c r="T44" s="4">
        <v>30</v>
      </c>
      <c r="U44" s="4"/>
      <c r="V44" s="4"/>
      <c r="W44" s="9">
        <v>1.4</v>
      </c>
      <c r="X44" s="9"/>
      <c r="Y44" s="9"/>
      <c r="Z44" s="9"/>
      <c r="AA44" s="9"/>
      <c r="AB44" s="9"/>
      <c r="AC44" s="449" t="str">
        <f t="shared" si="6"/>
        <v>PHQ</v>
      </c>
      <c r="AD44" s="449"/>
      <c r="AE44" s="449"/>
      <c r="AF44" s="4"/>
      <c r="AG44" s="83"/>
      <c r="AH44" s="4"/>
      <c r="AI44" s="4"/>
      <c r="AJ44" s="449"/>
      <c r="AK44" s="449"/>
      <c r="AL44" s="449"/>
      <c r="AM44" s="449" t="s">
        <v>552</v>
      </c>
      <c r="AN44" s="10">
        <v>5.5</v>
      </c>
      <c r="AO44" s="9"/>
      <c r="AP44" s="9"/>
      <c r="AQ44" s="9"/>
      <c r="AR44" s="9"/>
      <c r="AS44" s="9"/>
      <c r="AT44" s="9">
        <f>+ab($T$44,$T$42,$T$46,$G$43,$G$45, 1*$F$44,1200)</f>
        <v>6.52792981105606</v>
      </c>
      <c r="AU44" s="428"/>
      <c r="AV44" s="428"/>
      <c r="AW44" s="449" t="str">
        <f>IF(C44&gt;0,VLOOKUP(C44,Foundation_Calc!$A$2:$C$13,3,1),
IF(J44&gt;0,VLOOKUP(J44,Foundation_Calc!$A$2:$C$13,3,1),""))</f>
        <v>Multi Soil</v>
      </c>
      <c r="AX44" s="449" t="str">
        <f>IF(C44&gt;0,VLOOKUP(C44,Foundation_Calc!$E$2:$G$33,3,1),
IF(J44&gt;0,VLOOKUP(J44,Foundation_Calc!$E$2:$G$33,3,1),""))</f>
        <v>PT</v>
      </c>
      <c r="AY44" s="10">
        <f>IF(L44="","",
IF(AX44="PT",VLOOKUP(L44,Foundation_Calc!$K$79:$R$113,VLOOKUP(AW44,Foundation_Calc!$I$2:$J$8,2,FALSE),0),
IF(AX44="K",VLOOKUP(L44,Foundation_Calc!$K$117:$R$151,VLOOKUP(AW44,Foundation_Calc!$I$2:$J$8,2,FALSE),0),"")))</f>
        <v>3.5</v>
      </c>
      <c r="AZ44" s="10" t="str">
        <f>IF(K44="","",
IF(AX44="PT",VLOOKUP(K44,Foundation_Calc!$K$79:$R$113,VLOOKUP(AW44,Foundation_Calc!$I$2:$J$8,2,FALSE),0),
IF(AX44="K",VLOOKUP(K44,Foundation_Calc!$K$117:$R$151,VLOOKUP(AW44,Foundation_Calc!$I$2:$J$8,2,FALSE),0),"")))</f>
        <v/>
      </c>
      <c r="BA44" s="495" t="str">
        <f t="shared" si="3"/>
        <v>ü</v>
      </c>
      <c r="BB44" s="495" t="str">
        <f t="shared" si="4"/>
        <v/>
      </c>
      <c r="BC44" s="495" t="str">
        <f t="shared" si="5"/>
        <v/>
      </c>
      <c r="BD44" s="513" t="str">
        <f>IF(AND(L44="",H44=""),"",
IF(H44="",Pole_Calc!A$9,
IF(H44="MP",Pole_Calc!A$10,
IF(H44="AnMP",Pole_Calc!A$11,
IF(H44="A",Pole_Calc!A$12,
IF(H44="S/A",Pole_Calc!A$13,
IF(H44="A/S",Pole_Calc!A$14,"Poner a mano")))))))</f>
        <v>App.7-V11I-P9.5.1.1</v>
      </c>
      <c r="BE44" s="429" t="s">
        <v>118</v>
      </c>
      <c r="BF44" s="289"/>
      <c r="BG44" s="289"/>
      <c r="BH44" s="290"/>
      <c r="BI44" s="289"/>
    </row>
    <row r="45" spans="1:61" ht="16.149999999999999" customHeight="1">
      <c r="A45" s="514"/>
      <c r="B45" s="450"/>
      <c r="C45" s="3"/>
      <c r="D45" s="83"/>
      <c r="E45" s="4"/>
      <c r="F45" s="4"/>
      <c r="G45" s="6">
        <v>41</v>
      </c>
      <c r="H45" s="449"/>
      <c r="I45" s="449"/>
      <c r="J45" s="3"/>
      <c r="K45" s="449"/>
      <c r="L45" s="449"/>
      <c r="M45" s="449" t="str">
        <f>IF(L45="","",
IF(AX45="PT",VLOOKUP(L45,Foundation_Calc!$V$79:$X$113,VLOOKUP(AX45,Foundation_Calc!$I$10:$J$13,2,FALSE),0),
IF(AX45="K",VLOOKUP(L45,Foundation_Calc!$V$117:$X$151,VLOOKUP(AX45,Foundation_Calc!$I$10:$J$13,2,FALSE),0),"")))</f>
        <v/>
      </c>
      <c r="N45" s="449"/>
      <c r="O45" s="449"/>
      <c r="P45" s="449"/>
      <c r="Q45" s="4"/>
      <c r="R45" s="6"/>
      <c r="S45" s="6"/>
      <c r="T45" s="4"/>
      <c r="U45" s="4"/>
      <c r="V45" s="4"/>
      <c r="W45" s="9"/>
      <c r="X45" s="9"/>
      <c r="Y45" s="9"/>
      <c r="Z45" s="9"/>
      <c r="AA45" s="9"/>
      <c r="AB45" s="9"/>
      <c r="AC45" s="449" t="str">
        <f t="shared" si="6"/>
        <v/>
      </c>
      <c r="AD45" s="449"/>
      <c r="AE45" s="449"/>
      <c r="AF45" s="4"/>
      <c r="AG45" s="83"/>
      <c r="AH45" s="4"/>
      <c r="AI45" s="4"/>
      <c r="AJ45" s="449"/>
      <c r="AK45" s="449"/>
      <c r="AL45" s="449"/>
      <c r="AM45" s="449"/>
      <c r="AN45" s="10"/>
      <c r="AO45" s="9"/>
      <c r="AP45" s="9"/>
      <c r="AQ45" s="9">
        <f>+FL_1($T$46,$T$44,$G$45,1200,9.28, 1*$F$46)</f>
        <v>0.30096104078048769</v>
      </c>
      <c r="AR45" s="9"/>
      <c r="AS45" s="9"/>
      <c r="AT45" s="9"/>
      <c r="AU45" s="428"/>
      <c r="AV45" s="428"/>
      <c r="AW45" s="449" t="str">
        <f>IF(C45&gt;0,VLOOKUP(C45,Foundation_Calc!$A$2:$C$13,3,1),
IF(J45&gt;0,VLOOKUP(J45,Foundation_Calc!$A$2:$C$13,3,1),""))</f>
        <v/>
      </c>
      <c r="AX45" s="449" t="str">
        <f>IF(C45&gt;0,VLOOKUP(C45,Foundation_Calc!$E$2:$G$33,3,1),
IF(J45&gt;0,VLOOKUP(J45,Foundation_Calc!$E$2:$G$33,3,1),""))</f>
        <v/>
      </c>
      <c r="AY45" s="10" t="str">
        <f>IF(L45="","",
IF(AX45="PT",VLOOKUP(L45,Foundation_Calc!$K$79:$R$113,VLOOKUP(AW45,Foundation_Calc!$I$2:$J$8,2,FALSE),0),
IF(AX45="K",VLOOKUP(L45,Foundation_Calc!$K$117:$R$151,VLOOKUP(AW45,Foundation_Calc!$I$2:$J$8,2,FALSE),0),"")))</f>
        <v/>
      </c>
      <c r="AZ45" s="10" t="str">
        <f>IF(K45="","",
IF(AX45="PT",VLOOKUP(K45,Foundation_Calc!$K$79:$R$113,VLOOKUP(AW45,Foundation_Calc!$I$2:$J$8,2,FALSE),0),
IF(AX45="K",VLOOKUP(K45,Foundation_Calc!$K$117:$R$151,VLOOKUP(AW45,Foundation_Calc!$I$2:$J$8,2,FALSE),0),"")))</f>
        <v/>
      </c>
      <c r="BA45" s="495" t="str">
        <f t="shared" si="3"/>
        <v/>
      </c>
      <c r="BB45" s="495" t="str">
        <f t="shared" si="4"/>
        <v/>
      </c>
      <c r="BC45" s="495" t="str">
        <f t="shared" si="5"/>
        <v/>
      </c>
      <c r="BD45" s="513" t="str">
        <f>IF(AND(L45="",H45=""),"",
IF(H45="",Pole_Calc!A$9,
IF(H45="MP",Pole_Calc!A$10,
IF(H45="AnMP",Pole_Calc!A$11,
IF(H45="A",Pole_Calc!A$12,
IF(H45="S/A",Pole_Calc!A$13,
IF(H45="A/S",Pole_Calc!A$14,"Poner a mano")))))))</f>
        <v/>
      </c>
      <c r="BE45" s="429" t="s">
        <v>118</v>
      </c>
      <c r="BF45" s="290"/>
      <c r="BG45" s="290"/>
      <c r="BH45" s="290"/>
      <c r="BI45" s="290"/>
    </row>
    <row r="46" spans="1:61" ht="16.149999999999999" customHeight="1">
      <c r="A46" s="514"/>
      <c r="B46" s="891" t="s">
        <v>1754</v>
      </c>
      <c r="C46" s="3">
        <f>+$C$44+$G$45</f>
        <v>52487.000000000015</v>
      </c>
      <c r="D46" s="83"/>
      <c r="E46" s="4"/>
      <c r="F46" s="4">
        <v>0</v>
      </c>
      <c r="G46" s="6"/>
      <c r="H46" s="449"/>
      <c r="I46" s="449"/>
      <c r="J46" s="3"/>
      <c r="K46" s="449"/>
      <c r="L46" s="449" t="s">
        <v>153</v>
      </c>
      <c r="M46" s="449" t="str">
        <f>IF(L46="","",
IF(AX46="PT",VLOOKUP(L46,Foundation_Calc!$V$79:$X$113,VLOOKUP(AX46,Foundation_Calc!$I$10:$J$13,2,FALSE),0),
IF(AX46="K",VLOOKUP(L46,Foundation_Calc!$V$117:$X$151,VLOOKUP(AX46,Foundation_Calc!$I$10:$J$13,2,FALSE),0),"")))</f>
        <v>C3R</v>
      </c>
      <c r="N46" s="449" t="s">
        <v>124</v>
      </c>
      <c r="O46" s="449"/>
      <c r="P46" s="449"/>
      <c r="Q46" s="4"/>
      <c r="R46" s="6"/>
      <c r="S46" s="6"/>
      <c r="T46" s="4">
        <v>-30</v>
      </c>
      <c r="U46" s="4"/>
      <c r="V46" s="4"/>
      <c r="W46" s="9">
        <v>1.4</v>
      </c>
      <c r="X46" s="9"/>
      <c r="Y46" s="9"/>
      <c r="Z46" s="9"/>
      <c r="AA46" s="9"/>
      <c r="AB46" s="9"/>
      <c r="AC46" s="449" t="str">
        <f t="shared" si="6"/>
        <v>PH</v>
      </c>
      <c r="AD46" s="449"/>
      <c r="AE46" s="449"/>
      <c r="AF46" s="4"/>
      <c r="AG46" s="83"/>
      <c r="AH46" s="4"/>
      <c r="AI46" s="4"/>
      <c r="AJ46" s="449"/>
      <c r="AK46" s="449"/>
      <c r="AL46" s="449"/>
      <c r="AM46" s="449" t="s">
        <v>552</v>
      </c>
      <c r="AN46" s="10">
        <v>5.5</v>
      </c>
      <c r="AO46" s="9"/>
      <c r="AP46" s="9"/>
      <c r="AQ46" s="9"/>
      <c r="AR46" s="9"/>
      <c r="AS46" s="9"/>
      <c r="AT46" s="9">
        <f>+ab($T$46,$T$44,$T$48,$G$45,$G$47, 1*$F$46,1200)</f>
        <v>-12.890703599917668</v>
      </c>
      <c r="AU46" s="428"/>
      <c r="AV46" s="428"/>
      <c r="AW46" s="449" t="str">
        <f>IF(C46&gt;0,VLOOKUP(C46,Foundation_Calc!$A$2:$C$13,3,1),
IF(J46&gt;0,VLOOKUP(J46,Foundation_Calc!$A$2:$C$13,3,1),""))</f>
        <v>Multi Soil</v>
      </c>
      <c r="AX46" s="449" t="str">
        <f>IF(C46&gt;0,VLOOKUP(C46,Foundation_Calc!$E$2:$G$33,3,1),
IF(J46&gt;0,VLOOKUP(J46,Foundation_Calc!$E$2:$G$33,3,1),""))</f>
        <v>PT</v>
      </c>
      <c r="AY46" s="10">
        <f>IF(L46="","",
IF(AX46="PT",VLOOKUP(L46,Foundation_Calc!$K$79:$R$113,VLOOKUP(AW46,Foundation_Calc!$I$2:$J$8,2,FALSE),0),
IF(AX46="K",VLOOKUP(L46,Foundation_Calc!$K$117:$R$151,VLOOKUP(AW46,Foundation_Calc!$I$2:$J$8,2,FALSE),0),"")))</f>
        <v>3.5</v>
      </c>
      <c r="AZ46" s="10" t="str">
        <f>IF(K46="","",
IF(AX46="PT",VLOOKUP(K46,Foundation_Calc!$K$79:$R$113,VLOOKUP(AW46,Foundation_Calc!$I$2:$J$8,2,FALSE),0),
IF(AX46="K",VLOOKUP(K46,Foundation_Calc!$K$117:$R$151,VLOOKUP(AW46,Foundation_Calc!$I$2:$J$8,2,FALSE),0),"")))</f>
        <v/>
      </c>
      <c r="BA46" s="495" t="str">
        <f t="shared" si="3"/>
        <v>ü</v>
      </c>
      <c r="BB46" s="495" t="str">
        <f t="shared" si="4"/>
        <v/>
      </c>
      <c r="BC46" s="495" t="str">
        <f t="shared" si="5"/>
        <v/>
      </c>
      <c r="BD46" s="513" t="str">
        <f>IF(AND(L46="",H46=""),"",
IF(H46="",Pole_Calc!A$9,
IF(H46="MP",Pole_Calc!A$10,
IF(H46="AnMP",Pole_Calc!A$11,
IF(H46="A",Pole_Calc!A$12,
IF(H46="S/A",Pole_Calc!A$13,
IF(H46="A/S",Pole_Calc!A$14,"Poner a mano")))))))</f>
        <v>App.7-V11I-P9.5.1.1</v>
      </c>
      <c r="BE46" s="429" t="s">
        <v>118</v>
      </c>
      <c r="BF46" s="289"/>
      <c r="BG46" s="289"/>
      <c r="BH46" s="290"/>
      <c r="BI46" s="289"/>
    </row>
    <row r="47" spans="1:61" ht="16.149999999999999" customHeight="1">
      <c r="A47" s="514"/>
      <c r="B47" s="450"/>
      <c r="C47" s="3"/>
      <c r="D47" s="83"/>
      <c r="E47" s="4"/>
      <c r="F47" s="4"/>
      <c r="G47" s="6">
        <v>41.9</v>
      </c>
      <c r="H47" s="449"/>
      <c r="I47" s="449"/>
      <c r="J47" s="3"/>
      <c r="K47" s="449"/>
      <c r="L47" s="449"/>
      <c r="M47" s="449" t="str">
        <f>IF(L47="","",
IF(AX47="PT",VLOOKUP(L47,Foundation_Calc!$V$79:$X$113,VLOOKUP(AX47,Foundation_Calc!$I$10:$J$13,2,FALSE),0),
IF(AX47="K",VLOOKUP(L47,Foundation_Calc!$V$117:$X$151,VLOOKUP(AX47,Foundation_Calc!$I$10:$J$13,2,FALSE),0),"")))</f>
        <v/>
      </c>
      <c r="N47" s="449"/>
      <c r="O47" s="449"/>
      <c r="P47" s="449"/>
      <c r="Q47" s="4"/>
      <c r="R47" s="6"/>
      <c r="S47" s="6"/>
      <c r="T47" s="4"/>
      <c r="U47" s="4"/>
      <c r="V47" s="4"/>
      <c r="W47" s="9"/>
      <c r="X47" s="9"/>
      <c r="Y47" s="9"/>
      <c r="Z47" s="9"/>
      <c r="AA47" s="9"/>
      <c r="AB47" s="9"/>
      <c r="AC47" s="449" t="str">
        <f t="shared" si="6"/>
        <v/>
      </c>
      <c r="AD47" s="449"/>
      <c r="AE47" s="449"/>
      <c r="AF47" s="4"/>
      <c r="AG47" s="83"/>
      <c r="AH47" s="4"/>
      <c r="AI47" s="4"/>
      <c r="AJ47" s="449"/>
      <c r="AK47" s="449"/>
      <c r="AL47" s="449"/>
      <c r="AM47" s="449"/>
      <c r="AN47" s="10"/>
      <c r="AO47" s="9"/>
      <c r="AP47" s="9"/>
      <c r="AQ47" s="9">
        <f>+FL_2($T$48,$T$46,$G$47,1200,9.28, 1*$F$48)</f>
        <v>-0.3</v>
      </c>
      <c r="AR47" s="9"/>
      <c r="AS47" s="9"/>
      <c r="AT47" s="9"/>
      <c r="AU47" s="428"/>
      <c r="AV47" s="428"/>
      <c r="AW47" s="449" t="str">
        <f>IF(C47&gt;0,VLOOKUP(C47,Foundation_Calc!$A$2:$C$13,3,1),
IF(J47&gt;0,VLOOKUP(J47,Foundation_Calc!$A$2:$C$13,3,1),""))</f>
        <v/>
      </c>
      <c r="AX47" s="449" t="str">
        <f>IF(C47&gt;0,VLOOKUP(C47,Foundation_Calc!$E$2:$G$33,3,1),
IF(J47&gt;0,VLOOKUP(J47,Foundation_Calc!$E$2:$G$33,3,1),""))</f>
        <v/>
      </c>
      <c r="AY47" s="10" t="str">
        <f>IF(L47="","",
IF(AX47="PT",VLOOKUP(L47,Foundation_Calc!$K$79:$R$113,VLOOKUP(AW47,Foundation_Calc!$I$2:$J$8,2,FALSE),0),
IF(AX47="K",VLOOKUP(L47,Foundation_Calc!$K$117:$R$151,VLOOKUP(AW47,Foundation_Calc!$I$2:$J$8,2,FALSE),0),"")))</f>
        <v/>
      </c>
      <c r="AZ47" s="10" t="str">
        <f>IF(K47="","",
IF(AX47="PT",VLOOKUP(K47,Foundation_Calc!$K$79:$R$113,VLOOKUP(AW47,Foundation_Calc!$I$2:$J$8,2,FALSE),0),
IF(AX47="K",VLOOKUP(K47,Foundation_Calc!$K$117:$R$151,VLOOKUP(AW47,Foundation_Calc!$I$2:$J$8,2,FALSE),0),"")))</f>
        <v/>
      </c>
      <c r="BA47" s="495" t="str">
        <f t="shared" si="3"/>
        <v/>
      </c>
      <c r="BB47" s="495" t="str">
        <f t="shared" si="4"/>
        <v/>
      </c>
      <c r="BC47" s="495" t="str">
        <f t="shared" si="5"/>
        <v/>
      </c>
      <c r="BD47" s="513" t="str">
        <f>IF(AND(L47="",H47=""),"",
IF(H47="",Pole_Calc!A$9,
IF(H47="MP",Pole_Calc!A$10,
IF(H47="AnMP",Pole_Calc!A$11,
IF(H47="A",Pole_Calc!A$12,
IF(H47="S/A",Pole_Calc!A$13,
IF(H47="A/S",Pole_Calc!A$14,"Poner a mano")))))))</f>
        <v/>
      </c>
      <c r="BE47" s="429" t="s">
        <v>118</v>
      </c>
      <c r="BF47" s="290"/>
      <c r="BG47" s="290"/>
      <c r="BH47" s="290"/>
      <c r="BI47" s="290"/>
    </row>
    <row r="48" spans="1:61" ht="16.149999999999999" customHeight="1">
      <c r="A48" s="514"/>
      <c r="B48" s="891" t="s">
        <v>1755</v>
      </c>
      <c r="C48" s="3">
        <f>+$C$46+$G$47</f>
        <v>52528.900000000016</v>
      </c>
      <c r="D48" s="83"/>
      <c r="E48" s="4"/>
      <c r="F48" s="4">
        <v>-1000</v>
      </c>
      <c r="G48" s="6"/>
      <c r="H48" s="449"/>
      <c r="I48" s="449"/>
      <c r="J48" s="3"/>
      <c r="K48" s="449"/>
      <c r="L48" s="449" t="s">
        <v>158</v>
      </c>
      <c r="M48" s="449" t="str">
        <f>IF(L48="","",
IF(AX48="PT",VLOOKUP(L48,Foundation_Calc!$V$79:$X$113,VLOOKUP(AX48,Foundation_Calc!$I$10:$J$13,2,FALSE),0),
IF(AX48="K",VLOOKUP(L48,Foundation_Calc!$V$117:$X$151,VLOOKUP(AX48,Foundation_Calc!$I$10:$J$13,2,FALSE),0),"")))</f>
        <v>C4R</v>
      </c>
      <c r="N48" s="449" t="s">
        <v>124</v>
      </c>
      <c r="O48" s="449"/>
      <c r="P48" s="449"/>
      <c r="Q48" s="4"/>
      <c r="R48" s="6"/>
      <c r="S48" s="6"/>
      <c r="T48" s="4">
        <v>-30</v>
      </c>
      <c r="U48" s="4"/>
      <c r="V48" s="4"/>
      <c r="W48" s="9">
        <v>1.4</v>
      </c>
      <c r="X48" s="9"/>
      <c r="Y48" s="9"/>
      <c r="Z48" s="9"/>
      <c r="AA48" s="9"/>
      <c r="AB48" s="9"/>
      <c r="AC48" s="449" t="str">
        <f t="shared" si="6"/>
        <v>PHC</v>
      </c>
      <c r="AD48" s="449"/>
      <c r="AE48" s="449"/>
      <c r="AF48" s="4"/>
      <c r="AG48" s="83"/>
      <c r="AH48" s="4"/>
      <c r="AI48" s="4"/>
      <c r="AJ48" s="449"/>
      <c r="AK48" s="449"/>
      <c r="AL48" s="449"/>
      <c r="AM48" s="449" t="s">
        <v>552</v>
      </c>
      <c r="AN48" s="10">
        <v>5.5</v>
      </c>
      <c r="AO48" s="9"/>
      <c r="AP48" s="9"/>
      <c r="AQ48" s="9"/>
      <c r="AR48" s="9"/>
      <c r="AS48" s="9"/>
      <c r="AT48" s="9">
        <f>+ab($T$48,$T$46,$T$50,$G$47,$G$49, 1*$F$48,1200)</f>
        <v>-3.3981517899815881</v>
      </c>
      <c r="AU48" s="428"/>
      <c r="AV48" s="428"/>
      <c r="AW48" s="449" t="str">
        <f>IF(C48&gt;0,VLOOKUP(C48,Foundation_Calc!$A$2:$C$13,3,1),
IF(J48&gt;0,VLOOKUP(J48,Foundation_Calc!$A$2:$C$13,3,1),""))</f>
        <v>Multi Soil</v>
      </c>
      <c r="AX48" s="449" t="str">
        <f>IF(C48&gt;0,VLOOKUP(C48,Foundation_Calc!$E$2:$G$33,3,1),
IF(J48&gt;0,VLOOKUP(J48,Foundation_Calc!$E$2:$G$33,3,1),""))</f>
        <v>PT</v>
      </c>
      <c r="AY48" s="10">
        <f>IF(L48="","",
IF(AX48="PT",VLOOKUP(L48,Foundation_Calc!$K$79:$R$113,VLOOKUP(AW48,Foundation_Calc!$I$2:$J$8,2,FALSE),0),
IF(AX48="K",VLOOKUP(L48,Foundation_Calc!$K$117:$R$151,VLOOKUP(AW48,Foundation_Calc!$I$2:$J$8,2,FALSE),0),"")))</f>
        <v>3.5</v>
      </c>
      <c r="AZ48" s="10" t="str">
        <f>IF(K48="","",
IF(AX48="PT",VLOOKUP(K48,Foundation_Calc!$K$79:$R$113,VLOOKUP(AW48,Foundation_Calc!$I$2:$J$8,2,FALSE),0),
IF(AX48="K",VLOOKUP(K48,Foundation_Calc!$K$117:$R$151,VLOOKUP(AW48,Foundation_Calc!$I$2:$J$8,2,FALSE),0),"")))</f>
        <v/>
      </c>
      <c r="BA48" s="495" t="str">
        <f t="shared" si="3"/>
        <v>ü</v>
      </c>
      <c r="BB48" s="495" t="str">
        <f t="shared" si="4"/>
        <v/>
      </c>
      <c r="BC48" s="495" t="str">
        <f t="shared" si="5"/>
        <v/>
      </c>
      <c r="BD48" s="513" t="str">
        <f>IF(AND(L48="",H48=""),"",
IF(H48="",Pole_Calc!A$9,
IF(H48="MP",Pole_Calc!A$10,
IF(H48="AnMP",Pole_Calc!A$11,
IF(H48="A",Pole_Calc!A$12,
IF(H48="S/A",Pole_Calc!A$13,
IF(H48="A/S",Pole_Calc!A$14,"Poner a mano")))))))</f>
        <v>App.7-V11I-P9.5.1.1</v>
      </c>
      <c r="BE48" s="429" t="s">
        <v>118</v>
      </c>
      <c r="BF48" s="289"/>
      <c r="BG48" s="289"/>
      <c r="BH48" s="290"/>
      <c r="BI48" s="289"/>
    </row>
    <row r="49" spans="1:61" ht="16.149999999999999" customHeight="1">
      <c r="A49" s="514"/>
      <c r="B49" s="450"/>
      <c r="C49" s="3"/>
      <c r="D49" s="83"/>
      <c r="E49" s="4"/>
      <c r="F49" s="4"/>
      <c r="G49" s="6">
        <v>43</v>
      </c>
      <c r="H49" s="449"/>
      <c r="I49" s="449"/>
      <c r="J49" s="3"/>
      <c r="K49" s="449"/>
      <c r="L49" s="449"/>
      <c r="M49" s="449" t="str">
        <f>IF(L49="","",
IF(AX49="PT",VLOOKUP(L49,Foundation_Calc!$V$79:$X$113,VLOOKUP(AX49,Foundation_Calc!$I$10:$J$13,2,FALSE),0),
IF(AX49="K",VLOOKUP(L49,Foundation_Calc!$V$117:$X$151,VLOOKUP(AX49,Foundation_Calc!$I$10:$J$13,2,FALSE),0),"")))</f>
        <v/>
      </c>
      <c r="N49" s="449"/>
      <c r="O49" s="449"/>
      <c r="P49" s="449"/>
      <c r="Q49" s="4"/>
      <c r="R49" s="6"/>
      <c r="S49" s="6"/>
      <c r="T49" s="4"/>
      <c r="U49" s="4"/>
      <c r="V49" s="4"/>
      <c r="W49" s="9"/>
      <c r="X49" s="9"/>
      <c r="Y49" s="9"/>
      <c r="Z49" s="9"/>
      <c r="AA49" s="9"/>
      <c r="AB49" s="9"/>
      <c r="AC49" s="449" t="str">
        <f t="shared" si="6"/>
        <v/>
      </c>
      <c r="AD49" s="449"/>
      <c r="AE49" s="449"/>
      <c r="AF49" s="4"/>
      <c r="AG49" s="83"/>
      <c r="AH49" s="4"/>
      <c r="AI49" s="4"/>
      <c r="AJ49" s="449"/>
      <c r="AK49" s="449"/>
      <c r="AL49" s="449"/>
      <c r="AM49" s="449"/>
      <c r="AN49" s="10"/>
      <c r="AO49" s="9"/>
      <c r="AP49" s="9"/>
      <c r="AQ49" s="9">
        <f>+FL_2($T$50,$T$48,$G$49,1200,9.28, 1*$F$50)</f>
        <v>-0.30462017823255821</v>
      </c>
      <c r="AR49" s="9"/>
      <c r="AS49" s="9"/>
      <c r="AT49" s="9"/>
      <c r="AU49" s="428"/>
      <c r="AV49" s="428"/>
      <c r="AW49" s="449" t="str">
        <f>IF(C49&gt;0,VLOOKUP(C49,Foundation_Calc!$A$2:$C$13,3,1),
IF(J49&gt;0,VLOOKUP(J49,Foundation_Calc!$A$2:$C$13,3,1),""))</f>
        <v/>
      </c>
      <c r="AX49" s="449" t="str">
        <f>IF(C49&gt;0,VLOOKUP(C49,Foundation_Calc!$E$2:$G$33,3,1),
IF(J49&gt;0,VLOOKUP(J49,Foundation_Calc!$E$2:$G$33,3,1),""))</f>
        <v/>
      </c>
      <c r="AY49" s="10" t="str">
        <f>IF(L49="","",
IF(AX49="PT",VLOOKUP(L49,Foundation_Calc!$K$79:$R$113,VLOOKUP(AW49,Foundation_Calc!$I$2:$J$8,2,FALSE),0),
IF(AX49="K",VLOOKUP(L49,Foundation_Calc!$K$117:$R$151,VLOOKUP(AW49,Foundation_Calc!$I$2:$J$8,2,FALSE),0),"")))</f>
        <v/>
      </c>
      <c r="AZ49" s="10" t="str">
        <f>IF(K49="","",
IF(AX49="PT",VLOOKUP(K49,Foundation_Calc!$K$79:$R$113,VLOOKUP(AW49,Foundation_Calc!$I$2:$J$8,2,FALSE),0),
IF(AX49="K",VLOOKUP(K49,Foundation_Calc!$K$117:$R$151,VLOOKUP(AW49,Foundation_Calc!$I$2:$J$8,2,FALSE),0),"")))</f>
        <v/>
      </c>
      <c r="BA49" s="495" t="str">
        <f t="shared" si="3"/>
        <v/>
      </c>
      <c r="BB49" s="495" t="str">
        <f t="shared" si="4"/>
        <v/>
      </c>
      <c r="BC49" s="495" t="str">
        <f t="shared" si="5"/>
        <v/>
      </c>
      <c r="BD49" s="513" t="str">
        <f>IF(AND(L49="",H49=""),"",
IF(H49="",Pole_Calc!A$9,
IF(H49="MP",Pole_Calc!A$10,
IF(H49="AnMP",Pole_Calc!A$11,
IF(H49="A",Pole_Calc!A$12,
IF(H49="S/A",Pole_Calc!A$13,
IF(H49="A/S",Pole_Calc!A$14,"Poner a mano")))))))</f>
        <v/>
      </c>
      <c r="BE49" s="429" t="s">
        <v>118</v>
      </c>
      <c r="BF49" s="290"/>
      <c r="BG49" s="290"/>
      <c r="BH49" s="290"/>
      <c r="BI49" s="290"/>
    </row>
    <row r="50" spans="1:61" ht="16.149999999999999" customHeight="1">
      <c r="A50" s="514"/>
      <c r="B50" s="891" t="s">
        <v>1756</v>
      </c>
      <c r="C50" s="3">
        <f>+$C$48+$G$49-0.1</f>
        <v>52571.800000000017</v>
      </c>
      <c r="D50" s="83"/>
      <c r="E50" s="4"/>
      <c r="F50" s="4">
        <v>0</v>
      </c>
      <c r="G50" s="6"/>
      <c r="H50" s="449"/>
      <c r="I50" s="449"/>
      <c r="J50" s="3"/>
      <c r="K50" s="449"/>
      <c r="L50" s="449" t="s">
        <v>153</v>
      </c>
      <c r="M50" s="449" t="str">
        <f>IF(L50="","",
IF(AX50="PT",VLOOKUP(L50,Foundation_Calc!$V$79:$X$113,VLOOKUP(AX50,Foundation_Calc!$I$10:$J$13,2,FALSE),0),
IF(AX50="K",VLOOKUP(L50,Foundation_Calc!$V$117:$X$151,VLOOKUP(AX50,Foundation_Calc!$I$10:$J$13,2,FALSE),0),"")))</f>
        <v>C3R</v>
      </c>
      <c r="N50" s="449" t="s">
        <v>134</v>
      </c>
      <c r="O50" s="449"/>
      <c r="P50" s="449"/>
      <c r="Q50" s="4"/>
      <c r="R50" s="6"/>
      <c r="S50" s="6"/>
      <c r="T50" s="4">
        <v>30</v>
      </c>
      <c r="U50" s="4"/>
      <c r="V50" s="4"/>
      <c r="W50" s="9">
        <v>1.4</v>
      </c>
      <c r="X50" s="9"/>
      <c r="Y50" s="9"/>
      <c r="Z50" s="9"/>
      <c r="AA50" s="9"/>
      <c r="AB50" s="9"/>
      <c r="AC50" s="449" t="str">
        <f t="shared" si="6"/>
        <v>PHQ</v>
      </c>
      <c r="AD50" s="449"/>
      <c r="AE50" s="449"/>
      <c r="AF50" s="4"/>
      <c r="AG50" s="83"/>
      <c r="AH50" s="4"/>
      <c r="AI50" s="4"/>
      <c r="AJ50" s="449"/>
      <c r="AK50" s="449"/>
      <c r="AL50" s="449"/>
      <c r="AM50" s="449" t="s">
        <v>552</v>
      </c>
      <c r="AN50" s="10">
        <v>5.5</v>
      </c>
      <c r="AO50" s="9"/>
      <c r="AP50" s="9"/>
      <c r="AQ50" s="9"/>
      <c r="AR50" s="9"/>
      <c r="AS50" s="9"/>
      <c r="AT50" s="9">
        <f>+ab($T$50,$T$48,$T$52,$G$49,$G$51, 1*$F$50,1200)</f>
        <v>5.9499092380906502</v>
      </c>
      <c r="AU50" s="428"/>
      <c r="AV50" s="428"/>
      <c r="AW50" s="449" t="str">
        <f>IF(C50&gt;0,VLOOKUP(C50,Foundation_Calc!$A$2:$C$13,3,1),
IF(J50&gt;0,VLOOKUP(J50,Foundation_Calc!$A$2:$C$13,3,1),""))</f>
        <v>Multi Soil</v>
      </c>
      <c r="AX50" s="449" t="str">
        <f>IF(C50&gt;0,VLOOKUP(C50,Foundation_Calc!$E$2:$G$33,3,1),
IF(J50&gt;0,VLOOKUP(J50,Foundation_Calc!$E$2:$G$33,3,1),""))</f>
        <v>PT</v>
      </c>
      <c r="AY50" s="10">
        <f>IF(L50="","",
IF(AX50="PT",VLOOKUP(L50,Foundation_Calc!$K$79:$R$113,VLOOKUP(AW50,Foundation_Calc!$I$2:$J$8,2,FALSE),0),
IF(AX50="K",VLOOKUP(L50,Foundation_Calc!$K$117:$R$151,VLOOKUP(AW50,Foundation_Calc!$I$2:$J$8,2,FALSE),0),"")))</f>
        <v>3.5</v>
      </c>
      <c r="AZ50" s="10" t="str">
        <f>IF(K50="","",
IF(AX50="PT",VLOOKUP(K50,Foundation_Calc!$K$79:$R$113,VLOOKUP(AW50,Foundation_Calc!$I$2:$J$8,2,FALSE),0),
IF(AX50="K",VLOOKUP(K50,Foundation_Calc!$K$117:$R$151,VLOOKUP(AW50,Foundation_Calc!$I$2:$J$8,2,FALSE),0),"")))</f>
        <v/>
      </c>
      <c r="BA50" s="495" t="str">
        <f t="shared" si="3"/>
        <v>ü</v>
      </c>
      <c r="BB50" s="495" t="str">
        <f t="shared" si="4"/>
        <v/>
      </c>
      <c r="BC50" s="495" t="str">
        <f t="shared" si="5"/>
        <v/>
      </c>
      <c r="BD50" s="513" t="str">
        <f>IF(AND(L50="",H50=""),"",
IF(H50="",Pole_Calc!A$9,
IF(H50="MP",Pole_Calc!A$10,
IF(H50="AnMP",Pole_Calc!A$11,
IF(H50="A",Pole_Calc!A$12,
IF(H50="S/A",Pole_Calc!A$13,
IF(H50="A/S",Pole_Calc!A$14,"Poner a mano")))))))</f>
        <v>App.7-V11I-P9.5.1.1</v>
      </c>
      <c r="BE50" s="429" t="s">
        <v>118</v>
      </c>
      <c r="BF50" s="289"/>
      <c r="BG50" s="289"/>
      <c r="BH50" s="290"/>
      <c r="BI50" s="289"/>
    </row>
    <row r="51" spans="1:61" ht="16.149999999999999" customHeight="1">
      <c r="A51" s="514"/>
      <c r="B51" s="450"/>
      <c r="C51" s="3"/>
      <c r="D51" s="83"/>
      <c r="E51" s="4"/>
      <c r="F51" s="4"/>
      <c r="G51" s="6">
        <v>33</v>
      </c>
      <c r="H51" s="449"/>
      <c r="I51" s="449"/>
      <c r="J51" s="3"/>
      <c r="K51" s="449"/>
      <c r="L51" s="449"/>
      <c r="M51" s="449" t="str">
        <f>IF(L51="","",
IF(AX51="PT",VLOOKUP(L51,Foundation_Calc!$V$79:$X$113,VLOOKUP(AX51,Foundation_Calc!$I$10:$J$13,2,FALSE),0),
IF(AX51="K",VLOOKUP(L51,Foundation_Calc!$V$117:$X$151,VLOOKUP(AX51,Foundation_Calc!$I$10:$J$13,2,FALSE),0),"")))</f>
        <v/>
      </c>
      <c r="N51" s="449"/>
      <c r="O51" s="449"/>
      <c r="P51" s="449"/>
      <c r="Q51" s="4"/>
      <c r="R51" s="6"/>
      <c r="S51" s="6"/>
      <c r="T51" s="4"/>
      <c r="U51" s="4"/>
      <c r="V51" s="4"/>
      <c r="W51" s="9"/>
      <c r="X51" s="9"/>
      <c r="Y51" s="9"/>
      <c r="Z51" s="9"/>
      <c r="AA51" s="9"/>
      <c r="AB51" s="9"/>
      <c r="AC51" s="449" t="str">
        <f t="shared" si="6"/>
        <v/>
      </c>
      <c r="AD51" s="449"/>
      <c r="AE51" s="449"/>
      <c r="AF51" s="4"/>
      <c r="AG51" s="83"/>
      <c r="AH51" s="4"/>
      <c r="AI51" s="4"/>
      <c r="AJ51" s="449"/>
      <c r="AK51" s="449"/>
      <c r="AL51" s="449"/>
      <c r="AM51" s="449"/>
      <c r="AN51" s="10"/>
      <c r="AO51" s="9"/>
      <c r="AP51" s="9"/>
      <c r="AQ51" s="9">
        <f>+FL_1($T$52,$T$50,$G$51,1200,9.28, 1*$F$52)</f>
        <v>0.46302422399419474</v>
      </c>
      <c r="AR51" s="9"/>
      <c r="AS51" s="9"/>
      <c r="AT51" s="9"/>
      <c r="AU51" s="428"/>
      <c r="AV51" s="428"/>
      <c r="AW51" s="449" t="str">
        <f>IF(C51&gt;0,VLOOKUP(C51,Foundation_Calc!$A$2:$C$13,3,1),
IF(J51&gt;0,VLOOKUP(J51,Foundation_Calc!$A$2:$C$13,3,1),""))</f>
        <v/>
      </c>
      <c r="AX51" s="449" t="str">
        <f>IF(C51&gt;0,VLOOKUP(C51,Foundation_Calc!$E$2:$G$33,3,1),
IF(J51&gt;0,VLOOKUP(J51,Foundation_Calc!$E$2:$G$33,3,1),""))</f>
        <v/>
      </c>
      <c r="AY51" s="10" t="str">
        <f>IF(L51="","",
IF(AX51="PT",VLOOKUP(L51,Foundation_Calc!$K$79:$R$113,VLOOKUP(AW51,Foundation_Calc!$I$2:$J$8,2,FALSE),0),
IF(AX51="K",VLOOKUP(L51,Foundation_Calc!$K$117:$R$151,VLOOKUP(AW51,Foundation_Calc!$I$2:$J$8,2,FALSE),0),"")))</f>
        <v/>
      </c>
      <c r="AZ51" s="10" t="str">
        <f>IF(K51="","",
IF(AX51="PT",VLOOKUP(K51,Foundation_Calc!$K$79:$R$113,VLOOKUP(AW51,Foundation_Calc!$I$2:$J$8,2,FALSE),0),
IF(AX51="K",VLOOKUP(K51,Foundation_Calc!$K$117:$R$151,VLOOKUP(AW51,Foundation_Calc!$I$2:$J$8,2,FALSE),0),"")))</f>
        <v/>
      </c>
      <c r="BA51" s="495" t="str">
        <f t="shared" si="3"/>
        <v/>
      </c>
      <c r="BB51" s="495" t="str">
        <f t="shared" si="4"/>
        <v/>
      </c>
      <c r="BC51" s="495" t="str">
        <f t="shared" si="5"/>
        <v/>
      </c>
      <c r="BD51" s="513" t="str">
        <f>IF(AND(L51="",H51=""),"",
IF(H51="",Pole_Calc!A$9,
IF(H51="MP",Pole_Calc!A$10,
IF(H51="AnMP",Pole_Calc!A$11,
IF(H51="A",Pole_Calc!A$12,
IF(H51="S/A",Pole_Calc!A$13,
IF(H51="A/S",Pole_Calc!A$14,"Poner a mano")))))))</f>
        <v/>
      </c>
      <c r="BE51" s="429" t="s">
        <v>118</v>
      </c>
      <c r="BF51" s="290"/>
      <c r="BG51" s="290"/>
      <c r="BH51" s="290"/>
      <c r="BI51" s="290"/>
    </row>
    <row r="52" spans="1:61" ht="16.149999999999999" customHeight="1">
      <c r="A52" s="514"/>
      <c r="B52" s="450" t="s">
        <v>1757</v>
      </c>
      <c r="C52" s="3">
        <f>+$C$50+$G$51</f>
        <v>52604.800000000017</v>
      </c>
      <c r="D52" s="83"/>
      <c r="E52" s="4"/>
      <c r="F52" s="4">
        <v>-450</v>
      </c>
      <c r="G52" s="6"/>
      <c r="H52" s="449"/>
      <c r="I52" s="449"/>
      <c r="J52" s="3"/>
      <c r="K52" s="449"/>
      <c r="L52" s="449" t="s">
        <v>158</v>
      </c>
      <c r="M52" s="449" t="str">
        <f>IF(L52="","",
IF(AX52="PT",VLOOKUP(L52,Foundation_Calc!$V$79:$X$113,VLOOKUP(AX52,Foundation_Calc!$I$10:$J$13,2,FALSE),0),
IF(AX52="K",VLOOKUP(L52,Foundation_Calc!$V$117:$X$151,VLOOKUP(AX52,Foundation_Calc!$I$10:$J$13,2,FALSE),0),"")))</f>
        <v>C4R</v>
      </c>
      <c r="N52" s="449" t="s">
        <v>124</v>
      </c>
      <c r="O52" s="449"/>
      <c r="P52" s="449"/>
      <c r="Q52" s="4"/>
      <c r="R52" s="6"/>
      <c r="S52" s="6"/>
      <c r="T52" s="4">
        <v>-30</v>
      </c>
      <c r="U52" s="4"/>
      <c r="V52" s="4"/>
      <c r="W52" s="9">
        <v>1.4</v>
      </c>
      <c r="X52" s="9"/>
      <c r="Y52" s="9"/>
      <c r="Z52" s="9"/>
      <c r="AA52" s="9"/>
      <c r="AB52" s="9"/>
      <c r="AC52" s="449" t="str">
        <f t="shared" si="6"/>
        <v>PHC</v>
      </c>
      <c r="AD52" s="449"/>
      <c r="AE52" s="449"/>
      <c r="AF52" s="4"/>
      <c r="AG52" s="83"/>
      <c r="AH52" s="4"/>
      <c r="AI52" s="4"/>
      <c r="AJ52" s="449"/>
      <c r="AK52" s="449"/>
      <c r="AL52" s="449"/>
      <c r="AM52" s="449" t="s">
        <v>552</v>
      </c>
      <c r="AN52" s="10">
        <v>5.5</v>
      </c>
      <c r="AO52" s="9"/>
      <c r="AP52" s="9"/>
      <c r="AQ52" s="9"/>
      <c r="AR52" s="9"/>
      <c r="AS52" s="9"/>
      <c r="AT52" s="9">
        <f>+ab($T$52,$T$50,$T$54,$G$51,$G$53, 1*$F$52,1200)</f>
        <v>-2.0959050230954022</v>
      </c>
      <c r="AU52" s="428"/>
      <c r="AV52" s="428"/>
      <c r="AW52" s="449" t="str">
        <f>IF(C52&gt;0,VLOOKUP(C52,Foundation_Calc!$A$2:$C$13,3,1),
IF(J52&gt;0,VLOOKUP(J52,Foundation_Calc!$A$2:$C$13,3,1),""))</f>
        <v>Multi Soil</v>
      </c>
      <c r="AX52" s="449" t="str">
        <f>IF(C52&gt;0,VLOOKUP(C52,Foundation_Calc!$E$2:$G$33,3,1),
IF(J52&gt;0,VLOOKUP(J52,Foundation_Calc!$E$2:$G$33,3,1),""))</f>
        <v>PT</v>
      </c>
      <c r="AY52" s="10">
        <f>IF(L52="","",
IF(AX52="PT",VLOOKUP(L52,Foundation_Calc!$K$79:$R$113,VLOOKUP(AW52,Foundation_Calc!$I$2:$J$8,2,FALSE),0),
IF(AX52="K",VLOOKUP(L52,Foundation_Calc!$K$117:$R$151,VLOOKUP(AW52,Foundation_Calc!$I$2:$J$8,2,FALSE),0),"")))</f>
        <v>3.5</v>
      </c>
      <c r="AZ52" s="10" t="str">
        <f>IF(K52="","",
IF(AX52="PT",VLOOKUP(K52,Foundation_Calc!$K$79:$R$113,VLOOKUP(AW52,Foundation_Calc!$I$2:$J$8,2,FALSE),0),
IF(AX52="K",VLOOKUP(K52,Foundation_Calc!$K$117:$R$151,VLOOKUP(AW52,Foundation_Calc!$I$2:$J$8,2,FALSE),0),"")))</f>
        <v/>
      </c>
      <c r="BA52" s="495" t="str">
        <f t="shared" si="3"/>
        <v>ü</v>
      </c>
      <c r="BB52" s="495" t="str">
        <f t="shared" si="4"/>
        <v/>
      </c>
      <c r="BC52" s="495" t="str">
        <f t="shared" si="5"/>
        <v/>
      </c>
      <c r="BD52" s="513" t="str">
        <f>IF(AND(L52="",H52=""),"",
IF(H52="",Pole_Calc!A$9,
IF(H52="MP",Pole_Calc!A$10,
IF(H52="AnMP",Pole_Calc!A$11,
IF(H52="A",Pole_Calc!A$12,
IF(H52="S/A",Pole_Calc!A$13,
IF(H52="A/S",Pole_Calc!A$14,"Poner a mano")))))))</f>
        <v>App.7-V11I-P9.5.1.1</v>
      </c>
      <c r="BE52" s="429" t="s">
        <v>118</v>
      </c>
      <c r="BF52" s="289"/>
      <c r="BG52" s="289"/>
      <c r="BH52" s="290"/>
      <c r="BI52" s="289"/>
    </row>
    <row r="53" spans="1:61" ht="16.149999999999999" customHeight="1">
      <c r="A53" s="514"/>
      <c r="B53" s="450"/>
      <c r="C53" s="3"/>
      <c r="D53" s="83"/>
      <c r="E53" s="4"/>
      <c r="F53" s="4"/>
      <c r="G53" s="6">
        <v>33</v>
      </c>
      <c r="H53" s="449"/>
      <c r="I53" s="449"/>
      <c r="J53" s="3"/>
      <c r="K53" s="449"/>
      <c r="L53" s="449"/>
      <c r="M53" s="449" t="str">
        <f>IF(L53="","",
IF(AX53="PT",VLOOKUP(L53,Foundation_Calc!$V$79:$X$113,VLOOKUP(AX53,Foundation_Calc!$I$10:$J$13,2,FALSE),0),
IF(AX53="K",VLOOKUP(L53,Foundation_Calc!$V$117:$X$151,VLOOKUP(AX53,Foundation_Calc!$I$10:$J$13,2,FALSE),0),"")))</f>
        <v/>
      </c>
      <c r="N53" s="449"/>
      <c r="O53" s="449"/>
      <c r="P53" s="449"/>
      <c r="Q53" s="4"/>
      <c r="R53" s="6"/>
      <c r="S53" s="6"/>
      <c r="T53" s="4"/>
      <c r="U53" s="4"/>
      <c r="V53" s="4"/>
      <c r="W53" s="9"/>
      <c r="X53" s="9"/>
      <c r="Y53" s="9"/>
      <c r="Z53" s="9"/>
      <c r="AA53" s="9"/>
      <c r="AB53" s="9"/>
      <c r="AC53" s="449" t="str">
        <f t="shared" si="6"/>
        <v/>
      </c>
      <c r="AD53" s="449"/>
      <c r="AE53" s="449"/>
      <c r="AF53" s="4"/>
      <c r="AG53" s="83"/>
      <c r="AH53" s="4"/>
      <c r="AI53" s="4"/>
      <c r="AJ53" s="449"/>
      <c r="AK53" s="449"/>
      <c r="AL53" s="449"/>
      <c r="AM53" s="449"/>
      <c r="AN53" s="10"/>
      <c r="AO53" s="9"/>
      <c r="AP53" s="9"/>
      <c r="AQ53" s="9">
        <f>+FL_2($T$54,$T$52,$G$53,1200,9.28, 1*$F$54)</f>
        <v>-0.30000000000003124</v>
      </c>
      <c r="AR53" s="9"/>
      <c r="AS53" s="9"/>
      <c r="AT53" s="9"/>
      <c r="AU53" s="428"/>
      <c r="AV53" s="428"/>
      <c r="AW53" s="449" t="str">
        <f>IF(C53&gt;0,VLOOKUP(C53,Foundation_Calc!$A$2:$C$13,3,1),
IF(J53&gt;0,VLOOKUP(J53,Foundation_Calc!$A$2:$C$13,3,1),""))</f>
        <v/>
      </c>
      <c r="AX53" s="449" t="str">
        <f>IF(C53&gt;0,VLOOKUP(C53,Foundation_Calc!$E$2:$G$33,3,1),
IF(J53&gt;0,VLOOKUP(J53,Foundation_Calc!$E$2:$G$33,3,1),""))</f>
        <v/>
      </c>
      <c r="AY53" s="10" t="str">
        <f>IF(L53="","",
IF(AX53="PT",VLOOKUP(L53,Foundation_Calc!$K$79:$R$113,VLOOKUP(AW53,Foundation_Calc!$I$2:$J$8,2,FALSE),0),
IF(AX53="K",VLOOKUP(L53,Foundation_Calc!$K$117:$R$151,VLOOKUP(AW53,Foundation_Calc!$I$2:$J$8,2,FALSE),0),"")))</f>
        <v/>
      </c>
      <c r="AZ53" s="10" t="str">
        <f>IF(K53="","",
IF(AX53="PT",VLOOKUP(K53,Foundation_Calc!$K$79:$R$113,VLOOKUP(AW53,Foundation_Calc!$I$2:$J$8,2,FALSE),0),
IF(AX53="K",VLOOKUP(K53,Foundation_Calc!$K$117:$R$151,VLOOKUP(AW53,Foundation_Calc!$I$2:$J$8,2,FALSE),0),"")))</f>
        <v/>
      </c>
      <c r="BA53" s="495" t="str">
        <f t="shared" si="3"/>
        <v/>
      </c>
      <c r="BB53" s="495" t="str">
        <f t="shared" si="4"/>
        <v/>
      </c>
      <c r="BC53" s="495" t="str">
        <f t="shared" si="5"/>
        <v/>
      </c>
      <c r="BD53" s="513" t="str">
        <f>IF(AND(L53="",H53=""),"",
IF(H53="",Pole_Calc!A$9,
IF(H53="MP",Pole_Calc!A$10,
IF(H53="AnMP",Pole_Calc!A$11,
IF(H53="A",Pole_Calc!A$12,
IF(H53="S/A",Pole_Calc!A$13,
IF(H53="A/S",Pole_Calc!A$14,"Poner a mano")))))))</f>
        <v/>
      </c>
      <c r="BE53" s="429" t="s">
        <v>118</v>
      </c>
      <c r="BF53" s="290"/>
      <c r="BG53" s="290"/>
      <c r="BH53" s="290"/>
      <c r="BI53" s="290"/>
    </row>
    <row r="54" spans="1:61" ht="16.149999999999999" customHeight="1">
      <c r="A54" s="514"/>
      <c r="B54" s="450" t="s">
        <v>1758</v>
      </c>
      <c r="C54" s="3">
        <f>+$C$52+$G$53</f>
        <v>52637.800000000017</v>
      </c>
      <c r="D54" s="83"/>
      <c r="E54" s="4"/>
      <c r="F54" s="4">
        <v>-450</v>
      </c>
      <c r="G54" s="6"/>
      <c r="H54" s="449"/>
      <c r="I54" s="449"/>
      <c r="J54" s="3"/>
      <c r="K54" s="449"/>
      <c r="L54" s="449" t="s">
        <v>158</v>
      </c>
      <c r="M54" s="449" t="str">
        <f>IF(L54="","",
IF(AX54="PT",VLOOKUP(L54,Foundation_Calc!$V$79:$X$113,VLOOKUP(AX54,Foundation_Calc!$I$10:$J$13,2,FALSE),0),
IF(AX54="K",VLOOKUP(L54,Foundation_Calc!$V$117:$X$151,VLOOKUP(AX54,Foundation_Calc!$I$10:$J$13,2,FALSE),0),"")))</f>
        <v>C4R</v>
      </c>
      <c r="N54" s="449" t="s">
        <v>124</v>
      </c>
      <c r="O54" s="449"/>
      <c r="P54" s="449"/>
      <c r="Q54" s="4"/>
      <c r="R54" s="6"/>
      <c r="S54" s="6"/>
      <c r="T54" s="4">
        <v>-30</v>
      </c>
      <c r="U54" s="4"/>
      <c r="V54" s="4"/>
      <c r="W54" s="9">
        <v>1.4</v>
      </c>
      <c r="X54" s="9"/>
      <c r="Y54" s="9"/>
      <c r="Z54" s="9"/>
      <c r="AA54" s="9"/>
      <c r="AB54" s="9"/>
      <c r="AC54" s="449" t="str">
        <f t="shared" si="6"/>
        <v>PHC</v>
      </c>
      <c r="AD54" s="449"/>
      <c r="AE54" s="449"/>
      <c r="AF54" s="4"/>
      <c r="AG54" s="83"/>
      <c r="AH54" s="4"/>
      <c r="AI54" s="4"/>
      <c r="AJ54" s="449"/>
      <c r="AK54" s="449"/>
      <c r="AL54" s="449"/>
      <c r="AM54" s="449" t="s">
        <v>552</v>
      </c>
      <c r="AN54" s="10">
        <v>5.5</v>
      </c>
      <c r="AO54" s="9"/>
      <c r="AP54" s="9"/>
      <c r="AQ54" s="9"/>
      <c r="AR54" s="9"/>
      <c r="AS54" s="9"/>
      <c r="AT54" s="9">
        <f>+ab($T$54,$T$52,$T$56,$G$53,$G$55, 1*$F$54,1200)</f>
        <v>-2.6149011397388637</v>
      </c>
      <c r="AU54" s="428"/>
      <c r="AV54" s="428"/>
      <c r="AW54" s="449" t="str">
        <f>IF(C54&gt;0,VLOOKUP(C54,Foundation_Calc!$A$2:$C$13,3,1),
IF(J54&gt;0,VLOOKUP(J54,Foundation_Calc!$A$2:$C$13,3,1),""))</f>
        <v>Multi Soil</v>
      </c>
      <c r="AX54" s="449" t="str">
        <f>IF(C54&gt;0,VLOOKUP(C54,Foundation_Calc!$E$2:$G$33,3,1),
IF(J54&gt;0,VLOOKUP(J54,Foundation_Calc!$E$2:$G$33,3,1),""))</f>
        <v>PT</v>
      </c>
      <c r="AY54" s="10">
        <f>IF(L54="","",
IF(AX54="PT",VLOOKUP(L54,Foundation_Calc!$K$79:$R$113,VLOOKUP(AW54,Foundation_Calc!$I$2:$J$8,2,FALSE),0),
IF(AX54="K",VLOOKUP(L54,Foundation_Calc!$K$117:$R$151,VLOOKUP(AW54,Foundation_Calc!$I$2:$J$8,2,FALSE),0),"")))</f>
        <v>3.5</v>
      </c>
      <c r="AZ54" s="10" t="str">
        <f>IF(K54="","",
IF(AX54="PT",VLOOKUP(K54,Foundation_Calc!$K$79:$R$113,VLOOKUP(AW54,Foundation_Calc!$I$2:$J$8,2,FALSE),0),
IF(AX54="K",VLOOKUP(K54,Foundation_Calc!$K$117:$R$151,VLOOKUP(AW54,Foundation_Calc!$I$2:$J$8,2,FALSE),0),"")))</f>
        <v/>
      </c>
      <c r="BA54" s="495" t="str">
        <f t="shared" si="3"/>
        <v>ü</v>
      </c>
      <c r="BB54" s="495" t="str">
        <f t="shared" si="4"/>
        <v/>
      </c>
      <c r="BC54" s="495" t="str">
        <f t="shared" si="5"/>
        <v/>
      </c>
      <c r="BD54" s="513" t="str">
        <f>IF(AND(L54="",H54=""),"",
IF(H54="",Pole_Calc!A$9,
IF(H54="MP",Pole_Calc!A$10,
IF(H54="AnMP",Pole_Calc!A$11,
IF(H54="A",Pole_Calc!A$12,
IF(H54="S/A",Pole_Calc!A$13,
IF(H54="A/S",Pole_Calc!A$14,"Poner a mano")))))))</f>
        <v>App.7-V11I-P9.5.1.1</v>
      </c>
      <c r="BE54" s="429" t="s">
        <v>118</v>
      </c>
      <c r="BF54" s="289"/>
      <c r="BG54" s="289"/>
      <c r="BH54" s="290"/>
      <c r="BI54" s="289"/>
    </row>
    <row r="55" spans="1:61" ht="16.149999999999999" customHeight="1">
      <c r="A55" s="514"/>
      <c r="B55" s="450"/>
      <c r="C55" s="3"/>
      <c r="D55" s="83"/>
      <c r="E55" s="4"/>
      <c r="F55" s="4"/>
      <c r="G55" s="6">
        <v>33</v>
      </c>
      <c r="H55" s="449"/>
      <c r="I55" s="449"/>
      <c r="J55" s="3"/>
      <c r="K55" s="449"/>
      <c r="L55" s="449"/>
      <c r="M55" s="449" t="str">
        <f>IF(L55="","",
IF(AX55="PT",VLOOKUP(L55,Foundation_Calc!$V$79:$X$113,VLOOKUP(AX55,Foundation_Calc!$I$10:$J$13,2,FALSE),0),
IF(AX55="K",VLOOKUP(L55,Foundation_Calc!$V$117:$X$151,VLOOKUP(AX55,Foundation_Calc!$I$10:$J$13,2,FALSE),0),"")))</f>
        <v/>
      </c>
      <c r="N55" s="449"/>
      <c r="O55" s="449"/>
      <c r="P55" s="449"/>
      <c r="Q55" s="4"/>
      <c r="R55" s="6"/>
      <c r="S55" s="6"/>
      <c r="T55" s="4"/>
      <c r="U55" s="4"/>
      <c r="V55" s="4"/>
      <c r="W55" s="9"/>
      <c r="X55" s="9"/>
      <c r="Y55" s="9"/>
      <c r="Z55" s="9"/>
      <c r="AA55" s="9"/>
      <c r="AB55" s="9"/>
      <c r="AC55" s="449" t="str">
        <f t="shared" si="6"/>
        <v/>
      </c>
      <c r="AD55" s="449"/>
      <c r="AE55" s="449"/>
      <c r="AF55" s="4"/>
      <c r="AG55" s="83"/>
      <c r="AH55" s="4"/>
      <c r="AI55" s="4"/>
      <c r="AJ55" s="449"/>
      <c r="AK55" s="449"/>
      <c r="AL55" s="449"/>
      <c r="AM55" s="449"/>
      <c r="AN55" s="10"/>
      <c r="AO55" s="9"/>
      <c r="AP55" s="9"/>
      <c r="AQ55" s="9">
        <f>+FL_2($T$56,$T$54,$G$55,1200,9.28, 1*$F$56)</f>
        <v>-0.30000000000003124</v>
      </c>
      <c r="AR55" s="9"/>
      <c r="AS55" s="9"/>
      <c r="AT55" s="9"/>
      <c r="AU55" s="428"/>
      <c r="AV55" s="428"/>
      <c r="AW55" s="449" t="str">
        <f>IF(C55&gt;0,VLOOKUP(C55,Foundation_Calc!$A$2:$C$13,3,1),
IF(J55&gt;0,VLOOKUP(J55,Foundation_Calc!$A$2:$C$13,3,1),""))</f>
        <v/>
      </c>
      <c r="AX55" s="449" t="str">
        <f>IF(C55&gt;0,VLOOKUP(C55,Foundation_Calc!$E$2:$G$33,3,1),
IF(J55&gt;0,VLOOKUP(J55,Foundation_Calc!$E$2:$G$33,3,1),""))</f>
        <v/>
      </c>
      <c r="AY55" s="10" t="str">
        <f>IF(L55="","",
IF(AX55="PT",VLOOKUP(L55,Foundation_Calc!$K$79:$R$113,VLOOKUP(AW55,Foundation_Calc!$I$2:$J$8,2,FALSE),0),
IF(AX55="K",VLOOKUP(L55,Foundation_Calc!$K$117:$R$151,VLOOKUP(AW55,Foundation_Calc!$I$2:$J$8,2,FALSE),0),"")))</f>
        <v/>
      </c>
      <c r="AZ55" s="10" t="str">
        <f>IF(K55="","",
IF(AX55="PT",VLOOKUP(K55,Foundation_Calc!$K$79:$R$113,VLOOKUP(AW55,Foundation_Calc!$I$2:$J$8,2,FALSE),0),
IF(AX55="K",VLOOKUP(K55,Foundation_Calc!$K$117:$R$151,VLOOKUP(AW55,Foundation_Calc!$I$2:$J$8,2,FALSE),0),"")))</f>
        <v/>
      </c>
      <c r="BA55" s="495" t="str">
        <f t="shared" si="3"/>
        <v/>
      </c>
      <c r="BB55" s="495" t="str">
        <f t="shared" si="4"/>
        <v/>
      </c>
      <c r="BC55" s="495" t="str">
        <f t="shared" si="5"/>
        <v/>
      </c>
      <c r="BD55" s="513" t="str">
        <f>IF(AND(L55="",H55=""),"",
IF(H55="",Pole_Calc!A$9,
IF(H55="MP",Pole_Calc!A$10,
IF(H55="AnMP",Pole_Calc!A$11,
IF(H55="A",Pole_Calc!A$12,
IF(H55="S/A",Pole_Calc!A$13,
IF(H55="A/S",Pole_Calc!A$14,"Poner a mano")))))))</f>
        <v/>
      </c>
      <c r="BE55" s="429" t="s">
        <v>118</v>
      </c>
      <c r="BF55" s="290"/>
      <c r="BG55" s="290"/>
      <c r="BH55" s="290"/>
      <c r="BI55" s="290"/>
    </row>
    <row r="56" spans="1:61" ht="16.149999999999999" customHeight="1">
      <c r="A56" s="514"/>
      <c r="B56" s="450" t="s">
        <v>1759</v>
      </c>
      <c r="C56" s="3">
        <f>+$C$54+$G$55</f>
        <v>52670.800000000017</v>
      </c>
      <c r="D56" s="83"/>
      <c r="E56" s="4"/>
      <c r="F56" s="4">
        <v>-450</v>
      </c>
      <c r="G56" s="6"/>
      <c r="H56" s="449"/>
      <c r="I56" s="449"/>
      <c r="J56" s="3"/>
      <c r="K56" s="449"/>
      <c r="L56" s="449" t="s">
        <v>158</v>
      </c>
      <c r="M56" s="449" t="str">
        <f>IF(L56="","",
IF(AX56="PT",VLOOKUP(L56,Foundation_Calc!$V$79:$X$113,VLOOKUP(AX56,Foundation_Calc!$I$10:$J$13,2,FALSE),0),
IF(AX56="K",VLOOKUP(L56,Foundation_Calc!$V$117:$X$151,VLOOKUP(AX56,Foundation_Calc!$I$10:$J$13,2,FALSE),0),"")))</f>
        <v>C4R</v>
      </c>
      <c r="N56" s="449" t="s">
        <v>124</v>
      </c>
      <c r="O56" s="449"/>
      <c r="P56" s="449"/>
      <c r="Q56" s="4">
        <f>'HR Track 2'!Q496</f>
        <v>0</v>
      </c>
      <c r="R56" s="6">
        <f>'HR Track 2'!R496</f>
        <v>0</v>
      </c>
      <c r="S56" s="6">
        <f>'HR Track 2'!S496</f>
        <v>0</v>
      </c>
      <c r="T56" s="4">
        <v>-30</v>
      </c>
      <c r="U56" s="4"/>
      <c r="V56" s="4"/>
      <c r="W56" s="9">
        <v>1.4</v>
      </c>
      <c r="X56" s="9"/>
      <c r="Y56" s="9"/>
      <c r="Z56" s="9"/>
      <c r="AA56" s="9"/>
      <c r="AB56" s="9"/>
      <c r="AC56" s="449" t="str">
        <f t="shared" si="6"/>
        <v>PHC</v>
      </c>
      <c r="AD56" s="449"/>
      <c r="AE56" s="449"/>
      <c r="AF56" s="4">
        <f>'HR Track 2'!AF496</f>
        <v>0</v>
      </c>
      <c r="AG56" s="83">
        <f>'HR Track 2'!AG496</f>
        <v>0</v>
      </c>
      <c r="AH56" s="4">
        <f>'HR Track 2'!AH496</f>
        <v>0</v>
      </c>
      <c r="AI56" s="4">
        <f>'HR Track 2'!AI496</f>
        <v>0</v>
      </c>
      <c r="AJ56" s="449"/>
      <c r="AK56" s="449"/>
      <c r="AL56" s="449"/>
      <c r="AM56" s="449" t="s">
        <v>552</v>
      </c>
      <c r="AN56" s="10">
        <v>5.5</v>
      </c>
      <c r="AO56" s="9"/>
      <c r="AP56" s="9"/>
      <c r="AQ56" s="9"/>
      <c r="AR56" s="9"/>
      <c r="AS56" s="9"/>
      <c r="AT56" s="9">
        <f>+ab($T$56,$T$54,$T$58,$G$55,$G$57, 1*$F$56,1200)</f>
        <v>-2.0551110621146491</v>
      </c>
      <c r="AU56" s="428"/>
      <c r="AV56" s="428"/>
      <c r="AW56" s="449" t="str">
        <f>IF(C56&gt;0,VLOOKUP(C56,Foundation_Calc!$A$2:$C$13,3,1),
IF(J56&gt;0,VLOOKUP(J56,Foundation_Calc!$A$2:$C$13,3,1),""))</f>
        <v>Multi Soil</v>
      </c>
      <c r="AX56" s="449" t="str">
        <f>IF(C56&gt;0,VLOOKUP(C56,Foundation_Calc!$E$2:$G$33,3,1),
IF(J56&gt;0,VLOOKUP(J56,Foundation_Calc!$E$2:$G$33,3,1),""))</f>
        <v>PT</v>
      </c>
      <c r="AY56" s="10">
        <f>IF(L56="","",
IF(AX56="PT",VLOOKUP(L56,Foundation_Calc!$K$79:$R$113,VLOOKUP(AW56,Foundation_Calc!$I$2:$J$8,2,FALSE),0),
IF(AX56="K",VLOOKUP(L56,Foundation_Calc!$K$117:$R$151,VLOOKUP(AW56,Foundation_Calc!$I$2:$J$8,2,FALSE),0),"")))</f>
        <v>3.5</v>
      </c>
      <c r="AZ56" s="10" t="str">
        <f>IF(K56="","",
IF(AX56="PT",VLOOKUP(K56,Foundation_Calc!$K$79:$R$113,VLOOKUP(AW56,Foundation_Calc!$I$2:$J$8,2,FALSE),0),
IF(AX56="K",VLOOKUP(K56,Foundation_Calc!$K$117:$R$151,VLOOKUP(AW56,Foundation_Calc!$I$2:$J$8,2,FALSE),0),"")))</f>
        <v/>
      </c>
      <c r="BA56" s="495" t="str">
        <f t="shared" si="3"/>
        <v>ü</v>
      </c>
      <c r="BB56" s="495" t="str">
        <f t="shared" si="4"/>
        <v/>
      </c>
      <c r="BC56" s="495" t="str">
        <f t="shared" si="5"/>
        <v/>
      </c>
      <c r="BD56" s="513" t="str">
        <f>IF(AND(L56="",H56=""),"",
IF(H56="",Pole_Calc!A$9,
IF(H56="MP",Pole_Calc!A$10,
IF(H56="AnMP",Pole_Calc!A$11,
IF(H56="A",Pole_Calc!A$12,
IF(H56="S/A",Pole_Calc!A$13,
IF(H56="A/S",Pole_Calc!A$14,"Poner a mano")))))))</f>
        <v>App.7-V11I-P9.5.1.1</v>
      </c>
      <c r="BE56" s="429" t="s">
        <v>118</v>
      </c>
      <c r="BF56" s="289"/>
      <c r="BG56" s="289"/>
      <c r="BH56" s="290"/>
      <c r="BI56" s="289"/>
    </row>
    <row r="57" spans="1:61" ht="16.149999999999999" customHeight="1">
      <c r="A57" s="514"/>
      <c r="B57" s="450"/>
      <c r="C57" s="3"/>
      <c r="D57" s="83"/>
      <c r="E57" s="4"/>
      <c r="F57" s="4"/>
      <c r="G57" s="6">
        <v>36</v>
      </c>
      <c r="H57" s="449"/>
      <c r="I57" s="449"/>
      <c r="J57" s="3"/>
      <c r="K57" s="449"/>
      <c r="L57" s="449"/>
      <c r="M57" s="449" t="str">
        <f>IF(L57="","",
IF(AX57="PT",VLOOKUP(L57,Foundation_Calc!$V$79:$X$113,VLOOKUP(AX57,Foundation_Calc!$I$10:$J$13,2,FALSE),0),
IF(AX57="K",VLOOKUP(L57,Foundation_Calc!$V$117:$X$151,VLOOKUP(AX57,Foundation_Calc!$I$10:$J$13,2,FALSE),0),"")))</f>
        <v/>
      </c>
      <c r="N57" s="449"/>
      <c r="O57" s="449"/>
      <c r="P57" s="449"/>
      <c r="Q57" s="4"/>
      <c r="R57" s="6"/>
      <c r="S57" s="6"/>
      <c r="T57" s="4"/>
      <c r="U57" s="4"/>
      <c r="V57" s="4"/>
      <c r="W57" s="9"/>
      <c r="X57" s="9"/>
      <c r="Y57" s="9"/>
      <c r="Z57" s="9"/>
      <c r="AA57" s="9"/>
      <c r="AB57" s="9"/>
      <c r="AC57" s="449" t="str">
        <f t="shared" si="6"/>
        <v/>
      </c>
      <c r="AD57" s="449"/>
      <c r="AE57" s="449"/>
      <c r="AF57" s="4"/>
      <c r="AG57" s="83"/>
      <c r="AH57" s="4"/>
      <c r="AI57" s="4"/>
      <c r="AJ57" s="449"/>
      <c r="AK57" s="449"/>
      <c r="AL57" s="449"/>
      <c r="AM57" s="449"/>
      <c r="AN57" s="10"/>
      <c r="AO57" s="9"/>
      <c r="AP57" s="9"/>
      <c r="AQ57" s="9">
        <f>+FL_2($T$58,$T$56,$G$57,1200,9.28, 1*$F$58)</f>
        <v>-0.30000000000000376</v>
      </c>
      <c r="AR57" s="9"/>
      <c r="AS57" s="9"/>
      <c r="AT57" s="9"/>
      <c r="AU57" s="428"/>
      <c r="AV57" s="428"/>
      <c r="AW57" s="449" t="str">
        <f>IF(C57&gt;0,VLOOKUP(C57,Foundation_Calc!$A$2:$C$13,3,1),
IF(J57&gt;0,VLOOKUP(J57,Foundation_Calc!$A$2:$C$13,3,1),""))</f>
        <v/>
      </c>
      <c r="AX57" s="449" t="str">
        <f>IF(C57&gt;0,VLOOKUP(C57,Foundation_Calc!$E$2:$G$33,3,1),
IF(J57&gt;0,VLOOKUP(J57,Foundation_Calc!$E$2:$G$33,3,1),""))</f>
        <v/>
      </c>
      <c r="AY57" s="10" t="str">
        <f>IF(L57="","",
IF(AX57="PT",VLOOKUP(L57,Foundation_Calc!$K$79:$R$113,VLOOKUP(AW57,Foundation_Calc!$I$2:$J$8,2,FALSE),0),
IF(AX57="K",VLOOKUP(L57,Foundation_Calc!$K$117:$R$151,VLOOKUP(AW57,Foundation_Calc!$I$2:$J$8,2,FALSE),0),"")))</f>
        <v/>
      </c>
      <c r="AZ57" s="10" t="str">
        <f>IF(K57="","",
IF(AX57="PT",VLOOKUP(K57,Foundation_Calc!$K$79:$R$113,VLOOKUP(AW57,Foundation_Calc!$I$2:$J$8,2,FALSE),0),
IF(AX57="K",VLOOKUP(K57,Foundation_Calc!$K$117:$R$151,VLOOKUP(AW57,Foundation_Calc!$I$2:$J$8,2,FALSE),0),"")))</f>
        <v/>
      </c>
      <c r="BA57" s="495" t="str">
        <f t="shared" si="3"/>
        <v/>
      </c>
      <c r="BB57" s="495" t="str">
        <f t="shared" si="4"/>
        <v/>
      </c>
      <c r="BC57" s="495" t="str">
        <f t="shared" si="5"/>
        <v/>
      </c>
      <c r="BD57" s="513" t="str">
        <f>IF(AND(L57="",H57=""),"",
IF(H57="",Pole_Calc!A$9,
IF(H57="MP",Pole_Calc!A$10,
IF(H57="AnMP",Pole_Calc!A$11,
IF(H57="A",Pole_Calc!A$12,
IF(H57="S/A",Pole_Calc!A$13,
IF(H57="A/S",Pole_Calc!A$14,"Poner a mano")))))))</f>
        <v/>
      </c>
      <c r="BE57" s="429" t="s">
        <v>118</v>
      </c>
      <c r="BF57" s="290"/>
      <c r="BG57" s="290"/>
      <c r="BH57" s="290"/>
      <c r="BI57" s="290"/>
    </row>
    <row r="58" spans="1:61" ht="16.149999999999999" customHeight="1">
      <c r="A58" s="514"/>
      <c r="B58" s="450" t="s">
        <v>1760</v>
      </c>
      <c r="C58" s="3">
        <f>+$C$56+$G$57-1</f>
        <v>52705.800000000017</v>
      </c>
      <c r="D58" s="83"/>
      <c r="E58" s="4"/>
      <c r="F58" s="4">
        <v>0</v>
      </c>
      <c r="G58" s="6"/>
      <c r="H58" s="449" t="s">
        <v>131</v>
      </c>
      <c r="I58" s="449"/>
      <c r="J58" s="3"/>
      <c r="K58" s="449"/>
      <c r="L58" s="449" t="s">
        <v>268</v>
      </c>
      <c r="M58" s="449" t="str">
        <f>IF(L58="","",
IF(AX58="PT",VLOOKUP(L58,Foundation_Calc!$V$79:$X$113,VLOOKUP(AX58,Foundation_Calc!$I$10:$J$13,2,FALSE),0),
IF(AX58="K",VLOOKUP(L58,Foundation_Calc!$V$117:$X$151,VLOOKUP(AX58,Foundation_Calc!$I$10:$J$13,2,FALSE),0),"")))</f>
        <v>C7R</v>
      </c>
      <c r="N58" s="449" t="s">
        <v>134</v>
      </c>
      <c r="O58" s="449" t="s">
        <v>133</v>
      </c>
      <c r="P58" s="449"/>
      <c r="Q58" s="4"/>
      <c r="R58" s="6"/>
      <c r="S58" s="6"/>
      <c r="T58" s="4">
        <v>30</v>
      </c>
      <c r="U58" s="4">
        <v>70</v>
      </c>
      <c r="V58" s="4"/>
      <c r="W58" s="9">
        <v>2</v>
      </c>
      <c r="X58" s="9">
        <v>1.4</v>
      </c>
      <c r="Y58" s="9"/>
      <c r="Z58" s="9"/>
      <c r="AA58" s="9">
        <v>0.6</v>
      </c>
      <c r="AB58" s="9"/>
      <c r="AC58" s="449" t="str">
        <f t="shared" si="6"/>
        <v>PHQ</v>
      </c>
      <c r="AD58" s="449"/>
      <c r="AE58" s="449"/>
      <c r="AF58" s="4"/>
      <c r="AG58" s="83"/>
      <c r="AH58" s="4"/>
      <c r="AI58" s="4"/>
      <c r="AJ58" s="449"/>
      <c r="AK58" s="449"/>
      <c r="AL58" s="449" t="s">
        <v>269</v>
      </c>
      <c r="AM58" s="449" t="s">
        <v>552</v>
      </c>
      <c r="AN58" s="10">
        <v>5.5</v>
      </c>
      <c r="AO58" s="9"/>
      <c r="AP58" s="9"/>
      <c r="AQ58" s="9"/>
      <c r="AR58" s="9"/>
      <c r="AS58" s="9"/>
      <c r="AT58" s="9">
        <f>+ab($T$58,$T$56,$T$60,$G$57,$G$59, 1*$F$58,1200)</f>
        <v>6.1280065461768078</v>
      </c>
      <c r="AU58" s="428"/>
      <c r="AV58" s="428"/>
      <c r="AW58" s="449" t="str">
        <f>IF(C58&gt;0,VLOOKUP(C58,Foundation_Calc!$A$2:$C$13,3,1),
IF(J58&gt;0,VLOOKUP(J58,Foundation_Calc!$A$2:$C$13,3,1),""))</f>
        <v>Multi Soil</v>
      </c>
      <c r="AX58" s="449" t="str">
        <f>IF(C58&gt;0,VLOOKUP(C58,Foundation_Calc!$E$2:$G$33,3,1),
IF(J58&gt;0,VLOOKUP(J58,Foundation_Calc!$E$2:$G$33,3,1),""))</f>
        <v>PT</v>
      </c>
      <c r="AY58" s="10">
        <f>IF(L58="","",
IF(AX58="PT",VLOOKUP(L58,Foundation_Calc!$K$79:$R$113,VLOOKUP(AW58,Foundation_Calc!$I$2:$J$8,2,FALSE),0),
IF(AX58="K",VLOOKUP(L58,Foundation_Calc!$K$117:$R$151,VLOOKUP(AW58,Foundation_Calc!$I$2:$J$8,2,FALSE),0),"")))</f>
        <v>4</v>
      </c>
      <c r="AZ58" s="10" t="str">
        <f>IF(K58="","",
IF(AX58="PT",VLOOKUP(K58,Foundation_Calc!$K$79:$R$113,VLOOKUP(AW58,Foundation_Calc!$I$2:$J$8,2,FALSE),0),
IF(AX58="K",VLOOKUP(K58,Foundation_Calc!$K$117:$R$151,VLOOKUP(AW58,Foundation_Calc!$I$2:$J$8,2,FALSE),0),"")))</f>
        <v/>
      </c>
      <c r="BA58" s="495" t="str">
        <f t="shared" si="3"/>
        <v>ü</v>
      </c>
      <c r="BB58" s="495" t="str">
        <f t="shared" si="4"/>
        <v/>
      </c>
      <c r="BC58" s="495" t="str">
        <f t="shared" si="5"/>
        <v/>
      </c>
      <c r="BD58" s="513" t="str">
        <f>IF(AND(L58="",H58=""),"",
IF(H58="",Pole_Calc!A$9,
IF(H58="MP",Pole_Calc!A$10,
IF(H58="AnMP",Pole_Calc!A$11,
IF(H58="A",Pole_Calc!A$12,
IF(H58="S/A",Pole_Calc!A$13,
IF(H58="A/S",Pole_Calc!A$14,"Poner a mano")))))))</f>
        <v>App.7-V11I-P9.5.1.5</v>
      </c>
      <c r="BE58" s="429" t="s">
        <v>118</v>
      </c>
      <c r="BF58" s="289"/>
      <c r="BG58" s="289"/>
      <c r="BH58" s="290"/>
      <c r="BI58" s="289"/>
    </row>
    <row r="59" spans="1:61" ht="16.149999999999999" customHeight="1">
      <c r="A59" s="514"/>
      <c r="B59" s="450"/>
      <c r="C59" s="3"/>
      <c r="D59" s="83"/>
      <c r="E59" s="4"/>
      <c r="F59" s="4"/>
      <c r="G59" s="6">
        <v>41.3</v>
      </c>
      <c r="H59" s="449"/>
      <c r="I59" s="449"/>
      <c r="J59" s="3"/>
      <c r="K59" s="449"/>
      <c r="L59" s="449"/>
      <c r="M59" s="449" t="str">
        <f>IF(L59="","",
IF(AX59="PT",VLOOKUP(L59,Foundation_Calc!$V$79:$X$113,VLOOKUP(AX59,Foundation_Calc!$I$10:$J$13,2,FALSE),0),
IF(AX59="K",VLOOKUP(L59,Foundation_Calc!$V$117:$X$151,VLOOKUP(AX59,Foundation_Calc!$I$10:$J$13,2,FALSE),0),"")))</f>
        <v/>
      </c>
      <c r="N59" s="449"/>
      <c r="O59" s="449"/>
      <c r="P59" s="449"/>
      <c r="Q59" s="4"/>
      <c r="R59" s="6"/>
      <c r="S59" s="6"/>
      <c r="T59" s="4"/>
      <c r="U59" s="4"/>
      <c r="V59" s="4"/>
      <c r="W59" s="9"/>
      <c r="X59" s="9"/>
      <c r="Y59" s="9"/>
      <c r="Z59" s="9"/>
      <c r="AA59" s="9"/>
      <c r="AB59" s="9"/>
      <c r="AC59" s="449" t="str">
        <f t="shared" si="6"/>
        <v/>
      </c>
      <c r="AD59" s="449"/>
      <c r="AE59" s="449"/>
      <c r="AF59" s="4"/>
      <c r="AG59" s="83"/>
      <c r="AH59" s="4"/>
      <c r="AI59" s="4"/>
      <c r="AJ59" s="449"/>
      <c r="AK59" s="449"/>
      <c r="AL59" s="449"/>
      <c r="AM59" s="449"/>
      <c r="AN59" s="10"/>
      <c r="AO59" s="9"/>
      <c r="AP59" s="9"/>
      <c r="AQ59" s="9">
        <f>+FL_1($T$60,$T$58,$G$59,1200,9.28, 1*$F$60)</f>
        <v>0.30134345623244552</v>
      </c>
      <c r="AR59" s="9"/>
      <c r="AS59" s="9"/>
      <c r="AT59" s="9"/>
      <c r="AU59" s="428"/>
      <c r="AV59" s="428"/>
      <c r="AW59" s="449" t="str">
        <f>IF(C59&gt;0,VLOOKUP(C59,Foundation_Calc!$A$2:$C$13,3,1),
IF(J59&gt;0,VLOOKUP(J59,Foundation_Calc!$A$2:$C$13,3,1),""))</f>
        <v/>
      </c>
      <c r="AX59" s="449" t="str">
        <f>IF(C59&gt;0,VLOOKUP(C59,Foundation_Calc!$E$2:$G$33,3,1),
IF(J59&gt;0,VLOOKUP(J59,Foundation_Calc!$E$2:$G$33,3,1),""))</f>
        <v/>
      </c>
      <c r="AY59" s="10" t="str">
        <f>IF(L59="","",
IF(AX59="PT",VLOOKUP(L59,Foundation_Calc!$K$79:$R$113,VLOOKUP(AW59,Foundation_Calc!$I$2:$J$8,2,FALSE),0),
IF(AX59="K",VLOOKUP(L59,Foundation_Calc!$K$117:$R$151,VLOOKUP(AW59,Foundation_Calc!$I$2:$J$8,2,FALSE),0),"")))</f>
        <v/>
      </c>
      <c r="AZ59" s="10" t="str">
        <f>IF(K59="","",
IF(AX59="PT",VLOOKUP(K59,Foundation_Calc!$K$79:$R$113,VLOOKUP(AW59,Foundation_Calc!$I$2:$J$8,2,FALSE),0),
IF(AX59="K",VLOOKUP(K59,Foundation_Calc!$K$117:$R$151,VLOOKUP(AW59,Foundation_Calc!$I$2:$J$8,2,FALSE),0),"")))</f>
        <v/>
      </c>
      <c r="BA59" s="495" t="str">
        <f t="shared" si="3"/>
        <v/>
      </c>
      <c r="BB59" s="495" t="str">
        <f t="shared" si="4"/>
        <v/>
      </c>
      <c r="BC59" s="495" t="str">
        <f t="shared" si="5"/>
        <v/>
      </c>
      <c r="BD59" s="513" t="str">
        <f>IF(AND(L59="",H59=""),"",
IF(H59="",Pole_Calc!A$9,
IF(H59="MP",Pole_Calc!A$10,
IF(H59="AnMP",Pole_Calc!A$11,
IF(H59="A",Pole_Calc!A$12,
IF(H59="S/A",Pole_Calc!A$13,
IF(H59="A/S",Pole_Calc!A$14,"Poner a mano")))))))</f>
        <v/>
      </c>
      <c r="BE59" s="429" t="s">
        <v>118</v>
      </c>
      <c r="BF59" s="290"/>
      <c r="BG59" s="290"/>
      <c r="BH59" s="290"/>
      <c r="BI59" s="290"/>
    </row>
    <row r="60" spans="1:61" ht="16.149999999999999" customHeight="1">
      <c r="A60" s="514"/>
      <c r="B60" s="450" t="s">
        <v>1761</v>
      </c>
      <c r="C60" s="3">
        <f>+$C$58+$G$59-0.3</f>
        <v>52746.800000000017</v>
      </c>
      <c r="D60" s="83"/>
      <c r="E60" s="4"/>
      <c r="F60" s="4">
        <v>0</v>
      </c>
      <c r="G60" s="6"/>
      <c r="H60" s="449" t="s">
        <v>121</v>
      </c>
      <c r="I60" s="449" t="s">
        <v>122</v>
      </c>
      <c r="J60" s="3"/>
      <c r="K60" s="449"/>
      <c r="L60" s="449" t="s">
        <v>232</v>
      </c>
      <c r="M60" s="449" t="str">
        <f>IF(L60="","",
IF(AX60="PT",VLOOKUP(L60,Foundation_Calc!$V$79:$X$113,VLOOKUP(AX60,Foundation_Calc!$I$10:$J$13,2,FALSE),0),
IF(AX60="K",VLOOKUP(L60,Foundation_Calc!$V$117:$X$151,VLOOKUP(AX60,Foundation_Calc!$I$10:$J$13,2,FALSE),0),"")))</f>
        <v>C5R</v>
      </c>
      <c r="N60" s="449" t="s">
        <v>124</v>
      </c>
      <c r="O60" s="449"/>
      <c r="P60" s="449"/>
      <c r="Q60" s="4">
        <f>'HR Track 2'!Q500</f>
        <v>0</v>
      </c>
      <c r="R60" s="6">
        <f>'HR Track 2'!R500</f>
        <v>0</v>
      </c>
      <c r="S60" s="6">
        <f>'HR Track 2'!S500</f>
        <v>0</v>
      </c>
      <c r="T60" s="4">
        <v>-30</v>
      </c>
      <c r="U60" s="4"/>
      <c r="V60" s="4"/>
      <c r="W60" s="9">
        <v>1.4</v>
      </c>
      <c r="X60" s="9"/>
      <c r="Y60" s="9"/>
      <c r="Z60" s="9"/>
      <c r="AA60" s="9"/>
      <c r="AB60" s="9"/>
      <c r="AC60" s="449" t="str">
        <f t="shared" si="6"/>
        <v>PHQ</v>
      </c>
      <c r="AD60" s="449"/>
      <c r="AE60" s="449"/>
      <c r="AF60" s="4">
        <f>'HR Track 2'!AF500</f>
        <v>0</v>
      </c>
      <c r="AG60" s="83">
        <f>'HR Track 2'!AG500</f>
        <v>0</v>
      </c>
      <c r="AH60" s="4">
        <f>'HR Track 2'!AH500</f>
        <v>0</v>
      </c>
      <c r="AI60" s="4">
        <f>'HR Track 2'!AI500</f>
        <v>0</v>
      </c>
      <c r="AJ60" s="449"/>
      <c r="AK60" s="449"/>
      <c r="AL60" s="449" t="s">
        <v>241</v>
      </c>
      <c r="AM60" s="449" t="s">
        <v>552</v>
      </c>
      <c r="AN60" s="10">
        <v>5.5</v>
      </c>
      <c r="AO60" s="9"/>
      <c r="AP60" s="9"/>
      <c r="AQ60" s="9"/>
      <c r="AR60" s="9"/>
      <c r="AS60" s="9"/>
      <c r="AT60" s="9">
        <f>+ab($T$60,$T$58,$T$62,$G$59,$G$61, 1*$F$60,1200)</f>
        <v>-6.9259396832830733</v>
      </c>
      <c r="AU60" s="428"/>
      <c r="AV60" s="428"/>
      <c r="AW60" s="449" t="str">
        <f>IF(C60&gt;0,VLOOKUP(C60,Foundation_Calc!$A$2:$C$13,3,1),
IF(J60&gt;0,VLOOKUP(J60,Foundation_Calc!$A$2:$C$13,3,1),""))</f>
        <v>Multi Soil</v>
      </c>
      <c r="AX60" s="449" t="str">
        <f>IF(C60&gt;0,VLOOKUP(C60,Foundation_Calc!$E$2:$G$33,3,1),
IF(J60&gt;0,VLOOKUP(J60,Foundation_Calc!$E$2:$G$33,3,1),""))</f>
        <v>PT</v>
      </c>
      <c r="AY60" s="10">
        <f>IF(L60="","",
IF(AX60="PT",VLOOKUP(L60,Foundation_Calc!$K$79:$R$113,VLOOKUP(AW60,Foundation_Calc!$I$2:$J$8,2,FALSE),0),
IF(AX60="K",VLOOKUP(L60,Foundation_Calc!$K$117:$R$151,VLOOKUP(AW60,Foundation_Calc!$I$2:$J$8,2,FALSE),0),"")))</f>
        <v>3.5</v>
      </c>
      <c r="AZ60" s="10" t="str">
        <f>IF(K60="","",
IF(AX60="PT",VLOOKUP(K60,Foundation_Calc!$K$79:$R$113,VLOOKUP(AW60,Foundation_Calc!$I$2:$J$8,2,FALSE),0),
IF(AX60="K",VLOOKUP(K60,Foundation_Calc!$K$117:$R$151,VLOOKUP(AW60,Foundation_Calc!$I$2:$J$8,2,FALSE),0),"")))</f>
        <v/>
      </c>
      <c r="BA60" s="495" t="str">
        <f t="shared" si="3"/>
        <v>ü</v>
      </c>
      <c r="BB60" s="495" t="str">
        <f t="shared" si="4"/>
        <v/>
      </c>
      <c r="BC60" s="495" t="str">
        <f t="shared" si="5"/>
        <v/>
      </c>
      <c r="BD60" s="513" t="str">
        <f>Pole_Calc!A$251</f>
        <v>App.8-V08H-P10.3</v>
      </c>
      <c r="BE60" s="429" t="s">
        <v>118</v>
      </c>
      <c r="BF60" s="289"/>
      <c r="BG60" s="289"/>
      <c r="BH60" s="290"/>
      <c r="BI60" s="289"/>
    </row>
    <row r="61" spans="1:61" ht="16.149999999999999" customHeight="1">
      <c r="A61" s="514"/>
      <c r="B61" s="450"/>
      <c r="C61" s="3"/>
      <c r="D61" s="83"/>
      <c r="E61" s="4"/>
      <c r="F61" s="4"/>
      <c r="G61" s="6">
        <v>23</v>
      </c>
      <c r="H61" s="449"/>
      <c r="I61" s="449"/>
      <c r="J61" s="3">
        <f>C60+7.5</f>
        <v>52754.300000000017</v>
      </c>
      <c r="K61" s="449" t="s">
        <v>117</v>
      </c>
      <c r="L61" s="449"/>
      <c r="M61" s="449" t="str">
        <f>IF(L61="","",
IF(AX61="PT",VLOOKUP(L61,Foundation_Calc!$V$79:$X$113,VLOOKUP(AX61,Foundation_Calc!$I$10:$J$13,2,FALSE),0),
IF(AX61="K",VLOOKUP(L61,Foundation_Calc!$V$117:$X$151,VLOOKUP(AX61,Foundation_Calc!$I$10:$J$13,2,FALSE),0),"")))</f>
        <v/>
      </c>
      <c r="N61" s="449"/>
      <c r="O61" s="449"/>
      <c r="P61" s="449"/>
      <c r="Q61" s="4"/>
      <c r="R61" s="6"/>
      <c r="S61" s="6"/>
      <c r="T61" s="4"/>
      <c r="U61" s="4"/>
      <c r="V61" s="4"/>
      <c r="W61" s="9"/>
      <c r="X61" s="9"/>
      <c r="Y61" s="9"/>
      <c r="Z61" s="9"/>
      <c r="AA61" s="9"/>
      <c r="AB61" s="9"/>
      <c r="AC61" s="449" t="str">
        <f t="shared" si="6"/>
        <v/>
      </c>
      <c r="AD61" s="449"/>
      <c r="AE61" s="449"/>
      <c r="AF61" s="4"/>
      <c r="AG61" s="83"/>
      <c r="AH61" s="4"/>
      <c r="AI61" s="4"/>
      <c r="AJ61" s="449"/>
      <c r="AK61" s="449"/>
      <c r="AL61" s="449"/>
      <c r="AM61" s="449"/>
      <c r="AN61" s="10"/>
      <c r="AO61" s="9"/>
      <c r="AP61" s="9"/>
      <c r="AQ61" s="9">
        <f>+FL_2($T$62,$T$60,$G$61,1200,9.28, 1*$F$62)</f>
        <v>-0.30000000000000326</v>
      </c>
      <c r="AR61" s="9"/>
      <c r="AS61" s="9"/>
      <c r="AT61" s="9"/>
      <c r="AU61" s="428"/>
      <c r="AV61" s="428"/>
      <c r="AW61" s="449" t="str">
        <f>IF(C61&gt;0,VLOOKUP(C61,Foundation_Calc!$A$2:$C$13,3,1),
IF(J61&gt;0,VLOOKUP(J61,Foundation_Calc!$A$2:$C$13,3,1),""))</f>
        <v>Multi Soil</v>
      </c>
      <c r="AX61" s="449" t="str">
        <f>IF(C61&gt;0,VLOOKUP(C61,Foundation_Calc!$E$2:$G$33,3,1),
IF(J61&gt;0,VLOOKUP(J61,Foundation_Calc!$E$2:$G$33,3,1),""))</f>
        <v>PT</v>
      </c>
      <c r="AY61" s="10" t="str">
        <f>IF(L61="","",
IF(AX61="PT",VLOOKUP(L61,Foundation_Calc!$K$79:$R$113,VLOOKUP(AW61,Foundation_Calc!$I$2:$J$8,2,FALSE),0),
IF(AX61="K",VLOOKUP(L61,Foundation_Calc!$K$117:$R$151,VLOOKUP(AW61,Foundation_Calc!$I$2:$J$8,2,FALSE),0),"")))</f>
        <v/>
      </c>
      <c r="AZ61" s="10">
        <f>IF(K61="","",
IF(AX61="PT",VLOOKUP(K61,Foundation_Calc!$K$79:$R$113,VLOOKUP(AW61,Foundation_Calc!$I$2:$J$8,2,FALSE),0),
IF(AX61="K",VLOOKUP(K61,Foundation_Calc!$K$117:$R$151,VLOOKUP(AW61,Foundation_Calc!$I$2:$J$8,2,FALSE),0),"")))</f>
        <v>3.9</v>
      </c>
      <c r="BA61" s="495" t="str">
        <f t="shared" si="3"/>
        <v/>
      </c>
      <c r="BB61" s="495" t="str">
        <f t="shared" si="4"/>
        <v>ü</v>
      </c>
      <c r="BC61" s="495" t="str">
        <f t="shared" si="5"/>
        <v/>
      </c>
      <c r="BD61" s="513" t="str">
        <f>IF(AND(L61="",H61=""),"",
IF(H61="",Pole_Calc!A$9,
IF(H61="MP",Pole_Calc!A$10,
IF(H61="AnMP",Pole_Calc!A$11,
IF(H61="A",Pole_Calc!A$12,
IF(H61="S/A",Pole_Calc!A$13,
IF(H61="A/S",Pole_Calc!A$14,"Poner a mano")))))))</f>
        <v/>
      </c>
      <c r="BE61" s="429" t="s">
        <v>118</v>
      </c>
      <c r="BF61" s="290"/>
      <c r="BG61" s="290"/>
      <c r="BH61" s="290"/>
      <c r="BI61" s="290"/>
    </row>
    <row r="62" spans="1:61" ht="16.149999999999999" customHeight="1">
      <c r="A62" s="514"/>
      <c r="B62" s="450" t="s">
        <v>1762</v>
      </c>
      <c r="C62" s="3">
        <f>+$C$60+$G$61</f>
        <v>52769.800000000017</v>
      </c>
      <c r="D62" s="83"/>
      <c r="E62" s="4"/>
      <c r="F62" s="4">
        <v>0</v>
      </c>
      <c r="G62" s="6"/>
      <c r="H62" s="449" t="s">
        <v>121</v>
      </c>
      <c r="I62" s="449" t="s">
        <v>1729</v>
      </c>
      <c r="J62" s="3"/>
      <c r="K62" s="449"/>
      <c r="L62" s="449" t="s">
        <v>1610</v>
      </c>
      <c r="M62" s="449" t="str">
        <f>IF(L62="","",
IF(AX62="PT",VLOOKUP(L62,Foundation_Calc!$V$79:$X$113,VLOOKUP(AX62,Foundation_Calc!$I$10:$J$13,2,FALSE),0),
IF(AX62="K",VLOOKUP(L62,Foundation_Calc!$V$117:$X$151,VLOOKUP(AX62,Foundation_Calc!$I$10:$J$13,2,FALSE),0),"")))</f>
        <v>C8R</v>
      </c>
      <c r="N62" s="449" t="s">
        <v>201</v>
      </c>
      <c r="O62" s="449"/>
      <c r="P62" s="449"/>
      <c r="Q62" s="4"/>
      <c r="R62" s="6"/>
      <c r="S62" s="6"/>
      <c r="T62" s="4">
        <v>0</v>
      </c>
      <c r="U62" s="4"/>
      <c r="V62" s="4"/>
      <c r="W62" s="9"/>
      <c r="X62" s="9"/>
      <c r="Y62" s="9"/>
      <c r="Z62" s="9"/>
      <c r="AA62" s="9"/>
      <c r="AB62" s="9"/>
      <c r="AC62" s="449"/>
      <c r="AD62" s="449"/>
      <c r="AE62" s="449"/>
      <c r="AF62" s="4"/>
      <c r="AG62" s="83"/>
      <c r="AH62" s="4"/>
      <c r="AI62" s="4"/>
      <c r="AJ62" s="449"/>
      <c r="AK62" s="449"/>
      <c r="AL62" s="449"/>
      <c r="AM62" s="449" t="s">
        <v>552</v>
      </c>
      <c r="AN62" s="10"/>
      <c r="AO62" s="9"/>
      <c r="AP62" s="9"/>
      <c r="AQ62" s="9"/>
      <c r="AR62" s="9"/>
      <c r="AS62" s="9"/>
      <c r="AT62" s="9"/>
      <c r="AU62" s="428"/>
      <c r="AV62" s="428"/>
      <c r="AW62" s="449" t="str">
        <f>IF(C62&gt;0,VLOOKUP(C62,Foundation_Calc!$A$2:$C$13,3,1),
IF(J62&gt;0,VLOOKUP(J62,Foundation_Calc!$A$2:$C$13,3,1),""))</f>
        <v>Multi Soil</v>
      </c>
      <c r="AX62" s="449" t="str">
        <f>IF(C62&gt;0,VLOOKUP(C62,Foundation_Calc!$E$2:$G$33,3,1),
IF(J62&gt;0,VLOOKUP(J62,Foundation_Calc!$E$2:$G$33,3,1),""))</f>
        <v>PT</v>
      </c>
      <c r="AY62" s="10">
        <f>IF(L62="","",
IF(AX62="PT",VLOOKUP(L62,Foundation_Calc!$K$79:$R$113,VLOOKUP(AW62,Foundation_Calc!$I$2:$J$8,2,FALSE),0),
IF(AX62="K",VLOOKUP(L62,Foundation_Calc!$K$117:$R$151,VLOOKUP(AW62,Foundation_Calc!$I$2:$J$8,2,FALSE),0),"")))</f>
        <v>4.5</v>
      </c>
      <c r="AZ62" s="10" t="str">
        <f>IF(K62="","",
IF(AX62="PT",VLOOKUP(K62,Foundation_Calc!$K$79:$R$113,VLOOKUP(AW62,Foundation_Calc!$I$2:$J$8,2,FALSE),0),
IF(AX62="K",VLOOKUP(K62,Foundation_Calc!$K$117:$R$151,VLOOKUP(AW62,Foundation_Calc!$I$2:$J$8,2,FALSE),0),"")))</f>
        <v/>
      </c>
      <c r="BA62" s="495" t="str">
        <f t="shared" si="3"/>
        <v>ü</v>
      </c>
      <c r="BB62" s="495" t="str">
        <f t="shared" si="4"/>
        <v/>
      </c>
      <c r="BC62" s="495" t="str">
        <f t="shared" si="5"/>
        <v/>
      </c>
      <c r="BD62" s="513" t="str">
        <f>Pole_Calc!A$199</f>
        <v>App.7-V11I-P11.1</v>
      </c>
      <c r="BE62" s="429" t="s">
        <v>118</v>
      </c>
      <c r="BF62" s="289"/>
      <c r="BG62" s="289"/>
      <c r="BH62" s="290"/>
      <c r="BI62" s="289"/>
    </row>
    <row r="63" spans="1:61" ht="16.149999999999999" customHeight="1" thickBot="1">
      <c r="A63" s="519"/>
      <c r="B63" s="520"/>
      <c r="C63" s="521"/>
      <c r="D63" s="522"/>
      <c r="E63" s="523"/>
      <c r="F63" s="523"/>
      <c r="G63" s="524"/>
      <c r="H63" s="525"/>
      <c r="I63" s="525"/>
      <c r="J63" s="521"/>
      <c r="K63" s="525"/>
      <c r="L63" s="525"/>
      <c r="M63" s="525"/>
      <c r="N63" s="525"/>
      <c r="O63" s="525"/>
      <c r="P63" s="525"/>
      <c r="Q63" s="523"/>
      <c r="R63" s="524"/>
      <c r="S63" s="524"/>
      <c r="T63" s="523"/>
      <c r="U63" s="523"/>
      <c r="V63" s="523"/>
      <c r="W63" s="526"/>
      <c r="X63" s="526"/>
      <c r="Y63" s="526"/>
      <c r="Z63" s="526"/>
      <c r="AA63" s="526"/>
      <c r="AB63" s="526"/>
      <c r="AC63" s="525"/>
      <c r="AD63" s="525"/>
      <c r="AE63" s="525"/>
      <c r="AF63" s="523"/>
      <c r="AG63" s="522"/>
      <c r="AH63" s="523"/>
      <c r="AI63" s="523"/>
      <c r="AJ63" s="525"/>
      <c r="AK63" s="525"/>
      <c r="AL63" s="525"/>
      <c r="AM63" s="525"/>
      <c r="AN63" s="527"/>
      <c r="AO63" s="526"/>
      <c r="AP63" s="526"/>
      <c r="AQ63" s="526"/>
      <c r="AR63" s="526"/>
      <c r="AS63" s="526"/>
      <c r="AT63" s="526"/>
      <c r="AU63" s="528"/>
      <c r="AV63" s="528"/>
      <c r="AW63" s="525"/>
      <c r="AX63" s="525"/>
      <c r="AY63" s="527"/>
      <c r="AZ63" s="527"/>
      <c r="BA63" s="529"/>
      <c r="BB63" s="529"/>
      <c r="BC63" s="529"/>
      <c r="BD63" s="530"/>
      <c r="BE63" s="429" t="s">
        <v>118</v>
      </c>
      <c r="BF63" s="289"/>
      <c r="BG63" s="289"/>
      <c r="BH63" s="290"/>
      <c r="BI63" s="289"/>
    </row>
    <row r="64" spans="1:61" ht="15.75" customHeight="1"/>
    <row r="65" ht="15.75" customHeight="1"/>
    <row r="66" ht="15.75" customHeight="1"/>
    <row r="67" ht="15.75" customHeight="1"/>
    <row r="68" ht="15.75" customHeight="1"/>
    <row r="69" ht="15.75" customHeight="1"/>
    <row r="70" ht="15.75" customHeight="1"/>
    <row r="71" ht="15.75" hidden="1" customHeight="1"/>
    <row r="72" ht="15.75" hidden="1" customHeight="1"/>
    <row r="73" ht="15.75" hidden="1" customHeight="1"/>
    <row r="74" ht="15.75" hidden="1" customHeight="1"/>
    <row r="75" ht="15.75" hidden="1" customHeight="1"/>
    <row r="76" ht="15.75" hidden="1" customHeight="1"/>
    <row r="77" ht="15.75" hidden="1" customHeight="1"/>
    <row r="78" ht="15.75" hidden="1" customHeight="1"/>
    <row r="79" ht="15.75" hidden="1" customHeight="1"/>
    <row r="80" ht="15.75" hidden="1" customHeight="1"/>
    <row r="81" ht="15.75" hidden="1" customHeight="1"/>
    <row r="82" ht="15.75" hidden="1" customHeight="1"/>
    <row r="83" ht="15.75" hidden="1" customHeight="1"/>
    <row r="84" ht="15.75" hidden="1" customHeight="1"/>
    <row r="85" ht="15.75" hidden="1" customHeight="1"/>
    <row r="86" ht="15.75" hidden="1" customHeight="1"/>
    <row r="87" ht="15.75" hidden="1" customHeight="1"/>
    <row r="88" ht="15.75" hidden="1" customHeight="1"/>
    <row r="89" ht="15.75" hidden="1" customHeight="1"/>
    <row r="90" ht="15.75" hidden="1" customHeight="1"/>
    <row r="91" ht="15.75" hidden="1" customHeight="1"/>
    <row r="92" ht="15.75" hidden="1" customHeight="1"/>
    <row r="93" ht="15.75" hidden="1" customHeight="1"/>
    <row r="94" ht="15.75" hidden="1" customHeight="1"/>
    <row r="95" ht="15.75" hidden="1" customHeight="1"/>
    <row r="96" ht="15.75" hidden="1" customHeight="1"/>
    <row r="97" ht="15.75" hidden="1" customHeight="1"/>
    <row r="98" ht="15.75" hidden="1" customHeight="1"/>
    <row r="99" ht="15.75" hidden="1" customHeight="1"/>
    <row r="100" ht="15.75" hidden="1" customHeight="1"/>
    <row r="101" ht="15.75" hidden="1" customHeight="1"/>
    <row r="102" ht="15.75" hidden="1" customHeight="1"/>
    <row r="103" ht="15.75" hidden="1" customHeight="1"/>
    <row r="104" ht="15.75" hidden="1" customHeight="1"/>
    <row r="105" ht="15.75" hidden="1" customHeight="1"/>
    <row r="106" ht="15.75" hidden="1" customHeight="1"/>
    <row r="107" ht="15.75" hidden="1" customHeight="1"/>
    <row r="108" ht="15.75" hidden="1" customHeight="1"/>
    <row r="109" ht="15.75" hidden="1" customHeight="1"/>
    <row r="110" ht="15.75" hidden="1" customHeight="1"/>
    <row r="111" ht="15.75" hidden="1" customHeight="1"/>
    <row r="112" ht="15.75" hidden="1" customHeight="1"/>
    <row r="113" ht="15.75" hidden="1" customHeight="1"/>
    <row r="114" ht="15.75" hidden="1" customHeight="1"/>
    <row r="115" ht="15.75" hidden="1" customHeight="1"/>
    <row r="116" ht="15.75" hidden="1" customHeight="1"/>
    <row r="117" ht="15.75" hidden="1" customHeight="1"/>
    <row r="118" ht="15.75" hidden="1" customHeight="1"/>
    <row r="119" ht="15.75" hidden="1" customHeight="1"/>
    <row r="120" ht="15.75" hidden="1" customHeight="1"/>
    <row r="121" ht="15.75" hidden="1" customHeight="1"/>
    <row r="122" ht="15.75" hidden="1" customHeight="1"/>
    <row r="123" ht="15.75" hidden="1" customHeight="1"/>
    <row r="124" ht="15.75" hidden="1" customHeight="1"/>
    <row r="125" ht="15.75" hidden="1" customHeight="1"/>
    <row r="126" ht="15.75" hidden="1" customHeight="1"/>
    <row r="127" ht="15.75" hidden="1" customHeight="1"/>
    <row r="128" ht="15.75" hidden="1" customHeight="1"/>
    <row r="129" ht="15.75" hidden="1" customHeight="1"/>
    <row r="130" ht="15.75" hidden="1" customHeight="1"/>
    <row r="131" ht="15.75" hidden="1" customHeight="1"/>
    <row r="132" ht="15.75" hidden="1" customHeight="1"/>
    <row r="133" ht="15.75" hidden="1" customHeight="1"/>
    <row r="134" ht="15.75" hidden="1" customHeight="1"/>
    <row r="135" ht="15.75" hidden="1" customHeight="1"/>
    <row r="136" ht="15.75" hidden="1" customHeight="1"/>
    <row r="137" ht="15.75" hidden="1" customHeight="1"/>
    <row r="138" ht="15.75" hidden="1" customHeight="1"/>
    <row r="139" ht="15.75" hidden="1" customHeight="1"/>
    <row r="140" ht="15.75" hidden="1" customHeight="1"/>
    <row r="141" ht="15.75" hidden="1" customHeight="1"/>
    <row r="142" ht="15.75" hidden="1" customHeight="1"/>
    <row r="143" ht="15.75" hidden="1" customHeight="1"/>
    <row r="144" ht="15.75" hidden="1" customHeight="1"/>
    <row r="145" ht="15.75" hidden="1" customHeight="1"/>
    <row r="146" ht="15.75" hidden="1" customHeight="1"/>
    <row r="147" ht="15.75" hidden="1" customHeight="1"/>
    <row r="148" ht="15.75" hidden="1" customHeight="1"/>
    <row r="149" ht="15.75" hidden="1" customHeight="1"/>
    <row r="150" ht="15.75" hidden="1" customHeight="1"/>
    <row r="151" ht="15.75" hidden="1" customHeight="1"/>
    <row r="152" ht="15.75" hidden="1" customHeight="1"/>
    <row r="153" ht="15.75" hidden="1" customHeight="1"/>
    <row r="154" ht="15.75" hidden="1" customHeight="1"/>
    <row r="155" ht="15.75" hidden="1" customHeight="1"/>
    <row r="156" ht="15.75" hidden="1" customHeight="1"/>
    <row r="157" ht="15.75" hidden="1" customHeight="1"/>
    <row r="158" ht="15.75" hidden="1" customHeight="1"/>
    <row r="159" ht="15.75" hidden="1" customHeight="1"/>
    <row r="160" ht="15.75" hidden="1" customHeight="1"/>
    <row r="161" ht="15.75" hidden="1" customHeight="1"/>
    <row r="162" ht="15.75" hidden="1" customHeight="1"/>
    <row r="163" ht="15.75" hidden="1" customHeight="1"/>
    <row r="164" ht="15.75" hidden="1" customHeight="1"/>
    <row r="165" ht="15.75" hidden="1" customHeight="1"/>
    <row r="166" ht="15.75" hidden="1" customHeight="1"/>
    <row r="167" ht="15.75" hidden="1" customHeight="1"/>
    <row r="168" ht="15.75" hidden="1" customHeight="1"/>
    <row r="169" ht="15.75" hidden="1" customHeight="1"/>
    <row r="170" ht="15.75" hidden="1" customHeight="1"/>
    <row r="171" ht="15.75" hidden="1" customHeight="1"/>
    <row r="172" ht="15.75" hidden="1" customHeight="1"/>
    <row r="173" ht="15.75" hidden="1" customHeight="1"/>
    <row r="174" ht="15.75" hidden="1" customHeight="1"/>
    <row r="175" ht="15.75" hidden="1" customHeight="1"/>
    <row r="176" ht="15.75" hidden="1" customHeight="1"/>
    <row r="177" ht="15.75" hidden="1" customHeight="1"/>
    <row r="178" ht="15.75" hidden="1" customHeight="1"/>
    <row r="179" ht="15.75" hidden="1" customHeight="1"/>
    <row r="180" ht="15.75" hidden="1" customHeight="1"/>
    <row r="181" ht="15.75" hidden="1" customHeight="1"/>
    <row r="182" ht="15.75" hidden="1" customHeight="1"/>
    <row r="183" ht="15.75" hidden="1" customHeight="1"/>
    <row r="184" ht="15.75" hidden="1" customHeight="1"/>
    <row r="185" ht="15.75" hidden="1" customHeight="1"/>
    <row r="186" ht="15.75" hidden="1" customHeight="1"/>
    <row r="187" ht="15.75" hidden="1" customHeight="1"/>
    <row r="188" ht="15.75" hidden="1" customHeight="1"/>
    <row r="189" ht="15.75" hidden="1" customHeight="1"/>
    <row r="190" ht="15.75" hidden="1" customHeight="1"/>
    <row r="191" ht="15.75" hidden="1" customHeight="1"/>
    <row r="192" ht="15.75" hidden="1" customHeight="1"/>
    <row r="193" ht="15.75" hidden="1" customHeight="1"/>
    <row r="194" ht="15.75" hidden="1" customHeight="1"/>
    <row r="195" ht="15.75" hidden="1" customHeight="1"/>
    <row r="196" ht="15.75" hidden="1" customHeight="1"/>
    <row r="197" ht="15.75" hidden="1" customHeight="1"/>
    <row r="198" ht="15.75" hidden="1" customHeight="1"/>
    <row r="199" ht="15.75" hidden="1" customHeight="1"/>
    <row r="200" ht="15.75" hidden="1" customHeight="1"/>
    <row r="201" ht="15.75" hidden="1" customHeight="1"/>
    <row r="202" ht="15.75" hidden="1" customHeight="1"/>
    <row r="203" ht="15.75" hidden="1" customHeight="1"/>
    <row r="204" ht="15.75" hidden="1" customHeight="1"/>
    <row r="205" ht="15.75" hidden="1" customHeight="1"/>
    <row r="206" ht="15.75" hidden="1" customHeight="1"/>
    <row r="207" ht="15.75" hidden="1" customHeight="1"/>
    <row r="208" ht="15.75" hidden="1" customHeight="1"/>
    <row r="209" ht="15.75" hidden="1" customHeight="1"/>
    <row r="210" ht="15.75" hidden="1" customHeight="1"/>
    <row r="211" ht="15.75" hidden="1" customHeight="1"/>
    <row r="212" ht="15.75" hidden="1" customHeight="1"/>
    <row r="213" ht="15.75" hidden="1" customHeight="1"/>
    <row r="214" ht="15.75" hidden="1" customHeight="1"/>
    <row r="215" ht="15.75" hidden="1" customHeight="1"/>
    <row r="216" ht="15.75" hidden="1" customHeight="1"/>
    <row r="217" ht="15.75" hidden="1" customHeight="1"/>
    <row r="218" ht="15.75" hidden="1" customHeight="1"/>
    <row r="219" ht="15.75" hidden="1" customHeight="1"/>
    <row r="220" ht="15.75" hidden="1" customHeight="1"/>
    <row r="221" ht="15.75" hidden="1" customHeight="1"/>
    <row r="222" ht="15.75" hidden="1" customHeight="1"/>
    <row r="223" ht="15.75" hidden="1" customHeight="1"/>
    <row r="224" ht="15.75" hidden="1" customHeight="1"/>
    <row r="225" ht="15.75" hidden="1" customHeight="1"/>
    <row r="226" ht="15.75" hidden="1" customHeight="1"/>
    <row r="227" ht="15.75" hidden="1" customHeight="1"/>
    <row r="228" ht="15.75" hidden="1" customHeight="1"/>
    <row r="229" ht="15.75" hidden="1" customHeight="1"/>
    <row r="230" ht="15.75" hidden="1" customHeight="1"/>
    <row r="231" ht="15.75" hidden="1" customHeight="1"/>
    <row r="232" ht="15.75" hidden="1" customHeight="1"/>
    <row r="233" ht="15.75" hidden="1" customHeight="1"/>
    <row r="234" ht="15.75" hidden="1" customHeight="1"/>
    <row r="235" ht="15.75" hidden="1" customHeight="1"/>
    <row r="236" ht="15.75" hidden="1" customHeight="1"/>
    <row r="237" ht="15.75" hidden="1" customHeight="1"/>
    <row r="238" ht="15.75" hidden="1" customHeight="1"/>
    <row r="239" ht="15.75" hidden="1" customHeight="1"/>
    <row r="240" ht="15.75" hidden="1" customHeight="1"/>
    <row r="241" ht="15.75" hidden="1" customHeight="1"/>
    <row r="242" ht="15.75" hidden="1" customHeight="1"/>
    <row r="243" ht="15.75" hidden="1" customHeight="1"/>
    <row r="244" ht="15.75" hidden="1" customHeight="1"/>
    <row r="245" ht="15.75" hidden="1" customHeight="1"/>
    <row r="246" ht="15.75" hidden="1" customHeight="1"/>
    <row r="247" ht="15.75" hidden="1" customHeight="1"/>
    <row r="248" ht="15.75" hidden="1" customHeight="1"/>
    <row r="249" ht="15.75" hidden="1" customHeight="1"/>
    <row r="250" ht="15.75" hidden="1" customHeight="1"/>
    <row r="251" ht="15.75" hidden="1" customHeight="1"/>
    <row r="252" ht="15.75" hidden="1" customHeight="1"/>
    <row r="253" ht="15.75" hidden="1" customHeight="1"/>
    <row r="254" ht="15.75" hidden="1" customHeight="1"/>
    <row r="255" ht="15.75" hidden="1" customHeight="1"/>
    <row r="256" ht="15.75" hidden="1" customHeight="1"/>
    <row r="257" ht="15.75" hidden="1" customHeight="1"/>
    <row r="258" ht="15.75" hidden="1" customHeight="1"/>
    <row r="259" ht="15.75" hidden="1" customHeight="1"/>
    <row r="260" ht="15.75" hidden="1" customHeight="1"/>
    <row r="261" ht="15.75" hidden="1" customHeight="1"/>
    <row r="262" ht="15.75" hidden="1" customHeight="1"/>
    <row r="263" ht="15.75" hidden="1" customHeight="1"/>
    <row r="264" ht="15.75" hidden="1" customHeight="1"/>
    <row r="265" ht="15.75" hidden="1" customHeight="1"/>
    <row r="266" ht="15.75" hidden="1" customHeight="1"/>
    <row r="267" ht="15.75" hidden="1" customHeight="1"/>
    <row r="268" ht="15.75" hidden="1" customHeight="1"/>
    <row r="269" ht="15.75" hidden="1" customHeight="1"/>
    <row r="270" ht="15.75" hidden="1" customHeight="1"/>
    <row r="271" ht="15.75" hidden="1" customHeight="1"/>
    <row r="272" ht="15.75" hidden="1" customHeight="1"/>
    <row r="273" ht="15.75" hidden="1" customHeight="1"/>
    <row r="274" ht="15.75" hidden="1" customHeight="1"/>
    <row r="275" ht="15.75" hidden="1" customHeight="1"/>
    <row r="276" ht="15.75" hidden="1" customHeight="1"/>
    <row r="277" ht="15.75" hidden="1" customHeight="1"/>
    <row r="278" ht="15.75" hidden="1" customHeight="1"/>
    <row r="279" ht="15.75" hidden="1" customHeight="1"/>
    <row r="280" ht="15.75" hidden="1" customHeight="1"/>
    <row r="281" ht="15.75" hidden="1" customHeight="1"/>
    <row r="282" ht="15.75" hidden="1" customHeight="1"/>
    <row r="283" ht="15.75" hidden="1" customHeight="1"/>
    <row r="284" ht="15.75" hidden="1" customHeight="1"/>
    <row r="285" ht="15.75" hidden="1" customHeight="1"/>
    <row r="286" ht="15.75" hidden="1" customHeight="1"/>
    <row r="287" ht="15.75" hidden="1" customHeight="1"/>
    <row r="288" ht="15.75" hidden="1" customHeight="1"/>
    <row r="289" ht="15.75" hidden="1" customHeight="1"/>
    <row r="290" ht="15.75" hidden="1" customHeight="1"/>
    <row r="291" ht="15.75" hidden="1" customHeight="1"/>
    <row r="292" ht="15.75" hidden="1" customHeight="1"/>
    <row r="293" ht="15.75" hidden="1" customHeight="1"/>
    <row r="294" ht="15.75" hidden="1" customHeight="1"/>
    <row r="295" ht="15.75" hidden="1" customHeight="1"/>
    <row r="296" ht="15.75" hidden="1" customHeight="1"/>
    <row r="297" ht="15.75" hidden="1" customHeight="1"/>
    <row r="298" ht="15.75" hidden="1" customHeight="1"/>
    <row r="299" ht="15.75" hidden="1" customHeight="1"/>
    <row r="300" ht="15.75" hidden="1" customHeight="1"/>
    <row r="301" ht="15.75" hidden="1" customHeight="1"/>
    <row r="302" ht="15.75" hidden="1" customHeight="1"/>
    <row r="303" ht="15.75" hidden="1" customHeight="1"/>
    <row r="304" ht="15.75" hidden="1" customHeight="1"/>
    <row r="305" ht="15.75" hidden="1" customHeight="1"/>
    <row r="306" ht="15.75" hidden="1" customHeight="1"/>
    <row r="307" ht="15.75" hidden="1" customHeight="1"/>
    <row r="308" ht="15.75" hidden="1" customHeight="1"/>
    <row r="309" ht="15.75" hidden="1" customHeight="1"/>
    <row r="310" ht="15.75" hidden="1" customHeight="1"/>
    <row r="311" ht="15.75" hidden="1" customHeight="1"/>
    <row r="312" ht="15.75" hidden="1" customHeight="1"/>
    <row r="313" ht="15.75" hidden="1" customHeight="1"/>
    <row r="314" ht="15.75" hidden="1" customHeight="1"/>
    <row r="315" ht="15.75" hidden="1" customHeight="1"/>
    <row r="316" ht="15.75" hidden="1" customHeight="1"/>
    <row r="317" ht="15.75" hidden="1" customHeight="1"/>
    <row r="318" ht="15.75" hidden="1" customHeight="1"/>
    <row r="319" ht="15.75" hidden="1" customHeight="1"/>
    <row r="320" ht="15.75" hidden="1" customHeight="1"/>
    <row r="321" ht="15.75" hidden="1" customHeight="1"/>
    <row r="322" ht="15.75" hidden="1" customHeight="1"/>
    <row r="323" ht="15.75" hidden="1" customHeight="1"/>
    <row r="324" ht="15.75" hidden="1" customHeight="1"/>
    <row r="325" ht="15.75" hidden="1" customHeight="1"/>
    <row r="326" ht="15.75" hidden="1" customHeight="1"/>
    <row r="327" ht="15.75" hidden="1" customHeight="1"/>
    <row r="328" ht="15.75" hidden="1" customHeight="1"/>
    <row r="329" ht="15.75" hidden="1" customHeight="1"/>
    <row r="330" ht="15.75" hidden="1" customHeight="1"/>
    <row r="331" ht="15.75" hidden="1" customHeight="1"/>
    <row r="332" ht="15.75" hidden="1" customHeight="1"/>
    <row r="333" ht="15.75" hidden="1" customHeight="1"/>
    <row r="334" ht="15.75" hidden="1" customHeight="1"/>
    <row r="335" ht="15.75" hidden="1" customHeight="1"/>
    <row r="336" ht="15.75" hidden="1" customHeight="1"/>
    <row r="337" ht="15.75" hidden="1" customHeight="1"/>
    <row r="338" ht="15.75" hidden="1" customHeight="1"/>
    <row r="339" ht="15.75" hidden="1" customHeight="1"/>
    <row r="340" ht="15.75" hidden="1" customHeight="1"/>
    <row r="341" ht="15.75" hidden="1" customHeight="1"/>
    <row r="342" ht="15.75" hidden="1" customHeight="1"/>
    <row r="343" ht="15.75" hidden="1" customHeight="1"/>
    <row r="344" ht="15.75" hidden="1" customHeight="1"/>
    <row r="345" ht="15.75" hidden="1" customHeight="1"/>
    <row r="346" ht="15.75" hidden="1" customHeight="1"/>
    <row r="347" ht="15.75" hidden="1" customHeight="1"/>
    <row r="348" ht="15.75" hidden="1" customHeight="1"/>
    <row r="349" ht="15.75" hidden="1" customHeight="1"/>
    <row r="350" ht="15.75" hidden="1" customHeight="1"/>
    <row r="351" ht="15.75" hidden="1" customHeight="1"/>
    <row r="352" ht="15.75" hidden="1" customHeight="1"/>
    <row r="353" ht="15.75" hidden="1" customHeight="1"/>
    <row r="354" ht="15.75" hidden="1" customHeight="1"/>
    <row r="355" ht="15.75" hidden="1" customHeight="1"/>
    <row r="356" ht="15.75" hidden="1" customHeight="1"/>
    <row r="357" ht="15.75" hidden="1" customHeight="1"/>
    <row r="358" ht="15.75" hidden="1" customHeight="1"/>
    <row r="359" ht="15.75" hidden="1" customHeight="1"/>
    <row r="360" ht="15.75" hidden="1" customHeight="1"/>
    <row r="361" ht="15.75" hidden="1" customHeight="1"/>
    <row r="362" ht="15.75" hidden="1" customHeight="1"/>
    <row r="363" ht="15.75" hidden="1" customHeight="1"/>
    <row r="364" ht="15.75" hidden="1" customHeight="1"/>
    <row r="365" ht="15.75" hidden="1" customHeight="1"/>
    <row r="366" ht="15.75" hidden="1" customHeight="1"/>
    <row r="367" ht="15.75" hidden="1" customHeight="1"/>
    <row r="368" ht="15.75" hidden="1" customHeight="1"/>
    <row r="369" ht="15.75" hidden="1" customHeight="1"/>
    <row r="370" ht="15.75" hidden="1" customHeight="1"/>
    <row r="371" ht="15.75" hidden="1" customHeight="1"/>
    <row r="372" ht="15.75" hidden="1" customHeight="1"/>
    <row r="373" ht="15.75" hidden="1" customHeight="1"/>
    <row r="374" ht="15.75" hidden="1" customHeight="1"/>
    <row r="375" ht="15.75" hidden="1" customHeight="1"/>
    <row r="376" ht="15.75" hidden="1" customHeight="1"/>
    <row r="377" ht="15.75" hidden="1" customHeight="1"/>
    <row r="378" ht="15.75" hidden="1" customHeight="1"/>
    <row r="379" ht="15.75" hidden="1" customHeight="1"/>
    <row r="380" ht="15.75" hidden="1" customHeight="1"/>
    <row r="381" ht="15.75" hidden="1" customHeight="1"/>
    <row r="382" ht="15.75" hidden="1" customHeight="1"/>
    <row r="383" ht="15.75" hidden="1" customHeight="1"/>
    <row r="384" ht="15.75" hidden="1" customHeight="1"/>
    <row r="385" ht="15.75" hidden="1" customHeight="1"/>
    <row r="386" ht="15.75" hidden="1" customHeight="1"/>
    <row r="387" ht="15.75" hidden="1" customHeight="1"/>
    <row r="388" ht="15.75" hidden="1" customHeight="1"/>
    <row r="389" ht="15.75" hidden="1" customHeight="1"/>
    <row r="390" ht="15.75" hidden="1" customHeight="1"/>
    <row r="391" ht="15.75" hidden="1" customHeight="1"/>
    <row r="392" ht="15.75" hidden="1" customHeight="1"/>
    <row r="393" ht="15.75" hidden="1" customHeight="1"/>
    <row r="394" ht="15.75" hidden="1" customHeight="1"/>
    <row r="395" ht="15.75" hidden="1" customHeight="1"/>
    <row r="396" ht="15.75" hidden="1" customHeight="1"/>
    <row r="397" ht="15.75" hidden="1" customHeight="1"/>
    <row r="398" ht="15.75" hidden="1" customHeight="1"/>
    <row r="399" ht="15.75" hidden="1" customHeight="1"/>
    <row r="400" ht="15.75" hidden="1" customHeight="1"/>
    <row r="401" ht="15.75" hidden="1" customHeight="1"/>
    <row r="402" ht="15.75" hidden="1" customHeight="1"/>
    <row r="403" ht="15.75" hidden="1" customHeight="1"/>
    <row r="404" ht="15.75" hidden="1" customHeight="1"/>
    <row r="405" ht="15.75" hidden="1" customHeight="1"/>
    <row r="406" ht="15.75" hidden="1" customHeight="1"/>
    <row r="407" ht="15.75" hidden="1" customHeight="1"/>
    <row r="408" ht="15.75" hidden="1" customHeight="1"/>
    <row r="409" ht="15.75" hidden="1" customHeight="1"/>
    <row r="410" ht="15.75" hidden="1" customHeight="1"/>
    <row r="411" ht="15.75" hidden="1" customHeight="1"/>
    <row r="412" ht="15.75" hidden="1" customHeight="1"/>
    <row r="413" ht="15.75" hidden="1" customHeight="1"/>
    <row r="414" ht="15.75" hidden="1" customHeight="1"/>
    <row r="415" ht="15.75" hidden="1" customHeight="1"/>
    <row r="416" ht="15.75" hidden="1" customHeight="1"/>
    <row r="417" ht="15.75" hidden="1" customHeight="1"/>
    <row r="418" ht="15.75" hidden="1" customHeight="1"/>
    <row r="419" ht="15.75" hidden="1" customHeight="1"/>
    <row r="420" ht="15.75" hidden="1" customHeight="1"/>
    <row r="421" ht="15.75" hidden="1" customHeight="1"/>
    <row r="422" ht="15.75" hidden="1" customHeight="1"/>
    <row r="423" ht="15.75" hidden="1" customHeight="1"/>
    <row r="424" ht="15.75" hidden="1" customHeight="1"/>
    <row r="425" ht="15.75" hidden="1" customHeight="1"/>
    <row r="426" ht="15.75" hidden="1" customHeight="1"/>
    <row r="427" ht="15.75" hidden="1" customHeight="1"/>
    <row r="428" ht="15.75" hidden="1" customHeight="1"/>
    <row r="429" ht="15.75" hidden="1" customHeight="1"/>
    <row r="430" ht="15.75" hidden="1" customHeight="1"/>
    <row r="431" ht="15.75" hidden="1" customHeight="1"/>
    <row r="432" ht="15.75" hidden="1" customHeight="1"/>
    <row r="433" ht="15.75" hidden="1" customHeight="1"/>
    <row r="434" ht="15.75" hidden="1" customHeight="1"/>
    <row r="435" ht="15.75" hidden="1" customHeight="1"/>
    <row r="436" ht="15.75" hidden="1" customHeight="1"/>
    <row r="437" ht="15.75" hidden="1" customHeight="1"/>
    <row r="438" ht="15.75" hidden="1" customHeight="1"/>
    <row r="439" ht="15.75" hidden="1" customHeight="1"/>
    <row r="440" ht="15.75" hidden="1" customHeight="1"/>
    <row r="441" ht="15.75" hidden="1" customHeight="1"/>
    <row r="442" ht="15.75" hidden="1" customHeight="1"/>
    <row r="443" ht="15.75" hidden="1" customHeight="1"/>
    <row r="444" ht="15.75" hidden="1" customHeight="1"/>
    <row r="445" ht="15.75" hidden="1" customHeight="1"/>
    <row r="446" ht="15.75" hidden="1" customHeight="1"/>
    <row r="447" ht="15.75" hidden="1" customHeight="1"/>
    <row r="448" ht="15.75" hidden="1" customHeight="1"/>
    <row r="449" ht="15.75" hidden="1" customHeight="1"/>
    <row r="450" ht="15.75" hidden="1" customHeight="1"/>
    <row r="451" ht="15.75" hidden="1" customHeight="1"/>
    <row r="452" ht="15.75" hidden="1" customHeight="1"/>
    <row r="453" ht="15.75" hidden="1" customHeight="1"/>
    <row r="454" ht="15.75" hidden="1" customHeight="1"/>
    <row r="455" ht="15.75" hidden="1" customHeight="1"/>
    <row r="456" ht="15.75" hidden="1" customHeight="1"/>
    <row r="457" ht="15.75" hidden="1" customHeight="1"/>
    <row r="458" ht="15.75" hidden="1" customHeight="1"/>
    <row r="459" ht="15.75" hidden="1" customHeight="1"/>
    <row r="460" ht="15.75" hidden="1" customHeight="1"/>
    <row r="461" ht="15.75" hidden="1" customHeight="1"/>
    <row r="462" ht="15.75" hidden="1" customHeight="1"/>
    <row r="463" ht="15.75" hidden="1" customHeight="1"/>
    <row r="464" ht="15.75" hidden="1" customHeight="1"/>
    <row r="465" ht="15.75" hidden="1" customHeight="1"/>
    <row r="466" ht="15.75" hidden="1" customHeight="1"/>
    <row r="467" ht="15.75" hidden="1" customHeight="1"/>
    <row r="468" ht="15.75" hidden="1" customHeight="1"/>
    <row r="469" ht="15.75" hidden="1" customHeight="1"/>
    <row r="470" ht="15.75" hidden="1" customHeight="1"/>
    <row r="471" ht="15.75" hidden="1" customHeight="1"/>
    <row r="472" ht="15.75" hidden="1" customHeight="1"/>
    <row r="473" ht="15.75" hidden="1" customHeight="1"/>
    <row r="474" ht="15.75" hidden="1" customHeight="1"/>
    <row r="475" ht="15.75" hidden="1" customHeight="1"/>
    <row r="476" ht="15.75" hidden="1" customHeight="1"/>
    <row r="477" ht="15.75" hidden="1" customHeight="1"/>
    <row r="478" ht="15.75" hidden="1" customHeight="1"/>
    <row r="479" ht="15.75" hidden="1" customHeight="1"/>
    <row r="480" ht="15.75" hidden="1" customHeight="1"/>
    <row r="481" ht="15.75" hidden="1" customHeight="1"/>
    <row r="482" ht="15.75" hidden="1" customHeight="1"/>
    <row r="483" ht="15.75" hidden="1" customHeight="1"/>
    <row r="484" ht="15.75" hidden="1" customHeight="1"/>
    <row r="485" ht="15.75" hidden="1" customHeight="1"/>
    <row r="486" ht="15.75" hidden="1" customHeight="1"/>
    <row r="487" ht="15.75" hidden="1" customHeight="1"/>
    <row r="488" ht="15.75" hidden="1" customHeight="1"/>
    <row r="489" ht="15.75" hidden="1" customHeight="1"/>
    <row r="490" ht="15.75" hidden="1" customHeight="1"/>
    <row r="491" ht="15.75" hidden="1" customHeight="1"/>
    <row r="492" ht="15.75" hidden="1" customHeight="1"/>
    <row r="493" ht="15.75" hidden="1" customHeight="1"/>
    <row r="494" ht="15.75" hidden="1" customHeight="1"/>
    <row r="495" ht="15.75" hidden="1" customHeight="1"/>
    <row r="496" ht="15.75" hidden="1" customHeight="1"/>
    <row r="497" ht="15.75" hidden="1" customHeight="1"/>
    <row r="498" ht="15.75" hidden="1" customHeight="1"/>
    <row r="499" ht="15.75" hidden="1" customHeight="1"/>
    <row r="500" ht="15.75" hidden="1" customHeight="1"/>
    <row r="501" ht="15.75" hidden="1" customHeight="1"/>
    <row r="502" ht="15.75" hidden="1" customHeight="1"/>
    <row r="503" ht="15.75" hidden="1" customHeight="1"/>
    <row r="504" ht="15.75" hidden="1" customHeight="1"/>
    <row r="505" ht="15.75" hidden="1" customHeight="1"/>
    <row r="506" ht="15.75" hidden="1" customHeight="1"/>
    <row r="507" ht="15.75" hidden="1" customHeight="1"/>
    <row r="508" ht="15.75" hidden="1" customHeight="1"/>
    <row r="509" ht="15.75" hidden="1" customHeight="1"/>
    <row r="510" ht="15.75" hidden="1" customHeight="1"/>
    <row r="511" ht="15.75" hidden="1" customHeight="1"/>
    <row r="512" ht="15.75" hidden="1" customHeight="1"/>
    <row r="513" ht="15.75" hidden="1" customHeight="1"/>
    <row r="514" ht="15.75" hidden="1" customHeight="1"/>
    <row r="515" ht="15.75" hidden="1" customHeight="1"/>
    <row r="516" ht="15.75" hidden="1" customHeight="1"/>
    <row r="517" ht="15.75" hidden="1" customHeight="1"/>
    <row r="518" ht="15.75" hidden="1" customHeight="1"/>
    <row r="519" ht="15.75" hidden="1" customHeight="1"/>
    <row r="520" ht="15.75" hidden="1" customHeight="1"/>
    <row r="521" ht="15.75" hidden="1" customHeight="1"/>
    <row r="522" ht="15.75" hidden="1" customHeight="1"/>
    <row r="523" ht="15.75" hidden="1" customHeight="1"/>
    <row r="524" ht="15.75" hidden="1" customHeight="1"/>
    <row r="525" ht="15.75" hidden="1" customHeight="1"/>
    <row r="526" ht="15.75" hidden="1" customHeight="1"/>
    <row r="527" ht="15.75" hidden="1" customHeight="1"/>
    <row r="528" ht="15.75" hidden="1" customHeight="1"/>
    <row r="529" ht="15.75" hidden="1" customHeight="1"/>
    <row r="530" ht="15.75" hidden="1" customHeight="1"/>
    <row r="531" ht="15.75" hidden="1" customHeight="1"/>
    <row r="532" ht="15.75" hidden="1" customHeight="1"/>
    <row r="533" ht="15.75" hidden="1" customHeight="1"/>
    <row r="534" ht="15.75" hidden="1" customHeight="1"/>
    <row r="535" ht="15.75" hidden="1" customHeight="1"/>
    <row r="536" ht="15.75" hidden="1" customHeight="1"/>
    <row r="537" ht="15.75" hidden="1" customHeight="1"/>
    <row r="538" ht="15.75" hidden="1" customHeight="1"/>
    <row r="539" ht="15.75" hidden="1" customHeight="1"/>
    <row r="540" ht="15.75" hidden="1" customHeight="1"/>
    <row r="541" ht="15.75" hidden="1" customHeight="1"/>
    <row r="542" ht="15.75" hidden="1" customHeight="1"/>
    <row r="543" ht="15.75" hidden="1" customHeight="1"/>
    <row r="544" ht="15.75" hidden="1" customHeight="1"/>
    <row r="545" ht="15.75" hidden="1" customHeight="1"/>
    <row r="546" ht="15.75" hidden="1" customHeight="1"/>
    <row r="547" ht="15.75" hidden="1" customHeight="1"/>
    <row r="548" ht="15.75" hidden="1" customHeight="1"/>
    <row r="549" ht="15.75" hidden="1" customHeight="1"/>
    <row r="550" ht="15.75" hidden="1" customHeight="1"/>
    <row r="551" ht="15.75" hidden="1" customHeight="1"/>
    <row r="552" ht="15.75" hidden="1" customHeight="1"/>
    <row r="553" ht="15.75" hidden="1" customHeight="1"/>
    <row r="554" ht="15.75" hidden="1" customHeight="1"/>
    <row r="555" ht="15.75" hidden="1" customHeight="1"/>
    <row r="556" ht="15.75" hidden="1" customHeight="1"/>
    <row r="557" ht="15.75" hidden="1" customHeight="1"/>
    <row r="558" ht="15.75" hidden="1" customHeight="1"/>
    <row r="559" ht="15.75" hidden="1" customHeight="1"/>
    <row r="560" ht="15.75" hidden="1" customHeight="1"/>
    <row r="561" ht="15.75" hidden="1" customHeight="1"/>
    <row r="562" ht="15.75" hidden="1" customHeight="1"/>
    <row r="563" ht="15.75" hidden="1" customHeight="1"/>
    <row r="564" ht="15.75" hidden="1" customHeight="1"/>
    <row r="565" ht="15.75" hidden="1" customHeight="1"/>
    <row r="566" ht="15.75" hidden="1" customHeight="1"/>
    <row r="567" ht="15.75" hidden="1" customHeight="1"/>
    <row r="568" ht="15.75" hidden="1" customHeight="1"/>
    <row r="569" ht="15.75" hidden="1" customHeight="1"/>
    <row r="570" ht="15.75" hidden="1" customHeight="1"/>
    <row r="571" ht="15.75" hidden="1" customHeight="1"/>
    <row r="572" ht="15.75" hidden="1" customHeight="1"/>
    <row r="573" ht="15.75" hidden="1" customHeight="1"/>
    <row r="574" ht="15.75" hidden="1" customHeight="1"/>
    <row r="575" ht="15.75" hidden="1" customHeight="1"/>
    <row r="576" ht="15.75" hidden="1" customHeight="1"/>
    <row r="577" ht="15.75" hidden="1" customHeight="1"/>
    <row r="578" ht="15.75" hidden="1" customHeight="1"/>
    <row r="579" ht="15.75" hidden="1" customHeight="1"/>
    <row r="580" ht="15.75" hidden="1" customHeight="1"/>
    <row r="581" ht="15.75" hidden="1" customHeight="1"/>
    <row r="582" ht="15.75" hidden="1" customHeight="1"/>
    <row r="583" ht="15.75" hidden="1" customHeight="1"/>
    <row r="584" ht="15.75" hidden="1" customHeight="1"/>
    <row r="585" ht="15.75" hidden="1" customHeight="1"/>
    <row r="586" ht="15.75" hidden="1" customHeight="1"/>
    <row r="587" ht="15.75" hidden="1" customHeight="1"/>
    <row r="588" ht="15.75" hidden="1" customHeight="1"/>
    <row r="589" ht="15.75" hidden="1" customHeight="1"/>
    <row r="590" ht="15.75" hidden="1" customHeight="1"/>
    <row r="591" ht="15.75" hidden="1" customHeight="1"/>
    <row r="592" ht="15.75" hidden="1" customHeight="1"/>
    <row r="593" ht="15.75" hidden="1" customHeight="1"/>
    <row r="594" ht="15.75" hidden="1" customHeight="1"/>
    <row r="595" ht="15.75" hidden="1" customHeight="1"/>
    <row r="596" ht="15.75" hidden="1" customHeight="1"/>
    <row r="597" ht="15.75" hidden="1" customHeight="1"/>
    <row r="598" ht="15.75" hidden="1" customHeight="1"/>
    <row r="599" ht="15.75" hidden="1" customHeight="1"/>
    <row r="600" ht="15.75" hidden="1" customHeight="1"/>
    <row r="601" ht="15.75" hidden="1" customHeight="1"/>
    <row r="602" ht="15.75" hidden="1" customHeight="1"/>
    <row r="603" ht="15.75" hidden="1" customHeight="1"/>
    <row r="604" ht="15.75" hidden="1" customHeight="1"/>
    <row r="605" ht="15.75" hidden="1" customHeight="1"/>
    <row r="606" ht="15.75" hidden="1" customHeight="1"/>
    <row r="607" ht="15.75" hidden="1" customHeight="1"/>
    <row r="608" ht="15.75" hidden="1" customHeight="1"/>
    <row r="609" ht="15.75" hidden="1" customHeight="1"/>
    <row r="610" ht="15.75" hidden="1" customHeight="1"/>
    <row r="611" ht="15.75" hidden="1" customHeight="1"/>
    <row r="612" ht="15.75" hidden="1" customHeight="1"/>
    <row r="613" ht="15.75" hidden="1" customHeight="1"/>
    <row r="614" ht="15.75" hidden="1" customHeight="1"/>
    <row r="615" ht="15.75" hidden="1" customHeight="1"/>
    <row r="616" ht="15.75" hidden="1" customHeight="1"/>
    <row r="617" ht="15.75" hidden="1" customHeight="1"/>
    <row r="618" ht="15.75" hidden="1" customHeight="1"/>
    <row r="619" ht="15.75" hidden="1" customHeight="1"/>
    <row r="620" ht="15.75" hidden="1" customHeight="1"/>
    <row r="621" ht="15.75" hidden="1" customHeight="1"/>
    <row r="622" ht="15.75" hidden="1" customHeight="1"/>
    <row r="623" ht="15.75" hidden="1" customHeight="1"/>
    <row r="624" ht="15.75" hidden="1" customHeight="1"/>
    <row r="625" ht="15.75" hidden="1" customHeight="1"/>
    <row r="626" ht="15.75" hidden="1" customHeight="1"/>
    <row r="627" ht="15.75" hidden="1" customHeight="1"/>
    <row r="628" ht="15.75" hidden="1" customHeight="1"/>
    <row r="629" ht="15.75" hidden="1" customHeight="1"/>
    <row r="630" ht="15.75" hidden="1" customHeight="1"/>
    <row r="631" ht="15.75" hidden="1" customHeight="1"/>
    <row r="632" ht="15.75" hidden="1" customHeight="1"/>
    <row r="633" ht="15.75" hidden="1" customHeight="1"/>
    <row r="634" ht="15.75" hidden="1" customHeight="1"/>
    <row r="635" ht="15.75" hidden="1" customHeight="1"/>
    <row r="636" ht="15.75" hidden="1" customHeight="1"/>
    <row r="637" ht="15.75" hidden="1" customHeight="1"/>
    <row r="638" ht="15.75" hidden="1" customHeight="1"/>
    <row r="639" ht="15.75" hidden="1" customHeight="1"/>
    <row r="640" ht="15.75" hidden="1" customHeight="1"/>
    <row r="641" ht="15.75" hidden="1" customHeight="1"/>
    <row r="642" ht="15.75" hidden="1" customHeight="1"/>
    <row r="643" ht="15.75" hidden="1" customHeight="1"/>
    <row r="644" ht="15.75" hidden="1" customHeight="1"/>
    <row r="645" ht="15.75" hidden="1" customHeight="1"/>
    <row r="646" ht="15.75" hidden="1" customHeight="1"/>
    <row r="647" ht="15.75" hidden="1" customHeight="1"/>
    <row r="648" ht="15.75" hidden="1" customHeight="1"/>
    <row r="649" ht="15.75" hidden="1" customHeight="1"/>
    <row r="650" ht="15.75" hidden="1" customHeight="1"/>
    <row r="651" ht="15.75" hidden="1" customHeight="1"/>
    <row r="652" ht="15.75" hidden="1" customHeight="1"/>
    <row r="653" ht="15.75" hidden="1" customHeight="1"/>
    <row r="654" ht="15.75" hidden="1" customHeight="1"/>
    <row r="655" ht="15.75" hidden="1" customHeight="1"/>
    <row r="656" ht="15.75" hidden="1" customHeight="1"/>
    <row r="657" ht="15.75" hidden="1" customHeight="1"/>
    <row r="658" ht="15.75" hidden="1" customHeight="1"/>
    <row r="659" ht="15.75" hidden="1" customHeight="1"/>
    <row r="660" ht="15.75" hidden="1" customHeight="1"/>
    <row r="661" ht="15.75" hidden="1" customHeight="1"/>
    <row r="662" ht="15.75" hidden="1" customHeight="1"/>
    <row r="663" ht="15.75" hidden="1" customHeight="1"/>
    <row r="664" ht="15.75" hidden="1" customHeight="1"/>
    <row r="665" ht="15.75" hidden="1" customHeight="1"/>
    <row r="666" ht="15.75" hidden="1" customHeight="1"/>
    <row r="667" ht="15.75" hidden="1" customHeight="1"/>
    <row r="668" ht="15.75" hidden="1" customHeight="1"/>
    <row r="669" ht="15.75" hidden="1" customHeight="1"/>
    <row r="670" ht="15.75" hidden="1" customHeight="1"/>
    <row r="671" ht="15.75" hidden="1" customHeight="1"/>
    <row r="672" ht="15.75" hidden="1" customHeight="1"/>
    <row r="673" ht="15.75" hidden="1" customHeight="1"/>
    <row r="674" ht="15.75" hidden="1" customHeight="1"/>
    <row r="675" ht="15.75" hidden="1" customHeight="1"/>
    <row r="676" ht="15.75" hidden="1" customHeight="1"/>
    <row r="677" ht="15.75" hidden="1" customHeight="1"/>
    <row r="678" ht="15.75" hidden="1" customHeight="1"/>
    <row r="679" ht="15.75" hidden="1" customHeight="1"/>
    <row r="680" ht="15.75" hidden="1" customHeight="1"/>
    <row r="681" ht="15.75" hidden="1" customHeight="1"/>
    <row r="682" ht="15.75" hidden="1" customHeight="1"/>
    <row r="683" ht="15.75" hidden="1" customHeight="1"/>
    <row r="684" ht="15.75" hidden="1" customHeight="1"/>
    <row r="685" ht="15.75" hidden="1" customHeight="1"/>
    <row r="686" ht="15.75" hidden="1" customHeight="1"/>
    <row r="687" ht="15.75" hidden="1" customHeight="1"/>
    <row r="688" ht="15.75" hidden="1" customHeight="1"/>
    <row r="689" ht="15.75" hidden="1" customHeight="1"/>
    <row r="690" ht="15.75" hidden="1" customHeight="1"/>
    <row r="691" ht="15.75" hidden="1" customHeight="1"/>
    <row r="692" ht="15.75" hidden="1" customHeight="1"/>
    <row r="693" ht="15.75" hidden="1" customHeight="1"/>
    <row r="694" ht="15.75" hidden="1" customHeight="1"/>
    <row r="695" ht="15.75" hidden="1" customHeight="1"/>
    <row r="696" ht="15.75" hidden="1" customHeight="1"/>
    <row r="697" ht="15.75" hidden="1" customHeight="1"/>
    <row r="698" ht="15.75" hidden="1" customHeight="1"/>
    <row r="699" ht="15.75" hidden="1" customHeight="1"/>
    <row r="700" ht="15.75" hidden="1" customHeight="1"/>
    <row r="701" ht="15.75" hidden="1" customHeight="1"/>
    <row r="702" ht="15.75" hidden="1" customHeight="1"/>
    <row r="703" ht="15.75" hidden="1" customHeight="1"/>
    <row r="704" ht="15.75" hidden="1" customHeight="1"/>
    <row r="705" ht="15.75" hidden="1" customHeight="1"/>
    <row r="706" ht="15.75" hidden="1" customHeight="1"/>
    <row r="707" ht="15.75" hidden="1" customHeight="1"/>
    <row r="708" ht="15.75" hidden="1" customHeight="1"/>
    <row r="709" ht="15.75" hidden="1" customHeight="1"/>
    <row r="710" ht="15.75" hidden="1" customHeight="1"/>
    <row r="711" ht="15.75" hidden="1" customHeight="1"/>
    <row r="712" ht="15.75" hidden="1" customHeight="1"/>
    <row r="713" ht="15.75" hidden="1" customHeight="1"/>
    <row r="714" ht="15.75" hidden="1" customHeight="1"/>
    <row r="715" ht="15.75" hidden="1" customHeight="1"/>
    <row r="716" ht="15.75" hidden="1" customHeight="1"/>
    <row r="717" ht="15.75" hidden="1" customHeight="1"/>
    <row r="718" ht="15.75" hidden="1" customHeight="1"/>
    <row r="719" ht="15.75" hidden="1" customHeight="1"/>
    <row r="720" ht="15.75" hidden="1" customHeight="1"/>
    <row r="721" ht="15.75" hidden="1" customHeight="1"/>
    <row r="722" ht="15.75" hidden="1" customHeight="1"/>
    <row r="723" ht="15.75" hidden="1" customHeight="1"/>
    <row r="724" ht="15.75" hidden="1" customHeight="1"/>
    <row r="725" ht="15.75" hidden="1" customHeight="1"/>
    <row r="726" ht="15.75" hidden="1" customHeight="1"/>
    <row r="727" ht="15.75" hidden="1" customHeight="1"/>
    <row r="728" ht="15.75" hidden="1" customHeight="1"/>
    <row r="729" ht="15.75" hidden="1" customHeight="1"/>
    <row r="730" ht="15.75" hidden="1" customHeight="1"/>
    <row r="731" ht="15.75" hidden="1" customHeight="1"/>
    <row r="732" ht="15.75" hidden="1" customHeight="1"/>
    <row r="733" ht="15.75" hidden="1" customHeight="1"/>
    <row r="734" ht="15.75" hidden="1" customHeight="1"/>
    <row r="735" ht="15.75" hidden="1" customHeight="1"/>
    <row r="736" ht="15.75" hidden="1" customHeight="1"/>
    <row r="737" ht="15.75" hidden="1" customHeight="1"/>
    <row r="738" ht="15.75" hidden="1" customHeight="1"/>
    <row r="739" ht="15.75" hidden="1" customHeight="1"/>
    <row r="740" ht="15.75" hidden="1" customHeight="1"/>
    <row r="741" ht="15.75" hidden="1" customHeight="1"/>
    <row r="742" ht="15.75" hidden="1" customHeight="1"/>
    <row r="743" ht="15.75" hidden="1" customHeight="1"/>
    <row r="744" ht="15.75" hidden="1" customHeight="1"/>
    <row r="745" ht="15.75" hidden="1" customHeight="1"/>
    <row r="746" ht="15.75" hidden="1" customHeight="1"/>
    <row r="747" ht="15.75" hidden="1" customHeight="1"/>
    <row r="748" ht="15.75" hidden="1" customHeight="1"/>
    <row r="749" ht="15.75" hidden="1" customHeight="1"/>
    <row r="750" ht="15.75" hidden="1" customHeight="1"/>
    <row r="751" ht="15.75" hidden="1" customHeight="1"/>
    <row r="752" ht="15.75" hidden="1" customHeight="1"/>
    <row r="753" ht="15.75" hidden="1" customHeight="1"/>
    <row r="754" ht="15.75" hidden="1" customHeight="1"/>
    <row r="755" ht="15.75" hidden="1" customHeight="1"/>
    <row r="756" ht="15.75" hidden="1" customHeight="1"/>
    <row r="757" ht="15.75" hidden="1" customHeight="1"/>
    <row r="758" ht="15.75" hidden="1" customHeight="1"/>
    <row r="759" ht="15.75" hidden="1" customHeight="1"/>
    <row r="760" ht="15.75" hidden="1" customHeight="1"/>
    <row r="761" ht="15.75" hidden="1" customHeight="1"/>
    <row r="762" ht="15.75" hidden="1" customHeight="1"/>
    <row r="763" ht="15.75" hidden="1" customHeight="1"/>
    <row r="764" ht="15.75" hidden="1" customHeight="1"/>
    <row r="765" ht="15.75" hidden="1" customHeight="1"/>
    <row r="766" ht="15.75" hidden="1" customHeight="1"/>
    <row r="767" ht="15.75" hidden="1" customHeight="1"/>
    <row r="768" ht="15.75" hidden="1" customHeight="1"/>
    <row r="769" ht="15.75" hidden="1" customHeight="1"/>
    <row r="770" ht="15.75" hidden="1" customHeight="1"/>
    <row r="771" ht="15.75" hidden="1" customHeight="1"/>
    <row r="772" ht="15.75" hidden="1" customHeight="1"/>
    <row r="773" ht="15.75" hidden="1" customHeight="1"/>
    <row r="774" ht="15.75" hidden="1" customHeight="1"/>
    <row r="775" ht="15.75" hidden="1" customHeight="1"/>
    <row r="776" ht="15.75" hidden="1" customHeight="1"/>
    <row r="777" ht="15.75" hidden="1" customHeight="1"/>
    <row r="778" ht="15.75" hidden="1" customHeight="1"/>
    <row r="779" ht="15.75" hidden="1" customHeight="1"/>
    <row r="780" ht="15.75" hidden="1" customHeight="1"/>
    <row r="781" ht="15.75" hidden="1" customHeight="1"/>
    <row r="782" ht="15.75" hidden="1" customHeight="1"/>
    <row r="783" ht="15.75" hidden="1" customHeight="1"/>
    <row r="784" ht="15.75" hidden="1" customHeight="1"/>
    <row r="785" ht="15.75" hidden="1" customHeight="1"/>
    <row r="786" ht="15.75" hidden="1" customHeight="1"/>
    <row r="787" ht="15.75" hidden="1" customHeight="1"/>
    <row r="788" ht="15.75" hidden="1" customHeight="1"/>
    <row r="789" ht="15.75" hidden="1" customHeight="1"/>
    <row r="790" ht="15.75" hidden="1" customHeight="1"/>
    <row r="791" ht="15.75" hidden="1" customHeight="1"/>
    <row r="792" ht="15.75" hidden="1" customHeight="1"/>
    <row r="793" ht="15.75" hidden="1" customHeight="1"/>
    <row r="794" ht="15.75" hidden="1" customHeight="1"/>
    <row r="795" ht="15.75" hidden="1" customHeight="1"/>
    <row r="796" ht="15.75" hidden="1" customHeight="1"/>
    <row r="797" ht="15.75" hidden="1" customHeight="1"/>
    <row r="798" ht="15.75" hidden="1" customHeight="1"/>
    <row r="799" ht="15.75" hidden="1" customHeight="1"/>
    <row r="800" ht="15.75" hidden="1" customHeight="1"/>
    <row r="801" ht="15.75" hidden="1" customHeight="1"/>
    <row r="802" ht="15.75" hidden="1" customHeight="1"/>
    <row r="803" ht="15.75" hidden="1" customHeight="1"/>
    <row r="804" ht="15.75" hidden="1" customHeight="1"/>
    <row r="805" ht="15.75" hidden="1" customHeight="1"/>
    <row r="806" ht="15.75" hidden="1" customHeight="1"/>
    <row r="807" ht="15.75" hidden="1" customHeight="1"/>
    <row r="808" ht="15.75" hidden="1" customHeight="1"/>
    <row r="809" ht="15.75" hidden="1" customHeight="1"/>
    <row r="810" ht="15.75" hidden="1" customHeight="1"/>
    <row r="811" ht="15.75" hidden="1" customHeight="1"/>
    <row r="812" ht="15.75" hidden="1" customHeight="1"/>
    <row r="813" ht="15.75" hidden="1" customHeight="1"/>
    <row r="814" ht="15.75" hidden="1" customHeight="1"/>
    <row r="815" ht="15.75" hidden="1" customHeight="1"/>
    <row r="816" ht="15.75" hidden="1" customHeight="1"/>
    <row r="817" ht="15.75" hidden="1" customHeight="1"/>
    <row r="818" ht="15.75" hidden="1" customHeight="1"/>
    <row r="819" ht="15.75" hidden="1" customHeight="1"/>
    <row r="820" ht="15.75" hidden="1" customHeight="1"/>
    <row r="821" ht="15.75" hidden="1" customHeight="1"/>
    <row r="822" ht="15.75" hidden="1" customHeight="1"/>
    <row r="823" ht="15.75" hidden="1" customHeight="1"/>
    <row r="824" ht="15.75" hidden="1" customHeight="1"/>
    <row r="825" ht="15.75" hidden="1" customHeight="1"/>
    <row r="826" ht="15.75" hidden="1" customHeight="1"/>
    <row r="827" ht="15.75" hidden="1" customHeight="1"/>
    <row r="828" ht="15.75" hidden="1" customHeight="1"/>
    <row r="829" ht="15.75" hidden="1" customHeight="1"/>
    <row r="830" ht="15.75" hidden="1" customHeight="1"/>
    <row r="831" ht="15.75" hidden="1" customHeight="1"/>
    <row r="832" ht="15.75" hidden="1" customHeight="1"/>
    <row r="833" ht="15.75" hidden="1" customHeight="1"/>
    <row r="834" ht="15.75" hidden="1" customHeight="1"/>
    <row r="835" ht="15.75" hidden="1" customHeight="1"/>
    <row r="836" ht="15.75" hidden="1" customHeight="1"/>
    <row r="837" ht="15.75" hidden="1" customHeight="1"/>
    <row r="838" ht="15.75" hidden="1" customHeight="1"/>
    <row r="839" ht="15.75" hidden="1" customHeight="1"/>
    <row r="840" ht="15.75" hidden="1" customHeight="1"/>
    <row r="841" ht="15.75" hidden="1" customHeight="1"/>
    <row r="842" ht="15.75" hidden="1" customHeight="1"/>
    <row r="843" ht="15.75" hidden="1" customHeight="1"/>
    <row r="844" ht="15.75" hidden="1" customHeight="1"/>
    <row r="845" ht="15.75" hidden="1" customHeight="1"/>
    <row r="846" ht="15.75" hidden="1" customHeight="1"/>
    <row r="847" ht="15.75" hidden="1" customHeight="1"/>
    <row r="848" ht="15.75" hidden="1" customHeight="1"/>
    <row r="849" ht="15.75" hidden="1" customHeight="1"/>
    <row r="850" ht="15.75" hidden="1" customHeight="1"/>
    <row r="851" ht="15.75" hidden="1" customHeight="1"/>
    <row r="852" ht="15.75" hidden="1" customHeight="1"/>
    <row r="853" ht="15.75" hidden="1" customHeight="1"/>
    <row r="854" ht="15.75" hidden="1" customHeight="1"/>
    <row r="855" ht="15.75" hidden="1" customHeight="1"/>
    <row r="856" ht="15.75" hidden="1" customHeight="1"/>
    <row r="857" ht="15.75" hidden="1" customHeight="1"/>
    <row r="858" ht="15.75" hidden="1" customHeight="1"/>
    <row r="859" ht="15.75" hidden="1" customHeight="1"/>
    <row r="860" ht="15.75" hidden="1" customHeight="1"/>
    <row r="861" ht="15.75" hidden="1" customHeight="1"/>
    <row r="862" ht="15.75" hidden="1" customHeight="1"/>
    <row r="863" ht="15.75" hidden="1" customHeight="1"/>
    <row r="864" ht="15.75" hidden="1" customHeight="1"/>
    <row r="865" ht="15.75" hidden="1" customHeight="1"/>
    <row r="866" ht="15.75" hidden="1" customHeight="1"/>
    <row r="867" ht="15.75" hidden="1" customHeight="1"/>
    <row r="868" ht="15.75" hidden="1" customHeight="1"/>
    <row r="869" ht="15.75" hidden="1" customHeight="1"/>
    <row r="870" ht="15.75" hidden="1" customHeight="1"/>
    <row r="871" ht="15.75" hidden="1" customHeight="1"/>
    <row r="872" ht="15.75" hidden="1" customHeight="1"/>
    <row r="873" ht="15.75" hidden="1" customHeight="1"/>
    <row r="874" ht="15.75" hidden="1" customHeight="1"/>
    <row r="875" ht="15.75" hidden="1" customHeight="1"/>
    <row r="876" ht="15.75" hidden="1" customHeight="1"/>
    <row r="877" ht="15.75" hidden="1" customHeight="1"/>
    <row r="878" ht="15.75" hidden="1" customHeight="1"/>
    <row r="879" ht="15.75" hidden="1" customHeight="1"/>
    <row r="880" ht="15.75" hidden="1" customHeight="1"/>
    <row r="881" ht="15.75" hidden="1" customHeight="1"/>
    <row r="882" ht="15.75" hidden="1" customHeight="1"/>
    <row r="883" ht="15.75" hidden="1" customHeight="1"/>
    <row r="884" ht="15.75" hidden="1" customHeight="1"/>
    <row r="885" ht="15.75" hidden="1" customHeight="1"/>
    <row r="886" ht="15.75" hidden="1" customHeight="1"/>
    <row r="887" ht="15.75" hidden="1" customHeight="1"/>
    <row r="888" ht="15.75" hidden="1" customHeight="1"/>
    <row r="889" ht="15.75" hidden="1" customHeight="1"/>
    <row r="890" ht="15.75" hidden="1" customHeight="1"/>
    <row r="891" ht="15.75" hidden="1" customHeight="1"/>
    <row r="892" ht="15.75" hidden="1" customHeight="1"/>
    <row r="893" ht="15.75" hidden="1" customHeight="1"/>
    <row r="894" ht="15.75" hidden="1" customHeight="1"/>
    <row r="895" ht="15.75" hidden="1" customHeight="1"/>
    <row r="896" ht="15.75" hidden="1" customHeight="1"/>
    <row r="897" ht="15.75" hidden="1" customHeight="1"/>
    <row r="898" ht="15.75" hidden="1" customHeight="1"/>
    <row r="899" ht="15.75" hidden="1" customHeight="1"/>
    <row r="900" ht="15.75" hidden="1" customHeight="1"/>
    <row r="901" ht="15.75" hidden="1" customHeight="1"/>
    <row r="902" ht="15.75" hidden="1" customHeight="1"/>
    <row r="903" ht="15.75" hidden="1" customHeight="1"/>
    <row r="904" ht="15.75" hidden="1" customHeight="1"/>
    <row r="905" ht="15.75" hidden="1" customHeight="1"/>
    <row r="906" ht="15.75" hidden="1" customHeight="1"/>
    <row r="907" ht="15.75" hidden="1" customHeight="1"/>
    <row r="908" ht="15.75" hidden="1" customHeight="1"/>
    <row r="909" ht="15.75" hidden="1" customHeight="1"/>
    <row r="910" ht="15.75" hidden="1" customHeight="1"/>
    <row r="911" ht="15.75" hidden="1" customHeight="1"/>
    <row r="912" ht="15.75" hidden="1" customHeight="1"/>
    <row r="913" ht="15.75" hidden="1" customHeight="1"/>
    <row r="914" ht="15.75" hidden="1" customHeight="1"/>
    <row r="915" ht="15.75" hidden="1" customHeight="1"/>
    <row r="916" ht="15.75" hidden="1" customHeight="1"/>
    <row r="917" ht="15.75" hidden="1" customHeight="1"/>
    <row r="918" ht="15.75" hidden="1" customHeight="1"/>
    <row r="919" ht="15.75" hidden="1" customHeight="1"/>
    <row r="920" ht="15.75" hidden="1" customHeight="1"/>
    <row r="921" ht="15.75" hidden="1" customHeight="1"/>
    <row r="922" ht="15.75" hidden="1" customHeight="1"/>
    <row r="923" ht="15.75" hidden="1" customHeight="1"/>
    <row r="924" ht="15.75" hidden="1" customHeight="1"/>
    <row r="925" ht="15.75" hidden="1" customHeight="1"/>
    <row r="926" ht="15.75" hidden="1" customHeight="1"/>
    <row r="927" ht="15.75" hidden="1" customHeight="1"/>
    <row r="928" ht="15.75" hidden="1" customHeight="1"/>
    <row r="929" ht="15.75" hidden="1" customHeight="1"/>
    <row r="930" ht="15.75" hidden="1" customHeight="1"/>
    <row r="931" ht="15.75" hidden="1" customHeight="1"/>
    <row r="932" ht="15.75" hidden="1" customHeight="1"/>
    <row r="933" ht="15.75" hidden="1" customHeight="1"/>
    <row r="934" ht="15.75" hidden="1" customHeight="1"/>
    <row r="935" ht="15.75" hidden="1" customHeight="1"/>
    <row r="936" ht="15.75" hidden="1" customHeight="1"/>
    <row r="937" ht="15.75" hidden="1" customHeight="1"/>
    <row r="938" ht="15.75" hidden="1" customHeight="1"/>
    <row r="939" ht="15.75" hidden="1" customHeight="1"/>
    <row r="940" ht="15.75" hidden="1" customHeight="1"/>
    <row r="941" ht="15.75" hidden="1" customHeight="1"/>
    <row r="942" ht="15.75" hidden="1" customHeight="1"/>
    <row r="943" ht="15.75" hidden="1" customHeight="1"/>
    <row r="944" ht="15.75" hidden="1" customHeight="1"/>
    <row r="945" ht="15.75" hidden="1" customHeight="1"/>
    <row r="946" ht="15.75" hidden="1" customHeight="1"/>
    <row r="947" ht="15.75" hidden="1" customHeight="1"/>
    <row r="948" ht="15.75" hidden="1" customHeight="1"/>
    <row r="949" ht="15.75" hidden="1" customHeight="1"/>
    <row r="950" ht="15.75" hidden="1" customHeight="1"/>
    <row r="951" ht="15.75" hidden="1" customHeight="1"/>
    <row r="952" ht="15.75" hidden="1" customHeight="1"/>
    <row r="953" ht="15.75" hidden="1" customHeight="1"/>
    <row r="954" ht="15.75" hidden="1" customHeight="1"/>
    <row r="955" ht="15.75" hidden="1" customHeight="1"/>
    <row r="956" ht="15.75" hidden="1" customHeight="1"/>
    <row r="957" ht="15.75" hidden="1" customHeight="1"/>
    <row r="958" ht="15.75" hidden="1" customHeight="1"/>
    <row r="959" ht="15.75" hidden="1" customHeight="1"/>
    <row r="960" ht="15.75" hidden="1" customHeight="1"/>
    <row r="961" ht="15.75" hidden="1" customHeight="1"/>
    <row r="962" ht="15.75" hidden="1" customHeight="1"/>
    <row r="963" ht="15.75" hidden="1" customHeight="1"/>
    <row r="964" ht="15.75" hidden="1" customHeight="1"/>
    <row r="965" ht="15.75" hidden="1" customHeight="1"/>
    <row r="966" ht="15.75" hidden="1" customHeight="1"/>
    <row r="967" ht="15.75" hidden="1" customHeight="1"/>
    <row r="968" ht="15.75" hidden="1" customHeight="1"/>
    <row r="969" ht="15.75" hidden="1" customHeight="1"/>
    <row r="970" ht="15.75" hidden="1" customHeight="1"/>
    <row r="971" ht="15.75" hidden="1" customHeight="1"/>
    <row r="972" ht="15.75" hidden="1" customHeight="1"/>
    <row r="973" ht="15.75" hidden="1" customHeight="1"/>
    <row r="974" ht="15.75" hidden="1" customHeight="1"/>
    <row r="975" ht="15.75" hidden="1" customHeight="1"/>
    <row r="976" ht="15.75" hidden="1" customHeight="1"/>
    <row r="977" ht="15.75" hidden="1" customHeight="1"/>
    <row r="978" ht="15.75" hidden="1" customHeight="1"/>
    <row r="979" ht="15.75" hidden="1" customHeight="1"/>
    <row r="980" ht="15.75" hidden="1" customHeight="1"/>
    <row r="981" ht="15.75" hidden="1" customHeight="1"/>
    <row r="982" ht="15.75" hidden="1" customHeight="1"/>
    <row r="983" ht="15.75" hidden="1" customHeight="1"/>
    <row r="984" ht="15.75" hidden="1" customHeight="1"/>
    <row r="985" ht="15.75" hidden="1" customHeight="1"/>
    <row r="986" ht="15.75" hidden="1" customHeight="1"/>
    <row r="987" ht="15.75" hidden="1" customHeight="1"/>
    <row r="988" ht="15.75" hidden="1" customHeight="1"/>
    <row r="989" ht="15.75" hidden="1" customHeight="1"/>
    <row r="990" ht="15.75" hidden="1" customHeight="1"/>
    <row r="991" ht="15.75" hidden="1" customHeight="1"/>
    <row r="992" ht="15.75" hidden="1" customHeight="1"/>
    <row r="993" ht="15.75" hidden="1" customHeight="1"/>
    <row r="994" ht="15.75" hidden="1" customHeight="1"/>
    <row r="995" ht="15.75" hidden="1" customHeight="1"/>
    <row r="996" ht="15.75" hidden="1" customHeight="1"/>
    <row r="997" ht="15.75" hidden="1" customHeight="1"/>
    <row r="998" ht="15.75" hidden="1" customHeight="1"/>
    <row r="999" ht="15.75" hidden="1" customHeight="1"/>
    <row r="1000" ht="15.75" hidden="1" customHeight="1"/>
    <row r="1001" ht="15.75" hidden="1" customHeight="1"/>
    <row r="1002" ht="15.75" hidden="1" customHeight="1"/>
    <row r="1003" ht="15.75" hidden="1" customHeight="1"/>
    <row r="1004" ht="15.75" hidden="1" customHeight="1"/>
    <row r="1005" ht="15.75" hidden="1" customHeight="1"/>
    <row r="1006" ht="15.75" hidden="1" customHeight="1"/>
    <row r="1007" ht="15.75" hidden="1" customHeight="1"/>
    <row r="1008" ht="15.75" hidden="1" customHeight="1"/>
    <row r="1009" ht="15.75" hidden="1" customHeight="1"/>
    <row r="1010" ht="15.75" hidden="1" customHeight="1"/>
    <row r="1011" ht="15.75" hidden="1" customHeight="1"/>
    <row r="1012" ht="15.75" hidden="1" customHeight="1"/>
    <row r="1013" ht="15.75" hidden="1" customHeight="1"/>
    <row r="1014" ht="15.75" hidden="1" customHeight="1"/>
    <row r="1015" ht="15.75" hidden="1" customHeight="1"/>
    <row r="1016" ht="15.75" hidden="1" customHeight="1"/>
    <row r="1017" ht="15.75" hidden="1" customHeight="1"/>
    <row r="1018" ht="15.75" hidden="1" customHeight="1"/>
    <row r="1019" ht="15.75" hidden="1" customHeight="1"/>
    <row r="1020" ht="15.75" hidden="1" customHeight="1"/>
    <row r="1021" ht="15.75" hidden="1" customHeight="1"/>
    <row r="1022" ht="15.75" hidden="1" customHeight="1"/>
    <row r="1023" ht="15.75" hidden="1" customHeight="1"/>
    <row r="1024" ht="15.75" hidden="1" customHeight="1"/>
    <row r="1025" ht="15.75" hidden="1" customHeight="1"/>
    <row r="1026" ht="15.75" hidden="1" customHeight="1"/>
    <row r="1027" ht="15.75" hidden="1" customHeight="1"/>
    <row r="1028" ht="15.75" hidden="1" customHeight="1"/>
    <row r="1029" ht="15.75" hidden="1" customHeight="1"/>
    <row r="1030" ht="15.75" hidden="1" customHeight="1"/>
    <row r="1031" ht="15.75" hidden="1" customHeight="1"/>
    <row r="1032" ht="15.75" hidden="1" customHeight="1"/>
    <row r="1033" ht="15.75" hidden="1" customHeight="1"/>
    <row r="1034" ht="15.75" hidden="1" customHeight="1"/>
    <row r="1035" ht="15.75" hidden="1" customHeight="1"/>
    <row r="1036" ht="15.75" hidden="1" customHeight="1"/>
    <row r="1037" ht="15.75" hidden="1" customHeight="1"/>
    <row r="1038" ht="15.75" hidden="1" customHeight="1"/>
    <row r="1039" ht="15.75" hidden="1" customHeight="1"/>
    <row r="1040" ht="15.75" hidden="1" customHeight="1"/>
    <row r="1041" ht="15.75" hidden="1" customHeight="1"/>
    <row r="1042" ht="15.75" hidden="1" customHeight="1"/>
    <row r="1043" ht="15.75" hidden="1" customHeight="1"/>
    <row r="1044" ht="15.75" hidden="1" customHeight="1"/>
    <row r="1045" ht="15.75" hidden="1" customHeight="1"/>
    <row r="1046" ht="15.75" hidden="1" customHeight="1"/>
    <row r="1047" ht="15.75" hidden="1" customHeight="1"/>
    <row r="1048" ht="15.75" hidden="1" customHeight="1"/>
    <row r="1049" ht="15.75" hidden="1" customHeight="1"/>
    <row r="1050" ht="15.75" hidden="1" customHeight="1"/>
    <row r="1051" ht="15.75" hidden="1" customHeight="1"/>
    <row r="1052" ht="15.75" hidden="1" customHeight="1"/>
    <row r="1053" ht="15.75" hidden="1" customHeight="1"/>
    <row r="1054" ht="15.75" hidden="1" customHeight="1"/>
    <row r="1055" ht="15.75" hidden="1" customHeight="1"/>
    <row r="1056" ht="15.75" hidden="1" customHeight="1"/>
    <row r="1057" ht="15.75" hidden="1" customHeight="1"/>
    <row r="1058" ht="15.75" hidden="1" customHeight="1"/>
    <row r="1059" ht="15.75" hidden="1" customHeight="1"/>
    <row r="1060" ht="15.75" hidden="1" customHeight="1"/>
    <row r="1061" ht="15.75" hidden="1" customHeight="1"/>
    <row r="1062" ht="15.75" hidden="1" customHeight="1"/>
    <row r="1063" ht="15.75" hidden="1" customHeight="1"/>
    <row r="1064" ht="15.75" hidden="1" customHeight="1"/>
    <row r="1065" ht="15.75" hidden="1" customHeight="1"/>
    <row r="1066" ht="15.75" hidden="1" customHeight="1"/>
    <row r="1067" ht="15.75" hidden="1" customHeight="1"/>
    <row r="1068" ht="15.75" hidden="1" customHeight="1"/>
    <row r="1069" ht="15.75" hidden="1" customHeight="1"/>
    <row r="1070" ht="15.75" hidden="1" customHeight="1"/>
    <row r="1071" ht="15.75" hidden="1" customHeight="1"/>
    <row r="1072" ht="15.75" hidden="1" customHeight="1"/>
    <row r="1073" ht="15.75" hidden="1" customHeight="1"/>
    <row r="1074" ht="15.75" hidden="1" customHeight="1"/>
    <row r="1075" ht="15.75" hidden="1" customHeight="1"/>
    <row r="1076" ht="15.75" hidden="1" customHeight="1"/>
    <row r="1077" ht="15.75" hidden="1" customHeight="1"/>
    <row r="1078" ht="15.75" hidden="1" customHeight="1"/>
    <row r="1079" ht="15.75" hidden="1" customHeight="1"/>
    <row r="1080" ht="15.75" hidden="1" customHeight="1"/>
    <row r="1081" ht="15.75" hidden="1" customHeight="1"/>
    <row r="1082" ht="15.75" hidden="1" customHeight="1"/>
    <row r="1083" ht="15.75" hidden="1" customHeight="1"/>
    <row r="1084" ht="15.75" hidden="1" customHeight="1"/>
    <row r="1085" ht="15.75" hidden="1" customHeight="1"/>
    <row r="1086" ht="15.75" hidden="1" customHeight="1"/>
    <row r="1087" ht="15.75" hidden="1" customHeight="1"/>
    <row r="1088" ht="15.75" hidden="1" customHeight="1"/>
    <row r="1089" ht="15.75" hidden="1" customHeight="1"/>
    <row r="1090" ht="15.75" hidden="1" customHeight="1"/>
    <row r="1091" ht="15.75" hidden="1" customHeight="1"/>
    <row r="1092" ht="15.75" hidden="1" customHeight="1"/>
    <row r="1093" ht="15.75" hidden="1" customHeight="1"/>
    <row r="1094" ht="15.75" hidden="1" customHeight="1"/>
    <row r="1095" ht="15.75" hidden="1" customHeight="1"/>
    <row r="1096" ht="15.75" hidden="1" customHeight="1"/>
    <row r="1097" ht="15.75" hidden="1" customHeight="1"/>
    <row r="1098" ht="15.75" hidden="1" customHeight="1"/>
    <row r="1099" ht="15.75" hidden="1" customHeight="1"/>
    <row r="1100" ht="15.75" hidden="1" customHeight="1"/>
    <row r="1101" ht="15.75" hidden="1" customHeight="1"/>
    <row r="1102" ht="15.75" hidden="1" customHeight="1"/>
    <row r="1103" ht="15.75" hidden="1" customHeight="1"/>
    <row r="1104" ht="15.75" hidden="1" customHeight="1"/>
    <row r="1105" ht="15.75" hidden="1" customHeight="1"/>
    <row r="1106" ht="15.75" hidden="1" customHeight="1"/>
    <row r="1107" ht="15.75" hidden="1" customHeight="1"/>
    <row r="1108" ht="15.75" hidden="1" customHeight="1"/>
    <row r="1109" ht="15.75" hidden="1" customHeight="1"/>
    <row r="1110" ht="15.75" hidden="1" customHeight="1"/>
    <row r="1111" ht="15.75" hidden="1" customHeight="1"/>
    <row r="1112" ht="15.75" hidden="1" customHeight="1"/>
    <row r="1113" ht="15.75" hidden="1" customHeight="1"/>
    <row r="1114" ht="15.75" hidden="1" customHeight="1"/>
    <row r="1115" ht="15.75" hidden="1" customHeight="1"/>
    <row r="1116" ht="15.75" hidden="1" customHeight="1"/>
    <row r="1117" ht="15.75" hidden="1" customHeight="1"/>
    <row r="1118" ht="15.75" hidden="1" customHeight="1"/>
    <row r="1119" ht="15.75" hidden="1" customHeight="1"/>
    <row r="1120" ht="15.75" hidden="1" customHeight="1"/>
    <row r="1121" ht="15.75" hidden="1" customHeight="1"/>
    <row r="1122" ht="15.75" hidden="1" customHeight="1"/>
    <row r="1123" ht="15.75" hidden="1" customHeight="1"/>
    <row r="1124" ht="15.75" hidden="1" customHeight="1"/>
    <row r="1125" ht="15.75" hidden="1" customHeight="1"/>
    <row r="1126" ht="15.75" hidden="1" customHeight="1"/>
    <row r="1127" ht="15.75" hidden="1" customHeight="1"/>
    <row r="1128" ht="15.75" hidden="1" customHeight="1"/>
    <row r="1129" ht="15.75" hidden="1" customHeight="1"/>
    <row r="1130" ht="15.75" hidden="1" customHeight="1"/>
    <row r="1131" ht="15.75" hidden="1" customHeight="1"/>
    <row r="1132" ht="15.75" hidden="1" customHeight="1"/>
    <row r="1133" ht="15.75" hidden="1" customHeight="1"/>
    <row r="1134" ht="15.75" hidden="1" customHeight="1"/>
    <row r="1135" ht="15.75" hidden="1" customHeight="1"/>
    <row r="1136" ht="15.75" hidden="1" customHeight="1"/>
    <row r="1137" ht="15.75" hidden="1" customHeight="1"/>
    <row r="1138" ht="15.75" hidden="1" customHeight="1"/>
    <row r="1139" ht="15.75" hidden="1" customHeight="1"/>
    <row r="1140" ht="15.75" hidden="1" customHeight="1"/>
    <row r="1141" ht="15.75" hidden="1" customHeight="1"/>
    <row r="1142" ht="15.75" hidden="1" customHeight="1"/>
    <row r="1143" ht="15.75" hidden="1" customHeight="1"/>
    <row r="1144" ht="15.75" hidden="1" customHeight="1"/>
    <row r="1145" ht="15.75" hidden="1" customHeight="1"/>
    <row r="1146" ht="15.75" hidden="1" customHeight="1"/>
    <row r="1147" ht="15.75" hidden="1" customHeight="1"/>
    <row r="1148" ht="15.75" hidden="1" customHeight="1"/>
    <row r="1149" ht="15.75" hidden="1" customHeight="1"/>
    <row r="1150" ht="15.75" hidden="1" customHeight="1"/>
    <row r="1151" ht="15.75" hidden="1" customHeight="1"/>
    <row r="1152" ht="15.75" hidden="1" customHeight="1"/>
    <row r="1153" ht="15.75" hidden="1" customHeight="1"/>
    <row r="1154" ht="15.75" hidden="1" customHeight="1"/>
    <row r="1155" ht="15.75" hidden="1" customHeight="1"/>
    <row r="1156" ht="15.75" hidden="1" customHeight="1"/>
    <row r="1157" ht="15.75" hidden="1" customHeight="1"/>
    <row r="1158" ht="15.75" hidden="1" customHeight="1"/>
    <row r="1159" ht="15.75" hidden="1" customHeight="1"/>
    <row r="1160" ht="15.75" hidden="1" customHeight="1"/>
    <row r="1161" ht="15.75" hidden="1" customHeight="1"/>
    <row r="1162" ht="15.75" hidden="1" customHeight="1"/>
    <row r="1163" ht="15.75" hidden="1" customHeight="1"/>
    <row r="1164" ht="15.75" hidden="1" customHeight="1"/>
    <row r="1165" ht="15.75" hidden="1" customHeight="1"/>
    <row r="1166" ht="15.75" hidden="1" customHeight="1"/>
    <row r="1167" ht="15.75" hidden="1" customHeight="1"/>
    <row r="1168" ht="15.75" hidden="1" customHeight="1"/>
    <row r="1169" ht="15.75" hidden="1" customHeight="1"/>
    <row r="1170" ht="15.75" hidden="1" customHeight="1"/>
    <row r="1171" ht="15.75" hidden="1" customHeight="1"/>
    <row r="1172" ht="15.75" hidden="1" customHeight="1"/>
    <row r="1173" ht="15.75" hidden="1" customHeight="1"/>
    <row r="1174" ht="15.75" hidden="1" customHeight="1"/>
    <row r="1175" ht="15.75" hidden="1" customHeight="1"/>
    <row r="1176" ht="15.75" hidden="1" customHeight="1"/>
    <row r="1177" ht="15.75" hidden="1" customHeight="1"/>
    <row r="1178" ht="15.75" hidden="1" customHeight="1"/>
    <row r="1179" ht="15.75" hidden="1" customHeight="1"/>
    <row r="1180" ht="15.75" hidden="1" customHeight="1"/>
    <row r="1181" ht="15.75" hidden="1" customHeight="1"/>
    <row r="1182" ht="15.75" hidden="1" customHeight="1"/>
    <row r="1183" ht="15.75" hidden="1" customHeight="1"/>
    <row r="1184" ht="15.75" hidden="1" customHeight="1"/>
    <row r="1185" ht="15.75" hidden="1" customHeight="1"/>
    <row r="1186" ht="15.75" hidden="1" customHeight="1"/>
    <row r="1187" ht="15.75" hidden="1" customHeight="1"/>
    <row r="1188" ht="15.75" hidden="1" customHeight="1"/>
    <row r="1189" ht="15.75" hidden="1" customHeight="1"/>
    <row r="1190" ht="15.75" hidden="1" customHeight="1"/>
    <row r="1191" ht="15.75" hidden="1" customHeight="1"/>
    <row r="1192" ht="15.75" hidden="1" customHeight="1"/>
    <row r="1193" ht="15.75" hidden="1" customHeight="1"/>
    <row r="1194" ht="15.75" hidden="1" customHeight="1"/>
    <row r="1195" ht="15.75" hidden="1" customHeight="1"/>
    <row r="1196" ht="15.75" hidden="1" customHeight="1"/>
    <row r="1197" ht="15.75" hidden="1" customHeight="1"/>
    <row r="1198" ht="15.75" hidden="1" customHeight="1"/>
    <row r="1199" ht="15.75" hidden="1" customHeight="1"/>
    <row r="1200" ht="15.75" hidden="1" customHeight="1"/>
    <row r="1201" ht="15.75" hidden="1" customHeight="1"/>
    <row r="1202" ht="15.75" hidden="1" customHeight="1"/>
    <row r="1203" ht="15.75" hidden="1" customHeight="1"/>
    <row r="1204" ht="15.75" hidden="1" customHeight="1"/>
    <row r="1205" ht="15.75" hidden="1" customHeight="1"/>
    <row r="1206" ht="15.75" hidden="1" customHeight="1"/>
    <row r="1207" ht="15.75" hidden="1" customHeight="1"/>
    <row r="1208" ht="15.75" hidden="1" customHeight="1"/>
    <row r="1209" ht="15.75" hidden="1" customHeight="1"/>
    <row r="1210" ht="15.75" hidden="1" customHeight="1"/>
    <row r="1211" ht="15.75" hidden="1" customHeight="1"/>
    <row r="1212" ht="15.75" hidden="1" customHeight="1"/>
    <row r="1213" ht="15.75" hidden="1" customHeight="1"/>
    <row r="1214" ht="15.75" hidden="1" customHeight="1"/>
    <row r="1215" ht="15.75" hidden="1" customHeight="1"/>
    <row r="1216" ht="15.75" hidden="1" customHeight="1"/>
    <row r="1217" ht="15.75" hidden="1" customHeight="1"/>
    <row r="1218" ht="15.75" hidden="1" customHeight="1"/>
    <row r="1219" ht="15.75" hidden="1" customHeight="1"/>
    <row r="1220" ht="15.75" hidden="1" customHeight="1"/>
    <row r="1221" ht="15.75" hidden="1" customHeight="1"/>
    <row r="1222" ht="15.75" hidden="1" customHeight="1"/>
    <row r="1223" ht="15.75" hidden="1" customHeight="1"/>
    <row r="1224" ht="15.75" hidden="1" customHeight="1"/>
    <row r="1225" ht="15.75" hidden="1" customHeight="1"/>
    <row r="1226" ht="15.75" hidden="1" customHeight="1"/>
    <row r="1227" ht="15.75" hidden="1" customHeight="1"/>
    <row r="1228" ht="15.75" hidden="1" customHeight="1"/>
    <row r="1229" ht="15.75" hidden="1" customHeight="1"/>
    <row r="1230" ht="15.75" hidden="1" customHeight="1"/>
    <row r="1231" ht="15.75" hidden="1" customHeight="1"/>
    <row r="1232" ht="15.75" hidden="1" customHeight="1"/>
    <row r="1233" ht="15.75" hidden="1" customHeight="1"/>
    <row r="1234" ht="15.75" hidden="1" customHeight="1"/>
    <row r="1235" ht="15.75" hidden="1" customHeight="1"/>
    <row r="1236" ht="15.75" hidden="1" customHeight="1"/>
    <row r="1237" ht="15.75" hidden="1" customHeight="1"/>
    <row r="1238" ht="15.75" hidden="1" customHeight="1"/>
    <row r="1239" ht="15.75" hidden="1" customHeight="1"/>
    <row r="1240" ht="15.75" hidden="1" customHeight="1"/>
    <row r="1241" ht="15.75" hidden="1" customHeight="1"/>
    <row r="1242" ht="15.75" hidden="1" customHeight="1"/>
    <row r="1243" ht="15.75" hidden="1" customHeight="1"/>
    <row r="1244" ht="15.75" hidden="1" customHeight="1"/>
    <row r="1245" ht="15.75" hidden="1" customHeight="1"/>
    <row r="1246" ht="15.75" hidden="1" customHeight="1"/>
    <row r="1247" ht="15.75" hidden="1" customHeight="1"/>
    <row r="1248" ht="15.75" hidden="1" customHeight="1"/>
    <row r="1249" ht="15.75" hidden="1" customHeight="1"/>
    <row r="1250" ht="15.75" hidden="1" customHeight="1"/>
    <row r="1251" ht="15.75" hidden="1" customHeight="1"/>
    <row r="1252" ht="15.75" hidden="1" customHeight="1"/>
    <row r="1253" ht="15.75" hidden="1" customHeight="1"/>
    <row r="1254" ht="15.75" hidden="1" customHeight="1"/>
    <row r="1255" ht="15.75" hidden="1" customHeight="1"/>
    <row r="1256" ht="15.75" hidden="1" customHeight="1"/>
    <row r="1257" ht="15.75" hidden="1" customHeight="1"/>
    <row r="1258" ht="15.75" hidden="1" customHeight="1"/>
    <row r="1259" ht="15.75" hidden="1" customHeight="1"/>
    <row r="1260" ht="15.75" hidden="1" customHeight="1"/>
    <row r="1261" ht="15.75" hidden="1" customHeight="1"/>
    <row r="1262" ht="15.75" hidden="1" customHeight="1"/>
    <row r="1263" ht="15.75" hidden="1" customHeight="1"/>
    <row r="1264" ht="15.75" hidden="1" customHeight="1"/>
    <row r="1265" ht="15.75" hidden="1" customHeight="1"/>
    <row r="1266" ht="15.75" hidden="1" customHeight="1"/>
    <row r="1267" ht="15.75" hidden="1" customHeight="1"/>
    <row r="1268" ht="15.75" hidden="1" customHeight="1"/>
    <row r="1269" ht="15.75" hidden="1" customHeight="1"/>
    <row r="1270" ht="15.75" hidden="1" customHeight="1"/>
    <row r="1271" ht="15.75" hidden="1" customHeight="1"/>
    <row r="1272" ht="15.75" hidden="1" customHeight="1"/>
    <row r="1273" ht="15.75" hidden="1" customHeight="1"/>
    <row r="1274" ht="15.75" hidden="1" customHeight="1"/>
    <row r="1275" ht="15.75" hidden="1" customHeight="1"/>
    <row r="1276" ht="15.75" hidden="1" customHeight="1"/>
    <row r="1277" ht="15.75" hidden="1" customHeight="1"/>
    <row r="1278" ht="15.75" hidden="1" customHeight="1"/>
    <row r="1279" ht="15.75" hidden="1" customHeight="1"/>
    <row r="1280" ht="15.75" hidden="1" customHeight="1"/>
    <row r="1281" ht="15.75" hidden="1" customHeight="1"/>
    <row r="1282" ht="15.75" hidden="1" customHeight="1"/>
    <row r="1283" ht="15.75" hidden="1" customHeight="1"/>
    <row r="1284" ht="15.75" hidden="1" customHeight="1"/>
    <row r="1285" ht="15.75" hidden="1" customHeight="1"/>
    <row r="1286" ht="15.75" hidden="1" customHeight="1"/>
    <row r="1287" ht="15.75" hidden="1" customHeight="1"/>
    <row r="1288" ht="15.75" hidden="1" customHeight="1"/>
    <row r="1289" ht="15.75" hidden="1" customHeight="1"/>
    <row r="1290" ht="15.75" hidden="1" customHeight="1"/>
    <row r="1291" ht="15.75" hidden="1" customHeight="1"/>
    <row r="1292" ht="15.75" hidden="1" customHeight="1"/>
    <row r="1293" ht="15.75" hidden="1" customHeight="1"/>
    <row r="1294" ht="15.75" hidden="1" customHeight="1"/>
    <row r="1295" ht="15.75" hidden="1" customHeight="1"/>
    <row r="1296" ht="15.75" hidden="1" customHeight="1"/>
    <row r="1297" ht="15.75" hidden="1" customHeight="1"/>
    <row r="1298" ht="15.75" hidden="1" customHeight="1"/>
    <row r="1299" ht="15.75" hidden="1" customHeight="1"/>
    <row r="1300" ht="15.75" hidden="1" customHeight="1"/>
    <row r="1301" ht="15.75" hidden="1" customHeight="1"/>
    <row r="1302" ht="15.75" hidden="1" customHeight="1"/>
    <row r="1303" ht="15.75" hidden="1" customHeight="1"/>
    <row r="1304" ht="15.75" hidden="1" customHeight="1"/>
    <row r="1305" ht="15.75" hidden="1" customHeight="1"/>
    <row r="1306" ht="15.75" hidden="1" customHeight="1"/>
    <row r="1307" ht="15.75" hidden="1" customHeight="1"/>
    <row r="1308" ht="15.75" hidden="1" customHeight="1"/>
    <row r="1309" ht="15.75" hidden="1" customHeight="1"/>
    <row r="1310" ht="15.75" hidden="1" customHeight="1"/>
    <row r="1311" ht="15.75" hidden="1" customHeight="1"/>
    <row r="1312" ht="15.75" hidden="1" customHeight="1"/>
    <row r="1313" ht="15.75" hidden="1" customHeight="1"/>
    <row r="1314" ht="15.75" hidden="1" customHeight="1"/>
    <row r="1315" ht="15.75" hidden="1" customHeight="1"/>
    <row r="1316" ht="15.75" hidden="1" customHeight="1"/>
    <row r="1317" ht="15.75" hidden="1" customHeight="1"/>
    <row r="1318" ht="15.75" hidden="1" customHeight="1"/>
    <row r="1319" ht="15.75" hidden="1" customHeight="1"/>
    <row r="1320" ht="15.75" hidden="1" customHeight="1"/>
    <row r="1321" ht="15.75" hidden="1" customHeight="1"/>
    <row r="1322" ht="15.75" hidden="1" customHeight="1"/>
    <row r="1323" ht="15.75" hidden="1" customHeight="1"/>
    <row r="1324" ht="15.75" hidden="1" customHeight="1"/>
    <row r="1325" ht="15.75" hidden="1" customHeight="1"/>
    <row r="1326" ht="15.75" hidden="1" customHeight="1"/>
    <row r="1327" ht="15.75" hidden="1" customHeight="1"/>
    <row r="1328" ht="15.75" hidden="1" customHeight="1"/>
    <row r="1329" ht="15.75" hidden="1" customHeight="1"/>
    <row r="1330" ht="15.75" hidden="1" customHeight="1"/>
    <row r="1331" ht="15.75" hidden="1" customHeight="1"/>
    <row r="1332" ht="15.75" hidden="1" customHeight="1"/>
    <row r="1333" ht="15.75" hidden="1" customHeight="1"/>
    <row r="1334" ht="15.75" hidden="1" customHeight="1"/>
    <row r="1335" ht="15.75" hidden="1" customHeight="1"/>
    <row r="1336" ht="15.75" hidden="1" customHeight="1"/>
    <row r="1337" ht="15.75" hidden="1" customHeight="1"/>
    <row r="1338" ht="15.75" hidden="1" customHeight="1"/>
    <row r="1339" ht="15.75" hidden="1" customHeight="1"/>
    <row r="1340" ht="15.75" hidden="1" customHeight="1"/>
    <row r="1341" ht="15.75" hidden="1" customHeight="1"/>
    <row r="1342" ht="15.75" hidden="1" customHeight="1"/>
    <row r="1343" ht="15.75" hidden="1" customHeight="1"/>
    <row r="1344" ht="15.75" hidden="1" customHeight="1"/>
    <row r="1345" ht="15.75" hidden="1" customHeight="1"/>
    <row r="1346" ht="15.75" hidden="1" customHeight="1"/>
    <row r="1347" ht="15.75" hidden="1" customHeight="1"/>
    <row r="1348" ht="15.75" hidden="1" customHeight="1"/>
    <row r="1349" ht="15.75" hidden="1" customHeight="1"/>
    <row r="1350" ht="15.75" hidden="1" customHeight="1"/>
    <row r="1351" ht="15.75" hidden="1" customHeight="1"/>
    <row r="1352" ht="15.75" hidden="1" customHeight="1"/>
    <row r="1353" ht="15.75" hidden="1" customHeight="1"/>
    <row r="1354" ht="15.75" hidden="1" customHeight="1"/>
    <row r="1355" ht="15.75" hidden="1" customHeight="1"/>
    <row r="1356" ht="15.75" hidden="1" customHeight="1"/>
    <row r="1357" ht="15.75" hidden="1" customHeight="1"/>
    <row r="1358" ht="15.75" hidden="1" customHeight="1"/>
    <row r="1359" ht="15.75" hidden="1" customHeight="1"/>
    <row r="1360" ht="15.75" hidden="1" customHeight="1"/>
    <row r="1361" ht="15.75" hidden="1" customHeight="1"/>
    <row r="1362" ht="15.75" hidden="1" customHeight="1"/>
    <row r="1363" ht="15.75" hidden="1" customHeight="1"/>
    <row r="1364" ht="15.75" hidden="1" customHeight="1"/>
    <row r="1365" ht="15.75" hidden="1" customHeight="1"/>
    <row r="1366" ht="15.75" hidden="1" customHeight="1"/>
    <row r="1367" ht="15.75" hidden="1" customHeight="1"/>
    <row r="1368" ht="15.75" hidden="1" customHeight="1"/>
    <row r="1369" ht="15.75" hidden="1" customHeight="1"/>
    <row r="1370" ht="15.75" hidden="1" customHeight="1"/>
    <row r="1371" ht="15.75" hidden="1" customHeight="1"/>
    <row r="1372" ht="15.75" hidden="1" customHeight="1"/>
    <row r="1373" ht="15.75" hidden="1" customHeight="1"/>
    <row r="1374" ht="15.75" hidden="1" customHeight="1"/>
    <row r="1375" ht="15.75" hidden="1" customHeight="1"/>
    <row r="1376" ht="15.75" hidden="1" customHeight="1"/>
    <row r="1377" ht="15.75" hidden="1" customHeight="1"/>
    <row r="1378" ht="15.75" hidden="1" customHeight="1"/>
    <row r="1379" ht="15.75" hidden="1" customHeight="1"/>
    <row r="1380" ht="15.75" hidden="1" customHeight="1"/>
    <row r="1381" ht="15.75" hidden="1" customHeight="1"/>
    <row r="1382" ht="15.75" hidden="1" customHeight="1"/>
    <row r="1383" ht="15.75" hidden="1" customHeight="1"/>
    <row r="1384" ht="15.75" hidden="1" customHeight="1"/>
    <row r="1385" ht="15.75" hidden="1" customHeight="1"/>
    <row r="1386" ht="15.75" hidden="1" customHeight="1"/>
    <row r="1387" ht="15.75" hidden="1" customHeight="1"/>
    <row r="1388" ht="15.75" hidden="1" customHeight="1"/>
    <row r="1389" ht="15.75" hidden="1" customHeight="1"/>
    <row r="1390" ht="15.75" hidden="1" customHeight="1"/>
    <row r="1391" ht="15.75" hidden="1" customHeight="1"/>
    <row r="1392" ht="15.75" hidden="1" customHeight="1"/>
    <row r="1393" ht="15.75" hidden="1" customHeight="1"/>
    <row r="1394" ht="15.75" hidden="1" customHeight="1"/>
    <row r="1395" ht="15.75" hidden="1" customHeight="1"/>
    <row r="1396" ht="15.75" hidden="1" customHeight="1"/>
    <row r="1397" ht="15.75" hidden="1" customHeight="1"/>
    <row r="1398" ht="15.75" hidden="1" customHeight="1"/>
    <row r="1399" ht="15.75" hidden="1" customHeight="1"/>
    <row r="1400" ht="15.75" hidden="1" customHeight="1"/>
    <row r="1401" ht="15.75" hidden="1" customHeight="1"/>
    <row r="1402" ht="15.75" hidden="1" customHeight="1"/>
    <row r="1403" ht="15.75" hidden="1" customHeight="1"/>
    <row r="1404" ht="15.75" hidden="1" customHeight="1"/>
    <row r="1405" ht="15.75" hidden="1" customHeight="1"/>
    <row r="1406" ht="15.75" hidden="1" customHeight="1"/>
    <row r="1407" ht="15.75" hidden="1" customHeight="1"/>
    <row r="1408" ht="15.75" hidden="1" customHeight="1"/>
    <row r="1409" ht="15.75" hidden="1" customHeight="1"/>
    <row r="1410" ht="15.75" hidden="1" customHeight="1"/>
    <row r="1411" ht="15.75" hidden="1" customHeight="1"/>
    <row r="1412" ht="15.75" hidden="1" customHeight="1"/>
    <row r="1413" ht="15.75" hidden="1" customHeight="1"/>
    <row r="1414" ht="15.75" hidden="1" customHeight="1"/>
    <row r="1415" ht="15.75" hidden="1" customHeight="1"/>
    <row r="1416" ht="15.75" hidden="1" customHeight="1"/>
    <row r="1417" ht="15.75" hidden="1" customHeight="1"/>
    <row r="1418" ht="15.75" hidden="1" customHeight="1"/>
    <row r="1419" ht="15.75" hidden="1" customHeight="1"/>
    <row r="1420" ht="15.75" hidden="1" customHeight="1"/>
    <row r="1421" ht="15.75" hidden="1" customHeight="1"/>
    <row r="1422" ht="15.75" hidden="1" customHeight="1"/>
    <row r="1423" ht="15.75" hidden="1" customHeight="1"/>
    <row r="1424" ht="15.75" hidden="1" customHeight="1"/>
    <row r="1425" ht="15.75" hidden="1" customHeight="1"/>
    <row r="1426" ht="15.75" hidden="1" customHeight="1"/>
    <row r="1427" ht="15.75" hidden="1" customHeight="1"/>
    <row r="1428" ht="15.75" hidden="1" customHeight="1"/>
    <row r="1429" ht="15.75" hidden="1" customHeight="1"/>
    <row r="1430" ht="15.75" hidden="1" customHeight="1"/>
    <row r="1431" ht="15.75" hidden="1" customHeight="1"/>
    <row r="1432" ht="15.75" hidden="1" customHeight="1"/>
    <row r="1433" ht="15.75" hidden="1" customHeight="1"/>
    <row r="1434" ht="15.75" hidden="1" customHeight="1"/>
    <row r="1435" ht="15.75" hidden="1" customHeight="1"/>
    <row r="1436" ht="15.75" hidden="1" customHeight="1"/>
    <row r="1437" ht="15.75" hidden="1" customHeight="1"/>
    <row r="1438" ht="15.75" hidden="1" customHeight="1"/>
    <row r="1439" ht="15.75" hidden="1" customHeight="1"/>
    <row r="1440" ht="15.75" hidden="1" customHeight="1"/>
    <row r="1441" ht="15.75" hidden="1" customHeight="1"/>
    <row r="1442" ht="15.75" hidden="1" customHeight="1"/>
    <row r="1443" ht="15.75" hidden="1" customHeight="1"/>
    <row r="1444" ht="15.75" hidden="1" customHeight="1"/>
    <row r="1445" ht="15.75" hidden="1" customHeight="1"/>
    <row r="1446" ht="15.75" hidden="1" customHeight="1"/>
    <row r="1447" ht="15.75" hidden="1" customHeight="1"/>
    <row r="1448" ht="15.75" hidden="1" customHeight="1"/>
    <row r="1449" ht="15.75" hidden="1" customHeight="1"/>
    <row r="1450" ht="15.75" hidden="1" customHeight="1"/>
    <row r="1451" ht="15.75" hidden="1" customHeight="1"/>
    <row r="1452" ht="15.75" hidden="1" customHeight="1"/>
    <row r="1453" ht="15.75" hidden="1" customHeight="1"/>
    <row r="1454" ht="15.75" hidden="1" customHeight="1"/>
    <row r="1455" ht="15.75" hidden="1" customHeight="1"/>
    <row r="1456" ht="15.75" hidden="1" customHeight="1"/>
    <row r="1457" ht="15.75" hidden="1" customHeight="1"/>
    <row r="1458" ht="15.75" hidden="1" customHeight="1"/>
    <row r="1459" ht="15.75" hidden="1" customHeight="1"/>
    <row r="1460" ht="15.75" hidden="1" customHeight="1"/>
    <row r="1461" ht="15.75" hidden="1" customHeight="1"/>
    <row r="1462" ht="15.75" hidden="1" customHeight="1"/>
    <row r="1463" ht="15.75" hidden="1" customHeight="1"/>
    <row r="1464" ht="15.75" hidden="1" customHeight="1"/>
    <row r="1465" ht="15.75" hidden="1" customHeight="1"/>
    <row r="1466" ht="15.75" hidden="1" customHeight="1"/>
    <row r="1467" ht="15.75" hidden="1" customHeight="1"/>
    <row r="1468" ht="15.75" hidden="1" customHeight="1"/>
    <row r="1469" ht="15.75" hidden="1" customHeight="1"/>
    <row r="1470" ht="15.75" hidden="1" customHeight="1"/>
    <row r="1471" ht="15.75" hidden="1" customHeight="1"/>
    <row r="1472" ht="15.75" hidden="1" customHeight="1"/>
    <row r="1473" ht="15.75" hidden="1" customHeight="1"/>
    <row r="1474" ht="15.75" hidden="1" customHeight="1"/>
    <row r="1475" ht="15.75" hidden="1" customHeight="1"/>
    <row r="1476" ht="15.75" hidden="1" customHeight="1"/>
    <row r="1477" ht="15.75" hidden="1" customHeight="1"/>
    <row r="1478" ht="15.75" hidden="1" customHeight="1"/>
    <row r="1479" ht="15.75" hidden="1" customHeight="1"/>
    <row r="1480" ht="15.75" hidden="1" customHeight="1"/>
    <row r="1481" ht="15.75" hidden="1" customHeight="1"/>
    <row r="1482" ht="15.75" hidden="1" customHeight="1"/>
    <row r="1483" ht="15.75" hidden="1" customHeight="1"/>
    <row r="1484" ht="15.75" hidden="1" customHeight="1"/>
    <row r="1485" ht="15.75" hidden="1" customHeight="1"/>
    <row r="1486" ht="15.75" hidden="1" customHeight="1"/>
    <row r="1487" ht="15.75" hidden="1" customHeight="1"/>
    <row r="1488" ht="15.75" hidden="1" customHeight="1"/>
    <row r="1489" ht="15.75" hidden="1" customHeight="1"/>
    <row r="1490" ht="15.75" hidden="1" customHeight="1"/>
    <row r="1491" ht="15.75" hidden="1" customHeight="1"/>
    <row r="1492" ht="15.75" hidden="1" customHeight="1"/>
    <row r="1493" ht="15.75" hidden="1" customHeight="1"/>
    <row r="1494" ht="15.75" hidden="1" customHeight="1"/>
    <row r="1495" ht="15.75" hidden="1" customHeight="1"/>
    <row r="1496" ht="15.75" hidden="1" customHeight="1"/>
    <row r="1497" ht="15.75" hidden="1" customHeight="1"/>
    <row r="1498" ht="15.75" hidden="1" customHeight="1"/>
    <row r="1499" ht="15.75" hidden="1" customHeight="1"/>
    <row r="1500" ht="15.75" hidden="1" customHeight="1"/>
    <row r="1501" ht="15.75" hidden="1" customHeight="1"/>
    <row r="1502" ht="15.75" hidden="1" customHeight="1"/>
    <row r="1503" ht="15.75" hidden="1" customHeight="1"/>
    <row r="1504" ht="15.75" hidden="1" customHeight="1"/>
    <row r="1505" ht="15.75" hidden="1" customHeight="1"/>
    <row r="1506" ht="15.75" hidden="1" customHeight="1"/>
    <row r="1507" ht="15.75" hidden="1" customHeight="1"/>
    <row r="1508" ht="15.75" hidden="1" customHeight="1"/>
    <row r="1509" ht="15.75" hidden="1" customHeight="1"/>
    <row r="1510" ht="15.75" hidden="1" customHeight="1"/>
    <row r="1511" ht="15.75" hidden="1" customHeight="1"/>
    <row r="1512" ht="15.75" hidden="1" customHeight="1"/>
    <row r="1513" ht="15.75" hidden="1" customHeight="1"/>
    <row r="1514" ht="15.75" hidden="1" customHeight="1"/>
    <row r="1515" ht="15.75" hidden="1" customHeight="1"/>
    <row r="1516" ht="15.75" hidden="1" customHeight="1"/>
    <row r="1517" ht="15.75" hidden="1" customHeight="1"/>
    <row r="1518" ht="15.75" hidden="1" customHeight="1"/>
    <row r="1519" ht="15.75" hidden="1" customHeight="1"/>
    <row r="1520" ht="15.75" hidden="1" customHeight="1"/>
    <row r="1521" ht="15.75" hidden="1" customHeight="1"/>
    <row r="1522" ht="15.75" hidden="1" customHeight="1"/>
    <row r="1523" ht="15.75" hidden="1" customHeight="1"/>
    <row r="1524" ht="15.75" hidden="1" customHeight="1"/>
    <row r="1525" ht="15.75" hidden="1" customHeight="1"/>
    <row r="1526" ht="15.75" hidden="1" customHeight="1"/>
    <row r="1527" ht="15.75" hidden="1" customHeight="1"/>
    <row r="1528" ht="15.75" hidden="1" customHeight="1"/>
    <row r="1529" ht="15.75" hidden="1" customHeight="1"/>
    <row r="1530" ht="15.75" hidden="1" customHeight="1"/>
    <row r="1531" ht="15.75" hidden="1" customHeight="1"/>
    <row r="1532" ht="15.75" hidden="1" customHeight="1"/>
    <row r="1533" ht="15.75" hidden="1" customHeight="1"/>
    <row r="1534" ht="15.75" hidden="1" customHeight="1"/>
    <row r="1535" ht="15.75" hidden="1" customHeight="1"/>
    <row r="1536" ht="15.75" hidden="1" customHeight="1"/>
    <row r="1537" ht="15.75" hidden="1" customHeight="1"/>
    <row r="1538" ht="15.75" hidden="1" customHeight="1"/>
    <row r="1539" ht="15.75" hidden="1" customHeight="1"/>
    <row r="1540" ht="15.75" hidden="1" customHeight="1"/>
    <row r="1541" ht="15.75" hidden="1" customHeight="1"/>
    <row r="1542" ht="15.75" hidden="1" customHeight="1"/>
    <row r="1543" ht="15.75" hidden="1" customHeight="1"/>
    <row r="1544" ht="15.75" hidden="1" customHeight="1"/>
    <row r="1545" ht="15.75" hidden="1" customHeight="1"/>
    <row r="1546" ht="15.75" hidden="1" customHeight="1"/>
    <row r="1547" ht="15.75" hidden="1" customHeight="1"/>
    <row r="1548" ht="15.75" hidden="1" customHeight="1"/>
    <row r="1549" ht="15.75" hidden="1" customHeight="1"/>
    <row r="1550" ht="15.75" hidden="1" customHeight="1"/>
    <row r="1551" ht="15.75" hidden="1" customHeight="1"/>
    <row r="1552" ht="15.75" hidden="1" customHeight="1"/>
    <row r="1553" ht="15.75" hidden="1" customHeight="1"/>
    <row r="1554" ht="15.75" hidden="1" customHeight="1"/>
    <row r="1555" ht="15.75" hidden="1" customHeight="1"/>
    <row r="1556" ht="15.75" hidden="1" customHeight="1"/>
    <row r="1557" ht="15.75" hidden="1" customHeight="1"/>
    <row r="1558" ht="15.75" hidden="1" customHeight="1"/>
    <row r="1559" ht="15.75" hidden="1" customHeight="1"/>
    <row r="1560" ht="15.75" hidden="1" customHeight="1"/>
    <row r="1561" ht="15.75" hidden="1" customHeight="1"/>
    <row r="1562" ht="15.75" hidden="1" customHeight="1"/>
    <row r="1563" ht="15.75" hidden="1" customHeight="1"/>
    <row r="1564" ht="15.75" hidden="1" customHeight="1"/>
    <row r="1565" ht="15.75" hidden="1" customHeight="1"/>
    <row r="1566" ht="15.75" hidden="1" customHeight="1"/>
    <row r="1567" ht="15.75" hidden="1" customHeight="1"/>
    <row r="1568" ht="15.75" hidden="1" customHeight="1"/>
    <row r="1569" ht="15.75" hidden="1" customHeight="1"/>
    <row r="1570" ht="15.75" hidden="1" customHeight="1"/>
    <row r="1571" ht="15.75" hidden="1" customHeight="1"/>
    <row r="1572" ht="15.75" hidden="1" customHeight="1"/>
    <row r="1573" ht="15.75" hidden="1" customHeight="1"/>
    <row r="1574" ht="15.75" hidden="1" customHeight="1"/>
    <row r="1575" ht="15.75" hidden="1" customHeight="1"/>
    <row r="1576" ht="15.75" hidden="1" customHeight="1"/>
    <row r="1577" ht="15.75" hidden="1" customHeight="1"/>
    <row r="1578" ht="15.75" hidden="1" customHeight="1"/>
    <row r="1579" ht="15.75" hidden="1" customHeight="1"/>
    <row r="1580" ht="15.75" hidden="1" customHeight="1"/>
    <row r="1581" ht="15.75" hidden="1" customHeight="1"/>
    <row r="1582" ht="15.75" hidden="1" customHeight="1"/>
    <row r="1583" ht="15.75" hidden="1" customHeight="1"/>
    <row r="1584" ht="15.75" hidden="1" customHeight="1"/>
    <row r="1585" ht="15.75" hidden="1" customHeight="1"/>
    <row r="1586" ht="15.75" hidden="1" customHeight="1"/>
    <row r="1587" ht="15.75" hidden="1" customHeight="1"/>
    <row r="1588" ht="15.75" hidden="1" customHeight="1"/>
    <row r="1589" ht="15.75" hidden="1" customHeight="1"/>
    <row r="1590" ht="15.75" hidden="1" customHeight="1"/>
    <row r="1591" ht="15.75" hidden="1" customHeight="1"/>
    <row r="1592" ht="15.75" hidden="1" customHeight="1"/>
    <row r="1593" ht="15.75" hidden="1" customHeight="1"/>
    <row r="1594" ht="15.75" hidden="1" customHeight="1"/>
    <row r="1595" ht="15.75" hidden="1" customHeight="1"/>
    <row r="1596" ht="15.75" hidden="1" customHeight="1"/>
    <row r="1597" ht="15.75" hidden="1" customHeight="1"/>
    <row r="1598" ht="15.75" hidden="1" customHeight="1"/>
    <row r="1599" ht="15.75" hidden="1" customHeight="1"/>
    <row r="1600" ht="15.75" hidden="1" customHeight="1"/>
    <row r="1601" ht="15.75" hidden="1" customHeight="1"/>
    <row r="1602" ht="15.75" hidden="1" customHeight="1"/>
    <row r="1603" ht="15.75" hidden="1" customHeight="1"/>
    <row r="1604" ht="15.75" hidden="1" customHeight="1"/>
    <row r="1605" ht="15.75" hidden="1" customHeight="1"/>
    <row r="1606" ht="15.75" hidden="1" customHeight="1"/>
    <row r="1607" ht="15.75" hidden="1" customHeight="1"/>
    <row r="1608" ht="15.75" hidden="1" customHeight="1"/>
    <row r="1609" ht="15.75" hidden="1" customHeight="1"/>
    <row r="1610" ht="15.75" hidden="1" customHeight="1"/>
    <row r="1611" ht="15.75" hidden="1" customHeight="1"/>
    <row r="1612" ht="15.75" hidden="1" customHeight="1"/>
    <row r="1613" ht="15.75" hidden="1" customHeight="1"/>
    <row r="1614" ht="15.75" hidden="1" customHeight="1"/>
    <row r="1615" ht="15.75" hidden="1" customHeight="1"/>
    <row r="1616" ht="15.75" hidden="1" customHeight="1"/>
    <row r="1617" ht="15.75" hidden="1" customHeight="1"/>
    <row r="1618" ht="15.75" hidden="1" customHeight="1"/>
    <row r="1619" ht="15.75" hidden="1" customHeight="1"/>
    <row r="1620" ht="15.75" hidden="1" customHeight="1"/>
    <row r="1621" ht="15.75" hidden="1" customHeight="1"/>
    <row r="1622" ht="15.75" hidden="1" customHeight="1"/>
    <row r="1623" ht="15.75" hidden="1" customHeight="1"/>
    <row r="1624" ht="15.75" hidden="1" customHeight="1"/>
    <row r="1625" ht="15.75" hidden="1" customHeight="1"/>
    <row r="1626" ht="15.75" hidden="1" customHeight="1"/>
    <row r="1627" ht="15.75" hidden="1" customHeight="1"/>
    <row r="1628" ht="15.75" hidden="1" customHeight="1"/>
    <row r="1629" ht="15.75" hidden="1" customHeight="1"/>
    <row r="1630" ht="15.75" hidden="1" customHeight="1"/>
    <row r="1631" ht="15.75" hidden="1" customHeight="1"/>
    <row r="1632" ht="15.75" hidden="1" customHeight="1"/>
    <row r="1633" ht="15.75" hidden="1" customHeight="1"/>
    <row r="1634" ht="15.75" hidden="1" customHeight="1"/>
    <row r="1635" ht="15.75" hidden="1" customHeight="1"/>
    <row r="1636" ht="15.75" hidden="1" customHeight="1"/>
    <row r="1637" ht="15.75" hidden="1" customHeight="1"/>
    <row r="1638" ht="15.75" hidden="1" customHeight="1"/>
    <row r="1639" ht="15.75" hidden="1" customHeight="1"/>
    <row r="1640" ht="15.75" hidden="1" customHeight="1"/>
    <row r="1641" ht="15.75" hidden="1" customHeight="1"/>
    <row r="1642" ht="15.75" hidden="1" customHeight="1"/>
    <row r="1643" ht="15.75" hidden="1" customHeight="1"/>
    <row r="1644" ht="15.75" hidden="1" customHeight="1"/>
    <row r="1645" ht="15.75" hidden="1" customHeight="1"/>
    <row r="1646" ht="15.75" hidden="1" customHeight="1"/>
    <row r="1647" ht="15.75" hidden="1" customHeight="1"/>
    <row r="1648" ht="15.75" hidden="1" customHeight="1"/>
    <row r="1649" ht="15.75" hidden="1" customHeight="1"/>
    <row r="1650" ht="15.75" hidden="1" customHeight="1"/>
    <row r="1651" ht="15.75" hidden="1" customHeight="1"/>
    <row r="1652" ht="15.75" hidden="1" customHeight="1"/>
    <row r="1653" ht="15.75" hidden="1" customHeight="1"/>
    <row r="1654" ht="15.75" hidden="1" customHeight="1"/>
    <row r="1655" ht="15.75" hidden="1" customHeight="1"/>
    <row r="1656" ht="15.75" hidden="1" customHeight="1"/>
    <row r="1657" ht="15.75" hidden="1" customHeight="1"/>
    <row r="1658" ht="15.75" hidden="1" customHeight="1"/>
    <row r="1659" ht="15.75" hidden="1" customHeight="1"/>
    <row r="1660" ht="15.75" hidden="1" customHeight="1"/>
    <row r="1661" ht="15.75" hidden="1" customHeight="1"/>
    <row r="1662" ht="15.75" hidden="1" customHeight="1"/>
    <row r="1663" ht="15.75" hidden="1" customHeight="1"/>
    <row r="1664" ht="15.75" hidden="1" customHeight="1"/>
    <row r="1665" ht="15.75" hidden="1" customHeight="1"/>
    <row r="1666" ht="15.75" hidden="1" customHeight="1"/>
    <row r="1667" ht="15.75" hidden="1" customHeight="1"/>
    <row r="1668" ht="15.75" hidden="1" customHeight="1"/>
    <row r="1669" ht="15.75" hidden="1" customHeight="1"/>
    <row r="1670" ht="15.75" hidden="1" customHeight="1"/>
    <row r="1671" ht="15.75" hidden="1" customHeight="1"/>
    <row r="1672" ht="15.75" hidden="1" customHeight="1"/>
    <row r="1673" ht="15.75" hidden="1" customHeight="1"/>
    <row r="1674" ht="15.75" hidden="1" customHeight="1"/>
    <row r="1675" ht="15.75" hidden="1" customHeight="1"/>
    <row r="1676" ht="15.75" hidden="1" customHeight="1"/>
    <row r="1677" ht="15.75" hidden="1" customHeight="1"/>
    <row r="1678" ht="15.75" hidden="1" customHeight="1"/>
    <row r="1679" ht="15.75" hidden="1" customHeight="1"/>
    <row r="1680" ht="15.75" hidden="1" customHeight="1"/>
    <row r="1681" ht="15.75" hidden="1" customHeight="1"/>
    <row r="1682" ht="15.75" hidden="1" customHeight="1"/>
    <row r="1683" ht="15.75" hidden="1" customHeight="1"/>
    <row r="1684" ht="15.75" hidden="1" customHeight="1"/>
    <row r="1685" ht="15.75" hidden="1" customHeight="1"/>
    <row r="1686" ht="15.75" hidden="1" customHeight="1"/>
    <row r="1687" ht="15.75" hidden="1" customHeight="1"/>
    <row r="1688" ht="15.75" hidden="1" customHeight="1"/>
    <row r="1689" ht="15.75" hidden="1" customHeight="1"/>
    <row r="1690" ht="15.75" hidden="1" customHeight="1"/>
    <row r="1691" ht="15.75" hidden="1" customHeight="1"/>
    <row r="1692" ht="15.75" hidden="1" customHeight="1"/>
    <row r="1693" ht="15.75" hidden="1" customHeight="1"/>
    <row r="1694" ht="15.75" hidden="1" customHeight="1"/>
    <row r="1695" ht="15.75" hidden="1" customHeight="1"/>
    <row r="1696" ht="15.75" hidden="1" customHeight="1"/>
    <row r="1697" ht="15.75" hidden="1" customHeight="1"/>
    <row r="1698" ht="15.75" hidden="1" customHeight="1"/>
    <row r="1699" ht="15.75" hidden="1" customHeight="1"/>
    <row r="1700" ht="15.75" hidden="1" customHeight="1"/>
    <row r="1701" ht="15.75" hidden="1" customHeight="1"/>
    <row r="1702" ht="15.75" hidden="1" customHeight="1"/>
    <row r="1703" ht="15.75" hidden="1" customHeight="1"/>
    <row r="1704" ht="15.75" hidden="1" customHeight="1"/>
    <row r="1705" ht="15.75" hidden="1" customHeight="1"/>
    <row r="1706" ht="15.75" hidden="1" customHeight="1"/>
    <row r="1707" ht="15.75" hidden="1" customHeight="1"/>
    <row r="1708" ht="15.75" hidden="1" customHeight="1"/>
    <row r="1709" ht="15.75" hidden="1" customHeight="1"/>
    <row r="1710" ht="15.75" hidden="1" customHeight="1"/>
    <row r="1711" ht="15.75" hidden="1" customHeight="1"/>
    <row r="1712" ht="15.75" hidden="1" customHeight="1"/>
    <row r="1713" ht="15.75" hidden="1" customHeight="1"/>
    <row r="1714" ht="15.75" hidden="1" customHeight="1"/>
    <row r="1715" ht="15.75" hidden="1" customHeight="1"/>
    <row r="1716" ht="15.75" hidden="1" customHeight="1"/>
    <row r="1717" ht="15.75" hidden="1" customHeight="1"/>
    <row r="1718" ht="15.75" hidden="1" customHeight="1"/>
    <row r="1719" ht="15.75" hidden="1" customHeight="1"/>
    <row r="1720" ht="15.75" hidden="1" customHeight="1"/>
    <row r="1721" ht="15.75" hidden="1" customHeight="1"/>
    <row r="1722" ht="15.75" hidden="1" customHeight="1"/>
    <row r="1723" ht="15.75" hidden="1" customHeight="1"/>
    <row r="1724" ht="15.75" hidden="1" customHeight="1"/>
    <row r="1725" ht="15.75" hidden="1" customHeight="1"/>
    <row r="1726" ht="15.75" hidden="1" customHeight="1"/>
    <row r="1727" ht="15.75" hidden="1" customHeight="1"/>
    <row r="1728" ht="15.75" hidden="1" customHeight="1"/>
    <row r="1729" ht="15.75" hidden="1" customHeight="1"/>
    <row r="1730" ht="15.75" hidden="1" customHeight="1"/>
    <row r="1731" ht="15.75" hidden="1" customHeight="1"/>
    <row r="1732" ht="15.75" hidden="1" customHeight="1"/>
    <row r="1733" ht="15.75" hidden="1" customHeight="1"/>
    <row r="1734" ht="15.75" hidden="1" customHeight="1"/>
    <row r="1735" ht="15.75" hidden="1" customHeight="1"/>
    <row r="1736" ht="15.75" hidden="1" customHeight="1"/>
    <row r="1737" ht="15.75" hidden="1" customHeight="1"/>
    <row r="1738" ht="15.75" hidden="1" customHeight="1"/>
    <row r="1739" ht="15.75" hidden="1" customHeight="1"/>
    <row r="1740" ht="15.75" hidden="1" customHeight="1"/>
    <row r="1741" ht="15.75" hidden="1" customHeight="1"/>
    <row r="1742" ht="15.75" hidden="1" customHeight="1"/>
    <row r="1743" ht="15.75" hidden="1" customHeight="1"/>
    <row r="1744" ht="15.75" hidden="1" customHeight="1"/>
    <row r="1745" ht="15.75" hidden="1" customHeight="1"/>
    <row r="1746" ht="15.75" hidden="1" customHeight="1"/>
    <row r="1747" ht="15.75" hidden="1" customHeight="1"/>
    <row r="1748" ht="15.75" hidden="1" customHeight="1"/>
    <row r="1749" ht="15.75" hidden="1" customHeight="1"/>
    <row r="1750" ht="15.75" hidden="1" customHeight="1"/>
    <row r="1751" ht="15.75" hidden="1" customHeight="1"/>
    <row r="1752" ht="15.75" hidden="1" customHeight="1"/>
    <row r="1753" ht="15.75" hidden="1" customHeight="1"/>
    <row r="1754" ht="15.75" hidden="1" customHeight="1"/>
    <row r="1755" ht="15.75" hidden="1" customHeight="1"/>
    <row r="1756" ht="15.75" hidden="1" customHeight="1"/>
    <row r="1757" ht="15.75" hidden="1" customHeight="1"/>
    <row r="1758" ht="15.75" hidden="1" customHeight="1"/>
    <row r="1759" ht="15.75" hidden="1" customHeight="1"/>
    <row r="1760" ht="15.75" hidden="1" customHeight="1"/>
    <row r="1761" ht="15.75" hidden="1" customHeight="1"/>
    <row r="1762" ht="15.75" hidden="1" customHeight="1"/>
    <row r="1763" ht="15.75" hidden="1" customHeight="1"/>
    <row r="1764" ht="15.75" hidden="1" customHeight="1"/>
    <row r="1765" ht="15.75" hidden="1" customHeight="1"/>
    <row r="1766" ht="15.75" hidden="1" customHeight="1"/>
    <row r="1767" ht="15.75" hidden="1" customHeight="1"/>
    <row r="1768" ht="15.75" hidden="1" customHeight="1"/>
    <row r="1769" ht="15.75" hidden="1" customHeight="1"/>
    <row r="1770" ht="15.75" hidden="1" customHeight="1"/>
    <row r="1771" ht="15.75" hidden="1" customHeight="1"/>
    <row r="1772" ht="15.75" hidden="1" customHeight="1"/>
    <row r="1773" ht="15.75" hidden="1" customHeight="1"/>
    <row r="1774" ht="15.75" hidden="1" customHeight="1"/>
    <row r="1775" ht="15.75" hidden="1" customHeight="1"/>
    <row r="1776" ht="15.75" hidden="1" customHeight="1"/>
    <row r="1777" ht="15.75" hidden="1" customHeight="1"/>
    <row r="1778" ht="15.75" hidden="1" customHeight="1"/>
    <row r="1779" ht="15.75" hidden="1" customHeight="1"/>
    <row r="1780" ht="15.75" hidden="1" customHeight="1"/>
    <row r="1781" ht="15.75" hidden="1" customHeight="1"/>
    <row r="1782" ht="15.75" hidden="1" customHeight="1"/>
    <row r="1783" ht="15.75" hidden="1" customHeight="1"/>
    <row r="1784" ht="15.75" hidden="1" customHeight="1"/>
    <row r="1785" ht="15.75" hidden="1" customHeight="1"/>
    <row r="1786" ht="15.75" hidden="1" customHeight="1"/>
    <row r="1787" ht="15.75" hidden="1" customHeight="1"/>
    <row r="1788" ht="15.75" hidden="1" customHeight="1"/>
    <row r="1789" ht="15.75" hidden="1" customHeight="1"/>
    <row r="1790" ht="15.75" hidden="1" customHeight="1"/>
    <row r="1791" ht="15.75" hidden="1" customHeight="1"/>
    <row r="1792" ht="15.75" hidden="1" customHeight="1"/>
    <row r="1793" ht="15.75" hidden="1" customHeight="1"/>
    <row r="1794" ht="15.75" hidden="1" customHeight="1"/>
    <row r="1795" ht="15.75" hidden="1" customHeight="1"/>
    <row r="1796" ht="15.75" hidden="1" customHeight="1"/>
    <row r="1797" ht="15.75" hidden="1" customHeight="1"/>
    <row r="1798" ht="15.75" hidden="1" customHeight="1"/>
    <row r="1799" ht="15.75" hidden="1" customHeight="1"/>
    <row r="1800" ht="15.75" hidden="1" customHeight="1"/>
    <row r="1801" ht="15.75" hidden="1" customHeight="1"/>
    <row r="1802" ht="15.75" hidden="1" customHeight="1"/>
    <row r="1803" ht="15.75" hidden="1" customHeight="1"/>
    <row r="1804" ht="15.75" hidden="1" customHeight="1"/>
    <row r="1805" ht="15.75" hidden="1" customHeight="1"/>
    <row r="1806" ht="15.75" hidden="1" customHeight="1"/>
    <row r="1807" ht="15.75" hidden="1" customHeight="1"/>
    <row r="1808" ht="15.75" hidden="1" customHeight="1"/>
    <row r="1809" ht="15.75" hidden="1" customHeight="1"/>
    <row r="1810" ht="15.75" hidden="1" customHeight="1"/>
    <row r="1811" ht="15.75" hidden="1" customHeight="1"/>
    <row r="1812" ht="15.75" hidden="1" customHeight="1"/>
    <row r="1813" ht="15.75" hidden="1" customHeight="1"/>
    <row r="1814" ht="15.75" hidden="1" customHeight="1"/>
    <row r="1815" ht="15.75" hidden="1" customHeight="1"/>
    <row r="1816" ht="15.75" hidden="1" customHeight="1"/>
    <row r="1817" ht="15.75" hidden="1" customHeight="1"/>
    <row r="1818" ht="15.75" hidden="1" customHeight="1"/>
    <row r="1819" ht="15.75" hidden="1" customHeight="1"/>
    <row r="1820" ht="15.75" hidden="1" customHeight="1"/>
    <row r="1821" ht="15.75" hidden="1" customHeight="1"/>
    <row r="1822" ht="15.75" hidden="1" customHeight="1"/>
    <row r="1823" ht="15.75" hidden="1" customHeight="1"/>
    <row r="1824" ht="15.75" hidden="1" customHeight="1"/>
    <row r="1825" ht="15.75" hidden="1" customHeight="1"/>
    <row r="1826" ht="15.75" hidden="1" customHeight="1"/>
    <row r="1827" ht="15.75" hidden="1" customHeight="1"/>
    <row r="1828" ht="15.75" hidden="1" customHeight="1"/>
    <row r="1829" ht="15.75" hidden="1" customHeight="1"/>
    <row r="1830" ht="15.75" hidden="1" customHeight="1"/>
    <row r="1831" ht="15.75" hidden="1" customHeight="1"/>
    <row r="1832" ht="15.75" hidden="1" customHeight="1"/>
    <row r="1833" ht="15.75" hidden="1" customHeight="1"/>
    <row r="1834" ht="15.75" hidden="1" customHeight="1"/>
    <row r="1835" ht="15.75" hidden="1" customHeight="1"/>
    <row r="1836" ht="15.75" hidden="1" customHeight="1"/>
    <row r="1837" ht="15.75" hidden="1" customHeight="1"/>
    <row r="1838" ht="15.75" hidden="1" customHeight="1"/>
    <row r="1839" ht="15.75" hidden="1" customHeight="1"/>
    <row r="1840" ht="15.75" hidden="1" customHeight="1"/>
    <row r="1841" ht="15.75" hidden="1" customHeight="1"/>
    <row r="1842" ht="15.75" hidden="1" customHeight="1"/>
    <row r="1843" ht="15.75" hidden="1" customHeight="1"/>
    <row r="1844" ht="15.75" hidden="1" customHeight="1"/>
    <row r="1845" ht="15.75" hidden="1" customHeight="1"/>
    <row r="1846" ht="15.75" hidden="1" customHeight="1"/>
    <row r="1847" ht="15.75" hidden="1" customHeight="1"/>
    <row r="1848" ht="15.75" hidden="1" customHeight="1"/>
    <row r="1849" ht="15.75" hidden="1" customHeight="1"/>
    <row r="1850" ht="15.75" hidden="1" customHeight="1"/>
    <row r="1851" ht="15.75" hidden="1" customHeight="1"/>
  </sheetData>
  <autoFilter ref="A2:BK63" xr:uid="{4F2ACB19-0DA7-4F44-9B6D-47AA5AD8727E}">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filterColumn colId="52" showButton="0"/>
    <filterColumn colId="53" showButton="0"/>
  </autoFilter>
  <mergeCells count="11">
    <mergeCell ref="BA2:BC2"/>
    <mergeCell ref="A1:BD1"/>
    <mergeCell ref="BF1:BI1"/>
    <mergeCell ref="N2:P2"/>
    <mergeCell ref="T2:V2"/>
    <mergeCell ref="W2:Y2"/>
    <mergeCell ref="Z2:AB2"/>
    <mergeCell ref="AC2:AE2"/>
    <mergeCell ref="AN2:AP2"/>
    <mergeCell ref="AQ2:AS2"/>
    <mergeCell ref="AT2:AV2"/>
  </mergeCells>
  <phoneticPr fontId="76" type="noConversion"/>
  <conditionalFormatting sqref="BE4">
    <cfRule type="expression" dxfId="11050" priority="4773">
      <formula>$M4="NON DEFINED"</formula>
    </cfRule>
    <cfRule type="expression" dxfId="11049" priority="4774">
      <formula>$AY4="N.D."</formula>
    </cfRule>
  </conditionalFormatting>
  <conditionalFormatting sqref="BE4">
    <cfRule type="cellIs" dxfId="11048" priority="4772" operator="equal">
      <formula>0</formula>
    </cfRule>
  </conditionalFormatting>
  <conditionalFormatting sqref="C20:AZ20 AY41:AZ44 C42:AL42 C41:M41 O41:AJ41 C30:AZ30 C29:V29 X29:AZ29 B23:V23 X23:AZ23 C22:AZ22 C21:V21 X21:AZ21 C44:V44 C43:AJ43 AL43:AM43 AL41:AM41 C27:AZ28 B27:B62 B63:AL63 AM59:AM63 X44:AL44 AN41:AV44 AN45:AZ63 B24:AZ26">
    <cfRule type="expression" dxfId="11047" priority="4769">
      <formula>$M20="NON DEFINED"</formula>
    </cfRule>
    <cfRule type="expression" dxfId="11046" priority="4770">
      <formula>$AZ20="N.D."</formula>
    </cfRule>
    <cfRule type="expression" dxfId="11045" priority="4771">
      <formula>$AY20="N.D."</formula>
    </cfRule>
  </conditionalFormatting>
  <conditionalFormatting sqref="BA45:BC63">
    <cfRule type="expression" dxfId="11044" priority="2854">
      <formula>$BE45="A"</formula>
    </cfRule>
    <cfRule type="expression" dxfId="11043" priority="2855">
      <formula>$BE45="R"</formula>
    </cfRule>
  </conditionalFormatting>
  <conditionalFormatting sqref="AG20:AG30 AY20:AZ30 AM41 AM43 G20:H30 J20:J30 J41:J44 G41:H44 AY41:AZ44 A41:A44 AG41:AG44 A20:A22 C20:E22 A23:E26 C27:E30 C41:E44 B27:B62 F45:K63 A63:E63 AM59:AM63 A27:A30 M49:AL49 M48 L51:AL51 M50 L53:AL53 L52:M52 O52:AL52 L55:AL55 L54:M54 L57:AL59 L56:M56 O54:AL54 O56:AL56 L61:AL63 L60:M60 O60:AL60 O50:AL50 O48:AL48 M45:AL47 AN41:AS44 AN45:AZ63 AM20:AS30">
    <cfRule type="expression" dxfId="11042" priority="4756">
      <formula>$A20="Overhead Cable"</formula>
    </cfRule>
    <cfRule type="expression" dxfId="11041" priority="4757">
      <formula>$A20="Level Crossing"</formula>
    </cfRule>
    <cfRule type="expression" dxfId="11040" priority="4758">
      <formula>$A20="Neutral Section"</formula>
    </cfRule>
    <cfRule type="expression" dxfId="11039" priority="4759">
      <formula>$A20="Tunnel"</formula>
    </cfRule>
    <cfRule type="expression" dxfId="11038" priority="4760">
      <formula>$A20="Bridge"</formula>
    </cfRule>
    <cfRule type="expression" dxfId="11037" priority="4761">
      <formula>$A20="Drainage Works"</formula>
    </cfRule>
    <cfRule type="expression" dxfId="11036" priority="4762">
      <formula>$A20="Underpass"</formula>
    </cfRule>
    <cfRule type="expression" dxfId="11035" priority="4763">
      <formula>$A20="Overcrossing"</formula>
    </cfRule>
    <cfRule type="expression" dxfId="11034" priority="4764">
      <formula>$A20="Overpass"</formula>
    </cfRule>
    <cfRule type="expression" dxfId="11033" priority="4765">
      <formula>$A20="Station"</formula>
    </cfRule>
    <cfRule type="expression" dxfId="11032" priority="4766">
      <formula>$A20="Overlap between sections"</formula>
    </cfRule>
  </conditionalFormatting>
  <conditionalFormatting sqref="AN20:AP30 AN41:AP63">
    <cfRule type="cellIs" dxfId="11031" priority="4755" operator="notEqual">
      <formula>5.5</formula>
    </cfRule>
  </conditionalFormatting>
  <conditionalFormatting sqref="B23:B63">
    <cfRule type="expression" dxfId="11030" priority="4754">
      <formula>AND($AH23&gt;2499,$AH23&lt;2901)</formula>
    </cfRule>
  </conditionalFormatting>
  <conditionalFormatting sqref="I20:I30 I41:I44">
    <cfRule type="expression" dxfId="11029" priority="4743">
      <formula>$A20="Overhead Cable"</formula>
    </cfRule>
    <cfRule type="expression" dxfId="11028" priority="4744">
      <formula>$A20="Level Crossing"</formula>
    </cfRule>
    <cfRule type="expression" dxfId="11027" priority="4745">
      <formula>$A20="Neutral Section"</formula>
    </cfRule>
    <cfRule type="expression" dxfId="11026" priority="4746">
      <formula>$A20="Tunnel"</formula>
    </cfRule>
    <cfRule type="expression" dxfId="11025" priority="4747">
      <formula>$A20="Bridge"</formula>
    </cfRule>
    <cfRule type="expression" dxfId="11024" priority="4748">
      <formula>$A20="Drainage Works"</formula>
    </cfRule>
    <cfRule type="expression" dxfId="11023" priority="4749">
      <formula>$A20="Underpass"</formula>
    </cfRule>
    <cfRule type="expression" dxfId="11022" priority="4750">
      <formula>$A20="Overcrossing"</formula>
    </cfRule>
    <cfRule type="expression" dxfId="11021" priority="4751">
      <formula>$A20="Overpass"</formula>
    </cfRule>
    <cfRule type="expression" dxfId="11020" priority="4752">
      <formula>$A20="Station"</formula>
    </cfRule>
    <cfRule type="expression" dxfId="11019" priority="4753">
      <formula>$A20="Overlap between sections"</formula>
    </cfRule>
  </conditionalFormatting>
  <conditionalFormatting sqref="K20:K30 K41:K44">
    <cfRule type="expression" dxfId="11018" priority="4732">
      <formula>$A20="Overhead Cable"</formula>
    </cfRule>
    <cfRule type="expression" dxfId="11017" priority="4733">
      <formula>$A20="Level Crossing"</formula>
    </cfRule>
    <cfRule type="expression" dxfId="11016" priority="4734">
      <formula>$A20="Neutral Section"</formula>
    </cfRule>
    <cfRule type="expression" dxfId="11015" priority="4735">
      <formula>$A20="Tunnel"</formula>
    </cfRule>
    <cfRule type="expression" dxfId="11014" priority="4736">
      <formula>$A20="Bridge"</formula>
    </cfRule>
    <cfRule type="expression" dxfId="11013" priority="4737">
      <formula>$A20="Drainage Works"</formula>
    </cfRule>
    <cfRule type="expression" dxfId="11012" priority="4738">
      <formula>$A20="Underpass"</formula>
    </cfRule>
    <cfRule type="expression" dxfId="11011" priority="4739">
      <formula>$A20="Overcrossing"</formula>
    </cfRule>
    <cfRule type="expression" dxfId="11010" priority="4740">
      <formula>$A20="Overpass"</formula>
    </cfRule>
    <cfRule type="expression" dxfId="11009" priority="4741">
      <formula>$A20="Station"</formula>
    </cfRule>
    <cfRule type="expression" dxfId="11008" priority="4742">
      <formula>$A20="Overlap between sections"</formula>
    </cfRule>
  </conditionalFormatting>
  <conditionalFormatting sqref="L20:L30 L41:L44">
    <cfRule type="expression" dxfId="11007" priority="4721">
      <formula>$A20="Overhead Cable"</formula>
    </cfRule>
    <cfRule type="expression" dxfId="11006" priority="4722">
      <formula>$A20="Level Crossing"</formula>
    </cfRule>
    <cfRule type="expression" dxfId="11005" priority="4723">
      <formula>$A20="Neutral Section"</formula>
    </cfRule>
    <cfRule type="expression" dxfId="11004" priority="4724">
      <formula>$A20="Tunnel"</formula>
    </cfRule>
    <cfRule type="expression" dxfId="11003" priority="4725">
      <formula>$A20="Bridge"</formula>
    </cfRule>
    <cfRule type="expression" dxfId="11002" priority="4726">
      <formula>$A20="Drainage Works"</formula>
    </cfRule>
    <cfRule type="expression" dxfId="11001" priority="4727">
      <formula>$A20="Underpass"</formula>
    </cfRule>
    <cfRule type="expression" dxfId="11000" priority="4728">
      <formula>$A20="Overcrossing"</formula>
    </cfRule>
    <cfRule type="expression" dxfId="10999" priority="4729">
      <formula>$A20="Overpass"</formula>
    </cfRule>
    <cfRule type="expression" dxfId="10998" priority="4730">
      <formula>$A20="Station"</formula>
    </cfRule>
    <cfRule type="expression" dxfId="10997" priority="4731">
      <formula>$A20="Overlap between sections"</formula>
    </cfRule>
  </conditionalFormatting>
  <conditionalFormatting sqref="M20:M30 M41:M44">
    <cfRule type="expression" dxfId="10996" priority="4710">
      <formula>$A20="Overhead Cable"</formula>
    </cfRule>
    <cfRule type="expression" dxfId="10995" priority="4711">
      <formula>$A20="Level Crossing"</formula>
    </cfRule>
    <cfRule type="expression" dxfId="10994" priority="4712">
      <formula>$A20="Neutral Section"</formula>
    </cfRule>
    <cfRule type="expression" dxfId="10993" priority="4713">
      <formula>$A20="Tunnel"</formula>
    </cfRule>
    <cfRule type="expression" dxfId="10992" priority="4714">
      <formula>$A20="Bridge"</formula>
    </cfRule>
    <cfRule type="expression" dxfId="10991" priority="4715">
      <formula>$A20="Drainage Works"</formula>
    </cfRule>
    <cfRule type="expression" dxfId="10990" priority="4716">
      <formula>$A20="Underpass"</formula>
    </cfRule>
    <cfRule type="expression" dxfId="10989" priority="4717">
      <formula>$A20="Overcrossing"</formula>
    </cfRule>
    <cfRule type="expression" dxfId="10988" priority="4718">
      <formula>$A20="Overpass"</formula>
    </cfRule>
    <cfRule type="expression" dxfId="10987" priority="4719">
      <formula>$A20="Station"</formula>
    </cfRule>
    <cfRule type="expression" dxfId="10986" priority="4720">
      <formula>$A20="Overlap between sections"</formula>
    </cfRule>
  </conditionalFormatting>
  <conditionalFormatting sqref="N20:N30 N42:N44">
    <cfRule type="expression" dxfId="10985" priority="4699">
      <formula>$A20="Overhead Cable"</formula>
    </cfRule>
    <cfRule type="expression" dxfId="10984" priority="4700">
      <formula>$A20="Level Crossing"</formula>
    </cfRule>
    <cfRule type="expression" dxfId="10983" priority="4701">
      <formula>$A20="Neutral Section"</formula>
    </cfRule>
    <cfRule type="expression" dxfId="10982" priority="4702">
      <formula>$A20="Tunnel"</formula>
    </cfRule>
    <cfRule type="expression" dxfId="10981" priority="4703">
      <formula>$A20="Bridge"</formula>
    </cfRule>
    <cfRule type="expression" dxfId="10980" priority="4704">
      <formula>$A20="Drainage Works"</formula>
    </cfRule>
    <cfRule type="expression" dxfId="10979" priority="4705">
      <formula>$A20="Underpass"</formula>
    </cfRule>
    <cfRule type="expression" dxfId="10978" priority="4706">
      <formula>$A20="Overcrossing"</formula>
    </cfRule>
    <cfRule type="expression" dxfId="10977" priority="4707">
      <formula>$A20="Overpass"</formula>
    </cfRule>
    <cfRule type="expression" dxfId="10976" priority="4708">
      <formula>$A20="Station"</formula>
    </cfRule>
    <cfRule type="expression" dxfId="10975" priority="4709">
      <formula>$A20="Overlap between sections"</formula>
    </cfRule>
  </conditionalFormatting>
  <conditionalFormatting sqref="O20:O30 O41:O44">
    <cfRule type="expression" dxfId="10974" priority="4688">
      <formula>$A20="Overhead Cable"</formula>
    </cfRule>
    <cfRule type="expression" dxfId="10973" priority="4689">
      <formula>$A20="Level Crossing"</formula>
    </cfRule>
    <cfRule type="expression" dxfId="10972" priority="4690">
      <formula>$A20="Neutral Section"</formula>
    </cfRule>
    <cfRule type="expression" dxfId="10971" priority="4691">
      <formula>$A20="Tunnel"</formula>
    </cfRule>
    <cfRule type="expression" dxfId="10970" priority="4692">
      <formula>$A20="Bridge"</formula>
    </cfRule>
    <cfRule type="expression" dxfId="10969" priority="4693">
      <formula>$A20="Drainage Works"</formula>
    </cfRule>
    <cfRule type="expression" dxfId="10968" priority="4694">
      <formula>$A20="Underpass"</formula>
    </cfRule>
    <cfRule type="expression" dxfId="10967" priority="4695">
      <formula>$A20="Overcrossing"</formula>
    </cfRule>
    <cfRule type="expression" dxfId="10966" priority="4696">
      <formula>$A20="Overpass"</formula>
    </cfRule>
    <cfRule type="expression" dxfId="10965" priority="4697">
      <formula>$A20="Station"</formula>
    </cfRule>
    <cfRule type="expression" dxfId="10964" priority="4698">
      <formula>$A20="Overlap between sections"</formula>
    </cfRule>
  </conditionalFormatting>
  <conditionalFormatting sqref="P20:P30 P41:P44">
    <cfRule type="expression" dxfId="10963" priority="4677">
      <formula>$A20="Overhead Cable"</formula>
    </cfRule>
    <cfRule type="expression" dxfId="10962" priority="4678">
      <formula>$A20="Level Crossing"</formula>
    </cfRule>
    <cfRule type="expression" dxfId="10961" priority="4679">
      <formula>$A20="Neutral Section"</formula>
    </cfRule>
    <cfRule type="expression" dxfId="10960" priority="4680">
      <formula>$A20="Tunnel"</formula>
    </cfRule>
    <cfRule type="expression" dxfId="10959" priority="4681">
      <formula>$A20="Bridge"</formula>
    </cfRule>
    <cfRule type="expression" dxfId="10958" priority="4682">
      <formula>$A20="Drainage Works"</formula>
    </cfRule>
    <cfRule type="expression" dxfId="10957" priority="4683">
      <formula>$A20="Underpass"</formula>
    </cfRule>
    <cfRule type="expression" dxfId="10956" priority="4684">
      <formula>$A20="Overcrossing"</formula>
    </cfRule>
    <cfRule type="expression" dxfId="10955" priority="4685">
      <formula>$A20="Overpass"</formula>
    </cfRule>
    <cfRule type="expression" dxfId="10954" priority="4686">
      <formula>$A20="Station"</formula>
    </cfRule>
    <cfRule type="expression" dxfId="10953" priority="4687">
      <formula>$A20="Overlap between sections"</formula>
    </cfRule>
  </conditionalFormatting>
  <conditionalFormatting sqref="AC20:AC30 AC41:AC44">
    <cfRule type="expression" dxfId="10952" priority="4666">
      <formula>$A20="Overhead Cable"</formula>
    </cfRule>
    <cfRule type="expression" dxfId="10951" priority="4667">
      <formula>$A20="Level Crossing"</formula>
    </cfRule>
    <cfRule type="expression" dxfId="10950" priority="4668">
      <formula>$A20="Neutral Section"</formula>
    </cfRule>
    <cfRule type="expression" dxfId="10949" priority="4669">
      <formula>$A20="Tunnel"</formula>
    </cfRule>
    <cfRule type="expression" dxfId="10948" priority="4670">
      <formula>$A20="Bridge"</formula>
    </cfRule>
    <cfRule type="expression" dxfId="10947" priority="4671">
      <formula>$A20="Drainage Works"</formula>
    </cfRule>
    <cfRule type="expression" dxfId="10946" priority="4672">
      <formula>$A20="Underpass"</formula>
    </cfRule>
    <cfRule type="expression" dxfId="10945" priority="4673">
      <formula>$A20="Overcrossing"</formula>
    </cfRule>
    <cfRule type="expression" dxfId="10944" priority="4674">
      <formula>$A20="Overpass"</formula>
    </cfRule>
    <cfRule type="expression" dxfId="10943" priority="4675">
      <formula>$A20="Station"</formula>
    </cfRule>
    <cfRule type="expression" dxfId="10942" priority="4676">
      <formula>$A20="Overlap between sections"</formula>
    </cfRule>
  </conditionalFormatting>
  <conditionalFormatting sqref="AD20:AD30 AD41:AD44">
    <cfRule type="expression" dxfId="10941" priority="4655">
      <formula>$A20="Overhead Cable"</formula>
    </cfRule>
    <cfRule type="expression" dxfId="10940" priority="4656">
      <formula>$A20="Level Crossing"</formula>
    </cfRule>
    <cfRule type="expression" dxfId="10939" priority="4657">
      <formula>$A20="Neutral Section"</formula>
    </cfRule>
    <cfRule type="expression" dxfId="10938" priority="4658">
      <formula>$A20="Tunnel"</formula>
    </cfRule>
    <cfRule type="expression" dxfId="10937" priority="4659">
      <formula>$A20="Bridge"</formula>
    </cfRule>
    <cfRule type="expression" dxfId="10936" priority="4660">
      <formula>$A20="Drainage Works"</formula>
    </cfRule>
    <cfRule type="expression" dxfId="10935" priority="4661">
      <formula>$A20="Underpass"</formula>
    </cfRule>
    <cfRule type="expression" dxfId="10934" priority="4662">
      <formula>$A20="Overcrossing"</formula>
    </cfRule>
    <cfRule type="expression" dxfId="10933" priority="4663">
      <formula>$A20="Overpass"</formula>
    </cfRule>
    <cfRule type="expression" dxfId="10932" priority="4664">
      <formula>$A20="Station"</formula>
    </cfRule>
    <cfRule type="expression" dxfId="10931" priority="4665">
      <formula>$A20="Overlap between sections"</formula>
    </cfRule>
  </conditionalFormatting>
  <conditionalFormatting sqref="AE20:AE30 AE41:AE44">
    <cfRule type="expression" dxfId="10930" priority="4644">
      <formula>$A20="Overhead Cable"</formula>
    </cfRule>
    <cfRule type="expression" dxfId="10929" priority="4645">
      <formula>$A20="Level Crossing"</formula>
    </cfRule>
    <cfRule type="expression" dxfId="10928" priority="4646">
      <formula>$A20="Neutral Section"</formula>
    </cfRule>
    <cfRule type="expression" dxfId="10927" priority="4647">
      <formula>$A20="Tunnel"</formula>
    </cfRule>
    <cfRule type="expression" dxfId="10926" priority="4648">
      <formula>$A20="Bridge"</formula>
    </cfRule>
    <cfRule type="expression" dxfId="10925" priority="4649">
      <formula>$A20="Drainage Works"</formula>
    </cfRule>
    <cfRule type="expression" dxfId="10924" priority="4650">
      <formula>$A20="Underpass"</formula>
    </cfRule>
    <cfRule type="expression" dxfId="10923" priority="4651">
      <formula>$A20="Overcrossing"</formula>
    </cfRule>
    <cfRule type="expression" dxfId="10922" priority="4652">
      <formula>$A20="Overpass"</formula>
    </cfRule>
    <cfRule type="expression" dxfId="10921" priority="4653">
      <formula>$A20="Station"</formula>
    </cfRule>
    <cfRule type="expression" dxfId="10920" priority="4654">
      <formula>$A20="Overlap between sections"</formula>
    </cfRule>
  </conditionalFormatting>
  <conditionalFormatting sqref="AJ20:AJ30 AJ41:AJ44">
    <cfRule type="expression" dxfId="10919" priority="4633">
      <formula>$A20="Overhead Cable"</formula>
    </cfRule>
    <cfRule type="expression" dxfId="10918" priority="4634">
      <formula>$A20="Level Crossing"</formula>
    </cfRule>
    <cfRule type="expression" dxfId="10917" priority="4635">
      <formula>$A20="Neutral Section"</formula>
    </cfRule>
    <cfRule type="expression" dxfId="10916" priority="4636">
      <formula>$A20="Tunnel"</formula>
    </cfRule>
    <cfRule type="expression" dxfId="10915" priority="4637">
      <formula>$A20="Bridge"</formula>
    </cfRule>
    <cfRule type="expression" dxfId="10914" priority="4638">
      <formula>$A20="Drainage Works"</formula>
    </cfRule>
    <cfRule type="expression" dxfId="10913" priority="4639">
      <formula>$A20="Underpass"</formula>
    </cfRule>
    <cfRule type="expression" dxfId="10912" priority="4640">
      <formula>$A20="Overcrossing"</formula>
    </cfRule>
    <cfRule type="expression" dxfId="10911" priority="4641">
      <formula>$A20="Overpass"</formula>
    </cfRule>
    <cfRule type="expression" dxfId="10910" priority="4642">
      <formula>$A20="Station"</formula>
    </cfRule>
    <cfRule type="expression" dxfId="10909" priority="4643">
      <formula>$A20="Overlap between sections"</formula>
    </cfRule>
  </conditionalFormatting>
  <conditionalFormatting sqref="AK20:AK30 AK42 AK44">
    <cfRule type="expression" dxfId="10908" priority="4622">
      <formula>$A20="Overhead Cable"</formula>
    </cfRule>
    <cfRule type="expression" dxfId="10907" priority="4623">
      <formula>$A20="Level Crossing"</formula>
    </cfRule>
    <cfRule type="expression" dxfId="10906" priority="4624">
      <formula>$A20="Neutral Section"</formula>
    </cfRule>
    <cfRule type="expression" dxfId="10905" priority="4625">
      <formula>$A20="Tunnel"</formula>
    </cfRule>
    <cfRule type="expression" dxfId="10904" priority="4626">
      <formula>$A20="Bridge"</formula>
    </cfRule>
    <cfRule type="expression" dxfId="10903" priority="4627">
      <formula>$A20="Drainage Works"</formula>
    </cfRule>
    <cfRule type="expression" dxfId="10902" priority="4628">
      <formula>$A20="Underpass"</formula>
    </cfRule>
    <cfRule type="expression" dxfId="10901" priority="4629">
      <formula>$A20="Overcrossing"</formula>
    </cfRule>
    <cfRule type="expression" dxfId="10900" priority="4630">
      <formula>$A20="Overpass"</formula>
    </cfRule>
    <cfRule type="expression" dxfId="10899" priority="4631">
      <formula>$A20="Station"</formula>
    </cfRule>
    <cfRule type="expression" dxfId="10898" priority="4632">
      <formula>$A20="Overlap between sections"</formula>
    </cfRule>
  </conditionalFormatting>
  <conditionalFormatting sqref="AL20:AL30 AL41:AL44">
    <cfRule type="expression" dxfId="10897" priority="4611">
      <formula>$A20="Overhead Cable"</formula>
    </cfRule>
    <cfRule type="expression" dxfId="10896" priority="4612">
      <formula>$A20="Level Crossing"</formula>
    </cfRule>
    <cfRule type="expression" dxfId="10895" priority="4613">
      <formula>$A20="Neutral Section"</formula>
    </cfRule>
    <cfRule type="expression" dxfId="10894" priority="4614">
      <formula>$A20="Tunnel"</formula>
    </cfRule>
    <cfRule type="expression" dxfId="10893" priority="4615">
      <formula>$A20="Bridge"</formula>
    </cfRule>
    <cfRule type="expression" dxfId="10892" priority="4616">
      <formula>$A20="Drainage Works"</formula>
    </cfRule>
    <cfRule type="expression" dxfId="10891" priority="4617">
      <formula>$A20="Underpass"</formula>
    </cfRule>
    <cfRule type="expression" dxfId="10890" priority="4618">
      <formula>$A20="Overcrossing"</formula>
    </cfRule>
    <cfRule type="expression" dxfId="10889" priority="4619">
      <formula>$A20="Overpass"</formula>
    </cfRule>
    <cfRule type="expression" dxfId="10888" priority="4620">
      <formula>$A20="Station"</formula>
    </cfRule>
    <cfRule type="expression" dxfId="10887" priority="4621">
      <formula>$A20="Overlap between sections"</formula>
    </cfRule>
  </conditionalFormatting>
  <conditionalFormatting sqref="AT20:AT30 AT41:AT44">
    <cfRule type="expression" dxfId="10886" priority="4600">
      <formula>$A20="Overhead Cable"</formula>
    </cfRule>
    <cfRule type="expression" dxfId="10885" priority="4601">
      <formula>$A20="Level Crossing"</formula>
    </cfRule>
    <cfRule type="expression" dxfId="10884" priority="4602">
      <formula>$A20="Neutral Section"</formula>
    </cfRule>
    <cfRule type="expression" dxfId="10883" priority="4603">
      <formula>$A20="Tunnel"</formula>
    </cfRule>
    <cfRule type="expression" dxfId="10882" priority="4604">
      <formula>$A20="Bridge"</formula>
    </cfRule>
    <cfRule type="expression" dxfId="10881" priority="4605">
      <formula>$A20="Drainage Works"</formula>
    </cfRule>
    <cfRule type="expression" dxfId="10880" priority="4606">
      <formula>$A20="Underpass"</formula>
    </cfRule>
    <cfRule type="expression" dxfId="10879" priority="4607">
      <formula>$A20="Overcrossing"</formula>
    </cfRule>
    <cfRule type="expression" dxfId="10878" priority="4608">
      <formula>$A20="Overpass"</formula>
    </cfRule>
    <cfRule type="expression" dxfId="10877" priority="4609">
      <formula>$A20="Station"</formula>
    </cfRule>
    <cfRule type="expression" dxfId="10876" priority="4610">
      <formula>$A20="Overlap between sections"</formula>
    </cfRule>
  </conditionalFormatting>
  <conditionalFormatting sqref="AU20:AU30 AU41:AU44">
    <cfRule type="expression" dxfId="10875" priority="4589">
      <formula>$A20="Overhead Cable"</formula>
    </cfRule>
    <cfRule type="expression" dxfId="10874" priority="4590">
      <formula>$A20="Level Crossing"</formula>
    </cfRule>
    <cfRule type="expression" dxfId="10873" priority="4591">
      <formula>$A20="Neutral Section"</formula>
    </cfRule>
    <cfRule type="expression" dxfId="10872" priority="4592">
      <formula>$A20="Tunnel"</formula>
    </cfRule>
    <cfRule type="expression" dxfId="10871" priority="4593">
      <formula>$A20="Bridge"</formula>
    </cfRule>
    <cfRule type="expression" dxfId="10870" priority="4594">
      <formula>$A20="Drainage Works"</formula>
    </cfRule>
    <cfRule type="expression" dxfId="10869" priority="4595">
      <formula>$A20="Underpass"</formula>
    </cfRule>
    <cfRule type="expression" dxfId="10868" priority="4596">
      <formula>$A20="Overcrossing"</formula>
    </cfRule>
    <cfRule type="expression" dxfId="10867" priority="4597">
      <formula>$A20="Overpass"</formula>
    </cfRule>
    <cfRule type="expression" dxfId="10866" priority="4598">
      <formula>$A20="Station"</formula>
    </cfRule>
    <cfRule type="expression" dxfId="10865" priority="4599">
      <formula>$A20="Overlap between sections"</formula>
    </cfRule>
  </conditionalFormatting>
  <conditionalFormatting sqref="AV20:AV30 AV41:AV44">
    <cfRule type="expression" dxfId="10864" priority="4578">
      <formula>$A20="Overhead Cable"</formula>
    </cfRule>
    <cfRule type="expression" dxfId="10863" priority="4579">
      <formula>$A20="Level Crossing"</formula>
    </cfRule>
    <cfRule type="expression" dxfId="10862" priority="4580">
      <formula>$A20="Neutral Section"</formula>
    </cfRule>
    <cfRule type="expression" dxfId="10861" priority="4581">
      <formula>$A20="Tunnel"</formula>
    </cfRule>
    <cfRule type="expression" dxfId="10860" priority="4582">
      <formula>$A20="Bridge"</formula>
    </cfRule>
    <cfRule type="expression" dxfId="10859" priority="4583">
      <formula>$A20="Drainage Works"</formula>
    </cfRule>
    <cfRule type="expression" dxfId="10858" priority="4584">
      <formula>$A20="Underpass"</formula>
    </cfRule>
    <cfRule type="expression" dxfId="10857" priority="4585">
      <formula>$A20="Overcrossing"</formula>
    </cfRule>
    <cfRule type="expression" dxfId="10856" priority="4586">
      <formula>$A20="Overpass"</formula>
    </cfRule>
    <cfRule type="expression" dxfId="10855" priority="4587">
      <formula>$A20="Station"</formula>
    </cfRule>
    <cfRule type="expression" dxfId="10854" priority="4588">
      <formula>$A20="Overlap between sections"</formula>
    </cfRule>
  </conditionalFormatting>
  <conditionalFormatting sqref="AW41 AW43">
    <cfRule type="expression" dxfId="10853" priority="4575">
      <formula>$M41="NON DEFINED"</formula>
    </cfRule>
    <cfRule type="expression" dxfId="10852" priority="4576">
      <formula>$AZ41="N.D."</formula>
    </cfRule>
    <cfRule type="expression" dxfId="10851" priority="4577">
      <formula>$AY41="N.D."</formula>
    </cfRule>
  </conditionalFormatting>
  <conditionalFormatting sqref="AW20:AW30 AW41 AW43">
    <cfRule type="expression" dxfId="10850" priority="4564">
      <formula>$A20="Overhead Cable"</formula>
    </cfRule>
    <cfRule type="expression" dxfId="10849" priority="4565">
      <formula>$A20="Level Crossing"</formula>
    </cfRule>
    <cfRule type="expression" dxfId="10848" priority="4566">
      <formula>$A20="Neutral Section"</formula>
    </cfRule>
    <cfRule type="expression" dxfId="10847" priority="4567">
      <formula>$A20="Tunnel"</formula>
    </cfRule>
    <cfRule type="expression" dxfId="10846" priority="4568">
      <formula>$A20="Bridge"</formula>
    </cfRule>
    <cfRule type="expression" dxfId="10845" priority="4569">
      <formula>$A20="Drainage Works"</formula>
    </cfRule>
    <cfRule type="expression" dxfId="10844" priority="4570">
      <formula>$A20="Underpass"</formula>
    </cfRule>
    <cfRule type="expression" dxfId="10843" priority="4571">
      <formula>$A20="Overcrossing"</formula>
    </cfRule>
    <cfRule type="expression" dxfId="10842" priority="4572">
      <formula>$A20="Overpass"</formula>
    </cfRule>
    <cfRule type="expression" dxfId="10841" priority="4573">
      <formula>$A20="Station"</formula>
    </cfRule>
    <cfRule type="expression" dxfId="10840" priority="4574">
      <formula>$A20="Overlap between sections"</formula>
    </cfRule>
  </conditionalFormatting>
  <conditionalFormatting sqref="AX41 AX43">
    <cfRule type="expression" dxfId="10839" priority="4561">
      <formula>$M41="NON DEFINED"</formula>
    </cfRule>
    <cfRule type="expression" dxfId="10838" priority="4562">
      <formula>$AZ41="N.D."</formula>
    </cfRule>
    <cfRule type="expression" dxfId="10837" priority="4563">
      <formula>$AY41="N.D."</formula>
    </cfRule>
  </conditionalFormatting>
  <conditionalFormatting sqref="AX20:AX30 AX41 AX43">
    <cfRule type="expression" dxfId="10836" priority="4550">
      <formula>$A20="Overhead Cable"</formula>
    </cfRule>
    <cfRule type="expression" dxfId="10835" priority="4551">
      <formula>$A20="Level Crossing"</formula>
    </cfRule>
    <cfRule type="expression" dxfId="10834" priority="4552">
      <formula>$A20="Neutral Section"</formula>
    </cfRule>
    <cfRule type="expression" dxfId="10833" priority="4553">
      <formula>$A20="Tunnel"</formula>
    </cfRule>
    <cfRule type="expression" dxfId="10832" priority="4554">
      <formula>$A20="Bridge"</formula>
    </cfRule>
    <cfRule type="expression" dxfId="10831" priority="4555">
      <formula>$A20="Drainage Works"</formula>
    </cfRule>
    <cfRule type="expression" dxfId="10830" priority="4556">
      <formula>$A20="Underpass"</formula>
    </cfRule>
    <cfRule type="expression" dxfId="10829" priority="4557">
      <formula>$A20="Overcrossing"</formula>
    </cfRule>
    <cfRule type="expression" dxfId="10828" priority="4558">
      <formula>$A20="Overpass"</formula>
    </cfRule>
    <cfRule type="expression" dxfId="10827" priority="4559">
      <formula>$A20="Station"</formula>
    </cfRule>
    <cfRule type="expression" dxfId="10826" priority="4560">
      <formula>$A20="Overlap between sections"</formula>
    </cfRule>
  </conditionalFormatting>
  <conditionalFormatting sqref="F20:F30 F41:F44">
    <cfRule type="expression" dxfId="10825" priority="4539">
      <formula>$A20="Overhead Cable"</formula>
    </cfRule>
    <cfRule type="expression" dxfId="10824" priority="4540">
      <formula>$A20="Level Crossing"</formula>
    </cfRule>
    <cfRule type="expression" dxfId="10823" priority="4541">
      <formula>$A20="Neutral Section"</formula>
    </cfRule>
    <cfRule type="expression" dxfId="10822" priority="4542">
      <formula>$A20="Tunnel"</formula>
    </cfRule>
    <cfRule type="expression" dxfId="10821" priority="4543">
      <formula>$A20="Bridge"</formula>
    </cfRule>
    <cfRule type="expression" dxfId="10820" priority="4544">
      <formula>$A20="Drainage Works"</formula>
    </cfRule>
    <cfRule type="expression" dxfId="10819" priority="4545">
      <formula>$A20="Underpass"</formula>
    </cfRule>
    <cfRule type="expression" dxfId="10818" priority="4546">
      <formula>$A20="Overcrossing"</formula>
    </cfRule>
    <cfRule type="expression" dxfId="10817" priority="4547">
      <formula>$A20="Overpass"</formula>
    </cfRule>
    <cfRule type="expression" dxfId="10816" priority="4548">
      <formula>$A20="Station"</formula>
    </cfRule>
    <cfRule type="expression" dxfId="10815" priority="4549">
      <formula>$A20="Overlap between sections"</formula>
    </cfRule>
  </conditionalFormatting>
  <conditionalFormatting sqref="Q20:Q30 Q41:Q44">
    <cfRule type="expression" dxfId="10814" priority="4528">
      <formula>$A20="Overhead Cable"</formula>
    </cfRule>
    <cfRule type="expression" dxfId="10813" priority="4529">
      <formula>$A20="Level Crossing"</formula>
    </cfRule>
    <cfRule type="expression" dxfId="10812" priority="4530">
      <formula>$A20="Neutral Section"</formula>
    </cfRule>
    <cfRule type="expression" dxfId="10811" priority="4531">
      <formula>$A20="Tunnel"</formula>
    </cfRule>
    <cfRule type="expression" dxfId="10810" priority="4532">
      <formula>$A20="Bridge"</formula>
    </cfRule>
    <cfRule type="expression" dxfId="10809" priority="4533">
      <formula>$A20="Drainage Works"</formula>
    </cfRule>
    <cfRule type="expression" dxfId="10808" priority="4534">
      <formula>$A20="Underpass"</formula>
    </cfRule>
    <cfRule type="expression" dxfId="10807" priority="4535">
      <formula>$A20="Overcrossing"</formula>
    </cfRule>
    <cfRule type="expression" dxfId="10806" priority="4536">
      <formula>$A20="Overpass"</formula>
    </cfRule>
    <cfRule type="expression" dxfId="10805" priority="4537">
      <formula>$A20="Station"</formula>
    </cfRule>
    <cfRule type="expression" dxfId="10804" priority="4538">
      <formula>$A20="Overlap between sections"</formula>
    </cfRule>
  </conditionalFormatting>
  <conditionalFormatting sqref="T20:T30 T41:T44">
    <cfRule type="expression" dxfId="10803" priority="4517">
      <formula>$A20="Overhead Cable"</formula>
    </cfRule>
    <cfRule type="expression" dxfId="10802" priority="4518">
      <formula>$A20="Level Crossing"</formula>
    </cfRule>
    <cfRule type="expression" dxfId="10801" priority="4519">
      <formula>$A20="Neutral Section"</formula>
    </cfRule>
    <cfRule type="expression" dxfId="10800" priority="4520">
      <formula>$A20="Tunnel"</formula>
    </cfRule>
    <cfRule type="expression" dxfId="10799" priority="4521">
      <formula>$A20="Bridge"</formula>
    </cfRule>
    <cfRule type="expression" dxfId="10798" priority="4522">
      <formula>$A20="Drainage Works"</formula>
    </cfRule>
    <cfRule type="expression" dxfId="10797" priority="4523">
      <formula>$A20="Underpass"</formula>
    </cfRule>
    <cfRule type="expression" dxfId="10796" priority="4524">
      <formula>$A20="Overcrossing"</formula>
    </cfRule>
    <cfRule type="expression" dxfId="10795" priority="4525">
      <formula>$A20="Overpass"</formula>
    </cfRule>
    <cfRule type="expression" dxfId="10794" priority="4526">
      <formula>$A20="Station"</formula>
    </cfRule>
    <cfRule type="expression" dxfId="10793" priority="4527">
      <formula>$A20="Overlap between sections"</formula>
    </cfRule>
  </conditionalFormatting>
  <conditionalFormatting sqref="U20:U30 U41:U44">
    <cfRule type="expression" dxfId="10792" priority="4506">
      <formula>$A20="Overhead Cable"</formula>
    </cfRule>
    <cfRule type="expression" dxfId="10791" priority="4507">
      <formula>$A20="Level Crossing"</formula>
    </cfRule>
    <cfRule type="expression" dxfId="10790" priority="4508">
      <formula>$A20="Neutral Section"</formula>
    </cfRule>
    <cfRule type="expression" dxfId="10789" priority="4509">
      <formula>$A20="Tunnel"</formula>
    </cfRule>
    <cfRule type="expression" dxfId="10788" priority="4510">
      <formula>$A20="Bridge"</formula>
    </cfRule>
    <cfRule type="expression" dxfId="10787" priority="4511">
      <formula>$A20="Drainage Works"</formula>
    </cfRule>
    <cfRule type="expression" dxfId="10786" priority="4512">
      <formula>$A20="Underpass"</formula>
    </cfRule>
    <cfRule type="expression" dxfId="10785" priority="4513">
      <formula>$A20="Overcrossing"</formula>
    </cfRule>
    <cfRule type="expression" dxfId="10784" priority="4514">
      <formula>$A20="Overpass"</formula>
    </cfRule>
    <cfRule type="expression" dxfId="10783" priority="4515">
      <formula>$A20="Station"</formula>
    </cfRule>
    <cfRule type="expression" dxfId="10782" priority="4516">
      <formula>$A20="Overlap between sections"</formula>
    </cfRule>
  </conditionalFormatting>
  <conditionalFormatting sqref="V20:V30 V41:V44">
    <cfRule type="expression" dxfId="10781" priority="4495">
      <formula>$A20="Overhead Cable"</formula>
    </cfRule>
    <cfRule type="expression" dxfId="10780" priority="4496">
      <formula>$A20="Level Crossing"</formula>
    </cfRule>
    <cfRule type="expression" dxfId="10779" priority="4497">
      <formula>$A20="Neutral Section"</formula>
    </cfRule>
    <cfRule type="expression" dxfId="10778" priority="4498">
      <formula>$A20="Tunnel"</formula>
    </cfRule>
    <cfRule type="expression" dxfId="10777" priority="4499">
      <formula>$A20="Bridge"</formula>
    </cfRule>
    <cfRule type="expression" dxfId="10776" priority="4500">
      <formula>$A20="Drainage Works"</formula>
    </cfRule>
    <cfRule type="expression" dxfId="10775" priority="4501">
      <formula>$A20="Underpass"</formula>
    </cfRule>
    <cfRule type="expression" dxfId="10774" priority="4502">
      <formula>$A20="Overcrossing"</formula>
    </cfRule>
    <cfRule type="expression" dxfId="10773" priority="4503">
      <formula>$A20="Overpass"</formula>
    </cfRule>
    <cfRule type="expression" dxfId="10772" priority="4504">
      <formula>$A20="Station"</formula>
    </cfRule>
    <cfRule type="expression" dxfId="10771" priority="4505">
      <formula>$A20="Overlap between sections"</formula>
    </cfRule>
  </conditionalFormatting>
  <conditionalFormatting sqref="AF20:AF30 AF41:AF44">
    <cfRule type="expression" dxfId="10770" priority="4484">
      <formula>$A20="Overhead Cable"</formula>
    </cfRule>
    <cfRule type="expression" dxfId="10769" priority="4485">
      <formula>$A20="Level Crossing"</formula>
    </cfRule>
    <cfRule type="expression" dxfId="10768" priority="4486">
      <formula>$A20="Neutral Section"</formula>
    </cfRule>
    <cfRule type="expression" dxfId="10767" priority="4487">
      <formula>$A20="Tunnel"</formula>
    </cfRule>
    <cfRule type="expression" dxfId="10766" priority="4488">
      <formula>$A20="Bridge"</formula>
    </cfRule>
    <cfRule type="expression" dxfId="10765" priority="4489">
      <formula>$A20="Drainage Works"</formula>
    </cfRule>
    <cfRule type="expression" dxfId="10764" priority="4490">
      <formula>$A20="Underpass"</formula>
    </cfRule>
    <cfRule type="expression" dxfId="10763" priority="4491">
      <formula>$A20="Overcrossing"</formula>
    </cfRule>
    <cfRule type="expression" dxfId="10762" priority="4492">
      <formula>$A20="Overpass"</formula>
    </cfRule>
    <cfRule type="expression" dxfId="10761" priority="4493">
      <formula>$A20="Station"</formula>
    </cfRule>
    <cfRule type="expression" dxfId="10760" priority="4494">
      <formula>$A20="Overlap between sections"</formula>
    </cfRule>
  </conditionalFormatting>
  <conditionalFormatting sqref="AH20:AH30 AH41:AH44">
    <cfRule type="expression" dxfId="10759" priority="4473">
      <formula>$A20="Overhead Cable"</formula>
    </cfRule>
    <cfRule type="expression" dxfId="10758" priority="4474">
      <formula>$A20="Level Crossing"</formula>
    </cfRule>
    <cfRule type="expression" dxfId="10757" priority="4475">
      <formula>$A20="Neutral Section"</formula>
    </cfRule>
    <cfRule type="expression" dxfId="10756" priority="4476">
      <formula>$A20="Tunnel"</formula>
    </cfRule>
    <cfRule type="expression" dxfId="10755" priority="4477">
      <formula>$A20="Bridge"</formula>
    </cfRule>
    <cfRule type="expression" dxfId="10754" priority="4478">
      <formula>$A20="Drainage Works"</formula>
    </cfRule>
    <cfRule type="expression" dxfId="10753" priority="4479">
      <formula>$A20="Underpass"</formula>
    </cfRule>
    <cfRule type="expression" dxfId="10752" priority="4480">
      <formula>$A20="Overcrossing"</formula>
    </cfRule>
    <cfRule type="expression" dxfId="10751" priority="4481">
      <formula>$A20="Overpass"</formula>
    </cfRule>
    <cfRule type="expression" dxfId="10750" priority="4482">
      <formula>$A20="Station"</formula>
    </cfRule>
    <cfRule type="expression" dxfId="10749" priority="4483">
      <formula>$A20="Overlap between sections"</formula>
    </cfRule>
  </conditionalFormatting>
  <conditionalFormatting sqref="AI20:AI30 AI41:AI44">
    <cfRule type="expression" dxfId="10748" priority="4462">
      <formula>$A20="Overhead Cable"</formula>
    </cfRule>
    <cfRule type="expression" dxfId="10747" priority="4463">
      <formula>$A20="Level Crossing"</formula>
    </cfRule>
    <cfRule type="expression" dxfId="10746" priority="4464">
      <formula>$A20="Neutral Section"</formula>
    </cfRule>
    <cfRule type="expression" dxfId="10745" priority="4465">
      <formula>$A20="Tunnel"</formula>
    </cfRule>
    <cfRule type="expression" dxfId="10744" priority="4466">
      <formula>$A20="Bridge"</formula>
    </cfRule>
    <cfRule type="expression" dxfId="10743" priority="4467">
      <formula>$A20="Drainage Works"</formula>
    </cfRule>
    <cfRule type="expression" dxfId="10742" priority="4468">
      <formula>$A20="Underpass"</formula>
    </cfRule>
    <cfRule type="expression" dxfId="10741" priority="4469">
      <formula>$A20="Overcrossing"</formula>
    </cfRule>
    <cfRule type="expression" dxfId="10740" priority="4470">
      <formula>$A20="Overpass"</formula>
    </cfRule>
    <cfRule type="expression" dxfId="10739" priority="4471">
      <formula>$A20="Station"</formula>
    </cfRule>
    <cfRule type="expression" dxfId="10738" priority="4472">
      <formula>$A20="Overlap between sections"</formula>
    </cfRule>
  </conditionalFormatting>
  <conditionalFormatting sqref="R20:R30 R41:R44">
    <cfRule type="expression" dxfId="10737" priority="4451">
      <formula>$A20="Overhead Cable"</formula>
    </cfRule>
    <cfRule type="expression" dxfId="10736" priority="4452">
      <formula>$A20="Level Crossing"</formula>
    </cfRule>
    <cfRule type="expression" dxfId="10735" priority="4453">
      <formula>$A20="Neutral Section"</formula>
    </cfRule>
    <cfRule type="expression" dxfId="10734" priority="4454">
      <formula>$A20="Tunnel"</formula>
    </cfRule>
    <cfRule type="expression" dxfId="10733" priority="4455">
      <formula>$A20="Bridge"</formula>
    </cfRule>
    <cfRule type="expression" dxfId="10732" priority="4456">
      <formula>$A20="Drainage Works"</formula>
    </cfRule>
    <cfRule type="expression" dxfId="10731" priority="4457">
      <formula>$A20="Underpass"</formula>
    </cfRule>
    <cfRule type="expression" dxfId="10730" priority="4458">
      <formula>$A20="Overcrossing"</formula>
    </cfRule>
    <cfRule type="expression" dxfId="10729" priority="4459">
      <formula>$A20="Overpass"</formula>
    </cfRule>
    <cfRule type="expression" dxfId="10728" priority="4460">
      <formula>$A20="Station"</formula>
    </cfRule>
    <cfRule type="expression" dxfId="10727" priority="4461">
      <formula>$A20="Overlap between sections"</formula>
    </cfRule>
  </conditionalFormatting>
  <conditionalFormatting sqref="S20:S30 S41:S44">
    <cfRule type="expression" dxfId="10726" priority="4440">
      <formula>$A20="Overhead Cable"</formula>
    </cfRule>
    <cfRule type="expression" dxfId="10725" priority="4441">
      <formula>$A20="Level Crossing"</formula>
    </cfRule>
    <cfRule type="expression" dxfId="10724" priority="4442">
      <formula>$A20="Neutral Section"</formula>
    </cfRule>
    <cfRule type="expression" dxfId="10723" priority="4443">
      <formula>$A20="Tunnel"</formula>
    </cfRule>
    <cfRule type="expression" dxfId="10722" priority="4444">
      <formula>$A20="Bridge"</formula>
    </cfRule>
    <cfRule type="expression" dxfId="10721" priority="4445">
      <formula>$A20="Drainage Works"</formula>
    </cfRule>
    <cfRule type="expression" dxfId="10720" priority="4446">
      <formula>$A20="Underpass"</formula>
    </cfRule>
    <cfRule type="expression" dxfId="10719" priority="4447">
      <formula>$A20="Overcrossing"</formula>
    </cfRule>
    <cfRule type="expression" dxfId="10718" priority="4448">
      <formula>$A20="Overpass"</formula>
    </cfRule>
    <cfRule type="expression" dxfId="10717" priority="4449">
      <formula>$A20="Station"</formula>
    </cfRule>
    <cfRule type="expression" dxfId="10716" priority="4450">
      <formula>$A20="Overlap between sections"</formula>
    </cfRule>
  </conditionalFormatting>
  <conditionalFormatting sqref="W20 W41:W43 W30 W24:W28 W22">
    <cfRule type="expression" dxfId="10715" priority="4429">
      <formula>$A20="Overhead Cable"</formula>
    </cfRule>
    <cfRule type="expression" dxfId="10714" priority="4430">
      <formula>$A20="Level Crossing"</formula>
    </cfRule>
    <cfRule type="expression" dxfId="10713" priority="4431">
      <formula>$A20="Neutral Section"</formula>
    </cfRule>
    <cfRule type="expression" dxfId="10712" priority="4432">
      <formula>$A20="Tunnel"</formula>
    </cfRule>
    <cfRule type="expression" dxfId="10711" priority="4433">
      <formula>$A20="Bridge"</formula>
    </cfRule>
    <cfRule type="expression" dxfId="10710" priority="4434">
      <formula>$A20="Drainage Works"</formula>
    </cfRule>
    <cfRule type="expression" dxfId="10709" priority="4435">
      <formula>$A20="Underpass"</formula>
    </cfRule>
    <cfRule type="expression" dxfId="10708" priority="4436">
      <formula>$A20="Overcrossing"</formula>
    </cfRule>
    <cfRule type="expression" dxfId="10707" priority="4437">
      <formula>$A20="Overpass"</formula>
    </cfRule>
    <cfRule type="expression" dxfId="10706" priority="4438">
      <formula>$A20="Station"</formula>
    </cfRule>
    <cfRule type="expression" dxfId="10705" priority="4439">
      <formula>$A20="Overlap between sections"</formula>
    </cfRule>
  </conditionalFormatting>
  <conditionalFormatting sqref="X20:X30 X41:X44">
    <cfRule type="expression" dxfId="10704" priority="4418">
      <formula>$A20="Overhead Cable"</formula>
    </cfRule>
    <cfRule type="expression" dxfId="10703" priority="4419">
      <formula>$A20="Level Crossing"</formula>
    </cfRule>
    <cfRule type="expression" dxfId="10702" priority="4420">
      <formula>$A20="Neutral Section"</formula>
    </cfRule>
    <cfRule type="expression" dxfId="10701" priority="4421">
      <formula>$A20="Tunnel"</formula>
    </cfRule>
    <cfRule type="expression" dxfId="10700" priority="4422">
      <formula>$A20="Bridge"</formula>
    </cfRule>
    <cfRule type="expression" dxfId="10699" priority="4423">
      <formula>$A20="Drainage Works"</formula>
    </cfRule>
    <cfRule type="expression" dxfId="10698" priority="4424">
      <formula>$A20="Underpass"</formula>
    </cfRule>
    <cfRule type="expression" dxfId="10697" priority="4425">
      <formula>$A20="Overcrossing"</formula>
    </cfRule>
    <cfRule type="expression" dxfId="10696" priority="4426">
      <formula>$A20="Overpass"</formula>
    </cfRule>
    <cfRule type="expression" dxfId="10695" priority="4427">
      <formula>$A20="Station"</formula>
    </cfRule>
    <cfRule type="expression" dxfId="10694" priority="4428">
      <formula>$A20="Overlap between sections"</formula>
    </cfRule>
  </conditionalFormatting>
  <conditionalFormatting sqref="Y20:Y30 Y41:Y44">
    <cfRule type="expression" dxfId="10693" priority="4407">
      <formula>$A20="Overhead Cable"</formula>
    </cfRule>
    <cfRule type="expression" dxfId="10692" priority="4408">
      <formula>$A20="Level Crossing"</formula>
    </cfRule>
    <cfRule type="expression" dxfId="10691" priority="4409">
      <formula>$A20="Neutral Section"</formula>
    </cfRule>
    <cfRule type="expression" dxfId="10690" priority="4410">
      <formula>$A20="Tunnel"</formula>
    </cfRule>
    <cfRule type="expression" dxfId="10689" priority="4411">
      <formula>$A20="Bridge"</formula>
    </cfRule>
    <cfRule type="expression" dxfId="10688" priority="4412">
      <formula>$A20="Drainage Works"</formula>
    </cfRule>
    <cfRule type="expression" dxfId="10687" priority="4413">
      <formula>$A20="Underpass"</formula>
    </cfRule>
    <cfRule type="expression" dxfId="10686" priority="4414">
      <formula>$A20="Overcrossing"</formula>
    </cfRule>
    <cfRule type="expression" dxfId="10685" priority="4415">
      <formula>$A20="Overpass"</formula>
    </cfRule>
    <cfRule type="expression" dxfId="10684" priority="4416">
      <formula>$A20="Station"</formula>
    </cfRule>
    <cfRule type="expression" dxfId="10683" priority="4417">
      <formula>$A20="Overlap between sections"</formula>
    </cfRule>
  </conditionalFormatting>
  <conditionalFormatting sqref="Z20:Z30 Z41:Z44">
    <cfRule type="expression" dxfId="10682" priority="4396">
      <formula>$A20="Overhead Cable"</formula>
    </cfRule>
    <cfRule type="expression" dxfId="10681" priority="4397">
      <formula>$A20="Level Crossing"</formula>
    </cfRule>
    <cfRule type="expression" dxfId="10680" priority="4398">
      <formula>$A20="Neutral Section"</formula>
    </cfRule>
    <cfRule type="expression" dxfId="10679" priority="4399">
      <formula>$A20="Tunnel"</formula>
    </cfRule>
    <cfRule type="expression" dxfId="10678" priority="4400">
      <formula>$A20="Bridge"</formula>
    </cfRule>
    <cfRule type="expression" dxfId="10677" priority="4401">
      <formula>$A20="Drainage Works"</formula>
    </cfRule>
    <cfRule type="expression" dxfId="10676" priority="4402">
      <formula>$A20="Underpass"</formula>
    </cfRule>
    <cfRule type="expression" dxfId="10675" priority="4403">
      <formula>$A20="Overcrossing"</formula>
    </cfRule>
    <cfRule type="expression" dxfId="10674" priority="4404">
      <formula>$A20="Overpass"</formula>
    </cfRule>
    <cfRule type="expression" dxfId="10673" priority="4405">
      <formula>$A20="Station"</formula>
    </cfRule>
    <cfRule type="expression" dxfId="10672" priority="4406">
      <formula>$A20="Overlap between sections"</formula>
    </cfRule>
  </conditionalFormatting>
  <conditionalFormatting sqref="AA20:AA30 AA41:AA44">
    <cfRule type="expression" dxfId="10671" priority="4385">
      <formula>$A20="Overhead Cable"</formula>
    </cfRule>
    <cfRule type="expression" dxfId="10670" priority="4386">
      <formula>$A20="Level Crossing"</formula>
    </cfRule>
    <cfRule type="expression" dxfId="10669" priority="4387">
      <formula>$A20="Neutral Section"</formula>
    </cfRule>
    <cfRule type="expression" dxfId="10668" priority="4388">
      <formula>$A20="Tunnel"</formula>
    </cfRule>
    <cfRule type="expression" dxfId="10667" priority="4389">
      <formula>$A20="Bridge"</formula>
    </cfRule>
    <cfRule type="expression" dxfId="10666" priority="4390">
      <formula>$A20="Drainage Works"</formula>
    </cfRule>
    <cfRule type="expression" dxfId="10665" priority="4391">
      <formula>$A20="Underpass"</formula>
    </cfRule>
    <cfRule type="expression" dxfId="10664" priority="4392">
      <formula>$A20="Overcrossing"</formula>
    </cfRule>
    <cfRule type="expression" dxfId="10663" priority="4393">
      <formula>$A20="Overpass"</formula>
    </cfRule>
    <cfRule type="expression" dxfId="10662" priority="4394">
      <formula>$A20="Station"</formula>
    </cfRule>
    <cfRule type="expression" dxfId="10661" priority="4395">
      <formula>$A20="Overlap between sections"</formula>
    </cfRule>
  </conditionalFormatting>
  <conditionalFormatting sqref="AB20:AB30 AB41:AB44">
    <cfRule type="expression" dxfId="10660" priority="4374">
      <formula>$A20="Overhead Cable"</formula>
    </cfRule>
    <cfRule type="expression" dxfId="10659" priority="4375">
      <formula>$A20="Level Crossing"</formula>
    </cfRule>
    <cfRule type="expression" dxfId="10658" priority="4376">
      <formula>$A20="Neutral Section"</formula>
    </cfRule>
    <cfRule type="expression" dxfId="10657" priority="4377">
      <formula>$A20="Tunnel"</formula>
    </cfRule>
    <cfRule type="expression" dxfId="10656" priority="4378">
      <formula>$A20="Bridge"</formula>
    </cfRule>
    <cfRule type="expression" dxfId="10655" priority="4379">
      <formula>$A20="Drainage Works"</formula>
    </cfRule>
    <cfRule type="expression" dxfId="10654" priority="4380">
      <formula>$A20="Underpass"</formula>
    </cfRule>
    <cfRule type="expression" dxfId="10653" priority="4381">
      <formula>$A20="Overcrossing"</formula>
    </cfRule>
    <cfRule type="expression" dxfId="10652" priority="4382">
      <formula>$A20="Overpass"</formula>
    </cfRule>
    <cfRule type="expression" dxfId="10651" priority="4383">
      <formula>$A20="Station"</formula>
    </cfRule>
    <cfRule type="expression" dxfId="10650" priority="4384">
      <formula>$A20="Overlap between sections"</formula>
    </cfRule>
  </conditionalFormatting>
  <conditionalFormatting sqref="BD45:BD63">
    <cfRule type="containsText" dxfId="10649" priority="2460" operator="containsText" text="Poner a mano">
      <formula>NOT(ISERROR(SEARCH("Poner a mano",BD45)))</formula>
    </cfRule>
  </conditionalFormatting>
  <conditionalFormatting sqref="BE5:BE63">
    <cfRule type="containsText" dxfId="10648" priority="4371" operator="containsText" text="a">
      <formula>NOT(ISERROR(SEARCH("a",BE5)))</formula>
    </cfRule>
    <cfRule type="containsText" dxfId="10647" priority="4372" operator="containsText" text="R">
      <formula>NOT(ISERROR(SEARCH("R",BE5)))</formula>
    </cfRule>
  </conditionalFormatting>
  <conditionalFormatting sqref="BD21 BD41 BD43 BD37:BD39 BD35 BD33 BD31 BD29 BD27 BD25 BD23">
    <cfRule type="containsText" dxfId="10646" priority="4370" operator="containsText" text="Poner a mano">
      <formula>NOT(ISERROR(SEARCH("Poner a mano",BD21)))</formula>
    </cfRule>
  </conditionalFormatting>
  <conditionalFormatting sqref="AW42">
    <cfRule type="expression" dxfId="10645" priority="4367">
      <formula>$M42="NON DEFINED"</formula>
    </cfRule>
    <cfRule type="expression" dxfId="10644" priority="4368">
      <formula>$AZ42="N.D."</formula>
    </cfRule>
    <cfRule type="expression" dxfId="10643" priority="4369">
      <formula>$AY42="N.D."</formula>
    </cfRule>
  </conditionalFormatting>
  <conditionalFormatting sqref="AW42">
    <cfRule type="expression" dxfId="10642" priority="4356">
      <formula>$A42="Overhead Cable"</formula>
    </cfRule>
    <cfRule type="expression" dxfId="10641" priority="4357">
      <formula>$A42="Level Crossing"</formula>
    </cfRule>
    <cfRule type="expression" dxfId="10640" priority="4358">
      <formula>$A42="Neutral Section"</formula>
    </cfRule>
    <cfRule type="expression" dxfId="10639" priority="4359">
      <formula>$A42="Tunnel"</formula>
    </cfRule>
    <cfRule type="expression" dxfId="10638" priority="4360">
      <formula>$A42="Bridge"</formula>
    </cfRule>
    <cfRule type="expression" dxfId="10637" priority="4361">
      <formula>$A42="Drainage Works"</formula>
    </cfRule>
    <cfRule type="expression" dxfId="10636" priority="4362">
      <formula>$A42="Underpass"</formula>
    </cfRule>
    <cfRule type="expression" dxfId="10635" priority="4363">
      <formula>$A42="Overcrossing"</formula>
    </cfRule>
    <cfRule type="expression" dxfId="10634" priority="4364">
      <formula>$A42="Overpass"</formula>
    </cfRule>
    <cfRule type="expression" dxfId="10633" priority="4365">
      <formula>$A42="Station"</formula>
    </cfRule>
    <cfRule type="expression" dxfId="10632" priority="4366">
      <formula>$A42="Overlap between sections"</formula>
    </cfRule>
  </conditionalFormatting>
  <conditionalFormatting sqref="AX42">
    <cfRule type="expression" dxfId="10631" priority="4353">
      <formula>$M42="NON DEFINED"</formula>
    </cfRule>
    <cfRule type="expression" dxfId="10630" priority="4354">
      <formula>$AZ42="N.D."</formula>
    </cfRule>
    <cfRule type="expression" dxfId="10629" priority="4355">
      <formula>$AY42="N.D."</formula>
    </cfRule>
  </conditionalFormatting>
  <conditionalFormatting sqref="AX42">
    <cfRule type="expression" dxfId="10628" priority="4342">
      <formula>$A42="Overhead Cable"</formula>
    </cfRule>
    <cfRule type="expression" dxfId="10627" priority="4343">
      <formula>$A42="Level Crossing"</formula>
    </cfRule>
    <cfRule type="expression" dxfId="10626" priority="4344">
      <formula>$A42="Neutral Section"</formula>
    </cfRule>
    <cfRule type="expression" dxfId="10625" priority="4345">
      <formula>$A42="Tunnel"</formula>
    </cfRule>
    <cfRule type="expression" dxfId="10624" priority="4346">
      <formula>$A42="Bridge"</formula>
    </cfRule>
    <cfRule type="expression" dxfId="10623" priority="4347">
      <formula>$A42="Drainage Works"</formula>
    </cfRule>
    <cfRule type="expression" dxfId="10622" priority="4348">
      <formula>$A42="Underpass"</formula>
    </cfRule>
    <cfRule type="expression" dxfId="10621" priority="4349">
      <formula>$A42="Overcrossing"</formula>
    </cfRule>
    <cfRule type="expression" dxfId="10620" priority="4350">
      <formula>$A42="Overpass"</formula>
    </cfRule>
    <cfRule type="expression" dxfId="10619" priority="4351">
      <formula>$A42="Station"</formula>
    </cfRule>
    <cfRule type="expression" dxfId="10618" priority="4352">
      <formula>$A42="Overlap between sections"</formula>
    </cfRule>
  </conditionalFormatting>
  <conditionalFormatting sqref="AW44">
    <cfRule type="expression" dxfId="10617" priority="4339">
      <formula>$M44="NON DEFINED"</formula>
    </cfRule>
    <cfRule type="expression" dxfId="10616" priority="4340">
      <formula>$AZ44="N.D."</formula>
    </cfRule>
    <cfRule type="expression" dxfId="10615" priority="4341">
      <formula>$AY44="N.D."</formula>
    </cfRule>
  </conditionalFormatting>
  <conditionalFormatting sqref="AW44">
    <cfRule type="expression" dxfId="10614" priority="4328">
      <formula>$A44="Overhead Cable"</formula>
    </cfRule>
    <cfRule type="expression" dxfId="10613" priority="4329">
      <formula>$A44="Level Crossing"</formula>
    </cfRule>
    <cfRule type="expression" dxfId="10612" priority="4330">
      <formula>$A44="Neutral Section"</formula>
    </cfRule>
    <cfRule type="expression" dxfId="10611" priority="4331">
      <formula>$A44="Tunnel"</formula>
    </cfRule>
    <cfRule type="expression" dxfId="10610" priority="4332">
      <formula>$A44="Bridge"</formula>
    </cfRule>
    <cfRule type="expression" dxfId="10609" priority="4333">
      <formula>$A44="Drainage Works"</formula>
    </cfRule>
    <cfRule type="expression" dxfId="10608" priority="4334">
      <formula>$A44="Underpass"</formula>
    </cfRule>
    <cfRule type="expression" dxfId="10607" priority="4335">
      <formula>$A44="Overcrossing"</formula>
    </cfRule>
    <cfRule type="expression" dxfId="10606" priority="4336">
      <formula>$A44="Overpass"</formula>
    </cfRule>
    <cfRule type="expression" dxfId="10605" priority="4337">
      <formula>$A44="Station"</formula>
    </cfRule>
    <cfRule type="expression" dxfId="10604" priority="4338">
      <formula>$A44="Overlap between sections"</formula>
    </cfRule>
  </conditionalFormatting>
  <conditionalFormatting sqref="AX44">
    <cfRule type="expression" dxfId="10603" priority="4325">
      <formula>$M44="NON DEFINED"</formula>
    </cfRule>
    <cfRule type="expression" dxfId="10602" priority="4326">
      <formula>$AZ44="N.D."</formula>
    </cfRule>
    <cfRule type="expression" dxfId="10601" priority="4327">
      <formula>$AY44="N.D."</formula>
    </cfRule>
  </conditionalFormatting>
  <conditionalFormatting sqref="AX44">
    <cfRule type="expression" dxfId="10600" priority="4314">
      <formula>$A44="Overhead Cable"</formula>
    </cfRule>
    <cfRule type="expression" dxfId="10599" priority="4315">
      <formula>$A44="Level Crossing"</formula>
    </cfRule>
    <cfRule type="expression" dxfId="10598" priority="4316">
      <formula>$A44="Neutral Section"</formula>
    </cfRule>
    <cfRule type="expression" dxfId="10597" priority="4317">
      <formula>$A44="Tunnel"</formula>
    </cfRule>
    <cfRule type="expression" dxfId="10596" priority="4318">
      <formula>$A44="Bridge"</formula>
    </cfRule>
    <cfRule type="expression" dxfId="10595" priority="4319">
      <formula>$A44="Drainage Works"</formula>
    </cfRule>
    <cfRule type="expression" dxfId="10594" priority="4320">
      <formula>$A44="Underpass"</formula>
    </cfRule>
    <cfRule type="expression" dxfId="10593" priority="4321">
      <formula>$A44="Overcrossing"</formula>
    </cfRule>
    <cfRule type="expression" dxfId="10592" priority="4322">
      <formula>$A44="Overpass"</formula>
    </cfRule>
    <cfRule type="expression" dxfId="10591" priority="4323">
      <formula>$A44="Station"</formula>
    </cfRule>
    <cfRule type="expression" dxfId="10590" priority="4324">
      <formula>$A44="Overlap between sections"</formula>
    </cfRule>
  </conditionalFormatting>
  <conditionalFormatting sqref="BA20:BC44">
    <cfRule type="expression" dxfId="10589" priority="4312">
      <formula>$BE20="A"</formula>
    </cfRule>
    <cfRule type="expression" dxfId="10588" priority="4313">
      <formula>$BE20="R"</formula>
    </cfRule>
  </conditionalFormatting>
  <conditionalFormatting sqref="BC20:BC63">
    <cfRule type="expression" dxfId="10587" priority="4311">
      <formula>$M20="U.S. N.D."</formula>
    </cfRule>
  </conditionalFormatting>
  <conditionalFormatting sqref="BB20:BB63">
    <cfRule type="expression" dxfId="10586" priority="4309">
      <formula>$AZ20="N.D."</formula>
    </cfRule>
  </conditionalFormatting>
  <conditionalFormatting sqref="BA20:BA63">
    <cfRule type="expression" dxfId="10585" priority="4310">
      <formula>$AY20="N.D."</formula>
    </cfRule>
  </conditionalFormatting>
  <conditionalFormatting sqref="AM42">
    <cfRule type="expression" dxfId="10584" priority="4295">
      <formula>$M40="NON DEFINED"</formula>
    </cfRule>
    <cfRule type="expression" dxfId="10583" priority="4296">
      <formula>$AZ40="N.D."</formula>
    </cfRule>
    <cfRule type="expression" dxfId="10582" priority="4297">
      <formula>$AY40="N.D."</formula>
    </cfRule>
  </conditionalFormatting>
  <conditionalFormatting sqref="AM42">
    <cfRule type="expression" dxfId="10581" priority="4298">
      <formula>$A40="Overhead Cable"</formula>
    </cfRule>
    <cfRule type="expression" dxfId="10580" priority="4299">
      <formula>$A40="Level Crossing"</formula>
    </cfRule>
    <cfRule type="expression" dxfId="10579" priority="4300">
      <formula>$A40="Neutral Section"</formula>
    </cfRule>
    <cfRule type="expression" dxfId="10578" priority="4301">
      <formula>$A40="Tunnel"</formula>
    </cfRule>
    <cfRule type="expression" dxfId="10577" priority="4302">
      <formula>$A40="Bridge"</formula>
    </cfRule>
    <cfRule type="expression" dxfId="10576" priority="4303">
      <formula>$A40="Drainage Works"</formula>
    </cfRule>
    <cfRule type="expression" dxfId="10575" priority="4304">
      <formula>$A40="Underpass"</formula>
    </cfRule>
    <cfRule type="expression" dxfId="10574" priority="4305">
      <formula>$A40="Overcrossing"</formula>
    </cfRule>
    <cfRule type="expression" dxfId="10573" priority="4306">
      <formula>$A40="Overpass"</formula>
    </cfRule>
    <cfRule type="expression" dxfId="10572" priority="4307">
      <formula>$A40="Station"</formula>
    </cfRule>
    <cfRule type="expression" dxfId="10571" priority="4308">
      <formula>$A40="Overlap between sections"</formula>
    </cfRule>
  </conditionalFormatting>
  <conditionalFormatting sqref="BA4:BC5">
    <cfRule type="expression" dxfId="10570" priority="4280">
      <formula>$BE4="R"</formula>
    </cfRule>
  </conditionalFormatting>
  <conditionalFormatting sqref="B4:E4 J4 AG4 AN4:AS4 AY4:BC4 G4:H4 B13 B17 BA5:BC5">
    <cfRule type="expression" dxfId="10569" priority="4278">
      <formula>$M4="NON DEFINED"</formula>
    </cfRule>
    <cfRule type="expression" dxfId="10568" priority="4279">
      <formula>$AY4="N.D."</formula>
    </cfRule>
  </conditionalFormatting>
  <conditionalFormatting sqref="A4:E4 J4 AG4 AN4:AS4 AY4:BD4 G4:H4 B13 B17 BA5:BD5">
    <cfRule type="cellIs" dxfId="10567" priority="4277" operator="equal">
      <formula>0</formula>
    </cfRule>
  </conditionalFormatting>
  <conditionalFormatting sqref="I4">
    <cfRule type="expression" dxfId="10566" priority="4275">
      <formula>$M4="NON DEFINED"</formula>
    </cfRule>
    <cfRule type="expression" dxfId="10565" priority="4276">
      <formula>$AY4="N.D."</formula>
    </cfRule>
  </conditionalFormatting>
  <conditionalFormatting sqref="I4">
    <cfRule type="cellIs" dxfId="10564" priority="4274" operator="equal">
      <formula>0</formula>
    </cfRule>
  </conditionalFormatting>
  <conditionalFormatting sqref="K4">
    <cfRule type="expression" dxfId="10563" priority="4272">
      <formula>$M4="NON DEFINED"</formula>
    </cfRule>
    <cfRule type="expression" dxfId="10562" priority="4273">
      <formula>$AY4="N.D."</formula>
    </cfRule>
  </conditionalFormatting>
  <conditionalFormatting sqref="K4">
    <cfRule type="cellIs" dxfId="10561" priority="4271" operator="equal">
      <formula>0</formula>
    </cfRule>
  </conditionalFormatting>
  <conditionalFormatting sqref="L4">
    <cfRule type="expression" dxfId="10560" priority="4269">
      <formula>$M4="NON DEFINED"</formula>
    </cfRule>
    <cfRule type="expression" dxfId="10559" priority="4270">
      <formula>$AY4="N.D."</formula>
    </cfRule>
  </conditionalFormatting>
  <conditionalFormatting sqref="L4">
    <cfRule type="cellIs" dxfId="10558" priority="4268" operator="equal">
      <formula>0</formula>
    </cfRule>
  </conditionalFormatting>
  <conditionalFormatting sqref="M4">
    <cfRule type="expression" dxfId="10557" priority="4266">
      <formula>$M4="NON DEFINED"</formula>
    </cfRule>
    <cfRule type="expression" dxfId="10556" priority="4267">
      <formula>$AY4="N.D."</formula>
    </cfRule>
  </conditionalFormatting>
  <conditionalFormatting sqref="M4">
    <cfRule type="cellIs" dxfId="10555" priority="4265" operator="equal">
      <formula>0</formula>
    </cfRule>
  </conditionalFormatting>
  <conditionalFormatting sqref="N4">
    <cfRule type="expression" dxfId="10554" priority="4263">
      <formula>$M4="NON DEFINED"</formula>
    </cfRule>
    <cfRule type="expression" dxfId="10553" priority="4264">
      <formula>$AY4="N.D."</formula>
    </cfRule>
  </conditionalFormatting>
  <conditionalFormatting sqref="N4">
    <cfRule type="cellIs" dxfId="10552" priority="4262" operator="equal">
      <formula>0</formula>
    </cfRule>
  </conditionalFormatting>
  <conditionalFormatting sqref="O4">
    <cfRule type="expression" dxfId="10551" priority="4260">
      <formula>$M4="NON DEFINED"</formula>
    </cfRule>
    <cfRule type="expression" dxfId="10550" priority="4261">
      <formula>$AY4="N.D."</formula>
    </cfRule>
  </conditionalFormatting>
  <conditionalFormatting sqref="O4">
    <cfRule type="cellIs" dxfId="10549" priority="4259" operator="equal">
      <formula>0</formula>
    </cfRule>
  </conditionalFormatting>
  <conditionalFormatting sqref="P4">
    <cfRule type="expression" dxfId="10548" priority="4257">
      <formula>$M4="NON DEFINED"</formula>
    </cfRule>
    <cfRule type="expression" dxfId="10547" priority="4258">
      <formula>$AY4="N.D."</formula>
    </cfRule>
  </conditionalFormatting>
  <conditionalFormatting sqref="P4">
    <cfRule type="cellIs" dxfId="10546" priority="4256" operator="equal">
      <formula>0</formula>
    </cfRule>
  </conditionalFormatting>
  <conditionalFormatting sqref="AC4">
    <cfRule type="expression" dxfId="10545" priority="4254">
      <formula>$M4="NON DEFINED"</formula>
    </cfRule>
    <cfRule type="expression" dxfId="10544" priority="4255">
      <formula>$AY4="N.D."</formula>
    </cfRule>
  </conditionalFormatting>
  <conditionalFormatting sqref="AC4">
    <cfRule type="cellIs" dxfId="10543" priority="4253" operator="equal">
      <formula>0</formula>
    </cfRule>
  </conditionalFormatting>
  <conditionalFormatting sqref="AD4">
    <cfRule type="expression" dxfId="10542" priority="4251">
      <formula>$M4="NON DEFINED"</formula>
    </cfRule>
    <cfRule type="expression" dxfId="10541" priority="4252">
      <formula>$AY4="N.D."</formula>
    </cfRule>
  </conditionalFormatting>
  <conditionalFormatting sqref="AD4">
    <cfRule type="cellIs" dxfId="10540" priority="4250" operator="equal">
      <formula>0</formula>
    </cfRule>
  </conditionalFormatting>
  <conditionalFormatting sqref="AE4">
    <cfRule type="expression" dxfId="10539" priority="4248">
      <formula>$M4="NON DEFINED"</formula>
    </cfRule>
    <cfRule type="expression" dxfId="10538" priority="4249">
      <formula>$AY4="N.D."</formula>
    </cfRule>
  </conditionalFormatting>
  <conditionalFormatting sqref="AE4">
    <cfRule type="cellIs" dxfId="10537" priority="4247" operator="equal">
      <formula>0</formula>
    </cfRule>
  </conditionalFormatting>
  <conditionalFormatting sqref="AJ4">
    <cfRule type="expression" dxfId="10536" priority="4245">
      <formula>$M4="NON DEFINED"</formula>
    </cfRule>
    <cfRule type="expression" dxfId="10535" priority="4246">
      <formula>$AY4="N.D."</formula>
    </cfRule>
  </conditionalFormatting>
  <conditionalFormatting sqref="AJ4">
    <cfRule type="cellIs" dxfId="10534" priority="4244" operator="equal">
      <formula>0</formula>
    </cfRule>
  </conditionalFormatting>
  <conditionalFormatting sqref="AK4">
    <cfRule type="expression" dxfId="10533" priority="4242">
      <formula>$M4="NON DEFINED"</formula>
    </cfRule>
    <cfRule type="expression" dxfId="10532" priority="4243">
      <formula>$AY4="N.D."</formula>
    </cfRule>
  </conditionalFormatting>
  <conditionalFormatting sqref="AK4">
    <cfRule type="cellIs" dxfId="10531" priority="4241" operator="equal">
      <formula>0</formula>
    </cfRule>
  </conditionalFormatting>
  <conditionalFormatting sqref="AL4">
    <cfRule type="expression" dxfId="10530" priority="4239">
      <formula>$M4="NON DEFINED"</formula>
    </cfRule>
    <cfRule type="expression" dxfId="10529" priority="4240">
      <formula>$AY4="N.D."</formula>
    </cfRule>
  </conditionalFormatting>
  <conditionalFormatting sqref="AL4">
    <cfRule type="cellIs" dxfId="10528" priority="4238" operator="equal">
      <formula>0</formula>
    </cfRule>
  </conditionalFormatting>
  <conditionalFormatting sqref="AM4">
    <cfRule type="expression" dxfId="10527" priority="4236">
      <formula>$M4="NON DEFINED"</formula>
    </cfRule>
    <cfRule type="expression" dxfId="10526" priority="4237">
      <formula>$AY4="N.D."</formula>
    </cfRule>
  </conditionalFormatting>
  <conditionalFormatting sqref="AM4">
    <cfRule type="cellIs" dxfId="10525" priority="4235" operator="equal">
      <formula>0</formula>
    </cfRule>
  </conditionalFormatting>
  <conditionalFormatting sqref="AT4">
    <cfRule type="expression" dxfId="10524" priority="4233">
      <formula>$M4="NON DEFINED"</formula>
    </cfRule>
    <cfRule type="expression" dxfId="10523" priority="4234">
      <formula>$AY4="N.D."</formula>
    </cfRule>
  </conditionalFormatting>
  <conditionalFormatting sqref="AT4">
    <cfRule type="cellIs" dxfId="10522" priority="4232" operator="equal">
      <formula>0</formula>
    </cfRule>
  </conditionalFormatting>
  <conditionalFormatting sqref="AU4">
    <cfRule type="expression" dxfId="10521" priority="4230">
      <formula>$M4="NON DEFINED"</formula>
    </cfRule>
    <cfRule type="expression" dxfId="10520" priority="4231">
      <formula>$AY4="N.D."</formula>
    </cfRule>
  </conditionalFormatting>
  <conditionalFormatting sqref="AU4">
    <cfRule type="cellIs" dxfId="10519" priority="4229" operator="equal">
      <formula>0</formula>
    </cfRule>
  </conditionalFormatting>
  <conditionalFormatting sqref="AV4">
    <cfRule type="expression" dxfId="10518" priority="4227">
      <formula>$M4="NON DEFINED"</formula>
    </cfRule>
    <cfRule type="expression" dxfId="10517" priority="4228">
      <formula>$AY4="N.D."</formula>
    </cfRule>
  </conditionalFormatting>
  <conditionalFormatting sqref="AV4">
    <cfRule type="cellIs" dxfId="10516" priority="4226" operator="equal">
      <formula>0</formula>
    </cfRule>
  </conditionalFormatting>
  <conditionalFormatting sqref="AW4">
    <cfRule type="expression" dxfId="10515" priority="4224">
      <formula>$M4="NON DEFINED"</formula>
    </cfRule>
    <cfRule type="expression" dxfId="10514" priority="4225">
      <formula>$AY4="N.D."</formula>
    </cfRule>
  </conditionalFormatting>
  <conditionalFormatting sqref="AW4">
    <cfRule type="cellIs" dxfId="10513" priority="4223" operator="equal">
      <formula>0</formula>
    </cfRule>
  </conditionalFormatting>
  <conditionalFormatting sqref="AX4">
    <cfRule type="expression" dxfId="10512" priority="4221">
      <formula>$M4="NON DEFINED"</formula>
    </cfRule>
    <cfRule type="expression" dxfId="10511" priority="4222">
      <formula>$AY4="N.D."</formula>
    </cfRule>
  </conditionalFormatting>
  <conditionalFormatting sqref="AX4">
    <cfRule type="cellIs" dxfId="10510" priority="4220" operator="equal">
      <formula>0</formula>
    </cfRule>
  </conditionalFormatting>
  <conditionalFormatting sqref="F4">
    <cfRule type="expression" dxfId="10509" priority="4218">
      <formula>$M4="NON DEFINED"</formula>
    </cfRule>
    <cfRule type="expression" dxfId="10508" priority="4219">
      <formula>$AY4="N.D."</formula>
    </cfRule>
  </conditionalFormatting>
  <conditionalFormatting sqref="F4">
    <cfRule type="cellIs" dxfId="10507" priority="4217" operator="equal">
      <formula>0</formula>
    </cfRule>
  </conditionalFormatting>
  <conditionalFormatting sqref="Q4">
    <cfRule type="expression" dxfId="10506" priority="4215">
      <formula>$M4="NON DEFINED"</formula>
    </cfRule>
    <cfRule type="expression" dxfId="10505" priority="4216">
      <formula>$AY4="N.D."</formula>
    </cfRule>
  </conditionalFormatting>
  <conditionalFormatting sqref="Q4">
    <cfRule type="cellIs" dxfId="10504" priority="4214" operator="equal">
      <formula>0</formula>
    </cfRule>
  </conditionalFormatting>
  <conditionalFormatting sqref="T4">
    <cfRule type="expression" dxfId="10503" priority="4212">
      <formula>$M4="NON DEFINED"</formula>
    </cfRule>
    <cfRule type="expression" dxfId="10502" priority="4213">
      <formula>$AY4="N.D."</formula>
    </cfRule>
  </conditionalFormatting>
  <conditionalFormatting sqref="T4">
    <cfRule type="cellIs" dxfId="10501" priority="4211" operator="equal">
      <formula>0</formula>
    </cfRule>
  </conditionalFormatting>
  <conditionalFormatting sqref="U4">
    <cfRule type="expression" dxfId="10500" priority="4209">
      <formula>$M4="NON DEFINED"</formula>
    </cfRule>
    <cfRule type="expression" dxfId="10499" priority="4210">
      <formula>$AY4="N.D."</formula>
    </cfRule>
  </conditionalFormatting>
  <conditionalFormatting sqref="U4">
    <cfRule type="cellIs" dxfId="10498" priority="4208" operator="equal">
      <formula>0</formula>
    </cfRule>
  </conditionalFormatting>
  <conditionalFormatting sqref="V4">
    <cfRule type="expression" dxfId="10497" priority="4206">
      <formula>$M4="NON DEFINED"</formula>
    </cfRule>
    <cfRule type="expression" dxfId="10496" priority="4207">
      <formula>$AY4="N.D."</formula>
    </cfRule>
  </conditionalFormatting>
  <conditionalFormatting sqref="V4">
    <cfRule type="cellIs" dxfId="10495" priority="4205" operator="equal">
      <formula>0</formula>
    </cfRule>
  </conditionalFormatting>
  <conditionalFormatting sqref="AF4">
    <cfRule type="expression" dxfId="10494" priority="4203">
      <formula>$M4="NON DEFINED"</formula>
    </cfRule>
    <cfRule type="expression" dxfId="10493" priority="4204">
      <formula>$AY4="N.D."</formula>
    </cfRule>
  </conditionalFormatting>
  <conditionalFormatting sqref="AF4">
    <cfRule type="cellIs" dxfId="10492" priority="4202" operator="equal">
      <formula>0</formula>
    </cfRule>
  </conditionalFormatting>
  <conditionalFormatting sqref="AH4">
    <cfRule type="expression" dxfId="10491" priority="4200">
      <formula>$M4="NON DEFINED"</formula>
    </cfRule>
    <cfRule type="expression" dxfId="10490" priority="4201">
      <formula>$AY4="N.D."</formula>
    </cfRule>
  </conditionalFormatting>
  <conditionalFormatting sqref="AH4">
    <cfRule type="cellIs" dxfId="10489" priority="4199" operator="equal">
      <formula>0</formula>
    </cfRule>
  </conditionalFormatting>
  <conditionalFormatting sqref="AI4">
    <cfRule type="expression" dxfId="10488" priority="4197">
      <formula>$M4="NON DEFINED"</formula>
    </cfRule>
    <cfRule type="expression" dxfId="10487" priority="4198">
      <formula>$AY4="N.D."</formula>
    </cfRule>
  </conditionalFormatting>
  <conditionalFormatting sqref="AI4">
    <cfRule type="cellIs" dxfId="10486" priority="4196" operator="equal">
      <formula>0</formula>
    </cfRule>
  </conditionalFormatting>
  <conditionalFormatting sqref="R4">
    <cfRule type="expression" dxfId="10485" priority="4194">
      <formula>$M4="NON DEFINED"</formula>
    </cfRule>
    <cfRule type="expression" dxfId="10484" priority="4195">
      <formula>$AY4="N.D."</formula>
    </cfRule>
  </conditionalFormatting>
  <conditionalFormatting sqref="R4">
    <cfRule type="cellIs" dxfId="10483" priority="4193" operator="equal">
      <formula>0</formula>
    </cfRule>
  </conditionalFormatting>
  <conditionalFormatting sqref="S4">
    <cfRule type="expression" dxfId="10482" priority="4191">
      <formula>$M4="NON DEFINED"</formula>
    </cfRule>
    <cfRule type="expression" dxfId="10481" priority="4192">
      <formula>$AY4="N.D."</formula>
    </cfRule>
  </conditionalFormatting>
  <conditionalFormatting sqref="S4">
    <cfRule type="cellIs" dxfId="10480" priority="4190" operator="equal">
      <formula>0</formula>
    </cfRule>
  </conditionalFormatting>
  <conditionalFormatting sqref="W4">
    <cfRule type="expression" dxfId="10479" priority="4188">
      <formula>$M4="NON DEFINED"</formula>
    </cfRule>
    <cfRule type="expression" dxfId="10478" priority="4189">
      <formula>$AY4="N.D."</formula>
    </cfRule>
  </conditionalFormatting>
  <conditionalFormatting sqref="W4">
    <cfRule type="cellIs" dxfId="10477" priority="4187" operator="equal">
      <formula>0</formula>
    </cfRule>
  </conditionalFormatting>
  <conditionalFormatting sqref="X4">
    <cfRule type="expression" dxfId="10476" priority="4185">
      <formula>$M4="NON DEFINED"</formula>
    </cfRule>
    <cfRule type="expression" dxfId="10475" priority="4186">
      <formula>$AY4="N.D."</formula>
    </cfRule>
  </conditionalFormatting>
  <conditionalFormatting sqref="X4">
    <cfRule type="cellIs" dxfId="10474" priority="4184" operator="equal">
      <formula>0</formula>
    </cfRule>
  </conditionalFormatting>
  <conditionalFormatting sqref="Y4">
    <cfRule type="expression" dxfId="10473" priority="4182">
      <formula>$M4="NON DEFINED"</formula>
    </cfRule>
    <cfRule type="expression" dxfId="10472" priority="4183">
      <formula>$AY4="N.D."</formula>
    </cfRule>
  </conditionalFormatting>
  <conditionalFormatting sqref="Y4">
    <cfRule type="cellIs" dxfId="10471" priority="4181" operator="equal">
      <formula>0</formula>
    </cfRule>
  </conditionalFormatting>
  <conditionalFormatting sqref="Z4">
    <cfRule type="expression" dxfId="10470" priority="4179">
      <formula>$M4="NON DEFINED"</formula>
    </cfRule>
    <cfRule type="expression" dxfId="10469" priority="4180">
      <formula>$AY4="N.D."</formula>
    </cfRule>
  </conditionalFormatting>
  <conditionalFormatting sqref="Z4">
    <cfRule type="cellIs" dxfId="10468" priority="4178" operator="equal">
      <formula>0</formula>
    </cfRule>
  </conditionalFormatting>
  <conditionalFormatting sqref="AA4">
    <cfRule type="expression" dxfId="10467" priority="4176">
      <formula>$M4="NON DEFINED"</formula>
    </cfRule>
    <cfRule type="expression" dxfId="10466" priority="4177">
      <formula>$AY4="N.D."</formula>
    </cfRule>
  </conditionalFormatting>
  <conditionalFormatting sqref="AA4">
    <cfRule type="cellIs" dxfId="10465" priority="4175" operator="equal">
      <formula>0</formula>
    </cfRule>
  </conditionalFormatting>
  <conditionalFormatting sqref="AB4">
    <cfRule type="expression" dxfId="10464" priority="4173">
      <formula>$M4="NON DEFINED"</formula>
    </cfRule>
    <cfRule type="expression" dxfId="10463" priority="4174">
      <formula>$AY4="N.D."</formula>
    </cfRule>
  </conditionalFormatting>
  <conditionalFormatting sqref="AB4">
    <cfRule type="cellIs" dxfId="10462" priority="4172" operator="equal">
      <formula>0</formula>
    </cfRule>
  </conditionalFormatting>
  <conditionalFormatting sqref="AG16:AG19 AZ16:AZ19 J16:J19 AN16:AS19 G16:H19 C16:E19">
    <cfRule type="expression" dxfId="10461" priority="4169">
      <formula>$M16="NON DEFINED"</formula>
    </cfRule>
    <cfRule type="expression" dxfId="10460" priority="4170">
      <formula>$AZ16="N.D."</formula>
    </cfRule>
    <cfRule type="expression" dxfId="10459" priority="4171">
      <formula>$AY16="N.D."</formula>
    </cfRule>
  </conditionalFormatting>
  <conditionalFormatting sqref="AY16:AY19">
    <cfRule type="expression" dxfId="10458" priority="4166">
      <formula>$M16="NON DEFINED"</formula>
    </cfRule>
    <cfRule type="expression" dxfId="10457" priority="4167">
      <formula>$AZ16="N.D."</formula>
    </cfRule>
    <cfRule type="expression" dxfId="10456" priority="4168">
      <formula>$AY16="N.D."</formula>
    </cfRule>
  </conditionalFormatting>
  <conditionalFormatting sqref="J16:J19 AG16:AG19 AN16:AS19 G16:H19 A16:A19 AY16:AZ19 C16:E19">
    <cfRule type="expression" dxfId="10455" priority="4155">
      <formula>$A16="Overhead Cable"</formula>
    </cfRule>
    <cfRule type="expression" dxfId="10454" priority="4156">
      <formula>$A16="Level Crossing"</formula>
    </cfRule>
    <cfRule type="expression" dxfId="10453" priority="4157">
      <formula>$A16="Neutral Section"</formula>
    </cfRule>
    <cfRule type="expression" dxfId="10452" priority="4158">
      <formula>$A16="Tunnel"</formula>
    </cfRule>
    <cfRule type="expression" dxfId="10451" priority="4159">
      <formula>$A16="Bridge"</formula>
    </cfRule>
    <cfRule type="expression" dxfId="10450" priority="4160">
      <formula>$A16="Drainage Works"</formula>
    </cfRule>
    <cfRule type="expression" dxfId="10449" priority="4161">
      <formula>$A16="Underpass"</formula>
    </cfRule>
    <cfRule type="expression" dxfId="10448" priority="4162">
      <formula>$A16="Overcrossing"</formula>
    </cfRule>
    <cfRule type="expression" dxfId="10447" priority="4163">
      <formula>$A16="Overpass"</formula>
    </cfRule>
    <cfRule type="expression" dxfId="10446" priority="4164">
      <formula>$A16="Station"</formula>
    </cfRule>
    <cfRule type="expression" dxfId="10445" priority="4165">
      <formula>$A16="Overlap between sections"</formula>
    </cfRule>
  </conditionalFormatting>
  <conditionalFormatting sqref="AN16:AP19">
    <cfRule type="cellIs" dxfId="10444" priority="4154" operator="notEqual">
      <formula>5.5</formula>
    </cfRule>
  </conditionalFormatting>
  <conditionalFormatting sqref="I16:I19">
    <cfRule type="expression" dxfId="10443" priority="4150">
      <formula>$M16="NON DEFINED"</formula>
    </cfRule>
    <cfRule type="expression" dxfId="10442" priority="4151">
      <formula>$AZ16="N.D."</formula>
    </cfRule>
    <cfRule type="expression" dxfId="10441" priority="4152">
      <formula>$AY16="N.D."</formula>
    </cfRule>
  </conditionalFormatting>
  <conditionalFormatting sqref="I16:I19">
    <cfRule type="expression" dxfId="10440" priority="4139">
      <formula>$A16="Overhead Cable"</formula>
    </cfRule>
    <cfRule type="expression" dxfId="10439" priority="4140">
      <formula>$A16="Level Crossing"</formula>
    </cfRule>
    <cfRule type="expression" dxfId="10438" priority="4141">
      <formula>$A16="Neutral Section"</formula>
    </cfRule>
    <cfRule type="expression" dxfId="10437" priority="4142">
      <formula>$A16="Tunnel"</formula>
    </cfRule>
    <cfRule type="expression" dxfId="10436" priority="4143">
      <formula>$A16="Bridge"</formula>
    </cfRule>
    <cfRule type="expression" dxfId="10435" priority="4144">
      <formula>$A16="Drainage Works"</formula>
    </cfRule>
    <cfRule type="expression" dxfId="10434" priority="4145">
      <formula>$A16="Underpass"</formula>
    </cfRule>
    <cfRule type="expression" dxfId="10433" priority="4146">
      <formula>$A16="Overcrossing"</formula>
    </cfRule>
    <cfRule type="expression" dxfId="10432" priority="4147">
      <formula>$A16="Overpass"</formula>
    </cfRule>
    <cfRule type="expression" dxfId="10431" priority="4148">
      <formula>$A16="Station"</formula>
    </cfRule>
    <cfRule type="expression" dxfId="10430" priority="4149">
      <formula>$A16="Overlap between sections"</formula>
    </cfRule>
  </conditionalFormatting>
  <conditionalFormatting sqref="K16:K19">
    <cfRule type="expression" dxfId="10429" priority="4136">
      <formula>$M16="NON DEFINED"</formula>
    </cfRule>
    <cfRule type="expression" dxfId="10428" priority="4137">
      <formula>$AZ16="N.D."</formula>
    </cfRule>
    <cfRule type="expression" dxfId="10427" priority="4138">
      <formula>$AY16="N.D."</formula>
    </cfRule>
  </conditionalFormatting>
  <conditionalFormatting sqref="K16:K19">
    <cfRule type="expression" dxfId="10426" priority="4125">
      <formula>$A16="Overhead Cable"</formula>
    </cfRule>
    <cfRule type="expression" dxfId="10425" priority="4126">
      <formula>$A16="Level Crossing"</formula>
    </cfRule>
    <cfRule type="expression" dxfId="10424" priority="4127">
      <formula>$A16="Neutral Section"</formula>
    </cfRule>
    <cfRule type="expression" dxfId="10423" priority="4128">
      <formula>$A16="Tunnel"</formula>
    </cfRule>
    <cfRule type="expression" dxfId="10422" priority="4129">
      <formula>$A16="Bridge"</formula>
    </cfRule>
    <cfRule type="expression" dxfId="10421" priority="4130">
      <formula>$A16="Drainage Works"</formula>
    </cfRule>
    <cfRule type="expression" dxfId="10420" priority="4131">
      <formula>$A16="Underpass"</formula>
    </cfRule>
    <cfRule type="expression" dxfId="10419" priority="4132">
      <formula>$A16="Overcrossing"</formula>
    </cfRule>
    <cfRule type="expression" dxfId="10418" priority="4133">
      <formula>$A16="Overpass"</formula>
    </cfRule>
    <cfRule type="expression" dxfId="10417" priority="4134">
      <formula>$A16="Station"</formula>
    </cfRule>
    <cfRule type="expression" dxfId="10416" priority="4135">
      <formula>$A16="Overlap between sections"</formula>
    </cfRule>
  </conditionalFormatting>
  <conditionalFormatting sqref="L16:L19">
    <cfRule type="expression" dxfId="10415" priority="4122">
      <formula>$M16="NON DEFINED"</formula>
    </cfRule>
    <cfRule type="expression" dxfId="10414" priority="4123">
      <formula>$AZ16="N.D."</formula>
    </cfRule>
    <cfRule type="expression" dxfId="10413" priority="4124">
      <formula>$AY16="N.D."</formula>
    </cfRule>
  </conditionalFormatting>
  <conditionalFormatting sqref="L16:L19">
    <cfRule type="expression" dxfId="10412" priority="4111">
      <formula>$A16="Overhead Cable"</formula>
    </cfRule>
    <cfRule type="expression" dxfId="10411" priority="4112">
      <formula>$A16="Level Crossing"</formula>
    </cfRule>
    <cfRule type="expression" dxfId="10410" priority="4113">
      <formula>$A16="Neutral Section"</formula>
    </cfRule>
    <cfRule type="expression" dxfId="10409" priority="4114">
      <formula>$A16="Tunnel"</formula>
    </cfRule>
    <cfRule type="expression" dxfId="10408" priority="4115">
      <formula>$A16="Bridge"</formula>
    </cfRule>
    <cfRule type="expression" dxfId="10407" priority="4116">
      <formula>$A16="Drainage Works"</formula>
    </cfRule>
    <cfRule type="expression" dxfId="10406" priority="4117">
      <formula>$A16="Underpass"</formula>
    </cfRule>
    <cfRule type="expression" dxfId="10405" priority="4118">
      <formula>$A16="Overcrossing"</formula>
    </cfRule>
    <cfRule type="expression" dxfId="10404" priority="4119">
      <formula>$A16="Overpass"</formula>
    </cfRule>
    <cfRule type="expression" dxfId="10403" priority="4120">
      <formula>$A16="Station"</formula>
    </cfRule>
    <cfRule type="expression" dxfId="10402" priority="4121">
      <formula>$A16="Overlap between sections"</formula>
    </cfRule>
  </conditionalFormatting>
  <conditionalFormatting sqref="M16:M19">
    <cfRule type="expression" dxfId="10401" priority="4108">
      <formula>$M16="NON DEFINED"</formula>
    </cfRule>
    <cfRule type="expression" dxfId="10400" priority="4109">
      <formula>$AZ16="N.D."</formula>
    </cfRule>
    <cfRule type="expression" dxfId="10399" priority="4110">
      <formula>$AY16="N.D."</formula>
    </cfRule>
  </conditionalFormatting>
  <conditionalFormatting sqref="M16:M19">
    <cfRule type="expression" dxfId="10398" priority="4097">
      <formula>$A16="Overhead Cable"</formula>
    </cfRule>
    <cfRule type="expression" dxfId="10397" priority="4098">
      <formula>$A16="Level Crossing"</formula>
    </cfRule>
    <cfRule type="expression" dxfId="10396" priority="4099">
      <formula>$A16="Neutral Section"</formula>
    </cfRule>
    <cfRule type="expression" dxfId="10395" priority="4100">
      <formula>$A16="Tunnel"</formula>
    </cfRule>
    <cfRule type="expression" dxfId="10394" priority="4101">
      <formula>$A16="Bridge"</formula>
    </cfRule>
    <cfRule type="expression" dxfId="10393" priority="4102">
      <formula>$A16="Drainage Works"</formula>
    </cfRule>
    <cfRule type="expression" dxfId="10392" priority="4103">
      <formula>$A16="Underpass"</formula>
    </cfRule>
    <cfRule type="expression" dxfId="10391" priority="4104">
      <formula>$A16="Overcrossing"</formula>
    </cfRule>
    <cfRule type="expression" dxfId="10390" priority="4105">
      <formula>$A16="Overpass"</formula>
    </cfRule>
    <cfRule type="expression" dxfId="10389" priority="4106">
      <formula>$A16="Station"</formula>
    </cfRule>
    <cfRule type="expression" dxfId="10388" priority="4107">
      <formula>$A16="Overlap between sections"</formula>
    </cfRule>
  </conditionalFormatting>
  <conditionalFormatting sqref="N16:N19">
    <cfRule type="expression" dxfId="10387" priority="4094">
      <formula>$M16="NON DEFINED"</formula>
    </cfRule>
    <cfRule type="expression" dxfId="10386" priority="4095">
      <formula>$AZ16="N.D."</formula>
    </cfRule>
    <cfRule type="expression" dxfId="10385" priority="4096">
      <formula>$AY16="N.D."</formula>
    </cfRule>
  </conditionalFormatting>
  <conditionalFormatting sqref="N16:N19">
    <cfRule type="expression" dxfId="10384" priority="4083">
      <formula>$A16="Overhead Cable"</formula>
    </cfRule>
    <cfRule type="expression" dxfId="10383" priority="4084">
      <formula>$A16="Level Crossing"</formula>
    </cfRule>
    <cfRule type="expression" dxfId="10382" priority="4085">
      <formula>$A16="Neutral Section"</formula>
    </cfRule>
    <cfRule type="expression" dxfId="10381" priority="4086">
      <formula>$A16="Tunnel"</formula>
    </cfRule>
    <cfRule type="expression" dxfId="10380" priority="4087">
      <formula>$A16="Bridge"</formula>
    </cfRule>
    <cfRule type="expression" dxfId="10379" priority="4088">
      <formula>$A16="Drainage Works"</formula>
    </cfRule>
    <cfRule type="expression" dxfId="10378" priority="4089">
      <formula>$A16="Underpass"</formula>
    </cfRule>
    <cfRule type="expression" dxfId="10377" priority="4090">
      <formula>$A16="Overcrossing"</formula>
    </cfRule>
    <cfRule type="expression" dxfId="10376" priority="4091">
      <formula>$A16="Overpass"</formula>
    </cfRule>
    <cfRule type="expression" dxfId="10375" priority="4092">
      <formula>$A16="Station"</formula>
    </cfRule>
    <cfRule type="expression" dxfId="10374" priority="4093">
      <formula>$A16="Overlap between sections"</formula>
    </cfRule>
  </conditionalFormatting>
  <conditionalFormatting sqref="O16:O19">
    <cfRule type="expression" dxfId="10373" priority="4080">
      <formula>$M16="NON DEFINED"</formula>
    </cfRule>
    <cfRule type="expression" dxfId="10372" priority="4081">
      <formula>$AZ16="N.D."</formula>
    </cfRule>
    <cfRule type="expression" dxfId="10371" priority="4082">
      <formula>$AY16="N.D."</formula>
    </cfRule>
  </conditionalFormatting>
  <conditionalFormatting sqref="O16:O19">
    <cfRule type="expression" dxfId="10370" priority="4069">
      <formula>$A16="Overhead Cable"</formula>
    </cfRule>
    <cfRule type="expression" dxfId="10369" priority="4070">
      <formula>$A16="Level Crossing"</formula>
    </cfRule>
    <cfRule type="expression" dxfId="10368" priority="4071">
      <formula>$A16="Neutral Section"</formula>
    </cfRule>
    <cfRule type="expression" dxfId="10367" priority="4072">
      <formula>$A16="Tunnel"</formula>
    </cfRule>
    <cfRule type="expression" dxfId="10366" priority="4073">
      <formula>$A16="Bridge"</formula>
    </cfRule>
    <cfRule type="expression" dxfId="10365" priority="4074">
      <formula>$A16="Drainage Works"</formula>
    </cfRule>
    <cfRule type="expression" dxfId="10364" priority="4075">
      <formula>$A16="Underpass"</formula>
    </cfRule>
    <cfRule type="expression" dxfId="10363" priority="4076">
      <formula>$A16="Overcrossing"</formula>
    </cfRule>
    <cfRule type="expression" dxfId="10362" priority="4077">
      <formula>$A16="Overpass"</formula>
    </cfRule>
    <cfRule type="expression" dxfId="10361" priority="4078">
      <formula>$A16="Station"</formula>
    </cfRule>
    <cfRule type="expression" dxfId="10360" priority="4079">
      <formula>$A16="Overlap between sections"</formula>
    </cfRule>
  </conditionalFormatting>
  <conditionalFormatting sqref="P16:P19">
    <cfRule type="expression" dxfId="10359" priority="4066">
      <formula>$M16="NON DEFINED"</formula>
    </cfRule>
    <cfRule type="expression" dxfId="10358" priority="4067">
      <formula>$AZ16="N.D."</formula>
    </cfRule>
    <cfRule type="expression" dxfId="10357" priority="4068">
      <formula>$AY16="N.D."</formula>
    </cfRule>
  </conditionalFormatting>
  <conditionalFormatting sqref="P16:P19">
    <cfRule type="expression" dxfId="10356" priority="4055">
      <formula>$A16="Overhead Cable"</formula>
    </cfRule>
    <cfRule type="expression" dxfId="10355" priority="4056">
      <formula>$A16="Level Crossing"</formula>
    </cfRule>
    <cfRule type="expression" dxfId="10354" priority="4057">
      <formula>$A16="Neutral Section"</formula>
    </cfRule>
    <cfRule type="expression" dxfId="10353" priority="4058">
      <formula>$A16="Tunnel"</formula>
    </cfRule>
    <cfRule type="expression" dxfId="10352" priority="4059">
      <formula>$A16="Bridge"</formula>
    </cfRule>
    <cfRule type="expression" dxfId="10351" priority="4060">
      <formula>$A16="Drainage Works"</formula>
    </cfRule>
    <cfRule type="expression" dxfId="10350" priority="4061">
      <formula>$A16="Underpass"</formula>
    </cfRule>
    <cfRule type="expression" dxfId="10349" priority="4062">
      <formula>$A16="Overcrossing"</formula>
    </cfRule>
    <cfRule type="expression" dxfId="10348" priority="4063">
      <formula>$A16="Overpass"</formula>
    </cfRule>
    <cfRule type="expression" dxfId="10347" priority="4064">
      <formula>$A16="Station"</formula>
    </cfRule>
    <cfRule type="expression" dxfId="10346" priority="4065">
      <formula>$A16="Overlap between sections"</formula>
    </cfRule>
  </conditionalFormatting>
  <conditionalFormatting sqref="AC16:AC19">
    <cfRule type="expression" dxfId="10345" priority="4052">
      <formula>$M16="NON DEFINED"</formula>
    </cfRule>
    <cfRule type="expression" dxfId="10344" priority="4053">
      <formula>$AZ16="N.D."</formula>
    </cfRule>
    <cfRule type="expression" dxfId="10343" priority="4054">
      <formula>$AY16="N.D."</formula>
    </cfRule>
  </conditionalFormatting>
  <conditionalFormatting sqref="AC16:AC19">
    <cfRule type="expression" dxfId="10342" priority="4041">
      <formula>$A16="Overhead Cable"</formula>
    </cfRule>
    <cfRule type="expression" dxfId="10341" priority="4042">
      <formula>$A16="Level Crossing"</formula>
    </cfRule>
    <cfRule type="expression" dxfId="10340" priority="4043">
      <formula>$A16="Neutral Section"</formula>
    </cfRule>
    <cfRule type="expression" dxfId="10339" priority="4044">
      <formula>$A16="Tunnel"</formula>
    </cfRule>
    <cfRule type="expression" dxfId="10338" priority="4045">
      <formula>$A16="Bridge"</formula>
    </cfRule>
    <cfRule type="expression" dxfId="10337" priority="4046">
      <formula>$A16="Drainage Works"</formula>
    </cfRule>
    <cfRule type="expression" dxfId="10336" priority="4047">
      <formula>$A16="Underpass"</formula>
    </cfRule>
    <cfRule type="expression" dxfId="10335" priority="4048">
      <formula>$A16="Overcrossing"</formula>
    </cfRule>
    <cfRule type="expression" dxfId="10334" priority="4049">
      <formula>$A16="Overpass"</formula>
    </cfRule>
    <cfRule type="expression" dxfId="10333" priority="4050">
      <formula>$A16="Station"</formula>
    </cfRule>
    <cfRule type="expression" dxfId="10332" priority="4051">
      <formula>$A16="Overlap between sections"</formula>
    </cfRule>
  </conditionalFormatting>
  <conditionalFormatting sqref="AD16:AD19">
    <cfRule type="expression" dxfId="10331" priority="4038">
      <formula>$M16="NON DEFINED"</formula>
    </cfRule>
    <cfRule type="expression" dxfId="10330" priority="4039">
      <formula>$AZ16="N.D."</formula>
    </cfRule>
    <cfRule type="expression" dxfId="10329" priority="4040">
      <formula>$AY16="N.D."</formula>
    </cfRule>
  </conditionalFormatting>
  <conditionalFormatting sqref="AD16:AD19">
    <cfRule type="expression" dxfId="10328" priority="4027">
      <formula>$A16="Overhead Cable"</formula>
    </cfRule>
    <cfRule type="expression" dxfId="10327" priority="4028">
      <formula>$A16="Level Crossing"</formula>
    </cfRule>
    <cfRule type="expression" dxfId="10326" priority="4029">
      <formula>$A16="Neutral Section"</formula>
    </cfRule>
    <cfRule type="expression" dxfId="10325" priority="4030">
      <formula>$A16="Tunnel"</formula>
    </cfRule>
    <cfRule type="expression" dxfId="10324" priority="4031">
      <formula>$A16="Bridge"</formula>
    </cfRule>
    <cfRule type="expression" dxfId="10323" priority="4032">
      <formula>$A16="Drainage Works"</formula>
    </cfRule>
    <cfRule type="expression" dxfId="10322" priority="4033">
      <formula>$A16="Underpass"</formula>
    </cfRule>
    <cfRule type="expression" dxfId="10321" priority="4034">
      <formula>$A16="Overcrossing"</formula>
    </cfRule>
    <cfRule type="expression" dxfId="10320" priority="4035">
      <formula>$A16="Overpass"</formula>
    </cfRule>
    <cfRule type="expression" dxfId="10319" priority="4036">
      <formula>$A16="Station"</formula>
    </cfRule>
    <cfRule type="expression" dxfId="10318" priority="4037">
      <formula>$A16="Overlap between sections"</formula>
    </cfRule>
  </conditionalFormatting>
  <conditionalFormatting sqref="AE16:AE19">
    <cfRule type="expression" dxfId="10317" priority="4024">
      <formula>$M16="NON DEFINED"</formula>
    </cfRule>
    <cfRule type="expression" dxfId="10316" priority="4025">
      <formula>$AZ16="N.D."</formula>
    </cfRule>
    <cfRule type="expression" dxfId="10315" priority="4026">
      <formula>$AY16="N.D."</formula>
    </cfRule>
  </conditionalFormatting>
  <conditionalFormatting sqref="AE16:AE19">
    <cfRule type="expression" dxfId="10314" priority="4013">
      <formula>$A16="Overhead Cable"</formula>
    </cfRule>
    <cfRule type="expression" dxfId="10313" priority="4014">
      <formula>$A16="Level Crossing"</formula>
    </cfRule>
    <cfRule type="expression" dxfId="10312" priority="4015">
      <formula>$A16="Neutral Section"</formula>
    </cfRule>
    <cfRule type="expression" dxfId="10311" priority="4016">
      <formula>$A16="Tunnel"</formula>
    </cfRule>
    <cfRule type="expression" dxfId="10310" priority="4017">
      <formula>$A16="Bridge"</formula>
    </cfRule>
    <cfRule type="expression" dxfId="10309" priority="4018">
      <formula>$A16="Drainage Works"</formula>
    </cfRule>
    <cfRule type="expression" dxfId="10308" priority="4019">
      <formula>$A16="Underpass"</formula>
    </cfRule>
    <cfRule type="expression" dxfId="10307" priority="4020">
      <formula>$A16="Overcrossing"</formula>
    </cfRule>
    <cfRule type="expression" dxfId="10306" priority="4021">
      <formula>$A16="Overpass"</formula>
    </cfRule>
    <cfRule type="expression" dxfId="10305" priority="4022">
      <formula>$A16="Station"</formula>
    </cfRule>
    <cfRule type="expression" dxfId="10304" priority="4023">
      <formula>$A16="Overlap between sections"</formula>
    </cfRule>
  </conditionalFormatting>
  <conditionalFormatting sqref="AJ16:AJ19">
    <cfRule type="expression" dxfId="10303" priority="4010">
      <formula>$M16="NON DEFINED"</formula>
    </cfRule>
    <cfRule type="expression" dxfId="10302" priority="4011">
      <formula>$AZ16="N.D."</formula>
    </cfRule>
    <cfRule type="expression" dxfId="10301" priority="4012">
      <formula>$AY16="N.D."</formula>
    </cfRule>
  </conditionalFormatting>
  <conditionalFormatting sqref="AJ16:AJ19">
    <cfRule type="expression" dxfId="10300" priority="3999">
      <formula>$A16="Overhead Cable"</formula>
    </cfRule>
    <cfRule type="expression" dxfId="10299" priority="4000">
      <formula>$A16="Level Crossing"</formula>
    </cfRule>
    <cfRule type="expression" dxfId="10298" priority="4001">
      <formula>$A16="Neutral Section"</formula>
    </cfRule>
    <cfRule type="expression" dxfId="10297" priority="4002">
      <formula>$A16="Tunnel"</formula>
    </cfRule>
    <cfRule type="expression" dxfId="10296" priority="4003">
      <formula>$A16="Bridge"</formula>
    </cfRule>
    <cfRule type="expression" dxfId="10295" priority="4004">
      <formula>$A16="Drainage Works"</formula>
    </cfRule>
    <cfRule type="expression" dxfId="10294" priority="4005">
      <formula>$A16="Underpass"</formula>
    </cfRule>
    <cfRule type="expression" dxfId="10293" priority="4006">
      <formula>$A16="Overcrossing"</formula>
    </cfRule>
    <cfRule type="expression" dxfId="10292" priority="4007">
      <formula>$A16="Overpass"</formula>
    </cfRule>
    <cfRule type="expression" dxfId="10291" priority="4008">
      <formula>$A16="Station"</formula>
    </cfRule>
    <cfRule type="expression" dxfId="10290" priority="4009">
      <formula>$A16="Overlap between sections"</formula>
    </cfRule>
  </conditionalFormatting>
  <conditionalFormatting sqref="AK16:AK19">
    <cfRule type="expression" dxfId="10289" priority="3996">
      <formula>$M16="NON DEFINED"</formula>
    </cfRule>
    <cfRule type="expression" dxfId="10288" priority="3997">
      <formula>$AZ16="N.D."</formula>
    </cfRule>
    <cfRule type="expression" dxfId="10287" priority="3998">
      <formula>$AY16="N.D."</formula>
    </cfRule>
  </conditionalFormatting>
  <conditionalFormatting sqref="AK16:AK19">
    <cfRule type="expression" dxfId="10286" priority="3985">
      <formula>$A16="Overhead Cable"</formula>
    </cfRule>
    <cfRule type="expression" dxfId="10285" priority="3986">
      <formula>$A16="Level Crossing"</formula>
    </cfRule>
    <cfRule type="expression" dxfId="10284" priority="3987">
      <formula>$A16="Neutral Section"</formula>
    </cfRule>
    <cfRule type="expression" dxfId="10283" priority="3988">
      <formula>$A16="Tunnel"</formula>
    </cfRule>
    <cfRule type="expression" dxfId="10282" priority="3989">
      <formula>$A16="Bridge"</formula>
    </cfRule>
    <cfRule type="expression" dxfId="10281" priority="3990">
      <formula>$A16="Drainage Works"</formula>
    </cfRule>
    <cfRule type="expression" dxfId="10280" priority="3991">
      <formula>$A16="Underpass"</formula>
    </cfRule>
    <cfRule type="expression" dxfId="10279" priority="3992">
      <formula>$A16="Overcrossing"</formula>
    </cfRule>
    <cfRule type="expression" dxfId="10278" priority="3993">
      <formula>$A16="Overpass"</formula>
    </cfRule>
    <cfRule type="expression" dxfId="10277" priority="3994">
      <formula>$A16="Station"</formula>
    </cfRule>
    <cfRule type="expression" dxfId="10276" priority="3995">
      <formula>$A16="Overlap between sections"</formula>
    </cfRule>
  </conditionalFormatting>
  <conditionalFormatting sqref="AL16:AL19">
    <cfRule type="expression" dxfId="10275" priority="3982">
      <formula>$M16="NON DEFINED"</formula>
    </cfRule>
    <cfRule type="expression" dxfId="10274" priority="3983">
      <formula>$AZ16="N.D."</formula>
    </cfRule>
    <cfRule type="expression" dxfId="10273" priority="3984">
      <formula>$AY16="N.D."</formula>
    </cfRule>
  </conditionalFormatting>
  <conditionalFormatting sqref="AL16:AL19">
    <cfRule type="expression" dxfId="10272" priority="3971">
      <formula>$A16="Overhead Cable"</formula>
    </cfRule>
    <cfRule type="expression" dxfId="10271" priority="3972">
      <formula>$A16="Level Crossing"</formula>
    </cfRule>
    <cfRule type="expression" dxfId="10270" priority="3973">
      <formula>$A16="Neutral Section"</formula>
    </cfRule>
    <cfRule type="expression" dxfId="10269" priority="3974">
      <formula>$A16="Tunnel"</formula>
    </cfRule>
    <cfRule type="expression" dxfId="10268" priority="3975">
      <formula>$A16="Bridge"</formula>
    </cfRule>
    <cfRule type="expression" dxfId="10267" priority="3976">
      <formula>$A16="Drainage Works"</formula>
    </cfRule>
    <cfRule type="expression" dxfId="10266" priority="3977">
      <formula>$A16="Underpass"</formula>
    </cfRule>
    <cfRule type="expression" dxfId="10265" priority="3978">
      <formula>$A16="Overcrossing"</formula>
    </cfRule>
    <cfRule type="expression" dxfId="10264" priority="3979">
      <formula>$A16="Overpass"</formula>
    </cfRule>
    <cfRule type="expression" dxfId="10263" priority="3980">
      <formula>$A16="Station"</formula>
    </cfRule>
    <cfRule type="expression" dxfId="10262" priority="3981">
      <formula>$A16="Overlap between sections"</formula>
    </cfRule>
  </conditionalFormatting>
  <conditionalFormatting sqref="AM16:AM19">
    <cfRule type="expression" dxfId="10261" priority="3968">
      <formula>$M16="NON DEFINED"</formula>
    </cfRule>
    <cfRule type="expression" dxfId="10260" priority="3969">
      <formula>$AZ16="N.D."</formula>
    </cfRule>
    <cfRule type="expression" dxfId="10259" priority="3970">
      <formula>$AY16="N.D."</formula>
    </cfRule>
  </conditionalFormatting>
  <conditionalFormatting sqref="AM16:AM19">
    <cfRule type="expression" dxfId="10258" priority="3957">
      <formula>$A16="Overhead Cable"</formula>
    </cfRule>
    <cfRule type="expression" dxfId="10257" priority="3958">
      <formula>$A16="Level Crossing"</formula>
    </cfRule>
    <cfRule type="expression" dxfId="10256" priority="3959">
      <formula>$A16="Neutral Section"</formula>
    </cfRule>
    <cfRule type="expression" dxfId="10255" priority="3960">
      <formula>$A16="Tunnel"</formula>
    </cfRule>
    <cfRule type="expression" dxfId="10254" priority="3961">
      <formula>$A16="Bridge"</formula>
    </cfRule>
    <cfRule type="expression" dxfId="10253" priority="3962">
      <formula>$A16="Drainage Works"</formula>
    </cfRule>
    <cfRule type="expression" dxfId="10252" priority="3963">
      <formula>$A16="Underpass"</formula>
    </cfRule>
    <cfRule type="expression" dxfId="10251" priority="3964">
      <formula>$A16="Overcrossing"</formula>
    </cfRule>
    <cfRule type="expression" dxfId="10250" priority="3965">
      <formula>$A16="Overpass"</formula>
    </cfRule>
    <cfRule type="expression" dxfId="10249" priority="3966">
      <formula>$A16="Station"</formula>
    </cfRule>
    <cfRule type="expression" dxfId="10248" priority="3967">
      <formula>$A16="Overlap between sections"</formula>
    </cfRule>
  </conditionalFormatting>
  <conditionalFormatting sqref="AT16:AT19">
    <cfRule type="expression" dxfId="10247" priority="3954">
      <formula>$M16="NON DEFINED"</formula>
    </cfRule>
    <cfRule type="expression" dxfId="10246" priority="3955">
      <formula>$AZ16="N.D."</formula>
    </cfRule>
    <cfRule type="expression" dxfId="10245" priority="3956">
      <formula>$AY16="N.D."</formula>
    </cfRule>
  </conditionalFormatting>
  <conditionalFormatting sqref="AT16:AT19">
    <cfRule type="expression" dxfId="10244" priority="3943">
      <formula>$A16="Overhead Cable"</formula>
    </cfRule>
    <cfRule type="expression" dxfId="10243" priority="3944">
      <formula>$A16="Level Crossing"</formula>
    </cfRule>
    <cfRule type="expression" dxfId="10242" priority="3945">
      <formula>$A16="Neutral Section"</formula>
    </cfRule>
    <cfRule type="expression" dxfId="10241" priority="3946">
      <formula>$A16="Tunnel"</formula>
    </cfRule>
    <cfRule type="expression" dxfId="10240" priority="3947">
      <formula>$A16="Bridge"</formula>
    </cfRule>
    <cfRule type="expression" dxfId="10239" priority="3948">
      <formula>$A16="Drainage Works"</formula>
    </cfRule>
    <cfRule type="expression" dxfId="10238" priority="3949">
      <formula>$A16="Underpass"</formula>
    </cfRule>
    <cfRule type="expression" dxfId="10237" priority="3950">
      <formula>$A16="Overcrossing"</formula>
    </cfRule>
    <cfRule type="expression" dxfId="10236" priority="3951">
      <formula>$A16="Overpass"</formula>
    </cfRule>
    <cfRule type="expression" dxfId="10235" priority="3952">
      <formula>$A16="Station"</formula>
    </cfRule>
    <cfRule type="expression" dxfId="10234" priority="3953">
      <formula>$A16="Overlap between sections"</formula>
    </cfRule>
  </conditionalFormatting>
  <conditionalFormatting sqref="AU16:AU19">
    <cfRule type="expression" dxfId="10233" priority="3940">
      <formula>$M16="NON DEFINED"</formula>
    </cfRule>
    <cfRule type="expression" dxfId="10232" priority="3941">
      <formula>$AZ16="N.D."</formula>
    </cfRule>
    <cfRule type="expression" dxfId="10231" priority="3942">
      <formula>$AY16="N.D."</formula>
    </cfRule>
  </conditionalFormatting>
  <conditionalFormatting sqref="AU16:AU19">
    <cfRule type="expression" dxfId="10230" priority="3929">
      <formula>$A16="Overhead Cable"</formula>
    </cfRule>
    <cfRule type="expression" dxfId="10229" priority="3930">
      <formula>$A16="Level Crossing"</formula>
    </cfRule>
    <cfRule type="expression" dxfId="10228" priority="3931">
      <formula>$A16="Neutral Section"</formula>
    </cfRule>
    <cfRule type="expression" dxfId="10227" priority="3932">
      <formula>$A16="Tunnel"</formula>
    </cfRule>
    <cfRule type="expression" dxfId="10226" priority="3933">
      <formula>$A16="Bridge"</formula>
    </cfRule>
    <cfRule type="expression" dxfId="10225" priority="3934">
      <formula>$A16="Drainage Works"</formula>
    </cfRule>
    <cfRule type="expression" dxfId="10224" priority="3935">
      <formula>$A16="Underpass"</formula>
    </cfRule>
    <cfRule type="expression" dxfId="10223" priority="3936">
      <formula>$A16="Overcrossing"</formula>
    </cfRule>
    <cfRule type="expression" dxfId="10222" priority="3937">
      <formula>$A16="Overpass"</formula>
    </cfRule>
    <cfRule type="expression" dxfId="10221" priority="3938">
      <formula>$A16="Station"</formula>
    </cfRule>
    <cfRule type="expression" dxfId="10220" priority="3939">
      <formula>$A16="Overlap between sections"</formula>
    </cfRule>
  </conditionalFormatting>
  <conditionalFormatting sqref="AV16:AV19">
    <cfRule type="expression" dxfId="10219" priority="3926">
      <formula>$M16="NON DEFINED"</formula>
    </cfRule>
    <cfRule type="expression" dxfId="10218" priority="3927">
      <formula>$AZ16="N.D."</formula>
    </cfRule>
    <cfRule type="expression" dxfId="10217" priority="3928">
      <formula>$AY16="N.D."</formula>
    </cfRule>
  </conditionalFormatting>
  <conditionalFormatting sqref="AV16:AV19">
    <cfRule type="expression" dxfId="10216" priority="3915">
      <formula>$A16="Overhead Cable"</formula>
    </cfRule>
    <cfRule type="expression" dxfId="10215" priority="3916">
      <formula>$A16="Level Crossing"</formula>
    </cfRule>
    <cfRule type="expression" dxfId="10214" priority="3917">
      <formula>$A16="Neutral Section"</formula>
    </cfRule>
    <cfRule type="expression" dxfId="10213" priority="3918">
      <formula>$A16="Tunnel"</formula>
    </cfRule>
    <cfRule type="expression" dxfId="10212" priority="3919">
      <formula>$A16="Bridge"</formula>
    </cfRule>
    <cfRule type="expression" dxfId="10211" priority="3920">
      <formula>$A16="Drainage Works"</formula>
    </cfRule>
    <cfRule type="expression" dxfId="10210" priority="3921">
      <formula>$A16="Underpass"</formula>
    </cfRule>
    <cfRule type="expression" dxfId="10209" priority="3922">
      <formula>$A16="Overcrossing"</formula>
    </cfRule>
    <cfRule type="expression" dxfId="10208" priority="3923">
      <formula>$A16="Overpass"</formula>
    </cfRule>
    <cfRule type="expression" dxfId="10207" priority="3924">
      <formula>$A16="Station"</formula>
    </cfRule>
    <cfRule type="expression" dxfId="10206" priority="3925">
      <formula>$A16="Overlap between sections"</formula>
    </cfRule>
  </conditionalFormatting>
  <conditionalFormatting sqref="AW16:AW19">
    <cfRule type="expression" dxfId="10205" priority="3912">
      <formula>$M16="NON DEFINED"</formula>
    </cfRule>
    <cfRule type="expression" dxfId="10204" priority="3913">
      <formula>$AZ16="N.D."</formula>
    </cfRule>
    <cfRule type="expression" dxfId="10203" priority="3914">
      <formula>$AY16="N.D."</formula>
    </cfRule>
  </conditionalFormatting>
  <conditionalFormatting sqref="AW16:AW19">
    <cfRule type="expression" dxfId="10202" priority="3901">
      <formula>$A16="Overhead Cable"</formula>
    </cfRule>
    <cfRule type="expression" dxfId="10201" priority="3902">
      <formula>$A16="Level Crossing"</formula>
    </cfRule>
    <cfRule type="expression" dxfId="10200" priority="3903">
      <formula>$A16="Neutral Section"</formula>
    </cfRule>
    <cfRule type="expression" dxfId="10199" priority="3904">
      <formula>$A16="Tunnel"</formula>
    </cfRule>
    <cfRule type="expression" dxfId="10198" priority="3905">
      <formula>$A16="Bridge"</formula>
    </cfRule>
    <cfRule type="expression" dxfId="10197" priority="3906">
      <formula>$A16="Drainage Works"</formula>
    </cfRule>
    <cfRule type="expression" dxfId="10196" priority="3907">
      <formula>$A16="Underpass"</formula>
    </cfRule>
    <cfRule type="expression" dxfId="10195" priority="3908">
      <formula>$A16="Overcrossing"</formula>
    </cfRule>
    <cfRule type="expression" dxfId="10194" priority="3909">
      <formula>$A16="Overpass"</formula>
    </cfRule>
    <cfRule type="expression" dxfId="10193" priority="3910">
      <formula>$A16="Station"</formula>
    </cfRule>
    <cfRule type="expression" dxfId="10192" priority="3911">
      <formula>$A16="Overlap between sections"</formula>
    </cfRule>
  </conditionalFormatting>
  <conditionalFormatting sqref="AX16:AX19">
    <cfRule type="expression" dxfId="10191" priority="3898">
      <formula>$M16="NON DEFINED"</formula>
    </cfRule>
    <cfRule type="expression" dxfId="10190" priority="3899">
      <formula>$AZ16="N.D."</formula>
    </cfRule>
    <cfRule type="expression" dxfId="10189" priority="3900">
      <formula>$AY16="N.D."</formula>
    </cfRule>
  </conditionalFormatting>
  <conditionalFormatting sqref="AX16:AX19">
    <cfRule type="expression" dxfId="10188" priority="3887">
      <formula>$A16="Overhead Cable"</formula>
    </cfRule>
    <cfRule type="expression" dxfId="10187" priority="3888">
      <formula>$A16="Level Crossing"</formula>
    </cfRule>
    <cfRule type="expression" dxfId="10186" priority="3889">
      <formula>$A16="Neutral Section"</formula>
    </cfRule>
    <cfRule type="expression" dxfId="10185" priority="3890">
      <formula>$A16="Tunnel"</formula>
    </cfRule>
    <cfRule type="expression" dxfId="10184" priority="3891">
      <formula>$A16="Bridge"</formula>
    </cfRule>
    <cfRule type="expression" dxfId="10183" priority="3892">
      <formula>$A16="Drainage Works"</formula>
    </cfRule>
    <cfRule type="expression" dxfId="10182" priority="3893">
      <formula>$A16="Underpass"</formula>
    </cfRule>
    <cfRule type="expression" dxfId="10181" priority="3894">
      <formula>$A16="Overcrossing"</formula>
    </cfRule>
    <cfRule type="expression" dxfId="10180" priority="3895">
      <formula>$A16="Overpass"</formula>
    </cfRule>
    <cfRule type="expression" dxfId="10179" priority="3896">
      <formula>$A16="Station"</formula>
    </cfRule>
    <cfRule type="expression" dxfId="10178" priority="3897">
      <formula>$A16="Overlap between sections"</formula>
    </cfRule>
  </conditionalFormatting>
  <conditionalFormatting sqref="F16:F19">
    <cfRule type="expression" dxfId="10177" priority="3884">
      <formula>$M16="NON DEFINED"</formula>
    </cfRule>
    <cfRule type="expression" dxfId="10176" priority="3885">
      <formula>$AZ16="N.D."</formula>
    </cfRule>
    <cfRule type="expression" dxfId="10175" priority="3886">
      <formula>$AY16="N.D."</formula>
    </cfRule>
  </conditionalFormatting>
  <conditionalFormatting sqref="F16:F19">
    <cfRule type="expression" dxfId="10174" priority="3873">
      <formula>$A16="Overhead Cable"</formula>
    </cfRule>
    <cfRule type="expression" dxfId="10173" priority="3874">
      <formula>$A16="Level Crossing"</formula>
    </cfRule>
    <cfRule type="expression" dxfId="10172" priority="3875">
      <formula>$A16="Neutral Section"</formula>
    </cfRule>
    <cfRule type="expression" dxfId="10171" priority="3876">
      <formula>$A16="Tunnel"</formula>
    </cfRule>
    <cfRule type="expression" dxfId="10170" priority="3877">
      <formula>$A16="Bridge"</formula>
    </cfRule>
    <cfRule type="expression" dxfId="10169" priority="3878">
      <formula>$A16="Drainage Works"</formula>
    </cfRule>
    <cfRule type="expression" dxfId="10168" priority="3879">
      <formula>$A16="Underpass"</formula>
    </cfRule>
    <cfRule type="expression" dxfId="10167" priority="3880">
      <formula>$A16="Overcrossing"</formula>
    </cfRule>
    <cfRule type="expression" dxfId="10166" priority="3881">
      <formula>$A16="Overpass"</formula>
    </cfRule>
    <cfRule type="expression" dxfId="10165" priority="3882">
      <formula>$A16="Station"</formula>
    </cfRule>
    <cfRule type="expression" dxfId="10164" priority="3883">
      <formula>$A16="Overlap between sections"</formula>
    </cfRule>
  </conditionalFormatting>
  <conditionalFormatting sqref="Q16:Q19">
    <cfRule type="expression" dxfId="10163" priority="3870">
      <formula>$M16="NON DEFINED"</formula>
    </cfRule>
    <cfRule type="expression" dxfId="10162" priority="3871">
      <formula>$AZ16="N.D."</formula>
    </cfRule>
    <cfRule type="expression" dxfId="10161" priority="3872">
      <formula>$AY16="N.D."</formula>
    </cfRule>
  </conditionalFormatting>
  <conditionalFormatting sqref="Q16:Q19">
    <cfRule type="expression" dxfId="10160" priority="3859">
      <formula>$A16="Overhead Cable"</formula>
    </cfRule>
    <cfRule type="expression" dxfId="10159" priority="3860">
      <formula>$A16="Level Crossing"</formula>
    </cfRule>
    <cfRule type="expression" dxfId="10158" priority="3861">
      <formula>$A16="Neutral Section"</formula>
    </cfRule>
    <cfRule type="expression" dxfId="10157" priority="3862">
      <formula>$A16="Tunnel"</formula>
    </cfRule>
    <cfRule type="expression" dxfId="10156" priority="3863">
      <formula>$A16="Bridge"</formula>
    </cfRule>
    <cfRule type="expression" dxfId="10155" priority="3864">
      <formula>$A16="Drainage Works"</formula>
    </cfRule>
    <cfRule type="expression" dxfId="10154" priority="3865">
      <formula>$A16="Underpass"</formula>
    </cfRule>
    <cfRule type="expression" dxfId="10153" priority="3866">
      <formula>$A16="Overcrossing"</formula>
    </cfRule>
    <cfRule type="expression" dxfId="10152" priority="3867">
      <formula>$A16="Overpass"</formula>
    </cfRule>
    <cfRule type="expression" dxfId="10151" priority="3868">
      <formula>$A16="Station"</formula>
    </cfRule>
    <cfRule type="expression" dxfId="10150" priority="3869">
      <formula>$A16="Overlap between sections"</formula>
    </cfRule>
  </conditionalFormatting>
  <conditionalFormatting sqref="T16:T19">
    <cfRule type="expression" dxfId="10149" priority="3856">
      <formula>$M16="NON DEFINED"</formula>
    </cfRule>
    <cfRule type="expression" dxfId="10148" priority="3857">
      <formula>$AZ16="N.D."</formula>
    </cfRule>
    <cfRule type="expression" dxfId="10147" priority="3858">
      <formula>$AY16="N.D."</formula>
    </cfRule>
  </conditionalFormatting>
  <conditionalFormatting sqref="T16:T19">
    <cfRule type="expression" dxfId="10146" priority="3845">
      <formula>$A16="Overhead Cable"</formula>
    </cfRule>
    <cfRule type="expression" dxfId="10145" priority="3846">
      <formula>$A16="Level Crossing"</formula>
    </cfRule>
    <cfRule type="expression" dxfId="10144" priority="3847">
      <formula>$A16="Neutral Section"</formula>
    </cfRule>
    <cfRule type="expression" dxfId="10143" priority="3848">
      <formula>$A16="Tunnel"</formula>
    </cfRule>
    <cfRule type="expression" dxfId="10142" priority="3849">
      <formula>$A16="Bridge"</formula>
    </cfRule>
    <cfRule type="expression" dxfId="10141" priority="3850">
      <formula>$A16="Drainage Works"</formula>
    </cfRule>
    <cfRule type="expression" dxfId="10140" priority="3851">
      <formula>$A16="Underpass"</formula>
    </cfRule>
    <cfRule type="expression" dxfId="10139" priority="3852">
      <formula>$A16="Overcrossing"</formula>
    </cfRule>
    <cfRule type="expression" dxfId="10138" priority="3853">
      <formula>$A16="Overpass"</formula>
    </cfRule>
    <cfRule type="expression" dxfId="10137" priority="3854">
      <formula>$A16="Station"</formula>
    </cfRule>
    <cfRule type="expression" dxfId="10136" priority="3855">
      <formula>$A16="Overlap between sections"</formula>
    </cfRule>
  </conditionalFormatting>
  <conditionalFormatting sqref="U16:U19">
    <cfRule type="expression" dxfId="10135" priority="3842">
      <formula>$M16="NON DEFINED"</formula>
    </cfRule>
    <cfRule type="expression" dxfId="10134" priority="3843">
      <formula>$AZ16="N.D."</formula>
    </cfRule>
    <cfRule type="expression" dxfId="10133" priority="3844">
      <formula>$AY16="N.D."</formula>
    </cfRule>
  </conditionalFormatting>
  <conditionalFormatting sqref="U16:U19">
    <cfRule type="expression" dxfId="10132" priority="3831">
      <formula>$A16="Overhead Cable"</formula>
    </cfRule>
    <cfRule type="expression" dxfId="10131" priority="3832">
      <formula>$A16="Level Crossing"</formula>
    </cfRule>
    <cfRule type="expression" dxfId="10130" priority="3833">
      <formula>$A16="Neutral Section"</formula>
    </cfRule>
    <cfRule type="expression" dxfId="10129" priority="3834">
      <formula>$A16="Tunnel"</formula>
    </cfRule>
    <cfRule type="expression" dxfId="10128" priority="3835">
      <formula>$A16="Bridge"</formula>
    </cfRule>
    <cfRule type="expression" dxfId="10127" priority="3836">
      <formula>$A16="Drainage Works"</formula>
    </cfRule>
    <cfRule type="expression" dxfId="10126" priority="3837">
      <formula>$A16="Underpass"</formula>
    </cfRule>
    <cfRule type="expression" dxfId="10125" priority="3838">
      <formula>$A16="Overcrossing"</formula>
    </cfRule>
    <cfRule type="expression" dxfId="10124" priority="3839">
      <formula>$A16="Overpass"</formula>
    </cfRule>
    <cfRule type="expression" dxfId="10123" priority="3840">
      <formula>$A16="Station"</formula>
    </cfRule>
    <cfRule type="expression" dxfId="10122" priority="3841">
      <formula>$A16="Overlap between sections"</formula>
    </cfRule>
  </conditionalFormatting>
  <conditionalFormatting sqref="V16:V19">
    <cfRule type="expression" dxfId="10121" priority="3828">
      <formula>$M16="NON DEFINED"</formula>
    </cfRule>
    <cfRule type="expression" dxfId="10120" priority="3829">
      <formula>$AZ16="N.D."</formula>
    </cfRule>
    <cfRule type="expression" dxfId="10119" priority="3830">
      <formula>$AY16="N.D."</formula>
    </cfRule>
  </conditionalFormatting>
  <conditionalFormatting sqref="V16:V19">
    <cfRule type="expression" dxfId="10118" priority="3817">
      <formula>$A16="Overhead Cable"</formula>
    </cfRule>
    <cfRule type="expression" dxfId="10117" priority="3818">
      <formula>$A16="Level Crossing"</formula>
    </cfRule>
    <cfRule type="expression" dxfId="10116" priority="3819">
      <formula>$A16="Neutral Section"</formula>
    </cfRule>
    <cfRule type="expression" dxfId="10115" priority="3820">
      <formula>$A16="Tunnel"</formula>
    </cfRule>
    <cfRule type="expression" dxfId="10114" priority="3821">
      <formula>$A16="Bridge"</formula>
    </cfRule>
    <cfRule type="expression" dxfId="10113" priority="3822">
      <formula>$A16="Drainage Works"</formula>
    </cfRule>
    <cfRule type="expression" dxfId="10112" priority="3823">
      <formula>$A16="Underpass"</formula>
    </cfRule>
    <cfRule type="expression" dxfId="10111" priority="3824">
      <formula>$A16="Overcrossing"</formula>
    </cfRule>
    <cfRule type="expression" dxfId="10110" priority="3825">
      <formula>$A16="Overpass"</formula>
    </cfRule>
    <cfRule type="expression" dxfId="10109" priority="3826">
      <formula>$A16="Station"</formula>
    </cfRule>
    <cfRule type="expression" dxfId="10108" priority="3827">
      <formula>$A16="Overlap between sections"</formula>
    </cfRule>
  </conditionalFormatting>
  <conditionalFormatting sqref="AF16:AF19">
    <cfRule type="expression" dxfId="10107" priority="3814">
      <formula>$M16="NON DEFINED"</formula>
    </cfRule>
    <cfRule type="expression" dxfId="10106" priority="3815">
      <formula>$AZ16="N.D."</formula>
    </cfRule>
    <cfRule type="expression" dxfId="10105" priority="3816">
      <formula>$AY16="N.D."</formula>
    </cfRule>
  </conditionalFormatting>
  <conditionalFormatting sqref="AF16:AF19">
    <cfRule type="expression" dxfId="10104" priority="3803">
      <formula>$A16="Overhead Cable"</formula>
    </cfRule>
    <cfRule type="expression" dxfId="10103" priority="3804">
      <formula>$A16="Level Crossing"</formula>
    </cfRule>
    <cfRule type="expression" dxfId="10102" priority="3805">
      <formula>$A16="Neutral Section"</formula>
    </cfRule>
    <cfRule type="expression" dxfId="10101" priority="3806">
      <formula>$A16="Tunnel"</formula>
    </cfRule>
    <cfRule type="expression" dxfId="10100" priority="3807">
      <formula>$A16="Bridge"</formula>
    </cfRule>
    <cfRule type="expression" dxfId="10099" priority="3808">
      <formula>$A16="Drainage Works"</formula>
    </cfRule>
    <cfRule type="expression" dxfId="10098" priority="3809">
      <formula>$A16="Underpass"</formula>
    </cfRule>
    <cfRule type="expression" dxfId="10097" priority="3810">
      <formula>$A16="Overcrossing"</formula>
    </cfRule>
    <cfRule type="expression" dxfId="10096" priority="3811">
      <formula>$A16="Overpass"</formula>
    </cfRule>
    <cfRule type="expression" dxfId="10095" priority="3812">
      <formula>$A16="Station"</formula>
    </cfRule>
    <cfRule type="expression" dxfId="10094" priority="3813">
      <formula>$A16="Overlap between sections"</formula>
    </cfRule>
  </conditionalFormatting>
  <conditionalFormatting sqref="AH16:AH19">
    <cfRule type="expression" dxfId="10093" priority="3800">
      <formula>$M16="NON DEFINED"</formula>
    </cfRule>
    <cfRule type="expression" dxfId="10092" priority="3801">
      <formula>$AZ16="N.D."</formula>
    </cfRule>
    <cfRule type="expression" dxfId="10091" priority="3802">
      <formula>$AY16="N.D."</formula>
    </cfRule>
  </conditionalFormatting>
  <conditionalFormatting sqref="AH16:AH19">
    <cfRule type="expression" dxfId="10090" priority="3789">
      <formula>$A16="Overhead Cable"</formula>
    </cfRule>
    <cfRule type="expression" dxfId="10089" priority="3790">
      <formula>$A16="Level Crossing"</formula>
    </cfRule>
    <cfRule type="expression" dxfId="10088" priority="3791">
      <formula>$A16="Neutral Section"</formula>
    </cfRule>
    <cfRule type="expression" dxfId="10087" priority="3792">
      <formula>$A16="Tunnel"</formula>
    </cfRule>
    <cfRule type="expression" dxfId="10086" priority="3793">
      <formula>$A16="Bridge"</formula>
    </cfRule>
    <cfRule type="expression" dxfId="10085" priority="3794">
      <formula>$A16="Drainage Works"</formula>
    </cfRule>
    <cfRule type="expression" dxfId="10084" priority="3795">
      <formula>$A16="Underpass"</formula>
    </cfRule>
    <cfRule type="expression" dxfId="10083" priority="3796">
      <formula>$A16="Overcrossing"</formula>
    </cfRule>
    <cfRule type="expression" dxfId="10082" priority="3797">
      <formula>$A16="Overpass"</formula>
    </cfRule>
    <cfRule type="expression" dxfId="10081" priority="3798">
      <formula>$A16="Station"</formula>
    </cfRule>
    <cfRule type="expression" dxfId="10080" priority="3799">
      <formula>$A16="Overlap between sections"</formula>
    </cfRule>
  </conditionalFormatting>
  <conditionalFormatting sqref="AI16:AI19">
    <cfRule type="expression" dxfId="10079" priority="3786">
      <formula>$M16="NON DEFINED"</formula>
    </cfRule>
    <cfRule type="expression" dxfId="10078" priority="3787">
      <formula>$AZ16="N.D."</formula>
    </cfRule>
    <cfRule type="expression" dxfId="10077" priority="3788">
      <formula>$AY16="N.D."</formula>
    </cfRule>
  </conditionalFormatting>
  <conditionalFormatting sqref="AI16:AI19">
    <cfRule type="expression" dxfId="10076" priority="3775">
      <formula>$A16="Overhead Cable"</formula>
    </cfRule>
    <cfRule type="expression" dxfId="10075" priority="3776">
      <formula>$A16="Level Crossing"</formula>
    </cfRule>
    <cfRule type="expression" dxfId="10074" priority="3777">
      <formula>$A16="Neutral Section"</formula>
    </cfRule>
    <cfRule type="expression" dxfId="10073" priority="3778">
      <formula>$A16="Tunnel"</formula>
    </cfRule>
    <cfRule type="expression" dxfId="10072" priority="3779">
      <formula>$A16="Bridge"</formula>
    </cfRule>
    <cfRule type="expression" dxfId="10071" priority="3780">
      <formula>$A16="Drainage Works"</formula>
    </cfRule>
    <cfRule type="expression" dxfId="10070" priority="3781">
      <formula>$A16="Underpass"</formula>
    </cfRule>
    <cfRule type="expression" dxfId="10069" priority="3782">
      <formula>$A16="Overcrossing"</formula>
    </cfRule>
    <cfRule type="expression" dxfId="10068" priority="3783">
      <formula>$A16="Overpass"</formula>
    </cfRule>
    <cfRule type="expression" dxfId="10067" priority="3784">
      <formula>$A16="Station"</formula>
    </cfRule>
    <cfRule type="expression" dxfId="10066" priority="3785">
      <formula>$A16="Overlap between sections"</formula>
    </cfRule>
  </conditionalFormatting>
  <conditionalFormatting sqref="R16:R19">
    <cfRule type="expression" dxfId="10065" priority="3772">
      <formula>$M16="NON DEFINED"</formula>
    </cfRule>
    <cfRule type="expression" dxfId="10064" priority="3773">
      <formula>$AZ16="N.D."</formula>
    </cfRule>
    <cfRule type="expression" dxfId="10063" priority="3774">
      <formula>$AY16="N.D."</formula>
    </cfRule>
  </conditionalFormatting>
  <conditionalFormatting sqref="R16:R19">
    <cfRule type="expression" dxfId="10062" priority="3761">
      <formula>$A16="Overhead Cable"</formula>
    </cfRule>
    <cfRule type="expression" dxfId="10061" priority="3762">
      <formula>$A16="Level Crossing"</formula>
    </cfRule>
    <cfRule type="expression" dxfId="10060" priority="3763">
      <formula>$A16="Neutral Section"</formula>
    </cfRule>
    <cfRule type="expression" dxfId="10059" priority="3764">
      <formula>$A16="Tunnel"</formula>
    </cfRule>
    <cfRule type="expression" dxfId="10058" priority="3765">
      <formula>$A16="Bridge"</formula>
    </cfRule>
    <cfRule type="expression" dxfId="10057" priority="3766">
      <formula>$A16="Drainage Works"</formula>
    </cfRule>
    <cfRule type="expression" dxfId="10056" priority="3767">
      <formula>$A16="Underpass"</formula>
    </cfRule>
    <cfRule type="expression" dxfId="10055" priority="3768">
      <formula>$A16="Overcrossing"</formula>
    </cfRule>
    <cfRule type="expression" dxfId="10054" priority="3769">
      <formula>$A16="Overpass"</formula>
    </cfRule>
    <cfRule type="expression" dxfId="10053" priority="3770">
      <formula>$A16="Station"</formula>
    </cfRule>
    <cfRule type="expression" dxfId="10052" priority="3771">
      <formula>$A16="Overlap between sections"</formula>
    </cfRule>
  </conditionalFormatting>
  <conditionalFormatting sqref="S16:S19">
    <cfRule type="expression" dxfId="10051" priority="3758">
      <formula>$M16="NON DEFINED"</formula>
    </cfRule>
    <cfRule type="expression" dxfId="10050" priority="3759">
      <formula>$AZ16="N.D."</formula>
    </cfRule>
    <cfRule type="expression" dxfId="10049" priority="3760">
      <formula>$AY16="N.D."</formula>
    </cfRule>
  </conditionalFormatting>
  <conditionalFormatting sqref="S16:S19">
    <cfRule type="expression" dxfId="10048" priority="3747">
      <formula>$A16="Overhead Cable"</formula>
    </cfRule>
    <cfRule type="expression" dxfId="10047" priority="3748">
      <formula>$A16="Level Crossing"</formula>
    </cfRule>
    <cfRule type="expression" dxfId="10046" priority="3749">
      <formula>$A16="Neutral Section"</formula>
    </cfRule>
    <cfRule type="expression" dxfId="10045" priority="3750">
      <formula>$A16="Tunnel"</formula>
    </cfRule>
    <cfRule type="expression" dxfId="10044" priority="3751">
      <formula>$A16="Bridge"</formula>
    </cfRule>
    <cfRule type="expression" dxfId="10043" priority="3752">
      <formula>$A16="Drainage Works"</formula>
    </cfRule>
    <cfRule type="expression" dxfId="10042" priority="3753">
      <formula>$A16="Underpass"</formula>
    </cfRule>
    <cfRule type="expression" dxfId="10041" priority="3754">
      <formula>$A16="Overcrossing"</formula>
    </cfRule>
    <cfRule type="expression" dxfId="10040" priority="3755">
      <formula>$A16="Overpass"</formula>
    </cfRule>
    <cfRule type="expression" dxfId="10039" priority="3756">
      <formula>$A16="Station"</formula>
    </cfRule>
    <cfRule type="expression" dxfId="10038" priority="3757">
      <formula>$A16="Overlap between sections"</formula>
    </cfRule>
  </conditionalFormatting>
  <conditionalFormatting sqref="W18 W16">
    <cfRule type="expression" dxfId="10037" priority="3744">
      <formula>$M16="NON DEFINED"</formula>
    </cfRule>
    <cfRule type="expression" dxfId="10036" priority="3745">
      <formula>$AZ16="N.D."</formula>
    </cfRule>
    <cfRule type="expression" dxfId="10035" priority="3746">
      <formula>$AY16="N.D."</formula>
    </cfRule>
  </conditionalFormatting>
  <conditionalFormatting sqref="W18 W16">
    <cfRule type="expression" dxfId="10034" priority="3733">
      <formula>$A16="Overhead Cable"</formula>
    </cfRule>
    <cfRule type="expression" dxfId="10033" priority="3734">
      <formula>$A16="Level Crossing"</formula>
    </cfRule>
    <cfRule type="expression" dxfId="10032" priority="3735">
      <formula>$A16="Neutral Section"</formula>
    </cfRule>
    <cfRule type="expression" dxfId="10031" priority="3736">
      <formula>$A16="Tunnel"</formula>
    </cfRule>
    <cfRule type="expression" dxfId="10030" priority="3737">
      <formula>$A16="Bridge"</formula>
    </cfRule>
    <cfRule type="expression" dxfId="10029" priority="3738">
      <formula>$A16="Drainage Works"</formula>
    </cfRule>
    <cfRule type="expression" dxfId="10028" priority="3739">
      <formula>$A16="Underpass"</formula>
    </cfRule>
    <cfRule type="expression" dxfId="10027" priority="3740">
      <formula>$A16="Overcrossing"</formula>
    </cfRule>
    <cfRule type="expression" dxfId="10026" priority="3741">
      <formula>$A16="Overpass"</formula>
    </cfRule>
    <cfRule type="expression" dxfId="10025" priority="3742">
      <formula>$A16="Station"</formula>
    </cfRule>
    <cfRule type="expression" dxfId="10024" priority="3743">
      <formula>$A16="Overlap between sections"</formula>
    </cfRule>
  </conditionalFormatting>
  <conditionalFormatting sqref="X16:X19">
    <cfRule type="expression" dxfId="10023" priority="3730">
      <formula>$M16="NON DEFINED"</formula>
    </cfRule>
    <cfRule type="expression" dxfId="10022" priority="3731">
      <formula>$AZ16="N.D."</formula>
    </cfRule>
    <cfRule type="expression" dxfId="10021" priority="3732">
      <formula>$AY16="N.D."</formula>
    </cfRule>
  </conditionalFormatting>
  <conditionalFormatting sqref="X16:X19">
    <cfRule type="expression" dxfId="10020" priority="3719">
      <formula>$A16="Overhead Cable"</formula>
    </cfRule>
    <cfRule type="expression" dxfId="10019" priority="3720">
      <formula>$A16="Level Crossing"</formula>
    </cfRule>
    <cfRule type="expression" dxfId="10018" priority="3721">
      <formula>$A16="Neutral Section"</formula>
    </cfRule>
    <cfRule type="expression" dxfId="10017" priority="3722">
      <formula>$A16="Tunnel"</formula>
    </cfRule>
    <cfRule type="expression" dxfId="10016" priority="3723">
      <formula>$A16="Bridge"</formula>
    </cfRule>
    <cfRule type="expression" dxfId="10015" priority="3724">
      <formula>$A16="Drainage Works"</formula>
    </cfRule>
    <cfRule type="expression" dxfId="10014" priority="3725">
      <formula>$A16="Underpass"</formula>
    </cfRule>
    <cfRule type="expression" dxfId="10013" priority="3726">
      <formula>$A16="Overcrossing"</formula>
    </cfRule>
    <cfRule type="expression" dxfId="10012" priority="3727">
      <formula>$A16="Overpass"</formula>
    </cfRule>
    <cfRule type="expression" dxfId="10011" priority="3728">
      <formula>$A16="Station"</formula>
    </cfRule>
    <cfRule type="expression" dxfId="10010" priority="3729">
      <formula>$A16="Overlap between sections"</formula>
    </cfRule>
  </conditionalFormatting>
  <conditionalFormatting sqref="Y16:Y19">
    <cfRule type="expression" dxfId="10009" priority="3716">
      <formula>$M16="NON DEFINED"</formula>
    </cfRule>
    <cfRule type="expression" dxfId="10008" priority="3717">
      <formula>$AZ16="N.D."</formula>
    </cfRule>
    <cfRule type="expression" dxfId="10007" priority="3718">
      <formula>$AY16="N.D."</formula>
    </cfRule>
  </conditionalFormatting>
  <conditionalFormatting sqref="Y16:Y19">
    <cfRule type="expression" dxfId="10006" priority="3705">
      <formula>$A16="Overhead Cable"</formula>
    </cfRule>
    <cfRule type="expression" dxfId="10005" priority="3706">
      <formula>$A16="Level Crossing"</formula>
    </cfRule>
    <cfRule type="expression" dxfId="10004" priority="3707">
      <formula>$A16="Neutral Section"</formula>
    </cfRule>
    <cfRule type="expression" dxfId="10003" priority="3708">
      <formula>$A16="Tunnel"</formula>
    </cfRule>
    <cfRule type="expression" dxfId="10002" priority="3709">
      <formula>$A16="Bridge"</formula>
    </cfRule>
    <cfRule type="expression" dxfId="10001" priority="3710">
      <formula>$A16="Drainage Works"</formula>
    </cfRule>
    <cfRule type="expression" dxfId="10000" priority="3711">
      <formula>$A16="Underpass"</formula>
    </cfRule>
    <cfRule type="expression" dxfId="9999" priority="3712">
      <formula>$A16="Overcrossing"</formula>
    </cfRule>
    <cfRule type="expression" dxfId="9998" priority="3713">
      <formula>$A16="Overpass"</formula>
    </cfRule>
    <cfRule type="expression" dxfId="9997" priority="3714">
      <formula>$A16="Station"</formula>
    </cfRule>
    <cfRule type="expression" dxfId="9996" priority="3715">
      <formula>$A16="Overlap between sections"</formula>
    </cfRule>
  </conditionalFormatting>
  <conditionalFormatting sqref="Z16:Z19">
    <cfRule type="expression" dxfId="9995" priority="3702">
      <formula>$M16="NON DEFINED"</formula>
    </cfRule>
    <cfRule type="expression" dxfId="9994" priority="3703">
      <formula>$AZ16="N.D."</formula>
    </cfRule>
    <cfRule type="expression" dxfId="9993" priority="3704">
      <formula>$AY16="N.D."</formula>
    </cfRule>
  </conditionalFormatting>
  <conditionalFormatting sqref="Z16:Z19">
    <cfRule type="expression" dxfId="9992" priority="3691">
      <formula>$A16="Overhead Cable"</formula>
    </cfRule>
    <cfRule type="expression" dxfId="9991" priority="3692">
      <formula>$A16="Level Crossing"</formula>
    </cfRule>
    <cfRule type="expression" dxfId="9990" priority="3693">
      <formula>$A16="Neutral Section"</formula>
    </cfRule>
    <cfRule type="expression" dxfId="9989" priority="3694">
      <formula>$A16="Tunnel"</formula>
    </cfRule>
    <cfRule type="expression" dxfId="9988" priority="3695">
      <formula>$A16="Bridge"</formula>
    </cfRule>
    <cfRule type="expression" dxfId="9987" priority="3696">
      <formula>$A16="Drainage Works"</formula>
    </cfRule>
    <cfRule type="expression" dxfId="9986" priority="3697">
      <formula>$A16="Underpass"</formula>
    </cfRule>
    <cfRule type="expression" dxfId="9985" priority="3698">
      <formula>$A16="Overcrossing"</formula>
    </cfRule>
    <cfRule type="expression" dxfId="9984" priority="3699">
      <formula>$A16="Overpass"</formula>
    </cfRule>
    <cfRule type="expression" dxfId="9983" priority="3700">
      <formula>$A16="Station"</formula>
    </cfRule>
    <cfRule type="expression" dxfId="9982" priority="3701">
      <formula>$A16="Overlap between sections"</formula>
    </cfRule>
  </conditionalFormatting>
  <conditionalFormatting sqref="AA16:AA19">
    <cfRule type="expression" dxfId="9981" priority="3688">
      <formula>$M16="NON DEFINED"</formula>
    </cfRule>
    <cfRule type="expression" dxfId="9980" priority="3689">
      <formula>$AZ16="N.D."</formula>
    </cfRule>
    <cfRule type="expression" dxfId="9979" priority="3690">
      <formula>$AY16="N.D."</formula>
    </cfRule>
  </conditionalFormatting>
  <conditionalFormatting sqref="AA16:AA19">
    <cfRule type="expression" dxfId="9978" priority="3677">
      <formula>$A16="Overhead Cable"</formula>
    </cfRule>
    <cfRule type="expression" dxfId="9977" priority="3678">
      <formula>$A16="Level Crossing"</formula>
    </cfRule>
    <cfRule type="expression" dxfId="9976" priority="3679">
      <formula>$A16="Neutral Section"</formula>
    </cfRule>
    <cfRule type="expression" dxfId="9975" priority="3680">
      <formula>$A16="Tunnel"</formula>
    </cfRule>
    <cfRule type="expression" dxfId="9974" priority="3681">
      <formula>$A16="Bridge"</formula>
    </cfRule>
    <cfRule type="expression" dxfId="9973" priority="3682">
      <formula>$A16="Drainage Works"</formula>
    </cfRule>
    <cfRule type="expression" dxfId="9972" priority="3683">
      <formula>$A16="Underpass"</formula>
    </cfRule>
    <cfRule type="expression" dxfId="9971" priority="3684">
      <formula>$A16="Overcrossing"</formula>
    </cfRule>
    <cfRule type="expression" dxfId="9970" priority="3685">
      <formula>$A16="Overpass"</formula>
    </cfRule>
    <cfRule type="expression" dxfId="9969" priority="3686">
      <formula>$A16="Station"</formula>
    </cfRule>
    <cfRule type="expression" dxfId="9968" priority="3687">
      <formula>$A16="Overlap between sections"</formula>
    </cfRule>
  </conditionalFormatting>
  <conditionalFormatting sqref="AB16:AB19">
    <cfRule type="expression" dxfId="9967" priority="3674">
      <formula>$M16="NON DEFINED"</formula>
    </cfRule>
    <cfRule type="expression" dxfId="9966" priority="3675">
      <formula>$AZ16="N.D."</formula>
    </cfRule>
    <cfRule type="expression" dxfId="9965" priority="3676">
      <formula>$AY16="N.D."</formula>
    </cfRule>
  </conditionalFormatting>
  <conditionalFormatting sqref="AB16:AB19">
    <cfRule type="expression" dxfId="9964" priority="3663">
      <formula>$A16="Overhead Cable"</formula>
    </cfRule>
    <cfRule type="expression" dxfId="9963" priority="3664">
      <formula>$A16="Level Crossing"</formula>
    </cfRule>
    <cfRule type="expression" dxfId="9962" priority="3665">
      <formula>$A16="Neutral Section"</formula>
    </cfRule>
    <cfRule type="expression" dxfId="9961" priority="3666">
      <formula>$A16="Tunnel"</formula>
    </cfRule>
    <cfRule type="expression" dxfId="9960" priority="3667">
      <formula>$A16="Bridge"</formula>
    </cfRule>
    <cfRule type="expression" dxfId="9959" priority="3668">
      <formula>$A16="Drainage Works"</formula>
    </cfRule>
    <cfRule type="expression" dxfId="9958" priority="3669">
      <formula>$A16="Underpass"</formula>
    </cfRule>
    <cfRule type="expression" dxfId="9957" priority="3670">
      <formula>$A16="Overcrossing"</formula>
    </cfRule>
    <cfRule type="expression" dxfId="9956" priority="3671">
      <formula>$A16="Overpass"</formula>
    </cfRule>
    <cfRule type="expression" dxfId="9955" priority="3672">
      <formula>$A16="Station"</formula>
    </cfRule>
    <cfRule type="expression" dxfId="9954" priority="3673">
      <formula>$A16="Overlap between sections"</formula>
    </cfRule>
  </conditionalFormatting>
  <conditionalFormatting sqref="BA16:BC19">
    <cfRule type="expression" dxfId="9953" priority="3661">
      <formula>$BE16="A"</formula>
    </cfRule>
    <cfRule type="expression" dxfId="9952" priority="3662">
      <formula>$BE16="R"</formula>
    </cfRule>
  </conditionalFormatting>
  <conditionalFormatting sqref="BD19 BD17">
    <cfRule type="containsText" dxfId="9951" priority="3660" operator="containsText" text="Poner a mano">
      <formula>NOT(ISERROR(SEARCH("Poner a mano",BD17)))</formula>
    </cfRule>
  </conditionalFormatting>
  <conditionalFormatting sqref="BC16:BC19">
    <cfRule type="expression" dxfId="9950" priority="3659">
      <formula>$M16="U.S. N.D."</formula>
    </cfRule>
  </conditionalFormatting>
  <conditionalFormatting sqref="BB16:BB19">
    <cfRule type="expression" dxfId="9949" priority="3657">
      <formula>$AZ16="N.D."</formula>
    </cfRule>
  </conditionalFormatting>
  <conditionalFormatting sqref="BA16:BA19">
    <cfRule type="expression" dxfId="9948" priority="3658">
      <formula>$AY16="N.D."</formula>
    </cfRule>
  </conditionalFormatting>
  <conditionalFormatting sqref="J20:J22">
    <cfRule type="expression" dxfId="9947" priority="3645">
      <formula>$A20="Overhead Cable"</formula>
    </cfRule>
    <cfRule type="expression" dxfId="9946" priority="3646">
      <formula>$A20="Level Crossing"</formula>
    </cfRule>
    <cfRule type="expression" dxfId="9945" priority="3647">
      <formula>$A20="Neutral Section"</formula>
    </cfRule>
    <cfRule type="expression" dxfId="9944" priority="3648">
      <formula>$A20="Tunnel"</formula>
    </cfRule>
    <cfRule type="expression" dxfId="9943" priority="3649">
      <formula>$A20="Bridge"</formula>
    </cfRule>
    <cfRule type="expression" dxfId="9942" priority="3650">
      <formula>$A20="Drainage Works"</formula>
    </cfRule>
    <cfRule type="expression" dxfId="9941" priority="3651">
      <formula>$A20="Underpass"</formula>
    </cfRule>
    <cfRule type="expression" dxfId="9940" priority="3652">
      <formula>$A20="Overcrossing"</formula>
    </cfRule>
    <cfRule type="expression" dxfId="9939" priority="3653">
      <formula>$A20="Overpass"</formula>
    </cfRule>
    <cfRule type="expression" dxfId="9938" priority="3654">
      <formula>$A20="Station"</formula>
    </cfRule>
    <cfRule type="expression" dxfId="9937" priority="3655">
      <formula>$A20="Overlap between sections"</formula>
    </cfRule>
  </conditionalFormatting>
  <conditionalFormatting sqref="C32:AZ32 C40:AZ40 C39:V39 X39:AJ39 C38:AZ38 C37:V37 X37:AJ37 C35:V35 X35:AJ35 C34:G34 C33:V33 X33:AJ33 C31:V31 X31:AJ31 AL31:AZ31 AL33:AZ33 AL35:AZ35 AL39:AZ39 AL37:AZ37 I34:AZ34 C36:AZ36">
    <cfRule type="expression" dxfId="9936" priority="3642">
      <formula>$M31="NON DEFINED"</formula>
    </cfRule>
    <cfRule type="expression" dxfId="9935" priority="3643">
      <formula>$AZ31="N.D."</formula>
    </cfRule>
    <cfRule type="expression" dxfId="9934" priority="3644">
      <formula>$AY31="N.D."</formula>
    </cfRule>
  </conditionalFormatting>
  <conditionalFormatting sqref="AG31:AG40 A31:A40 AY31:AZ40 AM31:AS40 G31:H33 J31:J40 G35:H40 G34 C31:E40">
    <cfRule type="expression" dxfId="9933" priority="3631">
      <formula>$A31="Overhead Cable"</formula>
    </cfRule>
    <cfRule type="expression" dxfId="9932" priority="3632">
      <formula>$A31="Level Crossing"</formula>
    </cfRule>
    <cfRule type="expression" dxfId="9931" priority="3633">
      <formula>$A31="Neutral Section"</formula>
    </cfRule>
    <cfRule type="expression" dxfId="9930" priority="3634">
      <formula>$A31="Tunnel"</formula>
    </cfRule>
    <cfRule type="expression" dxfId="9929" priority="3635">
      <formula>$A31="Bridge"</formula>
    </cfRule>
    <cfRule type="expression" dxfId="9928" priority="3636">
      <formula>$A31="Drainage Works"</formula>
    </cfRule>
    <cfRule type="expression" dxfId="9927" priority="3637">
      <formula>$A31="Underpass"</formula>
    </cfRule>
    <cfRule type="expression" dxfId="9926" priority="3638">
      <formula>$A31="Overcrossing"</formula>
    </cfRule>
    <cfRule type="expression" dxfId="9925" priority="3639">
      <formula>$A31="Overpass"</formula>
    </cfRule>
    <cfRule type="expression" dxfId="9924" priority="3640">
      <formula>$A31="Station"</formula>
    </cfRule>
    <cfRule type="expression" dxfId="9923" priority="3641">
      <formula>$A31="Overlap between sections"</formula>
    </cfRule>
  </conditionalFormatting>
  <conditionalFormatting sqref="AN31:AP40">
    <cfRule type="cellIs" dxfId="9922" priority="3630" operator="notEqual">
      <formula>5.5</formula>
    </cfRule>
  </conditionalFormatting>
  <conditionalFormatting sqref="I31:I40">
    <cfRule type="expression" dxfId="9921" priority="3618">
      <formula>$A31="Overhead Cable"</formula>
    </cfRule>
    <cfRule type="expression" dxfId="9920" priority="3619">
      <formula>$A31="Level Crossing"</formula>
    </cfRule>
    <cfRule type="expression" dxfId="9919" priority="3620">
      <formula>$A31="Neutral Section"</formula>
    </cfRule>
    <cfRule type="expression" dxfId="9918" priority="3621">
      <formula>$A31="Tunnel"</formula>
    </cfRule>
    <cfRule type="expression" dxfId="9917" priority="3622">
      <formula>$A31="Bridge"</formula>
    </cfRule>
    <cfRule type="expression" dxfId="9916" priority="3623">
      <formula>$A31="Drainage Works"</formula>
    </cfRule>
    <cfRule type="expression" dxfId="9915" priority="3624">
      <formula>$A31="Underpass"</formula>
    </cfRule>
    <cfRule type="expression" dxfId="9914" priority="3625">
      <formula>$A31="Overcrossing"</formula>
    </cfRule>
    <cfRule type="expression" dxfId="9913" priority="3626">
      <formula>$A31="Overpass"</formula>
    </cfRule>
    <cfRule type="expression" dxfId="9912" priority="3627">
      <formula>$A31="Station"</formula>
    </cfRule>
    <cfRule type="expression" dxfId="9911" priority="3628">
      <formula>$A31="Overlap between sections"</formula>
    </cfRule>
  </conditionalFormatting>
  <conditionalFormatting sqref="K31:K40">
    <cfRule type="expression" dxfId="9910" priority="3607">
      <formula>$A31="Overhead Cable"</formula>
    </cfRule>
    <cfRule type="expression" dxfId="9909" priority="3608">
      <formula>$A31="Level Crossing"</formula>
    </cfRule>
    <cfRule type="expression" dxfId="9908" priority="3609">
      <formula>$A31="Neutral Section"</formula>
    </cfRule>
    <cfRule type="expression" dxfId="9907" priority="3610">
      <formula>$A31="Tunnel"</formula>
    </cfRule>
    <cfRule type="expression" dxfId="9906" priority="3611">
      <formula>$A31="Bridge"</formula>
    </cfRule>
    <cfRule type="expression" dxfId="9905" priority="3612">
      <formula>$A31="Drainage Works"</formula>
    </cfRule>
    <cfRule type="expression" dxfId="9904" priority="3613">
      <formula>$A31="Underpass"</formula>
    </cfRule>
    <cfRule type="expression" dxfId="9903" priority="3614">
      <formula>$A31="Overcrossing"</formula>
    </cfRule>
    <cfRule type="expression" dxfId="9902" priority="3615">
      <formula>$A31="Overpass"</formula>
    </cfRule>
    <cfRule type="expression" dxfId="9901" priority="3616">
      <formula>$A31="Station"</formula>
    </cfRule>
    <cfRule type="expression" dxfId="9900" priority="3617">
      <formula>$A31="Overlap between sections"</formula>
    </cfRule>
  </conditionalFormatting>
  <conditionalFormatting sqref="L31:L40">
    <cfRule type="expression" dxfId="9899" priority="3596">
      <formula>$A31="Overhead Cable"</formula>
    </cfRule>
    <cfRule type="expression" dxfId="9898" priority="3597">
      <formula>$A31="Level Crossing"</formula>
    </cfRule>
    <cfRule type="expression" dxfId="9897" priority="3598">
      <formula>$A31="Neutral Section"</formula>
    </cfRule>
    <cfRule type="expression" dxfId="9896" priority="3599">
      <formula>$A31="Tunnel"</formula>
    </cfRule>
    <cfRule type="expression" dxfId="9895" priority="3600">
      <formula>$A31="Bridge"</formula>
    </cfRule>
    <cfRule type="expression" dxfId="9894" priority="3601">
      <formula>$A31="Drainage Works"</formula>
    </cfRule>
    <cfRule type="expression" dxfId="9893" priority="3602">
      <formula>$A31="Underpass"</formula>
    </cfRule>
    <cfRule type="expression" dxfId="9892" priority="3603">
      <formula>$A31="Overcrossing"</formula>
    </cfRule>
    <cfRule type="expression" dxfId="9891" priority="3604">
      <formula>$A31="Overpass"</formula>
    </cfRule>
    <cfRule type="expression" dxfId="9890" priority="3605">
      <formula>$A31="Station"</formula>
    </cfRule>
    <cfRule type="expression" dxfId="9889" priority="3606">
      <formula>$A31="Overlap between sections"</formula>
    </cfRule>
  </conditionalFormatting>
  <conditionalFormatting sqref="M31:M40">
    <cfRule type="expression" dxfId="9888" priority="3585">
      <formula>$A31="Overhead Cable"</formula>
    </cfRule>
    <cfRule type="expression" dxfId="9887" priority="3586">
      <formula>$A31="Level Crossing"</formula>
    </cfRule>
    <cfRule type="expression" dxfId="9886" priority="3587">
      <formula>$A31="Neutral Section"</formula>
    </cfRule>
    <cfRule type="expression" dxfId="9885" priority="3588">
      <formula>$A31="Tunnel"</formula>
    </cfRule>
    <cfRule type="expression" dxfId="9884" priority="3589">
      <formula>$A31="Bridge"</formula>
    </cfRule>
    <cfRule type="expression" dxfId="9883" priority="3590">
      <formula>$A31="Drainage Works"</formula>
    </cfRule>
    <cfRule type="expression" dxfId="9882" priority="3591">
      <formula>$A31="Underpass"</formula>
    </cfRule>
    <cfRule type="expression" dxfId="9881" priority="3592">
      <formula>$A31="Overcrossing"</formula>
    </cfRule>
    <cfRule type="expression" dxfId="9880" priority="3593">
      <formula>$A31="Overpass"</formula>
    </cfRule>
    <cfRule type="expression" dxfId="9879" priority="3594">
      <formula>$A31="Station"</formula>
    </cfRule>
    <cfRule type="expression" dxfId="9878" priority="3595">
      <formula>$A31="Overlap between sections"</formula>
    </cfRule>
  </conditionalFormatting>
  <conditionalFormatting sqref="N31:N40">
    <cfRule type="expression" dxfId="9877" priority="3574">
      <formula>$A31="Overhead Cable"</formula>
    </cfRule>
    <cfRule type="expression" dxfId="9876" priority="3575">
      <formula>$A31="Level Crossing"</formula>
    </cfRule>
    <cfRule type="expression" dxfId="9875" priority="3576">
      <formula>$A31="Neutral Section"</formula>
    </cfRule>
    <cfRule type="expression" dxfId="9874" priority="3577">
      <formula>$A31="Tunnel"</formula>
    </cfRule>
    <cfRule type="expression" dxfId="9873" priority="3578">
      <formula>$A31="Bridge"</formula>
    </cfRule>
    <cfRule type="expression" dxfId="9872" priority="3579">
      <formula>$A31="Drainage Works"</formula>
    </cfRule>
    <cfRule type="expression" dxfId="9871" priority="3580">
      <formula>$A31="Underpass"</formula>
    </cfRule>
    <cfRule type="expression" dxfId="9870" priority="3581">
      <formula>$A31="Overcrossing"</formula>
    </cfRule>
    <cfRule type="expression" dxfId="9869" priority="3582">
      <formula>$A31="Overpass"</formula>
    </cfRule>
    <cfRule type="expression" dxfId="9868" priority="3583">
      <formula>$A31="Station"</formula>
    </cfRule>
    <cfRule type="expression" dxfId="9867" priority="3584">
      <formula>$A31="Overlap between sections"</formula>
    </cfRule>
  </conditionalFormatting>
  <conditionalFormatting sqref="O31:O40">
    <cfRule type="expression" dxfId="9866" priority="3563">
      <formula>$A31="Overhead Cable"</formula>
    </cfRule>
    <cfRule type="expression" dxfId="9865" priority="3564">
      <formula>$A31="Level Crossing"</formula>
    </cfRule>
    <cfRule type="expression" dxfId="9864" priority="3565">
      <formula>$A31="Neutral Section"</formula>
    </cfRule>
    <cfRule type="expression" dxfId="9863" priority="3566">
      <formula>$A31="Tunnel"</formula>
    </cfRule>
    <cfRule type="expression" dxfId="9862" priority="3567">
      <formula>$A31="Bridge"</formula>
    </cfRule>
    <cfRule type="expression" dxfId="9861" priority="3568">
      <formula>$A31="Drainage Works"</formula>
    </cfRule>
    <cfRule type="expression" dxfId="9860" priority="3569">
      <formula>$A31="Underpass"</formula>
    </cfRule>
    <cfRule type="expression" dxfId="9859" priority="3570">
      <formula>$A31="Overcrossing"</formula>
    </cfRule>
    <cfRule type="expression" dxfId="9858" priority="3571">
      <formula>$A31="Overpass"</formula>
    </cfRule>
    <cfRule type="expression" dxfId="9857" priority="3572">
      <formula>$A31="Station"</formula>
    </cfRule>
    <cfRule type="expression" dxfId="9856" priority="3573">
      <formula>$A31="Overlap between sections"</formula>
    </cfRule>
  </conditionalFormatting>
  <conditionalFormatting sqref="P31:P40">
    <cfRule type="expression" dxfId="9855" priority="3552">
      <formula>$A31="Overhead Cable"</formula>
    </cfRule>
    <cfRule type="expression" dxfId="9854" priority="3553">
      <formula>$A31="Level Crossing"</formula>
    </cfRule>
    <cfRule type="expression" dxfId="9853" priority="3554">
      <formula>$A31="Neutral Section"</formula>
    </cfRule>
    <cfRule type="expression" dxfId="9852" priority="3555">
      <formula>$A31="Tunnel"</formula>
    </cfRule>
    <cfRule type="expression" dxfId="9851" priority="3556">
      <formula>$A31="Bridge"</formula>
    </cfRule>
    <cfRule type="expression" dxfId="9850" priority="3557">
      <formula>$A31="Drainage Works"</formula>
    </cfRule>
    <cfRule type="expression" dxfId="9849" priority="3558">
      <formula>$A31="Underpass"</formula>
    </cfRule>
    <cfRule type="expression" dxfId="9848" priority="3559">
      <formula>$A31="Overcrossing"</formula>
    </cfRule>
    <cfRule type="expression" dxfId="9847" priority="3560">
      <formula>$A31="Overpass"</formula>
    </cfRule>
    <cfRule type="expression" dxfId="9846" priority="3561">
      <formula>$A31="Station"</formula>
    </cfRule>
    <cfRule type="expression" dxfId="9845" priority="3562">
      <formula>$A31="Overlap between sections"</formula>
    </cfRule>
  </conditionalFormatting>
  <conditionalFormatting sqref="AC31:AC40">
    <cfRule type="expression" dxfId="9844" priority="3541">
      <formula>$A31="Overhead Cable"</formula>
    </cfRule>
    <cfRule type="expression" dxfId="9843" priority="3542">
      <formula>$A31="Level Crossing"</formula>
    </cfRule>
    <cfRule type="expression" dxfId="9842" priority="3543">
      <formula>$A31="Neutral Section"</formula>
    </cfRule>
    <cfRule type="expression" dxfId="9841" priority="3544">
      <formula>$A31="Tunnel"</formula>
    </cfRule>
    <cfRule type="expression" dxfId="9840" priority="3545">
      <formula>$A31="Bridge"</formula>
    </cfRule>
    <cfRule type="expression" dxfId="9839" priority="3546">
      <formula>$A31="Drainage Works"</formula>
    </cfRule>
    <cfRule type="expression" dxfId="9838" priority="3547">
      <formula>$A31="Underpass"</formula>
    </cfRule>
    <cfRule type="expression" dxfId="9837" priority="3548">
      <formula>$A31="Overcrossing"</formula>
    </cfRule>
    <cfRule type="expression" dxfId="9836" priority="3549">
      <formula>$A31="Overpass"</formula>
    </cfRule>
    <cfRule type="expression" dxfId="9835" priority="3550">
      <formula>$A31="Station"</formula>
    </cfRule>
    <cfRule type="expression" dxfId="9834" priority="3551">
      <formula>$A31="Overlap between sections"</formula>
    </cfRule>
  </conditionalFormatting>
  <conditionalFormatting sqref="AD31:AD40">
    <cfRule type="expression" dxfId="9833" priority="3530">
      <formula>$A31="Overhead Cable"</formula>
    </cfRule>
    <cfRule type="expression" dxfId="9832" priority="3531">
      <formula>$A31="Level Crossing"</formula>
    </cfRule>
    <cfRule type="expression" dxfId="9831" priority="3532">
      <formula>$A31="Neutral Section"</formula>
    </cfRule>
    <cfRule type="expression" dxfId="9830" priority="3533">
      <formula>$A31="Tunnel"</formula>
    </cfRule>
    <cfRule type="expression" dxfId="9829" priority="3534">
      <formula>$A31="Bridge"</formula>
    </cfRule>
    <cfRule type="expression" dxfId="9828" priority="3535">
      <formula>$A31="Drainage Works"</formula>
    </cfRule>
    <cfRule type="expression" dxfId="9827" priority="3536">
      <formula>$A31="Underpass"</formula>
    </cfRule>
    <cfRule type="expression" dxfId="9826" priority="3537">
      <formula>$A31="Overcrossing"</formula>
    </cfRule>
    <cfRule type="expression" dxfId="9825" priority="3538">
      <formula>$A31="Overpass"</formula>
    </cfRule>
    <cfRule type="expression" dxfId="9824" priority="3539">
      <formula>$A31="Station"</formula>
    </cfRule>
    <cfRule type="expression" dxfId="9823" priority="3540">
      <formula>$A31="Overlap between sections"</formula>
    </cfRule>
  </conditionalFormatting>
  <conditionalFormatting sqref="AE31:AE40">
    <cfRule type="expression" dxfId="9822" priority="3519">
      <formula>$A31="Overhead Cable"</formula>
    </cfRule>
    <cfRule type="expression" dxfId="9821" priority="3520">
      <formula>$A31="Level Crossing"</formula>
    </cfRule>
    <cfRule type="expression" dxfId="9820" priority="3521">
      <formula>$A31="Neutral Section"</formula>
    </cfRule>
    <cfRule type="expression" dxfId="9819" priority="3522">
      <formula>$A31="Tunnel"</formula>
    </cfRule>
    <cfRule type="expression" dxfId="9818" priority="3523">
      <formula>$A31="Bridge"</formula>
    </cfRule>
    <cfRule type="expression" dxfId="9817" priority="3524">
      <formula>$A31="Drainage Works"</formula>
    </cfRule>
    <cfRule type="expression" dxfId="9816" priority="3525">
      <formula>$A31="Underpass"</formula>
    </cfRule>
    <cfRule type="expression" dxfId="9815" priority="3526">
      <formula>$A31="Overcrossing"</formula>
    </cfRule>
    <cfRule type="expression" dxfId="9814" priority="3527">
      <formula>$A31="Overpass"</formula>
    </cfRule>
    <cfRule type="expression" dxfId="9813" priority="3528">
      <formula>$A31="Station"</formula>
    </cfRule>
    <cfRule type="expression" dxfId="9812" priority="3529">
      <formula>$A31="Overlap between sections"</formula>
    </cfRule>
  </conditionalFormatting>
  <conditionalFormatting sqref="AJ31:AJ40">
    <cfRule type="expression" dxfId="9811" priority="3508">
      <formula>$A31="Overhead Cable"</formula>
    </cfRule>
    <cfRule type="expression" dxfId="9810" priority="3509">
      <formula>$A31="Level Crossing"</formula>
    </cfRule>
    <cfRule type="expression" dxfId="9809" priority="3510">
      <formula>$A31="Neutral Section"</formula>
    </cfRule>
    <cfRule type="expression" dxfId="9808" priority="3511">
      <formula>$A31="Tunnel"</formula>
    </cfRule>
    <cfRule type="expression" dxfId="9807" priority="3512">
      <formula>$A31="Bridge"</formula>
    </cfRule>
    <cfRule type="expression" dxfId="9806" priority="3513">
      <formula>$A31="Drainage Works"</formula>
    </cfRule>
    <cfRule type="expression" dxfId="9805" priority="3514">
      <formula>$A31="Underpass"</formula>
    </cfRule>
    <cfRule type="expression" dxfId="9804" priority="3515">
      <formula>$A31="Overcrossing"</formula>
    </cfRule>
    <cfRule type="expression" dxfId="9803" priority="3516">
      <formula>$A31="Overpass"</formula>
    </cfRule>
    <cfRule type="expression" dxfId="9802" priority="3517">
      <formula>$A31="Station"</formula>
    </cfRule>
    <cfRule type="expression" dxfId="9801" priority="3518">
      <formula>$A31="Overlap between sections"</formula>
    </cfRule>
  </conditionalFormatting>
  <conditionalFormatting sqref="AK32 AK34 AK36 AK40 AK38">
    <cfRule type="expression" dxfId="9800" priority="3497">
      <formula>$A32="Overhead Cable"</formula>
    </cfRule>
    <cfRule type="expression" dxfId="9799" priority="3498">
      <formula>$A32="Level Crossing"</formula>
    </cfRule>
    <cfRule type="expression" dxfId="9798" priority="3499">
      <formula>$A32="Neutral Section"</formula>
    </cfRule>
    <cfRule type="expression" dxfId="9797" priority="3500">
      <formula>$A32="Tunnel"</formula>
    </cfRule>
    <cfRule type="expression" dxfId="9796" priority="3501">
      <formula>$A32="Bridge"</formula>
    </cfRule>
    <cfRule type="expression" dxfId="9795" priority="3502">
      <formula>$A32="Drainage Works"</formula>
    </cfRule>
    <cfRule type="expression" dxfId="9794" priority="3503">
      <formula>$A32="Underpass"</formula>
    </cfRule>
    <cfRule type="expression" dxfId="9793" priority="3504">
      <formula>$A32="Overcrossing"</formula>
    </cfRule>
    <cfRule type="expression" dxfId="9792" priority="3505">
      <formula>$A32="Overpass"</formula>
    </cfRule>
    <cfRule type="expression" dxfId="9791" priority="3506">
      <formula>$A32="Station"</formula>
    </cfRule>
    <cfRule type="expression" dxfId="9790" priority="3507">
      <formula>$A32="Overlap between sections"</formula>
    </cfRule>
  </conditionalFormatting>
  <conditionalFormatting sqref="AL31:AL40">
    <cfRule type="expression" dxfId="9789" priority="3486">
      <formula>$A31="Overhead Cable"</formula>
    </cfRule>
    <cfRule type="expression" dxfId="9788" priority="3487">
      <formula>$A31="Level Crossing"</formula>
    </cfRule>
    <cfRule type="expression" dxfId="9787" priority="3488">
      <formula>$A31="Neutral Section"</formula>
    </cfRule>
    <cfRule type="expression" dxfId="9786" priority="3489">
      <formula>$A31="Tunnel"</formula>
    </cfRule>
    <cfRule type="expression" dxfId="9785" priority="3490">
      <formula>$A31="Bridge"</formula>
    </cfRule>
    <cfRule type="expression" dxfId="9784" priority="3491">
      <formula>$A31="Drainage Works"</formula>
    </cfRule>
    <cfRule type="expression" dxfId="9783" priority="3492">
      <formula>$A31="Underpass"</formula>
    </cfRule>
    <cfRule type="expression" dxfId="9782" priority="3493">
      <formula>$A31="Overcrossing"</formula>
    </cfRule>
    <cfRule type="expression" dxfId="9781" priority="3494">
      <formula>$A31="Overpass"</formula>
    </cfRule>
    <cfRule type="expression" dxfId="9780" priority="3495">
      <formula>$A31="Station"</formula>
    </cfRule>
    <cfRule type="expression" dxfId="9779" priority="3496">
      <formula>$A31="Overlap between sections"</formula>
    </cfRule>
  </conditionalFormatting>
  <conditionalFormatting sqref="AT31:AT40">
    <cfRule type="expression" dxfId="9778" priority="3475">
      <formula>$A31="Overhead Cable"</formula>
    </cfRule>
    <cfRule type="expression" dxfId="9777" priority="3476">
      <formula>$A31="Level Crossing"</formula>
    </cfRule>
    <cfRule type="expression" dxfId="9776" priority="3477">
      <formula>$A31="Neutral Section"</formula>
    </cfRule>
    <cfRule type="expression" dxfId="9775" priority="3478">
      <formula>$A31="Tunnel"</formula>
    </cfRule>
    <cfRule type="expression" dxfId="9774" priority="3479">
      <formula>$A31="Bridge"</formula>
    </cfRule>
    <cfRule type="expression" dxfId="9773" priority="3480">
      <formula>$A31="Drainage Works"</formula>
    </cfRule>
    <cfRule type="expression" dxfId="9772" priority="3481">
      <formula>$A31="Underpass"</formula>
    </cfRule>
    <cfRule type="expression" dxfId="9771" priority="3482">
      <formula>$A31="Overcrossing"</formula>
    </cfRule>
    <cfRule type="expression" dxfId="9770" priority="3483">
      <formula>$A31="Overpass"</formula>
    </cfRule>
    <cfRule type="expression" dxfId="9769" priority="3484">
      <formula>$A31="Station"</formula>
    </cfRule>
    <cfRule type="expression" dxfId="9768" priority="3485">
      <formula>$A31="Overlap between sections"</formula>
    </cfRule>
  </conditionalFormatting>
  <conditionalFormatting sqref="AU31:AU40">
    <cfRule type="expression" dxfId="9767" priority="3464">
      <formula>$A31="Overhead Cable"</formula>
    </cfRule>
    <cfRule type="expression" dxfId="9766" priority="3465">
      <formula>$A31="Level Crossing"</formula>
    </cfRule>
    <cfRule type="expression" dxfId="9765" priority="3466">
      <formula>$A31="Neutral Section"</formula>
    </cfRule>
    <cfRule type="expression" dxfId="9764" priority="3467">
      <formula>$A31="Tunnel"</formula>
    </cfRule>
    <cfRule type="expression" dxfId="9763" priority="3468">
      <formula>$A31="Bridge"</formula>
    </cfRule>
    <cfRule type="expression" dxfId="9762" priority="3469">
      <formula>$A31="Drainage Works"</formula>
    </cfRule>
    <cfRule type="expression" dxfId="9761" priority="3470">
      <formula>$A31="Underpass"</formula>
    </cfRule>
    <cfRule type="expression" dxfId="9760" priority="3471">
      <formula>$A31="Overcrossing"</formula>
    </cfRule>
    <cfRule type="expression" dxfId="9759" priority="3472">
      <formula>$A31="Overpass"</formula>
    </cfRule>
    <cfRule type="expression" dxfId="9758" priority="3473">
      <formula>$A31="Station"</formula>
    </cfRule>
    <cfRule type="expression" dxfId="9757" priority="3474">
      <formula>$A31="Overlap between sections"</formula>
    </cfRule>
  </conditionalFormatting>
  <conditionalFormatting sqref="AV31:AV40">
    <cfRule type="expression" dxfId="9756" priority="3453">
      <formula>$A31="Overhead Cable"</formula>
    </cfRule>
    <cfRule type="expression" dxfId="9755" priority="3454">
      <formula>$A31="Level Crossing"</formula>
    </cfRule>
    <cfRule type="expression" dxfId="9754" priority="3455">
      <formula>$A31="Neutral Section"</formula>
    </cfRule>
    <cfRule type="expression" dxfId="9753" priority="3456">
      <formula>$A31="Tunnel"</formula>
    </cfRule>
    <cfRule type="expression" dxfId="9752" priority="3457">
      <formula>$A31="Bridge"</formula>
    </cfRule>
    <cfRule type="expression" dxfId="9751" priority="3458">
      <formula>$A31="Drainage Works"</formula>
    </cfRule>
    <cfRule type="expression" dxfId="9750" priority="3459">
      <formula>$A31="Underpass"</formula>
    </cfRule>
    <cfRule type="expression" dxfId="9749" priority="3460">
      <formula>$A31="Overcrossing"</formula>
    </cfRule>
    <cfRule type="expression" dxfId="9748" priority="3461">
      <formula>$A31="Overpass"</formula>
    </cfRule>
    <cfRule type="expression" dxfId="9747" priority="3462">
      <formula>$A31="Station"</formula>
    </cfRule>
    <cfRule type="expression" dxfId="9746" priority="3463">
      <formula>$A31="Overlap between sections"</formula>
    </cfRule>
  </conditionalFormatting>
  <conditionalFormatting sqref="AW31:AW40">
    <cfRule type="expression" dxfId="9745" priority="3442">
      <formula>$A31="Overhead Cable"</formula>
    </cfRule>
    <cfRule type="expression" dxfId="9744" priority="3443">
      <formula>$A31="Level Crossing"</formula>
    </cfRule>
    <cfRule type="expression" dxfId="9743" priority="3444">
      <formula>$A31="Neutral Section"</formula>
    </cfRule>
    <cfRule type="expression" dxfId="9742" priority="3445">
      <formula>$A31="Tunnel"</formula>
    </cfRule>
    <cfRule type="expression" dxfId="9741" priority="3446">
      <formula>$A31="Bridge"</formula>
    </cfRule>
    <cfRule type="expression" dxfId="9740" priority="3447">
      <formula>$A31="Drainage Works"</formula>
    </cfRule>
    <cfRule type="expression" dxfId="9739" priority="3448">
      <formula>$A31="Underpass"</formula>
    </cfRule>
    <cfRule type="expression" dxfId="9738" priority="3449">
      <formula>$A31="Overcrossing"</formula>
    </cfRule>
    <cfRule type="expression" dxfId="9737" priority="3450">
      <formula>$A31="Overpass"</formula>
    </cfRule>
    <cfRule type="expression" dxfId="9736" priority="3451">
      <formula>$A31="Station"</formula>
    </cfRule>
    <cfRule type="expression" dxfId="9735" priority="3452">
      <formula>$A31="Overlap between sections"</formula>
    </cfRule>
  </conditionalFormatting>
  <conditionalFormatting sqref="AX31:AX40">
    <cfRule type="expression" dxfId="9734" priority="3431">
      <formula>$A31="Overhead Cable"</formula>
    </cfRule>
    <cfRule type="expression" dxfId="9733" priority="3432">
      <formula>$A31="Level Crossing"</formula>
    </cfRule>
    <cfRule type="expression" dxfId="9732" priority="3433">
      <formula>$A31="Neutral Section"</formula>
    </cfRule>
    <cfRule type="expression" dxfId="9731" priority="3434">
      <formula>$A31="Tunnel"</formula>
    </cfRule>
    <cfRule type="expression" dxfId="9730" priority="3435">
      <formula>$A31="Bridge"</formula>
    </cfRule>
    <cfRule type="expression" dxfId="9729" priority="3436">
      <formula>$A31="Drainage Works"</formula>
    </cfRule>
    <cfRule type="expression" dxfId="9728" priority="3437">
      <formula>$A31="Underpass"</formula>
    </cfRule>
    <cfRule type="expression" dxfId="9727" priority="3438">
      <formula>$A31="Overcrossing"</formula>
    </cfRule>
    <cfRule type="expression" dxfId="9726" priority="3439">
      <formula>$A31="Overpass"</formula>
    </cfRule>
    <cfRule type="expression" dxfId="9725" priority="3440">
      <formula>$A31="Station"</formula>
    </cfRule>
    <cfRule type="expression" dxfId="9724" priority="3441">
      <formula>$A31="Overlap between sections"</formula>
    </cfRule>
  </conditionalFormatting>
  <conditionalFormatting sqref="F31:F40">
    <cfRule type="expression" dxfId="9723" priority="3420">
      <formula>$A31="Overhead Cable"</formula>
    </cfRule>
    <cfRule type="expression" dxfId="9722" priority="3421">
      <formula>$A31="Level Crossing"</formula>
    </cfRule>
    <cfRule type="expression" dxfId="9721" priority="3422">
      <formula>$A31="Neutral Section"</formula>
    </cfRule>
    <cfRule type="expression" dxfId="9720" priority="3423">
      <formula>$A31="Tunnel"</formula>
    </cfRule>
    <cfRule type="expression" dxfId="9719" priority="3424">
      <formula>$A31="Bridge"</formula>
    </cfRule>
    <cfRule type="expression" dxfId="9718" priority="3425">
      <formula>$A31="Drainage Works"</formula>
    </cfRule>
    <cfRule type="expression" dxfId="9717" priority="3426">
      <formula>$A31="Underpass"</formula>
    </cfRule>
    <cfRule type="expression" dxfId="9716" priority="3427">
      <formula>$A31="Overcrossing"</formula>
    </cfRule>
    <cfRule type="expression" dxfId="9715" priority="3428">
      <formula>$A31="Overpass"</formula>
    </cfRule>
    <cfRule type="expression" dxfId="9714" priority="3429">
      <formula>$A31="Station"</formula>
    </cfRule>
    <cfRule type="expression" dxfId="9713" priority="3430">
      <formula>$A31="Overlap between sections"</formula>
    </cfRule>
  </conditionalFormatting>
  <conditionalFormatting sqref="Q31:Q40">
    <cfRule type="expression" dxfId="9712" priority="3409">
      <formula>$A31="Overhead Cable"</formula>
    </cfRule>
    <cfRule type="expression" dxfId="9711" priority="3410">
      <formula>$A31="Level Crossing"</formula>
    </cfRule>
    <cfRule type="expression" dxfId="9710" priority="3411">
      <formula>$A31="Neutral Section"</formula>
    </cfRule>
    <cfRule type="expression" dxfId="9709" priority="3412">
      <formula>$A31="Tunnel"</formula>
    </cfRule>
    <cfRule type="expression" dxfId="9708" priority="3413">
      <formula>$A31="Bridge"</formula>
    </cfRule>
    <cfRule type="expression" dxfId="9707" priority="3414">
      <formula>$A31="Drainage Works"</formula>
    </cfRule>
    <cfRule type="expression" dxfId="9706" priority="3415">
      <formula>$A31="Underpass"</formula>
    </cfRule>
    <cfRule type="expression" dxfId="9705" priority="3416">
      <formula>$A31="Overcrossing"</formula>
    </cfRule>
    <cfRule type="expression" dxfId="9704" priority="3417">
      <formula>$A31="Overpass"</formula>
    </cfRule>
    <cfRule type="expression" dxfId="9703" priority="3418">
      <formula>$A31="Station"</formula>
    </cfRule>
    <cfRule type="expression" dxfId="9702" priority="3419">
      <formula>$A31="Overlap between sections"</formula>
    </cfRule>
  </conditionalFormatting>
  <conditionalFormatting sqref="T31:T40">
    <cfRule type="expression" dxfId="9701" priority="3398">
      <formula>$A31="Overhead Cable"</formula>
    </cfRule>
    <cfRule type="expression" dxfId="9700" priority="3399">
      <formula>$A31="Level Crossing"</formula>
    </cfRule>
    <cfRule type="expression" dxfId="9699" priority="3400">
      <formula>$A31="Neutral Section"</formula>
    </cfRule>
    <cfRule type="expression" dxfId="9698" priority="3401">
      <formula>$A31="Tunnel"</formula>
    </cfRule>
    <cfRule type="expression" dxfId="9697" priority="3402">
      <formula>$A31="Bridge"</formula>
    </cfRule>
    <cfRule type="expression" dxfId="9696" priority="3403">
      <formula>$A31="Drainage Works"</formula>
    </cfRule>
    <cfRule type="expression" dxfId="9695" priority="3404">
      <formula>$A31="Underpass"</formula>
    </cfRule>
    <cfRule type="expression" dxfId="9694" priority="3405">
      <formula>$A31="Overcrossing"</formula>
    </cfRule>
    <cfRule type="expression" dxfId="9693" priority="3406">
      <formula>$A31="Overpass"</formula>
    </cfRule>
    <cfRule type="expression" dxfId="9692" priority="3407">
      <formula>$A31="Station"</formula>
    </cfRule>
    <cfRule type="expression" dxfId="9691" priority="3408">
      <formula>$A31="Overlap between sections"</formula>
    </cfRule>
  </conditionalFormatting>
  <conditionalFormatting sqref="U31:U40">
    <cfRule type="expression" dxfId="9690" priority="3387">
      <formula>$A31="Overhead Cable"</formula>
    </cfRule>
    <cfRule type="expression" dxfId="9689" priority="3388">
      <formula>$A31="Level Crossing"</formula>
    </cfRule>
    <cfRule type="expression" dxfId="9688" priority="3389">
      <formula>$A31="Neutral Section"</formula>
    </cfRule>
    <cfRule type="expression" dxfId="9687" priority="3390">
      <formula>$A31="Tunnel"</formula>
    </cfRule>
    <cfRule type="expression" dxfId="9686" priority="3391">
      <formula>$A31="Bridge"</formula>
    </cfRule>
    <cfRule type="expression" dxfId="9685" priority="3392">
      <formula>$A31="Drainage Works"</formula>
    </cfRule>
    <cfRule type="expression" dxfId="9684" priority="3393">
      <formula>$A31="Underpass"</formula>
    </cfRule>
    <cfRule type="expression" dxfId="9683" priority="3394">
      <formula>$A31="Overcrossing"</formula>
    </cfRule>
    <cfRule type="expression" dxfId="9682" priority="3395">
      <formula>$A31="Overpass"</formula>
    </cfRule>
    <cfRule type="expression" dxfId="9681" priority="3396">
      <formula>$A31="Station"</formula>
    </cfRule>
    <cfRule type="expression" dxfId="9680" priority="3397">
      <formula>$A31="Overlap between sections"</formula>
    </cfRule>
  </conditionalFormatting>
  <conditionalFormatting sqref="V31:V40">
    <cfRule type="expression" dxfId="9679" priority="3376">
      <formula>$A31="Overhead Cable"</formula>
    </cfRule>
    <cfRule type="expression" dxfId="9678" priority="3377">
      <formula>$A31="Level Crossing"</formula>
    </cfRule>
    <cfRule type="expression" dxfId="9677" priority="3378">
      <formula>$A31="Neutral Section"</formula>
    </cfRule>
    <cfRule type="expression" dxfId="9676" priority="3379">
      <formula>$A31="Tunnel"</formula>
    </cfRule>
    <cfRule type="expression" dxfId="9675" priority="3380">
      <formula>$A31="Bridge"</formula>
    </cfRule>
    <cfRule type="expression" dxfId="9674" priority="3381">
      <formula>$A31="Drainage Works"</formula>
    </cfRule>
    <cfRule type="expression" dxfId="9673" priority="3382">
      <formula>$A31="Underpass"</formula>
    </cfRule>
    <cfRule type="expression" dxfId="9672" priority="3383">
      <formula>$A31="Overcrossing"</formula>
    </cfRule>
    <cfRule type="expression" dxfId="9671" priority="3384">
      <formula>$A31="Overpass"</formula>
    </cfRule>
    <cfRule type="expression" dxfId="9670" priority="3385">
      <formula>$A31="Station"</formula>
    </cfRule>
    <cfRule type="expression" dxfId="9669" priority="3386">
      <formula>$A31="Overlap between sections"</formula>
    </cfRule>
  </conditionalFormatting>
  <conditionalFormatting sqref="AF31:AF40">
    <cfRule type="expression" dxfId="9668" priority="3365">
      <formula>$A31="Overhead Cable"</formula>
    </cfRule>
    <cfRule type="expression" dxfId="9667" priority="3366">
      <formula>$A31="Level Crossing"</formula>
    </cfRule>
    <cfRule type="expression" dxfId="9666" priority="3367">
      <formula>$A31="Neutral Section"</formula>
    </cfRule>
    <cfRule type="expression" dxfId="9665" priority="3368">
      <formula>$A31="Tunnel"</formula>
    </cfRule>
    <cfRule type="expression" dxfId="9664" priority="3369">
      <formula>$A31="Bridge"</formula>
    </cfRule>
    <cfRule type="expression" dxfId="9663" priority="3370">
      <formula>$A31="Drainage Works"</formula>
    </cfRule>
    <cfRule type="expression" dxfId="9662" priority="3371">
      <formula>$A31="Underpass"</formula>
    </cfRule>
    <cfRule type="expression" dxfId="9661" priority="3372">
      <formula>$A31="Overcrossing"</formula>
    </cfRule>
    <cfRule type="expression" dxfId="9660" priority="3373">
      <formula>$A31="Overpass"</formula>
    </cfRule>
    <cfRule type="expression" dxfId="9659" priority="3374">
      <formula>$A31="Station"</formula>
    </cfRule>
    <cfRule type="expression" dxfId="9658" priority="3375">
      <formula>$A31="Overlap between sections"</formula>
    </cfRule>
  </conditionalFormatting>
  <conditionalFormatting sqref="AH31:AH40">
    <cfRule type="expression" dxfId="9657" priority="3354">
      <formula>$A31="Overhead Cable"</formula>
    </cfRule>
    <cfRule type="expression" dxfId="9656" priority="3355">
      <formula>$A31="Level Crossing"</formula>
    </cfRule>
    <cfRule type="expression" dxfId="9655" priority="3356">
      <formula>$A31="Neutral Section"</formula>
    </cfRule>
    <cfRule type="expression" dxfId="9654" priority="3357">
      <formula>$A31="Tunnel"</formula>
    </cfRule>
    <cfRule type="expression" dxfId="9653" priority="3358">
      <formula>$A31="Bridge"</formula>
    </cfRule>
    <cfRule type="expression" dxfId="9652" priority="3359">
      <formula>$A31="Drainage Works"</formula>
    </cfRule>
    <cfRule type="expression" dxfId="9651" priority="3360">
      <formula>$A31="Underpass"</formula>
    </cfRule>
    <cfRule type="expression" dxfId="9650" priority="3361">
      <formula>$A31="Overcrossing"</formula>
    </cfRule>
    <cfRule type="expression" dxfId="9649" priority="3362">
      <formula>$A31="Overpass"</formula>
    </cfRule>
    <cfRule type="expression" dxfId="9648" priority="3363">
      <formula>$A31="Station"</formula>
    </cfRule>
    <cfRule type="expression" dxfId="9647" priority="3364">
      <formula>$A31="Overlap between sections"</formula>
    </cfRule>
  </conditionalFormatting>
  <conditionalFormatting sqref="AI31:AI40">
    <cfRule type="expression" dxfId="9646" priority="3343">
      <formula>$A31="Overhead Cable"</formula>
    </cfRule>
    <cfRule type="expression" dxfId="9645" priority="3344">
      <formula>$A31="Level Crossing"</formula>
    </cfRule>
    <cfRule type="expression" dxfId="9644" priority="3345">
      <formula>$A31="Neutral Section"</formula>
    </cfRule>
    <cfRule type="expression" dxfId="9643" priority="3346">
      <formula>$A31="Tunnel"</formula>
    </cfRule>
    <cfRule type="expression" dxfId="9642" priority="3347">
      <formula>$A31="Bridge"</formula>
    </cfRule>
    <cfRule type="expression" dxfId="9641" priority="3348">
      <formula>$A31="Drainage Works"</formula>
    </cfRule>
    <cfRule type="expression" dxfId="9640" priority="3349">
      <formula>$A31="Underpass"</formula>
    </cfRule>
    <cfRule type="expression" dxfId="9639" priority="3350">
      <formula>$A31="Overcrossing"</formula>
    </cfRule>
    <cfRule type="expression" dxfId="9638" priority="3351">
      <formula>$A31="Overpass"</formula>
    </cfRule>
    <cfRule type="expression" dxfId="9637" priority="3352">
      <formula>$A31="Station"</formula>
    </cfRule>
    <cfRule type="expression" dxfId="9636" priority="3353">
      <formula>$A31="Overlap between sections"</formula>
    </cfRule>
  </conditionalFormatting>
  <conditionalFormatting sqref="R31:R40">
    <cfRule type="expression" dxfId="9635" priority="3332">
      <formula>$A31="Overhead Cable"</formula>
    </cfRule>
    <cfRule type="expression" dxfId="9634" priority="3333">
      <formula>$A31="Level Crossing"</formula>
    </cfRule>
    <cfRule type="expression" dxfId="9633" priority="3334">
      <formula>$A31="Neutral Section"</formula>
    </cfRule>
    <cfRule type="expression" dxfId="9632" priority="3335">
      <formula>$A31="Tunnel"</formula>
    </cfRule>
    <cfRule type="expression" dxfId="9631" priority="3336">
      <formula>$A31="Bridge"</formula>
    </cfRule>
    <cfRule type="expression" dxfId="9630" priority="3337">
      <formula>$A31="Drainage Works"</formula>
    </cfRule>
    <cfRule type="expression" dxfId="9629" priority="3338">
      <formula>$A31="Underpass"</formula>
    </cfRule>
    <cfRule type="expression" dxfId="9628" priority="3339">
      <formula>$A31="Overcrossing"</formula>
    </cfRule>
    <cfRule type="expression" dxfId="9627" priority="3340">
      <formula>$A31="Overpass"</formula>
    </cfRule>
    <cfRule type="expression" dxfId="9626" priority="3341">
      <formula>$A31="Station"</formula>
    </cfRule>
    <cfRule type="expression" dxfId="9625" priority="3342">
      <formula>$A31="Overlap between sections"</formula>
    </cfRule>
  </conditionalFormatting>
  <conditionalFormatting sqref="S31:S40">
    <cfRule type="expression" dxfId="9624" priority="3321">
      <formula>$A31="Overhead Cable"</formula>
    </cfRule>
    <cfRule type="expression" dxfId="9623" priority="3322">
      <formula>$A31="Level Crossing"</formula>
    </cfRule>
    <cfRule type="expression" dxfId="9622" priority="3323">
      <formula>$A31="Neutral Section"</formula>
    </cfRule>
    <cfRule type="expression" dxfId="9621" priority="3324">
      <formula>$A31="Tunnel"</formula>
    </cfRule>
    <cfRule type="expression" dxfId="9620" priority="3325">
      <formula>$A31="Bridge"</formula>
    </cfRule>
    <cfRule type="expression" dxfId="9619" priority="3326">
      <formula>$A31="Drainage Works"</formula>
    </cfRule>
    <cfRule type="expression" dxfId="9618" priority="3327">
      <formula>$A31="Underpass"</formula>
    </cfRule>
    <cfRule type="expression" dxfId="9617" priority="3328">
      <formula>$A31="Overcrossing"</formula>
    </cfRule>
    <cfRule type="expression" dxfId="9616" priority="3329">
      <formula>$A31="Overpass"</formula>
    </cfRule>
    <cfRule type="expression" dxfId="9615" priority="3330">
      <formula>$A31="Station"</formula>
    </cfRule>
    <cfRule type="expression" dxfId="9614" priority="3331">
      <formula>$A31="Overlap between sections"</formula>
    </cfRule>
  </conditionalFormatting>
  <conditionalFormatting sqref="W32 W40 W38 W36 W34">
    <cfRule type="expression" dxfId="9613" priority="3310">
      <formula>$A32="Overhead Cable"</formula>
    </cfRule>
    <cfRule type="expression" dxfId="9612" priority="3311">
      <formula>$A32="Level Crossing"</formula>
    </cfRule>
    <cfRule type="expression" dxfId="9611" priority="3312">
      <formula>$A32="Neutral Section"</formula>
    </cfRule>
    <cfRule type="expression" dxfId="9610" priority="3313">
      <formula>$A32="Tunnel"</formula>
    </cfRule>
    <cfRule type="expression" dxfId="9609" priority="3314">
      <formula>$A32="Bridge"</formula>
    </cfRule>
    <cfRule type="expression" dxfId="9608" priority="3315">
      <formula>$A32="Drainage Works"</formula>
    </cfRule>
    <cfRule type="expression" dxfId="9607" priority="3316">
      <formula>$A32="Underpass"</formula>
    </cfRule>
    <cfRule type="expression" dxfId="9606" priority="3317">
      <formula>$A32="Overcrossing"</formula>
    </cfRule>
    <cfRule type="expression" dxfId="9605" priority="3318">
      <formula>$A32="Overpass"</formula>
    </cfRule>
    <cfRule type="expression" dxfId="9604" priority="3319">
      <formula>$A32="Station"</formula>
    </cfRule>
    <cfRule type="expression" dxfId="9603" priority="3320">
      <formula>$A32="Overlap between sections"</formula>
    </cfRule>
  </conditionalFormatting>
  <conditionalFormatting sqref="X31:X40">
    <cfRule type="expression" dxfId="9602" priority="3299">
      <formula>$A31="Overhead Cable"</formula>
    </cfRule>
    <cfRule type="expression" dxfId="9601" priority="3300">
      <formula>$A31="Level Crossing"</formula>
    </cfRule>
    <cfRule type="expression" dxfId="9600" priority="3301">
      <formula>$A31="Neutral Section"</formula>
    </cfRule>
    <cfRule type="expression" dxfId="9599" priority="3302">
      <formula>$A31="Tunnel"</formula>
    </cfRule>
    <cfRule type="expression" dxfId="9598" priority="3303">
      <formula>$A31="Bridge"</formula>
    </cfRule>
    <cfRule type="expression" dxfId="9597" priority="3304">
      <formula>$A31="Drainage Works"</formula>
    </cfRule>
    <cfRule type="expression" dxfId="9596" priority="3305">
      <formula>$A31="Underpass"</formula>
    </cfRule>
    <cfRule type="expression" dxfId="9595" priority="3306">
      <formula>$A31="Overcrossing"</formula>
    </cfRule>
    <cfRule type="expression" dxfId="9594" priority="3307">
      <formula>$A31="Overpass"</formula>
    </cfRule>
    <cfRule type="expression" dxfId="9593" priority="3308">
      <formula>$A31="Station"</formula>
    </cfRule>
    <cfRule type="expression" dxfId="9592" priority="3309">
      <formula>$A31="Overlap between sections"</formula>
    </cfRule>
  </conditionalFormatting>
  <conditionalFormatting sqref="Y31:Y40">
    <cfRule type="expression" dxfId="9591" priority="3288">
      <formula>$A31="Overhead Cable"</formula>
    </cfRule>
    <cfRule type="expression" dxfId="9590" priority="3289">
      <formula>$A31="Level Crossing"</formula>
    </cfRule>
    <cfRule type="expression" dxfId="9589" priority="3290">
      <formula>$A31="Neutral Section"</formula>
    </cfRule>
    <cfRule type="expression" dxfId="9588" priority="3291">
      <formula>$A31="Tunnel"</formula>
    </cfRule>
    <cfRule type="expression" dxfId="9587" priority="3292">
      <formula>$A31="Bridge"</formula>
    </cfRule>
    <cfRule type="expression" dxfId="9586" priority="3293">
      <formula>$A31="Drainage Works"</formula>
    </cfRule>
    <cfRule type="expression" dxfId="9585" priority="3294">
      <formula>$A31="Underpass"</formula>
    </cfRule>
    <cfRule type="expression" dxfId="9584" priority="3295">
      <formula>$A31="Overcrossing"</formula>
    </cfRule>
    <cfRule type="expression" dxfId="9583" priority="3296">
      <formula>$A31="Overpass"</formula>
    </cfRule>
    <cfRule type="expression" dxfId="9582" priority="3297">
      <formula>$A31="Station"</formula>
    </cfRule>
    <cfRule type="expression" dxfId="9581" priority="3298">
      <formula>$A31="Overlap between sections"</formula>
    </cfRule>
  </conditionalFormatting>
  <conditionalFormatting sqref="Z31:Z40">
    <cfRule type="expression" dxfId="9580" priority="3277">
      <formula>$A31="Overhead Cable"</formula>
    </cfRule>
    <cfRule type="expression" dxfId="9579" priority="3278">
      <formula>$A31="Level Crossing"</formula>
    </cfRule>
    <cfRule type="expression" dxfId="9578" priority="3279">
      <formula>$A31="Neutral Section"</formula>
    </cfRule>
    <cfRule type="expression" dxfId="9577" priority="3280">
      <formula>$A31="Tunnel"</formula>
    </cfRule>
    <cfRule type="expression" dxfId="9576" priority="3281">
      <formula>$A31="Bridge"</formula>
    </cfRule>
    <cfRule type="expression" dxfId="9575" priority="3282">
      <formula>$A31="Drainage Works"</formula>
    </cfRule>
    <cfRule type="expression" dxfId="9574" priority="3283">
      <formula>$A31="Underpass"</formula>
    </cfRule>
    <cfRule type="expression" dxfId="9573" priority="3284">
      <formula>$A31="Overcrossing"</formula>
    </cfRule>
    <cfRule type="expression" dxfId="9572" priority="3285">
      <formula>$A31="Overpass"</formula>
    </cfRule>
    <cfRule type="expression" dxfId="9571" priority="3286">
      <formula>$A31="Station"</formula>
    </cfRule>
    <cfRule type="expression" dxfId="9570" priority="3287">
      <formula>$A31="Overlap between sections"</formula>
    </cfRule>
  </conditionalFormatting>
  <conditionalFormatting sqref="AA31:AA40">
    <cfRule type="expression" dxfId="9569" priority="3266">
      <formula>$A31="Overhead Cable"</formula>
    </cfRule>
    <cfRule type="expression" dxfId="9568" priority="3267">
      <formula>$A31="Level Crossing"</formula>
    </cfRule>
    <cfRule type="expression" dxfId="9567" priority="3268">
      <formula>$A31="Neutral Section"</formula>
    </cfRule>
    <cfRule type="expression" dxfId="9566" priority="3269">
      <formula>$A31="Tunnel"</formula>
    </cfRule>
    <cfRule type="expression" dxfId="9565" priority="3270">
      <formula>$A31="Bridge"</formula>
    </cfRule>
    <cfRule type="expression" dxfId="9564" priority="3271">
      <formula>$A31="Drainage Works"</formula>
    </cfRule>
    <cfRule type="expression" dxfId="9563" priority="3272">
      <formula>$A31="Underpass"</formula>
    </cfRule>
    <cfRule type="expression" dxfId="9562" priority="3273">
      <formula>$A31="Overcrossing"</formula>
    </cfRule>
    <cfRule type="expression" dxfId="9561" priority="3274">
      <formula>$A31="Overpass"</formula>
    </cfRule>
    <cfRule type="expression" dxfId="9560" priority="3275">
      <formula>$A31="Station"</formula>
    </cfRule>
    <cfRule type="expression" dxfId="9559" priority="3276">
      <formula>$A31="Overlap between sections"</formula>
    </cfRule>
  </conditionalFormatting>
  <conditionalFormatting sqref="AB31:AB40">
    <cfRule type="expression" dxfId="9558" priority="3255">
      <formula>$A31="Overhead Cable"</formula>
    </cfRule>
    <cfRule type="expression" dxfId="9557" priority="3256">
      <formula>$A31="Level Crossing"</formula>
    </cfRule>
    <cfRule type="expression" dxfId="9556" priority="3257">
      <formula>$A31="Neutral Section"</formula>
    </cfRule>
    <cfRule type="expression" dxfId="9555" priority="3258">
      <formula>$A31="Tunnel"</formula>
    </cfRule>
    <cfRule type="expression" dxfId="9554" priority="3259">
      <formula>$A31="Bridge"</formula>
    </cfRule>
    <cfRule type="expression" dxfId="9553" priority="3260">
      <formula>$A31="Drainage Works"</formula>
    </cfRule>
    <cfRule type="expression" dxfId="9552" priority="3261">
      <formula>$A31="Underpass"</formula>
    </cfRule>
    <cfRule type="expression" dxfId="9551" priority="3262">
      <formula>$A31="Overcrossing"</formula>
    </cfRule>
    <cfRule type="expression" dxfId="9550" priority="3263">
      <formula>$A31="Overpass"</formula>
    </cfRule>
    <cfRule type="expression" dxfId="9549" priority="3264">
      <formula>$A31="Station"</formula>
    </cfRule>
    <cfRule type="expression" dxfId="9548" priority="3265">
      <formula>$A31="Overlap between sections"</formula>
    </cfRule>
  </conditionalFormatting>
  <conditionalFormatting sqref="N41">
    <cfRule type="expression" dxfId="9547" priority="3252">
      <formula>$M41="NON DEFINED"</formula>
    </cfRule>
    <cfRule type="expression" dxfId="9546" priority="3253">
      <formula>$AZ41="N.D."</formula>
    </cfRule>
    <cfRule type="expression" dxfId="9545" priority="3254">
      <formula>$AY41="N.D."</formula>
    </cfRule>
  </conditionalFormatting>
  <conditionalFormatting sqref="N41">
    <cfRule type="expression" dxfId="9544" priority="3241">
      <formula>$A41="Overhead Cable"</formula>
    </cfRule>
    <cfRule type="expression" dxfId="9543" priority="3242">
      <formula>$A41="Level Crossing"</formula>
    </cfRule>
    <cfRule type="expression" dxfId="9542" priority="3243">
      <formula>$A41="Neutral Section"</formula>
    </cfRule>
    <cfRule type="expression" dxfId="9541" priority="3244">
      <formula>$A41="Tunnel"</formula>
    </cfRule>
    <cfRule type="expression" dxfId="9540" priority="3245">
      <formula>$A41="Bridge"</formula>
    </cfRule>
    <cfRule type="expression" dxfId="9539" priority="3246">
      <formula>$A41="Drainage Works"</formula>
    </cfRule>
    <cfRule type="expression" dxfId="9538" priority="3247">
      <formula>$A41="Underpass"</formula>
    </cfRule>
    <cfRule type="expression" dxfId="9537" priority="3248">
      <formula>$A41="Overcrossing"</formula>
    </cfRule>
    <cfRule type="expression" dxfId="9536" priority="3249">
      <formula>$A41="Overpass"</formula>
    </cfRule>
    <cfRule type="expression" dxfId="9535" priority="3250">
      <formula>$A41="Station"</formula>
    </cfRule>
    <cfRule type="expression" dxfId="9534" priority="3251">
      <formula>$A41="Overlap between sections"</formula>
    </cfRule>
  </conditionalFormatting>
  <conditionalFormatting sqref="W39">
    <cfRule type="expression" dxfId="9533" priority="3238">
      <formula>$M39="NON DEFINED"</formula>
    </cfRule>
    <cfRule type="expression" dxfId="9532" priority="3239">
      <formula>$AZ39="N.D."</formula>
    </cfRule>
    <cfRule type="expression" dxfId="9531" priority="3240">
      <formula>$AY39="N.D."</formula>
    </cfRule>
  </conditionalFormatting>
  <conditionalFormatting sqref="W39">
    <cfRule type="expression" dxfId="9530" priority="3227">
      <formula>$A39="Overhead Cable"</formula>
    </cfRule>
    <cfRule type="expression" dxfId="9529" priority="3228">
      <formula>$A39="Level Crossing"</formula>
    </cfRule>
    <cfRule type="expression" dxfId="9528" priority="3229">
      <formula>$A39="Neutral Section"</formula>
    </cfRule>
    <cfRule type="expression" dxfId="9527" priority="3230">
      <formula>$A39="Tunnel"</formula>
    </cfRule>
    <cfRule type="expression" dxfId="9526" priority="3231">
      <formula>$A39="Bridge"</formula>
    </cfRule>
    <cfRule type="expression" dxfId="9525" priority="3232">
      <formula>$A39="Drainage Works"</formula>
    </cfRule>
    <cfRule type="expression" dxfId="9524" priority="3233">
      <formula>$A39="Underpass"</formula>
    </cfRule>
    <cfRule type="expression" dxfId="9523" priority="3234">
      <formula>$A39="Overcrossing"</formula>
    </cfRule>
    <cfRule type="expression" dxfId="9522" priority="3235">
      <formula>$A39="Overpass"</formula>
    </cfRule>
    <cfRule type="expression" dxfId="9521" priority="3236">
      <formula>$A39="Station"</formula>
    </cfRule>
    <cfRule type="expression" dxfId="9520" priority="3237">
      <formula>$A39="Overlap between sections"</formula>
    </cfRule>
  </conditionalFormatting>
  <conditionalFormatting sqref="W37">
    <cfRule type="expression" dxfId="9519" priority="3224">
      <formula>$M37="NON DEFINED"</formula>
    </cfRule>
    <cfRule type="expression" dxfId="9518" priority="3225">
      <formula>$AZ37="N.D."</formula>
    </cfRule>
    <cfRule type="expression" dxfId="9517" priority="3226">
      <formula>$AY37="N.D."</formula>
    </cfRule>
  </conditionalFormatting>
  <conditionalFormatting sqref="W37">
    <cfRule type="expression" dxfId="9516" priority="3213">
      <formula>$A37="Overhead Cable"</formula>
    </cfRule>
    <cfRule type="expression" dxfId="9515" priority="3214">
      <formula>$A37="Level Crossing"</formula>
    </cfRule>
    <cfRule type="expression" dxfId="9514" priority="3215">
      <formula>$A37="Neutral Section"</formula>
    </cfRule>
    <cfRule type="expression" dxfId="9513" priority="3216">
      <formula>$A37="Tunnel"</formula>
    </cfRule>
    <cfRule type="expression" dxfId="9512" priority="3217">
      <formula>$A37="Bridge"</formula>
    </cfRule>
    <cfRule type="expression" dxfId="9511" priority="3218">
      <formula>$A37="Drainage Works"</formula>
    </cfRule>
    <cfRule type="expression" dxfId="9510" priority="3219">
      <formula>$A37="Underpass"</formula>
    </cfRule>
    <cfRule type="expression" dxfId="9509" priority="3220">
      <formula>$A37="Overcrossing"</formula>
    </cfRule>
    <cfRule type="expression" dxfId="9508" priority="3221">
      <formula>$A37="Overpass"</formula>
    </cfRule>
    <cfRule type="expression" dxfId="9507" priority="3222">
      <formula>$A37="Station"</formula>
    </cfRule>
    <cfRule type="expression" dxfId="9506" priority="3223">
      <formula>$A37="Overlap between sections"</formula>
    </cfRule>
  </conditionalFormatting>
  <conditionalFormatting sqref="W35">
    <cfRule type="expression" dxfId="9505" priority="3210">
      <formula>$M35="NON DEFINED"</formula>
    </cfRule>
    <cfRule type="expression" dxfId="9504" priority="3211">
      <formula>$AZ35="N.D."</formula>
    </cfRule>
    <cfRule type="expression" dxfId="9503" priority="3212">
      <formula>$AY35="N.D."</formula>
    </cfRule>
  </conditionalFormatting>
  <conditionalFormatting sqref="W35">
    <cfRule type="expression" dxfId="9502" priority="3199">
      <formula>$A35="Overhead Cable"</formula>
    </cfRule>
    <cfRule type="expression" dxfId="9501" priority="3200">
      <formula>$A35="Level Crossing"</formula>
    </cfRule>
    <cfRule type="expression" dxfId="9500" priority="3201">
      <formula>$A35="Neutral Section"</formula>
    </cfRule>
    <cfRule type="expression" dxfId="9499" priority="3202">
      <formula>$A35="Tunnel"</formula>
    </cfRule>
    <cfRule type="expression" dxfId="9498" priority="3203">
      <formula>$A35="Bridge"</formula>
    </cfRule>
    <cfRule type="expression" dxfId="9497" priority="3204">
      <formula>$A35="Drainage Works"</formula>
    </cfRule>
    <cfRule type="expression" dxfId="9496" priority="3205">
      <formula>$A35="Underpass"</formula>
    </cfRule>
    <cfRule type="expression" dxfId="9495" priority="3206">
      <formula>$A35="Overcrossing"</formula>
    </cfRule>
    <cfRule type="expression" dxfId="9494" priority="3207">
      <formula>$A35="Overpass"</formula>
    </cfRule>
    <cfRule type="expression" dxfId="9493" priority="3208">
      <formula>$A35="Station"</formula>
    </cfRule>
    <cfRule type="expression" dxfId="9492" priority="3209">
      <formula>$A35="Overlap between sections"</formula>
    </cfRule>
  </conditionalFormatting>
  <conditionalFormatting sqref="W33">
    <cfRule type="expression" dxfId="9491" priority="3196">
      <formula>$M33="NON DEFINED"</formula>
    </cfRule>
    <cfRule type="expression" dxfId="9490" priority="3197">
      <formula>$AZ33="N.D."</formula>
    </cfRule>
    <cfRule type="expression" dxfId="9489" priority="3198">
      <formula>$AY33="N.D."</formula>
    </cfRule>
  </conditionalFormatting>
  <conditionalFormatting sqref="W33">
    <cfRule type="expression" dxfId="9488" priority="3185">
      <formula>$A33="Overhead Cable"</formula>
    </cfRule>
    <cfRule type="expression" dxfId="9487" priority="3186">
      <formula>$A33="Level Crossing"</formula>
    </cfRule>
    <cfRule type="expression" dxfId="9486" priority="3187">
      <formula>$A33="Neutral Section"</formula>
    </cfRule>
    <cfRule type="expression" dxfId="9485" priority="3188">
      <formula>$A33="Tunnel"</formula>
    </cfRule>
    <cfRule type="expression" dxfId="9484" priority="3189">
      <formula>$A33="Bridge"</formula>
    </cfRule>
    <cfRule type="expression" dxfId="9483" priority="3190">
      <formula>$A33="Drainage Works"</formula>
    </cfRule>
    <cfRule type="expression" dxfId="9482" priority="3191">
      <formula>$A33="Underpass"</formula>
    </cfRule>
    <cfRule type="expression" dxfId="9481" priority="3192">
      <formula>$A33="Overcrossing"</formula>
    </cfRule>
    <cfRule type="expression" dxfId="9480" priority="3193">
      <formula>$A33="Overpass"</formula>
    </cfRule>
    <cfRule type="expression" dxfId="9479" priority="3194">
      <formula>$A33="Station"</formula>
    </cfRule>
    <cfRule type="expression" dxfId="9478" priority="3195">
      <formula>$A33="Overlap between sections"</formula>
    </cfRule>
  </conditionalFormatting>
  <conditionalFormatting sqref="W31">
    <cfRule type="expression" dxfId="9477" priority="3182">
      <formula>$M31="NON DEFINED"</formula>
    </cfRule>
    <cfRule type="expression" dxfId="9476" priority="3183">
      <formula>$AZ31="N.D."</formula>
    </cfRule>
    <cfRule type="expression" dxfId="9475" priority="3184">
      <formula>$AY31="N.D."</formula>
    </cfRule>
  </conditionalFormatting>
  <conditionalFormatting sqref="W31">
    <cfRule type="expression" dxfId="9474" priority="3171">
      <formula>$A31="Overhead Cable"</formula>
    </cfRule>
    <cfRule type="expression" dxfId="9473" priority="3172">
      <formula>$A31="Level Crossing"</formula>
    </cfRule>
    <cfRule type="expression" dxfId="9472" priority="3173">
      <formula>$A31="Neutral Section"</formula>
    </cfRule>
    <cfRule type="expression" dxfId="9471" priority="3174">
      <formula>$A31="Tunnel"</formula>
    </cfRule>
    <cfRule type="expression" dxfId="9470" priority="3175">
      <formula>$A31="Bridge"</formula>
    </cfRule>
    <cfRule type="expression" dxfId="9469" priority="3176">
      <formula>$A31="Drainage Works"</formula>
    </cfRule>
    <cfRule type="expression" dxfId="9468" priority="3177">
      <formula>$A31="Underpass"</formula>
    </cfRule>
    <cfRule type="expression" dxfId="9467" priority="3178">
      <formula>$A31="Overcrossing"</formula>
    </cfRule>
    <cfRule type="expression" dxfId="9466" priority="3179">
      <formula>$A31="Overpass"</formula>
    </cfRule>
    <cfRule type="expression" dxfId="9465" priority="3180">
      <formula>$A31="Station"</formula>
    </cfRule>
    <cfRule type="expression" dxfId="9464" priority="3181">
      <formula>$A31="Overlap between sections"</formula>
    </cfRule>
  </conditionalFormatting>
  <conditionalFormatting sqref="W29">
    <cfRule type="expression" dxfId="9463" priority="3168">
      <formula>$M29="NON DEFINED"</formula>
    </cfRule>
    <cfRule type="expression" dxfId="9462" priority="3169">
      <formula>$AZ29="N.D."</formula>
    </cfRule>
    <cfRule type="expression" dxfId="9461" priority="3170">
      <formula>$AY29="N.D."</formula>
    </cfRule>
  </conditionalFormatting>
  <conditionalFormatting sqref="W29">
    <cfRule type="expression" dxfId="9460" priority="3157">
      <formula>$A29="Overhead Cable"</formula>
    </cfRule>
    <cfRule type="expression" dxfId="9459" priority="3158">
      <formula>$A29="Level Crossing"</formula>
    </cfRule>
    <cfRule type="expression" dxfId="9458" priority="3159">
      <formula>$A29="Neutral Section"</formula>
    </cfRule>
    <cfRule type="expression" dxfId="9457" priority="3160">
      <formula>$A29="Tunnel"</formula>
    </cfRule>
    <cfRule type="expression" dxfId="9456" priority="3161">
      <formula>$A29="Bridge"</formula>
    </cfRule>
    <cfRule type="expression" dxfId="9455" priority="3162">
      <formula>$A29="Drainage Works"</formula>
    </cfRule>
    <cfRule type="expression" dxfId="9454" priority="3163">
      <formula>$A29="Underpass"</formula>
    </cfRule>
    <cfRule type="expression" dxfId="9453" priority="3164">
      <formula>$A29="Overcrossing"</formula>
    </cfRule>
    <cfRule type="expression" dxfId="9452" priority="3165">
      <formula>$A29="Overpass"</formula>
    </cfRule>
    <cfRule type="expression" dxfId="9451" priority="3166">
      <formula>$A29="Station"</formula>
    </cfRule>
    <cfRule type="expression" dxfId="9450" priority="3167">
      <formula>$A29="Overlap between sections"</formula>
    </cfRule>
  </conditionalFormatting>
  <conditionalFormatting sqref="W23">
    <cfRule type="expression" dxfId="9449" priority="3154">
      <formula>$M23="NON DEFINED"</formula>
    </cfRule>
    <cfRule type="expression" dxfId="9448" priority="3155">
      <formula>$AZ23="N.D."</formula>
    </cfRule>
    <cfRule type="expression" dxfId="9447" priority="3156">
      <formula>$AY23="N.D."</formula>
    </cfRule>
  </conditionalFormatting>
  <conditionalFormatting sqref="W23">
    <cfRule type="expression" dxfId="9446" priority="3143">
      <formula>$A23="Overhead Cable"</formula>
    </cfRule>
    <cfRule type="expression" dxfId="9445" priority="3144">
      <formula>$A23="Level Crossing"</formula>
    </cfRule>
    <cfRule type="expression" dxfId="9444" priority="3145">
      <formula>$A23="Neutral Section"</formula>
    </cfRule>
    <cfRule type="expression" dxfId="9443" priority="3146">
      <formula>$A23="Tunnel"</formula>
    </cfRule>
    <cfRule type="expression" dxfId="9442" priority="3147">
      <formula>$A23="Bridge"</formula>
    </cfRule>
    <cfRule type="expression" dxfId="9441" priority="3148">
      <formula>$A23="Drainage Works"</formula>
    </cfRule>
    <cfRule type="expression" dxfId="9440" priority="3149">
      <formula>$A23="Underpass"</formula>
    </cfRule>
    <cfRule type="expression" dxfId="9439" priority="3150">
      <formula>$A23="Overcrossing"</formula>
    </cfRule>
    <cfRule type="expression" dxfId="9438" priority="3151">
      <formula>$A23="Overpass"</formula>
    </cfRule>
    <cfRule type="expression" dxfId="9437" priority="3152">
      <formula>$A23="Station"</formula>
    </cfRule>
    <cfRule type="expression" dxfId="9436" priority="3153">
      <formula>$A23="Overlap between sections"</formula>
    </cfRule>
  </conditionalFormatting>
  <conditionalFormatting sqref="W21">
    <cfRule type="expression" dxfId="9435" priority="3140">
      <formula>$M21="NON DEFINED"</formula>
    </cfRule>
    <cfRule type="expression" dxfId="9434" priority="3141">
      <formula>$AZ21="N.D."</formula>
    </cfRule>
    <cfRule type="expression" dxfId="9433" priority="3142">
      <formula>$AY21="N.D."</formula>
    </cfRule>
  </conditionalFormatting>
  <conditionalFormatting sqref="W21">
    <cfRule type="expression" dxfId="9432" priority="3129">
      <formula>$A21="Overhead Cable"</formula>
    </cfRule>
    <cfRule type="expression" dxfId="9431" priority="3130">
      <formula>$A21="Level Crossing"</formula>
    </cfRule>
    <cfRule type="expression" dxfId="9430" priority="3131">
      <formula>$A21="Neutral Section"</formula>
    </cfRule>
    <cfRule type="expression" dxfId="9429" priority="3132">
      <formula>$A21="Tunnel"</formula>
    </cfRule>
    <cfRule type="expression" dxfId="9428" priority="3133">
      <formula>$A21="Bridge"</formula>
    </cfRule>
    <cfRule type="expression" dxfId="9427" priority="3134">
      <formula>$A21="Drainage Works"</formula>
    </cfRule>
    <cfRule type="expression" dxfId="9426" priority="3135">
      <formula>$A21="Underpass"</formula>
    </cfRule>
    <cfRule type="expression" dxfId="9425" priority="3136">
      <formula>$A21="Overcrossing"</formula>
    </cfRule>
    <cfRule type="expression" dxfId="9424" priority="3137">
      <formula>$A21="Overpass"</formula>
    </cfRule>
    <cfRule type="expression" dxfId="9423" priority="3138">
      <formula>$A21="Station"</formula>
    </cfRule>
    <cfRule type="expression" dxfId="9422" priority="3139">
      <formula>$A21="Overlap between sections"</formula>
    </cfRule>
  </conditionalFormatting>
  <conditionalFormatting sqref="W19">
    <cfRule type="expression" dxfId="9421" priority="3126">
      <formula>$M19="NON DEFINED"</formula>
    </cfRule>
    <cfRule type="expression" dxfId="9420" priority="3127">
      <formula>$AZ19="N.D."</formula>
    </cfRule>
    <cfRule type="expression" dxfId="9419" priority="3128">
      <formula>$AY19="N.D."</formula>
    </cfRule>
  </conditionalFormatting>
  <conditionalFormatting sqref="W19">
    <cfRule type="expression" dxfId="9418" priority="3115">
      <formula>$A19="Overhead Cable"</formula>
    </cfRule>
    <cfRule type="expression" dxfId="9417" priority="3116">
      <formula>$A19="Level Crossing"</formula>
    </cfRule>
    <cfRule type="expression" dxfId="9416" priority="3117">
      <formula>$A19="Neutral Section"</formula>
    </cfRule>
    <cfRule type="expression" dxfId="9415" priority="3118">
      <formula>$A19="Tunnel"</formula>
    </cfRule>
    <cfRule type="expression" dxfId="9414" priority="3119">
      <formula>$A19="Bridge"</formula>
    </cfRule>
    <cfRule type="expression" dxfId="9413" priority="3120">
      <formula>$A19="Drainage Works"</formula>
    </cfRule>
    <cfRule type="expression" dxfId="9412" priority="3121">
      <formula>$A19="Underpass"</formula>
    </cfRule>
    <cfRule type="expression" dxfId="9411" priority="3122">
      <formula>$A19="Overcrossing"</formula>
    </cfRule>
    <cfRule type="expression" dxfId="9410" priority="3123">
      <formula>$A19="Overpass"</formula>
    </cfRule>
    <cfRule type="expression" dxfId="9409" priority="3124">
      <formula>$A19="Station"</formula>
    </cfRule>
    <cfRule type="expression" dxfId="9408" priority="3125">
      <formula>$A19="Overlap between sections"</formula>
    </cfRule>
  </conditionalFormatting>
  <conditionalFormatting sqref="W17">
    <cfRule type="expression" dxfId="9407" priority="3112">
      <formula>$M17="NON DEFINED"</formula>
    </cfRule>
    <cfRule type="expression" dxfId="9406" priority="3113">
      <formula>$AZ17="N.D."</formula>
    </cfRule>
    <cfRule type="expression" dxfId="9405" priority="3114">
      <formula>$AY17="N.D."</formula>
    </cfRule>
  </conditionalFormatting>
  <conditionalFormatting sqref="W17">
    <cfRule type="expression" dxfId="9404" priority="3101">
      <formula>$A17="Overhead Cable"</formula>
    </cfRule>
    <cfRule type="expression" dxfId="9403" priority="3102">
      <formula>$A17="Level Crossing"</formula>
    </cfRule>
    <cfRule type="expression" dxfId="9402" priority="3103">
      <formula>$A17="Neutral Section"</formula>
    </cfRule>
    <cfRule type="expression" dxfId="9401" priority="3104">
      <formula>$A17="Tunnel"</formula>
    </cfRule>
    <cfRule type="expression" dxfId="9400" priority="3105">
      <formula>$A17="Bridge"</formula>
    </cfRule>
    <cfRule type="expression" dxfId="9399" priority="3106">
      <formula>$A17="Drainage Works"</formula>
    </cfRule>
    <cfRule type="expression" dxfId="9398" priority="3107">
      <formula>$A17="Underpass"</formula>
    </cfRule>
    <cfRule type="expression" dxfId="9397" priority="3108">
      <formula>$A17="Overcrossing"</formula>
    </cfRule>
    <cfRule type="expression" dxfId="9396" priority="3109">
      <formula>$A17="Overpass"</formula>
    </cfRule>
    <cfRule type="expression" dxfId="9395" priority="3110">
      <formula>$A17="Station"</formula>
    </cfRule>
    <cfRule type="expression" dxfId="9394" priority="3111">
      <formula>$A17="Overlap between sections"</formula>
    </cfRule>
  </conditionalFormatting>
  <conditionalFormatting sqref="AK31">
    <cfRule type="expression" dxfId="9393" priority="3098">
      <formula>$M31="NON DEFINED"</formula>
    </cfRule>
    <cfRule type="expression" dxfId="9392" priority="3099">
      <formula>$AZ31="N.D."</formula>
    </cfRule>
    <cfRule type="expression" dxfId="9391" priority="3100">
      <formula>$AY31="N.D."</formula>
    </cfRule>
  </conditionalFormatting>
  <conditionalFormatting sqref="AK31">
    <cfRule type="expression" dxfId="9390" priority="3087">
      <formula>$A31="Overhead Cable"</formula>
    </cfRule>
    <cfRule type="expression" dxfId="9389" priority="3088">
      <formula>$A31="Level Crossing"</formula>
    </cfRule>
    <cfRule type="expression" dxfId="9388" priority="3089">
      <formula>$A31="Neutral Section"</formula>
    </cfRule>
    <cfRule type="expression" dxfId="9387" priority="3090">
      <formula>$A31="Tunnel"</formula>
    </cfRule>
    <cfRule type="expression" dxfId="9386" priority="3091">
      <formula>$A31="Bridge"</formula>
    </cfRule>
    <cfRule type="expression" dxfId="9385" priority="3092">
      <formula>$A31="Drainage Works"</formula>
    </cfRule>
    <cfRule type="expression" dxfId="9384" priority="3093">
      <formula>$A31="Underpass"</formula>
    </cfRule>
    <cfRule type="expression" dxfId="9383" priority="3094">
      <formula>$A31="Overcrossing"</formula>
    </cfRule>
    <cfRule type="expression" dxfId="9382" priority="3095">
      <formula>$A31="Overpass"</formula>
    </cfRule>
    <cfRule type="expression" dxfId="9381" priority="3096">
      <formula>$A31="Station"</formula>
    </cfRule>
    <cfRule type="expression" dxfId="9380" priority="3097">
      <formula>$A31="Overlap between sections"</formula>
    </cfRule>
  </conditionalFormatting>
  <conditionalFormatting sqref="AK33">
    <cfRule type="expression" dxfId="9379" priority="3084">
      <formula>$M33="NON DEFINED"</formula>
    </cfRule>
    <cfRule type="expression" dxfId="9378" priority="3085">
      <formula>$AZ33="N.D."</formula>
    </cfRule>
    <cfRule type="expression" dxfId="9377" priority="3086">
      <formula>$AY33="N.D."</formula>
    </cfRule>
  </conditionalFormatting>
  <conditionalFormatting sqref="AK33">
    <cfRule type="expression" dxfId="9376" priority="3073">
      <formula>$A33="Overhead Cable"</formula>
    </cfRule>
    <cfRule type="expression" dxfId="9375" priority="3074">
      <formula>$A33="Level Crossing"</formula>
    </cfRule>
    <cfRule type="expression" dxfId="9374" priority="3075">
      <formula>$A33="Neutral Section"</formula>
    </cfRule>
    <cfRule type="expression" dxfId="9373" priority="3076">
      <formula>$A33="Tunnel"</formula>
    </cfRule>
    <cfRule type="expression" dxfId="9372" priority="3077">
      <formula>$A33="Bridge"</formula>
    </cfRule>
    <cfRule type="expression" dxfId="9371" priority="3078">
      <formula>$A33="Drainage Works"</formula>
    </cfRule>
    <cfRule type="expression" dxfId="9370" priority="3079">
      <formula>$A33="Underpass"</formula>
    </cfRule>
    <cfRule type="expression" dxfId="9369" priority="3080">
      <formula>$A33="Overcrossing"</formula>
    </cfRule>
    <cfRule type="expression" dxfId="9368" priority="3081">
      <formula>$A33="Overpass"</formula>
    </cfRule>
    <cfRule type="expression" dxfId="9367" priority="3082">
      <formula>$A33="Station"</formula>
    </cfRule>
    <cfRule type="expression" dxfId="9366" priority="3083">
      <formula>$A33="Overlap between sections"</formula>
    </cfRule>
  </conditionalFormatting>
  <conditionalFormatting sqref="AK35">
    <cfRule type="expression" dxfId="9365" priority="3070">
      <formula>$M35="NON DEFINED"</formula>
    </cfRule>
    <cfRule type="expression" dxfId="9364" priority="3071">
      <formula>$AZ35="N.D."</formula>
    </cfRule>
    <cfRule type="expression" dxfId="9363" priority="3072">
      <formula>$AY35="N.D."</formula>
    </cfRule>
  </conditionalFormatting>
  <conditionalFormatting sqref="AK35">
    <cfRule type="expression" dxfId="9362" priority="3059">
      <formula>$A35="Overhead Cable"</formula>
    </cfRule>
    <cfRule type="expression" dxfId="9361" priority="3060">
      <formula>$A35="Level Crossing"</formula>
    </cfRule>
    <cfRule type="expression" dxfId="9360" priority="3061">
      <formula>$A35="Neutral Section"</formula>
    </cfRule>
    <cfRule type="expression" dxfId="9359" priority="3062">
      <formula>$A35="Tunnel"</formula>
    </cfRule>
    <cfRule type="expression" dxfId="9358" priority="3063">
      <formula>$A35="Bridge"</formula>
    </cfRule>
    <cfRule type="expression" dxfId="9357" priority="3064">
      <formula>$A35="Drainage Works"</formula>
    </cfRule>
    <cfRule type="expression" dxfId="9356" priority="3065">
      <formula>$A35="Underpass"</formula>
    </cfRule>
    <cfRule type="expression" dxfId="9355" priority="3066">
      <formula>$A35="Overcrossing"</formula>
    </cfRule>
    <cfRule type="expression" dxfId="9354" priority="3067">
      <formula>$A35="Overpass"</formula>
    </cfRule>
    <cfRule type="expression" dxfId="9353" priority="3068">
      <formula>$A35="Station"</formula>
    </cfRule>
    <cfRule type="expression" dxfId="9352" priority="3069">
      <formula>$A35="Overlap between sections"</formula>
    </cfRule>
  </conditionalFormatting>
  <conditionalFormatting sqref="AK43">
    <cfRule type="expression" dxfId="9351" priority="3042">
      <formula>$M43="NON DEFINED"</formula>
    </cfRule>
    <cfRule type="expression" dxfId="9350" priority="3043">
      <formula>$AZ43="N.D."</formula>
    </cfRule>
    <cfRule type="expression" dxfId="9349" priority="3044">
      <formula>$AY43="N.D."</formula>
    </cfRule>
  </conditionalFormatting>
  <conditionalFormatting sqref="AK43">
    <cfRule type="expression" dxfId="9348" priority="3031">
      <formula>$A43="Overhead Cable"</formula>
    </cfRule>
    <cfRule type="expression" dxfId="9347" priority="3032">
      <formula>$A43="Level Crossing"</formula>
    </cfRule>
    <cfRule type="expression" dxfId="9346" priority="3033">
      <formula>$A43="Neutral Section"</formula>
    </cfRule>
    <cfRule type="expression" dxfId="9345" priority="3034">
      <formula>$A43="Tunnel"</formula>
    </cfRule>
    <cfRule type="expression" dxfId="9344" priority="3035">
      <formula>$A43="Bridge"</formula>
    </cfRule>
    <cfRule type="expression" dxfId="9343" priority="3036">
      <formula>$A43="Drainage Works"</formula>
    </cfRule>
    <cfRule type="expression" dxfId="9342" priority="3037">
      <formula>$A43="Underpass"</formula>
    </cfRule>
    <cfRule type="expression" dxfId="9341" priority="3038">
      <formula>$A43="Overcrossing"</formula>
    </cfRule>
    <cfRule type="expression" dxfId="9340" priority="3039">
      <formula>$A43="Overpass"</formula>
    </cfRule>
    <cfRule type="expression" dxfId="9339" priority="3040">
      <formula>$A43="Station"</formula>
    </cfRule>
    <cfRule type="expression" dxfId="9338" priority="3041">
      <formula>$A43="Overlap between sections"</formula>
    </cfRule>
  </conditionalFormatting>
  <conditionalFormatting sqref="AK41">
    <cfRule type="expression" dxfId="9337" priority="3028">
      <formula>$M41="NON DEFINED"</formula>
    </cfRule>
    <cfRule type="expression" dxfId="9336" priority="3029">
      <formula>$AZ41="N.D."</formula>
    </cfRule>
    <cfRule type="expression" dxfId="9335" priority="3030">
      <formula>$AY41="N.D."</formula>
    </cfRule>
  </conditionalFormatting>
  <conditionalFormatting sqref="AK41">
    <cfRule type="expression" dxfId="9334" priority="3017">
      <formula>$A41="Overhead Cable"</formula>
    </cfRule>
    <cfRule type="expression" dxfId="9333" priority="3018">
      <formula>$A41="Level Crossing"</formula>
    </cfRule>
    <cfRule type="expression" dxfId="9332" priority="3019">
      <formula>$A41="Neutral Section"</formula>
    </cfRule>
    <cfRule type="expression" dxfId="9331" priority="3020">
      <formula>$A41="Tunnel"</formula>
    </cfRule>
    <cfRule type="expression" dxfId="9330" priority="3021">
      <formula>$A41="Bridge"</formula>
    </cfRule>
    <cfRule type="expression" dxfId="9329" priority="3022">
      <formula>$A41="Drainage Works"</formula>
    </cfRule>
    <cfRule type="expression" dxfId="9328" priority="3023">
      <formula>$A41="Underpass"</formula>
    </cfRule>
    <cfRule type="expression" dxfId="9327" priority="3024">
      <formula>$A41="Overcrossing"</formula>
    </cfRule>
    <cfRule type="expression" dxfId="9326" priority="3025">
      <formula>$A41="Overpass"</formula>
    </cfRule>
    <cfRule type="expression" dxfId="9325" priority="3026">
      <formula>$A41="Station"</formula>
    </cfRule>
    <cfRule type="expression" dxfId="9324" priority="3027">
      <formula>$A41="Overlap between sections"</formula>
    </cfRule>
  </conditionalFormatting>
  <conditionalFormatting sqref="AK39">
    <cfRule type="expression" dxfId="9323" priority="3014">
      <formula>$M39="NON DEFINED"</formula>
    </cfRule>
    <cfRule type="expression" dxfId="9322" priority="3015">
      <formula>$AZ39="N.D."</formula>
    </cfRule>
    <cfRule type="expression" dxfId="9321" priority="3016">
      <formula>$AY39="N.D."</formula>
    </cfRule>
  </conditionalFormatting>
  <conditionalFormatting sqref="AK39">
    <cfRule type="expression" dxfId="9320" priority="3003">
      <formula>$A39="Overhead Cable"</formula>
    </cfRule>
    <cfRule type="expression" dxfId="9319" priority="3004">
      <formula>$A39="Level Crossing"</formula>
    </cfRule>
    <cfRule type="expression" dxfId="9318" priority="3005">
      <formula>$A39="Neutral Section"</formula>
    </cfRule>
    <cfRule type="expression" dxfId="9317" priority="3006">
      <formula>$A39="Tunnel"</formula>
    </cfRule>
    <cfRule type="expression" dxfId="9316" priority="3007">
      <formula>$A39="Bridge"</formula>
    </cfRule>
    <cfRule type="expression" dxfId="9315" priority="3008">
      <formula>$A39="Drainage Works"</formula>
    </cfRule>
    <cfRule type="expression" dxfId="9314" priority="3009">
      <formula>$A39="Underpass"</formula>
    </cfRule>
    <cfRule type="expression" dxfId="9313" priority="3010">
      <formula>$A39="Overcrossing"</formula>
    </cfRule>
    <cfRule type="expression" dxfId="9312" priority="3011">
      <formula>$A39="Overpass"</formula>
    </cfRule>
    <cfRule type="expression" dxfId="9311" priority="3012">
      <formula>$A39="Station"</formula>
    </cfRule>
    <cfRule type="expression" dxfId="9310" priority="3013">
      <formula>$A39="Overlap between sections"</formula>
    </cfRule>
  </conditionalFormatting>
  <conditionalFormatting sqref="AK37">
    <cfRule type="expression" dxfId="9309" priority="3000">
      <formula>$M37="NON DEFINED"</formula>
    </cfRule>
    <cfRule type="expression" dxfId="9308" priority="3001">
      <formula>$AZ37="N.D."</formula>
    </cfRule>
    <cfRule type="expression" dxfId="9307" priority="3002">
      <formula>$AY37="N.D."</formula>
    </cfRule>
  </conditionalFormatting>
  <conditionalFormatting sqref="AK37">
    <cfRule type="expression" dxfId="9306" priority="2989">
      <formula>$A37="Overhead Cable"</formula>
    </cfRule>
    <cfRule type="expression" dxfId="9305" priority="2990">
      <formula>$A37="Level Crossing"</formula>
    </cfRule>
    <cfRule type="expression" dxfId="9304" priority="2991">
      <formula>$A37="Neutral Section"</formula>
    </cfRule>
    <cfRule type="expression" dxfId="9303" priority="2992">
      <formula>$A37="Tunnel"</formula>
    </cfRule>
    <cfRule type="expression" dxfId="9302" priority="2993">
      <formula>$A37="Bridge"</formula>
    </cfRule>
    <cfRule type="expression" dxfId="9301" priority="2994">
      <formula>$A37="Drainage Works"</formula>
    </cfRule>
    <cfRule type="expression" dxfId="9300" priority="2995">
      <formula>$A37="Underpass"</formula>
    </cfRule>
    <cfRule type="expression" dxfId="9299" priority="2996">
      <formula>$A37="Overcrossing"</formula>
    </cfRule>
    <cfRule type="expression" dxfId="9298" priority="2997">
      <formula>$A37="Overpass"</formula>
    </cfRule>
    <cfRule type="expression" dxfId="9297" priority="2998">
      <formula>$A37="Station"</formula>
    </cfRule>
    <cfRule type="expression" dxfId="9296" priority="2999">
      <formula>$A37="Overlap between sections"</formula>
    </cfRule>
  </conditionalFormatting>
  <conditionalFormatting sqref="B10:B12 B14:B16 B18:B20 B22 X6:AZ15 B6:V8 C9:V15">
    <cfRule type="expression" dxfId="9295" priority="2958">
      <formula>$M6="NON DEFINED"</formula>
    </cfRule>
    <cfRule type="expression" dxfId="9294" priority="2959">
      <formula>$AZ6="N.D."</formula>
    </cfRule>
    <cfRule type="expression" dxfId="9293" priority="2960">
      <formula>$AY6="N.D."</formula>
    </cfRule>
  </conditionalFormatting>
  <conditionalFormatting sqref="AG6:AG15 A6:E8 AY6:AZ15 AM6:AS15 G6:H15 J6:J15 A9:A15 C9:E15 B10:B12 B14:B16 B18:B20 B22">
    <cfRule type="expression" dxfId="9292" priority="2947">
      <formula>$A6="Overhead Cable"</formula>
    </cfRule>
    <cfRule type="expression" dxfId="9291" priority="2948">
      <formula>$A6="Level Crossing"</formula>
    </cfRule>
    <cfRule type="expression" dxfId="9290" priority="2949">
      <formula>$A6="Neutral Section"</formula>
    </cfRule>
    <cfRule type="expression" dxfId="9289" priority="2950">
      <formula>$A6="Tunnel"</formula>
    </cfRule>
    <cfRule type="expression" dxfId="9288" priority="2951">
      <formula>$A6="Bridge"</formula>
    </cfRule>
    <cfRule type="expression" dxfId="9287" priority="2952">
      <formula>$A6="Drainage Works"</formula>
    </cfRule>
    <cfRule type="expression" dxfId="9286" priority="2953">
      <formula>$A6="Underpass"</formula>
    </cfRule>
    <cfRule type="expression" dxfId="9285" priority="2954">
      <formula>$A6="Overcrossing"</formula>
    </cfRule>
    <cfRule type="expression" dxfId="9284" priority="2955">
      <formula>$A6="Overpass"</formula>
    </cfRule>
    <cfRule type="expression" dxfId="9283" priority="2956">
      <formula>$A6="Station"</formula>
    </cfRule>
    <cfRule type="expression" dxfId="9282" priority="2957">
      <formula>$A6="Overlap between sections"</formula>
    </cfRule>
  </conditionalFormatting>
  <conditionalFormatting sqref="AN6:AP15">
    <cfRule type="cellIs" dxfId="9281" priority="2946" operator="notEqual">
      <formula>5.5</formula>
    </cfRule>
  </conditionalFormatting>
  <conditionalFormatting sqref="B6:B8 B10:B12 B14:B16 B18:B20 B22">
    <cfRule type="expression" dxfId="9280" priority="2945">
      <formula>AND($AH6&gt;2499,$AH6&lt;2901)</formula>
    </cfRule>
  </conditionalFormatting>
  <conditionalFormatting sqref="I6:I15">
    <cfRule type="expression" dxfId="9279" priority="2934">
      <formula>$A6="Overhead Cable"</formula>
    </cfRule>
    <cfRule type="expression" dxfId="9278" priority="2935">
      <formula>$A6="Level Crossing"</formula>
    </cfRule>
    <cfRule type="expression" dxfId="9277" priority="2936">
      <formula>$A6="Neutral Section"</formula>
    </cfRule>
    <cfRule type="expression" dxfId="9276" priority="2937">
      <formula>$A6="Tunnel"</formula>
    </cfRule>
    <cfRule type="expression" dxfId="9275" priority="2938">
      <formula>$A6="Bridge"</formula>
    </cfRule>
    <cfRule type="expression" dxfId="9274" priority="2939">
      <formula>$A6="Drainage Works"</formula>
    </cfRule>
    <cfRule type="expression" dxfId="9273" priority="2940">
      <formula>$A6="Underpass"</formula>
    </cfRule>
    <cfRule type="expression" dxfId="9272" priority="2941">
      <formula>$A6="Overcrossing"</formula>
    </cfRule>
    <cfRule type="expression" dxfId="9271" priority="2942">
      <formula>$A6="Overpass"</formula>
    </cfRule>
    <cfRule type="expression" dxfId="9270" priority="2943">
      <formula>$A6="Station"</formula>
    </cfRule>
    <cfRule type="expression" dxfId="9269" priority="2944">
      <formula>$A6="Overlap between sections"</formula>
    </cfRule>
  </conditionalFormatting>
  <conditionalFormatting sqref="K6:K15">
    <cfRule type="expression" dxfId="9268" priority="2923">
      <formula>$A6="Overhead Cable"</formula>
    </cfRule>
    <cfRule type="expression" dxfId="9267" priority="2924">
      <formula>$A6="Level Crossing"</formula>
    </cfRule>
    <cfRule type="expression" dxfId="9266" priority="2925">
      <formula>$A6="Neutral Section"</formula>
    </cfRule>
    <cfRule type="expression" dxfId="9265" priority="2926">
      <formula>$A6="Tunnel"</formula>
    </cfRule>
    <cfRule type="expression" dxfId="9264" priority="2927">
      <formula>$A6="Bridge"</formula>
    </cfRule>
    <cfRule type="expression" dxfId="9263" priority="2928">
      <formula>$A6="Drainage Works"</formula>
    </cfRule>
    <cfRule type="expression" dxfId="9262" priority="2929">
      <formula>$A6="Underpass"</formula>
    </cfRule>
    <cfRule type="expression" dxfId="9261" priority="2930">
      <formula>$A6="Overcrossing"</formula>
    </cfRule>
    <cfRule type="expression" dxfId="9260" priority="2931">
      <formula>$A6="Overpass"</formula>
    </cfRule>
    <cfRule type="expression" dxfId="9259" priority="2932">
      <formula>$A6="Station"</formula>
    </cfRule>
    <cfRule type="expression" dxfId="9258" priority="2933">
      <formula>$A6="Overlap between sections"</formula>
    </cfRule>
  </conditionalFormatting>
  <conditionalFormatting sqref="L6:L15">
    <cfRule type="expression" dxfId="9257" priority="2912">
      <formula>$A6="Overhead Cable"</formula>
    </cfRule>
    <cfRule type="expression" dxfId="9256" priority="2913">
      <formula>$A6="Level Crossing"</formula>
    </cfRule>
    <cfRule type="expression" dxfId="9255" priority="2914">
      <formula>$A6="Neutral Section"</formula>
    </cfRule>
    <cfRule type="expression" dxfId="9254" priority="2915">
      <formula>$A6="Tunnel"</formula>
    </cfRule>
    <cfRule type="expression" dxfId="9253" priority="2916">
      <formula>$A6="Bridge"</formula>
    </cfRule>
    <cfRule type="expression" dxfId="9252" priority="2917">
      <formula>$A6="Drainage Works"</formula>
    </cfRule>
    <cfRule type="expression" dxfId="9251" priority="2918">
      <formula>$A6="Underpass"</formula>
    </cfRule>
    <cfRule type="expression" dxfId="9250" priority="2919">
      <formula>$A6="Overcrossing"</formula>
    </cfRule>
    <cfRule type="expression" dxfId="9249" priority="2920">
      <formula>$A6="Overpass"</formula>
    </cfRule>
    <cfRule type="expression" dxfId="9248" priority="2921">
      <formula>$A6="Station"</formula>
    </cfRule>
    <cfRule type="expression" dxfId="9247" priority="2922">
      <formula>$A6="Overlap between sections"</formula>
    </cfRule>
  </conditionalFormatting>
  <conditionalFormatting sqref="M6:M15">
    <cfRule type="expression" dxfId="9246" priority="2901">
      <formula>$A6="Overhead Cable"</formula>
    </cfRule>
    <cfRule type="expression" dxfId="9245" priority="2902">
      <formula>$A6="Level Crossing"</formula>
    </cfRule>
    <cfRule type="expression" dxfId="9244" priority="2903">
      <formula>$A6="Neutral Section"</formula>
    </cfRule>
    <cfRule type="expression" dxfId="9243" priority="2904">
      <formula>$A6="Tunnel"</formula>
    </cfRule>
    <cfRule type="expression" dxfId="9242" priority="2905">
      <formula>$A6="Bridge"</formula>
    </cfRule>
    <cfRule type="expression" dxfId="9241" priority="2906">
      <formula>$A6="Drainage Works"</formula>
    </cfRule>
    <cfRule type="expression" dxfId="9240" priority="2907">
      <formula>$A6="Underpass"</formula>
    </cfRule>
    <cfRule type="expression" dxfId="9239" priority="2908">
      <formula>$A6="Overcrossing"</formula>
    </cfRule>
    <cfRule type="expression" dxfId="9238" priority="2909">
      <formula>$A6="Overpass"</formula>
    </cfRule>
    <cfRule type="expression" dxfId="9237" priority="2910">
      <formula>$A6="Station"</formula>
    </cfRule>
    <cfRule type="expression" dxfId="9236" priority="2911">
      <formula>$A6="Overlap between sections"</formula>
    </cfRule>
  </conditionalFormatting>
  <conditionalFormatting sqref="N6:N15">
    <cfRule type="expression" dxfId="9235" priority="2890">
      <formula>$A6="Overhead Cable"</formula>
    </cfRule>
    <cfRule type="expression" dxfId="9234" priority="2891">
      <formula>$A6="Level Crossing"</formula>
    </cfRule>
    <cfRule type="expression" dxfId="9233" priority="2892">
      <formula>$A6="Neutral Section"</formula>
    </cfRule>
    <cfRule type="expression" dxfId="9232" priority="2893">
      <formula>$A6="Tunnel"</formula>
    </cfRule>
    <cfRule type="expression" dxfId="9231" priority="2894">
      <formula>$A6="Bridge"</formula>
    </cfRule>
    <cfRule type="expression" dxfId="9230" priority="2895">
      <formula>$A6="Drainage Works"</formula>
    </cfRule>
    <cfRule type="expression" dxfId="9229" priority="2896">
      <formula>$A6="Underpass"</formula>
    </cfRule>
    <cfRule type="expression" dxfId="9228" priority="2897">
      <formula>$A6="Overcrossing"</formula>
    </cfRule>
    <cfRule type="expression" dxfId="9227" priority="2898">
      <formula>$A6="Overpass"</formula>
    </cfRule>
    <cfRule type="expression" dxfId="9226" priority="2899">
      <formula>$A6="Station"</formula>
    </cfRule>
    <cfRule type="expression" dxfId="9225" priority="2900">
      <formula>$A6="Overlap between sections"</formula>
    </cfRule>
  </conditionalFormatting>
  <conditionalFormatting sqref="O6:O15">
    <cfRule type="expression" dxfId="9224" priority="2879">
      <formula>$A6="Overhead Cable"</formula>
    </cfRule>
    <cfRule type="expression" dxfId="9223" priority="2880">
      <formula>$A6="Level Crossing"</formula>
    </cfRule>
    <cfRule type="expression" dxfId="9222" priority="2881">
      <formula>$A6="Neutral Section"</formula>
    </cfRule>
    <cfRule type="expression" dxfId="9221" priority="2882">
      <formula>$A6="Tunnel"</formula>
    </cfRule>
    <cfRule type="expression" dxfId="9220" priority="2883">
      <formula>$A6="Bridge"</formula>
    </cfRule>
    <cfRule type="expression" dxfId="9219" priority="2884">
      <formula>$A6="Drainage Works"</formula>
    </cfRule>
    <cfRule type="expression" dxfId="9218" priority="2885">
      <formula>$A6="Underpass"</formula>
    </cfRule>
    <cfRule type="expression" dxfId="9217" priority="2886">
      <formula>$A6="Overcrossing"</formula>
    </cfRule>
    <cfRule type="expression" dxfId="9216" priority="2887">
      <formula>$A6="Overpass"</formula>
    </cfRule>
    <cfRule type="expression" dxfId="9215" priority="2888">
      <formula>$A6="Station"</formula>
    </cfRule>
    <cfRule type="expression" dxfId="9214" priority="2889">
      <formula>$A6="Overlap between sections"</formula>
    </cfRule>
  </conditionalFormatting>
  <conditionalFormatting sqref="P6:P15">
    <cfRule type="expression" dxfId="9213" priority="2868">
      <formula>$A6="Overhead Cable"</formula>
    </cfRule>
    <cfRule type="expression" dxfId="9212" priority="2869">
      <formula>$A6="Level Crossing"</formula>
    </cfRule>
    <cfRule type="expression" dxfId="9211" priority="2870">
      <formula>$A6="Neutral Section"</formula>
    </cfRule>
    <cfRule type="expression" dxfId="9210" priority="2871">
      <formula>$A6="Tunnel"</formula>
    </cfRule>
    <cfRule type="expression" dxfId="9209" priority="2872">
      <formula>$A6="Bridge"</formula>
    </cfRule>
    <cfRule type="expression" dxfId="9208" priority="2873">
      <formula>$A6="Drainage Works"</formula>
    </cfRule>
    <cfRule type="expression" dxfId="9207" priority="2874">
      <formula>$A6="Underpass"</formula>
    </cfRule>
    <cfRule type="expression" dxfId="9206" priority="2875">
      <formula>$A6="Overcrossing"</formula>
    </cfRule>
    <cfRule type="expression" dxfId="9205" priority="2876">
      <formula>$A6="Overpass"</formula>
    </cfRule>
    <cfRule type="expression" dxfId="9204" priority="2877">
      <formula>$A6="Station"</formula>
    </cfRule>
    <cfRule type="expression" dxfId="9203" priority="2878">
      <formula>$A6="Overlap between sections"</formula>
    </cfRule>
  </conditionalFormatting>
  <conditionalFormatting sqref="AC6:AC15">
    <cfRule type="expression" dxfId="9202" priority="2857">
      <formula>$A6="Overhead Cable"</formula>
    </cfRule>
    <cfRule type="expression" dxfId="9201" priority="2858">
      <formula>$A6="Level Crossing"</formula>
    </cfRule>
    <cfRule type="expression" dxfId="9200" priority="2859">
      <formula>$A6="Neutral Section"</formula>
    </cfRule>
    <cfRule type="expression" dxfId="9199" priority="2860">
      <formula>$A6="Tunnel"</formula>
    </cfRule>
    <cfRule type="expression" dxfId="9198" priority="2861">
      <formula>$A6="Bridge"</formula>
    </cfRule>
    <cfRule type="expression" dxfId="9197" priority="2862">
      <formula>$A6="Drainage Works"</formula>
    </cfRule>
    <cfRule type="expression" dxfId="9196" priority="2863">
      <formula>$A6="Underpass"</formula>
    </cfRule>
    <cfRule type="expression" dxfId="9195" priority="2864">
      <formula>$A6="Overcrossing"</formula>
    </cfRule>
    <cfRule type="expression" dxfId="9194" priority="2865">
      <formula>$A6="Overpass"</formula>
    </cfRule>
    <cfRule type="expression" dxfId="9193" priority="2866">
      <formula>$A6="Station"</formula>
    </cfRule>
    <cfRule type="expression" dxfId="9192" priority="2867">
      <formula>$A6="Overlap between sections"</formula>
    </cfRule>
  </conditionalFormatting>
  <conditionalFormatting sqref="AD6:AD15">
    <cfRule type="expression" dxfId="9191" priority="2846">
      <formula>$A6="Overhead Cable"</formula>
    </cfRule>
    <cfRule type="expression" dxfId="9190" priority="2847">
      <formula>$A6="Level Crossing"</formula>
    </cfRule>
    <cfRule type="expression" dxfId="9189" priority="2848">
      <formula>$A6="Neutral Section"</formula>
    </cfRule>
    <cfRule type="expression" dxfId="9188" priority="2849">
      <formula>$A6="Tunnel"</formula>
    </cfRule>
    <cfRule type="expression" dxfId="9187" priority="2850">
      <formula>$A6="Bridge"</formula>
    </cfRule>
    <cfRule type="expression" dxfId="9186" priority="2851">
      <formula>$A6="Drainage Works"</formula>
    </cfRule>
    <cfRule type="expression" dxfId="9185" priority="2852">
      <formula>$A6="Underpass"</formula>
    </cfRule>
    <cfRule type="expression" dxfId="9184" priority="2853">
      <formula>$A6="Overcrossing"</formula>
    </cfRule>
    <cfRule type="expression" dxfId="9183" priority="2856">
      <formula>$A6="Overlap between sections"</formula>
    </cfRule>
    <cfRule type="expression" dxfId="9182" priority="4775">
      <formula>$A6="Overpass"</formula>
    </cfRule>
    <cfRule type="expression" dxfId="9181" priority="4775">
      <formula>$A6="Station"</formula>
    </cfRule>
  </conditionalFormatting>
  <conditionalFormatting sqref="AE6:AE15">
    <cfRule type="expression" dxfId="9180" priority="2835">
      <formula>$A6="Overhead Cable"</formula>
    </cfRule>
    <cfRule type="expression" dxfId="9179" priority="2836">
      <formula>$A6="Level Crossing"</formula>
    </cfRule>
    <cfRule type="expression" dxfId="9178" priority="2837">
      <formula>$A6="Neutral Section"</formula>
    </cfRule>
    <cfRule type="expression" dxfId="9177" priority="2838">
      <formula>$A6="Tunnel"</formula>
    </cfRule>
    <cfRule type="expression" dxfId="9176" priority="2839">
      <formula>$A6="Bridge"</formula>
    </cfRule>
    <cfRule type="expression" dxfId="9175" priority="2840">
      <formula>$A6="Drainage Works"</formula>
    </cfRule>
    <cfRule type="expression" dxfId="9174" priority="2841">
      <formula>$A6="Underpass"</formula>
    </cfRule>
    <cfRule type="expression" dxfId="9173" priority="2842">
      <formula>$A6="Overcrossing"</formula>
    </cfRule>
    <cfRule type="expression" dxfId="9172" priority="2843">
      <formula>$A6="Overpass"</formula>
    </cfRule>
    <cfRule type="expression" dxfId="9171" priority="2844">
      <formula>$A6="Station"</formula>
    </cfRule>
    <cfRule type="expression" dxfId="9170" priority="2845">
      <formula>$A6="Overlap between sections"</formula>
    </cfRule>
  </conditionalFormatting>
  <conditionalFormatting sqref="AJ6:AJ15">
    <cfRule type="expression" dxfId="9169" priority="2824">
      <formula>$A6="Overhead Cable"</formula>
    </cfRule>
    <cfRule type="expression" dxfId="9168" priority="2825">
      <formula>$A6="Level Crossing"</formula>
    </cfRule>
    <cfRule type="expression" dxfId="9167" priority="2826">
      <formula>$A6="Neutral Section"</formula>
    </cfRule>
    <cfRule type="expression" dxfId="9166" priority="2827">
      <formula>$A6="Tunnel"</formula>
    </cfRule>
    <cfRule type="expression" dxfId="9165" priority="2828">
      <formula>$A6="Bridge"</formula>
    </cfRule>
    <cfRule type="expression" dxfId="9164" priority="2829">
      <formula>$A6="Drainage Works"</formula>
    </cfRule>
    <cfRule type="expression" dxfId="9163" priority="2830">
      <formula>$A6="Underpass"</formula>
    </cfRule>
    <cfRule type="expression" dxfId="9162" priority="2831">
      <formula>$A6="Overcrossing"</formula>
    </cfRule>
    <cfRule type="expression" dxfId="9161" priority="2832">
      <formula>$A6="Overpass"</formula>
    </cfRule>
    <cfRule type="expression" dxfId="9160" priority="2833">
      <formula>$A6="Station"</formula>
    </cfRule>
    <cfRule type="expression" dxfId="9159" priority="2834">
      <formula>$A6="Overlap between sections"</formula>
    </cfRule>
  </conditionalFormatting>
  <conditionalFormatting sqref="AK6:AK15">
    <cfRule type="expression" dxfId="9158" priority="2813">
      <formula>$A6="Overhead Cable"</formula>
    </cfRule>
    <cfRule type="expression" dxfId="9157" priority="2814">
      <formula>$A6="Level Crossing"</formula>
    </cfRule>
    <cfRule type="expression" dxfId="9156" priority="2815">
      <formula>$A6="Neutral Section"</formula>
    </cfRule>
    <cfRule type="expression" dxfId="9155" priority="2816">
      <formula>$A6="Tunnel"</formula>
    </cfRule>
    <cfRule type="expression" dxfId="9154" priority="2817">
      <formula>$A6="Bridge"</formula>
    </cfRule>
    <cfRule type="expression" dxfId="9153" priority="2818">
      <formula>$A6="Drainage Works"</formula>
    </cfRule>
    <cfRule type="expression" dxfId="9152" priority="2819">
      <formula>$A6="Underpass"</formula>
    </cfRule>
    <cfRule type="expression" dxfId="9151" priority="2820">
      <formula>$A6="Overcrossing"</formula>
    </cfRule>
    <cfRule type="expression" dxfId="9150" priority="2821">
      <formula>$A6="Overpass"</formula>
    </cfRule>
    <cfRule type="expression" dxfId="9149" priority="2822">
      <formula>$A6="Station"</formula>
    </cfRule>
    <cfRule type="expression" dxfId="9148" priority="2823">
      <formula>$A6="Overlap between sections"</formula>
    </cfRule>
  </conditionalFormatting>
  <conditionalFormatting sqref="AL6:AL15">
    <cfRule type="expression" dxfId="9147" priority="2802">
      <formula>$A6="Overhead Cable"</formula>
    </cfRule>
    <cfRule type="expression" dxfId="9146" priority="2803">
      <formula>$A6="Level Crossing"</formula>
    </cfRule>
    <cfRule type="expression" dxfId="9145" priority="2804">
      <formula>$A6="Neutral Section"</formula>
    </cfRule>
    <cfRule type="expression" dxfId="9144" priority="2805">
      <formula>$A6="Tunnel"</formula>
    </cfRule>
    <cfRule type="expression" dxfId="9143" priority="2806">
      <formula>$A6="Bridge"</formula>
    </cfRule>
    <cfRule type="expression" dxfId="9142" priority="2807">
      <formula>$A6="Drainage Works"</formula>
    </cfRule>
    <cfRule type="expression" dxfId="9141" priority="2808">
      <formula>$A6="Underpass"</formula>
    </cfRule>
    <cfRule type="expression" dxfId="9140" priority="2809">
      <formula>$A6="Overcrossing"</formula>
    </cfRule>
    <cfRule type="expression" dxfId="9139" priority="2810">
      <formula>$A6="Overpass"</formula>
    </cfRule>
    <cfRule type="expression" dxfId="9138" priority="2811">
      <formula>$A6="Station"</formula>
    </cfRule>
    <cfRule type="expression" dxfId="9137" priority="2812">
      <formula>$A6="Overlap between sections"</formula>
    </cfRule>
  </conditionalFormatting>
  <conditionalFormatting sqref="AT6:AT15">
    <cfRule type="expression" dxfId="9136" priority="2791">
      <formula>$A6="Overhead Cable"</formula>
    </cfRule>
    <cfRule type="expression" dxfId="9135" priority="2792">
      <formula>$A6="Level Crossing"</formula>
    </cfRule>
    <cfRule type="expression" dxfId="9134" priority="2793">
      <formula>$A6="Neutral Section"</formula>
    </cfRule>
    <cfRule type="expression" dxfId="9133" priority="2794">
      <formula>$A6="Tunnel"</formula>
    </cfRule>
    <cfRule type="expression" dxfId="9132" priority="2795">
      <formula>$A6="Bridge"</formula>
    </cfRule>
    <cfRule type="expression" dxfId="9131" priority="2796">
      <formula>$A6="Drainage Works"</formula>
    </cfRule>
    <cfRule type="expression" dxfId="9130" priority="2797">
      <formula>$A6="Underpass"</formula>
    </cfRule>
    <cfRule type="expression" dxfId="9129" priority="2798">
      <formula>$A6="Overcrossing"</formula>
    </cfRule>
    <cfRule type="expression" dxfId="9128" priority="2799">
      <formula>$A6="Overpass"</formula>
    </cfRule>
    <cfRule type="expression" dxfId="9127" priority="2800">
      <formula>$A6="Station"</formula>
    </cfRule>
    <cfRule type="expression" dxfId="9126" priority="2801">
      <formula>$A6="Overlap between sections"</formula>
    </cfRule>
  </conditionalFormatting>
  <conditionalFormatting sqref="AU6:AU15">
    <cfRule type="expression" dxfId="9125" priority="2780">
      <formula>$A6="Overhead Cable"</formula>
    </cfRule>
    <cfRule type="expression" dxfId="9124" priority="2781">
      <formula>$A6="Level Crossing"</formula>
    </cfRule>
    <cfRule type="expression" dxfId="9123" priority="2782">
      <formula>$A6="Neutral Section"</formula>
    </cfRule>
    <cfRule type="expression" dxfId="9122" priority="2783">
      <formula>$A6="Tunnel"</formula>
    </cfRule>
    <cfRule type="expression" dxfId="9121" priority="2784">
      <formula>$A6="Bridge"</formula>
    </cfRule>
    <cfRule type="expression" dxfId="9120" priority="2785">
      <formula>$A6="Drainage Works"</formula>
    </cfRule>
    <cfRule type="expression" dxfId="9119" priority="2786">
      <formula>$A6="Underpass"</formula>
    </cfRule>
    <cfRule type="expression" dxfId="9118" priority="2787">
      <formula>$A6="Overcrossing"</formula>
    </cfRule>
    <cfRule type="expression" dxfId="9117" priority="2788">
      <formula>$A6="Overpass"</formula>
    </cfRule>
    <cfRule type="expression" dxfId="9116" priority="2789">
      <formula>$A6="Station"</formula>
    </cfRule>
    <cfRule type="expression" dxfId="9115" priority="2790">
      <formula>$A6="Overlap between sections"</formula>
    </cfRule>
  </conditionalFormatting>
  <conditionalFormatting sqref="AV6:AV15">
    <cfRule type="expression" dxfId="9114" priority="2769">
      <formula>$A6="Overhead Cable"</formula>
    </cfRule>
    <cfRule type="expression" dxfId="9113" priority="2770">
      <formula>$A6="Level Crossing"</formula>
    </cfRule>
    <cfRule type="expression" dxfId="9112" priority="2771">
      <formula>$A6="Neutral Section"</formula>
    </cfRule>
    <cfRule type="expression" dxfId="9111" priority="2772">
      <formula>$A6="Tunnel"</formula>
    </cfRule>
    <cfRule type="expression" dxfId="9110" priority="2773">
      <formula>$A6="Bridge"</formula>
    </cfRule>
    <cfRule type="expression" dxfId="9109" priority="2774">
      <formula>$A6="Drainage Works"</formula>
    </cfRule>
    <cfRule type="expression" dxfId="9108" priority="2775">
      <formula>$A6="Underpass"</formula>
    </cfRule>
    <cfRule type="expression" dxfId="9107" priority="2776">
      <formula>$A6="Overcrossing"</formula>
    </cfRule>
    <cfRule type="expression" dxfId="9106" priority="2777">
      <formula>$A6="Overpass"</formula>
    </cfRule>
    <cfRule type="expression" dxfId="9105" priority="2778">
      <formula>$A6="Station"</formula>
    </cfRule>
    <cfRule type="expression" dxfId="9104" priority="2779">
      <formula>$A6="Overlap between sections"</formula>
    </cfRule>
  </conditionalFormatting>
  <conditionalFormatting sqref="AW6:AW15">
    <cfRule type="expression" dxfId="9103" priority="2758">
      <formula>$A6="Overhead Cable"</formula>
    </cfRule>
    <cfRule type="expression" dxfId="9102" priority="2759">
      <formula>$A6="Level Crossing"</formula>
    </cfRule>
    <cfRule type="expression" dxfId="9101" priority="2760">
      <formula>$A6="Neutral Section"</formula>
    </cfRule>
    <cfRule type="expression" dxfId="9100" priority="2761">
      <formula>$A6="Tunnel"</formula>
    </cfRule>
    <cfRule type="expression" dxfId="9099" priority="2762">
      <formula>$A6="Bridge"</formula>
    </cfRule>
    <cfRule type="expression" dxfId="9098" priority="2763">
      <formula>$A6="Drainage Works"</formula>
    </cfRule>
    <cfRule type="expression" dxfId="9097" priority="2764">
      <formula>$A6="Underpass"</formula>
    </cfRule>
    <cfRule type="expression" dxfId="9096" priority="2765">
      <formula>$A6="Overcrossing"</formula>
    </cfRule>
    <cfRule type="expression" dxfId="9095" priority="2766">
      <formula>$A6="Overpass"</formula>
    </cfRule>
    <cfRule type="expression" dxfId="9094" priority="2767">
      <formula>$A6="Station"</formula>
    </cfRule>
    <cfRule type="expression" dxfId="9093" priority="2768">
      <formula>$A6="Overlap between sections"</formula>
    </cfRule>
  </conditionalFormatting>
  <conditionalFormatting sqref="AX6:AX15">
    <cfRule type="expression" dxfId="9092" priority="2747">
      <formula>$A6="Overhead Cable"</formula>
    </cfRule>
    <cfRule type="expression" dxfId="9091" priority="2748">
      <formula>$A6="Level Crossing"</formula>
    </cfRule>
    <cfRule type="expression" dxfId="9090" priority="2749">
      <formula>$A6="Neutral Section"</formula>
    </cfRule>
    <cfRule type="expression" dxfId="9089" priority="2750">
      <formula>$A6="Tunnel"</formula>
    </cfRule>
    <cfRule type="expression" dxfId="9088" priority="2751">
      <formula>$A6="Bridge"</formula>
    </cfRule>
    <cfRule type="expression" dxfId="9087" priority="2752">
      <formula>$A6="Drainage Works"</formula>
    </cfRule>
    <cfRule type="expression" dxfId="9086" priority="2753">
      <formula>$A6="Underpass"</formula>
    </cfRule>
    <cfRule type="expression" dxfId="9085" priority="2754">
      <formula>$A6="Overcrossing"</formula>
    </cfRule>
    <cfRule type="expression" dxfId="9084" priority="2755">
      <formula>$A6="Overpass"</formula>
    </cfRule>
    <cfRule type="expression" dxfId="9083" priority="2756">
      <formula>$A6="Station"</formula>
    </cfRule>
    <cfRule type="expression" dxfId="9082" priority="2757">
      <formula>$A6="Overlap between sections"</formula>
    </cfRule>
  </conditionalFormatting>
  <conditionalFormatting sqref="F6:F15">
    <cfRule type="expression" dxfId="9081" priority="2736">
      <formula>$A6="Overhead Cable"</formula>
    </cfRule>
    <cfRule type="expression" dxfId="9080" priority="2737">
      <formula>$A6="Level Crossing"</formula>
    </cfRule>
    <cfRule type="expression" dxfId="9079" priority="2738">
      <formula>$A6="Neutral Section"</formula>
    </cfRule>
    <cfRule type="expression" dxfId="9078" priority="2739">
      <formula>$A6="Tunnel"</formula>
    </cfRule>
    <cfRule type="expression" dxfId="9077" priority="2740">
      <formula>$A6="Bridge"</formula>
    </cfRule>
    <cfRule type="expression" dxfId="9076" priority="2741">
      <formula>$A6="Drainage Works"</formula>
    </cfRule>
    <cfRule type="expression" dxfId="9075" priority="2742">
      <formula>$A6="Underpass"</formula>
    </cfRule>
    <cfRule type="expression" dxfId="9074" priority="2743">
      <formula>$A6="Overcrossing"</formula>
    </cfRule>
    <cfRule type="expression" dxfId="9073" priority="2744">
      <formula>$A6="Overpass"</formula>
    </cfRule>
    <cfRule type="expression" dxfId="9072" priority="2745">
      <formula>$A6="Station"</formula>
    </cfRule>
    <cfRule type="expression" dxfId="9071" priority="2746">
      <formula>$A6="Overlap between sections"</formula>
    </cfRule>
  </conditionalFormatting>
  <conditionalFormatting sqref="Q6:Q15">
    <cfRule type="expression" dxfId="9070" priority="2725">
      <formula>$A6="Overhead Cable"</formula>
    </cfRule>
    <cfRule type="expression" dxfId="9069" priority="2726">
      <formula>$A6="Level Crossing"</formula>
    </cfRule>
    <cfRule type="expression" dxfId="9068" priority="2727">
      <formula>$A6="Neutral Section"</formula>
    </cfRule>
    <cfRule type="expression" dxfId="9067" priority="2728">
      <formula>$A6="Tunnel"</formula>
    </cfRule>
    <cfRule type="expression" dxfId="9066" priority="2729">
      <formula>$A6="Bridge"</formula>
    </cfRule>
    <cfRule type="expression" dxfId="9065" priority="2730">
      <formula>$A6="Drainage Works"</formula>
    </cfRule>
    <cfRule type="expression" dxfId="9064" priority="2731">
      <formula>$A6="Underpass"</formula>
    </cfRule>
    <cfRule type="expression" dxfId="9063" priority="2732">
      <formula>$A6="Overcrossing"</formula>
    </cfRule>
    <cfRule type="expression" dxfId="9062" priority="2733">
      <formula>$A6="Overpass"</formula>
    </cfRule>
    <cfRule type="expression" dxfId="9061" priority="2734">
      <formula>$A6="Station"</formula>
    </cfRule>
    <cfRule type="expression" dxfId="9060" priority="2735">
      <formula>$A6="Overlap between sections"</formula>
    </cfRule>
  </conditionalFormatting>
  <conditionalFormatting sqref="T6:T15">
    <cfRule type="expression" dxfId="9059" priority="2714">
      <formula>$A6="Overhead Cable"</formula>
    </cfRule>
    <cfRule type="expression" dxfId="9058" priority="2715">
      <formula>$A6="Level Crossing"</formula>
    </cfRule>
    <cfRule type="expression" dxfId="9057" priority="2716">
      <formula>$A6="Neutral Section"</formula>
    </cfRule>
    <cfRule type="expression" dxfId="9056" priority="2717">
      <formula>$A6="Tunnel"</formula>
    </cfRule>
    <cfRule type="expression" dxfId="9055" priority="2718">
      <formula>$A6="Bridge"</formula>
    </cfRule>
    <cfRule type="expression" dxfId="9054" priority="2719">
      <formula>$A6="Drainage Works"</formula>
    </cfRule>
    <cfRule type="expression" dxfId="9053" priority="2720">
      <formula>$A6="Underpass"</formula>
    </cfRule>
    <cfRule type="expression" dxfId="9052" priority="2721">
      <formula>$A6="Overcrossing"</formula>
    </cfRule>
    <cfRule type="expression" dxfId="9051" priority="2722">
      <formula>$A6="Overpass"</formula>
    </cfRule>
    <cfRule type="expression" dxfId="9050" priority="2723">
      <formula>$A6="Station"</formula>
    </cfRule>
    <cfRule type="expression" dxfId="9049" priority="2724">
      <formula>$A6="Overlap between sections"</formula>
    </cfRule>
  </conditionalFormatting>
  <conditionalFormatting sqref="U6:U15">
    <cfRule type="expression" dxfId="9048" priority="2703">
      <formula>$A6="Overhead Cable"</formula>
    </cfRule>
    <cfRule type="expression" dxfId="9047" priority="2704">
      <formula>$A6="Level Crossing"</formula>
    </cfRule>
    <cfRule type="expression" dxfId="9046" priority="2705">
      <formula>$A6="Neutral Section"</formula>
    </cfRule>
    <cfRule type="expression" dxfId="9045" priority="2706">
      <formula>$A6="Tunnel"</formula>
    </cfRule>
    <cfRule type="expression" dxfId="9044" priority="2707">
      <formula>$A6="Bridge"</formula>
    </cfRule>
    <cfRule type="expression" dxfId="9043" priority="2708">
      <formula>$A6="Drainage Works"</formula>
    </cfRule>
    <cfRule type="expression" dxfId="9042" priority="2709">
      <formula>$A6="Underpass"</formula>
    </cfRule>
    <cfRule type="expression" dxfId="9041" priority="2710">
      <formula>$A6="Overcrossing"</formula>
    </cfRule>
    <cfRule type="expression" dxfId="9040" priority="2711">
      <formula>$A6="Overpass"</formula>
    </cfRule>
    <cfRule type="expression" dxfId="9039" priority="2712">
      <formula>$A6="Station"</formula>
    </cfRule>
    <cfRule type="expression" dxfId="9038" priority="2713">
      <formula>$A6="Overlap between sections"</formula>
    </cfRule>
  </conditionalFormatting>
  <conditionalFormatting sqref="V6:V15">
    <cfRule type="expression" dxfId="9037" priority="2692">
      <formula>$A6="Overhead Cable"</formula>
    </cfRule>
    <cfRule type="expression" dxfId="9036" priority="2693">
      <formula>$A6="Level Crossing"</formula>
    </cfRule>
    <cfRule type="expression" dxfId="9035" priority="2694">
      <formula>$A6="Neutral Section"</formula>
    </cfRule>
    <cfRule type="expression" dxfId="9034" priority="2695">
      <formula>$A6="Tunnel"</formula>
    </cfRule>
    <cfRule type="expression" dxfId="9033" priority="2696">
      <formula>$A6="Bridge"</formula>
    </cfRule>
    <cfRule type="expression" dxfId="9032" priority="2697">
      <formula>$A6="Drainage Works"</formula>
    </cfRule>
    <cfRule type="expression" dxfId="9031" priority="2698">
      <formula>$A6="Underpass"</formula>
    </cfRule>
    <cfRule type="expression" dxfId="9030" priority="2699">
      <formula>$A6="Overcrossing"</formula>
    </cfRule>
    <cfRule type="expression" dxfId="9029" priority="2700">
      <formula>$A6="Overpass"</formula>
    </cfRule>
    <cfRule type="expression" dxfId="9028" priority="2701">
      <formula>$A6="Station"</formula>
    </cfRule>
    <cfRule type="expression" dxfId="9027" priority="2702">
      <formula>$A6="Overlap between sections"</formula>
    </cfRule>
  </conditionalFormatting>
  <conditionalFormatting sqref="AF6:AF15">
    <cfRule type="expression" dxfId="9026" priority="2681">
      <formula>$A6="Overhead Cable"</formula>
    </cfRule>
    <cfRule type="expression" dxfId="9025" priority="2682">
      <formula>$A6="Level Crossing"</formula>
    </cfRule>
    <cfRule type="expression" dxfId="9024" priority="2683">
      <formula>$A6="Neutral Section"</formula>
    </cfRule>
    <cfRule type="expression" dxfId="9023" priority="2684">
      <formula>$A6="Tunnel"</formula>
    </cfRule>
    <cfRule type="expression" dxfId="9022" priority="2685">
      <formula>$A6="Bridge"</formula>
    </cfRule>
    <cfRule type="expression" dxfId="9021" priority="2686">
      <formula>$A6="Drainage Works"</formula>
    </cfRule>
    <cfRule type="expression" dxfId="9020" priority="2687">
      <formula>$A6="Underpass"</formula>
    </cfRule>
    <cfRule type="expression" dxfId="9019" priority="2688">
      <formula>$A6="Overcrossing"</formula>
    </cfRule>
    <cfRule type="expression" dxfId="9018" priority="2689">
      <formula>$A6="Overpass"</formula>
    </cfRule>
    <cfRule type="expression" dxfId="9017" priority="2690">
      <formula>$A6="Station"</formula>
    </cfRule>
    <cfRule type="expression" dxfId="9016" priority="2691">
      <formula>$A6="Overlap between sections"</formula>
    </cfRule>
  </conditionalFormatting>
  <conditionalFormatting sqref="AH6:AH15">
    <cfRule type="expression" dxfId="9015" priority="2670">
      <formula>$A6="Overhead Cable"</formula>
    </cfRule>
    <cfRule type="expression" dxfId="9014" priority="2671">
      <formula>$A6="Level Crossing"</formula>
    </cfRule>
    <cfRule type="expression" dxfId="9013" priority="2672">
      <formula>$A6="Neutral Section"</formula>
    </cfRule>
    <cfRule type="expression" dxfId="9012" priority="2673">
      <formula>$A6="Tunnel"</formula>
    </cfRule>
    <cfRule type="expression" dxfId="9011" priority="2674">
      <formula>$A6="Bridge"</formula>
    </cfRule>
    <cfRule type="expression" dxfId="9010" priority="2675">
      <formula>$A6="Drainage Works"</formula>
    </cfRule>
    <cfRule type="expression" dxfId="9009" priority="2676">
      <formula>$A6="Underpass"</formula>
    </cfRule>
    <cfRule type="expression" dxfId="9008" priority="2677">
      <formula>$A6="Overcrossing"</formula>
    </cfRule>
    <cfRule type="expression" dxfId="9007" priority="2678">
      <formula>$A6="Overpass"</formula>
    </cfRule>
    <cfRule type="expression" dxfId="9006" priority="2679">
      <formula>$A6="Station"</formula>
    </cfRule>
    <cfRule type="expression" dxfId="9005" priority="2680">
      <formula>$A6="Overlap between sections"</formula>
    </cfRule>
  </conditionalFormatting>
  <conditionalFormatting sqref="AI6:AI15">
    <cfRule type="expression" dxfId="9004" priority="2659">
      <formula>$A6="Overhead Cable"</formula>
    </cfRule>
    <cfRule type="expression" dxfId="9003" priority="2660">
      <formula>$A6="Level Crossing"</formula>
    </cfRule>
    <cfRule type="expression" dxfId="9002" priority="2661">
      <formula>$A6="Neutral Section"</formula>
    </cfRule>
    <cfRule type="expression" dxfId="9001" priority="2662">
      <formula>$A6="Tunnel"</formula>
    </cfRule>
    <cfRule type="expression" dxfId="9000" priority="2663">
      <formula>$A6="Bridge"</formula>
    </cfRule>
    <cfRule type="expression" dxfId="8999" priority="2664">
      <formula>$A6="Drainage Works"</formula>
    </cfRule>
    <cfRule type="expression" dxfId="8998" priority="2665">
      <formula>$A6="Underpass"</formula>
    </cfRule>
    <cfRule type="expression" dxfId="8997" priority="2666">
      <formula>$A6="Overcrossing"</formula>
    </cfRule>
    <cfRule type="expression" dxfId="8996" priority="2667">
      <formula>$A6="Overpass"</formula>
    </cfRule>
    <cfRule type="expression" dxfId="8995" priority="2668">
      <formula>$A6="Station"</formula>
    </cfRule>
    <cfRule type="expression" dxfId="8994" priority="2669">
      <formula>$A6="Overlap between sections"</formula>
    </cfRule>
  </conditionalFormatting>
  <conditionalFormatting sqref="R6:R15">
    <cfRule type="expression" dxfId="8993" priority="2648">
      <formula>$A6="Overhead Cable"</formula>
    </cfRule>
    <cfRule type="expression" dxfId="8992" priority="2649">
      <formula>$A6="Level Crossing"</formula>
    </cfRule>
    <cfRule type="expression" dxfId="8991" priority="2650">
      <formula>$A6="Neutral Section"</formula>
    </cfRule>
    <cfRule type="expression" dxfId="8990" priority="2651">
      <formula>$A6="Tunnel"</formula>
    </cfRule>
    <cfRule type="expression" dxfId="8989" priority="2652">
      <formula>$A6="Bridge"</formula>
    </cfRule>
    <cfRule type="expression" dxfId="8988" priority="2653">
      <formula>$A6="Drainage Works"</formula>
    </cfRule>
    <cfRule type="expression" dxfId="8987" priority="2654">
      <formula>$A6="Underpass"</formula>
    </cfRule>
    <cfRule type="expression" dxfId="8986" priority="2655">
      <formula>$A6="Overcrossing"</formula>
    </cfRule>
    <cfRule type="expression" dxfId="8985" priority="2656">
      <formula>$A6="Overpass"</formula>
    </cfRule>
    <cfRule type="expression" dxfId="8984" priority="2657">
      <formula>$A6="Station"</formula>
    </cfRule>
    <cfRule type="expression" dxfId="8983" priority="2658">
      <formula>$A6="Overlap between sections"</formula>
    </cfRule>
  </conditionalFormatting>
  <conditionalFormatting sqref="S6:S15">
    <cfRule type="expression" dxfId="8982" priority="2637">
      <formula>$A6="Overhead Cable"</formula>
    </cfRule>
    <cfRule type="expression" dxfId="8981" priority="2638">
      <formula>$A6="Level Crossing"</formula>
    </cfRule>
    <cfRule type="expression" dxfId="8980" priority="2639">
      <formula>$A6="Neutral Section"</formula>
    </cfRule>
    <cfRule type="expression" dxfId="8979" priority="2640">
      <formula>$A6="Tunnel"</formula>
    </cfRule>
    <cfRule type="expression" dxfId="8978" priority="2641">
      <formula>$A6="Bridge"</formula>
    </cfRule>
    <cfRule type="expression" dxfId="8977" priority="2642">
      <formula>$A6="Drainage Works"</formula>
    </cfRule>
    <cfRule type="expression" dxfId="8976" priority="2643">
      <formula>$A6="Underpass"</formula>
    </cfRule>
    <cfRule type="expression" dxfId="8975" priority="2644">
      <formula>$A6="Overcrossing"</formula>
    </cfRule>
    <cfRule type="expression" dxfId="8974" priority="2645">
      <formula>$A6="Overpass"</formula>
    </cfRule>
    <cfRule type="expression" dxfId="8973" priority="2646">
      <formula>$A6="Station"</formula>
    </cfRule>
    <cfRule type="expression" dxfId="8972" priority="2647">
      <formula>$A6="Overlap between sections"</formula>
    </cfRule>
  </conditionalFormatting>
  <conditionalFormatting sqref="X6:X15">
    <cfRule type="expression" dxfId="8971" priority="2626">
      <formula>$A6="Overhead Cable"</formula>
    </cfRule>
    <cfRule type="expression" dxfId="8970" priority="2627">
      <formula>$A6="Level Crossing"</formula>
    </cfRule>
    <cfRule type="expression" dxfId="8969" priority="2628">
      <formula>$A6="Neutral Section"</formula>
    </cfRule>
    <cfRule type="expression" dxfId="8968" priority="2629">
      <formula>$A6="Tunnel"</formula>
    </cfRule>
    <cfRule type="expression" dxfId="8967" priority="2630">
      <formula>$A6="Bridge"</formula>
    </cfRule>
    <cfRule type="expression" dxfId="8966" priority="2631">
      <formula>$A6="Drainage Works"</formula>
    </cfRule>
    <cfRule type="expression" dxfId="8965" priority="2632">
      <formula>$A6="Underpass"</formula>
    </cfRule>
    <cfRule type="expression" dxfId="8964" priority="2633">
      <formula>$A6="Overcrossing"</formula>
    </cfRule>
    <cfRule type="expression" dxfId="8963" priority="2634">
      <formula>$A6="Overpass"</formula>
    </cfRule>
    <cfRule type="expression" dxfId="8962" priority="2635">
      <formula>$A6="Station"</formula>
    </cfRule>
    <cfRule type="expression" dxfId="8961" priority="2636">
      <formula>$A6="Overlap between sections"</formula>
    </cfRule>
  </conditionalFormatting>
  <conditionalFormatting sqref="Y6:Y15">
    <cfRule type="expression" dxfId="8960" priority="2615">
      <formula>$A6="Overhead Cable"</formula>
    </cfRule>
    <cfRule type="expression" dxfId="8959" priority="2616">
      <formula>$A6="Level Crossing"</formula>
    </cfRule>
    <cfRule type="expression" dxfId="8958" priority="2617">
      <formula>$A6="Neutral Section"</formula>
    </cfRule>
    <cfRule type="expression" dxfId="8957" priority="2618">
      <formula>$A6="Tunnel"</formula>
    </cfRule>
    <cfRule type="expression" dxfId="8956" priority="2619">
      <formula>$A6="Bridge"</formula>
    </cfRule>
    <cfRule type="expression" dxfId="8955" priority="2620">
      <formula>$A6="Drainage Works"</formula>
    </cfRule>
    <cfRule type="expression" dxfId="8954" priority="2621">
      <formula>$A6="Underpass"</formula>
    </cfRule>
    <cfRule type="expression" dxfId="8953" priority="2622">
      <formula>$A6="Overcrossing"</formula>
    </cfRule>
    <cfRule type="expression" dxfId="8952" priority="2623">
      <formula>$A6="Overpass"</formula>
    </cfRule>
    <cfRule type="expression" dxfId="8951" priority="2624">
      <formula>$A6="Station"</formula>
    </cfRule>
    <cfRule type="expression" dxfId="8950" priority="2625">
      <formula>$A6="Overlap between sections"</formula>
    </cfRule>
  </conditionalFormatting>
  <conditionalFormatting sqref="Z6:Z15">
    <cfRule type="expression" dxfId="8949" priority="2604">
      <formula>$A6="Overhead Cable"</formula>
    </cfRule>
    <cfRule type="expression" dxfId="8948" priority="2605">
      <formula>$A6="Level Crossing"</formula>
    </cfRule>
    <cfRule type="expression" dxfId="8947" priority="2606">
      <formula>$A6="Neutral Section"</formula>
    </cfRule>
    <cfRule type="expression" dxfId="8946" priority="2607">
      <formula>$A6="Tunnel"</formula>
    </cfRule>
    <cfRule type="expression" dxfId="8945" priority="2608">
      <formula>$A6="Bridge"</formula>
    </cfRule>
    <cfRule type="expression" dxfId="8944" priority="2609">
      <formula>$A6="Drainage Works"</formula>
    </cfRule>
    <cfRule type="expression" dxfId="8943" priority="2610">
      <formula>$A6="Underpass"</formula>
    </cfRule>
    <cfRule type="expression" dxfId="8942" priority="2611">
      <formula>$A6="Overcrossing"</formula>
    </cfRule>
    <cfRule type="expression" dxfId="8941" priority="2612">
      <formula>$A6="Overpass"</formula>
    </cfRule>
    <cfRule type="expression" dxfId="8940" priority="2613">
      <formula>$A6="Station"</formula>
    </cfRule>
    <cfRule type="expression" dxfId="8939" priority="2614">
      <formula>$A6="Overlap between sections"</formula>
    </cfRule>
  </conditionalFormatting>
  <conditionalFormatting sqref="AA6:AA15">
    <cfRule type="expression" dxfId="8938" priority="2593">
      <formula>$A6="Overhead Cable"</formula>
    </cfRule>
    <cfRule type="expression" dxfId="8937" priority="2594">
      <formula>$A6="Level Crossing"</formula>
    </cfRule>
    <cfRule type="expression" dxfId="8936" priority="2595">
      <formula>$A6="Neutral Section"</formula>
    </cfRule>
    <cfRule type="expression" dxfId="8935" priority="2596">
      <formula>$A6="Tunnel"</formula>
    </cfRule>
    <cfRule type="expression" dxfId="8934" priority="2597">
      <formula>$A6="Bridge"</formula>
    </cfRule>
    <cfRule type="expression" dxfId="8933" priority="2598">
      <formula>$A6="Drainage Works"</formula>
    </cfRule>
    <cfRule type="expression" dxfId="8932" priority="2599">
      <formula>$A6="Underpass"</formula>
    </cfRule>
    <cfRule type="expression" dxfId="8931" priority="2600">
      <formula>$A6="Overcrossing"</formula>
    </cfRule>
    <cfRule type="expression" dxfId="8930" priority="2601">
      <formula>$A6="Overpass"</formula>
    </cfRule>
    <cfRule type="expression" dxfId="8929" priority="2602">
      <formula>$A6="Station"</formula>
    </cfRule>
    <cfRule type="expression" dxfId="8928" priority="2603">
      <formula>$A6="Overlap between sections"</formula>
    </cfRule>
  </conditionalFormatting>
  <conditionalFormatting sqref="AB6:AB15">
    <cfRule type="expression" dxfId="8927" priority="2582">
      <formula>$A6="Overhead Cable"</formula>
    </cfRule>
    <cfRule type="expression" dxfId="8926" priority="2583">
      <formula>$A6="Level Crossing"</formula>
    </cfRule>
    <cfRule type="expression" dxfId="8925" priority="2584">
      <formula>$A6="Neutral Section"</formula>
    </cfRule>
    <cfRule type="expression" dxfId="8924" priority="2585">
      <formula>$A6="Tunnel"</formula>
    </cfRule>
    <cfRule type="expression" dxfId="8923" priority="2586">
      <formula>$A6="Bridge"</formula>
    </cfRule>
    <cfRule type="expression" dxfId="8922" priority="2587">
      <formula>$A6="Drainage Works"</formula>
    </cfRule>
    <cfRule type="expression" dxfId="8921" priority="2588">
      <formula>$A6="Underpass"</formula>
    </cfRule>
    <cfRule type="expression" dxfId="8920" priority="2589">
      <formula>$A6="Overcrossing"</formula>
    </cfRule>
    <cfRule type="expression" dxfId="8919" priority="2590">
      <formula>$A6="Overpass"</formula>
    </cfRule>
    <cfRule type="expression" dxfId="8918" priority="2591">
      <formula>$A6="Station"</formula>
    </cfRule>
    <cfRule type="expression" dxfId="8917" priority="2592">
      <formula>$A6="Overlap between sections"</formula>
    </cfRule>
  </conditionalFormatting>
  <conditionalFormatting sqref="BD7 BD15 BD13 BD11">
    <cfRule type="containsText" dxfId="8916" priority="2581" operator="containsText" text="Poner a mano">
      <formula>NOT(ISERROR(SEARCH("Poner a mano",BD7)))</formula>
    </cfRule>
  </conditionalFormatting>
  <conditionalFormatting sqref="BA6:BC15">
    <cfRule type="expression" dxfId="8915" priority="2579">
      <formula>$BE6="A"</formula>
    </cfRule>
    <cfRule type="expression" dxfId="8914" priority="2580">
      <formula>$BE6="R"</formula>
    </cfRule>
  </conditionalFormatting>
  <conditionalFormatting sqref="BC6:BC15">
    <cfRule type="expression" dxfId="8913" priority="2578">
      <formula>$M6="U.S. N.D."</formula>
    </cfRule>
  </conditionalFormatting>
  <conditionalFormatting sqref="BB6:BB15">
    <cfRule type="expression" dxfId="8912" priority="2576">
      <formula>$AZ6="N.D."</formula>
    </cfRule>
  </conditionalFormatting>
  <conditionalFormatting sqref="BA6:BA15">
    <cfRule type="expression" dxfId="8911" priority="2577">
      <formula>$AY6="N.D."</formula>
    </cfRule>
  </conditionalFormatting>
  <conditionalFormatting sqref="W6:W15">
    <cfRule type="expression" dxfId="8910" priority="2573">
      <formula>$M6="NON DEFINED"</formula>
    </cfRule>
    <cfRule type="expression" dxfId="8909" priority="2574">
      <formula>$AZ6="N.D."</formula>
    </cfRule>
    <cfRule type="expression" dxfId="8908" priority="2575">
      <formula>$AY6="N.D."</formula>
    </cfRule>
  </conditionalFormatting>
  <conditionalFormatting sqref="W6:W15">
    <cfRule type="expression" dxfId="8907" priority="2562">
      <formula>$A6="Overhead Cable"</formula>
    </cfRule>
    <cfRule type="expression" dxfId="8906" priority="2563">
      <formula>$A6="Level Crossing"</formula>
    </cfRule>
    <cfRule type="expression" dxfId="8905" priority="2564">
      <formula>$A6="Neutral Section"</formula>
    </cfRule>
    <cfRule type="expression" dxfId="8904" priority="2565">
      <formula>$A6="Tunnel"</formula>
    </cfRule>
    <cfRule type="expression" dxfId="8903" priority="2566">
      <formula>$A6="Bridge"</formula>
    </cfRule>
    <cfRule type="expression" dxfId="8902" priority="2567">
      <formula>$A6="Drainage Works"</formula>
    </cfRule>
    <cfRule type="expression" dxfId="8901" priority="2568">
      <formula>$A6="Underpass"</formula>
    </cfRule>
    <cfRule type="expression" dxfId="8900" priority="2569">
      <formula>$A6="Overcrossing"</formula>
    </cfRule>
    <cfRule type="expression" dxfId="8899" priority="2570">
      <formula>$A6="Overpass"</formula>
    </cfRule>
    <cfRule type="expression" dxfId="8898" priority="2571">
      <formula>$A6="Station"</formula>
    </cfRule>
    <cfRule type="expression" dxfId="8897" priority="2572">
      <formula>$A6="Overlap between sections"</formula>
    </cfRule>
  </conditionalFormatting>
  <conditionalFormatting sqref="H34">
    <cfRule type="expression" dxfId="8896" priority="2157">
      <formula>$M34="NON DEFINED"</formula>
    </cfRule>
    <cfRule type="expression" dxfId="8895" priority="2158">
      <formula>$AZ34="N.D."</formula>
    </cfRule>
    <cfRule type="expression" dxfId="8894" priority="2159">
      <formula>$AY34="N.D."</formula>
    </cfRule>
  </conditionalFormatting>
  <conditionalFormatting sqref="H34">
    <cfRule type="expression" dxfId="8893" priority="2146">
      <formula>$A34="Overhead Cable"</formula>
    </cfRule>
    <cfRule type="expression" dxfId="8892" priority="2147">
      <formula>$A34="Level Crossing"</formula>
    </cfRule>
    <cfRule type="expression" dxfId="8891" priority="2148">
      <formula>$A34="Neutral Section"</formula>
    </cfRule>
    <cfRule type="expression" dxfId="8890" priority="2149">
      <formula>$A34="Tunnel"</formula>
    </cfRule>
    <cfRule type="expression" dxfId="8889" priority="2150">
      <formula>$A34="Bridge"</formula>
    </cfRule>
    <cfRule type="expression" dxfId="8888" priority="2151">
      <formula>$A34="Drainage Works"</formula>
    </cfRule>
    <cfRule type="expression" dxfId="8887" priority="2152">
      <formula>$A34="Underpass"</formula>
    </cfRule>
    <cfRule type="expression" dxfId="8886" priority="2153">
      <formula>$A34="Overcrossing"</formula>
    </cfRule>
    <cfRule type="expression" dxfId="8885" priority="2154">
      <formula>$A34="Overpass"</formula>
    </cfRule>
    <cfRule type="expression" dxfId="8884" priority="2155">
      <formula>$A34="Station"</formula>
    </cfRule>
    <cfRule type="expression" dxfId="8883" priority="2156">
      <formula>$A34="Overlap between sections"</formula>
    </cfRule>
  </conditionalFormatting>
  <conditionalFormatting sqref="BD42">
    <cfRule type="containsText" dxfId="8882" priority="2033" operator="containsText" text="Poner a mano">
      <formula>NOT(ISERROR(SEARCH("Poner a mano",BD42)))</formula>
    </cfRule>
  </conditionalFormatting>
  <conditionalFormatting sqref="BD44">
    <cfRule type="containsText" dxfId="8881" priority="2032" operator="containsText" text="Poner a mano">
      <formula>NOT(ISERROR(SEARCH("Poner a mano",BD44)))</formula>
    </cfRule>
  </conditionalFormatting>
  <conditionalFormatting sqref="BF6:BG6 BI6 BF8:BG8 BF10:BG10 BF12:BG12 BF14:BG14 BF16:BG16 BF18:BG18 BF20:BG20 BF22:BG22 BF24:BG24 BF26:BG26 BF28:BG28 BF30:BG30 BF32:BG32 BF34:BG34 BF36:BG36 BF38:BG38 BF40:BG40 BF42:BG42 BF44:BG44 BF46:BG46 BF48:BG48 BF50:BG50 BF52:BG52 BF54:BG54 BF56:BG56 BI8 BI10 BI12 BI14 BI16 BI18 BI20 BI22 BI24 BI26 BI28 BI30 BI32 BI34 BI36 BI38 BI40 BI42 BI44 BI46 BI48 BI50 BI52 BI54 BI56">
    <cfRule type="containsBlanks" dxfId="8880" priority="2026">
      <formula>LEN(TRIM(BF6))=0</formula>
    </cfRule>
  </conditionalFormatting>
  <conditionalFormatting sqref="BD10">
    <cfRule type="containsText" dxfId="8879" priority="113" operator="containsText" text="Poner a mano">
      <formula>NOT(ISERROR(SEARCH("Poner a mano",BD10)))</formula>
    </cfRule>
  </conditionalFormatting>
  <conditionalFormatting sqref="U5">
    <cfRule type="expression" dxfId="8878" priority="406">
      <formula>$A5="Overhead Cable"</formula>
    </cfRule>
    <cfRule type="expression" dxfId="8877" priority="407">
      <formula>$A5="Level Crossing"</formula>
    </cfRule>
    <cfRule type="expression" dxfId="8876" priority="408">
      <formula>$A5="Neutral Section"</formula>
    </cfRule>
    <cfRule type="expression" dxfId="8875" priority="409">
      <formula>$A5="Tunnel"</formula>
    </cfRule>
    <cfRule type="expression" dxfId="8874" priority="410">
      <formula>$A5="Bridge"</formula>
    </cfRule>
    <cfRule type="expression" dxfId="8873" priority="411">
      <formula>$A5="Drainage Works"</formula>
    </cfRule>
    <cfRule type="expression" dxfId="8872" priority="412">
      <formula>$A5="Underpass"</formula>
    </cfRule>
    <cfRule type="expression" dxfId="8871" priority="413">
      <formula>$A5="Overcrossing"</formula>
    </cfRule>
    <cfRule type="expression" dxfId="8870" priority="414">
      <formula>$A5="Overpass"</formula>
    </cfRule>
    <cfRule type="expression" dxfId="8869" priority="415">
      <formula>$A5="Station"</formula>
    </cfRule>
    <cfRule type="expression" dxfId="8868" priority="416">
      <formula>$A5="Overlap between sections"</formula>
    </cfRule>
  </conditionalFormatting>
  <conditionalFormatting sqref="V5">
    <cfRule type="expression" dxfId="8867" priority="395">
      <formula>$A5="Overhead Cable"</formula>
    </cfRule>
    <cfRule type="expression" dxfId="8866" priority="396">
      <formula>$A5="Level Crossing"</formula>
    </cfRule>
    <cfRule type="expression" dxfId="8865" priority="397">
      <formula>$A5="Neutral Section"</formula>
    </cfRule>
    <cfRule type="expression" dxfId="8864" priority="398">
      <formula>$A5="Tunnel"</formula>
    </cfRule>
    <cfRule type="expression" dxfId="8863" priority="399">
      <formula>$A5="Bridge"</formula>
    </cfRule>
    <cfRule type="expression" dxfId="8862" priority="400">
      <formula>$A5="Drainage Works"</formula>
    </cfRule>
    <cfRule type="expression" dxfId="8861" priority="401">
      <formula>$A5="Underpass"</formula>
    </cfRule>
    <cfRule type="expression" dxfId="8860" priority="402">
      <formula>$A5="Overcrossing"</formula>
    </cfRule>
    <cfRule type="expression" dxfId="8859" priority="403">
      <formula>$A5="Overpass"</formula>
    </cfRule>
    <cfRule type="expression" dxfId="8858" priority="404">
      <formula>$A5="Station"</formula>
    </cfRule>
    <cfRule type="expression" dxfId="8857" priority="405">
      <formula>$A5="Overlap between sections"</formula>
    </cfRule>
  </conditionalFormatting>
  <conditionalFormatting sqref="AF5">
    <cfRule type="expression" dxfId="8856" priority="384">
      <formula>$A5="Overhead Cable"</formula>
    </cfRule>
    <cfRule type="expression" dxfId="8855" priority="385">
      <formula>$A5="Level Crossing"</formula>
    </cfRule>
    <cfRule type="expression" dxfId="8854" priority="386">
      <formula>$A5="Neutral Section"</formula>
    </cfRule>
    <cfRule type="expression" dxfId="8853" priority="387">
      <formula>$A5="Tunnel"</formula>
    </cfRule>
    <cfRule type="expression" dxfId="8852" priority="388">
      <formula>$A5="Bridge"</formula>
    </cfRule>
    <cfRule type="expression" dxfId="8851" priority="389">
      <formula>$A5="Drainage Works"</formula>
    </cfRule>
    <cfRule type="expression" dxfId="8850" priority="390">
      <formula>$A5="Underpass"</formula>
    </cfRule>
    <cfRule type="expression" dxfId="8849" priority="391">
      <formula>$A5="Overcrossing"</formula>
    </cfRule>
    <cfRule type="expression" dxfId="8848" priority="392">
      <formula>$A5="Overpass"</formula>
    </cfRule>
    <cfRule type="expression" dxfId="8847" priority="393">
      <formula>$A5="Station"</formula>
    </cfRule>
    <cfRule type="expression" dxfId="8846" priority="394">
      <formula>$A5="Overlap between sections"</formula>
    </cfRule>
  </conditionalFormatting>
  <conditionalFormatting sqref="AH5">
    <cfRule type="expression" dxfId="8845" priority="373">
      <formula>$A5="Overhead Cable"</formula>
    </cfRule>
    <cfRule type="expression" dxfId="8844" priority="374">
      <formula>$A5="Level Crossing"</formula>
    </cfRule>
    <cfRule type="expression" dxfId="8843" priority="375">
      <formula>$A5="Neutral Section"</formula>
    </cfRule>
    <cfRule type="expression" dxfId="8842" priority="376">
      <formula>$A5="Tunnel"</formula>
    </cfRule>
    <cfRule type="expression" dxfId="8841" priority="377">
      <formula>$A5="Bridge"</formula>
    </cfRule>
    <cfRule type="expression" dxfId="8840" priority="378">
      <formula>$A5="Drainage Works"</formula>
    </cfRule>
    <cfRule type="expression" dxfId="8839" priority="379">
      <formula>$A5="Underpass"</formula>
    </cfRule>
    <cfRule type="expression" dxfId="8838" priority="380">
      <formula>$A5="Overcrossing"</formula>
    </cfRule>
    <cfRule type="expression" dxfId="8837" priority="381">
      <formula>$A5="Overpass"</formula>
    </cfRule>
    <cfRule type="expression" dxfId="8836" priority="382">
      <formula>$A5="Station"</formula>
    </cfRule>
    <cfRule type="expression" dxfId="8835" priority="383">
      <formula>$A5="Overlap between sections"</formula>
    </cfRule>
  </conditionalFormatting>
  <conditionalFormatting sqref="AI5">
    <cfRule type="expression" dxfId="8834" priority="362">
      <formula>$A5="Overhead Cable"</formula>
    </cfRule>
    <cfRule type="expression" dxfId="8833" priority="363">
      <formula>$A5="Level Crossing"</formula>
    </cfRule>
    <cfRule type="expression" dxfId="8832" priority="364">
      <formula>$A5="Neutral Section"</formula>
    </cfRule>
    <cfRule type="expression" dxfId="8831" priority="365">
      <formula>$A5="Tunnel"</formula>
    </cfRule>
    <cfRule type="expression" dxfId="8830" priority="366">
      <formula>$A5="Bridge"</formula>
    </cfRule>
    <cfRule type="expression" dxfId="8829" priority="367">
      <formula>$A5="Drainage Works"</formula>
    </cfRule>
    <cfRule type="expression" dxfId="8828" priority="368">
      <formula>$A5="Underpass"</formula>
    </cfRule>
    <cfRule type="expression" dxfId="8827" priority="369">
      <formula>$A5="Overcrossing"</formula>
    </cfRule>
    <cfRule type="expression" dxfId="8826" priority="370">
      <formula>$A5="Overpass"</formula>
    </cfRule>
    <cfRule type="expression" dxfId="8825" priority="371">
      <formula>$A5="Station"</formula>
    </cfRule>
    <cfRule type="expression" dxfId="8824" priority="372">
      <formula>$A5="Overlap between sections"</formula>
    </cfRule>
  </conditionalFormatting>
  <conditionalFormatting sqref="R5">
    <cfRule type="expression" dxfId="8823" priority="351">
      <formula>$A5="Overhead Cable"</formula>
    </cfRule>
    <cfRule type="expression" dxfId="8822" priority="352">
      <formula>$A5="Level Crossing"</formula>
    </cfRule>
    <cfRule type="expression" dxfId="8821" priority="353">
      <formula>$A5="Neutral Section"</formula>
    </cfRule>
    <cfRule type="expression" dxfId="8820" priority="354">
      <formula>$A5="Tunnel"</formula>
    </cfRule>
    <cfRule type="expression" dxfId="8819" priority="355">
      <formula>$A5="Bridge"</formula>
    </cfRule>
    <cfRule type="expression" dxfId="8818" priority="356">
      <formula>$A5="Drainage Works"</formula>
    </cfRule>
    <cfRule type="expression" dxfId="8817" priority="357">
      <formula>$A5="Underpass"</formula>
    </cfRule>
    <cfRule type="expression" dxfId="8816" priority="358">
      <formula>$A5="Overcrossing"</formula>
    </cfRule>
    <cfRule type="expression" dxfId="8815" priority="359">
      <formula>$A5="Overpass"</formula>
    </cfRule>
    <cfRule type="expression" dxfId="8814" priority="360">
      <formula>$A5="Station"</formula>
    </cfRule>
    <cfRule type="expression" dxfId="8813" priority="361">
      <formula>$A5="Overlap between sections"</formula>
    </cfRule>
  </conditionalFormatting>
  <conditionalFormatting sqref="S5">
    <cfRule type="expression" dxfId="8812" priority="340">
      <formula>$A5="Overhead Cable"</formula>
    </cfRule>
    <cfRule type="expression" dxfId="8811" priority="341">
      <formula>$A5="Level Crossing"</formula>
    </cfRule>
    <cfRule type="expression" dxfId="8810" priority="342">
      <formula>$A5="Neutral Section"</formula>
    </cfRule>
    <cfRule type="expression" dxfId="8809" priority="343">
      <formula>$A5="Tunnel"</formula>
    </cfRule>
    <cfRule type="expression" dxfId="8808" priority="344">
      <formula>$A5="Bridge"</formula>
    </cfRule>
    <cfRule type="expression" dxfId="8807" priority="345">
      <formula>$A5="Drainage Works"</formula>
    </cfRule>
    <cfRule type="expression" dxfId="8806" priority="346">
      <formula>$A5="Underpass"</formula>
    </cfRule>
    <cfRule type="expression" dxfId="8805" priority="347">
      <formula>$A5="Overcrossing"</formula>
    </cfRule>
    <cfRule type="expression" dxfId="8804" priority="348">
      <formula>$A5="Overpass"</formula>
    </cfRule>
    <cfRule type="expression" dxfId="8803" priority="349">
      <formula>$A5="Station"</formula>
    </cfRule>
    <cfRule type="expression" dxfId="8802" priority="350">
      <formula>$A5="Overlap between sections"</formula>
    </cfRule>
  </conditionalFormatting>
  <conditionalFormatting sqref="X5">
    <cfRule type="expression" dxfId="8801" priority="329">
      <formula>$A5="Overhead Cable"</formula>
    </cfRule>
    <cfRule type="expression" dxfId="8800" priority="330">
      <formula>$A5="Level Crossing"</formula>
    </cfRule>
    <cfRule type="expression" dxfId="8799" priority="331">
      <formula>$A5="Neutral Section"</formula>
    </cfRule>
    <cfRule type="expression" dxfId="8798" priority="332">
      <formula>$A5="Tunnel"</formula>
    </cfRule>
    <cfRule type="expression" dxfId="8797" priority="333">
      <formula>$A5="Bridge"</formula>
    </cfRule>
    <cfRule type="expression" dxfId="8796" priority="334">
      <formula>$A5="Drainage Works"</formula>
    </cfRule>
    <cfRule type="expression" dxfId="8795" priority="335">
      <formula>$A5="Underpass"</formula>
    </cfRule>
    <cfRule type="expression" dxfId="8794" priority="336">
      <formula>$A5="Overcrossing"</formula>
    </cfRule>
    <cfRule type="expression" dxfId="8793" priority="337">
      <formula>$A5="Overpass"</formula>
    </cfRule>
    <cfRule type="expression" dxfId="8792" priority="338">
      <formula>$A5="Station"</formula>
    </cfRule>
    <cfRule type="expression" dxfId="8791" priority="339">
      <formula>$A5="Overlap between sections"</formula>
    </cfRule>
  </conditionalFormatting>
  <conditionalFormatting sqref="Y5">
    <cfRule type="expression" dxfId="8790" priority="318">
      <formula>$A5="Overhead Cable"</formula>
    </cfRule>
    <cfRule type="expression" dxfId="8789" priority="319">
      <formula>$A5="Level Crossing"</formula>
    </cfRule>
    <cfRule type="expression" dxfId="8788" priority="320">
      <formula>$A5="Neutral Section"</formula>
    </cfRule>
    <cfRule type="expression" dxfId="8787" priority="321">
      <formula>$A5="Tunnel"</formula>
    </cfRule>
    <cfRule type="expression" dxfId="8786" priority="322">
      <formula>$A5="Bridge"</formula>
    </cfRule>
    <cfRule type="expression" dxfId="8785" priority="323">
      <formula>$A5="Drainage Works"</formula>
    </cfRule>
    <cfRule type="expression" dxfId="8784" priority="324">
      <formula>$A5="Underpass"</formula>
    </cfRule>
    <cfRule type="expression" dxfId="8783" priority="325">
      <formula>$A5="Overcrossing"</formula>
    </cfRule>
    <cfRule type="expression" dxfId="8782" priority="326">
      <formula>$A5="Overpass"</formula>
    </cfRule>
    <cfRule type="expression" dxfId="8781" priority="327">
      <formula>$A5="Station"</formula>
    </cfRule>
    <cfRule type="expression" dxfId="8780" priority="328">
      <formula>$A5="Overlap between sections"</formula>
    </cfRule>
  </conditionalFormatting>
  <conditionalFormatting sqref="Z5">
    <cfRule type="expression" dxfId="8779" priority="307">
      <formula>$A5="Overhead Cable"</formula>
    </cfRule>
    <cfRule type="expression" dxfId="8778" priority="308">
      <formula>$A5="Level Crossing"</formula>
    </cfRule>
    <cfRule type="expression" dxfId="8777" priority="309">
      <formula>$A5="Neutral Section"</formula>
    </cfRule>
    <cfRule type="expression" dxfId="8776" priority="310">
      <formula>$A5="Tunnel"</formula>
    </cfRule>
    <cfRule type="expression" dxfId="8775" priority="311">
      <formula>$A5="Bridge"</formula>
    </cfRule>
    <cfRule type="expression" dxfId="8774" priority="312">
      <formula>$A5="Drainage Works"</formula>
    </cfRule>
    <cfRule type="expression" dxfId="8773" priority="313">
      <formula>$A5="Underpass"</formula>
    </cfRule>
    <cfRule type="expression" dxfId="8772" priority="314">
      <formula>$A5="Overcrossing"</formula>
    </cfRule>
    <cfRule type="expression" dxfId="8771" priority="315">
      <formula>$A5="Overpass"</formula>
    </cfRule>
    <cfRule type="expression" dxfId="8770" priority="316">
      <formula>$A5="Station"</formula>
    </cfRule>
    <cfRule type="expression" dxfId="8769" priority="317">
      <formula>$A5="Overlap between sections"</formula>
    </cfRule>
  </conditionalFormatting>
  <conditionalFormatting sqref="AA5">
    <cfRule type="expression" dxfId="8768" priority="296">
      <formula>$A5="Overhead Cable"</formula>
    </cfRule>
    <cfRule type="expression" dxfId="8767" priority="297">
      <formula>$A5="Level Crossing"</formula>
    </cfRule>
    <cfRule type="expression" dxfId="8766" priority="298">
      <formula>$A5="Neutral Section"</formula>
    </cfRule>
    <cfRule type="expression" dxfId="8765" priority="299">
      <formula>$A5="Tunnel"</formula>
    </cfRule>
    <cfRule type="expression" dxfId="8764" priority="300">
      <formula>$A5="Bridge"</formula>
    </cfRule>
    <cfRule type="expression" dxfId="8763" priority="301">
      <formula>$A5="Drainage Works"</formula>
    </cfRule>
    <cfRule type="expression" dxfId="8762" priority="302">
      <formula>$A5="Underpass"</formula>
    </cfRule>
    <cfRule type="expression" dxfId="8761" priority="303">
      <formula>$A5="Overcrossing"</formula>
    </cfRule>
    <cfRule type="expression" dxfId="8760" priority="304">
      <formula>$A5="Overpass"</formula>
    </cfRule>
    <cfRule type="expression" dxfId="8759" priority="305">
      <formula>$A5="Station"</formula>
    </cfRule>
    <cfRule type="expression" dxfId="8758" priority="306">
      <formula>$A5="Overlap between sections"</formula>
    </cfRule>
  </conditionalFormatting>
  <conditionalFormatting sqref="AB5">
    <cfRule type="expression" dxfId="8757" priority="285">
      <formula>$A5="Overhead Cable"</formula>
    </cfRule>
    <cfRule type="expression" dxfId="8756" priority="286">
      <formula>$A5="Level Crossing"</formula>
    </cfRule>
    <cfRule type="expression" dxfId="8755" priority="287">
      <formula>$A5="Neutral Section"</formula>
    </cfRule>
    <cfRule type="expression" dxfId="8754" priority="288">
      <formula>$A5="Tunnel"</formula>
    </cfRule>
    <cfRule type="expression" dxfId="8753" priority="289">
      <formula>$A5="Bridge"</formula>
    </cfRule>
    <cfRule type="expression" dxfId="8752" priority="290">
      <formula>$A5="Drainage Works"</formula>
    </cfRule>
    <cfRule type="expression" dxfId="8751" priority="291">
      <formula>$A5="Underpass"</formula>
    </cfRule>
    <cfRule type="expression" dxfId="8750" priority="292">
      <formula>$A5="Overcrossing"</formula>
    </cfRule>
    <cfRule type="expression" dxfId="8749" priority="293">
      <formula>$A5="Overpass"</formula>
    </cfRule>
    <cfRule type="expression" dxfId="8748" priority="294">
      <formula>$A5="Station"</formula>
    </cfRule>
    <cfRule type="expression" dxfId="8747" priority="295">
      <formula>$A5="Overlap between sections"</formula>
    </cfRule>
  </conditionalFormatting>
  <conditionalFormatting sqref="BD6">
    <cfRule type="containsText" dxfId="8746" priority="114" operator="containsText" text="Poner a mano">
      <formula>NOT(ISERROR(SEARCH("Poner a mano",BD6)))</formula>
    </cfRule>
  </conditionalFormatting>
  <conditionalFormatting sqref="BF58:BG58 BF60:BG60 BF62:BG63 BI58 BI60 BI62:BI63">
    <cfRule type="containsBlanks" dxfId="8745" priority="1109">
      <formula>LEN(TRIM(BF58))=0</formula>
    </cfRule>
  </conditionalFormatting>
  <conditionalFormatting sqref="C45:AL45 C47:AL47 C46:K46 C50:K50 M50 C51:AL51 C49:AL49 C48:M48 C53:AL53 C52:M52 O52:AL52 C55:AL55 C54:M54 C57:AL59 C56:M56 O54:AL54 O56:AL56 C61:AL62 C60:M60 O60:AL60 O50:AL50 O48:AL48 M46:AL46">
    <cfRule type="expression" dxfId="8744" priority="1106">
      <formula>$M45="NON DEFINED"</formula>
    </cfRule>
    <cfRule type="expression" dxfId="8743" priority="1107">
      <formula>$AZ45="N.D."</formula>
    </cfRule>
    <cfRule type="expression" dxfId="8742" priority="1108">
      <formula>$AY45="N.D."</formula>
    </cfRule>
  </conditionalFormatting>
  <conditionalFormatting sqref="A45:A62 C45:E62">
    <cfRule type="expression" dxfId="8741" priority="1095">
      <formula>$A45="Overhead Cable"</formula>
    </cfRule>
    <cfRule type="expression" dxfId="8740" priority="1096">
      <formula>$A45="Level Crossing"</formula>
    </cfRule>
    <cfRule type="expression" dxfId="8739" priority="1097">
      <formula>$A45="Neutral Section"</formula>
    </cfRule>
    <cfRule type="expression" dxfId="8738" priority="1098">
      <formula>$A45="Tunnel"</formula>
    </cfRule>
    <cfRule type="expression" dxfId="8737" priority="1099">
      <formula>$A45="Bridge"</formula>
    </cfRule>
    <cfRule type="expression" dxfId="8736" priority="1100">
      <formula>$A45="Drainage Works"</formula>
    </cfRule>
    <cfRule type="expression" dxfId="8735" priority="1101">
      <formula>$A45="Underpass"</formula>
    </cfRule>
    <cfRule type="expression" dxfId="8734" priority="1102">
      <formula>$A45="Overcrossing"</formula>
    </cfRule>
    <cfRule type="expression" dxfId="8733" priority="1103">
      <formula>$A45="Overpass"</formula>
    </cfRule>
    <cfRule type="expression" dxfId="8732" priority="1104">
      <formula>$A45="Station"</formula>
    </cfRule>
    <cfRule type="expression" dxfId="8731" priority="1105">
      <formula>$A45="Overlap between sections"</formula>
    </cfRule>
  </conditionalFormatting>
  <conditionalFormatting sqref="L45 L47:L49">
    <cfRule type="expression" dxfId="8730" priority="1060">
      <formula>$A45="Overhead Cable"</formula>
    </cfRule>
    <cfRule type="expression" dxfId="8729" priority="1061">
      <formula>$A45="Level Crossing"</formula>
    </cfRule>
    <cfRule type="expression" dxfId="8728" priority="1062">
      <formula>$A45="Neutral Section"</formula>
    </cfRule>
    <cfRule type="expression" dxfId="8727" priority="1063">
      <formula>$A45="Tunnel"</formula>
    </cfRule>
    <cfRule type="expression" dxfId="8726" priority="1064">
      <formula>$A45="Bridge"</formula>
    </cfRule>
    <cfRule type="expression" dxfId="8725" priority="1065">
      <formula>$A45="Drainage Works"</formula>
    </cfRule>
    <cfRule type="expression" dxfId="8724" priority="1066">
      <formula>$A45="Underpass"</formula>
    </cfRule>
    <cfRule type="expression" dxfId="8723" priority="1067">
      <formula>$A45="Overcrossing"</formula>
    </cfRule>
    <cfRule type="expression" dxfId="8722" priority="1068">
      <formula>$A45="Overpass"</formula>
    </cfRule>
    <cfRule type="expression" dxfId="8721" priority="1069">
      <formula>$A45="Station"</formula>
    </cfRule>
    <cfRule type="expression" dxfId="8720" priority="1070">
      <formula>$A45="Overlap between sections"</formula>
    </cfRule>
  </conditionalFormatting>
  <conditionalFormatting sqref="AM45 AM47 AM49 AM51 AM53 AM55 AM57">
    <cfRule type="expression" dxfId="8719" priority="705">
      <formula>$M45="NON DEFINED"</formula>
    </cfRule>
    <cfRule type="expression" dxfId="8718" priority="706">
      <formula>$AZ45="N.D."</formula>
    </cfRule>
    <cfRule type="expression" dxfId="8717" priority="707">
      <formula>$AY45="N.D."</formula>
    </cfRule>
  </conditionalFormatting>
  <conditionalFormatting sqref="AM45 AM47 AM49 AM51 AM53 AM55 AM57">
    <cfRule type="expression" dxfId="8716" priority="694">
      <formula>$A45="Overhead Cable"</formula>
    </cfRule>
    <cfRule type="expression" dxfId="8715" priority="695">
      <formula>$A45="Level Crossing"</formula>
    </cfRule>
    <cfRule type="expression" dxfId="8714" priority="696">
      <formula>$A45="Neutral Section"</formula>
    </cfRule>
    <cfRule type="expression" dxfId="8713" priority="697">
      <formula>$A45="Tunnel"</formula>
    </cfRule>
    <cfRule type="expression" dxfId="8712" priority="698">
      <formula>$A45="Bridge"</formula>
    </cfRule>
    <cfRule type="expression" dxfId="8711" priority="699">
      <formula>$A45="Drainage Works"</formula>
    </cfRule>
    <cfRule type="expression" dxfId="8710" priority="700">
      <formula>$A45="Underpass"</formula>
    </cfRule>
    <cfRule type="expression" dxfId="8709" priority="701">
      <formula>$A45="Overcrossing"</formula>
    </cfRule>
    <cfRule type="expression" dxfId="8708" priority="702">
      <formula>$A45="Overpass"</formula>
    </cfRule>
    <cfRule type="expression" dxfId="8707" priority="703">
      <formula>$A45="Station"</formula>
    </cfRule>
    <cfRule type="expression" dxfId="8706" priority="704">
      <formula>$A45="Overlap between sections"</formula>
    </cfRule>
  </conditionalFormatting>
  <conditionalFormatting sqref="B9">
    <cfRule type="expression" dxfId="8705" priority="690">
      <formula>$M9="NON DEFINED"</formula>
    </cfRule>
    <cfRule type="expression" dxfId="8704" priority="691">
      <formula>$AZ9="N.D."</formula>
    </cfRule>
    <cfRule type="expression" dxfId="8703" priority="692">
      <formula>$AY9="N.D."</formula>
    </cfRule>
  </conditionalFormatting>
  <conditionalFormatting sqref="B9">
    <cfRule type="expression" dxfId="8702" priority="679">
      <formula>$A9="Overhead Cable"</formula>
    </cfRule>
    <cfRule type="expression" dxfId="8701" priority="680">
      <formula>$A9="Level Crossing"</formula>
    </cfRule>
    <cfRule type="expression" dxfId="8700" priority="681">
      <formula>$A9="Neutral Section"</formula>
    </cfRule>
    <cfRule type="expression" dxfId="8699" priority="682">
      <formula>$A9="Tunnel"</formula>
    </cfRule>
    <cfRule type="expression" dxfId="8698" priority="683">
      <formula>$A9="Bridge"</formula>
    </cfRule>
    <cfRule type="expression" dxfId="8697" priority="684">
      <formula>$A9="Drainage Works"</formula>
    </cfRule>
    <cfRule type="expression" dxfId="8696" priority="685">
      <formula>$A9="Underpass"</formula>
    </cfRule>
    <cfRule type="expression" dxfId="8695" priority="686">
      <formula>$A9="Overcrossing"</formula>
    </cfRule>
    <cfRule type="expression" dxfId="8694" priority="687">
      <formula>$A9="Overpass"</formula>
    </cfRule>
    <cfRule type="expression" dxfId="8693" priority="688">
      <formula>$A9="Station"</formula>
    </cfRule>
    <cfRule type="expression" dxfId="8692" priority="689">
      <formula>$A9="Overlap between sections"</formula>
    </cfRule>
  </conditionalFormatting>
  <conditionalFormatting sqref="B21">
    <cfRule type="expression" dxfId="8691" priority="676">
      <formula>$M21="NON DEFINED"</formula>
    </cfRule>
    <cfRule type="expression" dxfId="8690" priority="677">
      <formula>$AZ21="N.D."</formula>
    </cfRule>
    <cfRule type="expression" dxfId="8689" priority="678">
      <formula>$AY21="N.D."</formula>
    </cfRule>
  </conditionalFormatting>
  <conditionalFormatting sqref="B21">
    <cfRule type="expression" dxfId="8688" priority="665">
      <formula>$A21="Overhead Cable"</formula>
    </cfRule>
    <cfRule type="expression" dxfId="8687" priority="666">
      <formula>$A21="Level Crossing"</formula>
    </cfRule>
    <cfRule type="expression" dxfId="8686" priority="667">
      <formula>$A21="Neutral Section"</formula>
    </cfRule>
    <cfRule type="expression" dxfId="8685" priority="668">
      <formula>$A21="Tunnel"</formula>
    </cfRule>
    <cfRule type="expression" dxfId="8684" priority="669">
      <formula>$A21="Bridge"</formula>
    </cfRule>
    <cfRule type="expression" dxfId="8683" priority="670">
      <formula>$A21="Drainage Works"</formula>
    </cfRule>
    <cfRule type="expression" dxfId="8682" priority="671">
      <formula>$A21="Underpass"</formula>
    </cfRule>
    <cfRule type="expression" dxfId="8681" priority="672">
      <formula>$A21="Overcrossing"</formula>
    </cfRule>
    <cfRule type="expression" dxfId="8680" priority="673">
      <formula>$A21="Overpass"</formula>
    </cfRule>
    <cfRule type="expression" dxfId="8679" priority="674">
      <formula>$A21="Station"</formula>
    </cfRule>
    <cfRule type="expression" dxfId="8678" priority="675">
      <formula>$A21="Overlap between sections"</formula>
    </cfRule>
  </conditionalFormatting>
  <conditionalFormatting sqref="B21">
    <cfRule type="expression" dxfId="8677" priority="664">
      <formula>AND($AH21&gt;2499,$AH21&lt;2901)</formula>
    </cfRule>
  </conditionalFormatting>
  <conditionalFormatting sqref="B5:V5 X5:AZ5">
    <cfRule type="expression" dxfId="8676" priority="661">
      <formula>$M5="NON DEFINED"</formula>
    </cfRule>
    <cfRule type="expression" dxfId="8675" priority="662">
      <formula>$AZ5="N.D."</formula>
    </cfRule>
    <cfRule type="expression" dxfId="8674" priority="663">
      <formula>$AY5="N.D."</formula>
    </cfRule>
  </conditionalFormatting>
  <conditionalFormatting sqref="AG5 A5:E5 AY5:AZ5 AM5:AS5 G5:H5 J5">
    <cfRule type="expression" dxfId="8673" priority="650">
      <formula>$A5="Overhead Cable"</formula>
    </cfRule>
    <cfRule type="expression" dxfId="8672" priority="651">
      <formula>$A5="Level Crossing"</formula>
    </cfRule>
    <cfRule type="expression" dxfId="8671" priority="652">
      <formula>$A5="Neutral Section"</formula>
    </cfRule>
    <cfRule type="expression" dxfId="8670" priority="653">
      <formula>$A5="Tunnel"</formula>
    </cfRule>
    <cfRule type="expression" dxfId="8669" priority="654">
      <formula>$A5="Bridge"</formula>
    </cfRule>
    <cfRule type="expression" dxfId="8668" priority="655">
      <formula>$A5="Drainage Works"</formula>
    </cfRule>
    <cfRule type="expression" dxfId="8667" priority="656">
      <formula>$A5="Underpass"</formula>
    </cfRule>
    <cfRule type="expression" dxfId="8666" priority="657">
      <formula>$A5="Overcrossing"</formula>
    </cfRule>
    <cfRule type="expression" dxfId="8665" priority="658">
      <formula>$A5="Overpass"</formula>
    </cfRule>
    <cfRule type="expression" dxfId="8664" priority="659">
      <formula>$A5="Station"</formula>
    </cfRule>
    <cfRule type="expression" dxfId="8663" priority="660">
      <formula>$A5="Overlap between sections"</formula>
    </cfRule>
  </conditionalFormatting>
  <conditionalFormatting sqref="AN5:AP5">
    <cfRule type="cellIs" dxfId="8662" priority="649" operator="notEqual">
      <formula>5.5</formula>
    </cfRule>
  </conditionalFormatting>
  <conditionalFormatting sqref="B5">
    <cfRule type="expression" dxfId="8661" priority="648">
      <formula>AND($AH5&gt;2499,$AH5&lt;2901)</formula>
    </cfRule>
  </conditionalFormatting>
  <conditionalFormatting sqref="I5">
    <cfRule type="expression" dxfId="8660" priority="637">
      <formula>$A5="Overhead Cable"</formula>
    </cfRule>
    <cfRule type="expression" dxfId="8659" priority="638">
      <formula>$A5="Level Crossing"</formula>
    </cfRule>
    <cfRule type="expression" dxfId="8658" priority="639">
      <formula>$A5="Neutral Section"</formula>
    </cfRule>
    <cfRule type="expression" dxfId="8657" priority="640">
      <formula>$A5="Tunnel"</formula>
    </cfRule>
    <cfRule type="expression" dxfId="8656" priority="641">
      <formula>$A5="Bridge"</formula>
    </cfRule>
    <cfRule type="expression" dxfId="8655" priority="642">
      <formula>$A5="Drainage Works"</formula>
    </cfRule>
    <cfRule type="expression" dxfId="8654" priority="643">
      <formula>$A5="Underpass"</formula>
    </cfRule>
    <cfRule type="expression" dxfId="8653" priority="644">
      <formula>$A5="Overcrossing"</formula>
    </cfRule>
    <cfRule type="expression" dxfId="8652" priority="645">
      <formula>$A5="Overpass"</formula>
    </cfRule>
    <cfRule type="expression" dxfId="8651" priority="646">
      <formula>$A5="Station"</formula>
    </cfRule>
    <cfRule type="expression" dxfId="8650" priority="647">
      <formula>$A5="Overlap between sections"</formula>
    </cfRule>
  </conditionalFormatting>
  <conditionalFormatting sqref="K5">
    <cfRule type="expression" dxfId="8649" priority="626">
      <formula>$A5="Overhead Cable"</formula>
    </cfRule>
    <cfRule type="expression" dxfId="8648" priority="627">
      <formula>$A5="Level Crossing"</formula>
    </cfRule>
    <cfRule type="expression" dxfId="8647" priority="628">
      <formula>$A5="Neutral Section"</formula>
    </cfRule>
    <cfRule type="expression" dxfId="8646" priority="629">
      <formula>$A5="Tunnel"</formula>
    </cfRule>
    <cfRule type="expression" dxfId="8645" priority="630">
      <formula>$A5="Bridge"</formula>
    </cfRule>
    <cfRule type="expression" dxfId="8644" priority="631">
      <formula>$A5="Drainage Works"</formula>
    </cfRule>
    <cfRule type="expression" dxfId="8643" priority="632">
      <formula>$A5="Underpass"</formula>
    </cfRule>
    <cfRule type="expression" dxfId="8642" priority="633">
      <formula>$A5="Overcrossing"</formula>
    </cfRule>
    <cfRule type="expression" dxfId="8641" priority="634">
      <formula>$A5="Overpass"</formula>
    </cfRule>
    <cfRule type="expression" dxfId="8640" priority="635">
      <formula>$A5="Station"</formula>
    </cfRule>
    <cfRule type="expression" dxfId="8639" priority="636">
      <formula>$A5="Overlap between sections"</formula>
    </cfRule>
  </conditionalFormatting>
  <conditionalFormatting sqref="L5">
    <cfRule type="expression" dxfId="8638" priority="615">
      <formula>$A5="Overhead Cable"</formula>
    </cfRule>
    <cfRule type="expression" dxfId="8637" priority="616">
      <formula>$A5="Level Crossing"</formula>
    </cfRule>
    <cfRule type="expression" dxfId="8636" priority="617">
      <formula>$A5="Neutral Section"</formula>
    </cfRule>
    <cfRule type="expression" dxfId="8635" priority="618">
      <formula>$A5="Tunnel"</formula>
    </cfRule>
    <cfRule type="expression" dxfId="8634" priority="619">
      <formula>$A5="Bridge"</formula>
    </cfRule>
    <cfRule type="expression" dxfId="8633" priority="620">
      <formula>$A5="Drainage Works"</formula>
    </cfRule>
    <cfRule type="expression" dxfId="8632" priority="621">
      <formula>$A5="Underpass"</formula>
    </cfRule>
    <cfRule type="expression" dxfId="8631" priority="622">
      <formula>$A5="Overcrossing"</formula>
    </cfRule>
    <cfRule type="expression" dxfId="8630" priority="623">
      <formula>$A5="Overpass"</formula>
    </cfRule>
    <cfRule type="expression" dxfId="8629" priority="624">
      <formula>$A5="Station"</formula>
    </cfRule>
    <cfRule type="expression" dxfId="8628" priority="625">
      <formula>$A5="Overlap between sections"</formula>
    </cfRule>
  </conditionalFormatting>
  <conditionalFormatting sqref="M5">
    <cfRule type="expression" dxfId="8627" priority="604">
      <formula>$A5="Overhead Cable"</formula>
    </cfRule>
    <cfRule type="expression" dxfId="8626" priority="605">
      <formula>$A5="Level Crossing"</formula>
    </cfRule>
    <cfRule type="expression" dxfId="8625" priority="606">
      <formula>$A5="Neutral Section"</formula>
    </cfRule>
    <cfRule type="expression" dxfId="8624" priority="607">
      <formula>$A5="Tunnel"</formula>
    </cfRule>
    <cfRule type="expression" dxfId="8623" priority="608">
      <formula>$A5="Bridge"</formula>
    </cfRule>
    <cfRule type="expression" dxfId="8622" priority="609">
      <formula>$A5="Drainage Works"</formula>
    </cfRule>
    <cfRule type="expression" dxfId="8621" priority="610">
      <formula>$A5="Underpass"</formula>
    </cfRule>
    <cfRule type="expression" dxfId="8620" priority="611">
      <formula>$A5="Overcrossing"</formula>
    </cfRule>
    <cfRule type="expression" dxfId="8619" priority="612">
      <formula>$A5="Overpass"</formula>
    </cfRule>
    <cfRule type="expression" dxfId="8618" priority="613">
      <formula>$A5="Station"</formula>
    </cfRule>
    <cfRule type="expression" dxfId="8617" priority="614">
      <formula>$A5="Overlap between sections"</formula>
    </cfRule>
  </conditionalFormatting>
  <conditionalFormatting sqref="N5">
    <cfRule type="expression" dxfId="8616" priority="593">
      <formula>$A5="Overhead Cable"</formula>
    </cfRule>
    <cfRule type="expression" dxfId="8615" priority="594">
      <formula>$A5="Level Crossing"</formula>
    </cfRule>
    <cfRule type="expression" dxfId="8614" priority="595">
      <formula>$A5="Neutral Section"</formula>
    </cfRule>
    <cfRule type="expression" dxfId="8613" priority="596">
      <formula>$A5="Tunnel"</formula>
    </cfRule>
    <cfRule type="expression" dxfId="8612" priority="597">
      <formula>$A5="Bridge"</formula>
    </cfRule>
    <cfRule type="expression" dxfId="8611" priority="598">
      <formula>$A5="Drainage Works"</formula>
    </cfRule>
    <cfRule type="expression" dxfId="8610" priority="599">
      <formula>$A5="Underpass"</formula>
    </cfRule>
    <cfRule type="expression" dxfId="8609" priority="600">
      <formula>$A5="Overcrossing"</formula>
    </cfRule>
    <cfRule type="expression" dxfId="8608" priority="601">
      <formula>$A5="Overpass"</formula>
    </cfRule>
    <cfRule type="expression" dxfId="8607" priority="602">
      <formula>$A5="Station"</formula>
    </cfRule>
    <cfRule type="expression" dxfId="8606" priority="603">
      <formula>$A5="Overlap between sections"</formula>
    </cfRule>
  </conditionalFormatting>
  <conditionalFormatting sqref="O5">
    <cfRule type="expression" dxfId="8605" priority="582">
      <formula>$A5="Overhead Cable"</formula>
    </cfRule>
    <cfRule type="expression" dxfId="8604" priority="583">
      <formula>$A5="Level Crossing"</formula>
    </cfRule>
    <cfRule type="expression" dxfId="8603" priority="584">
      <formula>$A5="Neutral Section"</formula>
    </cfRule>
    <cfRule type="expression" dxfId="8602" priority="585">
      <formula>$A5="Tunnel"</formula>
    </cfRule>
    <cfRule type="expression" dxfId="8601" priority="586">
      <formula>$A5="Bridge"</formula>
    </cfRule>
    <cfRule type="expression" dxfId="8600" priority="587">
      <formula>$A5="Drainage Works"</formula>
    </cfRule>
    <cfRule type="expression" dxfId="8599" priority="588">
      <formula>$A5="Underpass"</formula>
    </cfRule>
    <cfRule type="expression" dxfId="8598" priority="589">
      <formula>$A5="Overcrossing"</formula>
    </cfRule>
    <cfRule type="expression" dxfId="8597" priority="590">
      <formula>$A5="Overpass"</formula>
    </cfRule>
    <cfRule type="expression" dxfId="8596" priority="591">
      <formula>$A5="Station"</formula>
    </cfRule>
    <cfRule type="expression" dxfId="8595" priority="592">
      <formula>$A5="Overlap between sections"</formula>
    </cfRule>
  </conditionalFormatting>
  <conditionalFormatting sqref="P5">
    <cfRule type="expression" dxfId="8594" priority="571">
      <formula>$A5="Overhead Cable"</formula>
    </cfRule>
    <cfRule type="expression" dxfId="8593" priority="572">
      <formula>$A5="Level Crossing"</formula>
    </cfRule>
    <cfRule type="expression" dxfId="8592" priority="573">
      <formula>$A5="Neutral Section"</formula>
    </cfRule>
    <cfRule type="expression" dxfId="8591" priority="574">
      <formula>$A5="Tunnel"</formula>
    </cfRule>
    <cfRule type="expression" dxfId="8590" priority="575">
      <formula>$A5="Bridge"</formula>
    </cfRule>
    <cfRule type="expression" dxfId="8589" priority="576">
      <formula>$A5="Drainage Works"</formula>
    </cfRule>
    <cfRule type="expression" dxfId="8588" priority="577">
      <formula>$A5="Underpass"</formula>
    </cfRule>
    <cfRule type="expression" dxfId="8587" priority="578">
      <formula>$A5="Overcrossing"</formula>
    </cfRule>
    <cfRule type="expression" dxfId="8586" priority="579">
      <formula>$A5="Overpass"</formula>
    </cfRule>
    <cfRule type="expression" dxfId="8585" priority="580">
      <formula>$A5="Station"</formula>
    </cfRule>
    <cfRule type="expression" dxfId="8584" priority="581">
      <formula>$A5="Overlap between sections"</formula>
    </cfRule>
  </conditionalFormatting>
  <conditionalFormatting sqref="AC5">
    <cfRule type="expression" dxfId="8583" priority="560">
      <formula>$A5="Overhead Cable"</formula>
    </cfRule>
    <cfRule type="expression" dxfId="8582" priority="561">
      <formula>$A5="Level Crossing"</formula>
    </cfRule>
    <cfRule type="expression" dxfId="8581" priority="562">
      <formula>$A5="Neutral Section"</formula>
    </cfRule>
    <cfRule type="expression" dxfId="8580" priority="563">
      <formula>$A5="Tunnel"</formula>
    </cfRule>
    <cfRule type="expression" dxfId="8579" priority="564">
      <formula>$A5="Bridge"</formula>
    </cfRule>
    <cfRule type="expression" dxfId="8578" priority="565">
      <formula>$A5="Drainage Works"</formula>
    </cfRule>
    <cfRule type="expression" dxfId="8577" priority="566">
      <formula>$A5="Underpass"</formula>
    </cfRule>
    <cfRule type="expression" dxfId="8576" priority="567">
      <formula>$A5="Overcrossing"</formula>
    </cfRule>
    <cfRule type="expression" dxfId="8575" priority="568">
      <formula>$A5="Overpass"</formula>
    </cfRule>
    <cfRule type="expression" dxfId="8574" priority="569">
      <formula>$A5="Station"</formula>
    </cfRule>
    <cfRule type="expression" dxfId="8573" priority="570">
      <formula>$A5="Overlap between sections"</formula>
    </cfRule>
  </conditionalFormatting>
  <conditionalFormatting sqref="AD5">
    <cfRule type="expression" dxfId="8572" priority="549">
      <formula>$A5="Overhead Cable"</formula>
    </cfRule>
    <cfRule type="expression" dxfId="8571" priority="550">
      <formula>$A5="Level Crossing"</formula>
    </cfRule>
    <cfRule type="expression" dxfId="8570" priority="551">
      <formula>$A5="Neutral Section"</formula>
    </cfRule>
    <cfRule type="expression" dxfId="8569" priority="552">
      <formula>$A5="Tunnel"</formula>
    </cfRule>
    <cfRule type="expression" dxfId="8568" priority="553">
      <formula>$A5="Bridge"</formula>
    </cfRule>
    <cfRule type="expression" dxfId="8567" priority="554">
      <formula>$A5="Drainage Works"</formula>
    </cfRule>
    <cfRule type="expression" dxfId="8566" priority="555">
      <formula>$A5="Underpass"</formula>
    </cfRule>
    <cfRule type="expression" dxfId="8565" priority="556">
      <formula>$A5="Overcrossing"</formula>
    </cfRule>
    <cfRule type="expression" dxfId="8564" priority="557">
      <formula>$A5="Overpass"</formula>
    </cfRule>
    <cfRule type="expression" dxfId="8563" priority="558">
      <formula>$A5="Station"</formula>
    </cfRule>
    <cfRule type="expression" dxfId="8562" priority="559">
      <formula>$A5="Overlap between sections"</formula>
    </cfRule>
  </conditionalFormatting>
  <conditionalFormatting sqref="AE5">
    <cfRule type="expression" dxfId="8561" priority="538">
      <formula>$A5="Overhead Cable"</formula>
    </cfRule>
    <cfRule type="expression" dxfId="8560" priority="539">
      <formula>$A5="Level Crossing"</formula>
    </cfRule>
    <cfRule type="expression" dxfId="8559" priority="540">
      <formula>$A5="Neutral Section"</formula>
    </cfRule>
    <cfRule type="expression" dxfId="8558" priority="541">
      <formula>$A5="Tunnel"</formula>
    </cfRule>
    <cfRule type="expression" dxfId="8557" priority="542">
      <formula>$A5="Bridge"</formula>
    </cfRule>
    <cfRule type="expression" dxfId="8556" priority="543">
      <formula>$A5="Drainage Works"</formula>
    </cfRule>
    <cfRule type="expression" dxfId="8555" priority="544">
      <formula>$A5="Underpass"</formula>
    </cfRule>
    <cfRule type="expression" dxfId="8554" priority="545">
      <formula>$A5="Overcrossing"</formula>
    </cfRule>
    <cfRule type="expression" dxfId="8553" priority="546">
      <formula>$A5="Overpass"</formula>
    </cfRule>
    <cfRule type="expression" dxfId="8552" priority="547">
      <formula>$A5="Station"</formula>
    </cfRule>
    <cfRule type="expression" dxfId="8551" priority="548">
      <formula>$A5="Overlap between sections"</formula>
    </cfRule>
  </conditionalFormatting>
  <conditionalFormatting sqref="AJ5">
    <cfRule type="expression" dxfId="8550" priority="527">
      <formula>$A5="Overhead Cable"</formula>
    </cfRule>
    <cfRule type="expression" dxfId="8549" priority="528">
      <formula>$A5="Level Crossing"</formula>
    </cfRule>
    <cfRule type="expression" dxfId="8548" priority="529">
      <formula>$A5="Neutral Section"</formula>
    </cfRule>
    <cfRule type="expression" dxfId="8547" priority="530">
      <formula>$A5="Tunnel"</formula>
    </cfRule>
    <cfRule type="expression" dxfId="8546" priority="531">
      <formula>$A5="Bridge"</formula>
    </cfRule>
    <cfRule type="expression" dxfId="8545" priority="532">
      <formula>$A5="Drainage Works"</formula>
    </cfRule>
    <cfRule type="expression" dxfId="8544" priority="533">
      <formula>$A5="Underpass"</formula>
    </cfRule>
    <cfRule type="expression" dxfId="8543" priority="534">
      <formula>$A5="Overcrossing"</formula>
    </cfRule>
    <cfRule type="expression" dxfId="8542" priority="535">
      <formula>$A5="Overpass"</formula>
    </cfRule>
    <cfRule type="expression" dxfId="8541" priority="536">
      <formula>$A5="Station"</formula>
    </cfRule>
    <cfRule type="expression" dxfId="8540" priority="537">
      <formula>$A5="Overlap between sections"</formula>
    </cfRule>
  </conditionalFormatting>
  <conditionalFormatting sqref="AK5">
    <cfRule type="expression" dxfId="8539" priority="516">
      <formula>$A5="Overhead Cable"</formula>
    </cfRule>
    <cfRule type="expression" dxfId="8538" priority="517">
      <formula>$A5="Level Crossing"</formula>
    </cfRule>
    <cfRule type="expression" dxfId="8537" priority="518">
      <formula>$A5="Neutral Section"</formula>
    </cfRule>
    <cfRule type="expression" dxfId="8536" priority="519">
      <formula>$A5="Tunnel"</formula>
    </cfRule>
    <cfRule type="expression" dxfId="8535" priority="520">
      <formula>$A5="Bridge"</formula>
    </cfRule>
    <cfRule type="expression" dxfId="8534" priority="521">
      <formula>$A5="Drainage Works"</formula>
    </cfRule>
    <cfRule type="expression" dxfId="8533" priority="522">
      <formula>$A5="Underpass"</formula>
    </cfRule>
    <cfRule type="expression" dxfId="8532" priority="523">
      <formula>$A5="Overcrossing"</formula>
    </cfRule>
    <cfRule type="expression" dxfId="8531" priority="524">
      <formula>$A5="Overpass"</formula>
    </cfRule>
    <cfRule type="expression" dxfId="8530" priority="525">
      <formula>$A5="Station"</formula>
    </cfRule>
    <cfRule type="expression" dxfId="8529" priority="526">
      <formula>$A5="Overlap between sections"</formula>
    </cfRule>
  </conditionalFormatting>
  <conditionalFormatting sqref="AL5">
    <cfRule type="expression" dxfId="8528" priority="505">
      <formula>$A5="Overhead Cable"</formula>
    </cfRule>
    <cfRule type="expression" dxfId="8527" priority="506">
      <formula>$A5="Level Crossing"</formula>
    </cfRule>
    <cfRule type="expression" dxfId="8526" priority="507">
      <formula>$A5="Neutral Section"</formula>
    </cfRule>
    <cfRule type="expression" dxfId="8525" priority="508">
      <formula>$A5="Tunnel"</formula>
    </cfRule>
    <cfRule type="expression" dxfId="8524" priority="509">
      <formula>$A5="Bridge"</formula>
    </cfRule>
    <cfRule type="expression" dxfId="8523" priority="510">
      <formula>$A5="Drainage Works"</formula>
    </cfRule>
    <cfRule type="expression" dxfId="8522" priority="511">
      <formula>$A5="Underpass"</formula>
    </cfRule>
    <cfRule type="expression" dxfId="8521" priority="512">
      <formula>$A5="Overcrossing"</formula>
    </cfRule>
    <cfRule type="expression" dxfId="8520" priority="513">
      <formula>$A5="Overpass"</formula>
    </cfRule>
    <cfRule type="expression" dxfId="8519" priority="514">
      <formula>$A5="Station"</formula>
    </cfRule>
    <cfRule type="expression" dxfId="8518" priority="515">
      <formula>$A5="Overlap between sections"</formula>
    </cfRule>
  </conditionalFormatting>
  <conditionalFormatting sqref="AT5">
    <cfRule type="expression" dxfId="8517" priority="494">
      <formula>$A5="Overhead Cable"</formula>
    </cfRule>
    <cfRule type="expression" dxfId="8516" priority="495">
      <formula>$A5="Level Crossing"</formula>
    </cfRule>
    <cfRule type="expression" dxfId="8515" priority="496">
      <formula>$A5="Neutral Section"</formula>
    </cfRule>
    <cfRule type="expression" dxfId="8514" priority="497">
      <formula>$A5="Tunnel"</formula>
    </cfRule>
    <cfRule type="expression" dxfId="8513" priority="498">
      <formula>$A5="Bridge"</formula>
    </cfRule>
    <cfRule type="expression" dxfId="8512" priority="499">
      <formula>$A5="Drainage Works"</formula>
    </cfRule>
    <cfRule type="expression" dxfId="8511" priority="500">
      <formula>$A5="Underpass"</formula>
    </cfRule>
    <cfRule type="expression" dxfId="8510" priority="501">
      <formula>$A5="Overcrossing"</formula>
    </cfRule>
    <cfRule type="expression" dxfId="8509" priority="502">
      <formula>$A5="Overpass"</formula>
    </cfRule>
    <cfRule type="expression" dxfId="8508" priority="503">
      <formula>$A5="Station"</formula>
    </cfRule>
    <cfRule type="expression" dxfId="8507" priority="504">
      <formula>$A5="Overlap between sections"</formula>
    </cfRule>
  </conditionalFormatting>
  <conditionalFormatting sqref="AU5">
    <cfRule type="expression" dxfId="8506" priority="483">
      <formula>$A5="Overhead Cable"</formula>
    </cfRule>
    <cfRule type="expression" dxfId="8505" priority="484">
      <formula>$A5="Level Crossing"</formula>
    </cfRule>
    <cfRule type="expression" dxfId="8504" priority="485">
      <formula>$A5="Neutral Section"</formula>
    </cfRule>
    <cfRule type="expression" dxfId="8503" priority="486">
      <formula>$A5="Tunnel"</formula>
    </cfRule>
    <cfRule type="expression" dxfId="8502" priority="487">
      <formula>$A5="Bridge"</formula>
    </cfRule>
    <cfRule type="expression" dxfId="8501" priority="488">
      <formula>$A5="Drainage Works"</formula>
    </cfRule>
    <cfRule type="expression" dxfId="8500" priority="489">
      <formula>$A5="Underpass"</formula>
    </cfRule>
    <cfRule type="expression" dxfId="8499" priority="490">
      <formula>$A5="Overcrossing"</formula>
    </cfRule>
    <cfRule type="expression" dxfId="8498" priority="491">
      <formula>$A5="Overpass"</formula>
    </cfRule>
    <cfRule type="expression" dxfId="8497" priority="492">
      <formula>$A5="Station"</formula>
    </cfRule>
    <cfRule type="expression" dxfId="8496" priority="493">
      <formula>$A5="Overlap between sections"</formula>
    </cfRule>
  </conditionalFormatting>
  <conditionalFormatting sqref="AV5">
    <cfRule type="expression" dxfId="8495" priority="472">
      <formula>$A5="Overhead Cable"</formula>
    </cfRule>
    <cfRule type="expression" dxfId="8494" priority="473">
      <formula>$A5="Level Crossing"</formula>
    </cfRule>
    <cfRule type="expression" dxfId="8493" priority="474">
      <formula>$A5="Neutral Section"</formula>
    </cfRule>
    <cfRule type="expression" dxfId="8492" priority="475">
      <formula>$A5="Tunnel"</formula>
    </cfRule>
    <cfRule type="expression" dxfId="8491" priority="476">
      <formula>$A5="Bridge"</formula>
    </cfRule>
    <cfRule type="expression" dxfId="8490" priority="477">
      <formula>$A5="Drainage Works"</formula>
    </cfRule>
    <cfRule type="expression" dxfId="8489" priority="478">
      <formula>$A5="Underpass"</formula>
    </cfRule>
    <cfRule type="expression" dxfId="8488" priority="479">
      <formula>$A5="Overcrossing"</formula>
    </cfRule>
    <cfRule type="expression" dxfId="8487" priority="480">
      <formula>$A5="Overpass"</formula>
    </cfRule>
    <cfRule type="expression" dxfId="8486" priority="481">
      <formula>$A5="Station"</formula>
    </cfRule>
    <cfRule type="expression" dxfId="8485" priority="482">
      <formula>$A5="Overlap between sections"</formula>
    </cfRule>
  </conditionalFormatting>
  <conditionalFormatting sqref="AW5">
    <cfRule type="expression" dxfId="8484" priority="461">
      <formula>$A5="Overhead Cable"</formula>
    </cfRule>
    <cfRule type="expression" dxfId="8483" priority="462">
      <formula>$A5="Level Crossing"</formula>
    </cfRule>
    <cfRule type="expression" dxfId="8482" priority="463">
      <formula>$A5="Neutral Section"</formula>
    </cfRule>
    <cfRule type="expression" dxfId="8481" priority="464">
      <formula>$A5="Tunnel"</formula>
    </cfRule>
    <cfRule type="expression" dxfId="8480" priority="465">
      <formula>$A5="Bridge"</formula>
    </cfRule>
    <cfRule type="expression" dxfId="8479" priority="466">
      <formula>$A5="Drainage Works"</formula>
    </cfRule>
    <cfRule type="expression" dxfId="8478" priority="467">
      <formula>$A5="Underpass"</formula>
    </cfRule>
    <cfRule type="expression" dxfId="8477" priority="468">
      <formula>$A5="Overcrossing"</formula>
    </cfRule>
    <cfRule type="expression" dxfId="8476" priority="469">
      <formula>$A5="Overpass"</formula>
    </cfRule>
    <cfRule type="expression" dxfId="8475" priority="470">
      <formula>$A5="Station"</formula>
    </cfRule>
    <cfRule type="expression" dxfId="8474" priority="471">
      <formula>$A5="Overlap between sections"</formula>
    </cfRule>
  </conditionalFormatting>
  <conditionalFormatting sqref="AX5">
    <cfRule type="expression" dxfId="8473" priority="450">
      <formula>$A5="Overhead Cable"</formula>
    </cfRule>
    <cfRule type="expression" dxfId="8472" priority="451">
      <formula>$A5="Level Crossing"</formula>
    </cfRule>
    <cfRule type="expression" dxfId="8471" priority="452">
      <formula>$A5="Neutral Section"</formula>
    </cfRule>
    <cfRule type="expression" dxfId="8470" priority="453">
      <formula>$A5="Tunnel"</formula>
    </cfRule>
    <cfRule type="expression" dxfId="8469" priority="454">
      <formula>$A5="Bridge"</formula>
    </cfRule>
    <cfRule type="expression" dxfId="8468" priority="455">
      <formula>$A5="Drainage Works"</formula>
    </cfRule>
    <cfRule type="expression" dxfId="8467" priority="456">
      <formula>$A5="Underpass"</formula>
    </cfRule>
    <cfRule type="expression" dxfId="8466" priority="457">
      <formula>$A5="Overcrossing"</formula>
    </cfRule>
    <cfRule type="expression" dxfId="8465" priority="458">
      <formula>$A5="Overpass"</formula>
    </cfRule>
    <cfRule type="expression" dxfId="8464" priority="459">
      <formula>$A5="Station"</formula>
    </cfRule>
    <cfRule type="expression" dxfId="8463" priority="460">
      <formula>$A5="Overlap between sections"</formula>
    </cfRule>
  </conditionalFormatting>
  <conditionalFormatting sqref="F5">
    <cfRule type="expression" dxfId="8462" priority="439">
      <formula>$A5="Overhead Cable"</formula>
    </cfRule>
    <cfRule type="expression" dxfId="8461" priority="440">
      <formula>$A5="Level Crossing"</formula>
    </cfRule>
    <cfRule type="expression" dxfId="8460" priority="441">
      <formula>$A5="Neutral Section"</formula>
    </cfRule>
    <cfRule type="expression" dxfId="8459" priority="442">
      <formula>$A5="Tunnel"</formula>
    </cfRule>
    <cfRule type="expression" dxfId="8458" priority="443">
      <formula>$A5="Bridge"</formula>
    </cfRule>
    <cfRule type="expression" dxfId="8457" priority="444">
      <formula>$A5="Drainage Works"</formula>
    </cfRule>
    <cfRule type="expression" dxfId="8456" priority="445">
      <formula>$A5="Underpass"</formula>
    </cfRule>
    <cfRule type="expression" dxfId="8455" priority="446">
      <formula>$A5="Overcrossing"</formula>
    </cfRule>
    <cfRule type="expression" dxfId="8454" priority="447">
      <formula>$A5="Overpass"</formula>
    </cfRule>
    <cfRule type="expression" dxfId="8453" priority="448">
      <formula>$A5="Station"</formula>
    </cfRule>
    <cfRule type="expression" dxfId="8452" priority="449">
      <formula>$A5="Overlap between sections"</formula>
    </cfRule>
  </conditionalFormatting>
  <conditionalFormatting sqref="Q5">
    <cfRule type="expression" dxfId="8451" priority="428">
      <formula>$A5="Overhead Cable"</formula>
    </cfRule>
    <cfRule type="expression" dxfId="8450" priority="429">
      <formula>$A5="Level Crossing"</formula>
    </cfRule>
    <cfRule type="expression" dxfId="8449" priority="430">
      <formula>$A5="Neutral Section"</formula>
    </cfRule>
    <cfRule type="expression" dxfId="8448" priority="431">
      <formula>$A5="Tunnel"</formula>
    </cfRule>
    <cfRule type="expression" dxfId="8447" priority="432">
      <formula>$A5="Bridge"</formula>
    </cfRule>
    <cfRule type="expression" dxfId="8446" priority="433">
      <formula>$A5="Drainage Works"</formula>
    </cfRule>
    <cfRule type="expression" dxfId="8445" priority="434">
      <formula>$A5="Underpass"</formula>
    </cfRule>
    <cfRule type="expression" dxfId="8444" priority="435">
      <formula>$A5="Overcrossing"</formula>
    </cfRule>
    <cfRule type="expression" dxfId="8443" priority="436">
      <formula>$A5="Overpass"</formula>
    </cfRule>
    <cfRule type="expression" dxfId="8442" priority="437">
      <formula>$A5="Station"</formula>
    </cfRule>
    <cfRule type="expression" dxfId="8441" priority="438">
      <formula>$A5="Overlap between sections"</formula>
    </cfRule>
  </conditionalFormatting>
  <conditionalFormatting sqref="T5">
    <cfRule type="expression" dxfId="8440" priority="417">
      <formula>$A5="Overhead Cable"</formula>
    </cfRule>
    <cfRule type="expression" dxfId="8439" priority="418">
      <formula>$A5="Level Crossing"</formula>
    </cfRule>
    <cfRule type="expression" dxfId="8438" priority="419">
      <formula>$A5="Neutral Section"</formula>
    </cfRule>
    <cfRule type="expression" dxfId="8437" priority="420">
      <formula>$A5="Tunnel"</formula>
    </cfRule>
    <cfRule type="expression" dxfId="8436" priority="421">
      <formula>$A5="Bridge"</formula>
    </cfRule>
    <cfRule type="expression" dxfId="8435" priority="422">
      <formula>$A5="Drainage Works"</formula>
    </cfRule>
    <cfRule type="expression" dxfId="8434" priority="423">
      <formula>$A5="Underpass"</formula>
    </cfRule>
    <cfRule type="expression" dxfId="8433" priority="424">
      <formula>$A5="Overcrossing"</formula>
    </cfRule>
    <cfRule type="expression" dxfId="8432" priority="425">
      <formula>$A5="Overpass"</formula>
    </cfRule>
    <cfRule type="expression" dxfId="8431" priority="426">
      <formula>$A5="Station"</formula>
    </cfRule>
    <cfRule type="expression" dxfId="8430" priority="427">
      <formula>$A5="Overlap between sections"</formula>
    </cfRule>
  </conditionalFormatting>
  <conditionalFormatting sqref="W5">
    <cfRule type="expression" dxfId="8429" priority="282">
      <formula>$M5="NON DEFINED"</formula>
    </cfRule>
    <cfRule type="expression" dxfId="8428" priority="283">
      <formula>$AZ5="N.D."</formula>
    </cfRule>
    <cfRule type="expression" dxfId="8427" priority="284">
      <formula>$AY5="N.D."</formula>
    </cfRule>
  </conditionalFormatting>
  <conditionalFormatting sqref="W5">
    <cfRule type="expression" dxfId="8426" priority="271">
      <formula>$A5="Overhead Cable"</formula>
    </cfRule>
    <cfRule type="expression" dxfId="8425" priority="272">
      <formula>$A5="Level Crossing"</formula>
    </cfRule>
    <cfRule type="expression" dxfId="8424" priority="273">
      <formula>$A5="Neutral Section"</formula>
    </cfRule>
    <cfRule type="expression" dxfId="8423" priority="274">
      <formula>$A5="Tunnel"</formula>
    </cfRule>
    <cfRule type="expression" dxfId="8422" priority="275">
      <formula>$A5="Bridge"</formula>
    </cfRule>
    <cfRule type="expression" dxfId="8421" priority="276">
      <formula>$A5="Drainage Works"</formula>
    </cfRule>
    <cfRule type="expression" dxfId="8420" priority="277">
      <formula>$A5="Underpass"</formula>
    </cfRule>
    <cfRule type="expression" dxfId="8419" priority="278">
      <formula>$A5="Overcrossing"</formula>
    </cfRule>
    <cfRule type="expression" dxfId="8418" priority="279">
      <formula>$A5="Overpass"</formula>
    </cfRule>
    <cfRule type="expression" dxfId="8417" priority="280">
      <formula>$A5="Station"</formula>
    </cfRule>
    <cfRule type="expression" dxfId="8416" priority="281">
      <formula>$A5="Overlap between sections"</formula>
    </cfRule>
  </conditionalFormatting>
  <conditionalFormatting sqref="L46">
    <cfRule type="expression" dxfId="8415" priority="268">
      <formula>$M46="NON DEFINED"</formula>
    </cfRule>
    <cfRule type="expression" dxfId="8414" priority="269">
      <formula>$AZ46="N.D."</formula>
    </cfRule>
    <cfRule type="expression" dxfId="8413" priority="270">
      <formula>$AY46="N.D."</formula>
    </cfRule>
  </conditionalFormatting>
  <conditionalFormatting sqref="L46">
    <cfRule type="expression" dxfId="8412" priority="257">
      <formula>$A46="Overhead Cable"</formula>
    </cfRule>
    <cfRule type="expression" dxfId="8411" priority="258">
      <formula>$A46="Level Crossing"</formula>
    </cfRule>
    <cfRule type="expression" dxfId="8410" priority="259">
      <formula>$A46="Neutral Section"</formula>
    </cfRule>
    <cfRule type="expression" dxfId="8409" priority="260">
      <formula>$A46="Tunnel"</formula>
    </cfRule>
    <cfRule type="expression" dxfId="8408" priority="261">
      <formula>$A46="Bridge"</formula>
    </cfRule>
    <cfRule type="expression" dxfId="8407" priority="262">
      <formula>$A46="Drainage Works"</formula>
    </cfRule>
    <cfRule type="expression" dxfId="8406" priority="263">
      <formula>$A46="Underpass"</formula>
    </cfRule>
    <cfRule type="expression" dxfId="8405" priority="264">
      <formula>$A46="Overcrossing"</formula>
    </cfRule>
    <cfRule type="expression" dxfId="8404" priority="265">
      <formula>$A46="Overpass"</formula>
    </cfRule>
    <cfRule type="expression" dxfId="8403" priority="266">
      <formula>$A46="Station"</formula>
    </cfRule>
    <cfRule type="expression" dxfId="8402" priority="267">
      <formula>$A46="Overlap between sections"</formula>
    </cfRule>
  </conditionalFormatting>
  <conditionalFormatting sqref="L50">
    <cfRule type="expression" dxfId="8401" priority="254">
      <formula>$M50="NON DEFINED"</formula>
    </cfRule>
    <cfRule type="expression" dxfId="8400" priority="255">
      <formula>$AZ50="N.D."</formula>
    </cfRule>
    <cfRule type="expression" dxfId="8399" priority="256">
      <formula>$AY50="N.D."</formula>
    </cfRule>
  </conditionalFormatting>
  <conditionalFormatting sqref="L50">
    <cfRule type="expression" dxfId="8398" priority="243">
      <formula>$A50="Overhead Cable"</formula>
    </cfRule>
    <cfRule type="expression" dxfId="8397" priority="244">
      <formula>$A50="Level Crossing"</formula>
    </cfRule>
    <cfRule type="expression" dxfId="8396" priority="245">
      <formula>$A50="Neutral Section"</formula>
    </cfRule>
    <cfRule type="expression" dxfId="8395" priority="246">
      <formula>$A50="Tunnel"</formula>
    </cfRule>
    <cfRule type="expression" dxfId="8394" priority="247">
      <formula>$A50="Bridge"</formula>
    </cfRule>
    <cfRule type="expression" dxfId="8393" priority="248">
      <formula>$A50="Drainage Works"</formula>
    </cfRule>
    <cfRule type="expression" dxfId="8392" priority="249">
      <formula>$A50="Underpass"</formula>
    </cfRule>
    <cfRule type="expression" dxfId="8391" priority="250">
      <formula>$A50="Overcrossing"</formula>
    </cfRule>
    <cfRule type="expression" dxfId="8390" priority="251">
      <formula>$A50="Overpass"</formula>
    </cfRule>
    <cfRule type="expression" dxfId="8389" priority="252">
      <formula>$A50="Station"</formula>
    </cfRule>
    <cfRule type="expression" dxfId="8388" priority="253">
      <formula>$A50="Overlap between sections"</formula>
    </cfRule>
  </conditionalFormatting>
  <conditionalFormatting sqref="AM44">
    <cfRule type="expression" dxfId="8387" priority="229">
      <formula>$M42="NON DEFINED"</formula>
    </cfRule>
    <cfRule type="expression" dxfId="8386" priority="230">
      <formula>$AZ42="N.D."</formula>
    </cfRule>
    <cfRule type="expression" dxfId="8385" priority="231">
      <formula>$AY42="N.D."</formula>
    </cfRule>
  </conditionalFormatting>
  <conditionalFormatting sqref="AM44">
    <cfRule type="expression" dxfId="8384" priority="232">
      <formula>$A42="Overhead Cable"</formula>
    </cfRule>
    <cfRule type="expression" dxfId="8383" priority="233">
      <formula>$A42="Level Crossing"</formula>
    </cfRule>
    <cfRule type="expression" dxfId="8382" priority="234">
      <formula>$A42="Neutral Section"</formula>
    </cfRule>
    <cfRule type="expression" dxfId="8381" priority="235">
      <formula>$A42="Tunnel"</formula>
    </cfRule>
    <cfRule type="expression" dxfId="8380" priority="236">
      <formula>$A42="Bridge"</formula>
    </cfRule>
    <cfRule type="expression" dxfId="8379" priority="237">
      <formula>$A42="Drainage Works"</formula>
    </cfRule>
    <cfRule type="expression" dxfId="8378" priority="238">
      <formula>$A42="Underpass"</formula>
    </cfRule>
    <cfRule type="expression" dxfId="8377" priority="239">
      <formula>$A42="Overcrossing"</formula>
    </cfRule>
    <cfRule type="expression" dxfId="8376" priority="240">
      <formula>$A42="Overpass"</formula>
    </cfRule>
    <cfRule type="expression" dxfId="8375" priority="241">
      <formula>$A42="Station"</formula>
    </cfRule>
    <cfRule type="expression" dxfId="8374" priority="242">
      <formula>$A42="Overlap between sections"</formula>
    </cfRule>
  </conditionalFormatting>
  <conditionalFormatting sqref="AM46">
    <cfRule type="expression" dxfId="8373" priority="215">
      <formula>$M44="NON DEFINED"</formula>
    </cfRule>
    <cfRule type="expression" dxfId="8372" priority="216">
      <formula>$AZ44="N.D."</formula>
    </cfRule>
    <cfRule type="expression" dxfId="8371" priority="217">
      <formula>$AY44="N.D."</formula>
    </cfRule>
  </conditionalFormatting>
  <conditionalFormatting sqref="AM46">
    <cfRule type="expression" dxfId="8370" priority="218">
      <formula>$A44="Overhead Cable"</formula>
    </cfRule>
    <cfRule type="expression" dxfId="8369" priority="219">
      <formula>$A44="Level Crossing"</formula>
    </cfRule>
    <cfRule type="expression" dxfId="8368" priority="220">
      <formula>$A44="Neutral Section"</formula>
    </cfRule>
    <cfRule type="expression" dxfId="8367" priority="221">
      <formula>$A44="Tunnel"</formula>
    </cfRule>
    <cfRule type="expression" dxfId="8366" priority="222">
      <formula>$A44="Bridge"</formula>
    </cfRule>
    <cfRule type="expression" dxfId="8365" priority="223">
      <formula>$A44="Drainage Works"</formula>
    </cfRule>
    <cfRule type="expression" dxfId="8364" priority="224">
      <formula>$A44="Underpass"</formula>
    </cfRule>
    <cfRule type="expression" dxfId="8363" priority="225">
      <formula>$A44="Overcrossing"</formula>
    </cfRule>
    <cfRule type="expression" dxfId="8362" priority="226">
      <formula>$A44="Overpass"</formula>
    </cfRule>
    <cfRule type="expression" dxfId="8361" priority="227">
      <formula>$A44="Station"</formula>
    </cfRule>
    <cfRule type="expression" dxfId="8360" priority="228">
      <formula>$A44="Overlap between sections"</formula>
    </cfRule>
  </conditionalFormatting>
  <conditionalFormatting sqref="AM48">
    <cfRule type="expression" dxfId="8359" priority="201">
      <formula>$M46="NON DEFINED"</formula>
    </cfRule>
    <cfRule type="expression" dxfId="8358" priority="202">
      <formula>$AZ46="N.D."</formula>
    </cfRule>
    <cfRule type="expression" dxfId="8357" priority="203">
      <formula>$AY46="N.D."</formula>
    </cfRule>
  </conditionalFormatting>
  <conditionalFormatting sqref="AM48">
    <cfRule type="expression" dxfId="8356" priority="204">
      <formula>$A46="Overhead Cable"</formula>
    </cfRule>
    <cfRule type="expression" dxfId="8355" priority="205">
      <formula>$A46="Level Crossing"</formula>
    </cfRule>
    <cfRule type="expression" dxfId="8354" priority="206">
      <formula>$A46="Neutral Section"</formula>
    </cfRule>
    <cfRule type="expression" dxfId="8353" priority="207">
      <formula>$A46="Tunnel"</formula>
    </cfRule>
    <cfRule type="expression" dxfId="8352" priority="208">
      <formula>$A46="Bridge"</formula>
    </cfRule>
    <cfRule type="expression" dxfId="8351" priority="209">
      <formula>$A46="Drainage Works"</formula>
    </cfRule>
    <cfRule type="expression" dxfId="8350" priority="210">
      <formula>$A46="Underpass"</formula>
    </cfRule>
    <cfRule type="expression" dxfId="8349" priority="211">
      <formula>$A46="Overcrossing"</formula>
    </cfRule>
    <cfRule type="expression" dxfId="8348" priority="212">
      <formula>$A46="Overpass"</formula>
    </cfRule>
    <cfRule type="expression" dxfId="8347" priority="213">
      <formula>$A46="Station"</formula>
    </cfRule>
    <cfRule type="expression" dxfId="8346" priority="214">
      <formula>$A46="Overlap between sections"</formula>
    </cfRule>
  </conditionalFormatting>
  <conditionalFormatting sqref="AM50">
    <cfRule type="expression" dxfId="8345" priority="187">
      <formula>$M48="NON DEFINED"</formula>
    </cfRule>
    <cfRule type="expression" dxfId="8344" priority="188">
      <formula>$AZ48="N.D."</formula>
    </cfRule>
    <cfRule type="expression" dxfId="8343" priority="189">
      <formula>$AY48="N.D."</formula>
    </cfRule>
  </conditionalFormatting>
  <conditionalFormatting sqref="AM50">
    <cfRule type="expression" dxfId="8342" priority="190">
      <formula>$A48="Overhead Cable"</formula>
    </cfRule>
    <cfRule type="expression" dxfId="8341" priority="191">
      <formula>$A48="Level Crossing"</formula>
    </cfRule>
    <cfRule type="expression" dxfId="8340" priority="192">
      <formula>$A48="Neutral Section"</formula>
    </cfRule>
    <cfRule type="expression" dxfId="8339" priority="193">
      <formula>$A48="Tunnel"</formula>
    </cfRule>
    <cfRule type="expression" dxfId="8338" priority="194">
      <formula>$A48="Bridge"</formula>
    </cfRule>
    <cfRule type="expression" dxfId="8337" priority="195">
      <formula>$A48="Drainage Works"</formula>
    </cfRule>
    <cfRule type="expression" dxfId="8336" priority="196">
      <formula>$A48="Underpass"</formula>
    </cfRule>
    <cfRule type="expression" dxfId="8335" priority="197">
      <formula>$A48="Overcrossing"</formula>
    </cfRule>
    <cfRule type="expression" dxfId="8334" priority="198">
      <formula>$A48="Overpass"</formula>
    </cfRule>
    <cfRule type="expression" dxfId="8333" priority="199">
      <formula>$A48="Station"</formula>
    </cfRule>
    <cfRule type="expression" dxfId="8332" priority="200">
      <formula>$A48="Overlap between sections"</formula>
    </cfRule>
  </conditionalFormatting>
  <conditionalFormatting sqref="AM52">
    <cfRule type="expression" dxfId="8331" priority="173">
      <formula>$M50="NON DEFINED"</formula>
    </cfRule>
    <cfRule type="expression" dxfId="8330" priority="174">
      <formula>$AZ50="N.D."</formula>
    </cfRule>
    <cfRule type="expression" dxfId="8329" priority="175">
      <formula>$AY50="N.D."</formula>
    </cfRule>
  </conditionalFormatting>
  <conditionalFormatting sqref="AM52">
    <cfRule type="expression" dxfId="8328" priority="176">
      <formula>$A50="Overhead Cable"</formula>
    </cfRule>
    <cfRule type="expression" dxfId="8327" priority="177">
      <formula>$A50="Level Crossing"</formula>
    </cfRule>
    <cfRule type="expression" dxfId="8326" priority="178">
      <formula>$A50="Neutral Section"</formula>
    </cfRule>
    <cfRule type="expression" dxfId="8325" priority="179">
      <formula>$A50="Tunnel"</formula>
    </cfRule>
    <cfRule type="expression" dxfId="8324" priority="180">
      <formula>$A50="Bridge"</formula>
    </cfRule>
    <cfRule type="expression" dxfId="8323" priority="181">
      <formula>$A50="Drainage Works"</formula>
    </cfRule>
    <cfRule type="expression" dxfId="8322" priority="182">
      <formula>$A50="Underpass"</formula>
    </cfRule>
    <cfRule type="expression" dxfId="8321" priority="183">
      <formula>$A50="Overcrossing"</formula>
    </cfRule>
    <cfRule type="expression" dxfId="8320" priority="184">
      <formula>$A50="Overpass"</formula>
    </cfRule>
    <cfRule type="expression" dxfId="8319" priority="185">
      <formula>$A50="Station"</formula>
    </cfRule>
    <cfRule type="expression" dxfId="8318" priority="186">
      <formula>$A50="Overlap between sections"</formula>
    </cfRule>
  </conditionalFormatting>
  <conditionalFormatting sqref="AM54">
    <cfRule type="expression" dxfId="8317" priority="159">
      <formula>$M52="NON DEFINED"</formula>
    </cfRule>
    <cfRule type="expression" dxfId="8316" priority="160">
      <formula>$AZ52="N.D."</formula>
    </cfRule>
    <cfRule type="expression" dxfId="8315" priority="161">
      <formula>$AY52="N.D."</formula>
    </cfRule>
  </conditionalFormatting>
  <conditionalFormatting sqref="AM54">
    <cfRule type="expression" dxfId="8314" priority="162">
      <formula>$A52="Overhead Cable"</formula>
    </cfRule>
    <cfRule type="expression" dxfId="8313" priority="163">
      <formula>$A52="Level Crossing"</formula>
    </cfRule>
    <cfRule type="expression" dxfId="8312" priority="164">
      <formula>$A52="Neutral Section"</formula>
    </cfRule>
    <cfRule type="expression" dxfId="8311" priority="165">
      <formula>$A52="Tunnel"</formula>
    </cfRule>
    <cfRule type="expression" dxfId="8310" priority="166">
      <formula>$A52="Bridge"</formula>
    </cfRule>
    <cfRule type="expression" dxfId="8309" priority="167">
      <formula>$A52="Drainage Works"</formula>
    </cfRule>
    <cfRule type="expression" dxfId="8308" priority="168">
      <formula>$A52="Underpass"</formula>
    </cfRule>
    <cfRule type="expression" dxfId="8307" priority="169">
      <formula>$A52="Overcrossing"</formula>
    </cfRule>
    <cfRule type="expression" dxfId="8306" priority="170">
      <formula>$A52="Overpass"</formula>
    </cfRule>
    <cfRule type="expression" dxfId="8305" priority="171">
      <formula>$A52="Station"</formula>
    </cfRule>
    <cfRule type="expression" dxfId="8304" priority="172">
      <formula>$A52="Overlap between sections"</formula>
    </cfRule>
  </conditionalFormatting>
  <conditionalFormatting sqref="AM56">
    <cfRule type="expression" dxfId="8303" priority="145">
      <formula>$M54="NON DEFINED"</formula>
    </cfRule>
    <cfRule type="expression" dxfId="8302" priority="146">
      <formula>$AZ54="N.D."</formula>
    </cfRule>
    <cfRule type="expression" dxfId="8301" priority="147">
      <formula>$AY54="N.D."</formula>
    </cfRule>
  </conditionalFormatting>
  <conditionalFormatting sqref="AM56">
    <cfRule type="expression" dxfId="8300" priority="148">
      <formula>$A54="Overhead Cable"</formula>
    </cfRule>
    <cfRule type="expression" dxfId="8299" priority="149">
      <formula>$A54="Level Crossing"</formula>
    </cfRule>
    <cfRule type="expression" dxfId="8298" priority="150">
      <formula>$A54="Neutral Section"</formula>
    </cfRule>
    <cfRule type="expression" dxfId="8297" priority="151">
      <formula>$A54="Tunnel"</formula>
    </cfRule>
    <cfRule type="expression" dxfId="8296" priority="152">
      <formula>$A54="Bridge"</formula>
    </cfRule>
    <cfRule type="expression" dxfId="8295" priority="153">
      <formula>$A54="Drainage Works"</formula>
    </cfRule>
    <cfRule type="expression" dxfId="8294" priority="154">
      <formula>$A54="Underpass"</formula>
    </cfRule>
    <cfRule type="expression" dxfId="8293" priority="155">
      <formula>$A54="Overcrossing"</formula>
    </cfRule>
    <cfRule type="expression" dxfId="8292" priority="156">
      <formula>$A54="Overpass"</formula>
    </cfRule>
    <cfRule type="expression" dxfId="8291" priority="157">
      <formula>$A54="Station"</formula>
    </cfRule>
    <cfRule type="expression" dxfId="8290" priority="158">
      <formula>$A54="Overlap between sections"</formula>
    </cfRule>
  </conditionalFormatting>
  <conditionalFormatting sqref="AM58">
    <cfRule type="expression" dxfId="8289" priority="131">
      <formula>$M56="NON DEFINED"</formula>
    </cfRule>
    <cfRule type="expression" dxfId="8288" priority="132">
      <formula>$AZ56="N.D."</formula>
    </cfRule>
    <cfRule type="expression" dxfId="8287" priority="133">
      <formula>$AY56="N.D."</formula>
    </cfRule>
  </conditionalFormatting>
  <conditionalFormatting sqref="AM58">
    <cfRule type="expression" dxfId="8286" priority="134">
      <formula>$A56="Overhead Cable"</formula>
    </cfRule>
    <cfRule type="expression" dxfId="8285" priority="135">
      <formula>$A56="Level Crossing"</formula>
    </cfRule>
    <cfRule type="expression" dxfId="8284" priority="136">
      <formula>$A56="Neutral Section"</formula>
    </cfRule>
    <cfRule type="expression" dxfId="8283" priority="137">
      <formula>$A56="Tunnel"</formula>
    </cfRule>
    <cfRule type="expression" dxfId="8282" priority="138">
      <formula>$A56="Bridge"</formula>
    </cfRule>
    <cfRule type="expression" dxfId="8281" priority="139">
      <formula>$A56="Drainage Works"</formula>
    </cfRule>
    <cfRule type="expression" dxfId="8280" priority="140">
      <formula>$A56="Underpass"</formula>
    </cfRule>
    <cfRule type="expression" dxfId="8279" priority="141">
      <formula>$A56="Overcrossing"</formula>
    </cfRule>
    <cfRule type="expression" dxfId="8278" priority="142">
      <formula>$A56="Overpass"</formula>
    </cfRule>
    <cfRule type="expression" dxfId="8277" priority="143">
      <formula>$A56="Station"</formula>
    </cfRule>
    <cfRule type="expression" dxfId="8276" priority="144">
      <formula>$A56="Overlap between sections"</formula>
    </cfRule>
  </conditionalFormatting>
  <conditionalFormatting sqref="BD40">
    <cfRule type="containsText" dxfId="8275" priority="130" operator="containsText" text="Poner a mano">
      <formula>NOT(ISERROR(SEARCH("Poner a mano",BD40)))</formula>
    </cfRule>
  </conditionalFormatting>
  <conditionalFormatting sqref="BD36">
    <cfRule type="containsText" dxfId="8274" priority="129" operator="containsText" text="Poner a mano">
      <formula>NOT(ISERROR(SEARCH("Poner a mano",BD36)))</formula>
    </cfRule>
  </conditionalFormatting>
  <conditionalFormatting sqref="BD34">
    <cfRule type="containsText" dxfId="8273" priority="128" operator="containsText" text="Poner a mano">
      <formula>NOT(ISERROR(SEARCH("Poner a mano",BD34)))</formula>
    </cfRule>
  </conditionalFormatting>
  <conditionalFormatting sqref="BD32">
    <cfRule type="containsText" dxfId="8272" priority="127" operator="containsText" text="Poner a mano">
      <formula>NOT(ISERROR(SEARCH("Poner a mano",BD32)))</formula>
    </cfRule>
  </conditionalFormatting>
  <conditionalFormatting sqref="BD30">
    <cfRule type="containsText" dxfId="8271" priority="126" operator="containsText" text="Poner a mano">
      <formula>NOT(ISERROR(SEARCH("Poner a mano",BD30)))</formula>
    </cfRule>
  </conditionalFormatting>
  <conditionalFormatting sqref="BD28">
    <cfRule type="containsText" dxfId="8270" priority="125" operator="containsText" text="Poner a mano">
      <formula>NOT(ISERROR(SEARCH("Poner a mano",BD28)))</formula>
    </cfRule>
  </conditionalFormatting>
  <conditionalFormatting sqref="BD26">
    <cfRule type="containsText" dxfId="8269" priority="124" operator="containsText" text="Poner a mano">
      <formula>NOT(ISERROR(SEARCH("Poner a mano",BD26)))</formula>
    </cfRule>
  </conditionalFormatting>
  <conditionalFormatting sqref="BD24">
    <cfRule type="containsText" dxfId="8268" priority="123" operator="containsText" text="Poner a mano">
      <formula>NOT(ISERROR(SEARCH("Poner a mano",BD24)))</formula>
    </cfRule>
  </conditionalFormatting>
  <conditionalFormatting sqref="BD22">
    <cfRule type="containsText" dxfId="8267" priority="122" operator="containsText" text="Poner a mano">
      <formula>NOT(ISERROR(SEARCH("Poner a mano",BD22)))</formula>
    </cfRule>
  </conditionalFormatting>
  <conditionalFormatting sqref="BD20">
    <cfRule type="containsText" dxfId="8266" priority="121" operator="containsText" text="Poner a mano">
      <formula>NOT(ISERROR(SEARCH("Poner a mano",BD20)))</formula>
    </cfRule>
  </conditionalFormatting>
  <conditionalFormatting sqref="BD18">
    <cfRule type="containsText" dxfId="8265" priority="120" operator="containsText" text="Poner a mano">
      <formula>NOT(ISERROR(SEARCH("Poner a mano",BD18)))</formula>
    </cfRule>
  </conditionalFormatting>
  <conditionalFormatting sqref="BD16">
    <cfRule type="containsText" dxfId="8264" priority="119" operator="containsText" text="Poner a mano">
      <formula>NOT(ISERROR(SEARCH("Poner a mano",BD16)))</formula>
    </cfRule>
  </conditionalFormatting>
  <conditionalFormatting sqref="BD14">
    <cfRule type="containsText" dxfId="8263" priority="118" operator="containsText" text="Poner a mano">
      <formula>NOT(ISERROR(SEARCH("Poner a mano",BD14)))</formula>
    </cfRule>
  </conditionalFormatting>
  <conditionalFormatting sqref="BD12">
    <cfRule type="containsText" dxfId="8262" priority="117" operator="containsText" text="Poner a mano">
      <formula>NOT(ISERROR(SEARCH("Poner a mano",BD12)))</formula>
    </cfRule>
  </conditionalFormatting>
  <conditionalFormatting sqref="BD9">
    <cfRule type="containsText" dxfId="8261" priority="116" operator="containsText" text="Poner a mano">
      <formula>NOT(ISERROR(SEARCH("Poner a mano",BD9)))</formula>
    </cfRule>
  </conditionalFormatting>
  <conditionalFormatting sqref="BD8">
    <cfRule type="containsText" dxfId="8260" priority="115" operator="containsText" text="Poner a mano">
      <formula>NOT(ISERROR(SEARCH("Poner a mano",BD8)))</formula>
    </cfRule>
  </conditionalFormatting>
  <conditionalFormatting sqref="N48">
    <cfRule type="expression" dxfId="8259" priority="88">
      <formula>$A48="Overhead Cable"</formula>
    </cfRule>
    <cfRule type="expression" dxfId="8258" priority="89">
      <formula>$A48="Level Crossing"</formula>
    </cfRule>
    <cfRule type="expression" dxfId="8257" priority="90">
      <formula>$A48="Neutral Section"</formula>
    </cfRule>
    <cfRule type="expression" dxfId="8256" priority="91">
      <formula>$A48="Tunnel"</formula>
    </cfRule>
    <cfRule type="expression" dxfId="8255" priority="92">
      <formula>$A48="Bridge"</formula>
    </cfRule>
    <cfRule type="expression" dxfId="8254" priority="93">
      <formula>$A48="Drainage Works"</formula>
    </cfRule>
    <cfRule type="expression" dxfId="8253" priority="94">
      <formula>$A48="Underpass"</formula>
    </cfRule>
    <cfRule type="expression" dxfId="8252" priority="95">
      <formula>$A48="Overcrossing"</formula>
    </cfRule>
    <cfRule type="expression" dxfId="8251" priority="96">
      <formula>$A48="Overpass"</formula>
    </cfRule>
    <cfRule type="expression" dxfId="8250" priority="97">
      <formula>$A48="Station"</formula>
    </cfRule>
    <cfRule type="expression" dxfId="8249" priority="98">
      <formula>$A48="Overlap between sections"</formula>
    </cfRule>
  </conditionalFormatting>
  <conditionalFormatting sqref="N48">
    <cfRule type="expression" dxfId="8248" priority="85">
      <formula>$M48="NON DEFINED"</formula>
    </cfRule>
    <cfRule type="expression" dxfId="8247" priority="86">
      <formula>$AZ48="N.D."</formula>
    </cfRule>
    <cfRule type="expression" dxfId="8246" priority="87">
      <formula>$AY48="N.D."</formula>
    </cfRule>
  </conditionalFormatting>
  <conditionalFormatting sqref="N50">
    <cfRule type="expression" dxfId="8245" priority="82">
      <formula>$M50="NON DEFINED"</formula>
    </cfRule>
    <cfRule type="expression" dxfId="8244" priority="83">
      <formula>$AZ50="N.D."</formula>
    </cfRule>
    <cfRule type="expression" dxfId="8243" priority="84">
      <formula>$AY50="N.D."</formula>
    </cfRule>
  </conditionalFormatting>
  <conditionalFormatting sqref="N50">
    <cfRule type="expression" dxfId="8242" priority="71">
      <formula>$A50="Overhead Cable"</formula>
    </cfRule>
    <cfRule type="expression" dxfId="8241" priority="72">
      <formula>$A50="Level Crossing"</formula>
    </cfRule>
    <cfRule type="expression" dxfId="8240" priority="73">
      <formula>$A50="Neutral Section"</formula>
    </cfRule>
    <cfRule type="expression" dxfId="8239" priority="74">
      <formula>$A50="Tunnel"</formula>
    </cfRule>
    <cfRule type="expression" dxfId="8238" priority="75">
      <formula>$A50="Bridge"</formula>
    </cfRule>
    <cfRule type="expression" dxfId="8237" priority="76">
      <formula>$A50="Drainage Works"</formula>
    </cfRule>
    <cfRule type="expression" dxfId="8236" priority="77">
      <formula>$A50="Underpass"</formula>
    </cfRule>
    <cfRule type="expression" dxfId="8235" priority="78">
      <formula>$A50="Overcrossing"</formula>
    </cfRule>
    <cfRule type="expression" dxfId="8234" priority="79">
      <formula>$A50="Overpass"</formula>
    </cfRule>
    <cfRule type="expression" dxfId="8233" priority="80">
      <formula>$A50="Station"</formula>
    </cfRule>
    <cfRule type="expression" dxfId="8232" priority="81">
      <formula>$A50="Overlap between sections"</formula>
    </cfRule>
  </conditionalFormatting>
  <conditionalFormatting sqref="N52">
    <cfRule type="expression" dxfId="8231" priority="60">
      <formula>$A52="Overhead Cable"</formula>
    </cfRule>
    <cfRule type="expression" dxfId="8230" priority="61">
      <formula>$A52="Level Crossing"</formula>
    </cfRule>
    <cfRule type="expression" dxfId="8229" priority="62">
      <formula>$A52="Neutral Section"</formula>
    </cfRule>
    <cfRule type="expression" dxfId="8228" priority="63">
      <formula>$A52="Tunnel"</formula>
    </cfRule>
    <cfRule type="expression" dxfId="8227" priority="64">
      <formula>$A52="Bridge"</formula>
    </cfRule>
    <cfRule type="expression" dxfId="8226" priority="65">
      <formula>$A52="Drainage Works"</formula>
    </cfRule>
    <cfRule type="expression" dxfId="8225" priority="66">
      <formula>$A52="Underpass"</formula>
    </cfRule>
    <cfRule type="expression" dxfId="8224" priority="67">
      <formula>$A52="Overcrossing"</formula>
    </cfRule>
    <cfRule type="expression" dxfId="8223" priority="68">
      <formula>$A52="Overpass"</formula>
    </cfRule>
    <cfRule type="expression" dxfId="8222" priority="69">
      <formula>$A52="Station"</formula>
    </cfRule>
    <cfRule type="expression" dxfId="8221" priority="70">
      <formula>$A52="Overlap between sections"</formula>
    </cfRule>
  </conditionalFormatting>
  <conditionalFormatting sqref="N52">
    <cfRule type="expression" dxfId="8220" priority="57">
      <formula>$M52="NON DEFINED"</formula>
    </cfRule>
    <cfRule type="expression" dxfId="8219" priority="58">
      <formula>$AZ52="N.D."</formula>
    </cfRule>
    <cfRule type="expression" dxfId="8218" priority="59">
      <formula>$AY52="N.D."</formula>
    </cfRule>
  </conditionalFormatting>
  <conditionalFormatting sqref="N54">
    <cfRule type="expression" dxfId="8217" priority="46">
      <formula>$A54="Overhead Cable"</formula>
    </cfRule>
    <cfRule type="expression" dxfId="8216" priority="47">
      <formula>$A54="Level Crossing"</formula>
    </cfRule>
    <cfRule type="expression" dxfId="8215" priority="48">
      <formula>$A54="Neutral Section"</formula>
    </cfRule>
    <cfRule type="expression" dxfId="8214" priority="49">
      <formula>$A54="Tunnel"</formula>
    </cfRule>
    <cfRule type="expression" dxfId="8213" priority="50">
      <formula>$A54="Bridge"</formula>
    </cfRule>
    <cfRule type="expression" dxfId="8212" priority="51">
      <formula>$A54="Drainage Works"</formula>
    </cfRule>
    <cfRule type="expression" dxfId="8211" priority="52">
      <formula>$A54="Underpass"</formula>
    </cfRule>
    <cfRule type="expression" dxfId="8210" priority="53">
      <formula>$A54="Overcrossing"</formula>
    </cfRule>
    <cfRule type="expression" dxfId="8209" priority="54">
      <formula>$A54="Overpass"</formula>
    </cfRule>
    <cfRule type="expression" dxfId="8208" priority="55">
      <formula>$A54="Station"</formula>
    </cfRule>
    <cfRule type="expression" dxfId="8207" priority="56">
      <formula>$A54="Overlap between sections"</formula>
    </cfRule>
  </conditionalFormatting>
  <conditionalFormatting sqref="N54">
    <cfRule type="expression" dxfId="8206" priority="43">
      <formula>$M54="NON DEFINED"</formula>
    </cfRule>
    <cfRule type="expression" dxfId="8205" priority="44">
      <formula>$AZ54="N.D."</formula>
    </cfRule>
    <cfRule type="expression" dxfId="8204" priority="45">
      <formula>$AY54="N.D."</formula>
    </cfRule>
  </conditionalFormatting>
  <conditionalFormatting sqref="N56">
    <cfRule type="expression" dxfId="8203" priority="32">
      <formula>$A56="Overhead Cable"</formula>
    </cfRule>
    <cfRule type="expression" dxfId="8202" priority="33">
      <formula>$A56="Level Crossing"</formula>
    </cfRule>
    <cfRule type="expression" dxfId="8201" priority="34">
      <formula>$A56="Neutral Section"</formula>
    </cfRule>
    <cfRule type="expression" dxfId="8200" priority="35">
      <formula>$A56="Tunnel"</formula>
    </cfRule>
    <cfRule type="expression" dxfId="8199" priority="36">
      <formula>$A56="Bridge"</formula>
    </cfRule>
    <cfRule type="expression" dxfId="8198" priority="37">
      <formula>$A56="Drainage Works"</formula>
    </cfRule>
    <cfRule type="expression" dxfId="8197" priority="38">
      <formula>$A56="Underpass"</formula>
    </cfRule>
    <cfRule type="expression" dxfId="8196" priority="39">
      <formula>$A56="Overcrossing"</formula>
    </cfRule>
    <cfRule type="expression" dxfId="8195" priority="40">
      <formula>$A56="Overpass"</formula>
    </cfRule>
    <cfRule type="expression" dxfId="8194" priority="41">
      <formula>$A56="Station"</formula>
    </cfRule>
    <cfRule type="expression" dxfId="8193" priority="42">
      <formula>$A56="Overlap between sections"</formula>
    </cfRule>
  </conditionalFormatting>
  <conditionalFormatting sqref="N56">
    <cfRule type="expression" dxfId="8192" priority="29">
      <formula>$M56="NON DEFINED"</formula>
    </cfRule>
    <cfRule type="expression" dxfId="8191" priority="30">
      <formula>$AZ56="N.D."</formula>
    </cfRule>
    <cfRule type="expression" dxfId="8190" priority="31">
      <formula>$AY56="N.D."</formula>
    </cfRule>
  </conditionalFormatting>
  <conditionalFormatting sqref="N60">
    <cfRule type="expression" dxfId="8189" priority="18">
      <formula>$A60="Overhead Cable"</formula>
    </cfRule>
    <cfRule type="expression" dxfId="8188" priority="19">
      <formula>$A60="Level Crossing"</formula>
    </cfRule>
    <cfRule type="expression" dxfId="8187" priority="20">
      <formula>$A60="Neutral Section"</formula>
    </cfRule>
    <cfRule type="expression" dxfId="8186" priority="21">
      <formula>$A60="Tunnel"</formula>
    </cfRule>
    <cfRule type="expression" dxfId="8185" priority="22">
      <formula>$A60="Bridge"</formula>
    </cfRule>
    <cfRule type="expression" dxfId="8184" priority="23">
      <formula>$A60="Drainage Works"</formula>
    </cfRule>
    <cfRule type="expression" dxfId="8183" priority="24">
      <formula>$A60="Underpass"</formula>
    </cfRule>
    <cfRule type="expression" dxfId="8182" priority="25">
      <formula>$A60="Overcrossing"</formula>
    </cfRule>
    <cfRule type="expression" dxfId="8181" priority="26">
      <formula>$A60="Overpass"</formula>
    </cfRule>
    <cfRule type="expression" dxfId="8180" priority="27">
      <formula>$A60="Station"</formula>
    </cfRule>
    <cfRule type="expression" dxfId="8179" priority="28">
      <formula>$A60="Overlap between sections"</formula>
    </cfRule>
  </conditionalFormatting>
  <conditionalFormatting sqref="N60">
    <cfRule type="expression" dxfId="8178" priority="15">
      <formula>$M60="NON DEFINED"</formula>
    </cfRule>
    <cfRule type="expression" dxfId="8177" priority="16">
      <formula>$AZ60="N.D."</formula>
    </cfRule>
    <cfRule type="expression" dxfId="8176" priority="17">
      <formula>$AY60="N.D."</formula>
    </cfRule>
  </conditionalFormatting>
  <conditionalFormatting sqref="W44">
    <cfRule type="expression" dxfId="8175" priority="4">
      <formula>$A44="Overhead Cable"</formula>
    </cfRule>
    <cfRule type="expression" dxfId="8174" priority="5">
      <formula>$A44="Level Crossing"</formula>
    </cfRule>
    <cfRule type="expression" dxfId="8173" priority="6">
      <formula>$A44="Neutral Section"</formula>
    </cfRule>
    <cfRule type="expression" dxfId="8172" priority="7">
      <formula>$A44="Tunnel"</formula>
    </cfRule>
    <cfRule type="expression" dxfId="8171" priority="8">
      <formula>$A44="Bridge"</formula>
    </cfRule>
    <cfRule type="expression" dxfId="8170" priority="9">
      <formula>$A44="Drainage Works"</formula>
    </cfRule>
    <cfRule type="expression" dxfId="8169" priority="10">
      <formula>$A44="Underpass"</formula>
    </cfRule>
    <cfRule type="expression" dxfId="8168" priority="11">
      <formula>$A44="Overcrossing"</formula>
    </cfRule>
    <cfRule type="expression" dxfId="8167" priority="12">
      <formula>$A44="Overpass"</formula>
    </cfRule>
    <cfRule type="expression" dxfId="8166" priority="13">
      <formula>$A44="Station"</formula>
    </cfRule>
    <cfRule type="expression" dxfId="8165" priority="14">
      <formula>$A44="Overlap between sections"</formula>
    </cfRule>
  </conditionalFormatting>
  <conditionalFormatting sqref="W44">
    <cfRule type="expression" dxfId="8164" priority="1">
      <formula>$M44="NON DEFINED"</formula>
    </cfRule>
    <cfRule type="expression" dxfId="8163" priority="2">
      <formula>$AZ44="N.D."</formula>
    </cfRule>
    <cfRule type="expression" dxfId="8162" priority="3">
      <formula>$AY44="N.D."</formula>
    </cfRule>
  </conditionalFormatting>
  <printOptions horizontalCentered="1"/>
  <pageMargins left="0.39370078740157483" right="0.39370078740157483" top="0.78740157480314965" bottom="0.78740157480314965" header="0.31496062992125984" footer="0.31496062992125984"/>
  <pageSetup paperSize="9" scale="53" orientation="landscape" r:id="rId1"/>
  <headerFooter>
    <oddHeader>&amp;L&amp;G&amp;CLAYOUT AND EQUIPMENT
EP 04 TRACK 3 HAD
KP 51+650 to 52+770
&amp;R&amp;G</oddHeader>
    <oddFooter>&amp;L&amp;G
&amp;F&amp;C&amp;D&amp;RPag &amp;P of &amp;N</oddFooter>
  </headerFooter>
  <legacyDrawing r:id="rId2"/>
  <legacyDrawingHF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1CDD9-BC76-42A7-A40B-9C0F28E0A8E6}">
  <sheetPr>
    <tabColor theme="4" tint="0.39997558519241921"/>
  </sheetPr>
  <dimension ref="A1:BK1856"/>
  <sheetViews>
    <sheetView view="pageBreakPreview" zoomScale="80" zoomScaleNormal="80" zoomScaleSheetLayoutView="80" workbookViewId="0">
      <pane xSplit="2" ySplit="3" topLeftCell="C4" activePane="bottomRight" state="frozen"/>
      <selection pane="bottomRight" activeCell="K31" sqref="K31"/>
      <selection pane="bottomLeft" activeCell="K31" sqref="K31"/>
      <selection pane="topRight" activeCell="K31" sqref="K31"/>
    </sheetView>
  </sheetViews>
  <sheetFormatPr defaultColWidth="11.42578125" defaultRowHeight="13.15" zeroHeight="1"/>
  <cols>
    <col min="1" max="1" width="20.7109375" style="14" customWidth="1"/>
    <col min="2" max="2" width="12.7109375" style="14" customWidth="1"/>
    <col min="3" max="3" width="12.7109375" style="18" customWidth="1"/>
    <col min="4" max="5" width="12.7109375" style="14" hidden="1" customWidth="1"/>
    <col min="6" max="7" width="12.7109375" style="14" customWidth="1"/>
    <col min="8" max="8" width="18.7109375" style="14" customWidth="1"/>
    <col min="9" max="9" width="12.7109375" style="14" customWidth="1"/>
    <col min="10" max="10" width="12.7109375" style="18" customWidth="1"/>
    <col min="11" max="11" width="12.7109375" style="14" customWidth="1"/>
    <col min="12" max="13" width="14.7109375" style="14" customWidth="1"/>
    <col min="14" max="16" width="8.7109375" style="14" hidden="1" customWidth="1"/>
    <col min="17" max="19" width="12.7109375" style="14" hidden="1" customWidth="1"/>
    <col min="20" max="28" width="8.7109375" style="14" hidden="1" customWidth="1"/>
    <col min="29" max="31" width="10.7109375" style="14" hidden="1" customWidth="1"/>
    <col min="32" max="36" width="12.7109375" style="14" hidden="1" customWidth="1"/>
    <col min="37" max="38" width="12.7109375" style="14" customWidth="1"/>
    <col min="39" max="39" width="12.7109375" style="14" hidden="1" customWidth="1"/>
    <col min="40" max="45" width="8.7109375" style="8" hidden="1" customWidth="1"/>
    <col min="46" max="46" width="8.7109375" style="16" hidden="1" customWidth="1"/>
    <col min="47" max="48" width="8.7109375" style="8" hidden="1" customWidth="1"/>
    <col min="49" max="52" width="12.7109375" style="8" customWidth="1"/>
    <col min="53" max="55" width="4.7109375" style="8" customWidth="1"/>
    <col min="56" max="56" width="21.7109375" style="14" customWidth="1"/>
    <col min="57" max="57" width="16.28515625" style="8" customWidth="1"/>
    <col min="58" max="61" width="14" style="8" customWidth="1"/>
    <col min="62" max="63" width="11.42578125" style="14" customWidth="1"/>
    <col min="64" max="16384" width="11.42578125" style="14"/>
  </cols>
  <sheetData>
    <row r="1" spans="1:63" s="435" customFormat="1" ht="36.75" customHeight="1" thickBot="1">
      <c r="A1" s="994" t="s">
        <v>1763</v>
      </c>
      <c r="B1" s="995"/>
      <c r="C1" s="995"/>
      <c r="D1" s="995"/>
      <c r="E1" s="995"/>
      <c r="F1" s="995"/>
      <c r="G1" s="995"/>
      <c r="H1" s="995"/>
      <c r="I1" s="995"/>
      <c r="J1" s="995"/>
      <c r="K1" s="995"/>
      <c r="L1" s="995"/>
      <c r="M1" s="995"/>
      <c r="N1" s="995"/>
      <c r="O1" s="995"/>
      <c r="P1" s="995"/>
      <c r="Q1" s="995"/>
      <c r="R1" s="995"/>
      <c r="S1" s="995"/>
      <c r="T1" s="995"/>
      <c r="U1" s="995"/>
      <c r="V1" s="995"/>
      <c r="W1" s="995"/>
      <c r="X1" s="995"/>
      <c r="Y1" s="995"/>
      <c r="Z1" s="995"/>
      <c r="AA1" s="995"/>
      <c r="AB1" s="995"/>
      <c r="AC1" s="995"/>
      <c r="AD1" s="995"/>
      <c r="AE1" s="995"/>
      <c r="AF1" s="995"/>
      <c r="AG1" s="995"/>
      <c r="AH1" s="995"/>
      <c r="AI1" s="995"/>
      <c r="AJ1" s="995"/>
      <c r="AK1" s="995"/>
      <c r="AL1" s="995"/>
      <c r="AM1" s="995"/>
      <c r="AN1" s="995"/>
      <c r="AO1" s="995"/>
      <c r="AP1" s="995"/>
      <c r="AQ1" s="995"/>
      <c r="AR1" s="995"/>
      <c r="AS1" s="995"/>
      <c r="AT1" s="995"/>
      <c r="AU1" s="995"/>
      <c r="AV1" s="995"/>
      <c r="AW1" s="995"/>
      <c r="AX1" s="995"/>
      <c r="AY1" s="995"/>
      <c r="AZ1" s="995"/>
      <c r="BA1" s="995"/>
      <c r="BB1" s="995"/>
      <c r="BC1" s="995"/>
      <c r="BD1" s="996"/>
      <c r="BE1" s="430" t="s">
        <v>933</v>
      </c>
      <c r="BF1" s="958" t="s">
        <v>50</v>
      </c>
      <c r="BG1" s="958"/>
      <c r="BH1" s="958"/>
      <c r="BI1" s="958"/>
    </row>
    <row r="2" spans="1:63" s="435" customFormat="1" ht="42" customHeight="1" thickBot="1">
      <c r="A2" s="581" t="s">
        <v>51</v>
      </c>
      <c r="B2" s="581" t="s">
        <v>52</v>
      </c>
      <c r="C2" s="581" t="s">
        <v>53</v>
      </c>
      <c r="D2" s="581" t="s">
        <v>54</v>
      </c>
      <c r="E2" s="581" t="s">
        <v>55</v>
      </c>
      <c r="F2" s="581" t="s">
        <v>56</v>
      </c>
      <c r="G2" s="581" t="s">
        <v>57</v>
      </c>
      <c r="H2" s="581" t="s">
        <v>58</v>
      </c>
      <c r="I2" s="581" t="s">
        <v>59</v>
      </c>
      <c r="J2" s="581" t="s">
        <v>60</v>
      </c>
      <c r="K2" s="581" t="s">
        <v>61</v>
      </c>
      <c r="L2" s="581" t="s">
        <v>62</v>
      </c>
      <c r="M2" s="581" t="s">
        <v>63</v>
      </c>
      <c r="N2" s="991" t="s">
        <v>64</v>
      </c>
      <c r="O2" s="992"/>
      <c r="P2" s="993"/>
      <c r="Q2" s="581" t="s">
        <v>65</v>
      </c>
      <c r="R2" s="581" t="s">
        <v>66</v>
      </c>
      <c r="S2" s="581" t="s">
        <v>67</v>
      </c>
      <c r="T2" s="991" t="s">
        <v>68</v>
      </c>
      <c r="U2" s="992"/>
      <c r="V2" s="993"/>
      <c r="W2" s="991" t="s">
        <v>69</v>
      </c>
      <c r="X2" s="992"/>
      <c r="Y2" s="993"/>
      <c r="Z2" s="991" t="s">
        <v>70</v>
      </c>
      <c r="AA2" s="992"/>
      <c r="AB2" s="993"/>
      <c r="AC2" s="991" t="s">
        <v>71</v>
      </c>
      <c r="AD2" s="992"/>
      <c r="AE2" s="993"/>
      <c r="AF2" s="581" t="s">
        <v>72</v>
      </c>
      <c r="AG2" s="581" t="s">
        <v>73</v>
      </c>
      <c r="AH2" s="581" t="s">
        <v>74</v>
      </c>
      <c r="AI2" s="581" t="s">
        <v>75</v>
      </c>
      <c r="AJ2" s="581" t="s">
        <v>76</v>
      </c>
      <c r="AK2" s="581" t="s">
        <v>77</v>
      </c>
      <c r="AL2" s="582" t="s">
        <v>78</v>
      </c>
      <c r="AM2" s="582" t="s">
        <v>79</v>
      </c>
      <c r="AN2" s="991" t="s">
        <v>80</v>
      </c>
      <c r="AO2" s="992"/>
      <c r="AP2" s="993"/>
      <c r="AQ2" s="991" t="s">
        <v>81</v>
      </c>
      <c r="AR2" s="992"/>
      <c r="AS2" s="993"/>
      <c r="AT2" s="991" t="s">
        <v>82</v>
      </c>
      <c r="AU2" s="992"/>
      <c r="AV2" s="993"/>
      <c r="AW2" s="582" t="s">
        <v>83</v>
      </c>
      <c r="AX2" s="582" t="s">
        <v>84</v>
      </c>
      <c r="AY2" s="582" t="s">
        <v>85</v>
      </c>
      <c r="AZ2" s="582" t="s">
        <v>86</v>
      </c>
      <c r="BA2" s="991" t="s">
        <v>87</v>
      </c>
      <c r="BB2" s="992"/>
      <c r="BC2" s="993"/>
      <c r="BD2" s="581" t="s">
        <v>88</v>
      </c>
      <c r="BE2" s="430" t="s">
        <v>89</v>
      </c>
      <c r="BF2" s="431" t="s">
        <v>63</v>
      </c>
      <c r="BG2" s="431" t="s">
        <v>90</v>
      </c>
      <c r="BH2" s="431" t="s">
        <v>91</v>
      </c>
      <c r="BI2" s="431" t="s">
        <v>64</v>
      </c>
    </row>
    <row r="3" spans="1:63" s="435" customFormat="1" ht="15.75" customHeight="1" thickBot="1">
      <c r="A3" s="436"/>
      <c r="B3" s="456"/>
      <c r="C3" s="437"/>
      <c r="D3" s="611"/>
      <c r="E3" s="437"/>
      <c r="F3" s="437"/>
      <c r="G3" s="437"/>
      <c r="H3" s="456"/>
      <c r="I3" s="456"/>
      <c r="J3" s="437"/>
      <c r="K3" s="456"/>
      <c r="L3" s="456"/>
      <c r="M3" s="456"/>
      <c r="N3" s="583" t="s">
        <v>92</v>
      </c>
      <c r="O3" s="583" t="s">
        <v>93</v>
      </c>
      <c r="P3" s="583" t="s">
        <v>94</v>
      </c>
      <c r="Q3" s="437"/>
      <c r="R3" s="437"/>
      <c r="S3" s="437"/>
      <c r="T3" s="584" t="s">
        <v>95</v>
      </c>
      <c r="U3" s="585" t="s">
        <v>96</v>
      </c>
      <c r="V3" s="584" t="s">
        <v>97</v>
      </c>
      <c r="W3" s="584" t="s">
        <v>98</v>
      </c>
      <c r="X3" s="585" t="s">
        <v>99</v>
      </c>
      <c r="Y3" s="584" t="s">
        <v>100</v>
      </c>
      <c r="Z3" s="584" t="s">
        <v>101</v>
      </c>
      <c r="AA3" s="585" t="s">
        <v>102</v>
      </c>
      <c r="AB3" s="584" t="s">
        <v>103</v>
      </c>
      <c r="AC3" s="583" t="s">
        <v>104</v>
      </c>
      <c r="AD3" s="586" t="s">
        <v>105</v>
      </c>
      <c r="AE3" s="583" t="s">
        <v>106</v>
      </c>
      <c r="AF3" s="437"/>
      <c r="AG3" s="437"/>
      <c r="AH3" s="437"/>
      <c r="AI3" s="437"/>
      <c r="AJ3" s="456"/>
      <c r="AK3" s="456"/>
      <c r="AL3" s="456"/>
      <c r="AM3" s="456"/>
      <c r="AN3" s="584" t="s">
        <v>98</v>
      </c>
      <c r="AO3" s="584" t="s">
        <v>99</v>
      </c>
      <c r="AP3" s="584" t="s">
        <v>100</v>
      </c>
      <c r="AQ3" s="584" t="s">
        <v>107</v>
      </c>
      <c r="AR3" s="584" t="s">
        <v>108</v>
      </c>
      <c r="AS3" s="584" t="s">
        <v>109</v>
      </c>
      <c r="AT3" s="587" t="s">
        <v>110</v>
      </c>
      <c r="AU3" s="584" t="s">
        <v>111</v>
      </c>
      <c r="AV3" s="584" t="s">
        <v>112</v>
      </c>
      <c r="AW3" s="456"/>
      <c r="AX3" s="456"/>
      <c r="AY3" s="437"/>
      <c r="AZ3" s="437"/>
      <c r="BA3" s="583" t="s">
        <v>113</v>
      </c>
      <c r="BB3" s="583" t="s">
        <v>114</v>
      </c>
      <c r="BC3" s="583" t="s">
        <v>115</v>
      </c>
      <c r="BD3" s="459"/>
      <c r="BE3" s="429"/>
      <c r="BF3" s="434"/>
      <c r="BG3" s="434"/>
      <c r="BH3" s="434"/>
      <c r="BI3" s="434"/>
    </row>
    <row r="4" spans="1:63" ht="16.149999999999999" customHeight="1" thickTop="1">
      <c r="A4" s="514"/>
      <c r="B4" s="450"/>
      <c r="C4" s="3"/>
      <c r="D4" s="83"/>
      <c r="E4" s="4"/>
      <c r="F4" s="4"/>
      <c r="G4" s="6"/>
      <c r="H4" s="449"/>
      <c r="I4" s="449"/>
      <c r="J4" s="3">
        <f>C5-7.5</f>
        <v>57959.82</v>
      </c>
      <c r="K4" s="449" t="s">
        <v>117</v>
      </c>
      <c r="L4" s="449"/>
      <c r="M4" s="449"/>
      <c r="N4" s="449"/>
      <c r="O4" s="449"/>
      <c r="P4" s="449"/>
      <c r="Q4" s="4"/>
      <c r="R4" s="6"/>
      <c r="S4" s="6"/>
      <c r="T4" s="4"/>
      <c r="U4" s="4"/>
      <c r="V4" s="4"/>
      <c r="W4" s="9"/>
      <c r="X4" s="9"/>
      <c r="Y4" s="9"/>
      <c r="Z4" s="9"/>
      <c r="AA4" s="9"/>
      <c r="AB4" s="9"/>
      <c r="AC4" s="449"/>
      <c r="AD4" s="449"/>
      <c r="AE4" s="449"/>
      <c r="AF4" s="4"/>
      <c r="AG4" s="83"/>
      <c r="AH4" s="4"/>
      <c r="AI4" s="4"/>
      <c r="AJ4" s="449"/>
      <c r="AK4" s="449"/>
      <c r="AL4" s="449"/>
      <c r="AM4" s="449"/>
      <c r="AN4" s="10"/>
      <c r="AO4" s="9"/>
      <c r="AP4" s="9"/>
      <c r="AQ4" s="9"/>
      <c r="AR4" s="9"/>
      <c r="AS4" s="9"/>
      <c r="AT4" s="9"/>
      <c r="AU4" s="428"/>
      <c r="AV4" s="428"/>
      <c r="AW4" s="449" t="str">
        <f>IF(C4&gt;0,VLOOKUP(C4,Foundation_Calc!$A$2:$C$13,3,1),
IF(J4&gt;0,VLOOKUP(J4,Foundation_Calc!$A$2:$C$13,3,1),""))</f>
        <v>Multi Soil</v>
      </c>
      <c r="AX4" s="449" t="str">
        <f>IF(C4&gt;0,VLOOKUP(C4,Foundation_Calc!$E$2:$G$33,3,1),
IF(J4&gt;0,VLOOKUP(J4,Foundation_Calc!$E$2:$G$33,3,1),""))</f>
        <v>PT</v>
      </c>
      <c r="AY4" s="10" t="str">
        <f>IF(L4="","",
IF(AX4="PT",VLOOKUP(L4,Foundation_Calc!$K$79:$R$113,VLOOKUP(AW4,Foundation_Calc!$I$2:$J$8,2,FALSE),0),
IF(AX4="K",VLOOKUP(L4,Foundation_Calc!$K$117:$R$151,VLOOKUP(AW4,Foundation_Calc!$I$2:$J$8,2,FALSE),0),"")))</f>
        <v/>
      </c>
      <c r="AZ4" s="10">
        <f>IF(K4="","",
IF(AX4="PT",VLOOKUP(K4,Foundation_Calc!$K$79:$R$113,VLOOKUP(AW4,Foundation_Calc!$I$2:$J$8,2,FALSE),0),
IF(AX4="K",VLOOKUP(K4,Foundation_Calc!$K$117:$R$151,VLOOKUP(AW4,Foundation_Calc!$I$2:$J$8,2,FALSE),0),"")))</f>
        <v>3.9</v>
      </c>
      <c r="BA4" s="495" t="str">
        <f t="shared" ref="BA4" si="0">IF(AY4="","",IF(AY4&gt;0,"ü",""))</f>
        <v/>
      </c>
      <c r="BB4" s="902" t="str">
        <f t="shared" ref="BB4" si="1">IF(AZ4="","",IF(AZ4&gt;0,"ü",""))</f>
        <v>ü</v>
      </c>
      <c r="BC4" s="495" t="str">
        <f t="shared" ref="BC4" si="2">IF(M4="","",IF(M4="U.S.","ü",IF(M4="U.S. N.D.","ü","")))</f>
        <v/>
      </c>
      <c r="BD4" s="513"/>
      <c r="BE4" s="429"/>
      <c r="BF4" s="1175"/>
      <c r="BG4" s="1175"/>
      <c r="BH4" s="1175"/>
      <c r="BI4" s="1175"/>
      <c r="BK4" s="292"/>
    </row>
    <row r="5" spans="1:63" ht="16.149999999999999" customHeight="1">
      <c r="A5" s="514"/>
      <c r="B5" s="450" t="s">
        <v>1764</v>
      </c>
      <c r="C5" s="3">
        <f>C7-G6</f>
        <v>57967.32</v>
      </c>
      <c r="D5" s="83"/>
      <c r="E5" s="4"/>
      <c r="F5" s="4">
        <v>0</v>
      </c>
      <c r="G5" s="6"/>
      <c r="H5" s="449" t="s">
        <v>121</v>
      </c>
      <c r="I5" s="449" t="s">
        <v>122</v>
      </c>
      <c r="J5" s="3" t="s">
        <v>549</v>
      </c>
      <c r="K5" s="449"/>
      <c r="L5" s="449" t="s">
        <v>158</v>
      </c>
      <c r="M5" s="449" t="str">
        <f>IF(L5="","",
IF(AX5="PT",VLOOKUP(L5,Foundation_Calc!$V$79:$X$113,VLOOKUP(AX5,Foundation_Calc!$I$10:$J$13,2,FALSE),0),
IF(AX5="K",VLOOKUP(L5,Foundation_Calc!$V$117:$X$151,VLOOKUP(AX5,Foundation_Calc!$I$10:$J$13,2,FALSE),0),"")))</f>
        <v>C4R</v>
      </c>
      <c r="N5" s="449" t="s">
        <v>201</v>
      </c>
      <c r="O5" s="449"/>
      <c r="P5" s="449"/>
      <c r="Q5" s="4"/>
      <c r="R5" s="6"/>
      <c r="S5" s="6"/>
      <c r="T5" s="4">
        <v>0</v>
      </c>
      <c r="U5" s="4"/>
      <c r="V5" s="4"/>
      <c r="W5" s="9"/>
      <c r="X5" s="9"/>
      <c r="Y5" s="9"/>
      <c r="Z5" s="9"/>
      <c r="AA5" s="9"/>
      <c r="AB5" s="9"/>
      <c r="AC5" s="449"/>
      <c r="AD5" s="449"/>
      <c r="AE5" s="449"/>
      <c r="AF5" s="4"/>
      <c r="AG5" s="83"/>
      <c r="AH5" s="4"/>
      <c r="AI5" s="4"/>
      <c r="AJ5" s="449"/>
      <c r="AK5" s="449"/>
      <c r="AL5" s="449"/>
      <c r="AM5" s="449" t="s">
        <v>126</v>
      </c>
      <c r="AN5" s="10"/>
      <c r="AO5" s="9"/>
      <c r="AP5" s="9"/>
      <c r="AQ5" s="9"/>
      <c r="AR5" s="9"/>
      <c r="AS5" s="9"/>
      <c r="AT5" s="9"/>
      <c r="AU5" s="428"/>
      <c r="AV5" s="428"/>
      <c r="AW5" s="449" t="str">
        <f>IF(C5&gt;0,VLOOKUP(C5,Foundation_Calc!$A$2:$C$13,3,1),
IF(J5&gt;0,VLOOKUP(J5,Foundation_Calc!$A$2:$C$13,3,1),""))</f>
        <v>Multi Soil</v>
      </c>
      <c r="AX5" s="449" t="str">
        <f>IF(C5&gt;0,VLOOKUP(C5,Foundation_Calc!$E$2:$G$33,3,1),
IF(J5&gt;0,VLOOKUP(J5,Foundation_Calc!$E$2:$G$33,3,1),""))</f>
        <v>PT</v>
      </c>
      <c r="AY5" s="10">
        <f>IF(L5="","",
IF(AX5="PT",VLOOKUP(L5,Foundation_Calc!$K$79:$R$113,VLOOKUP(AW5,Foundation_Calc!$I$2:$J$8,2,FALSE),0),
IF(AX5="K",VLOOKUP(L5,Foundation_Calc!$K$117:$R$151,VLOOKUP(AW5,Foundation_Calc!$I$2:$J$8,2,FALSE),0),"")))</f>
        <v>3.5</v>
      </c>
      <c r="AZ5" s="10" t="str">
        <f>IF(K5="","",
IF(AX5="PT",VLOOKUP(K5,Foundation_Calc!$K$79:$R$113,VLOOKUP(AW5,Foundation_Calc!$I$2:$J$8,2,FALSE),0),
IF(AX5="K",VLOOKUP(K5,Foundation_Calc!$K$117:$R$151,VLOOKUP(AW5,Foundation_Calc!$I$2:$J$8,2,FALSE),0),"")))</f>
        <v/>
      </c>
      <c r="BA5" s="495" t="str">
        <f t="shared" ref="BA5:BB56" si="3">IF(AY5="","",IF(AY5&gt;0,"ü",""))</f>
        <v>ü</v>
      </c>
      <c r="BB5" s="495" t="str">
        <f t="shared" si="3"/>
        <v/>
      </c>
      <c r="BC5" s="495" t="str">
        <f t="shared" ref="BC5:BC56" si="4">IF(M5="","",IF(M5="U.S.","ü",IF(M5="U.S. N.D.","ü","")))</f>
        <v/>
      </c>
      <c r="BD5" s="513" t="str">
        <f>Pole_Calc!A$199</f>
        <v>App.7-V11I-P11.1</v>
      </c>
      <c r="BE5" s="429" t="s">
        <v>118</v>
      </c>
      <c r="BF5" s="289"/>
      <c r="BG5" s="289"/>
      <c r="BH5" s="290"/>
      <c r="BI5" s="289"/>
    </row>
    <row r="6" spans="1:63" ht="16.149999999999999" customHeight="1">
      <c r="A6" s="514"/>
      <c r="B6" s="450"/>
      <c r="C6" s="3"/>
      <c r="D6" s="83"/>
      <c r="E6" s="4"/>
      <c r="F6" s="4"/>
      <c r="G6" s="6">
        <v>16.5</v>
      </c>
      <c r="H6" s="449"/>
      <c r="I6" s="449"/>
      <c r="J6" s="3"/>
      <c r="K6" s="449"/>
      <c r="L6" s="449"/>
      <c r="M6" s="449" t="str">
        <f>IF(L6="","",
IF(AX6="PT",VLOOKUP(L6,Foundation_Calc!$V$79:$X$113,VLOOKUP(AX6,Foundation_Calc!$I$10:$J$13,2,FALSE),0),
IF(AX6="K",VLOOKUP(L6,Foundation_Calc!$V$117:$X$151,VLOOKUP(AX6,Foundation_Calc!$I$10:$J$13,2,FALSE),0),"")))</f>
        <v/>
      </c>
      <c r="N6" s="449"/>
      <c r="O6" s="449"/>
      <c r="P6" s="449"/>
      <c r="Q6" s="4"/>
      <c r="R6" s="6"/>
      <c r="S6" s="6"/>
      <c r="T6" s="4"/>
      <c r="U6" s="4"/>
      <c r="V6" s="4"/>
      <c r="W6" s="9"/>
      <c r="X6" s="9"/>
      <c r="Y6" s="9"/>
      <c r="Z6" s="9"/>
      <c r="AA6" s="9"/>
      <c r="AB6" s="9"/>
      <c r="AC6" s="449"/>
      <c r="AD6" s="449"/>
      <c r="AE6" s="449"/>
      <c r="AF6" s="4"/>
      <c r="AG6" s="83"/>
      <c r="AH6" s="4"/>
      <c r="AI6" s="4"/>
      <c r="AJ6" s="449"/>
      <c r="AK6" s="449"/>
      <c r="AL6" s="449"/>
      <c r="AM6" s="449"/>
      <c r="AN6" s="10"/>
      <c r="AO6" s="9"/>
      <c r="AP6" s="9"/>
      <c r="AQ6" s="9">
        <f>+FL_2($T$7,$T$5,$G$6,1200,9.28,-1*$F$7)</f>
        <v>-0.3</v>
      </c>
      <c r="AR6" s="9"/>
      <c r="AS6" s="9"/>
      <c r="AT6" s="9"/>
      <c r="AU6" s="428"/>
      <c r="AV6" s="428"/>
      <c r="AW6" s="449" t="str">
        <f>IF(C6&gt;0,VLOOKUP(C6,Foundation_Calc!$A$2:$C$13,3,1),
IF(J6&gt;0,VLOOKUP(J6,Foundation_Calc!$A$2:$C$13,3,1),""))</f>
        <v/>
      </c>
      <c r="AX6" s="449" t="str">
        <f>IF(C6&gt;0,VLOOKUP(C6,Foundation_Calc!$E$2:$G$33,3,1),
IF(J6&gt;0,VLOOKUP(J6,Foundation_Calc!$E$2:$G$33,3,1),""))</f>
        <v/>
      </c>
      <c r="AY6" s="10" t="str">
        <f>IF(L6="","",
IF(AX6="PT",VLOOKUP(L6,Foundation_Calc!$K$79:$R$113,VLOOKUP(AW6,Foundation_Calc!$I$2:$J$8,2,FALSE),0),
IF(AX6="K",VLOOKUP(L6,Foundation_Calc!$K$117:$R$151,VLOOKUP(AW6,Foundation_Calc!$I$2:$J$8,2,FALSE),0),"")))</f>
        <v/>
      </c>
      <c r="AZ6" s="10" t="str">
        <f>IF(K6="","",
IF(AX6="PT",VLOOKUP(K6,Foundation_Calc!$K$79:$R$113,VLOOKUP(AW6,Foundation_Calc!$I$2:$J$8,2,FALSE),0),
IF(AX6="K",VLOOKUP(K6,Foundation_Calc!$K$117:$R$151,VLOOKUP(AW6,Foundation_Calc!$I$2:$J$8,2,FALSE),0),"")))</f>
        <v/>
      </c>
      <c r="BA6" s="495" t="str">
        <f t="shared" si="3"/>
        <v/>
      </c>
      <c r="BB6" s="495" t="str">
        <f t="shared" si="3"/>
        <v/>
      </c>
      <c r="BC6" s="495" t="str">
        <f t="shared" si="4"/>
        <v/>
      </c>
      <c r="BD6" s="513" t="str">
        <f>IF(AND(L6="",H6=""),"",
IF(H6="",Pole_Calc!A$9,
IF(H6="MP",Pole_Calc!A$10,
IF(H6="AnMP",Pole_Calc!A$11,
IF(H6="A",Pole_Calc!A$12,
IF(H6="S/A",Pole_Calc!A$13,
IF(H6="A/S",Pole_Calc!A$14,"Poner a mano")))))))</f>
        <v/>
      </c>
      <c r="BE6" s="429" t="s">
        <v>118</v>
      </c>
      <c r="BF6" s="290"/>
      <c r="BG6" s="290"/>
      <c r="BH6" s="290"/>
      <c r="BI6" s="290"/>
    </row>
    <row r="7" spans="1:63" ht="16.149999999999999" customHeight="1">
      <c r="A7" s="514"/>
      <c r="B7" s="450" t="s">
        <v>1765</v>
      </c>
      <c r="C7" s="3">
        <v>57983.82</v>
      </c>
      <c r="D7" s="83"/>
      <c r="E7" s="4"/>
      <c r="F7" s="4">
        <v>0</v>
      </c>
      <c r="G7" s="6"/>
      <c r="H7" s="449"/>
      <c r="I7" s="449"/>
      <c r="J7" s="3"/>
      <c r="K7" s="449"/>
      <c r="L7" s="449" t="s">
        <v>250</v>
      </c>
      <c r="M7" s="449" t="str">
        <f>IF(L7="","",
IF(AX7="PT",VLOOKUP(L7,Foundation_Calc!$V$79:$X$113,VLOOKUP(AX7,Foundation_Calc!$I$10:$J$13,2,FALSE),0),
IF(AX7="K",VLOOKUP(L7,Foundation_Calc!$V$117:$X$151,VLOOKUP(AX7,Foundation_Calc!$I$10:$J$13,2,FALSE),0),"")))</f>
        <v>2C4R</v>
      </c>
      <c r="N7" s="449" t="s">
        <v>124</v>
      </c>
      <c r="O7" s="449"/>
      <c r="P7" s="449"/>
      <c r="Q7" s="4"/>
      <c r="R7" s="6"/>
      <c r="S7" s="6"/>
      <c r="T7" s="4">
        <v>-30</v>
      </c>
      <c r="U7" s="4"/>
      <c r="V7" s="4"/>
      <c r="W7" s="9">
        <v>1.4</v>
      </c>
      <c r="X7" s="9"/>
      <c r="Y7" s="9"/>
      <c r="Z7" s="9"/>
      <c r="AA7" s="9"/>
      <c r="AB7" s="9"/>
      <c r="AC7" s="449" t="str">
        <f t="shared" ref="AC7:AC13" si="5">IF(OR(AT7&gt;8,AT7&lt;-8),"PH",
IF(OR(AT7&gt;5,AT7&lt;-5),"PHQ",
IF(OR(AT7&gt;1,AT7&lt;-1),
"PHC","")))</f>
        <v>PHQ</v>
      </c>
      <c r="AD7" s="449"/>
      <c r="AE7" s="449"/>
      <c r="AF7" s="4"/>
      <c r="AG7" s="83"/>
      <c r="AH7" s="4"/>
      <c r="AI7" s="4"/>
      <c r="AJ7" s="449"/>
      <c r="AK7" s="449"/>
      <c r="AL7" s="449" t="s">
        <v>252</v>
      </c>
      <c r="AM7" s="449" t="s">
        <v>126</v>
      </c>
      <c r="AN7" s="10">
        <v>5.5</v>
      </c>
      <c r="AO7" s="9"/>
      <c r="AP7" s="9"/>
      <c r="AQ7" s="9"/>
      <c r="AR7" s="9"/>
      <c r="AS7" s="9"/>
      <c r="AT7" s="9">
        <f>+ab($T$7,$T$5,$T$9,$G$6,$G$8,-1*$F$7,1200)</f>
        <v>-6.4236400490717775</v>
      </c>
      <c r="AU7" s="428"/>
      <c r="AV7" s="428"/>
      <c r="AW7" s="449" t="str">
        <f>IF(C7&gt;0,VLOOKUP(C7,Foundation_Calc!$A$2:$C$13,3,1),
IF(J7&gt;0,VLOOKUP(J7,Foundation_Calc!$A$2:$C$13,3,1),""))</f>
        <v>Multi Soil</v>
      </c>
      <c r="AX7" s="449" t="str">
        <f>IF(C7&gt;0,VLOOKUP(C7,Foundation_Calc!$E$2:$G$33,3,1),
IF(J7&gt;0,VLOOKUP(J7,Foundation_Calc!$E$2:$G$33,3,1),""))</f>
        <v>PT</v>
      </c>
      <c r="AY7" s="10">
        <f>IF(L7="","",
IF(AX7="PT",VLOOKUP(L7,Foundation_Calc!$K$79:$R$113,VLOOKUP(AW7,Foundation_Calc!$I$2:$J$8,2,FALSE),0),
IF(AX7="K",VLOOKUP(L7,Foundation_Calc!$K$117:$R$151,VLOOKUP(AW7,Foundation_Calc!$I$2:$J$8,2,FALSE),0),"")))</f>
        <v>5.6</v>
      </c>
      <c r="AZ7" s="10" t="str">
        <f>IF(K7="","",
IF(AX7="PT",VLOOKUP(K7,Foundation_Calc!$K$79:$R$113,VLOOKUP(AW7,Foundation_Calc!$I$2:$J$8,2,FALSE),0),
IF(AX7="K",VLOOKUP(K7,Foundation_Calc!$K$117:$R$151,VLOOKUP(AW7,Foundation_Calc!$I$2:$J$8,2,FALSE),0),"")))</f>
        <v/>
      </c>
      <c r="BA7" s="495" t="str">
        <f t="shared" si="3"/>
        <v>ü</v>
      </c>
      <c r="BB7" s="495" t="str">
        <f t="shared" si="3"/>
        <v/>
      </c>
      <c r="BC7" s="495" t="str">
        <f t="shared" si="4"/>
        <v/>
      </c>
      <c r="BD7" s="513" t="str">
        <f>Pole_Calc!A$251</f>
        <v>App.8-V08H-P10.3</v>
      </c>
      <c r="BE7" s="429" t="s">
        <v>118</v>
      </c>
      <c r="BF7" s="289"/>
      <c r="BG7" s="289"/>
      <c r="BH7" s="290"/>
      <c r="BI7" s="289"/>
    </row>
    <row r="8" spans="1:63" ht="16.149999999999999" customHeight="1">
      <c r="A8" s="517"/>
      <c r="B8" s="450"/>
      <c r="C8" s="3"/>
      <c r="D8" s="83"/>
      <c r="E8" s="4"/>
      <c r="F8" s="4"/>
      <c r="G8" s="6">
        <v>56.2</v>
      </c>
      <c r="H8" s="449"/>
      <c r="I8" s="449"/>
      <c r="J8" s="3"/>
      <c r="K8" s="449"/>
      <c r="L8" s="449"/>
      <c r="M8" s="449" t="str">
        <f>IF(L8="","",
IF(AX8="PT",VLOOKUP(L8,Foundation_Calc!$V$79:$X$113,VLOOKUP(AX8,Foundation_Calc!$I$10:$J$13,2,FALSE),0),
IF(AX8="K",VLOOKUP(L8,Foundation_Calc!$V$117:$X$151,VLOOKUP(AX8,Foundation_Calc!$I$10:$J$13,2,FALSE),0),"")))</f>
        <v/>
      </c>
      <c r="N8" s="449"/>
      <c r="O8" s="449"/>
      <c r="P8" s="449"/>
      <c r="Q8" s="4"/>
      <c r="R8" s="6"/>
      <c r="S8" s="6"/>
      <c r="T8" s="4"/>
      <c r="U8" s="4"/>
      <c r="V8" s="4"/>
      <c r="W8" s="9"/>
      <c r="X8" s="9"/>
      <c r="Y8" s="9"/>
      <c r="Z8" s="9"/>
      <c r="AA8" s="9"/>
      <c r="AB8" s="9"/>
      <c r="AC8" s="449" t="str">
        <f t="shared" si="5"/>
        <v/>
      </c>
      <c r="AD8" s="449"/>
      <c r="AE8" s="449"/>
      <c r="AF8" s="4"/>
      <c r="AG8" s="83"/>
      <c r="AH8" s="4"/>
      <c r="AI8" s="4"/>
      <c r="AJ8" s="449"/>
      <c r="AK8" s="449"/>
      <c r="AL8" s="449"/>
      <c r="AM8" s="449"/>
      <c r="AN8" s="10"/>
      <c r="AO8" s="9"/>
      <c r="AP8" s="9"/>
      <c r="AQ8" s="9">
        <f>+FL_1($T$9,$T$7,$G$8,1200,9.28,-1*$F$9)</f>
        <v>0.41680415903202844</v>
      </c>
      <c r="AR8" s="9"/>
      <c r="AS8" s="9"/>
      <c r="AT8" s="9"/>
      <c r="AU8" s="428"/>
      <c r="AV8" s="428"/>
      <c r="AW8" s="449" t="str">
        <f>IF(C8&gt;0,VLOOKUP(C8,Foundation_Calc!$A$2:$C$13,3,1),
IF(J8&gt;0,VLOOKUP(J8,Foundation_Calc!$A$2:$C$13,3,1),""))</f>
        <v/>
      </c>
      <c r="AX8" s="449" t="str">
        <f>IF(C8&gt;0,VLOOKUP(C8,Foundation_Calc!$E$2:$G$33,3,1),
IF(J8&gt;0,VLOOKUP(J8,Foundation_Calc!$E$2:$G$33,3,1),""))</f>
        <v/>
      </c>
      <c r="AY8" s="10" t="str">
        <f>IF(L8="","",
IF(AX8="PT",VLOOKUP(L8,Foundation_Calc!$K$79:$R$113,VLOOKUP(AW8,Foundation_Calc!$I$2:$J$8,2,FALSE),0),
IF(AX8="K",VLOOKUP(L8,Foundation_Calc!$K$117:$R$151,VLOOKUP(AW8,Foundation_Calc!$I$2:$J$8,2,FALSE),0),"")))</f>
        <v/>
      </c>
      <c r="AZ8" s="10" t="str">
        <f>IF(K8="","",
IF(AX8="PT",VLOOKUP(K8,Foundation_Calc!$K$79:$R$113,VLOOKUP(AW8,Foundation_Calc!$I$2:$J$8,2,FALSE),0),
IF(AX8="K",VLOOKUP(K8,Foundation_Calc!$K$117:$R$151,VLOOKUP(AW8,Foundation_Calc!$I$2:$J$8,2,FALSE),0),"")))</f>
        <v/>
      </c>
      <c r="BA8" s="495" t="str">
        <f t="shared" si="3"/>
        <v/>
      </c>
      <c r="BB8" s="495" t="str">
        <f t="shared" si="3"/>
        <v/>
      </c>
      <c r="BC8" s="495" t="str">
        <f t="shared" si="4"/>
        <v/>
      </c>
      <c r="BD8" s="513" t="str">
        <f>IF(AND(L8="",H8=""),"",
IF(H8="",Pole_Calc!A$9,
IF(H8="MP",Pole_Calc!A$10,
IF(H8="AnMP",Pole_Calc!A$11,
IF(H8="A",Pole_Calc!A$12,
IF(H8="S/A",Pole_Calc!A$13,
IF(H8="A/S",Pole_Calc!A$14,"Poner a mano")))))))</f>
        <v/>
      </c>
      <c r="BE8" s="429" t="s">
        <v>118</v>
      </c>
      <c r="BF8" s="290"/>
      <c r="BG8" s="290"/>
      <c r="BH8" s="290"/>
      <c r="BI8" s="290"/>
    </row>
    <row r="9" spans="1:63" ht="16.149999999999999" customHeight="1">
      <c r="A9" s="517"/>
      <c r="B9" s="450" t="s">
        <v>1766</v>
      </c>
      <c r="C9" s="3">
        <f>+$C$7+$G$8</f>
        <v>58040.02</v>
      </c>
      <c r="D9" s="83"/>
      <c r="E9" s="4"/>
      <c r="F9" s="4">
        <v>0</v>
      </c>
      <c r="G9" s="6"/>
      <c r="H9" s="449"/>
      <c r="I9" s="449"/>
      <c r="J9" s="3"/>
      <c r="K9" s="449"/>
      <c r="L9" s="449" t="s">
        <v>250</v>
      </c>
      <c r="M9" s="449" t="str">
        <f>IF(L9="","",
IF(AX9="PT",VLOOKUP(L9,Foundation_Calc!$V$79:$X$113,VLOOKUP(AX9,Foundation_Calc!$I$10:$J$13,2,FALSE),0),
IF(AX9="K",VLOOKUP(L9,Foundation_Calc!$V$117:$X$151,VLOOKUP(AX9,Foundation_Calc!$I$10:$J$13,2,FALSE),0),"")))</f>
        <v>2C4R</v>
      </c>
      <c r="N9" s="449" t="s">
        <v>134</v>
      </c>
      <c r="O9" s="449"/>
      <c r="P9" s="449"/>
      <c r="Q9" s="4"/>
      <c r="R9" s="6"/>
      <c r="S9" s="6"/>
      <c r="T9" s="4">
        <v>35</v>
      </c>
      <c r="U9" s="4"/>
      <c r="V9" s="4"/>
      <c r="W9" s="9">
        <v>1.4</v>
      </c>
      <c r="X9" s="9"/>
      <c r="Y9" s="9"/>
      <c r="Z9" s="9"/>
      <c r="AA9" s="9"/>
      <c r="AB9" s="9"/>
      <c r="AC9" s="449" t="str">
        <f t="shared" si="5"/>
        <v>PHQ</v>
      </c>
      <c r="AD9" s="449"/>
      <c r="AE9" s="449"/>
      <c r="AF9" s="4"/>
      <c r="AG9" s="83"/>
      <c r="AH9" s="4"/>
      <c r="AI9" s="4"/>
      <c r="AJ9" s="449"/>
      <c r="AK9" s="449"/>
      <c r="AL9" s="449" t="s">
        <v>252</v>
      </c>
      <c r="AM9" s="449" t="s">
        <v>126</v>
      </c>
      <c r="AN9" s="10">
        <v>5.5</v>
      </c>
      <c r="AO9" s="9"/>
      <c r="AP9" s="9"/>
      <c r="AQ9" s="9"/>
      <c r="AR9" s="9"/>
      <c r="AS9" s="9"/>
      <c r="AT9" s="9">
        <f>+ab($T$9,$T$7,$T$11,$G$8,$G$10,-1*$F$9,1200)</f>
        <v>6.9136128181488896</v>
      </c>
      <c r="AU9" s="428"/>
      <c r="AV9" s="428"/>
      <c r="AW9" s="449" t="str">
        <f>IF(C9&gt;0,VLOOKUP(C9,Foundation_Calc!$A$2:$C$13,3,1),
IF(J9&gt;0,VLOOKUP(J9,Foundation_Calc!$A$2:$C$13,3,1),""))</f>
        <v>Multi Soil</v>
      </c>
      <c r="AX9" s="449" t="str">
        <f>IF(C9&gt;0,VLOOKUP(C9,Foundation_Calc!$E$2:$G$33,3,1),
IF(J9&gt;0,VLOOKUP(J9,Foundation_Calc!$E$2:$G$33,3,1),""))</f>
        <v>PT</v>
      </c>
      <c r="AY9" s="10">
        <f>IF(L9="","",
IF(AX9="PT",VLOOKUP(L9,Foundation_Calc!$K$79:$R$113,VLOOKUP(AW9,Foundation_Calc!$I$2:$J$8,2,FALSE),0),
IF(AX9="K",VLOOKUP(L9,Foundation_Calc!$K$117:$R$151,VLOOKUP(AW9,Foundation_Calc!$I$2:$J$8,2,FALSE),0),"")))</f>
        <v>5.6</v>
      </c>
      <c r="AZ9" s="10" t="str">
        <f>IF(K9="","",
IF(AX9="PT",VLOOKUP(K9,Foundation_Calc!$K$79:$R$113,VLOOKUP(AW9,Foundation_Calc!$I$2:$J$8,2,FALSE),0),
IF(AX9="K",VLOOKUP(K9,Foundation_Calc!$K$117:$R$151,VLOOKUP(AW9,Foundation_Calc!$I$2:$J$8,2,FALSE),0),"")))</f>
        <v/>
      </c>
      <c r="BA9" s="495" t="str">
        <f t="shared" si="3"/>
        <v>ü</v>
      </c>
      <c r="BB9" s="495" t="str">
        <f t="shared" si="3"/>
        <v/>
      </c>
      <c r="BC9" s="495" t="str">
        <f t="shared" si="4"/>
        <v/>
      </c>
      <c r="BD9" s="513" t="str">
        <f>Pole_Calc!A$251</f>
        <v>App.8-V08H-P10.3</v>
      </c>
      <c r="BE9" s="429" t="s">
        <v>118</v>
      </c>
      <c r="BF9" s="289"/>
      <c r="BG9" s="289"/>
      <c r="BH9" s="290"/>
      <c r="BI9" s="289"/>
    </row>
    <row r="10" spans="1:63" ht="16.149999999999999" customHeight="1">
      <c r="A10" s="517"/>
      <c r="B10" s="450"/>
      <c r="C10" s="3"/>
      <c r="D10" s="83"/>
      <c r="E10" s="4"/>
      <c r="F10" s="4"/>
      <c r="G10" s="6">
        <v>43.6</v>
      </c>
      <c r="H10" s="449"/>
      <c r="I10" s="449"/>
      <c r="J10" s="3"/>
      <c r="K10" s="449"/>
      <c r="L10" s="449"/>
      <c r="M10" s="449" t="str">
        <f>IF(L10="","",
IF(AX10="PT",VLOOKUP(L10,Foundation_Calc!$V$79:$X$113,VLOOKUP(AX10,Foundation_Calc!$I$10:$J$13,2,FALSE),0),
IF(AX10="K",VLOOKUP(L10,Foundation_Calc!$V$117:$X$151,VLOOKUP(AX10,Foundation_Calc!$I$10:$J$13,2,FALSE),0),"")))</f>
        <v/>
      </c>
      <c r="N10" s="449"/>
      <c r="O10" s="449"/>
      <c r="P10" s="449"/>
      <c r="Q10" s="4"/>
      <c r="R10" s="6"/>
      <c r="S10" s="6"/>
      <c r="T10" s="4"/>
      <c r="U10" s="4"/>
      <c r="V10" s="4"/>
      <c r="W10" s="9"/>
      <c r="X10" s="9"/>
      <c r="Y10" s="9"/>
      <c r="Z10" s="9"/>
      <c r="AA10" s="9"/>
      <c r="AB10" s="9"/>
      <c r="AC10" s="449"/>
      <c r="AD10" s="449"/>
      <c r="AE10" s="449"/>
      <c r="AF10" s="4"/>
      <c r="AG10" s="83"/>
      <c r="AH10" s="4"/>
      <c r="AI10" s="4"/>
      <c r="AJ10" s="449"/>
      <c r="AK10" s="449"/>
      <c r="AL10" s="449"/>
      <c r="AM10" s="449"/>
      <c r="AN10" s="10"/>
      <c r="AO10" s="9"/>
      <c r="AP10" s="9"/>
      <c r="AQ10" s="9">
        <f>+FL_1($T$11,$T$9,$G$10,1200,9.28,-1*$F$11)</f>
        <v>0.35041754696024452</v>
      </c>
      <c r="AR10" s="9"/>
      <c r="AS10" s="9"/>
      <c r="AT10" s="9"/>
      <c r="AU10" s="428"/>
      <c r="AV10" s="428"/>
      <c r="AW10" s="449" t="str">
        <f>IF(C10&gt;0,VLOOKUP(C10,Foundation_Calc!$A$2:$C$13,3,1),
IF(J10&gt;0,VLOOKUP(J10,Foundation_Calc!$A$2:$C$13,3,1),""))</f>
        <v/>
      </c>
      <c r="AX10" s="449" t="str">
        <f>IF(C10&gt;0,VLOOKUP(C10,Foundation_Calc!$E$2:$G$33,3,1),
IF(J10&gt;0,VLOOKUP(J10,Foundation_Calc!$E$2:$G$33,3,1),""))</f>
        <v/>
      </c>
      <c r="AY10" s="10" t="str">
        <f>IF(L10="","",
IF(AX10="PT",VLOOKUP(L10,Foundation_Calc!$K$79:$R$113,VLOOKUP(AW10,Foundation_Calc!$I$2:$J$8,2,FALSE),0),
IF(AX10="K",VLOOKUP(L10,Foundation_Calc!$K$117:$R$151,VLOOKUP(AW10,Foundation_Calc!$I$2:$J$8,2,FALSE),0),"")))</f>
        <v/>
      </c>
      <c r="AZ10" s="10" t="str">
        <f>IF(K10="","",
IF(AX10="PT",VLOOKUP(K10,Foundation_Calc!$K$79:$R$113,VLOOKUP(AW10,Foundation_Calc!$I$2:$J$8,2,FALSE),0),
IF(AX10="K",VLOOKUP(K10,Foundation_Calc!$K$117:$R$151,VLOOKUP(AW10,Foundation_Calc!$I$2:$J$8,2,FALSE),0),"")))</f>
        <v/>
      </c>
      <c r="BA10" s="495" t="str">
        <f t="shared" si="3"/>
        <v/>
      </c>
      <c r="BB10" s="495" t="str">
        <f t="shared" si="3"/>
        <v/>
      </c>
      <c r="BC10" s="495" t="str">
        <f t="shared" si="4"/>
        <v/>
      </c>
      <c r="BD10" s="513" t="str">
        <f>IF(AND(L10="",H10=""),"",
IF(H10="",Pole_Calc!A$9,
IF(H10="MP",Pole_Calc!A$10,
IF(H10="AnMP",Pole_Calc!A$11,
IF(H10="A",Pole_Calc!A$12,
IF(H10="S/A",Pole_Calc!A$13,
IF(H10="A/S",Pole_Calc!A$14,"Poner a mano")))))))</f>
        <v/>
      </c>
      <c r="BE10" s="429" t="s">
        <v>118</v>
      </c>
      <c r="BF10" s="290"/>
      <c r="BG10" s="290"/>
      <c r="BH10" s="290"/>
      <c r="BI10" s="290"/>
    </row>
    <row r="11" spans="1:63" ht="16.149999999999999" customHeight="1">
      <c r="A11" s="517"/>
      <c r="B11" s="450" t="s">
        <v>1767</v>
      </c>
      <c r="C11" s="3">
        <f>+$C$9+$G$10</f>
        <v>58083.619999999995</v>
      </c>
      <c r="D11" s="83"/>
      <c r="E11" s="4"/>
      <c r="F11" s="4">
        <v>0</v>
      </c>
      <c r="G11" s="6"/>
      <c r="H11" s="449"/>
      <c r="I11" s="449"/>
      <c r="J11" s="3"/>
      <c r="K11" s="449"/>
      <c r="L11" s="449" t="s">
        <v>250</v>
      </c>
      <c r="M11" s="449" t="str">
        <f>IF(L11="","",
IF(AX11="PT",VLOOKUP(L11,Foundation_Calc!$V$79:$X$113,VLOOKUP(AX11,Foundation_Calc!$I$10:$J$13,2,FALSE),0),
IF(AX11="K",VLOOKUP(L11,Foundation_Calc!$V$117:$X$151,VLOOKUP(AX11,Foundation_Calc!$I$10:$J$13,2,FALSE),0),"")))</f>
        <v>2C4R</v>
      </c>
      <c r="N11" s="449" t="s">
        <v>124</v>
      </c>
      <c r="O11" s="449"/>
      <c r="P11" s="449"/>
      <c r="Q11" s="4"/>
      <c r="R11" s="6"/>
      <c r="S11" s="6"/>
      <c r="T11" s="4">
        <v>-35</v>
      </c>
      <c r="U11" s="4"/>
      <c r="V11" s="4"/>
      <c r="W11" s="9">
        <v>1.4</v>
      </c>
      <c r="X11" s="9"/>
      <c r="Y11" s="9"/>
      <c r="Z11" s="9"/>
      <c r="AA11" s="9"/>
      <c r="AB11" s="9"/>
      <c r="AC11" s="449" t="str">
        <f t="shared" si="5"/>
        <v>PHQ</v>
      </c>
      <c r="AD11" s="449"/>
      <c r="AE11" s="449"/>
      <c r="AF11" s="4"/>
      <c r="AG11" s="83"/>
      <c r="AH11" s="4"/>
      <c r="AI11" s="4"/>
      <c r="AJ11" s="449"/>
      <c r="AK11" s="449"/>
      <c r="AL11" s="449" t="s">
        <v>252</v>
      </c>
      <c r="AM11" s="449" t="s">
        <v>126</v>
      </c>
      <c r="AN11" s="10">
        <v>5.5</v>
      </c>
      <c r="AO11" s="9"/>
      <c r="AP11" s="9"/>
      <c r="AQ11" s="9"/>
      <c r="AR11" s="9"/>
      <c r="AS11" s="9"/>
      <c r="AT11" s="9">
        <f>+ab($T$11,$T$9,$T$13,$G$10,$G$12,-1*$F$11,1200)</f>
        <v>-5.707245528831133</v>
      </c>
      <c r="AU11" s="428"/>
      <c r="AV11" s="428"/>
      <c r="AW11" s="449" t="str">
        <f>IF(C11&gt;0,VLOOKUP(C11,Foundation_Calc!$A$2:$C$13,3,1),
IF(J11&gt;0,VLOOKUP(J11,Foundation_Calc!$A$2:$C$13,3,1),""))</f>
        <v>Multi Soil</v>
      </c>
      <c r="AX11" s="449" t="str">
        <f>IF(C11&gt;0,VLOOKUP(C11,Foundation_Calc!$E$2:$G$33,3,1),
IF(J11&gt;0,VLOOKUP(J11,Foundation_Calc!$E$2:$G$33,3,1),""))</f>
        <v>PT</v>
      </c>
      <c r="AY11" s="10">
        <f>IF(L11="","",
IF(AX11="PT",VLOOKUP(L11,Foundation_Calc!$K$79:$R$113,VLOOKUP(AW11,Foundation_Calc!$I$2:$J$8,2,FALSE),0),
IF(AX11="K",VLOOKUP(L11,Foundation_Calc!$K$117:$R$151,VLOOKUP(AW11,Foundation_Calc!$I$2:$J$8,2,FALSE),0),"")))</f>
        <v>5.6</v>
      </c>
      <c r="AZ11" s="10" t="str">
        <f>IF(K11="","",
IF(AX11="PT",VLOOKUP(K11,Foundation_Calc!$K$79:$R$113,VLOOKUP(AW11,Foundation_Calc!$I$2:$J$8,2,FALSE),0),
IF(AX11="K",VLOOKUP(K11,Foundation_Calc!$K$117:$R$151,VLOOKUP(AW11,Foundation_Calc!$I$2:$J$8,2,FALSE),0),"")))</f>
        <v/>
      </c>
      <c r="BA11" s="495" t="str">
        <f t="shared" si="3"/>
        <v>ü</v>
      </c>
      <c r="BB11" s="495" t="str">
        <f t="shared" si="3"/>
        <v/>
      </c>
      <c r="BC11" s="495" t="str">
        <f t="shared" si="4"/>
        <v/>
      </c>
      <c r="BD11" s="513" t="str">
        <f>Pole_Calc!A$251</f>
        <v>App.8-V08H-P10.3</v>
      </c>
      <c r="BE11" s="429" t="s">
        <v>118</v>
      </c>
      <c r="BF11" s="289"/>
      <c r="BG11" s="289"/>
      <c r="BH11" s="290"/>
      <c r="BI11" s="289"/>
    </row>
    <row r="12" spans="1:63" ht="16.149999999999999" customHeight="1">
      <c r="A12" s="517"/>
      <c r="B12" s="450"/>
      <c r="C12" s="3"/>
      <c r="D12" s="83"/>
      <c r="E12" s="4"/>
      <c r="F12" s="4"/>
      <c r="G12" s="6">
        <v>40.1</v>
      </c>
      <c r="H12" s="449"/>
      <c r="I12" s="449"/>
      <c r="J12" s="3"/>
      <c r="K12" s="449"/>
      <c r="L12" s="449"/>
      <c r="M12" s="449" t="str">
        <f>IF(L12="","",
IF(AX12="PT",VLOOKUP(L12,Foundation_Calc!$V$79:$X$113,VLOOKUP(AX12,Foundation_Calc!$I$10:$J$13,2,FALSE),0),
IF(AX12="K",VLOOKUP(L12,Foundation_Calc!$V$117:$X$151,VLOOKUP(AX12,Foundation_Calc!$I$10:$J$13,2,FALSE),0),"")))</f>
        <v/>
      </c>
      <c r="N12" s="449"/>
      <c r="O12" s="449"/>
      <c r="P12" s="449"/>
      <c r="Q12" s="4"/>
      <c r="R12" s="6"/>
      <c r="S12" s="6"/>
      <c r="T12" s="4"/>
      <c r="U12" s="4"/>
      <c r="V12" s="4"/>
      <c r="W12" s="9"/>
      <c r="X12" s="9"/>
      <c r="Y12" s="9"/>
      <c r="Z12" s="9"/>
      <c r="AA12" s="9"/>
      <c r="AB12" s="9"/>
      <c r="AC12" s="449"/>
      <c r="AD12" s="449"/>
      <c r="AE12" s="449"/>
      <c r="AF12" s="4"/>
      <c r="AG12" s="83"/>
      <c r="AH12" s="4"/>
      <c r="AI12" s="4"/>
      <c r="AJ12" s="449"/>
      <c r="AK12" s="449"/>
      <c r="AL12" s="449"/>
      <c r="AM12" s="449"/>
      <c r="AN12" s="10"/>
      <c r="AO12" s="9"/>
      <c r="AP12" s="9"/>
      <c r="AQ12" s="9">
        <f>+FL_2($T$13,$T$11,$G$12,1200,9.28,-1*$F$13)</f>
        <v>-0.3500000000000012</v>
      </c>
      <c r="AR12" s="9"/>
      <c r="AS12" s="9"/>
      <c r="AT12" s="9"/>
      <c r="AU12" s="428"/>
      <c r="AV12" s="428"/>
      <c r="AW12" s="449" t="str">
        <f>IF(C12&gt;0,VLOOKUP(C12,Foundation_Calc!$A$2:$C$13,3,1),
IF(J12&gt;0,VLOOKUP(J12,Foundation_Calc!$A$2:$C$13,3,1),""))</f>
        <v/>
      </c>
      <c r="AX12" s="449" t="str">
        <f>IF(C12&gt;0,VLOOKUP(C12,Foundation_Calc!$E$2:$G$33,3,1),
IF(J12&gt;0,VLOOKUP(J12,Foundation_Calc!$E$2:$G$33,3,1),""))</f>
        <v/>
      </c>
      <c r="AY12" s="10" t="str">
        <f>IF(L12="","",
IF(AX12="PT",VLOOKUP(L12,Foundation_Calc!$K$79:$R$113,VLOOKUP(AW12,Foundation_Calc!$I$2:$J$8,2,FALSE),0),
IF(AX12="K",VLOOKUP(L12,Foundation_Calc!$K$117:$R$151,VLOOKUP(AW12,Foundation_Calc!$I$2:$J$8,2,FALSE),0),"")))</f>
        <v/>
      </c>
      <c r="AZ12" s="10" t="str">
        <f>IF(K12="","",
IF(AX12="PT",VLOOKUP(K12,Foundation_Calc!$K$79:$R$113,VLOOKUP(AW12,Foundation_Calc!$I$2:$J$8,2,FALSE),0),
IF(AX12="K",VLOOKUP(K12,Foundation_Calc!$K$117:$R$151,VLOOKUP(AW12,Foundation_Calc!$I$2:$J$8,2,FALSE),0),"")))</f>
        <v/>
      </c>
      <c r="BA12" s="495" t="str">
        <f t="shared" si="3"/>
        <v/>
      </c>
      <c r="BB12" s="495" t="str">
        <f t="shared" si="3"/>
        <v/>
      </c>
      <c r="BC12" s="495" t="str">
        <f t="shared" si="4"/>
        <v/>
      </c>
      <c r="BD12" s="513" t="str">
        <f>IF(AND(L12="",H12=""),"",
IF(H12="",Pole_Calc!A$9,
IF(H12="MP",Pole_Calc!A$10,
IF(H12="AnMP",Pole_Calc!A$11,
IF(H12="A",Pole_Calc!A$12,
IF(H12="S/A",Pole_Calc!A$13,
IF(H12="A/S",Pole_Calc!A$14,"Poner a mano")))))))</f>
        <v/>
      </c>
      <c r="BE12" s="429" t="s">
        <v>118</v>
      </c>
      <c r="BF12" s="290"/>
      <c r="BG12" s="290"/>
      <c r="BH12" s="290"/>
      <c r="BI12" s="290"/>
    </row>
    <row r="13" spans="1:63" ht="16.149999999999999" customHeight="1">
      <c r="A13" s="514" t="s">
        <v>1768</v>
      </c>
      <c r="B13" s="450" t="s">
        <v>1769</v>
      </c>
      <c r="C13" s="3">
        <f>+$C$11+$G$12</f>
        <v>58123.719999999994</v>
      </c>
      <c r="D13" s="83"/>
      <c r="E13" s="4"/>
      <c r="F13" s="4">
        <v>0</v>
      </c>
      <c r="G13" s="6"/>
      <c r="H13" s="449" t="s">
        <v>238</v>
      </c>
      <c r="I13" s="449"/>
      <c r="J13" s="3"/>
      <c r="K13" s="449"/>
      <c r="L13" s="449" t="s">
        <v>250</v>
      </c>
      <c r="M13" s="449" t="str">
        <f>IF(L13="","",
IF(AX13="PT",VLOOKUP(L13,Foundation_Calc!$V$79:$X$113,VLOOKUP(AX13,Foundation_Calc!$I$10:$J$13,2,FALSE),0),
IF(AX13="K",VLOOKUP(L13,Foundation_Calc!$V$117:$X$151,VLOOKUP(AX13,Foundation_Calc!$I$10:$J$13,2,FALSE),0),"")))</f>
        <v>2C4R</v>
      </c>
      <c r="N13" s="449" t="s">
        <v>134</v>
      </c>
      <c r="O13" s="554" t="s">
        <v>124</v>
      </c>
      <c r="P13" s="449"/>
      <c r="Q13" s="4"/>
      <c r="R13" s="6"/>
      <c r="S13" s="6"/>
      <c r="T13" s="4">
        <v>35</v>
      </c>
      <c r="U13" s="4">
        <v>-20</v>
      </c>
      <c r="V13" s="4"/>
      <c r="W13" s="9">
        <v>1.4</v>
      </c>
      <c r="X13" s="9">
        <v>2</v>
      </c>
      <c r="Y13" s="9"/>
      <c r="Z13" s="9"/>
      <c r="AA13" s="9"/>
      <c r="AB13" s="9"/>
      <c r="AC13" s="449" t="str">
        <f t="shared" si="5"/>
        <v>PHQ</v>
      </c>
      <c r="AD13" s="449"/>
      <c r="AE13" s="449"/>
      <c r="AF13" s="4"/>
      <c r="AG13" s="83"/>
      <c r="AH13" s="4"/>
      <c r="AI13" s="4"/>
      <c r="AJ13" s="449" t="s">
        <v>251</v>
      </c>
      <c r="AK13" s="449"/>
      <c r="AL13" s="449" t="s">
        <v>252</v>
      </c>
      <c r="AM13" s="449" t="s">
        <v>126</v>
      </c>
      <c r="AN13" s="10">
        <v>5.5</v>
      </c>
      <c r="AO13" s="9"/>
      <c r="AP13" s="9"/>
      <c r="AQ13" s="9"/>
      <c r="AR13" s="9"/>
      <c r="AS13" s="9"/>
      <c r="AT13" s="9">
        <f>+ab($T$13,$T$11,$T$15,$G$12,$G$14,-1*$F$13,1200)</f>
        <v>6.1256974887632145</v>
      </c>
      <c r="AU13" s="428"/>
      <c r="AV13" s="428"/>
      <c r="AW13" s="449" t="str">
        <f>IF(C13&gt;0,VLOOKUP(C13,Foundation_Calc!$A$2:$C$13,3,1),
IF(J13&gt;0,VLOOKUP(J13,Foundation_Calc!$A$2:$C$13,3,1),""))</f>
        <v>Multi Soil</v>
      </c>
      <c r="AX13" s="449" t="str">
        <f>IF(C13&gt;0,VLOOKUP(C13,Foundation_Calc!$E$2:$G$33,3,1),
IF(J13&gt;0,VLOOKUP(J13,Foundation_Calc!$E$2:$G$33,3,1),""))</f>
        <v>PT</v>
      </c>
      <c r="AY13" s="10">
        <f>IF(L13="","",
IF(AX13="PT",VLOOKUP(L13,Foundation_Calc!$K$79:$R$113,VLOOKUP(AW13,Foundation_Calc!$I$2:$J$8,2,FALSE),0),
IF(AX13="K",VLOOKUP(L13,Foundation_Calc!$K$117:$R$151,VLOOKUP(AW13,Foundation_Calc!$I$2:$J$8,2,FALSE),0),"")))</f>
        <v>5.6</v>
      </c>
      <c r="AZ13" s="10" t="str">
        <f>IF(K13="","",
IF(AX13="PT",VLOOKUP(K13,Foundation_Calc!$K$79:$R$113,VLOOKUP(AW13,Foundation_Calc!$I$2:$J$8,2,FALSE),0),
IF(AX13="K",VLOOKUP(K13,Foundation_Calc!$K$117:$R$151,VLOOKUP(AW13,Foundation_Calc!$I$2:$J$8,2,FALSE),0),"")))</f>
        <v/>
      </c>
      <c r="BA13" s="495" t="str">
        <f t="shared" si="3"/>
        <v>ü</v>
      </c>
      <c r="BB13" s="495" t="str">
        <f t="shared" si="3"/>
        <v/>
      </c>
      <c r="BC13" s="495" t="str">
        <f t="shared" si="4"/>
        <v/>
      </c>
      <c r="BD13" s="513" t="str">
        <f>Pole_Calc!A$251</f>
        <v>App.8-V08H-P10.3</v>
      </c>
      <c r="BE13" s="429" t="s">
        <v>118</v>
      </c>
      <c r="BF13" s="289"/>
      <c r="BG13" s="289"/>
      <c r="BH13" s="290"/>
      <c r="BI13" s="289"/>
    </row>
    <row r="14" spans="1:63" ht="16.149999999999999" customHeight="1">
      <c r="A14" s="514"/>
      <c r="B14" s="450"/>
      <c r="C14" s="3"/>
      <c r="D14" s="83"/>
      <c r="E14" s="4"/>
      <c r="F14" s="4"/>
      <c r="G14" s="6">
        <v>40</v>
      </c>
      <c r="H14" s="449"/>
      <c r="I14" s="449"/>
      <c r="J14" s="3"/>
      <c r="K14" s="449"/>
      <c r="L14" s="449"/>
      <c r="M14" s="449" t="str">
        <f>IF(L14="","",
IF(AX14="PT",VLOOKUP(L14,Foundation_Calc!$V$79:$X$113,VLOOKUP(AX14,Foundation_Calc!$I$10:$J$13,2,FALSE),0),
IF(AX14="K",VLOOKUP(L14,Foundation_Calc!$V$117:$X$151,VLOOKUP(AX14,Foundation_Calc!$I$10:$J$13,2,FALSE),0),"")))</f>
        <v/>
      </c>
      <c r="N14" s="449"/>
      <c r="O14" s="449"/>
      <c r="P14" s="449"/>
      <c r="Q14" s="4"/>
      <c r="R14" s="6"/>
      <c r="S14" s="6"/>
      <c r="T14" s="4"/>
      <c r="U14" s="4"/>
      <c r="V14" s="4"/>
      <c r="W14" s="9"/>
      <c r="X14" s="9"/>
      <c r="Y14" s="9"/>
      <c r="Z14" s="9"/>
      <c r="AA14" s="9"/>
      <c r="AB14" s="9"/>
      <c r="AC14" s="449" t="str">
        <f t="shared" ref="AC14:AC55" si="6">IF(OR(AT14&gt;8,AT14&lt;-8),"PH",
IF(OR(AT14&gt;5,AT14&lt;-5),"PHQ",
IF(OR(AT14&gt;1,AT14&lt;-1),
"PHC","")))</f>
        <v/>
      </c>
      <c r="AD14" s="449"/>
      <c r="AE14" s="449"/>
      <c r="AF14" s="4"/>
      <c r="AG14" s="83"/>
      <c r="AH14" s="4"/>
      <c r="AI14" s="4"/>
      <c r="AJ14" s="449"/>
      <c r="AK14" s="449"/>
      <c r="AL14" s="449"/>
      <c r="AM14" s="449"/>
      <c r="AN14" s="10"/>
      <c r="AO14" s="9"/>
      <c r="AP14" s="9"/>
      <c r="AQ14" s="9">
        <f>+FL_1($T$15,$T$13,$G$14,1200,9.28,-1*$F$15)</f>
        <v>0.66389347786336272</v>
      </c>
      <c r="AR14" s="9"/>
      <c r="AS14" s="9"/>
      <c r="AT14" s="9"/>
      <c r="AU14" s="428"/>
      <c r="AV14" s="428"/>
      <c r="AW14" s="449" t="str">
        <f>IF(C14&gt;0,VLOOKUP(C14,Foundation_Calc!$A$2:$C$13,3,1),
IF(J14&gt;0,VLOOKUP(J14,Foundation_Calc!$A$2:$C$13,3,1),""))</f>
        <v/>
      </c>
      <c r="AX14" s="449" t="str">
        <f>IF(C14&gt;0,VLOOKUP(C14,Foundation_Calc!$E$2:$G$33,3,1),
IF(J14&gt;0,VLOOKUP(J14,Foundation_Calc!$E$2:$G$33,3,1),""))</f>
        <v/>
      </c>
      <c r="AY14" s="10" t="str">
        <f>IF(L14="","",
IF(AX14="PT",VLOOKUP(L14,Foundation_Calc!$K$79:$R$113,VLOOKUP(AW14,Foundation_Calc!$I$2:$J$8,2,FALSE),0),
IF(AX14="K",VLOOKUP(L14,Foundation_Calc!$K$117:$R$151,VLOOKUP(AW14,Foundation_Calc!$I$2:$J$8,2,FALSE),0),"")))</f>
        <v/>
      </c>
      <c r="AZ14" s="10" t="str">
        <f>IF(K14="","",
IF(AX14="PT",VLOOKUP(K14,Foundation_Calc!$K$79:$R$113,VLOOKUP(AW14,Foundation_Calc!$I$2:$J$8,2,FALSE),0),
IF(AX14="K",VLOOKUP(K14,Foundation_Calc!$K$117:$R$151,VLOOKUP(AW14,Foundation_Calc!$I$2:$J$8,2,FALSE),0),"")))</f>
        <v/>
      </c>
      <c r="BA14" s="495" t="str">
        <f t="shared" si="3"/>
        <v/>
      </c>
      <c r="BB14" s="495" t="str">
        <f t="shared" si="3"/>
        <v/>
      </c>
      <c r="BC14" s="495" t="str">
        <f t="shared" si="4"/>
        <v/>
      </c>
      <c r="BD14" s="513" t="str">
        <f>IF(AND(L14="",H14=""),"",
IF(H14="",Pole_Calc!A$9,
IF(H14="MP",Pole_Calc!A$10,
IF(H14="AnMP",Pole_Calc!A$11,
IF(H14="A",Pole_Calc!A$12,
IF(H14="S/A",Pole_Calc!A$13,
IF(H14="A/S",Pole_Calc!A$14,"Poner a mano")))))))</f>
        <v/>
      </c>
      <c r="BE14" s="429" t="s">
        <v>118</v>
      </c>
      <c r="BF14" s="290"/>
      <c r="BG14" s="290"/>
      <c r="BH14" s="290"/>
      <c r="BI14" s="290"/>
    </row>
    <row r="15" spans="1:63" ht="16.149999999999999" customHeight="1">
      <c r="A15" s="517"/>
      <c r="B15" s="450" t="s">
        <v>1770</v>
      </c>
      <c r="C15" s="3">
        <f>+$C$13+$G$14</f>
        <v>58163.719999999994</v>
      </c>
      <c r="D15" s="83"/>
      <c r="E15" s="4"/>
      <c r="F15" s="4">
        <v>500</v>
      </c>
      <c r="G15" s="6"/>
      <c r="H15" s="449" t="s">
        <v>131</v>
      </c>
      <c r="I15" s="449" t="s">
        <v>195</v>
      </c>
      <c r="J15" s="3"/>
      <c r="K15" s="449"/>
      <c r="L15" s="449" t="s">
        <v>298</v>
      </c>
      <c r="M15" s="449" t="str">
        <f>IF(L15="","",
IF(AX15="PT",VLOOKUP(L15,Foundation_Calc!$V$79:$X$113,VLOOKUP(AX15,Foundation_Calc!$I$10:$J$13,2,FALSE),0),
IF(AX15="K",VLOOKUP(L15,Foundation_Calc!$V$117:$X$151,VLOOKUP(AX15,Foundation_Calc!$I$10:$J$13,2,FALSE),0),"")))</f>
        <v>2C3R</v>
      </c>
      <c r="N15" s="449" t="s">
        <v>124</v>
      </c>
      <c r="O15" s="554" t="s">
        <v>133</v>
      </c>
      <c r="P15" s="449"/>
      <c r="Q15" s="4"/>
      <c r="R15" s="6"/>
      <c r="S15" s="6"/>
      <c r="T15" s="4">
        <v>-20</v>
      </c>
      <c r="U15" s="4">
        <v>-55</v>
      </c>
      <c r="V15" s="4"/>
      <c r="W15" s="9">
        <v>1.4</v>
      </c>
      <c r="X15" s="9">
        <v>2</v>
      </c>
      <c r="Y15" s="9"/>
      <c r="Z15" s="9"/>
      <c r="AA15" s="9">
        <v>0.35</v>
      </c>
      <c r="AB15" s="9"/>
      <c r="AC15" s="449" t="str">
        <f t="shared" si="6"/>
        <v>PHC</v>
      </c>
      <c r="AD15" s="449"/>
      <c r="AE15" s="449"/>
      <c r="AF15" s="4"/>
      <c r="AG15" s="83"/>
      <c r="AH15" s="4"/>
      <c r="AI15" s="4"/>
      <c r="AJ15" s="449"/>
      <c r="AK15" s="449"/>
      <c r="AL15" s="449"/>
      <c r="AM15" s="449" t="s">
        <v>126</v>
      </c>
      <c r="AN15" s="10">
        <v>5.5</v>
      </c>
      <c r="AO15" s="9"/>
      <c r="AP15" s="9"/>
      <c r="AQ15" s="9"/>
      <c r="AR15" s="9"/>
      <c r="AS15" s="9"/>
      <c r="AT15" s="9">
        <f>+ab($T$15,$T$13,$T$17,$G$14,$G$16,-1*$F$15,1200)</f>
        <v>-1.7819071916776299</v>
      </c>
      <c r="AU15" s="428"/>
      <c r="AV15" s="428"/>
      <c r="AW15" s="449" t="str">
        <f>IF(C15&gt;0,VLOOKUP(C15,Foundation_Calc!$A$2:$C$13,3,1),
IF(J15&gt;0,VLOOKUP(J15,Foundation_Calc!$A$2:$C$13,3,1),""))</f>
        <v>Multi Soil</v>
      </c>
      <c r="AX15" s="449" t="str">
        <f>IF(C15&gt;0,VLOOKUP(C15,Foundation_Calc!$E$2:$G$33,3,1),
IF(J15&gt;0,VLOOKUP(J15,Foundation_Calc!$E$2:$G$33,3,1),""))</f>
        <v>PT</v>
      </c>
      <c r="AY15" s="10">
        <f>IF(L15="","",
IF(AX15="PT",VLOOKUP(L15,Foundation_Calc!$K$79:$R$113,VLOOKUP(AW15,Foundation_Calc!$I$2:$J$8,2,FALSE),0),
IF(AX15="K",VLOOKUP(L15,Foundation_Calc!$K$117:$R$151,VLOOKUP(AW15,Foundation_Calc!$I$2:$J$8,2,FALSE),0),"")))</f>
        <v>4</v>
      </c>
      <c r="AZ15" s="10" t="str">
        <f>IF(K15="","",
IF(AX15="PT",VLOOKUP(K15,Foundation_Calc!$K$79:$R$113,VLOOKUP(AW15,Foundation_Calc!$I$2:$J$8,2,FALSE),0),
IF(AX15="K",VLOOKUP(K15,Foundation_Calc!$K$117:$R$151,VLOOKUP(AW15,Foundation_Calc!$I$2:$J$8,2,FALSE),0),"")))</f>
        <v/>
      </c>
      <c r="BA15" s="495" t="str">
        <f t="shared" si="3"/>
        <v>ü</v>
      </c>
      <c r="BB15" s="495" t="str">
        <f t="shared" si="3"/>
        <v/>
      </c>
      <c r="BC15" s="495" t="str">
        <f t="shared" si="4"/>
        <v/>
      </c>
      <c r="BD15" s="513" t="str">
        <f>IF(AND(L15="",H15=""),"",
IF(H15="",Pole_Calc!A$9,
IF(H15="MP",Pole_Calc!A$10,
IF(H15="AnMP",Pole_Calc!A$11,
IF(H15="A",Pole_Calc!A$12,
IF(H15="S/A",Pole_Calc!A$13,
IF(H15="A/S",Pole_Calc!A$14,"Poner a mano")))))))</f>
        <v>App.7-V11I-P9.5.1.5</v>
      </c>
      <c r="BE15" s="429" t="s">
        <v>118</v>
      </c>
      <c r="BF15" s="289"/>
      <c r="BG15" s="289"/>
      <c r="BH15" s="290"/>
      <c r="BI15" s="289"/>
    </row>
    <row r="16" spans="1:63" ht="16.149999999999999" customHeight="1">
      <c r="A16" s="517"/>
      <c r="B16" s="450"/>
      <c r="C16" s="3"/>
      <c r="D16" s="83"/>
      <c r="E16" s="4"/>
      <c r="F16" s="4"/>
      <c r="G16" s="6">
        <v>42</v>
      </c>
      <c r="H16" s="449"/>
      <c r="I16" s="449">
        <v>260</v>
      </c>
      <c r="J16" s="3">
        <f>C15+7.5</f>
        <v>58171.219999999994</v>
      </c>
      <c r="K16" s="449" t="s">
        <v>166</v>
      </c>
      <c r="L16" s="449"/>
      <c r="M16" s="449" t="str">
        <f>IF(L16="","",
IF(AX16="PT",VLOOKUP(L16,Foundation_Calc!$V$79:$X$113,VLOOKUP(AX16,Foundation_Calc!$I$10:$J$13,2,FALSE),0),
IF(AX16="K",VLOOKUP(L16,Foundation_Calc!$V$117:$X$151,VLOOKUP(AX16,Foundation_Calc!$I$10:$J$13,2,FALSE),0),"")))</f>
        <v/>
      </c>
      <c r="N16" s="449"/>
      <c r="O16" s="449"/>
      <c r="P16" s="449"/>
      <c r="Q16" s="4"/>
      <c r="R16" s="6"/>
      <c r="S16" s="6"/>
      <c r="T16" s="4"/>
      <c r="U16" s="4"/>
      <c r="V16" s="4"/>
      <c r="W16" s="9"/>
      <c r="X16" s="9"/>
      <c r="Y16" s="9"/>
      <c r="Z16" s="9"/>
      <c r="AA16" s="9"/>
      <c r="AB16" s="9"/>
      <c r="AC16" s="449" t="str">
        <f t="shared" si="6"/>
        <v/>
      </c>
      <c r="AD16" s="449"/>
      <c r="AE16" s="449"/>
      <c r="AF16" s="4"/>
      <c r="AG16" s="83"/>
      <c r="AH16" s="4"/>
      <c r="AI16" s="4"/>
      <c r="AJ16" s="449"/>
      <c r="AK16" s="449"/>
      <c r="AL16" s="449"/>
      <c r="AM16" s="449"/>
      <c r="AN16" s="10"/>
      <c r="AO16" s="9"/>
      <c r="AP16" s="9"/>
      <c r="AQ16" s="9">
        <f>+FL_1($T$17,$T$15,$G$16,1200,9.28,-1*$F$17)</f>
        <v>0.3121514737142857</v>
      </c>
      <c r="AR16" s="9"/>
      <c r="AS16" s="9"/>
      <c r="AT16" s="9"/>
      <c r="AU16" s="428"/>
      <c r="AV16" s="428"/>
      <c r="AW16" s="449" t="str">
        <f>IF(C16&gt;0,VLOOKUP(C16,Foundation_Calc!$A$2:$C$13,3,1),
IF(J16&gt;0,VLOOKUP(J16,Foundation_Calc!$A$2:$C$13,3,1),""))</f>
        <v>Multi Soil</v>
      </c>
      <c r="AX16" s="449" t="str">
        <f>IF(C16&gt;0,VLOOKUP(C16,Foundation_Calc!$E$2:$G$33,3,1),
IF(J16&gt;0,VLOOKUP(J16,Foundation_Calc!$E$2:$G$33,3,1),""))</f>
        <v>PT</v>
      </c>
      <c r="AY16" s="10" t="str">
        <f>IF(L16="","",
IF(AX16="PT",VLOOKUP(L16,Foundation_Calc!$K$79:$R$113,VLOOKUP(AW16,Foundation_Calc!$I$2:$J$8,2,FALSE),0),
IF(AX16="K",VLOOKUP(L16,Foundation_Calc!$K$117:$R$151,VLOOKUP(AW16,Foundation_Calc!$I$2:$J$8,2,FALSE),0),"")))</f>
        <v/>
      </c>
      <c r="AZ16" s="10">
        <f>IF(K16="","",
IF(AX16="PT",VLOOKUP(K16,Foundation_Calc!$K$79:$R$113,VLOOKUP(AW16,Foundation_Calc!$I$2:$J$8,2,FALSE),0),
IF(AX16="K",VLOOKUP(K16,Foundation_Calc!$K$117:$R$151,VLOOKUP(AW16,Foundation_Calc!$I$2:$J$8,2,FALSE),0),"")))</f>
        <v>2.8</v>
      </c>
      <c r="BA16" s="495" t="str">
        <f t="shared" si="3"/>
        <v/>
      </c>
      <c r="BB16" s="495" t="str">
        <f t="shared" si="3"/>
        <v>ü</v>
      </c>
      <c r="BC16" s="495" t="str">
        <f t="shared" si="4"/>
        <v/>
      </c>
      <c r="BD16" s="513" t="str">
        <f>IF(AND(L16="",H16=""),"",
IF(H16="",Pole_Calc!A$9,
IF(H16="MP",Pole_Calc!A$10,
IF(H16="AnMP",Pole_Calc!A$11,
IF(H16="A",Pole_Calc!A$12,
IF(H16="S/A",Pole_Calc!A$13,
IF(H16="A/S",Pole_Calc!A$14,"Poner a mano")))))))</f>
        <v/>
      </c>
      <c r="BE16" s="429" t="s">
        <v>118</v>
      </c>
      <c r="BF16" s="290"/>
      <c r="BG16" s="290"/>
      <c r="BH16" s="290"/>
      <c r="BI16" s="290"/>
    </row>
    <row r="17" spans="1:61" ht="16.149999999999999" customHeight="1">
      <c r="A17" s="518"/>
      <c r="B17" s="450" t="s">
        <v>1771</v>
      </c>
      <c r="C17" s="3">
        <f>+$C$15+$G$16</f>
        <v>58205.719999999994</v>
      </c>
      <c r="D17" s="83"/>
      <c r="E17" s="4"/>
      <c r="F17" s="4">
        <v>0</v>
      </c>
      <c r="G17" s="6"/>
      <c r="H17" s="449" t="s">
        <v>284</v>
      </c>
      <c r="I17" s="4" t="s">
        <v>162</v>
      </c>
      <c r="J17" s="3"/>
      <c r="K17" s="449"/>
      <c r="L17" s="449" t="s">
        <v>268</v>
      </c>
      <c r="M17" s="449" t="str">
        <f>IF(L17="","",
IF(AX17="PT",VLOOKUP(L17,Foundation_Calc!$V$79:$X$113,VLOOKUP(AX17,Foundation_Calc!$I$10:$J$13,2,FALSE),0),
IF(AX17="K",VLOOKUP(L17,Foundation_Calc!$V$117:$X$151,VLOOKUP(AX17,Foundation_Calc!$I$10:$J$13,2,FALSE),0),"")))</f>
        <v>C7R</v>
      </c>
      <c r="N17" s="553" t="s">
        <v>134</v>
      </c>
      <c r="O17" s="449"/>
      <c r="P17" s="449"/>
      <c r="Q17" s="4"/>
      <c r="R17" s="6"/>
      <c r="S17" s="6"/>
      <c r="T17" s="4">
        <v>30</v>
      </c>
      <c r="U17" s="4"/>
      <c r="V17" s="4"/>
      <c r="W17" s="9">
        <v>1.4</v>
      </c>
      <c r="X17" s="9"/>
      <c r="Y17" s="9"/>
      <c r="Z17" s="9"/>
      <c r="AA17" s="9"/>
      <c r="AB17" s="9"/>
      <c r="AC17" s="449" t="str">
        <f t="shared" si="6"/>
        <v>PHQ</v>
      </c>
      <c r="AD17" s="449"/>
      <c r="AE17" s="449"/>
      <c r="AF17" s="4"/>
      <c r="AG17" s="83"/>
      <c r="AH17" s="4"/>
      <c r="AI17" s="4"/>
      <c r="AJ17" s="449"/>
      <c r="AK17" s="449"/>
      <c r="AL17" s="449" t="s">
        <v>269</v>
      </c>
      <c r="AM17" s="449" t="s">
        <v>126</v>
      </c>
      <c r="AN17" s="10">
        <v>5.5</v>
      </c>
      <c r="AO17" s="9"/>
      <c r="AP17" s="9"/>
      <c r="AQ17" s="9"/>
      <c r="AR17" s="9"/>
      <c r="AS17" s="9"/>
      <c r="AT17" s="9">
        <f>+ab($T$17,$T$15,$T$19,$G$16,$G$18,-1*$F$17,1200)</f>
        <v>7.0655553753884641</v>
      </c>
      <c r="AU17" s="428"/>
      <c r="AV17" s="428"/>
      <c r="AW17" s="449" t="str">
        <f>IF(C17&gt;0,VLOOKUP(C17,Foundation_Calc!$A$2:$C$13,3,1),
IF(J17&gt;0,VLOOKUP(J17,Foundation_Calc!$A$2:$C$13,3,1),""))</f>
        <v>Multi Soil</v>
      </c>
      <c r="AX17" s="449" t="str">
        <f>IF(C17&gt;0,VLOOKUP(C17,Foundation_Calc!$E$2:$G$33,3,1),
IF(J17&gt;0,VLOOKUP(J17,Foundation_Calc!$E$2:$G$33,3,1),""))</f>
        <v>PT</v>
      </c>
      <c r="AY17" s="10">
        <f>IF(L17="","",
IF(AX17="PT",VLOOKUP(L17,Foundation_Calc!$K$79:$R$113,VLOOKUP(AW17,Foundation_Calc!$I$2:$J$8,2,FALSE),0),
IF(AX17="K",VLOOKUP(L17,Foundation_Calc!$K$117:$R$151,VLOOKUP(AW17,Foundation_Calc!$I$2:$J$8,2,FALSE),0),"")))</f>
        <v>4</v>
      </c>
      <c r="AZ17" s="10" t="str">
        <f>IF(K17="","",
IF(AX17="PT",VLOOKUP(K17,Foundation_Calc!$K$79:$R$113,VLOOKUP(AW17,Foundation_Calc!$I$2:$J$8,2,FALSE),0),
IF(AX17="K",VLOOKUP(K17,Foundation_Calc!$K$117:$R$151,VLOOKUP(AW17,Foundation_Calc!$I$2:$J$8,2,FALSE),0),"")))</f>
        <v/>
      </c>
      <c r="BA17" s="495" t="str">
        <f t="shared" si="3"/>
        <v>ü</v>
      </c>
      <c r="BB17" s="495" t="str">
        <f t="shared" si="3"/>
        <v/>
      </c>
      <c r="BC17" s="495" t="str">
        <f t="shared" si="4"/>
        <v/>
      </c>
      <c r="BD17" s="513" t="str">
        <f>Pole_Calc!A$251</f>
        <v>App.8-V08H-P10.3</v>
      </c>
      <c r="BE17" s="429" t="s">
        <v>118</v>
      </c>
      <c r="BF17" s="289"/>
      <c r="BG17" s="289"/>
      <c r="BH17" s="290"/>
      <c r="BI17" s="289"/>
    </row>
    <row r="18" spans="1:61" ht="16.149999999999999" customHeight="1">
      <c r="A18" s="518"/>
      <c r="B18" s="450"/>
      <c r="C18" s="3"/>
      <c r="D18" s="83"/>
      <c r="E18" s="4"/>
      <c r="F18" s="4"/>
      <c r="G18" s="6">
        <v>43</v>
      </c>
      <c r="H18" s="449"/>
      <c r="I18" s="449"/>
      <c r="J18" s="3">
        <f>C17+7.5</f>
        <v>58213.219999999994</v>
      </c>
      <c r="K18" s="449" t="s">
        <v>117</v>
      </c>
      <c r="L18" s="449"/>
      <c r="M18" s="449" t="str">
        <f>IF(L18="","",
IF(AX18="PT",VLOOKUP(L18,Foundation_Calc!$V$79:$X$113,VLOOKUP(AX18,Foundation_Calc!$I$10:$J$13,2,FALSE),0),
IF(AX18="K",VLOOKUP(L18,Foundation_Calc!$V$117:$X$151,VLOOKUP(AX18,Foundation_Calc!$I$10:$J$13,2,FALSE),0),"")))</f>
        <v/>
      </c>
      <c r="N18" s="449"/>
      <c r="O18" s="449"/>
      <c r="P18" s="449"/>
      <c r="Q18" s="4"/>
      <c r="R18" s="6"/>
      <c r="S18" s="6"/>
      <c r="T18" s="4"/>
      <c r="U18" s="4"/>
      <c r="V18" s="4"/>
      <c r="W18" s="9"/>
      <c r="X18" s="9"/>
      <c r="Y18" s="9"/>
      <c r="Z18" s="9"/>
      <c r="AA18" s="9"/>
      <c r="AB18" s="9"/>
      <c r="AC18" s="449" t="str">
        <f t="shared" si="6"/>
        <v/>
      </c>
      <c r="AD18" s="449"/>
      <c r="AE18" s="449"/>
      <c r="AF18" s="4"/>
      <c r="AG18" s="83"/>
      <c r="AH18" s="4"/>
      <c r="AI18" s="4"/>
      <c r="AJ18" s="449"/>
      <c r="AK18" s="449"/>
      <c r="AL18" s="449"/>
      <c r="AM18" s="449"/>
      <c r="AN18" s="10"/>
      <c r="AO18" s="9"/>
      <c r="AP18" s="9"/>
      <c r="AQ18" s="9">
        <f>+FL_2($T$19,$T$17,$G$18,1200,9.28, 1*$F$19)</f>
        <v>-0.35147495581395349</v>
      </c>
      <c r="AR18" s="9"/>
      <c r="AS18" s="9"/>
      <c r="AT18" s="9"/>
      <c r="AU18" s="428"/>
      <c r="AV18" s="428"/>
      <c r="AW18" s="449" t="str">
        <f>IF(C18&gt;0,VLOOKUP(C18,Foundation_Calc!$A$2:$C$13,3,1),
IF(J18&gt;0,VLOOKUP(J18,Foundation_Calc!$A$2:$C$13,3,1),""))</f>
        <v>Multi Soil</v>
      </c>
      <c r="AX18" s="449" t="str">
        <f>IF(C18&gt;0,VLOOKUP(C18,Foundation_Calc!$E$2:$G$33,3,1),
IF(J18&gt;0,VLOOKUP(J18,Foundation_Calc!$E$2:$G$33,3,1),""))</f>
        <v>PT</v>
      </c>
      <c r="AY18" s="10" t="str">
        <f>IF(L18="","",
IF(AX18="PT",VLOOKUP(L18,Foundation_Calc!$K$79:$R$113,VLOOKUP(AW18,Foundation_Calc!$I$2:$J$8,2,FALSE),0),
IF(AX18="K",VLOOKUP(L18,Foundation_Calc!$K$117:$R$151,VLOOKUP(AW18,Foundation_Calc!$I$2:$J$8,2,FALSE),0),"")))</f>
        <v/>
      </c>
      <c r="AZ18" s="10">
        <f>IF(K18="","",
IF(AX18="PT",VLOOKUP(K18,Foundation_Calc!$K$79:$R$113,VLOOKUP(AW18,Foundation_Calc!$I$2:$J$8,2,FALSE),0),
IF(AX18="K",VLOOKUP(K18,Foundation_Calc!$K$117:$R$151,VLOOKUP(AW18,Foundation_Calc!$I$2:$J$8,2,FALSE),0),"")))</f>
        <v>3.9</v>
      </c>
      <c r="BA18" s="495" t="str">
        <f t="shared" si="3"/>
        <v/>
      </c>
      <c r="BB18" s="495" t="str">
        <f t="shared" si="3"/>
        <v>ü</v>
      </c>
      <c r="BC18" s="495" t="str">
        <f t="shared" si="4"/>
        <v/>
      </c>
      <c r="BD18" s="513" t="str">
        <f>IF(AND(L18="",H18=""),"",
IF(H18="",Pole_Calc!A$9,
IF(H18="MP",Pole_Calc!A$10,
IF(H18="AnMP",Pole_Calc!A$11,
IF(H18="A",Pole_Calc!A$12,
IF(H18="S/A",Pole_Calc!A$13,
IF(H18="A/S",Pole_Calc!A$14,"Poner a mano")))))))</f>
        <v/>
      </c>
      <c r="BE18" s="429" t="s">
        <v>118</v>
      </c>
      <c r="BF18" s="290"/>
      <c r="BG18" s="290"/>
      <c r="BH18" s="290"/>
      <c r="BI18" s="290"/>
    </row>
    <row r="19" spans="1:61" ht="16.149999999999999" customHeight="1">
      <c r="A19" s="517"/>
      <c r="B19" s="450" t="s">
        <v>1772</v>
      </c>
      <c r="C19" s="3">
        <f>+$C$17+$G$18</f>
        <v>58248.719999999994</v>
      </c>
      <c r="D19" s="83"/>
      <c r="E19" s="4"/>
      <c r="F19" s="4">
        <v>0</v>
      </c>
      <c r="G19" s="6"/>
      <c r="H19" s="449"/>
      <c r="I19" s="449" t="s">
        <v>195</v>
      </c>
      <c r="J19" s="3">
        <f>C19-7.5</f>
        <v>58241.219999999994</v>
      </c>
      <c r="K19" s="449" t="s">
        <v>166</v>
      </c>
      <c r="L19" s="449" t="s">
        <v>268</v>
      </c>
      <c r="M19" s="449" t="str">
        <f>IF(L19="","",
IF(AX19="PT",VLOOKUP(L19,Foundation_Calc!$V$79:$X$113,VLOOKUP(AX19,Foundation_Calc!$I$10:$J$13,2,FALSE),0),
IF(AX19="K",VLOOKUP(L19,Foundation_Calc!$V$117:$X$151,VLOOKUP(AX19,Foundation_Calc!$I$10:$J$13,2,FALSE),0),"")))</f>
        <v>C7R</v>
      </c>
      <c r="N19" s="553" t="s">
        <v>124</v>
      </c>
      <c r="O19" s="449"/>
      <c r="P19" s="449"/>
      <c r="Q19" s="4"/>
      <c r="R19" s="6"/>
      <c r="S19" s="6"/>
      <c r="T19" s="4">
        <v>-35</v>
      </c>
      <c r="U19" s="4"/>
      <c r="V19" s="4"/>
      <c r="W19" s="9">
        <v>1.4</v>
      </c>
      <c r="X19" s="9"/>
      <c r="Y19" s="9"/>
      <c r="Z19" s="9"/>
      <c r="AA19" s="9"/>
      <c r="AB19" s="9"/>
      <c r="AC19" s="449" t="str">
        <f t="shared" si="6"/>
        <v>PHQ</v>
      </c>
      <c r="AD19" s="449"/>
      <c r="AE19" s="449"/>
      <c r="AF19" s="4"/>
      <c r="AG19" s="83"/>
      <c r="AH19" s="4"/>
      <c r="AI19" s="4"/>
      <c r="AJ19" s="449"/>
      <c r="AK19" s="449"/>
      <c r="AL19" s="449" t="s">
        <v>269</v>
      </c>
      <c r="AM19" s="449" t="s">
        <v>126</v>
      </c>
      <c r="AN19" s="10">
        <v>5.5</v>
      </c>
      <c r="AO19" s="9"/>
      <c r="AP19" s="9"/>
      <c r="AQ19" s="9"/>
      <c r="AR19" s="9"/>
      <c r="AS19" s="9"/>
      <c r="AT19" s="9">
        <f>+ab($T$19,$T$17,$T$21,$G$18,$G$20, 1*$F$19,1200)</f>
        <v>-6.1540415967329194</v>
      </c>
      <c r="AU19" s="428"/>
      <c r="AV19" s="428"/>
      <c r="AW19" s="449" t="str">
        <f>IF(C19&gt;0,VLOOKUP(C19,Foundation_Calc!$A$2:$C$13,3,1),
IF(J19&gt;0,VLOOKUP(J19,Foundation_Calc!$A$2:$C$13,3,1),""))</f>
        <v>Multi Soil</v>
      </c>
      <c r="AX19" s="449" t="str">
        <f>IF(C19&gt;0,VLOOKUP(C19,Foundation_Calc!$E$2:$G$33,3,1),
IF(J19&gt;0,VLOOKUP(J19,Foundation_Calc!$E$2:$G$33,3,1),""))</f>
        <v>PT</v>
      </c>
      <c r="AY19" s="10">
        <f>IF(L19="","",
IF(AX19="PT",VLOOKUP(L19,Foundation_Calc!$K$79:$R$113,VLOOKUP(AW19,Foundation_Calc!$I$2:$J$8,2,FALSE),0),
IF(AX19="K",VLOOKUP(L19,Foundation_Calc!$K$117:$R$151,VLOOKUP(AW19,Foundation_Calc!$I$2:$J$8,2,FALSE),0),"")))</f>
        <v>4</v>
      </c>
      <c r="AZ19" s="10">
        <f>IF(K19="","",
IF(AX19="PT",VLOOKUP(K19,Foundation_Calc!$K$79:$R$113,VLOOKUP(AW19,Foundation_Calc!$I$2:$J$8,2,FALSE),0),
IF(AX19="K",VLOOKUP(K19,Foundation_Calc!$K$117:$R$151,VLOOKUP(AW19,Foundation_Calc!$I$2:$J$8,2,FALSE),0),"")))</f>
        <v>2.8</v>
      </c>
      <c r="BA19" s="495" t="str">
        <f t="shared" si="3"/>
        <v>ü</v>
      </c>
      <c r="BB19" s="495" t="str">
        <f t="shared" si="3"/>
        <v>ü</v>
      </c>
      <c r="BC19" s="495" t="str">
        <f t="shared" si="4"/>
        <v/>
      </c>
      <c r="BD19" s="513" t="str">
        <f>Pole_Calc!A$251</f>
        <v>App.8-V08H-P10.3</v>
      </c>
      <c r="BE19" s="429" t="s">
        <v>118</v>
      </c>
      <c r="BF19" s="289"/>
      <c r="BG19" s="289"/>
      <c r="BH19" s="290"/>
      <c r="BI19" s="289"/>
    </row>
    <row r="20" spans="1:61" ht="16.149999999999999" customHeight="1">
      <c r="A20" s="696" t="s">
        <v>853</v>
      </c>
      <c r="B20" s="697"/>
      <c r="C20" s="698"/>
      <c r="D20" s="699"/>
      <c r="E20" s="700"/>
      <c r="F20" s="700"/>
      <c r="G20" s="701">
        <v>43.9</v>
      </c>
      <c r="H20" s="702"/>
      <c r="I20" s="702" t="s">
        <v>195</v>
      </c>
      <c r="J20" s="698">
        <f>C19+7.5</f>
        <v>58256.219999999994</v>
      </c>
      <c r="K20" s="702" t="s">
        <v>166</v>
      </c>
      <c r="L20" s="702"/>
      <c r="M20" s="702" t="str">
        <f>IF(L20="","",
IF(AX20="PT",VLOOKUP(L20,Foundation_Calc!$V$79:$X$113,VLOOKUP(AX20,Foundation_Calc!$I$10:$J$13,2,FALSE),0),
IF(AX20="K",VLOOKUP(L20,Foundation_Calc!$V$117:$X$151,VLOOKUP(AX20,Foundation_Calc!$I$10:$J$13,2,FALSE),0),"")))</f>
        <v/>
      </c>
      <c r="N20" s="885"/>
      <c r="O20" s="702"/>
      <c r="P20" s="702"/>
      <c r="Q20" s="700"/>
      <c r="R20" s="701"/>
      <c r="S20" s="701"/>
      <c r="T20" s="700"/>
      <c r="U20" s="700"/>
      <c r="V20" s="700"/>
      <c r="W20" s="703"/>
      <c r="X20" s="703"/>
      <c r="Y20" s="703"/>
      <c r="Z20" s="703"/>
      <c r="AA20" s="703"/>
      <c r="AB20" s="703"/>
      <c r="AC20" s="702" t="str">
        <f t="shared" si="6"/>
        <v/>
      </c>
      <c r="AD20" s="702"/>
      <c r="AE20" s="702"/>
      <c r="AF20" s="700"/>
      <c r="AG20" s="699"/>
      <c r="AH20" s="700"/>
      <c r="AI20" s="700"/>
      <c r="AJ20" s="702"/>
      <c r="AK20" s="702"/>
      <c r="AL20" s="702"/>
      <c r="AM20" s="702"/>
      <c r="AN20" s="704"/>
      <c r="AO20" s="703"/>
      <c r="AP20" s="703"/>
      <c r="AQ20" s="703">
        <f>+FL_2($T$21,$T$19,$G$20,1200,9.28, 1*$F$21)</f>
        <v>-0.35068504270615042</v>
      </c>
      <c r="AR20" s="703"/>
      <c r="AS20" s="703"/>
      <c r="AT20" s="703"/>
      <c r="AU20" s="705"/>
      <c r="AV20" s="705"/>
      <c r="AW20" s="702" t="str">
        <f>IF(C20&gt;0,VLOOKUP(C20,Foundation_Calc!$A$2:$C$13,3,1),
IF(J20&gt;0,VLOOKUP(J20,Foundation_Calc!$A$2:$C$13,3,1),""))</f>
        <v>Multi Soil</v>
      </c>
      <c r="AX20" s="702" t="str">
        <f>IF(C20&gt;0,VLOOKUP(C20,Foundation_Calc!$E$2:$G$33,3,1),
IF(J20&gt;0,VLOOKUP(J20,Foundation_Calc!$E$2:$G$33,3,1),""))</f>
        <v>PT</v>
      </c>
      <c r="AY20" s="704" t="str">
        <f>IF(L20="","",
IF(AX20="PT",VLOOKUP(L20,Foundation_Calc!$K$79:$R$113,VLOOKUP(AW20,Foundation_Calc!$I$2:$J$8,2,FALSE),0),
IF(AX20="K",VLOOKUP(L20,Foundation_Calc!$K$117:$R$151,VLOOKUP(AW20,Foundation_Calc!$I$2:$J$8,2,FALSE),0),"")))</f>
        <v/>
      </c>
      <c r="AZ20" s="704">
        <f>IF(K20="","",
IF(AX20="PT",VLOOKUP(K20,Foundation_Calc!$K$79:$R$113,VLOOKUP(AW20,Foundation_Calc!$I$2:$J$8,2,FALSE),0),
IF(AX20="K",VLOOKUP(K20,Foundation_Calc!$K$117:$R$151,VLOOKUP(AW20,Foundation_Calc!$I$2:$J$8,2,FALSE),0),"")))</f>
        <v>2.8</v>
      </c>
      <c r="BA20" s="495" t="str">
        <f t="shared" si="3"/>
        <v/>
      </c>
      <c r="BB20" s="495" t="str">
        <f t="shared" si="3"/>
        <v>ü</v>
      </c>
      <c r="BC20" s="495" t="str">
        <f t="shared" si="4"/>
        <v/>
      </c>
      <c r="BD20" s="513" t="str">
        <f>IF(AND(L20="",H20=""),"",
IF(H20="",Pole_Calc!A$9,
IF(H20="MP",Pole_Calc!A$10,
IF(H20="AnMP",Pole_Calc!A$11,
IF(H20="A",Pole_Calc!A$12,
IF(H20="S/A",Pole_Calc!A$13,
IF(H20="A/S",Pole_Calc!A$14,"Poner a mano")))))))</f>
        <v/>
      </c>
      <c r="BE20" s="429" t="s">
        <v>118</v>
      </c>
      <c r="BF20" s="290"/>
      <c r="BG20" s="290"/>
      <c r="BH20" s="290"/>
      <c r="BI20" s="290"/>
    </row>
    <row r="21" spans="1:61" ht="16.149999999999999" customHeight="1">
      <c r="A21" s="514"/>
      <c r="B21" s="450" t="s">
        <v>1773</v>
      </c>
      <c r="C21" s="3">
        <f>+$C$19+$G$20</f>
        <v>58292.619999999995</v>
      </c>
      <c r="D21" s="83"/>
      <c r="E21" s="4"/>
      <c r="F21" s="4">
        <v>0</v>
      </c>
      <c r="G21" s="6"/>
      <c r="H21" s="449"/>
      <c r="I21" s="449"/>
      <c r="J21" s="449"/>
      <c r="K21" s="449"/>
      <c r="L21" s="449" t="s">
        <v>268</v>
      </c>
      <c r="M21" s="449" t="str">
        <f>IF(L21="","",
IF(AX21="PT",VLOOKUP(L21,Foundation_Calc!$V$79:$X$113,VLOOKUP(AX21,Foundation_Calc!$I$10:$J$13,2,FALSE),0),
IF(AX21="K",VLOOKUP(L21,Foundation_Calc!$V$117:$X$151,VLOOKUP(AX21,Foundation_Calc!$I$10:$J$13,2,FALSE),0),"")))</f>
        <v>C7R</v>
      </c>
      <c r="N21" s="553" t="s">
        <v>134</v>
      </c>
      <c r="O21" s="449"/>
      <c r="P21" s="449"/>
      <c r="Q21" s="4"/>
      <c r="R21" s="6"/>
      <c r="S21" s="6"/>
      <c r="T21" s="4">
        <v>35</v>
      </c>
      <c r="U21" s="4"/>
      <c r="V21" s="4"/>
      <c r="W21" s="9">
        <v>1.4</v>
      </c>
      <c r="X21" s="9"/>
      <c r="Y21" s="9"/>
      <c r="Z21" s="9"/>
      <c r="AA21" s="9"/>
      <c r="AB21" s="9"/>
      <c r="AC21" s="449" t="str">
        <f t="shared" si="6"/>
        <v>PHQ</v>
      </c>
      <c r="AD21" s="449"/>
      <c r="AE21" s="449"/>
      <c r="AF21" s="4"/>
      <c r="AG21" s="83"/>
      <c r="AH21" s="4"/>
      <c r="AI21" s="4"/>
      <c r="AJ21" s="449"/>
      <c r="AK21" s="449"/>
      <c r="AL21" s="449" t="s">
        <v>269</v>
      </c>
      <c r="AM21" s="449" t="s">
        <v>126</v>
      </c>
      <c r="AN21" s="10">
        <v>5.5</v>
      </c>
      <c r="AO21" s="9"/>
      <c r="AP21" s="9"/>
      <c r="AQ21" s="9"/>
      <c r="AR21" s="9"/>
      <c r="AS21" s="9"/>
      <c r="AT21" s="9">
        <f>+ab($T$21,$T$19,$T$23,$G$20,$G$22, 1*$F$21,1200)</f>
        <v>5.2722121952044532</v>
      </c>
      <c r="AU21" s="428"/>
      <c r="AV21" s="428"/>
      <c r="AW21" s="449" t="str">
        <f>IF(C21&gt;0,VLOOKUP(C21,Foundation_Calc!$A$2:$C$13,3,1),
IF(J21&gt;0,VLOOKUP(J21,Foundation_Calc!$A$2:$C$13,3,1),""))</f>
        <v>Multi Soil</v>
      </c>
      <c r="AX21" s="449" t="str">
        <f>IF(C21&gt;0,VLOOKUP(C21,Foundation_Calc!$E$2:$G$33,3,1),
IF(J21&gt;0,VLOOKUP(J21,Foundation_Calc!$E$2:$G$33,3,1),""))</f>
        <v>PT</v>
      </c>
      <c r="AY21" s="10">
        <f>IF(L21="","",
IF(AX21="PT",VLOOKUP(L21,Foundation_Calc!$K$79:$R$113,VLOOKUP(AW21,Foundation_Calc!$I$2:$J$8,2,FALSE),0),
IF(AX21="K",VLOOKUP(L21,Foundation_Calc!$K$117:$R$151,VLOOKUP(AW21,Foundation_Calc!$I$2:$J$8,2,FALSE),0),"")))</f>
        <v>4</v>
      </c>
      <c r="AZ21" s="10" t="str">
        <f>IF(K21="","",
IF(AX21="PT",VLOOKUP(K21,Foundation_Calc!$K$79:$R$113,VLOOKUP(AW21,Foundation_Calc!$I$2:$J$8,2,FALSE),0),
IF(AX21="K",VLOOKUP(K21,Foundation_Calc!$K$117:$R$151,VLOOKUP(AW21,Foundation_Calc!$I$2:$J$8,2,FALSE),0),"")))</f>
        <v/>
      </c>
      <c r="BA21" s="495" t="str">
        <f t="shared" si="3"/>
        <v>ü</v>
      </c>
      <c r="BB21" s="495" t="str">
        <f t="shared" si="3"/>
        <v/>
      </c>
      <c r="BC21" s="495" t="str">
        <f t="shared" si="4"/>
        <v/>
      </c>
      <c r="BD21" s="513" t="str">
        <f>Pole_Calc!A$251</f>
        <v>App.8-V08H-P10.3</v>
      </c>
      <c r="BE21" s="429" t="s">
        <v>118</v>
      </c>
      <c r="BF21" s="289"/>
      <c r="BG21" s="289"/>
      <c r="BH21" s="290"/>
      <c r="BI21" s="289"/>
    </row>
    <row r="22" spans="1:61" ht="16.149999999999999" customHeight="1">
      <c r="A22" s="514"/>
      <c r="B22" s="450"/>
      <c r="C22" s="3"/>
      <c r="D22" s="83"/>
      <c r="E22" s="4"/>
      <c r="F22" s="4"/>
      <c r="G22" s="6">
        <v>34.4</v>
      </c>
      <c r="H22" s="449"/>
      <c r="I22" s="9"/>
      <c r="J22" s="9"/>
      <c r="K22" s="449"/>
      <c r="L22" s="449"/>
      <c r="M22" s="449" t="str">
        <f>IF(L22="","",
IF(AX22="PT",VLOOKUP(L22,Foundation_Calc!$V$79:$X$113,VLOOKUP(AX22,Foundation_Calc!$I$10:$J$13,2,FALSE),0),
IF(AX22="K",VLOOKUP(L22,Foundation_Calc!$V$117:$X$151,VLOOKUP(AX22,Foundation_Calc!$I$10:$J$13,2,FALSE),0),"")))</f>
        <v/>
      </c>
      <c r="N22" s="553"/>
      <c r="O22" s="449"/>
      <c r="P22" s="449"/>
      <c r="Q22" s="4"/>
      <c r="R22" s="6"/>
      <c r="S22" s="6"/>
      <c r="T22" s="4"/>
      <c r="U22" s="4"/>
      <c r="V22" s="4"/>
      <c r="W22" s="9"/>
      <c r="X22" s="9"/>
      <c r="Y22" s="9"/>
      <c r="Z22" s="9"/>
      <c r="AA22" s="9"/>
      <c r="AB22" s="9"/>
      <c r="AC22" s="449" t="str">
        <f t="shared" si="6"/>
        <v/>
      </c>
      <c r="AD22" s="449"/>
      <c r="AE22" s="449"/>
      <c r="AF22" s="4"/>
      <c r="AG22" s="83"/>
      <c r="AH22" s="4"/>
      <c r="AI22" s="4"/>
      <c r="AJ22" s="449"/>
      <c r="AK22" s="449"/>
      <c r="AL22" s="449"/>
      <c r="AM22" s="449"/>
      <c r="AN22" s="10"/>
      <c r="AO22" s="9"/>
      <c r="AP22" s="9"/>
      <c r="AQ22" s="9">
        <f>+FL_1($T$23,$T$21,$G$22,1200,9.28, 1*$F$23)</f>
        <v>0.35000000000001208</v>
      </c>
      <c r="AR22" s="9"/>
      <c r="AS22" s="9"/>
      <c r="AT22" s="9"/>
      <c r="AU22" s="428"/>
      <c r="AV22" s="428"/>
      <c r="AW22" s="449" t="str">
        <f>IF(C22&gt;0,VLOOKUP(C22,Foundation_Calc!$A$2:$C$13,3,1),
IF(J22&gt;0,VLOOKUP(J22,Foundation_Calc!$A$2:$C$13,3,1),""))</f>
        <v/>
      </c>
      <c r="AX22" s="449" t="str">
        <f>IF(C22&gt;0,VLOOKUP(C22,Foundation_Calc!$E$2:$G$33,3,1),
IF(J22&gt;0,VLOOKUP(J22,Foundation_Calc!$E$2:$G$33,3,1),""))</f>
        <v/>
      </c>
      <c r="AY22" s="10" t="str">
        <f>IF(L22="","",
IF(AX22="PT",VLOOKUP(L22,Foundation_Calc!$K$79:$R$113,VLOOKUP(AW22,Foundation_Calc!$I$2:$J$8,2,FALSE),0),
IF(AX22="K",VLOOKUP(L22,Foundation_Calc!$K$117:$R$151,VLOOKUP(AW22,Foundation_Calc!$I$2:$J$8,2,FALSE),0),"")))</f>
        <v/>
      </c>
      <c r="AZ22" s="10" t="str">
        <f>IF(K22="","",
IF(AX22="PT",VLOOKUP(K22,Foundation_Calc!$K$79:$R$113,VLOOKUP(AW22,Foundation_Calc!$I$2:$J$8,2,FALSE),0),
IF(AX22="K",VLOOKUP(K22,Foundation_Calc!$K$117:$R$151,VLOOKUP(AW22,Foundation_Calc!$I$2:$J$8,2,FALSE),0),"")))</f>
        <v/>
      </c>
      <c r="BA22" s="495" t="str">
        <f t="shared" si="3"/>
        <v/>
      </c>
      <c r="BB22" s="495" t="str">
        <f t="shared" si="3"/>
        <v/>
      </c>
      <c r="BC22" s="495" t="str">
        <f t="shared" si="4"/>
        <v/>
      </c>
      <c r="BD22" s="513" t="str">
        <f>IF(AND(L22="",H22=""),"",
IF(H22="",Pole_Calc!A$9,
IF(H22="MP",Pole_Calc!A$10,
IF(H22="AnMP",Pole_Calc!A$11,
IF(H22="A",Pole_Calc!A$12,
IF(H22="S/A",Pole_Calc!A$13,
IF(H22="A/S",Pole_Calc!A$14,"Poner a mano")))))))</f>
        <v/>
      </c>
      <c r="BE22" s="429" t="s">
        <v>118</v>
      </c>
      <c r="BF22" s="290"/>
      <c r="BG22" s="290"/>
      <c r="BH22" s="290"/>
      <c r="BI22" s="290"/>
    </row>
    <row r="23" spans="1:61" ht="16.149999999999999" customHeight="1">
      <c r="A23" s="514"/>
      <c r="B23" s="450" t="s">
        <v>1774</v>
      </c>
      <c r="C23" s="3">
        <f>+$C$21+$G$22</f>
        <v>58327.02</v>
      </c>
      <c r="D23" s="83"/>
      <c r="E23" s="4"/>
      <c r="F23" s="4">
        <v>0</v>
      </c>
      <c r="G23" s="6"/>
      <c r="H23" s="449"/>
      <c r="I23" s="449"/>
      <c r="J23" s="3"/>
      <c r="K23" s="449"/>
      <c r="L23" s="449" t="s">
        <v>268</v>
      </c>
      <c r="M23" s="449" t="str">
        <f>IF(L23="","",
IF(AX23="PT",VLOOKUP(L23,Foundation_Calc!$V$79:$X$113,VLOOKUP(AX23,Foundation_Calc!$I$10:$J$13,2,FALSE),0),
IF(AX23="K",VLOOKUP(L23,Foundation_Calc!$V$117:$X$151,VLOOKUP(AX23,Foundation_Calc!$I$10:$J$13,2,FALSE),0),"")))</f>
        <v>C7R</v>
      </c>
      <c r="N23" s="553" t="s">
        <v>124</v>
      </c>
      <c r="O23" s="449"/>
      <c r="P23" s="449"/>
      <c r="Q23" s="4"/>
      <c r="R23" s="6"/>
      <c r="S23" s="6"/>
      <c r="T23" s="4">
        <v>-35</v>
      </c>
      <c r="U23" s="4"/>
      <c r="V23" s="4"/>
      <c r="W23" s="9">
        <v>1.4</v>
      </c>
      <c r="X23" s="9"/>
      <c r="Y23" s="9"/>
      <c r="Z23" s="9"/>
      <c r="AA23" s="9"/>
      <c r="AB23" s="9"/>
      <c r="AC23" s="449" t="str">
        <f t="shared" si="6"/>
        <v>PHC</v>
      </c>
      <c r="AD23" s="449"/>
      <c r="AE23" s="449"/>
      <c r="AF23" s="4"/>
      <c r="AG23" s="83"/>
      <c r="AH23" s="4"/>
      <c r="AI23" s="4"/>
      <c r="AJ23" s="449"/>
      <c r="AK23" s="449"/>
      <c r="AL23" s="449" t="s">
        <v>269</v>
      </c>
      <c r="AM23" s="449" t="s">
        <v>126</v>
      </c>
      <c r="AN23" s="10">
        <v>5.5</v>
      </c>
      <c r="AO23" s="9"/>
      <c r="AP23" s="9"/>
      <c r="AQ23" s="9"/>
      <c r="AR23" s="9"/>
      <c r="AS23" s="9"/>
      <c r="AT23" s="9">
        <f>+ab($T$23,$T$21,$T$25,$G$22,$G$24, 1*$F$23,1200)</f>
        <v>-4.3843543633930917</v>
      </c>
      <c r="AU23" s="428"/>
      <c r="AV23" s="428"/>
      <c r="AW23" s="449" t="str">
        <f>IF(C23&gt;0,VLOOKUP(C23,Foundation_Calc!$A$2:$C$13,3,1),
IF(J23&gt;0,VLOOKUP(J23,Foundation_Calc!$A$2:$C$13,3,1),""))</f>
        <v>Multi Soil</v>
      </c>
      <c r="AX23" s="449" t="str">
        <f>IF(C23&gt;0,VLOOKUP(C23,Foundation_Calc!$E$2:$G$33,3,1),
IF(J23&gt;0,VLOOKUP(J23,Foundation_Calc!$E$2:$G$33,3,1),""))</f>
        <v>PT</v>
      </c>
      <c r="AY23" s="10">
        <f>IF(L23="","",
IF(AX23="PT",VLOOKUP(L23,Foundation_Calc!$K$79:$R$113,VLOOKUP(AW23,Foundation_Calc!$I$2:$J$8,2,FALSE),0),
IF(AX23="K",VLOOKUP(L23,Foundation_Calc!$K$117:$R$151,VLOOKUP(AW23,Foundation_Calc!$I$2:$J$8,2,FALSE),0),"")))</f>
        <v>4</v>
      </c>
      <c r="AZ23" s="10" t="str">
        <f>IF(K23="","",
IF(AX23="PT",VLOOKUP(K23,Foundation_Calc!$K$79:$R$113,VLOOKUP(AW23,Foundation_Calc!$I$2:$J$8,2,FALSE),0),
IF(AX23="K",VLOOKUP(K23,Foundation_Calc!$K$117:$R$151,VLOOKUP(AW23,Foundation_Calc!$I$2:$J$8,2,FALSE),0),"")))</f>
        <v/>
      </c>
      <c r="BA23" s="495" t="str">
        <f t="shared" si="3"/>
        <v>ü</v>
      </c>
      <c r="BB23" s="495" t="str">
        <f t="shared" si="3"/>
        <v/>
      </c>
      <c r="BC23" s="495" t="str">
        <f t="shared" si="4"/>
        <v/>
      </c>
      <c r="BD23" s="513" t="str">
        <f>Pole_Calc!A$251</f>
        <v>App.8-V08H-P10.3</v>
      </c>
      <c r="BE23" s="429" t="s">
        <v>118</v>
      </c>
      <c r="BF23" s="289"/>
      <c r="BG23" s="289"/>
      <c r="BH23" s="290"/>
      <c r="BI23" s="289"/>
    </row>
    <row r="24" spans="1:61" ht="16.149999999999999" customHeight="1">
      <c r="A24" s="514"/>
      <c r="B24" s="450"/>
      <c r="C24" s="3"/>
      <c r="D24" s="83"/>
      <c r="E24" s="4"/>
      <c r="F24" s="4"/>
      <c r="G24" s="6">
        <v>30</v>
      </c>
      <c r="H24" s="449"/>
      <c r="I24" s="449"/>
      <c r="J24" s="3"/>
      <c r="K24" s="449"/>
      <c r="L24" s="449"/>
      <c r="M24" s="449" t="str">
        <f>IF(L24="","",
IF(AX24="PT",VLOOKUP(L24,Foundation_Calc!$V$79:$X$113,VLOOKUP(AX24,Foundation_Calc!$I$10:$J$13,2,FALSE),0),
IF(AX24="K",VLOOKUP(L24,Foundation_Calc!$V$117:$X$151,VLOOKUP(AX24,Foundation_Calc!$I$10:$J$13,2,FALSE),0),"")))</f>
        <v/>
      </c>
      <c r="N24" s="553"/>
      <c r="O24" s="449"/>
      <c r="P24" s="449"/>
      <c r="Q24" s="4"/>
      <c r="R24" s="6"/>
      <c r="S24" s="6"/>
      <c r="T24" s="4"/>
      <c r="U24" s="4"/>
      <c r="V24" s="4"/>
      <c r="W24" s="9"/>
      <c r="X24" s="9"/>
      <c r="Y24" s="9"/>
      <c r="Z24" s="9"/>
      <c r="AA24" s="9"/>
      <c r="AB24" s="9"/>
      <c r="AC24" s="449" t="str">
        <f t="shared" si="6"/>
        <v/>
      </c>
      <c r="AD24" s="449"/>
      <c r="AE24" s="449"/>
      <c r="AF24" s="4"/>
      <c r="AG24" s="83"/>
      <c r="AH24" s="4"/>
      <c r="AI24" s="4"/>
      <c r="AJ24" s="449"/>
      <c r="AK24" s="449"/>
      <c r="AL24" s="449"/>
      <c r="AM24" s="449"/>
      <c r="AN24" s="10"/>
      <c r="AO24" s="9"/>
      <c r="AP24" s="9"/>
      <c r="AQ24" s="9">
        <f>+FL_2($T$25,$T$23,$G$24,1200,9.28, 1*$F$25)</f>
        <v>-0.35000000000002224</v>
      </c>
      <c r="AR24" s="9"/>
      <c r="AS24" s="9"/>
      <c r="AT24" s="9"/>
      <c r="AU24" s="428"/>
      <c r="AV24" s="428"/>
      <c r="AW24" s="449" t="str">
        <f>IF(C24&gt;0,VLOOKUP(C24,Foundation_Calc!$A$2:$C$13,3,1),
IF(J24&gt;0,VLOOKUP(J24,Foundation_Calc!$A$2:$C$13,3,1),""))</f>
        <v/>
      </c>
      <c r="AX24" s="449" t="str">
        <f>IF(C24&gt;0,VLOOKUP(C24,Foundation_Calc!$E$2:$G$33,3,1),
IF(J24&gt;0,VLOOKUP(J24,Foundation_Calc!$E$2:$G$33,3,1),""))</f>
        <v/>
      </c>
      <c r="AY24" s="10" t="str">
        <f>IF(L24="","",
IF(AX24="PT",VLOOKUP(L24,Foundation_Calc!$K$79:$R$113,VLOOKUP(AW24,Foundation_Calc!$I$2:$J$8,2,FALSE),0),
IF(AX24="K",VLOOKUP(L24,Foundation_Calc!$K$117:$R$151,VLOOKUP(AW24,Foundation_Calc!$I$2:$J$8,2,FALSE),0),"")))</f>
        <v/>
      </c>
      <c r="AZ24" s="10" t="str">
        <f>IF(K24="","",
IF(AX24="PT",VLOOKUP(K24,Foundation_Calc!$K$79:$R$113,VLOOKUP(AW24,Foundation_Calc!$I$2:$J$8,2,FALSE),0),
IF(AX24="K",VLOOKUP(K24,Foundation_Calc!$K$117:$R$151,VLOOKUP(AW24,Foundation_Calc!$I$2:$J$8,2,FALSE),0),"")))</f>
        <v/>
      </c>
      <c r="BA24" s="495" t="str">
        <f t="shared" si="3"/>
        <v/>
      </c>
      <c r="BB24" s="495" t="str">
        <f t="shared" si="3"/>
        <v/>
      </c>
      <c r="BC24" s="495" t="str">
        <f t="shared" si="4"/>
        <v/>
      </c>
      <c r="BD24" s="513" t="str">
        <f>IF(AND(L24="",H24=""),"",
IF(H24="",Pole_Calc!A$9,
IF(H24="MP",Pole_Calc!A$10,
IF(H24="AnMP",Pole_Calc!A$11,
IF(H24="A",Pole_Calc!A$12,
IF(H24="S/A",Pole_Calc!A$13,
IF(H24="A/S",Pole_Calc!A$14,"Poner a mano")))))))</f>
        <v/>
      </c>
      <c r="BE24" s="429" t="s">
        <v>118</v>
      </c>
      <c r="BF24" s="290"/>
      <c r="BG24" s="290"/>
      <c r="BH24" s="290"/>
      <c r="BI24" s="290"/>
    </row>
    <row r="25" spans="1:61" ht="16.149999999999999" customHeight="1">
      <c r="A25" s="514" t="s">
        <v>438</v>
      </c>
      <c r="B25" s="450" t="s">
        <v>1775</v>
      </c>
      <c r="C25" s="3">
        <f>+$C$23+$G$24</f>
        <v>58357.02</v>
      </c>
      <c r="D25" s="83"/>
      <c r="E25" s="4"/>
      <c r="F25" s="4">
        <v>0</v>
      </c>
      <c r="G25" s="6"/>
      <c r="H25" s="449"/>
      <c r="I25" s="449"/>
      <c r="J25" s="3"/>
      <c r="K25" s="449"/>
      <c r="L25" s="449" t="s">
        <v>268</v>
      </c>
      <c r="M25" s="449" t="str">
        <f>IF(L25="","",
IF(AX25="PT",VLOOKUP(L25,Foundation_Calc!$V$79:$X$113,VLOOKUP(AX25,Foundation_Calc!$I$10:$J$13,2,FALSE),0),
IF(AX25="K",VLOOKUP(L25,Foundation_Calc!$V$117:$X$151,VLOOKUP(AX25,Foundation_Calc!$I$10:$J$13,2,FALSE),0),"")))</f>
        <v>C7R</v>
      </c>
      <c r="N25" s="553" t="s">
        <v>134</v>
      </c>
      <c r="O25" s="449"/>
      <c r="P25" s="449"/>
      <c r="Q25" s="4"/>
      <c r="R25" s="6"/>
      <c r="S25" s="6"/>
      <c r="T25" s="4">
        <v>35</v>
      </c>
      <c r="U25" s="4"/>
      <c r="V25" s="4"/>
      <c r="W25" s="9">
        <v>1.4</v>
      </c>
      <c r="X25" s="9"/>
      <c r="Y25" s="9"/>
      <c r="Z25" s="9"/>
      <c r="AA25" s="9"/>
      <c r="AB25" s="9"/>
      <c r="AC25" s="449" t="str">
        <f t="shared" si="6"/>
        <v>PHC</v>
      </c>
      <c r="AD25" s="449"/>
      <c r="AE25" s="449"/>
      <c r="AF25" s="4"/>
      <c r="AG25" s="83"/>
      <c r="AH25" s="4"/>
      <c r="AI25" s="4"/>
      <c r="AJ25" s="449"/>
      <c r="AK25" s="449"/>
      <c r="AL25" s="449" t="s">
        <v>269</v>
      </c>
      <c r="AM25" s="449" t="s">
        <v>126</v>
      </c>
      <c r="AN25" s="10">
        <v>5.5</v>
      </c>
      <c r="AO25" s="9"/>
      <c r="AP25" s="9"/>
      <c r="AQ25" s="9"/>
      <c r="AR25" s="9"/>
      <c r="AS25" s="9"/>
      <c r="AT25" s="9">
        <f>+ab($T$25,$T$23,$T$27,$G$24,$G$26, 1*$F$25,1200)</f>
        <v>4.1049450449877387</v>
      </c>
      <c r="AU25" s="428"/>
      <c r="AV25" s="428"/>
      <c r="AW25" s="449" t="str">
        <f>IF(C25&gt;0,VLOOKUP(C25,Foundation_Calc!$A$2:$C$13,3,1),
IF(J25&gt;0,VLOOKUP(J25,Foundation_Calc!$A$2:$C$13,3,1),""))</f>
        <v>Multi Soil</v>
      </c>
      <c r="AX25" s="449" t="str">
        <f>IF(C25&gt;0,VLOOKUP(C25,Foundation_Calc!$E$2:$G$33,3,1),
IF(J25&gt;0,VLOOKUP(J25,Foundation_Calc!$E$2:$G$33,3,1),""))</f>
        <v>PT</v>
      </c>
      <c r="AY25" s="10">
        <f>IF(L25="","",
IF(AX25="PT",VLOOKUP(L25,Foundation_Calc!$K$79:$R$113,VLOOKUP(AW25,Foundation_Calc!$I$2:$J$8,2,FALSE),0),
IF(AX25="K",VLOOKUP(L25,Foundation_Calc!$K$117:$R$151,VLOOKUP(AW25,Foundation_Calc!$I$2:$J$8,2,FALSE),0),"")))</f>
        <v>4</v>
      </c>
      <c r="AZ25" s="10" t="str">
        <f>IF(K25="","",
IF(AX25="PT",VLOOKUP(K25,Foundation_Calc!$K$79:$R$113,VLOOKUP(AW25,Foundation_Calc!$I$2:$J$8,2,FALSE),0),
IF(AX25="K",VLOOKUP(K25,Foundation_Calc!$K$117:$R$151,VLOOKUP(AW25,Foundation_Calc!$I$2:$J$8,2,FALSE),0),"")))</f>
        <v/>
      </c>
      <c r="BA25" s="495"/>
      <c r="BB25" s="495"/>
      <c r="BC25" s="495"/>
      <c r="BD25" s="513" t="str">
        <f>Pole_Calc!A$251</f>
        <v>App.8-V08H-P10.3</v>
      </c>
      <c r="BE25" s="429" t="s">
        <v>118</v>
      </c>
      <c r="BF25" s="289"/>
      <c r="BG25" s="289"/>
      <c r="BH25" s="290"/>
      <c r="BI25" s="289"/>
    </row>
    <row r="26" spans="1:61" ht="16.149999999999999" customHeight="1">
      <c r="A26" s="517" t="s">
        <v>442</v>
      </c>
      <c r="B26" s="450"/>
      <c r="C26" s="3"/>
      <c r="D26" s="83"/>
      <c r="E26" s="4"/>
      <c r="F26" s="4"/>
      <c r="G26" s="6">
        <v>30</v>
      </c>
      <c r="H26" s="449"/>
      <c r="I26" s="9"/>
      <c r="J26" s="3">
        <f>C27-7.5</f>
        <v>58379.519999999997</v>
      </c>
      <c r="K26" s="449" t="s">
        <v>166</v>
      </c>
      <c r="L26" s="449"/>
      <c r="M26" s="449" t="str">
        <f>IF(L26="","",
IF(AX26="PT",VLOOKUP(L26,Foundation_Calc!$V$79:$X$113,VLOOKUP(AX26,Foundation_Calc!$I$10:$J$13,2,FALSE),0),
IF(AX26="K",VLOOKUP(L26,Foundation_Calc!$V$117:$X$151,VLOOKUP(AX26,Foundation_Calc!$I$10:$J$13,2,FALSE),0),"")))</f>
        <v/>
      </c>
      <c r="N26" s="553"/>
      <c r="O26" s="449"/>
      <c r="P26" s="449"/>
      <c r="Q26" s="4"/>
      <c r="R26" s="6"/>
      <c r="S26" s="6"/>
      <c r="T26" s="4"/>
      <c r="U26" s="4"/>
      <c r="V26" s="4"/>
      <c r="W26" s="9"/>
      <c r="X26" s="9"/>
      <c r="Y26" s="9"/>
      <c r="Z26" s="9"/>
      <c r="AA26" s="9"/>
      <c r="AB26" s="9"/>
      <c r="AC26" s="449" t="str">
        <f t="shared" si="6"/>
        <v/>
      </c>
      <c r="AD26" s="449"/>
      <c r="AE26" s="449"/>
      <c r="AF26" s="4"/>
      <c r="AG26" s="83"/>
      <c r="AH26" s="4"/>
      <c r="AI26" s="4"/>
      <c r="AJ26" s="449"/>
      <c r="AK26" s="449"/>
      <c r="AL26" s="449"/>
      <c r="AM26" s="449"/>
      <c r="AN26" s="10"/>
      <c r="AO26" s="9"/>
      <c r="AP26" s="9"/>
      <c r="AQ26" s="9">
        <f>+FL_1($T$27,$T$25,$G$26,1200,9.28, 1*$F$27)</f>
        <v>0.35000000000002224</v>
      </c>
      <c r="AR26" s="9"/>
      <c r="AS26" s="9"/>
      <c r="AT26" s="9"/>
      <c r="AU26" s="428"/>
      <c r="AV26" s="428"/>
      <c r="AW26" s="449" t="str">
        <f>IF(C26&gt;0,VLOOKUP(C26,Foundation_Calc!$A$2:$C$13,3,1),
IF(J26&gt;0,VLOOKUP(J26,Foundation_Calc!$A$2:$C$13,3,1),""))</f>
        <v>Multi Soil</v>
      </c>
      <c r="AX26" s="449" t="str">
        <f>IF(C26&gt;0,VLOOKUP(C26,Foundation_Calc!$E$2:$G$33,3,1),
IF(J26&gt;0,VLOOKUP(J26,Foundation_Calc!$E$2:$G$33,3,1),""))</f>
        <v>PT</v>
      </c>
      <c r="AY26" s="10" t="str">
        <f>IF(L26="","",
IF(AX26="PT",VLOOKUP(L26,Foundation_Calc!$K$79:$R$113,VLOOKUP(AW26,Foundation_Calc!$I$2:$J$8,2,FALSE),0),
IF(AX26="K",VLOOKUP(L26,Foundation_Calc!$K$117:$R$151,VLOOKUP(AW26,Foundation_Calc!$I$2:$J$8,2,FALSE),0),"")))</f>
        <v/>
      </c>
      <c r="AZ26" s="10">
        <f>IF(K26="","",
IF(AX26="PT",VLOOKUP(K26,Foundation_Calc!$K$79:$R$113,VLOOKUP(AW26,Foundation_Calc!$I$2:$J$8,2,FALSE),0),
IF(AX26="K",VLOOKUP(K26,Foundation_Calc!$K$117:$R$151,VLOOKUP(AW26,Foundation_Calc!$I$2:$J$8,2,FALSE),0),"")))</f>
        <v>2.8</v>
      </c>
      <c r="BA26" s="495"/>
      <c r="BB26" s="495"/>
      <c r="BC26" s="495"/>
      <c r="BD26" s="513" t="str">
        <f>IF(AND(L26="",H26=""),"",
IF(H26="",Pole_Calc!A$9,
IF(H26="MP",Pole_Calc!A$10,
IF(H26="AnMP",Pole_Calc!A$11,
IF(H26="A",Pole_Calc!A$12,
IF(H26="S/A",Pole_Calc!A$13,
IF(H26="A/S",Pole_Calc!A$14,"Poner a mano")))))))</f>
        <v/>
      </c>
      <c r="BE26" s="429" t="s">
        <v>118</v>
      </c>
      <c r="BF26" s="290"/>
      <c r="BG26" s="290"/>
      <c r="BH26" s="290"/>
      <c r="BI26" s="290"/>
    </row>
    <row r="27" spans="1:61" ht="16.149999999999999" customHeight="1">
      <c r="A27" s="517" t="s">
        <v>442</v>
      </c>
      <c r="B27" s="450" t="s">
        <v>1776</v>
      </c>
      <c r="C27" s="3">
        <f>+$C$25+$G$26</f>
        <v>58387.02</v>
      </c>
      <c r="D27" s="83"/>
      <c r="E27" s="4"/>
      <c r="F27" s="4">
        <v>0</v>
      </c>
      <c r="G27" s="6"/>
      <c r="H27" s="449" t="s">
        <v>168</v>
      </c>
      <c r="I27" s="449"/>
      <c r="J27" s="3"/>
      <c r="K27" s="449"/>
      <c r="L27" s="449" t="s">
        <v>268</v>
      </c>
      <c r="M27" s="449" t="str">
        <f>IF(L27="","",
IF(AX27="PT",VLOOKUP(L27,Foundation_Calc!$V$79:$X$113,VLOOKUP(AX27,Foundation_Calc!$I$10:$J$13,2,FALSE),0),
IF(AX27="K",VLOOKUP(L27,Foundation_Calc!$V$117:$X$151,VLOOKUP(AX27,Foundation_Calc!$I$10:$J$13,2,FALSE),0),"")))</f>
        <v>C7R</v>
      </c>
      <c r="N27" s="553" t="s">
        <v>124</v>
      </c>
      <c r="O27" s="449"/>
      <c r="P27" s="449"/>
      <c r="Q27" s="4"/>
      <c r="R27" s="6"/>
      <c r="S27" s="6"/>
      <c r="T27" s="4">
        <v>-35</v>
      </c>
      <c r="U27" s="4"/>
      <c r="V27" s="4"/>
      <c r="W27" s="9">
        <v>1.4</v>
      </c>
      <c r="X27" s="9"/>
      <c r="Y27" s="9"/>
      <c r="Z27" s="9"/>
      <c r="AA27" s="9"/>
      <c r="AB27" s="9"/>
      <c r="AC27" s="449" t="str">
        <f t="shared" si="6"/>
        <v>PHC</v>
      </c>
      <c r="AD27" s="449"/>
      <c r="AE27" s="449"/>
      <c r="AF27" s="4"/>
      <c r="AG27" s="83"/>
      <c r="AH27" s="4"/>
      <c r="AI27" s="4"/>
      <c r="AJ27" s="449"/>
      <c r="AK27" s="449"/>
      <c r="AL27" s="449" t="s">
        <v>269</v>
      </c>
      <c r="AM27" s="449" t="s">
        <v>126</v>
      </c>
      <c r="AN27" s="10">
        <v>5.5</v>
      </c>
      <c r="AO27" s="9"/>
      <c r="AP27" s="9"/>
      <c r="AQ27" s="9"/>
      <c r="AR27" s="9"/>
      <c r="AS27" s="9"/>
      <c r="AT27" s="9">
        <f>+ab($T$27,$T$25,$T$29,$G$26,$G$28, 1*$F$27,1200)</f>
        <v>-4.688920373877222</v>
      </c>
      <c r="AU27" s="428"/>
      <c r="AV27" s="428"/>
      <c r="AW27" s="449" t="str">
        <f>IF(C27&gt;0,VLOOKUP(C27,Foundation_Calc!$A$2:$C$13,3,1),
IF(J27&gt;0,VLOOKUP(J27,Foundation_Calc!$A$2:$C$13,3,1),""))</f>
        <v>Multi Soil</v>
      </c>
      <c r="AX27" s="449" t="str">
        <f>IF(C27&gt;0,VLOOKUP(C27,Foundation_Calc!$E$2:$G$33,3,1),
IF(J27&gt;0,VLOOKUP(J27,Foundation_Calc!$E$2:$G$33,3,1),""))</f>
        <v>PT</v>
      </c>
      <c r="AY27" s="10">
        <f>IF(L27="","",
IF(AX27="PT",VLOOKUP(L27,Foundation_Calc!$K$79:$R$113,VLOOKUP(AW27,Foundation_Calc!$I$2:$J$8,2,FALSE),0),
IF(AX27="K",VLOOKUP(L27,Foundation_Calc!$K$117:$R$151,VLOOKUP(AW27,Foundation_Calc!$I$2:$J$8,2,FALSE),0),"")))</f>
        <v>4</v>
      </c>
      <c r="AZ27" s="10" t="str">
        <f>IF(K27="","",
IF(AX27="PT",VLOOKUP(K27,Foundation_Calc!$K$79:$R$113,VLOOKUP(AW27,Foundation_Calc!$I$2:$J$8,2,FALSE),0),
IF(AX27="K",VLOOKUP(K27,Foundation_Calc!$K$117:$R$151,VLOOKUP(AW27,Foundation_Calc!$I$2:$J$8,2,FALSE),0),"")))</f>
        <v/>
      </c>
      <c r="BA27" s="495"/>
      <c r="BB27" s="495"/>
      <c r="BC27" s="495"/>
      <c r="BD27" s="513" t="str">
        <f>Pole_Calc!A$251</f>
        <v>App.8-V08H-P10.3</v>
      </c>
      <c r="BE27" s="429" t="s">
        <v>118</v>
      </c>
      <c r="BF27" s="289"/>
      <c r="BG27" s="289"/>
      <c r="BH27" s="290"/>
      <c r="BI27" s="289"/>
    </row>
    <row r="28" spans="1:61" ht="16.149999999999999" customHeight="1">
      <c r="A28" s="514" t="s">
        <v>169</v>
      </c>
      <c r="B28" s="450"/>
      <c r="C28" s="3"/>
      <c r="D28" s="83"/>
      <c r="E28" s="4"/>
      <c r="F28" s="4"/>
      <c r="G28" s="6">
        <v>40</v>
      </c>
      <c r="H28" s="449"/>
      <c r="I28" s="4">
        <f>SUM(G6:G28)</f>
        <v>459.69999999999993</v>
      </c>
      <c r="J28" s="3">
        <f>C29-7.5</f>
        <v>58419.519999999997</v>
      </c>
      <c r="K28" s="449" t="s">
        <v>166</v>
      </c>
      <c r="L28" s="449"/>
      <c r="M28" s="449" t="str">
        <f>IF(L28="","",
IF(AX28="PT",VLOOKUP(L28,Foundation_Calc!$V$79:$X$113,VLOOKUP(AX28,Foundation_Calc!$I$10:$J$13,2,FALSE),0),
IF(AX28="K",VLOOKUP(L28,Foundation_Calc!$V$117:$X$151,VLOOKUP(AX28,Foundation_Calc!$I$10:$J$13,2,FALSE),0),"")))</f>
        <v/>
      </c>
      <c r="N28" s="553"/>
      <c r="O28" s="449"/>
      <c r="P28" s="449"/>
      <c r="Q28" s="4"/>
      <c r="R28" s="6"/>
      <c r="S28" s="6"/>
      <c r="T28" s="4"/>
      <c r="U28" s="4"/>
      <c r="V28" s="4"/>
      <c r="W28" s="9"/>
      <c r="X28" s="9"/>
      <c r="Y28" s="9"/>
      <c r="Z28" s="9"/>
      <c r="AA28" s="9"/>
      <c r="AB28" s="9"/>
      <c r="AC28" s="449" t="str">
        <f t="shared" si="6"/>
        <v/>
      </c>
      <c r="AD28" s="449"/>
      <c r="AE28" s="449"/>
      <c r="AF28" s="4"/>
      <c r="AG28" s="83"/>
      <c r="AH28" s="4"/>
      <c r="AI28" s="4"/>
      <c r="AJ28" s="449"/>
      <c r="AK28" s="449"/>
      <c r="AL28" s="449"/>
      <c r="AM28" s="449"/>
      <c r="AN28" s="10"/>
      <c r="AO28" s="9"/>
      <c r="AP28" s="9"/>
      <c r="AQ28" s="9">
        <f>+FL_2($T$29,$T$27,$G$28,1200,9.28, 1*$F$29)</f>
        <v>-0.35000000000000125</v>
      </c>
      <c r="AR28" s="9"/>
      <c r="AS28" s="9"/>
      <c r="AT28" s="9"/>
      <c r="AU28" s="428"/>
      <c r="AV28" s="428"/>
      <c r="AW28" s="449" t="str">
        <f>IF(C28&gt;0,VLOOKUP(C28,Foundation_Calc!$A$2:$C$13,3,1),
IF(J28&gt;0,VLOOKUP(J28,Foundation_Calc!$A$2:$C$13,3,1),""))</f>
        <v>Multi Soil</v>
      </c>
      <c r="AX28" s="449" t="str">
        <f>IF(C28&gt;0,VLOOKUP(C28,Foundation_Calc!$E$2:$G$33,3,1),
IF(J28&gt;0,VLOOKUP(J28,Foundation_Calc!$E$2:$G$33,3,1),""))</f>
        <v>PT</v>
      </c>
      <c r="AY28" s="10" t="str">
        <f>IF(L28="","",
IF(AX28="PT",VLOOKUP(L28,Foundation_Calc!$K$79:$R$113,VLOOKUP(AW28,Foundation_Calc!$I$2:$J$8,2,FALSE),0),
IF(AX28="K",VLOOKUP(L28,Foundation_Calc!$K$117:$R$151,VLOOKUP(AW28,Foundation_Calc!$I$2:$J$8,2,FALSE),0),"")))</f>
        <v/>
      </c>
      <c r="AZ28" s="10">
        <f>IF(K28="","",
IF(AX28="PT",VLOOKUP(K28,Foundation_Calc!$K$79:$R$113,VLOOKUP(AW28,Foundation_Calc!$I$2:$J$8,2,FALSE),0),
IF(AX28="K",VLOOKUP(K28,Foundation_Calc!$K$117:$R$151,VLOOKUP(AW28,Foundation_Calc!$I$2:$J$8,2,FALSE),0),"")))</f>
        <v>2.8</v>
      </c>
      <c r="BA28" s="495"/>
      <c r="BB28" s="495"/>
      <c r="BC28" s="495"/>
      <c r="BD28" s="513" t="str">
        <f>IF(AND(L28="",H28=""),"",
IF(H28="",Pole_Calc!A$9,
IF(H28="MP",Pole_Calc!A$10,
IF(H28="AnMP",Pole_Calc!A$11,
IF(H28="A",Pole_Calc!A$12,
IF(H28="S/A",Pole_Calc!A$13,
IF(H28="A/S",Pole_Calc!A$14,"Poner a mano")))))))</f>
        <v/>
      </c>
      <c r="BE28" s="429" t="s">
        <v>118</v>
      </c>
      <c r="BF28" s="290"/>
      <c r="BG28" s="290"/>
      <c r="BH28" s="290"/>
      <c r="BI28" s="290"/>
    </row>
    <row r="29" spans="1:61" ht="16.149999999999999" customHeight="1">
      <c r="A29" s="517" t="s">
        <v>442</v>
      </c>
      <c r="B29" s="450" t="s">
        <v>1777</v>
      </c>
      <c r="C29" s="3">
        <f>+$C$27+$G$28</f>
        <v>58427.02</v>
      </c>
      <c r="D29" s="83"/>
      <c r="E29" s="4"/>
      <c r="F29" s="4">
        <v>0</v>
      </c>
      <c r="G29" s="6"/>
      <c r="H29" s="449" t="s">
        <v>171</v>
      </c>
      <c r="I29" s="4"/>
      <c r="J29" s="3"/>
      <c r="K29" s="449"/>
      <c r="L29" s="449" t="s">
        <v>268</v>
      </c>
      <c r="M29" s="449" t="str">
        <f>IF(L29="","",
IF(AX29="PT",VLOOKUP(L29,Foundation_Calc!$V$79:$X$113,VLOOKUP(AX29,Foundation_Calc!$I$10:$J$13,2,FALSE),0),
IF(AX29="K",VLOOKUP(L29,Foundation_Calc!$V$117:$X$151,VLOOKUP(AX29,Foundation_Calc!$I$10:$J$13,2,FALSE),0),"")))</f>
        <v>C7R</v>
      </c>
      <c r="N29" s="553" t="s">
        <v>134</v>
      </c>
      <c r="O29" s="449"/>
      <c r="P29" s="449"/>
      <c r="Q29" s="4"/>
      <c r="R29" s="6"/>
      <c r="S29" s="6"/>
      <c r="T29" s="4">
        <v>35</v>
      </c>
      <c r="U29" s="4"/>
      <c r="V29" s="4"/>
      <c r="W29" s="9">
        <v>1.4</v>
      </c>
      <c r="X29" s="9"/>
      <c r="Y29" s="9"/>
      <c r="Z29" s="9"/>
      <c r="AA29" s="9"/>
      <c r="AB29" s="9"/>
      <c r="AC29" s="449" t="str">
        <f t="shared" si="6"/>
        <v>PHQ</v>
      </c>
      <c r="AD29" s="449"/>
      <c r="AE29" s="449"/>
      <c r="AF29" s="4"/>
      <c r="AG29" s="83"/>
      <c r="AH29" s="4"/>
      <c r="AI29" s="4"/>
      <c r="AJ29" s="449"/>
      <c r="AK29" s="449"/>
      <c r="AL29" s="449" t="s">
        <v>269</v>
      </c>
      <c r="AM29" s="449" t="s">
        <v>126</v>
      </c>
      <c r="AN29" s="10">
        <v>5.5</v>
      </c>
      <c r="AO29" s="9"/>
      <c r="AP29" s="9"/>
      <c r="AQ29" s="9"/>
      <c r="AR29" s="9"/>
      <c r="AS29" s="9"/>
      <c r="AT29" s="9">
        <f>+ab($T$29,$T$27,$T$31,$G$28,$G$30, 1*$F$29,1200)</f>
        <v>5.9027993675350734</v>
      </c>
      <c r="AU29" s="428"/>
      <c r="AV29" s="428"/>
      <c r="AW29" s="449" t="str">
        <f>IF(C29&gt;0,VLOOKUP(C29,Foundation_Calc!$A$2:$C$13,3,1),
IF(J29&gt;0,VLOOKUP(J29,Foundation_Calc!$A$2:$C$13,3,1),""))</f>
        <v>Multi Soil</v>
      </c>
      <c r="AX29" s="449" t="str">
        <f>IF(C29&gt;0,VLOOKUP(C29,Foundation_Calc!$E$2:$G$33,3,1),
IF(J29&gt;0,VLOOKUP(J29,Foundation_Calc!$E$2:$G$33,3,1),""))</f>
        <v>PT</v>
      </c>
      <c r="AY29" s="10">
        <f>IF(L29="","",
IF(AX29="PT",VLOOKUP(L29,Foundation_Calc!$K$79:$R$113,VLOOKUP(AW29,Foundation_Calc!$I$2:$J$8,2,FALSE),0),
IF(AX29="K",VLOOKUP(L29,Foundation_Calc!$K$117:$R$151,VLOOKUP(AW29,Foundation_Calc!$I$2:$J$8,2,FALSE),0),"")))</f>
        <v>4</v>
      </c>
      <c r="AZ29" s="10" t="str">
        <f>IF(K29="","",
IF(AX29="PT",VLOOKUP(K29,Foundation_Calc!$K$79:$R$113,VLOOKUP(AW29,Foundation_Calc!$I$2:$J$8,2,FALSE),0),
IF(AX29="K",VLOOKUP(K29,Foundation_Calc!$K$117:$R$151,VLOOKUP(AW29,Foundation_Calc!$I$2:$J$8,2,FALSE),0),"")))</f>
        <v/>
      </c>
      <c r="BA29" s="495"/>
      <c r="BB29" s="495"/>
      <c r="BC29" s="495"/>
      <c r="BD29" s="513" t="str">
        <f>Pole_Calc!A$251</f>
        <v>App.8-V08H-P10.3</v>
      </c>
      <c r="BE29" s="429" t="s">
        <v>118</v>
      </c>
      <c r="BF29" s="289"/>
      <c r="BG29" s="289"/>
      <c r="BH29" s="290"/>
      <c r="BI29" s="289"/>
    </row>
    <row r="30" spans="1:61" ht="16.149999999999999" customHeight="1">
      <c r="A30" s="517" t="s">
        <v>442</v>
      </c>
      <c r="B30" s="450"/>
      <c r="C30" s="3"/>
      <c r="D30" s="83"/>
      <c r="E30" s="4"/>
      <c r="F30" s="4"/>
      <c r="G30" s="6">
        <v>47</v>
      </c>
      <c r="H30" s="449"/>
      <c r="I30" s="4">
        <f>SUM(G30:G54)</f>
        <v>535.70000000000005</v>
      </c>
      <c r="J30" s="3"/>
      <c r="K30" s="449"/>
      <c r="L30" s="449"/>
      <c r="M30" s="449" t="str">
        <f>IF(L30="","",
IF(AX30="PT",VLOOKUP(L30,Foundation_Calc!$V$79:$X$113,VLOOKUP(AX30,Foundation_Calc!$I$10:$J$13,2,FALSE),0),
IF(AX30="K",VLOOKUP(L30,Foundation_Calc!$V$117:$X$151,VLOOKUP(AX30,Foundation_Calc!$I$10:$J$13,2,FALSE),0),"")))</f>
        <v/>
      </c>
      <c r="N30" s="553"/>
      <c r="O30" s="449"/>
      <c r="P30" s="449"/>
      <c r="Q30" s="4"/>
      <c r="R30" s="6"/>
      <c r="S30" s="6"/>
      <c r="T30" s="4"/>
      <c r="U30" s="4"/>
      <c r="V30" s="4"/>
      <c r="W30" s="9"/>
      <c r="X30" s="9"/>
      <c r="Y30" s="9"/>
      <c r="Z30" s="9"/>
      <c r="AA30" s="9"/>
      <c r="AB30" s="9"/>
      <c r="AC30" s="449" t="str">
        <f t="shared" si="6"/>
        <v/>
      </c>
      <c r="AD30" s="449"/>
      <c r="AE30" s="449"/>
      <c r="AF30" s="4"/>
      <c r="AG30" s="83"/>
      <c r="AH30" s="4"/>
      <c r="AI30" s="4"/>
      <c r="AJ30" s="449"/>
      <c r="AK30" s="449"/>
      <c r="AL30" s="449"/>
      <c r="AM30" s="449"/>
      <c r="AN30" s="10"/>
      <c r="AO30" s="9"/>
      <c r="AP30" s="9"/>
      <c r="AQ30" s="9">
        <f>+FL_1($T$31,$T$29,$G$30,1200,9.28, 1*$F$31)</f>
        <v>0.35695465849645375</v>
      </c>
      <c r="AR30" s="9"/>
      <c r="AS30" s="9"/>
      <c r="AT30" s="9"/>
      <c r="AU30" s="428"/>
      <c r="AV30" s="428"/>
      <c r="AW30" s="449" t="str">
        <f>IF(C30&gt;0,VLOOKUP(C30,Foundation_Calc!$A$2:$C$13,3,1),
IF(J30&gt;0,VLOOKUP(J30,Foundation_Calc!$A$2:$C$13,3,1),""))</f>
        <v/>
      </c>
      <c r="AX30" s="449" t="str">
        <f>IF(C30&gt;0,VLOOKUP(C30,Foundation_Calc!$E$2:$G$33,3,1),
IF(J30&gt;0,VLOOKUP(J30,Foundation_Calc!$E$2:$G$33,3,1),""))</f>
        <v/>
      </c>
      <c r="AY30" s="10" t="str">
        <f>IF(L30="","",
IF(AX30="PT",VLOOKUP(L30,Foundation_Calc!$K$79:$R$113,VLOOKUP(AW30,Foundation_Calc!$I$2:$J$8,2,FALSE),0),
IF(AX30="K",VLOOKUP(L30,Foundation_Calc!$K$117:$R$151,VLOOKUP(AW30,Foundation_Calc!$I$2:$J$8,2,FALSE),0),"")))</f>
        <v/>
      </c>
      <c r="AZ30" s="10" t="str">
        <f>IF(K30="","",
IF(AX30="PT",VLOOKUP(K30,Foundation_Calc!$K$79:$R$113,VLOOKUP(AW30,Foundation_Calc!$I$2:$J$8,2,FALSE),0),
IF(AX30="K",VLOOKUP(K30,Foundation_Calc!$K$117:$R$151,VLOOKUP(AW30,Foundation_Calc!$I$2:$J$8,2,FALSE),0),"")))</f>
        <v/>
      </c>
      <c r="BA30" s="495"/>
      <c r="BB30" s="495"/>
      <c r="BC30" s="495"/>
      <c r="BD30" s="513" t="str">
        <f>IF(AND(L30="",H30=""),"",
IF(H30="",Pole_Calc!A$9,
IF(H30="MP",Pole_Calc!A$10,
IF(H30="AnMP",Pole_Calc!A$11,
IF(H30="A",Pole_Calc!A$12,
IF(H30="S/A",Pole_Calc!A$13,
IF(H30="A/S",Pole_Calc!A$14,"Poner a mano")))))))</f>
        <v/>
      </c>
      <c r="BE30" s="429" t="s">
        <v>118</v>
      </c>
      <c r="BF30" s="290"/>
      <c r="BG30" s="290"/>
      <c r="BH30" s="290"/>
      <c r="BI30" s="290"/>
    </row>
    <row r="31" spans="1:61" ht="16.149999999999999" customHeight="1">
      <c r="A31" s="517" t="s">
        <v>442</v>
      </c>
      <c r="B31" s="450" t="s">
        <v>1778</v>
      </c>
      <c r="C31" s="3">
        <f>+$C$29+$G$30</f>
        <v>58474.02</v>
      </c>
      <c r="D31" s="83"/>
      <c r="E31" s="4"/>
      <c r="F31" s="4">
        <v>0</v>
      </c>
      <c r="G31" s="6"/>
      <c r="H31" s="449" t="s">
        <v>168</v>
      </c>
      <c r="I31" s="4"/>
      <c r="J31" s="3">
        <f>C31+7.5</f>
        <v>58481.52</v>
      </c>
      <c r="K31" s="449" t="s">
        <v>166</v>
      </c>
      <c r="L31" s="449" t="s">
        <v>268</v>
      </c>
      <c r="M31" s="449" t="str">
        <f>IF(L31="","",
IF(AX31="PT",VLOOKUP(L31,Foundation_Calc!$V$79:$X$113,VLOOKUP(AX31,Foundation_Calc!$I$10:$J$13,2,FALSE),0),
IF(AX31="K",VLOOKUP(L31,Foundation_Calc!$V$117:$X$151,VLOOKUP(AX31,Foundation_Calc!$I$10:$J$13,2,FALSE),0),"")))</f>
        <v>C7R</v>
      </c>
      <c r="N31" s="553" t="s">
        <v>124</v>
      </c>
      <c r="O31" s="449"/>
      <c r="P31" s="449"/>
      <c r="Q31" s="4"/>
      <c r="R31" s="6"/>
      <c r="S31" s="6"/>
      <c r="T31" s="4">
        <v>-35</v>
      </c>
      <c r="U31" s="4"/>
      <c r="V31" s="4"/>
      <c r="W31" s="9">
        <v>1.4</v>
      </c>
      <c r="X31" s="9"/>
      <c r="Y31" s="9"/>
      <c r="Z31" s="9"/>
      <c r="AA31" s="9"/>
      <c r="AB31" s="9"/>
      <c r="AC31" s="449" t="str">
        <f t="shared" si="6"/>
        <v>PHQ</v>
      </c>
      <c r="AD31" s="449"/>
      <c r="AE31" s="449"/>
      <c r="AF31" s="4"/>
      <c r="AG31" s="83"/>
      <c r="AH31" s="4"/>
      <c r="AI31" s="4"/>
      <c r="AJ31" s="449"/>
      <c r="AK31" s="449"/>
      <c r="AL31" s="449" t="s">
        <v>269</v>
      </c>
      <c r="AM31" s="449" t="s">
        <v>126</v>
      </c>
      <c r="AN31" s="10">
        <v>5.5</v>
      </c>
      <c r="AO31" s="9"/>
      <c r="AP31" s="9"/>
      <c r="AQ31" s="9"/>
      <c r="AR31" s="9"/>
      <c r="AS31" s="9"/>
      <c r="AT31" s="9">
        <f>+ab($T$31,$T$29,$T$33,$G$30,$G$32, 1*$F$31,1200)</f>
        <v>-6.4151781535653143</v>
      </c>
      <c r="AU31" s="428"/>
      <c r="AV31" s="428"/>
      <c r="AW31" s="449" t="str">
        <f>IF(C31&gt;0,VLOOKUP(C31,Foundation_Calc!$A$2:$C$13,3,1),
IF(J31&gt;0,VLOOKUP(J31,Foundation_Calc!$A$2:$C$13,3,1),""))</f>
        <v>Multi Soil</v>
      </c>
      <c r="AX31" s="449" t="str">
        <f>IF(C31&gt;0,VLOOKUP(C31,Foundation_Calc!$E$2:$G$33,3,1),
IF(J31&gt;0,VLOOKUP(J31,Foundation_Calc!$E$2:$G$33,3,1),""))</f>
        <v>PT</v>
      </c>
      <c r="AY31" s="10">
        <f>IF(L31="","",
IF(AX31="PT",VLOOKUP(L31,Foundation_Calc!$K$79:$R$113,VLOOKUP(AW31,Foundation_Calc!$I$2:$J$8,2,FALSE),0),
IF(AX31="K",VLOOKUP(L31,Foundation_Calc!$K$117:$R$151,VLOOKUP(AW31,Foundation_Calc!$I$2:$J$8,2,FALSE),0),"")))</f>
        <v>4</v>
      </c>
      <c r="AZ31" s="10">
        <f>IF(K31="","",
IF(AX31="PT",VLOOKUP(K31,Foundation_Calc!$K$79:$R$113,VLOOKUP(AW31,Foundation_Calc!$I$2:$J$8,2,FALSE),0),
IF(AX31="K",VLOOKUP(K31,Foundation_Calc!$K$117:$R$151,VLOOKUP(AW31,Foundation_Calc!$I$2:$J$8,2,FALSE),0),"")))</f>
        <v>2.8</v>
      </c>
      <c r="BA31" s="495"/>
      <c r="BB31" s="495"/>
      <c r="BC31" s="495"/>
      <c r="BD31" s="513" t="str">
        <f>Pole_Calc!A$251</f>
        <v>App.8-V08H-P10.3</v>
      </c>
      <c r="BE31" s="429" t="s">
        <v>118</v>
      </c>
      <c r="BF31" s="289"/>
      <c r="BG31" s="289"/>
      <c r="BH31" s="290"/>
      <c r="BI31" s="289"/>
    </row>
    <row r="32" spans="1:61" ht="16.149999999999999" customHeight="1">
      <c r="A32" s="696" t="s">
        <v>853</v>
      </c>
      <c r="B32" s="697"/>
      <c r="C32" s="698"/>
      <c r="D32" s="699"/>
      <c r="E32" s="700"/>
      <c r="F32" s="700"/>
      <c r="G32" s="701">
        <v>47</v>
      </c>
      <c r="H32" s="702"/>
      <c r="I32" s="700">
        <f>SUM(G32:G54)</f>
        <v>488.70000000000005</v>
      </c>
      <c r="J32" s="698"/>
      <c r="K32" s="703"/>
      <c r="L32" s="702"/>
      <c r="M32" s="702" t="str">
        <f>IF(L32="","",
IF(AX32="PT",VLOOKUP(L32,Foundation_Calc!$V$79:$X$113,VLOOKUP(AX32,Foundation_Calc!$I$10:$J$13,2,FALSE),0),
IF(AX32="K",VLOOKUP(L32,Foundation_Calc!$V$117:$X$151,VLOOKUP(AX32,Foundation_Calc!$I$10:$J$13,2,FALSE),0),"")))</f>
        <v/>
      </c>
      <c r="N32" s="885"/>
      <c r="O32" s="702"/>
      <c r="P32" s="702"/>
      <c r="Q32" s="700"/>
      <c r="R32" s="701"/>
      <c r="S32" s="701"/>
      <c r="T32" s="700"/>
      <c r="U32" s="700"/>
      <c r="V32" s="700"/>
      <c r="W32" s="703"/>
      <c r="X32" s="703"/>
      <c r="Y32" s="703"/>
      <c r="Z32" s="703"/>
      <c r="AA32" s="703"/>
      <c r="AB32" s="703"/>
      <c r="AC32" s="702" t="str">
        <f t="shared" si="6"/>
        <v/>
      </c>
      <c r="AD32" s="702"/>
      <c r="AE32" s="702"/>
      <c r="AF32" s="700"/>
      <c r="AG32" s="699"/>
      <c r="AH32" s="700"/>
      <c r="AI32" s="700"/>
      <c r="AJ32" s="702"/>
      <c r="AK32" s="702"/>
      <c r="AL32" s="702"/>
      <c r="AM32" s="702"/>
      <c r="AN32" s="704"/>
      <c r="AO32" s="703"/>
      <c r="AP32" s="703"/>
      <c r="AQ32" s="703">
        <f>+FL_2($T$33,$T$31,$G$32,1200,9.28, 1*$F$33)</f>
        <v>-0.35695465849645375</v>
      </c>
      <c r="AR32" s="703"/>
      <c r="AS32" s="703"/>
      <c r="AT32" s="703"/>
      <c r="AU32" s="705"/>
      <c r="AV32" s="705"/>
      <c r="AW32" s="702" t="str">
        <f>IF(C32&gt;0,VLOOKUP(C32,Foundation_Calc!$A$2:$C$13,3,1),
IF(J32&gt;0,VLOOKUP(J32,Foundation_Calc!$A$2:$C$13,3,1),""))</f>
        <v/>
      </c>
      <c r="AX32" s="702" t="str">
        <f>IF(C32&gt;0,VLOOKUP(C32,Foundation_Calc!$E$2:$G$33,3,1),
IF(J32&gt;0,VLOOKUP(J32,Foundation_Calc!$E$2:$G$33,3,1),""))</f>
        <v/>
      </c>
      <c r="AY32" s="704" t="str">
        <f>IF(L32="","",
IF(AX32="PT",VLOOKUP(L32,Foundation_Calc!$K$79:$R$113,VLOOKUP(AW32,Foundation_Calc!$I$2:$J$8,2,FALSE),0),
IF(AX32="K",VLOOKUP(L32,Foundation_Calc!$K$117:$R$151,VLOOKUP(AW32,Foundation_Calc!$I$2:$J$8,2,FALSE),0),"")))</f>
        <v/>
      </c>
      <c r="AZ32" s="704" t="str">
        <f>IF(K32="","",
IF(AX32="PT",VLOOKUP(K32,Foundation_Calc!$K$79:$R$113,VLOOKUP(AW32,Foundation_Calc!$I$2:$J$8,2,FALSE),0),
IF(AX32="K",VLOOKUP(K32,Foundation_Calc!$K$117:$R$151,VLOOKUP(AW32,Foundation_Calc!$I$2:$J$8,2,FALSE),0),"")))</f>
        <v/>
      </c>
      <c r="BA32" s="495"/>
      <c r="BB32" s="495"/>
      <c r="BC32" s="495"/>
      <c r="BD32" s="513" t="str">
        <f>IF(AND(L32="",H32=""),"",
IF(H32="",Pole_Calc!A$9,
IF(H32="MP",Pole_Calc!A$10,
IF(H32="AnMP",Pole_Calc!A$11,
IF(H32="A",Pole_Calc!A$12,
IF(H32="S/A",Pole_Calc!A$13,
IF(H32="A/S",Pole_Calc!A$14,"Poner a mano")))))))</f>
        <v/>
      </c>
      <c r="BE32" s="429" t="s">
        <v>118</v>
      </c>
      <c r="BF32" s="290"/>
      <c r="BG32" s="290"/>
      <c r="BH32" s="290"/>
      <c r="BI32" s="290"/>
    </row>
    <row r="33" spans="1:61" ht="16.149999999999999" customHeight="1">
      <c r="A33" s="517" t="s">
        <v>442</v>
      </c>
      <c r="B33" s="450" t="s">
        <v>1779</v>
      </c>
      <c r="C33" s="3">
        <f>+$C$31+$G$32</f>
        <v>58521.02</v>
      </c>
      <c r="D33" s="83"/>
      <c r="E33" s="4"/>
      <c r="F33" s="4">
        <v>0</v>
      </c>
      <c r="G33" s="6"/>
      <c r="H33" s="449"/>
      <c r="I33" s="4"/>
      <c r="J33" s="3"/>
      <c r="K33" s="449"/>
      <c r="L33" s="449" t="s">
        <v>268</v>
      </c>
      <c r="M33" s="449" t="str">
        <f>IF(L33="","",
IF(AX33="PT",VLOOKUP(L33,Foundation_Calc!$V$79:$X$113,VLOOKUP(AX33,Foundation_Calc!$I$10:$J$13,2,FALSE),0),
IF(AX33="K",VLOOKUP(L33,Foundation_Calc!$V$117:$X$151,VLOOKUP(AX33,Foundation_Calc!$I$10:$J$13,2,FALSE),0),"")))</f>
        <v>C7R</v>
      </c>
      <c r="N33" s="553" t="s">
        <v>134</v>
      </c>
      <c r="O33" s="449"/>
      <c r="P33" s="449"/>
      <c r="Q33" s="4"/>
      <c r="R33" s="6"/>
      <c r="S33" s="6"/>
      <c r="T33" s="4">
        <v>35</v>
      </c>
      <c r="U33" s="4"/>
      <c r="V33" s="4"/>
      <c r="W33" s="9">
        <v>1.4</v>
      </c>
      <c r="X33" s="9"/>
      <c r="Y33" s="9"/>
      <c r="Z33" s="9"/>
      <c r="AA33" s="9"/>
      <c r="AB33" s="9"/>
      <c r="AC33" s="449" t="str">
        <f t="shared" si="6"/>
        <v>PHQ</v>
      </c>
      <c r="AD33" s="449"/>
      <c r="AE33" s="449"/>
      <c r="AF33" s="4"/>
      <c r="AG33" s="83"/>
      <c r="AH33" s="4"/>
      <c r="AI33" s="4"/>
      <c r="AJ33" s="449"/>
      <c r="AK33" s="449"/>
      <c r="AL33" s="449" t="s">
        <v>269</v>
      </c>
      <c r="AM33" s="449" t="s">
        <v>126</v>
      </c>
      <c r="AN33" s="10">
        <v>5.5</v>
      </c>
      <c r="AO33" s="9"/>
      <c r="AP33" s="9"/>
      <c r="AQ33" s="9"/>
      <c r="AR33" s="9"/>
      <c r="AS33" s="9"/>
      <c r="AT33" s="9">
        <f>+ab($T$33,$T$31,$T$35,$G$32,$G$34, 1*$F$33,1200)</f>
        <v>6.4151580778988491</v>
      </c>
      <c r="AU33" s="428"/>
      <c r="AV33" s="428"/>
      <c r="AW33" s="449" t="str">
        <f>IF(C33&gt;0,VLOOKUP(C33,Foundation_Calc!$A$2:$C$13,3,1),
IF(J33&gt;0,VLOOKUP(J33,Foundation_Calc!$A$2:$C$13,3,1),""))</f>
        <v>Multi Soil</v>
      </c>
      <c r="AX33" s="449" t="str">
        <f>IF(C33&gt;0,VLOOKUP(C33,Foundation_Calc!$E$2:$G$33,3,1),
IF(J33&gt;0,VLOOKUP(J33,Foundation_Calc!$E$2:$G$33,3,1),""))</f>
        <v>PT</v>
      </c>
      <c r="AY33" s="10">
        <f>IF(L33="","",
IF(AX33="PT",VLOOKUP(L33,Foundation_Calc!$K$79:$R$113,VLOOKUP(AW33,Foundation_Calc!$I$2:$J$8,2,FALSE),0),
IF(AX33="K",VLOOKUP(L33,Foundation_Calc!$K$117:$R$151,VLOOKUP(AW33,Foundation_Calc!$I$2:$J$8,2,FALSE),0),"")))</f>
        <v>4</v>
      </c>
      <c r="AZ33" s="10" t="str">
        <f>IF(K33="","",
IF(AX33="PT",VLOOKUP(K33,Foundation_Calc!$K$79:$R$113,VLOOKUP(AW33,Foundation_Calc!$I$2:$J$8,2,FALSE),0),
IF(AX33="K",VLOOKUP(K33,Foundation_Calc!$K$117:$R$151,VLOOKUP(AW33,Foundation_Calc!$I$2:$J$8,2,FALSE),0),"")))</f>
        <v/>
      </c>
      <c r="BA33" s="495"/>
      <c r="BB33" s="495"/>
      <c r="BC33" s="495"/>
      <c r="BD33" s="513" t="str">
        <f>Pole_Calc!A$251</f>
        <v>App.8-V08H-P10.3</v>
      </c>
      <c r="BE33" s="429" t="s">
        <v>118</v>
      </c>
      <c r="BF33" s="289"/>
      <c r="BG33" s="289"/>
      <c r="BH33" s="290"/>
      <c r="BI33" s="289"/>
    </row>
    <row r="34" spans="1:61" ht="16.149999999999999" customHeight="1">
      <c r="A34" s="732" t="s">
        <v>861</v>
      </c>
      <c r="B34" s="722"/>
      <c r="C34" s="723"/>
      <c r="D34" s="724"/>
      <c r="E34" s="725"/>
      <c r="F34" s="725"/>
      <c r="G34" s="726">
        <v>47</v>
      </c>
      <c r="H34" s="727"/>
      <c r="I34" s="725"/>
      <c r="J34" s="723"/>
      <c r="K34" s="727"/>
      <c r="L34" s="727"/>
      <c r="M34" s="727" t="str">
        <f>IF(L34="","",
IF(AX34="PT",VLOOKUP(L34,Foundation_Calc!$V$79:$X$113,VLOOKUP(AX34,Foundation_Calc!$I$10:$J$13,2,FALSE),0),
IF(AX34="K",VLOOKUP(L34,Foundation_Calc!$V$117:$X$151,VLOOKUP(AX34,Foundation_Calc!$I$10:$J$13,2,FALSE),0),"")))</f>
        <v/>
      </c>
      <c r="N34" s="883"/>
      <c r="O34" s="727"/>
      <c r="P34" s="727"/>
      <c r="Q34" s="725"/>
      <c r="R34" s="726"/>
      <c r="S34" s="726"/>
      <c r="T34" s="725"/>
      <c r="U34" s="725"/>
      <c r="V34" s="725"/>
      <c r="W34" s="728"/>
      <c r="X34" s="728"/>
      <c r="Y34" s="728"/>
      <c r="Z34" s="728"/>
      <c r="AA34" s="728"/>
      <c r="AB34" s="728"/>
      <c r="AC34" s="727" t="str">
        <f t="shared" si="6"/>
        <v/>
      </c>
      <c r="AD34" s="727"/>
      <c r="AE34" s="727"/>
      <c r="AF34" s="725"/>
      <c r="AG34" s="724"/>
      <c r="AH34" s="725"/>
      <c r="AI34" s="725"/>
      <c r="AJ34" s="727"/>
      <c r="AK34" s="727"/>
      <c r="AL34" s="727"/>
      <c r="AM34" s="727"/>
      <c r="AN34" s="729"/>
      <c r="AO34" s="728"/>
      <c r="AP34" s="728"/>
      <c r="AQ34" s="728">
        <f>+FL_1($T$35,$T$33,$G$34,1200,9.28, 1*$F$35)</f>
        <v>0.35695465849645375</v>
      </c>
      <c r="AR34" s="728"/>
      <c r="AS34" s="728"/>
      <c r="AT34" s="728"/>
      <c r="AU34" s="730"/>
      <c r="AV34" s="730"/>
      <c r="AW34" s="727" t="str">
        <f>IF(C34&gt;0,VLOOKUP(C34,Foundation_Calc!$A$2:$C$13,3,1),
IF(J34&gt;0,VLOOKUP(J34,Foundation_Calc!$A$2:$C$13,3,1),""))</f>
        <v/>
      </c>
      <c r="AX34" s="727" t="str">
        <f>IF(C34&gt;0,VLOOKUP(C34,Foundation_Calc!$E$2:$G$33,3,1),
IF(J34&gt;0,VLOOKUP(J34,Foundation_Calc!$E$2:$G$33,3,1),""))</f>
        <v/>
      </c>
      <c r="AY34" s="729" t="str">
        <f>IF(L34="","",
IF(AX34="PT",VLOOKUP(L34,Foundation_Calc!$K$79:$R$113,VLOOKUP(AW34,Foundation_Calc!$I$2:$J$8,2,FALSE),0),
IF(AX34="K",VLOOKUP(L34,Foundation_Calc!$K$117:$R$151,VLOOKUP(AW34,Foundation_Calc!$I$2:$J$8,2,FALSE),0),"")))</f>
        <v/>
      </c>
      <c r="AZ34" s="729" t="str">
        <f>IF(K34="","",
IF(AX34="PT",VLOOKUP(K34,Foundation_Calc!$K$79:$R$113,VLOOKUP(AW34,Foundation_Calc!$I$2:$J$8,2,FALSE),0),
IF(AX34="K",VLOOKUP(K34,Foundation_Calc!$K$117:$R$151,VLOOKUP(AW34,Foundation_Calc!$I$2:$J$8,2,FALSE),0),"")))</f>
        <v/>
      </c>
      <c r="BA34" s="495"/>
      <c r="BB34" s="495"/>
      <c r="BC34" s="495"/>
      <c r="BD34" s="513" t="str">
        <f>IF(AND(L34="",H34=""),"",
IF(H34="",Pole_Calc!A$9,
IF(H34="MP",Pole_Calc!A$10,
IF(H34="AnMP",Pole_Calc!A$11,
IF(H34="A",Pole_Calc!A$12,
IF(H34="S/A",Pole_Calc!A$13,
IF(H34="A/S",Pole_Calc!A$14,"Poner a mano")))))))</f>
        <v/>
      </c>
      <c r="BE34" s="429" t="s">
        <v>118</v>
      </c>
      <c r="BF34" s="290"/>
      <c r="BG34" s="290"/>
      <c r="BH34" s="290"/>
      <c r="BI34" s="290"/>
    </row>
    <row r="35" spans="1:61" ht="16.149999999999999" customHeight="1">
      <c r="A35" s="518" t="s">
        <v>438</v>
      </c>
      <c r="B35" s="450" t="s">
        <v>1780</v>
      </c>
      <c r="C35" s="3">
        <f>+$C$33+$G$34</f>
        <v>58568.02</v>
      </c>
      <c r="D35" s="83"/>
      <c r="E35" s="4"/>
      <c r="F35" s="4">
        <v>0</v>
      </c>
      <c r="G35" s="6"/>
      <c r="H35" s="449"/>
      <c r="I35" s="4"/>
      <c r="J35" s="3"/>
      <c r="K35" s="449"/>
      <c r="L35" s="449" t="s">
        <v>268</v>
      </c>
      <c r="M35" s="449" t="str">
        <f>IF(L35="","",
IF(AX35="PT",VLOOKUP(L35,Foundation_Calc!$V$79:$X$113,VLOOKUP(AX35,Foundation_Calc!$I$10:$J$13,2,FALSE),0),
IF(AX35="K",VLOOKUP(L35,Foundation_Calc!$V$117:$X$151,VLOOKUP(AX35,Foundation_Calc!$I$10:$J$13,2,FALSE),0),"")))</f>
        <v>C7R</v>
      </c>
      <c r="N35" s="553" t="s">
        <v>124</v>
      </c>
      <c r="O35" s="449"/>
      <c r="P35" s="449"/>
      <c r="Q35" s="4"/>
      <c r="R35" s="6"/>
      <c r="S35" s="6"/>
      <c r="T35" s="4">
        <v>-35</v>
      </c>
      <c r="U35" s="4"/>
      <c r="V35" s="4"/>
      <c r="W35" s="9">
        <v>1.4</v>
      </c>
      <c r="X35" s="9"/>
      <c r="Y35" s="9"/>
      <c r="Z35" s="9"/>
      <c r="AA35" s="9"/>
      <c r="AB35" s="9"/>
      <c r="AC35" s="449" t="str">
        <f t="shared" si="6"/>
        <v>PHQ</v>
      </c>
      <c r="AD35" s="449"/>
      <c r="AE35" s="449"/>
      <c r="AF35" s="4"/>
      <c r="AG35" s="83"/>
      <c r="AH35" s="4"/>
      <c r="AI35" s="4"/>
      <c r="AJ35" s="449"/>
      <c r="AK35" s="449"/>
      <c r="AL35" s="449" t="s">
        <v>269</v>
      </c>
      <c r="AM35" s="449" t="s">
        <v>126</v>
      </c>
      <c r="AN35" s="10">
        <v>5.5</v>
      </c>
      <c r="AO35" s="9"/>
      <c r="AP35" s="9"/>
      <c r="AQ35" s="9"/>
      <c r="AR35" s="9"/>
      <c r="AS35" s="9"/>
      <c r="AT35" s="9">
        <f>+ab($T$35,$T$33,$T$37,$G$34,$G$36, 1*$F$35,1200)</f>
        <v>-6.4151781535653143</v>
      </c>
      <c r="AU35" s="428"/>
      <c r="AV35" s="428"/>
      <c r="AW35" s="449" t="str">
        <f>IF(C35&gt;0,VLOOKUP(C35,Foundation_Calc!$A$2:$C$13,3,1),
IF(J35&gt;0,VLOOKUP(J35,Foundation_Calc!$A$2:$C$13,3,1),""))</f>
        <v>Multi Soil</v>
      </c>
      <c r="AX35" s="449" t="str">
        <f>IF(C35&gt;0,VLOOKUP(C35,Foundation_Calc!$E$2:$G$33,3,1),
IF(J35&gt;0,VLOOKUP(J35,Foundation_Calc!$E$2:$G$33,3,1),""))</f>
        <v>PT</v>
      </c>
      <c r="AY35" s="10">
        <f>IF(L35="","",
IF(AX35="PT",VLOOKUP(L35,Foundation_Calc!$K$79:$R$113,VLOOKUP(AW35,Foundation_Calc!$I$2:$J$8,2,FALSE),0),
IF(AX35="K",VLOOKUP(L35,Foundation_Calc!$K$117:$R$151,VLOOKUP(AW35,Foundation_Calc!$I$2:$J$8,2,FALSE),0),"")))</f>
        <v>4</v>
      </c>
      <c r="AZ35" s="10" t="str">
        <f>IF(K35="","",
IF(AX35="PT",VLOOKUP(K35,Foundation_Calc!$K$79:$R$113,VLOOKUP(AW35,Foundation_Calc!$I$2:$J$8,2,FALSE),0),
IF(AX35="K",VLOOKUP(K35,Foundation_Calc!$K$117:$R$151,VLOOKUP(AW35,Foundation_Calc!$I$2:$J$8,2,FALSE),0),"")))</f>
        <v/>
      </c>
      <c r="BA35" s="495"/>
      <c r="BB35" s="495"/>
      <c r="BC35" s="495"/>
      <c r="BD35" s="513" t="str">
        <f>Pole_Calc!A$251</f>
        <v>App.8-V08H-P10.3</v>
      </c>
      <c r="BE35" s="429" t="s">
        <v>118</v>
      </c>
      <c r="BF35" s="289"/>
      <c r="BG35" s="289"/>
      <c r="BH35" s="290"/>
      <c r="BI35" s="289"/>
    </row>
    <row r="36" spans="1:61" ht="16.149999999999999" customHeight="1">
      <c r="A36" s="517" t="s">
        <v>442</v>
      </c>
      <c r="B36" s="450"/>
      <c r="C36" s="3"/>
      <c r="D36" s="83"/>
      <c r="E36" s="4"/>
      <c r="F36" s="4"/>
      <c r="G36" s="6">
        <v>47</v>
      </c>
      <c r="H36" s="449"/>
      <c r="I36" s="4"/>
      <c r="J36" s="3">
        <f>C37-7.5</f>
        <v>58607.519999999997</v>
      </c>
      <c r="K36" s="449" t="s">
        <v>117</v>
      </c>
      <c r="L36" s="449"/>
      <c r="M36" s="449" t="str">
        <f>IF(L36="","",
IF(AX36="PT",VLOOKUP(L36,Foundation_Calc!$V$79:$X$113,VLOOKUP(AX36,Foundation_Calc!$I$10:$J$13,2,FALSE),0),
IF(AX36="K",VLOOKUP(L36,Foundation_Calc!$V$117:$X$151,VLOOKUP(AX36,Foundation_Calc!$I$10:$J$13,2,FALSE),0),"")))</f>
        <v/>
      </c>
      <c r="N36" s="553"/>
      <c r="O36" s="449"/>
      <c r="P36" s="449"/>
      <c r="Q36" s="4"/>
      <c r="R36" s="6"/>
      <c r="S36" s="6"/>
      <c r="T36" s="4"/>
      <c r="U36" s="4"/>
      <c r="V36" s="4"/>
      <c r="W36" s="9"/>
      <c r="X36" s="9"/>
      <c r="Y36" s="9"/>
      <c r="Z36" s="9"/>
      <c r="AA36" s="9"/>
      <c r="AB36" s="9"/>
      <c r="AC36" s="449" t="str">
        <f t="shared" si="6"/>
        <v/>
      </c>
      <c r="AD36" s="449"/>
      <c r="AE36" s="449"/>
      <c r="AF36" s="4"/>
      <c r="AG36" s="83"/>
      <c r="AH36" s="4"/>
      <c r="AI36" s="4"/>
      <c r="AJ36" s="449"/>
      <c r="AK36" s="449"/>
      <c r="AL36" s="449"/>
      <c r="AM36" s="449"/>
      <c r="AN36" s="10"/>
      <c r="AO36" s="9"/>
      <c r="AP36" s="9"/>
      <c r="AQ36" s="9">
        <f>+FL_2($T$37,$T$35,$G$36,1200,9.28, 1*$F$37)</f>
        <v>-0.35695465849645375</v>
      </c>
      <c r="AR36" s="9"/>
      <c r="AS36" s="9"/>
      <c r="AT36" s="9"/>
      <c r="AU36" s="428"/>
      <c r="AV36" s="428"/>
      <c r="AW36" s="449" t="str">
        <f>IF(C36&gt;0,VLOOKUP(C36,Foundation_Calc!$A$2:$C$13,3,1),
IF(J36&gt;0,VLOOKUP(J36,Foundation_Calc!$A$2:$C$13,3,1),""))</f>
        <v>Multi Soil</v>
      </c>
      <c r="AX36" s="449" t="str">
        <f>IF(C36&gt;0,VLOOKUP(C36,Foundation_Calc!$E$2:$G$33,3,1),
IF(J36&gt;0,VLOOKUP(J36,Foundation_Calc!$E$2:$G$33,3,1),""))</f>
        <v>PT</v>
      </c>
      <c r="AY36" s="10" t="str">
        <f>IF(L36="","",
IF(AX36="PT",VLOOKUP(L36,Foundation_Calc!$K$79:$R$113,VLOOKUP(AW36,Foundation_Calc!$I$2:$J$8,2,FALSE),0),
IF(AX36="K",VLOOKUP(L36,Foundation_Calc!$K$117:$R$151,VLOOKUP(AW36,Foundation_Calc!$I$2:$J$8,2,FALSE),0),"")))</f>
        <v/>
      </c>
      <c r="AZ36" s="10">
        <f>IF(K36="","",
IF(AX36="PT",VLOOKUP(K36,Foundation_Calc!$K$79:$R$113,VLOOKUP(AW36,Foundation_Calc!$I$2:$J$8,2,FALSE),0),
IF(AX36="K",VLOOKUP(K36,Foundation_Calc!$K$117:$R$151,VLOOKUP(AW36,Foundation_Calc!$I$2:$J$8,2,FALSE),0),"")))</f>
        <v>3.9</v>
      </c>
      <c r="BA36" s="495"/>
      <c r="BB36" s="495"/>
      <c r="BC36" s="495"/>
      <c r="BD36" s="513" t="str">
        <f>IF(AND(L36="",H36=""),"",
IF(H36="",Pole_Calc!A$9,
IF(H36="MP",Pole_Calc!A$10,
IF(H36="AnMP",Pole_Calc!A$11,
IF(H36="A",Pole_Calc!A$12,
IF(H36="S/A",Pole_Calc!A$13,
IF(H36="A/S",Pole_Calc!A$14,"Poner a mano")))))))</f>
        <v/>
      </c>
      <c r="BE36" s="429" t="s">
        <v>118</v>
      </c>
      <c r="BF36" s="290"/>
      <c r="BG36" s="290"/>
      <c r="BH36" s="290"/>
      <c r="BI36" s="290"/>
    </row>
    <row r="37" spans="1:61" ht="16.149999999999999" customHeight="1">
      <c r="A37" s="517" t="s">
        <v>442</v>
      </c>
      <c r="B37" s="450" t="s">
        <v>1781</v>
      </c>
      <c r="C37" s="3">
        <f>+$C$35+$G$36</f>
        <v>58615.02</v>
      </c>
      <c r="D37" s="83"/>
      <c r="E37" s="4"/>
      <c r="F37" s="4">
        <v>0</v>
      </c>
      <c r="G37" s="6"/>
      <c r="H37" s="449" t="s">
        <v>284</v>
      </c>
      <c r="I37" s="4" t="s">
        <v>195</v>
      </c>
      <c r="J37" s="3"/>
      <c r="K37" s="449"/>
      <c r="L37" s="449" t="s">
        <v>268</v>
      </c>
      <c r="M37" s="449" t="str">
        <f>IF(L37="","",
IF(AX37="PT",VLOOKUP(L37,Foundation_Calc!$V$79:$X$113,VLOOKUP(AX37,Foundation_Calc!$I$10:$J$13,2,FALSE),0),
IF(AX37="K",VLOOKUP(L37,Foundation_Calc!$V$117:$X$151,VLOOKUP(AX37,Foundation_Calc!$I$10:$J$13,2,FALSE),0),"")))</f>
        <v>C7R</v>
      </c>
      <c r="N37" s="553" t="s">
        <v>134</v>
      </c>
      <c r="O37" s="449"/>
      <c r="P37" s="449"/>
      <c r="Q37" s="4"/>
      <c r="R37" s="6"/>
      <c r="S37" s="6"/>
      <c r="T37" s="4">
        <v>35</v>
      </c>
      <c r="U37" s="4"/>
      <c r="V37" s="4"/>
      <c r="W37" s="9">
        <v>1.4</v>
      </c>
      <c r="X37" s="9"/>
      <c r="Y37" s="9"/>
      <c r="Z37" s="9"/>
      <c r="AA37" s="9"/>
      <c r="AB37" s="9"/>
      <c r="AC37" s="449" t="str">
        <f t="shared" si="6"/>
        <v>PH</v>
      </c>
      <c r="AD37" s="449"/>
      <c r="AE37" s="449"/>
      <c r="AF37" s="4"/>
      <c r="AG37" s="83"/>
      <c r="AH37" s="4"/>
      <c r="AI37" s="4"/>
      <c r="AJ37" s="449"/>
      <c r="AK37" s="449"/>
      <c r="AL37" s="449" t="s">
        <v>269</v>
      </c>
      <c r="AM37" s="449" t="s">
        <v>126</v>
      </c>
      <c r="AN37" s="10">
        <v>5.5</v>
      </c>
      <c r="AO37" s="9"/>
      <c r="AP37" s="9"/>
      <c r="AQ37" s="9"/>
      <c r="AR37" s="9"/>
      <c r="AS37" s="9"/>
      <c r="AT37" s="9">
        <f>+ab($T$37,$T$35,$U$39,$G$36,$G$38, 1*$F$37,1200)</f>
        <v>10.352329748707323</v>
      </c>
      <c r="AU37" s="428"/>
      <c r="AV37" s="428"/>
      <c r="AW37" s="449" t="str">
        <f>IF(C37&gt;0,VLOOKUP(C37,Foundation_Calc!$A$2:$C$13,3,1),
IF(J37&gt;0,VLOOKUP(J37,Foundation_Calc!$A$2:$C$13,3,1),""))</f>
        <v>Multi Soil</v>
      </c>
      <c r="AX37" s="449" t="str">
        <f>IF(C37&gt;0,VLOOKUP(C37,Foundation_Calc!$E$2:$G$33,3,1),
IF(J37&gt;0,VLOOKUP(J37,Foundation_Calc!$E$2:$G$33,3,1),""))</f>
        <v>PT</v>
      </c>
      <c r="AY37" s="10">
        <f>IF(L37="","",
IF(AX37="PT",VLOOKUP(L37,Foundation_Calc!$K$79:$R$113,VLOOKUP(AW37,Foundation_Calc!$I$2:$J$8,2,FALSE),0),
IF(AX37="K",VLOOKUP(L37,Foundation_Calc!$K$117:$R$151,VLOOKUP(AW37,Foundation_Calc!$I$2:$J$8,2,FALSE),0),"")))</f>
        <v>4</v>
      </c>
      <c r="AZ37" s="10" t="str">
        <f>IF(K37="","",
IF(AX37="PT",VLOOKUP(K37,Foundation_Calc!$K$79:$R$113,VLOOKUP(AW37,Foundation_Calc!$I$2:$J$8,2,FALSE),0),
IF(AX37="K",VLOOKUP(K37,Foundation_Calc!$K$117:$R$151,VLOOKUP(AW37,Foundation_Calc!$I$2:$J$8,2,FALSE),0),"")))</f>
        <v/>
      </c>
      <c r="BA37" s="495"/>
      <c r="BB37" s="495"/>
      <c r="BC37" s="495"/>
      <c r="BD37" s="513" t="str">
        <f>Pole_Calc!A$251</f>
        <v>App.8-V08H-P10.3</v>
      </c>
      <c r="BE37" s="429" t="s">
        <v>118</v>
      </c>
      <c r="BF37" s="289"/>
      <c r="BG37" s="289"/>
      <c r="BH37" s="290"/>
      <c r="BI37" s="289"/>
    </row>
    <row r="38" spans="1:61" ht="16.149999999999999" customHeight="1">
      <c r="A38" s="517" t="s">
        <v>442</v>
      </c>
      <c r="B38" s="450"/>
      <c r="C38" s="3"/>
      <c r="D38" s="83"/>
      <c r="E38" s="4"/>
      <c r="F38" s="4"/>
      <c r="G38" s="6">
        <v>43.6</v>
      </c>
      <c r="H38" s="449"/>
      <c r="I38" s="4" t="s">
        <v>195</v>
      </c>
      <c r="J38" s="3">
        <f>C37+7.5</f>
        <v>58622.52</v>
      </c>
      <c r="K38" s="449" t="s">
        <v>166</v>
      </c>
      <c r="L38" s="449"/>
      <c r="M38" s="449" t="str">
        <f>IF(L38="","",
IF(AX38="PT",VLOOKUP(L38,Foundation_Calc!$V$79:$X$113,VLOOKUP(AX38,Foundation_Calc!$I$10:$J$13,2,FALSE),0),
IF(AX38="K",VLOOKUP(L38,Foundation_Calc!$V$117:$X$151,VLOOKUP(AX38,Foundation_Calc!$I$10:$J$13,2,FALSE),0),"")))</f>
        <v/>
      </c>
      <c r="N38" s="553"/>
      <c r="O38" s="449"/>
      <c r="P38" s="449"/>
      <c r="Q38" s="4"/>
      <c r="R38" s="6"/>
      <c r="S38" s="6"/>
      <c r="T38" s="4"/>
      <c r="U38" s="4"/>
      <c r="V38" s="4"/>
      <c r="W38" s="9"/>
      <c r="X38" s="9"/>
      <c r="Y38" s="9"/>
      <c r="Z38" s="9"/>
      <c r="AA38" s="9"/>
      <c r="AB38" s="9"/>
      <c r="AC38" s="449" t="str">
        <f t="shared" si="6"/>
        <v/>
      </c>
      <c r="AD38" s="449"/>
      <c r="AE38" s="449"/>
      <c r="AF38" s="4"/>
      <c r="AG38" s="83"/>
      <c r="AH38" s="4"/>
      <c r="AI38" s="4"/>
      <c r="AJ38" s="449"/>
      <c r="AK38" s="449"/>
      <c r="AL38" s="449"/>
      <c r="AM38" s="449"/>
      <c r="AN38" s="10"/>
      <c r="AO38" s="9"/>
      <c r="AP38" s="9"/>
      <c r="AQ38" s="9">
        <f>+FL_1($U$39,$T$37,$G$38,1200,9.28, 1*$F$39)</f>
        <v>0.35030187814619645</v>
      </c>
      <c r="AR38" s="9"/>
      <c r="AS38" s="9"/>
      <c r="AT38" s="9"/>
      <c r="AU38" s="428"/>
      <c r="AV38" s="428"/>
      <c r="AW38" s="449" t="str">
        <f>IF(C38&gt;0,VLOOKUP(C38,Foundation_Calc!$A$2:$C$13,3,1),
IF(J38&gt;0,VLOOKUP(J38,Foundation_Calc!$A$2:$C$13,3,1),""))</f>
        <v>Multi Soil</v>
      </c>
      <c r="AX38" s="449" t="str">
        <f>IF(C38&gt;0,VLOOKUP(C38,Foundation_Calc!$E$2:$G$33,3,1),
IF(J38&gt;0,VLOOKUP(J38,Foundation_Calc!$E$2:$G$33,3,1),""))</f>
        <v>PT</v>
      </c>
      <c r="AY38" s="10" t="str">
        <f>IF(L38="","",
IF(AX38="PT",VLOOKUP(L38,Foundation_Calc!$K$79:$R$113,VLOOKUP(AW38,Foundation_Calc!$I$2:$J$8,2,FALSE),0),
IF(AX38="K",VLOOKUP(L38,Foundation_Calc!$K$117:$R$151,VLOOKUP(AW38,Foundation_Calc!$I$2:$J$8,2,FALSE),0),"")))</f>
        <v/>
      </c>
      <c r="AZ38" s="10">
        <f>IF(K38="","",
IF(AX38="PT",VLOOKUP(K38,Foundation_Calc!$K$79:$R$113,VLOOKUP(AW38,Foundation_Calc!$I$2:$J$8,2,FALSE),0),
IF(AX38="K",VLOOKUP(K38,Foundation_Calc!$K$117:$R$151,VLOOKUP(AW38,Foundation_Calc!$I$2:$J$8,2,FALSE),0),"")))</f>
        <v>2.8</v>
      </c>
      <c r="BA38" s="495"/>
      <c r="BB38" s="495"/>
      <c r="BC38" s="495"/>
      <c r="BD38" s="513" t="str">
        <f>IF(AND(L38="",H38=""),"",
IF(H38="",Pole_Calc!A$9,
IF(H38="MP",Pole_Calc!A$10,
IF(H38="AnMP",Pole_Calc!A$11,
IF(H38="A",Pole_Calc!A$12,
IF(H38="S/A",Pole_Calc!A$13,
IF(H38="A/S",Pole_Calc!A$14,"Poner a mano")))))))</f>
        <v/>
      </c>
      <c r="BE38" s="429" t="s">
        <v>118</v>
      </c>
      <c r="BF38" s="290"/>
      <c r="BG38" s="290"/>
      <c r="BH38" s="290"/>
      <c r="BI38" s="290"/>
    </row>
    <row r="39" spans="1:61" ht="16.149999999999999" customHeight="1">
      <c r="A39" s="517" t="s">
        <v>442</v>
      </c>
      <c r="B39" s="450" t="s">
        <v>1782</v>
      </c>
      <c r="C39" s="3">
        <f>+$C$37+$G$38</f>
        <v>58658.619999999995</v>
      </c>
      <c r="D39" s="83"/>
      <c r="E39" s="4"/>
      <c r="F39" s="4">
        <v>500</v>
      </c>
      <c r="G39" s="6"/>
      <c r="H39" s="449" t="s">
        <v>131</v>
      </c>
      <c r="I39" s="4"/>
      <c r="J39" s="3"/>
      <c r="K39" s="449"/>
      <c r="L39" s="449" t="s">
        <v>268</v>
      </c>
      <c r="M39" s="449" t="str">
        <f>IF(L39="","",
IF(AX39="PT",VLOOKUP(L39,Foundation_Calc!$V$79:$X$113,VLOOKUP(AX39,Foundation_Calc!$I$10:$J$13,2,FALSE),0),
IF(AX39="K",VLOOKUP(L39,Foundation_Calc!$V$117:$X$151,VLOOKUP(AX39,Foundation_Calc!$I$10:$J$13,2,FALSE),0),"")))</f>
        <v>C7R</v>
      </c>
      <c r="N39" s="575" t="s">
        <v>133</v>
      </c>
      <c r="O39" s="553" t="s">
        <v>134</v>
      </c>
      <c r="P39" s="449"/>
      <c r="Q39" s="4"/>
      <c r="R39" s="6"/>
      <c r="S39" s="6"/>
      <c r="T39" s="4">
        <v>55</v>
      </c>
      <c r="U39" s="4">
        <v>20</v>
      </c>
      <c r="V39" s="4"/>
      <c r="W39" s="9">
        <v>1.4</v>
      </c>
      <c r="X39" s="9">
        <v>2</v>
      </c>
      <c r="Y39" s="9"/>
      <c r="Z39" s="9">
        <v>0.4</v>
      </c>
      <c r="AA39" s="9"/>
      <c r="AB39" s="9"/>
      <c r="AC39" s="449" t="str">
        <f t="shared" si="6"/>
        <v>PHC</v>
      </c>
      <c r="AD39" s="449"/>
      <c r="AE39" s="449"/>
      <c r="AF39" s="4"/>
      <c r="AG39" s="83"/>
      <c r="AH39" s="4"/>
      <c r="AI39" s="4"/>
      <c r="AJ39" s="449"/>
      <c r="AK39" s="449"/>
      <c r="AL39" s="449" t="s">
        <v>269</v>
      </c>
      <c r="AM39" s="449" t="s">
        <v>126</v>
      </c>
      <c r="AN39" s="10">
        <v>5.5</v>
      </c>
      <c r="AO39" s="9"/>
      <c r="AP39" s="9"/>
      <c r="AQ39" s="9"/>
      <c r="AR39" s="9"/>
      <c r="AS39" s="9"/>
      <c r="AT39" s="9">
        <f>+ab($U$39,$T$37,$U$41,$G$38,$G$40, 1*$F$39,1200)</f>
        <v>2.3725517933084315</v>
      </c>
      <c r="AU39" s="428"/>
      <c r="AV39" s="428"/>
      <c r="AW39" s="449" t="str">
        <f>IF(C39&gt;0,VLOOKUP(C39,Foundation_Calc!$A$2:$C$13,3,1),
IF(J39&gt;0,VLOOKUP(J39,Foundation_Calc!$A$2:$C$13,3,1),""))</f>
        <v>Multi Soil</v>
      </c>
      <c r="AX39" s="449" t="str">
        <f>IF(C39&gt;0,VLOOKUP(C39,Foundation_Calc!$E$2:$G$33,3,1),
IF(J39&gt;0,VLOOKUP(J39,Foundation_Calc!$E$2:$G$33,3,1),""))</f>
        <v>PT</v>
      </c>
      <c r="AY39" s="10">
        <f>IF(L39="","",
IF(AX39="PT",VLOOKUP(L39,Foundation_Calc!$K$79:$R$113,VLOOKUP(AW39,Foundation_Calc!$I$2:$J$8,2,FALSE),0),
IF(AX39="K",VLOOKUP(L39,Foundation_Calc!$K$117:$R$151,VLOOKUP(AW39,Foundation_Calc!$I$2:$J$8,2,FALSE),0),"")))</f>
        <v>4</v>
      </c>
      <c r="AZ39" s="10" t="str">
        <f>IF(K39="","",
IF(AX39="PT",VLOOKUP(K39,Foundation_Calc!$K$79:$R$113,VLOOKUP(AW39,Foundation_Calc!$I$2:$J$8,2,FALSE),0),
IF(AX39="K",VLOOKUP(K39,Foundation_Calc!$K$117:$R$151,VLOOKUP(AW39,Foundation_Calc!$I$2:$J$8,2,FALSE),0),"")))</f>
        <v/>
      </c>
      <c r="BA39" s="495"/>
      <c r="BB39" s="495"/>
      <c r="BC39" s="495"/>
      <c r="BD39" s="513" t="str">
        <f>Pole_Calc!A$251</f>
        <v>App.8-V08H-P10.3</v>
      </c>
      <c r="BE39" s="429" t="s">
        <v>118</v>
      </c>
      <c r="BF39" s="289"/>
      <c r="BG39" s="289"/>
      <c r="BH39" s="290"/>
      <c r="BI39" s="289"/>
    </row>
    <row r="40" spans="1:61" ht="16.149999999999999" customHeight="1">
      <c r="A40" s="696" t="s">
        <v>853</v>
      </c>
      <c r="B40" s="697"/>
      <c r="C40" s="698"/>
      <c r="D40" s="699"/>
      <c r="E40" s="700"/>
      <c r="F40" s="700"/>
      <c r="G40" s="701">
        <v>43</v>
      </c>
      <c r="H40" s="702"/>
      <c r="I40" s="700"/>
      <c r="J40" s="698"/>
      <c r="K40" s="702"/>
      <c r="L40" s="702"/>
      <c r="M40" s="702" t="str">
        <f>IF(L40="","",
IF(AX40="PT",VLOOKUP(L40,Foundation_Calc!$V$79:$X$113,VLOOKUP(AX40,Foundation_Calc!$I$10:$J$13,2,FALSE),0),
IF(AX40="K",VLOOKUP(L40,Foundation_Calc!$V$117:$X$151,VLOOKUP(AX40,Foundation_Calc!$I$10:$J$13,2,FALSE),0),"")))</f>
        <v/>
      </c>
      <c r="N40" s="702"/>
      <c r="O40" s="702"/>
      <c r="P40" s="702"/>
      <c r="Q40" s="700"/>
      <c r="R40" s="701"/>
      <c r="S40" s="701"/>
      <c r="T40" s="700"/>
      <c r="U40" s="700"/>
      <c r="V40" s="700"/>
      <c r="W40" s="703"/>
      <c r="X40" s="703"/>
      <c r="Y40" s="703"/>
      <c r="Z40" s="703"/>
      <c r="AA40" s="703"/>
      <c r="AB40" s="703"/>
      <c r="AC40" s="702" t="str">
        <f t="shared" si="6"/>
        <v/>
      </c>
      <c r="AD40" s="702"/>
      <c r="AE40" s="702"/>
      <c r="AF40" s="700"/>
      <c r="AG40" s="699"/>
      <c r="AH40" s="700"/>
      <c r="AI40" s="700"/>
      <c r="AJ40" s="702"/>
      <c r="AK40" s="702"/>
      <c r="AL40" s="702"/>
      <c r="AM40" s="702"/>
      <c r="AN40" s="704"/>
      <c r="AO40" s="703"/>
      <c r="AP40" s="703"/>
      <c r="AQ40" s="703">
        <f>+FL_1($U$41,$U$39,$G$40,1200,9.28, 1*$F$41)</f>
        <v>0.43223342799999998</v>
      </c>
      <c r="AR40" s="703"/>
      <c r="AS40" s="703"/>
      <c r="AT40" s="703"/>
      <c r="AU40" s="705"/>
      <c r="AV40" s="705"/>
      <c r="AW40" s="702" t="str">
        <f>IF(C40&gt;0,VLOOKUP(C40,Foundation_Calc!$A$2:$C$13,3,1),
IF(J40&gt;0,VLOOKUP(J40,Foundation_Calc!$A$2:$C$13,3,1),""))</f>
        <v/>
      </c>
      <c r="AX40" s="702" t="str">
        <f>IF(C40&gt;0,VLOOKUP(C40,Foundation_Calc!$E$2:$G$33,3,1),
IF(J40&gt;0,VLOOKUP(J40,Foundation_Calc!$E$2:$G$33,3,1),""))</f>
        <v/>
      </c>
      <c r="AY40" s="704" t="str">
        <f>IF(L40="","",
IF(AX40="PT",VLOOKUP(L40,Foundation_Calc!$K$79:$R$113,VLOOKUP(AW40,Foundation_Calc!$I$2:$J$8,2,FALSE),0),
IF(AX40="K",VLOOKUP(L40,Foundation_Calc!$K$117:$R$151,VLOOKUP(AW40,Foundation_Calc!$I$2:$J$8,2,FALSE),0),"")))</f>
        <v/>
      </c>
      <c r="AZ40" s="704" t="str">
        <f>IF(K40="","",
IF(AX40="PT",VLOOKUP(K40,Foundation_Calc!$K$79:$R$113,VLOOKUP(AW40,Foundation_Calc!$I$2:$J$8,2,FALSE),0),
IF(AX40="K",VLOOKUP(K40,Foundation_Calc!$K$117:$R$151,VLOOKUP(AW40,Foundation_Calc!$I$2:$J$8,2,FALSE),0),"")))</f>
        <v/>
      </c>
      <c r="BA40" s="495"/>
      <c r="BB40" s="495"/>
      <c r="BC40" s="495"/>
      <c r="BD40" s="513" t="str">
        <f>IF(AND(L40="",H40=""),"",
IF(H40="",Pole_Calc!A$9,
IF(H40="MP",Pole_Calc!A$10,
IF(H40="AnMP",Pole_Calc!A$11,
IF(H40="A",Pole_Calc!A$12,
IF(H40="S/A",Pole_Calc!A$13,
IF(H40="A/S",Pole_Calc!A$14,"Poner a mano")))))))</f>
        <v/>
      </c>
      <c r="BE40" s="429" t="s">
        <v>118</v>
      </c>
      <c r="BF40" s="290"/>
      <c r="BG40" s="290"/>
      <c r="BH40" s="290"/>
      <c r="BI40" s="290"/>
    </row>
    <row r="41" spans="1:61" ht="16.149999999999999" customHeight="1">
      <c r="A41" s="781"/>
      <c r="B41" s="720" t="s">
        <v>1783</v>
      </c>
      <c r="C41" s="723">
        <f>+$C$39+$G$40</f>
        <v>58701.619999999995</v>
      </c>
      <c r="D41" s="724"/>
      <c r="E41" s="725"/>
      <c r="F41" s="725">
        <v>0</v>
      </c>
      <c r="G41" s="726"/>
      <c r="H41" s="727" t="s">
        <v>238</v>
      </c>
      <c r="I41" s="727" t="s">
        <v>195</v>
      </c>
      <c r="J41" s="723"/>
      <c r="K41" s="727"/>
      <c r="L41" s="727" t="s">
        <v>250</v>
      </c>
      <c r="M41" s="727" t="str">
        <f>IF(L41="","",
IF(AX41="PT",VLOOKUP(L41,Foundation_Calc!$V$79:$X$113,VLOOKUP(AX41,Foundation_Calc!$I$10:$J$13,2,FALSE),0),
IF(AX41="K",VLOOKUP(L41,Foundation_Calc!$V$117:$X$151,VLOOKUP(AX41,Foundation_Calc!$I$10:$J$13,2,FALSE),0),"")))</f>
        <v>2C4R</v>
      </c>
      <c r="N41" s="884" t="s">
        <v>124</v>
      </c>
      <c r="O41" s="727" t="s">
        <v>134</v>
      </c>
      <c r="P41" s="727"/>
      <c r="Q41" s="725"/>
      <c r="R41" s="726"/>
      <c r="S41" s="726"/>
      <c r="T41" s="725">
        <v>-20</v>
      </c>
      <c r="U41" s="725">
        <v>30</v>
      </c>
      <c r="V41" s="725"/>
      <c r="W41" s="728">
        <v>2</v>
      </c>
      <c r="X41" s="728">
        <v>1.4</v>
      </c>
      <c r="Y41" s="728"/>
      <c r="Z41" s="728"/>
      <c r="AA41" s="728"/>
      <c r="AB41" s="728"/>
      <c r="AC41" s="727" t="str">
        <f t="shared" si="6"/>
        <v>PH</v>
      </c>
      <c r="AD41" s="727"/>
      <c r="AE41" s="727"/>
      <c r="AF41" s="725"/>
      <c r="AG41" s="724"/>
      <c r="AH41" s="725"/>
      <c r="AI41" s="725"/>
      <c r="AJ41" s="727"/>
      <c r="AK41" s="727"/>
      <c r="AL41" s="727" t="s">
        <v>252</v>
      </c>
      <c r="AM41" s="727" t="s">
        <v>126</v>
      </c>
      <c r="AN41" s="729">
        <v>5.5</v>
      </c>
      <c r="AO41" s="728"/>
      <c r="AP41" s="728"/>
      <c r="AQ41" s="728"/>
      <c r="AR41" s="728"/>
      <c r="AS41" s="728"/>
      <c r="AT41" s="728">
        <f>+ab($U$41,$U$39,$T$43,$G$40,$G$42, 1*$F$41,1200)</f>
        <v>10.638677034089822</v>
      </c>
      <c r="AU41" s="730"/>
      <c r="AV41" s="730"/>
      <c r="AW41" s="727" t="str">
        <f>IF(C41&gt;0,VLOOKUP(C41,Foundation_Calc!$A$2:$C$13,3,1),
IF(J41&gt;0,VLOOKUP(J41,Foundation_Calc!$A$2:$C$13,3,1),""))</f>
        <v>Multi Soil</v>
      </c>
      <c r="AX41" s="727" t="str">
        <f>IF(C41&gt;0,VLOOKUP(C41,Foundation_Calc!$E$2:$G$33,3,1),
IF(J41&gt;0,VLOOKUP(J41,Foundation_Calc!$E$2:$G$33,3,1),""))</f>
        <v>PT</v>
      </c>
      <c r="AY41" s="729">
        <f>IF(L41="","",
IF(AX41="PT",VLOOKUP(L41,Foundation_Calc!$K$79:$R$113,VLOOKUP(AW41,Foundation_Calc!$I$2:$J$8,2,FALSE),0),
IF(AX41="K",VLOOKUP(L41,Foundation_Calc!$K$117:$R$151,VLOOKUP(AW41,Foundation_Calc!$I$2:$J$8,2,FALSE),0),"")))</f>
        <v>5.6</v>
      </c>
      <c r="AZ41" s="729" t="str">
        <f>IF(K41="","",
IF(AX41="PT",VLOOKUP(K41,Foundation_Calc!$K$79:$R$113,VLOOKUP(AW41,Foundation_Calc!$I$2:$J$8,2,FALSE),0),
IF(AX41="K",VLOOKUP(K41,Foundation_Calc!$K$117:$R$151,VLOOKUP(AW41,Foundation_Calc!$I$2:$J$8,2,FALSE),0),"")))</f>
        <v/>
      </c>
      <c r="BA41" s="495"/>
      <c r="BB41" s="495"/>
      <c r="BC41" s="495"/>
      <c r="BD41" s="513" t="str">
        <f>Pole_Calc!A$251</f>
        <v>App.8-V08H-P10.3</v>
      </c>
      <c r="BE41" s="429" t="s">
        <v>118</v>
      </c>
      <c r="BF41" s="289"/>
      <c r="BG41" s="289"/>
      <c r="BH41" s="290"/>
      <c r="BI41" s="289"/>
    </row>
    <row r="42" spans="1:61" ht="16.149999999999999" customHeight="1">
      <c r="A42" s="514" t="s">
        <v>169</v>
      </c>
      <c r="B42" s="450"/>
      <c r="C42" s="3"/>
      <c r="D42" s="83"/>
      <c r="E42" s="4"/>
      <c r="F42" s="4"/>
      <c r="G42" s="6">
        <v>38.700000000000003</v>
      </c>
      <c r="H42" s="6"/>
      <c r="I42" s="4"/>
      <c r="J42" s="3"/>
      <c r="K42" s="449"/>
      <c r="L42" s="449"/>
      <c r="M42" s="449" t="str">
        <f>IF(L42="","",
IF(AX42="PT",VLOOKUP(L42,Foundation_Calc!$V$79:$X$113,VLOOKUP(AX42,Foundation_Calc!$I$10:$J$13,2,FALSE),0),
IF(AX42="K",VLOOKUP(L42,Foundation_Calc!$V$117:$X$151,VLOOKUP(AX42,Foundation_Calc!$I$10:$J$13,2,FALSE),0),"")))</f>
        <v/>
      </c>
      <c r="N42" s="449"/>
      <c r="O42" s="449"/>
      <c r="P42" s="449"/>
      <c r="Q42" s="4"/>
      <c r="R42" s="6"/>
      <c r="S42" s="6"/>
      <c r="T42" s="4"/>
      <c r="U42" s="4"/>
      <c r="V42" s="4"/>
      <c r="W42" s="9"/>
      <c r="X42" s="9"/>
      <c r="Y42" s="9"/>
      <c r="Z42" s="9"/>
      <c r="AA42" s="9"/>
      <c r="AB42" s="9"/>
      <c r="AC42" s="449" t="str">
        <f t="shared" si="6"/>
        <v/>
      </c>
      <c r="AD42" s="449"/>
      <c r="AE42" s="449"/>
      <c r="AF42" s="4"/>
      <c r="AG42" s="83"/>
      <c r="AH42" s="4"/>
      <c r="AI42" s="4"/>
      <c r="AJ42" s="449"/>
      <c r="AK42" s="449"/>
      <c r="AL42" s="449"/>
      <c r="AM42" s="449"/>
      <c r="AN42" s="10"/>
      <c r="AO42" s="9"/>
      <c r="AP42" s="9"/>
      <c r="AQ42" s="9">
        <f>+FL_2($T$43,$U$41,$G$42,1200,9.28,-1*$F$43)</f>
        <v>-0.3</v>
      </c>
      <c r="AR42" s="9"/>
      <c r="AS42" s="9"/>
      <c r="AT42" s="9"/>
      <c r="AU42" s="428"/>
      <c r="AV42" s="428"/>
      <c r="AW42" s="449" t="str">
        <f>IF(C42&gt;0,VLOOKUP(C42,Foundation_Calc!$A$2:$C$13,3,1),
IF(J42&gt;0,VLOOKUP(J42,Foundation_Calc!$A$2:$C$13,3,1),""))</f>
        <v/>
      </c>
      <c r="AX42" s="449" t="str">
        <f>IF(C42&gt;0,VLOOKUP(C42,Foundation_Calc!$E$2:$G$33,3,1),
IF(J42&gt;0,VLOOKUP(J42,Foundation_Calc!$E$2:$G$33,3,1),""))</f>
        <v/>
      </c>
      <c r="AY42" s="10" t="str">
        <f>IF(L42="","",
IF(AX42="PT",VLOOKUP(L42,Foundation_Calc!$K$79:$R$113,VLOOKUP(AW42,Foundation_Calc!$I$2:$J$8,2,FALSE),0),
IF(AX42="K",VLOOKUP(L42,Foundation_Calc!$K$117:$R$151,VLOOKUP(AW42,Foundation_Calc!$I$2:$J$8,2,FALSE),0),"")))</f>
        <v/>
      </c>
      <c r="AZ42" s="10" t="str">
        <f>IF(K42="","",
IF(AX42="PT",VLOOKUP(K42,Foundation_Calc!$K$79:$R$113,VLOOKUP(AW42,Foundation_Calc!$I$2:$J$8,2,FALSE),0),
IF(AX42="K",VLOOKUP(K42,Foundation_Calc!$K$117:$R$151,VLOOKUP(AW42,Foundation_Calc!$I$2:$J$8,2,FALSE),0),"")))</f>
        <v/>
      </c>
      <c r="BA42" s="495"/>
      <c r="BB42" s="495"/>
      <c r="BC42" s="495"/>
      <c r="BD42" s="513" t="str">
        <f>IF(AND(L42="",H42=""),"",
IF(H42="",Pole_Calc!A$9,
IF(H42="MP",Pole_Calc!A$10,
IF(H42="AnMP",Pole_Calc!A$11,
IF(H42="A",Pole_Calc!A$12,
IF(H42="S/A",Pole_Calc!A$13,
IF(H42="A/S",Pole_Calc!A$14,"Poner a mano")))))))</f>
        <v/>
      </c>
      <c r="BE42" s="429" t="s">
        <v>118</v>
      </c>
      <c r="BF42" s="290"/>
      <c r="BG42" s="290"/>
      <c r="BH42" s="290"/>
      <c r="BI42" s="290"/>
    </row>
    <row r="43" spans="1:61" ht="16.149999999999999" customHeight="1">
      <c r="A43" s="781"/>
      <c r="B43" s="720" t="s">
        <v>1784</v>
      </c>
      <c r="C43" s="723">
        <f>+$C$41+$G$42</f>
        <v>58740.319999999992</v>
      </c>
      <c r="D43" s="724"/>
      <c r="E43" s="725"/>
      <c r="F43" s="725">
        <v>0</v>
      </c>
      <c r="G43" s="726"/>
      <c r="H43" s="727"/>
      <c r="I43" s="727"/>
      <c r="J43" s="723"/>
      <c r="K43" s="727"/>
      <c r="L43" s="727" t="s">
        <v>250</v>
      </c>
      <c r="M43" s="727" t="str">
        <f>IF(L43="","",
IF(AX43="PT",VLOOKUP(L43,Foundation_Calc!$V$79:$X$113,VLOOKUP(AX43,Foundation_Calc!$I$10:$J$13,2,FALSE),0),
IF(AX43="K",VLOOKUP(L43,Foundation_Calc!$V$117:$X$151,VLOOKUP(AX43,Foundation_Calc!$I$10:$J$13,2,FALSE),0),"")))</f>
        <v>2C4R</v>
      </c>
      <c r="N43" s="727" t="s">
        <v>124</v>
      </c>
      <c r="O43" s="727"/>
      <c r="P43" s="727"/>
      <c r="Q43" s="725"/>
      <c r="R43" s="726"/>
      <c r="S43" s="726"/>
      <c r="T43" s="725">
        <v>-30</v>
      </c>
      <c r="U43" s="725"/>
      <c r="V43" s="725"/>
      <c r="W43" s="728">
        <v>1.4</v>
      </c>
      <c r="X43" s="728"/>
      <c r="Y43" s="728"/>
      <c r="Z43" s="728"/>
      <c r="AA43" s="728"/>
      <c r="AB43" s="728"/>
      <c r="AC43" s="727" t="str">
        <f t="shared" si="6"/>
        <v>PHQ</v>
      </c>
      <c r="AD43" s="727"/>
      <c r="AE43" s="727"/>
      <c r="AF43" s="725"/>
      <c r="AG43" s="724"/>
      <c r="AH43" s="725"/>
      <c r="AI43" s="725"/>
      <c r="AJ43" s="727"/>
      <c r="AK43" s="727"/>
      <c r="AL43" s="727" t="s">
        <v>252</v>
      </c>
      <c r="AM43" s="727" t="s">
        <v>126</v>
      </c>
      <c r="AN43" s="729">
        <v>5.5</v>
      </c>
      <c r="AO43" s="728"/>
      <c r="AP43" s="728"/>
      <c r="AQ43" s="728"/>
      <c r="AR43" s="728"/>
      <c r="AS43" s="728"/>
      <c r="AT43" s="728">
        <f>+ab($T$43,$U$41,$T$45,$G$42,$G$44,-1*$F$43,1200)</f>
        <v>-6.2914262910114438</v>
      </c>
      <c r="AU43" s="730"/>
      <c r="AV43" s="730"/>
      <c r="AW43" s="727" t="str">
        <f>IF(C43&gt;0,VLOOKUP(C43,Foundation_Calc!$A$2:$C$13,3,1),
IF(J43&gt;0,VLOOKUP(J43,Foundation_Calc!$A$2:$C$13,3,1),""))</f>
        <v>Multi Soil</v>
      </c>
      <c r="AX43" s="727" t="str">
        <f>IF(C43&gt;0,VLOOKUP(C43,Foundation_Calc!$E$2:$G$33,3,1),
IF(J43&gt;0,VLOOKUP(J43,Foundation_Calc!$E$2:$G$33,3,1),""))</f>
        <v>PT</v>
      </c>
      <c r="AY43" s="729">
        <f>IF(L43="","",
IF(AX43="PT",VLOOKUP(L43,Foundation_Calc!$K$79:$R$113,VLOOKUP(AW43,Foundation_Calc!$I$2:$J$8,2,FALSE),0),
IF(AX43="K",VLOOKUP(L43,Foundation_Calc!$K$117:$R$151,VLOOKUP(AW43,Foundation_Calc!$I$2:$J$8,2,FALSE),0),"")))</f>
        <v>5.6</v>
      </c>
      <c r="AZ43" s="729" t="str">
        <f>IF(K43="","",
IF(AX43="PT",VLOOKUP(K43,Foundation_Calc!$K$79:$R$113,VLOOKUP(AW43,Foundation_Calc!$I$2:$J$8,2,FALSE),0),
IF(AX43="K",VLOOKUP(K43,Foundation_Calc!$K$117:$R$151,VLOOKUP(AW43,Foundation_Calc!$I$2:$J$8,2,FALSE),0),"")))</f>
        <v/>
      </c>
      <c r="BA43" s="495"/>
      <c r="BB43" s="495"/>
      <c r="BC43" s="495"/>
      <c r="BD43" s="513" t="str">
        <f>Pole_Calc!A$251</f>
        <v>App.8-V08H-P10.3</v>
      </c>
      <c r="BE43" s="429" t="s">
        <v>118</v>
      </c>
      <c r="BF43" s="289"/>
      <c r="BG43" s="289"/>
      <c r="BH43" s="290"/>
      <c r="BI43" s="289"/>
    </row>
    <row r="44" spans="1:61" ht="16.149999999999999" customHeight="1">
      <c r="A44" s="514" t="s">
        <v>438</v>
      </c>
      <c r="B44" s="450"/>
      <c r="C44" s="3"/>
      <c r="D44" s="83"/>
      <c r="E44" s="4"/>
      <c r="F44" s="4"/>
      <c r="G44" s="6">
        <v>43.7</v>
      </c>
      <c r="H44" s="449"/>
      <c r="I44" s="449"/>
      <c r="J44" s="3"/>
      <c r="K44" s="449"/>
      <c r="L44" s="449"/>
      <c r="M44" s="449" t="str">
        <f>IF(L44="","",
IF(AX44="PT",VLOOKUP(L44,Foundation_Calc!$V$79:$X$113,VLOOKUP(AX44,Foundation_Calc!$I$10:$J$13,2,FALSE),0),
IF(AX44="K",VLOOKUP(L44,Foundation_Calc!$V$117:$X$151,VLOOKUP(AX44,Foundation_Calc!$I$10:$J$13,2,FALSE),0),"")))</f>
        <v/>
      </c>
      <c r="N44" s="449"/>
      <c r="O44" s="449"/>
      <c r="P44" s="449"/>
      <c r="Q44" s="4"/>
      <c r="R44" s="6"/>
      <c r="S44" s="6"/>
      <c r="T44" s="4"/>
      <c r="U44" s="4"/>
      <c r="V44" s="4"/>
      <c r="W44" s="9"/>
      <c r="X44" s="9"/>
      <c r="Y44" s="9"/>
      <c r="Z44" s="9"/>
      <c r="AA44" s="9"/>
      <c r="AB44" s="9"/>
      <c r="AC44" s="449" t="str">
        <f t="shared" si="6"/>
        <v/>
      </c>
      <c r="AD44" s="449"/>
      <c r="AE44" s="449"/>
      <c r="AF44" s="4"/>
      <c r="AG44" s="83"/>
      <c r="AH44" s="4"/>
      <c r="AI44" s="4"/>
      <c r="AJ44" s="449"/>
      <c r="AK44" s="449"/>
      <c r="AL44" s="449"/>
      <c r="AM44" s="449"/>
      <c r="AN44" s="10"/>
      <c r="AO44" s="9"/>
      <c r="AP44" s="9"/>
      <c r="AQ44" s="9">
        <f>+FL_1($T$45,$T$43,$G$44,1200,9.28,-1*$F$45)</f>
        <v>0.35264652695041954</v>
      </c>
      <c r="AR44" s="9"/>
      <c r="AS44" s="9"/>
      <c r="AT44" s="9"/>
      <c r="AU44" s="428"/>
      <c r="AV44" s="428"/>
      <c r="AW44" s="449" t="str">
        <f>IF(C44&gt;0,VLOOKUP(C44,Foundation_Calc!$A$2:$C$13,3,1),
IF(J44&gt;0,VLOOKUP(J44,Foundation_Calc!$A$2:$C$13,3,1),""))</f>
        <v/>
      </c>
      <c r="AX44" s="449" t="str">
        <f>IF(C44&gt;0,VLOOKUP(C44,Foundation_Calc!$E$2:$G$33,3,1),
IF(J44&gt;0,VLOOKUP(J44,Foundation_Calc!$E$2:$G$33,3,1),""))</f>
        <v/>
      </c>
      <c r="AY44" s="10" t="str">
        <f>IF(L44="","",
IF(AX44="PT",VLOOKUP(L44,Foundation_Calc!$K$79:$R$113,VLOOKUP(AW44,Foundation_Calc!$I$2:$J$8,2,FALSE),0),
IF(AX44="K",VLOOKUP(L44,Foundation_Calc!$K$117:$R$151,VLOOKUP(AW44,Foundation_Calc!$I$2:$J$8,2,FALSE),0),"")))</f>
        <v/>
      </c>
      <c r="AZ44" s="10" t="str">
        <f>IF(K44="","",
IF(AX44="PT",VLOOKUP(K44,Foundation_Calc!$K$79:$R$113,VLOOKUP(AW44,Foundation_Calc!$I$2:$J$8,2,FALSE),0),
IF(AX44="K",VLOOKUP(K44,Foundation_Calc!$K$117:$R$151,VLOOKUP(AW44,Foundation_Calc!$I$2:$J$8,2,FALSE),0),"")))</f>
        <v/>
      </c>
      <c r="BA44" s="495"/>
      <c r="BB44" s="495"/>
      <c r="BC44" s="495"/>
      <c r="BD44" s="513" t="str">
        <f>IF(AND(L44="",H44=""),"",
IF(H44="",Pole_Calc!A$9,
IF(H44="MP",Pole_Calc!A$10,
IF(H44="AnMP",Pole_Calc!A$11,
IF(H44="A",Pole_Calc!A$12,
IF(H44="S/A",Pole_Calc!A$13,
IF(H44="A/S",Pole_Calc!A$14,"Poner a mano")))))))</f>
        <v/>
      </c>
      <c r="BE44" s="429" t="s">
        <v>118</v>
      </c>
      <c r="BF44" s="290"/>
      <c r="BG44" s="290"/>
      <c r="BH44" s="290"/>
      <c r="BI44" s="290"/>
    </row>
    <row r="45" spans="1:61" ht="16.149999999999999" customHeight="1">
      <c r="A45" s="514"/>
      <c r="B45" s="720" t="s">
        <v>1785</v>
      </c>
      <c r="C45" s="3">
        <f>+$C$43+$G$44</f>
        <v>58784.01999999999</v>
      </c>
      <c r="D45" s="83"/>
      <c r="E45" s="4"/>
      <c r="F45" s="4">
        <v>0</v>
      </c>
      <c r="G45" s="6"/>
      <c r="H45" s="449"/>
      <c r="I45" s="449"/>
      <c r="J45" s="3"/>
      <c r="K45" s="449"/>
      <c r="L45" s="449" t="s">
        <v>232</v>
      </c>
      <c r="M45" s="449" t="str">
        <f>IF(L45="","",
IF(AX45="PT",VLOOKUP(L45,Foundation_Calc!$V$79:$X$113,VLOOKUP(AX45,Foundation_Calc!$I$10:$J$13,2,FALSE),0),
IF(AX45="K",VLOOKUP(L45,Foundation_Calc!$V$117:$X$151,VLOOKUP(AX45,Foundation_Calc!$I$10:$J$13,2,FALSE),0),"")))</f>
        <v>C5R</v>
      </c>
      <c r="N45" s="449" t="s">
        <v>134</v>
      </c>
      <c r="O45" s="449"/>
      <c r="P45" s="449"/>
      <c r="Q45" s="4"/>
      <c r="R45" s="6"/>
      <c r="S45" s="6"/>
      <c r="T45" s="4">
        <v>35</v>
      </c>
      <c r="U45" s="4"/>
      <c r="V45" s="4"/>
      <c r="W45" s="9">
        <v>1.4</v>
      </c>
      <c r="X45" s="9"/>
      <c r="Y45" s="9"/>
      <c r="Z45" s="9"/>
      <c r="AA45" s="9"/>
      <c r="AB45" s="9"/>
      <c r="AC45" s="449" t="str">
        <f t="shared" si="6"/>
        <v>PHQ</v>
      </c>
      <c r="AD45" s="449"/>
      <c r="AE45" s="449"/>
      <c r="AF45" s="4"/>
      <c r="AG45" s="83"/>
      <c r="AH45" s="4"/>
      <c r="AI45" s="4"/>
      <c r="AJ45" s="449"/>
      <c r="AK45" s="449"/>
      <c r="AL45" s="449" t="s">
        <v>241</v>
      </c>
      <c r="AM45" s="449" t="s">
        <v>126</v>
      </c>
      <c r="AN45" s="10">
        <v>5.5</v>
      </c>
      <c r="AO45" s="9"/>
      <c r="AP45" s="9"/>
      <c r="AQ45" s="9"/>
      <c r="AR45" s="9"/>
      <c r="AS45" s="9"/>
      <c r="AT45" s="9">
        <f>+ab($T$45,$T$43,$T$47,$G$44,$G$46,-1*$F$45,1200)</f>
        <v>6.7590849071994974</v>
      </c>
      <c r="AU45" s="428"/>
      <c r="AV45" s="428"/>
      <c r="AW45" s="449" t="str">
        <f>IF(C45&gt;0,VLOOKUP(C45,Foundation_Calc!$A$2:$C$13,3,1),
IF(J45&gt;0,VLOOKUP(J45,Foundation_Calc!$A$2:$C$13,3,1),""))</f>
        <v>Multi Soil</v>
      </c>
      <c r="AX45" s="449" t="str">
        <f>IF(C45&gt;0,VLOOKUP(C45,Foundation_Calc!$E$2:$G$33,3,1),
IF(J45&gt;0,VLOOKUP(J45,Foundation_Calc!$E$2:$G$33,3,1),""))</f>
        <v>PT</v>
      </c>
      <c r="AY45" s="10">
        <f>IF(L45="","",
IF(AX45="PT",VLOOKUP(L45,Foundation_Calc!$K$79:$R$113,VLOOKUP(AW45,Foundation_Calc!$I$2:$J$8,2,FALSE),0),
IF(AX45="K",VLOOKUP(L45,Foundation_Calc!$K$117:$R$151,VLOOKUP(AW45,Foundation_Calc!$I$2:$J$8,2,FALSE),0),"")))</f>
        <v>3.5</v>
      </c>
      <c r="AZ45" s="10" t="str">
        <f>IF(K45="","",
IF(AX45="PT",VLOOKUP(K45,Foundation_Calc!$K$79:$R$113,VLOOKUP(AW45,Foundation_Calc!$I$2:$J$8,2,FALSE),0),
IF(AX45="K",VLOOKUP(K45,Foundation_Calc!$K$117:$R$151,VLOOKUP(AW45,Foundation_Calc!$I$2:$J$8,2,FALSE),0),"")))</f>
        <v/>
      </c>
      <c r="BA45" s="495" t="str">
        <f t="shared" si="3"/>
        <v>ü</v>
      </c>
      <c r="BB45" s="495" t="str">
        <f t="shared" si="3"/>
        <v/>
      </c>
      <c r="BC45" s="495" t="str">
        <f t="shared" si="4"/>
        <v/>
      </c>
      <c r="BD45" s="513" t="str">
        <f>Pole_Calc!A$251</f>
        <v>App.8-V08H-P10.3</v>
      </c>
      <c r="BE45" s="429" t="s">
        <v>118</v>
      </c>
      <c r="BF45" s="289"/>
      <c r="BG45" s="289"/>
      <c r="BH45" s="290"/>
      <c r="BI45" s="289"/>
    </row>
    <row r="46" spans="1:61" ht="16.149999999999999" customHeight="1">
      <c r="A46" s="514"/>
      <c r="B46" s="450"/>
      <c r="C46" s="3"/>
      <c r="D46" s="83"/>
      <c r="E46" s="4"/>
      <c r="F46" s="4"/>
      <c r="G46" s="6">
        <v>52.3</v>
      </c>
      <c r="H46" s="449"/>
      <c r="I46" s="449" t="s">
        <v>195</v>
      </c>
      <c r="J46" s="3">
        <f>C47-7.5</f>
        <v>58828.139999999992</v>
      </c>
      <c r="K46" s="449" t="s">
        <v>166</v>
      </c>
      <c r="L46" s="449"/>
      <c r="M46" s="449" t="str">
        <f>IF(L46="","",
IF(AX46="PT",VLOOKUP(L46,Foundation_Calc!$V$79:$X$113,VLOOKUP(AX46,Foundation_Calc!$I$10:$J$13,2,FALSE),0),
IF(AX46="K",VLOOKUP(L46,Foundation_Calc!$V$117:$X$151,VLOOKUP(AX46,Foundation_Calc!$I$10:$J$13,2,FALSE),0),"")))</f>
        <v/>
      </c>
      <c r="N46" s="449"/>
      <c r="O46" s="449"/>
      <c r="P46" s="449"/>
      <c r="Q46" s="4"/>
      <c r="R46" s="6"/>
      <c r="S46" s="6"/>
      <c r="T46" s="4"/>
      <c r="U46" s="4"/>
      <c r="V46" s="4"/>
      <c r="W46" s="9"/>
      <c r="X46" s="9"/>
      <c r="Y46" s="9"/>
      <c r="Z46" s="9"/>
      <c r="AA46" s="9"/>
      <c r="AB46" s="9"/>
      <c r="AC46" s="449" t="str">
        <f t="shared" si="6"/>
        <v/>
      </c>
      <c r="AD46" s="449"/>
      <c r="AE46" s="449"/>
      <c r="AF46" s="4"/>
      <c r="AG46" s="83"/>
      <c r="AH46" s="4"/>
      <c r="AI46" s="4"/>
      <c r="AJ46" s="449"/>
      <c r="AK46" s="449"/>
      <c r="AL46" s="449"/>
      <c r="AM46" s="449"/>
      <c r="AN46" s="10"/>
      <c r="AO46" s="9"/>
      <c r="AP46" s="9"/>
      <c r="AQ46" s="9">
        <f>+FL_2($T$47,$T$45,$G$46,1200,9.28,-1*$F$47)</f>
        <v>-0.38023467504907577</v>
      </c>
      <c r="AR46" s="9"/>
      <c r="AS46" s="9"/>
      <c r="AT46" s="9"/>
      <c r="AU46" s="428"/>
      <c r="AV46" s="428"/>
      <c r="AW46" s="449" t="str">
        <f>IF(C46&gt;0,VLOOKUP(C46,Foundation_Calc!$A$2:$C$13,3,1),
IF(J46&gt;0,VLOOKUP(J46,Foundation_Calc!$A$2:$C$13,3,1),""))</f>
        <v>Multi Soil</v>
      </c>
      <c r="AX46" s="449" t="str">
        <f>IF(C46&gt;0,VLOOKUP(C46,Foundation_Calc!$E$2:$G$33,3,1),
IF(J46&gt;0,VLOOKUP(J46,Foundation_Calc!$E$2:$G$33,3,1),""))</f>
        <v>PT</v>
      </c>
      <c r="AY46" s="10" t="str">
        <f>IF(L46="","",
IF(AX46="PT",VLOOKUP(L46,Foundation_Calc!$K$79:$R$113,VLOOKUP(AW46,Foundation_Calc!$I$2:$J$8,2,FALSE),0),
IF(AX46="K",VLOOKUP(L46,Foundation_Calc!$K$117:$R$151,VLOOKUP(AW46,Foundation_Calc!$I$2:$J$8,2,FALSE),0),"")))</f>
        <v/>
      </c>
      <c r="AZ46" s="10">
        <f>IF(K46="","",
IF(AX46="PT",VLOOKUP(K46,Foundation_Calc!$K$79:$R$113,VLOOKUP(AW46,Foundation_Calc!$I$2:$J$8,2,FALSE),0),
IF(AX46="K",VLOOKUP(K46,Foundation_Calc!$K$117:$R$151,VLOOKUP(AW46,Foundation_Calc!$I$2:$J$8,2,FALSE),0),"")))</f>
        <v>2.8</v>
      </c>
      <c r="BA46" s="495" t="str">
        <f t="shared" si="3"/>
        <v/>
      </c>
      <c r="BB46" s="495" t="str">
        <f t="shared" si="3"/>
        <v>ü</v>
      </c>
      <c r="BC46" s="495" t="str">
        <f t="shared" si="4"/>
        <v/>
      </c>
      <c r="BD46" s="513" t="str">
        <f>IF(AND(L46="",H46=""),"",
IF(H46="",Pole_Calc!A$9,
IF(H46="MP",Pole_Calc!A$10,
IF(H46="AnMP",Pole_Calc!A$11,
IF(H46="A",Pole_Calc!A$12,
IF(H46="S/A",Pole_Calc!A$13,
IF(H46="A/S",Pole_Calc!A$14,"Poner a mano")))))))</f>
        <v/>
      </c>
      <c r="BE46" s="429" t="s">
        <v>118</v>
      </c>
      <c r="BF46" s="290"/>
      <c r="BG46" s="290"/>
      <c r="BH46" s="290"/>
      <c r="BI46" s="290"/>
    </row>
    <row r="47" spans="1:61" ht="16.149999999999999" customHeight="1">
      <c r="A47" s="514"/>
      <c r="B47" s="450" t="s">
        <v>1786</v>
      </c>
      <c r="C47" s="3">
        <f>+$C$45+$G$46-0.68</f>
        <v>58835.639999999992</v>
      </c>
      <c r="D47" s="83"/>
      <c r="E47" s="4"/>
      <c r="F47" s="4">
        <v>0</v>
      </c>
      <c r="G47" s="6"/>
      <c r="H47" s="449"/>
      <c r="I47" s="449" t="s">
        <v>195</v>
      </c>
      <c r="J47" s="3"/>
      <c r="K47" s="449"/>
      <c r="L47" s="449" t="s">
        <v>232</v>
      </c>
      <c r="M47" s="449" t="str">
        <f>IF(L47="","",
IF(AX47="PT",VLOOKUP(L47,Foundation_Calc!$V$79:$X$113,VLOOKUP(AX47,Foundation_Calc!$I$10:$J$13,2,FALSE),0),
IF(AX47="K",VLOOKUP(L47,Foundation_Calc!$V$117:$X$151,VLOOKUP(AX47,Foundation_Calc!$I$10:$J$13,2,FALSE),0),"")))</f>
        <v>C5R</v>
      </c>
      <c r="N47" s="449" t="s">
        <v>124</v>
      </c>
      <c r="O47" s="449"/>
      <c r="P47" s="449"/>
      <c r="Q47" s="4"/>
      <c r="R47" s="6"/>
      <c r="S47" s="6"/>
      <c r="T47" s="4">
        <v>-35</v>
      </c>
      <c r="U47" s="4"/>
      <c r="V47" s="4"/>
      <c r="W47" s="9">
        <v>2</v>
      </c>
      <c r="X47" s="9"/>
      <c r="Y47" s="9"/>
      <c r="Z47" s="9"/>
      <c r="AA47" s="9"/>
      <c r="AB47" s="9"/>
      <c r="AC47" s="449" t="str">
        <f t="shared" si="6"/>
        <v>PHQ</v>
      </c>
      <c r="AD47" s="449"/>
      <c r="AE47" s="449"/>
      <c r="AF47" s="4"/>
      <c r="AG47" s="83"/>
      <c r="AH47" s="4"/>
      <c r="AI47" s="4"/>
      <c r="AJ47" s="449"/>
      <c r="AK47" s="449"/>
      <c r="AL47" s="449" t="s">
        <v>241</v>
      </c>
      <c r="AM47" s="449" t="s">
        <v>126</v>
      </c>
      <c r="AN47" s="10">
        <v>5.5</v>
      </c>
      <c r="AO47" s="9"/>
      <c r="AP47" s="9"/>
      <c r="AQ47" s="9"/>
      <c r="AR47" s="9"/>
      <c r="AS47" s="9"/>
      <c r="AT47" s="9">
        <f>+ab($T$47,$T$45,$T$49,$G$46,$G$48,-1*$F$47,1200)</f>
        <v>-5.9654646297305565</v>
      </c>
      <c r="AU47" s="428"/>
      <c r="AV47" s="428"/>
      <c r="AW47" s="449" t="str">
        <f>IF(C47&gt;0,VLOOKUP(C47,Foundation_Calc!$A$2:$C$13,3,1),
IF(J47&gt;0,VLOOKUP(J47,Foundation_Calc!$A$2:$C$13,3,1),""))</f>
        <v>Multi Soil</v>
      </c>
      <c r="AX47" s="449" t="str">
        <f>IF(C47&gt;0,VLOOKUP(C47,Foundation_Calc!$E$2:$G$33,3,1),
IF(J47&gt;0,VLOOKUP(J47,Foundation_Calc!$E$2:$G$33,3,1),""))</f>
        <v>PT</v>
      </c>
      <c r="AY47" s="10">
        <f>IF(L47="","",
IF(AX47="PT",VLOOKUP(L47,Foundation_Calc!$K$79:$R$113,VLOOKUP(AW47,Foundation_Calc!$I$2:$J$8,2,FALSE),0),
IF(AX47="K",VLOOKUP(L47,Foundation_Calc!$K$117:$R$151,VLOOKUP(AW47,Foundation_Calc!$I$2:$J$8,2,FALSE),0),"")))</f>
        <v>3.5</v>
      </c>
      <c r="AZ47" s="10" t="str">
        <f>IF(K47="","",
IF(AX47="PT",VLOOKUP(K47,Foundation_Calc!$K$79:$R$113,VLOOKUP(AW47,Foundation_Calc!$I$2:$J$8,2,FALSE),0),
IF(AX47="K",VLOOKUP(K47,Foundation_Calc!$K$117:$R$151,VLOOKUP(AW47,Foundation_Calc!$I$2:$J$8,2,FALSE),0),"")))</f>
        <v/>
      </c>
      <c r="BA47" s="495" t="str">
        <f t="shared" si="3"/>
        <v>ü</v>
      </c>
      <c r="BB47" s="495" t="str">
        <f t="shared" si="3"/>
        <v/>
      </c>
      <c r="BC47" s="495" t="str">
        <f t="shared" si="4"/>
        <v/>
      </c>
      <c r="BD47" s="513" t="str">
        <f>Pole_Calc!A$251</f>
        <v>App.8-V08H-P10.3</v>
      </c>
      <c r="BE47" s="429" t="s">
        <v>118</v>
      </c>
      <c r="BF47" s="289"/>
      <c r="BG47" s="289"/>
      <c r="BH47" s="290"/>
      <c r="BI47" s="289"/>
    </row>
    <row r="48" spans="1:61" ht="16.149999999999999" customHeight="1">
      <c r="A48" s="514"/>
      <c r="B48" s="450"/>
      <c r="C48" s="3"/>
      <c r="D48" s="83"/>
      <c r="E48" s="4"/>
      <c r="F48" s="4"/>
      <c r="G48" s="6">
        <v>37.5</v>
      </c>
      <c r="H48" s="449"/>
      <c r="I48" s="449"/>
      <c r="J48" s="3">
        <f>C49-7.5</f>
        <v>58865.639999999992</v>
      </c>
      <c r="K48" s="449" t="s">
        <v>166</v>
      </c>
      <c r="L48" s="449"/>
      <c r="M48" s="449" t="str">
        <f>IF(L48="","",
IF(AX48="PT",VLOOKUP(L48,Foundation_Calc!$V$79:$X$113,VLOOKUP(AX48,Foundation_Calc!$I$10:$J$13,2,FALSE),0),
IF(AX48="K",VLOOKUP(L48,Foundation_Calc!$V$117:$X$151,VLOOKUP(AX48,Foundation_Calc!$I$10:$J$13,2,FALSE),0),"")))</f>
        <v/>
      </c>
      <c r="N48" s="449"/>
      <c r="O48" s="449"/>
      <c r="P48" s="449"/>
      <c r="Q48" s="4"/>
      <c r="R48" s="6"/>
      <c r="S48" s="6"/>
      <c r="T48" s="4"/>
      <c r="U48" s="4"/>
      <c r="V48" s="4"/>
      <c r="W48" s="9"/>
      <c r="X48" s="9"/>
      <c r="Y48" s="9"/>
      <c r="Z48" s="9"/>
      <c r="AA48" s="9"/>
      <c r="AB48" s="9"/>
      <c r="AC48" s="449" t="str">
        <f t="shared" si="6"/>
        <v/>
      </c>
      <c r="AD48" s="449"/>
      <c r="AE48" s="449"/>
      <c r="AF48" s="4"/>
      <c r="AG48" s="83"/>
      <c r="AH48" s="4"/>
      <c r="AI48" s="4"/>
      <c r="AJ48" s="449"/>
      <c r="AK48" s="449"/>
      <c r="AL48" s="449"/>
      <c r="AM48" s="449"/>
      <c r="AN48" s="10"/>
      <c r="AO48" s="9"/>
      <c r="AP48" s="9"/>
      <c r="AQ48" s="9">
        <f>+FL_2($T$49,$T$47,$G$48,1200,9.28,-1*$F$49)</f>
        <v>-0.3500000000000047</v>
      </c>
      <c r="AR48" s="9"/>
      <c r="AS48" s="9"/>
      <c r="AT48" s="9"/>
      <c r="AU48" s="428"/>
      <c r="AV48" s="428"/>
      <c r="AW48" s="449" t="str">
        <f>IF(C48&gt;0,VLOOKUP(C48,Foundation_Calc!$A$2:$C$13,3,1),
IF(J48&gt;0,VLOOKUP(J48,Foundation_Calc!$A$2:$C$13,3,1),""))</f>
        <v>Multi Soil</v>
      </c>
      <c r="AX48" s="449" t="str">
        <f>IF(C48&gt;0,VLOOKUP(C48,Foundation_Calc!$E$2:$G$33,3,1),
IF(J48&gt;0,VLOOKUP(J48,Foundation_Calc!$E$2:$G$33,3,1),""))</f>
        <v>PT</v>
      </c>
      <c r="AY48" s="10" t="str">
        <f>IF(L48="","",
IF(AX48="PT",VLOOKUP(L48,Foundation_Calc!$K$79:$R$113,VLOOKUP(AW48,Foundation_Calc!$I$2:$J$8,2,FALSE),0),
IF(AX48="K",VLOOKUP(L48,Foundation_Calc!$K$117:$R$151,VLOOKUP(AW48,Foundation_Calc!$I$2:$J$8,2,FALSE),0),"")))</f>
        <v/>
      </c>
      <c r="AZ48" s="10">
        <f>IF(K48="","",
IF(AX48="PT",VLOOKUP(K48,Foundation_Calc!$K$79:$R$113,VLOOKUP(AW48,Foundation_Calc!$I$2:$J$8,2,FALSE),0),
IF(AX48="K",VLOOKUP(K48,Foundation_Calc!$K$117:$R$151,VLOOKUP(AW48,Foundation_Calc!$I$2:$J$8,2,FALSE),0),"")))</f>
        <v>2.8</v>
      </c>
      <c r="BA48" s="495" t="str">
        <f t="shared" si="3"/>
        <v/>
      </c>
      <c r="BB48" s="495" t="str">
        <f t="shared" si="3"/>
        <v>ü</v>
      </c>
      <c r="BC48" s="495" t="str">
        <f t="shared" si="4"/>
        <v/>
      </c>
      <c r="BD48" s="513" t="str">
        <f>IF(AND(L48="",H48=""),"",
IF(H48="",Pole_Calc!A$9,
IF(H48="MP",Pole_Calc!A$10,
IF(H48="AnMP",Pole_Calc!A$11,
IF(H48="A",Pole_Calc!A$12,
IF(H48="S/A",Pole_Calc!A$13,
IF(H48="A/S",Pole_Calc!A$14,"Poner a mano")))))))</f>
        <v/>
      </c>
      <c r="BE48" s="429" t="s">
        <v>118</v>
      </c>
      <c r="BF48" s="290"/>
      <c r="BG48" s="290"/>
      <c r="BH48" s="290"/>
      <c r="BI48" s="290"/>
    </row>
    <row r="49" spans="1:61" ht="16.149999999999999" customHeight="1">
      <c r="A49" s="514"/>
      <c r="B49" s="450" t="s">
        <v>1787</v>
      </c>
      <c r="C49" s="3">
        <f>+$C$47+$G$48</f>
        <v>58873.139999999992</v>
      </c>
      <c r="D49" s="83"/>
      <c r="E49" s="4"/>
      <c r="F49" s="4">
        <v>0</v>
      </c>
      <c r="G49" s="6"/>
      <c r="H49" s="449" t="s">
        <v>168</v>
      </c>
      <c r="I49" s="449"/>
      <c r="J49" s="3"/>
      <c r="K49" s="449"/>
      <c r="L49" s="449" t="s">
        <v>232</v>
      </c>
      <c r="M49" s="449" t="str">
        <f>IF(L49="","",
IF(AX49="PT",VLOOKUP(L49,Foundation_Calc!$V$79:$X$113,VLOOKUP(AX49,Foundation_Calc!$I$10:$J$13,2,FALSE),0),
IF(AX49="K",VLOOKUP(L49,Foundation_Calc!$V$117:$X$151,VLOOKUP(AX49,Foundation_Calc!$I$10:$J$13,2,FALSE),0),"")))</f>
        <v>C5R</v>
      </c>
      <c r="N49" s="449" t="s">
        <v>134</v>
      </c>
      <c r="O49" s="449"/>
      <c r="P49" s="449"/>
      <c r="Q49" s="4"/>
      <c r="R49" s="6"/>
      <c r="S49" s="6"/>
      <c r="T49" s="4">
        <v>35</v>
      </c>
      <c r="U49" s="4"/>
      <c r="V49" s="4"/>
      <c r="W49" s="9">
        <v>1.4</v>
      </c>
      <c r="X49" s="9"/>
      <c r="Y49" s="9"/>
      <c r="Z49" s="9"/>
      <c r="AA49" s="9"/>
      <c r="AB49" s="9"/>
      <c r="AC49" s="449" t="str">
        <f t="shared" si="6"/>
        <v>PHC</v>
      </c>
      <c r="AD49" s="449"/>
      <c r="AE49" s="449"/>
      <c r="AF49" s="4"/>
      <c r="AG49" s="83"/>
      <c r="AH49" s="4"/>
      <c r="AI49" s="4"/>
      <c r="AJ49" s="449"/>
      <c r="AK49" s="449"/>
      <c r="AL49" s="449" t="s">
        <v>241</v>
      </c>
      <c r="AM49" s="449" t="s">
        <v>126</v>
      </c>
      <c r="AN49" s="10">
        <v>5.5</v>
      </c>
      <c r="AO49" s="9"/>
      <c r="AP49" s="9"/>
      <c r="AQ49" s="9"/>
      <c r="AR49" s="9"/>
      <c r="AS49" s="9"/>
      <c r="AT49" s="9">
        <f>+ab($T$49,$T$47,$T$51,$G$48,$G$50,-1*$F$49,1200)</f>
        <v>4.8083191784056112</v>
      </c>
      <c r="AU49" s="428"/>
      <c r="AV49" s="428"/>
      <c r="AW49" s="449" t="str">
        <f>IF(C49&gt;0,VLOOKUP(C49,Foundation_Calc!$A$2:$C$13,3,1),
IF(J49&gt;0,VLOOKUP(J49,Foundation_Calc!$A$2:$C$13,3,1),""))</f>
        <v>Multi Soil</v>
      </c>
      <c r="AX49" s="449" t="str">
        <f>IF(C49&gt;0,VLOOKUP(C49,Foundation_Calc!$E$2:$G$33,3,1),
IF(J49&gt;0,VLOOKUP(J49,Foundation_Calc!$E$2:$G$33,3,1),""))</f>
        <v>PT</v>
      </c>
      <c r="AY49" s="10">
        <f>IF(L49="","",
IF(AX49="PT",VLOOKUP(L49,Foundation_Calc!$K$79:$R$113,VLOOKUP(AW49,Foundation_Calc!$I$2:$J$8,2,FALSE),0),
IF(AX49="K",VLOOKUP(L49,Foundation_Calc!$K$117:$R$151,VLOOKUP(AW49,Foundation_Calc!$I$2:$J$8,2,FALSE),0),"")))</f>
        <v>3.5</v>
      </c>
      <c r="AZ49" s="10" t="str">
        <f>IF(K49="","",
IF(AX49="PT",VLOOKUP(K49,Foundation_Calc!$K$79:$R$113,VLOOKUP(AW49,Foundation_Calc!$I$2:$J$8,2,FALSE),0),
IF(AX49="K",VLOOKUP(K49,Foundation_Calc!$K$117:$R$151,VLOOKUP(AW49,Foundation_Calc!$I$2:$J$8,2,FALSE),0),"")))</f>
        <v/>
      </c>
      <c r="BA49" s="495" t="str">
        <f t="shared" si="3"/>
        <v>ü</v>
      </c>
      <c r="BB49" s="495" t="str">
        <f t="shared" si="3"/>
        <v/>
      </c>
      <c r="BC49" s="495" t="str">
        <f t="shared" si="4"/>
        <v/>
      </c>
      <c r="BD49" s="513" t="str">
        <f>Pole_Calc!A$251</f>
        <v>App.8-V08H-P10.3</v>
      </c>
      <c r="BE49" s="429" t="s">
        <v>118</v>
      </c>
      <c r="BF49" s="289"/>
      <c r="BG49" s="289"/>
      <c r="BH49" s="290"/>
      <c r="BI49" s="289"/>
    </row>
    <row r="50" spans="1:61" ht="16.149999999999999" customHeight="1">
      <c r="A50" s="514"/>
      <c r="B50" s="450"/>
      <c r="C50" s="3"/>
      <c r="D50" s="83"/>
      <c r="E50" s="4"/>
      <c r="F50" s="4"/>
      <c r="G50" s="6">
        <v>33.1</v>
      </c>
      <c r="H50" s="449"/>
      <c r="I50" s="449"/>
      <c r="J50" s="3"/>
      <c r="K50" s="449"/>
      <c r="L50" s="449"/>
      <c r="M50" s="449" t="str">
        <f>IF(L50="","",
IF(AX50="PT",VLOOKUP(L50,Foundation_Calc!$V$79:$X$113,VLOOKUP(AX50,Foundation_Calc!$I$10:$J$13,2,FALSE),0),
IF(AX50="K",VLOOKUP(L50,Foundation_Calc!$V$117:$X$151,VLOOKUP(AX50,Foundation_Calc!$I$10:$J$13,2,FALSE),0),"")))</f>
        <v/>
      </c>
      <c r="N50" s="449"/>
      <c r="O50" s="449"/>
      <c r="P50" s="449"/>
      <c r="Q50" s="4"/>
      <c r="R50" s="6"/>
      <c r="S50" s="6"/>
      <c r="T50" s="4"/>
      <c r="U50" s="4"/>
      <c r="V50" s="4"/>
      <c r="W50" s="9"/>
      <c r="X50" s="9"/>
      <c r="Y50" s="9"/>
      <c r="Z50" s="9"/>
      <c r="AA50" s="9"/>
      <c r="AB50" s="9"/>
      <c r="AC50" s="449" t="str">
        <f t="shared" si="6"/>
        <v/>
      </c>
      <c r="AD50" s="449"/>
      <c r="AE50" s="449"/>
      <c r="AF50" s="4"/>
      <c r="AG50" s="83"/>
      <c r="AH50" s="4"/>
      <c r="AI50" s="4"/>
      <c r="AJ50" s="449"/>
      <c r="AK50" s="449"/>
      <c r="AL50" s="449"/>
      <c r="AM50" s="449"/>
      <c r="AN50" s="10"/>
      <c r="AO50" s="9"/>
      <c r="AP50" s="9"/>
      <c r="AQ50" s="9">
        <f>+FL_1($T$51,$T$49,$G$50,1200,9.28,-1*$F$51)</f>
        <v>0.35000000000001646</v>
      </c>
      <c r="AR50" s="9"/>
      <c r="AS50" s="9"/>
      <c r="AT50" s="9"/>
      <c r="AU50" s="428"/>
      <c r="AV50" s="428"/>
      <c r="AW50" s="449" t="str">
        <f>IF(C50&gt;0,VLOOKUP(C50,Foundation_Calc!$A$2:$C$13,3,1),
IF(J50&gt;0,VLOOKUP(J50,Foundation_Calc!$A$2:$C$13,3,1),""))</f>
        <v/>
      </c>
      <c r="AX50" s="449" t="str">
        <f>IF(C50&gt;0,VLOOKUP(C50,Foundation_Calc!$E$2:$G$33,3,1),
IF(J50&gt;0,VLOOKUP(J50,Foundation_Calc!$E$2:$G$33,3,1),""))</f>
        <v/>
      </c>
      <c r="AY50" s="10" t="str">
        <f>IF(L50="","",
IF(AX50="PT",VLOOKUP(L50,Foundation_Calc!$K$79:$R$113,VLOOKUP(AW50,Foundation_Calc!$I$2:$J$8,2,FALSE),0),
IF(AX50="K",VLOOKUP(L50,Foundation_Calc!$K$117:$R$151,VLOOKUP(AW50,Foundation_Calc!$I$2:$J$8,2,FALSE),0),"")))</f>
        <v/>
      </c>
      <c r="AZ50" s="10" t="str">
        <f>IF(K50="","",
IF(AX50="PT",VLOOKUP(K50,Foundation_Calc!$K$79:$R$113,VLOOKUP(AW50,Foundation_Calc!$I$2:$J$8,2,FALSE),0),
IF(AX50="K",VLOOKUP(K50,Foundation_Calc!$K$117:$R$151,VLOOKUP(AW50,Foundation_Calc!$I$2:$J$8,2,FALSE),0),"")))</f>
        <v/>
      </c>
      <c r="BA50" s="495" t="str">
        <f t="shared" si="3"/>
        <v/>
      </c>
      <c r="BB50" s="495" t="str">
        <f t="shared" si="3"/>
        <v/>
      </c>
      <c r="BC50" s="495" t="str">
        <f t="shared" si="4"/>
        <v/>
      </c>
      <c r="BD50" s="513" t="str">
        <f>IF(AND(L50="",H50=""),"",
IF(H50="",Pole_Calc!A$9,
IF(H50="MP",Pole_Calc!A$10,
IF(H50="AnMP",Pole_Calc!A$11,
IF(H50="A",Pole_Calc!A$12,
IF(H50="S/A",Pole_Calc!A$13,
IF(H50="A/S",Pole_Calc!A$14,"Poner a mano")))))))</f>
        <v/>
      </c>
      <c r="BE50" s="429" t="s">
        <v>118</v>
      </c>
      <c r="BF50" s="290"/>
      <c r="BG50" s="290"/>
      <c r="BH50" s="290"/>
      <c r="BI50" s="290"/>
    </row>
    <row r="51" spans="1:61" ht="16.149999999999999" customHeight="1">
      <c r="A51" s="514"/>
      <c r="B51" s="450" t="s">
        <v>1788</v>
      </c>
      <c r="C51" s="3">
        <f>+$C$49+$G$50</f>
        <v>58906.239999999991</v>
      </c>
      <c r="D51" s="83"/>
      <c r="E51" s="4"/>
      <c r="F51" s="4">
        <v>0</v>
      </c>
      <c r="G51" s="6"/>
      <c r="H51" s="449"/>
      <c r="I51" s="449"/>
      <c r="J51" s="3"/>
      <c r="K51" s="449"/>
      <c r="L51" s="449" t="s">
        <v>268</v>
      </c>
      <c r="M51" s="449" t="str">
        <f>IF(L51="","",
IF(AX51="PT",VLOOKUP(L51,Foundation_Calc!$V$79:$X$113,VLOOKUP(AX51,Foundation_Calc!$I$10:$J$13,2,FALSE),0),
IF(AX51="K",VLOOKUP(L51,Foundation_Calc!$V$117:$X$151,VLOOKUP(AX51,Foundation_Calc!$I$10:$J$13,2,FALSE),0),"")))</f>
        <v>C7R</v>
      </c>
      <c r="N51" s="449" t="s">
        <v>124</v>
      </c>
      <c r="O51" s="449"/>
      <c r="P51" s="449"/>
      <c r="Q51" s="4"/>
      <c r="R51" s="6"/>
      <c r="S51" s="6"/>
      <c r="T51" s="4">
        <v>-35</v>
      </c>
      <c r="U51" s="4"/>
      <c r="V51" s="4"/>
      <c r="W51" s="9">
        <v>1.4</v>
      </c>
      <c r="X51" s="9"/>
      <c r="Y51" s="9"/>
      <c r="Z51" s="9"/>
      <c r="AA51" s="9"/>
      <c r="AB51" s="9"/>
      <c r="AC51" s="449" t="str">
        <f t="shared" si="6"/>
        <v>PHC</v>
      </c>
      <c r="AD51" s="449"/>
      <c r="AE51" s="449"/>
      <c r="AF51" s="4"/>
      <c r="AG51" s="83"/>
      <c r="AH51" s="4"/>
      <c r="AI51" s="4"/>
      <c r="AJ51" s="449"/>
      <c r="AK51" s="449"/>
      <c r="AL51" s="449" t="s">
        <v>269</v>
      </c>
      <c r="AM51" s="449" t="s">
        <v>126</v>
      </c>
      <c r="AN51" s="10">
        <v>5.5</v>
      </c>
      <c r="AO51" s="9"/>
      <c r="AP51" s="9"/>
      <c r="AQ51" s="9"/>
      <c r="AR51" s="9"/>
      <c r="AS51" s="9"/>
      <c r="AT51" s="9">
        <f>+ab($T$51,$T$49,$T$53,$G$50,$G$52,-1*$F$51,1200)</f>
        <v>-4.618296599596456</v>
      </c>
      <c r="AU51" s="428"/>
      <c r="AV51" s="428"/>
      <c r="AW51" s="449" t="str">
        <f>IF(C51&gt;0,VLOOKUP(C51,Foundation_Calc!$A$2:$C$13,3,1),
IF(J51&gt;0,VLOOKUP(J51,Foundation_Calc!$A$2:$C$13,3,1),""))</f>
        <v>Multi Soil</v>
      </c>
      <c r="AX51" s="449" t="str">
        <f>IF(C51&gt;0,VLOOKUP(C51,Foundation_Calc!$E$2:$G$33,3,1),
IF(J51&gt;0,VLOOKUP(J51,Foundation_Calc!$E$2:$G$33,3,1),""))</f>
        <v>PT</v>
      </c>
      <c r="AY51" s="10">
        <f>IF(L51="","",
IF(AX51="PT",VLOOKUP(L51,Foundation_Calc!$K$79:$R$113,VLOOKUP(AW51,Foundation_Calc!$I$2:$J$8,2,FALSE),0),
IF(AX51="K",VLOOKUP(L51,Foundation_Calc!$K$117:$R$151,VLOOKUP(AW51,Foundation_Calc!$I$2:$J$8,2,FALSE),0),"")))</f>
        <v>4</v>
      </c>
      <c r="AZ51" s="10" t="str">
        <f>IF(K51="","",
IF(AX51="PT",VLOOKUP(K51,Foundation_Calc!$K$79:$R$113,VLOOKUP(AW51,Foundation_Calc!$I$2:$J$8,2,FALSE),0),
IF(AX51="K",VLOOKUP(K51,Foundation_Calc!$K$117:$R$151,VLOOKUP(AW51,Foundation_Calc!$I$2:$J$8,2,FALSE),0),"")))</f>
        <v/>
      </c>
      <c r="BA51" s="495" t="str">
        <f t="shared" si="3"/>
        <v>ü</v>
      </c>
      <c r="BB51" s="495" t="str">
        <f t="shared" si="3"/>
        <v/>
      </c>
      <c r="BC51" s="495" t="str">
        <f t="shared" si="4"/>
        <v/>
      </c>
      <c r="BD51" s="513" t="str">
        <f>Pole_Calc!A$251</f>
        <v>App.8-V08H-P10.3</v>
      </c>
      <c r="BE51" s="429" t="s">
        <v>118</v>
      </c>
      <c r="BF51" s="289"/>
      <c r="BG51" s="289"/>
      <c r="BH51" s="290"/>
      <c r="BI51" s="289"/>
    </row>
    <row r="52" spans="1:61" ht="16.149999999999999" customHeight="1">
      <c r="A52" s="514"/>
      <c r="B52" s="450"/>
      <c r="C52" s="3"/>
      <c r="D52" s="83"/>
      <c r="E52" s="4"/>
      <c r="F52" s="4"/>
      <c r="G52" s="6">
        <v>32</v>
      </c>
      <c r="H52" s="449"/>
      <c r="I52" s="449"/>
      <c r="J52" s="3"/>
      <c r="K52" s="449"/>
      <c r="L52" s="449"/>
      <c r="M52" s="449" t="str">
        <f>IF(L52="","",
IF(AX52="PT",VLOOKUP(L52,Foundation_Calc!$V$79:$X$113,VLOOKUP(AX52,Foundation_Calc!$I$10:$J$13,2,FALSE),0),
IF(AX52="K",VLOOKUP(L52,Foundation_Calc!$V$117:$X$151,VLOOKUP(AX52,Foundation_Calc!$I$10:$J$13,2,FALSE),0),"")))</f>
        <v/>
      </c>
      <c r="N52" s="449"/>
      <c r="O52" s="449"/>
      <c r="P52" s="449"/>
      <c r="Q52" s="4"/>
      <c r="R52" s="6"/>
      <c r="S52" s="6"/>
      <c r="T52" s="4"/>
      <c r="U52" s="4"/>
      <c r="V52" s="4"/>
      <c r="W52" s="9"/>
      <c r="X52" s="9"/>
      <c r="Y52" s="9"/>
      <c r="Z52" s="9"/>
      <c r="AA52" s="9"/>
      <c r="AB52" s="9"/>
      <c r="AC52" s="449" t="str">
        <f t="shared" si="6"/>
        <v/>
      </c>
      <c r="AD52" s="449"/>
      <c r="AE52" s="449"/>
      <c r="AF52" s="4"/>
      <c r="AG52" s="83"/>
      <c r="AH52" s="4"/>
      <c r="AI52" s="4"/>
      <c r="AJ52" s="449"/>
      <c r="AK52" s="449"/>
      <c r="AL52" s="449"/>
      <c r="AM52" s="449"/>
      <c r="AN52" s="10"/>
      <c r="AO52" s="9"/>
      <c r="AP52" s="9"/>
      <c r="AQ52" s="9">
        <f>+FL_2($T$53,$T$51,$G$52,1200,9.28,-1*$F$53)</f>
        <v>-0.35000000000001757</v>
      </c>
      <c r="AR52" s="9"/>
      <c r="AS52" s="9"/>
      <c r="AT52" s="9"/>
      <c r="AU52" s="428"/>
      <c r="AV52" s="428"/>
      <c r="AW52" s="449" t="str">
        <f>IF(C52&gt;0,VLOOKUP(C52,Foundation_Calc!$A$2:$C$13,3,1),
IF(J52&gt;0,VLOOKUP(J52,Foundation_Calc!$A$2:$C$13,3,1),""))</f>
        <v/>
      </c>
      <c r="AX52" s="449" t="str">
        <f>IF(C52&gt;0,VLOOKUP(C52,Foundation_Calc!$E$2:$G$33,3,1),
IF(J52&gt;0,VLOOKUP(J52,Foundation_Calc!$E$2:$G$33,3,1),""))</f>
        <v/>
      </c>
      <c r="AY52" s="10" t="str">
        <f>IF(L52="","",
IF(AX52="PT",VLOOKUP(L52,Foundation_Calc!$K$79:$R$113,VLOOKUP(AW52,Foundation_Calc!$I$2:$J$8,2,FALSE),0),
IF(AX52="K",VLOOKUP(L52,Foundation_Calc!$K$117:$R$151,VLOOKUP(AW52,Foundation_Calc!$I$2:$J$8,2,FALSE),0),"")))</f>
        <v/>
      </c>
      <c r="AZ52" s="10" t="str">
        <f>IF(K52="","",
IF(AX52="PT",VLOOKUP(K52,Foundation_Calc!$K$79:$R$113,VLOOKUP(AW52,Foundation_Calc!$I$2:$J$8,2,FALSE),0),
IF(AX52="K",VLOOKUP(K52,Foundation_Calc!$K$117:$R$151,VLOOKUP(AW52,Foundation_Calc!$I$2:$J$8,2,FALSE),0),"")))</f>
        <v/>
      </c>
      <c r="BA52" s="495" t="str">
        <f t="shared" si="3"/>
        <v/>
      </c>
      <c r="BB52" s="495" t="str">
        <f t="shared" si="3"/>
        <v/>
      </c>
      <c r="BC52" s="495" t="str">
        <f t="shared" si="4"/>
        <v/>
      </c>
      <c r="BD52" s="513" t="str">
        <f>IF(AND(L52="",H52=""),"",
IF(H52="",Pole_Calc!A$9,
IF(H52="MP",Pole_Calc!A$10,
IF(H52="AnMP",Pole_Calc!A$11,
IF(H52="A",Pole_Calc!A$12,
IF(H52="S/A",Pole_Calc!A$13,
IF(H52="A/S",Pole_Calc!A$14,"Poner a mano")))))))</f>
        <v/>
      </c>
      <c r="BE52" s="429" t="s">
        <v>118</v>
      </c>
      <c r="BF52" s="290"/>
      <c r="BG52" s="290"/>
      <c r="BH52" s="290"/>
      <c r="BI52" s="290"/>
    </row>
    <row r="53" spans="1:61" ht="16.149999999999999" customHeight="1">
      <c r="A53" s="514"/>
      <c r="B53" s="450" t="s">
        <v>1789</v>
      </c>
      <c r="C53" s="3">
        <f>+$C$51+$G$52</f>
        <v>58938.239999999991</v>
      </c>
      <c r="D53" s="83"/>
      <c r="E53" s="4"/>
      <c r="F53" s="4">
        <v>0</v>
      </c>
      <c r="G53" s="6"/>
      <c r="H53" s="449"/>
      <c r="I53" s="449"/>
      <c r="J53" s="3"/>
      <c r="K53" s="449"/>
      <c r="L53" s="449" t="s">
        <v>232</v>
      </c>
      <c r="M53" s="449" t="str">
        <f>IF(L53="","",
IF(AX53="PT",VLOOKUP(L53,Foundation_Calc!$V$79:$X$113,VLOOKUP(AX53,Foundation_Calc!$I$10:$J$13,2,FALSE),0),
IF(AX53="K",VLOOKUP(L53,Foundation_Calc!$V$117:$X$151,VLOOKUP(AX53,Foundation_Calc!$I$10:$J$13,2,FALSE),0),"")))</f>
        <v>C5R</v>
      </c>
      <c r="N53" s="449" t="s">
        <v>134</v>
      </c>
      <c r="O53" s="449"/>
      <c r="P53" s="449"/>
      <c r="Q53" s="4"/>
      <c r="R53" s="6"/>
      <c r="S53" s="6"/>
      <c r="T53" s="4">
        <v>30</v>
      </c>
      <c r="U53" s="4"/>
      <c r="V53" s="4"/>
      <c r="W53" s="9">
        <v>1.4</v>
      </c>
      <c r="X53" s="9"/>
      <c r="Y53" s="9"/>
      <c r="Z53" s="9"/>
      <c r="AA53" s="9"/>
      <c r="AB53" s="9"/>
      <c r="AC53" s="449" t="str">
        <f t="shared" si="6"/>
        <v>PHQ</v>
      </c>
      <c r="AD53" s="449"/>
      <c r="AE53" s="449"/>
      <c r="AF53" s="4"/>
      <c r="AG53" s="83"/>
      <c r="AH53" s="4"/>
      <c r="AI53" s="4"/>
      <c r="AJ53" s="449"/>
      <c r="AK53" s="449"/>
      <c r="AL53" s="449" t="s">
        <v>241</v>
      </c>
      <c r="AM53" s="449" t="s">
        <v>126</v>
      </c>
      <c r="AN53" s="10">
        <v>5.5</v>
      </c>
      <c r="AO53" s="9"/>
      <c r="AP53" s="9"/>
      <c r="AQ53" s="9"/>
      <c r="AR53" s="9"/>
      <c r="AS53" s="9"/>
      <c r="AT53" s="9">
        <f>+ab($T$53,$T$51,$T$55,$G$52,$G$54,-1*$F$53,1200)</f>
        <v>5.809499337007324</v>
      </c>
      <c r="AU53" s="428"/>
      <c r="AV53" s="428"/>
      <c r="AW53" s="449" t="str">
        <f>IF(C53&gt;0,VLOOKUP(C53,Foundation_Calc!$A$2:$C$13,3,1),
IF(J53&gt;0,VLOOKUP(J53,Foundation_Calc!$A$2:$C$13,3,1),""))</f>
        <v>Multi Soil</v>
      </c>
      <c r="AX53" s="449" t="str">
        <f>IF(C53&gt;0,VLOOKUP(C53,Foundation_Calc!$E$2:$G$33,3,1),
IF(J53&gt;0,VLOOKUP(J53,Foundation_Calc!$E$2:$G$33,3,1),""))</f>
        <v>PT</v>
      </c>
      <c r="AY53" s="10">
        <f>IF(L53="","",
IF(AX53="PT",VLOOKUP(L53,Foundation_Calc!$K$79:$R$113,VLOOKUP(AW53,Foundation_Calc!$I$2:$J$8,2,FALSE),0),
IF(AX53="K",VLOOKUP(L53,Foundation_Calc!$K$117:$R$151,VLOOKUP(AW53,Foundation_Calc!$I$2:$J$8,2,FALSE),0),"")))</f>
        <v>3.5</v>
      </c>
      <c r="AZ53" s="10" t="str">
        <f>IF(K53="","",
IF(AX53="PT",VLOOKUP(K53,Foundation_Calc!$K$79:$R$113,VLOOKUP(AW53,Foundation_Calc!$I$2:$J$8,2,FALSE),0),
IF(AX53="K",VLOOKUP(K53,Foundation_Calc!$K$117:$R$151,VLOOKUP(AW53,Foundation_Calc!$I$2:$J$8,2,FALSE),0),"")))</f>
        <v/>
      </c>
      <c r="BA53" s="495" t="str">
        <f t="shared" si="3"/>
        <v>ü</v>
      </c>
      <c r="BB53" s="495" t="str">
        <f t="shared" si="3"/>
        <v/>
      </c>
      <c r="BC53" s="495" t="str">
        <f t="shared" si="4"/>
        <v/>
      </c>
      <c r="BD53" s="513" t="str">
        <f>Pole_Calc!A$251</f>
        <v>App.8-V08H-P10.3</v>
      </c>
      <c r="BE53" s="429" t="s">
        <v>118</v>
      </c>
      <c r="BF53" s="289"/>
      <c r="BG53" s="289"/>
      <c r="BH53" s="290"/>
      <c r="BI53" s="289"/>
    </row>
    <row r="54" spans="1:61" ht="16.149999999999999" customHeight="1">
      <c r="A54" s="514"/>
      <c r="B54" s="450"/>
      <c r="C54" s="3"/>
      <c r="D54" s="83"/>
      <c r="E54" s="4"/>
      <c r="F54" s="4"/>
      <c r="G54" s="6">
        <v>23.8</v>
      </c>
      <c r="H54" s="449"/>
      <c r="I54" s="449"/>
      <c r="J54" s="3"/>
      <c r="K54" s="449"/>
      <c r="L54" s="449"/>
      <c r="M54" s="449" t="str">
        <f>IF(L54="","",
IF(AX54="PT",VLOOKUP(L54,Foundation_Calc!$V$79:$X$113,VLOOKUP(AX54,Foundation_Calc!$I$10:$J$13,2,FALSE),0),
IF(AX54="K",VLOOKUP(L54,Foundation_Calc!$V$117:$X$151,VLOOKUP(AX54,Foundation_Calc!$I$10:$J$13,2,FALSE),0),"")))</f>
        <v/>
      </c>
      <c r="N54" s="449"/>
      <c r="O54" s="449"/>
      <c r="P54" s="449"/>
      <c r="Q54" s="4"/>
      <c r="R54" s="6"/>
      <c r="S54" s="6"/>
      <c r="T54" s="4"/>
      <c r="U54" s="4"/>
      <c r="V54" s="4"/>
      <c r="W54" s="9"/>
      <c r="X54" s="9"/>
      <c r="Y54" s="9"/>
      <c r="Z54" s="9"/>
      <c r="AA54" s="9"/>
      <c r="AB54" s="9"/>
      <c r="AC54" s="449" t="str">
        <f t="shared" si="6"/>
        <v/>
      </c>
      <c r="AD54" s="449"/>
      <c r="AE54" s="449"/>
      <c r="AF54" s="4"/>
      <c r="AG54" s="83"/>
      <c r="AH54" s="4"/>
      <c r="AI54" s="4"/>
      <c r="AJ54" s="449"/>
      <c r="AK54" s="449"/>
      <c r="AL54" s="449"/>
      <c r="AM54" s="449"/>
      <c r="AN54" s="10"/>
      <c r="AO54" s="9"/>
      <c r="AP54" s="9"/>
      <c r="AQ54" s="9">
        <f>+FL_1($T$55,$T$53,$G$54,1200,9.28,-1*$F$55)</f>
        <v>0.30000000000000315</v>
      </c>
      <c r="AR54" s="9"/>
      <c r="AS54" s="9"/>
      <c r="AT54" s="9"/>
      <c r="AU54" s="428"/>
      <c r="AV54" s="428"/>
      <c r="AW54" s="449" t="str">
        <f>IF(C54&gt;0,VLOOKUP(C54,Foundation_Calc!$A$2:$C$13,3,1),
IF(J54&gt;0,VLOOKUP(J54,Foundation_Calc!$A$2:$C$13,3,1),""))</f>
        <v/>
      </c>
      <c r="AX54" s="449" t="str">
        <f>IF(C54&gt;0,VLOOKUP(C54,Foundation_Calc!$E$2:$G$33,3,1),
IF(J54&gt;0,VLOOKUP(J54,Foundation_Calc!$E$2:$G$33,3,1),""))</f>
        <v/>
      </c>
      <c r="AY54" s="10" t="str">
        <f>IF(L54="","",
IF(AX54="PT",VLOOKUP(L54,Foundation_Calc!$K$79:$R$113,VLOOKUP(AW54,Foundation_Calc!$I$2:$J$8,2,FALSE),0),
IF(AX54="K",VLOOKUP(L54,Foundation_Calc!$K$117:$R$151,VLOOKUP(AW54,Foundation_Calc!$I$2:$J$8,2,FALSE),0),"")))</f>
        <v/>
      </c>
      <c r="AZ54" s="10" t="str">
        <f>IF(K54="","",
IF(AX54="PT",VLOOKUP(K54,Foundation_Calc!$K$79:$R$113,VLOOKUP(AW54,Foundation_Calc!$I$2:$J$8,2,FALSE),0),
IF(AX54="K",VLOOKUP(K54,Foundation_Calc!$K$117:$R$151,VLOOKUP(AW54,Foundation_Calc!$I$2:$J$8,2,FALSE),0),"")))</f>
        <v/>
      </c>
      <c r="BA54" s="495" t="str">
        <f t="shared" si="3"/>
        <v/>
      </c>
      <c r="BB54" s="495" t="str">
        <f t="shared" si="3"/>
        <v/>
      </c>
      <c r="BC54" s="495" t="str">
        <f t="shared" si="4"/>
        <v/>
      </c>
      <c r="BD54" s="513" t="str">
        <f>IF(AND(L54="",H54=""),"",
IF(H54="",Pole_Calc!A$9,
IF(H54="MP",Pole_Calc!A$10,
IF(H54="AnMP",Pole_Calc!A$11,
IF(H54="A",Pole_Calc!A$12,
IF(H54="S/A",Pole_Calc!A$13,
IF(H54="A/S",Pole_Calc!A$14,"Poner a mano")))))))</f>
        <v/>
      </c>
      <c r="BE54" s="429" t="s">
        <v>118</v>
      </c>
      <c r="BF54" s="290"/>
      <c r="BG54" s="290"/>
      <c r="BH54" s="290"/>
      <c r="BI54" s="290"/>
    </row>
    <row r="55" spans="1:61" ht="16.149999999999999" customHeight="1">
      <c r="A55" s="514"/>
      <c r="B55" s="450" t="s">
        <v>1790</v>
      </c>
      <c r="C55" s="3">
        <f>+$C$53+$G$54</f>
        <v>58962.039999999994</v>
      </c>
      <c r="D55" s="83"/>
      <c r="E55" s="4"/>
      <c r="F55" s="4">
        <v>0</v>
      </c>
      <c r="G55" s="6"/>
      <c r="H55" s="449" t="s">
        <v>121</v>
      </c>
      <c r="I55" s="449" t="s">
        <v>122</v>
      </c>
      <c r="J55" s="3"/>
      <c r="K55" s="449"/>
      <c r="L55" s="449" t="s">
        <v>1610</v>
      </c>
      <c r="M55" s="449" t="str">
        <f>IF(L55="","",
IF(AX55="PT",VLOOKUP(L55,Foundation_Calc!$V$79:$X$113,VLOOKUP(AX55,Foundation_Calc!$I$10:$J$13,2,FALSE),0),
IF(AX55="K",VLOOKUP(L55,Foundation_Calc!$V$117:$X$151,VLOOKUP(AX55,Foundation_Calc!$I$10:$J$13,2,FALSE),0),"")))</f>
        <v>C8R</v>
      </c>
      <c r="N55" s="449" t="s">
        <v>201</v>
      </c>
      <c r="O55" s="449"/>
      <c r="P55" s="449"/>
      <c r="Q55" s="4"/>
      <c r="R55" s="6"/>
      <c r="S55" s="6"/>
      <c r="T55" s="4">
        <v>0</v>
      </c>
      <c r="U55" s="4"/>
      <c r="V55" s="4"/>
      <c r="W55" s="9"/>
      <c r="X55" s="9"/>
      <c r="Y55" s="9"/>
      <c r="Z55" s="9"/>
      <c r="AA55" s="9"/>
      <c r="AB55" s="9"/>
      <c r="AC55" s="449" t="str">
        <f t="shared" si="6"/>
        <v/>
      </c>
      <c r="AD55" s="449"/>
      <c r="AE55" s="449"/>
      <c r="AF55" s="4"/>
      <c r="AG55" s="83"/>
      <c r="AH55" s="4"/>
      <c r="AI55" s="4"/>
      <c r="AJ55" s="449"/>
      <c r="AK55" s="449"/>
      <c r="AL55" s="449"/>
      <c r="AM55" s="449" t="s">
        <v>126</v>
      </c>
      <c r="AN55" s="10"/>
      <c r="AO55" s="9"/>
      <c r="AP55" s="9"/>
      <c r="AQ55" s="9"/>
      <c r="AR55" s="9"/>
      <c r="AS55" s="9"/>
      <c r="AT55" s="9"/>
      <c r="AU55" s="428"/>
      <c r="AV55" s="428"/>
      <c r="AW55" s="449" t="str">
        <f>IF(C55&gt;0,VLOOKUP(C55,Foundation_Calc!$A$2:$C$13,3,1),
IF(J55&gt;0,VLOOKUP(J55,Foundation_Calc!$A$2:$C$13,3,1),""))</f>
        <v>Multi Soil</v>
      </c>
      <c r="AX55" s="449" t="str">
        <f>IF(C55&gt;0,VLOOKUP(C55,Foundation_Calc!$E$2:$G$33,3,1),
IF(J55&gt;0,VLOOKUP(J55,Foundation_Calc!$E$2:$G$33,3,1),""))</f>
        <v>PT</v>
      </c>
      <c r="AY55" s="10">
        <f>IF(L55="","",
IF(AX55="PT",VLOOKUP(L55,Foundation_Calc!$K$79:$R$113,VLOOKUP(AW55,Foundation_Calc!$I$2:$J$8,2,FALSE),0),
IF(AX55="K",VLOOKUP(L55,Foundation_Calc!$K$117:$R$151,VLOOKUP(AW55,Foundation_Calc!$I$2:$J$8,2,FALSE),0),"")))</f>
        <v>4.5</v>
      </c>
      <c r="AZ55" s="10" t="str">
        <f>IF(K55="","",
IF(AX55="PT",VLOOKUP(K55,Foundation_Calc!$K$79:$R$113,VLOOKUP(AW55,Foundation_Calc!$I$2:$J$8,2,FALSE),0),
IF(AX55="K",VLOOKUP(K55,Foundation_Calc!$K$117:$R$151,VLOOKUP(AW55,Foundation_Calc!$I$2:$J$8,2,FALSE),0),"")))</f>
        <v/>
      </c>
      <c r="BA55" s="495" t="str">
        <f t="shared" si="3"/>
        <v>ü</v>
      </c>
      <c r="BB55" s="495" t="str">
        <f t="shared" si="3"/>
        <v/>
      </c>
      <c r="BC55" s="495" t="str">
        <f t="shared" si="4"/>
        <v/>
      </c>
      <c r="BD55" s="513" t="str">
        <f>Pole_Calc!A$199</f>
        <v>App.7-V11I-P11.1</v>
      </c>
      <c r="BE55" s="429" t="s">
        <v>118</v>
      </c>
      <c r="BF55" s="289"/>
      <c r="BG55" s="289"/>
      <c r="BH55" s="290"/>
      <c r="BI55" s="289"/>
    </row>
    <row r="56" spans="1:61" ht="16.149999999999999" customHeight="1">
      <c r="A56" s="502"/>
      <c r="B56" s="503"/>
      <c r="C56" s="504"/>
      <c r="D56" s="612"/>
      <c r="E56" s="506"/>
      <c r="F56" s="506"/>
      <c r="G56" s="507"/>
      <c r="H56" s="508"/>
      <c r="I56" s="508"/>
      <c r="J56" s="509"/>
      <c r="K56" s="508"/>
      <c r="L56" s="508"/>
      <c r="M56" s="508"/>
      <c r="N56" s="508"/>
      <c r="O56" s="508"/>
      <c r="P56" s="508"/>
      <c r="Q56" s="506"/>
      <c r="R56" s="507"/>
      <c r="S56" s="507"/>
      <c r="T56" s="506"/>
      <c r="U56" s="506"/>
      <c r="V56" s="506"/>
      <c r="W56" s="510"/>
      <c r="X56" s="510">
        <f>'HR Track 2'!X496</f>
        <v>0</v>
      </c>
      <c r="Y56" s="510">
        <f>'HR Track 2'!Y496</f>
        <v>0</v>
      </c>
      <c r="Z56" s="510">
        <f>'HR Track 2'!Z496</f>
        <v>0</v>
      </c>
      <c r="AA56" s="510">
        <f>'HR Track 2'!AA496</f>
        <v>0</v>
      </c>
      <c r="AB56" s="510">
        <f>'HR Track 2'!AB496</f>
        <v>0</v>
      </c>
      <c r="AC56" s="508" t="str">
        <f>'HR Track 2'!AC496</f>
        <v>PHQ</v>
      </c>
      <c r="AD56" s="508">
        <f>'HR Track 2'!AD496</f>
        <v>0</v>
      </c>
      <c r="AE56" s="508">
        <f>'HR Track 2'!AE496</f>
        <v>0</v>
      </c>
      <c r="AF56" s="506">
        <f>'HR Track 2'!AF496</f>
        <v>0</v>
      </c>
      <c r="AG56" s="505">
        <f>'HR Track 2'!AG496</f>
        <v>0</v>
      </c>
      <c r="AH56" s="506">
        <f>'HR Track 2'!AH496</f>
        <v>0</v>
      </c>
      <c r="AI56" s="506">
        <f>'HR Track 2'!AI496</f>
        <v>0</v>
      </c>
      <c r="AJ56" s="508"/>
      <c r="AK56" s="508"/>
      <c r="AL56" s="508"/>
      <c r="AM56" s="508"/>
      <c r="AN56" s="510"/>
      <c r="AO56" s="508">
        <f>'HR Track 2'!AO496</f>
        <v>0</v>
      </c>
      <c r="AP56" s="508">
        <f>'HR Track 2'!AP496</f>
        <v>0</v>
      </c>
      <c r="AQ56" s="510"/>
      <c r="AR56" s="510"/>
      <c r="AS56" s="510"/>
      <c r="AT56" s="510"/>
      <c r="AU56" s="511">
        <f>'HR Track 2'!AU496</f>
        <v>0</v>
      </c>
      <c r="AV56" s="511">
        <f>'HR Track 2'!AV496</f>
        <v>0</v>
      </c>
      <c r="AW56" s="508" t="str">
        <f>IF(C56&gt;0,VLOOKUP(C56,Foundation_Calc!$A$2:$C$13,3,1),
IF(J56&gt;0,VLOOKUP(J56,Foundation_Calc!$A$2:$C$13,3,1),""))</f>
        <v/>
      </c>
      <c r="AX56" s="508" t="str">
        <f>IF(C56&gt;0,VLOOKUP(C56,Foundation_Calc!$E$2:$G$13,3,1),
IF(J56&gt;0,VLOOKUP(J56,Foundation_Calc!$E$2:$G$13,3,1),""))</f>
        <v/>
      </c>
      <c r="AY56" s="510" t="str">
        <f>IF(L56="","",
IF(AX56="PT",VLOOKUP(L56,Foundation_Calc!$K$79:$R$113,VLOOKUP(AW56,Foundation_Calc!$I$2:$J$8,2,FALSE),0),
IF(AX56="K",VLOOKUP(L56,Foundation_Calc!$K$117:$R$151,VLOOKUP(AW56,Foundation_Calc!$I$2:$J$8,2,FALSE),0),"")))</f>
        <v/>
      </c>
      <c r="AZ56" s="510" t="str">
        <f>IF(K56="","",
IF(AX56="PT",VLOOKUP(K56,Foundation_Calc!$K$79:$R$113,VLOOKUP(AW56,Foundation_Calc!$I$2:$J$8,2,FALSE),0),
IF(AX56="K",VLOOKUP(K56,Foundation_Calc!$K$117:$R$151,VLOOKUP(AW56,Foundation_Calc!$I$2:$J$8,2,FALSE),0),"")))</f>
        <v/>
      </c>
      <c r="BA56" s="491" t="str">
        <f t="shared" si="3"/>
        <v/>
      </c>
      <c r="BB56" s="491" t="str">
        <f t="shared" si="3"/>
        <v/>
      </c>
      <c r="BC56" s="491" t="str">
        <f t="shared" si="4"/>
        <v/>
      </c>
      <c r="BD56" s="512" t="str">
        <f>IF(AND(L56="",H56=""),"",
IF(H56="",Pole_Calc!A$9,
IF(H56="MP",Pole_Calc!A$10,
IF(H56="AnMP",Pole_Calc!A$11,
IF(H56="A",Pole_Calc!A$12,
IF(H56="S/A",Pole_Calc!A$13,
IF(H56="A/S",Pole_Calc!A$14,"Poner a mano")))))))</f>
        <v/>
      </c>
      <c r="BE56" s="429" t="s">
        <v>118</v>
      </c>
      <c r="BF56" s="290"/>
      <c r="BG56" s="290"/>
      <c r="BH56" s="290"/>
      <c r="BI56" s="290"/>
    </row>
    <row r="57" spans="1:61" ht="16.149999999999999" customHeight="1" thickBot="1">
      <c r="A57" s="519"/>
      <c r="B57" s="520"/>
      <c r="C57" s="521"/>
      <c r="D57" s="522"/>
      <c r="E57" s="523"/>
      <c r="F57" s="523"/>
      <c r="G57" s="524"/>
      <c r="H57" s="525"/>
      <c r="I57" s="525"/>
      <c r="J57" s="521"/>
      <c r="K57" s="525"/>
      <c r="L57" s="525"/>
      <c r="M57" s="525" t="str">
        <f>IF(L57="","",
IF(AX57="PT",VLOOKUP(L57,Foundation_Calc!$V$4:$X$37,VLOOKUP(AX57,Foundation_Calc!$I$10:$J$13,2,FALSE),0),
IF(AX57="K",VLOOKUP(L57,Foundation_Calc!$V$41:$X$74,VLOOKUP(AX57,Foundation_Calc!$I$10:$J$13,2,FALSE),0),"")))</f>
        <v/>
      </c>
      <c r="N57" s="525"/>
      <c r="O57" s="525"/>
      <c r="P57" s="525"/>
      <c r="Q57" s="523"/>
      <c r="R57" s="524"/>
      <c r="S57" s="524"/>
      <c r="T57" s="523"/>
      <c r="U57" s="523"/>
      <c r="V57" s="523"/>
      <c r="W57" s="526"/>
      <c r="X57" s="526"/>
      <c r="Y57" s="526"/>
      <c r="Z57" s="526"/>
      <c r="AA57" s="526"/>
      <c r="AB57" s="526"/>
      <c r="AC57" s="525" t="str">
        <f t="shared" ref="AC57" si="7">IF(OR(AT57&gt;8,AT57&lt;-8),"PH",
IF(OR(AT57&gt;5,AT57&lt;-5),"PHQ",
IF(OR(AT57&gt;1,AT57&lt;-1),
"PHC","")))</f>
        <v/>
      </c>
      <c r="AD57" s="525"/>
      <c r="AE57" s="525"/>
      <c r="AF57" s="523"/>
      <c r="AG57" s="522"/>
      <c r="AH57" s="523"/>
      <c r="AI57" s="523"/>
      <c r="AJ57" s="525"/>
      <c r="AK57" s="525"/>
      <c r="AL57" s="525"/>
      <c r="AM57" s="525"/>
      <c r="AN57" s="527"/>
      <c r="AO57" s="526"/>
      <c r="AP57" s="526"/>
      <c r="AQ57" s="526"/>
      <c r="AR57" s="526"/>
      <c r="AS57" s="526"/>
      <c r="AT57" s="526"/>
      <c r="AU57" s="528"/>
      <c r="AV57" s="528"/>
      <c r="AW57" s="525"/>
      <c r="AX57" s="525"/>
      <c r="AY57" s="527" t="str">
        <f>IF(L57="","",
IF(AX57="PT",VLOOKUP(L57,Foundation_Calc!$K$79:$R$113,VLOOKUP(AW57,Foundation_Calc!$I$2:$J$8,2,FALSE),0),
IF(AX57="K",VLOOKUP(L57,Foundation_Calc!$K$117:$R$151,VLOOKUP(AW57,Foundation_Calc!$I$2:$J$8,2,FALSE),0),"")))</f>
        <v/>
      </c>
      <c r="AZ57" s="527" t="str">
        <f>IF(K57="","",
IF(AX57="PT",VLOOKUP(K57,Foundation_Calc!$K$79:$R$113,VLOOKUP(AW57,Foundation_Calc!$I$2:$J$8,2,FALSE),0),
IF(AX57="K",VLOOKUP(K57,Foundation_Calc!$K$117:$R$151,VLOOKUP(AW57,Foundation_Calc!$I$2:$J$8,2,FALSE),0),"")))</f>
        <v/>
      </c>
      <c r="BA57" s="529"/>
      <c r="BB57" s="529"/>
      <c r="BC57" s="529"/>
      <c r="BD57" s="530" t="str">
        <f>IF(AND(L57="",H57=""),"",
IF(H57="",Pole_Calc!A173,
IF(H57="MP",Pole_Calc!A174,
IF(H57="AnMP",Pole_Calc!A175,
IF(H57="A",Pole_Calc!A176,
IF(H57="S/A",Pole_Calc!A177,
IF(H57="A/S",Pole_Calc!A178,"Poner a mano")))))))</f>
        <v/>
      </c>
      <c r="BE57" s="429" t="s">
        <v>118</v>
      </c>
      <c r="BF57" s="289"/>
      <c r="BG57" s="289"/>
      <c r="BH57" s="290"/>
      <c r="BI57" s="289"/>
    </row>
    <row r="58" spans="1:61" ht="15.75" customHeight="1"/>
    <row r="59" spans="1:61" ht="15.75" customHeight="1"/>
    <row r="60" spans="1:61" ht="15.75" customHeight="1"/>
    <row r="61" spans="1:61" ht="15.75" hidden="1" customHeight="1"/>
    <row r="62" spans="1:61" ht="15.75" hidden="1" customHeight="1"/>
    <row r="63" spans="1:61" ht="15.75" hidden="1" customHeight="1"/>
    <row r="64" spans="1:61" ht="15.75" hidden="1" customHeight="1"/>
    <row r="65" ht="15.75" hidden="1" customHeight="1"/>
    <row r="66" ht="15.75" hidden="1" customHeight="1"/>
    <row r="67" ht="15.75" hidden="1" customHeight="1"/>
    <row r="68" ht="15.75" hidden="1" customHeight="1"/>
    <row r="69" ht="15.75" hidden="1" customHeight="1"/>
    <row r="70" ht="15.75" hidden="1" customHeight="1"/>
    <row r="71" ht="15.75" hidden="1" customHeight="1"/>
    <row r="72" ht="15.75" hidden="1" customHeight="1"/>
    <row r="73" ht="15.75" hidden="1" customHeight="1"/>
    <row r="74" ht="15.75" hidden="1" customHeight="1"/>
    <row r="75" ht="15.75" hidden="1" customHeight="1"/>
    <row r="76" ht="15.75" hidden="1" customHeight="1"/>
    <row r="77" ht="15.75" hidden="1" customHeight="1"/>
    <row r="78" ht="15.75" hidden="1" customHeight="1"/>
    <row r="79" ht="15.75" hidden="1" customHeight="1"/>
    <row r="80" ht="15.75" hidden="1" customHeight="1"/>
    <row r="81" ht="15.75" hidden="1" customHeight="1"/>
    <row r="82" ht="15.75" hidden="1" customHeight="1"/>
    <row r="83" ht="15.75" hidden="1" customHeight="1"/>
    <row r="84" ht="15.75" hidden="1" customHeight="1"/>
    <row r="85" ht="15.75" hidden="1" customHeight="1"/>
    <row r="86" ht="15.75" hidden="1" customHeight="1"/>
    <row r="87" ht="15.75" hidden="1" customHeight="1"/>
    <row r="88" ht="15.75" hidden="1" customHeight="1"/>
    <row r="89" ht="15.75" hidden="1" customHeight="1"/>
    <row r="90" ht="15.75" hidden="1" customHeight="1"/>
    <row r="91" ht="15.75" hidden="1" customHeight="1"/>
    <row r="92" ht="15.75" hidden="1" customHeight="1"/>
    <row r="93" ht="15.75" hidden="1" customHeight="1"/>
    <row r="94" ht="15.75" hidden="1" customHeight="1"/>
    <row r="95" ht="15.75" hidden="1" customHeight="1"/>
    <row r="96" ht="15.75" hidden="1" customHeight="1"/>
    <row r="97" ht="15.75" hidden="1" customHeight="1"/>
    <row r="98" ht="15.75" hidden="1" customHeight="1"/>
    <row r="99" ht="15.75" hidden="1" customHeight="1"/>
    <row r="100" ht="15.75" hidden="1" customHeight="1"/>
    <row r="101" ht="15.75" hidden="1" customHeight="1"/>
    <row r="102" ht="15.75" hidden="1" customHeight="1"/>
    <row r="103" ht="15.75" hidden="1" customHeight="1"/>
    <row r="104" ht="15.75" hidden="1" customHeight="1"/>
    <row r="105" ht="15.75" hidden="1" customHeight="1"/>
    <row r="106" ht="15.75" hidden="1" customHeight="1"/>
    <row r="107" ht="15.75" hidden="1" customHeight="1"/>
    <row r="108" ht="15.75" hidden="1" customHeight="1"/>
    <row r="109" ht="15.75" hidden="1" customHeight="1"/>
    <row r="110" ht="15.75" hidden="1" customHeight="1"/>
    <row r="111" ht="15.75" hidden="1" customHeight="1"/>
    <row r="112" ht="15.75" hidden="1" customHeight="1"/>
    <row r="113" ht="15.75" hidden="1" customHeight="1"/>
    <row r="114" ht="15.75" hidden="1" customHeight="1"/>
    <row r="115" ht="15.75" hidden="1" customHeight="1"/>
    <row r="116" ht="15.75" hidden="1" customHeight="1"/>
    <row r="117" ht="15.75" hidden="1" customHeight="1"/>
    <row r="118" ht="15.75" hidden="1" customHeight="1"/>
    <row r="119" ht="15.75" hidden="1" customHeight="1"/>
    <row r="120" ht="15.75" hidden="1" customHeight="1"/>
    <row r="121" ht="15.75" hidden="1" customHeight="1"/>
    <row r="122" ht="15.75" hidden="1" customHeight="1"/>
    <row r="123" ht="15.75" hidden="1" customHeight="1"/>
    <row r="124" ht="15.75" hidden="1" customHeight="1"/>
    <row r="125" ht="15.75" hidden="1" customHeight="1"/>
    <row r="126" ht="15.75" hidden="1" customHeight="1"/>
    <row r="127" ht="15.75" hidden="1" customHeight="1"/>
    <row r="128" ht="15.75" hidden="1" customHeight="1"/>
    <row r="129" ht="15.75" hidden="1" customHeight="1"/>
    <row r="130" ht="15.75" hidden="1" customHeight="1"/>
    <row r="131" ht="15.75" hidden="1" customHeight="1"/>
    <row r="132" ht="15.75" hidden="1" customHeight="1"/>
    <row r="133" ht="15.75" hidden="1" customHeight="1"/>
    <row r="134" ht="15.75" hidden="1" customHeight="1"/>
    <row r="135" ht="15.75" hidden="1" customHeight="1"/>
    <row r="136" ht="15.75" hidden="1" customHeight="1"/>
    <row r="137" ht="15.75" hidden="1" customHeight="1"/>
    <row r="138" ht="15.75" hidden="1" customHeight="1"/>
    <row r="139" ht="15.75" hidden="1" customHeight="1"/>
    <row r="140" ht="15.75" hidden="1" customHeight="1"/>
    <row r="141" ht="15.75" hidden="1" customHeight="1"/>
    <row r="142" ht="15.75" hidden="1" customHeight="1"/>
    <row r="143" ht="15.75" hidden="1" customHeight="1"/>
    <row r="144" ht="15.75" hidden="1" customHeight="1"/>
    <row r="145" ht="15.75" hidden="1" customHeight="1"/>
    <row r="146" ht="15.75" hidden="1" customHeight="1"/>
    <row r="147" ht="15.75" hidden="1" customHeight="1"/>
    <row r="148" ht="15.75" hidden="1" customHeight="1"/>
    <row r="149" ht="15.75" hidden="1" customHeight="1"/>
    <row r="150" ht="15.75" hidden="1" customHeight="1"/>
    <row r="151" ht="15.75" hidden="1" customHeight="1"/>
    <row r="152" ht="15.75" hidden="1" customHeight="1"/>
    <row r="153" ht="15.75" hidden="1" customHeight="1"/>
    <row r="154" ht="15.75" hidden="1" customHeight="1"/>
    <row r="155" ht="15.75" hidden="1" customHeight="1"/>
    <row r="156" ht="15.75" hidden="1" customHeight="1"/>
    <row r="157" ht="15.75" hidden="1" customHeight="1"/>
    <row r="158" ht="15.75" hidden="1" customHeight="1"/>
    <row r="159" ht="15.75" hidden="1" customHeight="1"/>
    <row r="160" ht="15.75" hidden="1" customHeight="1"/>
    <row r="161" ht="15.75" hidden="1" customHeight="1"/>
    <row r="162" ht="15.75" hidden="1" customHeight="1"/>
    <row r="163" ht="15.75" hidden="1" customHeight="1"/>
    <row r="164" ht="15.75" hidden="1" customHeight="1"/>
    <row r="165" ht="15.75" hidden="1" customHeight="1"/>
    <row r="166" ht="15.75" hidden="1" customHeight="1"/>
    <row r="167" ht="15.75" hidden="1" customHeight="1"/>
    <row r="168" ht="15.75" hidden="1" customHeight="1"/>
    <row r="169" ht="15.75" hidden="1" customHeight="1"/>
    <row r="170" ht="15.75" hidden="1" customHeight="1"/>
    <row r="171" ht="15.75" hidden="1" customHeight="1"/>
    <row r="172" ht="15.75" hidden="1" customHeight="1"/>
    <row r="173" ht="15.75" hidden="1" customHeight="1"/>
    <row r="174" ht="15.75" hidden="1" customHeight="1"/>
    <row r="175" ht="15.75" hidden="1" customHeight="1"/>
    <row r="176" ht="15.75" hidden="1" customHeight="1"/>
    <row r="177" ht="15.75" hidden="1" customHeight="1"/>
    <row r="178" ht="15.75" hidden="1" customHeight="1"/>
    <row r="179" ht="15.75" hidden="1" customHeight="1"/>
    <row r="180" ht="15.75" hidden="1" customHeight="1"/>
    <row r="181" ht="15.75" hidden="1" customHeight="1"/>
    <row r="182" ht="15.75" hidden="1" customHeight="1"/>
    <row r="183" ht="15.75" hidden="1" customHeight="1"/>
    <row r="184" ht="15.75" hidden="1" customHeight="1"/>
    <row r="185" ht="15.75" hidden="1" customHeight="1"/>
    <row r="186" ht="15.75" hidden="1" customHeight="1"/>
    <row r="187" ht="15.75" hidden="1" customHeight="1"/>
    <row r="188" ht="15.75" hidden="1" customHeight="1"/>
    <row r="189" ht="15.75" hidden="1" customHeight="1"/>
    <row r="190" ht="15.75" hidden="1" customHeight="1"/>
    <row r="191" ht="15.75" hidden="1" customHeight="1"/>
    <row r="192" ht="15.75" hidden="1" customHeight="1"/>
    <row r="193" ht="15.75" hidden="1" customHeight="1"/>
    <row r="194" ht="15.75" hidden="1" customHeight="1"/>
    <row r="195" ht="15.75" hidden="1" customHeight="1"/>
    <row r="196" ht="15.75" hidden="1" customHeight="1"/>
    <row r="197" ht="15.75" hidden="1" customHeight="1"/>
    <row r="198" ht="15.75" hidden="1" customHeight="1"/>
    <row r="199" ht="15.75" hidden="1" customHeight="1"/>
    <row r="200" ht="15.75" hidden="1" customHeight="1"/>
    <row r="201" ht="15.75" hidden="1" customHeight="1"/>
    <row r="202" ht="15.75" hidden="1" customHeight="1"/>
    <row r="203" ht="15.75" hidden="1" customHeight="1"/>
    <row r="204" ht="15.75" hidden="1" customHeight="1"/>
    <row r="205" ht="15.75" hidden="1" customHeight="1"/>
    <row r="206" ht="15.75" hidden="1" customHeight="1"/>
    <row r="207" ht="15.75" hidden="1" customHeight="1"/>
    <row r="208" ht="15.75" hidden="1" customHeight="1"/>
    <row r="209" ht="15.75" hidden="1" customHeight="1"/>
    <row r="210" ht="15.75" hidden="1" customHeight="1"/>
    <row r="211" ht="15.75" hidden="1" customHeight="1"/>
    <row r="212" ht="15.75" hidden="1" customHeight="1"/>
    <row r="213" ht="15.75" hidden="1" customHeight="1"/>
    <row r="214" ht="15.75" hidden="1" customHeight="1"/>
    <row r="215" ht="15.75" hidden="1" customHeight="1"/>
    <row r="216" ht="15.75" hidden="1" customHeight="1"/>
    <row r="217" ht="15.75" hidden="1" customHeight="1"/>
    <row r="218" ht="15.75" hidden="1" customHeight="1"/>
    <row r="219" ht="15.75" hidden="1" customHeight="1"/>
    <row r="220" ht="15.75" hidden="1" customHeight="1"/>
    <row r="221" ht="15.75" hidden="1" customHeight="1"/>
    <row r="222" ht="15.75" hidden="1" customHeight="1"/>
    <row r="223" ht="15.75" hidden="1" customHeight="1"/>
    <row r="224" ht="15.75" hidden="1" customHeight="1"/>
    <row r="225" ht="15.75" hidden="1" customHeight="1"/>
    <row r="226" ht="15.75" hidden="1" customHeight="1"/>
    <row r="227" ht="15.75" hidden="1" customHeight="1"/>
    <row r="228" ht="15.75" hidden="1" customHeight="1"/>
    <row r="229" ht="15.75" hidden="1" customHeight="1"/>
    <row r="230" ht="15.75" hidden="1" customHeight="1"/>
    <row r="231" ht="15.75" hidden="1" customHeight="1"/>
    <row r="232" ht="15.75" hidden="1" customHeight="1"/>
    <row r="233" ht="15.75" hidden="1" customHeight="1"/>
    <row r="234" ht="15.75" hidden="1" customHeight="1"/>
    <row r="235" ht="15.75" hidden="1" customHeight="1"/>
    <row r="236" ht="15.75" hidden="1" customHeight="1"/>
    <row r="237" ht="15.75" hidden="1" customHeight="1"/>
    <row r="238" ht="15.75" hidden="1" customHeight="1"/>
    <row r="239" ht="15.75" hidden="1" customHeight="1"/>
    <row r="240" ht="15.75" hidden="1" customHeight="1"/>
    <row r="241" ht="15.75" hidden="1" customHeight="1"/>
    <row r="242" ht="15.75" hidden="1" customHeight="1"/>
    <row r="243" ht="15.75" hidden="1" customHeight="1"/>
    <row r="244" ht="15.75" hidden="1" customHeight="1"/>
    <row r="245" ht="15.75" hidden="1" customHeight="1"/>
    <row r="246" ht="15.75" hidden="1" customHeight="1"/>
    <row r="247" ht="15.75" hidden="1" customHeight="1"/>
    <row r="248" ht="15.75" hidden="1" customHeight="1"/>
    <row r="249" ht="15.75" hidden="1" customHeight="1"/>
    <row r="250" ht="15.75" hidden="1" customHeight="1"/>
    <row r="251" ht="15.75" hidden="1" customHeight="1"/>
    <row r="252" ht="15.75" hidden="1" customHeight="1"/>
    <row r="253" ht="15.75" hidden="1" customHeight="1"/>
    <row r="254" ht="15.75" hidden="1" customHeight="1"/>
    <row r="255" ht="15.75" hidden="1" customHeight="1"/>
    <row r="256" ht="15.75" hidden="1" customHeight="1"/>
    <row r="257" ht="15.75" hidden="1" customHeight="1"/>
    <row r="258" ht="15.75" hidden="1" customHeight="1"/>
    <row r="259" ht="15.75" hidden="1" customHeight="1"/>
    <row r="260" ht="15.75" hidden="1" customHeight="1"/>
    <row r="261" ht="15.75" hidden="1" customHeight="1"/>
    <row r="262" ht="15.75" hidden="1" customHeight="1"/>
    <row r="263" ht="15.75" hidden="1" customHeight="1"/>
    <row r="264" ht="15.75" hidden="1" customHeight="1"/>
    <row r="265" ht="15.75" hidden="1" customHeight="1"/>
    <row r="266" ht="15.75" hidden="1" customHeight="1"/>
    <row r="267" ht="15.75" hidden="1" customHeight="1"/>
    <row r="268" ht="15.75" hidden="1" customHeight="1"/>
    <row r="269" ht="15.75" hidden="1" customHeight="1"/>
    <row r="270" ht="15.75" hidden="1" customHeight="1"/>
    <row r="271" ht="15.75" hidden="1" customHeight="1"/>
    <row r="272" ht="15.75" hidden="1" customHeight="1"/>
    <row r="273" ht="15.75" hidden="1" customHeight="1"/>
    <row r="274" ht="15.75" hidden="1" customHeight="1"/>
    <row r="275" ht="15.75" hidden="1" customHeight="1"/>
    <row r="276" ht="15.75" hidden="1" customHeight="1"/>
    <row r="277" ht="15.75" hidden="1" customHeight="1"/>
    <row r="278" ht="15.75" hidden="1" customHeight="1"/>
    <row r="279" ht="15.75" hidden="1" customHeight="1"/>
    <row r="280" ht="15.75" hidden="1" customHeight="1"/>
    <row r="281" ht="15.75" hidden="1" customHeight="1"/>
    <row r="282" ht="15.75" hidden="1" customHeight="1"/>
    <row r="283" ht="15.75" hidden="1" customHeight="1"/>
    <row r="284" ht="15.75" hidden="1" customHeight="1"/>
    <row r="285" ht="15.75" hidden="1" customHeight="1"/>
    <row r="286" ht="15.75" hidden="1" customHeight="1"/>
    <row r="287" ht="15.75" hidden="1" customHeight="1"/>
    <row r="288" ht="15.75" hidden="1" customHeight="1"/>
    <row r="289" ht="15.75" hidden="1" customHeight="1"/>
    <row r="290" ht="15.75" hidden="1" customHeight="1"/>
    <row r="291" ht="15.75" hidden="1" customHeight="1"/>
    <row r="292" ht="15.75" hidden="1" customHeight="1"/>
    <row r="293" ht="15.75" hidden="1" customHeight="1"/>
    <row r="294" ht="15.75" hidden="1" customHeight="1"/>
    <row r="295" ht="15.75" hidden="1" customHeight="1"/>
    <row r="296" ht="15.75" hidden="1" customHeight="1"/>
    <row r="297" ht="15.75" hidden="1" customHeight="1"/>
    <row r="298" ht="15.75" hidden="1" customHeight="1"/>
    <row r="299" ht="15.75" hidden="1" customHeight="1"/>
    <row r="300" ht="15.75" hidden="1" customHeight="1"/>
    <row r="301" ht="15.75" hidden="1" customHeight="1"/>
    <row r="302" ht="15.75" hidden="1" customHeight="1"/>
    <row r="303" ht="15.75" hidden="1" customHeight="1"/>
    <row r="304" ht="15.75" hidden="1" customHeight="1"/>
    <row r="305" ht="15.75" hidden="1" customHeight="1"/>
    <row r="306" ht="15.75" hidden="1" customHeight="1"/>
    <row r="307" ht="15.75" hidden="1" customHeight="1"/>
    <row r="308" ht="15.75" hidden="1" customHeight="1"/>
    <row r="309" ht="15.75" hidden="1" customHeight="1"/>
    <row r="310" ht="15.75" hidden="1" customHeight="1"/>
    <row r="311" ht="15.75" hidden="1" customHeight="1"/>
    <row r="312" ht="15.75" hidden="1" customHeight="1"/>
    <row r="313" ht="15.75" hidden="1" customHeight="1"/>
    <row r="314" ht="15.75" hidden="1" customHeight="1"/>
    <row r="315" ht="15.75" hidden="1" customHeight="1"/>
    <row r="316" ht="15.75" hidden="1" customHeight="1"/>
    <row r="317" ht="15.75" hidden="1" customHeight="1"/>
    <row r="318" ht="15.75" hidden="1" customHeight="1"/>
    <row r="319" ht="15.75" hidden="1" customHeight="1"/>
    <row r="320" ht="15.75" hidden="1" customHeight="1"/>
    <row r="321" ht="15.75" hidden="1" customHeight="1"/>
    <row r="322" ht="15.75" hidden="1" customHeight="1"/>
    <row r="323" ht="15.75" hidden="1" customHeight="1"/>
    <row r="324" ht="15.75" hidden="1" customHeight="1"/>
    <row r="325" ht="15.75" hidden="1" customHeight="1"/>
    <row r="326" ht="15.75" hidden="1" customHeight="1"/>
    <row r="327" ht="15.75" hidden="1" customHeight="1"/>
    <row r="328" ht="15.75" hidden="1" customHeight="1"/>
    <row r="329" ht="15.75" hidden="1" customHeight="1"/>
    <row r="330" ht="15.75" hidden="1" customHeight="1"/>
    <row r="331" ht="15.75" hidden="1" customHeight="1"/>
    <row r="332" ht="15.75" hidden="1" customHeight="1"/>
    <row r="333" ht="15.75" hidden="1" customHeight="1"/>
    <row r="334" ht="15.75" hidden="1" customHeight="1"/>
    <row r="335" ht="15.75" hidden="1" customHeight="1"/>
    <row r="336" ht="15.75" hidden="1" customHeight="1"/>
    <row r="337" ht="15.75" hidden="1" customHeight="1"/>
    <row r="338" ht="15.75" hidden="1" customHeight="1"/>
    <row r="339" ht="15.75" hidden="1" customHeight="1"/>
    <row r="340" ht="15.75" hidden="1" customHeight="1"/>
    <row r="341" ht="15.75" hidden="1" customHeight="1"/>
    <row r="342" ht="15.75" hidden="1" customHeight="1"/>
    <row r="343" ht="15.75" hidden="1" customHeight="1"/>
    <row r="344" ht="15.75" hidden="1" customHeight="1"/>
    <row r="345" ht="15.75" hidden="1" customHeight="1"/>
    <row r="346" ht="15.75" hidden="1" customHeight="1"/>
    <row r="347" ht="15.75" hidden="1" customHeight="1"/>
    <row r="348" ht="15.75" hidden="1" customHeight="1"/>
    <row r="349" ht="15.75" hidden="1" customHeight="1"/>
    <row r="350" ht="15.75" hidden="1" customHeight="1"/>
    <row r="351" ht="15.75" hidden="1" customHeight="1"/>
    <row r="352" ht="15.75" hidden="1" customHeight="1"/>
    <row r="353" ht="15.75" hidden="1" customHeight="1"/>
    <row r="354" ht="15.75" hidden="1" customHeight="1"/>
    <row r="355" ht="15.75" hidden="1" customHeight="1"/>
    <row r="356" ht="15.75" hidden="1" customHeight="1"/>
    <row r="357" ht="15.75" hidden="1" customHeight="1"/>
    <row r="358" ht="15.75" hidden="1" customHeight="1"/>
    <row r="359" ht="15.75" hidden="1" customHeight="1"/>
    <row r="360" ht="15.75" hidden="1" customHeight="1"/>
    <row r="361" ht="15.75" hidden="1" customHeight="1"/>
    <row r="362" ht="15.75" hidden="1" customHeight="1"/>
    <row r="363" ht="15.75" hidden="1" customHeight="1"/>
    <row r="364" ht="15.75" hidden="1" customHeight="1"/>
    <row r="365" ht="15.75" hidden="1" customHeight="1"/>
    <row r="366" ht="15.75" hidden="1" customHeight="1"/>
    <row r="367" ht="15.75" hidden="1" customHeight="1"/>
    <row r="368" ht="15.75" hidden="1" customHeight="1"/>
    <row r="369" ht="15.75" hidden="1" customHeight="1"/>
    <row r="370" ht="15.75" hidden="1" customHeight="1"/>
    <row r="371" ht="15.75" hidden="1" customHeight="1"/>
    <row r="372" ht="15.75" hidden="1" customHeight="1"/>
    <row r="373" ht="15.75" hidden="1" customHeight="1"/>
    <row r="374" ht="15.75" hidden="1" customHeight="1"/>
    <row r="375" ht="15.75" hidden="1" customHeight="1"/>
    <row r="376" ht="15.75" hidden="1" customHeight="1"/>
    <row r="377" ht="15.75" hidden="1" customHeight="1"/>
    <row r="378" ht="15.75" hidden="1" customHeight="1"/>
    <row r="379" ht="15.75" hidden="1" customHeight="1"/>
    <row r="380" ht="15.75" hidden="1" customHeight="1"/>
    <row r="381" ht="15.75" hidden="1" customHeight="1"/>
    <row r="382" ht="15.75" hidden="1" customHeight="1"/>
    <row r="383" ht="15.75" hidden="1" customHeight="1"/>
    <row r="384" ht="15.75" hidden="1" customHeight="1"/>
    <row r="385" ht="15.75" hidden="1" customHeight="1"/>
    <row r="386" ht="15.75" hidden="1" customHeight="1"/>
    <row r="387" ht="15.75" hidden="1" customHeight="1"/>
    <row r="388" ht="15.75" hidden="1" customHeight="1"/>
    <row r="389" ht="15.75" hidden="1" customHeight="1"/>
    <row r="390" ht="15.75" hidden="1" customHeight="1"/>
    <row r="391" ht="15.75" hidden="1" customHeight="1"/>
    <row r="392" ht="15.75" hidden="1" customHeight="1"/>
    <row r="393" ht="15.75" hidden="1" customHeight="1"/>
    <row r="394" ht="15.75" hidden="1" customHeight="1"/>
    <row r="395" ht="15.75" hidden="1" customHeight="1"/>
    <row r="396" ht="15.75" hidden="1" customHeight="1"/>
    <row r="397" ht="15.75" hidden="1" customHeight="1"/>
    <row r="398" ht="15.75" hidden="1" customHeight="1"/>
    <row r="399" ht="15.75" hidden="1" customHeight="1"/>
    <row r="400" ht="15.75" hidden="1" customHeight="1"/>
    <row r="401" ht="15.75" hidden="1" customHeight="1"/>
    <row r="402" ht="15.75" hidden="1" customHeight="1"/>
    <row r="403" ht="15.75" hidden="1" customHeight="1"/>
    <row r="404" ht="15.75" hidden="1" customHeight="1"/>
    <row r="405" ht="15.75" hidden="1" customHeight="1"/>
    <row r="406" ht="15.75" hidden="1" customHeight="1"/>
    <row r="407" ht="15.75" hidden="1" customHeight="1"/>
    <row r="408" ht="15.75" hidden="1" customHeight="1"/>
    <row r="409" ht="15.75" hidden="1" customHeight="1"/>
    <row r="410" ht="15.75" hidden="1" customHeight="1"/>
    <row r="411" ht="15.75" hidden="1" customHeight="1"/>
    <row r="412" ht="15.75" hidden="1" customHeight="1"/>
    <row r="413" ht="15.75" hidden="1" customHeight="1"/>
    <row r="414" ht="15.75" hidden="1" customHeight="1"/>
    <row r="415" ht="15.75" hidden="1" customHeight="1"/>
    <row r="416" ht="15.75" hidden="1" customHeight="1"/>
    <row r="417" ht="15.75" hidden="1" customHeight="1"/>
    <row r="418" ht="15.75" hidden="1" customHeight="1"/>
    <row r="419" ht="15.75" hidden="1" customHeight="1"/>
    <row r="420" ht="15.75" hidden="1" customHeight="1"/>
    <row r="421" ht="15.75" hidden="1" customHeight="1"/>
    <row r="422" ht="15.75" hidden="1" customHeight="1"/>
    <row r="423" ht="15.75" hidden="1" customHeight="1"/>
    <row r="424" ht="15.75" hidden="1" customHeight="1"/>
    <row r="425" ht="15.75" hidden="1" customHeight="1"/>
    <row r="426" ht="15.75" hidden="1" customHeight="1"/>
    <row r="427" ht="15.75" hidden="1" customHeight="1"/>
    <row r="428" ht="15.75" hidden="1" customHeight="1"/>
    <row r="429" ht="15.75" hidden="1" customHeight="1"/>
    <row r="430" ht="15.75" hidden="1" customHeight="1"/>
    <row r="431" ht="15.75" hidden="1" customHeight="1"/>
    <row r="432" ht="15.75" hidden="1" customHeight="1"/>
    <row r="433" ht="15.75" hidden="1" customHeight="1"/>
    <row r="434" ht="15.75" hidden="1" customHeight="1"/>
    <row r="435" ht="15.75" hidden="1" customHeight="1"/>
    <row r="436" ht="15.75" hidden="1" customHeight="1"/>
    <row r="437" ht="15.75" hidden="1" customHeight="1"/>
    <row r="438" ht="15.75" hidden="1" customHeight="1"/>
    <row r="439" ht="15.75" hidden="1" customHeight="1"/>
    <row r="440" ht="15.75" hidden="1" customHeight="1"/>
    <row r="441" ht="15.75" hidden="1" customHeight="1"/>
    <row r="442" ht="15.75" hidden="1" customHeight="1"/>
    <row r="443" ht="15.75" hidden="1" customHeight="1"/>
    <row r="444" ht="15.75" hidden="1" customHeight="1"/>
    <row r="445" ht="15.75" hidden="1" customHeight="1"/>
    <row r="446" ht="15.75" hidden="1" customHeight="1"/>
    <row r="447" ht="15.75" hidden="1" customHeight="1"/>
    <row r="448" ht="15.75" hidden="1" customHeight="1"/>
    <row r="449" ht="15.75" hidden="1" customHeight="1"/>
    <row r="450" ht="15.75" hidden="1" customHeight="1"/>
    <row r="451" ht="15.75" hidden="1" customHeight="1"/>
    <row r="452" ht="15.75" hidden="1" customHeight="1"/>
    <row r="453" ht="15.75" hidden="1" customHeight="1"/>
    <row r="454" ht="15.75" hidden="1" customHeight="1"/>
    <row r="455" ht="15.75" hidden="1" customHeight="1"/>
    <row r="456" ht="15.75" hidden="1" customHeight="1"/>
    <row r="457" ht="15.75" hidden="1" customHeight="1"/>
    <row r="458" ht="15.75" hidden="1" customHeight="1"/>
    <row r="459" ht="15.75" hidden="1" customHeight="1"/>
    <row r="460" ht="15.75" hidden="1" customHeight="1"/>
    <row r="461" ht="15.75" hidden="1" customHeight="1"/>
    <row r="462" ht="15.75" hidden="1" customHeight="1"/>
    <row r="463" ht="15.75" hidden="1" customHeight="1"/>
    <row r="464" ht="15.75" hidden="1" customHeight="1"/>
    <row r="465" ht="15.75" hidden="1" customHeight="1"/>
    <row r="466" ht="15.75" hidden="1" customHeight="1"/>
    <row r="467" ht="15.75" hidden="1" customHeight="1"/>
    <row r="468" ht="15.75" hidden="1" customHeight="1"/>
    <row r="469" ht="15.75" hidden="1" customHeight="1"/>
    <row r="470" ht="15.75" hidden="1" customHeight="1"/>
    <row r="471" ht="15.75" hidden="1" customHeight="1"/>
    <row r="472" ht="15.75" hidden="1" customHeight="1"/>
    <row r="473" ht="15.75" hidden="1" customHeight="1"/>
    <row r="474" ht="15.75" hidden="1" customHeight="1"/>
    <row r="475" ht="15.75" hidden="1" customHeight="1"/>
    <row r="476" ht="15.75" hidden="1" customHeight="1"/>
    <row r="477" ht="15.75" hidden="1" customHeight="1"/>
    <row r="478" ht="15.75" hidden="1" customHeight="1"/>
    <row r="479" ht="15.75" hidden="1" customHeight="1"/>
    <row r="480" ht="15.75" hidden="1" customHeight="1"/>
    <row r="481" ht="15.75" hidden="1" customHeight="1"/>
    <row r="482" ht="15.75" hidden="1" customHeight="1"/>
    <row r="483" ht="15.75" hidden="1" customHeight="1"/>
    <row r="484" ht="15.75" hidden="1" customHeight="1"/>
    <row r="485" ht="15.75" hidden="1" customHeight="1"/>
    <row r="486" ht="15.75" hidden="1" customHeight="1"/>
    <row r="487" ht="15.75" hidden="1" customHeight="1"/>
    <row r="488" ht="15.75" hidden="1" customHeight="1"/>
    <row r="489" ht="15.75" hidden="1" customHeight="1"/>
    <row r="490" ht="15.75" hidden="1" customHeight="1"/>
    <row r="491" ht="15.75" hidden="1" customHeight="1"/>
    <row r="492" ht="15.75" hidden="1" customHeight="1"/>
    <row r="493" ht="15.75" hidden="1" customHeight="1"/>
    <row r="494" ht="15.75" hidden="1" customHeight="1"/>
    <row r="495" ht="15.75" hidden="1" customHeight="1"/>
    <row r="496" ht="15.75" hidden="1" customHeight="1"/>
    <row r="497" ht="15.75" hidden="1" customHeight="1"/>
    <row r="498" ht="15.75" hidden="1" customHeight="1"/>
    <row r="499" ht="15.75" hidden="1" customHeight="1"/>
    <row r="500" ht="15.75" hidden="1" customHeight="1"/>
    <row r="501" ht="15.75" hidden="1" customHeight="1"/>
    <row r="502" ht="15.75" hidden="1" customHeight="1"/>
    <row r="503" ht="15.75" hidden="1" customHeight="1"/>
    <row r="504" ht="15.75" hidden="1" customHeight="1"/>
    <row r="505" ht="15.75" hidden="1" customHeight="1"/>
    <row r="506" ht="15.75" hidden="1" customHeight="1"/>
    <row r="507" ht="15.75" hidden="1" customHeight="1"/>
    <row r="508" ht="15.75" hidden="1" customHeight="1"/>
    <row r="509" ht="15.75" hidden="1" customHeight="1"/>
    <row r="510" ht="15.75" hidden="1" customHeight="1"/>
    <row r="511" ht="15.75" hidden="1" customHeight="1"/>
    <row r="512" ht="15.75" hidden="1" customHeight="1"/>
    <row r="513" ht="15.75" hidden="1" customHeight="1"/>
    <row r="514" ht="15.75" hidden="1" customHeight="1"/>
    <row r="515" ht="15.75" hidden="1" customHeight="1"/>
    <row r="516" ht="15.75" hidden="1" customHeight="1"/>
    <row r="517" ht="15.75" hidden="1" customHeight="1"/>
    <row r="518" ht="15.75" hidden="1" customHeight="1"/>
    <row r="519" ht="15.75" hidden="1" customHeight="1"/>
    <row r="520" ht="15.75" hidden="1" customHeight="1"/>
    <row r="521" ht="15.75" hidden="1" customHeight="1"/>
    <row r="522" ht="15.75" hidden="1" customHeight="1"/>
    <row r="523" ht="15.75" hidden="1" customHeight="1"/>
    <row r="524" ht="15.75" hidden="1" customHeight="1"/>
    <row r="525" ht="15.75" hidden="1" customHeight="1"/>
    <row r="526" ht="15.75" hidden="1" customHeight="1"/>
    <row r="527" ht="15.75" hidden="1" customHeight="1"/>
    <row r="528" ht="15.75" hidden="1" customHeight="1"/>
    <row r="529" ht="15.75" hidden="1" customHeight="1"/>
    <row r="530" ht="15.75" hidden="1" customHeight="1"/>
    <row r="531" ht="15.75" hidden="1" customHeight="1"/>
    <row r="532" ht="15.75" hidden="1" customHeight="1"/>
    <row r="533" ht="15.75" hidden="1" customHeight="1"/>
    <row r="534" ht="15.75" hidden="1" customHeight="1"/>
    <row r="535" ht="15.75" hidden="1" customHeight="1"/>
    <row r="536" ht="15.75" hidden="1" customHeight="1"/>
    <row r="537" ht="15.75" hidden="1" customHeight="1"/>
    <row r="538" ht="15.75" hidden="1" customHeight="1"/>
    <row r="539" ht="15.75" hidden="1" customHeight="1"/>
    <row r="540" ht="15.75" hidden="1" customHeight="1"/>
    <row r="541" ht="15.75" hidden="1" customHeight="1"/>
    <row r="542" ht="15.75" hidden="1" customHeight="1"/>
    <row r="543" ht="15.75" hidden="1" customHeight="1"/>
    <row r="544" ht="15.75" hidden="1" customHeight="1"/>
    <row r="545" ht="15.75" hidden="1" customHeight="1"/>
    <row r="546" ht="15.75" hidden="1" customHeight="1"/>
    <row r="547" ht="15.75" hidden="1" customHeight="1"/>
    <row r="548" ht="15.75" hidden="1" customHeight="1"/>
    <row r="549" ht="15.75" hidden="1" customHeight="1"/>
    <row r="550" ht="15.75" hidden="1" customHeight="1"/>
    <row r="551" ht="15.75" hidden="1" customHeight="1"/>
    <row r="552" ht="15.75" hidden="1" customHeight="1"/>
    <row r="553" ht="15.75" hidden="1" customHeight="1"/>
    <row r="554" ht="15.75" hidden="1" customHeight="1"/>
    <row r="555" ht="15.75" hidden="1" customHeight="1"/>
    <row r="556" ht="15.75" hidden="1" customHeight="1"/>
    <row r="557" ht="15.75" hidden="1" customHeight="1"/>
    <row r="558" ht="15.75" hidden="1" customHeight="1"/>
    <row r="559" ht="15.75" hidden="1" customHeight="1"/>
    <row r="560" ht="15.75" hidden="1" customHeight="1"/>
    <row r="561" ht="15.75" hidden="1" customHeight="1"/>
    <row r="562" ht="15.75" hidden="1" customHeight="1"/>
    <row r="563" ht="15.75" hidden="1" customHeight="1"/>
    <row r="564" ht="15.75" hidden="1" customHeight="1"/>
    <row r="565" ht="15.75" hidden="1" customHeight="1"/>
    <row r="566" ht="15.75" hidden="1" customHeight="1"/>
    <row r="567" ht="15.75" hidden="1" customHeight="1"/>
    <row r="568" ht="15.75" hidden="1" customHeight="1"/>
    <row r="569" ht="15.75" hidden="1" customHeight="1"/>
    <row r="570" ht="15.75" hidden="1" customHeight="1"/>
    <row r="571" ht="15.75" hidden="1" customHeight="1"/>
    <row r="572" ht="15.75" hidden="1" customHeight="1"/>
    <row r="573" ht="15.75" hidden="1" customHeight="1"/>
    <row r="574" ht="15.75" hidden="1" customHeight="1"/>
    <row r="575" ht="15.75" hidden="1" customHeight="1"/>
    <row r="576" ht="15.75" hidden="1" customHeight="1"/>
    <row r="577" ht="15.75" hidden="1" customHeight="1"/>
    <row r="578" ht="15.75" hidden="1" customHeight="1"/>
    <row r="579" ht="15.75" hidden="1" customHeight="1"/>
    <row r="580" ht="15.75" hidden="1" customHeight="1"/>
    <row r="581" ht="15.75" hidden="1" customHeight="1"/>
    <row r="582" ht="15.75" hidden="1" customHeight="1"/>
    <row r="583" ht="15.75" hidden="1" customHeight="1"/>
    <row r="584" ht="15.75" hidden="1" customHeight="1"/>
    <row r="585" ht="15.75" hidden="1" customHeight="1"/>
    <row r="586" ht="15.75" hidden="1" customHeight="1"/>
    <row r="587" ht="15.75" hidden="1" customHeight="1"/>
    <row r="588" ht="15.75" hidden="1" customHeight="1"/>
    <row r="589" ht="15.75" hidden="1" customHeight="1"/>
    <row r="590" ht="15.75" hidden="1" customHeight="1"/>
    <row r="591" ht="15.75" hidden="1" customHeight="1"/>
    <row r="592" ht="15.75" hidden="1" customHeight="1"/>
    <row r="593" ht="15.75" hidden="1" customHeight="1"/>
    <row r="594" ht="15.75" hidden="1" customHeight="1"/>
    <row r="595" ht="15.75" hidden="1" customHeight="1"/>
    <row r="596" ht="15.75" hidden="1" customHeight="1"/>
    <row r="597" ht="15.75" hidden="1" customHeight="1"/>
    <row r="598" ht="15.75" hidden="1" customHeight="1"/>
    <row r="599" ht="15.75" hidden="1" customHeight="1"/>
    <row r="600" ht="15.75" hidden="1" customHeight="1"/>
    <row r="601" ht="15.75" hidden="1" customHeight="1"/>
    <row r="602" ht="15.75" hidden="1" customHeight="1"/>
    <row r="603" ht="15.75" hidden="1" customHeight="1"/>
    <row r="604" ht="15.75" hidden="1" customHeight="1"/>
    <row r="605" ht="15.75" hidden="1" customHeight="1"/>
    <row r="606" ht="15.75" hidden="1" customHeight="1"/>
    <row r="607" ht="15.75" hidden="1" customHeight="1"/>
    <row r="608" ht="15.75" hidden="1" customHeight="1"/>
    <row r="609" ht="15.75" hidden="1" customHeight="1"/>
    <row r="610" ht="15.75" hidden="1" customHeight="1"/>
    <row r="611" ht="15.75" hidden="1" customHeight="1"/>
    <row r="612" ht="15.75" hidden="1" customHeight="1"/>
    <row r="613" ht="15.75" hidden="1" customHeight="1"/>
    <row r="614" ht="15.75" hidden="1" customHeight="1"/>
    <row r="615" ht="15.75" hidden="1" customHeight="1"/>
    <row r="616" ht="15.75" hidden="1" customHeight="1"/>
    <row r="617" ht="15.75" hidden="1" customHeight="1"/>
    <row r="618" ht="15.75" hidden="1" customHeight="1"/>
    <row r="619" ht="15.75" hidden="1" customHeight="1"/>
    <row r="620" ht="15.75" hidden="1" customHeight="1"/>
    <row r="621" ht="15.75" hidden="1" customHeight="1"/>
    <row r="622" ht="15.75" hidden="1" customHeight="1"/>
    <row r="623" ht="15.75" hidden="1" customHeight="1"/>
    <row r="624" ht="15.75" hidden="1" customHeight="1"/>
    <row r="625" ht="15.75" hidden="1" customHeight="1"/>
    <row r="626" ht="15.75" hidden="1" customHeight="1"/>
    <row r="627" ht="15.75" hidden="1" customHeight="1"/>
    <row r="628" ht="15.75" hidden="1" customHeight="1"/>
    <row r="629" ht="15.75" hidden="1" customHeight="1"/>
    <row r="630" ht="15.75" hidden="1" customHeight="1"/>
    <row r="631" ht="15.75" hidden="1" customHeight="1"/>
    <row r="632" ht="15.75" hidden="1" customHeight="1"/>
    <row r="633" ht="15.75" hidden="1" customHeight="1"/>
    <row r="634" ht="15.75" hidden="1" customHeight="1"/>
    <row r="635" ht="15.75" hidden="1" customHeight="1"/>
    <row r="636" ht="15.75" hidden="1" customHeight="1"/>
    <row r="637" ht="15.75" hidden="1" customHeight="1"/>
    <row r="638" ht="15.75" hidden="1" customHeight="1"/>
    <row r="639" ht="15.75" hidden="1" customHeight="1"/>
    <row r="640" ht="15.75" hidden="1" customHeight="1"/>
    <row r="641" ht="15.75" hidden="1" customHeight="1"/>
    <row r="642" ht="15.75" hidden="1" customHeight="1"/>
    <row r="643" ht="15.75" hidden="1" customHeight="1"/>
    <row r="644" ht="15.75" hidden="1" customHeight="1"/>
    <row r="645" ht="15.75" hidden="1" customHeight="1"/>
    <row r="646" ht="15.75" hidden="1" customHeight="1"/>
    <row r="647" ht="15.75" hidden="1" customHeight="1"/>
    <row r="648" ht="15.75" hidden="1" customHeight="1"/>
    <row r="649" ht="15.75" hidden="1" customHeight="1"/>
    <row r="650" ht="15.75" hidden="1" customHeight="1"/>
    <row r="651" ht="15.75" hidden="1" customHeight="1"/>
    <row r="652" ht="15.75" hidden="1" customHeight="1"/>
    <row r="653" ht="15.75" hidden="1" customHeight="1"/>
    <row r="654" ht="15.75" hidden="1" customHeight="1"/>
    <row r="655" ht="15.75" hidden="1" customHeight="1"/>
    <row r="656" ht="15.75" hidden="1" customHeight="1"/>
    <row r="657" ht="15.75" hidden="1" customHeight="1"/>
    <row r="658" ht="15.75" hidden="1" customHeight="1"/>
    <row r="659" ht="15.75" hidden="1" customHeight="1"/>
    <row r="660" ht="15.75" hidden="1" customHeight="1"/>
    <row r="661" ht="15.75" hidden="1" customHeight="1"/>
    <row r="662" ht="15.75" hidden="1" customHeight="1"/>
    <row r="663" ht="15.75" hidden="1" customHeight="1"/>
    <row r="664" ht="15.75" hidden="1" customHeight="1"/>
    <row r="665" ht="15.75" hidden="1" customHeight="1"/>
    <row r="666" ht="15.75" hidden="1" customHeight="1"/>
    <row r="667" ht="15.75" hidden="1" customHeight="1"/>
    <row r="668" ht="15.75" hidden="1" customHeight="1"/>
    <row r="669" ht="15.75" hidden="1" customHeight="1"/>
    <row r="670" ht="15.75" hidden="1" customHeight="1"/>
    <row r="671" ht="15.75" hidden="1" customHeight="1"/>
    <row r="672" ht="15.75" hidden="1" customHeight="1"/>
    <row r="673" ht="15.75" hidden="1" customHeight="1"/>
    <row r="674" ht="15.75" hidden="1" customHeight="1"/>
    <row r="675" ht="15.75" hidden="1" customHeight="1"/>
    <row r="676" ht="15.75" hidden="1" customHeight="1"/>
    <row r="677" ht="15.75" hidden="1" customHeight="1"/>
    <row r="678" ht="15.75" hidden="1" customHeight="1"/>
    <row r="679" ht="15.75" hidden="1" customHeight="1"/>
    <row r="680" ht="15.75" hidden="1" customHeight="1"/>
    <row r="681" ht="15.75" hidden="1" customHeight="1"/>
    <row r="682" ht="15.75" hidden="1" customHeight="1"/>
    <row r="683" ht="15.75" hidden="1" customHeight="1"/>
    <row r="684" ht="15.75" hidden="1" customHeight="1"/>
    <row r="685" ht="15.75" hidden="1" customHeight="1"/>
    <row r="686" ht="15.75" hidden="1" customHeight="1"/>
    <row r="687" ht="15.75" hidden="1" customHeight="1"/>
    <row r="688" ht="15.75" hidden="1" customHeight="1"/>
    <row r="689" ht="15.75" hidden="1" customHeight="1"/>
    <row r="690" ht="15.75" hidden="1" customHeight="1"/>
    <row r="691" ht="15.75" hidden="1" customHeight="1"/>
    <row r="692" ht="15.75" hidden="1" customHeight="1"/>
    <row r="693" ht="15.75" hidden="1" customHeight="1"/>
    <row r="694" ht="15.75" hidden="1" customHeight="1"/>
    <row r="695" ht="15.75" hidden="1" customHeight="1"/>
    <row r="696" ht="15.75" hidden="1" customHeight="1"/>
    <row r="697" ht="15.75" hidden="1" customHeight="1"/>
    <row r="698" ht="15.75" hidden="1" customHeight="1"/>
    <row r="699" ht="15.75" hidden="1" customHeight="1"/>
    <row r="700" ht="15.75" hidden="1" customHeight="1"/>
    <row r="701" ht="15.75" hidden="1" customHeight="1"/>
    <row r="702" ht="15.75" hidden="1" customHeight="1"/>
    <row r="703" ht="15.75" hidden="1" customHeight="1"/>
    <row r="704" ht="15.75" hidden="1" customHeight="1"/>
    <row r="705" ht="15.75" hidden="1" customHeight="1"/>
    <row r="706" ht="15.75" hidden="1" customHeight="1"/>
    <row r="707" ht="15.75" hidden="1" customHeight="1"/>
    <row r="708" ht="15.75" hidden="1" customHeight="1"/>
    <row r="709" ht="15.75" hidden="1" customHeight="1"/>
    <row r="710" ht="15.75" hidden="1" customHeight="1"/>
    <row r="711" ht="15.75" hidden="1" customHeight="1"/>
    <row r="712" ht="15.75" hidden="1" customHeight="1"/>
    <row r="713" ht="15.75" hidden="1" customHeight="1"/>
    <row r="714" ht="15.75" hidden="1" customHeight="1"/>
    <row r="715" ht="15.75" hidden="1" customHeight="1"/>
    <row r="716" ht="15.75" hidden="1" customHeight="1"/>
    <row r="717" ht="15.75" hidden="1" customHeight="1"/>
    <row r="718" ht="15.75" hidden="1" customHeight="1"/>
    <row r="719" ht="15.75" hidden="1" customHeight="1"/>
    <row r="720" ht="15.75" hidden="1" customHeight="1"/>
    <row r="721" ht="15.75" hidden="1" customHeight="1"/>
    <row r="722" ht="15.75" hidden="1" customHeight="1"/>
    <row r="723" ht="15.75" hidden="1" customHeight="1"/>
    <row r="724" ht="15.75" hidden="1" customHeight="1"/>
    <row r="725" ht="15.75" hidden="1" customHeight="1"/>
    <row r="726" ht="15.75" hidden="1" customHeight="1"/>
    <row r="727" ht="15.75" hidden="1" customHeight="1"/>
    <row r="728" ht="15.75" hidden="1" customHeight="1"/>
    <row r="729" ht="15.75" hidden="1" customHeight="1"/>
    <row r="730" ht="15.75" hidden="1" customHeight="1"/>
    <row r="731" ht="15.75" hidden="1" customHeight="1"/>
    <row r="732" ht="15.75" hidden="1" customHeight="1"/>
    <row r="733" ht="15.75" hidden="1" customHeight="1"/>
    <row r="734" ht="15.75" hidden="1" customHeight="1"/>
    <row r="735" ht="15.75" hidden="1" customHeight="1"/>
    <row r="736" ht="15.75" hidden="1" customHeight="1"/>
    <row r="737" ht="15.75" hidden="1" customHeight="1"/>
    <row r="738" ht="15.75" hidden="1" customHeight="1"/>
    <row r="739" ht="15.75" hidden="1" customHeight="1"/>
    <row r="740" ht="15.75" hidden="1" customHeight="1"/>
    <row r="741" ht="15.75" hidden="1" customHeight="1"/>
    <row r="742" ht="15.75" hidden="1" customHeight="1"/>
    <row r="743" ht="15.75" hidden="1" customHeight="1"/>
    <row r="744" ht="15.75" hidden="1" customHeight="1"/>
    <row r="745" ht="15.75" hidden="1" customHeight="1"/>
    <row r="746" ht="15.75" hidden="1" customHeight="1"/>
    <row r="747" ht="15.75" hidden="1" customHeight="1"/>
    <row r="748" ht="15.75" hidden="1" customHeight="1"/>
    <row r="749" ht="15.75" hidden="1" customHeight="1"/>
    <row r="750" ht="15.75" hidden="1" customHeight="1"/>
    <row r="751" ht="15.75" hidden="1" customHeight="1"/>
    <row r="752" ht="15.75" hidden="1" customHeight="1"/>
    <row r="753" ht="15.75" hidden="1" customHeight="1"/>
    <row r="754" ht="15.75" hidden="1" customHeight="1"/>
    <row r="755" ht="15.75" hidden="1" customHeight="1"/>
    <row r="756" ht="15.75" hidden="1" customHeight="1"/>
    <row r="757" ht="15.75" hidden="1" customHeight="1"/>
    <row r="758" ht="15.75" hidden="1" customHeight="1"/>
    <row r="759" ht="15.75" hidden="1" customHeight="1"/>
    <row r="760" ht="15.75" hidden="1" customHeight="1"/>
    <row r="761" ht="15.75" hidden="1" customHeight="1"/>
    <row r="762" ht="15.75" hidden="1" customHeight="1"/>
    <row r="763" ht="15.75" hidden="1" customHeight="1"/>
    <row r="764" ht="15.75" hidden="1" customHeight="1"/>
    <row r="765" ht="15.75" hidden="1" customHeight="1"/>
    <row r="766" ht="15.75" hidden="1" customHeight="1"/>
    <row r="767" ht="15.75" hidden="1" customHeight="1"/>
    <row r="768" ht="15.75" hidden="1" customHeight="1"/>
    <row r="769" ht="15.75" hidden="1" customHeight="1"/>
    <row r="770" ht="15.75" hidden="1" customHeight="1"/>
    <row r="771" ht="15.75" hidden="1" customHeight="1"/>
    <row r="772" ht="15.75" hidden="1" customHeight="1"/>
    <row r="773" ht="15.75" hidden="1" customHeight="1"/>
    <row r="774" ht="15.75" hidden="1" customHeight="1"/>
    <row r="775" ht="15.75" hidden="1" customHeight="1"/>
    <row r="776" ht="15.75" hidden="1" customHeight="1"/>
    <row r="777" ht="15.75" hidden="1" customHeight="1"/>
    <row r="778" ht="15.75" hidden="1" customHeight="1"/>
    <row r="779" ht="15.75" hidden="1" customHeight="1"/>
    <row r="780" ht="15.75" hidden="1" customHeight="1"/>
    <row r="781" ht="15.75" hidden="1" customHeight="1"/>
    <row r="782" ht="15.75" hidden="1" customHeight="1"/>
    <row r="783" ht="15.75" hidden="1" customHeight="1"/>
    <row r="784" ht="15.75" hidden="1" customHeight="1"/>
    <row r="785" ht="15.75" hidden="1" customHeight="1"/>
    <row r="786" ht="15.75" hidden="1" customHeight="1"/>
    <row r="787" ht="15.75" hidden="1" customHeight="1"/>
    <row r="788" ht="15.75" hidden="1" customHeight="1"/>
    <row r="789" ht="15.75" hidden="1" customHeight="1"/>
    <row r="790" ht="15.75" hidden="1" customHeight="1"/>
    <row r="791" ht="15.75" hidden="1" customHeight="1"/>
    <row r="792" ht="15.75" hidden="1" customHeight="1"/>
    <row r="793" ht="15.75" hidden="1" customHeight="1"/>
    <row r="794" ht="15.75" hidden="1" customHeight="1"/>
    <row r="795" ht="15.75" hidden="1" customHeight="1"/>
    <row r="796" ht="15.75" hidden="1" customHeight="1"/>
    <row r="797" ht="15.75" hidden="1" customHeight="1"/>
    <row r="798" ht="15.75" hidden="1" customHeight="1"/>
    <row r="799" ht="15.75" hidden="1" customHeight="1"/>
    <row r="800" ht="15.75" hidden="1" customHeight="1"/>
    <row r="801" ht="15.75" hidden="1" customHeight="1"/>
    <row r="802" ht="15.75" hidden="1" customHeight="1"/>
    <row r="803" ht="15.75" hidden="1" customHeight="1"/>
    <row r="804" ht="15.75" hidden="1" customHeight="1"/>
    <row r="805" ht="15.75" hidden="1" customHeight="1"/>
    <row r="806" ht="15.75" hidden="1" customHeight="1"/>
    <row r="807" ht="15.75" hidden="1" customHeight="1"/>
    <row r="808" ht="15.75" hidden="1" customHeight="1"/>
    <row r="809" ht="15.75" hidden="1" customHeight="1"/>
    <row r="810" ht="15.75" hidden="1" customHeight="1"/>
    <row r="811" ht="15.75" hidden="1" customHeight="1"/>
    <row r="812" ht="15.75" hidden="1" customHeight="1"/>
    <row r="813" ht="15.75" hidden="1" customHeight="1"/>
    <row r="814" ht="15.75" hidden="1" customHeight="1"/>
    <row r="815" ht="15.75" hidden="1" customHeight="1"/>
    <row r="816" ht="15.75" hidden="1" customHeight="1"/>
    <row r="817" ht="15.75" hidden="1" customHeight="1"/>
    <row r="818" ht="15.75" hidden="1" customHeight="1"/>
    <row r="819" ht="15.75" hidden="1" customHeight="1"/>
    <row r="820" ht="15.75" hidden="1" customHeight="1"/>
    <row r="821" ht="15.75" hidden="1" customHeight="1"/>
    <row r="822" ht="15.75" hidden="1" customHeight="1"/>
    <row r="823" ht="15.75" hidden="1" customHeight="1"/>
    <row r="824" ht="15.75" hidden="1" customHeight="1"/>
    <row r="825" ht="15.75" hidden="1" customHeight="1"/>
    <row r="826" ht="15.75" hidden="1" customHeight="1"/>
    <row r="827" ht="15.75" hidden="1" customHeight="1"/>
    <row r="828" ht="15.75" hidden="1" customHeight="1"/>
    <row r="829" ht="15.75" hidden="1" customHeight="1"/>
    <row r="830" ht="15.75" hidden="1" customHeight="1"/>
    <row r="831" ht="15.75" hidden="1" customHeight="1"/>
    <row r="832" ht="15.75" hidden="1" customHeight="1"/>
    <row r="833" ht="15.75" hidden="1" customHeight="1"/>
    <row r="834" ht="15.75" hidden="1" customHeight="1"/>
    <row r="835" ht="15.75" hidden="1" customHeight="1"/>
    <row r="836" ht="15.75" hidden="1" customHeight="1"/>
    <row r="837" ht="15.75" hidden="1" customHeight="1"/>
    <row r="838" ht="15.75" hidden="1" customHeight="1"/>
    <row r="839" ht="15.75" hidden="1" customHeight="1"/>
    <row r="840" ht="15.75" hidden="1" customHeight="1"/>
    <row r="841" ht="15.75" hidden="1" customHeight="1"/>
    <row r="842" ht="15.75" hidden="1" customHeight="1"/>
    <row r="843" ht="15.75" hidden="1" customHeight="1"/>
    <row r="844" ht="15.75" hidden="1" customHeight="1"/>
    <row r="845" ht="15.75" hidden="1" customHeight="1"/>
    <row r="846" ht="15.75" hidden="1" customHeight="1"/>
    <row r="847" ht="15.75" hidden="1" customHeight="1"/>
    <row r="848" ht="15.75" hidden="1" customHeight="1"/>
    <row r="849" ht="15.75" hidden="1" customHeight="1"/>
    <row r="850" ht="15.75" hidden="1" customHeight="1"/>
    <row r="851" ht="15.75" hidden="1" customHeight="1"/>
    <row r="852" ht="15.75" hidden="1" customHeight="1"/>
    <row r="853" ht="15.75" hidden="1" customHeight="1"/>
    <row r="854" ht="15.75" hidden="1" customHeight="1"/>
    <row r="855" ht="15.75" hidden="1" customHeight="1"/>
    <row r="856" ht="15.75" hidden="1" customHeight="1"/>
    <row r="857" ht="15.75" hidden="1" customHeight="1"/>
    <row r="858" ht="15.75" hidden="1" customHeight="1"/>
    <row r="859" ht="15.75" hidden="1" customHeight="1"/>
    <row r="860" ht="15.75" hidden="1" customHeight="1"/>
    <row r="861" ht="15.75" hidden="1" customHeight="1"/>
    <row r="862" ht="15.75" hidden="1" customHeight="1"/>
    <row r="863" ht="15.75" hidden="1" customHeight="1"/>
    <row r="864" ht="15.75" hidden="1" customHeight="1"/>
    <row r="865" ht="15.75" hidden="1" customHeight="1"/>
    <row r="866" ht="15.75" hidden="1" customHeight="1"/>
    <row r="867" ht="15.75" hidden="1" customHeight="1"/>
    <row r="868" ht="15.75" hidden="1" customHeight="1"/>
    <row r="869" ht="15.75" hidden="1" customHeight="1"/>
    <row r="870" ht="15.75" hidden="1" customHeight="1"/>
    <row r="871" ht="15.75" hidden="1" customHeight="1"/>
    <row r="872" ht="15.75" hidden="1" customHeight="1"/>
    <row r="873" ht="15.75" hidden="1" customHeight="1"/>
    <row r="874" ht="15.75" hidden="1" customHeight="1"/>
    <row r="875" ht="15.75" hidden="1" customHeight="1"/>
    <row r="876" ht="15.75" hidden="1" customHeight="1"/>
    <row r="877" ht="15.75" hidden="1" customHeight="1"/>
    <row r="878" ht="15.75" hidden="1" customHeight="1"/>
    <row r="879" ht="15.75" hidden="1" customHeight="1"/>
    <row r="880" ht="15.75" hidden="1" customHeight="1"/>
    <row r="881" ht="15.75" hidden="1" customHeight="1"/>
    <row r="882" ht="15.75" hidden="1" customHeight="1"/>
    <row r="883" ht="15.75" hidden="1" customHeight="1"/>
    <row r="884" ht="15.75" hidden="1" customHeight="1"/>
    <row r="885" ht="15.75" hidden="1" customHeight="1"/>
    <row r="886" ht="15.75" hidden="1" customHeight="1"/>
    <row r="887" ht="15.75" hidden="1" customHeight="1"/>
    <row r="888" ht="15.75" hidden="1" customHeight="1"/>
    <row r="889" ht="15.75" hidden="1" customHeight="1"/>
    <row r="890" ht="15.75" hidden="1" customHeight="1"/>
    <row r="891" ht="15.75" hidden="1" customHeight="1"/>
    <row r="892" ht="15.75" hidden="1" customHeight="1"/>
    <row r="893" ht="15.75" hidden="1" customHeight="1"/>
    <row r="894" ht="15.75" hidden="1" customHeight="1"/>
    <row r="895" ht="15.75" hidden="1" customHeight="1"/>
    <row r="896" ht="15.75" hidden="1" customHeight="1"/>
    <row r="897" ht="15.75" hidden="1" customHeight="1"/>
    <row r="898" ht="15.75" hidden="1" customHeight="1"/>
    <row r="899" ht="15.75" hidden="1" customHeight="1"/>
    <row r="900" ht="15.75" hidden="1" customHeight="1"/>
    <row r="901" ht="15.75" hidden="1" customHeight="1"/>
    <row r="902" ht="15.75" hidden="1" customHeight="1"/>
    <row r="903" ht="15.75" hidden="1" customHeight="1"/>
    <row r="904" ht="15.75" hidden="1" customHeight="1"/>
    <row r="905" ht="15.75" hidden="1" customHeight="1"/>
    <row r="906" ht="15.75" hidden="1" customHeight="1"/>
    <row r="907" ht="15.75" hidden="1" customHeight="1"/>
    <row r="908" ht="15.75" hidden="1" customHeight="1"/>
    <row r="909" ht="15.75" hidden="1" customHeight="1"/>
    <row r="910" ht="15.75" hidden="1" customHeight="1"/>
    <row r="911" ht="15.75" hidden="1" customHeight="1"/>
    <row r="912" ht="15.75" hidden="1" customHeight="1"/>
    <row r="913" ht="15.75" hidden="1" customHeight="1"/>
    <row r="914" ht="15.75" hidden="1" customHeight="1"/>
    <row r="915" ht="15.75" hidden="1" customHeight="1"/>
    <row r="916" ht="15.75" hidden="1" customHeight="1"/>
    <row r="917" ht="15.75" hidden="1" customHeight="1"/>
    <row r="918" ht="15.75" hidden="1" customHeight="1"/>
    <row r="919" ht="15.75" hidden="1" customHeight="1"/>
    <row r="920" ht="15.75" hidden="1" customHeight="1"/>
    <row r="921" ht="15.75" hidden="1" customHeight="1"/>
    <row r="922" ht="15.75" hidden="1" customHeight="1"/>
    <row r="923" ht="15.75" hidden="1" customHeight="1"/>
    <row r="924" ht="15.75" hidden="1" customHeight="1"/>
    <row r="925" ht="15.75" hidden="1" customHeight="1"/>
    <row r="926" ht="15.75" hidden="1" customHeight="1"/>
    <row r="927" ht="15.75" hidden="1" customHeight="1"/>
    <row r="928" ht="15.75" hidden="1" customHeight="1"/>
    <row r="929" ht="15.75" hidden="1" customHeight="1"/>
    <row r="930" ht="15.75" hidden="1" customHeight="1"/>
    <row r="931" ht="15.75" hidden="1" customHeight="1"/>
    <row r="932" ht="15.75" hidden="1" customHeight="1"/>
    <row r="933" ht="15.75" hidden="1" customHeight="1"/>
    <row r="934" ht="15.75" hidden="1" customHeight="1"/>
    <row r="935" ht="15.75" hidden="1" customHeight="1"/>
    <row r="936" ht="15.75" hidden="1" customHeight="1"/>
    <row r="937" ht="15.75" hidden="1" customHeight="1"/>
    <row r="938" ht="15.75" hidden="1" customHeight="1"/>
    <row r="939" ht="15.75" hidden="1" customHeight="1"/>
    <row r="940" ht="15.75" hidden="1" customHeight="1"/>
    <row r="941" ht="15.75" hidden="1" customHeight="1"/>
    <row r="942" ht="15.75" hidden="1" customHeight="1"/>
    <row r="943" ht="15.75" hidden="1" customHeight="1"/>
    <row r="944" ht="15.75" hidden="1" customHeight="1"/>
    <row r="945" ht="15.75" hidden="1" customHeight="1"/>
    <row r="946" ht="15.75" hidden="1" customHeight="1"/>
    <row r="947" ht="15.75" hidden="1" customHeight="1"/>
    <row r="948" ht="15.75" hidden="1" customHeight="1"/>
    <row r="949" ht="15.75" hidden="1" customHeight="1"/>
    <row r="950" ht="15.75" hidden="1" customHeight="1"/>
    <row r="951" ht="15.75" hidden="1" customHeight="1"/>
    <row r="952" ht="15.75" hidden="1" customHeight="1"/>
    <row r="953" ht="15.75" hidden="1" customHeight="1"/>
    <row r="954" ht="15.75" hidden="1" customHeight="1"/>
    <row r="955" ht="15.75" hidden="1" customHeight="1"/>
    <row r="956" ht="15.75" hidden="1" customHeight="1"/>
    <row r="957" ht="15.75" hidden="1" customHeight="1"/>
    <row r="958" ht="15.75" hidden="1" customHeight="1"/>
    <row r="959" ht="15.75" hidden="1" customHeight="1"/>
    <row r="960" ht="15.75" hidden="1" customHeight="1"/>
    <row r="961" ht="15.75" hidden="1" customHeight="1"/>
    <row r="962" ht="15.75" hidden="1" customHeight="1"/>
    <row r="963" ht="15.75" hidden="1" customHeight="1"/>
    <row r="964" ht="15.75" hidden="1" customHeight="1"/>
    <row r="965" ht="15.75" hidden="1" customHeight="1"/>
    <row r="966" ht="15.75" hidden="1" customHeight="1"/>
    <row r="967" ht="15.75" hidden="1" customHeight="1"/>
    <row r="968" ht="15.75" hidden="1" customHeight="1"/>
    <row r="969" ht="15.75" hidden="1" customHeight="1"/>
    <row r="970" ht="15.75" hidden="1" customHeight="1"/>
    <row r="971" ht="15.75" hidden="1" customHeight="1"/>
    <row r="972" ht="15.75" hidden="1" customHeight="1"/>
    <row r="973" ht="15.75" hidden="1" customHeight="1"/>
    <row r="974" ht="15.75" hidden="1" customHeight="1"/>
    <row r="975" ht="15.75" hidden="1" customHeight="1"/>
    <row r="976" ht="15.75" hidden="1" customHeight="1"/>
    <row r="977" ht="15.75" hidden="1" customHeight="1"/>
    <row r="978" ht="15.75" hidden="1" customHeight="1"/>
    <row r="979" ht="15.75" hidden="1" customHeight="1"/>
    <row r="980" ht="15.75" hidden="1" customHeight="1"/>
    <row r="981" ht="15.75" hidden="1" customHeight="1"/>
    <row r="982" ht="15.75" hidden="1" customHeight="1"/>
    <row r="983" ht="15.75" hidden="1" customHeight="1"/>
    <row r="984" ht="15.75" hidden="1" customHeight="1"/>
    <row r="985" ht="15.75" hidden="1" customHeight="1"/>
    <row r="986" ht="15.75" hidden="1" customHeight="1"/>
    <row r="987" ht="15.75" hidden="1" customHeight="1"/>
    <row r="988" ht="15.75" hidden="1" customHeight="1"/>
    <row r="989" ht="15.75" hidden="1" customHeight="1"/>
    <row r="990" ht="15.75" hidden="1" customHeight="1"/>
    <row r="991" ht="15.75" hidden="1" customHeight="1"/>
    <row r="992" ht="15.75" hidden="1" customHeight="1"/>
    <row r="993" ht="15.75" hidden="1" customHeight="1"/>
    <row r="994" ht="15.75" hidden="1" customHeight="1"/>
    <row r="995" ht="15.75" hidden="1" customHeight="1"/>
    <row r="996" ht="15.75" hidden="1" customHeight="1"/>
    <row r="997" ht="15.75" hidden="1" customHeight="1"/>
    <row r="998" ht="15.75" hidden="1" customHeight="1"/>
    <row r="999" ht="15.75" hidden="1" customHeight="1"/>
    <row r="1000" ht="15.75" hidden="1" customHeight="1"/>
    <row r="1001" ht="15.75" hidden="1" customHeight="1"/>
    <row r="1002" ht="15.75" hidden="1" customHeight="1"/>
    <row r="1003" ht="15.75" hidden="1" customHeight="1"/>
    <row r="1004" ht="15.75" hidden="1" customHeight="1"/>
    <row r="1005" ht="15.75" hidden="1" customHeight="1"/>
    <row r="1006" ht="15.75" hidden="1" customHeight="1"/>
    <row r="1007" ht="15.75" hidden="1" customHeight="1"/>
    <row r="1008" ht="15.75" hidden="1" customHeight="1"/>
    <row r="1009" ht="15.75" hidden="1" customHeight="1"/>
    <row r="1010" ht="15.75" hidden="1" customHeight="1"/>
    <row r="1011" ht="15.75" hidden="1" customHeight="1"/>
    <row r="1012" ht="15.75" hidden="1" customHeight="1"/>
    <row r="1013" ht="15.75" hidden="1" customHeight="1"/>
    <row r="1014" ht="15.75" hidden="1" customHeight="1"/>
    <row r="1015" ht="15.75" hidden="1" customHeight="1"/>
    <row r="1016" ht="15.75" hidden="1" customHeight="1"/>
    <row r="1017" ht="15.75" hidden="1" customHeight="1"/>
    <row r="1018" ht="15.75" hidden="1" customHeight="1"/>
    <row r="1019" ht="15.75" hidden="1" customHeight="1"/>
    <row r="1020" ht="15.75" hidden="1" customHeight="1"/>
    <row r="1021" ht="15.75" hidden="1" customHeight="1"/>
    <row r="1022" ht="15.75" hidden="1" customHeight="1"/>
    <row r="1023" ht="15.75" hidden="1" customHeight="1"/>
    <row r="1024" ht="15.75" hidden="1" customHeight="1"/>
    <row r="1025" ht="15.75" hidden="1" customHeight="1"/>
    <row r="1026" ht="15.75" hidden="1" customHeight="1"/>
    <row r="1027" ht="15.75" hidden="1" customHeight="1"/>
    <row r="1028" ht="15.75" hidden="1" customHeight="1"/>
    <row r="1029" ht="15.75" hidden="1" customHeight="1"/>
    <row r="1030" ht="15.75" hidden="1" customHeight="1"/>
    <row r="1031" ht="15.75" hidden="1" customHeight="1"/>
    <row r="1032" ht="15.75" hidden="1" customHeight="1"/>
    <row r="1033" ht="15.75" hidden="1" customHeight="1"/>
    <row r="1034" ht="15.75" hidden="1" customHeight="1"/>
    <row r="1035" ht="15.75" hidden="1" customHeight="1"/>
    <row r="1036" ht="15.75" hidden="1" customHeight="1"/>
    <row r="1037" ht="15.75" hidden="1" customHeight="1"/>
    <row r="1038" ht="15.75" hidden="1" customHeight="1"/>
    <row r="1039" ht="15.75" hidden="1" customHeight="1"/>
    <row r="1040" ht="15.75" hidden="1" customHeight="1"/>
    <row r="1041" ht="15.75" hidden="1" customHeight="1"/>
    <row r="1042" ht="15.75" hidden="1" customHeight="1"/>
    <row r="1043" ht="15.75" hidden="1" customHeight="1"/>
    <row r="1044" ht="15.75" hidden="1" customHeight="1"/>
    <row r="1045" ht="15.75" hidden="1" customHeight="1"/>
    <row r="1046" ht="15.75" hidden="1" customHeight="1"/>
    <row r="1047" ht="15.75" hidden="1" customHeight="1"/>
    <row r="1048" ht="15.75" hidden="1" customHeight="1"/>
    <row r="1049" ht="15.75" hidden="1" customHeight="1"/>
    <row r="1050" ht="15.75" hidden="1" customHeight="1"/>
    <row r="1051" ht="15.75" hidden="1" customHeight="1"/>
    <row r="1052" ht="15.75" hidden="1" customHeight="1"/>
    <row r="1053" ht="15.75" hidden="1" customHeight="1"/>
    <row r="1054" ht="15.75" hidden="1" customHeight="1"/>
    <row r="1055" ht="15.75" hidden="1" customHeight="1"/>
    <row r="1056" ht="15.75" hidden="1" customHeight="1"/>
    <row r="1057" ht="15.75" hidden="1" customHeight="1"/>
    <row r="1058" ht="15.75" hidden="1" customHeight="1"/>
    <row r="1059" ht="15.75" hidden="1" customHeight="1"/>
    <row r="1060" ht="15.75" hidden="1" customHeight="1"/>
    <row r="1061" ht="15.75" hidden="1" customHeight="1"/>
    <row r="1062" ht="15.75" hidden="1" customHeight="1"/>
    <row r="1063" ht="15.75" hidden="1" customHeight="1"/>
    <row r="1064" ht="15.75" hidden="1" customHeight="1"/>
    <row r="1065" ht="15.75" hidden="1" customHeight="1"/>
    <row r="1066" ht="15.75" hidden="1" customHeight="1"/>
    <row r="1067" ht="15.75" hidden="1" customHeight="1"/>
    <row r="1068" ht="15.75" hidden="1" customHeight="1"/>
    <row r="1069" ht="15.75" hidden="1" customHeight="1"/>
    <row r="1070" ht="15.75" hidden="1" customHeight="1"/>
    <row r="1071" ht="15.75" hidden="1" customHeight="1"/>
    <row r="1072" ht="15.75" hidden="1" customHeight="1"/>
    <row r="1073" ht="15.75" hidden="1" customHeight="1"/>
    <row r="1074" ht="15.75" hidden="1" customHeight="1"/>
    <row r="1075" ht="15.75" hidden="1" customHeight="1"/>
    <row r="1076" ht="15.75" hidden="1" customHeight="1"/>
    <row r="1077" ht="15.75" hidden="1" customHeight="1"/>
    <row r="1078" ht="15.75" hidden="1" customHeight="1"/>
    <row r="1079" ht="15.75" hidden="1" customHeight="1"/>
    <row r="1080" ht="15.75" hidden="1" customHeight="1"/>
    <row r="1081" ht="15.75" hidden="1" customHeight="1"/>
    <row r="1082" ht="15.75" hidden="1" customHeight="1"/>
    <row r="1083" ht="15.75" hidden="1" customHeight="1"/>
    <row r="1084" ht="15.75" hidden="1" customHeight="1"/>
    <row r="1085" ht="15.75" hidden="1" customHeight="1"/>
    <row r="1086" ht="15.75" hidden="1" customHeight="1"/>
    <row r="1087" ht="15.75" hidden="1" customHeight="1"/>
    <row r="1088" ht="15.75" hidden="1" customHeight="1"/>
    <row r="1089" ht="15.75" hidden="1" customHeight="1"/>
    <row r="1090" ht="15.75" hidden="1" customHeight="1"/>
    <row r="1091" ht="15.75" hidden="1" customHeight="1"/>
    <row r="1092" ht="15.75" hidden="1" customHeight="1"/>
    <row r="1093" ht="15.75" hidden="1" customHeight="1"/>
    <row r="1094" ht="15.75" hidden="1" customHeight="1"/>
    <row r="1095" ht="15.75" hidden="1" customHeight="1"/>
    <row r="1096" ht="15.75" hidden="1" customHeight="1"/>
    <row r="1097" ht="15.75" hidden="1" customHeight="1"/>
    <row r="1098" ht="15.75" hidden="1" customHeight="1"/>
    <row r="1099" ht="15.75" hidden="1" customHeight="1"/>
    <row r="1100" ht="15.75" hidden="1" customHeight="1"/>
    <row r="1101" ht="15.75" hidden="1" customHeight="1"/>
    <row r="1102" ht="15.75" hidden="1" customHeight="1"/>
    <row r="1103" ht="15.75" hidden="1" customHeight="1"/>
    <row r="1104" ht="15.75" hidden="1" customHeight="1"/>
    <row r="1105" ht="15.75" hidden="1" customHeight="1"/>
    <row r="1106" ht="15.75" hidden="1" customHeight="1"/>
    <row r="1107" ht="15.75" hidden="1" customHeight="1"/>
    <row r="1108" ht="15.75" hidden="1" customHeight="1"/>
    <row r="1109" ht="15.75" hidden="1" customHeight="1"/>
    <row r="1110" ht="15.75" hidden="1" customHeight="1"/>
    <row r="1111" ht="15.75" hidden="1" customHeight="1"/>
    <row r="1112" ht="15.75" hidden="1" customHeight="1"/>
    <row r="1113" ht="15.75" hidden="1" customHeight="1"/>
    <row r="1114" ht="15.75" hidden="1" customHeight="1"/>
    <row r="1115" ht="15.75" hidden="1" customHeight="1"/>
    <row r="1116" ht="15.75" hidden="1" customHeight="1"/>
    <row r="1117" ht="15.75" hidden="1" customHeight="1"/>
    <row r="1118" ht="15.75" hidden="1" customHeight="1"/>
    <row r="1119" ht="15.75" hidden="1" customHeight="1"/>
    <row r="1120" ht="15.75" hidden="1" customHeight="1"/>
    <row r="1121" ht="15.75" hidden="1" customHeight="1"/>
    <row r="1122" ht="15.75" hidden="1" customHeight="1"/>
    <row r="1123" ht="15.75" hidden="1" customHeight="1"/>
    <row r="1124" ht="15.75" hidden="1" customHeight="1"/>
    <row r="1125" ht="15.75" hidden="1" customHeight="1"/>
    <row r="1126" ht="15.75" hidden="1" customHeight="1"/>
    <row r="1127" ht="15.75" hidden="1" customHeight="1"/>
    <row r="1128" ht="15.75" hidden="1" customHeight="1"/>
    <row r="1129" ht="15.75" hidden="1" customHeight="1"/>
    <row r="1130" ht="15.75" hidden="1" customHeight="1"/>
    <row r="1131" ht="15.75" hidden="1" customHeight="1"/>
    <row r="1132" ht="15.75" hidden="1" customHeight="1"/>
    <row r="1133" ht="15.75" hidden="1" customHeight="1"/>
    <row r="1134" ht="15.75" hidden="1" customHeight="1"/>
    <row r="1135" ht="15.75" hidden="1" customHeight="1"/>
    <row r="1136" ht="15.75" hidden="1" customHeight="1"/>
    <row r="1137" ht="15.75" hidden="1" customHeight="1"/>
    <row r="1138" ht="15.75" hidden="1" customHeight="1"/>
    <row r="1139" ht="15.75" hidden="1" customHeight="1"/>
    <row r="1140" ht="15.75" hidden="1" customHeight="1"/>
    <row r="1141" ht="15.75" hidden="1" customHeight="1"/>
    <row r="1142" ht="15.75" hidden="1" customHeight="1"/>
    <row r="1143" ht="15.75" hidden="1" customHeight="1"/>
    <row r="1144" ht="15.75" hidden="1" customHeight="1"/>
    <row r="1145" ht="15.75" hidden="1" customHeight="1"/>
    <row r="1146" ht="15.75" hidden="1" customHeight="1"/>
    <row r="1147" ht="15.75" hidden="1" customHeight="1"/>
    <row r="1148" ht="15.75" hidden="1" customHeight="1"/>
    <row r="1149" ht="15.75" hidden="1" customHeight="1"/>
    <row r="1150" ht="15.75" hidden="1" customHeight="1"/>
    <row r="1151" ht="15.75" hidden="1" customHeight="1"/>
    <row r="1152" ht="15.75" hidden="1" customHeight="1"/>
    <row r="1153" ht="15.75" hidden="1" customHeight="1"/>
    <row r="1154" ht="15.75" hidden="1" customHeight="1"/>
    <row r="1155" ht="15.75" hidden="1" customHeight="1"/>
    <row r="1156" ht="15.75" hidden="1" customHeight="1"/>
    <row r="1157" ht="15.75" hidden="1" customHeight="1"/>
    <row r="1158" ht="15.75" hidden="1" customHeight="1"/>
    <row r="1159" ht="15.75" hidden="1" customHeight="1"/>
    <row r="1160" ht="15.75" hidden="1" customHeight="1"/>
    <row r="1161" ht="15.75" hidden="1" customHeight="1"/>
    <row r="1162" ht="15.75" hidden="1" customHeight="1"/>
    <row r="1163" ht="15.75" hidden="1" customHeight="1"/>
    <row r="1164" ht="15.75" hidden="1" customHeight="1"/>
    <row r="1165" ht="15.75" hidden="1" customHeight="1"/>
    <row r="1166" ht="15.75" hidden="1" customHeight="1"/>
    <row r="1167" ht="15.75" hidden="1" customHeight="1"/>
    <row r="1168" ht="15.75" hidden="1" customHeight="1"/>
    <row r="1169" ht="15.75" hidden="1" customHeight="1"/>
    <row r="1170" ht="15.75" hidden="1" customHeight="1"/>
    <row r="1171" ht="15.75" hidden="1" customHeight="1"/>
    <row r="1172" ht="15.75" hidden="1" customHeight="1"/>
    <row r="1173" ht="15.75" hidden="1" customHeight="1"/>
    <row r="1174" ht="15.75" hidden="1" customHeight="1"/>
    <row r="1175" ht="15.75" hidden="1" customHeight="1"/>
    <row r="1176" ht="15.75" hidden="1" customHeight="1"/>
    <row r="1177" ht="15.75" hidden="1" customHeight="1"/>
    <row r="1178" ht="15.75" hidden="1" customHeight="1"/>
    <row r="1179" ht="15.75" hidden="1" customHeight="1"/>
    <row r="1180" ht="15.75" hidden="1" customHeight="1"/>
    <row r="1181" ht="15.75" hidden="1" customHeight="1"/>
    <row r="1182" ht="15.75" hidden="1" customHeight="1"/>
    <row r="1183" ht="15.75" hidden="1" customHeight="1"/>
    <row r="1184" ht="15.75" hidden="1" customHeight="1"/>
    <row r="1185" ht="15.75" hidden="1" customHeight="1"/>
    <row r="1186" ht="15.75" hidden="1" customHeight="1"/>
    <row r="1187" ht="15.75" hidden="1" customHeight="1"/>
    <row r="1188" ht="15.75" hidden="1" customHeight="1"/>
    <row r="1189" ht="15.75" hidden="1" customHeight="1"/>
    <row r="1190" ht="15.75" hidden="1" customHeight="1"/>
    <row r="1191" ht="15.75" hidden="1" customHeight="1"/>
    <row r="1192" ht="15.75" hidden="1" customHeight="1"/>
    <row r="1193" ht="15.75" hidden="1" customHeight="1"/>
    <row r="1194" ht="15.75" hidden="1" customHeight="1"/>
    <row r="1195" ht="15.75" hidden="1" customHeight="1"/>
    <row r="1196" ht="15.75" hidden="1" customHeight="1"/>
    <row r="1197" ht="15.75" hidden="1" customHeight="1"/>
    <row r="1198" ht="15.75" hidden="1" customHeight="1"/>
    <row r="1199" ht="15.75" hidden="1" customHeight="1"/>
    <row r="1200" ht="15.75" hidden="1" customHeight="1"/>
    <row r="1201" ht="15.75" hidden="1" customHeight="1"/>
    <row r="1202" ht="15.75" hidden="1" customHeight="1"/>
    <row r="1203" ht="15.75" hidden="1" customHeight="1"/>
    <row r="1204" ht="15.75" hidden="1" customHeight="1"/>
    <row r="1205" ht="15.75" hidden="1" customHeight="1"/>
    <row r="1206" ht="15.75" hidden="1" customHeight="1"/>
    <row r="1207" ht="15.75" hidden="1" customHeight="1"/>
    <row r="1208" ht="15.75" hidden="1" customHeight="1"/>
    <row r="1209" ht="15.75" hidden="1" customHeight="1"/>
    <row r="1210" ht="15.75" hidden="1" customHeight="1"/>
    <row r="1211" ht="15.75" hidden="1" customHeight="1"/>
    <row r="1212" ht="15.75" hidden="1" customHeight="1"/>
    <row r="1213" ht="15.75" hidden="1" customHeight="1"/>
    <row r="1214" ht="15.75" hidden="1" customHeight="1"/>
    <row r="1215" ht="15.75" hidden="1" customHeight="1"/>
    <row r="1216" ht="15.75" hidden="1" customHeight="1"/>
    <row r="1217" ht="15.75" hidden="1" customHeight="1"/>
    <row r="1218" ht="15.75" hidden="1" customHeight="1"/>
    <row r="1219" ht="15.75" hidden="1" customHeight="1"/>
    <row r="1220" ht="15.75" hidden="1" customHeight="1"/>
    <row r="1221" ht="15.75" hidden="1" customHeight="1"/>
    <row r="1222" ht="15.75" hidden="1" customHeight="1"/>
    <row r="1223" ht="15.75" hidden="1" customHeight="1"/>
    <row r="1224" ht="15.75" hidden="1" customHeight="1"/>
    <row r="1225" ht="15.75" hidden="1" customHeight="1"/>
    <row r="1226" ht="15.75" hidden="1" customHeight="1"/>
    <row r="1227" ht="15.75" hidden="1" customHeight="1"/>
    <row r="1228" ht="15.75" hidden="1" customHeight="1"/>
    <row r="1229" ht="15.75" hidden="1" customHeight="1"/>
    <row r="1230" ht="15.75" hidden="1" customHeight="1"/>
    <row r="1231" ht="15.75" hidden="1" customHeight="1"/>
    <row r="1232" ht="15.75" hidden="1" customHeight="1"/>
    <row r="1233" ht="15.75" hidden="1" customHeight="1"/>
    <row r="1234" ht="15.75" hidden="1" customHeight="1"/>
    <row r="1235" ht="15.75" hidden="1" customHeight="1"/>
    <row r="1236" ht="15.75" hidden="1" customHeight="1"/>
    <row r="1237" ht="15.75" hidden="1" customHeight="1"/>
    <row r="1238" ht="15.75" hidden="1" customHeight="1"/>
    <row r="1239" ht="15.75" hidden="1" customHeight="1"/>
    <row r="1240" ht="15.75" hidden="1" customHeight="1"/>
    <row r="1241" ht="15.75" hidden="1" customHeight="1"/>
    <row r="1242" ht="15.75" hidden="1" customHeight="1"/>
    <row r="1243" ht="15.75" hidden="1" customHeight="1"/>
    <row r="1244" ht="15.75" hidden="1" customHeight="1"/>
    <row r="1245" ht="15.75" hidden="1" customHeight="1"/>
    <row r="1246" ht="15.75" hidden="1" customHeight="1"/>
    <row r="1247" ht="15.75" hidden="1" customHeight="1"/>
    <row r="1248" ht="15.75" hidden="1" customHeight="1"/>
    <row r="1249" ht="15.75" hidden="1" customHeight="1"/>
    <row r="1250" ht="15.75" hidden="1" customHeight="1"/>
    <row r="1251" ht="15.75" hidden="1" customHeight="1"/>
    <row r="1252" ht="15.75" hidden="1" customHeight="1"/>
    <row r="1253" ht="15.75" hidden="1" customHeight="1"/>
    <row r="1254" ht="15.75" hidden="1" customHeight="1"/>
    <row r="1255" ht="15.75" hidden="1" customHeight="1"/>
    <row r="1256" ht="15.75" hidden="1" customHeight="1"/>
    <row r="1257" ht="15.75" hidden="1" customHeight="1"/>
    <row r="1258" ht="15.75" hidden="1" customHeight="1"/>
    <row r="1259" ht="15.75" hidden="1" customHeight="1"/>
    <row r="1260" ht="15.75" hidden="1" customHeight="1"/>
    <row r="1261" ht="15.75" hidden="1" customHeight="1"/>
    <row r="1262" ht="15.75" hidden="1" customHeight="1"/>
    <row r="1263" ht="15.75" hidden="1" customHeight="1"/>
    <row r="1264" ht="15.75" hidden="1" customHeight="1"/>
    <row r="1265" ht="15.75" hidden="1" customHeight="1"/>
    <row r="1266" ht="15.75" hidden="1" customHeight="1"/>
    <row r="1267" ht="15.75" hidden="1" customHeight="1"/>
    <row r="1268" ht="15.75" hidden="1" customHeight="1"/>
    <row r="1269" ht="15.75" hidden="1" customHeight="1"/>
    <row r="1270" ht="15.75" hidden="1" customHeight="1"/>
    <row r="1271" ht="15.75" hidden="1" customHeight="1"/>
    <row r="1272" ht="15.75" hidden="1" customHeight="1"/>
    <row r="1273" ht="15.75" hidden="1" customHeight="1"/>
    <row r="1274" ht="15.75" hidden="1" customHeight="1"/>
    <row r="1275" ht="15.75" hidden="1" customHeight="1"/>
    <row r="1276" ht="15.75" hidden="1" customHeight="1"/>
    <row r="1277" ht="15.75" hidden="1" customHeight="1"/>
    <row r="1278" ht="15.75" hidden="1" customHeight="1"/>
    <row r="1279" ht="15.75" hidden="1" customHeight="1"/>
    <row r="1280" ht="15.75" hidden="1" customHeight="1"/>
    <row r="1281" ht="15.75" hidden="1" customHeight="1"/>
    <row r="1282" ht="15.75" hidden="1" customHeight="1"/>
    <row r="1283" ht="15.75" hidden="1" customHeight="1"/>
    <row r="1284" ht="15.75" hidden="1" customHeight="1"/>
    <row r="1285" ht="15.75" hidden="1" customHeight="1"/>
    <row r="1286" ht="15.75" hidden="1" customHeight="1"/>
    <row r="1287" ht="15.75" hidden="1" customHeight="1"/>
    <row r="1288" ht="15.75" hidden="1" customHeight="1"/>
    <row r="1289" ht="15.75" hidden="1" customHeight="1"/>
    <row r="1290" ht="15.75" hidden="1" customHeight="1"/>
    <row r="1291" ht="15.75" hidden="1" customHeight="1"/>
    <row r="1292" ht="15.75" hidden="1" customHeight="1"/>
    <row r="1293" ht="15.75" hidden="1" customHeight="1"/>
    <row r="1294" ht="15.75" hidden="1" customHeight="1"/>
    <row r="1295" ht="15.75" hidden="1" customHeight="1"/>
    <row r="1296" ht="15.75" hidden="1" customHeight="1"/>
    <row r="1297" ht="15.75" hidden="1" customHeight="1"/>
    <row r="1298" ht="15.75" hidden="1" customHeight="1"/>
    <row r="1299" ht="15.75" hidden="1" customHeight="1"/>
    <row r="1300" ht="15.75" hidden="1" customHeight="1"/>
    <row r="1301" ht="15.75" hidden="1" customHeight="1"/>
    <row r="1302" ht="15.75" hidden="1" customHeight="1"/>
    <row r="1303" ht="15.75" hidden="1" customHeight="1"/>
    <row r="1304" ht="15.75" hidden="1" customHeight="1"/>
    <row r="1305" ht="15.75" hidden="1" customHeight="1"/>
    <row r="1306" ht="15.75" hidden="1" customHeight="1"/>
    <row r="1307" ht="15.75" hidden="1" customHeight="1"/>
    <row r="1308" ht="15.75" hidden="1" customHeight="1"/>
    <row r="1309" ht="15.75" hidden="1" customHeight="1"/>
    <row r="1310" ht="15.75" hidden="1" customHeight="1"/>
    <row r="1311" ht="15.75" hidden="1" customHeight="1"/>
    <row r="1312" ht="15.75" hidden="1" customHeight="1"/>
    <row r="1313" ht="15.75" hidden="1" customHeight="1"/>
    <row r="1314" ht="15.75" hidden="1" customHeight="1"/>
    <row r="1315" ht="15.75" hidden="1" customHeight="1"/>
    <row r="1316" ht="15.75" hidden="1" customHeight="1"/>
    <row r="1317" ht="15.75" hidden="1" customHeight="1"/>
    <row r="1318" ht="15.75" hidden="1" customHeight="1"/>
    <row r="1319" ht="15.75" hidden="1" customHeight="1"/>
    <row r="1320" ht="15.75" hidden="1" customHeight="1"/>
    <row r="1321" ht="15.75" hidden="1" customHeight="1"/>
    <row r="1322" ht="15.75" hidden="1" customHeight="1"/>
    <row r="1323" ht="15.75" hidden="1" customHeight="1"/>
    <row r="1324" ht="15.75" hidden="1" customHeight="1"/>
    <row r="1325" ht="15.75" hidden="1" customHeight="1"/>
    <row r="1326" ht="15.75" hidden="1" customHeight="1"/>
    <row r="1327" ht="15.75" hidden="1" customHeight="1"/>
    <row r="1328" ht="15.75" hidden="1" customHeight="1"/>
    <row r="1329" ht="15.75" hidden="1" customHeight="1"/>
    <row r="1330" ht="15.75" hidden="1" customHeight="1"/>
    <row r="1331" ht="15.75" hidden="1" customHeight="1"/>
    <row r="1332" ht="15.75" hidden="1" customHeight="1"/>
    <row r="1333" ht="15.75" hidden="1" customHeight="1"/>
    <row r="1334" ht="15.75" hidden="1" customHeight="1"/>
    <row r="1335" ht="15.75" hidden="1" customHeight="1"/>
    <row r="1336" ht="15.75" hidden="1" customHeight="1"/>
    <row r="1337" ht="15.75" hidden="1" customHeight="1"/>
    <row r="1338" ht="15.75" hidden="1" customHeight="1"/>
    <row r="1339" ht="15.75" hidden="1" customHeight="1"/>
    <row r="1340" ht="15.75" hidden="1" customHeight="1"/>
    <row r="1341" ht="15.75" hidden="1" customHeight="1"/>
    <row r="1342" ht="15.75" hidden="1" customHeight="1"/>
    <row r="1343" ht="15.75" hidden="1" customHeight="1"/>
    <row r="1344" ht="15.75" hidden="1" customHeight="1"/>
    <row r="1345" ht="15.75" hidden="1" customHeight="1"/>
    <row r="1346" ht="15.75" hidden="1" customHeight="1"/>
    <row r="1347" ht="15.75" hidden="1" customHeight="1"/>
    <row r="1348" ht="15.75" hidden="1" customHeight="1"/>
    <row r="1349" ht="15.75" hidden="1" customHeight="1"/>
    <row r="1350" ht="15.75" hidden="1" customHeight="1"/>
    <row r="1351" ht="15.75" hidden="1" customHeight="1"/>
    <row r="1352" ht="15.75" hidden="1" customHeight="1"/>
    <row r="1353" ht="15.75" hidden="1" customHeight="1"/>
    <row r="1354" ht="15.75" hidden="1" customHeight="1"/>
    <row r="1355" ht="15.75" hidden="1" customHeight="1"/>
    <row r="1356" ht="15.75" hidden="1" customHeight="1"/>
    <row r="1357" ht="15.75" hidden="1" customHeight="1"/>
    <row r="1358" ht="15.75" hidden="1" customHeight="1"/>
    <row r="1359" ht="15.75" hidden="1" customHeight="1"/>
    <row r="1360" ht="15.75" hidden="1" customHeight="1"/>
    <row r="1361" ht="15.75" hidden="1" customHeight="1"/>
    <row r="1362" ht="15.75" hidden="1" customHeight="1"/>
    <row r="1363" ht="15.75" hidden="1" customHeight="1"/>
    <row r="1364" ht="15.75" hidden="1" customHeight="1"/>
    <row r="1365" ht="15.75" hidden="1" customHeight="1"/>
    <row r="1366" ht="15.75" hidden="1" customHeight="1"/>
    <row r="1367" ht="15.75" hidden="1" customHeight="1"/>
    <row r="1368" ht="15.75" hidden="1" customHeight="1"/>
    <row r="1369" ht="15.75" hidden="1" customHeight="1"/>
    <row r="1370" ht="15.75" hidden="1" customHeight="1"/>
    <row r="1371" ht="15.75" hidden="1" customHeight="1"/>
    <row r="1372" ht="15.75" hidden="1" customHeight="1"/>
    <row r="1373" ht="15.75" hidden="1" customHeight="1"/>
    <row r="1374" ht="15.75" hidden="1" customHeight="1"/>
    <row r="1375" ht="15.75" hidden="1" customHeight="1"/>
    <row r="1376" ht="15.75" hidden="1" customHeight="1"/>
    <row r="1377" ht="15.75" hidden="1" customHeight="1"/>
    <row r="1378" ht="15.75" hidden="1" customHeight="1"/>
    <row r="1379" ht="15.75" hidden="1" customHeight="1"/>
    <row r="1380" ht="15.75" hidden="1" customHeight="1"/>
    <row r="1381" ht="15.75" hidden="1" customHeight="1"/>
    <row r="1382" ht="15.75" hidden="1" customHeight="1"/>
    <row r="1383" ht="15.75" hidden="1" customHeight="1"/>
    <row r="1384" ht="15.75" hidden="1" customHeight="1"/>
    <row r="1385" ht="15.75" hidden="1" customHeight="1"/>
    <row r="1386" ht="15.75" hidden="1" customHeight="1"/>
    <row r="1387" ht="15.75" hidden="1" customHeight="1"/>
    <row r="1388" ht="15.75" hidden="1" customHeight="1"/>
    <row r="1389" ht="15.75" hidden="1" customHeight="1"/>
    <row r="1390" ht="15.75" hidden="1" customHeight="1"/>
    <row r="1391" ht="15.75" hidden="1" customHeight="1"/>
    <row r="1392" ht="15.75" hidden="1" customHeight="1"/>
    <row r="1393" ht="15.75" hidden="1" customHeight="1"/>
    <row r="1394" ht="15.75" hidden="1" customHeight="1"/>
    <row r="1395" ht="15.75" hidden="1" customHeight="1"/>
    <row r="1396" ht="15.75" hidden="1" customHeight="1"/>
    <row r="1397" ht="15.75" hidden="1" customHeight="1"/>
    <row r="1398" ht="15.75" hidden="1" customHeight="1"/>
    <row r="1399" ht="15.75" hidden="1" customHeight="1"/>
    <row r="1400" ht="15.75" hidden="1" customHeight="1"/>
    <row r="1401" ht="15.75" hidden="1" customHeight="1"/>
    <row r="1402" ht="15.75" hidden="1" customHeight="1"/>
    <row r="1403" ht="15.75" hidden="1" customHeight="1"/>
    <row r="1404" ht="15.75" hidden="1" customHeight="1"/>
    <row r="1405" ht="15.75" hidden="1" customHeight="1"/>
    <row r="1406" ht="15.75" hidden="1" customHeight="1"/>
    <row r="1407" ht="15.75" hidden="1" customHeight="1"/>
    <row r="1408" ht="15.75" hidden="1" customHeight="1"/>
    <row r="1409" ht="15.75" hidden="1" customHeight="1"/>
    <row r="1410" ht="15.75" hidden="1" customHeight="1"/>
    <row r="1411" ht="15.75" hidden="1" customHeight="1"/>
    <row r="1412" ht="15.75" hidden="1" customHeight="1"/>
    <row r="1413" ht="15.75" hidden="1" customHeight="1"/>
    <row r="1414" ht="15.75" hidden="1" customHeight="1"/>
    <row r="1415" ht="15.75" hidden="1" customHeight="1"/>
    <row r="1416" ht="15.75" hidden="1" customHeight="1"/>
    <row r="1417" ht="15.75" hidden="1" customHeight="1"/>
    <row r="1418" ht="15.75" hidden="1" customHeight="1"/>
    <row r="1419" ht="15.75" hidden="1" customHeight="1"/>
    <row r="1420" ht="15.75" hidden="1" customHeight="1"/>
    <row r="1421" ht="15.75" hidden="1" customHeight="1"/>
    <row r="1422" ht="15.75" hidden="1" customHeight="1"/>
    <row r="1423" ht="15.75" hidden="1" customHeight="1"/>
    <row r="1424" ht="15.75" hidden="1" customHeight="1"/>
    <row r="1425" ht="15.75" hidden="1" customHeight="1"/>
    <row r="1426" ht="15.75" hidden="1" customHeight="1"/>
    <row r="1427" ht="15.75" hidden="1" customHeight="1"/>
    <row r="1428" ht="15.75" hidden="1" customHeight="1"/>
    <row r="1429" ht="15.75" hidden="1" customHeight="1"/>
    <row r="1430" ht="15.75" hidden="1" customHeight="1"/>
    <row r="1431" ht="15.75" hidden="1" customHeight="1"/>
    <row r="1432" ht="15.75" hidden="1" customHeight="1"/>
    <row r="1433" ht="15.75" hidden="1" customHeight="1"/>
    <row r="1434" ht="15.75" hidden="1" customHeight="1"/>
    <row r="1435" ht="15.75" hidden="1" customHeight="1"/>
    <row r="1436" ht="15.75" hidden="1" customHeight="1"/>
    <row r="1437" ht="15.75" hidden="1" customHeight="1"/>
    <row r="1438" ht="15.75" hidden="1" customHeight="1"/>
    <row r="1439" ht="15.75" hidden="1" customHeight="1"/>
    <row r="1440" ht="15.75" hidden="1" customHeight="1"/>
    <row r="1441" ht="15.75" hidden="1" customHeight="1"/>
    <row r="1442" ht="15.75" hidden="1" customHeight="1"/>
    <row r="1443" ht="15.75" hidden="1" customHeight="1"/>
    <row r="1444" ht="15.75" hidden="1" customHeight="1"/>
    <row r="1445" ht="15.75" hidden="1" customHeight="1"/>
    <row r="1446" ht="15.75" hidden="1" customHeight="1"/>
    <row r="1447" ht="15.75" hidden="1" customHeight="1"/>
    <row r="1448" ht="15.75" hidden="1" customHeight="1"/>
    <row r="1449" ht="15.75" hidden="1" customHeight="1"/>
    <row r="1450" ht="15.75" hidden="1" customHeight="1"/>
    <row r="1451" ht="15.75" hidden="1" customHeight="1"/>
    <row r="1452" ht="15.75" hidden="1" customHeight="1"/>
    <row r="1453" ht="15.75" hidden="1" customHeight="1"/>
    <row r="1454" ht="15.75" hidden="1" customHeight="1"/>
    <row r="1455" ht="15.75" hidden="1" customHeight="1"/>
    <row r="1456" ht="15.75" hidden="1" customHeight="1"/>
    <row r="1457" ht="15.75" hidden="1" customHeight="1"/>
    <row r="1458" ht="15.75" hidden="1" customHeight="1"/>
    <row r="1459" ht="15.75" hidden="1" customHeight="1"/>
    <row r="1460" ht="15.75" hidden="1" customHeight="1"/>
    <row r="1461" ht="15.75" hidden="1" customHeight="1"/>
    <row r="1462" ht="15.75" hidden="1" customHeight="1"/>
    <row r="1463" ht="15.75" hidden="1" customHeight="1"/>
    <row r="1464" ht="15.75" hidden="1" customHeight="1"/>
    <row r="1465" ht="15.75" hidden="1" customHeight="1"/>
    <row r="1466" ht="15.75" hidden="1" customHeight="1"/>
    <row r="1467" ht="15.75" hidden="1" customHeight="1"/>
    <row r="1468" ht="15.75" hidden="1" customHeight="1"/>
    <row r="1469" ht="15.75" hidden="1" customHeight="1"/>
    <row r="1470" ht="15.75" hidden="1" customHeight="1"/>
    <row r="1471" ht="15.75" hidden="1" customHeight="1"/>
    <row r="1472" ht="15.75" hidden="1" customHeight="1"/>
    <row r="1473" ht="15.75" hidden="1" customHeight="1"/>
    <row r="1474" ht="15.75" hidden="1" customHeight="1"/>
    <row r="1475" ht="15.75" hidden="1" customHeight="1"/>
    <row r="1476" ht="15.75" hidden="1" customHeight="1"/>
    <row r="1477" ht="15.75" hidden="1" customHeight="1"/>
    <row r="1478" ht="15.75" hidden="1" customHeight="1"/>
    <row r="1479" ht="15.75" hidden="1" customHeight="1"/>
    <row r="1480" ht="15.75" hidden="1" customHeight="1"/>
    <row r="1481" ht="15.75" hidden="1" customHeight="1"/>
    <row r="1482" ht="15.75" hidden="1" customHeight="1"/>
    <row r="1483" ht="15.75" hidden="1" customHeight="1"/>
    <row r="1484" ht="15.75" hidden="1" customHeight="1"/>
    <row r="1485" ht="15.75" hidden="1" customHeight="1"/>
    <row r="1486" ht="15.75" hidden="1" customHeight="1"/>
    <row r="1487" ht="15.75" hidden="1" customHeight="1"/>
    <row r="1488" ht="15.75" hidden="1" customHeight="1"/>
    <row r="1489" ht="15.75" hidden="1" customHeight="1"/>
    <row r="1490" ht="15.75" hidden="1" customHeight="1"/>
    <row r="1491" ht="15.75" hidden="1" customHeight="1"/>
    <row r="1492" ht="15.75" hidden="1" customHeight="1"/>
    <row r="1493" ht="15.75" hidden="1" customHeight="1"/>
    <row r="1494" ht="15.75" hidden="1" customHeight="1"/>
    <row r="1495" ht="15.75" hidden="1" customHeight="1"/>
    <row r="1496" ht="15.75" hidden="1" customHeight="1"/>
    <row r="1497" ht="15.75" hidden="1" customHeight="1"/>
    <row r="1498" ht="15.75" hidden="1" customHeight="1"/>
    <row r="1499" ht="15.75" hidden="1" customHeight="1"/>
    <row r="1500" ht="15.75" hidden="1" customHeight="1"/>
    <row r="1501" ht="15.75" hidden="1" customHeight="1"/>
    <row r="1502" ht="15.75" hidden="1" customHeight="1"/>
    <row r="1503" ht="15.75" hidden="1" customHeight="1"/>
    <row r="1504" ht="15.75" hidden="1" customHeight="1"/>
    <row r="1505" ht="15.75" hidden="1" customHeight="1"/>
    <row r="1506" ht="15.75" hidden="1" customHeight="1"/>
    <row r="1507" ht="15.75" hidden="1" customHeight="1"/>
    <row r="1508" ht="15.75" hidden="1" customHeight="1"/>
    <row r="1509" ht="15.75" hidden="1" customHeight="1"/>
    <row r="1510" ht="15.75" hidden="1" customHeight="1"/>
    <row r="1511" ht="15.75" hidden="1" customHeight="1"/>
    <row r="1512" ht="15.75" hidden="1" customHeight="1"/>
    <row r="1513" ht="15.75" hidden="1" customHeight="1"/>
    <row r="1514" ht="15.75" hidden="1" customHeight="1"/>
    <row r="1515" ht="15.75" hidden="1" customHeight="1"/>
    <row r="1516" ht="15.75" hidden="1" customHeight="1"/>
    <row r="1517" ht="15.75" hidden="1" customHeight="1"/>
    <row r="1518" ht="15.75" hidden="1" customHeight="1"/>
    <row r="1519" ht="15.75" hidden="1" customHeight="1"/>
    <row r="1520" ht="15.75" hidden="1" customHeight="1"/>
    <row r="1521" ht="15.75" hidden="1" customHeight="1"/>
    <row r="1522" ht="15.75" hidden="1" customHeight="1"/>
    <row r="1523" ht="15.75" hidden="1" customHeight="1"/>
    <row r="1524" ht="15.75" hidden="1" customHeight="1"/>
    <row r="1525" ht="15.75" hidden="1" customHeight="1"/>
    <row r="1526" ht="15.75" hidden="1" customHeight="1"/>
    <row r="1527" ht="15.75" hidden="1" customHeight="1"/>
    <row r="1528" ht="15.75" hidden="1" customHeight="1"/>
    <row r="1529" ht="15.75" hidden="1" customHeight="1"/>
    <row r="1530" ht="15.75" hidden="1" customHeight="1"/>
    <row r="1531" ht="15.75" hidden="1" customHeight="1"/>
    <row r="1532" ht="15.75" hidden="1" customHeight="1"/>
    <row r="1533" ht="15.75" hidden="1" customHeight="1"/>
    <row r="1534" ht="15.75" hidden="1" customHeight="1"/>
    <row r="1535" ht="15.75" hidden="1" customHeight="1"/>
    <row r="1536" ht="15.75" hidden="1" customHeight="1"/>
    <row r="1537" ht="15.75" hidden="1" customHeight="1"/>
    <row r="1538" ht="15.75" hidden="1" customHeight="1"/>
    <row r="1539" ht="15.75" hidden="1" customHeight="1"/>
    <row r="1540" ht="15.75" hidden="1" customHeight="1"/>
    <row r="1541" ht="15.75" hidden="1" customHeight="1"/>
    <row r="1542" ht="15.75" hidden="1" customHeight="1"/>
    <row r="1543" ht="15.75" hidden="1" customHeight="1"/>
    <row r="1544" ht="15.75" hidden="1" customHeight="1"/>
    <row r="1545" ht="15.75" hidden="1" customHeight="1"/>
    <row r="1546" ht="15.75" hidden="1" customHeight="1"/>
    <row r="1547" ht="15.75" hidden="1" customHeight="1"/>
    <row r="1548" ht="15.75" hidden="1" customHeight="1"/>
    <row r="1549" ht="15.75" hidden="1" customHeight="1"/>
    <row r="1550" ht="15.75" hidden="1" customHeight="1"/>
    <row r="1551" ht="15.75" hidden="1" customHeight="1"/>
    <row r="1552" ht="15.75" hidden="1" customHeight="1"/>
    <row r="1553" ht="15.75" hidden="1" customHeight="1"/>
    <row r="1554" ht="15.75" hidden="1" customHeight="1"/>
    <row r="1555" ht="15.75" hidden="1" customHeight="1"/>
    <row r="1556" ht="15.75" hidden="1" customHeight="1"/>
    <row r="1557" ht="15.75" hidden="1" customHeight="1"/>
    <row r="1558" ht="15.75" hidden="1" customHeight="1"/>
    <row r="1559" ht="15.75" hidden="1" customHeight="1"/>
    <row r="1560" ht="15.75" hidden="1" customHeight="1"/>
    <row r="1561" ht="15.75" hidden="1" customHeight="1"/>
    <row r="1562" ht="15.75" hidden="1" customHeight="1"/>
    <row r="1563" ht="15.75" hidden="1" customHeight="1"/>
    <row r="1564" ht="15.75" hidden="1" customHeight="1"/>
    <row r="1565" ht="15.75" hidden="1" customHeight="1"/>
    <row r="1566" ht="15.75" hidden="1" customHeight="1"/>
    <row r="1567" ht="15.75" hidden="1" customHeight="1"/>
    <row r="1568" ht="15.75" hidden="1" customHeight="1"/>
    <row r="1569" ht="15.75" hidden="1" customHeight="1"/>
    <row r="1570" ht="15.75" hidden="1" customHeight="1"/>
    <row r="1571" ht="15.75" hidden="1" customHeight="1"/>
    <row r="1572" ht="15.75" hidden="1" customHeight="1"/>
    <row r="1573" ht="15.75" hidden="1" customHeight="1"/>
    <row r="1574" ht="15.75" hidden="1" customHeight="1"/>
    <row r="1575" ht="15.75" hidden="1" customHeight="1"/>
    <row r="1576" ht="15.75" hidden="1" customHeight="1"/>
    <row r="1577" ht="15.75" hidden="1" customHeight="1"/>
    <row r="1578" ht="15.75" hidden="1" customHeight="1"/>
    <row r="1579" ht="15.75" hidden="1" customHeight="1"/>
    <row r="1580" ht="15.75" hidden="1" customHeight="1"/>
    <row r="1581" ht="15.75" hidden="1" customHeight="1"/>
    <row r="1582" ht="15.75" hidden="1" customHeight="1"/>
    <row r="1583" ht="15.75" hidden="1" customHeight="1"/>
    <row r="1584" ht="15.75" hidden="1" customHeight="1"/>
    <row r="1585" ht="15.75" hidden="1" customHeight="1"/>
    <row r="1586" ht="15.75" hidden="1" customHeight="1"/>
    <row r="1587" ht="15.75" hidden="1" customHeight="1"/>
    <row r="1588" ht="15.75" hidden="1" customHeight="1"/>
    <row r="1589" ht="15.75" hidden="1" customHeight="1"/>
    <row r="1590" ht="15.75" hidden="1" customHeight="1"/>
    <row r="1591" ht="15.75" hidden="1" customHeight="1"/>
    <row r="1592" ht="15.75" hidden="1" customHeight="1"/>
    <row r="1593" ht="15.75" hidden="1" customHeight="1"/>
    <row r="1594" ht="15.75" hidden="1" customHeight="1"/>
    <row r="1595" ht="15.75" hidden="1" customHeight="1"/>
    <row r="1596" ht="15.75" hidden="1" customHeight="1"/>
    <row r="1597" ht="15.75" hidden="1" customHeight="1"/>
    <row r="1598" ht="15.75" hidden="1" customHeight="1"/>
    <row r="1599" ht="15.75" hidden="1" customHeight="1"/>
    <row r="1600" ht="15.75" hidden="1" customHeight="1"/>
    <row r="1601" ht="15.75" hidden="1" customHeight="1"/>
    <row r="1602" ht="15.75" hidden="1" customHeight="1"/>
    <row r="1603" ht="15.75" hidden="1" customHeight="1"/>
    <row r="1604" ht="15.75" hidden="1" customHeight="1"/>
    <row r="1605" ht="15.75" hidden="1" customHeight="1"/>
    <row r="1606" ht="15.75" hidden="1" customHeight="1"/>
    <row r="1607" ht="15.75" hidden="1" customHeight="1"/>
    <row r="1608" ht="15.75" hidden="1" customHeight="1"/>
    <row r="1609" ht="15.75" hidden="1" customHeight="1"/>
    <row r="1610" ht="15.75" hidden="1" customHeight="1"/>
    <row r="1611" ht="15.75" hidden="1" customHeight="1"/>
    <row r="1612" ht="15.75" hidden="1" customHeight="1"/>
    <row r="1613" ht="15.75" hidden="1" customHeight="1"/>
    <row r="1614" ht="15.75" hidden="1" customHeight="1"/>
    <row r="1615" ht="15.75" hidden="1" customHeight="1"/>
    <row r="1616" ht="15.75" hidden="1" customHeight="1"/>
    <row r="1617" ht="15.75" hidden="1" customHeight="1"/>
    <row r="1618" ht="15.75" hidden="1" customHeight="1"/>
    <row r="1619" ht="15.75" hidden="1" customHeight="1"/>
    <row r="1620" ht="15.75" hidden="1" customHeight="1"/>
    <row r="1621" ht="15.75" hidden="1" customHeight="1"/>
    <row r="1622" ht="15.75" hidden="1" customHeight="1"/>
    <row r="1623" ht="15.75" hidden="1" customHeight="1"/>
    <row r="1624" ht="15.75" hidden="1" customHeight="1"/>
    <row r="1625" ht="15.75" hidden="1" customHeight="1"/>
    <row r="1626" ht="15.75" hidden="1" customHeight="1"/>
    <row r="1627" ht="15.75" hidden="1" customHeight="1"/>
    <row r="1628" ht="15.75" hidden="1" customHeight="1"/>
    <row r="1629" ht="15.75" hidden="1" customHeight="1"/>
    <row r="1630" ht="15.75" hidden="1" customHeight="1"/>
    <row r="1631" ht="15.75" hidden="1" customHeight="1"/>
    <row r="1632" ht="15.75" hidden="1" customHeight="1"/>
    <row r="1633" ht="15.75" hidden="1" customHeight="1"/>
    <row r="1634" ht="15.75" hidden="1" customHeight="1"/>
    <row r="1635" ht="15.75" hidden="1" customHeight="1"/>
    <row r="1636" ht="15.75" hidden="1" customHeight="1"/>
    <row r="1637" ht="15.75" hidden="1" customHeight="1"/>
    <row r="1638" ht="15.75" hidden="1" customHeight="1"/>
    <row r="1639" ht="15.75" hidden="1" customHeight="1"/>
    <row r="1640" ht="15.75" hidden="1" customHeight="1"/>
    <row r="1641" ht="15.75" hidden="1" customHeight="1"/>
    <row r="1642" ht="15.75" hidden="1" customHeight="1"/>
    <row r="1643" ht="15.75" hidden="1" customHeight="1"/>
    <row r="1644" ht="15.75" hidden="1" customHeight="1"/>
    <row r="1645" ht="15.75" hidden="1" customHeight="1"/>
    <row r="1646" ht="15.75" hidden="1" customHeight="1"/>
    <row r="1647" ht="15.75" hidden="1" customHeight="1"/>
    <row r="1648" ht="15.75" hidden="1" customHeight="1"/>
    <row r="1649" ht="15.75" hidden="1" customHeight="1"/>
    <row r="1650" ht="15.75" hidden="1" customHeight="1"/>
    <row r="1651" ht="15.75" hidden="1" customHeight="1"/>
    <row r="1652" ht="15.75" hidden="1" customHeight="1"/>
    <row r="1653" ht="15.75" hidden="1" customHeight="1"/>
    <row r="1654" ht="15.75" hidden="1" customHeight="1"/>
    <row r="1655" ht="15.75" hidden="1" customHeight="1"/>
    <row r="1656" ht="15.75" hidden="1" customHeight="1"/>
    <row r="1657" ht="15.75" hidden="1" customHeight="1"/>
    <row r="1658" ht="15.75" hidden="1" customHeight="1"/>
    <row r="1659" ht="15.75" hidden="1" customHeight="1"/>
    <row r="1660" ht="15.75" hidden="1" customHeight="1"/>
    <row r="1661" ht="15.75" hidden="1" customHeight="1"/>
    <row r="1662" ht="15.75" hidden="1" customHeight="1"/>
    <row r="1663" ht="15.75" hidden="1" customHeight="1"/>
    <row r="1664" ht="15.75" hidden="1" customHeight="1"/>
    <row r="1665" ht="15.75" hidden="1" customHeight="1"/>
    <row r="1666" ht="15.75" hidden="1" customHeight="1"/>
    <row r="1667" ht="15.75" hidden="1" customHeight="1"/>
    <row r="1668" ht="15.75" hidden="1" customHeight="1"/>
    <row r="1669" ht="15.75" hidden="1" customHeight="1"/>
    <row r="1670" ht="15.75" hidden="1" customHeight="1"/>
    <row r="1671" ht="15.75" hidden="1" customHeight="1"/>
    <row r="1672" ht="15.75" hidden="1" customHeight="1"/>
    <row r="1673" ht="15.75" hidden="1" customHeight="1"/>
    <row r="1674" ht="15.75" hidden="1" customHeight="1"/>
    <row r="1675" ht="15.75" hidden="1" customHeight="1"/>
    <row r="1676" ht="15.75" hidden="1" customHeight="1"/>
    <row r="1677" ht="15.75" hidden="1" customHeight="1"/>
    <row r="1678" ht="15.75" hidden="1" customHeight="1"/>
    <row r="1679" ht="15.75" hidden="1" customHeight="1"/>
    <row r="1680" ht="15.75" hidden="1" customHeight="1"/>
    <row r="1681" ht="15.75" hidden="1" customHeight="1"/>
    <row r="1682" ht="15.75" hidden="1" customHeight="1"/>
    <row r="1683" ht="15.75" hidden="1" customHeight="1"/>
    <row r="1684" ht="15.75" hidden="1" customHeight="1"/>
    <row r="1685" ht="15.75" hidden="1" customHeight="1"/>
    <row r="1686" ht="15.75" hidden="1" customHeight="1"/>
    <row r="1687" ht="15.75" hidden="1" customHeight="1"/>
    <row r="1688" ht="15.75" hidden="1" customHeight="1"/>
    <row r="1689" ht="15.75" hidden="1" customHeight="1"/>
    <row r="1690" ht="15.75" hidden="1" customHeight="1"/>
    <row r="1691" ht="15.75" hidden="1" customHeight="1"/>
    <row r="1692" ht="15.75" hidden="1" customHeight="1"/>
    <row r="1693" ht="15.75" hidden="1" customHeight="1"/>
    <row r="1694" ht="15.75" hidden="1" customHeight="1"/>
    <row r="1695" ht="15.75" hidden="1" customHeight="1"/>
    <row r="1696" ht="15.75" hidden="1" customHeight="1"/>
    <row r="1697" ht="15.75" hidden="1" customHeight="1"/>
    <row r="1698" ht="15.75" hidden="1" customHeight="1"/>
    <row r="1699" ht="15.75" hidden="1" customHeight="1"/>
    <row r="1700" ht="15.75" hidden="1" customHeight="1"/>
    <row r="1701" ht="15.75" hidden="1" customHeight="1"/>
    <row r="1702" ht="15.75" hidden="1" customHeight="1"/>
    <row r="1703" ht="15.75" hidden="1" customHeight="1"/>
    <row r="1704" ht="15.75" hidden="1" customHeight="1"/>
    <row r="1705" ht="15.75" hidden="1" customHeight="1"/>
    <row r="1706" ht="15.75" hidden="1" customHeight="1"/>
    <row r="1707" ht="15.75" hidden="1" customHeight="1"/>
    <row r="1708" ht="15.75" hidden="1" customHeight="1"/>
    <row r="1709" ht="15.75" hidden="1" customHeight="1"/>
    <row r="1710" ht="15.75" hidden="1" customHeight="1"/>
    <row r="1711" ht="15.75" hidden="1" customHeight="1"/>
    <row r="1712" ht="15.75" hidden="1" customHeight="1"/>
    <row r="1713" ht="15.75" hidden="1" customHeight="1"/>
    <row r="1714" ht="15.75" hidden="1" customHeight="1"/>
    <row r="1715" ht="15.75" hidden="1" customHeight="1"/>
    <row r="1716" ht="15.75" hidden="1" customHeight="1"/>
    <row r="1717" ht="15.75" hidden="1" customHeight="1"/>
    <row r="1718" ht="15.75" hidden="1" customHeight="1"/>
    <row r="1719" ht="15.75" hidden="1" customHeight="1"/>
    <row r="1720" ht="15.75" hidden="1" customHeight="1"/>
    <row r="1721" ht="15.75" hidden="1" customHeight="1"/>
    <row r="1722" ht="15.75" hidden="1" customHeight="1"/>
    <row r="1723" ht="15.75" hidden="1" customHeight="1"/>
    <row r="1724" ht="15.75" hidden="1" customHeight="1"/>
    <row r="1725" ht="15.75" hidden="1" customHeight="1"/>
    <row r="1726" ht="15.75" hidden="1" customHeight="1"/>
    <row r="1727" ht="15.75" hidden="1" customHeight="1"/>
    <row r="1728" ht="15.75" hidden="1" customHeight="1"/>
    <row r="1729" ht="15.75" hidden="1" customHeight="1"/>
    <row r="1730" ht="15.75" hidden="1" customHeight="1"/>
    <row r="1731" ht="15.75" hidden="1" customHeight="1"/>
    <row r="1732" ht="15.75" hidden="1" customHeight="1"/>
    <row r="1733" ht="15.75" hidden="1" customHeight="1"/>
    <row r="1734" ht="15.75" hidden="1" customHeight="1"/>
    <row r="1735" ht="15.75" hidden="1" customHeight="1"/>
    <row r="1736" ht="15.75" hidden="1" customHeight="1"/>
    <row r="1737" ht="15.75" hidden="1" customHeight="1"/>
    <row r="1738" ht="15.75" hidden="1" customHeight="1"/>
    <row r="1739" ht="15.75" hidden="1" customHeight="1"/>
    <row r="1740" ht="15.75" hidden="1" customHeight="1"/>
    <row r="1741" ht="15.75" hidden="1" customHeight="1"/>
    <row r="1742" ht="15.75" hidden="1" customHeight="1"/>
    <row r="1743" ht="15.75" hidden="1" customHeight="1"/>
    <row r="1744" ht="15.75" hidden="1" customHeight="1"/>
    <row r="1745" ht="15.75" hidden="1" customHeight="1"/>
    <row r="1746" ht="15.75" hidden="1" customHeight="1"/>
    <row r="1747" ht="15.75" hidden="1" customHeight="1"/>
    <row r="1748" ht="15.75" hidden="1" customHeight="1"/>
    <row r="1749" ht="15.75" hidden="1" customHeight="1"/>
    <row r="1750" ht="15.75" hidden="1" customHeight="1"/>
    <row r="1751" ht="15.75" hidden="1" customHeight="1"/>
    <row r="1752" ht="15.75" hidden="1" customHeight="1"/>
    <row r="1753" ht="15.75" hidden="1" customHeight="1"/>
    <row r="1754" ht="15.75" hidden="1" customHeight="1"/>
    <row r="1755" ht="15.75" hidden="1" customHeight="1"/>
    <row r="1756" ht="15.75" hidden="1" customHeight="1"/>
    <row r="1757" ht="15.75" hidden="1" customHeight="1"/>
    <row r="1758" ht="15.75" hidden="1" customHeight="1"/>
    <row r="1759" ht="15.75" hidden="1" customHeight="1"/>
    <row r="1760" ht="15.75" hidden="1" customHeight="1"/>
    <row r="1761" ht="15.75" hidden="1" customHeight="1"/>
    <row r="1762" ht="15.75" hidden="1" customHeight="1"/>
    <row r="1763" ht="15.75" hidden="1" customHeight="1"/>
    <row r="1764" ht="15.75" hidden="1" customHeight="1"/>
    <row r="1765" ht="15.75" hidden="1" customHeight="1"/>
    <row r="1766" ht="15.75" hidden="1" customHeight="1"/>
    <row r="1767" ht="15.75" hidden="1" customHeight="1"/>
    <row r="1768" ht="15.75" hidden="1" customHeight="1"/>
    <row r="1769" ht="15.75" hidden="1" customHeight="1"/>
    <row r="1770" ht="15.75" hidden="1" customHeight="1"/>
    <row r="1771" ht="15.75" hidden="1" customHeight="1"/>
    <row r="1772" ht="15.75" hidden="1" customHeight="1"/>
    <row r="1773" ht="15.75" hidden="1" customHeight="1"/>
    <row r="1774" ht="15.75" hidden="1" customHeight="1"/>
    <row r="1775" ht="15.75" hidden="1" customHeight="1"/>
    <row r="1776" ht="15.75" hidden="1" customHeight="1"/>
    <row r="1777" ht="15.75" hidden="1" customHeight="1"/>
    <row r="1778" ht="15.75" hidden="1" customHeight="1"/>
    <row r="1779" ht="15.75" hidden="1" customHeight="1"/>
    <row r="1780" ht="15.75" hidden="1" customHeight="1"/>
    <row r="1781" ht="15.75" hidden="1" customHeight="1"/>
    <row r="1782" ht="15.75" hidden="1" customHeight="1"/>
    <row r="1783" ht="15.75" hidden="1" customHeight="1"/>
    <row r="1784" ht="15.75" hidden="1" customHeight="1"/>
    <row r="1785" ht="15.75" hidden="1" customHeight="1"/>
    <row r="1786" ht="15.75" hidden="1" customHeight="1"/>
    <row r="1787" ht="15.75" hidden="1" customHeight="1"/>
    <row r="1788" ht="15.75" hidden="1" customHeight="1"/>
    <row r="1789" ht="15.75" hidden="1" customHeight="1"/>
    <row r="1790" ht="15.75" hidden="1" customHeight="1"/>
    <row r="1791" ht="15.75" hidden="1" customHeight="1"/>
    <row r="1792" ht="15.75" hidden="1" customHeight="1"/>
    <row r="1793" ht="15.75" hidden="1" customHeight="1"/>
    <row r="1794" ht="15.75" hidden="1" customHeight="1"/>
    <row r="1795" ht="15.75" hidden="1" customHeight="1"/>
    <row r="1796" ht="15.75" hidden="1" customHeight="1"/>
    <row r="1797" ht="15.75" hidden="1" customHeight="1"/>
    <row r="1798" ht="15.75" hidden="1" customHeight="1"/>
    <row r="1799" ht="15.75" hidden="1" customHeight="1"/>
    <row r="1800" ht="15.75" hidden="1" customHeight="1"/>
    <row r="1801" ht="15.75" hidden="1" customHeight="1"/>
    <row r="1802" ht="15.75" hidden="1" customHeight="1"/>
    <row r="1803" ht="15.75" hidden="1" customHeight="1"/>
    <row r="1804" ht="15.75" hidden="1" customHeight="1"/>
    <row r="1805" ht="15.75" hidden="1" customHeight="1"/>
    <row r="1806" ht="15.75" hidden="1" customHeight="1"/>
    <row r="1807" ht="15.75" hidden="1" customHeight="1"/>
    <row r="1808" ht="15.75" hidden="1" customHeight="1"/>
    <row r="1809" ht="15.75" hidden="1" customHeight="1"/>
    <row r="1810" ht="15.75" hidden="1" customHeight="1"/>
    <row r="1811" ht="15.75" hidden="1" customHeight="1"/>
    <row r="1812" ht="15.75" hidden="1" customHeight="1"/>
    <row r="1813" ht="15.75" hidden="1" customHeight="1"/>
    <row r="1814" ht="15.75" hidden="1" customHeight="1"/>
    <row r="1815" ht="15.75" hidden="1" customHeight="1"/>
    <row r="1816" ht="15.75" hidden="1" customHeight="1"/>
    <row r="1817" ht="15.75" hidden="1" customHeight="1"/>
    <row r="1818" ht="15.75" hidden="1" customHeight="1"/>
    <row r="1819" ht="15.75" hidden="1" customHeight="1"/>
    <row r="1820" ht="15.75" hidden="1" customHeight="1"/>
    <row r="1821" ht="15.75" hidden="1" customHeight="1"/>
    <row r="1822" ht="15.75" hidden="1" customHeight="1"/>
    <row r="1823" ht="15.75" hidden="1" customHeight="1"/>
    <row r="1824" ht="15.75" hidden="1" customHeight="1"/>
    <row r="1825" ht="15.75" hidden="1" customHeight="1"/>
    <row r="1826" ht="15.75" hidden="1" customHeight="1"/>
    <row r="1827" ht="15.75" hidden="1" customHeight="1"/>
    <row r="1828" ht="15.75" hidden="1" customHeight="1"/>
    <row r="1829" ht="15.75" hidden="1" customHeight="1"/>
    <row r="1830" ht="15.75" hidden="1" customHeight="1"/>
    <row r="1831" ht="15.75" hidden="1" customHeight="1"/>
    <row r="1832" ht="15.75" hidden="1" customHeight="1"/>
    <row r="1833" ht="15.75" hidden="1" customHeight="1"/>
    <row r="1834" ht="15.75" hidden="1" customHeight="1"/>
    <row r="1835" ht="15.75" hidden="1" customHeight="1"/>
    <row r="1836" ht="15.75" hidden="1" customHeight="1"/>
    <row r="1837" ht="15.75" hidden="1" customHeight="1"/>
    <row r="1838" ht="15.75" hidden="1" customHeight="1"/>
    <row r="1839" ht="15.75" hidden="1" customHeight="1"/>
    <row r="1840" ht="15.75" hidden="1" customHeight="1"/>
    <row r="1841" ht="15.75" hidden="1" customHeight="1"/>
    <row r="1842" ht="15.75" hidden="1" customHeight="1"/>
    <row r="1843" ht="15.75" hidden="1" customHeight="1"/>
    <row r="1844" ht="15.75" hidden="1" customHeight="1"/>
    <row r="1845" ht="15.75" hidden="1" customHeight="1"/>
    <row r="1846" ht="15.75" hidden="1" customHeight="1"/>
    <row r="1847" ht="15.75" hidden="1" customHeight="1"/>
    <row r="1848" ht="15.75" hidden="1" customHeight="1"/>
    <row r="1849" ht="15.75" hidden="1" customHeight="1"/>
    <row r="1850" ht="15.75" hidden="1" customHeight="1"/>
    <row r="1851" ht="15.75" hidden="1" customHeight="1"/>
    <row r="1852" ht="15.75" hidden="1" customHeight="1"/>
    <row r="1853" ht="15.75" hidden="1" customHeight="1"/>
    <row r="1854" ht="15.75" hidden="1" customHeight="1"/>
    <row r="1855" ht="15.75" hidden="1" customHeight="1"/>
    <row r="1856" ht="15.75" hidden="1" customHeight="1"/>
  </sheetData>
  <autoFilter ref="A2:BK57" xr:uid="{C8F1A46F-59C2-44B4-A02A-24FCD39E58B5}">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filterColumn colId="52" showButton="0"/>
    <filterColumn colId="53" showButton="0"/>
  </autoFilter>
  <mergeCells count="11">
    <mergeCell ref="BA2:BC2"/>
    <mergeCell ref="A1:BD1"/>
    <mergeCell ref="BF1:BI1"/>
    <mergeCell ref="N2:P2"/>
    <mergeCell ref="T2:V2"/>
    <mergeCell ref="W2:Y2"/>
    <mergeCell ref="Z2:AB2"/>
    <mergeCell ref="AC2:AE2"/>
    <mergeCell ref="AN2:AP2"/>
    <mergeCell ref="AQ2:AS2"/>
    <mergeCell ref="AT2:AV2"/>
  </mergeCells>
  <phoneticPr fontId="109" type="noConversion"/>
  <conditionalFormatting sqref="AM45:AM53 AN41:AV53 AY41:AZ53 C42:AL42 C41:M41 O41:AJ41 C30:AZ30 C22:AZ22 C21:V21 X21:AZ21 C45:AJ45 C44:AL44 AL41:AM41 C48:AL48 C47:AJ47 AL47 B57:AZ57 C20:H20 K20:AZ20 C23:V23 X23:AZ23 C24:AZ28 C29:V29 X29:AZ29 C43:AJ43 AL43:AM43 AL45:AM45 C46:AL46 AL49:AM49 C49:AJ49 C50:AL53">
    <cfRule type="expression" dxfId="8161" priority="3798">
      <formula>$M20="NON DEFINED"</formula>
    </cfRule>
    <cfRule type="expression" dxfId="8160" priority="3799">
      <formula>$AZ20="N.D."</formula>
    </cfRule>
    <cfRule type="expression" dxfId="8159" priority="3800">
      <formula>$AY20="N.D."</formula>
    </cfRule>
  </conditionalFormatting>
  <conditionalFormatting sqref="BA57:BC57">
    <cfRule type="expression" dxfId="8158" priority="3796">
      <formula>$BE57="A"</formula>
    </cfRule>
    <cfRule type="expression" dxfId="8157" priority="3797">
      <formula>$BE57="R"</formula>
    </cfRule>
  </conditionalFormatting>
  <conditionalFormatting sqref="AG20:AG30 A20:A30 AY20:AZ30 AM41 J21:J30 J41:J53 G41:H53 AY41:AZ53 A41:A53 AN41:AS53 AG41:AG53 A57:AZ57 C41:E53 C20:E30 G20:H30 AM20:AS30 AM43 AM45:AM53">
    <cfRule type="expression" dxfId="8156" priority="3785">
      <formula>$A20="Overhead Cable"</formula>
    </cfRule>
    <cfRule type="expression" dxfId="8155" priority="3786">
      <formula>$A20="Level Crossing"</formula>
    </cfRule>
    <cfRule type="expression" dxfId="8154" priority="3787">
      <formula>$A20="Neutral Section"</formula>
    </cfRule>
    <cfRule type="expression" dxfId="8153" priority="3788">
      <formula>$A20="Tunnel"</formula>
    </cfRule>
    <cfRule type="expression" dxfId="8152" priority="3789">
      <formula>$A20="Bridge"</formula>
    </cfRule>
    <cfRule type="expression" dxfId="8151" priority="3790">
      <formula>$A20="Drainage Works"</formula>
    </cfRule>
    <cfRule type="expression" dxfId="8150" priority="3791">
      <formula>$A20="Underpass"</formula>
    </cfRule>
    <cfRule type="expression" dxfId="8149" priority="3792">
      <formula>$A20="Overcrossing"</formula>
    </cfRule>
    <cfRule type="expression" dxfId="8148" priority="3793">
      <formula>$A20="Overpass"</formula>
    </cfRule>
    <cfRule type="expression" dxfId="8147" priority="3794">
      <formula>$A20="Station"</formula>
    </cfRule>
    <cfRule type="expression" dxfId="8146" priority="3795">
      <formula>$A20="Overlap between sections"</formula>
    </cfRule>
  </conditionalFormatting>
  <conditionalFormatting sqref="AN20:AP30 AN41:AP53 AN57:AP57">
    <cfRule type="cellIs" dxfId="8145" priority="3784" operator="notEqual">
      <formula>5.5</formula>
    </cfRule>
  </conditionalFormatting>
  <conditionalFormatting sqref="B57">
    <cfRule type="expression" dxfId="8144" priority="3783">
      <formula>AND($AH57&gt;2499,$AH57&lt;2901)</formula>
    </cfRule>
  </conditionalFormatting>
  <conditionalFormatting sqref="I21:I30 I41:I53">
    <cfRule type="expression" dxfId="8143" priority="3772">
      <formula>$A21="Overhead Cable"</formula>
    </cfRule>
    <cfRule type="expression" dxfId="8142" priority="3773">
      <formula>$A21="Level Crossing"</formula>
    </cfRule>
    <cfRule type="expression" dxfId="8141" priority="3774">
      <formula>$A21="Neutral Section"</formula>
    </cfRule>
    <cfRule type="expression" dxfId="8140" priority="3775">
      <formula>$A21="Tunnel"</formula>
    </cfRule>
    <cfRule type="expression" dxfId="8139" priority="3776">
      <formula>$A21="Bridge"</formula>
    </cfRule>
    <cfRule type="expression" dxfId="8138" priority="3777">
      <formula>$A21="Drainage Works"</formula>
    </cfRule>
    <cfRule type="expression" dxfId="8137" priority="3778">
      <formula>$A21="Underpass"</formula>
    </cfRule>
    <cfRule type="expression" dxfId="8136" priority="3779">
      <formula>$A21="Overcrossing"</formula>
    </cfRule>
    <cfRule type="expression" dxfId="8135" priority="3780">
      <formula>$A21="Overpass"</formula>
    </cfRule>
    <cfRule type="expression" dxfId="8134" priority="3781">
      <formula>$A21="Station"</formula>
    </cfRule>
    <cfRule type="expression" dxfId="8133" priority="3782">
      <formula>$A21="Overlap between sections"</formula>
    </cfRule>
  </conditionalFormatting>
  <conditionalFormatting sqref="K20:K30 K41:K53">
    <cfRule type="expression" dxfId="8132" priority="3761">
      <formula>$A20="Overhead Cable"</formula>
    </cfRule>
    <cfRule type="expression" dxfId="8131" priority="3762">
      <formula>$A20="Level Crossing"</formula>
    </cfRule>
    <cfRule type="expression" dxfId="8130" priority="3763">
      <formula>$A20="Neutral Section"</formula>
    </cfRule>
    <cfRule type="expression" dxfId="8129" priority="3764">
      <formula>$A20="Tunnel"</formula>
    </cfRule>
    <cfRule type="expression" dxfId="8128" priority="3765">
      <formula>$A20="Bridge"</formula>
    </cfRule>
    <cfRule type="expression" dxfId="8127" priority="3766">
      <formula>$A20="Drainage Works"</formula>
    </cfRule>
    <cfRule type="expression" dxfId="8126" priority="3767">
      <formula>$A20="Underpass"</formula>
    </cfRule>
    <cfRule type="expression" dxfId="8125" priority="3768">
      <formula>$A20="Overcrossing"</formula>
    </cfRule>
    <cfRule type="expression" dxfId="8124" priority="3769">
      <formula>$A20="Overpass"</formula>
    </cfRule>
    <cfRule type="expression" dxfId="8123" priority="3770">
      <formula>$A20="Station"</formula>
    </cfRule>
    <cfRule type="expression" dxfId="8122" priority="3771">
      <formula>$A20="Overlap between sections"</formula>
    </cfRule>
  </conditionalFormatting>
  <conditionalFormatting sqref="L20:L30 L41:L53">
    <cfRule type="expression" dxfId="8121" priority="3750">
      <formula>$A20="Overhead Cable"</formula>
    </cfRule>
    <cfRule type="expression" dxfId="8120" priority="3751">
      <formula>$A20="Level Crossing"</formula>
    </cfRule>
    <cfRule type="expression" dxfId="8119" priority="3752">
      <formula>$A20="Neutral Section"</formula>
    </cfRule>
    <cfRule type="expression" dxfId="8118" priority="3753">
      <formula>$A20="Tunnel"</formula>
    </cfRule>
    <cfRule type="expression" dxfId="8117" priority="3754">
      <formula>$A20="Bridge"</formula>
    </cfRule>
    <cfRule type="expression" dxfId="8116" priority="3755">
      <formula>$A20="Drainage Works"</formula>
    </cfRule>
    <cfRule type="expression" dxfId="8115" priority="3756">
      <formula>$A20="Underpass"</formula>
    </cfRule>
    <cfRule type="expression" dxfId="8114" priority="3757">
      <formula>$A20="Overcrossing"</formula>
    </cfRule>
    <cfRule type="expression" dxfId="8113" priority="3758">
      <formula>$A20="Overpass"</formula>
    </cfRule>
    <cfRule type="expression" dxfId="8112" priority="3759">
      <formula>$A20="Station"</formula>
    </cfRule>
    <cfRule type="expression" dxfId="8111" priority="3760">
      <formula>$A20="Overlap between sections"</formula>
    </cfRule>
  </conditionalFormatting>
  <conditionalFormatting sqref="M20:M30 M41:M53">
    <cfRule type="expression" dxfId="8110" priority="3739">
      <formula>$A20="Overhead Cable"</formula>
    </cfRule>
    <cfRule type="expression" dxfId="8109" priority="3740">
      <formula>$A20="Level Crossing"</formula>
    </cfRule>
    <cfRule type="expression" dxfId="8108" priority="3741">
      <formula>$A20="Neutral Section"</formula>
    </cfRule>
    <cfRule type="expression" dxfId="8107" priority="3742">
      <formula>$A20="Tunnel"</formula>
    </cfRule>
    <cfRule type="expression" dxfId="8106" priority="3743">
      <formula>$A20="Bridge"</formula>
    </cfRule>
    <cfRule type="expression" dxfId="8105" priority="3744">
      <formula>$A20="Drainage Works"</formula>
    </cfRule>
    <cfRule type="expression" dxfId="8104" priority="3745">
      <formula>$A20="Underpass"</formula>
    </cfRule>
    <cfRule type="expression" dxfId="8103" priority="3746">
      <formula>$A20="Overcrossing"</formula>
    </cfRule>
    <cfRule type="expression" dxfId="8102" priority="3747">
      <formula>$A20="Overpass"</formula>
    </cfRule>
    <cfRule type="expression" dxfId="8101" priority="3748">
      <formula>$A20="Station"</formula>
    </cfRule>
    <cfRule type="expression" dxfId="8100" priority="3749">
      <formula>$A20="Overlap between sections"</formula>
    </cfRule>
  </conditionalFormatting>
  <conditionalFormatting sqref="N20:N30 N42:N53">
    <cfRule type="expression" dxfId="8099" priority="3728">
      <formula>$A20="Overhead Cable"</formula>
    </cfRule>
    <cfRule type="expression" dxfId="8098" priority="3729">
      <formula>$A20="Level Crossing"</formula>
    </cfRule>
    <cfRule type="expression" dxfId="8097" priority="3730">
      <formula>$A20="Neutral Section"</formula>
    </cfRule>
    <cfRule type="expression" dxfId="8096" priority="3731">
      <formula>$A20="Tunnel"</formula>
    </cfRule>
    <cfRule type="expression" dxfId="8095" priority="3732">
      <formula>$A20="Bridge"</formula>
    </cfRule>
    <cfRule type="expression" dxfId="8094" priority="3733">
      <formula>$A20="Drainage Works"</formula>
    </cfRule>
    <cfRule type="expression" dxfId="8093" priority="3734">
      <formula>$A20="Underpass"</formula>
    </cfRule>
    <cfRule type="expression" dxfId="8092" priority="3735">
      <formula>$A20="Overcrossing"</formula>
    </cfRule>
    <cfRule type="expression" dxfId="8091" priority="3736">
      <formula>$A20="Overpass"</formula>
    </cfRule>
    <cfRule type="expression" dxfId="8090" priority="3737">
      <formula>$A20="Station"</formula>
    </cfRule>
    <cfRule type="expression" dxfId="8089" priority="3738">
      <formula>$A20="Overlap between sections"</formula>
    </cfRule>
  </conditionalFormatting>
  <conditionalFormatting sqref="O20:O30 O41:O53">
    <cfRule type="expression" dxfId="8088" priority="3717">
      <formula>$A20="Overhead Cable"</formula>
    </cfRule>
    <cfRule type="expression" dxfId="8087" priority="3718">
      <formula>$A20="Level Crossing"</formula>
    </cfRule>
    <cfRule type="expression" dxfId="8086" priority="3719">
      <formula>$A20="Neutral Section"</formula>
    </cfRule>
    <cfRule type="expression" dxfId="8085" priority="3720">
      <formula>$A20="Tunnel"</formula>
    </cfRule>
    <cfRule type="expression" dxfId="8084" priority="3721">
      <formula>$A20="Bridge"</formula>
    </cfRule>
    <cfRule type="expression" dxfId="8083" priority="3722">
      <formula>$A20="Drainage Works"</formula>
    </cfRule>
    <cfRule type="expression" dxfId="8082" priority="3723">
      <formula>$A20="Underpass"</formula>
    </cfRule>
    <cfRule type="expression" dxfId="8081" priority="3724">
      <formula>$A20="Overcrossing"</formula>
    </cfRule>
    <cfRule type="expression" dxfId="8080" priority="3725">
      <formula>$A20="Overpass"</formula>
    </cfRule>
    <cfRule type="expression" dxfId="8079" priority="3726">
      <formula>$A20="Station"</formula>
    </cfRule>
    <cfRule type="expression" dxfId="8078" priority="3727">
      <formula>$A20="Overlap between sections"</formula>
    </cfRule>
  </conditionalFormatting>
  <conditionalFormatting sqref="P20:P30 P41:P53">
    <cfRule type="expression" dxfId="8077" priority="3706">
      <formula>$A20="Overhead Cable"</formula>
    </cfRule>
    <cfRule type="expression" dxfId="8076" priority="3707">
      <formula>$A20="Level Crossing"</formula>
    </cfRule>
    <cfRule type="expression" dxfId="8075" priority="3708">
      <formula>$A20="Neutral Section"</formula>
    </cfRule>
    <cfRule type="expression" dxfId="8074" priority="3709">
      <formula>$A20="Tunnel"</formula>
    </cfRule>
    <cfRule type="expression" dxfId="8073" priority="3710">
      <formula>$A20="Bridge"</formula>
    </cfRule>
    <cfRule type="expression" dxfId="8072" priority="3711">
      <formula>$A20="Drainage Works"</formula>
    </cfRule>
    <cfRule type="expression" dxfId="8071" priority="3712">
      <formula>$A20="Underpass"</formula>
    </cfRule>
    <cfRule type="expression" dxfId="8070" priority="3713">
      <formula>$A20="Overcrossing"</formula>
    </cfRule>
    <cfRule type="expression" dxfId="8069" priority="3714">
      <formula>$A20="Overpass"</formula>
    </cfRule>
    <cfRule type="expression" dxfId="8068" priority="3715">
      <formula>$A20="Station"</formula>
    </cfRule>
    <cfRule type="expression" dxfId="8067" priority="3716">
      <formula>$A20="Overlap between sections"</formula>
    </cfRule>
  </conditionalFormatting>
  <conditionalFormatting sqref="AC20:AC30 AC41:AC53">
    <cfRule type="expression" dxfId="8066" priority="3695">
      <formula>$A20="Overhead Cable"</formula>
    </cfRule>
    <cfRule type="expression" dxfId="8065" priority="3696">
      <formula>$A20="Level Crossing"</formula>
    </cfRule>
    <cfRule type="expression" dxfId="8064" priority="3697">
      <formula>$A20="Neutral Section"</formula>
    </cfRule>
    <cfRule type="expression" dxfId="8063" priority="3698">
      <formula>$A20="Tunnel"</formula>
    </cfRule>
    <cfRule type="expression" dxfId="8062" priority="3699">
      <formula>$A20="Bridge"</formula>
    </cfRule>
    <cfRule type="expression" dxfId="8061" priority="3700">
      <formula>$A20="Drainage Works"</formula>
    </cfRule>
    <cfRule type="expression" dxfId="8060" priority="3701">
      <formula>$A20="Underpass"</formula>
    </cfRule>
    <cfRule type="expression" dxfId="8059" priority="3702">
      <formula>$A20="Overcrossing"</formula>
    </cfRule>
    <cfRule type="expression" dxfId="8058" priority="3703">
      <formula>$A20="Overpass"</formula>
    </cfRule>
    <cfRule type="expression" dxfId="8057" priority="3704">
      <formula>$A20="Station"</formula>
    </cfRule>
    <cfRule type="expression" dxfId="8056" priority="3705">
      <formula>$A20="Overlap between sections"</formula>
    </cfRule>
  </conditionalFormatting>
  <conditionalFormatting sqref="AD20:AD30 AD41:AD53">
    <cfRule type="expression" dxfId="8055" priority="3684">
      <formula>$A20="Overhead Cable"</formula>
    </cfRule>
    <cfRule type="expression" dxfId="8054" priority="3685">
      <formula>$A20="Level Crossing"</formula>
    </cfRule>
    <cfRule type="expression" dxfId="8053" priority="3686">
      <formula>$A20="Neutral Section"</formula>
    </cfRule>
    <cfRule type="expression" dxfId="8052" priority="3687">
      <formula>$A20="Tunnel"</formula>
    </cfRule>
    <cfRule type="expression" dxfId="8051" priority="3688">
      <formula>$A20="Bridge"</formula>
    </cfRule>
    <cfRule type="expression" dxfId="8050" priority="3689">
      <formula>$A20="Drainage Works"</formula>
    </cfRule>
    <cfRule type="expression" dxfId="8049" priority="3690">
      <formula>$A20="Underpass"</formula>
    </cfRule>
    <cfRule type="expression" dxfId="8048" priority="3691">
      <formula>$A20="Overcrossing"</formula>
    </cfRule>
    <cfRule type="expression" dxfId="8047" priority="3692">
      <formula>$A20="Overpass"</formula>
    </cfRule>
    <cfRule type="expression" dxfId="8046" priority="3693">
      <formula>$A20="Station"</formula>
    </cfRule>
    <cfRule type="expression" dxfId="8045" priority="3694">
      <formula>$A20="Overlap between sections"</formula>
    </cfRule>
  </conditionalFormatting>
  <conditionalFormatting sqref="AE20:AE30 AE41:AE53">
    <cfRule type="expression" dxfId="8044" priority="3673">
      <formula>$A20="Overhead Cable"</formula>
    </cfRule>
    <cfRule type="expression" dxfId="8043" priority="3674">
      <formula>$A20="Level Crossing"</formula>
    </cfRule>
    <cfRule type="expression" dxfId="8042" priority="3675">
      <formula>$A20="Neutral Section"</formula>
    </cfRule>
    <cfRule type="expression" dxfId="8041" priority="3676">
      <formula>$A20="Tunnel"</formula>
    </cfRule>
    <cfRule type="expression" dxfId="8040" priority="3677">
      <formula>$A20="Bridge"</formula>
    </cfRule>
    <cfRule type="expression" dxfId="8039" priority="3678">
      <formula>$A20="Drainage Works"</formula>
    </cfRule>
    <cfRule type="expression" dxfId="8038" priority="3679">
      <formula>$A20="Underpass"</formula>
    </cfRule>
    <cfRule type="expression" dxfId="8037" priority="3680">
      <formula>$A20="Overcrossing"</formula>
    </cfRule>
    <cfRule type="expression" dxfId="8036" priority="3681">
      <formula>$A20="Overpass"</formula>
    </cfRule>
    <cfRule type="expression" dxfId="8035" priority="3682">
      <formula>$A20="Station"</formula>
    </cfRule>
    <cfRule type="expression" dxfId="8034" priority="3683">
      <formula>$A20="Overlap between sections"</formula>
    </cfRule>
  </conditionalFormatting>
  <conditionalFormatting sqref="AJ20:AJ30 AJ41:AJ53">
    <cfRule type="expression" dxfId="8033" priority="3662">
      <formula>$A20="Overhead Cable"</formula>
    </cfRule>
    <cfRule type="expression" dxfId="8032" priority="3663">
      <formula>$A20="Level Crossing"</formula>
    </cfRule>
    <cfRule type="expression" dxfId="8031" priority="3664">
      <formula>$A20="Neutral Section"</formula>
    </cfRule>
    <cfRule type="expression" dxfId="8030" priority="3665">
      <formula>$A20="Tunnel"</formula>
    </cfRule>
    <cfRule type="expression" dxfId="8029" priority="3666">
      <formula>$A20="Bridge"</formula>
    </cfRule>
    <cfRule type="expression" dxfId="8028" priority="3667">
      <formula>$A20="Drainage Works"</formula>
    </cfRule>
    <cfRule type="expression" dxfId="8027" priority="3668">
      <formula>$A20="Underpass"</formula>
    </cfRule>
    <cfRule type="expression" dxfId="8026" priority="3669">
      <formula>$A20="Overcrossing"</formula>
    </cfRule>
    <cfRule type="expression" dxfId="8025" priority="3670">
      <formula>$A20="Overpass"</formula>
    </cfRule>
    <cfRule type="expression" dxfId="8024" priority="3671">
      <formula>$A20="Station"</formula>
    </cfRule>
    <cfRule type="expression" dxfId="8023" priority="3672">
      <formula>$A20="Overlap between sections"</formula>
    </cfRule>
  </conditionalFormatting>
  <conditionalFormatting sqref="AK20:AK30 AK42 AK46 AK44 AK48 AK50:AK53">
    <cfRule type="expression" dxfId="8022" priority="3651">
      <formula>$A20="Overhead Cable"</formula>
    </cfRule>
    <cfRule type="expression" dxfId="8021" priority="3652">
      <formula>$A20="Level Crossing"</formula>
    </cfRule>
    <cfRule type="expression" dxfId="8020" priority="3653">
      <formula>$A20="Neutral Section"</formula>
    </cfRule>
    <cfRule type="expression" dxfId="8019" priority="3654">
      <formula>$A20="Tunnel"</formula>
    </cfRule>
    <cfRule type="expression" dxfId="8018" priority="3655">
      <formula>$A20="Bridge"</formula>
    </cfRule>
    <cfRule type="expression" dxfId="8017" priority="3656">
      <formula>$A20="Drainage Works"</formula>
    </cfRule>
    <cfRule type="expression" dxfId="8016" priority="3657">
      <formula>$A20="Underpass"</formula>
    </cfRule>
    <cfRule type="expression" dxfId="8015" priority="3658">
      <formula>$A20="Overcrossing"</formula>
    </cfRule>
    <cfRule type="expression" dxfId="8014" priority="3659">
      <formula>$A20="Overpass"</formula>
    </cfRule>
    <cfRule type="expression" dxfId="8013" priority="3660">
      <formula>$A20="Station"</formula>
    </cfRule>
    <cfRule type="expression" dxfId="8012" priority="3661">
      <formula>$A20="Overlap between sections"</formula>
    </cfRule>
  </conditionalFormatting>
  <conditionalFormatting sqref="AL20:AL30 AL41:AL53">
    <cfRule type="expression" dxfId="8011" priority="3640">
      <formula>$A20="Overhead Cable"</formula>
    </cfRule>
    <cfRule type="expression" dxfId="8010" priority="3641">
      <formula>$A20="Level Crossing"</formula>
    </cfRule>
    <cfRule type="expression" dxfId="8009" priority="3642">
      <formula>$A20="Neutral Section"</formula>
    </cfRule>
    <cfRule type="expression" dxfId="8008" priority="3643">
      <formula>$A20="Tunnel"</formula>
    </cfRule>
    <cfRule type="expression" dxfId="8007" priority="3644">
      <formula>$A20="Bridge"</formula>
    </cfRule>
    <cfRule type="expression" dxfId="8006" priority="3645">
      <formula>$A20="Drainage Works"</formula>
    </cfRule>
    <cfRule type="expression" dxfId="8005" priority="3646">
      <formula>$A20="Underpass"</formula>
    </cfRule>
    <cfRule type="expression" dxfId="8004" priority="3647">
      <formula>$A20="Overcrossing"</formula>
    </cfRule>
    <cfRule type="expression" dxfId="8003" priority="3648">
      <formula>$A20="Overpass"</formula>
    </cfRule>
    <cfRule type="expression" dxfId="8002" priority="3649">
      <formula>$A20="Station"</formula>
    </cfRule>
    <cfRule type="expression" dxfId="8001" priority="3650">
      <formula>$A20="Overlap between sections"</formula>
    </cfRule>
  </conditionalFormatting>
  <conditionalFormatting sqref="AT20:AT30 AT41:AT53">
    <cfRule type="expression" dxfId="8000" priority="3629">
      <formula>$A20="Overhead Cable"</formula>
    </cfRule>
    <cfRule type="expression" dxfId="7999" priority="3630">
      <formula>$A20="Level Crossing"</formula>
    </cfRule>
    <cfRule type="expression" dxfId="7998" priority="3631">
      <formula>$A20="Neutral Section"</formula>
    </cfRule>
    <cfRule type="expression" dxfId="7997" priority="3632">
      <formula>$A20="Tunnel"</formula>
    </cfRule>
    <cfRule type="expression" dxfId="7996" priority="3633">
      <formula>$A20="Bridge"</formula>
    </cfRule>
    <cfRule type="expression" dxfId="7995" priority="3634">
      <formula>$A20="Drainage Works"</formula>
    </cfRule>
    <cfRule type="expression" dxfId="7994" priority="3635">
      <formula>$A20="Underpass"</formula>
    </cfRule>
    <cfRule type="expression" dxfId="7993" priority="3636">
      <formula>$A20="Overcrossing"</formula>
    </cfRule>
    <cfRule type="expression" dxfId="7992" priority="3637">
      <formula>$A20="Overpass"</formula>
    </cfRule>
    <cfRule type="expression" dxfId="7991" priority="3638">
      <formula>$A20="Station"</formula>
    </cfRule>
    <cfRule type="expression" dxfId="7990" priority="3639">
      <formula>$A20="Overlap between sections"</formula>
    </cfRule>
  </conditionalFormatting>
  <conditionalFormatting sqref="AU20:AU30 AU41:AU53">
    <cfRule type="expression" dxfId="7989" priority="3618">
      <formula>$A20="Overhead Cable"</formula>
    </cfRule>
    <cfRule type="expression" dxfId="7988" priority="3619">
      <formula>$A20="Level Crossing"</formula>
    </cfRule>
    <cfRule type="expression" dxfId="7987" priority="3620">
      <formula>$A20="Neutral Section"</formula>
    </cfRule>
    <cfRule type="expression" dxfId="7986" priority="3621">
      <formula>$A20="Tunnel"</formula>
    </cfRule>
    <cfRule type="expression" dxfId="7985" priority="3622">
      <formula>$A20="Bridge"</formula>
    </cfRule>
    <cfRule type="expression" dxfId="7984" priority="3623">
      <formula>$A20="Drainage Works"</formula>
    </cfRule>
    <cfRule type="expression" dxfId="7983" priority="3624">
      <formula>$A20="Underpass"</formula>
    </cfRule>
    <cfRule type="expression" dxfId="7982" priority="3625">
      <formula>$A20="Overcrossing"</formula>
    </cfRule>
    <cfRule type="expression" dxfId="7981" priority="3626">
      <formula>$A20="Overpass"</formula>
    </cfRule>
    <cfRule type="expression" dxfId="7980" priority="3627">
      <formula>$A20="Station"</formula>
    </cfRule>
    <cfRule type="expression" dxfId="7979" priority="3628">
      <formula>$A20="Overlap between sections"</formula>
    </cfRule>
  </conditionalFormatting>
  <conditionalFormatting sqref="AV20:AV30 AV41:AV53">
    <cfRule type="expression" dxfId="7978" priority="3607">
      <formula>$A20="Overhead Cable"</formula>
    </cfRule>
    <cfRule type="expression" dxfId="7977" priority="3608">
      <formula>$A20="Level Crossing"</formula>
    </cfRule>
    <cfRule type="expression" dxfId="7976" priority="3609">
      <formula>$A20="Neutral Section"</formula>
    </cfRule>
    <cfRule type="expression" dxfId="7975" priority="3610">
      <formula>$A20="Tunnel"</formula>
    </cfRule>
    <cfRule type="expression" dxfId="7974" priority="3611">
      <formula>$A20="Bridge"</formula>
    </cfRule>
    <cfRule type="expression" dxfId="7973" priority="3612">
      <formula>$A20="Drainage Works"</formula>
    </cfRule>
    <cfRule type="expression" dxfId="7972" priority="3613">
      <formula>$A20="Underpass"</formula>
    </cfRule>
    <cfRule type="expression" dxfId="7971" priority="3614">
      <formula>$A20="Overcrossing"</formula>
    </cfRule>
    <cfRule type="expression" dxfId="7970" priority="3615">
      <formula>$A20="Overpass"</formula>
    </cfRule>
    <cfRule type="expression" dxfId="7969" priority="3616">
      <formula>$A20="Station"</formula>
    </cfRule>
    <cfRule type="expression" dxfId="7968" priority="3617">
      <formula>$A20="Overlap between sections"</formula>
    </cfRule>
  </conditionalFormatting>
  <conditionalFormatting sqref="AW41 AW43 AW45:AW53">
    <cfRule type="expression" dxfId="7967" priority="3604">
      <formula>$M41="NON DEFINED"</formula>
    </cfRule>
    <cfRule type="expression" dxfId="7966" priority="3605">
      <formula>$AZ41="N.D."</formula>
    </cfRule>
    <cfRule type="expression" dxfId="7965" priority="3606">
      <formula>$AY41="N.D."</formula>
    </cfRule>
  </conditionalFormatting>
  <conditionalFormatting sqref="AW20:AW30 AW41 AW43 AW45:AW53">
    <cfRule type="expression" dxfId="7964" priority="3593">
      <formula>$A20="Overhead Cable"</formula>
    </cfRule>
    <cfRule type="expression" dxfId="7963" priority="3594">
      <formula>$A20="Level Crossing"</formula>
    </cfRule>
    <cfRule type="expression" dxfId="7962" priority="3595">
      <formula>$A20="Neutral Section"</formula>
    </cfRule>
    <cfRule type="expression" dxfId="7961" priority="3596">
      <formula>$A20="Tunnel"</formula>
    </cfRule>
    <cfRule type="expression" dxfId="7960" priority="3597">
      <formula>$A20="Bridge"</formula>
    </cfRule>
    <cfRule type="expression" dxfId="7959" priority="3598">
      <formula>$A20="Drainage Works"</formula>
    </cfRule>
    <cfRule type="expression" dxfId="7958" priority="3599">
      <formula>$A20="Underpass"</formula>
    </cfRule>
    <cfRule type="expression" dxfId="7957" priority="3600">
      <formula>$A20="Overcrossing"</formula>
    </cfRule>
    <cfRule type="expression" dxfId="7956" priority="3601">
      <formula>$A20="Overpass"</formula>
    </cfRule>
    <cfRule type="expression" dxfId="7955" priority="3602">
      <formula>$A20="Station"</formula>
    </cfRule>
    <cfRule type="expression" dxfId="7954" priority="3603">
      <formula>$A20="Overlap between sections"</formula>
    </cfRule>
  </conditionalFormatting>
  <conditionalFormatting sqref="AX41 AX43 AX45:AX53">
    <cfRule type="expression" dxfId="7953" priority="3590">
      <formula>$M41="NON DEFINED"</formula>
    </cfRule>
    <cfRule type="expression" dxfId="7952" priority="3591">
      <formula>$AZ41="N.D."</formula>
    </cfRule>
    <cfRule type="expression" dxfId="7951" priority="3592">
      <formula>$AY41="N.D."</formula>
    </cfRule>
  </conditionalFormatting>
  <conditionalFormatting sqref="AX20:AX30 AX41 AX43 AX45:AX53">
    <cfRule type="expression" dxfId="7950" priority="3579">
      <formula>$A20="Overhead Cable"</formula>
    </cfRule>
    <cfRule type="expression" dxfId="7949" priority="3580">
      <formula>$A20="Level Crossing"</formula>
    </cfRule>
    <cfRule type="expression" dxfId="7948" priority="3581">
      <formula>$A20="Neutral Section"</formula>
    </cfRule>
    <cfRule type="expression" dxfId="7947" priority="3582">
      <formula>$A20="Tunnel"</formula>
    </cfRule>
    <cfRule type="expression" dxfId="7946" priority="3583">
      <formula>$A20="Bridge"</formula>
    </cfRule>
    <cfRule type="expression" dxfId="7945" priority="3584">
      <formula>$A20="Drainage Works"</formula>
    </cfRule>
    <cfRule type="expression" dxfId="7944" priority="3585">
      <formula>$A20="Underpass"</formula>
    </cfRule>
    <cfRule type="expression" dxfId="7943" priority="3586">
      <formula>$A20="Overcrossing"</formula>
    </cfRule>
    <cfRule type="expression" dxfId="7942" priority="3587">
      <formula>$A20="Overpass"</formula>
    </cfRule>
    <cfRule type="expression" dxfId="7941" priority="3588">
      <formula>$A20="Station"</formula>
    </cfRule>
    <cfRule type="expression" dxfId="7940" priority="3589">
      <formula>$A20="Overlap between sections"</formula>
    </cfRule>
  </conditionalFormatting>
  <conditionalFormatting sqref="F20:F30 F41:F53">
    <cfRule type="expression" dxfId="7939" priority="3568">
      <formula>$A20="Overhead Cable"</formula>
    </cfRule>
    <cfRule type="expression" dxfId="7938" priority="3569">
      <formula>$A20="Level Crossing"</formula>
    </cfRule>
    <cfRule type="expression" dxfId="7937" priority="3570">
      <formula>$A20="Neutral Section"</formula>
    </cfRule>
    <cfRule type="expression" dxfId="7936" priority="3571">
      <formula>$A20="Tunnel"</formula>
    </cfRule>
    <cfRule type="expression" dxfId="7935" priority="3572">
      <formula>$A20="Bridge"</formula>
    </cfRule>
    <cfRule type="expression" dxfId="7934" priority="3573">
      <formula>$A20="Drainage Works"</formula>
    </cfRule>
    <cfRule type="expression" dxfId="7933" priority="3574">
      <formula>$A20="Underpass"</formula>
    </cfRule>
    <cfRule type="expression" dxfId="7932" priority="3575">
      <formula>$A20="Overcrossing"</formula>
    </cfRule>
    <cfRule type="expression" dxfId="7931" priority="3576">
      <formula>$A20="Overpass"</formula>
    </cfRule>
    <cfRule type="expression" dxfId="7930" priority="3577">
      <formula>$A20="Station"</formula>
    </cfRule>
    <cfRule type="expression" dxfId="7929" priority="3578">
      <formula>$A20="Overlap between sections"</formula>
    </cfRule>
  </conditionalFormatting>
  <conditionalFormatting sqref="Q20:Q30 Q41:Q53">
    <cfRule type="expression" dxfId="7928" priority="3557">
      <formula>$A20="Overhead Cable"</formula>
    </cfRule>
    <cfRule type="expression" dxfId="7927" priority="3558">
      <formula>$A20="Level Crossing"</formula>
    </cfRule>
    <cfRule type="expression" dxfId="7926" priority="3559">
      <formula>$A20="Neutral Section"</formula>
    </cfRule>
    <cfRule type="expression" dxfId="7925" priority="3560">
      <formula>$A20="Tunnel"</formula>
    </cfRule>
    <cfRule type="expression" dxfId="7924" priority="3561">
      <formula>$A20="Bridge"</formula>
    </cfRule>
    <cfRule type="expression" dxfId="7923" priority="3562">
      <formula>$A20="Drainage Works"</formula>
    </cfRule>
    <cfRule type="expression" dxfId="7922" priority="3563">
      <formula>$A20="Underpass"</formula>
    </cfRule>
    <cfRule type="expression" dxfId="7921" priority="3564">
      <formula>$A20="Overcrossing"</formula>
    </cfRule>
    <cfRule type="expression" dxfId="7920" priority="3565">
      <formula>$A20="Overpass"</formula>
    </cfRule>
    <cfRule type="expression" dxfId="7919" priority="3566">
      <formula>$A20="Station"</formula>
    </cfRule>
    <cfRule type="expression" dxfId="7918" priority="3567">
      <formula>$A20="Overlap between sections"</formula>
    </cfRule>
  </conditionalFormatting>
  <conditionalFormatting sqref="T20:T30 T41:T53">
    <cfRule type="expression" dxfId="7917" priority="3546">
      <formula>$A20="Overhead Cable"</formula>
    </cfRule>
    <cfRule type="expression" dxfId="7916" priority="3547">
      <formula>$A20="Level Crossing"</formula>
    </cfRule>
    <cfRule type="expression" dxfId="7915" priority="3548">
      <formula>$A20="Neutral Section"</formula>
    </cfRule>
    <cfRule type="expression" dxfId="7914" priority="3549">
      <formula>$A20="Tunnel"</formula>
    </cfRule>
    <cfRule type="expression" dxfId="7913" priority="3550">
      <formula>$A20="Bridge"</formula>
    </cfRule>
    <cfRule type="expression" dxfId="7912" priority="3551">
      <formula>$A20="Drainage Works"</formula>
    </cfRule>
    <cfRule type="expression" dxfId="7911" priority="3552">
      <formula>$A20="Underpass"</formula>
    </cfRule>
    <cfRule type="expression" dxfId="7910" priority="3553">
      <formula>$A20="Overcrossing"</formula>
    </cfRule>
    <cfRule type="expression" dxfId="7909" priority="3554">
      <formula>$A20="Overpass"</formula>
    </cfRule>
    <cfRule type="expression" dxfId="7908" priority="3555">
      <formula>$A20="Station"</formula>
    </cfRule>
    <cfRule type="expression" dxfId="7907" priority="3556">
      <formula>$A20="Overlap between sections"</formula>
    </cfRule>
  </conditionalFormatting>
  <conditionalFormatting sqref="U20:U30 U41:U53">
    <cfRule type="expression" dxfId="7906" priority="3535">
      <formula>$A20="Overhead Cable"</formula>
    </cfRule>
    <cfRule type="expression" dxfId="7905" priority="3536">
      <formula>$A20="Level Crossing"</formula>
    </cfRule>
    <cfRule type="expression" dxfId="7904" priority="3537">
      <formula>$A20="Neutral Section"</formula>
    </cfRule>
    <cfRule type="expression" dxfId="7903" priority="3538">
      <formula>$A20="Tunnel"</formula>
    </cfRule>
    <cfRule type="expression" dxfId="7902" priority="3539">
      <formula>$A20="Bridge"</formula>
    </cfRule>
    <cfRule type="expression" dxfId="7901" priority="3540">
      <formula>$A20="Drainage Works"</formula>
    </cfRule>
    <cfRule type="expression" dxfId="7900" priority="3541">
      <formula>$A20="Underpass"</formula>
    </cfRule>
    <cfRule type="expression" dxfId="7899" priority="3542">
      <formula>$A20="Overcrossing"</formula>
    </cfRule>
    <cfRule type="expression" dxfId="7898" priority="3543">
      <formula>$A20="Overpass"</formula>
    </cfRule>
    <cfRule type="expression" dxfId="7897" priority="3544">
      <formula>$A20="Station"</formula>
    </cfRule>
    <cfRule type="expression" dxfId="7896" priority="3545">
      <formula>$A20="Overlap between sections"</formula>
    </cfRule>
  </conditionalFormatting>
  <conditionalFormatting sqref="V20:V30 V41:V53">
    <cfRule type="expression" dxfId="7895" priority="3524">
      <formula>$A20="Overhead Cable"</formula>
    </cfRule>
    <cfRule type="expression" dxfId="7894" priority="3525">
      <formula>$A20="Level Crossing"</formula>
    </cfRule>
    <cfRule type="expression" dxfId="7893" priority="3526">
      <formula>$A20="Neutral Section"</formula>
    </cfRule>
    <cfRule type="expression" dxfId="7892" priority="3527">
      <formula>$A20="Tunnel"</formula>
    </cfRule>
    <cfRule type="expression" dxfId="7891" priority="3528">
      <formula>$A20="Bridge"</formula>
    </cfRule>
    <cfRule type="expression" dxfId="7890" priority="3529">
      <formula>$A20="Drainage Works"</formula>
    </cfRule>
    <cfRule type="expression" dxfId="7889" priority="3530">
      <formula>$A20="Underpass"</formula>
    </cfRule>
    <cfRule type="expression" dxfId="7888" priority="3531">
      <formula>$A20="Overcrossing"</formula>
    </cfRule>
    <cfRule type="expression" dxfId="7887" priority="3532">
      <formula>$A20="Overpass"</formula>
    </cfRule>
    <cfRule type="expression" dxfId="7886" priority="3533">
      <formula>$A20="Station"</formula>
    </cfRule>
    <cfRule type="expression" dxfId="7885" priority="3534">
      <formula>$A20="Overlap between sections"</formula>
    </cfRule>
  </conditionalFormatting>
  <conditionalFormatting sqref="AF20:AF30 AF41:AF53">
    <cfRule type="expression" dxfId="7884" priority="3513">
      <formula>$A20="Overhead Cable"</formula>
    </cfRule>
    <cfRule type="expression" dxfId="7883" priority="3514">
      <formula>$A20="Level Crossing"</formula>
    </cfRule>
    <cfRule type="expression" dxfId="7882" priority="3515">
      <formula>$A20="Neutral Section"</formula>
    </cfRule>
    <cfRule type="expression" dxfId="7881" priority="3516">
      <formula>$A20="Tunnel"</formula>
    </cfRule>
    <cfRule type="expression" dxfId="7880" priority="3517">
      <formula>$A20="Bridge"</formula>
    </cfRule>
    <cfRule type="expression" dxfId="7879" priority="3518">
      <formula>$A20="Drainage Works"</formula>
    </cfRule>
    <cfRule type="expression" dxfId="7878" priority="3519">
      <formula>$A20="Underpass"</formula>
    </cfRule>
    <cfRule type="expression" dxfId="7877" priority="3520">
      <formula>$A20="Overcrossing"</formula>
    </cfRule>
    <cfRule type="expression" dxfId="7876" priority="3521">
      <formula>$A20="Overpass"</formula>
    </cfRule>
    <cfRule type="expression" dxfId="7875" priority="3522">
      <formula>$A20="Station"</formula>
    </cfRule>
    <cfRule type="expression" dxfId="7874" priority="3523">
      <formula>$A20="Overlap between sections"</formula>
    </cfRule>
  </conditionalFormatting>
  <conditionalFormatting sqref="AH20:AH30 AH41:AH53">
    <cfRule type="expression" dxfId="7873" priority="3502">
      <formula>$A20="Overhead Cable"</formula>
    </cfRule>
    <cfRule type="expression" dxfId="7872" priority="3503">
      <formula>$A20="Level Crossing"</formula>
    </cfRule>
    <cfRule type="expression" dxfId="7871" priority="3504">
      <formula>$A20="Neutral Section"</formula>
    </cfRule>
    <cfRule type="expression" dxfId="7870" priority="3505">
      <formula>$A20="Tunnel"</formula>
    </cfRule>
    <cfRule type="expression" dxfId="7869" priority="3506">
      <formula>$A20="Bridge"</formula>
    </cfRule>
    <cfRule type="expression" dxfId="7868" priority="3507">
      <formula>$A20="Drainage Works"</formula>
    </cfRule>
    <cfRule type="expression" dxfId="7867" priority="3508">
      <formula>$A20="Underpass"</formula>
    </cfRule>
    <cfRule type="expression" dxfId="7866" priority="3509">
      <formula>$A20="Overcrossing"</formula>
    </cfRule>
    <cfRule type="expression" dxfId="7865" priority="3510">
      <formula>$A20="Overpass"</formula>
    </cfRule>
    <cfRule type="expression" dxfId="7864" priority="3511">
      <formula>$A20="Station"</formula>
    </cfRule>
    <cfRule type="expression" dxfId="7863" priority="3512">
      <formula>$A20="Overlap between sections"</formula>
    </cfRule>
  </conditionalFormatting>
  <conditionalFormatting sqref="AI20:AI30 AI41:AI53">
    <cfRule type="expression" dxfId="7862" priority="3491">
      <formula>$A20="Overhead Cable"</formula>
    </cfRule>
    <cfRule type="expression" dxfId="7861" priority="3492">
      <formula>$A20="Level Crossing"</formula>
    </cfRule>
    <cfRule type="expression" dxfId="7860" priority="3493">
      <formula>$A20="Neutral Section"</formula>
    </cfRule>
    <cfRule type="expression" dxfId="7859" priority="3494">
      <formula>$A20="Tunnel"</formula>
    </cfRule>
    <cfRule type="expression" dxfId="7858" priority="3495">
      <formula>$A20="Bridge"</formula>
    </cfRule>
    <cfRule type="expression" dxfId="7857" priority="3496">
      <formula>$A20="Drainage Works"</formula>
    </cfRule>
    <cfRule type="expression" dxfId="7856" priority="3497">
      <formula>$A20="Underpass"</formula>
    </cfRule>
    <cfRule type="expression" dxfId="7855" priority="3498">
      <formula>$A20="Overcrossing"</formula>
    </cfRule>
    <cfRule type="expression" dxfId="7854" priority="3499">
      <formula>$A20="Overpass"</formula>
    </cfRule>
    <cfRule type="expression" dxfId="7853" priority="3500">
      <formula>$A20="Station"</formula>
    </cfRule>
    <cfRule type="expression" dxfId="7852" priority="3501">
      <formula>$A20="Overlap between sections"</formula>
    </cfRule>
  </conditionalFormatting>
  <conditionalFormatting sqref="R20:R30 R41:R53">
    <cfRule type="expression" dxfId="7851" priority="3480">
      <formula>$A20="Overhead Cable"</formula>
    </cfRule>
    <cfRule type="expression" dxfId="7850" priority="3481">
      <formula>$A20="Level Crossing"</formula>
    </cfRule>
    <cfRule type="expression" dxfId="7849" priority="3482">
      <formula>$A20="Neutral Section"</formula>
    </cfRule>
    <cfRule type="expression" dxfId="7848" priority="3483">
      <formula>$A20="Tunnel"</formula>
    </cfRule>
    <cfRule type="expression" dxfId="7847" priority="3484">
      <formula>$A20="Bridge"</formula>
    </cfRule>
    <cfRule type="expression" dxfId="7846" priority="3485">
      <formula>$A20="Drainage Works"</formula>
    </cfRule>
    <cfRule type="expression" dxfId="7845" priority="3486">
      <formula>$A20="Underpass"</formula>
    </cfRule>
    <cfRule type="expression" dxfId="7844" priority="3487">
      <formula>$A20="Overcrossing"</formula>
    </cfRule>
    <cfRule type="expression" dxfId="7843" priority="3488">
      <formula>$A20="Overpass"</formula>
    </cfRule>
    <cfRule type="expression" dxfId="7842" priority="3489">
      <formula>$A20="Station"</formula>
    </cfRule>
    <cfRule type="expression" dxfId="7841" priority="3490">
      <formula>$A20="Overlap between sections"</formula>
    </cfRule>
  </conditionalFormatting>
  <conditionalFormatting sqref="S20:S30 S41:S53">
    <cfRule type="expression" dxfId="7840" priority="3469">
      <formula>$A20="Overhead Cable"</formula>
    </cfRule>
    <cfRule type="expression" dxfId="7839" priority="3470">
      <formula>$A20="Level Crossing"</formula>
    </cfRule>
    <cfRule type="expression" dxfId="7838" priority="3471">
      <formula>$A20="Neutral Section"</formula>
    </cfRule>
    <cfRule type="expression" dxfId="7837" priority="3472">
      <formula>$A20="Tunnel"</formula>
    </cfRule>
    <cfRule type="expression" dxfId="7836" priority="3473">
      <formula>$A20="Bridge"</formula>
    </cfRule>
    <cfRule type="expression" dxfId="7835" priority="3474">
      <formula>$A20="Drainage Works"</formula>
    </cfRule>
    <cfRule type="expression" dxfId="7834" priority="3475">
      <formula>$A20="Underpass"</formula>
    </cfRule>
    <cfRule type="expression" dxfId="7833" priority="3476">
      <formula>$A20="Overcrossing"</formula>
    </cfRule>
    <cfRule type="expression" dxfId="7832" priority="3477">
      <formula>$A20="Overpass"</formula>
    </cfRule>
    <cfRule type="expression" dxfId="7831" priority="3478">
      <formula>$A20="Station"</formula>
    </cfRule>
    <cfRule type="expression" dxfId="7830" priority="3479">
      <formula>$A20="Overlap between sections"</formula>
    </cfRule>
  </conditionalFormatting>
  <conditionalFormatting sqref="W20 W30 W24:W28 W22 W41:W53">
    <cfRule type="expression" dxfId="7829" priority="3458">
      <formula>$A20="Overhead Cable"</formula>
    </cfRule>
    <cfRule type="expression" dxfId="7828" priority="3459">
      <formula>$A20="Level Crossing"</formula>
    </cfRule>
    <cfRule type="expression" dxfId="7827" priority="3460">
      <formula>$A20="Neutral Section"</formula>
    </cfRule>
    <cfRule type="expression" dxfId="7826" priority="3461">
      <formula>$A20="Tunnel"</formula>
    </cfRule>
    <cfRule type="expression" dxfId="7825" priority="3462">
      <formula>$A20="Bridge"</formula>
    </cfRule>
    <cfRule type="expression" dxfId="7824" priority="3463">
      <formula>$A20="Drainage Works"</formula>
    </cfRule>
    <cfRule type="expression" dxfId="7823" priority="3464">
      <formula>$A20="Underpass"</formula>
    </cfRule>
    <cfRule type="expression" dxfId="7822" priority="3465">
      <formula>$A20="Overcrossing"</formula>
    </cfRule>
    <cfRule type="expression" dxfId="7821" priority="3466">
      <formula>$A20="Overpass"</formula>
    </cfRule>
    <cfRule type="expression" dxfId="7820" priority="3467">
      <formula>$A20="Station"</formula>
    </cfRule>
    <cfRule type="expression" dxfId="7819" priority="3468">
      <formula>$A20="Overlap between sections"</formula>
    </cfRule>
  </conditionalFormatting>
  <conditionalFormatting sqref="X20:X30 X41:X53">
    <cfRule type="expression" dxfId="7818" priority="3447">
      <formula>$A20="Overhead Cable"</formula>
    </cfRule>
    <cfRule type="expression" dxfId="7817" priority="3448">
      <formula>$A20="Level Crossing"</formula>
    </cfRule>
    <cfRule type="expression" dxfId="7816" priority="3449">
      <formula>$A20="Neutral Section"</formula>
    </cfRule>
    <cfRule type="expression" dxfId="7815" priority="3450">
      <formula>$A20="Tunnel"</formula>
    </cfRule>
    <cfRule type="expression" dxfId="7814" priority="3451">
      <formula>$A20="Bridge"</formula>
    </cfRule>
    <cfRule type="expression" dxfId="7813" priority="3452">
      <formula>$A20="Drainage Works"</formula>
    </cfRule>
    <cfRule type="expression" dxfId="7812" priority="3453">
      <formula>$A20="Underpass"</formula>
    </cfRule>
    <cfRule type="expression" dxfId="7811" priority="3454">
      <formula>$A20="Overcrossing"</formula>
    </cfRule>
    <cfRule type="expression" dxfId="7810" priority="3455">
      <formula>$A20="Overpass"</formula>
    </cfRule>
    <cfRule type="expression" dxfId="7809" priority="3456">
      <formula>$A20="Station"</formula>
    </cfRule>
    <cfRule type="expression" dxfId="7808" priority="3457">
      <formula>$A20="Overlap between sections"</formula>
    </cfRule>
  </conditionalFormatting>
  <conditionalFormatting sqref="Y20:Y30 Y41:Y53">
    <cfRule type="expression" dxfId="7807" priority="3436">
      <formula>$A20="Overhead Cable"</formula>
    </cfRule>
    <cfRule type="expression" dxfId="7806" priority="3437">
      <formula>$A20="Level Crossing"</formula>
    </cfRule>
    <cfRule type="expression" dxfId="7805" priority="3438">
      <formula>$A20="Neutral Section"</formula>
    </cfRule>
    <cfRule type="expression" dxfId="7804" priority="3439">
      <formula>$A20="Tunnel"</formula>
    </cfRule>
    <cfRule type="expression" dxfId="7803" priority="3440">
      <formula>$A20="Bridge"</formula>
    </cfRule>
    <cfRule type="expression" dxfId="7802" priority="3441">
      <formula>$A20="Drainage Works"</formula>
    </cfRule>
    <cfRule type="expression" dxfId="7801" priority="3442">
      <formula>$A20="Underpass"</formula>
    </cfRule>
    <cfRule type="expression" dxfId="7800" priority="3443">
      <formula>$A20="Overcrossing"</formula>
    </cfRule>
    <cfRule type="expression" dxfId="7799" priority="3444">
      <formula>$A20="Overpass"</formula>
    </cfRule>
    <cfRule type="expression" dxfId="7798" priority="3445">
      <formula>$A20="Station"</formula>
    </cfRule>
    <cfRule type="expression" dxfId="7797" priority="3446">
      <formula>$A20="Overlap between sections"</formula>
    </cfRule>
  </conditionalFormatting>
  <conditionalFormatting sqref="Z20:Z30 Z41:Z53">
    <cfRule type="expression" dxfId="7796" priority="3425">
      <formula>$A20="Overhead Cable"</formula>
    </cfRule>
    <cfRule type="expression" dxfId="7795" priority="3426">
      <formula>$A20="Level Crossing"</formula>
    </cfRule>
    <cfRule type="expression" dxfId="7794" priority="3427">
      <formula>$A20="Neutral Section"</formula>
    </cfRule>
    <cfRule type="expression" dxfId="7793" priority="3428">
      <formula>$A20="Tunnel"</formula>
    </cfRule>
    <cfRule type="expression" dxfId="7792" priority="3429">
      <formula>$A20="Bridge"</formula>
    </cfRule>
    <cfRule type="expression" dxfId="7791" priority="3430">
      <formula>$A20="Drainage Works"</formula>
    </cfRule>
    <cfRule type="expression" dxfId="7790" priority="3431">
      <formula>$A20="Underpass"</formula>
    </cfRule>
    <cfRule type="expression" dxfId="7789" priority="3432">
      <formula>$A20="Overcrossing"</formula>
    </cfRule>
    <cfRule type="expression" dxfId="7788" priority="3433">
      <formula>$A20="Overpass"</formula>
    </cfRule>
    <cfRule type="expression" dxfId="7787" priority="3434">
      <formula>$A20="Station"</formula>
    </cfRule>
    <cfRule type="expression" dxfId="7786" priority="3435">
      <formula>$A20="Overlap between sections"</formula>
    </cfRule>
  </conditionalFormatting>
  <conditionalFormatting sqref="AA20:AA30 AA41:AA53">
    <cfRule type="expression" dxfId="7785" priority="3414">
      <formula>$A20="Overhead Cable"</formula>
    </cfRule>
    <cfRule type="expression" dxfId="7784" priority="3415">
      <formula>$A20="Level Crossing"</formula>
    </cfRule>
    <cfRule type="expression" dxfId="7783" priority="3416">
      <formula>$A20="Neutral Section"</formula>
    </cfRule>
    <cfRule type="expression" dxfId="7782" priority="3417">
      <formula>$A20="Tunnel"</formula>
    </cfRule>
    <cfRule type="expression" dxfId="7781" priority="3418">
      <formula>$A20="Bridge"</formula>
    </cfRule>
    <cfRule type="expression" dxfId="7780" priority="3419">
      <formula>$A20="Drainage Works"</formula>
    </cfRule>
    <cfRule type="expression" dxfId="7779" priority="3420">
      <formula>$A20="Underpass"</formula>
    </cfRule>
    <cfRule type="expression" dxfId="7778" priority="3421">
      <formula>$A20="Overcrossing"</formula>
    </cfRule>
    <cfRule type="expression" dxfId="7777" priority="3422">
      <formula>$A20="Overpass"</formula>
    </cfRule>
    <cfRule type="expression" dxfId="7776" priority="3423">
      <formula>$A20="Station"</formula>
    </cfRule>
    <cfRule type="expression" dxfId="7775" priority="3424">
      <formula>$A20="Overlap between sections"</formula>
    </cfRule>
  </conditionalFormatting>
  <conditionalFormatting sqref="AB20:AB30 AB41:AB53">
    <cfRule type="expression" dxfId="7774" priority="3403">
      <formula>$A20="Overhead Cable"</formula>
    </cfRule>
    <cfRule type="expression" dxfId="7773" priority="3404">
      <formula>$A20="Level Crossing"</formula>
    </cfRule>
    <cfRule type="expression" dxfId="7772" priority="3405">
      <formula>$A20="Neutral Section"</formula>
    </cfRule>
    <cfRule type="expression" dxfId="7771" priority="3406">
      <formula>$A20="Tunnel"</formula>
    </cfRule>
    <cfRule type="expression" dxfId="7770" priority="3407">
      <formula>$A20="Bridge"</formula>
    </cfRule>
    <cfRule type="expression" dxfId="7769" priority="3408">
      <formula>$A20="Drainage Works"</formula>
    </cfRule>
    <cfRule type="expression" dxfId="7768" priority="3409">
      <formula>$A20="Underpass"</formula>
    </cfRule>
    <cfRule type="expression" dxfId="7767" priority="3410">
      <formula>$A20="Overcrossing"</formula>
    </cfRule>
    <cfRule type="expression" dxfId="7766" priority="3411">
      <formula>$A20="Overpass"</formula>
    </cfRule>
    <cfRule type="expression" dxfId="7765" priority="3412">
      <formula>$A20="Station"</formula>
    </cfRule>
    <cfRule type="expression" dxfId="7764" priority="3413">
      <formula>$A20="Overlap between sections"</formula>
    </cfRule>
  </conditionalFormatting>
  <conditionalFormatting sqref="BD57">
    <cfRule type="containsText" dxfId="7763" priority="3402" operator="containsText" text="Poner a mano">
      <formula>NOT(ISERROR(SEARCH("Poner a mano",BD57)))</formula>
    </cfRule>
  </conditionalFormatting>
  <conditionalFormatting sqref="BE5:BE57">
    <cfRule type="containsText" dxfId="7762" priority="3400" operator="containsText" text="a">
      <formula>NOT(ISERROR(SEARCH("a",BE5)))</formula>
    </cfRule>
    <cfRule type="containsText" dxfId="7761" priority="3401" operator="containsText" text="R">
      <formula>NOT(ISERROR(SEARCH("R",BE5)))</formula>
    </cfRule>
  </conditionalFormatting>
  <conditionalFormatting sqref="BD20 BD22 BD24 BD26 BD28 BD30 BD32 BD34 BD36 BD38">
    <cfRule type="containsText" dxfId="7760" priority="3399" operator="containsText" text="Poner a mano">
      <formula>NOT(ISERROR(SEARCH("Poner a mano",BD20)))</formula>
    </cfRule>
  </conditionalFormatting>
  <conditionalFormatting sqref="AW42">
    <cfRule type="expression" dxfId="7759" priority="3396">
      <formula>$M42="NON DEFINED"</formula>
    </cfRule>
    <cfRule type="expression" dxfId="7758" priority="3397">
      <formula>$AZ42="N.D."</formula>
    </cfRule>
    <cfRule type="expression" dxfId="7757" priority="3398">
      <formula>$AY42="N.D."</formula>
    </cfRule>
  </conditionalFormatting>
  <conditionalFormatting sqref="AW42">
    <cfRule type="expression" dxfId="7756" priority="3385">
      <formula>$A42="Overhead Cable"</formula>
    </cfRule>
    <cfRule type="expression" dxfId="7755" priority="3386">
      <formula>$A42="Level Crossing"</formula>
    </cfRule>
    <cfRule type="expression" dxfId="7754" priority="3387">
      <formula>$A42="Neutral Section"</formula>
    </cfRule>
    <cfRule type="expression" dxfId="7753" priority="3388">
      <formula>$A42="Tunnel"</formula>
    </cfRule>
    <cfRule type="expression" dxfId="7752" priority="3389">
      <formula>$A42="Bridge"</formula>
    </cfRule>
    <cfRule type="expression" dxfId="7751" priority="3390">
      <formula>$A42="Drainage Works"</formula>
    </cfRule>
    <cfRule type="expression" dxfId="7750" priority="3391">
      <formula>$A42="Underpass"</formula>
    </cfRule>
    <cfRule type="expression" dxfId="7749" priority="3392">
      <formula>$A42="Overcrossing"</formula>
    </cfRule>
    <cfRule type="expression" dxfId="7748" priority="3393">
      <formula>$A42="Overpass"</formula>
    </cfRule>
    <cfRule type="expression" dxfId="7747" priority="3394">
      <formula>$A42="Station"</formula>
    </cfRule>
    <cfRule type="expression" dxfId="7746" priority="3395">
      <formula>$A42="Overlap between sections"</formula>
    </cfRule>
  </conditionalFormatting>
  <conditionalFormatting sqref="AX42">
    <cfRule type="expression" dxfId="7745" priority="3382">
      <formula>$M42="NON DEFINED"</formula>
    </cfRule>
    <cfRule type="expression" dxfId="7744" priority="3383">
      <formula>$AZ42="N.D."</formula>
    </cfRule>
    <cfRule type="expression" dxfId="7743" priority="3384">
      <formula>$AY42="N.D."</formula>
    </cfRule>
  </conditionalFormatting>
  <conditionalFormatting sqref="AX42">
    <cfRule type="expression" dxfId="7742" priority="3371">
      <formula>$A42="Overhead Cable"</formula>
    </cfRule>
    <cfRule type="expression" dxfId="7741" priority="3372">
      <formula>$A42="Level Crossing"</formula>
    </cfRule>
    <cfRule type="expression" dxfId="7740" priority="3373">
      <formula>$A42="Neutral Section"</formula>
    </cfRule>
    <cfRule type="expression" dxfId="7739" priority="3374">
      <formula>$A42="Tunnel"</formula>
    </cfRule>
    <cfRule type="expression" dxfId="7738" priority="3375">
      <formula>$A42="Bridge"</formula>
    </cfRule>
    <cfRule type="expression" dxfId="7737" priority="3376">
      <formula>$A42="Drainage Works"</formula>
    </cfRule>
    <cfRule type="expression" dxfId="7736" priority="3377">
      <formula>$A42="Underpass"</formula>
    </cfRule>
    <cfRule type="expression" dxfId="7735" priority="3378">
      <formula>$A42="Overcrossing"</formula>
    </cfRule>
    <cfRule type="expression" dxfId="7734" priority="3379">
      <formula>$A42="Overpass"</formula>
    </cfRule>
    <cfRule type="expression" dxfId="7733" priority="3380">
      <formula>$A42="Station"</formula>
    </cfRule>
    <cfRule type="expression" dxfId="7732" priority="3381">
      <formula>$A42="Overlap between sections"</formula>
    </cfRule>
  </conditionalFormatting>
  <conditionalFormatting sqref="AW44">
    <cfRule type="expression" dxfId="7731" priority="3368">
      <formula>$M44="NON DEFINED"</formula>
    </cfRule>
    <cfRule type="expression" dxfId="7730" priority="3369">
      <formula>$AZ44="N.D."</formula>
    </cfRule>
    <cfRule type="expression" dxfId="7729" priority="3370">
      <formula>$AY44="N.D."</formula>
    </cfRule>
  </conditionalFormatting>
  <conditionalFormatting sqref="AW44">
    <cfRule type="expression" dxfId="7728" priority="3357">
      <formula>$A44="Overhead Cable"</formula>
    </cfRule>
    <cfRule type="expression" dxfId="7727" priority="3358">
      <formula>$A44="Level Crossing"</formula>
    </cfRule>
    <cfRule type="expression" dxfId="7726" priority="3359">
      <formula>$A44="Neutral Section"</formula>
    </cfRule>
    <cfRule type="expression" dxfId="7725" priority="3360">
      <formula>$A44="Tunnel"</formula>
    </cfRule>
    <cfRule type="expression" dxfId="7724" priority="3361">
      <formula>$A44="Bridge"</formula>
    </cfRule>
    <cfRule type="expression" dxfId="7723" priority="3362">
      <formula>$A44="Drainage Works"</formula>
    </cfRule>
    <cfRule type="expression" dxfId="7722" priority="3363">
      <formula>$A44="Underpass"</formula>
    </cfRule>
    <cfRule type="expression" dxfId="7721" priority="3364">
      <formula>$A44="Overcrossing"</formula>
    </cfRule>
    <cfRule type="expression" dxfId="7720" priority="3365">
      <formula>$A44="Overpass"</formula>
    </cfRule>
    <cfRule type="expression" dxfId="7719" priority="3366">
      <formula>$A44="Station"</formula>
    </cfRule>
    <cfRule type="expression" dxfId="7718" priority="3367">
      <formula>$A44="Overlap between sections"</formula>
    </cfRule>
  </conditionalFormatting>
  <conditionalFormatting sqref="AX44">
    <cfRule type="expression" dxfId="7717" priority="3354">
      <formula>$M44="NON DEFINED"</formula>
    </cfRule>
    <cfRule type="expression" dxfId="7716" priority="3355">
      <formula>$AZ44="N.D."</formula>
    </cfRule>
    <cfRule type="expression" dxfId="7715" priority="3356">
      <formula>$AY44="N.D."</formula>
    </cfRule>
  </conditionalFormatting>
  <conditionalFormatting sqref="AX44">
    <cfRule type="expression" dxfId="7714" priority="3343">
      <formula>$A44="Overhead Cable"</formula>
    </cfRule>
    <cfRule type="expression" dxfId="7713" priority="3344">
      <formula>$A44="Level Crossing"</formula>
    </cfRule>
    <cfRule type="expression" dxfId="7712" priority="3345">
      <formula>$A44="Neutral Section"</formula>
    </cfRule>
    <cfRule type="expression" dxfId="7711" priority="3346">
      <formula>$A44="Tunnel"</formula>
    </cfRule>
    <cfRule type="expression" dxfId="7710" priority="3347">
      <formula>$A44="Bridge"</formula>
    </cfRule>
    <cfRule type="expression" dxfId="7709" priority="3348">
      <formula>$A44="Drainage Works"</formula>
    </cfRule>
    <cfRule type="expression" dxfId="7708" priority="3349">
      <formula>$A44="Underpass"</formula>
    </cfRule>
    <cfRule type="expression" dxfId="7707" priority="3350">
      <formula>$A44="Overcrossing"</formula>
    </cfRule>
    <cfRule type="expression" dxfId="7706" priority="3351">
      <formula>$A44="Overpass"</formula>
    </cfRule>
    <cfRule type="expression" dxfId="7705" priority="3352">
      <formula>$A44="Station"</formula>
    </cfRule>
    <cfRule type="expression" dxfId="7704" priority="3353">
      <formula>$A44="Overlap between sections"</formula>
    </cfRule>
  </conditionalFormatting>
  <conditionalFormatting sqref="BA20:BC53">
    <cfRule type="expression" dxfId="7703" priority="3341">
      <formula>$BE20="A"</formula>
    </cfRule>
    <cfRule type="expression" dxfId="7702" priority="3342">
      <formula>$BE20="R"</formula>
    </cfRule>
  </conditionalFormatting>
  <conditionalFormatting sqref="BC20:BC53 BC57">
    <cfRule type="expression" dxfId="7701" priority="3340">
      <formula>$M20="U.S. N.D."</formula>
    </cfRule>
  </conditionalFormatting>
  <conditionalFormatting sqref="BB20:BB53 BB57">
    <cfRule type="expression" dxfId="7700" priority="3338">
      <formula>$AZ20="N.D."</formula>
    </cfRule>
  </conditionalFormatting>
  <conditionalFormatting sqref="BA20:BA53 BA57">
    <cfRule type="expression" dxfId="7699" priority="3339">
      <formula>$AY20="N.D."</formula>
    </cfRule>
  </conditionalFormatting>
  <conditionalFormatting sqref="AM44">
    <cfRule type="expression" dxfId="7698" priority="3321">
      <formula>$M44="NON DEFINED"</formula>
    </cfRule>
    <cfRule type="expression" dxfId="7697" priority="3322">
      <formula>$AZ44="N.D."</formula>
    </cfRule>
    <cfRule type="expression" dxfId="7696" priority="3323">
      <formula>$AY44="N.D."</formula>
    </cfRule>
  </conditionalFormatting>
  <conditionalFormatting sqref="AM44">
    <cfRule type="expression" dxfId="7695" priority="3310">
      <formula>$A44="Overhead Cable"</formula>
    </cfRule>
    <cfRule type="expression" dxfId="7694" priority="3311">
      <formula>$A44="Level Crossing"</formula>
    </cfRule>
    <cfRule type="expression" dxfId="7693" priority="3312">
      <formula>$A44="Neutral Section"</formula>
    </cfRule>
    <cfRule type="expression" dxfId="7692" priority="3313">
      <formula>$A44="Tunnel"</formula>
    </cfRule>
    <cfRule type="expression" dxfId="7691" priority="3314">
      <formula>$A44="Bridge"</formula>
    </cfRule>
    <cfRule type="expression" dxfId="7690" priority="3315">
      <formula>$A44="Drainage Works"</formula>
    </cfRule>
    <cfRule type="expression" dxfId="7689" priority="3316">
      <formula>$A44="Underpass"</formula>
    </cfRule>
    <cfRule type="expression" dxfId="7688" priority="3317">
      <formula>$A44="Overcrossing"</formula>
    </cfRule>
    <cfRule type="expression" dxfId="7687" priority="3318">
      <formula>$A44="Overpass"</formula>
    </cfRule>
    <cfRule type="expression" dxfId="7686" priority="3319">
      <formula>$A44="Station"</formula>
    </cfRule>
    <cfRule type="expression" dxfId="7685" priority="3320">
      <formula>$A44="Overlap between sections"</formula>
    </cfRule>
  </conditionalFormatting>
  <conditionalFormatting sqref="AG16:AG19 AZ16:AZ19 J16:J19 AN16:AS19 G16:H18 C16:E19 G19">
    <cfRule type="expression" dxfId="7684" priority="3198">
      <formula>$M16="NON DEFINED"</formula>
    </cfRule>
    <cfRule type="expression" dxfId="7683" priority="3199">
      <formula>$AZ16="N.D."</formula>
    </cfRule>
    <cfRule type="expression" dxfId="7682" priority="3200">
      <formula>$AY16="N.D."</formula>
    </cfRule>
  </conditionalFormatting>
  <conditionalFormatting sqref="AY16:AY19">
    <cfRule type="expression" dxfId="7681" priority="3195">
      <formula>$M16="NON DEFINED"</formula>
    </cfRule>
    <cfRule type="expression" dxfId="7680" priority="3196">
      <formula>$AZ16="N.D."</formula>
    </cfRule>
    <cfRule type="expression" dxfId="7679" priority="3197">
      <formula>$AY16="N.D."</formula>
    </cfRule>
  </conditionalFormatting>
  <conditionalFormatting sqref="J16:J19 AG16:AG19 AN16:AS19 G16:H18 A16:A19 AY16:AZ19 C16:E19 G19">
    <cfRule type="expression" dxfId="7678" priority="3184">
      <formula>$A16="Overhead Cable"</formula>
    </cfRule>
    <cfRule type="expression" dxfId="7677" priority="3185">
      <formula>$A16="Level Crossing"</formula>
    </cfRule>
    <cfRule type="expression" dxfId="7676" priority="3186">
      <formula>$A16="Neutral Section"</formula>
    </cfRule>
    <cfRule type="expression" dxfId="7675" priority="3187">
      <formula>$A16="Tunnel"</formula>
    </cfRule>
    <cfRule type="expression" dxfId="7674" priority="3188">
      <formula>$A16="Bridge"</formula>
    </cfRule>
    <cfRule type="expression" dxfId="7673" priority="3189">
      <formula>$A16="Drainage Works"</formula>
    </cfRule>
    <cfRule type="expression" dxfId="7672" priority="3190">
      <formula>$A16="Underpass"</formula>
    </cfRule>
    <cfRule type="expression" dxfId="7671" priority="3191">
      <formula>$A16="Overcrossing"</formula>
    </cfRule>
    <cfRule type="expression" dxfId="7670" priority="3192">
      <formula>$A16="Overpass"</formula>
    </cfRule>
    <cfRule type="expression" dxfId="7669" priority="3193">
      <formula>$A16="Station"</formula>
    </cfRule>
    <cfRule type="expression" dxfId="7668" priority="3194">
      <formula>$A16="Overlap between sections"</formula>
    </cfRule>
  </conditionalFormatting>
  <conditionalFormatting sqref="AN16:AP19">
    <cfRule type="cellIs" dxfId="7667" priority="3183" operator="notEqual">
      <formula>5.5</formula>
    </cfRule>
  </conditionalFormatting>
  <conditionalFormatting sqref="I16:I18">
    <cfRule type="expression" dxfId="7666" priority="3179">
      <formula>$M16="NON DEFINED"</formula>
    </cfRule>
    <cfRule type="expression" dxfId="7665" priority="3180">
      <formula>$AZ16="N.D."</formula>
    </cfRule>
    <cfRule type="expression" dxfId="7664" priority="3181">
      <formula>$AY16="N.D."</formula>
    </cfRule>
  </conditionalFormatting>
  <conditionalFormatting sqref="I16:I18">
    <cfRule type="expression" dxfId="7663" priority="3168">
      <formula>$A16="Overhead Cable"</formula>
    </cfRule>
    <cfRule type="expression" dxfId="7662" priority="3169">
      <formula>$A16="Level Crossing"</formula>
    </cfRule>
    <cfRule type="expression" dxfId="7661" priority="3170">
      <formula>$A16="Neutral Section"</formula>
    </cfRule>
    <cfRule type="expression" dxfId="7660" priority="3171">
      <formula>$A16="Tunnel"</formula>
    </cfRule>
    <cfRule type="expression" dxfId="7659" priority="3172">
      <formula>$A16="Bridge"</formula>
    </cfRule>
    <cfRule type="expression" dxfId="7658" priority="3173">
      <formula>$A16="Drainage Works"</formula>
    </cfRule>
    <cfRule type="expression" dxfId="7657" priority="3174">
      <formula>$A16="Underpass"</formula>
    </cfRule>
    <cfRule type="expression" dxfId="7656" priority="3175">
      <formula>$A16="Overcrossing"</formula>
    </cfRule>
    <cfRule type="expression" dxfId="7655" priority="3176">
      <formula>$A16="Overpass"</formula>
    </cfRule>
    <cfRule type="expression" dxfId="7654" priority="3177">
      <formula>$A16="Station"</formula>
    </cfRule>
    <cfRule type="expression" dxfId="7653" priority="3178">
      <formula>$A16="Overlap between sections"</formula>
    </cfRule>
  </conditionalFormatting>
  <conditionalFormatting sqref="K16:K19">
    <cfRule type="expression" dxfId="7652" priority="3165">
      <formula>$M16="NON DEFINED"</formula>
    </cfRule>
    <cfRule type="expression" dxfId="7651" priority="3166">
      <formula>$AZ16="N.D."</formula>
    </cfRule>
    <cfRule type="expression" dxfId="7650" priority="3167">
      <formula>$AY16="N.D."</formula>
    </cfRule>
  </conditionalFormatting>
  <conditionalFormatting sqref="K16:K19">
    <cfRule type="expression" dxfId="7649" priority="3154">
      <formula>$A16="Overhead Cable"</formula>
    </cfRule>
    <cfRule type="expression" dxfId="7648" priority="3155">
      <formula>$A16="Level Crossing"</formula>
    </cfRule>
    <cfRule type="expression" dxfId="7647" priority="3156">
      <formula>$A16="Neutral Section"</formula>
    </cfRule>
    <cfRule type="expression" dxfId="7646" priority="3157">
      <formula>$A16="Tunnel"</formula>
    </cfRule>
    <cfRule type="expression" dxfId="7645" priority="3158">
      <formula>$A16="Bridge"</formula>
    </cfRule>
    <cfRule type="expression" dxfId="7644" priority="3159">
      <formula>$A16="Drainage Works"</formula>
    </cfRule>
    <cfRule type="expression" dxfId="7643" priority="3160">
      <formula>$A16="Underpass"</formula>
    </cfRule>
    <cfRule type="expression" dxfId="7642" priority="3161">
      <formula>$A16="Overcrossing"</formula>
    </cfRule>
    <cfRule type="expression" dxfId="7641" priority="3162">
      <formula>$A16="Overpass"</formula>
    </cfRule>
    <cfRule type="expression" dxfId="7640" priority="3163">
      <formula>$A16="Station"</formula>
    </cfRule>
    <cfRule type="expression" dxfId="7639" priority="3164">
      <formula>$A16="Overlap between sections"</formula>
    </cfRule>
  </conditionalFormatting>
  <conditionalFormatting sqref="L16:L19">
    <cfRule type="expression" dxfId="7638" priority="3151">
      <formula>$M16="NON DEFINED"</formula>
    </cfRule>
    <cfRule type="expression" dxfId="7637" priority="3152">
      <formula>$AZ16="N.D."</formula>
    </cfRule>
    <cfRule type="expression" dxfId="7636" priority="3153">
      <formula>$AY16="N.D."</formula>
    </cfRule>
  </conditionalFormatting>
  <conditionalFormatting sqref="L16:L19">
    <cfRule type="expression" dxfId="7635" priority="3140">
      <formula>$A16="Overhead Cable"</formula>
    </cfRule>
    <cfRule type="expression" dxfId="7634" priority="3141">
      <formula>$A16="Level Crossing"</formula>
    </cfRule>
    <cfRule type="expression" dxfId="7633" priority="3142">
      <formula>$A16="Neutral Section"</formula>
    </cfRule>
    <cfRule type="expression" dxfId="7632" priority="3143">
      <formula>$A16="Tunnel"</formula>
    </cfRule>
    <cfRule type="expression" dxfId="7631" priority="3144">
      <formula>$A16="Bridge"</formula>
    </cfRule>
    <cfRule type="expression" dxfId="7630" priority="3145">
      <formula>$A16="Drainage Works"</formula>
    </cfRule>
    <cfRule type="expression" dxfId="7629" priority="3146">
      <formula>$A16="Underpass"</formula>
    </cfRule>
    <cfRule type="expression" dxfId="7628" priority="3147">
      <formula>$A16="Overcrossing"</formula>
    </cfRule>
    <cfRule type="expression" dxfId="7627" priority="3148">
      <formula>$A16="Overpass"</formula>
    </cfRule>
    <cfRule type="expression" dxfId="7626" priority="3149">
      <formula>$A16="Station"</formula>
    </cfRule>
    <cfRule type="expression" dxfId="7625" priority="3150">
      <formula>$A16="Overlap between sections"</formula>
    </cfRule>
  </conditionalFormatting>
  <conditionalFormatting sqref="M16:M19">
    <cfRule type="expression" dxfId="7624" priority="3137">
      <formula>$M16="NON DEFINED"</formula>
    </cfRule>
    <cfRule type="expression" dxfId="7623" priority="3138">
      <formula>$AZ16="N.D."</formula>
    </cfRule>
    <cfRule type="expression" dxfId="7622" priority="3139">
      <formula>$AY16="N.D."</formula>
    </cfRule>
  </conditionalFormatting>
  <conditionalFormatting sqref="M16:M19">
    <cfRule type="expression" dxfId="7621" priority="3126">
      <formula>$A16="Overhead Cable"</formula>
    </cfRule>
    <cfRule type="expression" dxfId="7620" priority="3127">
      <formula>$A16="Level Crossing"</formula>
    </cfRule>
    <cfRule type="expression" dxfId="7619" priority="3128">
      <formula>$A16="Neutral Section"</formula>
    </cfRule>
    <cfRule type="expression" dxfId="7618" priority="3129">
      <formula>$A16="Tunnel"</formula>
    </cfRule>
    <cfRule type="expression" dxfId="7617" priority="3130">
      <formula>$A16="Bridge"</formula>
    </cfRule>
    <cfRule type="expression" dxfId="7616" priority="3131">
      <formula>$A16="Drainage Works"</formula>
    </cfRule>
    <cfRule type="expression" dxfId="7615" priority="3132">
      <formula>$A16="Underpass"</formula>
    </cfRule>
    <cfRule type="expression" dxfId="7614" priority="3133">
      <formula>$A16="Overcrossing"</formula>
    </cfRule>
    <cfRule type="expression" dxfId="7613" priority="3134">
      <formula>$A16="Overpass"</formula>
    </cfRule>
    <cfRule type="expression" dxfId="7612" priority="3135">
      <formula>$A16="Station"</formula>
    </cfRule>
    <cfRule type="expression" dxfId="7611" priority="3136">
      <formula>$A16="Overlap between sections"</formula>
    </cfRule>
  </conditionalFormatting>
  <conditionalFormatting sqref="N16:N19">
    <cfRule type="expression" dxfId="7610" priority="3123">
      <formula>$M16="NON DEFINED"</formula>
    </cfRule>
    <cfRule type="expression" dxfId="7609" priority="3124">
      <formula>$AZ16="N.D."</formula>
    </cfRule>
    <cfRule type="expression" dxfId="7608" priority="3125">
      <formula>$AY16="N.D."</formula>
    </cfRule>
  </conditionalFormatting>
  <conditionalFormatting sqref="N16:N19">
    <cfRule type="expression" dxfId="7607" priority="3112">
      <formula>$A16="Overhead Cable"</formula>
    </cfRule>
    <cfRule type="expression" dxfId="7606" priority="3113">
      <formula>$A16="Level Crossing"</formula>
    </cfRule>
    <cfRule type="expression" dxfId="7605" priority="3114">
      <formula>$A16="Neutral Section"</formula>
    </cfRule>
    <cfRule type="expression" dxfId="7604" priority="3115">
      <formula>$A16="Tunnel"</formula>
    </cfRule>
    <cfRule type="expression" dxfId="7603" priority="3116">
      <formula>$A16="Bridge"</formula>
    </cfRule>
    <cfRule type="expression" dxfId="7602" priority="3117">
      <formula>$A16="Drainage Works"</formula>
    </cfRule>
    <cfRule type="expression" dxfId="7601" priority="3118">
      <formula>$A16="Underpass"</formula>
    </cfRule>
    <cfRule type="expression" dxfId="7600" priority="3119">
      <formula>$A16="Overcrossing"</formula>
    </cfRule>
    <cfRule type="expression" dxfId="7599" priority="3120">
      <formula>$A16="Overpass"</formula>
    </cfRule>
    <cfRule type="expression" dxfId="7598" priority="3121">
      <formula>$A16="Station"</formula>
    </cfRule>
    <cfRule type="expression" dxfId="7597" priority="3122">
      <formula>$A16="Overlap between sections"</formula>
    </cfRule>
  </conditionalFormatting>
  <conditionalFormatting sqref="O16:O19">
    <cfRule type="expression" dxfId="7596" priority="3109">
      <formula>$M16="NON DEFINED"</formula>
    </cfRule>
    <cfRule type="expression" dxfId="7595" priority="3110">
      <formula>$AZ16="N.D."</formula>
    </cfRule>
    <cfRule type="expression" dxfId="7594" priority="3111">
      <formula>$AY16="N.D."</formula>
    </cfRule>
  </conditionalFormatting>
  <conditionalFormatting sqref="O16:O19">
    <cfRule type="expression" dxfId="7593" priority="3098">
      <formula>$A16="Overhead Cable"</formula>
    </cfRule>
    <cfRule type="expression" dxfId="7592" priority="3099">
      <formula>$A16="Level Crossing"</formula>
    </cfRule>
    <cfRule type="expression" dxfId="7591" priority="3100">
      <formula>$A16="Neutral Section"</formula>
    </cfRule>
    <cfRule type="expression" dxfId="7590" priority="3101">
      <formula>$A16="Tunnel"</formula>
    </cfRule>
    <cfRule type="expression" dxfId="7589" priority="3102">
      <formula>$A16="Bridge"</formula>
    </cfRule>
    <cfRule type="expression" dxfId="7588" priority="3103">
      <formula>$A16="Drainage Works"</formula>
    </cfRule>
    <cfRule type="expression" dxfId="7587" priority="3104">
      <formula>$A16="Underpass"</formula>
    </cfRule>
    <cfRule type="expression" dxfId="7586" priority="3105">
      <formula>$A16="Overcrossing"</formula>
    </cfRule>
    <cfRule type="expression" dxfId="7585" priority="3106">
      <formula>$A16="Overpass"</formula>
    </cfRule>
    <cfRule type="expression" dxfId="7584" priority="3107">
      <formula>$A16="Station"</formula>
    </cfRule>
    <cfRule type="expression" dxfId="7583" priority="3108">
      <formula>$A16="Overlap between sections"</formula>
    </cfRule>
  </conditionalFormatting>
  <conditionalFormatting sqref="P16:P19">
    <cfRule type="expression" dxfId="7582" priority="3095">
      <formula>$M16="NON DEFINED"</formula>
    </cfRule>
    <cfRule type="expression" dxfId="7581" priority="3096">
      <formula>$AZ16="N.D."</formula>
    </cfRule>
    <cfRule type="expression" dxfId="7580" priority="3097">
      <formula>$AY16="N.D."</formula>
    </cfRule>
  </conditionalFormatting>
  <conditionalFormatting sqref="P16:P19">
    <cfRule type="expression" dxfId="7579" priority="3084">
      <formula>$A16="Overhead Cable"</formula>
    </cfRule>
    <cfRule type="expression" dxfId="7578" priority="3085">
      <formula>$A16="Level Crossing"</formula>
    </cfRule>
    <cfRule type="expression" dxfId="7577" priority="3086">
      <formula>$A16="Neutral Section"</formula>
    </cfRule>
    <cfRule type="expression" dxfId="7576" priority="3087">
      <formula>$A16="Tunnel"</formula>
    </cfRule>
    <cfRule type="expression" dxfId="7575" priority="3088">
      <formula>$A16="Bridge"</formula>
    </cfRule>
    <cfRule type="expression" dxfId="7574" priority="3089">
      <formula>$A16="Drainage Works"</formula>
    </cfRule>
    <cfRule type="expression" dxfId="7573" priority="3090">
      <formula>$A16="Underpass"</formula>
    </cfRule>
    <cfRule type="expression" dxfId="7572" priority="3091">
      <formula>$A16="Overcrossing"</formula>
    </cfRule>
    <cfRule type="expression" dxfId="7571" priority="3092">
      <formula>$A16="Overpass"</formula>
    </cfRule>
    <cfRule type="expression" dxfId="7570" priority="3093">
      <formula>$A16="Station"</formula>
    </cfRule>
    <cfRule type="expression" dxfId="7569" priority="3094">
      <formula>$A16="Overlap between sections"</formula>
    </cfRule>
  </conditionalFormatting>
  <conditionalFormatting sqref="AC16:AC19">
    <cfRule type="expression" dxfId="7568" priority="3081">
      <formula>$M16="NON DEFINED"</formula>
    </cfRule>
    <cfRule type="expression" dxfId="7567" priority="3082">
      <formula>$AZ16="N.D."</formula>
    </cfRule>
    <cfRule type="expression" dxfId="7566" priority="3083">
      <formula>$AY16="N.D."</formula>
    </cfRule>
  </conditionalFormatting>
  <conditionalFormatting sqref="AC16:AC19">
    <cfRule type="expression" dxfId="7565" priority="3070">
      <formula>$A16="Overhead Cable"</formula>
    </cfRule>
    <cfRule type="expression" dxfId="7564" priority="3071">
      <formula>$A16="Level Crossing"</formula>
    </cfRule>
    <cfRule type="expression" dxfId="7563" priority="3072">
      <formula>$A16="Neutral Section"</formula>
    </cfRule>
    <cfRule type="expression" dxfId="7562" priority="3073">
      <formula>$A16="Tunnel"</formula>
    </cfRule>
    <cfRule type="expression" dxfId="7561" priority="3074">
      <formula>$A16="Bridge"</formula>
    </cfRule>
    <cfRule type="expression" dxfId="7560" priority="3075">
      <formula>$A16="Drainage Works"</formula>
    </cfRule>
    <cfRule type="expression" dxfId="7559" priority="3076">
      <formula>$A16="Underpass"</formula>
    </cfRule>
    <cfRule type="expression" dxfId="7558" priority="3077">
      <formula>$A16="Overcrossing"</formula>
    </cfRule>
    <cfRule type="expression" dxfId="7557" priority="3078">
      <formula>$A16="Overpass"</formula>
    </cfRule>
    <cfRule type="expression" dxfId="7556" priority="3079">
      <formula>$A16="Station"</formula>
    </cfRule>
    <cfRule type="expression" dxfId="7555" priority="3080">
      <formula>$A16="Overlap between sections"</formula>
    </cfRule>
  </conditionalFormatting>
  <conditionalFormatting sqref="AD16:AD19">
    <cfRule type="expression" dxfId="7554" priority="3067">
      <formula>$M16="NON DEFINED"</formula>
    </cfRule>
    <cfRule type="expression" dxfId="7553" priority="3068">
      <formula>$AZ16="N.D."</formula>
    </cfRule>
    <cfRule type="expression" dxfId="7552" priority="3069">
      <formula>$AY16="N.D."</formula>
    </cfRule>
  </conditionalFormatting>
  <conditionalFormatting sqref="AD16:AD19">
    <cfRule type="expression" dxfId="7551" priority="3056">
      <formula>$A16="Overhead Cable"</formula>
    </cfRule>
    <cfRule type="expression" dxfId="7550" priority="3057">
      <formula>$A16="Level Crossing"</formula>
    </cfRule>
    <cfRule type="expression" dxfId="7549" priority="3058">
      <formula>$A16="Neutral Section"</formula>
    </cfRule>
    <cfRule type="expression" dxfId="7548" priority="3059">
      <formula>$A16="Tunnel"</formula>
    </cfRule>
    <cfRule type="expression" dxfId="7547" priority="3060">
      <formula>$A16="Bridge"</formula>
    </cfRule>
    <cfRule type="expression" dxfId="7546" priority="3061">
      <formula>$A16="Drainage Works"</formula>
    </cfRule>
    <cfRule type="expression" dxfId="7545" priority="3062">
      <formula>$A16="Underpass"</formula>
    </cfRule>
    <cfRule type="expression" dxfId="7544" priority="3063">
      <formula>$A16="Overcrossing"</formula>
    </cfRule>
    <cfRule type="expression" dxfId="7543" priority="3064">
      <formula>$A16="Overpass"</formula>
    </cfRule>
    <cfRule type="expression" dxfId="7542" priority="3065">
      <formula>$A16="Station"</formula>
    </cfRule>
    <cfRule type="expression" dxfId="7541" priority="3066">
      <formula>$A16="Overlap between sections"</formula>
    </cfRule>
  </conditionalFormatting>
  <conditionalFormatting sqref="AE16:AE19">
    <cfRule type="expression" dxfId="7540" priority="3053">
      <formula>$M16="NON DEFINED"</formula>
    </cfRule>
    <cfRule type="expression" dxfId="7539" priority="3054">
      <formula>$AZ16="N.D."</formula>
    </cfRule>
    <cfRule type="expression" dxfId="7538" priority="3055">
      <formula>$AY16="N.D."</formula>
    </cfRule>
  </conditionalFormatting>
  <conditionalFormatting sqref="AE16:AE19">
    <cfRule type="expression" dxfId="7537" priority="3042">
      <formula>$A16="Overhead Cable"</formula>
    </cfRule>
    <cfRule type="expression" dxfId="7536" priority="3043">
      <formula>$A16="Level Crossing"</formula>
    </cfRule>
    <cfRule type="expression" dxfId="7535" priority="3044">
      <formula>$A16="Neutral Section"</formula>
    </cfRule>
    <cfRule type="expression" dxfId="7534" priority="3045">
      <formula>$A16="Tunnel"</formula>
    </cfRule>
    <cfRule type="expression" dxfId="7533" priority="3046">
      <formula>$A16="Bridge"</formula>
    </cfRule>
    <cfRule type="expression" dxfId="7532" priority="3047">
      <formula>$A16="Drainage Works"</formula>
    </cfRule>
    <cfRule type="expression" dxfId="7531" priority="3048">
      <formula>$A16="Underpass"</formula>
    </cfRule>
    <cfRule type="expression" dxfId="7530" priority="3049">
      <formula>$A16="Overcrossing"</formula>
    </cfRule>
    <cfRule type="expression" dxfId="7529" priority="3050">
      <formula>$A16="Overpass"</formula>
    </cfRule>
    <cfRule type="expression" dxfId="7528" priority="3051">
      <formula>$A16="Station"</formula>
    </cfRule>
    <cfRule type="expression" dxfId="7527" priority="3052">
      <formula>$A16="Overlap between sections"</formula>
    </cfRule>
  </conditionalFormatting>
  <conditionalFormatting sqref="AJ16:AJ19">
    <cfRule type="expression" dxfId="7526" priority="3039">
      <formula>$M16="NON DEFINED"</formula>
    </cfRule>
    <cfRule type="expression" dxfId="7525" priority="3040">
      <formula>$AZ16="N.D."</formula>
    </cfRule>
    <cfRule type="expression" dxfId="7524" priority="3041">
      <formula>$AY16="N.D."</formula>
    </cfRule>
  </conditionalFormatting>
  <conditionalFormatting sqref="AJ16:AJ19">
    <cfRule type="expression" dxfId="7523" priority="3028">
      <formula>$A16="Overhead Cable"</formula>
    </cfRule>
    <cfRule type="expression" dxfId="7522" priority="3029">
      <formula>$A16="Level Crossing"</formula>
    </cfRule>
    <cfRule type="expression" dxfId="7521" priority="3030">
      <formula>$A16="Neutral Section"</formula>
    </cfRule>
    <cfRule type="expression" dxfId="7520" priority="3031">
      <formula>$A16="Tunnel"</formula>
    </cfRule>
    <cfRule type="expression" dxfId="7519" priority="3032">
      <formula>$A16="Bridge"</formula>
    </cfRule>
    <cfRule type="expression" dxfId="7518" priority="3033">
      <formula>$A16="Drainage Works"</formula>
    </cfRule>
    <cfRule type="expression" dxfId="7517" priority="3034">
      <formula>$A16="Underpass"</formula>
    </cfRule>
    <cfRule type="expression" dxfId="7516" priority="3035">
      <formula>$A16="Overcrossing"</formula>
    </cfRule>
    <cfRule type="expression" dxfId="7515" priority="3036">
      <formula>$A16="Overpass"</formula>
    </cfRule>
    <cfRule type="expression" dxfId="7514" priority="3037">
      <formula>$A16="Station"</formula>
    </cfRule>
    <cfRule type="expression" dxfId="7513" priority="3038">
      <formula>$A16="Overlap between sections"</formula>
    </cfRule>
  </conditionalFormatting>
  <conditionalFormatting sqref="AK16:AK19">
    <cfRule type="expression" dxfId="7512" priority="3025">
      <formula>$M16="NON DEFINED"</formula>
    </cfRule>
    <cfRule type="expression" dxfId="7511" priority="3026">
      <formula>$AZ16="N.D."</formula>
    </cfRule>
    <cfRule type="expression" dxfId="7510" priority="3027">
      <formula>$AY16="N.D."</formula>
    </cfRule>
  </conditionalFormatting>
  <conditionalFormatting sqref="AK16:AK19">
    <cfRule type="expression" dxfId="7509" priority="3014">
      <formula>$A16="Overhead Cable"</formula>
    </cfRule>
    <cfRule type="expression" dxfId="7508" priority="3015">
      <formula>$A16="Level Crossing"</formula>
    </cfRule>
    <cfRule type="expression" dxfId="7507" priority="3016">
      <formula>$A16="Neutral Section"</formula>
    </cfRule>
    <cfRule type="expression" dxfId="7506" priority="3017">
      <formula>$A16="Tunnel"</formula>
    </cfRule>
    <cfRule type="expression" dxfId="7505" priority="3018">
      <formula>$A16="Bridge"</formula>
    </cfRule>
    <cfRule type="expression" dxfId="7504" priority="3019">
      <formula>$A16="Drainage Works"</formula>
    </cfRule>
    <cfRule type="expression" dxfId="7503" priority="3020">
      <formula>$A16="Underpass"</formula>
    </cfRule>
    <cfRule type="expression" dxfId="7502" priority="3021">
      <formula>$A16="Overcrossing"</formula>
    </cfRule>
    <cfRule type="expression" dxfId="7501" priority="3022">
      <formula>$A16="Overpass"</formula>
    </cfRule>
    <cfRule type="expression" dxfId="7500" priority="3023">
      <formula>$A16="Station"</formula>
    </cfRule>
    <cfRule type="expression" dxfId="7499" priority="3024">
      <formula>$A16="Overlap between sections"</formula>
    </cfRule>
  </conditionalFormatting>
  <conditionalFormatting sqref="AL16:AL18">
    <cfRule type="expression" dxfId="7498" priority="3011">
      <formula>$M16="NON DEFINED"</formula>
    </cfRule>
    <cfRule type="expression" dxfId="7497" priority="3012">
      <formula>$AZ16="N.D."</formula>
    </cfRule>
    <cfRule type="expression" dxfId="7496" priority="3013">
      <formula>$AY16="N.D."</formula>
    </cfRule>
  </conditionalFormatting>
  <conditionalFormatting sqref="AL16:AL18">
    <cfRule type="expression" dxfId="7495" priority="3000">
      <formula>$A16="Overhead Cable"</formula>
    </cfRule>
    <cfRule type="expression" dxfId="7494" priority="3001">
      <formula>$A16="Level Crossing"</formula>
    </cfRule>
    <cfRule type="expression" dxfId="7493" priority="3002">
      <formula>$A16="Neutral Section"</formula>
    </cfRule>
    <cfRule type="expression" dxfId="7492" priority="3003">
      <formula>$A16="Tunnel"</formula>
    </cfRule>
    <cfRule type="expression" dxfId="7491" priority="3004">
      <formula>$A16="Bridge"</formula>
    </cfRule>
    <cfRule type="expression" dxfId="7490" priority="3005">
      <formula>$A16="Drainage Works"</formula>
    </cfRule>
    <cfRule type="expression" dxfId="7489" priority="3006">
      <formula>$A16="Underpass"</formula>
    </cfRule>
    <cfRule type="expression" dxfId="7488" priority="3007">
      <formula>$A16="Overcrossing"</formula>
    </cfRule>
    <cfRule type="expression" dxfId="7487" priority="3008">
      <formula>$A16="Overpass"</formula>
    </cfRule>
    <cfRule type="expression" dxfId="7486" priority="3009">
      <formula>$A16="Station"</formula>
    </cfRule>
    <cfRule type="expression" dxfId="7485" priority="3010">
      <formula>$A16="Overlap between sections"</formula>
    </cfRule>
  </conditionalFormatting>
  <conditionalFormatting sqref="AM16:AM18">
    <cfRule type="expression" dxfId="7484" priority="2997">
      <formula>$M16="NON DEFINED"</formula>
    </cfRule>
    <cfRule type="expression" dxfId="7483" priority="2998">
      <formula>$AZ16="N.D."</formula>
    </cfRule>
    <cfRule type="expression" dxfId="7482" priority="2999">
      <formula>$AY16="N.D."</formula>
    </cfRule>
  </conditionalFormatting>
  <conditionalFormatting sqref="AM16:AM18">
    <cfRule type="expression" dxfId="7481" priority="2986">
      <formula>$A16="Overhead Cable"</formula>
    </cfRule>
    <cfRule type="expression" dxfId="7480" priority="2987">
      <formula>$A16="Level Crossing"</formula>
    </cfRule>
    <cfRule type="expression" dxfId="7479" priority="2988">
      <formula>$A16="Neutral Section"</formula>
    </cfRule>
    <cfRule type="expression" dxfId="7478" priority="2989">
      <formula>$A16="Tunnel"</formula>
    </cfRule>
    <cfRule type="expression" dxfId="7477" priority="2990">
      <formula>$A16="Bridge"</formula>
    </cfRule>
    <cfRule type="expression" dxfId="7476" priority="2991">
      <formula>$A16="Drainage Works"</formula>
    </cfRule>
    <cfRule type="expression" dxfId="7475" priority="2992">
      <formula>$A16="Underpass"</formula>
    </cfRule>
    <cfRule type="expression" dxfId="7474" priority="2993">
      <formula>$A16="Overcrossing"</formula>
    </cfRule>
    <cfRule type="expression" dxfId="7473" priority="2994">
      <formula>$A16="Overpass"</formula>
    </cfRule>
    <cfRule type="expression" dxfId="7472" priority="2995">
      <formula>$A16="Station"</formula>
    </cfRule>
    <cfRule type="expression" dxfId="7471" priority="2996">
      <formula>$A16="Overlap between sections"</formula>
    </cfRule>
  </conditionalFormatting>
  <conditionalFormatting sqref="AT16:AT19">
    <cfRule type="expression" dxfId="7470" priority="2983">
      <formula>$M16="NON DEFINED"</formula>
    </cfRule>
    <cfRule type="expression" dxfId="7469" priority="2984">
      <formula>$AZ16="N.D."</formula>
    </cfRule>
    <cfRule type="expression" dxfId="7468" priority="2985">
      <formula>$AY16="N.D."</formula>
    </cfRule>
  </conditionalFormatting>
  <conditionalFormatting sqref="AT16:AT19">
    <cfRule type="expression" dxfId="7467" priority="2972">
      <formula>$A16="Overhead Cable"</formula>
    </cfRule>
    <cfRule type="expression" dxfId="7466" priority="2973">
      <formula>$A16="Level Crossing"</formula>
    </cfRule>
    <cfRule type="expression" dxfId="7465" priority="2974">
      <formula>$A16="Neutral Section"</formula>
    </cfRule>
    <cfRule type="expression" dxfId="7464" priority="2975">
      <formula>$A16="Tunnel"</formula>
    </cfRule>
    <cfRule type="expression" dxfId="7463" priority="2976">
      <formula>$A16="Bridge"</formula>
    </cfRule>
    <cfRule type="expression" dxfId="7462" priority="2977">
      <formula>$A16="Drainage Works"</formula>
    </cfRule>
    <cfRule type="expression" dxfId="7461" priority="2978">
      <formula>$A16="Underpass"</formula>
    </cfRule>
    <cfRule type="expression" dxfId="7460" priority="2979">
      <formula>$A16="Overcrossing"</formula>
    </cfRule>
    <cfRule type="expression" dxfId="7459" priority="2980">
      <formula>$A16="Overpass"</formula>
    </cfRule>
    <cfRule type="expression" dxfId="7458" priority="2981">
      <formula>$A16="Station"</formula>
    </cfRule>
    <cfRule type="expression" dxfId="7457" priority="2982">
      <formula>$A16="Overlap between sections"</formula>
    </cfRule>
  </conditionalFormatting>
  <conditionalFormatting sqref="AU16:AU19">
    <cfRule type="expression" dxfId="7456" priority="2969">
      <formula>$M16="NON DEFINED"</formula>
    </cfRule>
    <cfRule type="expression" dxfId="7455" priority="2970">
      <formula>$AZ16="N.D."</formula>
    </cfRule>
    <cfRule type="expression" dxfId="7454" priority="2971">
      <formula>$AY16="N.D."</formula>
    </cfRule>
  </conditionalFormatting>
  <conditionalFormatting sqref="AU16:AU19">
    <cfRule type="expression" dxfId="7453" priority="2958">
      <formula>$A16="Overhead Cable"</formula>
    </cfRule>
    <cfRule type="expression" dxfId="7452" priority="2959">
      <formula>$A16="Level Crossing"</formula>
    </cfRule>
    <cfRule type="expression" dxfId="7451" priority="2960">
      <formula>$A16="Neutral Section"</formula>
    </cfRule>
    <cfRule type="expression" dxfId="7450" priority="2961">
      <formula>$A16="Tunnel"</formula>
    </cfRule>
    <cfRule type="expression" dxfId="7449" priority="2962">
      <formula>$A16="Bridge"</formula>
    </cfRule>
    <cfRule type="expression" dxfId="7448" priority="2963">
      <formula>$A16="Drainage Works"</formula>
    </cfRule>
    <cfRule type="expression" dxfId="7447" priority="2964">
      <formula>$A16="Underpass"</formula>
    </cfRule>
    <cfRule type="expression" dxfId="7446" priority="2965">
      <formula>$A16="Overcrossing"</formula>
    </cfRule>
    <cfRule type="expression" dxfId="7445" priority="2966">
      <formula>$A16="Overpass"</formula>
    </cfRule>
    <cfRule type="expression" dxfId="7444" priority="2967">
      <formula>$A16="Station"</formula>
    </cfRule>
    <cfRule type="expression" dxfId="7443" priority="2968">
      <formula>$A16="Overlap between sections"</formula>
    </cfRule>
  </conditionalFormatting>
  <conditionalFormatting sqref="AV16:AV19">
    <cfRule type="expression" dxfId="7442" priority="2955">
      <formula>$M16="NON DEFINED"</formula>
    </cfRule>
    <cfRule type="expression" dxfId="7441" priority="2956">
      <formula>$AZ16="N.D."</formula>
    </cfRule>
    <cfRule type="expression" dxfId="7440" priority="2957">
      <formula>$AY16="N.D."</formula>
    </cfRule>
  </conditionalFormatting>
  <conditionalFormatting sqref="AV16:AV19">
    <cfRule type="expression" dxfId="7439" priority="2944">
      <formula>$A16="Overhead Cable"</formula>
    </cfRule>
    <cfRule type="expression" dxfId="7438" priority="2945">
      <formula>$A16="Level Crossing"</formula>
    </cfRule>
    <cfRule type="expression" dxfId="7437" priority="2946">
      <formula>$A16="Neutral Section"</formula>
    </cfRule>
    <cfRule type="expression" dxfId="7436" priority="2947">
      <formula>$A16="Tunnel"</formula>
    </cfRule>
    <cfRule type="expression" dxfId="7435" priority="2948">
      <formula>$A16="Bridge"</formula>
    </cfRule>
    <cfRule type="expression" dxfId="7434" priority="2949">
      <formula>$A16="Drainage Works"</formula>
    </cfRule>
    <cfRule type="expression" dxfId="7433" priority="2950">
      <formula>$A16="Underpass"</formula>
    </cfRule>
    <cfRule type="expression" dxfId="7432" priority="2951">
      <formula>$A16="Overcrossing"</formula>
    </cfRule>
    <cfRule type="expression" dxfId="7431" priority="2952">
      <formula>$A16="Overpass"</formula>
    </cfRule>
    <cfRule type="expression" dxfId="7430" priority="2953">
      <formula>$A16="Station"</formula>
    </cfRule>
    <cfRule type="expression" dxfId="7429" priority="2954">
      <formula>$A16="Overlap between sections"</formula>
    </cfRule>
  </conditionalFormatting>
  <conditionalFormatting sqref="AW16:AW19">
    <cfRule type="expression" dxfId="7428" priority="2941">
      <formula>$M16="NON DEFINED"</formula>
    </cfRule>
    <cfRule type="expression" dxfId="7427" priority="2942">
      <formula>$AZ16="N.D."</formula>
    </cfRule>
    <cfRule type="expression" dxfId="7426" priority="2943">
      <formula>$AY16="N.D."</formula>
    </cfRule>
  </conditionalFormatting>
  <conditionalFormatting sqref="AW16:AW19">
    <cfRule type="expression" dxfId="7425" priority="2930">
      <formula>$A16="Overhead Cable"</formula>
    </cfRule>
    <cfRule type="expression" dxfId="7424" priority="2931">
      <formula>$A16="Level Crossing"</formula>
    </cfRule>
    <cfRule type="expression" dxfId="7423" priority="2932">
      <formula>$A16="Neutral Section"</formula>
    </cfRule>
    <cfRule type="expression" dxfId="7422" priority="2933">
      <formula>$A16="Tunnel"</formula>
    </cfRule>
    <cfRule type="expression" dxfId="7421" priority="2934">
      <formula>$A16="Bridge"</formula>
    </cfRule>
    <cfRule type="expression" dxfId="7420" priority="2935">
      <formula>$A16="Drainage Works"</formula>
    </cfRule>
    <cfRule type="expression" dxfId="7419" priority="2936">
      <formula>$A16="Underpass"</formula>
    </cfRule>
    <cfRule type="expression" dxfId="7418" priority="2937">
      <formula>$A16="Overcrossing"</formula>
    </cfRule>
    <cfRule type="expression" dxfId="7417" priority="2938">
      <formula>$A16="Overpass"</formula>
    </cfRule>
    <cfRule type="expression" dxfId="7416" priority="2939">
      <formula>$A16="Station"</formula>
    </cfRule>
    <cfRule type="expression" dxfId="7415" priority="2940">
      <formula>$A16="Overlap between sections"</formula>
    </cfRule>
  </conditionalFormatting>
  <conditionalFormatting sqref="AX16:AX19">
    <cfRule type="expression" dxfId="7414" priority="2927">
      <formula>$M16="NON DEFINED"</formula>
    </cfRule>
    <cfRule type="expression" dxfId="7413" priority="2928">
      <formula>$AZ16="N.D."</formula>
    </cfRule>
    <cfRule type="expression" dxfId="7412" priority="2929">
      <formula>$AY16="N.D."</formula>
    </cfRule>
  </conditionalFormatting>
  <conditionalFormatting sqref="AX16:AX19">
    <cfRule type="expression" dxfId="7411" priority="2916">
      <formula>$A16="Overhead Cable"</formula>
    </cfRule>
    <cfRule type="expression" dxfId="7410" priority="2917">
      <formula>$A16="Level Crossing"</formula>
    </cfRule>
    <cfRule type="expression" dxfId="7409" priority="2918">
      <formula>$A16="Neutral Section"</formula>
    </cfRule>
    <cfRule type="expression" dxfId="7408" priority="2919">
      <formula>$A16="Tunnel"</formula>
    </cfRule>
    <cfRule type="expression" dxfId="7407" priority="2920">
      <formula>$A16="Bridge"</formula>
    </cfRule>
    <cfRule type="expression" dxfId="7406" priority="2921">
      <formula>$A16="Drainage Works"</formula>
    </cfRule>
    <cfRule type="expression" dxfId="7405" priority="2922">
      <formula>$A16="Underpass"</formula>
    </cfRule>
    <cfRule type="expression" dxfId="7404" priority="2923">
      <formula>$A16="Overcrossing"</formula>
    </cfRule>
    <cfRule type="expression" dxfId="7403" priority="2924">
      <formula>$A16="Overpass"</formula>
    </cfRule>
    <cfRule type="expression" dxfId="7402" priority="2925">
      <formula>$A16="Station"</formula>
    </cfRule>
    <cfRule type="expression" dxfId="7401" priority="2926">
      <formula>$A16="Overlap between sections"</formula>
    </cfRule>
  </conditionalFormatting>
  <conditionalFormatting sqref="F16:F19">
    <cfRule type="expression" dxfId="7400" priority="2913">
      <formula>$M16="NON DEFINED"</formula>
    </cfRule>
    <cfRule type="expression" dxfId="7399" priority="2914">
      <formula>$AZ16="N.D."</formula>
    </cfRule>
    <cfRule type="expression" dxfId="7398" priority="2915">
      <formula>$AY16="N.D."</formula>
    </cfRule>
  </conditionalFormatting>
  <conditionalFormatting sqref="F16:F19">
    <cfRule type="expression" dxfId="7397" priority="2902">
      <formula>$A16="Overhead Cable"</formula>
    </cfRule>
    <cfRule type="expression" dxfId="7396" priority="2903">
      <formula>$A16="Level Crossing"</formula>
    </cfRule>
    <cfRule type="expression" dxfId="7395" priority="2904">
      <formula>$A16="Neutral Section"</formula>
    </cfRule>
    <cfRule type="expression" dxfId="7394" priority="2905">
      <formula>$A16="Tunnel"</formula>
    </cfRule>
    <cfRule type="expression" dxfId="7393" priority="2906">
      <formula>$A16="Bridge"</formula>
    </cfRule>
    <cfRule type="expression" dxfId="7392" priority="2907">
      <formula>$A16="Drainage Works"</formula>
    </cfRule>
    <cfRule type="expression" dxfId="7391" priority="2908">
      <formula>$A16="Underpass"</formula>
    </cfRule>
    <cfRule type="expression" dxfId="7390" priority="2909">
      <formula>$A16="Overcrossing"</formula>
    </cfRule>
    <cfRule type="expression" dxfId="7389" priority="2910">
      <formula>$A16="Overpass"</formula>
    </cfRule>
    <cfRule type="expression" dxfId="7388" priority="2911">
      <formula>$A16="Station"</formula>
    </cfRule>
    <cfRule type="expression" dxfId="7387" priority="2912">
      <formula>$A16="Overlap between sections"</formula>
    </cfRule>
  </conditionalFormatting>
  <conditionalFormatting sqref="Q16:Q19">
    <cfRule type="expression" dxfId="7386" priority="2899">
      <formula>$M16="NON DEFINED"</formula>
    </cfRule>
    <cfRule type="expression" dxfId="7385" priority="2900">
      <formula>$AZ16="N.D."</formula>
    </cfRule>
    <cfRule type="expression" dxfId="7384" priority="2901">
      <formula>$AY16="N.D."</formula>
    </cfRule>
  </conditionalFormatting>
  <conditionalFormatting sqref="Q16:Q19">
    <cfRule type="expression" dxfId="7383" priority="2888">
      <formula>$A16="Overhead Cable"</formula>
    </cfRule>
    <cfRule type="expression" dxfId="7382" priority="2889">
      <formula>$A16="Level Crossing"</formula>
    </cfRule>
    <cfRule type="expression" dxfId="7381" priority="2890">
      <formula>$A16="Neutral Section"</formula>
    </cfRule>
    <cfRule type="expression" dxfId="7380" priority="2891">
      <formula>$A16="Tunnel"</formula>
    </cfRule>
    <cfRule type="expression" dxfId="7379" priority="2892">
      <formula>$A16="Bridge"</formula>
    </cfRule>
    <cfRule type="expression" dxfId="7378" priority="2893">
      <formula>$A16="Drainage Works"</formula>
    </cfRule>
    <cfRule type="expression" dxfId="7377" priority="2894">
      <formula>$A16="Underpass"</formula>
    </cfRule>
    <cfRule type="expression" dxfId="7376" priority="2895">
      <formula>$A16="Overcrossing"</formula>
    </cfRule>
    <cfRule type="expression" dxfId="7375" priority="2896">
      <formula>$A16="Overpass"</formula>
    </cfRule>
    <cfRule type="expression" dxfId="7374" priority="2897">
      <formula>$A16="Station"</formula>
    </cfRule>
    <cfRule type="expression" dxfId="7373" priority="2898">
      <formula>$A16="Overlap between sections"</formula>
    </cfRule>
  </conditionalFormatting>
  <conditionalFormatting sqref="T16:T19">
    <cfRule type="expression" dxfId="7372" priority="2885">
      <formula>$M16="NON DEFINED"</formula>
    </cfRule>
    <cfRule type="expression" dxfId="7371" priority="2886">
      <formula>$AZ16="N.D."</formula>
    </cfRule>
    <cfRule type="expression" dxfId="7370" priority="2887">
      <formula>$AY16="N.D."</formula>
    </cfRule>
  </conditionalFormatting>
  <conditionalFormatting sqref="T16:T19">
    <cfRule type="expression" dxfId="7369" priority="2874">
      <formula>$A16="Overhead Cable"</formula>
    </cfRule>
    <cfRule type="expression" dxfId="7368" priority="2875">
      <formula>$A16="Level Crossing"</formula>
    </cfRule>
    <cfRule type="expression" dxfId="7367" priority="2876">
      <formula>$A16="Neutral Section"</formula>
    </cfRule>
    <cfRule type="expression" dxfId="7366" priority="2877">
      <formula>$A16="Tunnel"</formula>
    </cfRule>
    <cfRule type="expression" dxfId="7365" priority="2878">
      <formula>$A16="Bridge"</formula>
    </cfRule>
    <cfRule type="expression" dxfId="7364" priority="2879">
      <formula>$A16="Drainage Works"</formula>
    </cfRule>
    <cfRule type="expression" dxfId="7363" priority="2880">
      <formula>$A16="Underpass"</formula>
    </cfRule>
    <cfRule type="expression" dxfId="7362" priority="2881">
      <formula>$A16="Overcrossing"</formula>
    </cfRule>
    <cfRule type="expression" dxfId="7361" priority="2882">
      <formula>$A16="Overpass"</formula>
    </cfRule>
    <cfRule type="expression" dxfId="7360" priority="2883">
      <formula>$A16="Station"</formula>
    </cfRule>
    <cfRule type="expression" dxfId="7359" priority="2884">
      <formula>$A16="Overlap between sections"</formula>
    </cfRule>
  </conditionalFormatting>
  <conditionalFormatting sqref="U16:U19">
    <cfRule type="expression" dxfId="7358" priority="2871">
      <formula>$M16="NON DEFINED"</formula>
    </cfRule>
    <cfRule type="expression" dxfId="7357" priority="2872">
      <formula>$AZ16="N.D."</formula>
    </cfRule>
    <cfRule type="expression" dxfId="7356" priority="2873">
      <formula>$AY16="N.D."</formula>
    </cfRule>
  </conditionalFormatting>
  <conditionalFormatting sqref="U16:U19">
    <cfRule type="expression" dxfId="7355" priority="2860">
      <formula>$A16="Overhead Cable"</formula>
    </cfRule>
    <cfRule type="expression" dxfId="7354" priority="2861">
      <formula>$A16="Level Crossing"</formula>
    </cfRule>
    <cfRule type="expression" dxfId="7353" priority="2862">
      <formula>$A16="Neutral Section"</formula>
    </cfRule>
    <cfRule type="expression" dxfId="7352" priority="2863">
      <formula>$A16="Tunnel"</formula>
    </cfRule>
    <cfRule type="expression" dxfId="7351" priority="2864">
      <formula>$A16="Bridge"</formula>
    </cfRule>
    <cfRule type="expression" dxfId="7350" priority="2865">
      <formula>$A16="Drainage Works"</formula>
    </cfRule>
    <cfRule type="expression" dxfId="7349" priority="2866">
      <formula>$A16="Underpass"</formula>
    </cfRule>
    <cfRule type="expression" dxfId="7348" priority="2867">
      <formula>$A16="Overcrossing"</formula>
    </cfRule>
    <cfRule type="expression" dxfId="7347" priority="2868">
      <formula>$A16="Overpass"</formula>
    </cfRule>
    <cfRule type="expression" dxfId="7346" priority="2869">
      <formula>$A16="Station"</formula>
    </cfRule>
    <cfRule type="expression" dxfId="7345" priority="2870">
      <formula>$A16="Overlap between sections"</formula>
    </cfRule>
  </conditionalFormatting>
  <conditionalFormatting sqref="V16:V19">
    <cfRule type="expression" dxfId="7344" priority="2857">
      <formula>$M16="NON DEFINED"</formula>
    </cfRule>
    <cfRule type="expression" dxfId="7343" priority="2858">
      <formula>$AZ16="N.D."</formula>
    </cfRule>
    <cfRule type="expression" dxfId="7342" priority="2859">
      <formula>$AY16="N.D."</formula>
    </cfRule>
  </conditionalFormatting>
  <conditionalFormatting sqref="V16:V19">
    <cfRule type="expression" dxfId="7341" priority="2846">
      <formula>$A16="Overhead Cable"</formula>
    </cfRule>
    <cfRule type="expression" dxfId="7340" priority="2847">
      <formula>$A16="Level Crossing"</formula>
    </cfRule>
    <cfRule type="expression" dxfId="7339" priority="2848">
      <formula>$A16="Neutral Section"</formula>
    </cfRule>
    <cfRule type="expression" dxfId="7338" priority="2849">
      <formula>$A16="Tunnel"</formula>
    </cfRule>
    <cfRule type="expression" dxfId="7337" priority="2850">
      <formula>$A16="Bridge"</formula>
    </cfRule>
    <cfRule type="expression" dxfId="7336" priority="2851">
      <formula>$A16="Drainage Works"</formula>
    </cfRule>
    <cfRule type="expression" dxfId="7335" priority="2852">
      <formula>$A16="Underpass"</formula>
    </cfRule>
    <cfRule type="expression" dxfId="7334" priority="2853">
      <formula>$A16="Overcrossing"</formula>
    </cfRule>
    <cfRule type="expression" dxfId="7333" priority="2854">
      <formula>$A16="Overpass"</formula>
    </cfRule>
    <cfRule type="expression" dxfId="7332" priority="2855">
      <formula>$A16="Station"</formula>
    </cfRule>
    <cfRule type="expression" dxfId="7331" priority="2856">
      <formula>$A16="Overlap between sections"</formula>
    </cfRule>
  </conditionalFormatting>
  <conditionalFormatting sqref="AF16:AF19">
    <cfRule type="expression" dxfId="7330" priority="2843">
      <formula>$M16="NON DEFINED"</formula>
    </cfRule>
    <cfRule type="expression" dxfId="7329" priority="2844">
      <formula>$AZ16="N.D."</formula>
    </cfRule>
    <cfRule type="expression" dxfId="7328" priority="2845">
      <formula>$AY16="N.D."</formula>
    </cfRule>
  </conditionalFormatting>
  <conditionalFormatting sqref="AF16:AF19">
    <cfRule type="expression" dxfId="7327" priority="2832">
      <formula>$A16="Overhead Cable"</formula>
    </cfRule>
    <cfRule type="expression" dxfId="7326" priority="2833">
      <formula>$A16="Level Crossing"</formula>
    </cfRule>
    <cfRule type="expression" dxfId="7325" priority="2834">
      <formula>$A16="Neutral Section"</formula>
    </cfRule>
    <cfRule type="expression" dxfId="7324" priority="2835">
      <formula>$A16="Tunnel"</formula>
    </cfRule>
    <cfRule type="expression" dxfId="7323" priority="2836">
      <formula>$A16="Bridge"</formula>
    </cfRule>
    <cfRule type="expression" dxfId="7322" priority="2837">
      <formula>$A16="Drainage Works"</formula>
    </cfRule>
    <cfRule type="expression" dxfId="7321" priority="2838">
      <formula>$A16="Underpass"</formula>
    </cfRule>
    <cfRule type="expression" dxfId="7320" priority="2839">
      <formula>$A16="Overcrossing"</formula>
    </cfRule>
    <cfRule type="expression" dxfId="7319" priority="2840">
      <formula>$A16="Overpass"</formula>
    </cfRule>
    <cfRule type="expression" dxfId="7318" priority="2841">
      <formula>$A16="Station"</formula>
    </cfRule>
    <cfRule type="expression" dxfId="7317" priority="2842">
      <formula>$A16="Overlap between sections"</formula>
    </cfRule>
  </conditionalFormatting>
  <conditionalFormatting sqref="AH16:AH19">
    <cfRule type="expression" dxfId="7316" priority="2829">
      <formula>$M16="NON DEFINED"</formula>
    </cfRule>
    <cfRule type="expression" dxfId="7315" priority="2830">
      <formula>$AZ16="N.D."</formula>
    </cfRule>
    <cfRule type="expression" dxfId="7314" priority="2831">
      <formula>$AY16="N.D."</formula>
    </cfRule>
  </conditionalFormatting>
  <conditionalFormatting sqref="AH16:AH19">
    <cfRule type="expression" dxfId="7313" priority="2818">
      <formula>$A16="Overhead Cable"</formula>
    </cfRule>
    <cfRule type="expression" dxfId="7312" priority="2819">
      <formula>$A16="Level Crossing"</formula>
    </cfRule>
    <cfRule type="expression" dxfId="7311" priority="2820">
      <formula>$A16="Neutral Section"</formula>
    </cfRule>
    <cfRule type="expression" dxfId="7310" priority="2821">
      <formula>$A16="Tunnel"</formula>
    </cfRule>
    <cfRule type="expression" dxfId="7309" priority="2822">
      <formula>$A16="Bridge"</formula>
    </cfRule>
    <cfRule type="expression" dxfId="7308" priority="2823">
      <formula>$A16="Drainage Works"</formula>
    </cfRule>
    <cfRule type="expression" dxfId="7307" priority="2824">
      <formula>$A16="Underpass"</formula>
    </cfRule>
    <cfRule type="expression" dxfId="7306" priority="2825">
      <formula>$A16="Overcrossing"</formula>
    </cfRule>
    <cfRule type="expression" dxfId="7305" priority="2826">
      <formula>$A16="Overpass"</formula>
    </cfRule>
    <cfRule type="expression" dxfId="7304" priority="2827">
      <formula>$A16="Station"</formula>
    </cfRule>
    <cfRule type="expression" dxfId="7303" priority="2828">
      <formula>$A16="Overlap between sections"</formula>
    </cfRule>
  </conditionalFormatting>
  <conditionalFormatting sqref="AI16:AI19">
    <cfRule type="expression" dxfId="7302" priority="2815">
      <formula>$M16="NON DEFINED"</formula>
    </cfRule>
    <cfRule type="expression" dxfId="7301" priority="2816">
      <formula>$AZ16="N.D."</formula>
    </cfRule>
    <cfRule type="expression" dxfId="7300" priority="2817">
      <formula>$AY16="N.D."</formula>
    </cfRule>
  </conditionalFormatting>
  <conditionalFormatting sqref="AI16:AI19">
    <cfRule type="expression" dxfId="7299" priority="2804">
      <formula>$A16="Overhead Cable"</formula>
    </cfRule>
    <cfRule type="expression" dxfId="7298" priority="2805">
      <formula>$A16="Level Crossing"</formula>
    </cfRule>
    <cfRule type="expression" dxfId="7297" priority="2806">
      <formula>$A16="Neutral Section"</formula>
    </cfRule>
    <cfRule type="expression" dxfId="7296" priority="2807">
      <formula>$A16="Tunnel"</formula>
    </cfRule>
    <cfRule type="expression" dxfId="7295" priority="2808">
      <formula>$A16="Bridge"</formula>
    </cfRule>
    <cfRule type="expression" dxfId="7294" priority="2809">
      <formula>$A16="Drainage Works"</formula>
    </cfRule>
    <cfRule type="expression" dxfId="7293" priority="2810">
      <formula>$A16="Underpass"</formula>
    </cfRule>
    <cfRule type="expression" dxfId="7292" priority="2811">
      <formula>$A16="Overcrossing"</formula>
    </cfRule>
    <cfRule type="expression" dxfId="7291" priority="2812">
      <formula>$A16="Overpass"</formula>
    </cfRule>
    <cfRule type="expression" dxfId="7290" priority="2813">
      <formula>$A16="Station"</formula>
    </cfRule>
    <cfRule type="expression" dxfId="7289" priority="2814">
      <formula>$A16="Overlap between sections"</formula>
    </cfRule>
  </conditionalFormatting>
  <conditionalFormatting sqref="R16:R19">
    <cfRule type="expression" dxfId="7288" priority="2801">
      <formula>$M16="NON DEFINED"</formula>
    </cfRule>
    <cfRule type="expression" dxfId="7287" priority="2802">
      <formula>$AZ16="N.D."</formula>
    </cfRule>
    <cfRule type="expression" dxfId="7286" priority="2803">
      <formula>$AY16="N.D."</formula>
    </cfRule>
  </conditionalFormatting>
  <conditionalFormatting sqref="R16:R19">
    <cfRule type="expression" dxfId="7285" priority="2790">
      <formula>$A16="Overhead Cable"</formula>
    </cfRule>
    <cfRule type="expression" dxfId="7284" priority="2791">
      <formula>$A16="Level Crossing"</formula>
    </cfRule>
    <cfRule type="expression" dxfId="7283" priority="2792">
      <formula>$A16="Neutral Section"</formula>
    </cfRule>
    <cfRule type="expression" dxfId="7282" priority="2793">
      <formula>$A16="Tunnel"</formula>
    </cfRule>
    <cfRule type="expression" dxfId="7281" priority="2794">
      <formula>$A16="Bridge"</formula>
    </cfRule>
    <cfRule type="expression" dxfId="7280" priority="2795">
      <formula>$A16="Drainage Works"</formula>
    </cfRule>
    <cfRule type="expression" dxfId="7279" priority="2796">
      <formula>$A16="Underpass"</formula>
    </cfRule>
    <cfRule type="expression" dxfId="7278" priority="2797">
      <formula>$A16="Overcrossing"</formula>
    </cfRule>
    <cfRule type="expression" dxfId="7277" priority="2798">
      <formula>$A16="Overpass"</formula>
    </cfRule>
    <cfRule type="expression" dxfId="7276" priority="2799">
      <formula>$A16="Station"</formula>
    </cfRule>
    <cfRule type="expression" dxfId="7275" priority="2800">
      <formula>$A16="Overlap between sections"</formula>
    </cfRule>
  </conditionalFormatting>
  <conditionalFormatting sqref="S16:S19">
    <cfRule type="expression" dxfId="7274" priority="2787">
      <formula>$M16="NON DEFINED"</formula>
    </cfRule>
    <cfRule type="expression" dxfId="7273" priority="2788">
      <formula>$AZ16="N.D."</formula>
    </cfRule>
    <cfRule type="expression" dxfId="7272" priority="2789">
      <formula>$AY16="N.D."</formula>
    </cfRule>
  </conditionalFormatting>
  <conditionalFormatting sqref="S16:S19">
    <cfRule type="expression" dxfId="7271" priority="2776">
      <formula>$A16="Overhead Cable"</formula>
    </cfRule>
    <cfRule type="expression" dxfId="7270" priority="2777">
      <formula>$A16="Level Crossing"</formula>
    </cfRule>
    <cfRule type="expression" dxfId="7269" priority="2778">
      <formula>$A16="Neutral Section"</formula>
    </cfRule>
    <cfRule type="expression" dxfId="7268" priority="2779">
      <formula>$A16="Tunnel"</formula>
    </cfRule>
    <cfRule type="expression" dxfId="7267" priority="2780">
      <formula>$A16="Bridge"</formula>
    </cfRule>
    <cfRule type="expression" dxfId="7266" priority="2781">
      <formula>$A16="Drainage Works"</formula>
    </cfRule>
    <cfRule type="expression" dxfId="7265" priority="2782">
      <formula>$A16="Underpass"</formula>
    </cfRule>
    <cfRule type="expression" dxfId="7264" priority="2783">
      <formula>$A16="Overcrossing"</formula>
    </cfRule>
    <cfRule type="expression" dxfId="7263" priority="2784">
      <formula>$A16="Overpass"</formula>
    </cfRule>
    <cfRule type="expression" dxfId="7262" priority="2785">
      <formula>$A16="Station"</formula>
    </cfRule>
    <cfRule type="expression" dxfId="7261" priority="2786">
      <formula>$A16="Overlap between sections"</formula>
    </cfRule>
  </conditionalFormatting>
  <conditionalFormatting sqref="W18 W16">
    <cfRule type="expression" dxfId="7260" priority="2773">
      <formula>$M16="NON DEFINED"</formula>
    </cfRule>
    <cfRule type="expression" dxfId="7259" priority="2774">
      <formula>$AZ16="N.D."</formula>
    </cfRule>
    <cfRule type="expression" dxfId="7258" priority="2775">
      <formula>$AY16="N.D."</formula>
    </cfRule>
  </conditionalFormatting>
  <conditionalFormatting sqref="W18 W16">
    <cfRule type="expression" dxfId="7257" priority="2762">
      <formula>$A16="Overhead Cable"</formula>
    </cfRule>
    <cfRule type="expression" dxfId="7256" priority="2763">
      <formula>$A16="Level Crossing"</formula>
    </cfRule>
    <cfRule type="expression" dxfId="7255" priority="2764">
      <formula>$A16="Neutral Section"</formula>
    </cfRule>
    <cfRule type="expression" dxfId="7254" priority="2765">
      <formula>$A16="Tunnel"</formula>
    </cfRule>
    <cfRule type="expression" dxfId="7253" priority="2766">
      <formula>$A16="Bridge"</formula>
    </cfRule>
    <cfRule type="expression" dxfId="7252" priority="2767">
      <formula>$A16="Drainage Works"</formula>
    </cfRule>
    <cfRule type="expression" dxfId="7251" priority="2768">
      <formula>$A16="Underpass"</formula>
    </cfRule>
    <cfRule type="expression" dxfId="7250" priority="2769">
      <formula>$A16="Overcrossing"</formula>
    </cfRule>
    <cfRule type="expression" dxfId="7249" priority="2770">
      <formula>$A16="Overpass"</formula>
    </cfRule>
    <cfRule type="expression" dxfId="7248" priority="2771">
      <formula>$A16="Station"</formula>
    </cfRule>
    <cfRule type="expression" dxfId="7247" priority="2772">
      <formula>$A16="Overlap between sections"</formula>
    </cfRule>
  </conditionalFormatting>
  <conditionalFormatting sqref="X16:X19">
    <cfRule type="expression" dxfId="7246" priority="2759">
      <formula>$M16="NON DEFINED"</formula>
    </cfRule>
    <cfRule type="expression" dxfId="7245" priority="2760">
      <formula>$AZ16="N.D."</formula>
    </cfRule>
    <cfRule type="expression" dxfId="7244" priority="2761">
      <formula>$AY16="N.D."</formula>
    </cfRule>
  </conditionalFormatting>
  <conditionalFormatting sqref="X16:X19">
    <cfRule type="expression" dxfId="7243" priority="2748">
      <formula>$A16="Overhead Cable"</formula>
    </cfRule>
    <cfRule type="expression" dxfId="7242" priority="2749">
      <formula>$A16="Level Crossing"</formula>
    </cfRule>
    <cfRule type="expression" dxfId="7241" priority="2750">
      <formula>$A16="Neutral Section"</formula>
    </cfRule>
    <cfRule type="expression" dxfId="7240" priority="2751">
      <formula>$A16="Tunnel"</formula>
    </cfRule>
    <cfRule type="expression" dxfId="7239" priority="2752">
      <formula>$A16="Bridge"</formula>
    </cfRule>
    <cfRule type="expression" dxfId="7238" priority="2753">
      <formula>$A16="Drainage Works"</formula>
    </cfRule>
    <cfRule type="expression" dxfId="7237" priority="2754">
      <formula>$A16="Underpass"</formula>
    </cfRule>
    <cfRule type="expression" dxfId="7236" priority="2755">
      <formula>$A16="Overcrossing"</formula>
    </cfRule>
    <cfRule type="expression" dxfId="7235" priority="2756">
      <formula>$A16="Overpass"</formula>
    </cfRule>
    <cfRule type="expression" dxfId="7234" priority="2757">
      <formula>$A16="Station"</formula>
    </cfRule>
    <cfRule type="expression" dxfId="7233" priority="2758">
      <formula>$A16="Overlap between sections"</formula>
    </cfRule>
  </conditionalFormatting>
  <conditionalFormatting sqref="Y16:Y19">
    <cfRule type="expression" dxfId="7232" priority="2745">
      <formula>$M16="NON DEFINED"</formula>
    </cfRule>
    <cfRule type="expression" dxfId="7231" priority="2746">
      <formula>$AZ16="N.D."</formula>
    </cfRule>
    <cfRule type="expression" dxfId="7230" priority="2747">
      <formula>$AY16="N.D."</formula>
    </cfRule>
  </conditionalFormatting>
  <conditionalFormatting sqref="Y16:Y19">
    <cfRule type="expression" dxfId="7229" priority="2734">
      <formula>$A16="Overhead Cable"</formula>
    </cfRule>
    <cfRule type="expression" dxfId="7228" priority="2735">
      <formula>$A16="Level Crossing"</formula>
    </cfRule>
    <cfRule type="expression" dxfId="7227" priority="2736">
      <formula>$A16="Neutral Section"</formula>
    </cfRule>
    <cfRule type="expression" dxfId="7226" priority="2737">
      <formula>$A16="Tunnel"</formula>
    </cfRule>
    <cfRule type="expression" dxfId="7225" priority="2738">
      <formula>$A16="Bridge"</formula>
    </cfRule>
    <cfRule type="expression" dxfId="7224" priority="2739">
      <formula>$A16="Drainage Works"</formula>
    </cfRule>
    <cfRule type="expression" dxfId="7223" priority="2740">
      <formula>$A16="Underpass"</formula>
    </cfRule>
    <cfRule type="expression" dxfId="7222" priority="2741">
      <formula>$A16="Overcrossing"</formula>
    </cfRule>
    <cfRule type="expression" dxfId="7221" priority="2742">
      <formula>$A16="Overpass"</formula>
    </cfRule>
    <cfRule type="expression" dxfId="7220" priority="2743">
      <formula>$A16="Station"</formula>
    </cfRule>
    <cfRule type="expression" dxfId="7219" priority="2744">
      <formula>$A16="Overlap between sections"</formula>
    </cfRule>
  </conditionalFormatting>
  <conditionalFormatting sqref="Z16:Z19">
    <cfRule type="expression" dxfId="7218" priority="2731">
      <formula>$M16="NON DEFINED"</formula>
    </cfRule>
    <cfRule type="expression" dxfId="7217" priority="2732">
      <formula>$AZ16="N.D."</formula>
    </cfRule>
    <cfRule type="expression" dxfId="7216" priority="2733">
      <formula>$AY16="N.D."</formula>
    </cfRule>
  </conditionalFormatting>
  <conditionalFormatting sqref="Z16:Z19">
    <cfRule type="expression" dxfId="7215" priority="2720">
      <formula>$A16="Overhead Cable"</formula>
    </cfRule>
    <cfRule type="expression" dxfId="7214" priority="2721">
      <formula>$A16="Level Crossing"</formula>
    </cfRule>
    <cfRule type="expression" dxfId="7213" priority="2722">
      <formula>$A16="Neutral Section"</formula>
    </cfRule>
    <cfRule type="expression" dxfId="7212" priority="2723">
      <formula>$A16="Tunnel"</formula>
    </cfRule>
    <cfRule type="expression" dxfId="7211" priority="2724">
      <formula>$A16="Bridge"</formula>
    </cfRule>
    <cfRule type="expression" dxfId="7210" priority="2725">
      <formula>$A16="Drainage Works"</formula>
    </cfRule>
    <cfRule type="expression" dxfId="7209" priority="2726">
      <formula>$A16="Underpass"</formula>
    </cfRule>
    <cfRule type="expression" dxfId="7208" priority="2727">
      <formula>$A16="Overcrossing"</formula>
    </cfRule>
    <cfRule type="expression" dxfId="7207" priority="2728">
      <formula>$A16="Overpass"</formula>
    </cfRule>
    <cfRule type="expression" dxfId="7206" priority="2729">
      <formula>$A16="Station"</formula>
    </cfRule>
    <cfRule type="expression" dxfId="7205" priority="2730">
      <formula>$A16="Overlap between sections"</formula>
    </cfRule>
  </conditionalFormatting>
  <conditionalFormatting sqref="AA16:AA19">
    <cfRule type="expression" dxfId="7204" priority="2717">
      <formula>$M16="NON DEFINED"</formula>
    </cfRule>
    <cfRule type="expression" dxfId="7203" priority="2718">
      <formula>$AZ16="N.D."</formula>
    </cfRule>
    <cfRule type="expression" dxfId="7202" priority="2719">
      <formula>$AY16="N.D."</formula>
    </cfRule>
  </conditionalFormatting>
  <conditionalFormatting sqref="AA16:AA19">
    <cfRule type="expression" dxfId="7201" priority="2706">
      <formula>$A16="Overhead Cable"</formula>
    </cfRule>
    <cfRule type="expression" dxfId="7200" priority="2707">
      <formula>$A16="Level Crossing"</formula>
    </cfRule>
    <cfRule type="expression" dxfId="7199" priority="2708">
      <formula>$A16="Neutral Section"</formula>
    </cfRule>
    <cfRule type="expression" dxfId="7198" priority="2709">
      <formula>$A16="Tunnel"</formula>
    </cfRule>
    <cfRule type="expression" dxfId="7197" priority="2710">
      <formula>$A16="Bridge"</formula>
    </cfRule>
    <cfRule type="expression" dxfId="7196" priority="2711">
      <formula>$A16="Drainage Works"</formula>
    </cfRule>
    <cfRule type="expression" dxfId="7195" priority="2712">
      <formula>$A16="Underpass"</formula>
    </cfRule>
    <cfRule type="expression" dxfId="7194" priority="2713">
      <formula>$A16="Overcrossing"</formula>
    </cfRule>
    <cfRule type="expression" dxfId="7193" priority="2714">
      <formula>$A16="Overpass"</formula>
    </cfRule>
    <cfRule type="expression" dxfId="7192" priority="2715">
      <formula>$A16="Station"</formula>
    </cfRule>
    <cfRule type="expression" dxfId="7191" priority="2716">
      <formula>$A16="Overlap between sections"</formula>
    </cfRule>
  </conditionalFormatting>
  <conditionalFormatting sqref="AB16:AB19">
    <cfRule type="expression" dxfId="7190" priority="2703">
      <formula>$M16="NON DEFINED"</formula>
    </cfRule>
    <cfRule type="expression" dxfId="7189" priority="2704">
      <formula>$AZ16="N.D."</formula>
    </cfRule>
    <cfRule type="expression" dxfId="7188" priority="2705">
      <formula>$AY16="N.D."</formula>
    </cfRule>
  </conditionalFormatting>
  <conditionalFormatting sqref="AB16:AB19">
    <cfRule type="expression" dxfId="7187" priority="2692">
      <formula>$A16="Overhead Cable"</formula>
    </cfRule>
    <cfRule type="expression" dxfId="7186" priority="2693">
      <formula>$A16="Level Crossing"</formula>
    </cfRule>
    <cfRule type="expression" dxfId="7185" priority="2694">
      <formula>$A16="Neutral Section"</formula>
    </cfRule>
    <cfRule type="expression" dxfId="7184" priority="2695">
      <formula>$A16="Tunnel"</formula>
    </cfRule>
    <cfRule type="expression" dxfId="7183" priority="2696">
      <formula>$A16="Bridge"</formula>
    </cfRule>
    <cfRule type="expression" dxfId="7182" priority="2697">
      <formula>$A16="Drainage Works"</formula>
    </cfRule>
    <cfRule type="expression" dxfId="7181" priority="2698">
      <formula>$A16="Underpass"</formula>
    </cfRule>
    <cfRule type="expression" dxfId="7180" priority="2699">
      <formula>$A16="Overcrossing"</formula>
    </cfRule>
    <cfRule type="expression" dxfId="7179" priority="2700">
      <formula>$A16="Overpass"</formula>
    </cfRule>
    <cfRule type="expression" dxfId="7178" priority="2701">
      <formula>$A16="Station"</formula>
    </cfRule>
    <cfRule type="expression" dxfId="7177" priority="2702">
      <formula>$A16="Overlap between sections"</formula>
    </cfRule>
  </conditionalFormatting>
  <conditionalFormatting sqref="BA16:BC19">
    <cfRule type="expression" dxfId="7176" priority="2690">
      <formula>$BE16="A"</formula>
    </cfRule>
    <cfRule type="expression" dxfId="7175" priority="2691">
      <formula>$BE16="R"</formula>
    </cfRule>
  </conditionalFormatting>
  <conditionalFormatting sqref="BC16:BC19">
    <cfRule type="expression" dxfId="7174" priority="2688">
      <formula>$M16="U.S. N.D."</formula>
    </cfRule>
  </conditionalFormatting>
  <conditionalFormatting sqref="BB16:BB19">
    <cfRule type="expression" dxfId="7173" priority="2686">
      <formula>$AZ16="N.D."</formula>
    </cfRule>
  </conditionalFormatting>
  <conditionalFormatting sqref="BA16:BA19">
    <cfRule type="expression" dxfId="7172" priority="2687">
      <formula>$AY16="N.D."</formula>
    </cfRule>
  </conditionalFormatting>
  <conditionalFormatting sqref="BD18">
    <cfRule type="containsText" dxfId="7171" priority="2685" operator="containsText" text="Poner a mano">
      <formula>NOT(ISERROR(SEARCH("Poner a mano",BD18)))</formula>
    </cfRule>
  </conditionalFormatting>
  <conditionalFormatting sqref="J21:J22">
    <cfRule type="expression" dxfId="7170" priority="2674">
      <formula>$A21="Overhead Cable"</formula>
    </cfRule>
    <cfRule type="expression" dxfId="7169" priority="2675">
      <formula>$A21="Level Crossing"</formula>
    </cfRule>
    <cfRule type="expression" dxfId="7168" priority="2676">
      <formula>$A21="Neutral Section"</formula>
    </cfRule>
    <cfRule type="expression" dxfId="7167" priority="2677">
      <formula>$A21="Tunnel"</formula>
    </cfRule>
    <cfRule type="expression" dxfId="7166" priority="2678">
      <formula>$A21="Bridge"</formula>
    </cfRule>
    <cfRule type="expression" dxfId="7165" priority="2679">
      <formula>$A21="Drainage Works"</formula>
    </cfRule>
    <cfRule type="expression" dxfId="7164" priority="2680">
      <formula>$A21="Underpass"</formula>
    </cfRule>
    <cfRule type="expression" dxfId="7163" priority="2681">
      <formula>$A21="Overcrossing"</formula>
    </cfRule>
    <cfRule type="expression" dxfId="7162" priority="2682">
      <formula>$A21="Overpass"</formula>
    </cfRule>
    <cfRule type="expression" dxfId="7161" priority="2683">
      <formula>$A21="Station"</formula>
    </cfRule>
    <cfRule type="expression" dxfId="7160" priority="2684">
      <formula>$A21="Overlap between sections"</formula>
    </cfRule>
  </conditionalFormatting>
  <conditionalFormatting sqref="C32:AZ32 C40:AZ40 C39:V39 X39:AJ39 C37:V37 X37:AJ37 C36:AZ36 C35:K35 X35:AJ35 C34:G34 C33:K33 X33:AJ33 C31:K31 X31:AJ31 AN31:AZ31 AN33:AZ33 AN35:AZ35 AL39:AZ39 AL37:AZ37 I34:AZ34 M31:V31 M33:V33 M35:V35 C38:AZ38">
    <cfRule type="expression" dxfId="7159" priority="2671">
      <formula>$M31="NON DEFINED"</formula>
    </cfRule>
    <cfRule type="expression" dxfId="7158" priority="2672">
      <formula>$AZ31="N.D."</formula>
    </cfRule>
    <cfRule type="expression" dxfId="7157" priority="2673">
      <formula>$AY31="N.D."</formula>
    </cfRule>
  </conditionalFormatting>
  <conditionalFormatting sqref="AG31:AG40 A31:A40 AY31:AZ40 AM32:AS32 G31:H33 J31:J40 G35:H40 G34 C31:E40 AN31:AS31 AM34:AS34 AN33:AS33 AM36:AS40 AN35:AS35">
    <cfRule type="expression" dxfId="7156" priority="2660">
      <formula>$A31="Overhead Cable"</formula>
    </cfRule>
    <cfRule type="expression" dxfId="7155" priority="2661">
      <formula>$A31="Level Crossing"</formula>
    </cfRule>
    <cfRule type="expression" dxfId="7154" priority="2662">
      <formula>$A31="Neutral Section"</formula>
    </cfRule>
    <cfRule type="expression" dxfId="7153" priority="2663">
      <formula>$A31="Tunnel"</formula>
    </cfRule>
    <cfRule type="expression" dxfId="7152" priority="2664">
      <formula>$A31="Bridge"</formula>
    </cfRule>
    <cfRule type="expression" dxfId="7151" priority="2665">
      <formula>$A31="Drainage Works"</formula>
    </cfRule>
    <cfRule type="expression" dxfId="7150" priority="2666">
      <formula>$A31="Underpass"</formula>
    </cfRule>
    <cfRule type="expression" dxfId="7149" priority="2667">
      <formula>$A31="Overcrossing"</formula>
    </cfRule>
    <cfRule type="expression" dxfId="7148" priority="2668">
      <formula>$A31="Overpass"</formula>
    </cfRule>
    <cfRule type="expression" dxfId="7147" priority="2669">
      <formula>$A31="Station"</formula>
    </cfRule>
    <cfRule type="expression" dxfId="7146" priority="2670">
      <formula>$A31="Overlap between sections"</formula>
    </cfRule>
  </conditionalFormatting>
  <conditionalFormatting sqref="AN31:AP40">
    <cfRule type="cellIs" dxfId="7145" priority="2659" operator="notEqual">
      <formula>5.5</formula>
    </cfRule>
  </conditionalFormatting>
  <conditionalFormatting sqref="I31:I40">
    <cfRule type="expression" dxfId="7144" priority="2647">
      <formula>$A31="Overhead Cable"</formula>
    </cfRule>
    <cfRule type="expression" dxfId="7143" priority="2648">
      <formula>$A31="Level Crossing"</formula>
    </cfRule>
    <cfRule type="expression" dxfId="7142" priority="2649">
      <formula>$A31="Neutral Section"</formula>
    </cfRule>
    <cfRule type="expression" dxfId="7141" priority="2650">
      <formula>$A31="Tunnel"</formula>
    </cfRule>
    <cfRule type="expression" dxfId="7140" priority="2651">
      <formula>$A31="Bridge"</formula>
    </cfRule>
    <cfRule type="expression" dxfId="7139" priority="2652">
      <formula>$A31="Drainage Works"</formula>
    </cfRule>
    <cfRule type="expression" dxfId="7138" priority="2653">
      <formula>$A31="Underpass"</formula>
    </cfRule>
    <cfRule type="expression" dxfId="7137" priority="2654">
      <formula>$A31="Overcrossing"</formula>
    </cfRule>
    <cfRule type="expression" dxfId="7136" priority="2655">
      <formula>$A31="Overpass"</formula>
    </cfRule>
    <cfRule type="expression" dxfId="7135" priority="2656">
      <formula>$A31="Station"</formula>
    </cfRule>
    <cfRule type="expression" dxfId="7134" priority="2657">
      <formula>$A31="Overlap between sections"</formula>
    </cfRule>
  </conditionalFormatting>
  <conditionalFormatting sqref="K31:K40">
    <cfRule type="expression" dxfId="7133" priority="2636">
      <formula>$A31="Overhead Cable"</formula>
    </cfRule>
    <cfRule type="expression" dxfId="7132" priority="2637">
      <formula>$A31="Level Crossing"</formula>
    </cfRule>
    <cfRule type="expression" dxfId="7131" priority="2638">
      <formula>$A31="Neutral Section"</formula>
    </cfRule>
    <cfRule type="expression" dxfId="7130" priority="2639">
      <formula>$A31="Tunnel"</formula>
    </cfRule>
    <cfRule type="expression" dxfId="7129" priority="2640">
      <formula>$A31="Bridge"</formula>
    </cfRule>
    <cfRule type="expression" dxfId="7128" priority="2641">
      <formula>$A31="Drainage Works"</formula>
    </cfRule>
    <cfRule type="expression" dxfId="7127" priority="2642">
      <formula>$A31="Underpass"</formula>
    </cfRule>
    <cfRule type="expression" dxfId="7126" priority="2643">
      <formula>$A31="Overcrossing"</formula>
    </cfRule>
    <cfRule type="expression" dxfId="7125" priority="2644">
      <formula>$A31="Overpass"</formula>
    </cfRule>
    <cfRule type="expression" dxfId="7124" priority="2645">
      <formula>$A31="Station"</formula>
    </cfRule>
    <cfRule type="expression" dxfId="7123" priority="2646">
      <formula>$A31="Overlap between sections"</formula>
    </cfRule>
  </conditionalFormatting>
  <conditionalFormatting sqref="L32 L34 L36:L40">
    <cfRule type="expression" dxfId="7122" priority="2625">
      <formula>$A32="Overhead Cable"</formula>
    </cfRule>
    <cfRule type="expression" dxfId="7121" priority="2626">
      <formula>$A32="Level Crossing"</formula>
    </cfRule>
    <cfRule type="expression" dxfId="7120" priority="2627">
      <formula>$A32="Neutral Section"</formula>
    </cfRule>
    <cfRule type="expression" dxfId="7119" priority="2628">
      <formula>$A32="Tunnel"</formula>
    </cfRule>
    <cfRule type="expression" dxfId="7118" priority="2629">
      <formula>$A32="Bridge"</formula>
    </cfRule>
    <cfRule type="expression" dxfId="7117" priority="2630">
      <formula>$A32="Drainage Works"</formula>
    </cfRule>
    <cfRule type="expression" dxfId="7116" priority="2631">
      <formula>$A32="Underpass"</formula>
    </cfRule>
    <cfRule type="expression" dxfId="7115" priority="2632">
      <formula>$A32="Overcrossing"</formula>
    </cfRule>
    <cfRule type="expression" dxfId="7114" priority="2633">
      <formula>$A32="Overpass"</formula>
    </cfRule>
    <cfRule type="expression" dxfId="7113" priority="2634">
      <formula>$A32="Station"</formula>
    </cfRule>
    <cfRule type="expression" dxfId="7112" priority="2635">
      <formula>$A32="Overlap between sections"</formula>
    </cfRule>
  </conditionalFormatting>
  <conditionalFormatting sqref="M31:M40">
    <cfRule type="expression" dxfId="7111" priority="2614">
      <formula>$A31="Overhead Cable"</formula>
    </cfRule>
    <cfRule type="expression" dxfId="7110" priority="2615">
      <formula>$A31="Level Crossing"</formula>
    </cfRule>
    <cfRule type="expression" dxfId="7109" priority="2616">
      <formula>$A31="Neutral Section"</formula>
    </cfRule>
    <cfRule type="expression" dxfId="7108" priority="2617">
      <formula>$A31="Tunnel"</formula>
    </cfRule>
    <cfRule type="expression" dxfId="7107" priority="2618">
      <formula>$A31="Bridge"</formula>
    </cfRule>
    <cfRule type="expression" dxfId="7106" priority="2619">
      <formula>$A31="Drainage Works"</formula>
    </cfRule>
    <cfRule type="expression" dxfId="7105" priority="2620">
      <formula>$A31="Underpass"</formula>
    </cfRule>
    <cfRule type="expression" dxfId="7104" priority="2621">
      <formula>$A31="Overcrossing"</formula>
    </cfRule>
    <cfRule type="expression" dxfId="7103" priority="2622">
      <formula>$A31="Overpass"</formula>
    </cfRule>
    <cfRule type="expression" dxfId="7102" priority="2623">
      <formula>$A31="Station"</formula>
    </cfRule>
    <cfRule type="expression" dxfId="7101" priority="2624">
      <formula>$A31="Overlap between sections"</formula>
    </cfRule>
  </conditionalFormatting>
  <conditionalFormatting sqref="N31:N40">
    <cfRule type="expression" dxfId="7100" priority="2603">
      <formula>$A31="Overhead Cable"</formula>
    </cfRule>
    <cfRule type="expression" dxfId="7099" priority="2604">
      <formula>$A31="Level Crossing"</formula>
    </cfRule>
    <cfRule type="expression" dxfId="7098" priority="2605">
      <formula>$A31="Neutral Section"</formula>
    </cfRule>
    <cfRule type="expression" dxfId="7097" priority="2606">
      <formula>$A31="Tunnel"</formula>
    </cfRule>
    <cfRule type="expression" dxfId="7096" priority="2607">
      <formula>$A31="Bridge"</formula>
    </cfRule>
    <cfRule type="expression" dxfId="7095" priority="2608">
      <formula>$A31="Drainage Works"</formula>
    </cfRule>
    <cfRule type="expression" dxfId="7094" priority="2609">
      <formula>$A31="Underpass"</formula>
    </cfRule>
    <cfRule type="expression" dxfId="7093" priority="2610">
      <formula>$A31="Overcrossing"</formula>
    </cfRule>
    <cfRule type="expression" dxfId="7092" priority="2611">
      <formula>$A31="Overpass"</formula>
    </cfRule>
    <cfRule type="expression" dxfId="7091" priority="2612">
      <formula>$A31="Station"</formula>
    </cfRule>
    <cfRule type="expression" dxfId="7090" priority="2613">
      <formula>$A31="Overlap between sections"</formula>
    </cfRule>
  </conditionalFormatting>
  <conditionalFormatting sqref="O31:O40">
    <cfRule type="expression" dxfId="7089" priority="2592">
      <formula>$A31="Overhead Cable"</formula>
    </cfRule>
    <cfRule type="expression" dxfId="7088" priority="2593">
      <formula>$A31="Level Crossing"</formula>
    </cfRule>
    <cfRule type="expression" dxfId="7087" priority="2594">
      <formula>$A31="Neutral Section"</formula>
    </cfRule>
    <cfRule type="expression" dxfId="7086" priority="2595">
      <formula>$A31="Tunnel"</formula>
    </cfRule>
    <cfRule type="expression" dxfId="7085" priority="2596">
      <formula>$A31="Bridge"</formula>
    </cfRule>
    <cfRule type="expression" dxfId="7084" priority="2597">
      <formula>$A31="Drainage Works"</formula>
    </cfRule>
    <cfRule type="expression" dxfId="7083" priority="2598">
      <formula>$A31="Underpass"</formula>
    </cfRule>
    <cfRule type="expression" dxfId="7082" priority="2599">
      <formula>$A31="Overcrossing"</formula>
    </cfRule>
    <cfRule type="expression" dxfId="7081" priority="2600">
      <formula>$A31="Overpass"</formula>
    </cfRule>
    <cfRule type="expression" dxfId="7080" priority="2601">
      <formula>$A31="Station"</formula>
    </cfRule>
    <cfRule type="expression" dxfId="7079" priority="2602">
      <formula>$A31="Overlap between sections"</formula>
    </cfRule>
  </conditionalFormatting>
  <conditionalFormatting sqref="P31:P40">
    <cfRule type="expression" dxfId="7078" priority="2581">
      <formula>$A31="Overhead Cable"</formula>
    </cfRule>
    <cfRule type="expression" dxfId="7077" priority="2582">
      <formula>$A31="Level Crossing"</formula>
    </cfRule>
    <cfRule type="expression" dxfId="7076" priority="2583">
      <formula>$A31="Neutral Section"</formula>
    </cfRule>
    <cfRule type="expression" dxfId="7075" priority="2584">
      <formula>$A31="Tunnel"</formula>
    </cfRule>
    <cfRule type="expression" dxfId="7074" priority="2585">
      <formula>$A31="Bridge"</formula>
    </cfRule>
    <cfRule type="expression" dxfId="7073" priority="2586">
      <formula>$A31="Drainage Works"</formula>
    </cfRule>
    <cfRule type="expression" dxfId="7072" priority="2587">
      <formula>$A31="Underpass"</formula>
    </cfRule>
    <cfRule type="expression" dxfId="7071" priority="2588">
      <formula>$A31="Overcrossing"</formula>
    </cfRule>
    <cfRule type="expression" dxfId="7070" priority="2589">
      <formula>$A31="Overpass"</formula>
    </cfRule>
    <cfRule type="expression" dxfId="7069" priority="2590">
      <formula>$A31="Station"</formula>
    </cfRule>
    <cfRule type="expression" dxfId="7068" priority="2591">
      <formula>$A31="Overlap between sections"</formula>
    </cfRule>
  </conditionalFormatting>
  <conditionalFormatting sqref="AC31:AC40">
    <cfRule type="expression" dxfId="7067" priority="2570">
      <formula>$A31="Overhead Cable"</formula>
    </cfRule>
    <cfRule type="expression" dxfId="7066" priority="2571">
      <formula>$A31="Level Crossing"</formula>
    </cfRule>
    <cfRule type="expression" dxfId="7065" priority="2572">
      <formula>$A31="Neutral Section"</formula>
    </cfRule>
    <cfRule type="expression" dxfId="7064" priority="2573">
      <formula>$A31="Tunnel"</formula>
    </cfRule>
    <cfRule type="expression" dxfId="7063" priority="2574">
      <formula>$A31="Bridge"</formula>
    </cfRule>
    <cfRule type="expression" dxfId="7062" priority="2575">
      <formula>$A31="Drainage Works"</formula>
    </cfRule>
    <cfRule type="expression" dxfId="7061" priority="2576">
      <formula>$A31="Underpass"</formula>
    </cfRule>
    <cfRule type="expression" dxfId="7060" priority="2577">
      <formula>$A31="Overcrossing"</formula>
    </cfRule>
    <cfRule type="expression" dxfId="7059" priority="2578">
      <formula>$A31="Overpass"</formula>
    </cfRule>
    <cfRule type="expression" dxfId="7058" priority="2579">
      <formula>$A31="Station"</formula>
    </cfRule>
    <cfRule type="expression" dxfId="7057" priority="2580">
      <formula>$A31="Overlap between sections"</formula>
    </cfRule>
  </conditionalFormatting>
  <conditionalFormatting sqref="AD31:AD40">
    <cfRule type="expression" dxfId="7056" priority="2559">
      <formula>$A31="Overhead Cable"</formula>
    </cfRule>
    <cfRule type="expression" dxfId="7055" priority="2560">
      <formula>$A31="Level Crossing"</formula>
    </cfRule>
    <cfRule type="expression" dxfId="7054" priority="2561">
      <formula>$A31="Neutral Section"</formula>
    </cfRule>
    <cfRule type="expression" dxfId="7053" priority="2562">
      <formula>$A31="Tunnel"</formula>
    </cfRule>
    <cfRule type="expression" dxfId="7052" priority="2563">
      <formula>$A31="Bridge"</formula>
    </cfRule>
    <cfRule type="expression" dxfId="7051" priority="2564">
      <formula>$A31="Drainage Works"</formula>
    </cfRule>
    <cfRule type="expression" dxfId="7050" priority="2565">
      <formula>$A31="Underpass"</formula>
    </cfRule>
    <cfRule type="expression" dxfId="7049" priority="2566">
      <formula>$A31="Overcrossing"</formula>
    </cfRule>
    <cfRule type="expression" dxfId="7048" priority="2567">
      <formula>$A31="Overpass"</formula>
    </cfRule>
    <cfRule type="expression" dxfId="7047" priority="2568">
      <formula>$A31="Station"</formula>
    </cfRule>
    <cfRule type="expression" dxfId="7046" priority="2569">
      <formula>$A31="Overlap between sections"</formula>
    </cfRule>
  </conditionalFormatting>
  <conditionalFormatting sqref="AE31:AE40">
    <cfRule type="expression" dxfId="7045" priority="2548">
      <formula>$A31="Overhead Cable"</formula>
    </cfRule>
    <cfRule type="expression" dxfId="7044" priority="2549">
      <formula>$A31="Level Crossing"</formula>
    </cfRule>
    <cfRule type="expression" dxfId="7043" priority="2550">
      <formula>$A31="Neutral Section"</formula>
    </cfRule>
    <cfRule type="expression" dxfId="7042" priority="2551">
      <formula>$A31="Tunnel"</formula>
    </cfRule>
    <cfRule type="expression" dxfId="7041" priority="2552">
      <formula>$A31="Bridge"</formula>
    </cfRule>
    <cfRule type="expression" dxfId="7040" priority="2553">
      <formula>$A31="Drainage Works"</formula>
    </cfRule>
    <cfRule type="expression" dxfId="7039" priority="2554">
      <formula>$A31="Underpass"</formula>
    </cfRule>
    <cfRule type="expression" dxfId="7038" priority="2555">
      <formula>$A31="Overcrossing"</formula>
    </cfRule>
    <cfRule type="expression" dxfId="7037" priority="2556">
      <formula>$A31="Overpass"</formula>
    </cfRule>
    <cfRule type="expression" dxfId="7036" priority="2557">
      <formula>$A31="Station"</formula>
    </cfRule>
    <cfRule type="expression" dxfId="7035" priority="2558">
      <formula>$A31="Overlap between sections"</formula>
    </cfRule>
  </conditionalFormatting>
  <conditionalFormatting sqref="AJ31:AJ40">
    <cfRule type="expression" dxfId="7034" priority="2537">
      <formula>$A31="Overhead Cable"</formula>
    </cfRule>
    <cfRule type="expression" dxfId="7033" priority="2538">
      <formula>$A31="Level Crossing"</formula>
    </cfRule>
    <cfRule type="expression" dxfId="7032" priority="2539">
      <formula>$A31="Neutral Section"</formula>
    </cfRule>
    <cfRule type="expression" dxfId="7031" priority="2540">
      <formula>$A31="Tunnel"</formula>
    </cfRule>
    <cfRule type="expression" dxfId="7030" priority="2541">
      <formula>$A31="Bridge"</formula>
    </cfRule>
    <cfRule type="expression" dxfId="7029" priority="2542">
      <formula>$A31="Drainage Works"</formula>
    </cfRule>
    <cfRule type="expression" dxfId="7028" priority="2543">
      <formula>$A31="Underpass"</formula>
    </cfRule>
    <cfRule type="expression" dxfId="7027" priority="2544">
      <formula>$A31="Overcrossing"</formula>
    </cfRule>
    <cfRule type="expression" dxfId="7026" priority="2545">
      <formula>$A31="Overpass"</formula>
    </cfRule>
    <cfRule type="expression" dxfId="7025" priority="2546">
      <formula>$A31="Station"</formula>
    </cfRule>
    <cfRule type="expression" dxfId="7024" priority="2547">
      <formula>$A31="Overlap between sections"</formula>
    </cfRule>
  </conditionalFormatting>
  <conditionalFormatting sqref="AK32 AK34 AK36 AK40 AK38">
    <cfRule type="expression" dxfId="7023" priority="2526">
      <formula>$A32="Overhead Cable"</formula>
    </cfRule>
    <cfRule type="expression" dxfId="7022" priority="2527">
      <formula>$A32="Level Crossing"</formula>
    </cfRule>
    <cfRule type="expression" dxfId="7021" priority="2528">
      <formula>$A32="Neutral Section"</formula>
    </cfRule>
    <cfRule type="expression" dxfId="7020" priority="2529">
      <formula>$A32="Tunnel"</formula>
    </cfRule>
    <cfRule type="expression" dxfId="7019" priority="2530">
      <formula>$A32="Bridge"</formula>
    </cfRule>
    <cfRule type="expression" dxfId="7018" priority="2531">
      <formula>$A32="Drainage Works"</formula>
    </cfRule>
    <cfRule type="expression" dxfId="7017" priority="2532">
      <formula>$A32="Underpass"</formula>
    </cfRule>
    <cfRule type="expression" dxfId="7016" priority="2533">
      <formula>$A32="Overcrossing"</formula>
    </cfRule>
    <cfRule type="expression" dxfId="7015" priority="2534">
      <formula>$A32="Overpass"</formula>
    </cfRule>
    <cfRule type="expression" dxfId="7014" priority="2535">
      <formula>$A32="Station"</formula>
    </cfRule>
    <cfRule type="expression" dxfId="7013" priority="2536">
      <formula>$A32="Overlap between sections"</formula>
    </cfRule>
  </conditionalFormatting>
  <conditionalFormatting sqref="AL32 AL34 AL36:AL40">
    <cfRule type="expression" dxfId="7012" priority="2515">
      <formula>$A32="Overhead Cable"</formula>
    </cfRule>
    <cfRule type="expression" dxfId="7011" priority="2516">
      <formula>$A32="Level Crossing"</formula>
    </cfRule>
    <cfRule type="expression" dxfId="7010" priority="2517">
      <formula>$A32="Neutral Section"</formula>
    </cfRule>
    <cfRule type="expression" dxfId="7009" priority="2518">
      <formula>$A32="Tunnel"</formula>
    </cfRule>
    <cfRule type="expression" dxfId="7008" priority="2519">
      <formula>$A32="Bridge"</formula>
    </cfRule>
    <cfRule type="expression" dxfId="7007" priority="2520">
      <formula>$A32="Drainage Works"</formula>
    </cfRule>
    <cfRule type="expression" dxfId="7006" priority="2521">
      <formula>$A32="Underpass"</formula>
    </cfRule>
    <cfRule type="expression" dxfId="7005" priority="2522">
      <formula>$A32="Overcrossing"</formula>
    </cfRule>
    <cfRule type="expression" dxfId="7004" priority="2523">
      <formula>$A32="Overpass"</formula>
    </cfRule>
    <cfRule type="expression" dxfId="7003" priority="2524">
      <formula>$A32="Station"</formula>
    </cfRule>
    <cfRule type="expression" dxfId="7002" priority="2525">
      <formula>$A32="Overlap between sections"</formula>
    </cfRule>
  </conditionalFormatting>
  <conditionalFormatting sqref="AT31:AT40">
    <cfRule type="expression" dxfId="7001" priority="2504">
      <formula>$A31="Overhead Cable"</formula>
    </cfRule>
    <cfRule type="expression" dxfId="7000" priority="2505">
      <formula>$A31="Level Crossing"</formula>
    </cfRule>
    <cfRule type="expression" dxfId="6999" priority="2506">
      <formula>$A31="Neutral Section"</formula>
    </cfRule>
    <cfRule type="expression" dxfId="6998" priority="2507">
      <formula>$A31="Tunnel"</formula>
    </cfRule>
    <cfRule type="expression" dxfId="6997" priority="2508">
      <formula>$A31="Bridge"</formula>
    </cfRule>
    <cfRule type="expression" dxfId="6996" priority="2509">
      <formula>$A31="Drainage Works"</formula>
    </cfRule>
    <cfRule type="expression" dxfId="6995" priority="2510">
      <formula>$A31="Underpass"</formula>
    </cfRule>
    <cfRule type="expression" dxfId="6994" priority="2511">
      <formula>$A31="Overcrossing"</formula>
    </cfRule>
    <cfRule type="expression" dxfId="6993" priority="2512">
      <formula>$A31="Overpass"</formula>
    </cfRule>
    <cfRule type="expression" dxfId="6992" priority="2513">
      <formula>$A31="Station"</formula>
    </cfRule>
    <cfRule type="expression" dxfId="6991" priority="2514">
      <formula>$A31="Overlap between sections"</formula>
    </cfRule>
  </conditionalFormatting>
  <conditionalFormatting sqref="AU31:AU40">
    <cfRule type="expression" dxfId="6990" priority="2493">
      <formula>$A31="Overhead Cable"</formula>
    </cfRule>
    <cfRule type="expression" dxfId="6989" priority="2494">
      <formula>$A31="Level Crossing"</formula>
    </cfRule>
    <cfRule type="expression" dxfId="6988" priority="2495">
      <formula>$A31="Neutral Section"</formula>
    </cfRule>
    <cfRule type="expression" dxfId="6987" priority="2496">
      <formula>$A31="Tunnel"</formula>
    </cfRule>
    <cfRule type="expression" dxfId="6986" priority="2497">
      <formula>$A31="Bridge"</formula>
    </cfRule>
    <cfRule type="expression" dxfId="6985" priority="2498">
      <formula>$A31="Drainage Works"</formula>
    </cfRule>
    <cfRule type="expression" dxfId="6984" priority="2499">
      <formula>$A31="Underpass"</formula>
    </cfRule>
    <cfRule type="expression" dxfId="6983" priority="2500">
      <formula>$A31="Overcrossing"</formula>
    </cfRule>
    <cfRule type="expression" dxfId="6982" priority="2501">
      <formula>$A31="Overpass"</formula>
    </cfRule>
    <cfRule type="expression" dxfId="6981" priority="2502">
      <formula>$A31="Station"</formula>
    </cfRule>
    <cfRule type="expression" dxfId="6980" priority="2503">
      <formula>$A31="Overlap between sections"</formula>
    </cfRule>
  </conditionalFormatting>
  <conditionalFormatting sqref="AV31:AV40">
    <cfRule type="expression" dxfId="6979" priority="2482">
      <formula>$A31="Overhead Cable"</formula>
    </cfRule>
    <cfRule type="expression" dxfId="6978" priority="2483">
      <formula>$A31="Level Crossing"</formula>
    </cfRule>
    <cfRule type="expression" dxfId="6977" priority="2484">
      <formula>$A31="Neutral Section"</formula>
    </cfRule>
    <cfRule type="expression" dxfId="6976" priority="2485">
      <formula>$A31="Tunnel"</formula>
    </cfRule>
    <cfRule type="expression" dxfId="6975" priority="2486">
      <formula>$A31="Bridge"</formula>
    </cfRule>
    <cfRule type="expression" dxfId="6974" priority="2487">
      <formula>$A31="Drainage Works"</formula>
    </cfRule>
    <cfRule type="expression" dxfId="6973" priority="2488">
      <formula>$A31="Underpass"</formula>
    </cfRule>
    <cfRule type="expression" dxfId="6972" priority="2489">
      <formula>$A31="Overcrossing"</formula>
    </cfRule>
    <cfRule type="expression" dxfId="6971" priority="2490">
      <formula>$A31="Overpass"</formula>
    </cfRule>
    <cfRule type="expression" dxfId="6970" priority="2491">
      <formula>$A31="Station"</formula>
    </cfRule>
    <cfRule type="expression" dxfId="6969" priority="2492">
      <formula>$A31="Overlap between sections"</formula>
    </cfRule>
  </conditionalFormatting>
  <conditionalFormatting sqref="AW31:AW40">
    <cfRule type="expression" dxfId="6968" priority="2471">
      <formula>$A31="Overhead Cable"</formula>
    </cfRule>
    <cfRule type="expression" dxfId="6967" priority="2472">
      <formula>$A31="Level Crossing"</formula>
    </cfRule>
    <cfRule type="expression" dxfId="6966" priority="2473">
      <formula>$A31="Neutral Section"</formula>
    </cfRule>
    <cfRule type="expression" dxfId="6965" priority="2474">
      <formula>$A31="Tunnel"</formula>
    </cfRule>
    <cfRule type="expression" dxfId="6964" priority="2475">
      <formula>$A31="Bridge"</formula>
    </cfRule>
    <cfRule type="expression" dxfId="6963" priority="2476">
      <formula>$A31="Drainage Works"</formula>
    </cfRule>
    <cfRule type="expression" dxfId="6962" priority="2477">
      <formula>$A31="Underpass"</formula>
    </cfRule>
    <cfRule type="expression" dxfId="6961" priority="2478">
      <formula>$A31="Overcrossing"</formula>
    </cfRule>
    <cfRule type="expression" dxfId="6960" priority="2479">
      <formula>$A31="Overpass"</formula>
    </cfRule>
    <cfRule type="expression" dxfId="6959" priority="2480">
      <formula>$A31="Station"</formula>
    </cfRule>
    <cfRule type="expression" dxfId="6958" priority="2481">
      <formula>$A31="Overlap between sections"</formula>
    </cfRule>
  </conditionalFormatting>
  <conditionalFormatting sqref="AX31:AX40">
    <cfRule type="expression" dxfId="6957" priority="2460">
      <formula>$A31="Overhead Cable"</formula>
    </cfRule>
    <cfRule type="expression" dxfId="6956" priority="2461">
      <formula>$A31="Level Crossing"</formula>
    </cfRule>
    <cfRule type="expression" dxfId="6955" priority="2462">
      <formula>$A31="Neutral Section"</formula>
    </cfRule>
    <cfRule type="expression" dxfId="6954" priority="2463">
      <formula>$A31="Tunnel"</formula>
    </cfRule>
    <cfRule type="expression" dxfId="6953" priority="2464">
      <formula>$A31="Bridge"</formula>
    </cfRule>
    <cfRule type="expression" dxfId="6952" priority="2465">
      <formula>$A31="Drainage Works"</formula>
    </cfRule>
    <cfRule type="expression" dxfId="6951" priority="2466">
      <formula>$A31="Underpass"</formula>
    </cfRule>
    <cfRule type="expression" dxfId="6950" priority="2467">
      <formula>$A31="Overcrossing"</formula>
    </cfRule>
    <cfRule type="expression" dxfId="6949" priority="2468">
      <formula>$A31="Overpass"</formula>
    </cfRule>
    <cfRule type="expression" dxfId="6948" priority="2469">
      <formula>$A31="Station"</formula>
    </cfRule>
    <cfRule type="expression" dxfId="6947" priority="2470">
      <formula>$A31="Overlap between sections"</formula>
    </cfRule>
  </conditionalFormatting>
  <conditionalFormatting sqref="F31:F40">
    <cfRule type="expression" dxfId="6946" priority="2449">
      <formula>$A31="Overhead Cable"</formula>
    </cfRule>
    <cfRule type="expression" dxfId="6945" priority="2450">
      <formula>$A31="Level Crossing"</formula>
    </cfRule>
    <cfRule type="expression" dxfId="6944" priority="2451">
      <formula>$A31="Neutral Section"</formula>
    </cfRule>
    <cfRule type="expression" dxfId="6943" priority="2452">
      <formula>$A31="Tunnel"</formula>
    </cfRule>
    <cfRule type="expression" dxfId="6942" priority="2453">
      <formula>$A31="Bridge"</formula>
    </cfRule>
    <cfRule type="expression" dxfId="6941" priority="2454">
      <formula>$A31="Drainage Works"</formula>
    </cfRule>
    <cfRule type="expression" dxfId="6940" priority="2455">
      <formula>$A31="Underpass"</formula>
    </cfRule>
    <cfRule type="expression" dxfId="6939" priority="2456">
      <formula>$A31="Overcrossing"</formula>
    </cfRule>
    <cfRule type="expression" dxfId="6938" priority="2457">
      <formula>$A31="Overpass"</formula>
    </cfRule>
    <cfRule type="expression" dxfId="6937" priority="2458">
      <formula>$A31="Station"</formula>
    </cfRule>
    <cfRule type="expression" dxfId="6936" priority="2459">
      <formula>$A31="Overlap between sections"</formula>
    </cfRule>
  </conditionalFormatting>
  <conditionalFormatting sqref="Q31:Q40">
    <cfRule type="expression" dxfId="6935" priority="2438">
      <formula>$A31="Overhead Cable"</formula>
    </cfRule>
    <cfRule type="expression" dxfId="6934" priority="2439">
      <formula>$A31="Level Crossing"</formula>
    </cfRule>
    <cfRule type="expression" dxfId="6933" priority="2440">
      <formula>$A31="Neutral Section"</formula>
    </cfRule>
    <cfRule type="expression" dxfId="6932" priority="2441">
      <formula>$A31="Tunnel"</formula>
    </cfRule>
    <cfRule type="expression" dxfId="6931" priority="2442">
      <formula>$A31="Bridge"</formula>
    </cfRule>
    <cfRule type="expression" dxfId="6930" priority="2443">
      <formula>$A31="Drainage Works"</formula>
    </cfRule>
    <cfRule type="expression" dxfId="6929" priority="2444">
      <formula>$A31="Underpass"</formula>
    </cfRule>
    <cfRule type="expression" dxfId="6928" priority="2445">
      <formula>$A31="Overcrossing"</formula>
    </cfRule>
    <cfRule type="expression" dxfId="6927" priority="2446">
      <formula>$A31="Overpass"</formula>
    </cfRule>
    <cfRule type="expression" dxfId="6926" priority="2447">
      <formula>$A31="Station"</formula>
    </cfRule>
    <cfRule type="expression" dxfId="6925" priority="2448">
      <formula>$A31="Overlap between sections"</formula>
    </cfRule>
  </conditionalFormatting>
  <conditionalFormatting sqref="T31:T40">
    <cfRule type="expression" dxfId="6924" priority="2427">
      <formula>$A31="Overhead Cable"</formula>
    </cfRule>
    <cfRule type="expression" dxfId="6923" priority="2428">
      <formula>$A31="Level Crossing"</formula>
    </cfRule>
    <cfRule type="expression" dxfId="6922" priority="2429">
      <formula>$A31="Neutral Section"</formula>
    </cfRule>
    <cfRule type="expression" dxfId="6921" priority="2430">
      <formula>$A31="Tunnel"</formula>
    </cfRule>
    <cfRule type="expression" dxfId="6920" priority="2431">
      <formula>$A31="Bridge"</formula>
    </cfRule>
    <cfRule type="expression" dxfId="6919" priority="2432">
      <formula>$A31="Drainage Works"</formula>
    </cfRule>
    <cfRule type="expression" dxfId="6918" priority="2433">
      <formula>$A31="Underpass"</formula>
    </cfRule>
    <cfRule type="expression" dxfId="6917" priority="2434">
      <formula>$A31="Overcrossing"</formula>
    </cfRule>
    <cfRule type="expression" dxfId="6916" priority="2435">
      <formula>$A31="Overpass"</formula>
    </cfRule>
    <cfRule type="expression" dxfId="6915" priority="2436">
      <formula>$A31="Station"</formula>
    </cfRule>
    <cfRule type="expression" dxfId="6914" priority="2437">
      <formula>$A31="Overlap between sections"</formula>
    </cfRule>
  </conditionalFormatting>
  <conditionalFormatting sqref="U31:U40">
    <cfRule type="expression" dxfId="6913" priority="2416">
      <formula>$A31="Overhead Cable"</formula>
    </cfRule>
    <cfRule type="expression" dxfId="6912" priority="2417">
      <formula>$A31="Level Crossing"</formula>
    </cfRule>
    <cfRule type="expression" dxfId="6911" priority="2418">
      <formula>$A31="Neutral Section"</formula>
    </cfRule>
    <cfRule type="expression" dxfId="6910" priority="2419">
      <formula>$A31="Tunnel"</formula>
    </cfRule>
    <cfRule type="expression" dxfId="6909" priority="2420">
      <formula>$A31="Bridge"</formula>
    </cfRule>
    <cfRule type="expression" dxfId="6908" priority="2421">
      <formula>$A31="Drainage Works"</formula>
    </cfRule>
    <cfRule type="expression" dxfId="6907" priority="2422">
      <formula>$A31="Underpass"</formula>
    </cfRule>
    <cfRule type="expression" dxfId="6906" priority="2423">
      <formula>$A31="Overcrossing"</formula>
    </cfRule>
    <cfRule type="expression" dxfId="6905" priority="2424">
      <formula>$A31="Overpass"</formula>
    </cfRule>
    <cfRule type="expression" dxfId="6904" priority="2425">
      <formula>$A31="Station"</formula>
    </cfRule>
    <cfRule type="expression" dxfId="6903" priority="2426">
      <formula>$A31="Overlap between sections"</formula>
    </cfRule>
  </conditionalFormatting>
  <conditionalFormatting sqref="V31:V40">
    <cfRule type="expression" dxfId="6902" priority="2405">
      <formula>$A31="Overhead Cable"</formula>
    </cfRule>
    <cfRule type="expression" dxfId="6901" priority="2406">
      <formula>$A31="Level Crossing"</formula>
    </cfRule>
    <cfRule type="expression" dxfId="6900" priority="2407">
      <formula>$A31="Neutral Section"</formula>
    </cfRule>
    <cfRule type="expression" dxfId="6899" priority="2408">
      <formula>$A31="Tunnel"</formula>
    </cfRule>
    <cfRule type="expression" dxfId="6898" priority="2409">
      <formula>$A31="Bridge"</formula>
    </cfRule>
    <cfRule type="expression" dxfId="6897" priority="2410">
      <formula>$A31="Drainage Works"</formula>
    </cfRule>
    <cfRule type="expression" dxfId="6896" priority="2411">
      <formula>$A31="Underpass"</formula>
    </cfRule>
    <cfRule type="expression" dxfId="6895" priority="2412">
      <formula>$A31="Overcrossing"</formula>
    </cfRule>
    <cfRule type="expression" dxfId="6894" priority="2413">
      <formula>$A31="Overpass"</formula>
    </cfRule>
    <cfRule type="expression" dxfId="6893" priority="2414">
      <formula>$A31="Station"</formula>
    </cfRule>
    <cfRule type="expression" dxfId="6892" priority="2415">
      <formula>$A31="Overlap between sections"</formula>
    </cfRule>
  </conditionalFormatting>
  <conditionalFormatting sqref="AF31:AF40">
    <cfRule type="expression" dxfId="6891" priority="2394">
      <formula>$A31="Overhead Cable"</formula>
    </cfRule>
    <cfRule type="expression" dxfId="6890" priority="2395">
      <formula>$A31="Level Crossing"</formula>
    </cfRule>
    <cfRule type="expression" dxfId="6889" priority="2396">
      <formula>$A31="Neutral Section"</formula>
    </cfRule>
    <cfRule type="expression" dxfId="6888" priority="2397">
      <formula>$A31="Tunnel"</formula>
    </cfRule>
    <cfRule type="expression" dxfId="6887" priority="2398">
      <formula>$A31="Bridge"</formula>
    </cfRule>
    <cfRule type="expression" dxfId="6886" priority="2399">
      <formula>$A31="Drainage Works"</formula>
    </cfRule>
    <cfRule type="expression" dxfId="6885" priority="2400">
      <formula>$A31="Underpass"</formula>
    </cfRule>
    <cfRule type="expression" dxfId="6884" priority="2401">
      <formula>$A31="Overcrossing"</formula>
    </cfRule>
    <cfRule type="expression" dxfId="6883" priority="2402">
      <formula>$A31="Overpass"</formula>
    </cfRule>
    <cfRule type="expression" dxfId="6882" priority="2403">
      <formula>$A31="Station"</formula>
    </cfRule>
    <cfRule type="expression" dxfId="6881" priority="2404">
      <formula>$A31="Overlap between sections"</formula>
    </cfRule>
  </conditionalFormatting>
  <conditionalFormatting sqref="AH31:AH40">
    <cfRule type="expression" dxfId="6880" priority="2383">
      <formula>$A31="Overhead Cable"</formula>
    </cfRule>
    <cfRule type="expression" dxfId="6879" priority="2384">
      <formula>$A31="Level Crossing"</formula>
    </cfRule>
    <cfRule type="expression" dxfId="6878" priority="2385">
      <formula>$A31="Neutral Section"</formula>
    </cfRule>
    <cfRule type="expression" dxfId="6877" priority="2386">
      <formula>$A31="Tunnel"</formula>
    </cfRule>
    <cfRule type="expression" dxfId="6876" priority="2387">
      <formula>$A31="Bridge"</formula>
    </cfRule>
    <cfRule type="expression" dxfId="6875" priority="2388">
      <formula>$A31="Drainage Works"</formula>
    </cfRule>
    <cfRule type="expression" dxfId="6874" priority="2389">
      <formula>$A31="Underpass"</formula>
    </cfRule>
    <cfRule type="expression" dxfId="6873" priority="2390">
      <formula>$A31="Overcrossing"</formula>
    </cfRule>
    <cfRule type="expression" dxfId="6872" priority="2391">
      <formula>$A31="Overpass"</formula>
    </cfRule>
    <cfRule type="expression" dxfId="6871" priority="2392">
      <formula>$A31="Station"</formula>
    </cfRule>
    <cfRule type="expression" dxfId="6870" priority="2393">
      <formula>$A31="Overlap between sections"</formula>
    </cfRule>
  </conditionalFormatting>
  <conditionalFormatting sqref="AI31:AI40">
    <cfRule type="expression" dxfId="6869" priority="2372">
      <formula>$A31="Overhead Cable"</formula>
    </cfRule>
    <cfRule type="expression" dxfId="6868" priority="2373">
      <formula>$A31="Level Crossing"</formula>
    </cfRule>
    <cfRule type="expression" dxfId="6867" priority="2374">
      <formula>$A31="Neutral Section"</formula>
    </cfRule>
    <cfRule type="expression" dxfId="6866" priority="2375">
      <formula>$A31="Tunnel"</formula>
    </cfRule>
    <cfRule type="expression" dxfId="6865" priority="2376">
      <formula>$A31="Bridge"</formula>
    </cfRule>
    <cfRule type="expression" dxfId="6864" priority="2377">
      <formula>$A31="Drainage Works"</formula>
    </cfRule>
    <cfRule type="expression" dxfId="6863" priority="2378">
      <formula>$A31="Underpass"</formula>
    </cfRule>
    <cfRule type="expression" dxfId="6862" priority="2379">
      <formula>$A31="Overcrossing"</formula>
    </cfRule>
    <cfRule type="expression" dxfId="6861" priority="2380">
      <formula>$A31="Overpass"</formula>
    </cfRule>
    <cfRule type="expression" dxfId="6860" priority="2381">
      <formula>$A31="Station"</formula>
    </cfRule>
    <cfRule type="expression" dxfId="6859" priority="2382">
      <formula>$A31="Overlap between sections"</formula>
    </cfRule>
  </conditionalFormatting>
  <conditionalFormatting sqref="R31:R40">
    <cfRule type="expression" dxfId="6858" priority="2361">
      <formula>$A31="Overhead Cable"</formula>
    </cfRule>
    <cfRule type="expression" dxfId="6857" priority="2362">
      <formula>$A31="Level Crossing"</formula>
    </cfRule>
    <cfRule type="expression" dxfId="6856" priority="2363">
      <formula>$A31="Neutral Section"</formula>
    </cfRule>
    <cfRule type="expression" dxfId="6855" priority="2364">
      <formula>$A31="Tunnel"</formula>
    </cfRule>
    <cfRule type="expression" dxfId="6854" priority="2365">
      <formula>$A31="Bridge"</formula>
    </cfRule>
    <cfRule type="expression" dxfId="6853" priority="2366">
      <formula>$A31="Drainage Works"</formula>
    </cfRule>
    <cfRule type="expression" dxfId="6852" priority="2367">
      <formula>$A31="Underpass"</formula>
    </cfRule>
    <cfRule type="expression" dxfId="6851" priority="2368">
      <formula>$A31="Overcrossing"</formula>
    </cfRule>
    <cfRule type="expression" dxfId="6850" priority="2369">
      <formula>$A31="Overpass"</formula>
    </cfRule>
    <cfRule type="expression" dxfId="6849" priority="2370">
      <formula>$A31="Station"</formula>
    </cfRule>
    <cfRule type="expression" dxfId="6848" priority="2371">
      <formula>$A31="Overlap between sections"</formula>
    </cfRule>
  </conditionalFormatting>
  <conditionalFormatting sqref="S31:S40">
    <cfRule type="expression" dxfId="6847" priority="2350">
      <formula>$A31="Overhead Cable"</formula>
    </cfRule>
    <cfRule type="expression" dxfId="6846" priority="2351">
      <formula>$A31="Level Crossing"</formula>
    </cfRule>
    <cfRule type="expression" dxfId="6845" priority="2352">
      <formula>$A31="Neutral Section"</formula>
    </cfRule>
    <cfRule type="expression" dxfId="6844" priority="2353">
      <formula>$A31="Tunnel"</formula>
    </cfRule>
    <cfRule type="expression" dxfId="6843" priority="2354">
      <formula>$A31="Bridge"</formula>
    </cfRule>
    <cfRule type="expression" dxfId="6842" priority="2355">
      <formula>$A31="Drainage Works"</formula>
    </cfRule>
    <cfRule type="expression" dxfId="6841" priority="2356">
      <formula>$A31="Underpass"</formula>
    </cfRule>
    <cfRule type="expression" dxfId="6840" priority="2357">
      <formula>$A31="Overcrossing"</formula>
    </cfRule>
    <cfRule type="expression" dxfId="6839" priority="2358">
      <formula>$A31="Overpass"</formula>
    </cfRule>
    <cfRule type="expression" dxfId="6838" priority="2359">
      <formula>$A31="Station"</formula>
    </cfRule>
    <cfRule type="expression" dxfId="6837" priority="2360">
      <formula>$A31="Overlap between sections"</formula>
    </cfRule>
  </conditionalFormatting>
  <conditionalFormatting sqref="W32 W40 W38 W36 W34">
    <cfRule type="expression" dxfId="6836" priority="2339">
      <formula>$A32="Overhead Cable"</formula>
    </cfRule>
    <cfRule type="expression" dxfId="6835" priority="2340">
      <formula>$A32="Level Crossing"</formula>
    </cfRule>
    <cfRule type="expression" dxfId="6834" priority="2341">
      <formula>$A32="Neutral Section"</formula>
    </cfRule>
    <cfRule type="expression" dxfId="6833" priority="2342">
      <formula>$A32="Tunnel"</formula>
    </cfRule>
    <cfRule type="expression" dxfId="6832" priority="2343">
      <formula>$A32="Bridge"</formula>
    </cfRule>
    <cfRule type="expression" dxfId="6831" priority="2344">
      <formula>$A32="Drainage Works"</formula>
    </cfRule>
    <cfRule type="expression" dxfId="6830" priority="2345">
      <formula>$A32="Underpass"</formula>
    </cfRule>
    <cfRule type="expression" dxfId="6829" priority="2346">
      <formula>$A32="Overcrossing"</formula>
    </cfRule>
    <cfRule type="expression" dxfId="6828" priority="2347">
      <formula>$A32="Overpass"</formula>
    </cfRule>
    <cfRule type="expression" dxfId="6827" priority="2348">
      <formula>$A32="Station"</formula>
    </cfRule>
    <cfRule type="expression" dxfId="6826" priority="2349">
      <formula>$A32="Overlap between sections"</formula>
    </cfRule>
  </conditionalFormatting>
  <conditionalFormatting sqref="X31:X40">
    <cfRule type="expression" dxfId="6825" priority="2328">
      <formula>$A31="Overhead Cable"</formula>
    </cfRule>
    <cfRule type="expression" dxfId="6824" priority="2329">
      <formula>$A31="Level Crossing"</formula>
    </cfRule>
    <cfRule type="expression" dxfId="6823" priority="2330">
      <formula>$A31="Neutral Section"</formula>
    </cfRule>
    <cfRule type="expression" dxfId="6822" priority="2331">
      <formula>$A31="Tunnel"</formula>
    </cfRule>
    <cfRule type="expression" dxfId="6821" priority="2332">
      <formula>$A31="Bridge"</formula>
    </cfRule>
    <cfRule type="expression" dxfId="6820" priority="2333">
      <formula>$A31="Drainage Works"</formula>
    </cfRule>
    <cfRule type="expression" dxfId="6819" priority="2334">
      <formula>$A31="Underpass"</formula>
    </cfRule>
    <cfRule type="expression" dxfId="6818" priority="2335">
      <formula>$A31="Overcrossing"</formula>
    </cfRule>
    <cfRule type="expression" dxfId="6817" priority="2336">
      <formula>$A31="Overpass"</formula>
    </cfRule>
    <cfRule type="expression" dxfId="6816" priority="2337">
      <formula>$A31="Station"</formula>
    </cfRule>
    <cfRule type="expression" dxfId="6815" priority="2338">
      <formula>$A31="Overlap between sections"</formula>
    </cfRule>
  </conditionalFormatting>
  <conditionalFormatting sqref="Y31:Y40">
    <cfRule type="expression" dxfId="6814" priority="2317">
      <formula>$A31="Overhead Cable"</formula>
    </cfRule>
    <cfRule type="expression" dxfId="6813" priority="2318">
      <formula>$A31="Level Crossing"</formula>
    </cfRule>
    <cfRule type="expression" dxfId="6812" priority="2319">
      <formula>$A31="Neutral Section"</formula>
    </cfRule>
    <cfRule type="expression" dxfId="6811" priority="2320">
      <formula>$A31="Tunnel"</formula>
    </cfRule>
    <cfRule type="expression" dxfId="6810" priority="2321">
      <formula>$A31="Bridge"</formula>
    </cfRule>
    <cfRule type="expression" dxfId="6809" priority="2322">
      <formula>$A31="Drainage Works"</formula>
    </cfRule>
    <cfRule type="expression" dxfId="6808" priority="2323">
      <formula>$A31="Underpass"</formula>
    </cfRule>
    <cfRule type="expression" dxfId="6807" priority="2324">
      <formula>$A31="Overcrossing"</formula>
    </cfRule>
    <cfRule type="expression" dxfId="6806" priority="2325">
      <formula>$A31="Overpass"</formula>
    </cfRule>
    <cfRule type="expression" dxfId="6805" priority="2326">
      <formula>$A31="Station"</formula>
    </cfRule>
    <cfRule type="expression" dxfId="6804" priority="2327">
      <formula>$A31="Overlap between sections"</formula>
    </cfRule>
  </conditionalFormatting>
  <conditionalFormatting sqref="Z31:Z40">
    <cfRule type="expression" dxfId="6803" priority="2306">
      <formula>$A31="Overhead Cable"</formula>
    </cfRule>
    <cfRule type="expression" dxfId="6802" priority="2307">
      <formula>$A31="Level Crossing"</formula>
    </cfRule>
    <cfRule type="expression" dxfId="6801" priority="2308">
      <formula>$A31="Neutral Section"</formula>
    </cfRule>
    <cfRule type="expression" dxfId="6800" priority="2309">
      <formula>$A31="Tunnel"</formula>
    </cfRule>
    <cfRule type="expression" dxfId="6799" priority="2310">
      <formula>$A31="Bridge"</formula>
    </cfRule>
    <cfRule type="expression" dxfId="6798" priority="2311">
      <formula>$A31="Drainage Works"</formula>
    </cfRule>
    <cfRule type="expression" dxfId="6797" priority="2312">
      <formula>$A31="Underpass"</formula>
    </cfRule>
    <cfRule type="expression" dxfId="6796" priority="2313">
      <formula>$A31="Overcrossing"</formula>
    </cfRule>
    <cfRule type="expression" dxfId="6795" priority="2314">
      <formula>$A31="Overpass"</formula>
    </cfRule>
    <cfRule type="expression" dxfId="6794" priority="2315">
      <formula>$A31="Station"</formula>
    </cfRule>
    <cfRule type="expression" dxfId="6793" priority="2316">
      <formula>$A31="Overlap between sections"</formula>
    </cfRule>
  </conditionalFormatting>
  <conditionalFormatting sqref="AA31:AA40">
    <cfRule type="expression" dxfId="6792" priority="2295">
      <formula>$A31="Overhead Cable"</formula>
    </cfRule>
    <cfRule type="expression" dxfId="6791" priority="2296">
      <formula>$A31="Level Crossing"</formula>
    </cfRule>
    <cfRule type="expression" dxfId="6790" priority="2297">
      <formula>$A31="Neutral Section"</formula>
    </cfRule>
    <cfRule type="expression" dxfId="6789" priority="2298">
      <formula>$A31="Tunnel"</formula>
    </cfRule>
    <cfRule type="expression" dxfId="6788" priority="2299">
      <formula>$A31="Bridge"</formula>
    </cfRule>
    <cfRule type="expression" dxfId="6787" priority="2300">
      <formula>$A31="Drainage Works"</formula>
    </cfRule>
    <cfRule type="expression" dxfId="6786" priority="2301">
      <formula>$A31="Underpass"</formula>
    </cfRule>
    <cfRule type="expression" dxfId="6785" priority="2302">
      <formula>$A31="Overcrossing"</formula>
    </cfRule>
    <cfRule type="expression" dxfId="6784" priority="2303">
      <formula>$A31="Overpass"</formula>
    </cfRule>
    <cfRule type="expression" dxfId="6783" priority="2304">
      <formula>$A31="Station"</formula>
    </cfRule>
    <cfRule type="expression" dxfId="6782" priority="2305">
      <formula>$A31="Overlap between sections"</formula>
    </cfRule>
  </conditionalFormatting>
  <conditionalFormatting sqref="AB31:AB40">
    <cfRule type="expression" dxfId="6781" priority="2284">
      <formula>$A31="Overhead Cable"</formula>
    </cfRule>
    <cfRule type="expression" dxfId="6780" priority="2285">
      <formula>$A31="Level Crossing"</formula>
    </cfRule>
    <cfRule type="expression" dxfId="6779" priority="2286">
      <formula>$A31="Neutral Section"</formula>
    </cfRule>
    <cfRule type="expression" dxfId="6778" priority="2287">
      <formula>$A31="Tunnel"</formula>
    </cfRule>
    <cfRule type="expression" dxfId="6777" priority="2288">
      <formula>$A31="Bridge"</formula>
    </cfRule>
    <cfRule type="expression" dxfId="6776" priority="2289">
      <formula>$A31="Drainage Works"</formula>
    </cfRule>
    <cfRule type="expression" dxfId="6775" priority="2290">
      <formula>$A31="Underpass"</formula>
    </cfRule>
    <cfRule type="expression" dxfId="6774" priority="2291">
      <formula>$A31="Overcrossing"</formula>
    </cfRule>
    <cfRule type="expression" dxfId="6773" priority="2292">
      <formula>$A31="Overpass"</formula>
    </cfRule>
    <cfRule type="expression" dxfId="6772" priority="2293">
      <formula>$A31="Station"</formula>
    </cfRule>
    <cfRule type="expression" dxfId="6771" priority="2294">
      <formula>$A31="Overlap between sections"</formula>
    </cfRule>
  </conditionalFormatting>
  <conditionalFormatting sqref="N41">
    <cfRule type="expression" dxfId="6770" priority="2281">
      <formula>$M41="NON DEFINED"</formula>
    </cfRule>
    <cfRule type="expression" dxfId="6769" priority="2282">
      <formula>$AZ41="N.D."</formula>
    </cfRule>
    <cfRule type="expression" dxfId="6768" priority="2283">
      <formula>$AY41="N.D."</formula>
    </cfRule>
  </conditionalFormatting>
  <conditionalFormatting sqref="N41">
    <cfRule type="expression" dxfId="6767" priority="2270">
      <formula>$A41="Overhead Cable"</formula>
    </cfRule>
    <cfRule type="expression" dxfId="6766" priority="2271">
      <formula>$A41="Level Crossing"</formula>
    </cfRule>
    <cfRule type="expression" dxfId="6765" priority="2272">
      <formula>$A41="Neutral Section"</formula>
    </cfRule>
    <cfRule type="expression" dxfId="6764" priority="2273">
      <formula>$A41="Tunnel"</formula>
    </cfRule>
    <cfRule type="expression" dxfId="6763" priority="2274">
      <formula>$A41="Bridge"</formula>
    </cfRule>
    <cfRule type="expression" dxfId="6762" priority="2275">
      <formula>$A41="Drainage Works"</formula>
    </cfRule>
    <cfRule type="expression" dxfId="6761" priority="2276">
      <formula>$A41="Underpass"</formula>
    </cfRule>
    <cfRule type="expression" dxfId="6760" priority="2277">
      <formula>$A41="Overcrossing"</formula>
    </cfRule>
    <cfRule type="expression" dxfId="6759" priority="2278">
      <formula>$A41="Overpass"</formula>
    </cfRule>
    <cfRule type="expression" dxfId="6758" priority="2279">
      <formula>$A41="Station"</formula>
    </cfRule>
    <cfRule type="expression" dxfId="6757" priority="2280">
      <formula>$A41="Overlap between sections"</formula>
    </cfRule>
  </conditionalFormatting>
  <conditionalFormatting sqref="W39">
    <cfRule type="expression" dxfId="6756" priority="2267">
      <formula>$M39="NON DEFINED"</formula>
    </cfRule>
    <cfRule type="expression" dxfId="6755" priority="2268">
      <formula>$AZ39="N.D."</formula>
    </cfRule>
    <cfRule type="expression" dxfId="6754" priority="2269">
      <formula>$AY39="N.D."</formula>
    </cfRule>
  </conditionalFormatting>
  <conditionalFormatting sqref="W39">
    <cfRule type="expression" dxfId="6753" priority="2256">
      <formula>$A39="Overhead Cable"</formula>
    </cfRule>
    <cfRule type="expression" dxfId="6752" priority="2257">
      <formula>$A39="Level Crossing"</formula>
    </cfRule>
    <cfRule type="expression" dxfId="6751" priority="2258">
      <formula>$A39="Neutral Section"</formula>
    </cfRule>
    <cfRule type="expression" dxfId="6750" priority="2259">
      <formula>$A39="Tunnel"</formula>
    </cfRule>
    <cfRule type="expression" dxfId="6749" priority="2260">
      <formula>$A39="Bridge"</formula>
    </cfRule>
    <cfRule type="expression" dxfId="6748" priority="2261">
      <formula>$A39="Drainage Works"</formula>
    </cfRule>
    <cfRule type="expression" dxfId="6747" priority="2262">
      <formula>$A39="Underpass"</formula>
    </cfRule>
    <cfRule type="expression" dxfId="6746" priority="2263">
      <formula>$A39="Overcrossing"</formula>
    </cfRule>
    <cfRule type="expression" dxfId="6745" priority="2264">
      <formula>$A39="Overpass"</formula>
    </cfRule>
    <cfRule type="expression" dxfId="6744" priority="2265">
      <formula>$A39="Station"</formula>
    </cfRule>
    <cfRule type="expression" dxfId="6743" priority="2266">
      <formula>$A39="Overlap between sections"</formula>
    </cfRule>
  </conditionalFormatting>
  <conditionalFormatting sqref="W37">
    <cfRule type="expression" dxfId="6742" priority="2253">
      <formula>$M37="NON DEFINED"</formula>
    </cfRule>
    <cfRule type="expression" dxfId="6741" priority="2254">
      <formula>$AZ37="N.D."</formula>
    </cfRule>
    <cfRule type="expression" dxfId="6740" priority="2255">
      <formula>$AY37="N.D."</formula>
    </cfRule>
  </conditionalFormatting>
  <conditionalFormatting sqref="W37">
    <cfRule type="expression" dxfId="6739" priority="2242">
      <formula>$A37="Overhead Cable"</formula>
    </cfRule>
    <cfRule type="expression" dxfId="6738" priority="2243">
      <formula>$A37="Level Crossing"</formula>
    </cfRule>
    <cfRule type="expression" dxfId="6737" priority="2244">
      <formula>$A37="Neutral Section"</formula>
    </cfRule>
    <cfRule type="expression" dxfId="6736" priority="2245">
      <formula>$A37="Tunnel"</formula>
    </cfRule>
    <cfRule type="expression" dxfId="6735" priority="2246">
      <formula>$A37="Bridge"</formula>
    </cfRule>
    <cfRule type="expression" dxfId="6734" priority="2247">
      <formula>$A37="Drainage Works"</formula>
    </cfRule>
    <cfRule type="expression" dxfId="6733" priority="2248">
      <formula>$A37="Underpass"</formula>
    </cfRule>
    <cfRule type="expression" dxfId="6732" priority="2249">
      <formula>$A37="Overcrossing"</formula>
    </cfRule>
    <cfRule type="expression" dxfId="6731" priority="2250">
      <formula>$A37="Overpass"</formula>
    </cfRule>
    <cfRule type="expression" dxfId="6730" priority="2251">
      <formula>$A37="Station"</formula>
    </cfRule>
    <cfRule type="expression" dxfId="6729" priority="2252">
      <formula>$A37="Overlap between sections"</formula>
    </cfRule>
  </conditionalFormatting>
  <conditionalFormatting sqref="W35">
    <cfRule type="expression" dxfId="6728" priority="2239">
      <formula>$M35="NON DEFINED"</formula>
    </cfRule>
    <cfRule type="expression" dxfId="6727" priority="2240">
      <formula>$AZ35="N.D."</formula>
    </cfRule>
    <cfRule type="expression" dxfId="6726" priority="2241">
      <formula>$AY35="N.D."</formula>
    </cfRule>
  </conditionalFormatting>
  <conditionalFormatting sqref="W35">
    <cfRule type="expression" dxfId="6725" priority="2228">
      <formula>$A35="Overhead Cable"</formula>
    </cfRule>
    <cfRule type="expression" dxfId="6724" priority="2229">
      <formula>$A35="Level Crossing"</formula>
    </cfRule>
    <cfRule type="expression" dxfId="6723" priority="2230">
      <formula>$A35="Neutral Section"</formula>
    </cfRule>
    <cfRule type="expression" dxfId="6722" priority="2231">
      <formula>$A35="Tunnel"</formula>
    </cfRule>
    <cfRule type="expression" dxfId="6721" priority="2232">
      <formula>$A35="Bridge"</formula>
    </cfRule>
    <cfRule type="expression" dxfId="6720" priority="2233">
      <formula>$A35="Drainage Works"</formula>
    </cfRule>
    <cfRule type="expression" dxfId="6719" priority="2234">
      <formula>$A35="Underpass"</formula>
    </cfRule>
    <cfRule type="expression" dxfId="6718" priority="2235">
      <formula>$A35="Overcrossing"</formula>
    </cfRule>
    <cfRule type="expression" dxfId="6717" priority="2236">
      <formula>$A35="Overpass"</formula>
    </cfRule>
    <cfRule type="expression" dxfId="6716" priority="2237">
      <formula>$A35="Station"</formula>
    </cfRule>
    <cfRule type="expression" dxfId="6715" priority="2238">
      <formula>$A35="Overlap between sections"</formula>
    </cfRule>
  </conditionalFormatting>
  <conditionalFormatting sqref="W33">
    <cfRule type="expression" dxfId="6714" priority="2225">
      <formula>$M33="NON DEFINED"</formula>
    </cfRule>
    <cfRule type="expression" dxfId="6713" priority="2226">
      <formula>$AZ33="N.D."</formula>
    </cfRule>
    <cfRule type="expression" dxfId="6712" priority="2227">
      <formula>$AY33="N.D."</formula>
    </cfRule>
  </conditionalFormatting>
  <conditionalFormatting sqref="W33">
    <cfRule type="expression" dxfId="6711" priority="2214">
      <formula>$A33="Overhead Cable"</formula>
    </cfRule>
    <cfRule type="expression" dxfId="6710" priority="2215">
      <formula>$A33="Level Crossing"</formula>
    </cfRule>
    <cfRule type="expression" dxfId="6709" priority="2216">
      <formula>$A33="Neutral Section"</formula>
    </cfRule>
    <cfRule type="expression" dxfId="6708" priority="2217">
      <formula>$A33="Tunnel"</formula>
    </cfRule>
    <cfRule type="expression" dxfId="6707" priority="2218">
      <formula>$A33="Bridge"</formula>
    </cfRule>
    <cfRule type="expression" dxfId="6706" priority="2219">
      <formula>$A33="Drainage Works"</formula>
    </cfRule>
    <cfRule type="expression" dxfId="6705" priority="2220">
      <formula>$A33="Underpass"</formula>
    </cfRule>
    <cfRule type="expression" dxfId="6704" priority="2221">
      <formula>$A33="Overcrossing"</formula>
    </cfRule>
    <cfRule type="expression" dxfId="6703" priority="2222">
      <formula>$A33="Overpass"</formula>
    </cfRule>
    <cfRule type="expression" dxfId="6702" priority="2223">
      <formula>$A33="Station"</formula>
    </cfRule>
    <cfRule type="expression" dxfId="6701" priority="2224">
      <formula>$A33="Overlap between sections"</formula>
    </cfRule>
  </conditionalFormatting>
  <conditionalFormatting sqref="W31">
    <cfRule type="expression" dxfId="6700" priority="2211">
      <formula>$M31="NON DEFINED"</formula>
    </cfRule>
    <cfRule type="expression" dxfId="6699" priority="2212">
      <formula>$AZ31="N.D."</formula>
    </cfRule>
    <cfRule type="expression" dxfId="6698" priority="2213">
      <formula>$AY31="N.D."</formula>
    </cfRule>
  </conditionalFormatting>
  <conditionalFormatting sqref="W31">
    <cfRule type="expression" dxfId="6697" priority="2200">
      <formula>$A31="Overhead Cable"</formula>
    </cfRule>
    <cfRule type="expression" dxfId="6696" priority="2201">
      <formula>$A31="Level Crossing"</formula>
    </cfRule>
    <cfRule type="expression" dxfId="6695" priority="2202">
      <formula>$A31="Neutral Section"</formula>
    </cfRule>
    <cfRule type="expression" dxfId="6694" priority="2203">
      <formula>$A31="Tunnel"</formula>
    </cfRule>
    <cfRule type="expression" dxfId="6693" priority="2204">
      <formula>$A31="Bridge"</formula>
    </cfRule>
    <cfRule type="expression" dxfId="6692" priority="2205">
      <formula>$A31="Drainage Works"</formula>
    </cfRule>
    <cfRule type="expression" dxfId="6691" priority="2206">
      <formula>$A31="Underpass"</formula>
    </cfRule>
    <cfRule type="expression" dxfId="6690" priority="2207">
      <formula>$A31="Overcrossing"</formula>
    </cfRule>
    <cfRule type="expression" dxfId="6689" priority="2208">
      <formula>$A31="Overpass"</formula>
    </cfRule>
    <cfRule type="expression" dxfId="6688" priority="2209">
      <formula>$A31="Station"</formula>
    </cfRule>
    <cfRule type="expression" dxfId="6687" priority="2210">
      <formula>$A31="Overlap between sections"</formula>
    </cfRule>
  </conditionalFormatting>
  <conditionalFormatting sqref="W29">
    <cfRule type="expression" dxfId="6686" priority="2197">
      <formula>$M29="NON DEFINED"</formula>
    </cfRule>
    <cfRule type="expression" dxfId="6685" priority="2198">
      <formula>$AZ29="N.D."</formula>
    </cfRule>
    <cfRule type="expression" dxfId="6684" priority="2199">
      <formula>$AY29="N.D."</formula>
    </cfRule>
  </conditionalFormatting>
  <conditionalFormatting sqref="W29">
    <cfRule type="expression" dxfId="6683" priority="2186">
      <formula>$A29="Overhead Cable"</formula>
    </cfRule>
    <cfRule type="expression" dxfId="6682" priority="2187">
      <formula>$A29="Level Crossing"</formula>
    </cfRule>
    <cfRule type="expression" dxfId="6681" priority="2188">
      <formula>$A29="Neutral Section"</formula>
    </cfRule>
    <cfRule type="expression" dxfId="6680" priority="2189">
      <formula>$A29="Tunnel"</formula>
    </cfRule>
    <cfRule type="expression" dxfId="6679" priority="2190">
      <formula>$A29="Bridge"</formula>
    </cfRule>
    <cfRule type="expression" dxfId="6678" priority="2191">
      <formula>$A29="Drainage Works"</formula>
    </cfRule>
    <cfRule type="expression" dxfId="6677" priority="2192">
      <formula>$A29="Underpass"</formula>
    </cfRule>
    <cfRule type="expression" dxfId="6676" priority="2193">
      <formula>$A29="Overcrossing"</formula>
    </cfRule>
    <cfRule type="expression" dxfId="6675" priority="2194">
      <formula>$A29="Overpass"</formula>
    </cfRule>
    <cfRule type="expression" dxfId="6674" priority="2195">
      <formula>$A29="Station"</formula>
    </cfRule>
    <cfRule type="expression" dxfId="6673" priority="2196">
      <formula>$A29="Overlap between sections"</formula>
    </cfRule>
  </conditionalFormatting>
  <conditionalFormatting sqref="W23">
    <cfRule type="expression" dxfId="6672" priority="2183">
      <formula>$M23="NON DEFINED"</formula>
    </cfRule>
    <cfRule type="expression" dxfId="6671" priority="2184">
      <formula>$AZ23="N.D."</formula>
    </cfRule>
    <cfRule type="expression" dxfId="6670" priority="2185">
      <formula>$AY23="N.D."</formula>
    </cfRule>
  </conditionalFormatting>
  <conditionalFormatting sqref="W23">
    <cfRule type="expression" dxfId="6669" priority="2172">
      <formula>$A23="Overhead Cable"</formula>
    </cfRule>
    <cfRule type="expression" dxfId="6668" priority="2173">
      <formula>$A23="Level Crossing"</formula>
    </cfRule>
    <cfRule type="expression" dxfId="6667" priority="2174">
      <formula>$A23="Neutral Section"</formula>
    </cfRule>
    <cfRule type="expression" dxfId="6666" priority="2175">
      <formula>$A23="Tunnel"</formula>
    </cfRule>
    <cfRule type="expression" dxfId="6665" priority="2176">
      <formula>$A23="Bridge"</formula>
    </cfRule>
    <cfRule type="expression" dxfId="6664" priority="2177">
      <formula>$A23="Drainage Works"</formula>
    </cfRule>
    <cfRule type="expression" dxfId="6663" priority="2178">
      <formula>$A23="Underpass"</formula>
    </cfRule>
    <cfRule type="expression" dxfId="6662" priority="2179">
      <formula>$A23="Overcrossing"</formula>
    </cfRule>
    <cfRule type="expression" dxfId="6661" priority="2180">
      <formula>$A23="Overpass"</formula>
    </cfRule>
    <cfRule type="expression" dxfId="6660" priority="2181">
      <formula>$A23="Station"</formula>
    </cfRule>
    <cfRule type="expression" dxfId="6659" priority="2182">
      <formula>$A23="Overlap between sections"</formula>
    </cfRule>
  </conditionalFormatting>
  <conditionalFormatting sqref="W21">
    <cfRule type="expression" dxfId="6658" priority="2169">
      <formula>$M21="NON DEFINED"</formula>
    </cfRule>
    <cfRule type="expression" dxfId="6657" priority="2170">
      <formula>$AZ21="N.D."</formula>
    </cfRule>
    <cfRule type="expression" dxfId="6656" priority="2171">
      <formula>$AY21="N.D."</formula>
    </cfRule>
  </conditionalFormatting>
  <conditionalFormatting sqref="W21">
    <cfRule type="expression" dxfId="6655" priority="2158">
      <formula>$A21="Overhead Cable"</formula>
    </cfRule>
    <cfRule type="expression" dxfId="6654" priority="2159">
      <formula>$A21="Level Crossing"</formula>
    </cfRule>
    <cfRule type="expression" dxfId="6653" priority="2160">
      <formula>$A21="Neutral Section"</formula>
    </cfRule>
    <cfRule type="expression" dxfId="6652" priority="2161">
      <formula>$A21="Tunnel"</formula>
    </cfRule>
    <cfRule type="expression" dxfId="6651" priority="2162">
      <formula>$A21="Bridge"</formula>
    </cfRule>
    <cfRule type="expression" dxfId="6650" priority="2163">
      <formula>$A21="Drainage Works"</formula>
    </cfRule>
    <cfRule type="expression" dxfId="6649" priority="2164">
      <formula>$A21="Underpass"</formula>
    </cfRule>
    <cfRule type="expression" dxfId="6648" priority="2165">
      <formula>$A21="Overcrossing"</formula>
    </cfRule>
    <cfRule type="expression" dxfId="6647" priority="2166">
      <formula>$A21="Overpass"</formula>
    </cfRule>
    <cfRule type="expression" dxfId="6646" priority="2167">
      <formula>$A21="Station"</formula>
    </cfRule>
    <cfRule type="expression" dxfId="6645" priority="2168">
      <formula>$A21="Overlap between sections"</formula>
    </cfRule>
  </conditionalFormatting>
  <conditionalFormatting sqref="W19">
    <cfRule type="expression" dxfId="6644" priority="2155">
      <formula>$M19="NON DEFINED"</formula>
    </cfRule>
    <cfRule type="expression" dxfId="6643" priority="2156">
      <formula>$AZ19="N.D."</formula>
    </cfRule>
    <cfRule type="expression" dxfId="6642" priority="2157">
      <formula>$AY19="N.D."</formula>
    </cfRule>
  </conditionalFormatting>
  <conditionalFormatting sqref="W19">
    <cfRule type="expression" dxfId="6641" priority="2144">
      <formula>$A19="Overhead Cable"</formula>
    </cfRule>
    <cfRule type="expression" dxfId="6640" priority="2145">
      <formula>$A19="Level Crossing"</formula>
    </cfRule>
    <cfRule type="expression" dxfId="6639" priority="2146">
      <formula>$A19="Neutral Section"</formula>
    </cfRule>
    <cfRule type="expression" dxfId="6638" priority="2147">
      <formula>$A19="Tunnel"</formula>
    </cfRule>
    <cfRule type="expression" dxfId="6637" priority="2148">
      <formula>$A19="Bridge"</formula>
    </cfRule>
    <cfRule type="expression" dxfId="6636" priority="2149">
      <formula>$A19="Drainage Works"</formula>
    </cfRule>
    <cfRule type="expression" dxfId="6635" priority="2150">
      <formula>$A19="Underpass"</formula>
    </cfRule>
    <cfRule type="expression" dxfId="6634" priority="2151">
      <formula>$A19="Overcrossing"</formula>
    </cfRule>
    <cfRule type="expression" dxfId="6633" priority="2152">
      <formula>$A19="Overpass"</formula>
    </cfRule>
    <cfRule type="expression" dxfId="6632" priority="2153">
      <formula>$A19="Station"</formula>
    </cfRule>
    <cfRule type="expression" dxfId="6631" priority="2154">
      <formula>$A19="Overlap between sections"</formula>
    </cfRule>
  </conditionalFormatting>
  <conditionalFormatting sqref="W17">
    <cfRule type="expression" dxfId="6630" priority="2141">
      <formula>$M17="NON DEFINED"</formula>
    </cfRule>
    <cfRule type="expression" dxfId="6629" priority="2142">
      <formula>$AZ17="N.D."</formula>
    </cfRule>
    <cfRule type="expression" dxfId="6628" priority="2143">
      <formula>$AY17="N.D."</formula>
    </cfRule>
  </conditionalFormatting>
  <conditionalFormatting sqref="W17">
    <cfRule type="expression" dxfId="6627" priority="2130">
      <formula>$A17="Overhead Cable"</formula>
    </cfRule>
    <cfRule type="expression" dxfId="6626" priority="2131">
      <formula>$A17="Level Crossing"</formula>
    </cfRule>
    <cfRule type="expression" dxfId="6625" priority="2132">
      <formula>$A17="Neutral Section"</formula>
    </cfRule>
    <cfRule type="expression" dxfId="6624" priority="2133">
      <formula>$A17="Tunnel"</formula>
    </cfRule>
    <cfRule type="expression" dxfId="6623" priority="2134">
      <formula>$A17="Bridge"</formula>
    </cfRule>
    <cfRule type="expression" dxfId="6622" priority="2135">
      <formula>$A17="Drainage Works"</formula>
    </cfRule>
    <cfRule type="expression" dxfId="6621" priority="2136">
      <formula>$A17="Underpass"</formula>
    </cfRule>
    <cfRule type="expression" dxfId="6620" priority="2137">
      <formula>$A17="Overcrossing"</formula>
    </cfRule>
    <cfRule type="expression" dxfId="6619" priority="2138">
      <formula>$A17="Overpass"</formula>
    </cfRule>
    <cfRule type="expression" dxfId="6618" priority="2139">
      <formula>$A17="Station"</formula>
    </cfRule>
    <cfRule type="expression" dxfId="6617" priority="2140">
      <formula>$A17="Overlap between sections"</formula>
    </cfRule>
  </conditionalFormatting>
  <conditionalFormatting sqref="AK31">
    <cfRule type="expression" dxfId="6616" priority="2127">
      <formula>$M31="NON DEFINED"</formula>
    </cfRule>
    <cfRule type="expression" dxfId="6615" priority="2128">
      <formula>$AZ31="N.D."</formula>
    </cfRule>
    <cfRule type="expression" dxfId="6614" priority="2129">
      <formula>$AY31="N.D."</formula>
    </cfRule>
  </conditionalFormatting>
  <conditionalFormatting sqref="AK31">
    <cfRule type="expression" dxfId="6613" priority="2116">
      <formula>$A31="Overhead Cable"</formula>
    </cfRule>
    <cfRule type="expression" dxfId="6612" priority="2117">
      <formula>$A31="Level Crossing"</formula>
    </cfRule>
    <cfRule type="expression" dxfId="6611" priority="2118">
      <formula>$A31="Neutral Section"</formula>
    </cfRule>
    <cfRule type="expression" dxfId="6610" priority="2119">
      <formula>$A31="Tunnel"</formula>
    </cfRule>
    <cfRule type="expression" dxfId="6609" priority="2120">
      <formula>$A31="Bridge"</formula>
    </cfRule>
    <cfRule type="expression" dxfId="6608" priority="2121">
      <formula>$A31="Drainage Works"</formula>
    </cfRule>
    <cfRule type="expression" dxfId="6607" priority="2122">
      <formula>$A31="Underpass"</formula>
    </cfRule>
    <cfRule type="expression" dxfId="6606" priority="2123">
      <formula>$A31="Overcrossing"</formula>
    </cfRule>
    <cfRule type="expression" dxfId="6605" priority="2124">
      <formula>$A31="Overpass"</formula>
    </cfRule>
    <cfRule type="expression" dxfId="6604" priority="2125">
      <formula>$A31="Station"</formula>
    </cfRule>
    <cfRule type="expression" dxfId="6603" priority="2126">
      <formula>$A31="Overlap between sections"</formula>
    </cfRule>
  </conditionalFormatting>
  <conditionalFormatting sqref="AK33">
    <cfRule type="expression" dxfId="6602" priority="2113">
      <formula>$M33="NON DEFINED"</formula>
    </cfRule>
    <cfRule type="expression" dxfId="6601" priority="2114">
      <formula>$AZ33="N.D."</formula>
    </cfRule>
    <cfRule type="expression" dxfId="6600" priority="2115">
      <formula>$AY33="N.D."</formula>
    </cfRule>
  </conditionalFormatting>
  <conditionalFormatting sqref="AK33">
    <cfRule type="expression" dxfId="6599" priority="2102">
      <formula>$A33="Overhead Cable"</formula>
    </cfRule>
    <cfRule type="expression" dxfId="6598" priority="2103">
      <formula>$A33="Level Crossing"</formula>
    </cfRule>
    <cfRule type="expression" dxfId="6597" priority="2104">
      <formula>$A33="Neutral Section"</formula>
    </cfRule>
    <cfRule type="expression" dxfId="6596" priority="2105">
      <formula>$A33="Tunnel"</formula>
    </cfRule>
    <cfRule type="expression" dxfId="6595" priority="2106">
      <formula>$A33="Bridge"</formula>
    </cfRule>
    <cfRule type="expression" dxfId="6594" priority="2107">
      <formula>$A33="Drainage Works"</formula>
    </cfRule>
    <cfRule type="expression" dxfId="6593" priority="2108">
      <formula>$A33="Underpass"</formula>
    </cfRule>
    <cfRule type="expression" dxfId="6592" priority="2109">
      <formula>$A33="Overcrossing"</formula>
    </cfRule>
    <cfRule type="expression" dxfId="6591" priority="2110">
      <formula>$A33="Overpass"</formula>
    </cfRule>
    <cfRule type="expression" dxfId="6590" priority="2111">
      <formula>$A33="Station"</formula>
    </cfRule>
    <cfRule type="expression" dxfId="6589" priority="2112">
      <formula>$A33="Overlap between sections"</formula>
    </cfRule>
  </conditionalFormatting>
  <conditionalFormatting sqref="AK35">
    <cfRule type="expression" dxfId="6588" priority="2099">
      <formula>$M35="NON DEFINED"</formula>
    </cfRule>
    <cfRule type="expression" dxfId="6587" priority="2100">
      <formula>$AZ35="N.D."</formula>
    </cfRule>
    <cfRule type="expression" dxfId="6586" priority="2101">
      <formula>$AY35="N.D."</formula>
    </cfRule>
  </conditionalFormatting>
  <conditionalFormatting sqref="AK35">
    <cfRule type="expression" dxfId="6585" priority="2088">
      <formula>$A35="Overhead Cable"</formula>
    </cfRule>
    <cfRule type="expression" dxfId="6584" priority="2089">
      <formula>$A35="Level Crossing"</formula>
    </cfRule>
    <cfRule type="expression" dxfId="6583" priority="2090">
      <formula>$A35="Neutral Section"</formula>
    </cfRule>
    <cfRule type="expression" dxfId="6582" priority="2091">
      <formula>$A35="Tunnel"</formula>
    </cfRule>
    <cfRule type="expression" dxfId="6581" priority="2092">
      <formula>$A35="Bridge"</formula>
    </cfRule>
    <cfRule type="expression" dxfId="6580" priority="2093">
      <formula>$A35="Drainage Works"</formula>
    </cfRule>
    <cfRule type="expression" dxfId="6579" priority="2094">
      <formula>$A35="Underpass"</formula>
    </cfRule>
    <cfRule type="expression" dxfId="6578" priority="2095">
      <formula>$A35="Overcrossing"</formula>
    </cfRule>
    <cfRule type="expression" dxfId="6577" priority="2096">
      <formula>$A35="Overpass"</formula>
    </cfRule>
    <cfRule type="expression" dxfId="6576" priority="2097">
      <formula>$A35="Station"</formula>
    </cfRule>
    <cfRule type="expression" dxfId="6575" priority="2098">
      <formula>$A35="Overlap between sections"</formula>
    </cfRule>
  </conditionalFormatting>
  <conditionalFormatting sqref="AK45">
    <cfRule type="expression" dxfId="6574" priority="2085">
      <formula>$M45="NON DEFINED"</formula>
    </cfRule>
    <cfRule type="expression" dxfId="6573" priority="2086">
      <formula>$AZ45="N.D."</formula>
    </cfRule>
    <cfRule type="expression" dxfId="6572" priority="2087">
      <formula>$AY45="N.D."</formula>
    </cfRule>
  </conditionalFormatting>
  <conditionalFormatting sqref="AK45">
    <cfRule type="expression" dxfId="6571" priority="2074">
      <formula>$A45="Overhead Cable"</formula>
    </cfRule>
    <cfRule type="expression" dxfId="6570" priority="2075">
      <formula>$A45="Level Crossing"</formula>
    </cfRule>
    <cfRule type="expression" dxfId="6569" priority="2076">
      <formula>$A45="Neutral Section"</formula>
    </cfRule>
    <cfRule type="expression" dxfId="6568" priority="2077">
      <formula>$A45="Tunnel"</formula>
    </cfRule>
    <cfRule type="expression" dxfId="6567" priority="2078">
      <formula>$A45="Bridge"</formula>
    </cfRule>
    <cfRule type="expression" dxfId="6566" priority="2079">
      <formula>$A45="Drainage Works"</formula>
    </cfRule>
    <cfRule type="expression" dxfId="6565" priority="2080">
      <formula>$A45="Underpass"</formula>
    </cfRule>
    <cfRule type="expression" dxfId="6564" priority="2081">
      <formula>$A45="Overcrossing"</formula>
    </cfRule>
    <cfRule type="expression" dxfId="6563" priority="2082">
      <formula>$A45="Overpass"</formula>
    </cfRule>
    <cfRule type="expression" dxfId="6562" priority="2083">
      <formula>$A45="Station"</formula>
    </cfRule>
    <cfRule type="expression" dxfId="6561" priority="2084">
      <formula>$A45="Overlap between sections"</formula>
    </cfRule>
  </conditionalFormatting>
  <conditionalFormatting sqref="AK43">
    <cfRule type="expression" dxfId="6560" priority="2071">
      <formula>$M43="NON DEFINED"</formula>
    </cfRule>
    <cfRule type="expression" dxfId="6559" priority="2072">
      <formula>$AZ43="N.D."</formula>
    </cfRule>
    <cfRule type="expression" dxfId="6558" priority="2073">
      <formula>$AY43="N.D."</formula>
    </cfRule>
  </conditionalFormatting>
  <conditionalFormatting sqref="AK43">
    <cfRule type="expression" dxfId="6557" priority="2060">
      <formula>$A43="Overhead Cable"</formula>
    </cfRule>
    <cfRule type="expression" dxfId="6556" priority="2061">
      <formula>$A43="Level Crossing"</formula>
    </cfRule>
    <cfRule type="expression" dxfId="6555" priority="2062">
      <formula>$A43="Neutral Section"</formula>
    </cfRule>
    <cfRule type="expression" dxfId="6554" priority="2063">
      <formula>$A43="Tunnel"</formula>
    </cfRule>
    <cfRule type="expression" dxfId="6553" priority="2064">
      <formula>$A43="Bridge"</formula>
    </cfRule>
    <cfRule type="expression" dxfId="6552" priority="2065">
      <formula>$A43="Drainage Works"</formula>
    </cfRule>
    <cfRule type="expression" dxfId="6551" priority="2066">
      <formula>$A43="Underpass"</formula>
    </cfRule>
    <cfRule type="expression" dxfId="6550" priority="2067">
      <formula>$A43="Overcrossing"</formula>
    </cfRule>
    <cfRule type="expression" dxfId="6549" priority="2068">
      <formula>$A43="Overpass"</formula>
    </cfRule>
    <cfRule type="expression" dxfId="6548" priority="2069">
      <formula>$A43="Station"</formula>
    </cfRule>
    <cfRule type="expression" dxfId="6547" priority="2070">
      <formula>$A43="Overlap between sections"</formula>
    </cfRule>
  </conditionalFormatting>
  <conditionalFormatting sqref="AK41">
    <cfRule type="expression" dxfId="6546" priority="2057">
      <formula>$M41="NON DEFINED"</formula>
    </cfRule>
    <cfRule type="expression" dxfId="6545" priority="2058">
      <formula>$AZ41="N.D."</formula>
    </cfRule>
    <cfRule type="expression" dxfId="6544" priority="2059">
      <formula>$AY41="N.D."</formula>
    </cfRule>
  </conditionalFormatting>
  <conditionalFormatting sqref="AK41">
    <cfRule type="expression" dxfId="6543" priority="2046">
      <formula>$A41="Overhead Cable"</formula>
    </cfRule>
    <cfRule type="expression" dxfId="6542" priority="2047">
      <formula>$A41="Level Crossing"</formula>
    </cfRule>
    <cfRule type="expression" dxfId="6541" priority="2048">
      <formula>$A41="Neutral Section"</formula>
    </cfRule>
    <cfRule type="expression" dxfId="6540" priority="2049">
      <formula>$A41="Tunnel"</formula>
    </cfRule>
    <cfRule type="expression" dxfId="6539" priority="2050">
      <formula>$A41="Bridge"</formula>
    </cfRule>
    <cfRule type="expression" dxfId="6538" priority="2051">
      <formula>$A41="Drainage Works"</formula>
    </cfRule>
    <cfRule type="expression" dxfId="6537" priority="2052">
      <formula>$A41="Underpass"</formula>
    </cfRule>
    <cfRule type="expression" dxfId="6536" priority="2053">
      <formula>$A41="Overcrossing"</formula>
    </cfRule>
    <cfRule type="expression" dxfId="6535" priority="2054">
      <formula>$A41="Overpass"</formula>
    </cfRule>
    <cfRule type="expression" dxfId="6534" priority="2055">
      <formula>$A41="Station"</formula>
    </cfRule>
    <cfRule type="expression" dxfId="6533" priority="2056">
      <formula>$A41="Overlap between sections"</formula>
    </cfRule>
  </conditionalFormatting>
  <conditionalFormatting sqref="AK39">
    <cfRule type="expression" dxfId="6532" priority="2043">
      <formula>$M39="NON DEFINED"</formula>
    </cfRule>
    <cfRule type="expression" dxfId="6531" priority="2044">
      <formula>$AZ39="N.D."</formula>
    </cfRule>
    <cfRule type="expression" dxfId="6530" priority="2045">
      <formula>$AY39="N.D."</formula>
    </cfRule>
  </conditionalFormatting>
  <conditionalFormatting sqref="AK39">
    <cfRule type="expression" dxfId="6529" priority="2032">
      <formula>$A39="Overhead Cable"</formula>
    </cfRule>
    <cfRule type="expression" dxfId="6528" priority="2033">
      <formula>$A39="Level Crossing"</formula>
    </cfRule>
    <cfRule type="expression" dxfId="6527" priority="2034">
      <formula>$A39="Neutral Section"</formula>
    </cfRule>
    <cfRule type="expression" dxfId="6526" priority="2035">
      <formula>$A39="Tunnel"</formula>
    </cfRule>
    <cfRule type="expression" dxfId="6525" priority="2036">
      <formula>$A39="Bridge"</formula>
    </cfRule>
    <cfRule type="expression" dxfId="6524" priority="2037">
      <formula>$A39="Drainage Works"</formula>
    </cfRule>
    <cfRule type="expression" dxfId="6523" priority="2038">
      <formula>$A39="Underpass"</formula>
    </cfRule>
    <cfRule type="expression" dxfId="6522" priority="2039">
      <formula>$A39="Overcrossing"</formula>
    </cfRule>
    <cfRule type="expression" dxfId="6521" priority="2040">
      <formula>$A39="Overpass"</formula>
    </cfRule>
    <cfRule type="expression" dxfId="6520" priority="2041">
      <formula>$A39="Station"</formula>
    </cfRule>
    <cfRule type="expression" dxfId="6519" priority="2042">
      <formula>$A39="Overlap between sections"</formula>
    </cfRule>
  </conditionalFormatting>
  <conditionalFormatting sqref="AK37">
    <cfRule type="expression" dxfId="6518" priority="2029">
      <formula>$M37="NON DEFINED"</formula>
    </cfRule>
    <cfRule type="expression" dxfId="6517" priority="2030">
      <formula>$AZ37="N.D."</formula>
    </cfRule>
    <cfRule type="expression" dxfId="6516" priority="2031">
      <formula>$AY37="N.D."</formula>
    </cfRule>
  </conditionalFormatting>
  <conditionalFormatting sqref="AK37">
    <cfRule type="expression" dxfId="6515" priority="2018">
      <formula>$A37="Overhead Cable"</formula>
    </cfRule>
    <cfRule type="expression" dxfId="6514" priority="2019">
      <formula>$A37="Level Crossing"</formula>
    </cfRule>
    <cfRule type="expression" dxfId="6513" priority="2020">
      <formula>$A37="Neutral Section"</formula>
    </cfRule>
    <cfRule type="expression" dxfId="6512" priority="2021">
      <formula>$A37="Tunnel"</formula>
    </cfRule>
    <cfRule type="expression" dxfId="6511" priority="2022">
      <formula>$A37="Bridge"</formula>
    </cfRule>
    <cfRule type="expression" dxfId="6510" priority="2023">
      <formula>$A37="Drainage Works"</formula>
    </cfRule>
    <cfRule type="expression" dxfId="6509" priority="2024">
      <formula>$A37="Underpass"</formula>
    </cfRule>
    <cfRule type="expression" dxfId="6508" priority="2025">
      <formula>$A37="Overcrossing"</formula>
    </cfRule>
    <cfRule type="expression" dxfId="6507" priority="2026">
      <formula>$A37="Overpass"</formula>
    </cfRule>
    <cfRule type="expression" dxfId="6506" priority="2027">
      <formula>$A37="Station"</formula>
    </cfRule>
    <cfRule type="expression" dxfId="6505" priority="2028">
      <formula>$A37="Overlap between sections"</formula>
    </cfRule>
  </conditionalFormatting>
  <conditionalFormatting sqref="AK47">
    <cfRule type="expression" dxfId="6504" priority="2015">
      <formula>$M47="NON DEFINED"</formula>
    </cfRule>
    <cfRule type="expression" dxfId="6503" priority="2016">
      <formula>$AZ47="N.D."</formula>
    </cfRule>
    <cfRule type="expression" dxfId="6502" priority="2017">
      <formula>$AY47="N.D."</formula>
    </cfRule>
  </conditionalFormatting>
  <conditionalFormatting sqref="AK47">
    <cfRule type="expression" dxfId="6501" priority="2004">
      <formula>$A47="Overhead Cable"</formula>
    </cfRule>
    <cfRule type="expression" dxfId="6500" priority="2005">
      <formula>$A47="Level Crossing"</formula>
    </cfRule>
    <cfRule type="expression" dxfId="6499" priority="2006">
      <formula>$A47="Neutral Section"</formula>
    </cfRule>
    <cfRule type="expression" dxfId="6498" priority="2007">
      <formula>$A47="Tunnel"</formula>
    </cfRule>
    <cfRule type="expression" dxfId="6497" priority="2008">
      <formula>$A47="Bridge"</formula>
    </cfRule>
    <cfRule type="expression" dxfId="6496" priority="2009">
      <formula>$A47="Drainage Works"</formula>
    </cfRule>
    <cfRule type="expression" dxfId="6495" priority="2010">
      <formula>$A47="Underpass"</formula>
    </cfRule>
    <cfRule type="expression" dxfId="6494" priority="2011">
      <formula>$A47="Overcrossing"</formula>
    </cfRule>
    <cfRule type="expression" dxfId="6493" priority="2012">
      <formula>$A47="Overpass"</formula>
    </cfRule>
    <cfRule type="expression" dxfId="6492" priority="2013">
      <formula>$A47="Station"</formula>
    </cfRule>
    <cfRule type="expression" dxfId="6491" priority="2014">
      <formula>$A47="Overlap between sections"</formula>
    </cfRule>
  </conditionalFormatting>
  <conditionalFormatting sqref="AK49">
    <cfRule type="expression" dxfId="6490" priority="2001">
      <formula>$M49="NON DEFINED"</formula>
    </cfRule>
    <cfRule type="expression" dxfId="6489" priority="2002">
      <formula>$AZ49="N.D."</formula>
    </cfRule>
    <cfRule type="expression" dxfId="6488" priority="2003">
      <formula>$AY49="N.D."</formula>
    </cfRule>
  </conditionalFormatting>
  <conditionalFormatting sqref="AK49">
    <cfRule type="expression" dxfId="6487" priority="1990">
      <formula>$A49="Overhead Cable"</formula>
    </cfRule>
    <cfRule type="expression" dxfId="6486" priority="1991">
      <formula>$A49="Level Crossing"</formula>
    </cfRule>
    <cfRule type="expression" dxfId="6485" priority="1992">
      <formula>$A49="Neutral Section"</formula>
    </cfRule>
    <cfRule type="expression" dxfId="6484" priority="1993">
      <formula>$A49="Tunnel"</formula>
    </cfRule>
    <cfRule type="expression" dxfId="6483" priority="1994">
      <formula>$A49="Bridge"</formula>
    </cfRule>
    <cfRule type="expression" dxfId="6482" priority="1995">
      <formula>$A49="Drainage Works"</formula>
    </cfRule>
    <cfRule type="expression" dxfId="6481" priority="1996">
      <formula>$A49="Underpass"</formula>
    </cfRule>
    <cfRule type="expression" dxfId="6480" priority="1997">
      <formula>$A49="Overcrossing"</formula>
    </cfRule>
    <cfRule type="expression" dxfId="6479" priority="1998">
      <formula>$A49="Overpass"</formula>
    </cfRule>
    <cfRule type="expression" dxfId="6478" priority="1999">
      <formula>$A49="Station"</formula>
    </cfRule>
    <cfRule type="expression" dxfId="6477" priority="2000">
      <formula>$A49="Overlap between sections"</formula>
    </cfRule>
  </conditionalFormatting>
  <conditionalFormatting sqref="B9 B11 B13 B15 B17 B19 B21 B23 B25 B27 B29 B31 B33 B35 B37 B39 B41 B43 B45 B47 B49 B51 B53 C8:V15 B7:V7 X7:AZ15">
    <cfRule type="expression" dxfId="6476" priority="1987">
      <formula>$M7="NON DEFINED"</formula>
    </cfRule>
    <cfRule type="expression" dxfId="6475" priority="1988">
      <formula>$AZ7="N.D."</formula>
    </cfRule>
    <cfRule type="expression" dxfId="6474" priority="1989">
      <formula>$AY7="N.D."</formula>
    </cfRule>
  </conditionalFormatting>
  <conditionalFormatting sqref="AG7:AG15 A7:E7 AY7:AZ15 G7:H15 J7:J15 A8:A15 C8:E15 B9 B11 B13 B15 B17 B19 B21 B23 B25 B27 B29 B31 B33 B35 B37 B39 B41 B43 B45 B47 B49 B51 B53 AM7:AS15">
    <cfRule type="expression" dxfId="6473" priority="1976">
      <formula>$A7="Overhead Cable"</formula>
    </cfRule>
    <cfRule type="expression" dxfId="6472" priority="1977">
      <formula>$A7="Level Crossing"</formula>
    </cfRule>
    <cfRule type="expression" dxfId="6471" priority="1978">
      <formula>$A7="Neutral Section"</formula>
    </cfRule>
    <cfRule type="expression" dxfId="6470" priority="1979">
      <formula>$A7="Tunnel"</formula>
    </cfRule>
    <cfRule type="expression" dxfId="6469" priority="1980">
      <formula>$A7="Bridge"</formula>
    </cfRule>
    <cfRule type="expression" dxfId="6468" priority="1981">
      <formula>$A7="Drainage Works"</formula>
    </cfRule>
    <cfRule type="expression" dxfId="6467" priority="1982">
      <formula>$A7="Underpass"</formula>
    </cfRule>
    <cfRule type="expression" dxfId="6466" priority="1983">
      <formula>$A7="Overcrossing"</formula>
    </cfRule>
    <cfRule type="expression" dxfId="6465" priority="1984">
      <formula>$A7="Overpass"</formula>
    </cfRule>
    <cfRule type="expression" dxfId="6464" priority="1985">
      <formula>$A7="Station"</formula>
    </cfRule>
    <cfRule type="expression" dxfId="6463" priority="1986">
      <formula>$A7="Overlap between sections"</formula>
    </cfRule>
  </conditionalFormatting>
  <conditionalFormatting sqref="AN7:AP15">
    <cfRule type="cellIs" dxfId="6462" priority="1975" operator="notEqual">
      <formula>5.5</formula>
    </cfRule>
  </conditionalFormatting>
  <conditionalFormatting sqref="B7 B9 B11 B13 B15 B17 B19 B21 B23 B25 B27 B29 B31 B33 B35 B37 B39 B41 B43 B45 B47 B49 B51 B53">
    <cfRule type="expression" dxfId="6461" priority="1974">
      <formula>AND($AH7&gt;2499,$AH7&lt;2901)</formula>
    </cfRule>
  </conditionalFormatting>
  <conditionalFormatting sqref="I7:I15">
    <cfRule type="expression" dxfId="6460" priority="1963">
      <formula>$A7="Overhead Cable"</formula>
    </cfRule>
    <cfRule type="expression" dxfId="6459" priority="1964">
      <formula>$A7="Level Crossing"</formula>
    </cfRule>
    <cfRule type="expression" dxfId="6458" priority="1965">
      <formula>$A7="Neutral Section"</formula>
    </cfRule>
    <cfRule type="expression" dxfId="6457" priority="1966">
      <formula>$A7="Tunnel"</formula>
    </cfRule>
    <cfRule type="expression" dxfId="6456" priority="1967">
      <formula>$A7="Bridge"</formula>
    </cfRule>
    <cfRule type="expression" dxfId="6455" priority="1968">
      <formula>$A7="Drainage Works"</formula>
    </cfRule>
    <cfRule type="expression" dxfId="6454" priority="1969">
      <formula>$A7="Underpass"</formula>
    </cfRule>
    <cfRule type="expression" dxfId="6453" priority="1970">
      <formula>$A7="Overcrossing"</formula>
    </cfRule>
    <cfRule type="expression" dxfId="6452" priority="1971">
      <formula>$A7="Overpass"</formula>
    </cfRule>
    <cfRule type="expression" dxfId="6451" priority="1972">
      <formula>$A7="Station"</formula>
    </cfRule>
    <cfRule type="expression" dxfId="6450" priority="1973">
      <formula>$A7="Overlap between sections"</formula>
    </cfRule>
  </conditionalFormatting>
  <conditionalFormatting sqref="K7:K15">
    <cfRule type="expression" dxfId="6449" priority="1952">
      <formula>$A7="Overhead Cable"</formula>
    </cfRule>
    <cfRule type="expression" dxfId="6448" priority="1953">
      <formula>$A7="Level Crossing"</formula>
    </cfRule>
    <cfRule type="expression" dxfId="6447" priority="1954">
      <formula>$A7="Neutral Section"</formula>
    </cfRule>
    <cfRule type="expression" dxfId="6446" priority="1955">
      <formula>$A7="Tunnel"</formula>
    </cfRule>
    <cfRule type="expression" dxfId="6445" priority="1956">
      <formula>$A7="Bridge"</formula>
    </cfRule>
    <cfRule type="expression" dxfId="6444" priority="1957">
      <formula>$A7="Drainage Works"</formula>
    </cfRule>
    <cfRule type="expression" dxfId="6443" priority="1958">
      <formula>$A7="Underpass"</formula>
    </cfRule>
    <cfRule type="expression" dxfId="6442" priority="1959">
      <formula>$A7="Overcrossing"</formula>
    </cfRule>
    <cfRule type="expression" dxfId="6441" priority="1960">
      <formula>$A7="Overpass"</formula>
    </cfRule>
    <cfRule type="expression" dxfId="6440" priority="1961">
      <formula>$A7="Station"</formula>
    </cfRule>
    <cfRule type="expression" dxfId="6439" priority="1962">
      <formula>$A7="Overlap between sections"</formula>
    </cfRule>
  </conditionalFormatting>
  <conditionalFormatting sqref="L7:L15">
    <cfRule type="expression" dxfId="6438" priority="1941">
      <formula>$A7="Overhead Cable"</formula>
    </cfRule>
    <cfRule type="expression" dxfId="6437" priority="1942">
      <formula>$A7="Level Crossing"</formula>
    </cfRule>
    <cfRule type="expression" dxfId="6436" priority="1943">
      <formula>$A7="Neutral Section"</formula>
    </cfRule>
    <cfRule type="expression" dxfId="6435" priority="1944">
      <formula>$A7="Tunnel"</formula>
    </cfRule>
    <cfRule type="expression" dxfId="6434" priority="1945">
      <formula>$A7="Bridge"</formula>
    </cfRule>
    <cfRule type="expression" dxfId="6433" priority="1946">
      <formula>$A7="Drainage Works"</formula>
    </cfRule>
    <cfRule type="expression" dxfId="6432" priority="1947">
      <formula>$A7="Underpass"</formula>
    </cfRule>
    <cfRule type="expression" dxfId="6431" priority="1948">
      <formula>$A7="Overcrossing"</formula>
    </cfRule>
    <cfRule type="expression" dxfId="6430" priority="1949">
      <formula>$A7="Overpass"</formula>
    </cfRule>
    <cfRule type="expression" dxfId="6429" priority="1950">
      <formula>$A7="Station"</formula>
    </cfRule>
    <cfRule type="expression" dxfId="6428" priority="1951">
      <formula>$A7="Overlap between sections"</formula>
    </cfRule>
  </conditionalFormatting>
  <conditionalFormatting sqref="M7:M15">
    <cfRule type="expression" dxfId="6427" priority="1930">
      <formula>$A7="Overhead Cable"</formula>
    </cfRule>
    <cfRule type="expression" dxfId="6426" priority="1931">
      <formula>$A7="Level Crossing"</formula>
    </cfRule>
    <cfRule type="expression" dxfId="6425" priority="1932">
      <formula>$A7="Neutral Section"</formula>
    </cfRule>
    <cfRule type="expression" dxfId="6424" priority="1933">
      <formula>$A7="Tunnel"</formula>
    </cfRule>
    <cfRule type="expression" dxfId="6423" priority="1934">
      <formula>$A7="Bridge"</formula>
    </cfRule>
    <cfRule type="expression" dxfId="6422" priority="1935">
      <formula>$A7="Drainage Works"</formula>
    </cfRule>
    <cfRule type="expression" dxfId="6421" priority="1936">
      <formula>$A7="Underpass"</formula>
    </cfRule>
    <cfRule type="expression" dxfId="6420" priority="1937">
      <formula>$A7="Overcrossing"</formula>
    </cfRule>
    <cfRule type="expression" dxfId="6419" priority="1938">
      <formula>$A7="Overpass"</formula>
    </cfRule>
    <cfRule type="expression" dxfId="6418" priority="1939">
      <formula>$A7="Station"</formula>
    </cfRule>
    <cfRule type="expression" dxfId="6417" priority="1940">
      <formula>$A7="Overlap between sections"</formula>
    </cfRule>
  </conditionalFormatting>
  <conditionalFormatting sqref="N7:N15">
    <cfRule type="expression" dxfId="6416" priority="1919">
      <formula>$A7="Overhead Cable"</formula>
    </cfRule>
    <cfRule type="expression" dxfId="6415" priority="1920">
      <formula>$A7="Level Crossing"</formula>
    </cfRule>
    <cfRule type="expression" dxfId="6414" priority="1921">
      <formula>$A7="Neutral Section"</formula>
    </cfRule>
    <cfRule type="expression" dxfId="6413" priority="1922">
      <formula>$A7="Tunnel"</formula>
    </cfRule>
    <cfRule type="expression" dxfId="6412" priority="1923">
      <formula>$A7="Bridge"</formula>
    </cfRule>
    <cfRule type="expression" dxfId="6411" priority="1924">
      <formula>$A7="Drainage Works"</formula>
    </cfRule>
    <cfRule type="expression" dxfId="6410" priority="1925">
      <formula>$A7="Underpass"</formula>
    </cfRule>
    <cfRule type="expression" dxfId="6409" priority="1926">
      <formula>$A7="Overcrossing"</formula>
    </cfRule>
    <cfRule type="expression" dxfId="6408" priority="1927">
      <formula>$A7="Overpass"</formula>
    </cfRule>
    <cfRule type="expression" dxfId="6407" priority="1928">
      <formula>$A7="Station"</formula>
    </cfRule>
    <cfRule type="expression" dxfId="6406" priority="1929">
      <formula>$A7="Overlap between sections"</formula>
    </cfRule>
  </conditionalFormatting>
  <conditionalFormatting sqref="O7:O15">
    <cfRule type="expression" dxfId="6405" priority="1908">
      <formula>$A7="Overhead Cable"</formula>
    </cfRule>
    <cfRule type="expression" dxfId="6404" priority="1909">
      <formula>$A7="Level Crossing"</formula>
    </cfRule>
    <cfRule type="expression" dxfId="6403" priority="1910">
      <formula>$A7="Neutral Section"</formula>
    </cfRule>
    <cfRule type="expression" dxfId="6402" priority="1911">
      <formula>$A7="Tunnel"</formula>
    </cfRule>
    <cfRule type="expression" dxfId="6401" priority="1912">
      <formula>$A7="Bridge"</formula>
    </cfRule>
    <cfRule type="expression" dxfId="6400" priority="1913">
      <formula>$A7="Drainage Works"</formula>
    </cfRule>
    <cfRule type="expression" dxfId="6399" priority="1914">
      <formula>$A7="Underpass"</formula>
    </cfRule>
    <cfRule type="expression" dxfId="6398" priority="1915">
      <formula>$A7="Overcrossing"</formula>
    </cfRule>
    <cfRule type="expression" dxfId="6397" priority="1916">
      <formula>$A7="Overpass"</formula>
    </cfRule>
    <cfRule type="expression" dxfId="6396" priority="1917">
      <formula>$A7="Station"</formula>
    </cfRule>
    <cfRule type="expression" dxfId="6395" priority="1918">
      <formula>$A7="Overlap between sections"</formula>
    </cfRule>
  </conditionalFormatting>
  <conditionalFormatting sqref="P7:P15">
    <cfRule type="expression" dxfId="6394" priority="1897">
      <formula>$A7="Overhead Cable"</formula>
    </cfRule>
    <cfRule type="expression" dxfId="6393" priority="1898">
      <formula>$A7="Level Crossing"</formula>
    </cfRule>
    <cfRule type="expression" dxfId="6392" priority="1899">
      <formula>$A7="Neutral Section"</formula>
    </cfRule>
    <cfRule type="expression" dxfId="6391" priority="1900">
      <formula>$A7="Tunnel"</formula>
    </cfRule>
    <cfRule type="expression" dxfId="6390" priority="1901">
      <formula>$A7="Bridge"</formula>
    </cfRule>
    <cfRule type="expression" dxfId="6389" priority="1902">
      <formula>$A7="Drainage Works"</formula>
    </cfRule>
    <cfRule type="expression" dxfId="6388" priority="1903">
      <formula>$A7="Underpass"</formula>
    </cfRule>
    <cfRule type="expression" dxfId="6387" priority="1904">
      <formula>$A7="Overcrossing"</formula>
    </cfRule>
    <cfRule type="expression" dxfId="6386" priority="1905">
      <formula>$A7="Overpass"</formula>
    </cfRule>
    <cfRule type="expression" dxfId="6385" priority="1906">
      <formula>$A7="Station"</formula>
    </cfRule>
    <cfRule type="expression" dxfId="6384" priority="1907">
      <formula>$A7="Overlap between sections"</formula>
    </cfRule>
  </conditionalFormatting>
  <conditionalFormatting sqref="AC7:AC15">
    <cfRule type="expression" dxfId="6383" priority="1886">
      <formula>$A7="Overhead Cable"</formula>
    </cfRule>
    <cfRule type="expression" dxfId="6382" priority="1887">
      <formula>$A7="Level Crossing"</formula>
    </cfRule>
    <cfRule type="expression" dxfId="6381" priority="1888">
      <formula>$A7="Neutral Section"</formula>
    </cfRule>
    <cfRule type="expression" dxfId="6380" priority="1889">
      <formula>$A7="Tunnel"</formula>
    </cfRule>
    <cfRule type="expression" dxfId="6379" priority="1890">
      <formula>$A7="Bridge"</formula>
    </cfRule>
    <cfRule type="expression" dxfId="6378" priority="1891">
      <formula>$A7="Drainage Works"</formula>
    </cfRule>
    <cfRule type="expression" dxfId="6377" priority="1892">
      <formula>$A7="Underpass"</formula>
    </cfRule>
    <cfRule type="expression" dxfId="6376" priority="1893">
      <formula>$A7="Overcrossing"</formula>
    </cfRule>
    <cfRule type="expression" dxfId="6375" priority="1894">
      <formula>$A7="Overpass"</formula>
    </cfRule>
    <cfRule type="expression" dxfId="6374" priority="1895">
      <formula>$A7="Station"</formula>
    </cfRule>
    <cfRule type="expression" dxfId="6373" priority="1896">
      <formula>$A7="Overlap between sections"</formula>
    </cfRule>
  </conditionalFormatting>
  <conditionalFormatting sqref="AD7:AD15">
    <cfRule type="expression" dxfId="6372" priority="1875">
      <formula>$A7="Overhead Cable"</formula>
    </cfRule>
    <cfRule type="expression" dxfId="6371" priority="1876">
      <formula>$A7="Level Crossing"</formula>
    </cfRule>
    <cfRule type="expression" dxfId="6370" priority="1877">
      <formula>$A7="Neutral Section"</formula>
    </cfRule>
    <cfRule type="expression" dxfId="6369" priority="1878">
      <formula>$A7="Tunnel"</formula>
    </cfRule>
    <cfRule type="expression" dxfId="6368" priority="1879">
      <formula>$A7="Bridge"</formula>
    </cfRule>
    <cfRule type="expression" dxfId="6367" priority="1880">
      <formula>$A7="Drainage Works"</formula>
    </cfRule>
    <cfRule type="expression" dxfId="6366" priority="1881">
      <formula>$A7="Underpass"</formula>
    </cfRule>
    <cfRule type="expression" dxfId="6365" priority="1882">
      <formula>$A7="Overcrossing"</formula>
    </cfRule>
    <cfRule type="expression" dxfId="6364" priority="1883">
      <formula>$A7="Overpass"</formula>
    </cfRule>
    <cfRule type="expression" dxfId="6363" priority="1884">
      <formula>$A7="Station"</formula>
    </cfRule>
    <cfRule type="expression" dxfId="6362" priority="1885">
      <formula>$A7="Overlap between sections"</formula>
    </cfRule>
  </conditionalFormatting>
  <conditionalFormatting sqref="AE7:AE15">
    <cfRule type="expression" dxfId="6361" priority="1864">
      <formula>$A7="Overhead Cable"</formula>
    </cfRule>
    <cfRule type="expression" dxfId="6360" priority="1865">
      <formula>$A7="Level Crossing"</formula>
    </cfRule>
    <cfRule type="expression" dxfId="6359" priority="1866">
      <formula>$A7="Neutral Section"</formula>
    </cfRule>
    <cfRule type="expression" dxfId="6358" priority="1867">
      <formula>$A7="Tunnel"</formula>
    </cfRule>
    <cfRule type="expression" dxfId="6357" priority="1868">
      <formula>$A7="Bridge"</formula>
    </cfRule>
    <cfRule type="expression" dxfId="6356" priority="1869">
      <formula>$A7="Drainage Works"</formula>
    </cfRule>
    <cfRule type="expression" dxfId="6355" priority="1870">
      <formula>$A7="Underpass"</formula>
    </cfRule>
    <cfRule type="expression" dxfId="6354" priority="1871">
      <formula>$A7="Overcrossing"</formula>
    </cfRule>
    <cfRule type="expression" dxfId="6353" priority="1872">
      <formula>$A7="Overpass"</formula>
    </cfRule>
    <cfRule type="expression" dxfId="6352" priority="1873">
      <formula>$A7="Station"</formula>
    </cfRule>
    <cfRule type="expression" dxfId="6351" priority="1874">
      <formula>$A7="Overlap between sections"</formula>
    </cfRule>
  </conditionalFormatting>
  <conditionalFormatting sqref="AJ7:AJ15">
    <cfRule type="expression" dxfId="6350" priority="1853">
      <formula>$A7="Overhead Cable"</formula>
    </cfRule>
    <cfRule type="expression" dxfId="6349" priority="1854">
      <formula>$A7="Level Crossing"</formula>
    </cfRule>
    <cfRule type="expression" dxfId="6348" priority="1855">
      <formula>$A7="Neutral Section"</formula>
    </cfRule>
    <cfRule type="expression" dxfId="6347" priority="1856">
      <formula>$A7="Tunnel"</formula>
    </cfRule>
    <cfRule type="expression" dxfId="6346" priority="1857">
      <formula>$A7="Bridge"</formula>
    </cfRule>
    <cfRule type="expression" dxfId="6345" priority="1858">
      <formula>$A7="Drainage Works"</formula>
    </cfRule>
    <cfRule type="expression" dxfId="6344" priority="1859">
      <formula>$A7="Underpass"</formula>
    </cfRule>
    <cfRule type="expression" dxfId="6343" priority="1860">
      <formula>$A7="Overcrossing"</formula>
    </cfRule>
    <cfRule type="expression" dxfId="6342" priority="1861">
      <formula>$A7="Overpass"</formula>
    </cfRule>
    <cfRule type="expression" dxfId="6341" priority="1862">
      <formula>$A7="Station"</formula>
    </cfRule>
    <cfRule type="expression" dxfId="6340" priority="1863">
      <formula>$A7="Overlap between sections"</formula>
    </cfRule>
  </conditionalFormatting>
  <conditionalFormatting sqref="AK7:AK15">
    <cfRule type="expression" dxfId="6339" priority="1842">
      <formula>$A7="Overhead Cable"</formula>
    </cfRule>
    <cfRule type="expression" dxfId="6338" priority="1843">
      <formula>$A7="Level Crossing"</formula>
    </cfRule>
    <cfRule type="expression" dxfId="6337" priority="1844">
      <formula>$A7="Neutral Section"</formula>
    </cfRule>
    <cfRule type="expression" dxfId="6336" priority="1845">
      <formula>$A7="Tunnel"</formula>
    </cfRule>
    <cfRule type="expression" dxfId="6335" priority="1846">
      <formula>$A7="Bridge"</formula>
    </cfRule>
    <cfRule type="expression" dxfId="6334" priority="1847">
      <formula>$A7="Drainage Works"</formula>
    </cfRule>
    <cfRule type="expression" dxfId="6333" priority="1848">
      <formula>$A7="Underpass"</formula>
    </cfRule>
    <cfRule type="expression" dxfId="6332" priority="1849">
      <formula>$A7="Overcrossing"</formula>
    </cfRule>
    <cfRule type="expression" dxfId="6331" priority="1850">
      <formula>$A7="Overpass"</formula>
    </cfRule>
    <cfRule type="expression" dxfId="6330" priority="1851">
      <formula>$A7="Station"</formula>
    </cfRule>
    <cfRule type="expression" dxfId="6329" priority="1852">
      <formula>$A7="Overlap between sections"</formula>
    </cfRule>
  </conditionalFormatting>
  <conditionalFormatting sqref="AL7:AL15">
    <cfRule type="expression" dxfId="6328" priority="1831">
      <formula>$A7="Overhead Cable"</formula>
    </cfRule>
    <cfRule type="expression" dxfId="6327" priority="1832">
      <formula>$A7="Level Crossing"</formula>
    </cfRule>
    <cfRule type="expression" dxfId="6326" priority="1833">
      <formula>$A7="Neutral Section"</formula>
    </cfRule>
    <cfRule type="expression" dxfId="6325" priority="1834">
      <formula>$A7="Tunnel"</formula>
    </cfRule>
    <cfRule type="expression" dxfId="6324" priority="1835">
      <formula>$A7="Bridge"</formula>
    </cfRule>
    <cfRule type="expression" dxfId="6323" priority="1836">
      <formula>$A7="Drainage Works"</formula>
    </cfRule>
    <cfRule type="expression" dxfId="6322" priority="1837">
      <formula>$A7="Underpass"</formula>
    </cfRule>
    <cfRule type="expression" dxfId="6321" priority="1838">
      <formula>$A7="Overcrossing"</formula>
    </cfRule>
    <cfRule type="expression" dxfId="6320" priority="1839">
      <formula>$A7="Overpass"</formula>
    </cfRule>
    <cfRule type="expression" dxfId="6319" priority="1840">
      <formula>$A7="Station"</formula>
    </cfRule>
    <cfRule type="expression" dxfId="6318" priority="1841">
      <formula>$A7="Overlap between sections"</formula>
    </cfRule>
  </conditionalFormatting>
  <conditionalFormatting sqref="AT7:AT15">
    <cfRule type="expression" dxfId="6317" priority="1820">
      <formula>$A7="Overhead Cable"</formula>
    </cfRule>
    <cfRule type="expression" dxfId="6316" priority="1821">
      <formula>$A7="Level Crossing"</formula>
    </cfRule>
    <cfRule type="expression" dxfId="6315" priority="1822">
      <formula>$A7="Neutral Section"</formula>
    </cfRule>
    <cfRule type="expression" dxfId="6314" priority="1823">
      <formula>$A7="Tunnel"</formula>
    </cfRule>
    <cfRule type="expression" dxfId="6313" priority="1824">
      <formula>$A7="Bridge"</formula>
    </cfRule>
    <cfRule type="expression" dxfId="6312" priority="1825">
      <formula>$A7="Drainage Works"</formula>
    </cfRule>
    <cfRule type="expression" dxfId="6311" priority="1826">
      <formula>$A7="Underpass"</formula>
    </cfRule>
    <cfRule type="expression" dxfId="6310" priority="1827">
      <formula>$A7="Overcrossing"</formula>
    </cfRule>
    <cfRule type="expression" dxfId="6309" priority="1828">
      <formula>$A7="Overpass"</formula>
    </cfRule>
    <cfRule type="expression" dxfId="6308" priority="1829">
      <formula>$A7="Station"</formula>
    </cfRule>
    <cfRule type="expression" dxfId="6307" priority="1830">
      <formula>$A7="Overlap between sections"</formula>
    </cfRule>
  </conditionalFormatting>
  <conditionalFormatting sqref="AU7:AU15">
    <cfRule type="expression" dxfId="6306" priority="1809">
      <formula>$A7="Overhead Cable"</formula>
    </cfRule>
    <cfRule type="expression" dxfId="6305" priority="1810">
      <formula>$A7="Level Crossing"</formula>
    </cfRule>
    <cfRule type="expression" dxfId="6304" priority="1811">
      <formula>$A7="Neutral Section"</formula>
    </cfRule>
    <cfRule type="expression" dxfId="6303" priority="1812">
      <formula>$A7="Tunnel"</formula>
    </cfRule>
    <cfRule type="expression" dxfId="6302" priority="1813">
      <formula>$A7="Bridge"</formula>
    </cfRule>
    <cfRule type="expression" dxfId="6301" priority="1814">
      <formula>$A7="Drainage Works"</formula>
    </cfRule>
    <cfRule type="expression" dxfId="6300" priority="1815">
      <formula>$A7="Underpass"</formula>
    </cfRule>
    <cfRule type="expression" dxfId="6299" priority="1816">
      <formula>$A7="Overcrossing"</formula>
    </cfRule>
    <cfRule type="expression" dxfId="6298" priority="1817">
      <formula>$A7="Overpass"</formula>
    </cfRule>
    <cfRule type="expression" dxfId="6297" priority="1818">
      <formula>$A7="Station"</formula>
    </cfRule>
    <cfRule type="expression" dxfId="6296" priority="1819">
      <formula>$A7="Overlap between sections"</formula>
    </cfRule>
  </conditionalFormatting>
  <conditionalFormatting sqref="AV7:AV15">
    <cfRule type="expression" dxfId="6295" priority="1798">
      <formula>$A7="Overhead Cable"</formula>
    </cfRule>
    <cfRule type="expression" dxfId="6294" priority="1799">
      <formula>$A7="Level Crossing"</formula>
    </cfRule>
    <cfRule type="expression" dxfId="6293" priority="1800">
      <formula>$A7="Neutral Section"</formula>
    </cfRule>
    <cfRule type="expression" dxfId="6292" priority="1801">
      <formula>$A7="Tunnel"</formula>
    </cfRule>
    <cfRule type="expression" dxfId="6291" priority="1802">
      <formula>$A7="Bridge"</formula>
    </cfRule>
    <cfRule type="expression" dxfId="6290" priority="1803">
      <formula>$A7="Drainage Works"</formula>
    </cfRule>
    <cfRule type="expression" dxfId="6289" priority="1804">
      <formula>$A7="Underpass"</formula>
    </cfRule>
    <cfRule type="expression" dxfId="6288" priority="1805">
      <formula>$A7="Overcrossing"</formula>
    </cfRule>
    <cfRule type="expression" dxfId="6287" priority="1806">
      <formula>$A7="Overpass"</formula>
    </cfRule>
    <cfRule type="expression" dxfId="6286" priority="1807">
      <formula>$A7="Station"</formula>
    </cfRule>
    <cfRule type="expression" dxfId="6285" priority="1808">
      <formula>$A7="Overlap between sections"</formula>
    </cfRule>
  </conditionalFormatting>
  <conditionalFormatting sqref="AW7:AW15">
    <cfRule type="expression" dxfId="6284" priority="1787">
      <formula>$A7="Overhead Cable"</formula>
    </cfRule>
    <cfRule type="expression" dxfId="6283" priority="1788">
      <formula>$A7="Level Crossing"</formula>
    </cfRule>
    <cfRule type="expression" dxfId="6282" priority="1789">
      <formula>$A7="Neutral Section"</formula>
    </cfRule>
    <cfRule type="expression" dxfId="6281" priority="1790">
      <formula>$A7="Tunnel"</formula>
    </cfRule>
    <cfRule type="expression" dxfId="6280" priority="1791">
      <formula>$A7="Bridge"</formula>
    </cfRule>
    <cfRule type="expression" dxfId="6279" priority="1792">
      <formula>$A7="Drainage Works"</formula>
    </cfRule>
    <cfRule type="expression" dxfId="6278" priority="1793">
      <formula>$A7="Underpass"</formula>
    </cfRule>
    <cfRule type="expression" dxfId="6277" priority="1794">
      <formula>$A7="Overcrossing"</formula>
    </cfRule>
    <cfRule type="expression" dxfId="6276" priority="1795">
      <formula>$A7="Overpass"</formula>
    </cfRule>
    <cfRule type="expression" dxfId="6275" priority="1796">
      <formula>$A7="Station"</formula>
    </cfRule>
    <cfRule type="expression" dxfId="6274" priority="1797">
      <formula>$A7="Overlap between sections"</formula>
    </cfRule>
  </conditionalFormatting>
  <conditionalFormatting sqref="AX7:AX15">
    <cfRule type="expression" dxfId="6273" priority="1776">
      <formula>$A7="Overhead Cable"</formula>
    </cfRule>
    <cfRule type="expression" dxfId="6272" priority="1777">
      <formula>$A7="Level Crossing"</formula>
    </cfRule>
    <cfRule type="expression" dxfId="6271" priority="1778">
      <formula>$A7="Neutral Section"</formula>
    </cfRule>
    <cfRule type="expression" dxfId="6270" priority="1779">
      <formula>$A7="Tunnel"</formula>
    </cfRule>
    <cfRule type="expression" dxfId="6269" priority="1780">
      <formula>$A7="Bridge"</formula>
    </cfRule>
    <cfRule type="expression" dxfId="6268" priority="1781">
      <formula>$A7="Drainage Works"</formula>
    </cfRule>
    <cfRule type="expression" dxfId="6267" priority="1782">
      <formula>$A7="Underpass"</formula>
    </cfRule>
    <cfRule type="expression" dxfId="6266" priority="1783">
      <formula>$A7="Overcrossing"</formula>
    </cfRule>
    <cfRule type="expression" dxfId="6265" priority="1784">
      <formula>$A7="Overpass"</formula>
    </cfRule>
    <cfRule type="expression" dxfId="6264" priority="1785">
      <formula>$A7="Station"</formula>
    </cfRule>
    <cfRule type="expression" dxfId="6263" priority="1786">
      <formula>$A7="Overlap between sections"</formula>
    </cfRule>
  </conditionalFormatting>
  <conditionalFormatting sqref="F7:F15">
    <cfRule type="expression" dxfId="6262" priority="1765">
      <formula>$A7="Overhead Cable"</formula>
    </cfRule>
    <cfRule type="expression" dxfId="6261" priority="1766">
      <formula>$A7="Level Crossing"</formula>
    </cfRule>
    <cfRule type="expression" dxfId="6260" priority="1767">
      <formula>$A7="Neutral Section"</formula>
    </cfRule>
    <cfRule type="expression" dxfId="6259" priority="1768">
      <formula>$A7="Tunnel"</formula>
    </cfRule>
    <cfRule type="expression" dxfId="6258" priority="1769">
      <formula>$A7="Bridge"</formula>
    </cfRule>
    <cfRule type="expression" dxfId="6257" priority="1770">
      <formula>$A7="Drainage Works"</formula>
    </cfRule>
    <cfRule type="expression" dxfId="6256" priority="1771">
      <formula>$A7="Underpass"</formula>
    </cfRule>
    <cfRule type="expression" dxfId="6255" priority="1772">
      <formula>$A7="Overcrossing"</formula>
    </cfRule>
    <cfRule type="expression" dxfId="6254" priority="1773">
      <formula>$A7="Overpass"</formula>
    </cfRule>
    <cfRule type="expression" dxfId="6253" priority="1774">
      <formula>$A7="Station"</formula>
    </cfRule>
    <cfRule type="expression" dxfId="6252" priority="1775">
      <formula>$A7="Overlap between sections"</formula>
    </cfRule>
  </conditionalFormatting>
  <conditionalFormatting sqref="Q7:Q15">
    <cfRule type="expression" dxfId="6251" priority="1754">
      <formula>$A7="Overhead Cable"</formula>
    </cfRule>
    <cfRule type="expression" dxfId="6250" priority="1755">
      <formula>$A7="Level Crossing"</formula>
    </cfRule>
    <cfRule type="expression" dxfId="6249" priority="1756">
      <formula>$A7="Neutral Section"</formula>
    </cfRule>
    <cfRule type="expression" dxfId="6248" priority="1757">
      <formula>$A7="Tunnel"</formula>
    </cfRule>
    <cfRule type="expression" dxfId="6247" priority="1758">
      <formula>$A7="Bridge"</formula>
    </cfRule>
    <cfRule type="expression" dxfId="6246" priority="1759">
      <formula>$A7="Drainage Works"</formula>
    </cfRule>
    <cfRule type="expression" dxfId="6245" priority="1760">
      <formula>$A7="Underpass"</formula>
    </cfRule>
    <cfRule type="expression" dxfId="6244" priority="1761">
      <formula>$A7="Overcrossing"</formula>
    </cfRule>
    <cfRule type="expression" dxfId="6243" priority="1762">
      <formula>$A7="Overpass"</formula>
    </cfRule>
    <cfRule type="expression" dxfId="6242" priority="1763">
      <formula>$A7="Station"</formula>
    </cfRule>
    <cfRule type="expression" dxfId="6241" priority="1764">
      <formula>$A7="Overlap between sections"</formula>
    </cfRule>
  </conditionalFormatting>
  <conditionalFormatting sqref="T7:T15">
    <cfRule type="expression" dxfId="6240" priority="1743">
      <formula>$A7="Overhead Cable"</formula>
    </cfRule>
    <cfRule type="expression" dxfId="6239" priority="1744">
      <formula>$A7="Level Crossing"</formula>
    </cfRule>
    <cfRule type="expression" dxfId="6238" priority="1745">
      <formula>$A7="Neutral Section"</formula>
    </cfRule>
    <cfRule type="expression" dxfId="6237" priority="1746">
      <formula>$A7="Tunnel"</formula>
    </cfRule>
    <cfRule type="expression" dxfId="6236" priority="1747">
      <formula>$A7="Bridge"</formula>
    </cfRule>
    <cfRule type="expression" dxfId="6235" priority="1748">
      <formula>$A7="Drainage Works"</formula>
    </cfRule>
    <cfRule type="expression" dxfId="6234" priority="1749">
      <formula>$A7="Underpass"</formula>
    </cfRule>
    <cfRule type="expression" dxfId="6233" priority="1750">
      <formula>$A7="Overcrossing"</formula>
    </cfRule>
    <cfRule type="expression" dxfId="6232" priority="1751">
      <formula>$A7="Overpass"</formula>
    </cfRule>
    <cfRule type="expression" dxfId="6231" priority="1752">
      <formula>$A7="Station"</formula>
    </cfRule>
    <cfRule type="expression" dxfId="6230" priority="1753">
      <formula>$A7="Overlap between sections"</formula>
    </cfRule>
  </conditionalFormatting>
  <conditionalFormatting sqref="U7:U15">
    <cfRule type="expression" dxfId="6229" priority="1732">
      <formula>$A7="Overhead Cable"</formula>
    </cfRule>
    <cfRule type="expression" dxfId="6228" priority="1733">
      <formula>$A7="Level Crossing"</formula>
    </cfRule>
    <cfRule type="expression" dxfId="6227" priority="1734">
      <formula>$A7="Neutral Section"</formula>
    </cfRule>
    <cfRule type="expression" dxfId="6226" priority="1735">
      <formula>$A7="Tunnel"</formula>
    </cfRule>
    <cfRule type="expression" dxfId="6225" priority="1736">
      <formula>$A7="Bridge"</formula>
    </cfRule>
    <cfRule type="expression" dxfId="6224" priority="1737">
      <formula>$A7="Drainage Works"</formula>
    </cfRule>
    <cfRule type="expression" dxfId="6223" priority="1738">
      <formula>$A7="Underpass"</formula>
    </cfRule>
    <cfRule type="expression" dxfId="6222" priority="1739">
      <formula>$A7="Overcrossing"</formula>
    </cfRule>
    <cfRule type="expression" dxfId="6221" priority="1740">
      <formula>$A7="Overpass"</formula>
    </cfRule>
    <cfRule type="expression" dxfId="6220" priority="1741">
      <formula>$A7="Station"</formula>
    </cfRule>
    <cfRule type="expression" dxfId="6219" priority="1742">
      <formula>$A7="Overlap between sections"</formula>
    </cfRule>
  </conditionalFormatting>
  <conditionalFormatting sqref="V7:V15">
    <cfRule type="expression" dxfId="6218" priority="1721">
      <formula>$A7="Overhead Cable"</formula>
    </cfRule>
    <cfRule type="expression" dxfId="6217" priority="1722">
      <formula>$A7="Level Crossing"</formula>
    </cfRule>
    <cfRule type="expression" dxfId="6216" priority="1723">
      <formula>$A7="Neutral Section"</formula>
    </cfRule>
    <cfRule type="expression" dxfId="6215" priority="1724">
      <formula>$A7="Tunnel"</formula>
    </cfRule>
    <cfRule type="expression" dxfId="6214" priority="1725">
      <formula>$A7="Bridge"</formula>
    </cfRule>
    <cfRule type="expression" dxfId="6213" priority="1726">
      <formula>$A7="Drainage Works"</formula>
    </cfRule>
    <cfRule type="expression" dxfId="6212" priority="1727">
      <formula>$A7="Underpass"</formula>
    </cfRule>
    <cfRule type="expression" dxfId="6211" priority="1728">
      <formula>$A7="Overcrossing"</formula>
    </cfRule>
    <cfRule type="expression" dxfId="6210" priority="1729">
      <formula>$A7="Overpass"</formula>
    </cfRule>
    <cfRule type="expression" dxfId="6209" priority="1730">
      <formula>$A7="Station"</formula>
    </cfRule>
    <cfRule type="expression" dxfId="6208" priority="1731">
      <formula>$A7="Overlap between sections"</formula>
    </cfRule>
  </conditionalFormatting>
  <conditionalFormatting sqref="AF7:AF15">
    <cfRule type="expression" dxfId="6207" priority="1710">
      <formula>$A7="Overhead Cable"</formula>
    </cfRule>
    <cfRule type="expression" dxfId="6206" priority="1711">
      <formula>$A7="Level Crossing"</formula>
    </cfRule>
    <cfRule type="expression" dxfId="6205" priority="1712">
      <formula>$A7="Neutral Section"</formula>
    </cfRule>
    <cfRule type="expression" dxfId="6204" priority="1713">
      <formula>$A7="Tunnel"</formula>
    </cfRule>
    <cfRule type="expression" dxfId="6203" priority="1714">
      <formula>$A7="Bridge"</formula>
    </cfRule>
    <cfRule type="expression" dxfId="6202" priority="1715">
      <formula>$A7="Drainage Works"</formula>
    </cfRule>
    <cfRule type="expression" dxfId="6201" priority="1716">
      <formula>$A7="Underpass"</formula>
    </cfRule>
    <cfRule type="expression" dxfId="6200" priority="1717">
      <formula>$A7="Overcrossing"</formula>
    </cfRule>
    <cfRule type="expression" dxfId="6199" priority="1718">
      <formula>$A7="Overpass"</formula>
    </cfRule>
    <cfRule type="expression" dxfId="6198" priority="1719">
      <formula>$A7="Station"</formula>
    </cfRule>
    <cfRule type="expression" dxfId="6197" priority="1720">
      <formula>$A7="Overlap between sections"</formula>
    </cfRule>
  </conditionalFormatting>
  <conditionalFormatting sqref="AH7:AH15">
    <cfRule type="expression" dxfId="6196" priority="1699">
      <formula>$A7="Overhead Cable"</formula>
    </cfRule>
    <cfRule type="expression" dxfId="6195" priority="1700">
      <formula>$A7="Level Crossing"</formula>
    </cfRule>
    <cfRule type="expression" dxfId="6194" priority="1701">
      <formula>$A7="Neutral Section"</formula>
    </cfRule>
    <cfRule type="expression" dxfId="6193" priority="1702">
      <formula>$A7="Tunnel"</formula>
    </cfRule>
    <cfRule type="expression" dxfId="6192" priority="1703">
      <formula>$A7="Bridge"</formula>
    </cfRule>
    <cfRule type="expression" dxfId="6191" priority="1704">
      <formula>$A7="Drainage Works"</formula>
    </cfRule>
    <cfRule type="expression" dxfId="6190" priority="1705">
      <formula>$A7="Underpass"</formula>
    </cfRule>
    <cfRule type="expression" dxfId="6189" priority="1706">
      <formula>$A7="Overcrossing"</formula>
    </cfRule>
    <cfRule type="expression" dxfId="6188" priority="1707">
      <formula>$A7="Overpass"</formula>
    </cfRule>
    <cfRule type="expression" dxfId="6187" priority="1708">
      <formula>$A7="Station"</formula>
    </cfRule>
    <cfRule type="expression" dxfId="6186" priority="1709">
      <formula>$A7="Overlap between sections"</formula>
    </cfRule>
  </conditionalFormatting>
  <conditionalFormatting sqref="AI7:AI15">
    <cfRule type="expression" dxfId="6185" priority="1688">
      <formula>$A7="Overhead Cable"</formula>
    </cfRule>
    <cfRule type="expression" dxfId="6184" priority="1689">
      <formula>$A7="Level Crossing"</formula>
    </cfRule>
    <cfRule type="expression" dxfId="6183" priority="1690">
      <formula>$A7="Neutral Section"</formula>
    </cfRule>
    <cfRule type="expression" dxfId="6182" priority="1691">
      <formula>$A7="Tunnel"</formula>
    </cfRule>
    <cfRule type="expression" dxfId="6181" priority="1692">
      <formula>$A7="Bridge"</formula>
    </cfRule>
    <cfRule type="expression" dxfId="6180" priority="1693">
      <formula>$A7="Drainage Works"</formula>
    </cfRule>
    <cfRule type="expression" dxfId="6179" priority="1694">
      <formula>$A7="Underpass"</formula>
    </cfRule>
    <cfRule type="expression" dxfId="6178" priority="1695">
      <formula>$A7="Overcrossing"</formula>
    </cfRule>
    <cfRule type="expression" dxfId="6177" priority="1696">
      <formula>$A7="Overpass"</formula>
    </cfRule>
    <cfRule type="expression" dxfId="6176" priority="1697">
      <formula>$A7="Station"</formula>
    </cfRule>
    <cfRule type="expression" dxfId="6175" priority="1698">
      <formula>$A7="Overlap between sections"</formula>
    </cfRule>
  </conditionalFormatting>
  <conditionalFormatting sqref="R7:R15">
    <cfRule type="expression" dxfId="6174" priority="1677">
      <formula>$A7="Overhead Cable"</formula>
    </cfRule>
    <cfRule type="expression" dxfId="6173" priority="1678">
      <formula>$A7="Level Crossing"</formula>
    </cfRule>
    <cfRule type="expression" dxfId="6172" priority="1679">
      <formula>$A7="Neutral Section"</formula>
    </cfRule>
    <cfRule type="expression" dxfId="6171" priority="1680">
      <formula>$A7="Tunnel"</formula>
    </cfRule>
    <cfRule type="expression" dxfId="6170" priority="1681">
      <formula>$A7="Bridge"</formula>
    </cfRule>
    <cfRule type="expression" dxfId="6169" priority="1682">
      <formula>$A7="Drainage Works"</formula>
    </cfRule>
    <cfRule type="expression" dxfId="6168" priority="1683">
      <formula>$A7="Underpass"</formula>
    </cfRule>
    <cfRule type="expression" dxfId="6167" priority="1684">
      <formula>$A7="Overcrossing"</formula>
    </cfRule>
    <cfRule type="expression" dxfId="6166" priority="1685">
      <formula>$A7="Overpass"</formula>
    </cfRule>
    <cfRule type="expression" dxfId="6165" priority="1686">
      <formula>$A7="Station"</formula>
    </cfRule>
    <cfRule type="expression" dxfId="6164" priority="1687">
      <formula>$A7="Overlap between sections"</formula>
    </cfRule>
  </conditionalFormatting>
  <conditionalFormatting sqref="S7:S15">
    <cfRule type="expression" dxfId="6163" priority="1666">
      <formula>$A7="Overhead Cable"</formula>
    </cfRule>
    <cfRule type="expression" dxfId="6162" priority="1667">
      <formula>$A7="Level Crossing"</formula>
    </cfRule>
    <cfRule type="expression" dxfId="6161" priority="1668">
      <formula>$A7="Neutral Section"</formula>
    </cfRule>
    <cfRule type="expression" dxfId="6160" priority="1669">
      <formula>$A7="Tunnel"</formula>
    </cfRule>
    <cfRule type="expression" dxfId="6159" priority="1670">
      <formula>$A7="Bridge"</formula>
    </cfRule>
    <cfRule type="expression" dxfId="6158" priority="1671">
      <formula>$A7="Drainage Works"</formula>
    </cfRule>
    <cfRule type="expression" dxfId="6157" priority="1672">
      <formula>$A7="Underpass"</formula>
    </cfRule>
    <cfRule type="expression" dxfId="6156" priority="1673">
      <formula>$A7="Overcrossing"</formula>
    </cfRule>
    <cfRule type="expression" dxfId="6155" priority="1674">
      <formula>$A7="Overpass"</formula>
    </cfRule>
    <cfRule type="expression" dxfId="6154" priority="1675">
      <formula>$A7="Station"</formula>
    </cfRule>
    <cfRule type="expression" dxfId="6153" priority="1676">
      <formula>$A7="Overlap between sections"</formula>
    </cfRule>
  </conditionalFormatting>
  <conditionalFormatting sqref="X7:X15">
    <cfRule type="expression" dxfId="6152" priority="1655">
      <formula>$A7="Overhead Cable"</formula>
    </cfRule>
    <cfRule type="expression" dxfId="6151" priority="1656">
      <formula>$A7="Level Crossing"</formula>
    </cfRule>
    <cfRule type="expression" dxfId="6150" priority="1657">
      <formula>$A7="Neutral Section"</formula>
    </cfRule>
    <cfRule type="expression" dxfId="6149" priority="1658">
      <formula>$A7="Tunnel"</formula>
    </cfRule>
    <cfRule type="expression" dxfId="6148" priority="1659">
      <formula>$A7="Bridge"</formula>
    </cfRule>
    <cfRule type="expression" dxfId="6147" priority="1660">
      <formula>$A7="Drainage Works"</formula>
    </cfRule>
    <cfRule type="expression" dxfId="6146" priority="1661">
      <formula>$A7="Underpass"</formula>
    </cfRule>
    <cfRule type="expression" dxfId="6145" priority="1662">
      <formula>$A7="Overcrossing"</formula>
    </cfRule>
    <cfRule type="expression" dxfId="6144" priority="1663">
      <formula>$A7="Overpass"</formula>
    </cfRule>
    <cfRule type="expression" dxfId="6143" priority="1664">
      <formula>$A7="Station"</formula>
    </cfRule>
    <cfRule type="expression" dxfId="6142" priority="1665">
      <formula>$A7="Overlap between sections"</formula>
    </cfRule>
  </conditionalFormatting>
  <conditionalFormatting sqref="Y7:Y15">
    <cfRule type="expression" dxfId="6141" priority="1644">
      <formula>$A7="Overhead Cable"</formula>
    </cfRule>
    <cfRule type="expression" dxfId="6140" priority="1645">
      <formula>$A7="Level Crossing"</formula>
    </cfRule>
    <cfRule type="expression" dxfId="6139" priority="1646">
      <formula>$A7="Neutral Section"</formula>
    </cfRule>
    <cfRule type="expression" dxfId="6138" priority="1647">
      <formula>$A7="Tunnel"</formula>
    </cfRule>
    <cfRule type="expression" dxfId="6137" priority="1648">
      <formula>$A7="Bridge"</formula>
    </cfRule>
    <cfRule type="expression" dxfId="6136" priority="1649">
      <formula>$A7="Drainage Works"</formula>
    </cfRule>
    <cfRule type="expression" dxfId="6135" priority="1650">
      <formula>$A7="Underpass"</formula>
    </cfRule>
    <cfRule type="expression" dxfId="6134" priority="1651">
      <formula>$A7="Overcrossing"</formula>
    </cfRule>
    <cfRule type="expression" dxfId="6133" priority="1652">
      <formula>$A7="Overpass"</formula>
    </cfRule>
    <cfRule type="expression" dxfId="6132" priority="1653">
      <formula>$A7="Station"</formula>
    </cfRule>
    <cfRule type="expression" dxfId="6131" priority="1654">
      <formula>$A7="Overlap between sections"</formula>
    </cfRule>
  </conditionalFormatting>
  <conditionalFormatting sqref="Z7:Z15">
    <cfRule type="expression" dxfId="6130" priority="1633">
      <formula>$A7="Overhead Cable"</formula>
    </cfRule>
    <cfRule type="expression" dxfId="6129" priority="1634">
      <formula>$A7="Level Crossing"</formula>
    </cfRule>
    <cfRule type="expression" dxfId="6128" priority="1635">
      <formula>$A7="Neutral Section"</formula>
    </cfRule>
    <cfRule type="expression" dxfId="6127" priority="1636">
      <formula>$A7="Tunnel"</formula>
    </cfRule>
    <cfRule type="expression" dxfId="6126" priority="1637">
      <formula>$A7="Bridge"</formula>
    </cfRule>
    <cfRule type="expression" dxfId="6125" priority="1638">
      <formula>$A7="Drainage Works"</formula>
    </cfRule>
    <cfRule type="expression" dxfId="6124" priority="1639">
      <formula>$A7="Underpass"</formula>
    </cfRule>
    <cfRule type="expression" dxfId="6123" priority="1640">
      <formula>$A7="Overcrossing"</formula>
    </cfRule>
    <cfRule type="expression" dxfId="6122" priority="1641">
      <formula>$A7="Overpass"</formula>
    </cfRule>
    <cfRule type="expression" dxfId="6121" priority="1642">
      <formula>$A7="Station"</formula>
    </cfRule>
    <cfRule type="expression" dxfId="6120" priority="1643">
      <formula>$A7="Overlap between sections"</formula>
    </cfRule>
  </conditionalFormatting>
  <conditionalFormatting sqref="AA7:AA15">
    <cfRule type="expression" dxfId="6119" priority="1622">
      <formula>$A7="Overhead Cable"</formula>
    </cfRule>
    <cfRule type="expression" dxfId="6118" priority="1623">
      <formula>$A7="Level Crossing"</formula>
    </cfRule>
    <cfRule type="expression" dxfId="6117" priority="1624">
      <formula>$A7="Neutral Section"</formula>
    </cfRule>
    <cfRule type="expression" dxfId="6116" priority="1625">
      <formula>$A7="Tunnel"</formula>
    </cfRule>
    <cfRule type="expression" dxfId="6115" priority="1626">
      <formula>$A7="Bridge"</formula>
    </cfRule>
    <cfRule type="expression" dxfId="6114" priority="1627">
      <formula>$A7="Drainage Works"</formula>
    </cfRule>
    <cfRule type="expression" dxfId="6113" priority="1628">
      <formula>$A7="Underpass"</formula>
    </cfRule>
    <cfRule type="expression" dxfId="6112" priority="1629">
      <formula>$A7="Overcrossing"</formula>
    </cfRule>
    <cfRule type="expression" dxfId="6111" priority="1630">
      <formula>$A7="Overpass"</formula>
    </cfRule>
    <cfRule type="expression" dxfId="6110" priority="1631">
      <formula>$A7="Station"</formula>
    </cfRule>
    <cfRule type="expression" dxfId="6109" priority="1632">
      <formula>$A7="Overlap between sections"</formula>
    </cfRule>
  </conditionalFormatting>
  <conditionalFormatting sqref="AB7:AB15">
    <cfRule type="expression" dxfId="6108" priority="1611">
      <formula>$A7="Overhead Cable"</formula>
    </cfRule>
    <cfRule type="expression" dxfId="6107" priority="1612">
      <formula>$A7="Level Crossing"</formula>
    </cfRule>
    <cfRule type="expression" dxfId="6106" priority="1613">
      <formula>$A7="Neutral Section"</formula>
    </cfRule>
    <cfRule type="expression" dxfId="6105" priority="1614">
      <formula>$A7="Tunnel"</formula>
    </cfRule>
    <cfRule type="expression" dxfId="6104" priority="1615">
      <formula>$A7="Bridge"</formula>
    </cfRule>
    <cfRule type="expression" dxfId="6103" priority="1616">
      <formula>$A7="Drainage Works"</formula>
    </cfRule>
    <cfRule type="expression" dxfId="6102" priority="1617">
      <formula>$A7="Underpass"</formula>
    </cfRule>
    <cfRule type="expression" dxfId="6101" priority="1618">
      <formula>$A7="Overcrossing"</formula>
    </cfRule>
    <cfRule type="expression" dxfId="6100" priority="1619">
      <formula>$A7="Overpass"</formula>
    </cfRule>
    <cfRule type="expression" dxfId="6099" priority="1620">
      <formula>$A7="Station"</formula>
    </cfRule>
    <cfRule type="expression" dxfId="6098" priority="1621">
      <formula>$A7="Overlap between sections"</formula>
    </cfRule>
  </conditionalFormatting>
  <conditionalFormatting sqref="BD7:BD15">
    <cfRule type="containsText" dxfId="6097" priority="1610" operator="containsText" text="Poner a mano">
      <formula>NOT(ISERROR(SEARCH("Poner a mano",BD7)))</formula>
    </cfRule>
  </conditionalFormatting>
  <conditionalFormatting sqref="BA7:BC15">
    <cfRule type="expression" dxfId="6096" priority="1608">
      <formula>$BE7="A"</formula>
    </cfRule>
    <cfRule type="expression" dxfId="6095" priority="1609">
      <formula>$BE7="R"</formula>
    </cfRule>
  </conditionalFormatting>
  <conditionalFormatting sqref="BC7:BC15">
    <cfRule type="expression" dxfId="6094" priority="1607">
      <formula>$M7="U.S. N.D."</formula>
    </cfRule>
  </conditionalFormatting>
  <conditionalFormatting sqref="BB7:BB15">
    <cfRule type="expression" dxfId="6093" priority="1605">
      <formula>$AZ7="N.D."</formula>
    </cfRule>
  </conditionalFormatting>
  <conditionalFormatting sqref="BA7:BA15">
    <cfRule type="expression" dxfId="6092" priority="1606">
      <formula>$AY7="N.D."</formula>
    </cfRule>
  </conditionalFormatting>
  <conditionalFormatting sqref="W7:W15">
    <cfRule type="expression" dxfId="6091" priority="1602">
      <formula>$M7="NON DEFINED"</formula>
    </cfRule>
    <cfRule type="expression" dxfId="6090" priority="1603">
      <formula>$AZ7="N.D."</formula>
    </cfRule>
    <cfRule type="expression" dxfId="6089" priority="1604">
      <formula>$AY7="N.D."</formula>
    </cfRule>
  </conditionalFormatting>
  <conditionalFormatting sqref="W7:W15">
    <cfRule type="expression" dxfId="6088" priority="1591">
      <formula>$A7="Overhead Cable"</formula>
    </cfRule>
    <cfRule type="expression" dxfId="6087" priority="1592">
      <formula>$A7="Level Crossing"</formula>
    </cfRule>
    <cfRule type="expression" dxfId="6086" priority="1593">
      <formula>$A7="Neutral Section"</formula>
    </cfRule>
    <cfRule type="expression" dxfId="6085" priority="1594">
      <formula>$A7="Tunnel"</formula>
    </cfRule>
    <cfRule type="expression" dxfId="6084" priority="1595">
      <formula>$A7="Bridge"</formula>
    </cfRule>
    <cfRule type="expression" dxfId="6083" priority="1596">
      <formula>$A7="Drainage Works"</formula>
    </cfRule>
    <cfRule type="expression" dxfId="6082" priority="1597">
      <formula>$A7="Underpass"</formula>
    </cfRule>
    <cfRule type="expression" dxfId="6081" priority="1598">
      <formula>$A7="Overcrossing"</formula>
    </cfRule>
    <cfRule type="expression" dxfId="6080" priority="1599">
      <formula>$A7="Overpass"</formula>
    </cfRule>
    <cfRule type="expression" dxfId="6079" priority="1600">
      <formula>$A7="Station"</formula>
    </cfRule>
    <cfRule type="expression" dxfId="6078" priority="1601">
      <formula>$A7="Overlap between sections"</formula>
    </cfRule>
  </conditionalFormatting>
  <conditionalFormatting sqref="AY54:AZ55 B54:AV54 C55:AV55">
    <cfRule type="expression" dxfId="6077" priority="1588">
      <formula>$M54="NON DEFINED"</formula>
    </cfRule>
    <cfRule type="expression" dxfId="6076" priority="1589">
      <formula>$AZ54="N.D."</formula>
    </cfRule>
    <cfRule type="expression" dxfId="6075" priority="1590">
      <formula>$AY54="N.D."</formula>
    </cfRule>
  </conditionalFormatting>
  <conditionalFormatting sqref="AM54:AS55 J54:J55 G54:H55 AY54:AZ55 AG54:AG55 A54:E54 A55 C55:E55">
    <cfRule type="expression" dxfId="6074" priority="1577">
      <formula>$A54="Overhead Cable"</formula>
    </cfRule>
    <cfRule type="expression" dxfId="6073" priority="1578">
      <formula>$A54="Level Crossing"</formula>
    </cfRule>
    <cfRule type="expression" dxfId="6072" priority="1579">
      <formula>$A54="Neutral Section"</formula>
    </cfRule>
    <cfRule type="expression" dxfId="6071" priority="1580">
      <formula>$A54="Tunnel"</formula>
    </cfRule>
    <cfRule type="expression" dxfId="6070" priority="1581">
      <formula>$A54="Bridge"</formula>
    </cfRule>
    <cfRule type="expression" dxfId="6069" priority="1582">
      <formula>$A54="Drainage Works"</formula>
    </cfRule>
    <cfRule type="expression" dxfId="6068" priority="1583">
      <formula>$A54="Underpass"</formula>
    </cfRule>
    <cfRule type="expression" dxfId="6067" priority="1584">
      <formula>$A54="Overcrossing"</formula>
    </cfRule>
    <cfRule type="expression" dxfId="6066" priority="1585">
      <formula>$A54="Overpass"</formula>
    </cfRule>
    <cfRule type="expression" dxfId="6065" priority="1586">
      <formula>$A54="Station"</formula>
    </cfRule>
    <cfRule type="expression" dxfId="6064" priority="1587">
      <formula>$A54="Overlap between sections"</formula>
    </cfRule>
  </conditionalFormatting>
  <conditionalFormatting sqref="AN54:AP55">
    <cfRule type="cellIs" dxfId="6063" priority="1576" operator="notEqual">
      <formula>5.5</formula>
    </cfRule>
  </conditionalFormatting>
  <conditionalFormatting sqref="B54">
    <cfRule type="expression" dxfId="6062" priority="1575">
      <formula>AND($AH54&gt;2499,$AH54&lt;2901)</formula>
    </cfRule>
  </conditionalFormatting>
  <conditionalFormatting sqref="I54:I55">
    <cfRule type="expression" dxfId="6061" priority="1564">
      <formula>$A54="Overhead Cable"</formula>
    </cfRule>
    <cfRule type="expression" dxfId="6060" priority="1565">
      <formula>$A54="Level Crossing"</formula>
    </cfRule>
    <cfRule type="expression" dxfId="6059" priority="1566">
      <formula>$A54="Neutral Section"</formula>
    </cfRule>
    <cfRule type="expression" dxfId="6058" priority="1567">
      <formula>$A54="Tunnel"</formula>
    </cfRule>
    <cfRule type="expression" dxfId="6057" priority="1568">
      <formula>$A54="Bridge"</formula>
    </cfRule>
    <cfRule type="expression" dxfId="6056" priority="1569">
      <formula>$A54="Drainage Works"</formula>
    </cfRule>
    <cfRule type="expression" dxfId="6055" priority="1570">
      <formula>$A54="Underpass"</formula>
    </cfRule>
    <cfRule type="expression" dxfId="6054" priority="1571">
      <formula>$A54="Overcrossing"</formula>
    </cfRule>
    <cfRule type="expression" dxfId="6053" priority="1572">
      <formula>$A54="Overpass"</formula>
    </cfRule>
    <cfRule type="expression" dxfId="6052" priority="1573">
      <formula>$A54="Station"</formula>
    </cfRule>
    <cfRule type="expression" dxfId="6051" priority="1574">
      <formula>$A54="Overlap between sections"</formula>
    </cfRule>
  </conditionalFormatting>
  <conditionalFormatting sqref="K54:K55">
    <cfRule type="expression" dxfId="6050" priority="1553">
      <formula>$A54="Overhead Cable"</formula>
    </cfRule>
    <cfRule type="expression" dxfId="6049" priority="1554">
      <formula>$A54="Level Crossing"</formula>
    </cfRule>
    <cfRule type="expression" dxfId="6048" priority="1555">
      <formula>$A54="Neutral Section"</formula>
    </cfRule>
    <cfRule type="expression" dxfId="6047" priority="1556">
      <formula>$A54="Tunnel"</formula>
    </cfRule>
    <cfRule type="expression" dxfId="6046" priority="1557">
      <formula>$A54="Bridge"</formula>
    </cfRule>
    <cfRule type="expression" dxfId="6045" priority="1558">
      <formula>$A54="Drainage Works"</formula>
    </cfRule>
    <cfRule type="expression" dxfId="6044" priority="1559">
      <formula>$A54="Underpass"</formula>
    </cfRule>
    <cfRule type="expression" dxfId="6043" priority="1560">
      <formula>$A54="Overcrossing"</formula>
    </cfRule>
    <cfRule type="expression" dxfId="6042" priority="1561">
      <formula>$A54="Overpass"</formula>
    </cfRule>
    <cfRule type="expression" dxfId="6041" priority="1562">
      <formula>$A54="Station"</formula>
    </cfRule>
    <cfRule type="expression" dxfId="6040" priority="1563">
      <formula>$A54="Overlap between sections"</formula>
    </cfRule>
  </conditionalFormatting>
  <conditionalFormatting sqref="L54:L55">
    <cfRule type="expression" dxfId="6039" priority="1542">
      <formula>$A54="Overhead Cable"</formula>
    </cfRule>
    <cfRule type="expression" dxfId="6038" priority="1543">
      <formula>$A54="Level Crossing"</formula>
    </cfRule>
    <cfRule type="expression" dxfId="6037" priority="1544">
      <formula>$A54="Neutral Section"</formula>
    </cfRule>
    <cfRule type="expression" dxfId="6036" priority="1545">
      <formula>$A54="Tunnel"</formula>
    </cfRule>
    <cfRule type="expression" dxfId="6035" priority="1546">
      <formula>$A54="Bridge"</formula>
    </cfRule>
    <cfRule type="expression" dxfId="6034" priority="1547">
      <formula>$A54="Drainage Works"</formula>
    </cfRule>
    <cfRule type="expression" dxfId="6033" priority="1548">
      <formula>$A54="Underpass"</formula>
    </cfRule>
    <cfRule type="expression" dxfId="6032" priority="1549">
      <formula>$A54="Overcrossing"</formula>
    </cfRule>
    <cfRule type="expression" dxfId="6031" priority="1550">
      <formula>$A54="Overpass"</formula>
    </cfRule>
    <cfRule type="expression" dxfId="6030" priority="1551">
      <formula>$A54="Station"</formula>
    </cfRule>
    <cfRule type="expression" dxfId="6029" priority="1552">
      <formula>$A54="Overlap between sections"</formula>
    </cfRule>
  </conditionalFormatting>
  <conditionalFormatting sqref="M54:M55">
    <cfRule type="expression" dxfId="6028" priority="1531">
      <formula>$A54="Overhead Cable"</formula>
    </cfRule>
    <cfRule type="expression" dxfId="6027" priority="1532">
      <formula>$A54="Level Crossing"</formula>
    </cfRule>
    <cfRule type="expression" dxfId="6026" priority="1533">
      <formula>$A54="Neutral Section"</formula>
    </cfRule>
    <cfRule type="expression" dxfId="6025" priority="1534">
      <formula>$A54="Tunnel"</formula>
    </cfRule>
    <cfRule type="expression" dxfId="6024" priority="1535">
      <formula>$A54="Bridge"</formula>
    </cfRule>
    <cfRule type="expression" dxfId="6023" priority="1536">
      <formula>$A54="Drainage Works"</formula>
    </cfRule>
    <cfRule type="expression" dxfId="6022" priority="1537">
      <formula>$A54="Underpass"</formula>
    </cfRule>
    <cfRule type="expression" dxfId="6021" priority="1538">
      <formula>$A54="Overcrossing"</formula>
    </cfRule>
    <cfRule type="expression" dxfId="6020" priority="1539">
      <formula>$A54="Overpass"</formula>
    </cfRule>
    <cfRule type="expression" dxfId="6019" priority="1540">
      <formula>$A54="Station"</formula>
    </cfRule>
    <cfRule type="expression" dxfId="6018" priority="1541">
      <formula>$A54="Overlap between sections"</formula>
    </cfRule>
  </conditionalFormatting>
  <conditionalFormatting sqref="N54:N55">
    <cfRule type="expression" dxfId="6017" priority="1520">
      <formula>$A54="Overhead Cable"</formula>
    </cfRule>
    <cfRule type="expression" dxfId="6016" priority="1521">
      <formula>$A54="Level Crossing"</formula>
    </cfRule>
    <cfRule type="expression" dxfId="6015" priority="1522">
      <formula>$A54="Neutral Section"</formula>
    </cfRule>
    <cfRule type="expression" dxfId="6014" priority="1523">
      <formula>$A54="Tunnel"</formula>
    </cfRule>
    <cfRule type="expression" dxfId="6013" priority="1524">
      <formula>$A54="Bridge"</formula>
    </cfRule>
    <cfRule type="expression" dxfId="6012" priority="1525">
      <formula>$A54="Drainage Works"</formula>
    </cfRule>
    <cfRule type="expression" dxfId="6011" priority="1526">
      <formula>$A54="Underpass"</formula>
    </cfRule>
    <cfRule type="expression" dxfId="6010" priority="1527">
      <formula>$A54="Overcrossing"</formula>
    </cfRule>
    <cfRule type="expression" dxfId="6009" priority="1528">
      <formula>$A54="Overpass"</formula>
    </cfRule>
    <cfRule type="expression" dxfId="6008" priority="1529">
      <formula>$A54="Station"</formula>
    </cfRule>
    <cfRule type="expression" dxfId="6007" priority="1530">
      <formula>$A54="Overlap between sections"</formula>
    </cfRule>
  </conditionalFormatting>
  <conditionalFormatting sqref="O54:O55">
    <cfRule type="expression" dxfId="6006" priority="1509">
      <formula>$A54="Overhead Cable"</formula>
    </cfRule>
    <cfRule type="expression" dxfId="6005" priority="1510">
      <formula>$A54="Level Crossing"</formula>
    </cfRule>
    <cfRule type="expression" dxfId="6004" priority="1511">
      <formula>$A54="Neutral Section"</formula>
    </cfRule>
    <cfRule type="expression" dxfId="6003" priority="1512">
      <formula>$A54="Tunnel"</formula>
    </cfRule>
    <cfRule type="expression" dxfId="6002" priority="1513">
      <formula>$A54="Bridge"</formula>
    </cfRule>
    <cfRule type="expression" dxfId="6001" priority="1514">
      <formula>$A54="Drainage Works"</formula>
    </cfRule>
    <cfRule type="expression" dxfId="6000" priority="1515">
      <formula>$A54="Underpass"</formula>
    </cfRule>
    <cfRule type="expression" dxfId="5999" priority="1516">
      <formula>$A54="Overcrossing"</formula>
    </cfRule>
    <cfRule type="expression" dxfId="5998" priority="1517">
      <formula>$A54="Overpass"</formula>
    </cfRule>
    <cfRule type="expression" dxfId="5997" priority="1518">
      <formula>$A54="Station"</formula>
    </cfRule>
    <cfRule type="expression" dxfId="5996" priority="1519">
      <formula>$A54="Overlap between sections"</formula>
    </cfRule>
  </conditionalFormatting>
  <conditionalFormatting sqref="P54:P55">
    <cfRule type="expression" dxfId="5995" priority="1498">
      <formula>$A54="Overhead Cable"</formula>
    </cfRule>
    <cfRule type="expression" dxfId="5994" priority="1499">
      <formula>$A54="Level Crossing"</formula>
    </cfRule>
    <cfRule type="expression" dxfId="5993" priority="1500">
      <formula>$A54="Neutral Section"</formula>
    </cfRule>
    <cfRule type="expression" dxfId="5992" priority="1501">
      <formula>$A54="Tunnel"</formula>
    </cfRule>
    <cfRule type="expression" dxfId="5991" priority="1502">
      <formula>$A54="Bridge"</formula>
    </cfRule>
    <cfRule type="expression" dxfId="5990" priority="1503">
      <formula>$A54="Drainage Works"</formula>
    </cfRule>
    <cfRule type="expression" dxfId="5989" priority="1504">
      <formula>$A54="Underpass"</formula>
    </cfRule>
    <cfRule type="expression" dxfId="5988" priority="1505">
      <formula>$A54="Overcrossing"</formula>
    </cfRule>
    <cfRule type="expression" dxfId="5987" priority="1506">
      <formula>$A54="Overpass"</formula>
    </cfRule>
    <cfRule type="expression" dxfId="5986" priority="1507">
      <formula>$A54="Station"</formula>
    </cfRule>
    <cfRule type="expression" dxfId="5985" priority="1508">
      <formula>$A54="Overlap between sections"</formula>
    </cfRule>
  </conditionalFormatting>
  <conditionalFormatting sqref="AC54:AC55">
    <cfRule type="expression" dxfId="5984" priority="1487">
      <formula>$A54="Overhead Cable"</formula>
    </cfRule>
    <cfRule type="expression" dxfId="5983" priority="1488">
      <formula>$A54="Level Crossing"</formula>
    </cfRule>
    <cfRule type="expression" dxfId="5982" priority="1489">
      <formula>$A54="Neutral Section"</formula>
    </cfRule>
    <cfRule type="expression" dxfId="5981" priority="1490">
      <formula>$A54="Tunnel"</formula>
    </cfRule>
    <cfRule type="expression" dxfId="5980" priority="1491">
      <formula>$A54="Bridge"</formula>
    </cfRule>
    <cfRule type="expression" dxfId="5979" priority="1492">
      <formula>$A54="Drainage Works"</formula>
    </cfRule>
    <cfRule type="expression" dxfId="5978" priority="1493">
      <formula>$A54="Underpass"</formula>
    </cfRule>
    <cfRule type="expression" dxfId="5977" priority="1494">
      <formula>$A54="Overcrossing"</formula>
    </cfRule>
    <cfRule type="expression" dxfId="5976" priority="1495">
      <formula>$A54="Overpass"</formula>
    </cfRule>
    <cfRule type="expression" dxfId="5975" priority="1496">
      <formula>$A54="Station"</formula>
    </cfRule>
    <cfRule type="expression" dxfId="5974" priority="1497">
      <formula>$A54="Overlap between sections"</formula>
    </cfRule>
  </conditionalFormatting>
  <conditionalFormatting sqref="AD54:AD55">
    <cfRule type="expression" dxfId="5973" priority="1476">
      <formula>$A54="Overhead Cable"</formula>
    </cfRule>
    <cfRule type="expression" dxfId="5972" priority="1477">
      <formula>$A54="Level Crossing"</formula>
    </cfRule>
    <cfRule type="expression" dxfId="5971" priority="1478">
      <formula>$A54="Neutral Section"</formula>
    </cfRule>
    <cfRule type="expression" dxfId="5970" priority="1479">
      <formula>$A54="Tunnel"</formula>
    </cfRule>
    <cfRule type="expression" dxfId="5969" priority="1480">
      <formula>$A54="Bridge"</formula>
    </cfRule>
    <cfRule type="expression" dxfId="5968" priority="1481">
      <formula>$A54="Drainage Works"</formula>
    </cfRule>
    <cfRule type="expression" dxfId="5967" priority="1482">
      <formula>$A54="Underpass"</formula>
    </cfRule>
    <cfRule type="expression" dxfId="5966" priority="1483">
      <formula>$A54="Overcrossing"</formula>
    </cfRule>
    <cfRule type="expression" dxfId="5965" priority="1484">
      <formula>$A54="Overpass"</formula>
    </cfRule>
    <cfRule type="expression" dxfId="5964" priority="1485">
      <formula>$A54="Station"</formula>
    </cfRule>
    <cfRule type="expression" dxfId="5963" priority="1486">
      <formula>$A54="Overlap between sections"</formula>
    </cfRule>
  </conditionalFormatting>
  <conditionalFormatting sqref="AE54:AE55">
    <cfRule type="expression" dxfId="5962" priority="1465">
      <formula>$A54="Overhead Cable"</formula>
    </cfRule>
    <cfRule type="expression" dxfId="5961" priority="1466">
      <formula>$A54="Level Crossing"</formula>
    </cfRule>
    <cfRule type="expression" dxfId="5960" priority="1467">
      <formula>$A54="Neutral Section"</formula>
    </cfRule>
    <cfRule type="expression" dxfId="5959" priority="1468">
      <formula>$A54="Tunnel"</formula>
    </cfRule>
    <cfRule type="expression" dxfId="5958" priority="1469">
      <formula>$A54="Bridge"</formula>
    </cfRule>
    <cfRule type="expression" dxfId="5957" priority="1470">
      <formula>$A54="Drainage Works"</formula>
    </cfRule>
    <cfRule type="expression" dxfId="5956" priority="1471">
      <formula>$A54="Underpass"</formula>
    </cfRule>
    <cfRule type="expression" dxfId="5955" priority="1472">
      <formula>$A54="Overcrossing"</formula>
    </cfRule>
    <cfRule type="expression" dxfId="5954" priority="1473">
      <formula>$A54="Overpass"</formula>
    </cfRule>
    <cfRule type="expression" dxfId="5953" priority="1474">
      <formula>$A54="Station"</formula>
    </cfRule>
    <cfRule type="expression" dxfId="5952" priority="1475">
      <formula>$A54="Overlap between sections"</formula>
    </cfRule>
  </conditionalFormatting>
  <conditionalFormatting sqref="AJ54:AJ55">
    <cfRule type="expression" dxfId="5951" priority="1454">
      <formula>$A54="Overhead Cable"</formula>
    </cfRule>
    <cfRule type="expression" dxfId="5950" priority="1455">
      <formula>$A54="Level Crossing"</formula>
    </cfRule>
    <cfRule type="expression" dxfId="5949" priority="1456">
      <formula>$A54="Neutral Section"</formula>
    </cfRule>
    <cfRule type="expression" dxfId="5948" priority="1457">
      <formula>$A54="Tunnel"</formula>
    </cfRule>
    <cfRule type="expression" dxfId="5947" priority="1458">
      <formula>$A54="Bridge"</formula>
    </cfRule>
    <cfRule type="expression" dxfId="5946" priority="1459">
      <formula>$A54="Drainage Works"</formula>
    </cfRule>
    <cfRule type="expression" dxfId="5945" priority="1460">
      <formula>$A54="Underpass"</formula>
    </cfRule>
    <cfRule type="expression" dxfId="5944" priority="1461">
      <formula>$A54="Overcrossing"</formula>
    </cfRule>
    <cfRule type="expression" dxfId="5943" priority="1462">
      <formula>$A54="Overpass"</formula>
    </cfRule>
    <cfRule type="expression" dxfId="5942" priority="1463">
      <formula>$A54="Station"</formula>
    </cfRule>
    <cfRule type="expression" dxfId="5941" priority="1464">
      <formula>$A54="Overlap between sections"</formula>
    </cfRule>
  </conditionalFormatting>
  <conditionalFormatting sqref="AK54:AK55">
    <cfRule type="expression" dxfId="5940" priority="1443">
      <formula>$A54="Overhead Cable"</formula>
    </cfRule>
    <cfRule type="expression" dxfId="5939" priority="1444">
      <formula>$A54="Level Crossing"</formula>
    </cfRule>
    <cfRule type="expression" dxfId="5938" priority="1445">
      <formula>$A54="Neutral Section"</formula>
    </cfRule>
    <cfRule type="expression" dxfId="5937" priority="1446">
      <formula>$A54="Tunnel"</formula>
    </cfRule>
    <cfRule type="expression" dxfId="5936" priority="1447">
      <formula>$A54="Bridge"</formula>
    </cfRule>
    <cfRule type="expression" dxfId="5935" priority="1448">
      <formula>$A54="Drainage Works"</formula>
    </cfRule>
    <cfRule type="expression" dxfId="5934" priority="1449">
      <formula>$A54="Underpass"</formula>
    </cfRule>
    <cfRule type="expression" dxfId="5933" priority="1450">
      <formula>$A54="Overcrossing"</formula>
    </cfRule>
    <cfRule type="expression" dxfId="5932" priority="1451">
      <formula>$A54="Overpass"</formula>
    </cfRule>
    <cfRule type="expression" dxfId="5931" priority="1452">
      <formula>$A54="Station"</formula>
    </cfRule>
    <cfRule type="expression" dxfId="5930" priority="1453">
      <formula>$A54="Overlap between sections"</formula>
    </cfRule>
  </conditionalFormatting>
  <conditionalFormatting sqref="AL54:AL55">
    <cfRule type="expression" dxfId="5929" priority="1432">
      <formula>$A54="Overhead Cable"</formula>
    </cfRule>
    <cfRule type="expression" dxfId="5928" priority="1433">
      <formula>$A54="Level Crossing"</formula>
    </cfRule>
    <cfRule type="expression" dxfId="5927" priority="1434">
      <formula>$A54="Neutral Section"</formula>
    </cfRule>
    <cfRule type="expression" dxfId="5926" priority="1435">
      <formula>$A54="Tunnel"</formula>
    </cfRule>
    <cfRule type="expression" dxfId="5925" priority="1436">
      <formula>$A54="Bridge"</formula>
    </cfRule>
    <cfRule type="expression" dxfId="5924" priority="1437">
      <formula>$A54="Drainage Works"</formula>
    </cfRule>
    <cfRule type="expression" dxfId="5923" priority="1438">
      <formula>$A54="Underpass"</formula>
    </cfRule>
    <cfRule type="expression" dxfId="5922" priority="1439">
      <formula>$A54="Overcrossing"</formula>
    </cfRule>
    <cfRule type="expression" dxfId="5921" priority="1440">
      <formula>$A54="Overpass"</formula>
    </cfRule>
    <cfRule type="expression" dxfId="5920" priority="1441">
      <formula>$A54="Station"</formula>
    </cfRule>
    <cfRule type="expression" dxfId="5919" priority="1442">
      <formula>$A54="Overlap between sections"</formula>
    </cfRule>
  </conditionalFormatting>
  <conditionalFormatting sqref="AT54:AT55">
    <cfRule type="expression" dxfId="5918" priority="1421">
      <formula>$A54="Overhead Cable"</formula>
    </cfRule>
    <cfRule type="expression" dxfId="5917" priority="1422">
      <formula>$A54="Level Crossing"</formula>
    </cfRule>
    <cfRule type="expression" dxfId="5916" priority="1423">
      <formula>$A54="Neutral Section"</formula>
    </cfRule>
    <cfRule type="expression" dxfId="5915" priority="1424">
      <formula>$A54="Tunnel"</formula>
    </cfRule>
    <cfRule type="expression" dxfId="5914" priority="1425">
      <formula>$A54="Bridge"</formula>
    </cfRule>
    <cfRule type="expression" dxfId="5913" priority="1426">
      <formula>$A54="Drainage Works"</formula>
    </cfRule>
    <cfRule type="expression" dxfId="5912" priority="1427">
      <formula>$A54="Underpass"</formula>
    </cfRule>
    <cfRule type="expression" dxfId="5911" priority="1428">
      <formula>$A54="Overcrossing"</formula>
    </cfRule>
    <cfRule type="expression" dxfId="5910" priority="1429">
      <formula>$A54="Overpass"</formula>
    </cfRule>
    <cfRule type="expression" dxfId="5909" priority="1430">
      <formula>$A54="Station"</formula>
    </cfRule>
    <cfRule type="expression" dxfId="5908" priority="1431">
      <formula>$A54="Overlap between sections"</formula>
    </cfRule>
  </conditionalFormatting>
  <conditionalFormatting sqref="AU54:AU55">
    <cfRule type="expression" dxfId="5907" priority="1410">
      <formula>$A54="Overhead Cable"</formula>
    </cfRule>
    <cfRule type="expression" dxfId="5906" priority="1411">
      <formula>$A54="Level Crossing"</formula>
    </cfRule>
    <cfRule type="expression" dxfId="5905" priority="1412">
      <formula>$A54="Neutral Section"</formula>
    </cfRule>
    <cfRule type="expression" dxfId="5904" priority="1413">
      <formula>$A54="Tunnel"</formula>
    </cfRule>
    <cfRule type="expression" dxfId="5903" priority="1414">
      <formula>$A54="Bridge"</formula>
    </cfRule>
    <cfRule type="expression" dxfId="5902" priority="1415">
      <formula>$A54="Drainage Works"</formula>
    </cfRule>
    <cfRule type="expression" dxfId="5901" priority="1416">
      <formula>$A54="Underpass"</formula>
    </cfRule>
    <cfRule type="expression" dxfId="5900" priority="1417">
      <formula>$A54="Overcrossing"</formula>
    </cfRule>
    <cfRule type="expression" dxfId="5899" priority="1418">
      <formula>$A54="Overpass"</formula>
    </cfRule>
    <cfRule type="expression" dxfId="5898" priority="1419">
      <formula>$A54="Station"</formula>
    </cfRule>
    <cfRule type="expression" dxfId="5897" priority="1420">
      <formula>$A54="Overlap between sections"</formula>
    </cfRule>
  </conditionalFormatting>
  <conditionalFormatting sqref="AV54:AV55">
    <cfRule type="expression" dxfId="5896" priority="1399">
      <formula>$A54="Overhead Cable"</formula>
    </cfRule>
    <cfRule type="expression" dxfId="5895" priority="1400">
      <formula>$A54="Level Crossing"</formula>
    </cfRule>
    <cfRule type="expression" dxfId="5894" priority="1401">
      <formula>$A54="Neutral Section"</formula>
    </cfRule>
    <cfRule type="expression" dxfId="5893" priority="1402">
      <formula>$A54="Tunnel"</formula>
    </cfRule>
    <cfRule type="expression" dxfId="5892" priority="1403">
      <formula>$A54="Bridge"</formula>
    </cfRule>
    <cfRule type="expression" dxfId="5891" priority="1404">
      <formula>$A54="Drainage Works"</formula>
    </cfRule>
    <cfRule type="expression" dxfId="5890" priority="1405">
      <formula>$A54="Underpass"</formula>
    </cfRule>
    <cfRule type="expression" dxfId="5889" priority="1406">
      <formula>$A54="Overcrossing"</formula>
    </cfRule>
    <cfRule type="expression" dxfId="5888" priority="1407">
      <formula>$A54="Overpass"</formula>
    </cfRule>
    <cfRule type="expression" dxfId="5887" priority="1408">
      <formula>$A54="Station"</formula>
    </cfRule>
    <cfRule type="expression" dxfId="5886" priority="1409">
      <formula>$A54="Overlap between sections"</formula>
    </cfRule>
  </conditionalFormatting>
  <conditionalFormatting sqref="AW54:AW55">
    <cfRule type="expression" dxfId="5885" priority="1396">
      <formula>$M54="NON DEFINED"</formula>
    </cfRule>
    <cfRule type="expression" dxfId="5884" priority="1397">
      <formula>$AZ54="N.D."</formula>
    </cfRule>
    <cfRule type="expression" dxfId="5883" priority="1398">
      <formula>$AY54="N.D."</formula>
    </cfRule>
  </conditionalFormatting>
  <conditionalFormatting sqref="AW54:AW55">
    <cfRule type="expression" dxfId="5882" priority="1385">
      <formula>$A54="Overhead Cable"</formula>
    </cfRule>
    <cfRule type="expression" dxfId="5881" priority="1386">
      <formula>$A54="Level Crossing"</formula>
    </cfRule>
    <cfRule type="expression" dxfId="5880" priority="1387">
      <formula>$A54="Neutral Section"</formula>
    </cfRule>
    <cfRule type="expression" dxfId="5879" priority="1388">
      <formula>$A54="Tunnel"</formula>
    </cfRule>
    <cfRule type="expression" dxfId="5878" priority="1389">
      <formula>$A54="Bridge"</formula>
    </cfRule>
    <cfRule type="expression" dxfId="5877" priority="1390">
      <formula>$A54="Drainage Works"</formula>
    </cfRule>
    <cfRule type="expression" dxfId="5876" priority="1391">
      <formula>$A54="Underpass"</formula>
    </cfRule>
    <cfRule type="expression" dxfId="5875" priority="1392">
      <formula>$A54="Overcrossing"</formula>
    </cfRule>
    <cfRule type="expression" dxfId="5874" priority="1393">
      <formula>$A54="Overpass"</formula>
    </cfRule>
    <cfRule type="expression" dxfId="5873" priority="1394">
      <formula>$A54="Station"</formula>
    </cfRule>
    <cfRule type="expression" dxfId="5872" priority="1395">
      <formula>$A54="Overlap between sections"</formula>
    </cfRule>
  </conditionalFormatting>
  <conditionalFormatting sqref="AX54:AX55">
    <cfRule type="expression" dxfId="5871" priority="1382">
      <formula>$M54="NON DEFINED"</formula>
    </cfRule>
    <cfRule type="expression" dxfId="5870" priority="1383">
      <formula>$AZ54="N.D."</formula>
    </cfRule>
    <cfRule type="expression" dxfId="5869" priority="1384">
      <formula>$AY54="N.D."</formula>
    </cfRule>
  </conditionalFormatting>
  <conditionalFormatting sqref="AX54:AX55">
    <cfRule type="expression" dxfId="5868" priority="1371">
      <formula>$A54="Overhead Cable"</formula>
    </cfRule>
    <cfRule type="expression" dxfId="5867" priority="1372">
      <formula>$A54="Level Crossing"</formula>
    </cfRule>
    <cfRule type="expression" dxfId="5866" priority="1373">
      <formula>$A54="Neutral Section"</formula>
    </cfRule>
    <cfRule type="expression" dxfId="5865" priority="1374">
      <formula>$A54="Tunnel"</formula>
    </cfRule>
    <cfRule type="expression" dxfId="5864" priority="1375">
      <formula>$A54="Bridge"</formula>
    </cfRule>
    <cfRule type="expression" dxfId="5863" priority="1376">
      <formula>$A54="Drainage Works"</formula>
    </cfRule>
    <cfRule type="expression" dxfId="5862" priority="1377">
      <formula>$A54="Underpass"</formula>
    </cfRule>
    <cfRule type="expression" dxfId="5861" priority="1378">
      <formula>$A54="Overcrossing"</formula>
    </cfRule>
    <cfRule type="expression" dxfId="5860" priority="1379">
      <formula>$A54="Overpass"</formula>
    </cfRule>
    <cfRule type="expression" dxfId="5859" priority="1380">
      <formula>$A54="Station"</formula>
    </cfRule>
    <cfRule type="expression" dxfId="5858" priority="1381">
      <formula>$A54="Overlap between sections"</formula>
    </cfRule>
  </conditionalFormatting>
  <conditionalFormatting sqref="F54:F55">
    <cfRule type="expression" dxfId="5857" priority="1360">
      <formula>$A54="Overhead Cable"</formula>
    </cfRule>
    <cfRule type="expression" dxfId="5856" priority="1361">
      <formula>$A54="Level Crossing"</formula>
    </cfRule>
    <cfRule type="expression" dxfId="5855" priority="1362">
      <formula>$A54="Neutral Section"</formula>
    </cfRule>
    <cfRule type="expression" dxfId="5854" priority="1363">
      <formula>$A54="Tunnel"</formula>
    </cfRule>
    <cfRule type="expression" dxfId="5853" priority="1364">
      <formula>$A54="Bridge"</formula>
    </cfRule>
    <cfRule type="expression" dxfId="5852" priority="1365">
      <formula>$A54="Drainage Works"</formula>
    </cfRule>
    <cfRule type="expression" dxfId="5851" priority="1366">
      <formula>$A54="Underpass"</formula>
    </cfRule>
    <cfRule type="expression" dxfId="5850" priority="1367">
      <formula>$A54="Overcrossing"</formula>
    </cfRule>
    <cfRule type="expression" dxfId="5849" priority="1368">
      <formula>$A54="Overpass"</formula>
    </cfRule>
    <cfRule type="expression" dxfId="5848" priority="1369">
      <formula>$A54="Station"</formula>
    </cfRule>
    <cfRule type="expression" dxfId="5847" priority="1370">
      <formula>$A54="Overlap between sections"</formula>
    </cfRule>
  </conditionalFormatting>
  <conditionalFormatting sqref="Q54:Q55">
    <cfRule type="expression" dxfId="5846" priority="1349">
      <formula>$A54="Overhead Cable"</formula>
    </cfRule>
    <cfRule type="expression" dxfId="5845" priority="1350">
      <formula>$A54="Level Crossing"</formula>
    </cfRule>
    <cfRule type="expression" dxfId="5844" priority="1351">
      <formula>$A54="Neutral Section"</formula>
    </cfRule>
    <cfRule type="expression" dxfId="5843" priority="1352">
      <formula>$A54="Tunnel"</formula>
    </cfRule>
    <cfRule type="expression" dxfId="5842" priority="1353">
      <formula>$A54="Bridge"</formula>
    </cfRule>
    <cfRule type="expression" dxfId="5841" priority="1354">
      <formula>$A54="Drainage Works"</formula>
    </cfRule>
    <cfRule type="expression" dxfId="5840" priority="1355">
      <formula>$A54="Underpass"</formula>
    </cfRule>
    <cfRule type="expression" dxfId="5839" priority="1356">
      <formula>$A54="Overcrossing"</formula>
    </cfRule>
    <cfRule type="expression" dxfId="5838" priority="1357">
      <formula>$A54="Overpass"</formula>
    </cfRule>
    <cfRule type="expression" dxfId="5837" priority="1358">
      <formula>$A54="Station"</formula>
    </cfRule>
    <cfRule type="expression" dxfId="5836" priority="1359">
      <formula>$A54="Overlap between sections"</formula>
    </cfRule>
  </conditionalFormatting>
  <conditionalFormatting sqref="T54:T55">
    <cfRule type="expression" dxfId="5835" priority="1338">
      <formula>$A54="Overhead Cable"</formula>
    </cfRule>
    <cfRule type="expression" dxfId="5834" priority="1339">
      <formula>$A54="Level Crossing"</formula>
    </cfRule>
    <cfRule type="expression" dxfId="5833" priority="1340">
      <formula>$A54="Neutral Section"</formula>
    </cfRule>
    <cfRule type="expression" dxfId="5832" priority="1341">
      <formula>$A54="Tunnel"</formula>
    </cfRule>
    <cfRule type="expression" dxfId="5831" priority="1342">
      <formula>$A54="Bridge"</formula>
    </cfRule>
    <cfRule type="expression" dxfId="5830" priority="1343">
      <formula>$A54="Drainage Works"</formula>
    </cfRule>
    <cfRule type="expression" dxfId="5829" priority="1344">
      <formula>$A54="Underpass"</formula>
    </cfRule>
    <cfRule type="expression" dxfId="5828" priority="1345">
      <formula>$A54="Overcrossing"</formula>
    </cfRule>
    <cfRule type="expression" dxfId="5827" priority="1346">
      <formula>$A54="Overpass"</formula>
    </cfRule>
    <cfRule type="expression" dxfId="5826" priority="1347">
      <formula>$A54="Station"</formula>
    </cfRule>
    <cfRule type="expression" dxfId="5825" priority="1348">
      <formula>$A54="Overlap between sections"</formula>
    </cfRule>
  </conditionalFormatting>
  <conditionalFormatting sqref="U54:U55">
    <cfRule type="expression" dxfId="5824" priority="1327">
      <formula>$A54="Overhead Cable"</formula>
    </cfRule>
    <cfRule type="expression" dxfId="5823" priority="1328">
      <formula>$A54="Level Crossing"</formula>
    </cfRule>
    <cfRule type="expression" dxfId="5822" priority="1329">
      <formula>$A54="Neutral Section"</formula>
    </cfRule>
    <cfRule type="expression" dxfId="5821" priority="1330">
      <formula>$A54="Tunnel"</formula>
    </cfRule>
    <cfRule type="expression" dxfId="5820" priority="1331">
      <formula>$A54="Bridge"</formula>
    </cfRule>
    <cfRule type="expression" dxfId="5819" priority="1332">
      <formula>$A54="Drainage Works"</formula>
    </cfRule>
    <cfRule type="expression" dxfId="5818" priority="1333">
      <formula>$A54="Underpass"</formula>
    </cfRule>
    <cfRule type="expression" dxfId="5817" priority="1334">
      <formula>$A54="Overcrossing"</formula>
    </cfRule>
    <cfRule type="expression" dxfId="5816" priority="1335">
      <formula>$A54="Overpass"</formula>
    </cfRule>
    <cfRule type="expression" dxfId="5815" priority="1336">
      <formula>$A54="Station"</formula>
    </cfRule>
    <cfRule type="expression" dxfId="5814" priority="1337">
      <formula>$A54="Overlap between sections"</formula>
    </cfRule>
  </conditionalFormatting>
  <conditionalFormatting sqref="V54:V55">
    <cfRule type="expression" dxfId="5813" priority="1316">
      <formula>$A54="Overhead Cable"</formula>
    </cfRule>
    <cfRule type="expression" dxfId="5812" priority="1317">
      <formula>$A54="Level Crossing"</formula>
    </cfRule>
    <cfRule type="expression" dxfId="5811" priority="1318">
      <formula>$A54="Neutral Section"</formula>
    </cfRule>
    <cfRule type="expression" dxfId="5810" priority="1319">
      <formula>$A54="Tunnel"</formula>
    </cfRule>
    <cfRule type="expression" dxfId="5809" priority="1320">
      <formula>$A54="Bridge"</formula>
    </cfRule>
    <cfRule type="expression" dxfId="5808" priority="1321">
      <formula>$A54="Drainage Works"</formula>
    </cfRule>
    <cfRule type="expression" dxfId="5807" priority="1322">
      <formula>$A54="Underpass"</formula>
    </cfRule>
    <cfRule type="expression" dxfId="5806" priority="1323">
      <formula>$A54="Overcrossing"</formula>
    </cfRule>
    <cfRule type="expression" dxfId="5805" priority="1324">
      <formula>$A54="Overpass"</formula>
    </cfRule>
    <cfRule type="expression" dxfId="5804" priority="1325">
      <formula>$A54="Station"</formula>
    </cfRule>
    <cfRule type="expression" dxfId="5803" priority="1326">
      <formula>$A54="Overlap between sections"</formula>
    </cfRule>
  </conditionalFormatting>
  <conditionalFormatting sqref="AF54:AF55">
    <cfRule type="expression" dxfId="5802" priority="1305">
      <formula>$A54="Overhead Cable"</formula>
    </cfRule>
    <cfRule type="expression" dxfId="5801" priority="1306">
      <formula>$A54="Level Crossing"</formula>
    </cfRule>
    <cfRule type="expression" dxfId="5800" priority="1307">
      <formula>$A54="Neutral Section"</formula>
    </cfRule>
    <cfRule type="expression" dxfId="5799" priority="1308">
      <formula>$A54="Tunnel"</formula>
    </cfRule>
    <cfRule type="expression" dxfId="5798" priority="1309">
      <formula>$A54="Bridge"</formula>
    </cfRule>
    <cfRule type="expression" dxfId="5797" priority="1310">
      <formula>$A54="Drainage Works"</formula>
    </cfRule>
    <cfRule type="expression" dxfId="5796" priority="1311">
      <formula>$A54="Underpass"</formula>
    </cfRule>
    <cfRule type="expression" dxfId="5795" priority="1312">
      <formula>$A54="Overcrossing"</formula>
    </cfRule>
    <cfRule type="expression" dxfId="5794" priority="1313">
      <formula>$A54="Overpass"</formula>
    </cfRule>
    <cfRule type="expression" dxfId="5793" priority="1314">
      <formula>$A54="Station"</formula>
    </cfRule>
    <cfRule type="expression" dxfId="5792" priority="1315">
      <formula>$A54="Overlap between sections"</formula>
    </cfRule>
  </conditionalFormatting>
  <conditionalFormatting sqref="AH54:AH55">
    <cfRule type="expression" dxfId="5791" priority="1294">
      <formula>$A54="Overhead Cable"</formula>
    </cfRule>
    <cfRule type="expression" dxfId="5790" priority="1295">
      <formula>$A54="Level Crossing"</formula>
    </cfRule>
    <cfRule type="expression" dxfId="5789" priority="1296">
      <formula>$A54="Neutral Section"</formula>
    </cfRule>
    <cfRule type="expression" dxfId="5788" priority="1297">
      <formula>$A54="Tunnel"</formula>
    </cfRule>
    <cfRule type="expression" dxfId="5787" priority="1298">
      <formula>$A54="Bridge"</formula>
    </cfRule>
    <cfRule type="expression" dxfId="5786" priority="1299">
      <formula>$A54="Drainage Works"</formula>
    </cfRule>
    <cfRule type="expression" dxfId="5785" priority="1300">
      <formula>$A54="Underpass"</formula>
    </cfRule>
    <cfRule type="expression" dxfId="5784" priority="1301">
      <formula>$A54="Overcrossing"</formula>
    </cfRule>
    <cfRule type="expression" dxfId="5783" priority="1302">
      <formula>$A54="Overpass"</formula>
    </cfRule>
    <cfRule type="expression" dxfId="5782" priority="1303">
      <formula>$A54="Station"</formula>
    </cfRule>
    <cfRule type="expression" dxfId="5781" priority="1304">
      <formula>$A54="Overlap between sections"</formula>
    </cfRule>
  </conditionalFormatting>
  <conditionalFormatting sqref="AI54:AI55">
    <cfRule type="expression" dxfId="5780" priority="1283">
      <formula>$A54="Overhead Cable"</formula>
    </cfRule>
    <cfRule type="expression" dxfId="5779" priority="1284">
      <formula>$A54="Level Crossing"</formula>
    </cfRule>
    <cfRule type="expression" dxfId="5778" priority="1285">
      <formula>$A54="Neutral Section"</formula>
    </cfRule>
    <cfRule type="expression" dxfId="5777" priority="1286">
      <formula>$A54="Tunnel"</formula>
    </cfRule>
    <cfRule type="expression" dxfId="5776" priority="1287">
      <formula>$A54="Bridge"</formula>
    </cfRule>
    <cfRule type="expression" dxfId="5775" priority="1288">
      <formula>$A54="Drainage Works"</formula>
    </cfRule>
    <cfRule type="expression" dxfId="5774" priority="1289">
      <formula>$A54="Underpass"</formula>
    </cfRule>
    <cfRule type="expression" dxfId="5773" priority="1290">
      <formula>$A54="Overcrossing"</formula>
    </cfRule>
    <cfRule type="expression" dxfId="5772" priority="1291">
      <formula>$A54="Overpass"</formula>
    </cfRule>
    <cfRule type="expression" dxfId="5771" priority="1292">
      <formula>$A54="Station"</formula>
    </cfRule>
    <cfRule type="expression" dxfId="5770" priority="1293">
      <formula>$A54="Overlap between sections"</formula>
    </cfRule>
  </conditionalFormatting>
  <conditionalFormatting sqref="R54:R55">
    <cfRule type="expression" dxfId="5769" priority="1272">
      <formula>$A54="Overhead Cable"</formula>
    </cfRule>
    <cfRule type="expression" dxfId="5768" priority="1273">
      <formula>$A54="Level Crossing"</formula>
    </cfRule>
    <cfRule type="expression" dxfId="5767" priority="1274">
      <formula>$A54="Neutral Section"</formula>
    </cfRule>
    <cfRule type="expression" dxfId="5766" priority="1275">
      <formula>$A54="Tunnel"</formula>
    </cfRule>
    <cfRule type="expression" dxfId="5765" priority="1276">
      <formula>$A54="Bridge"</formula>
    </cfRule>
    <cfRule type="expression" dxfId="5764" priority="1277">
      <formula>$A54="Drainage Works"</formula>
    </cfRule>
    <cfRule type="expression" dxfId="5763" priority="1278">
      <formula>$A54="Underpass"</formula>
    </cfRule>
    <cfRule type="expression" dxfId="5762" priority="1279">
      <formula>$A54="Overcrossing"</formula>
    </cfRule>
    <cfRule type="expression" dxfId="5761" priority="1280">
      <formula>$A54="Overpass"</formula>
    </cfRule>
    <cfRule type="expression" dxfId="5760" priority="1281">
      <formula>$A54="Station"</formula>
    </cfRule>
    <cfRule type="expression" dxfId="5759" priority="1282">
      <formula>$A54="Overlap between sections"</formula>
    </cfRule>
  </conditionalFormatting>
  <conditionalFormatting sqref="S54:S55">
    <cfRule type="expression" dxfId="5758" priority="1261">
      <formula>$A54="Overhead Cable"</formula>
    </cfRule>
    <cfRule type="expression" dxfId="5757" priority="1262">
      <formula>$A54="Level Crossing"</formula>
    </cfRule>
    <cfRule type="expression" dxfId="5756" priority="1263">
      <formula>$A54="Neutral Section"</formula>
    </cfRule>
    <cfRule type="expression" dxfId="5755" priority="1264">
      <formula>$A54="Tunnel"</formula>
    </cfRule>
    <cfRule type="expression" dxfId="5754" priority="1265">
      <formula>$A54="Bridge"</formula>
    </cfRule>
    <cfRule type="expression" dxfId="5753" priority="1266">
      <formula>$A54="Drainage Works"</formula>
    </cfRule>
    <cfRule type="expression" dxfId="5752" priority="1267">
      <formula>$A54="Underpass"</formula>
    </cfRule>
    <cfRule type="expression" dxfId="5751" priority="1268">
      <formula>$A54="Overcrossing"</formula>
    </cfRule>
    <cfRule type="expression" dxfId="5750" priority="1269">
      <formula>$A54="Overpass"</formula>
    </cfRule>
    <cfRule type="expression" dxfId="5749" priority="1270">
      <formula>$A54="Station"</formula>
    </cfRule>
    <cfRule type="expression" dxfId="5748" priority="1271">
      <formula>$A54="Overlap between sections"</formula>
    </cfRule>
  </conditionalFormatting>
  <conditionalFormatting sqref="W54:W55">
    <cfRule type="expression" dxfId="5747" priority="1250">
      <formula>$A54="Overhead Cable"</formula>
    </cfRule>
    <cfRule type="expression" dxfId="5746" priority="1251">
      <formula>$A54="Level Crossing"</formula>
    </cfRule>
    <cfRule type="expression" dxfId="5745" priority="1252">
      <formula>$A54="Neutral Section"</formula>
    </cfRule>
    <cfRule type="expression" dxfId="5744" priority="1253">
      <formula>$A54="Tunnel"</formula>
    </cfRule>
    <cfRule type="expression" dxfId="5743" priority="1254">
      <formula>$A54="Bridge"</formula>
    </cfRule>
    <cfRule type="expression" dxfId="5742" priority="1255">
      <formula>$A54="Drainage Works"</formula>
    </cfRule>
    <cfRule type="expression" dxfId="5741" priority="1256">
      <formula>$A54="Underpass"</formula>
    </cfRule>
    <cfRule type="expression" dxfId="5740" priority="1257">
      <formula>$A54="Overcrossing"</formula>
    </cfRule>
    <cfRule type="expression" dxfId="5739" priority="1258">
      <formula>$A54="Overpass"</formula>
    </cfRule>
    <cfRule type="expression" dxfId="5738" priority="1259">
      <formula>$A54="Station"</formula>
    </cfRule>
    <cfRule type="expression" dxfId="5737" priority="1260">
      <formula>$A54="Overlap between sections"</formula>
    </cfRule>
  </conditionalFormatting>
  <conditionalFormatting sqref="X54:X55">
    <cfRule type="expression" dxfId="5736" priority="1239">
      <formula>$A54="Overhead Cable"</formula>
    </cfRule>
    <cfRule type="expression" dxfId="5735" priority="1240">
      <formula>$A54="Level Crossing"</formula>
    </cfRule>
    <cfRule type="expression" dxfId="5734" priority="1241">
      <formula>$A54="Neutral Section"</formula>
    </cfRule>
    <cfRule type="expression" dxfId="5733" priority="1242">
      <formula>$A54="Tunnel"</formula>
    </cfRule>
    <cfRule type="expression" dxfId="5732" priority="1243">
      <formula>$A54="Bridge"</formula>
    </cfRule>
    <cfRule type="expression" dxfId="5731" priority="1244">
      <formula>$A54="Drainage Works"</formula>
    </cfRule>
    <cfRule type="expression" dxfId="5730" priority="1245">
      <formula>$A54="Underpass"</formula>
    </cfRule>
    <cfRule type="expression" dxfId="5729" priority="1246">
      <formula>$A54="Overcrossing"</formula>
    </cfRule>
    <cfRule type="expression" dxfId="5728" priority="1247">
      <formula>$A54="Overpass"</formula>
    </cfRule>
    <cfRule type="expression" dxfId="5727" priority="1248">
      <formula>$A54="Station"</formula>
    </cfRule>
    <cfRule type="expression" dxfId="5726" priority="1249">
      <formula>$A54="Overlap between sections"</formula>
    </cfRule>
  </conditionalFormatting>
  <conditionalFormatting sqref="Y54:Y55">
    <cfRule type="expression" dxfId="5725" priority="1228">
      <formula>$A54="Overhead Cable"</formula>
    </cfRule>
    <cfRule type="expression" dxfId="5724" priority="1229">
      <formula>$A54="Level Crossing"</formula>
    </cfRule>
    <cfRule type="expression" dxfId="5723" priority="1230">
      <formula>$A54="Neutral Section"</formula>
    </cfRule>
    <cfRule type="expression" dxfId="5722" priority="1231">
      <formula>$A54="Tunnel"</formula>
    </cfRule>
    <cfRule type="expression" dxfId="5721" priority="1232">
      <formula>$A54="Bridge"</formula>
    </cfRule>
    <cfRule type="expression" dxfId="5720" priority="1233">
      <formula>$A54="Drainage Works"</formula>
    </cfRule>
    <cfRule type="expression" dxfId="5719" priority="1234">
      <formula>$A54="Underpass"</formula>
    </cfRule>
    <cfRule type="expression" dxfId="5718" priority="1235">
      <formula>$A54="Overcrossing"</formula>
    </cfRule>
    <cfRule type="expression" dxfId="5717" priority="1236">
      <formula>$A54="Overpass"</formula>
    </cfRule>
    <cfRule type="expression" dxfId="5716" priority="1237">
      <formula>$A54="Station"</formula>
    </cfRule>
    <cfRule type="expression" dxfId="5715" priority="1238">
      <formula>$A54="Overlap between sections"</formula>
    </cfRule>
  </conditionalFormatting>
  <conditionalFormatting sqref="Z54:Z55">
    <cfRule type="expression" dxfId="5714" priority="1217">
      <formula>$A54="Overhead Cable"</formula>
    </cfRule>
    <cfRule type="expression" dxfId="5713" priority="1218">
      <formula>$A54="Level Crossing"</formula>
    </cfRule>
    <cfRule type="expression" dxfId="5712" priority="1219">
      <formula>$A54="Neutral Section"</formula>
    </cfRule>
    <cfRule type="expression" dxfId="5711" priority="1220">
      <formula>$A54="Tunnel"</formula>
    </cfRule>
    <cfRule type="expression" dxfId="5710" priority="1221">
      <formula>$A54="Bridge"</formula>
    </cfRule>
    <cfRule type="expression" dxfId="5709" priority="1222">
      <formula>$A54="Drainage Works"</formula>
    </cfRule>
    <cfRule type="expression" dxfId="5708" priority="1223">
      <formula>$A54="Underpass"</formula>
    </cfRule>
    <cfRule type="expression" dxfId="5707" priority="1224">
      <formula>$A54="Overcrossing"</formula>
    </cfRule>
    <cfRule type="expression" dxfId="5706" priority="1225">
      <formula>$A54="Overpass"</formula>
    </cfRule>
    <cfRule type="expression" dxfId="5705" priority="1226">
      <formula>$A54="Station"</formula>
    </cfRule>
    <cfRule type="expression" dxfId="5704" priority="1227">
      <formula>$A54="Overlap between sections"</formula>
    </cfRule>
  </conditionalFormatting>
  <conditionalFormatting sqref="AA54:AA55">
    <cfRule type="expression" dxfId="5703" priority="1206">
      <formula>$A54="Overhead Cable"</formula>
    </cfRule>
    <cfRule type="expression" dxfId="5702" priority="1207">
      <formula>$A54="Level Crossing"</formula>
    </cfRule>
    <cfRule type="expression" dxfId="5701" priority="1208">
      <formula>$A54="Neutral Section"</formula>
    </cfRule>
    <cfRule type="expression" dxfId="5700" priority="1209">
      <formula>$A54="Tunnel"</formula>
    </cfRule>
    <cfRule type="expression" dxfId="5699" priority="1210">
      <formula>$A54="Bridge"</formula>
    </cfRule>
    <cfRule type="expression" dxfId="5698" priority="1211">
      <formula>$A54="Drainage Works"</formula>
    </cfRule>
    <cfRule type="expression" dxfId="5697" priority="1212">
      <formula>$A54="Underpass"</formula>
    </cfRule>
    <cfRule type="expression" dxfId="5696" priority="1213">
      <formula>$A54="Overcrossing"</formula>
    </cfRule>
    <cfRule type="expression" dxfId="5695" priority="1214">
      <formula>$A54="Overpass"</formula>
    </cfRule>
    <cfRule type="expression" dxfId="5694" priority="1215">
      <formula>$A54="Station"</formula>
    </cfRule>
    <cfRule type="expression" dxfId="5693" priority="1216">
      <formula>$A54="Overlap between sections"</formula>
    </cfRule>
  </conditionalFormatting>
  <conditionalFormatting sqref="AB54:AB55">
    <cfRule type="expression" dxfId="5692" priority="1195">
      <formula>$A54="Overhead Cable"</formula>
    </cfRule>
    <cfRule type="expression" dxfId="5691" priority="1196">
      <formula>$A54="Level Crossing"</formula>
    </cfRule>
    <cfRule type="expression" dxfId="5690" priority="1197">
      <formula>$A54="Neutral Section"</formula>
    </cfRule>
    <cfRule type="expression" dxfId="5689" priority="1198">
      <formula>$A54="Tunnel"</formula>
    </cfRule>
    <cfRule type="expression" dxfId="5688" priority="1199">
      <formula>$A54="Bridge"</formula>
    </cfRule>
    <cfRule type="expression" dxfId="5687" priority="1200">
      <formula>$A54="Drainage Works"</formula>
    </cfRule>
    <cfRule type="expression" dxfId="5686" priority="1201">
      <formula>$A54="Underpass"</formula>
    </cfRule>
    <cfRule type="expression" dxfId="5685" priority="1202">
      <formula>$A54="Overcrossing"</formula>
    </cfRule>
    <cfRule type="expression" dxfId="5684" priority="1203">
      <formula>$A54="Overpass"</formula>
    </cfRule>
    <cfRule type="expression" dxfId="5683" priority="1204">
      <formula>$A54="Station"</formula>
    </cfRule>
    <cfRule type="expression" dxfId="5682" priority="1205">
      <formula>$A54="Overlap between sections"</formula>
    </cfRule>
  </conditionalFormatting>
  <conditionalFormatting sqref="BA54:BC55">
    <cfRule type="expression" dxfId="5681" priority="1192">
      <formula>$BE54="A"</formula>
    </cfRule>
    <cfRule type="expression" dxfId="5680" priority="1193">
      <formula>$BE54="R"</formula>
    </cfRule>
  </conditionalFormatting>
  <conditionalFormatting sqref="BC54:BC55">
    <cfRule type="expression" dxfId="5679" priority="1191">
      <formula>$M54="U.S. N.D."</formula>
    </cfRule>
  </conditionalFormatting>
  <conditionalFormatting sqref="BB54:BB55">
    <cfRule type="expression" dxfId="5678" priority="1189">
      <formula>$AZ54="N.D."</formula>
    </cfRule>
  </conditionalFormatting>
  <conditionalFormatting sqref="BA54:BA55">
    <cfRule type="expression" dxfId="5677" priority="1190">
      <formula>$AY54="N.D."</formula>
    </cfRule>
  </conditionalFormatting>
  <conditionalFormatting sqref="H34">
    <cfRule type="expression" dxfId="5676" priority="1186">
      <formula>$M34="NON DEFINED"</formula>
    </cfRule>
    <cfRule type="expression" dxfId="5675" priority="1187">
      <formula>$AZ34="N.D."</formula>
    </cfRule>
    <cfRule type="expression" dxfId="5674" priority="1188">
      <formula>$AY34="N.D."</formula>
    </cfRule>
  </conditionalFormatting>
  <conditionalFormatting sqref="H34">
    <cfRule type="expression" dxfId="5673" priority="1175">
      <formula>$A34="Overhead Cable"</formula>
    </cfRule>
    <cfRule type="expression" dxfId="5672" priority="1176">
      <formula>$A34="Level Crossing"</formula>
    </cfRule>
    <cfRule type="expression" dxfId="5671" priority="1177">
      <formula>$A34="Neutral Section"</formula>
    </cfRule>
    <cfRule type="expression" dxfId="5670" priority="1178">
      <formula>$A34="Tunnel"</formula>
    </cfRule>
    <cfRule type="expression" dxfId="5669" priority="1179">
      <formula>$A34="Bridge"</formula>
    </cfRule>
    <cfRule type="expression" dxfId="5668" priority="1180">
      <formula>$A34="Drainage Works"</formula>
    </cfRule>
    <cfRule type="expression" dxfId="5667" priority="1181">
      <formula>$A34="Underpass"</formula>
    </cfRule>
    <cfRule type="expression" dxfId="5666" priority="1182">
      <formula>$A34="Overcrossing"</formula>
    </cfRule>
    <cfRule type="expression" dxfId="5665" priority="1183">
      <formula>$A34="Overpass"</formula>
    </cfRule>
    <cfRule type="expression" dxfId="5664" priority="1184">
      <formula>$A34="Station"</formula>
    </cfRule>
    <cfRule type="expression" dxfId="5663" priority="1185">
      <formula>$A34="Overlap between sections"</formula>
    </cfRule>
  </conditionalFormatting>
  <conditionalFormatting sqref="BA56:BC56">
    <cfRule type="expression" dxfId="5662" priority="1174">
      <formula>$BE56="R"</formula>
    </cfRule>
  </conditionalFormatting>
  <conditionalFormatting sqref="B56:E56 J56 AG56 AN56:AS56 AY56:BC56 G56:H56">
    <cfRule type="expression" dxfId="5661" priority="1172">
      <formula>$M56="NON DEFINED"</formula>
    </cfRule>
    <cfRule type="expression" dxfId="5660" priority="1173">
      <formula>$AY56="N.D."</formula>
    </cfRule>
  </conditionalFormatting>
  <conditionalFormatting sqref="A56:E56 J56 AG56 AN56:AS56 AY56:BD56 G56:H56">
    <cfRule type="cellIs" dxfId="5659" priority="1171" operator="equal">
      <formula>0</formula>
    </cfRule>
  </conditionalFormatting>
  <conditionalFormatting sqref="I56">
    <cfRule type="expression" dxfId="5658" priority="1169">
      <formula>$M56="NON DEFINED"</formula>
    </cfRule>
    <cfRule type="expression" dxfId="5657" priority="1170">
      <formula>$AY56="N.D."</formula>
    </cfRule>
  </conditionalFormatting>
  <conditionalFormatting sqref="I56">
    <cfRule type="cellIs" dxfId="5656" priority="1168" operator="equal">
      <formula>0</formula>
    </cfRule>
  </conditionalFormatting>
  <conditionalFormatting sqref="K56">
    <cfRule type="expression" dxfId="5655" priority="1166">
      <formula>$M56="NON DEFINED"</formula>
    </cfRule>
    <cfRule type="expression" dxfId="5654" priority="1167">
      <formula>$AY56="N.D."</formula>
    </cfRule>
  </conditionalFormatting>
  <conditionalFormatting sqref="K56">
    <cfRule type="cellIs" dxfId="5653" priority="1165" operator="equal">
      <formula>0</formula>
    </cfRule>
  </conditionalFormatting>
  <conditionalFormatting sqref="L56">
    <cfRule type="expression" dxfId="5652" priority="1163">
      <formula>$M56="NON DEFINED"</formula>
    </cfRule>
    <cfRule type="expression" dxfId="5651" priority="1164">
      <formula>$AY56="N.D."</formula>
    </cfRule>
  </conditionalFormatting>
  <conditionalFormatting sqref="L56">
    <cfRule type="cellIs" dxfId="5650" priority="1162" operator="equal">
      <formula>0</formula>
    </cfRule>
  </conditionalFormatting>
  <conditionalFormatting sqref="M56">
    <cfRule type="expression" dxfId="5649" priority="1160">
      <formula>$M56="NON DEFINED"</formula>
    </cfRule>
    <cfRule type="expression" dxfId="5648" priority="1161">
      <formula>$AY56="N.D."</formula>
    </cfRule>
  </conditionalFormatting>
  <conditionalFormatting sqref="M56">
    <cfRule type="cellIs" dxfId="5647" priority="1159" operator="equal">
      <formula>0</formula>
    </cfRule>
  </conditionalFormatting>
  <conditionalFormatting sqref="N56">
    <cfRule type="expression" dxfId="5646" priority="1157">
      <formula>$M56="NON DEFINED"</formula>
    </cfRule>
    <cfRule type="expression" dxfId="5645" priority="1158">
      <formula>$AY56="N.D."</formula>
    </cfRule>
  </conditionalFormatting>
  <conditionalFormatting sqref="N56">
    <cfRule type="cellIs" dxfId="5644" priority="1156" operator="equal">
      <formula>0</formula>
    </cfRule>
  </conditionalFormatting>
  <conditionalFormatting sqref="O56">
    <cfRule type="expression" dxfId="5643" priority="1154">
      <formula>$M56="NON DEFINED"</formula>
    </cfRule>
    <cfRule type="expression" dxfId="5642" priority="1155">
      <formula>$AY56="N.D."</formula>
    </cfRule>
  </conditionalFormatting>
  <conditionalFormatting sqref="O56">
    <cfRule type="cellIs" dxfId="5641" priority="1153" operator="equal">
      <formula>0</formula>
    </cfRule>
  </conditionalFormatting>
  <conditionalFormatting sqref="P56">
    <cfRule type="expression" dxfId="5640" priority="1151">
      <formula>$M56="NON DEFINED"</formula>
    </cfRule>
    <cfRule type="expression" dxfId="5639" priority="1152">
      <formula>$AY56="N.D."</formula>
    </cfRule>
  </conditionalFormatting>
  <conditionalFormatting sqref="P56">
    <cfRule type="cellIs" dxfId="5638" priority="1150" operator="equal">
      <formula>0</formula>
    </cfRule>
  </conditionalFormatting>
  <conditionalFormatting sqref="AC56">
    <cfRule type="expression" dxfId="5637" priority="1148">
      <formula>$M56="NON DEFINED"</formula>
    </cfRule>
    <cfRule type="expression" dxfId="5636" priority="1149">
      <formula>$AY56="N.D."</formula>
    </cfRule>
  </conditionalFormatting>
  <conditionalFormatting sqref="AC56">
    <cfRule type="cellIs" dxfId="5635" priority="1147" operator="equal">
      <formula>0</formula>
    </cfRule>
  </conditionalFormatting>
  <conditionalFormatting sqref="AD56">
    <cfRule type="expression" dxfId="5634" priority="1145">
      <formula>$M56="NON DEFINED"</formula>
    </cfRule>
    <cfRule type="expression" dxfId="5633" priority="1146">
      <formula>$AY56="N.D."</formula>
    </cfRule>
  </conditionalFormatting>
  <conditionalFormatting sqref="AD56">
    <cfRule type="cellIs" dxfId="5632" priority="1144" operator="equal">
      <formula>0</formula>
    </cfRule>
  </conditionalFormatting>
  <conditionalFormatting sqref="AE56">
    <cfRule type="expression" dxfId="5631" priority="1142">
      <formula>$M56="NON DEFINED"</formula>
    </cfRule>
    <cfRule type="expression" dxfId="5630" priority="1143">
      <formula>$AY56="N.D."</formula>
    </cfRule>
  </conditionalFormatting>
  <conditionalFormatting sqref="AE56">
    <cfRule type="cellIs" dxfId="5629" priority="1141" operator="equal">
      <formula>0</formula>
    </cfRule>
  </conditionalFormatting>
  <conditionalFormatting sqref="AJ56">
    <cfRule type="expression" dxfId="5628" priority="1139">
      <formula>$M56="NON DEFINED"</formula>
    </cfRule>
    <cfRule type="expression" dxfId="5627" priority="1140">
      <formula>$AY56="N.D."</formula>
    </cfRule>
  </conditionalFormatting>
  <conditionalFormatting sqref="AJ56">
    <cfRule type="cellIs" dxfId="5626" priority="1138" operator="equal">
      <formula>0</formula>
    </cfRule>
  </conditionalFormatting>
  <conditionalFormatting sqref="AK56">
    <cfRule type="expression" dxfId="5625" priority="1136">
      <formula>$M56="NON DEFINED"</formula>
    </cfRule>
    <cfRule type="expression" dxfId="5624" priority="1137">
      <formula>$AY56="N.D."</formula>
    </cfRule>
  </conditionalFormatting>
  <conditionalFormatting sqref="AK56">
    <cfRule type="cellIs" dxfId="5623" priority="1135" operator="equal">
      <formula>0</formula>
    </cfRule>
  </conditionalFormatting>
  <conditionalFormatting sqref="AL56">
    <cfRule type="expression" dxfId="5622" priority="1133">
      <formula>$M56="NON DEFINED"</formula>
    </cfRule>
    <cfRule type="expression" dxfId="5621" priority="1134">
      <formula>$AY56="N.D."</formula>
    </cfRule>
  </conditionalFormatting>
  <conditionalFormatting sqref="AL56">
    <cfRule type="cellIs" dxfId="5620" priority="1132" operator="equal">
      <formula>0</formula>
    </cfRule>
  </conditionalFormatting>
  <conditionalFormatting sqref="AM56">
    <cfRule type="expression" dxfId="5619" priority="1130">
      <formula>$M56="NON DEFINED"</formula>
    </cfRule>
    <cfRule type="expression" dxfId="5618" priority="1131">
      <formula>$AY56="N.D."</formula>
    </cfRule>
  </conditionalFormatting>
  <conditionalFormatting sqref="AM56">
    <cfRule type="cellIs" dxfId="5617" priority="1129" operator="equal">
      <formula>0</formula>
    </cfRule>
  </conditionalFormatting>
  <conditionalFormatting sqref="AT56">
    <cfRule type="expression" dxfId="5616" priority="1127">
      <formula>$M56="NON DEFINED"</formula>
    </cfRule>
    <cfRule type="expression" dxfId="5615" priority="1128">
      <formula>$AY56="N.D."</formula>
    </cfRule>
  </conditionalFormatting>
  <conditionalFormatting sqref="AT56">
    <cfRule type="cellIs" dxfId="5614" priority="1126" operator="equal">
      <formula>0</formula>
    </cfRule>
  </conditionalFormatting>
  <conditionalFormatting sqref="AU56">
    <cfRule type="expression" dxfId="5613" priority="1124">
      <formula>$M56="NON DEFINED"</formula>
    </cfRule>
    <cfRule type="expression" dxfId="5612" priority="1125">
      <formula>$AY56="N.D."</formula>
    </cfRule>
  </conditionalFormatting>
  <conditionalFormatting sqref="AU56">
    <cfRule type="cellIs" dxfId="5611" priority="1123" operator="equal">
      <formula>0</formula>
    </cfRule>
  </conditionalFormatting>
  <conditionalFormatting sqref="AV56">
    <cfRule type="expression" dxfId="5610" priority="1121">
      <formula>$M56="NON DEFINED"</formula>
    </cfRule>
    <cfRule type="expression" dxfId="5609" priority="1122">
      <formula>$AY56="N.D."</formula>
    </cfRule>
  </conditionalFormatting>
  <conditionalFormatting sqref="AV56">
    <cfRule type="cellIs" dxfId="5608" priority="1120" operator="equal">
      <formula>0</formula>
    </cfRule>
  </conditionalFormatting>
  <conditionalFormatting sqref="AW56">
    <cfRule type="expression" dxfId="5607" priority="1118">
      <formula>$M56="NON DEFINED"</formula>
    </cfRule>
    <cfRule type="expression" dxfId="5606" priority="1119">
      <formula>$AY56="N.D."</formula>
    </cfRule>
  </conditionalFormatting>
  <conditionalFormatting sqref="AW56">
    <cfRule type="cellIs" dxfId="5605" priority="1117" operator="equal">
      <formula>0</formula>
    </cfRule>
  </conditionalFormatting>
  <conditionalFormatting sqref="AX56">
    <cfRule type="expression" dxfId="5604" priority="1115">
      <formula>$M56="NON DEFINED"</formula>
    </cfRule>
    <cfRule type="expression" dxfId="5603" priority="1116">
      <formula>$AY56="N.D."</formula>
    </cfRule>
  </conditionalFormatting>
  <conditionalFormatting sqref="AX56">
    <cfRule type="cellIs" dxfId="5602" priority="1114" operator="equal">
      <formula>0</formula>
    </cfRule>
  </conditionalFormatting>
  <conditionalFormatting sqref="F56">
    <cfRule type="expression" dxfId="5601" priority="1112">
      <formula>$M56="NON DEFINED"</formula>
    </cfRule>
    <cfRule type="expression" dxfId="5600" priority="1113">
      <formula>$AY56="N.D."</formula>
    </cfRule>
  </conditionalFormatting>
  <conditionalFormatting sqref="F56">
    <cfRule type="cellIs" dxfId="5599" priority="1111" operator="equal">
      <formula>0</formula>
    </cfRule>
  </conditionalFormatting>
  <conditionalFormatting sqref="Q56">
    <cfRule type="expression" dxfId="5598" priority="1109">
      <formula>$M56="NON DEFINED"</formula>
    </cfRule>
    <cfRule type="expression" dxfId="5597" priority="1110">
      <formula>$AY56="N.D."</formula>
    </cfRule>
  </conditionalFormatting>
  <conditionalFormatting sqref="Q56">
    <cfRule type="cellIs" dxfId="5596" priority="1108" operator="equal">
      <formula>0</formula>
    </cfRule>
  </conditionalFormatting>
  <conditionalFormatting sqref="T56">
    <cfRule type="expression" dxfId="5595" priority="1106">
      <formula>$M56="NON DEFINED"</formula>
    </cfRule>
    <cfRule type="expression" dxfId="5594" priority="1107">
      <formula>$AY56="N.D."</formula>
    </cfRule>
  </conditionalFormatting>
  <conditionalFormatting sqref="T56">
    <cfRule type="cellIs" dxfId="5593" priority="1105" operator="equal">
      <formula>0</formula>
    </cfRule>
  </conditionalFormatting>
  <conditionalFormatting sqref="U56">
    <cfRule type="expression" dxfId="5592" priority="1103">
      <formula>$M56="NON DEFINED"</formula>
    </cfRule>
    <cfRule type="expression" dxfId="5591" priority="1104">
      <formula>$AY56="N.D."</formula>
    </cfRule>
  </conditionalFormatting>
  <conditionalFormatting sqref="U56">
    <cfRule type="cellIs" dxfId="5590" priority="1102" operator="equal">
      <formula>0</formula>
    </cfRule>
  </conditionalFormatting>
  <conditionalFormatting sqref="V56">
    <cfRule type="expression" dxfId="5589" priority="1100">
      <formula>$M56="NON DEFINED"</formula>
    </cfRule>
    <cfRule type="expression" dxfId="5588" priority="1101">
      <formula>$AY56="N.D."</formula>
    </cfRule>
  </conditionalFormatting>
  <conditionalFormatting sqref="V56">
    <cfRule type="cellIs" dxfId="5587" priority="1099" operator="equal">
      <formula>0</formula>
    </cfRule>
  </conditionalFormatting>
  <conditionalFormatting sqref="AF56">
    <cfRule type="expression" dxfId="5586" priority="1097">
      <formula>$M56="NON DEFINED"</formula>
    </cfRule>
    <cfRule type="expression" dxfId="5585" priority="1098">
      <formula>$AY56="N.D."</formula>
    </cfRule>
  </conditionalFormatting>
  <conditionalFormatting sqref="AF56">
    <cfRule type="cellIs" dxfId="5584" priority="1096" operator="equal">
      <formula>0</formula>
    </cfRule>
  </conditionalFormatting>
  <conditionalFormatting sqref="AH56">
    <cfRule type="expression" dxfId="5583" priority="1094">
      <formula>$M56="NON DEFINED"</formula>
    </cfRule>
    <cfRule type="expression" dxfId="5582" priority="1095">
      <formula>$AY56="N.D."</formula>
    </cfRule>
  </conditionalFormatting>
  <conditionalFormatting sqref="AH56">
    <cfRule type="cellIs" dxfId="5581" priority="1093" operator="equal">
      <formula>0</formula>
    </cfRule>
  </conditionalFormatting>
  <conditionalFormatting sqref="AI56">
    <cfRule type="expression" dxfId="5580" priority="1091">
      <formula>$M56="NON DEFINED"</formula>
    </cfRule>
    <cfRule type="expression" dxfId="5579" priority="1092">
      <formula>$AY56="N.D."</formula>
    </cfRule>
  </conditionalFormatting>
  <conditionalFormatting sqref="AI56">
    <cfRule type="cellIs" dxfId="5578" priority="1090" operator="equal">
      <formula>0</formula>
    </cfRule>
  </conditionalFormatting>
  <conditionalFormatting sqref="R56">
    <cfRule type="expression" dxfId="5577" priority="1088">
      <formula>$M56="NON DEFINED"</formula>
    </cfRule>
    <cfRule type="expression" dxfId="5576" priority="1089">
      <formula>$AY56="N.D."</formula>
    </cfRule>
  </conditionalFormatting>
  <conditionalFormatting sqref="R56">
    <cfRule type="cellIs" dxfId="5575" priority="1087" operator="equal">
      <formula>0</formula>
    </cfRule>
  </conditionalFormatting>
  <conditionalFormatting sqref="S56">
    <cfRule type="expression" dxfId="5574" priority="1085">
      <formula>$M56="NON DEFINED"</formula>
    </cfRule>
    <cfRule type="expression" dxfId="5573" priority="1086">
      <formula>$AY56="N.D."</formula>
    </cfRule>
  </conditionalFormatting>
  <conditionalFormatting sqref="S56">
    <cfRule type="cellIs" dxfId="5572" priority="1084" operator="equal">
      <formula>0</formula>
    </cfRule>
  </conditionalFormatting>
  <conditionalFormatting sqref="W56">
    <cfRule type="expression" dxfId="5571" priority="1082">
      <formula>$M56="NON DEFINED"</formula>
    </cfRule>
    <cfRule type="expression" dxfId="5570" priority="1083">
      <formula>$AY56="N.D."</formula>
    </cfRule>
  </conditionalFormatting>
  <conditionalFormatting sqref="W56">
    <cfRule type="cellIs" dxfId="5569" priority="1081" operator="equal">
      <formula>0</formula>
    </cfRule>
  </conditionalFormatting>
  <conditionalFormatting sqref="X56">
    <cfRule type="expression" dxfId="5568" priority="1079">
      <formula>$M56="NON DEFINED"</formula>
    </cfRule>
    <cfRule type="expression" dxfId="5567" priority="1080">
      <formula>$AY56="N.D."</formula>
    </cfRule>
  </conditionalFormatting>
  <conditionalFormatting sqref="X56">
    <cfRule type="cellIs" dxfId="5566" priority="1078" operator="equal">
      <formula>0</formula>
    </cfRule>
  </conditionalFormatting>
  <conditionalFormatting sqref="Y56">
    <cfRule type="expression" dxfId="5565" priority="1076">
      <formula>$M56="NON DEFINED"</formula>
    </cfRule>
    <cfRule type="expression" dxfId="5564" priority="1077">
      <formula>$AY56="N.D."</formula>
    </cfRule>
  </conditionalFormatting>
  <conditionalFormatting sqref="Y56">
    <cfRule type="cellIs" dxfId="5563" priority="1075" operator="equal">
      <formula>0</formula>
    </cfRule>
  </conditionalFormatting>
  <conditionalFormatting sqref="Z56">
    <cfRule type="expression" dxfId="5562" priority="1073">
      <formula>$M56="NON DEFINED"</formula>
    </cfRule>
    <cfRule type="expression" dxfId="5561" priority="1074">
      <formula>$AY56="N.D."</formula>
    </cfRule>
  </conditionalFormatting>
  <conditionalFormatting sqref="Z56">
    <cfRule type="cellIs" dxfId="5560" priority="1072" operator="equal">
      <formula>0</formula>
    </cfRule>
  </conditionalFormatting>
  <conditionalFormatting sqref="AA56">
    <cfRule type="expression" dxfId="5559" priority="1070">
      <formula>$M56="NON DEFINED"</formula>
    </cfRule>
    <cfRule type="expression" dxfId="5558" priority="1071">
      <formula>$AY56="N.D."</formula>
    </cfRule>
  </conditionalFormatting>
  <conditionalFormatting sqref="AA56">
    <cfRule type="cellIs" dxfId="5557" priority="1069" operator="equal">
      <formula>0</formula>
    </cfRule>
  </conditionalFormatting>
  <conditionalFormatting sqref="AB56">
    <cfRule type="expression" dxfId="5556" priority="1067">
      <formula>$M56="NON DEFINED"</formula>
    </cfRule>
    <cfRule type="expression" dxfId="5555" priority="1068">
      <formula>$AY56="N.D."</formula>
    </cfRule>
  </conditionalFormatting>
  <conditionalFormatting sqref="AB56">
    <cfRule type="cellIs" dxfId="5554" priority="1066" operator="equal">
      <formula>0</formula>
    </cfRule>
  </conditionalFormatting>
  <conditionalFormatting sqref="BD16">
    <cfRule type="containsText" dxfId="5553" priority="1065" operator="containsText" text="Poner a mano">
      <formula>NOT(ISERROR(SEARCH("Poner a mano",BD16)))</formula>
    </cfRule>
  </conditionalFormatting>
  <conditionalFormatting sqref="BD39">
    <cfRule type="containsText" dxfId="5552" priority="427" operator="containsText" text="Poner a mano">
      <formula>NOT(ISERROR(SEARCH("Poner a mano",BD39)))</formula>
    </cfRule>
  </conditionalFormatting>
  <conditionalFormatting sqref="BD40">
    <cfRule type="containsText" dxfId="5551" priority="1063" operator="containsText" text="Poner a mano">
      <formula>NOT(ISERROR(SEARCH("Poner a mano",BD40)))</formula>
    </cfRule>
  </conditionalFormatting>
  <conditionalFormatting sqref="BD42">
    <cfRule type="containsText" dxfId="5550" priority="1062" operator="containsText" text="Poner a mano">
      <formula>NOT(ISERROR(SEARCH("Poner a mano",BD42)))</formula>
    </cfRule>
  </conditionalFormatting>
  <conditionalFormatting sqref="BD44">
    <cfRule type="containsText" dxfId="5549" priority="1061" operator="containsText" text="Poner a mano">
      <formula>NOT(ISERROR(SEARCH("Poner a mano",BD44)))</formula>
    </cfRule>
  </conditionalFormatting>
  <conditionalFormatting sqref="BD46">
    <cfRule type="containsText" dxfId="5548" priority="1060" operator="containsText" text="Poner a mano">
      <formula>NOT(ISERROR(SEARCH("Poner a mano",BD46)))</formula>
    </cfRule>
  </conditionalFormatting>
  <conditionalFormatting sqref="BD48">
    <cfRule type="containsText" dxfId="5547" priority="1059" operator="containsText" text="Poner a mano">
      <formula>NOT(ISERROR(SEARCH("Poner a mano",BD48)))</formula>
    </cfRule>
  </conditionalFormatting>
  <conditionalFormatting sqref="BD50">
    <cfRule type="containsText" dxfId="5546" priority="1058" operator="containsText" text="Poner a mano">
      <formula>NOT(ISERROR(SEARCH("Poner a mano",BD50)))</formula>
    </cfRule>
  </conditionalFormatting>
  <conditionalFormatting sqref="BD52">
    <cfRule type="containsText" dxfId="5545" priority="1057" operator="containsText" text="Poner a mano">
      <formula>NOT(ISERROR(SEARCH("Poner a mano",BD52)))</formula>
    </cfRule>
  </conditionalFormatting>
  <conditionalFormatting sqref="BD54">
    <cfRule type="containsText" dxfId="5544" priority="1056" operator="containsText" text="Poner a mano">
      <formula>NOT(ISERROR(SEARCH("Poner a mano",BD54)))</formula>
    </cfRule>
  </conditionalFormatting>
  <conditionalFormatting sqref="B5:V6 X5:AZ6 B8 B10 B12 B14 B16 B18 B20 B22 B24 B26 B28 B30 B32 B34 B36 B38 B40 B42 B44 B46 B48 B50 B52">
    <cfRule type="expression" dxfId="5543" priority="1052">
      <formula>$M5="NON DEFINED"</formula>
    </cfRule>
    <cfRule type="expression" dxfId="5542" priority="1053">
      <formula>$AZ5="N.D."</formula>
    </cfRule>
    <cfRule type="expression" dxfId="5541" priority="1054">
      <formula>$AY5="N.D."</formula>
    </cfRule>
  </conditionalFormatting>
  <conditionalFormatting sqref="AG5:AG6 A5:E6 AY5:AZ6 AM5:AS6 G5:H6 J5:J6 B8 B10 B12 B14 B16 B18 B20 B22 B24 B26 B28 B30 B32 B34 B36 B38 B40 B42 B44 B46 B48 B50 B52">
    <cfRule type="expression" dxfId="5540" priority="1041">
      <formula>$A5="Overhead Cable"</formula>
    </cfRule>
    <cfRule type="expression" dxfId="5539" priority="1042">
      <formula>$A5="Level Crossing"</formula>
    </cfRule>
    <cfRule type="expression" dxfId="5538" priority="1043">
      <formula>$A5="Neutral Section"</formula>
    </cfRule>
    <cfRule type="expression" dxfId="5537" priority="1044">
      <formula>$A5="Tunnel"</formula>
    </cfRule>
    <cfRule type="expression" dxfId="5536" priority="1045">
      <formula>$A5="Bridge"</formula>
    </cfRule>
    <cfRule type="expression" dxfId="5535" priority="1046">
      <formula>$A5="Drainage Works"</formula>
    </cfRule>
    <cfRule type="expression" dxfId="5534" priority="1047">
      <formula>$A5="Underpass"</formula>
    </cfRule>
    <cfRule type="expression" dxfId="5533" priority="1048">
      <formula>$A5="Overcrossing"</formula>
    </cfRule>
    <cfRule type="expression" dxfId="5532" priority="1049">
      <formula>$A5="Overpass"</formula>
    </cfRule>
    <cfRule type="expression" dxfId="5531" priority="1050">
      <formula>$A5="Station"</formula>
    </cfRule>
    <cfRule type="expression" dxfId="5530" priority="1051">
      <formula>$A5="Overlap between sections"</formula>
    </cfRule>
  </conditionalFormatting>
  <conditionalFormatting sqref="AN5:AP6">
    <cfRule type="cellIs" dxfId="5529" priority="1040" operator="notEqual">
      <formula>5.5</formula>
    </cfRule>
  </conditionalFormatting>
  <conditionalFormatting sqref="B5:B6 B8 B10 B12 B14 B16 B18 B20 B22 B24 B26 B28 B30 B32 B34 B36 B38 B40 B42 B44 B46 B48 B50 B52">
    <cfRule type="expression" dxfId="5528" priority="1039">
      <formula>AND($AH5&gt;2499,$AH5&lt;2901)</formula>
    </cfRule>
  </conditionalFormatting>
  <conditionalFormatting sqref="I5:I6">
    <cfRule type="expression" dxfId="5527" priority="1028">
      <formula>$A5="Overhead Cable"</formula>
    </cfRule>
    <cfRule type="expression" dxfId="5526" priority="1029">
      <formula>$A5="Level Crossing"</formula>
    </cfRule>
    <cfRule type="expression" dxfId="5525" priority="1030">
      <formula>$A5="Neutral Section"</formula>
    </cfRule>
    <cfRule type="expression" dxfId="5524" priority="1031">
      <formula>$A5="Tunnel"</formula>
    </cfRule>
    <cfRule type="expression" dxfId="5523" priority="1032">
      <formula>$A5="Bridge"</formula>
    </cfRule>
    <cfRule type="expression" dxfId="5522" priority="1033">
      <formula>$A5="Drainage Works"</formula>
    </cfRule>
    <cfRule type="expression" dxfId="5521" priority="1034">
      <formula>$A5="Underpass"</formula>
    </cfRule>
    <cfRule type="expression" dxfId="5520" priority="1035">
      <formula>$A5="Overcrossing"</formula>
    </cfRule>
    <cfRule type="expression" dxfId="5519" priority="1036">
      <formula>$A5="Overpass"</formula>
    </cfRule>
    <cfRule type="expression" dxfId="5518" priority="1037">
      <formula>$A5="Station"</formula>
    </cfRule>
    <cfRule type="expression" dxfId="5517" priority="1038">
      <formula>$A5="Overlap between sections"</formula>
    </cfRule>
  </conditionalFormatting>
  <conditionalFormatting sqref="K5:K6">
    <cfRule type="expression" dxfId="5516" priority="1017">
      <formula>$A5="Overhead Cable"</formula>
    </cfRule>
    <cfRule type="expression" dxfId="5515" priority="1018">
      <formula>$A5="Level Crossing"</formula>
    </cfRule>
    <cfRule type="expression" dxfId="5514" priority="1019">
      <formula>$A5="Neutral Section"</formula>
    </cfRule>
    <cfRule type="expression" dxfId="5513" priority="1020">
      <formula>$A5="Tunnel"</formula>
    </cfRule>
    <cfRule type="expression" dxfId="5512" priority="1021">
      <formula>$A5="Bridge"</formula>
    </cfRule>
    <cfRule type="expression" dxfId="5511" priority="1022">
      <formula>$A5="Drainage Works"</formula>
    </cfRule>
    <cfRule type="expression" dxfId="5510" priority="1023">
      <formula>$A5="Underpass"</formula>
    </cfRule>
    <cfRule type="expression" dxfId="5509" priority="1024">
      <formula>$A5="Overcrossing"</formula>
    </cfRule>
    <cfRule type="expression" dxfId="5508" priority="1025">
      <formula>$A5="Overpass"</formula>
    </cfRule>
    <cfRule type="expression" dxfId="5507" priority="1026">
      <formula>$A5="Station"</formula>
    </cfRule>
    <cfRule type="expression" dxfId="5506" priority="1027">
      <formula>$A5="Overlap between sections"</formula>
    </cfRule>
  </conditionalFormatting>
  <conditionalFormatting sqref="L5:L6">
    <cfRule type="expression" dxfId="5505" priority="1006">
      <formula>$A5="Overhead Cable"</formula>
    </cfRule>
    <cfRule type="expression" dxfId="5504" priority="1007">
      <formula>$A5="Level Crossing"</formula>
    </cfRule>
    <cfRule type="expression" dxfId="5503" priority="1008">
      <formula>$A5="Neutral Section"</formula>
    </cfRule>
    <cfRule type="expression" dxfId="5502" priority="1009">
      <formula>$A5="Tunnel"</formula>
    </cfRule>
    <cfRule type="expression" dxfId="5501" priority="1010">
      <formula>$A5="Bridge"</formula>
    </cfRule>
    <cfRule type="expression" dxfId="5500" priority="1011">
      <formula>$A5="Drainage Works"</formula>
    </cfRule>
    <cfRule type="expression" dxfId="5499" priority="1012">
      <formula>$A5="Underpass"</formula>
    </cfRule>
    <cfRule type="expression" dxfId="5498" priority="1013">
      <formula>$A5="Overcrossing"</formula>
    </cfRule>
    <cfRule type="expression" dxfId="5497" priority="1014">
      <formula>$A5="Overpass"</formula>
    </cfRule>
    <cfRule type="expression" dxfId="5496" priority="1015">
      <formula>$A5="Station"</formula>
    </cfRule>
    <cfRule type="expression" dxfId="5495" priority="1016">
      <formula>$A5="Overlap between sections"</formula>
    </cfRule>
  </conditionalFormatting>
  <conditionalFormatting sqref="M5:M6">
    <cfRule type="expression" dxfId="5494" priority="995">
      <formula>$A5="Overhead Cable"</formula>
    </cfRule>
    <cfRule type="expression" dxfId="5493" priority="996">
      <formula>$A5="Level Crossing"</formula>
    </cfRule>
    <cfRule type="expression" dxfId="5492" priority="997">
      <formula>$A5="Neutral Section"</formula>
    </cfRule>
    <cfRule type="expression" dxfId="5491" priority="998">
      <formula>$A5="Tunnel"</formula>
    </cfRule>
    <cfRule type="expression" dxfId="5490" priority="999">
      <formula>$A5="Bridge"</formula>
    </cfRule>
    <cfRule type="expression" dxfId="5489" priority="1000">
      <formula>$A5="Drainage Works"</formula>
    </cfRule>
    <cfRule type="expression" dxfId="5488" priority="1001">
      <formula>$A5="Underpass"</formula>
    </cfRule>
    <cfRule type="expression" dxfId="5487" priority="1002">
      <formula>$A5="Overcrossing"</formula>
    </cfRule>
    <cfRule type="expression" dxfId="5486" priority="1003">
      <formula>$A5="Overpass"</formula>
    </cfRule>
    <cfRule type="expression" dxfId="5485" priority="1004">
      <formula>$A5="Station"</formula>
    </cfRule>
    <cfRule type="expression" dxfId="5484" priority="1005">
      <formula>$A5="Overlap between sections"</formula>
    </cfRule>
  </conditionalFormatting>
  <conditionalFormatting sqref="N5:N6">
    <cfRule type="expression" dxfId="5483" priority="984">
      <formula>$A5="Overhead Cable"</formula>
    </cfRule>
    <cfRule type="expression" dxfId="5482" priority="985">
      <formula>$A5="Level Crossing"</formula>
    </cfRule>
    <cfRule type="expression" dxfId="5481" priority="986">
      <formula>$A5="Neutral Section"</formula>
    </cfRule>
    <cfRule type="expression" dxfId="5480" priority="987">
      <formula>$A5="Tunnel"</formula>
    </cfRule>
    <cfRule type="expression" dxfId="5479" priority="988">
      <formula>$A5="Bridge"</formula>
    </cfRule>
    <cfRule type="expression" dxfId="5478" priority="989">
      <formula>$A5="Drainage Works"</formula>
    </cfRule>
    <cfRule type="expression" dxfId="5477" priority="990">
      <formula>$A5="Underpass"</formula>
    </cfRule>
    <cfRule type="expression" dxfId="5476" priority="991">
      <formula>$A5="Overcrossing"</formula>
    </cfRule>
    <cfRule type="expression" dxfId="5475" priority="992">
      <formula>$A5="Overpass"</formula>
    </cfRule>
    <cfRule type="expression" dxfId="5474" priority="993">
      <formula>$A5="Station"</formula>
    </cfRule>
    <cfRule type="expression" dxfId="5473" priority="994">
      <formula>$A5="Overlap between sections"</formula>
    </cfRule>
  </conditionalFormatting>
  <conditionalFormatting sqref="O5:O6">
    <cfRule type="expression" dxfId="5472" priority="973">
      <formula>$A5="Overhead Cable"</formula>
    </cfRule>
    <cfRule type="expression" dxfId="5471" priority="974">
      <formula>$A5="Level Crossing"</formula>
    </cfRule>
    <cfRule type="expression" dxfId="5470" priority="975">
      <formula>$A5="Neutral Section"</formula>
    </cfRule>
    <cfRule type="expression" dxfId="5469" priority="976">
      <formula>$A5="Tunnel"</formula>
    </cfRule>
    <cfRule type="expression" dxfId="5468" priority="977">
      <formula>$A5="Bridge"</formula>
    </cfRule>
    <cfRule type="expression" dxfId="5467" priority="978">
      <formula>$A5="Drainage Works"</formula>
    </cfRule>
    <cfRule type="expression" dxfId="5466" priority="979">
      <formula>$A5="Underpass"</formula>
    </cfRule>
    <cfRule type="expression" dxfId="5465" priority="980">
      <formula>$A5="Overcrossing"</formula>
    </cfRule>
    <cfRule type="expression" dxfId="5464" priority="981">
      <formula>$A5="Overpass"</formula>
    </cfRule>
    <cfRule type="expression" dxfId="5463" priority="982">
      <formula>$A5="Station"</formula>
    </cfRule>
    <cfRule type="expression" dxfId="5462" priority="983">
      <formula>$A5="Overlap between sections"</formula>
    </cfRule>
  </conditionalFormatting>
  <conditionalFormatting sqref="P5:P6">
    <cfRule type="expression" dxfId="5461" priority="962">
      <formula>$A5="Overhead Cable"</formula>
    </cfRule>
    <cfRule type="expression" dxfId="5460" priority="963">
      <formula>$A5="Level Crossing"</formula>
    </cfRule>
    <cfRule type="expression" dxfId="5459" priority="964">
      <formula>$A5="Neutral Section"</formula>
    </cfRule>
    <cfRule type="expression" dxfId="5458" priority="965">
      <formula>$A5="Tunnel"</formula>
    </cfRule>
    <cfRule type="expression" dxfId="5457" priority="966">
      <formula>$A5="Bridge"</formula>
    </cfRule>
    <cfRule type="expression" dxfId="5456" priority="967">
      <formula>$A5="Drainage Works"</formula>
    </cfRule>
    <cfRule type="expression" dxfId="5455" priority="968">
      <formula>$A5="Underpass"</formula>
    </cfRule>
    <cfRule type="expression" dxfId="5454" priority="969">
      <formula>$A5="Overcrossing"</formula>
    </cfRule>
    <cfRule type="expression" dxfId="5453" priority="970">
      <formula>$A5="Overpass"</formula>
    </cfRule>
    <cfRule type="expression" dxfId="5452" priority="971">
      <formula>$A5="Station"</formula>
    </cfRule>
    <cfRule type="expression" dxfId="5451" priority="972">
      <formula>$A5="Overlap between sections"</formula>
    </cfRule>
  </conditionalFormatting>
  <conditionalFormatting sqref="AC5:AC6">
    <cfRule type="expression" dxfId="5450" priority="951">
      <formula>$A5="Overhead Cable"</formula>
    </cfRule>
    <cfRule type="expression" dxfId="5449" priority="952">
      <formula>$A5="Level Crossing"</formula>
    </cfRule>
    <cfRule type="expression" dxfId="5448" priority="953">
      <formula>$A5="Neutral Section"</formula>
    </cfRule>
    <cfRule type="expression" dxfId="5447" priority="954">
      <formula>$A5="Tunnel"</formula>
    </cfRule>
    <cfRule type="expression" dxfId="5446" priority="955">
      <formula>$A5="Bridge"</formula>
    </cfRule>
    <cfRule type="expression" dxfId="5445" priority="956">
      <formula>$A5="Drainage Works"</formula>
    </cfRule>
    <cfRule type="expression" dxfId="5444" priority="957">
      <formula>$A5="Underpass"</formula>
    </cfRule>
    <cfRule type="expression" dxfId="5443" priority="958">
      <formula>$A5="Overcrossing"</formula>
    </cfRule>
    <cfRule type="expression" dxfId="5442" priority="959">
      <formula>$A5="Overpass"</formula>
    </cfRule>
    <cfRule type="expression" dxfId="5441" priority="960">
      <formula>$A5="Station"</formula>
    </cfRule>
    <cfRule type="expression" dxfId="5440" priority="961">
      <formula>$A5="Overlap between sections"</formula>
    </cfRule>
  </conditionalFormatting>
  <conditionalFormatting sqref="AD5:AD6">
    <cfRule type="expression" dxfId="5439" priority="940">
      <formula>$A5="Overhead Cable"</formula>
    </cfRule>
    <cfRule type="expression" dxfId="5438" priority="941">
      <formula>$A5="Level Crossing"</formula>
    </cfRule>
    <cfRule type="expression" dxfId="5437" priority="942">
      <formula>$A5="Neutral Section"</formula>
    </cfRule>
    <cfRule type="expression" dxfId="5436" priority="943">
      <formula>$A5="Tunnel"</formula>
    </cfRule>
    <cfRule type="expression" dxfId="5435" priority="944">
      <formula>$A5="Bridge"</formula>
    </cfRule>
    <cfRule type="expression" dxfId="5434" priority="945">
      <formula>$A5="Drainage Works"</formula>
    </cfRule>
    <cfRule type="expression" dxfId="5433" priority="946">
      <formula>$A5="Underpass"</formula>
    </cfRule>
    <cfRule type="expression" dxfId="5432" priority="947">
      <formula>$A5="Overcrossing"</formula>
    </cfRule>
    <cfRule type="expression" dxfId="5431" priority="948">
      <formula>$A5="Overpass"</formula>
    </cfRule>
    <cfRule type="expression" dxfId="5430" priority="949">
      <formula>$A5="Station"</formula>
    </cfRule>
    <cfRule type="expression" dxfId="5429" priority="950">
      <formula>$A5="Overlap between sections"</formula>
    </cfRule>
  </conditionalFormatting>
  <conditionalFormatting sqref="AE5:AE6">
    <cfRule type="expression" dxfId="5428" priority="929">
      <formula>$A5="Overhead Cable"</formula>
    </cfRule>
    <cfRule type="expression" dxfId="5427" priority="930">
      <formula>$A5="Level Crossing"</formula>
    </cfRule>
    <cfRule type="expression" dxfId="5426" priority="931">
      <formula>$A5="Neutral Section"</formula>
    </cfRule>
    <cfRule type="expression" dxfId="5425" priority="932">
      <formula>$A5="Tunnel"</formula>
    </cfRule>
    <cfRule type="expression" dxfId="5424" priority="933">
      <formula>$A5="Bridge"</formula>
    </cfRule>
    <cfRule type="expression" dxfId="5423" priority="934">
      <formula>$A5="Drainage Works"</formula>
    </cfRule>
    <cfRule type="expression" dxfId="5422" priority="935">
      <formula>$A5="Underpass"</formula>
    </cfRule>
    <cfRule type="expression" dxfId="5421" priority="936">
      <formula>$A5="Overcrossing"</formula>
    </cfRule>
    <cfRule type="expression" dxfId="5420" priority="937">
      <formula>$A5="Overpass"</formula>
    </cfRule>
    <cfRule type="expression" dxfId="5419" priority="938">
      <formula>$A5="Station"</formula>
    </cfRule>
    <cfRule type="expression" dxfId="5418" priority="939">
      <formula>$A5="Overlap between sections"</formula>
    </cfRule>
  </conditionalFormatting>
  <conditionalFormatting sqref="AJ5:AJ6">
    <cfRule type="expression" dxfId="5417" priority="918">
      <formula>$A5="Overhead Cable"</formula>
    </cfRule>
    <cfRule type="expression" dxfId="5416" priority="919">
      <formula>$A5="Level Crossing"</formula>
    </cfRule>
    <cfRule type="expression" dxfId="5415" priority="920">
      <formula>$A5="Neutral Section"</formula>
    </cfRule>
    <cfRule type="expression" dxfId="5414" priority="921">
      <formula>$A5="Tunnel"</formula>
    </cfRule>
    <cfRule type="expression" dxfId="5413" priority="922">
      <formula>$A5="Bridge"</formula>
    </cfRule>
    <cfRule type="expression" dxfId="5412" priority="923">
      <formula>$A5="Drainage Works"</formula>
    </cfRule>
    <cfRule type="expression" dxfId="5411" priority="924">
      <formula>$A5="Underpass"</formula>
    </cfRule>
    <cfRule type="expression" dxfId="5410" priority="925">
      <formula>$A5="Overcrossing"</formula>
    </cfRule>
    <cfRule type="expression" dxfId="5409" priority="926">
      <formula>$A5="Overpass"</formula>
    </cfRule>
    <cfRule type="expression" dxfId="5408" priority="927">
      <formula>$A5="Station"</formula>
    </cfRule>
    <cfRule type="expression" dxfId="5407" priority="928">
      <formula>$A5="Overlap between sections"</formula>
    </cfRule>
  </conditionalFormatting>
  <conditionalFormatting sqref="AK5:AK6">
    <cfRule type="expression" dxfId="5406" priority="907">
      <formula>$A5="Overhead Cable"</formula>
    </cfRule>
    <cfRule type="expression" dxfId="5405" priority="908">
      <formula>$A5="Level Crossing"</formula>
    </cfRule>
    <cfRule type="expression" dxfId="5404" priority="909">
      <formula>$A5="Neutral Section"</formula>
    </cfRule>
    <cfRule type="expression" dxfId="5403" priority="910">
      <formula>$A5="Tunnel"</formula>
    </cfRule>
    <cfRule type="expression" dxfId="5402" priority="911">
      <formula>$A5="Bridge"</formula>
    </cfRule>
    <cfRule type="expression" dxfId="5401" priority="912">
      <formula>$A5="Drainage Works"</formula>
    </cfRule>
    <cfRule type="expression" dxfId="5400" priority="913">
      <formula>$A5="Underpass"</formula>
    </cfRule>
    <cfRule type="expression" dxfId="5399" priority="914">
      <formula>$A5="Overcrossing"</formula>
    </cfRule>
    <cfRule type="expression" dxfId="5398" priority="915">
      <formula>$A5="Overpass"</formula>
    </cfRule>
    <cfRule type="expression" dxfId="5397" priority="916">
      <formula>$A5="Station"</formula>
    </cfRule>
    <cfRule type="expression" dxfId="5396" priority="917">
      <formula>$A5="Overlap between sections"</formula>
    </cfRule>
  </conditionalFormatting>
  <conditionalFormatting sqref="AL5:AL6">
    <cfRule type="expression" dxfId="5395" priority="896">
      <formula>$A5="Overhead Cable"</formula>
    </cfRule>
    <cfRule type="expression" dxfId="5394" priority="897">
      <formula>$A5="Level Crossing"</formula>
    </cfRule>
    <cfRule type="expression" dxfId="5393" priority="898">
      <formula>$A5="Neutral Section"</formula>
    </cfRule>
    <cfRule type="expression" dxfId="5392" priority="899">
      <formula>$A5="Tunnel"</formula>
    </cfRule>
    <cfRule type="expression" dxfId="5391" priority="900">
      <formula>$A5="Bridge"</formula>
    </cfRule>
    <cfRule type="expression" dxfId="5390" priority="901">
      <formula>$A5="Drainage Works"</formula>
    </cfRule>
    <cfRule type="expression" dxfId="5389" priority="902">
      <formula>$A5="Underpass"</formula>
    </cfRule>
    <cfRule type="expression" dxfId="5388" priority="903">
      <formula>$A5="Overcrossing"</formula>
    </cfRule>
    <cfRule type="expression" dxfId="5387" priority="904">
      <formula>$A5="Overpass"</formula>
    </cfRule>
    <cfRule type="expression" dxfId="5386" priority="905">
      <formula>$A5="Station"</formula>
    </cfRule>
    <cfRule type="expression" dxfId="5385" priority="906">
      <formula>$A5="Overlap between sections"</formula>
    </cfRule>
  </conditionalFormatting>
  <conditionalFormatting sqref="AT5:AT6">
    <cfRule type="expression" dxfId="5384" priority="885">
      <formula>$A5="Overhead Cable"</formula>
    </cfRule>
    <cfRule type="expression" dxfId="5383" priority="886">
      <formula>$A5="Level Crossing"</formula>
    </cfRule>
    <cfRule type="expression" dxfId="5382" priority="887">
      <formula>$A5="Neutral Section"</formula>
    </cfRule>
    <cfRule type="expression" dxfId="5381" priority="888">
      <formula>$A5="Tunnel"</formula>
    </cfRule>
    <cfRule type="expression" dxfId="5380" priority="889">
      <formula>$A5="Bridge"</formula>
    </cfRule>
    <cfRule type="expression" dxfId="5379" priority="890">
      <formula>$A5="Drainage Works"</formula>
    </cfRule>
    <cfRule type="expression" dxfId="5378" priority="891">
      <formula>$A5="Underpass"</formula>
    </cfRule>
    <cfRule type="expression" dxfId="5377" priority="892">
      <formula>$A5="Overcrossing"</formula>
    </cfRule>
    <cfRule type="expression" dxfId="5376" priority="893">
      <formula>$A5="Overpass"</formula>
    </cfRule>
    <cfRule type="expression" dxfId="5375" priority="894">
      <formula>$A5="Station"</formula>
    </cfRule>
    <cfRule type="expression" dxfId="5374" priority="895">
      <formula>$A5="Overlap between sections"</formula>
    </cfRule>
  </conditionalFormatting>
  <conditionalFormatting sqref="AU5:AU6">
    <cfRule type="expression" dxfId="5373" priority="874">
      <formula>$A5="Overhead Cable"</formula>
    </cfRule>
    <cfRule type="expression" dxfId="5372" priority="875">
      <formula>$A5="Level Crossing"</formula>
    </cfRule>
    <cfRule type="expression" dxfId="5371" priority="876">
      <formula>$A5="Neutral Section"</formula>
    </cfRule>
    <cfRule type="expression" dxfId="5370" priority="877">
      <formula>$A5="Tunnel"</formula>
    </cfRule>
    <cfRule type="expression" dxfId="5369" priority="878">
      <formula>$A5="Bridge"</formula>
    </cfRule>
    <cfRule type="expression" dxfId="5368" priority="879">
      <formula>$A5="Drainage Works"</formula>
    </cfRule>
    <cfRule type="expression" dxfId="5367" priority="880">
      <formula>$A5="Underpass"</formula>
    </cfRule>
    <cfRule type="expression" dxfId="5366" priority="881">
      <formula>$A5="Overcrossing"</formula>
    </cfRule>
    <cfRule type="expression" dxfId="5365" priority="882">
      <formula>$A5="Overpass"</formula>
    </cfRule>
    <cfRule type="expression" dxfId="5364" priority="883">
      <formula>$A5="Station"</formula>
    </cfRule>
    <cfRule type="expression" dxfId="5363" priority="884">
      <formula>$A5="Overlap between sections"</formula>
    </cfRule>
  </conditionalFormatting>
  <conditionalFormatting sqref="AV5:AV6">
    <cfRule type="expression" dxfId="5362" priority="863">
      <formula>$A5="Overhead Cable"</formula>
    </cfRule>
    <cfRule type="expression" dxfId="5361" priority="864">
      <formula>$A5="Level Crossing"</formula>
    </cfRule>
    <cfRule type="expression" dxfId="5360" priority="865">
      <formula>$A5="Neutral Section"</formula>
    </cfRule>
    <cfRule type="expression" dxfId="5359" priority="866">
      <formula>$A5="Tunnel"</formula>
    </cfRule>
    <cfRule type="expression" dxfId="5358" priority="867">
      <formula>$A5="Bridge"</formula>
    </cfRule>
    <cfRule type="expression" dxfId="5357" priority="868">
      <formula>$A5="Drainage Works"</formula>
    </cfRule>
    <cfRule type="expression" dxfId="5356" priority="869">
      <formula>$A5="Underpass"</formula>
    </cfRule>
    <cfRule type="expression" dxfId="5355" priority="870">
      <formula>$A5="Overcrossing"</formula>
    </cfRule>
    <cfRule type="expression" dxfId="5354" priority="871">
      <formula>$A5="Overpass"</formula>
    </cfRule>
    <cfRule type="expression" dxfId="5353" priority="872">
      <formula>$A5="Station"</formula>
    </cfRule>
    <cfRule type="expression" dxfId="5352" priority="873">
      <formula>$A5="Overlap between sections"</formula>
    </cfRule>
  </conditionalFormatting>
  <conditionalFormatting sqref="AW5:AW6">
    <cfRule type="expression" dxfId="5351" priority="852">
      <formula>$A5="Overhead Cable"</formula>
    </cfRule>
    <cfRule type="expression" dxfId="5350" priority="853">
      <formula>$A5="Level Crossing"</formula>
    </cfRule>
    <cfRule type="expression" dxfId="5349" priority="854">
      <formula>$A5="Neutral Section"</formula>
    </cfRule>
    <cfRule type="expression" dxfId="5348" priority="855">
      <formula>$A5="Tunnel"</formula>
    </cfRule>
    <cfRule type="expression" dxfId="5347" priority="856">
      <formula>$A5="Bridge"</formula>
    </cfRule>
    <cfRule type="expression" dxfId="5346" priority="857">
      <formula>$A5="Drainage Works"</formula>
    </cfRule>
    <cfRule type="expression" dxfId="5345" priority="858">
      <formula>$A5="Underpass"</formula>
    </cfRule>
    <cfRule type="expression" dxfId="5344" priority="859">
      <formula>$A5="Overcrossing"</formula>
    </cfRule>
    <cfRule type="expression" dxfId="5343" priority="860">
      <formula>$A5="Overpass"</formula>
    </cfRule>
    <cfRule type="expression" dxfId="5342" priority="861">
      <formula>$A5="Station"</formula>
    </cfRule>
    <cfRule type="expression" dxfId="5341" priority="862">
      <formula>$A5="Overlap between sections"</formula>
    </cfRule>
  </conditionalFormatting>
  <conditionalFormatting sqref="AX5:AX6">
    <cfRule type="expression" dxfId="5340" priority="841">
      <formula>$A5="Overhead Cable"</formula>
    </cfRule>
    <cfRule type="expression" dxfId="5339" priority="842">
      <formula>$A5="Level Crossing"</formula>
    </cfRule>
    <cfRule type="expression" dxfId="5338" priority="843">
      <formula>$A5="Neutral Section"</formula>
    </cfRule>
    <cfRule type="expression" dxfId="5337" priority="844">
      <formula>$A5="Tunnel"</formula>
    </cfRule>
    <cfRule type="expression" dxfId="5336" priority="845">
      <formula>$A5="Bridge"</formula>
    </cfRule>
    <cfRule type="expression" dxfId="5335" priority="846">
      <formula>$A5="Drainage Works"</formula>
    </cfRule>
    <cfRule type="expression" dxfId="5334" priority="847">
      <formula>$A5="Underpass"</formula>
    </cfRule>
    <cfRule type="expression" dxfId="5333" priority="848">
      <formula>$A5="Overcrossing"</formula>
    </cfRule>
    <cfRule type="expression" dxfId="5332" priority="849">
      <formula>$A5="Overpass"</formula>
    </cfRule>
    <cfRule type="expression" dxfId="5331" priority="850">
      <formula>$A5="Station"</formula>
    </cfRule>
    <cfRule type="expression" dxfId="5330" priority="851">
      <formula>$A5="Overlap between sections"</formula>
    </cfRule>
  </conditionalFormatting>
  <conditionalFormatting sqref="F5:F6">
    <cfRule type="expression" dxfId="5329" priority="830">
      <formula>$A5="Overhead Cable"</formula>
    </cfRule>
    <cfRule type="expression" dxfId="5328" priority="831">
      <formula>$A5="Level Crossing"</formula>
    </cfRule>
    <cfRule type="expression" dxfId="5327" priority="832">
      <formula>$A5="Neutral Section"</formula>
    </cfRule>
    <cfRule type="expression" dxfId="5326" priority="833">
      <formula>$A5="Tunnel"</formula>
    </cfRule>
    <cfRule type="expression" dxfId="5325" priority="834">
      <formula>$A5="Bridge"</formula>
    </cfRule>
    <cfRule type="expression" dxfId="5324" priority="835">
      <formula>$A5="Drainage Works"</formula>
    </cfRule>
    <cfRule type="expression" dxfId="5323" priority="836">
      <formula>$A5="Underpass"</formula>
    </cfRule>
    <cfRule type="expression" dxfId="5322" priority="837">
      <formula>$A5="Overcrossing"</formula>
    </cfRule>
    <cfRule type="expression" dxfId="5321" priority="838">
      <formula>$A5="Overpass"</formula>
    </cfRule>
    <cfRule type="expression" dxfId="5320" priority="839">
      <formula>$A5="Station"</formula>
    </cfRule>
    <cfRule type="expression" dxfId="5319" priority="840">
      <formula>$A5="Overlap between sections"</formula>
    </cfRule>
  </conditionalFormatting>
  <conditionalFormatting sqref="Q5:Q6">
    <cfRule type="expression" dxfId="5318" priority="819">
      <formula>$A5="Overhead Cable"</formula>
    </cfRule>
    <cfRule type="expression" dxfId="5317" priority="820">
      <formula>$A5="Level Crossing"</formula>
    </cfRule>
    <cfRule type="expression" dxfId="5316" priority="821">
      <formula>$A5="Neutral Section"</formula>
    </cfRule>
    <cfRule type="expression" dxfId="5315" priority="822">
      <formula>$A5="Tunnel"</formula>
    </cfRule>
    <cfRule type="expression" dxfId="5314" priority="823">
      <formula>$A5="Bridge"</formula>
    </cfRule>
    <cfRule type="expression" dxfId="5313" priority="824">
      <formula>$A5="Drainage Works"</formula>
    </cfRule>
    <cfRule type="expression" dxfId="5312" priority="825">
      <formula>$A5="Underpass"</formula>
    </cfRule>
    <cfRule type="expression" dxfId="5311" priority="826">
      <formula>$A5="Overcrossing"</formula>
    </cfRule>
    <cfRule type="expression" dxfId="5310" priority="827">
      <formula>$A5="Overpass"</formula>
    </cfRule>
    <cfRule type="expression" dxfId="5309" priority="828">
      <formula>$A5="Station"</formula>
    </cfRule>
    <cfRule type="expression" dxfId="5308" priority="829">
      <formula>$A5="Overlap between sections"</formula>
    </cfRule>
  </conditionalFormatting>
  <conditionalFormatting sqref="T5:T6">
    <cfRule type="expression" dxfId="5307" priority="808">
      <formula>$A5="Overhead Cable"</formula>
    </cfRule>
    <cfRule type="expression" dxfId="5306" priority="809">
      <formula>$A5="Level Crossing"</formula>
    </cfRule>
    <cfRule type="expression" dxfId="5305" priority="810">
      <formula>$A5="Neutral Section"</formula>
    </cfRule>
    <cfRule type="expression" dxfId="5304" priority="811">
      <formula>$A5="Tunnel"</formula>
    </cfRule>
    <cfRule type="expression" dxfId="5303" priority="812">
      <formula>$A5="Bridge"</formula>
    </cfRule>
    <cfRule type="expression" dxfId="5302" priority="813">
      <formula>$A5="Drainage Works"</formula>
    </cfRule>
    <cfRule type="expression" dxfId="5301" priority="814">
      <formula>$A5="Underpass"</formula>
    </cfRule>
    <cfRule type="expression" dxfId="5300" priority="815">
      <formula>$A5="Overcrossing"</formula>
    </cfRule>
    <cfRule type="expression" dxfId="5299" priority="816">
      <formula>$A5="Overpass"</formula>
    </cfRule>
    <cfRule type="expression" dxfId="5298" priority="817">
      <formula>$A5="Station"</formula>
    </cfRule>
    <cfRule type="expression" dxfId="5297" priority="818">
      <formula>$A5="Overlap between sections"</formula>
    </cfRule>
  </conditionalFormatting>
  <conditionalFormatting sqref="U5:U6">
    <cfRule type="expression" dxfId="5296" priority="797">
      <formula>$A5="Overhead Cable"</formula>
    </cfRule>
    <cfRule type="expression" dxfId="5295" priority="798">
      <formula>$A5="Level Crossing"</formula>
    </cfRule>
    <cfRule type="expression" dxfId="5294" priority="799">
      <formula>$A5="Neutral Section"</formula>
    </cfRule>
    <cfRule type="expression" dxfId="5293" priority="800">
      <formula>$A5="Tunnel"</formula>
    </cfRule>
    <cfRule type="expression" dxfId="5292" priority="801">
      <formula>$A5="Bridge"</formula>
    </cfRule>
    <cfRule type="expression" dxfId="5291" priority="802">
      <formula>$A5="Drainage Works"</formula>
    </cfRule>
    <cfRule type="expression" dxfId="5290" priority="803">
      <formula>$A5="Underpass"</formula>
    </cfRule>
    <cfRule type="expression" dxfId="5289" priority="804">
      <formula>$A5="Overcrossing"</formula>
    </cfRule>
    <cfRule type="expression" dxfId="5288" priority="805">
      <formula>$A5="Overpass"</formula>
    </cfRule>
    <cfRule type="expression" dxfId="5287" priority="806">
      <formula>$A5="Station"</formula>
    </cfRule>
    <cfRule type="expression" dxfId="5286" priority="807">
      <formula>$A5="Overlap between sections"</formula>
    </cfRule>
  </conditionalFormatting>
  <conditionalFormatting sqref="V5:V6">
    <cfRule type="expression" dxfId="5285" priority="786">
      <formula>$A5="Overhead Cable"</formula>
    </cfRule>
    <cfRule type="expression" dxfId="5284" priority="787">
      <formula>$A5="Level Crossing"</formula>
    </cfRule>
    <cfRule type="expression" dxfId="5283" priority="788">
      <formula>$A5="Neutral Section"</formula>
    </cfRule>
    <cfRule type="expression" dxfId="5282" priority="789">
      <formula>$A5="Tunnel"</formula>
    </cfRule>
    <cfRule type="expression" dxfId="5281" priority="790">
      <formula>$A5="Bridge"</formula>
    </cfRule>
    <cfRule type="expression" dxfId="5280" priority="791">
      <formula>$A5="Drainage Works"</formula>
    </cfRule>
    <cfRule type="expression" dxfId="5279" priority="792">
      <formula>$A5="Underpass"</formula>
    </cfRule>
    <cfRule type="expression" dxfId="5278" priority="793">
      <formula>$A5="Overcrossing"</formula>
    </cfRule>
    <cfRule type="expression" dxfId="5277" priority="794">
      <formula>$A5="Overpass"</formula>
    </cfRule>
    <cfRule type="expression" dxfId="5276" priority="795">
      <formula>$A5="Station"</formula>
    </cfRule>
    <cfRule type="expression" dxfId="5275" priority="796">
      <formula>$A5="Overlap between sections"</formula>
    </cfRule>
  </conditionalFormatting>
  <conditionalFormatting sqref="AF5:AF6">
    <cfRule type="expression" dxfId="5274" priority="775">
      <formula>$A5="Overhead Cable"</formula>
    </cfRule>
    <cfRule type="expression" dxfId="5273" priority="776">
      <formula>$A5="Level Crossing"</formula>
    </cfRule>
    <cfRule type="expression" dxfId="5272" priority="777">
      <formula>$A5="Neutral Section"</formula>
    </cfRule>
    <cfRule type="expression" dxfId="5271" priority="778">
      <formula>$A5="Tunnel"</formula>
    </cfRule>
    <cfRule type="expression" dxfId="5270" priority="779">
      <formula>$A5="Bridge"</formula>
    </cfRule>
    <cfRule type="expression" dxfId="5269" priority="780">
      <formula>$A5="Drainage Works"</formula>
    </cfRule>
    <cfRule type="expression" dxfId="5268" priority="781">
      <formula>$A5="Underpass"</formula>
    </cfRule>
    <cfRule type="expression" dxfId="5267" priority="782">
      <formula>$A5="Overcrossing"</formula>
    </cfRule>
    <cfRule type="expression" dxfId="5266" priority="783">
      <formula>$A5="Overpass"</formula>
    </cfRule>
    <cfRule type="expression" dxfId="5265" priority="784">
      <formula>$A5="Station"</formula>
    </cfRule>
    <cfRule type="expression" dxfId="5264" priority="785">
      <formula>$A5="Overlap between sections"</formula>
    </cfRule>
  </conditionalFormatting>
  <conditionalFormatting sqref="AH5:AH6">
    <cfRule type="expression" dxfId="5263" priority="764">
      <formula>$A5="Overhead Cable"</formula>
    </cfRule>
    <cfRule type="expression" dxfId="5262" priority="765">
      <formula>$A5="Level Crossing"</formula>
    </cfRule>
    <cfRule type="expression" dxfId="5261" priority="766">
      <formula>$A5="Neutral Section"</formula>
    </cfRule>
    <cfRule type="expression" dxfId="5260" priority="767">
      <formula>$A5="Tunnel"</formula>
    </cfRule>
    <cfRule type="expression" dxfId="5259" priority="768">
      <formula>$A5="Bridge"</formula>
    </cfRule>
    <cfRule type="expression" dxfId="5258" priority="769">
      <formula>$A5="Drainage Works"</formula>
    </cfRule>
    <cfRule type="expression" dxfId="5257" priority="770">
      <formula>$A5="Underpass"</formula>
    </cfRule>
    <cfRule type="expression" dxfId="5256" priority="771">
      <formula>$A5="Overcrossing"</formula>
    </cfRule>
    <cfRule type="expression" dxfId="5255" priority="772">
      <formula>$A5="Overpass"</formula>
    </cfRule>
    <cfRule type="expression" dxfId="5254" priority="773">
      <formula>$A5="Station"</formula>
    </cfRule>
    <cfRule type="expression" dxfId="5253" priority="774">
      <formula>$A5="Overlap between sections"</formula>
    </cfRule>
  </conditionalFormatting>
  <conditionalFormatting sqref="AI5:AI6">
    <cfRule type="expression" dxfId="5252" priority="753">
      <formula>$A5="Overhead Cable"</formula>
    </cfRule>
    <cfRule type="expression" dxfId="5251" priority="754">
      <formula>$A5="Level Crossing"</formula>
    </cfRule>
    <cfRule type="expression" dxfId="5250" priority="755">
      <formula>$A5="Neutral Section"</formula>
    </cfRule>
    <cfRule type="expression" dxfId="5249" priority="756">
      <formula>$A5="Tunnel"</formula>
    </cfRule>
    <cfRule type="expression" dxfId="5248" priority="757">
      <formula>$A5="Bridge"</formula>
    </cfRule>
    <cfRule type="expression" dxfId="5247" priority="758">
      <formula>$A5="Drainage Works"</formula>
    </cfRule>
    <cfRule type="expression" dxfId="5246" priority="759">
      <formula>$A5="Underpass"</formula>
    </cfRule>
    <cfRule type="expression" dxfId="5245" priority="760">
      <formula>$A5="Overcrossing"</formula>
    </cfRule>
    <cfRule type="expression" dxfId="5244" priority="761">
      <formula>$A5="Overpass"</formula>
    </cfRule>
    <cfRule type="expression" dxfId="5243" priority="762">
      <formula>$A5="Station"</formula>
    </cfRule>
    <cfRule type="expression" dxfId="5242" priority="763">
      <formula>$A5="Overlap between sections"</formula>
    </cfRule>
  </conditionalFormatting>
  <conditionalFormatting sqref="R5:R6">
    <cfRule type="expression" dxfId="5241" priority="742">
      <formula>$A5="Overhead Cable"</formula>
    </cfRule>
    <cfRule type="expression" dxfId="5240" priority="743">
      <formula>$A5="Level Crossing"</formula>
    </cfRule>
    <cfRule type="expression" dxfId="5239" priority="744">
      <formula>$A5="Neutral Section"</formula>
    </cfRule>
    <cfRule type="expression" dxfId="5238" priority="745">
      <formula>$A5="Tunnel"</formula>
    </cfRule>
    <cfRule type="expression" dxfId="5237" priority="746">
      <formula>$A5="Bridge"</formula>
    </cfRule>
    <cfRule type="expression" dxfId="5236" priority="747">
      <formula>$A5="Drainage Works"</formula>
    </cfRule>
    <cfRule type="expression" dxfId="5235" priority="748">
      <formula>$A5="Underpass"</formula>
    </cfRule>
    <cfRule type="expression" dxfId="5234" priority="749">
      <formula>$A5="Overcrossing"</formula>
    </cfRule>
    <cfRule type="expression" dxfId="5233" priority="750">
      <formula>$A5="Overpass"</formula>
    </cfRule>
    <cfRule type="expression" dxfId="5232" priority="751">
      <formula>$A5="Station"</formula>
    </cfRule>
    <cfRule type="expression" dxfId="5231" priority="752">
      <formula>$A5="Overlap between sections"</formula>
    </cfRule>
  </conditionalFormatting>
  <conditionalFormatting sqref="S5:S6">
    <cfRule type="expression" dxfId="5230" priority="731">
      <formula>$A5="Overhead Cable"</formula>
    </cfRule>
    <cfRule type="expression" dxfId="5229" priority="732">
      <formula>$A5="Level Crossing"</formula>
    </cfRule>
    <cfRule type="expression" dxfId="5228" priority="733">
      <formula>$A5="Neutral Section"</formula>
    </cfRule>
    <cfRule type="expression" dxfId="5227" priority="734">
      <formula>$A5="Tunnel"</formula>
    </cfRule>
    <cfRule type="expression" dxfId="5226" priority="735">
      <formula>$A5="Bridge"</formula>
    </cfRule>
    <cfRule type="expression" dxfId="5225" priority="736">
      <formula>$A5="Drainage Works"</formula>
    </cfRule>
    <cfRule type="expression" dxfId="5224" priority="737">
      <formula>$A5="Underpass"</formula>
    </cfRule>
    <cfRule type="expression" dxfId="5223" priority="738">
      <formula>$A5="Overcrossing"</formula>
    </cfRule>
    <cfRule type="expression" dxfId="5222" priority="739">
      <formula>$A5="Overpass"</formula>
    </cfRule>
    <cfRule type="expression" dxfId="5221" priority="740">
      <formula>$A5="Station"</formula>
    </cfRule>
    <cfRule type="expression" dxfId="5220" priority="741">
      <formula>$A5="Overlap between sections"</formula>
    </cfRule>
  </conditionalFormatting>
  <conditionalFormatting sqref="X5:X6">
    <cfRule type="expression" dxfId="5219" priority="720">
      <formula>$A5="Overhead Cable"</formula>
    </cfRule>
    <cfRule type="expression" dxfId="5218" priority="721">
      <formula>$A5="Level Crossing"</formula>
    </cfRule>
    <cfRule type="expression" dxfId="5217" priority="722">
      <formula>$A5="Neutral Section"</formula>
    </cfRule>
    <cfRule type="expression" dxfId="5216" priority="723">
      <formula>$A5="Tunnel"</formula>
    </cfRule>
    <cfRule type="expression" dxfId="5215" priority="724">
      <formula>$A5="Bridge"</formula>
    </cfRule>
    <cfRule type="expression" dxfId="5214" priority="725">
      <formula>$A5="Drainage Works"</formula>
    </cfRule>
    <cfRule type="expression" dxfId="5213" priority="726">
      <formula>$A5="Underpass"</formula>
    </cfRule>
    <cfRule type="expression" dxfId="5212" priority="727">
      <formula>$A5="Overcrossing"</formula>
    </cfRule>
    <cfRule type="expression" dxfId="5211" priority="728">
      <formula>$A5="Overpass"</formula>
    </cfRule>
    <cfRule type="expression" dxfId="5210" priority="729">
      <formula>$A5="Station"</formula>
    </cfRule>
    <cfRule type="expression" dxfId="5209" priority="730">
      <formula>$A5="Overlap between sections"</formula>
    </cfRule>
  </conditionalFormatting>
  <conditionalFormatting sqref="Y5:Y6">
    <cfRule type="expression" dxfId="5208" priority="709">
      <formula>$A5="Overhead Cable"</formula>
    </cfRule>
    <cfRule type="expression" dxfId="5207" priority="710">
      <formula>$A5="Level Crossing"</formula>
    </cfRule>
    <cfRule type="expression" dxfId="5206" priority="711">
      <formula>$A5="Neutral Section"</formula>
    </cfRule>
    <cfRule type="expression" dxfId="5205" priority="712">
      <formula>$A5="Tunnel"</formula>
    </cfRule>
    <cfRule type="expression" dxfId="5204" priority="713">
      <formula>$A5="Bridge"</formula>
    </cfRule>
    <cfRule type="expression" dxfId="5203" priority="714">
      <formula>$A5="Drainage Works"</formula>
    </cfRule>
    <cfRule type="expression" dxfId="5202" priority="715">
      <formula>$A5="Underpass"</formula>
    </cfRule>
    <cfRule type="expression" dxfId="5201" priority="716">
      <formula>$A5="Overcrossing"</formula>
    </cfRule>
    <cfRule type="expression" dxfId="5200" priority="717">
      <formula>$A5="Overpass"</formula>
    </cfRule>
    <cfRule type="expression" dxfId="5199" priority="718">
      <formula>$A5="Station"</formula>
    </cfRule>
    <cfRule type="expression" dxfId="5198" priority="719">
      <formula>$A5="Overlap between sections"</formula>
    </cfRule>
  </conditionalFormatting>
  <conditionalFormatting sqref="Z5:Z6">
    <cfRule type="expression" dxfId="5197" priority="698">
      <formula>$A5="Overhead Cable"</formula>
    </cfRule>
    <cfRule type="expression" dxfId="5196" priority="699">
      <formula>$A5="Level Crossing"</formula>
    </cfRule>
    <cfRule type="expression" dxfId="5195" priority="700">
      <formula>$A5="Neutral Section"</formula>
    </cfRule>
    <cfRule type="expression" dxfId="5194" priority="701">
      <formula>$A5="Tunnel"</formula>
    </cfRule>
    <cfRule type="expression" dxfId="5193" priority="702">
      <formula>$A5="Bridge"</formula>
    </cfRule>
    <cfRule type="expression" dxfId="5192" priority="703">
      <formula>$A5="Drainage Works"</formula>
    </cfRule>
    <cfRule type="expression" dxfId="5191" priority="704">
      <formula>$A5="Underpass"</formula>
    </cfRule>
    <cfRule type="expression" dxfId="5190" priority="705">
      <formula>$A5="Overcrossing"</formula>
    </cfRule>
    <cfRule type="expression" dxfId="5189" priority="706">
      <formula>$A5="Overpass"</formula>
    </cfRule>
    <cfRule type="expression" dxfId="5188" priority="707">
      <formula>$A5="Station"</formula>
    </cfRule>
    <cfRule type="expression" dxfId="5187" priority="708">
      <formula>$A5="Overlap between sections"</formula>
    </cfRule>
  </conditionalFormatting>
  <conditionalFormatting sqref="AA5:AA6">
    <cfRule type="expression" dxfId="5186" priority="687">
      <formula>$A5="Overhead Cable"</formula>
    </cfRule>
    <cfRule type="expression" dxfId="5185" priority="688">
      <formula>$A5="Level Crossing"</formula>
    </cfRule>
    <cfRule type="expression" dxfId="5184" priority="689">
      <formula>$A5="Neutral Section"</formula>
    </cfRule>
    <cfRule type="expression" dxfId="5183" priority="690">
      <formula>$A5="Tunnel"</formula>
    </cfRule>
    <cfRule type="expression" dxfId="5182" priority="691">
      <formula>$A5="Bridge"</formula>
    </cfRule>
    <cfRule type="expression" dxfId="5181" priority="692">
      <formula>$A5="Drainage Works"</formula>
    </cfRule>
    <cfRule type="expression" dxfId="5180" priority="693">
      <formula>$A5="Underpass"</formula>
    </cfRule>
    <cfRule type="expression" dxfId="5179" priority="694">
      <formula>$A5="Overcrossing"</formula>
    </cfRule>
    <cfRule type="expression" dxfId="5178" priority="695">
      <formula>$A5="Overpass"</formula>
    </cfRule>
    <cfRule type="expression" dxfId="5177" priority="696">
      <formula>$A5="Station"</formula>
    </cfRule>
    <cfRule type="expression" dxfId="5176" priority="697">
      <formula>$A5="Overlap between sections"</formula>
    </cfRule>
  </conditionalFormatting>
  <conditionalFormatting sqref="AB5:AB6">
    <cfRule type="expression" dxfId="5175" priority="676">
      <formula>$A5="Overhead Cable"</formula>
    </cfRule>
    <cfRule type="expression" dxfId="5174" priority="677">
      <formula>$A5="Level Crossing"</formula>
    </cfRule>
    <cfRule type="expression" dxfId="5173" priority="678">
      <formula>$A5="Neutral Section"</formula>
    </cfRule>
    <cfRule type="expression" dxfId="5172" priority="679">
      <formula>$A5="Tunnel"</formula>
    </cfRule>
    <cfRule type="expression" dxfId="5171" priority="680">
      <formula>$A5="Bridge"</formula>
    </cfRule>
    <cfRule type="expression" dxfId="5170" priority="681">
      <formula>$A5="Drainage Works"</formula>
    </cfRule>
    <cfRule type="expression" dxfId="5169" priority="682">
      <formula>$A5="Underpass"</formula>
    </cfRule>
    <cfRule type="expression" dxfId="5168" priority="683">
      <formula>$A5="Overcrossing"</formula>
    </cfRule>
    <cfRule type="expression" dxfId="5167" priority="684">
      <formula>$A5="Overpass"</formula>
    </cfRule>
    <cfRule type="expression" dxfId="5166" priority="685">
      <formula>$A5="Station"</formula>
    </cfRule>
    <cfRule type="expression" dxfId="5165" priority="686">
      <formula>$A5="Overlap between sections"</formula>
    </cfRule>
  </conditionalFormatting>
  <conditionalFormatting sqref="BD6">
    <cfRule type="containsText" dxfId="5164" priority="675" operator="containsText" text="Poner a mano">
      <formula>NOT(ISERROR(SEARCH("Poner a mano",BD6)))</formula>
    </cfRule>
  </conditionalFormatting>
  <conditionalFormatting sqref="BA5:BC6">
    <cfRule type="expression" dxfId="5163" priority="673">
      <formula>$BE5="A"</formula>
    </cfRule>
    <cfRule type="expression" dxfId="5162" priority="674">
      <formula>$BE5="R"</formula>
    </cfRule>
  </conditionalFormatting>
  <conditionalFormatting sqref="BC5:BC6">
    <cfRule type="expression" dxfId="5161" priority="672">
      <formula>$M5="U.S. N.D."</formula>
    </cfRule>
  </conditionalFormatting>
  <conditionalFormatting sqref="BB5:BB6">
    <cfRule type="expression" dxfId="5160" priority="670">
      <formula>$AZ5="N.D."</formula>
    </cfRule>
  </conditionalFormatting>
  <conditionalFormatting sqref="BA5:BA6">
    <cfRule type="expression" dxfId="5159" priority="671">
      <formula>$AY5="N.D."</formula>
    </cfRule>
  </conditionalFormatting>
  <conditionalFormatting sqref="W5:W6">
    <cfRule type="expression" dxfId="5158" priority="667">
      <formula>$M5="NON DEFINED"</formula>
    </cfRule>
    <cfRule type="expression" dxfId="5157" priority="668">
      <formula>$AZ5="N.D."</formula>
    </cfRule>
    <cfRule type="expression" dxfId="5156" priority="669">
      <formula>$AY5="N.D."</formula>
    </cfRule>
  </conditionalFormatting>
  <conditionalFormatting sqref="W5:W6">
    <cfRule type="expression" dxfId="5155" priority="656">
      <formula>$A5="Overhead Cable"</formula>
    </cfRule>
    <cfRule type="expression" dxfId="5154" priority="657">
      <formula>$A5="Level Crossing"</formula>
    </cfRule>
    <cfRule type="expression" dxfId="5153" priority="658">
      <formula>$A5="Neutral Section"</formula>
    </cfRule>
    <cfRule type="expression" dxfId="5152" priority="659">
      <formula>$A5="Tunnel"</formula>
    </cfRule>
    <cfRule type="expression" dxfId="5151" priority="660">
      <formula>$A5="Bridge"</formula>
    </cfRule>
    <cfRule type="expression" dxfId="5150" priority="661">
      <formula>$A5="Drainage Works"</formula>
    </cfRule>
    <cfRule type="expression" dxfId="5149" priority="662">
      <formula>$A5="Underpass"</formula>
    </cfRule>
    <cfRule type="expression" dxfId="5148" priority="663">
      <formula>$A5="Overcrossing"</formula>
    </cfRule>
    <cfRule type="expression" dxfId="5147" priority="664">
      <formula>$A5="Overpass"</formula>
    </cfRule>
    <cfRule type="expression" dxfId="5146" priority="665">
      <formula>$A5="Station"</formula>
    </cfRule>
    <cfRule type="expression" dxfId="5145" priority="666">
      <formula>$A5="Overlap between sections"</formula>
    </cfRule>
  </conditionalFormatting>
  <conditionalFormatting sqref="B55">
    <cfRule type="expression" dxfId="5144" priority="653">
      <formula>$M55="NON DEFINED"</formula>
    </cfRule>
    <cfRule type="expression" dxfId="5143" priority="654">
      <formula>$AZ55="N.D."</formula>
    </cfRule>
    <cfRule type="expression" dxfId="5142" priority="655">
      <formula>$AY55="N.D."</formula>
    </cfRule>
  </conditionalFormatting>
  <conditionalFormatting sqref="B55">
    <cfRule type="expression" dxfId="5141" priority="642">
      <formula>$A55="Overhead Cable"</formula>
    </cfRule>
    <cfRule type="expression" dxfId="5140" priority="643">
      <formula>$A55="Level Crossing"</formula>
    </cfRule>
    <cfRule type="expression" dxfId="5139" priority="644">
      <formula>$A55="Neutral Section"</formula>
    </cfRule>
    <cfRule type="expression" dxfId="5138" priority="645">
      <formula>$A55="Tunnel"</formula>
    </cfRule>
    <cfRule type="expression" dxfId="5137" priority="646">
      <formula>$A55="Bridge"</formula>
    </cfRule>
    <cfRule type="expression" dxfId="5136" priority="647">
      <formula>$A55="Drainage Works"</formula>
    </cfRule>
    <cfRule type="expression" dxfId="5135" priority="648">
      <formula>$A55="Underpass"</formula>
    </cfRule>
    <cfRule type="expression" dxfId="5134" priority="649">
      <formula>$A55="Overcrossing"</formula>
    </cfRule>
    <cfRule type="expression" dxfId="5133" priority="650">
      <formula>$A55="Overpass"</formula>
    </cfRule>
    <cfRule type="expression" dxfId="5132" priority="651">
      <formula>$A55="Station"</formula>
    </cfRule>
    <cfRule type="expression" dxfId="5131" priority="652">
      <formula>$A55="Overlap between sections"</formula>
    </cfRule>
  </conditionalFormatting>
  <conditionalFormatting sqref="B55">
    <cfRule type="expression" dxfId="5130" priority="641">
      <formula>AND($AH55&gt;2499,$AH55&lt;2901)</formula>
    </cfRule>
  </conditionalFormatting>
  <conditionalFormatting sqref="AL19">
    <cfRule type="expression" dxfId="5129" priority="638">
      <formula>$M19="NON DEFINED"</formula>
    </cfRule>
    <cfRule type="expression" dxfId="5128" priority="639">
      <formula>$AZ19="N.D."</formula>
    </cfRule>
    <cfRule type="expression" dxfId="5127" priority="640">
      <formula>$AY19="N.D."</formula>
    </cfRule>
  </conditionalFormatting>
  <conditionalFormatting sqref="AL19">
    <cfRule type="expression" dxfId="5126" priority="627">
      <formula>$A19="Overhead Cable"</formula>
    </cfRule>
    <cfRule type="expression" dxfId="5125" priority="628">
      <formula>$A19="Level Crossing"</formula>
    </cfRule>
    <cfRule type="expression" dxfId="5124" priority="629">
      <formula>$A19="Neutral Section"</formula>
    </cfRule>
    <cfRule type="expression" dxfId="5123" priority="630">
      <formula>$A19="Tunnel"</formula>
    </cfRule>
    <cfRule type="expression" dxfId="5122" priority="631">
      <formula>$A19="Bridge"</formula>
    </cfRule>
    <cfRule type="expression" dxfId="5121" priority="632">
      <formula>$A19="Drainage Works"</formula>
    </cfRule>
    <cfRule type="expression" dxfId="5120" priority="633">
      <formula>$A19="Underpass"</formula>
    </cfRule>
    <cfRule type="expression" dxfId="5119" priority="634">
      <formula>$A19="Overcrossing"</formula>
    </cfRule>
    <cfRule type="expression" dxfId="5118" priority="635">
      <formula>$A19="Overpass"</formula>
    </cfRule>
    <cfRule type="expression" dxfId="5117" priority="636">
      <formula>$A19="Station"</formula>
    </cfRule>
    <cfRule type="expression" dxfId="5116" priority="637">
      <formula>$A19="Overlap between sections"</formula>
    </cfRule>
  </conditionalFormatting>
  <conditionalFormatting sqref="AM19">
    <cfRule type="expression" dxfId="5115" priority="624">
      <formula>$M19="NON DEFINED"</formula>
    </cfRule>
    <cfRule type="expression" dxfId="5114" priority="625">
      <formula>$AZ19="N.D."</formula>
    </cfRule>
    <cfRule type="expression" dxfId="5113" priority="626">
      <formula>$AY19="N.D."</formula>
    </cfRule>
  </conditionalFormatting>
  <conditionalFormatting sqref="AM19">
    <cfRule type="expression" dxfId="5112" priority="613">
      <formula>$A19="Overhead Cable"</formula>
    </cfRule>
    <cfRule type="expression" dxfId="5111" priority="614">
      <formula>$A19="Level Crossing"</formula>
    </cfRule>
    <cfRule type="expression" dxfId="5110" priority="615">
      <formula>$A19="Neutral Section"</formula>
    </cfRule>
    <cfRule type="expression" dxfId="5109" priority="616">
      <formula>$A19="Tunnel"</formula>
    </cfRule>
    <cfRule type="expression" dxfId="5108" priority="617">
      <formula>$A19="Bridge"</formula>
    </cfRule>
    <cfRule type="expression" dxfId="5107" priority="618">
      <formula>$A19="Drainage Works"</formula>
    </cfRule>
    <cfRule type="expression" dxfId="5106" priority="619">
      <formula>$A19="Underpass"</formula>
    </cfRule>
    <cfRule type="expression" dxfId="5105" priority="620">
      <formula>$A19="Overcrossing"</formula>
    </cfRule>
    <cfRule type="expression" dxfId="5104" priority="621">
      <formula>$A19="Overpass"</formula>
    </cfRule>
    <cfRule type="expression" dxfId="5103" priority="622">
      <formula>$A19="Station"</formula>
    </cfRule>
    <cfRule type="expression" dxfId="5102" priority="623">
      <formula>$A19="Overlap between sections"</formula>
    </cfRule>
  </conditionalFormatting>
  <conditionalFormatting sqref="H19">
    <cfRule type="expression" dxfId="5101" priority="610">
      <formula>$M19="NON DEFINED"</formula>
    </cfRule>
    <cfRule type="expression" dxfId="5100" priority="611">
      <formula>$AZ19="N.D."</formula>
    </cfRule>
    <cfRule type="expression" dxfId="5099" priority="612">
      <formula>$AY19="N.D."</formula>
    </cfRule>
  </conditionalFormatting>
  <conditionalFormatting sqref="H19">
    <cfRule type="expression" dxfId="5098" priority="599">
      <formula>$A19="Overhead Cable"</formula>
    </cfRule>
    <cfRule type="expression" dxfId="5097" priority="600">
      <formula>$A19="Level Crossing"</formula>
    </cfRule>
    <cfRule type="expression" dxfId="5096" priority="601">
      <formula>$A19="Neutral Section"</formula>
    </cfRule>
    <cfRule type="expression" dxfId="5095" priority="602">
      <formula>$A19="Tunnel"</formula>
    </cfRule>
    <cfRule type="expression" dxfId="5094" priority="603">
      <formula>$A19="Bridge"</formula>
    </cfRule>
    <cfRule type="expression" dxfId="5093" priority="604">
      <formula>$A19="Drainage Works"</formula>
    </cfRule>
    <cfRule type="expression" dxfId="5092" priority="605">
      <formula>$A19="Underpass"</formula>
    </cfRule>
    <cfRule type="expression" dxfId="5091" priority="606">
      <formula>$A19="Overcrossing"</formula>
    </cfRule>
    <cfRule type="expression" dxfId="5090" priority="607">
      <formula>$A19="Overpass"</formula>
    </cfRule>
    <cfRule type="expression" dxfId="5089" priority="608">
      <formula>$A19="Station"</formula>
    </cfRule>
    <cfRule type="expression" dxfId="5088" priority="609">
      <formula>$A19="Overlap between sections"</formula>
    </cfRule>
  </conditionalFormatting>
  <conditionalFormatting sqref="J20">
    <cfRule type="expression" dxfId="5087" priority="596">
      <formula>$M20="NON DEFINED"</formula>
    </cfRule>
    <cfRule type="expression" dxfId="5086" priority="597">
      <formula>$AZ20="N.D."</formula>
    </cfRule>
    <cfRule type="expression" dxfId="5085" priority="598">
      <formula>$AY20="N.D."</formula>
    </cfRule>
  </conditionalFormatting>
  <conditionalFormatting sqref="J20">
    <cfRule type="expression" dxfId="5084" priority="585">
      <formula>$A20="Overhead Cable"</formula>
    </cfRule>
    <cfRule type="expression" dxfId="5083" priority="586">
      <formula>$A20="Level Crossing"</formula>
    </cfRule>
    <cfRule type="expression" dxfId="5082" priority="587">
      <formula>$A20="Neutral Section"</formula>
    </cfRule>
    <cfRule type="expression" dxfId="5081" priority="588">
      <formula>$A20="Tunnel"</formula>
    </cfRule>
    <cfRule type="expression" dxfId="5080" priority="589">
      <formula>$A20="Bridge"</formula>
    </cfRule>
    <cfRule type="expression" dxfId="5079" priority="590">
      <formula>$A20="Drainage Works"</formula>
    </cfRule>
    <cfRule type="expression" dxfId="5078" priority="591">
      <formula>$A20="Underpass"</formula>
    </cfRule>
    <cfRule type="expression" dxfId="5077" priority="592">
      <formula>$A20="Overcrossing"</formula>
    </cfRule>
    <cfRule type="expression" dxfId="5076" priority="593">
      <formula>$A20="Overpass"</formula>
    </cfRule>
    <cfRule type="expression" dxfId="5075" priority="594">
      <formula>$A20="Station"</formula>
    </cfRule>
    <cfRule type="expression" dxfId="5074" priority="595">
      <formula>$A20="Overlap between sections"</formula>
    </cfRule>
  </conditionalFormatting>
  <conditionalFormatting sqref="L31">
    <cfRule type="expression" dxfId="5073" priority="582">
      <formula>$M31="NON DEFINED"</formula>
    </cfRule>
    <cfRule type="expression" dxfId="5072" priority="583">
      <formula>$AZ31="N.D."</formula>
    </cfRule>
    <cfRule type="expression" dxfId="5071" priority="584">
      <formula>$AY31="N.D."</formula>
    </cfRule>
  </conditionalFormatting>
  <conditionalFormatting sqref="L31">
    <cfRule type="expression" dxfId="5070" priority="571">
      <formula>$A31="Overhead Cable"</formula>
    </cfRule>
    <cfRule type="expression" dxfId="5069" priority="572">
      <formula>$A31="Level Crossing"</formula>
    </cfRule>
    <cfRule type="expression" dxfId="5068" priority="573">
      <formula>$A31="Neutral Section"</formula>
    </cfRule>
    <cfRule type="expression" dxfId="5067" priority="574">
      <formula>$A31="Tunnel"</formula>
    </cfRule>
    <cfRule type="expression" dxfId="5066" priority="575">
      <formula>$A31="Bridge"</formula>
    </cfRule>
    <cfRule type="expression" dxfId="5065" priority="576">
      <formula>$A31="Drainage Works"</formula>
    </cfRule>
    <cfRule type="expression" dxfId="5064" priority="577">
      <formula>$A31="Underpass"</formula>
    </cfRule>
    <cfRule type="expression" dxfId="5063" priority="578">
      <formula>$A31="Overcrossing"</formula>
    </cfRule>
    <cfRule type="expression" dxfId="5062" priority="579">
      <formula>$A31="Overpass"</formula>
    </cfRule>
    <cfRule type="expression" dxfId="5061" priority="580">
      <formula>$A31="Station"</formula>
    </cfRule>
    <cfRule type="expression" dxfId="5060" priority="581">
      <formula>$A31="Overlap between sections"</formula>
    </cfRule>
  </conditionalFormatting>
  <conditionalFormatting sqref="AL31:AM31">
    <cfRule type="expression" dxfId="5059" priority="568">
      <formula>$M31="NON DEFINED"</formula>
    </cfRule>
    <cfRule type="expression" dxfId="5058" priority="569">
      <formula>$AZ31="N.D."</formula>
    </cfRule>
    <cfRule type="expression" dxfId="5057" priority="570">
      <formula>$AY31="N.D."</formula>
    </cfRule>
  </conditionalFormatting>
  <conditionalFormatting sqref="AM31">
    <cfRule type="expression" dxfId="5056" priority="557">
      <formula>$A31="Overhead Cable"</formula>
    </cfRule>
    <cfRule type="expression" dxfId="5055" priority="558">
      <formula>$A31="Level Crossing"</formula>
    </cfRule>
    <cfRule type="expression" dxfId="5054" priority="559">
      <formula>$A31="Neutral Section"</formula>
    </cfRule>
    <cfRule type="expression" dxfId="5053" priority="560">
      <formula>$A31="Tunnel"</formula>
    </cfRule>
    <cfRule type="expression" dxfId="5052" priority="561">
      <formula>$A31="Bridge"</formula>
    </cfRule>
    <cfRule type="expression" dxfId="5051" priority="562">
      <formula>$A31="Drainage Works"</formula>
    </cfRule>
    <cfRule type="expression" dxfId="5050" priority="563">
      <formula>$A31="Underpass"</formula>
    </cfRule>
    <cfRule type="expression" dxfId="5049" priority="564">
      <formula>$A31="Overcrossing"</formula>
    </cfRule>
    <cfRule type="expression" dxfId="5048" priority="565">
      <formula>$A31="Overpass"</formula>
    </cfRule>
    <cfRule type="expression" dxfId="5047" priority="566">
      <formula>$A31="Station"</formula>
    </cfRule>
    <cfRule type="expression" dxfId="5046" priority="567">
      <formula>$A31="Overlap between sections"</formula>
    </cfRule>
  </conditionalFormatting>
  <conditionalFormatting sqref="AL31">
    <cfRule type="expression" dxfId="5045" priority="546">
      <formula>$A31="Overhead Cable"</formula>
    </cfRule>
    <cfRule type="expression" dxfId="5044" priority="547">
      <formula>$A31="Level Crossing"</formula>
    </cfRule>
    <cfRule type="expression" dxfId="5043" priority="548">
      <formula>$A31="Neutral Section"</formula>
    </cfRule>
    <cfRule type="expression" dxfId="5042" priority="549">
      <formula>$A31="Tunnel"</formula>
    </cfRule>
    <cfRule type="expression" dxfId="5041" priority="550">
      <formula>$A31="Bridge"</formula>
    </cfRule>
    <cfRule type="expression" dxfId="5040" priority="551">
      <formula>$A31="Drainage Works"</formula>
    </cfRule>
    <cfRule type="expression" dxfId="5039" priority="552">
      <formula>$A31="Underpass"</formula>
    </cfRule>
    <cfRule type="expression" dxfId="5038" priority="553">
      <formula>$A31="Overcrossing"</formula>
    </cfRule>
    <cfRule type="expression" dxfId="5037" priority="554">
      <formula>$A31="Overpass"</formula>
    </cfRule>
    <cfRule type="expression" dxfId="5036" priority="555">
      <formula>$A31="Station"</formula>
    </cfRule>
    <cfRule type="expression" dxfId="5035" priority="556">
      <formula>$A31="Overlap between sections"</formula>
    </cfRule>
  </conditionalFormatting>
  <conditionalFormatting sqref="L33">
    <cfRule type="expression" dxfId="5034" priority="543">
      <formula>$M33="NON DEFINED"</formula>
    </cfRule>
    <cfRule type="expression" dxfId="5033" priority="544">
      <formula>$AZ33="N.D."</formula>
    </cfRule>
    <cfRule type="expression" dxfId="5032" priority="545">
      <formula>$AY33="N.D."</formula>
    </cfRule>
  </conditionalFormatting>
  <conditionalFormatting sqref="L33">
    <cfRule type="expression" dxfId="5031" priority="532">
      <formula>$A33="Overhead Cable"</formula>
    </cfRule>
    <cfRule type="expression" dxfId="5030" priority="533">
      <formula>$A33="Level Crossing"</formula>
    </cfRule>
    <cfRule type="expression" dxfId="5029" priority="534">
      <formula>$A33="Neutral Section"</formula>
    </cfRule>
    <cfRule type="expression" dxfId="5028" priority="535">
      <formula>$A33="Tunnel"</formula>
    </cfRule>
    <cfRule type="expression" dxfId="5027" priority="536">
      <formula>$A33="Bridge"</formula>
    </cfRule>
    <cfRule type="expression" dxfId="5026" priority="537">
      <formula>$A33="Drainage Works"</formula>
    </cfRule>
    <cfRule type="expression" dxfId="5025" priority="538">
      <formula>$A33="Underpass"</formula>
    </cfRule>
    <cfRule type="expression" dxfId="5024" priority="539">
      <formula>$A33="Overcrossing"</formula>
    </cfRule>
    <cfRule type="expression" dxfId="5023" priority="540">
      <formula>$A33="Overpass"</formula>
    </cfRule>
    <cfRule type="expression" dxfId="5022" priority="541">
      <formula>$A33="Station"</formula>
    </cfRule>
    <cfRule type="expression" dxfId="5021" priority="542">
      <formula>$A33="Overlap between sections"</formula>
    </cfRule>
  </conditionalFormatting>
  <conditionalFormatting sqref="AL33:AM33">
    <cfRule type="expression" dxfId="5020" priority="529">
      <formula>$M33="NON DEFINED"</formula>
    </cfRule>
    <cfRule type="expression" dxfId="5019" priority="530">
      <formula>$AZ33="N.D."</formula>
    </cfRule>
    <cfRule type="expression" dxfId="5018" priority="531">
      <formula>$AY33="N.D."</formula>
    </cfRule>
  </conditionalFormatting>
  <conditionalFormatting sqref="AM33">
    <cfRule type="expression" dxfId="5017" priority="518">
      <formula>$A33="Overhead Cable"</formula>
    </cfRule>
    <cfRule type="expression" dxfId="5016" priority="519">
      <formula>$A33="Level Crossing"</formula>
    </cfRule>
    <cfRule type="expression" dxfId="5015" priority="520">
      <formula>$A33="Neutral Section"</formula>
    </cfRule>
    <cfRule type="expression" dxfId="5014" priority="521">
      <formula>$A33="Tunnel"</formula>
    </cfRule>
    <cfRule type="expression" dxfId="5013" priority="522">
      <formula>$A33="Bridge"</formula>
    </cfRule>
    <cfRule type="expression" dxfId="5012" priority="523">
      <formula>$A33="Drainage Works"</formula>
    </cfRule>
    <cfRule type="expression" dxfId="5011" priority="524">
      <formula>$A33="Underpass"</formula>
    </cfRule>
    <cfRule type="expression" dxfId="5010" priority="525">
      <formula>$A33="Overcrossing"</formula>
    </cfRule>
    <cfRule type="expression" dxfId="5009" priority="526">
      <formula>$A33="Overpass"</formula>
    </cfRule>
    <cfRule type="expression" dxfId="5008" priority="527">
      <formula>$A33="Station"</formula>
    </cfRule>
    <cfRule type="expression" dxfId="5007" priority="528">
      <formula>$A33="Overlap between sections"</formula>
    </cfRule>
  </conditionalFormatting>
  <conditionalFormatting sqref="AL33">
    <cfRule type="expression" dxfId="5006" priority="507">
      <formula>$A33="Overhead Cable"</formula>
    </cfRule>
    <cfRule type="expression" dxfId="5005" priority="508">
      <formula>$A33="Level Crossing"</formula>
    </cfRule>
    <cfRule type="expression" dxfId="5004" priority="509">
      <formula>$A33="Neutral Section"</formula>
    </cfRule>
    <cfRule type="expression" dxfId="5003" priority="510">
      <formula>$A33="Tunnel"</formula>
    </cfRule>
    <cfRule type="expression" dxfId="5002" priority="511">
      <formula>$A33="Bridge"</formula>
    </cfRule>
    <cfRule type="expression" dxfId="5001" priority="512">
      <formula>$A33="Drainage Works"</formula>
    </cfRule>
    <cfRule type="expression" dxfId="5000" priority="513">
      <formula>$A33="Underpass"</formula>
    </cfRule>
    <cfRule type="expression" dxfId="4999" priority="514">
      <formula>$A33="Overcrossing"</formula>
    </cfRule>
    <cfRule type="expression" dxfId="4998" priority="515">
      <formula>$A33="Overpass"</formula>
    </cfRule>
    <cfRule type="expression" dxfId="4997" priority="516">
      <formula>$A33="Station"</formula>
    </cfRule>
    <cfRule type="expression" dxfId="4996" priority="517">
      <formula>$A33="Overlap between sections"</formula>
    </cfRule>
  </conditionalFormatting>
  <conditionalFormatting sqref="L35">
    <cfRule type="expression" dxfId="4995" priority="504">
      <formula>$M35="NON DEFINED"</formula>
    </cfRule>
    <cfRule type="expression" dxfId="4994" priority="505">
      <formula>$AZ35="N.D."</formula>
    </cfRule>
    <cfRule type="expression" dxfId="4993" priority="506">
      <formula>$AY35="N.D."</formula>
    </cfRule>
  </conditionalFormatting>
  <conditionalFormatting sqref="L35">
    <cfRule type="expression" dxfId="4992" priority="493">
      <formula>$A35="Overhead Cable"</formula>
    </cfRule>
    <cfRule type="expression" dxfId="4991" priority="494">
      <formula>$A35="Level Crossing"</formula>
    </cfRule>
    <cfRule type="expression" dxfId="4990" priority="495">
      <formula>$A35="Neutral Section"</formula>
    </cfRule>
    <cfRule type="expression" dxfId="4989" priority="496">
      <formula>$A35="Tunnel"</formula>
    </cfRule>
    <cfRule type="expression" dxfId="4988" priority="497">
      <formula>$A35="Bridge"</formula>
    </cfRule>
    <cfRule type="expression" dxfId="4987" priority="498">
      <formula>$A35="Drainage Works"</formula>
    </cfRule>
    <cfRule type="expression" dxfId="4986" priority="499">
      <formula>$A35="Underpass"</formula>
    </cfRule>
    <cfRule type="expression" dxfId="4985" priority="500">
      <formula>$A35="Overcrossing"</formula>
    </cfRule>
    <cfRule type="expression" dxfId="4984" priority="501">
      <formula>$A35="Overpass"</formula>
    </cfRule>
    <cfRule type="expression" dxfId="4983" priority="502">
      <formula>$A35="Station"</formula>
    </cfRule>
    <cfRule type="expression" dxfId="4982" priority="503">
      <formula>$A35="Overlap between sections"</formula>
    </cfRule>
  </conditionalFormatting>
  <conditionalFormatting sqref="AL35:AM35">
    <cfRule type="expression" dxfId="4981" priority="490">
      <formula>$M35="NON DEFINED"</formula>
    </cfRule>
    <cfRule type="expression" dxfId="4980" priority="491">
      <formula>$AZ35="N.D."</formula>
    </cfRule>
    <cfRule type="expression" dxfId="4979" priority="492">
      <formula>$AY35="N.D."</formula>
    </cfRule>
  </conditionalFormatting>
  <conditionalFormatting sqref="AM35">
    <cfRule type="expression" dxfId="4978" priority="479">
      <formula>$A35="Overhead Cable"</formula>
    </cfRule>
    <cfRule type="expression" dxfId="4977" priority="480">
      <formula>$A35="Level Crossing"</formula>
    </cfRule>
    <cfRule type="expression" dxfId="4976" priority="481">
      <formula>$A35="Neutral Section"</formula>
    </cfRule>
    <cfRule type="expression" dxfId="4975" priority="482">
      <formula>$A35="Tunnel"</formula>
    </cfRule>
    <cfRule type="expression" dxfId="4974" priority="483">
      <formula>$A35="Bridge"</formula>
    </cfRule>
    <cfRule type="expression" dxfId="4973" priority="484">
      <formula>$A35="Drainage Works"</formula>
    </cfRule>
    <cfRule type="expression" dxfId="4972" priority="485">
      <formula>$A35="Underpass"</formula>
    </cfRule>
    <cfRule type="expression" dxfId="4971" priority="486">
      <formula>$A35="Overcrossing"</formula>
    </cfRule>
    <cfRule type="expression" dxfId="4970" priority="487">
      <formula>$A35="Overpass"</formula>
    </cfRule>
    <cfRule type="expression" dxfId="4969" priority="488">
      <formula>$A35="Station"</formula>
    </cfRule>
    <cfRule type="expression" dxfId="4968" priority="489">
      <formula>$A35="Overlap between sections"</formula>
    </cfRule>
  </conditionalFormatting>
  <conditionalFormatting sqref="AL35">
    <cfRule type="expression" dxfId="4967" priority="468">
      <formula>$A35="Overhead Cable"</formula>
    </cfRule>
    <cfRule type="expression" dxfId="4966" priority="469">
      <formula>$A35="Level Crossing"</formula>
    </cfRule>
    <cfRule type="expression" dxfId="4965" priority="470">
      <formula>$A35="Neutral Section"</formula>
    </cfRule>
    <cfRule type="expression" dxfId="4964" priority="471">
      <formula>$A35="Tunnel"</formula>
    </cfRule>
    <cfRule type="expression" dxfId="4963" priority="472">
      <formula>$A35="Bridge"</formula>
    </cfRule>
    <cfRule type="expression" dxfId="4962" priority="473">
      <formula>$A35="Drainage Works"</formula>
    </cfRule>
    <cfRule type="expression" dxfId="4961" priority="474">
      <formula>$A35="Underpass"</formula>
    </cfRule>
    <cfRule type="expression" dxfId="4960" priority="475">
      <formula>$A35="Overcrossing"</formula>
    </cfRule>
    <cfRule type="expression" dxfId="4959" priority="476">
      <formula>$A35="Overpass"</formula>
    </cfRule>
    <cfRule type="expression" dxfId="4958" priority="477">
      <formula>$A35="Station"</formula>
    </cfRule>
    <cfRule type="expression" dxfId="4957" priority="478">
      <formula>$A35="Overlap between sections"</formula>
    </cfRule>
  </conditionalFormatting>
  <conditionalFormatting sqref="I20">
    <cfRule type="expression" dxfId="4956" priority="464">
      <formula>$M20="NON DEFINED"</formula>
    </cfRule>
    <cfRule type="expression" dxfId="4955" priority="465">
      <formula>$AZ20="N.D."</formula>
    </cfRule>
    <cfRule type="expression" dxfId="4954" priority="466">
      <formula>$AY20="N.D."</formula>
    </cfRule>
  </conditionalFormatting>
  <conditionalFormatting sqref="I20">
    <cfRule type="expression" dxfId="4953" priority="453">
      <formula>$A20="Overhead Cable"</formula>
    </cfRule>
    <cfRule type="expression" dxfId="4952" priority="454">
      <formula>$A20="Level Crossing"</formula>
    </cfRule>
    <cfRule type="expression" dxfId="4951" priority="455">
      <formula>$A20="Neutral Section"</formula>
    </cfRule>
    <cfRule type="expression" dxfId="4950" priority="456">
      <formula>$A20="Tunnel"</formula>
    </cfRule>
    <cfRule type="expression" dxfId="4949" priority="457">
      <formula>$A20="Bridge"</formula>
    </cfRule>
    <cfRule type="expression" dxfId="4948" priority="458">
      <formula>$A20="Drainage Works"</formula>
    </cfRule>
    <cfRule type="expression" dxfId="4947" priority="459">
      <formula>$A20="Underpass"</formula>
    </cfRule>
    <cfRule type="expression" dxfId="4946" priority="460">
      <formula>$A20="Overcrossing"</formula>
    </cfRule>
    <cfRule type="expression" dxfId="4945" priority="461">
      <formula>$A20="Overpass"</formula>
    </cfRule>
    <cfRule type="expression" dxfId="4944" priority="462">
      <formula>$A20="Station"</formula>
    </cfRule>
    <cfRule type="expression" dxfId="4943" priority="463">
      <formula>$A20="Overlap between sections"</formula>
    </cfRule>
  </conditionalFormatting>
  <conditionalFormatting sqref="I19">
    <cfRule type="expression" dxfId="4942" priority="450">
      <formula>$M19="NON DEFINED"</formula>
    </cfRule>
    <cfRule type="expression" dxfId="4941" priority="451">
      <formula>$AZ19="N.D."</formula>
    </cfRule>
    <cfRule type="expression" dxfId="4940" priority="452">
      <formula>$AY19="N.D."</formula>
    </cfRule>
  </conditionalFormatting>
  <conditionalFormatting sqref="I19">
    <cfRule type="expression" dxfId="4939" priority="439">
      <formula>$A19="Overhead Cable"</formula>
    </cfRule>
    <cfRule type="expression" dxfId="4938" priority="440">
      <formula>$A19="Level Crossing"</formula>
    </cfRule>
    <cfRule type="expression" dxfId="4937" priority="441">
      <formula>$A19="Neutral Section"</formula>
    </cfRule>
    <cfRule type="expression" dxfId="4936" priority="442">
      <formula>$A19="Tunnel"</formula>
    </cfRule>
    <cfRule type="expression" dxfId="4935" priority="443">
      <formula>$A19="Bridge"</formula>
    </cfRule>
    <cfRule type="expression" dxfId="4934" priority="444">
      <formula>$A19="Drainage Works"</formula>
    </cfRule>
    <cfRule type="expression" dxfId="4933" priority="445">
      <formula>$A19="Underpass"</formula>
    </cfRule>
    <cfRule type="expression" dxfId="4932" priority="446">
      <formula>$A19="Overcrossing"</formula>
    </cfRule>
    <cfRule type="expression" dxfId="4931" priority="447">
      <formula>$A19="Overpass"</formula>
    </cfRule>
    <cfRule type="expression" dxfId="4930" priority="448">
      <formula>$A19="Station"</formula>
    </cfRule>
    <cfRule type="expression" dxfId="4929" priority="449">
      <formula>$A19="Overlap between sections"</formula>
    </cfRule>
  </conditionalFormatting>
  <conditionalFormatting sqref="BD17">
    <cfRule type="containsText" dxfId="4928" priority="438" operator="containsText" text="Poner a mano">
      <formula>NOT(ISERROR(SEARCH("Poner a mano",BD17)))</formula>
    </cfRule>
  </conditionalFormatting>
  <conditionalFormatting sqref="BD19">
    <cfRule type="containsText" dxfId="4927" priority="437" operator="containsText" text="Poner a mano">
      <formula>NOT(ISERROR(SEARCH("Poner a mano",BD19)))</formula>
    </cfRule>
  </conditionalFormatting>
  <conditionalFormatting sqref="BD21">
    <cfRule type="containsText" dxfId="4926" priority="436" operator="containsText" text="Poner a mano">
      <formula>NOT(ISERROR(SEARCH("Poner a mano",BD21)))</formula>
    </cfRule>
  </conditionalFormatting>
  <conditionalFormatting sqref="BD23">
    <cfRule type="containsText" dxfId="4925" priority="435" operator="containsText" text="Poner a mano">
      <formula>NOT(ISERROR(SEARCH("Poner a mano",BD23)))</formula>
    </cfRule>
  </conditionalFormatting>
  <conditionalFormatting sqref="BD25">
    <cfRule type="containsText" dxfId="4924" priority="434" operator="containsText" text="Poner a mano">
      <formula>NOT(ISERROR(SEARCH("Poner a mano",BD25)))</formula>
    </cfRule>
  </conditionalFormatting>
  <conditionalFormatting sqref="BD27">
    <cfRule type="containsText" dxfId="4923" priority="433" operator="containsText" text="Poner a mano">
      <formula>NOT(ISERROR(SEARCH("Poner a mano",BD27)))</formula>
    </cfRule>
  </conditionalFormatting>
  <conditionalFormatting sqref="BD29">
    <cfRule type="containsText" dxfId="4922" priority="432" operator="containsText" text="Poner a mano">
      <formula>NOT(ISERROR(SEARCH("Poner a mano",BD29)))</formula>
    </cfRule>
  </conditionalFormatting>
  <conditionalFormatting sqref="BD31">
    <cfRule type="containsText" dxfId="4921" priority="431" operator="containsText" text="Poner a mano">
      <formula>NOT(ISERROR(SEARCH("Poner a mano",BD31)))</formula>
    </cfRule>
  </conditionalFormatting>
  <conditionalFormatting sqref="BD33">
    <cfRule type="containsText" dxfId="4920" priority="430" operator="containsText" text="Poner a mano">
      <formula>NOT(ISERROR(SEARCH("Poner a mano",BD33)))</formula>
    </cfRule>
  </conditionalFormatting>
  <conditionalFormatting sqref="BD35">
    <cfRule type="containsText" dxfId="4919" priority="429" operator="containsText" text="Poner a mano">
      <formula>NOT(ISERROR(SEARCH("Poner a mano",BD35)))</formula>
    </cfRule>
  </conditionalFormatting>
  <conditionalFormatting sqref="BD37">
    <cfRule type="containsText" dxfId="4918" priority="428" operator="containsText" text="Poner a mano">
      <formula>NOT(ISERROR(SEARCH("Poner a mano",BD37)))</formula>
    </cfRule>
  </conditionalFormatting>
  <conditionalFormatting sqref="BD41">
    <cfRule type="containsText" dxfId="4917" priority="426" operator="containsText" text="Poner a mano">
      <formula>NOT(ISERROR(SEARCH("Poner a mano",BD41)))</formula>
    </cfRule>
  </conditionalFormatting>
  <conditionalFormatting sqref="BD43">
    <cfRule type="containsText" dxfId="4916" priority="425" operator="containsText" text="Poner a mano">
      <formula>NOT(ISERROR(SEARCH("Poner a mano",BD43)))</formula>
    </cfRule>
  </conditionalFormatting>
  <conditionalFormatting sqref="BD45">
    <cfRule type="containsText" dxfId="4915" priority="424" operator="containsText" text="Poner a mano">
      <formula>NOT(ISERROR(SEARCH("Poner a mano",BD45)))</formula>
    </cfRule>
  </conditionalFormatting>
  <conditionalFormatting sqref="BD47">
    <cfRule type="containsText" dxfId="4914" priority="423" operator="containsText" text="Poner a mano">
      <formula>NOT(ISERROR(SEARCH("Poner a mano",BD47)))</formula>
    </cfRule>
  </conditionalFormatting>
  <conditionalFormatting sqref="BD49">
    <cfRule type="containsText" dxfId="4913" priority="422" operator="containsText" text="Poner a mano">
      <formula>NOT(ISERROR(SEARCH("Poner a mano",BD49)))</formula>
    </cfRule>
  </conditionalFormatting>
  <conditionalFormatting sqref="BD51">
    <cfRule type="containsText" dxfId="4912" priority="421" operator="containsText" text="Poner a mano">
      <formula>NOT(ISERROR(SEARCH("Poner a mano",BD51)))</formula>
    </cfRule>
  </conditionalFormatting>
  <conditionalFormatting sqref="BD53">
    <cfRule type="containsText" dxfId="4911" priority="420" operator="containsText" text="Poner a mano">
      <formula>NOT(ISERROR(SEARCH("Poner a mano",BD53)))</formula>
    </cfRule>
  </conditionalFormatting>
  <conditionalFormatting sqref="BD55">
    <cfRule type="containsText" dxfId="4910" priority="419" operator="containsText" text="Poner a mano">
      <formula>NOT(ISERROR(SEARCH("Poner a mano",BD55)))</formula>
    </cfRule>
  </conditionalFormatting>
  <conditionalFormatting sqref="BD5">
    <cfRule type="containsText" dxfId="4909" priority="418" operator="containsText" text="Poner a mano">
      <formula>NOT(ISERROR(SEARCH("Poner a mano",BD5)))</formula>
    </cfRule>
  </conditionalFormatting>
  <conditionalFormatting sqref="AM42">
    <cfRule type="expression" dxfId="4908" priority="415">
      <formula>$M42="NON DEFINED"</formula>
    </cfRule>
    <cfRule type="expression" dxfId="4907" priority="416">
      <formula>$AZ42="N.D."</formula>
    </cfRule>
    <cfRule type="expression" dxfId="4906" priority="417">
      <formula>$AY42="N.D."</formula>
    </cfRule>
  </conditionalFormatting>
  <conditionalFormatting sqref="AM42">
    <cfRule type="expression" dxfId="4905" priority="404">
      <formula>$A42="Overhead Cable"</formula>
    </cfRule>
    <cfRule type="expression" dxfId="4904" priority="405">
      <formula>$A42="Level Crossing"</formula>
    </cfRule>
    <cfRule type="expression" dxfId="4903" priority="406">
      <formula>$A42="Neutral Section"</formula>
    </cfRule>
    <cfRule type="expression" dxfId="4902" priority="407">
      <formula>$A42="Tunnel"</formula>
    </cfRule>
    <cfRule type="expression" dxfId="4901" priority="408">
      <formula>$A42="Bridge"</formula>
    </cfRule>
    <cfRule type="expression" dxfId="4900" priority="409">
      <formula>$A42="Drainage Works"</formula>
    </cfRule>
    <cfRule type="expression" dxfId="4899" priority="410">
      <formula>$A42="Underpass"</formula>
    </cfRule>
    <cfRule type="expression" dxfId="4898" priority="411">
      <formula>$A42="Overcrossing"</formula>
    </cfRule>
    <cfRule type="expression" dxfId="4897" priority="412">
      <formula>$A42="Overpass"</formula>
    </cfRule>
    <cfRule type="expression" dxfId="4896" priority="413">
      <formula>$A42="Station"</formula>
    </cfRule>
    <cfRule type="expression" dxfId="4895" priority="414">
      <formula>$A42="Overlap between sections"</formula>
    </cfRule>
  </conditionalFormatting>
  <conditionalFormatting sqref="BF5:BG5 BI5 BF7:BG7 BF9:BG9 BF11:BG11 BF13:BG13 BF15:BG15 BF17:BG17 BF19:BG19 BF21:BG21 BF23:BG23 BF25:BG25 BF27:BG27 BF29:BG29 BF31:BG31 BF33:BG33 BF35:BG35 BF37:BG37 BF39:BG39 BF41:BG41 BF43:BG43 BF45:BG45 BF47:BG47 BF49:BG49 BF51:BG51 BF53:BG53 BF55:BG55 BF57:BG57 BI7 BI9 BI11 BI13 BI15 BI17 BI19 BI21 BI23 BI25 BI27 BI29 BI31 BI33 BI35 BI37 BI39 BI41 BI43 BI45 BI47 BI49 BI51 BI53 BI55 BI57">
    <cfRule type="containsBlanks" dxfId="4894" priority="403">
      <formula>LEN(TRIM(BF5))=0</formula>
    </cfRule>
  </conditionalFormatting>
  <conditionalFormatting sqref="B4:V4 X4:AZ4">
    <cfRule type="expression" dxfId="4893" priority="399">
      <formula>$M4="NON DEFINED"</formula>
    </cfRule>
    <cfRule type="expression" dxfId="4892" priority="400">
      <formula>$AZ4="N.D."</formula>
    </cfRule>
    <cfRule type="expression" dxfId="4891" priority="401">
      <formula>$AY4="N.D."</formula>
    </cfRule>
  </conditionalFormatting>
  <conditionalFormatting sqref="AG4 A4:E4 AY4:AZ4 AM4:AS4 G4:H4 J4">
    <cfRule type="expression" dxfId="4890" priority="388">
      <formula>$A4="Overhead Cable"</formula>
    </cfRule>
    <cfRule type="expression" dxfId="4889" priority="389">
      <formula>$A4="Level Crossing"</formula>
    </cfRule>
    <cfRule type="expression" dxfId="4888" priority="390">
      <formula>$A4="Neutral Section"</formula>
    </cfRule>
    <cfRule type="expression" dxfId="4887" priority="391">
      <formula>$A4="Tunnel"</formula>
    </cfRule>
    <cfRule type="expression" dxfId="4886" priority="392">
      <formula>$A4="Bridge"</formula>
    </cfRule>
    <cfRule type="expression" dxfId="4885" priority="393">
      <formula>$A4="Drainage Works"</formula>
    </cfRule>
    <cfRule type="expression" dxfId="4884" priority="394">
      <formula>$A4="Underpass"</formula>
    </cfRule>
    <cfRule type="expression" dxfId="4883" priority="395">
      <formula>$A4="Overcrossing"</formula>
    </cfRule>
    <cfRule type="expression" dxfId="4882" priority="396">
      <formula>$A4="Overpass"</formula>
    </cfRule>
    <cfRule type="expression" dxfId="4881" priority="397">
      <formula>$A4="Station"</formula>
    </cfRule>
    <cfRule type="expression" dxfId="4880" priority="398">
      <formula>$A4="Overlap between sections"</formula>
    </cfRule>
  </conditionalFormatting>
  <conditionalFormatting sqref="AN4:AP4">
    <cfRule type="cellIs" dxfId="4879" priority="387" operator="notEqual">
      <formula>5.5</formula>
    </cfRule>
  </conditionalFormatting>
  <conditionalFormatting sqref="B4">
    <cfRule type="expression" dxfId="4878" priority="386">
      <formula>AND($AH4&gt;2499,$AH4&lt;2901)</formula>
    </cfRule>
  </conditionalFormatting>
  <conditionalFormatting sqref="I4">
    <cfRule type="expression" dxfId="4877" priority="375">
      <formula>$A4="Overhead Cable"</formula>
    </cfRule>
    <cfRule type="expression" dxfId="4876" priority="376">
      <formula>$A4="Level Crossing"</formula>
    </cfRule>
    <cfRule type="expression" dxfId="4875" priority="377">
      <formula>$A4="Neutral Section"</formula>
    </cfRule>
    <cfRule type="expression" dxfId="4874" priority="378">
      <formula>$A4="Tunnel"</formula>
    </cfRule>
    <cfRule type="expression" dxfId="4873" priority="379">
      <formula>$A4="Bridge"</formula>
    </cfRule>
    <cfRule type="expression" dxfId="4872" priority="380">
      <formula>$A4="Drainage Works"</formula>
    </cfRule>
    <cfRule type="expression" dxfId="4871" priority="381">
      <formula>$A4="Underpass"</formula>
    </cfRule>
    <cfRule type="expression" dxfId="4870" priority="382">
      <formula>$A4="Overcrossing"</formula>
    </cfRule>
    <cfRule type="expression" dxfId="4869" priority="383">
      <formula>$A4="Overpass"</formula>
    </cfRule>
    <cfRule type="expression" dxfId="4868" priority="384">
      <formula>$A4="Station"</formula>
    </cfRule>
    <cfRule type="expression" dxfId="4867" priority="385">
      <formula>$A4="Overlap between sections"</formula>
    </cfRule>
  </conditionalFormatting>
  <conditionalFormatting sqref="K4">
    <cfRule type="expression" dxfId="4866" priority="364">
      <formula>$A4="Overhead Cable"</formula>
    </cfRule>
    <cfRule type="expression" dxfId="4865" priority="365">
      <formula>$A4="Level Crossing"</formula>
    </cfRule>
    <cfRule type="expression" dxfId="4864" priority="366">
      <formula>$A4="Neutral Section"</formula>
    </cfRule>
    <cfRule type="expression" dxfId="4863" priority="367">
      <formula>$A4="Tunnel"</formula>
    </cfRule>
    <cfRule type="expression" dxfId="4862" priority="368">
      <formula>$A4="Bridge"</formula>
    </cfRule>
    <cfRule type="expression" dxfId="4861" priority="369">
      <formula>$A4="Drainage Works"</formula>
    </cfRule>
    <cfRule type="expression" dxfId="4860" priority="370">
      <formula>$A4="Underpass"</formula>
    </cfRule>
    <cfRule type="expression" dxfId="4859" priority="371">
      <formula>$A4="Overcrossing"</formula>
    </cfRule>
    <cfRule type="expression" dxfId="4858" priority="372">
      <formula>$A4="Overpass"</formula>
    </cfRule>
    <cfRule type="expression" dxfId="4857" priority="373">
      <formula>$A4="Station"</formula>
    </cfRule>
    <cfRule type="expression" dxfId="4856" priority="374">
      <formula>$A4="Overlap between sections"</formula>
    </cfRule>
  </conditionalFormatting>
  <conditionalFormatting sqref="L4">
    <cfRule type="expression" dxfId="4855" priority="353">
      <formula>$A4="Overhead Cable"</formula>
    </cfRule>
    <cfRule type="expression" dxfId="4854" priority="354">
      <formula>$A4="Level Crossing"</formula>
    </cfRule>
    <cfRule type="expression" dxfId="4853" priority="355">
      <formula>$A4="Neutral Section"</formula>
    </cfRule>
    <cfRule type="expression" dxfId="4852" priority="356">
      <formula>$A4="Tunnel"</formula>
    </cfRule>
    <cfRule type="expression" dxfId="4851" priority="357">
      <formula>$A4="Bridge"</formula>
    </cfRule>
    <cfRule type="expression" dxfId="4850" priority="358">
      <formula>$A4="Drainage Works"</formula>
    </cfRule>
    <cfRule type="expression" dxfId="4849" priority="359">
      <formula>$A4="Underpass"</formula>
    </cfRule>
    <cfRule type="expression" dxfId="4848" priority="360">
      <formula>$A4="Overcrossing"</formula>
    </cfRule>
    <cfRule type="expression" dxfId="4847" priority="361">
      <formula>$A4="Overpass"</formula>
    </cfRule>
    <cfRule type="expression" dxfId="4846" priority="362">
      <formula>$A4="Station"</formula>
    </cfRule>
    <cfRule type="expression" dxfId="4845" priority="363">
      <formula>$A4="Overlap between sections"</formula>
    </cfRule>
  </conditionalFormatting>
  <conditionalFormatting sqref="M4">
    <cfRule type="expression" dxfId="4844" priority="342">
      <formula>$A4="Overhead Cable"</formula>
    </cfRule>
    <cfRule type="expression" dxfId="4843" priority="343">
      <formula>$A4="Level Crossing"</formula>
    </cfRule>
    <cfRule type="expression" dxfId="4842" priority="344">
      <formula>$A4="Neutral Section"</formula>
    </cfRule>
    <cfRule type="expression" dxfId="4841" priority="345">
      <formula>$A4="Tunnel"</formula>
    </cfRule>
    <cfRule type="expression" dxfId="4840" priority="346">
      <formula>$A4="Bridge"</formula>
    </cfRule>
    <cfRule type="expression" dxfId="4839" priority="347">
      <formula>$A4="Drainage Works"</formula>
    </cfRule>
    <cfRule type="expression" dxfId="4838" priority="348">
      <formula>$A4="Underpass"</formula>
    </cfRule>
    <cfRule type="expression" dxfId="4837" priority="349">
      <formula>$A4="Overcrossing"</formula>
    </cfRule>
    <cfRule type="expression" dxfId="4836" priority="350">
      <formula>$A4="Overpass"</formula>
    </cfRule>
    <cfRule type="expression" dxfId="4835" priority="351">
      <formula>$A4="Station"</formula>
    </cfRule>
    <cfRule type="expression" dxfId="4834" priority="352">
      <formula>$A4="Overlap between sections"</formula>
    </cfRule>
  </conditionalFormatting>
  <conditionalFormatting sqref="N4">
    <cfRule type="expression" dxfId="4833" priority="331">
      <formula>$A4="Overhead Cable"</formula>
    </cfRule>
    <cfRule type="expression" dxfId="4832" priority="332">
      <formula>$A4="Level Crossing"</formula>
    </cfRule>
    <cfRule type="expression" dxfId="4831" priority="333">
      <formula>$A4="Neutral Section"</formula>
    </cfRule>
    <cfRule type="expression" dxfId="4830" priority="334">
      <formula>$A4="Tunnel"</formula>
    </cfRule>
    <cfRule type="expression" dxfId="4829" priority="335">
      <formula>$A4="Bridge"</formula>
    </cfRule>
    <cfRule type="expression" dxfId="4828" priority="336">
      <formula>$A4="Drainage Works"</formula>
    </cfRule>
    <cfRule type="expression" dxfId="4827" priority="337">
      <formula>$A4="Underpass"</formula>
    </cfRule>
    <cfRule type="expression" dxfId="4826" priority="338">
      <formula>$A4="Overcrossing"</formula>
    </cfRule>
    <cfRule type="expression" dxfId="4825" priority="339">
      <formula>$A4="Overpass"</formula>
    </cfRule>
    <cfRule type="expression" dxfId="4824" priority="340">
      <formula>$A4="Station"</formula>
    </cfRule>
    <cfRule type="expression" dxfId="4823" priority="341">
      <formula>$A4="Overlap between sections"</formula>
    </cfRule>
  </conditionalFormatting>
  <conditionalFormatting sqref="O4">
    <cfRule type="expression" dxfId="4822" priority="320">
      <formula>$A4="Overhead Cable"</formula>
    </cfRule>
    <cfRule type="expression" dxfId="4821" priority="321">
      <formula>$A4="Level Crossing"</formula>
    </cfRule>
    <cfRule type="expression" dxfId="4820" priority="322">
      <formula>$A4="Neutral Section"</formula>
    </cfRule>
    <cfRule type="expression" dxfId="4819" priority="323">
      <formula>$A4="Tunnel"</formula>
    </cfRule>
    <cfRule type="expression" dxfId="4818" priority="324">
      <formula>$A4="Bridge"</formula>
    </cfRule>
    <cfRule type="expression" dxfId="4817" priority="325">
      <formula>$A4="Drainage Works"</formula>
    </cfRule>
    <cfRule type="expression" dxfId="4816" priority="326">
      <formula>$A4="Underpass"</formula>
    </cfRule>
    <cfRule type="expression" dxfId="4815" priority="327">
      <formula>$A4="Overcrossing"</formula>
    </cfRule>
    <cfRule type="expression" dxfId="4814" priority="328">
      <formula>$A4="Overpass"</formula>
    </cfRule>
    <cfRule type="expression" dxfId="4813" priority="329">
      <formula>$A4="Station"</formula>
    </cfRule>
    <cfRule type="expression" dxfId="4812" priority="330">
      <formula>$A4="Overlap between sections"</formula>
    </cfRule>
  </conditionalFormatting>
  <conditionalFormatting sqref="P4">
    <cfRule type="expression" dxfId="4811" priority="309">
      <formula>$A4="Overhead Cable"</formula>
    </cfRule>
    <cfRule type="expression" dxfId="4810" priority="310">
      <formula>$A4="Level Crossing"</formula>
    </cfRule>
    <cfRule type="expression" dxfId="4809" priority="311">
      <formula>$A4="Neutral Section"</formula>
    </cfRule>
    <cfRule type="expression" dxfId="4808" priority="312">
      <formula>$A4="Tunnel"</formula>
    </cfRule>
    <cfRule type="expression" dxfId="4807" priority="313">
      <formula>$A4="Bridge"</formula>
    </cfRule>
    <cfRule type="expression" dxfId="4806" priority="314">
      <formula>$A4="Drainage Works"</formula>
    </cfRule>
    <cfRule type="expression" dxfId="4805" priority="315">
      <formula>$A4="Underpass"</formula>
    </cfRule>
    <cfRule type="expression" dxfId="4804" priority="316">
      <formula>$A4="Overcrossing"</formula>
    </cfRule>
    <cfRule type="expression" dxfId="4803" priority="317">
      <formula>$A4="Overpass"</formula>
    </cfRule>
    <cfRule type="expression" dxfId="4802" priority="318">
      <formula>$A4="Station"</formula>
    </cfRule>
    <cfRule type="expression" dxfId="4801" priority="319">
      <formula>$A4="Overlap between sections"</formula>
    </cfRule>
  </conditionalFormatting>
  <conditionalFormatting sqref="AC4">
    <cfRule type="expression" dxfId="4800" priority="298">
      <formula>$A4="Overhead Cable"</formula>
    </cfRule>
    <cfRule type="expression" dxfId="4799" priority="299">
      <formula>$A4="Level Crossing"</formula>
    </cfRule>
    <cfRule type="expression" dxfId="4798" priority="300">
      <formula>$A4="Neutral Section"</formula>
    </cfRule>
    <cfRule type="expression" dxfId="4797" priority="301">
      <formula>$A4="Tunnel"</formula>
    </cfRule>
    <cfRule type="expression" dxfId="4796" priority="302">
      <formula>$A4="Bridge"</formula>
    </cfRule>
    <cfRule type="expression" dxfId="4795" priority="303">
      <formula>$A4="Drainage Works"</formula>
    </cfRule>
    <cfRule type="expression" dxfId="4794" priority="304">
      <formula>$A4="Underpass"</formula>
    </cfRule>
    <cfRule type="expression" dxfId="4793" priority="305">
      <formula>$A4="Overcrossing"</formula>
    </cfRule>
    <cfRule type="expression" dxfId="4792" priority="306">
      <formula>$A4="Overpass"</formula>
    </cfRule>
    <cfRule type="expression" dxfId="4791" priority="307">
      <formula>$A4="Station"</formula>
    </cfRule>
    <cfRule type="expression" dxfId="4790" priority="308">
      <formula>$A4="Overlap between sections"</formula>
    </cfRule>
  </conditionalFormatting>
  <conditionalFormatting sqref="AD4">
    <cfRule type="expression" dxfId="4789" priority="287">
      <formula>$A4="Overhead Cable"</formula>
    </cfRule>
    <cfRule type="expression" dxfId="4788" priority="288">
      <formula>$A4="Level Crossing"</formula>
    </cfRule>
    <cfRule type="expression" dxfId="4787" priority="289">
      <formula>$A4="Neutral Section"</formula>
    </cfRule>
    <cfRule type="expression" dxfId="4786" priority="290">
      <formula>$A4="Tunnel"</formula>
    </cfRule>
    <cfRule type="expression" dxfId="4785" priority="291">
      <formula>$A4="Bridge"</formula>
    </cfRule>
    <cfRule type="expression" dxfId="4784" priority="292">
      <formula>$A4="Drainage Works"</formula>
    </cfRule>
    <cfRule type="expression" dxfId="4783" priority="293">
      <formula>$A4="Underpass"</formula>
    </cfRule>
    <cfRule type="expression" dxfId="4782" priority="294">
      <formula>$A4="Overcrossing"</formula>
    </cfRule>
    <cfRule type="expression" dxfId="4781" priority="295">
      <formula>$A4="Overpass"</formula>
    </cfRule>
    <cfRule type="expression" dxfId="4780" priority="296">
      <formula>$A4="Station"</formula>
    </cfRule>
    <cfRule type="expression" dxfId="4779" priority="297">
      <formula>$A4="Overlap between sections"</formula>
    </cfRule>
  </conditionalFormatting>
  <conditionalFormatting sqref="AE4">
    <cfRule type="expression" dxfId="4778" priority="276">
      <formula>$A4="Overhead Cable"</formula>
    </cfRule>
    <cfRule type="expression" dxfId="4777" priority="277">
      <formula>$A4="Level Crossing"</formula>
    </cfRule>
    <cfRule type="expression" dxfId="4776" priority="278">
      <formula>$A4="Neutral Section"</formula>
    </cfRule>
    <cfRule type="expression" dxfId="4775" priority="279">
      <formula>$A4="Tunnel"</formula>
    </cfRule>
    <cfRule type="expression" dxfId="4774" priority="280">
      <formula>$A4="Bridge"</formula>
    </cfRule>
    <cfRule type="expression" dxfId="4773" priority="281">
      <formula>$A4="Drainage Works"</formula>
    </cfRule>
    <cfRule type="expression" dxfId="4772" priority="282">
      <formula>$A4="Underpass"</formula>
    </cfRule>
    <cfRule type="expression" dxfId="4771" priority="283">
      <formula>$A4="Overcrossing"</formula>
    </cfRule>
    <cfRule type="expression" dxfId="4770" priority="284">
      <formula>$A4="Overpass"</formula>
    </cfRule>
    <cfRule type="expression" dxfId="4769" priority="285">
      <formula>$A4="Station"</formula>
    </cfRule>
    <cfRule type="expression" dxfId="4768" priority="286">
      <formula>$A4="Overlap between sections"</formula>
    </cfRule>
  </conditionalFormatting>
  <conditionalFormatting sqref="AJ4">
    <cfRule type="expression" dxfId="4767" priority="265">
      <formula>$A4="Overhead Cable"</formula>
    </cfRule>
    <cfRule type="expression" dxfId="4766" priority="266">
      <formula>$A4="Level Crossing"</formula>
    </cfRule>
    <cfRule type="expression" dxfId="4765" priority="267">
      <formula>$A4="Neutral Section"</formula>
    </cfRule>
    <cfRule type="expression" dxfId="4764" priority="268">
      <formula>$A4="Tunnel"</formula>
    </cfRule>
    <cfRule type="expression" dxfId="4763" priority="269">
      <formula>$A4="Bridge"</formula>
    </cfRule>
    <cfRule type="expression" dxfId="4762" priority="270">
      <formula>$A4="Drainage Works"</formula>
    </cfRule>
    <cfRule type="expression" dxfId="4761" priority="271">
      <formula>$A4="Underpass"</formula>
    </cfRule>
    <cfRule type="expression" dxfId="4760" priority="272">
      <formula>$A4="Overcrossing"</formula>
    </cfRule>
    <cfRule type="expression" dxfId="4759" priority="273">
      <formula>$A4="Overpass"</formula>
    </cfRule>
    <cfRule type="expression" dxfId="4758" priority="274">
      <formula>$A4="Station"</formula>
    </cfRule>
    <cfRule type="expression" dxfId="4757" priority="275">
      <formula>$A4="Overlap between sections"</formula>
    </cfRule>
  </conditionalFormatting>
  <conditionalFormatting sqref="AK4">
    <cfRule type="expression" dxfId="4756" priority="254">
      <formula>$A4="Overhead Cable"</formula>
    </cfRule>
    <cfRule type="expression" dxfId="4755" priority="255">
      <formula>$A4="Level Crossing"</formula>
    </cfRule>
    <cfRule type="expression" dxfId="4754" priority="256">
      <formula>$A4="Neutral Section"</formula>
    </cfRule>
    <cfRule type="expression" dxfId="4753" priority="257">
      <formula>$A4="Tunnel"</formula>
    </cfRule>
    <cfRule type="expression" dxfId="4752" priority="258">
      <formula>$A4="Bridge"</formula>
    </cfRule>
    <cfRule type="expression" dxfId="4751" priority="259">
      <formula>$A4="Drainage Works"</formula>
    </cfRule>
    <cfRule type="expression" dxfId="4750" priority="260">
      <formula>$A4="Underpass"</formula>
    </cfRule>
    <cfRule type="expression" dxfId="4749" priority="261">
      <formula>$A4="Overcrossing"</formula>
    </cfRule>
    <cfRule type="expression" dxfId="4748" priority="262">
      <formula>$A4="Overpass"</formula>
    </cfRule>
    <cfRule type="expression" dxfId="4747" priority="263">
      <formula>$A4="Station"</formula>
    </cfRule>
    <cfRule type="expression" dxfId="4746" priority="264">
      <formula>$A4="Overlap between sections"</formula>
    </cfRule>
  </conditionalFormatting>
  <conditionalFormatting sqref="AL4">
    <cfRule type="expression" dxfId="4745" priority="243">
      <formula>$A4="Overhead Cable"</formula>
    </cfRule>
    <cfRule type="expression" dxfId="4744" priority="244">
      <formula>$A4="Level Crossing"</formula>
    </cfRule>
    <cfRule type="expression" dxfId="4743" priority="245">
      <formula>$A4="Neutral Section"</formula>
    </cfRule>
    <cfRule type="expression" dxfId="4742" priority="246">
      <formula>$A4="Tunnel"</formula>
    </cfRule>
    <cfRule type="expression" dxfId="4741" priority="247">
      <formula>$A4="Bridge"</formula>
    </cfRule>
    <cfRule type="expression" dxfId="4740" priority="248">
      <formula>$A4="Drainage Works"</formula>
    </cfRule>
    <cfRule type="expression" dxfId="4739" priority="249">
      <formula>$A4="Underpass"</formula>
    </cfRule>
    <cfRule type="expression" dxfId="4738" priority="250">
      <formula>$A4="Overcrossing"</formula>
    </cfRule>
    <cfRule type="expression" dxfId="4737" priority="251">
      <formula>$A4="Overpass"</formula>
    </cfRule>
    <cfRule type="expression" dxfId="4736" priority="252">
      <formula>$A4="Station"</formula>
    </cfRule>
    <cfRule type="expression" dxfId="4735" priority="253">
      <formula>$A4="Overlap between sections"</formula>
    </cfRule>
  </conditionalFormatting>
  <conditionalFormatting sqref="AT4">
    <cfRule type="expression" dxfId="4734" priority="232">
      <formula>$A4="Overhead Cable"</formula>
    </cfRule>
    <cfRule type="expression" dxfId="4733" priority="233">
      <formula>$A4="Level Crossing"</formula>
    </cfRule>
    <cfRule type="expression" dxfId="4732" priority="234">
      <formula>$A4="Neutral Section"</formula>
    </cfRule>
    <cfRule type="expression" dxfId="4731" priority="235">
      <formula>$A4="Tunnel"</formula>
    </cfRule>
    <cfRule type="expression" dxfId="4730" priority="236">
      <formula>$A4="Bridge"</formula>
    </cfRule>
    <cfRule type="expression" dxfId="4729" priority="237">
      <formula>$A4="Drainage Works"</formula>
    </cfRule>
    <cfRule type="expression" dxfId="4728" priority="238">
      <formula>$A4="Underpass"</formula>
    </cfRule>
    <cfRule type="expression" dxfId="4727" priority="239">
      <formula>$A4="Overcrossing"</formula>
    </cfRule>
    <cfRule type="expression" dxfId="4726" priority="240">
      <formula>$A4="Overpass"</formula>
    </cfRule>
    <cfRule type="expression" dxfId="4725" priority="241">
      <formula>$A4="Station"</formula>
    </cfRule>
    <cfRule type="expression" dxfId="4724" priority="242">
      <formula>$A4="Overlap between sections"</formula>
    </cfRule>
  </conditionalFormatting>
  <conditionalFormatting sqref="AU4">
    <cfRule type="expression" dxfId="4723" priority="221">
      <formula>$A4="Overhead Cable"</formula>
    </cfRule>
    <cfRule type="expression" dxfId="4722" priority="222">
      <formula>$A4="Level Crossing"</formula>
    </cfRule>
    <cfRule type="expression" dxfId="4721" priority="223">
      <formula>$A4="Neutral Section"</formula>
    </cfRule>
    <cfRule type="expression" dxfId="4720" priority="224">
      <formula>$A4="Tunnel"</formula>
    </cfRule>
    <cfRule type="expression" dxfId="4719" priority="225">
      <formula>$A4="Bridge"</formula>
    </cfRule>
    <cfRule type="expression" dxfId="4718" priority="226">
      <formula>$A4="Drainage Works"</formula>
    </cfRule>
    <cfRule type="expression" dxfId="4717" priority="227">
      <formula>$A4="Underpass"</formula>
    </cfRule>
    <cfRule type="expression" dxfId="4716" priority="228">
      <formula>$A4="Overcrossing"</formula>
    </cfRule>
    <cfRule type="expression" dxfId="4715" priority="229">
      <formula>$A4="Overpass"</formula>
    </cfRule>
    <cfRule type="expression" dxfId="4714" priority="230">
      <formula>$A4="Station"</formula>
    </cfRule>
    <cfRule type="expression" dxfId="4713" priority="231">
      <formula>$A4="Overlap between sections"</formula>
    </cfRule>
  </conditionalFormatting>
  <conditionalFormatting sqref="AV4">
    <cfRule type="expression" dxfId="4712" priority="210">
      <formula>$A4="Overhead Cable"</formula>
    </cfRule>
    <cfRule type="expression" dxfId="4711" priority="211">
      <formula>$A4="Level Crossing"</formula>
    </cfRule>
    <cfRule type="expression" dxfId="4710" priority="212">
      <formula>$A4="Neutral Section"</formula>
    </cfRule>
    <cfRule type="expression" dxfId="4709" priority="213">
      <formula>$A4="Tunnel"</formula>
    </cfRule>
    <cfRule type="expression" dxfId="4708" priority="214">
      <formula>$A4="Bridge"</formula>
    </cfRule>
    <cfRule type="expression" dxfId="4707" priority="215">
      <formula>$A4="Drainage Works"</formula>
    </cfRule>
    <cfRule type="expression" dxfId="4706" priority="216">
      <formula>$A4="Underpass"</formula>
    </cfRule>
    <cfRule type="expression" dxfId="4705" priority="217">
      <formula>$A4="Overcrossing"</formula>
    </cfRule>
    <cfRule type="expression" dxfId="4704" priority="218">
      <formula>$A4="Overpass"</formula>
    </cfRule>
    <cfRule type="expression" dxfId="4703" priority="219">
      <formula>$A4="Station"</formula>
    </cfRule>
    <cfRule type="expression" dxfId="4702" priority="220">
      <formula>$A4="Overlap between sections"</formula>
    </cfRule>
  </conditionalFormatting>
  <conditionalFormatting sqref="AW4">
    <cfRule type="expression" dxfId="4701" priority="199">
      <formula>$A4="Overhead Cable"</formula>
    </cfRule>
    <cfRule type="expression" dxfId="4700" priority="200">
      <formula>$A4="Level Crossing"</formula>
    </cfRule>
    <cfRule type="expression" dxfId="4699" priority="201">
      <formula>$A4="Neutral Section"</formula>
    </cfRule>
    <cfRule type="expression" dxfId="4698" priority="202">
      <formula>$A4="Tunnel"</formula>
    </cfRule>
    <cfRule type="expression" dxfId="4697" priority="203">
      <formula>$A4="Bridge"</formula>
    </cfRule>
    <cfRule type="expression" dxfId="4696" priority="204">
      <formula>$A4="Drainage Works"</formula>
    </cfRule>
    <cfRule type="expression" dxfId="4695" priority="205">
      <formula>$A4="Underpass"</formula>
    </cfRule>
    <cfRule type="expression" dxfId="4694" priority="206">
      <formula>$A4="Overcrossing"</formula>
    </cfRule>
    <cfRule type="expression" dxfId="4693" priority="207">
      <formula>$A4="Overpass"</formula>
    </cfRule>
    <cfRule type="expression" dxfId="4692" priority="208">
      <formula>$A4="Station"</formula>
    </cfRule>
    <cfRule type="expression" dxfId="4691" priority="209">
      <formula>$A4="Overlap between sections"</formula>
    </cfRule>
  </conditionalFormatting>
  <conditionalFormatting sqref="AX4">
    <cfRule type="expression" dxfId="4690" priority="188">
      <formula>$A4="Overhead Cable"</formula>
    </cfRule>
    <cfRule type="expression" dxfId="4689" priority="189">
      <formula>$A4="Level Crossing"</formula>
    </cfRule>
    <cfRule type="expression" dxfId="4688" priority="190">
      <formula>$A4="Neutral Section"</formula>
    </cfRule>
    <cfRule type="expression" dxfId="4687" priority="191">
      <formula>$A4="Tunnel"</formula>
    </cfRule>
    <cfRule type="expression" dxfId="4686" priority="192">
      <formula>$A4="Bridge"</formula>
    </cfRule>
    <cfRule type="expression" dxfId="4685" priority="193">
      <formula>$A4="Drainage Works"</formula>
    </cfRule>
    <cfRule type="expression" dxfId="4684" priority="194">
      <formula>$A4="Underpass"</formula>
    </cfRule>
    <cfRule type="expression" dxfId="4683" priority="195">
      <formula>$A4="Overcrossing"</formula>
    </cfRule>
    <cfRule type="expression" dxfId="4682" priority="196">
      <formula>$A4="Overpass"</formula>
    </cfRule>
    <cfRule type="expression" dxfId="4681" priority="197">
      <formula>$A4="Station"</formula>
    </cfRule>
    <cfRule type="expression" dxfId="4680" priority="198">
      <formula>$A4="Overlap between sections"</formula>
    </cfRule>
  </conditionalFormatting>
  <conditionalFormatting sqref="F4">
    <cfRule type="expression" dxfId="4679" priority="177">
      <formula>$A4="Overhead Cable"</formula>
    </cfRule>
    <cfRule type="expression" dxfId="4678" priority="178">
      <formula>$A4="Level Crossing"</formula>
    </cfRule>
    <cfRule type="expression" dxfId="4677" priority="179">
      <formula>$A4="Neutral Section"</formula>
    </cfRule>
    <cfRule type="expression" dxfId="4676" priority="180">
      <formula>$A4="Tunnel"</formula>
    </cfRule>
    <cfRule type="expression" dxfId="4675" priority="181">
      <formula>$A4="Bridge"</formula>
    </cfRule>
    <cfRule type="expression" dxfId="4674" priority="182">
      <formula>$A4="Drainage Works"</formula>
    </cfRule>
    <cfRule type="expression" dxfId="4673" priority="183">
      <formula>$A4="Underpass"</formula>
    </cfRule>
    <cfRule type="expression" dxfId="4672" priority="184">
      <formula>$A4="Overcrossing"</formula>
    </cfRule>
    <cfRule type="expression" dxfId="4671" priority="185">
      <formula>$A4="Overpass"</formula>
    </cfRule>
    <cfRule type="expression" dxfId="4670" priority="186">
      <formula>$A4="Station"</formula>
    </cfRule>
    <cfRule type="expression" dxfId="4669" priority="187">
      <formula>$A4="Overlap between sections"</formula>
    </cfRule>
  </conditionalFormatting>
  <conditionalFormatting sqref="Q4">
    <cfRule type="expression" dxfId="4668" priority="166">
      <formula>$A4="Overhead Cable"</formula>
    </cfRule>
    <cfRule type="expression" dxfId="4667" priority="167">
      <formula>$A4="Level Crossing"</formula>
    </cfRule>
    <cfRule type="expression" dxfId="4666" priority="168">
      <formula>$A4="Neutral Section"</formula>
    </cfRule>
    <cfRule type="expression" dxfId="4665" priority="169">
      <formula>$A4="Tunnel"</formula>
    </cfRule>
    <cfRule type="expression" dxfId="4664" priority="170">
      <formula>$A4="Bridge"</formula>
    </cfRule>
    <cfRule type="expression" dxfId="4663" priority="171">
      <formula>$A4="Drainage Works"</formula>
    </cfRule>
    <cfRule type="expression" dxfId="4662" priority="172">
      <formula>$A4="Underpass"</formula>
    </cfRule>
    <cfRule type="expression" dxfId="4661" priority="173">
      <formula>$A4="Overcrossing"</formula>
    </cfRule>
    <cfRule type="expression" dxfId="4660" priority="174">
      <formula>$A4="Overpass"</formula>
    </cfRule>
    <cfRule type="expression" dxfId="4659" priority="175">
      <formula>$A4="Station"</formula>
    </cfRule>
    <cfRule type="expression" dxfId="4658" priority="176">
      <formula>$A4="Overlap between sections"</formula>
    </cfRule>
  </conditionalFormatting>
  <conditionalFormatting sqref="T4">
    <cfRule type="expression" dxfId="4657" priority="155">
      <formula>$A4="Overhead Cable"</formula>
    </cfRule>
    <cfRule type="expression" dxfId="4656" priority="156">
      <formula>$A4="Level Crossing"</formula>
    </cfRule>
    <cfRule type="expression" dxfId="4655" priority="157">
      <formula>$A4="Neutral Section"</formula>
    </cfRule>
    <cfRule type="expression" dxfId="4654" priority="158">
      <formula>$A4="Tunnel"</formula>
    </cfRule>
    <cfRule type="expression" dxfId="4653" priority="159">
      <formula>$A4="Bridge"</formula>
    </cfRule>
    <cfRule type="expression" dxfId="4652" priority="160">
      <formula>$A4="Drainage Works"</formula>
    </cfRule>
    <cfRule type="expression" dxfId="4651" priority="161">
      <formula>$A4="Underpass"</formula>
    </cfRule>
    <cfRule type="expression" dxfId="4650" priority="162">
      <formula>$A4="Overcrossing"</formula>
    </cfRule>
    <cfRule type="expression" dxfId="4649" priority="163">
      <formula>$A4="Overpass"</formula>
    </cfRule>
    <cfRule type="expression" dxfId="4648" priority="164">
      <formula>$A4="Station"</formula>
    </cfRule>
    <cfRule type="expression" dxfId="4647" priority="165">
      <formula>$A4="Overlap between sections"</formula>
    </cfRule>
  </conditionalFormatting>
  <conditionalFormatting sqref="U4">
    <cfRule type="expression" dxfId="4646" priority="144">
      <formula>$A4="Overhead Cable"</formula>
    </cfRule>
    <cfRule type="expression" dxfId="4645" priority="145">
      <formula>$A4="Level Crossing"</formula>
    </cfRule>
    <cfRule type="expression" dxfId="4644" priority="146">
      <formula>$A4="Neutral Section"</formula>
    </cfRule>
    <cfRule type="expression" dxfId="4643" priority="147">
      <formula>$A4="Tunnel"</formula>
    </cfRule>
    <cfRule type="expression" dxfId="4642" priority="148">
      <formula>$A4="Bridge"</formula>
    </cfRule>
    <cfRule type="expression" dxfId="4641" priority="149">
      <formula>$A4="Drainage Works"</formula>
    </cfRule>
    <cfRule type="expression" dxfId="4640" priority="150">
      <formula>$A4="Underpass"</formula>
    </cfRule>
    <cfRule type="expression" dxfId="4639" priority="151">
      <formula>$A4="Overcrossing"</formula>
    </cfRule>
    <cfRule type="expression" dxfId="4638" priority="152">
      <formula>$A4="Overpass"</formula>
    </cfRule>
    <cfRule type="expression" dxfId="4637" priority="153">
      <formula>$A4="Station"</formula>
    </cfRule>
    <cfRule type="expression" dxfId="4636" priority="154">
      <formula>$A4="Overlap between sections"</formula>
    </cfRule>
  </conditionalFormatting>
  <conditionalFormatting sqref="V4">
    <cfRule type="expression" dxfId="4635" priority="133">
      <formula>$A4="Overhead Cable"</formula>
    </cfRule>
    <cfRule type="expression" dxfId="4634" priority="134">
      <formula>$A4="Level Crossing"</formula>
    </cfRule>
    <cfRule type="expression" dxfId="4633" priority="135">
      <formula>$A4="Neutral Section"</formula>
    </cfRule>
    <cfRule type="expression" dxfId="4632" priority="136">
      <formula>$A4="Tunnel"</formula>
    </cfRule>
    <cfRule type="expression" dxfId="4631" priority="137">
      <formula>$A4="Bridge"</formula>
    </cfRule>
    <cfRule type="expression" dxfId="4630" priority="138">
      <formula>$A4="Drainage Works"</formula>
    </cfRule>
    <cfRule type="expression" dxfId="4629" priority="139">
      <formula>$A4="Underpass"</formula>
    </cfRule>
    <cfRule type="expression" dxfId="4628" priority="140">
      <formula>$A4="Overcrossing"</formula>
    </cfRule>
    <cfRule type="expression" dxfId="4627" priority="141">
      <formula>$A4="Overpass"</formula>
    </cfRule>
    <cfRule type="expression" dxfId="4626" priority="142">
      <formula>$A4="Station"</formula>
    </cfRule>
    <cfRule type="expression" dxfId="4625" priority="143">
      <formula>$A4="Overlap between sections"</formula>
    </cfRule>
  </conditionalFormatting>
  <conditionalFormatting sqref="AF4">
    <cfRule type="expression" dxfId="4624" priority="122">
      <formula>$A4="Overhead Cable"</formula>
    </cfRule>
    <cfRule type="expression" dxfId="4623" priority="123">
      <formula>$A4="Level Crossing"</formula>
    </cfRule>
    <cfRule type="expression" dxfId="4622" priority="124">
      <formula>$A4="Neutral Section"</formula>
    </cfRule>
    <cfRule type="expression" dxfId="4621" priority="125">
      <formula>$A4="Tunnel"</formula>
    </cfRule>
    <cfRule type="expression" dxfId="4620" priority="126">
      <formula>$A4="Bridge"</formula>
    </cfRule>
    <cfRule type="expression" dxfId="4619" priority="127">
      <formula>$A4="Drainage Works"</formula>
    </cfRule>
    <cfRule type="expression" dxfId="4618" priority="128">
      <formula>$A4="Underpass"</formula>
    </cfRule>
    <cfRule type="expression" dxfId="4617" priority="129">
      <formula>$A4="Overcrossing"</formula>
    </cfRule>
    <cfRule type="expression" dxfId="4616" priority="130">
      <formula>$A4="Overpass"</formula>
    </cfRule>
    <cfRule type="expression" dxfId="4615" priority="131">
      <formula>$A4="Station"</formula>
    </cfRule>
    <cfRule type="expression" dxfId="4614" priority="132">
      <formula>$A4="Overlap between sections"</formula>
    </cfRule>
  </conditionalFormatting>
  <conditionalFormatting sqref="AH4">
    <cfRule type="expression" dxfId="4613" priority="111">
      <formula>$A4="Overhead Cable"</formula>
    </cfRule>
    <cfRule type="expression" dxfId="4612" priority="112">
      <formula>$A4="Level Crossing"</formula>
    </cfRule>
    <cfRule type="expression" dxfId="4611" priority="113">
      <formula>$A4="Neutral Section"</formula>
    </cfRule>
    <cfRule type="expression" dxfId="4610" priority="114">
      <formula>$A4="Tunnel"</formula>
    </cfRule>
    <cfRule type="expression" dxfId="4609" priority="115">
      <formula>$A4="Bridge"</formula>
    </cfRule>
    <cfRule type="expression" dxfId="4608" priority="116">
      <formula>$A4="Drainage Works"</formula>
    </cfRule>
    <cfRule type="expression" dxfId="4607" priority="117">
      <formula>$A4="Underpass"</formula>
    </cfRule>
    <cfRule type="expression" dxfId="4606" priority="118">
      <formula>$A4="Overcrossing"</formula>
    </cfRule>
    <cfRule type="expression" dxfId="4605" priority="119">
      <formula>$A4="Overpass"</formula>
    </cfRule>
    <cfRule type="expression" dxfId="4604" priority="120">
      <formula>$A4="Station"</formula>
    </cfRule>
    <cfRule type="expression" dxfId="4603" priority="121">
      <formula>$A4="Overlap between sections"</formula>
    </cfRule>
  </conditionalFormatting>
  <conditionalFormatting sqref="AI4">
    <cfRule type="expression" dxfId="4602" priority="100">
      <formula>$A4="Overhead Cable"</formula>
    </cfRule>
    <cfRule type="expression" dxfId="4601" priority="101">
      <formula>$A4="Level Crossing"</formula>
    </cfRule>
    <cfRule type="expression" dxfId="4600" priority="102">
      <formula>$A4="Neutral Section"</formula>
    </cfRule>
    <cfRule type="expression" dxfId="4599" priority="103">
      <formula>$A4="Tunnel"</formula>
    </cfRule>
    <cfRule type="expression" dxfId="4598" priority="104">
      <formula>$A4="Bridge"</formula>
    </cfRule>
    <cfRule type="expression" dxfId="4597" priority="105">
      <formula>$A4="Drainage Works"</formula>
    </cfRule>
    <cfRule type="expression" dxfId="4596" priority="106">
      <formula>$A4="Underpass"</formula>
    </cfRule>
    <cfRule type="expression" dxfId="4595" priority="107">
      <formula>$A4="Overcrossing"</formula>
    </cfRule>
    <cfRule type="expression" dxfId="4594" priority="108">
      <formula>$A4="Overpass"</formula>
    </cfRule>
    <cfRule type="expression" dxfId="4593" priority="109">
      <formula>$A4="Station"</formula>
    </cfRule>
    <cfRule type="expression" dxfId="4592" priority="110">
      <formula>$A4="Overlap between sections"</formula>
    </cfRule>
  </conditionalFormatting>
  <conditionalFormatting sqref="R4">
    <cfRule type="expression" dxfId="4591" priority="89">
      <formula>$A4="Overhead Cable"</formula>
    </cfRule>
    <cfRule type="expression" dxfId="4590" priority="90">
      <formula>$A4="Level Crossing"</formula>
    </cfRule>
    <cfRule type="expression" dxfId="4589" priority="91">
      <formula>$A4="Neutral Section"</formula>
    </cfRule>
    <cfRule type="expression" dxfId="4588" priority="92">
      <formula>$A4="Tunnel"</formula>
    </cfRule>
    <cfRule type="expression" dxfId="4587" priority="93">
      <formula>$A4="Bridge"</formula>
    </cfRule>
    <cfRule type="expression" dxfId="4586" priority="94">
      <formula>$A4="Drainage Works"</formula>
    </cfRule>
    <cfRule type="expression" dxfId="4585" priority="95">
      <formula>$A4="Underpass"</formula>
    </cfRule>
    <cfRule type="expression" dxfId="4584" priority="96">
      <formula>$A4="Overcrossing"</formula>
    </cfRule>
    <cfRule type="expression" dxfId="4583" priority="97">
      <formula>$A4="Overpass"</formula>
    </cfRule>
    <cfRule type="expression" dxfId="4582" priority="98">
      <formula>$A4="Station"</formula>
    </cfRule>
    <cfRule type="expression" dxfId="4581" priority="99">
      <formula>$A4="Overlap between sections"</formula>
    </cfRule>
  </conditionalFormatting>
  <conditionalFormatting sqref="S4">
    <cfRule type="expression" dxfId="4580" priority="78">
      <formula>$A4="Overhead Cable"</formula>
    </cfRule>
    <cfRule type="expression" dxfId="4579" priority="79">
      <formula>$A4="Level Crossing"</formula>
    </cfRule>
    <cfRule type="expression" dxfId="4578" priority="80">
      <formula>$A4="Neutral Section"</formula>
    </cfRule>
    <cfRule type="expression" dxfId="4577" priority="81">
      <formula>$A4="Tunnel"</formula>
    </cfRule>
    <cfRule type="expression" dxfId="4576" priority="82">
      <formula>$A4="Bridge"</formula>
    </cfRule>
    <cfRule type="expression" dxfId="4575" priority="83">
      <formula>$A4="Drainage Works"</formula>
    </cfRule>
    <cfRule type="expression" dxfId="4574" priority="84">
      <formula>$A4="Underpass"</formula>
    </cfRule>
    <cfRule type="expression" dxfId="4573" priority="85">
      <formula>$A4="Overcrossing"</formula>
    </cfRule>
    <cfRule type="expression" dxfId="4572" priority="86">
      <formula>$A4="Overpass"</formula>
    </cfRule>
    <cfRule type="expression" dxfId="4571" priority="87">
      <formula>$A4="Station"</formula>
    </cfRule>
    <cfRule type="expression" dxfId="4570" priority="88">
      <formula>$A4="Overlap between sections"</formula>
    </cfRule>
  </conditionalFormatting>
  <conditionalFormatting sqref="X4">
    <cfRule type="expression" dxfId="4569" priority="67">
      <formula>$A4="Overhead Cable"</formula>
    </cfRule>
    <cfRule type="expression" dxfId="4568" priority="68">
      <formula>$A4="Level Crossing"</formula>
    </cfRule>
    <cfRule type="expression" dxfId="4567" priority="69">
      <formula>$A4="Neutral Section"</formula>
    </cfRule>
    <cfRule type="expression" dxfId="4566" priority="70">
      <formula>$A4="Tunnel"</formula>
    </cfRule>
    <cfRule type="expression" dxfId="4565" priority="71">
      <formula>$A4="Bridge"</formula>
    </cfRule>
    <cfRule type="expression" dxfId="4564" priority="72">
      <formula>$A4="Drainage Works"</formula>
    </cfRule>
    <cfRule type="expression" dxfId="4563" priority="73">
      <formula>$A4="Underpass"</formula>
    </cfRule>
    <cfRule type="expression" dxfId="4562" priority="74">
      <formula>$A4="Overcrossing"</formula>
    </cfRule>
    <cfRule type="expression" dxfId="4561" priority="75">
      <formula>$A4="Overpass"</formula>
    </cfRule>
    <cfRule type="expression" dxfId="4560" priority="76">
      <formula>$A4="Station"</formula>
    </cfRule>
    <cfRule type="expression" dxfId="4559" priority="77">
      <formula>$A4="Overlap between sections"</formula>
    </cfRule>
  </conditionalFormatting>
  <conditionalFormatting sqref="Y4">
    <cfRule type="expression" dxfId="4558" priority="56">
      <formula>$A4="Overhead Cable"</formula>
    </cfRule>
    <cfRule type="expression" dxfId="4557" priority="57">
      <formula>$A4="Level Crossing"</formula>
    </cfRule>
    <cfRule type="expression" dxfId="4556" priority="58">
      <formula>$A4="Neutral Section"</formula>
    </cfRule>
    <cfRule type="expression" dxfId="4555" priority="59">
      <formula>$A4="Tunnel"</formula>
    </cfRule>
    <cfRule type="expression" dxfId="4554" priority="60">
      <formula>$A4="Bridge"</formula>
    </cfRule>
    <cfRule type="expression" dxfId="4553" priority="61">
      <formula>$A4="Drainage Works"</formula>
    </cfRule>
    <cfRule type="expression" dxfId="4552" priority="62">
      <formula>$A4="Underpass"</formula>
    </cfRule>
    <cfRule type="expression" dxfId="4551" priority="63">
      <formula>$A4="Overcrossing"</formula>
    </cfRule>
    <cfRule type="expression" dxfId="4550" priority="64">
      <formula>$A4="Overpass"</formula>
    </cfRule>
    <cfRule type="expression" dxfId="4549" priority="65">
      <formula>$A4="Station"</formula>
    </cfRule>
    <cfRule type="expression" dxfId="4548" priority="66">
      <formula>$A4="Overlap between sections"</formula>
    </cfRule>
  </conditionalFormatting>
  <conditionalFormatting sqref="Z4">
    <cfRule type="expression" dxfId="4547" priority="45">
      <formula>$A4="Overhead Cable"</formula>
    </cfRule>
    <cfRule type="expression" dxfId="4546" priority="46">
      <formula>$A4="Level Crossing"</formula>
    </cfRule>
    <cfRule type="expression" dxfId="4545" priority="47">
      <formula>$A4="Neutral Section"</formula>
    </cfRule>
    <cfRule type="expression" dxfId="4544" priority="48">
      <formula>$A4="Tunnel"</formula>
    </cfRule>
    <cfRule type="expression" dxfId="4543" priority="49">
      <formula>$A4="Bridge"</formula>
    </cfRule>
    <cfRule type="expression" dxfId="4542" priority="50">
      <formula>$A4="Drainage Works"</formula>
    </cfRule>
    <cfRule type="expression" dxfId="4541" priority="51">
      <formula>$A4="Underpass"</formula>
    </cfRule>
    <cfRule type="expression" dxfId="4540" priority="52">
      <formula>$A4="Overcrossing"</formula>
    </cfRule>
    <cfRule type="expression" dxfId="4539" priority="53">
      <formula>$A4="Overpass"</formula>
    </cfRule>
    <cfRule type="expression" dxfId="4538" priority="54">
      <formula>$A4="Station"</formula>
    </cfRule>
    <cfRule type="expression" dxfId="4537" priority="55">
      <formula>$A4="Overlap between sections"</formula>
    </cfRule>
  </conditionalFormatting>
  <conditionalFormatting sqref="AA4">
    <cfRule type="expression" dxfId="4536" priority="34">
      <formula>$A4="Overhead Cable"</formula>
    </cfRule>
    <cfRule type="expression" dxfId="4535" priority="35">
      <formula>$A4="Level Crossing"</formula>
    </cfRule>
    <cfRule type="expression" dxfId="4534" priority="36">
      <formula>$A4="Neutral Section"</formula>
    </cfRule>
    <cfRule type="expression" dxfId="4533" priority="37">
      <formula>$A4="Tunnel"</formula>
    </cfRule>
    <cfRule type="expression" dxfId="4532" priority="38">
      <formula>$A4="Bridge"</formula>
    </cfRule>
    <cfRule type="expression" dxfId="4531" priority="39">
      <formula>$A4="Drainage Works"</formula>
    </cfRule>
    <cfRule type="expression" dxfId="4530" priority="40">
      <formula>$A4="Underpass"</formula>
    </cfRule>
    <cfRule type="expression" dxfId="4529" priority="41">
      <formula>$A4="Overcrossing"</formula>
    </cfRule>
    <cfRule type="expression" dxfId="4528" priority="42">
      <formula>$A4="Overpass"</formula>
    </cfRule>
    <cfRule type="expression" dxfId="4527" priority="43">
      <formula>$A4="Station"</formula>
    </cfRule>
    <cfRule type="expression" dxfId="4526" priority="44">
      <formula>$A4="Overlap between sections"</formula>
    </cfRule>
  </conditionalFormatting>
  <conditionalFormatting sqref="AB4">
    <cfRule type="expression" dxfId="4525" priority="23">
      <formula>$A4="Overhead Cable"</formula>
    </cfRule>
    <cfRule type="expression" dxfId="4524" priority="24">
      <formula>$A4="Level Crossing"</formula>
    </cfRule>
    <cfRule type="expression" dxfId="4523" priority="25">
      <formula>$A4="Neutral Section"</formula>
    </cfRule>
    <cfRule type="expression" dxfId="4522" priority="26">
      <formula>$A4="Tunnel"</formula>
    </cfRule>
    <cfRule type="expression" dxfId="4521" priority="27">
      <formula>$A4="Bridge"</formula>
    </cfRule>
    <cfRule type="expression" dxfId="4520" priority="28">
      <formula>$A4="Drainage Works"</formula>
    </cfRule>
    <cfRule type="expression" dxfId="4519" priority="29">
      <formula>$A4="Underpass"</formula>
    </cfRule>
    <cfRule type="expression" dxfId="4518" priority="30">
      <formula>$A4="Overcrossing"</formula>
    </cfRule>
    <cfRule type="expression" dxfId="4517" priority="31">
      <formula>$A4="Overpass"</formula>
    </cfRule>
    <cfRule type="expression" dxfId="4516" priority="32">
      <formula>$A4="Station"</formula>
    </cfRule>
    <cfRule type="expression" dxfId="4515" priority="33">
      <formula>$A4="Overlap between sections"</formula>
    </cfRule>
  </conditionalFormatting>
  <conditionalFormatting sqref="BA4:BC4">
    <cfRule type="expression" dxfId="4514" priority="21">
      <formula>$BE4="A"</formula>
    </cfRule>
    <cfRule type="expression" dxfId="4513" priority="22">
      <formula>$BE4="R"</formula>
    </cfRule>
  </conditionalFormatting>
  <conditionalFormatting sqref="BC4">
    <cfRule type="expression" dxfId="4512" priority="20">
      <formula>$M4="U.S. N.D."</formula>
    </cfRule>
  </conditionalFormatting>
  <conditionalFormatting sqref="BB4">
    <cfRule type="expression" dxfId="4511" priority="18">
      <formula>$AZ4="N.D."</formula>
    </cfRule>
  </conditionalFormatting>
  <conditionalFormatting sqref="BA4">
    <cfRule type="expression" dxfId="4510" priority="19">
      <formula>$AY4="N.D."</formula>
    </cfRule>
  </conditionalFormatting>
  <conditionalFormatting sqref="W4">
    <cfRule type="expression" dxfId="4509" priority="15">
      <formula>$M4="NON DEFINED"</formula>
    </cfRule>
    <cfRule type="expression" dxfId="4508" priority="16">
      <formula>$AZ4="N.D."</formula>
    </cfRule>
    <cfRule type="expression" dxfId="4507" priority="17">
      <formula>$AY4="N.D."</formula>
    </cfRule>
  </conditionalFormatting>
  <conditionalFormatting sqref="W4">
    <cfRule type="expression" dxfId="4506" priority="4">
      <formula>$A4="Overhead Cable"</formula>
    </cfRule>
    <cfRule type="expression" dxfId="4505" priority="5">
      <formula>$A4="Level Crossing"</formula>
    </cfRule>
    <cfRule type="expression" dxfId="4504" priority="6">
      <formula>$A4="Neutral Section"</formula>
    </cfRule>
    <cfRule type="expression" dxfId="4503" priority="7">
      <formula>$A4="Tunnel"</formula>
    </cfRule>
    <cfRule type="expression" dxfId="4502" priority="8">
      <formula>$A4="Bridge"</formula>
    </cfRule>
    <cfRule type="expression" dxfId="4501" priority="9">
      <formula>$A4="Drainage Works"</formula>
    </cfRule>
    <cfRule type="expression" dxfId="4500" priority="10">
      <formula>$A4="Underpass"</formula>
    </cfRule>
    <cfRule type="expression" dxfId="4499" priority="11">
      <formula>$A4="Overcrossing"</formula>
    </cfRule>
    <cfRule type="expression" dxfId="4498" priority="12">
      <formula>$A4="Overpass"</formula>
    </cfRule>
    <cfRule type="expression" dxfId="4497" priority="13">
      <formula>$A4="Station"</formula>
    </cfRule>
    <cfRule type="expression" dxfId="4496" priority="14">
      <formula>$A4="Overlap between sections"</formula>
    </cfRule>
  </conditionalFormatting>
  <conditionalFormatting sqref="BD4">
    <cfRule type="containsText" dxfId="4495" priority="3" operator="containsText" text="Poner a mano">
      <formula>NOT(ISERROR(SEARCH("Poner a mano",BD4)))</formula>
    </cfRule>
  </conditionalFormatting>
  <conditionalFormatting sqref="BE4">
    <cfRule type="containsText" dxfId="4494" priority="1" operator="containsText" text="a">
      <formula>NOT(ISERROR(SEARCH("a",BE4)))</formula>
    </cfRule>
    <cfRule type="containsText" dxfId="4493" priority="2" operator="containsText" text="R">
      <formula>NOT(ISERROR(SEARCH("R",BE4)))</formula>
    </cfRule>
  </conditionalFormatting>
  <printOptions horizontalCentered="1"/>
  <pageMargins left="0.39370078740157483" right="0.39370078740157483" top="0.78740157480314965" bottom="0.78740157480314965" header="0.31496062992125984" footer="0.31496062992125984"/>
  <pageSetup paperSize="9" scale="53" orientation="landscape" r:id="rId1"/>
  <headerFooter>
    <oddHeader>&amp;L&amp;G&amp;CLAYOUT AND EQUIPMENT
EP 04 TRACK 3 KFA
KP 57+960 to 58+965&amp;R&amp;G</oddHeader>
    <oddFooter>&amp;L&amp;G
&amp;F&amp;C&amp;D&amp;RPag &amp;P of &amp;N</oddFooter>
  </headerFooter>
  <legacyDrawing r:id="rId2"/>
  <legacyDrawingHF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4CA4F-90BD-4FBB-A6DB-3435540E4A45}">
  <sheetPr>
    <tabColor theme="4" tint="0.39997558519241921"/>
  </sheetPr>
  <dimension ref="A1:BK1862"/>
  <sheetViews>
    <sheetView view="pageBreakPreview" zoomScale="80" zoomScaleNormal="80" zoomScaleSheetLayoutView="80" workbookViewId="0">
      <pane xSplit="2" ySplit="3" topLeftCell="C4" activePane="bottomRight" state="frozen"/>
      <selection pane="bottomRight" activeCell="K31" sqref="K31"/>
      <selection pane="bottomLeft" activeCell="K31" sqref="K31"/>
      <selection pane="topRight" activeCell="K31" sqref="K31"/>
    </sheetView>
  </sheetViews>
  <sheetFormatPr defaultColWidth="11.42578125" defaultRowHeight="13.15"/>
  <cols>
    <col min="1" max="1" width="20.7109375" style="14" customWidth="1"/>
    <col min="2" max="2" width="12.7109375" style="14" customWidth="1"/>
    <col min="3" max="3" width="12.7109375" style="18" customWidth="1"/>
    <col min="4" max="5" width="12.7109375" style="14" hidden="1" customWidth="1"/>
    <col min="6" max="7" width="12.7109375" style="14" customWidth="1"/>
    <col min="8" max="8" width="18.7109375" style="14" customWidth="1"/>
    <col min="9" max="9" width="12.7109375" style="14" customWidth="1"/>
    <col min="10" max="10" width="12.7109375" style="18" customWidth="1"/>
    <col min="11" max="11" width="12.7109375" style="14" customWidth="1"/>
    <col min="12" max="13" width="14.7109375" style="14" customWidth="1"/>
    <col min="14" max="16" width="8.7109375" style="14" hidden="1" customWidth="1"/>
    <col min="17" max="19" width="12.7109375" style="14" hidden="1" customWidth="1"/>
    <col min="20" max="28" width="8.7109375" style="14" hidden="1" customWidth="1"/>
    <col min="29" max="31" width="10.7109375" style="14" hidden="1" customWidth="1"/>
    <col min="32" max="36" width="12.7109375" style="14" hidden="1" customWidth="1"/>
    <col min="37" max="38" width="12.7109375" style="14" customWidth="1"/>
    <col min="39" max="39" width="12.7109375" style="14" hidden="1" customWidth="1"/>
    <col min="40" max="45" width="8.7109375" style="8" hidden="1" customWidth="1"/>
    <col min="46" max="46" width="8.7109375" style="16" hidden="1" customWidth="1"/>
    <col min="47" max="48" width="8.7109375" style="8" hidden="1" customWidth="1"/>
    <col min="49" max="52" width="12.7109375" style="8" customWidth="1"/>
    <col min="53" max="55" width="4.7109375" style="8" customWidth="1"/>
    <col min="56" max="56" width="21.7109375" style="14" customWidth="1"/>
    <col min="57" max="57" width="16.28515625" style="8" customWidth="1"/>
    <col min="58" max="61" width="14" style="8" customWidth="1"/>
    <col min="62" max="16384" width="11.42578125" style="14"/>
  </cols>
  <sheetData>
    <row r="1" spans="1:63" s="435" customFormat="1" ht="36.75" customHeight="1" thickBot="1">
      <c r="A1" s="994" t="s">
        <v>1791</v>
      </c>
      <c r="B1" s="995"/>
      <c r="C1" s="995"/>
      <c r="D1" s="995"/>
      <c r="E1" s="995"/>
      <c r="F1" s="995"/>
      <c r="G1" s="995"/>
      <c r="H1" s="995"/>
      <c r="I1" s="995"/>
      <c r="J1" s="995"/>
      <c r="K1" s="995"/>
      <c r="L1" s="995"/>
      <c r="M1" s="995"/>
      <c r="N1" s="995"/>
      <c r="O1" s="995"/>
      <c r="P1" s="995"/>
      <c r="Q1" s="995"/>
      <c r="R1" s="995"/>
      <c r="S1" s="995"/>
      <c r="T1" s="995"/>
      <c r="U1" s="995"/>
      <c r="V1" s="995"/>
      <c r="W1" s="995"/>
      <c r="X1" s="995"/>
      <c r="Y1" s="995"/>
      <c r="Z1" s="995"/>
      <c r="AA1" s="995"/>
      <c r="AB1" s="995"/>
      <c r="AC1" s="995"/>
      <c r="AD1" s="995"/>
      <c r="AE1" s="995"/>
      <c r="AF1" s="995"/>
      <c r="AG1" s="995"/>
      <c r="AH1" s="995"/>
      <c r="AI1" s="995"/>
      <c r="AJ1" s="995"/>
      <c r="AK1" s="995"/>
      <c r="AL1" s="995"/>
      <c r="AM1" s="995"/>
      <c r="AN1" s="995"/>
      <c r="AO1" s="995"/>
      <c r="AP1" s="995"/>
      <c r="AQ1" s="995"/>
      <c r="AR1" s="995"/>
      <c r="AS1" s="995"/>
      <c r="AT1" s="995"/>
      <c r="AU1" s="995"/>
      <c r="AV1" s="995"/>
      <c r="AW1" s="995"/>
      <c r="AX1" s="995"/>
      <c r="AY1" s="995"/>
      <c r="AZ1" s="995"/>
      <c r="BA1" s="995"/>
      <c r="BB1" s="995"/>
      <c r="BC1" s="995"/>
      <c r="BD1" s="996"/>
      <c r="BE1" s="430" t="s">
        <v>933</v>
      </c>
      <c r="BF1" s="958" t="s">
        <v>50</v>
      </c>
      <c r="BG1" s="958"/>
      <c r="BH1" s="958"/>
      <c r="BI1" s="958"/>
    </row>
    <row r="2" spans="1:63" s="435" customFormat="1" ht="42" customHeight="1" thickBot="1">
      <c r="A2" s="581" t="s">
        <v>51</v>
      </c>
      <c r="B2" s="581" t="s">
        <v>52</v>
      </c>
      <c r="C2" s="581" t="s">
        <v>53</v>
      </c>
      <c r="D2" s="581" t="s">
        <v>54</v>
      </c>
      <c r="E2" s="581" t="s">
        <v>55</v>
      </c>
      <c r="F2" s="581" t="s">
        <v>56</v>
      </c>
      <c r="G2" s="581" t="s">
        <v>57</v>
      </c>
      <c r="H2" s="581" t="s">
        <v>58</v>
      </c>
      <c r="I2" s="581" t="s">
        <v>59</v>
      </c>
      <c r="J2" s="581" t="s">
        <v>60</v>
      </c>
      <c r="K2" s="581" t="s">
        <v>61</v>
      </c>
      <c r="L2" s="581" t="s">
        <v>62</v>
      </c>
      <c r="M2" s="581" t="s">
        <v>63</v>
      </c>
      <c r="N2" s="991" t="s">
        <v>64</v>
      </c>
      <c r="O2" s="992"/>
      <c r="P2" s="993"/>
      <c r="Q2" s="581" t="s">
        <v>65</v>
      </c>
      <c r="R2" s="581" t="s">
        <v>66</v>
      </c>
      <c r="S2" s="581" t="s">
        <v>67</v>
      </c>
      <c r="T2" s="991" t="s">
        <v>68</v>
      </c>
      <c r="U2" s="992"/>
      <c r="V2" s="993"/>
      <c r="W2" s="991" t="s">
        <v>69</v>
      </c>
      <c r="X2" s="992"/>
      <c r="Y2" s="993"/>
      <c r="Z2" s="991" t="s">
        <v>70</v>
      </c>
      <c r="AA2" s="992"/>
      <c r="AB2" s="993"/>
      <c r="AC2" s="991" t="s">
        <v>71</v>
      </c>
      <c r="AD2" s="992"/>
      <c r="AE2" s="993"/>
      <c r="AF2" s="581" t="s">
        <v>72</v>
      </c>
      <c r="AG2" s="581" t="s">
        <v>73</v>
      </c>
      <c r="AH2" s="581" t="s">
        <v>74</v>
      </c>
      <c r="AI2" s="581" t="s">
        <v>75</v>
      </c>
      <c r="AJ2" s="581" t="s">
        <v>76</v>
      </c>
      <c r="AK2" s="581" t="s">
        <v>77</v>
      </c>
      <c r="AL2" s="582" t="s">
        <v>78</v>
      </c>
      <c r="AM2" s="582" t="s">
        <v>79</v>
      </c>
      <c r="AN2" s="991" t="s">
        <v>80</v>
      </c>
      <c r="AO2" s="992"/>
      <c r="AP2" s="993"/>
      <c r="AQ2" s="991" t="s">
        <v>81</v>
      </c>
      <c r="AR2" s="992"/>
      <c r="AS2" s="993"/>
      <c r="AT2" s="991" t="s">
        <v>82</v>
      </c>
      <c r="AU2" s="992"/>
      <c r="AV2" s="993"/>
      <c r="AW2" s="582" t="s">
        <v>83</v>
      </c>
      <c r="AX2" s="582" t="s">
        <v>84</v>
      </c>
      <c r="AY2" s="582" t="s">
        <v>85</v>
      </c>
      <c r="AZ2" s="582" t="s">
        <v>86</v>
      </c>
      <c r="BA2" s="991" t="s">
        <v>87</v>
      </c>
      <c r="BB2" s="992"/>
      <c r="BC2" s="993"/>
      <c r="BD2" s="581" t="s">
        <v>88</v>
      </c>
      <c r="BE2" s="430" t="s">
        <v>89</v>
      </c>
      <c r="BF2" s="431" t="s">
        <v>63</v>
      </c>
      <c r="BG2" s="431" t="s">
        <v>90</v>
      </c>
      <c r="BH2" s="431" t="s">
        <v>91</v>
      </c>
      <c r="BI2" s="431" t="s">
        <v>64</v>
      </c>
    </row>
    <row r="3" spans="1:63" s="435" customFormat="1" ht="15.75" customHeight="1" thickBot="1">
      <c r="A3" s="436"/>
      <c r="B3" s="456"/>
      <c r="C3" s="437"/>
      <c r="D3" s="611"/>
      <c r="E3" s="437"/>
      <c r="F3" s="437"/>
      <c r="G3" s="437"/>
      <c r="H3" s="456"/>
      <c r="I3" s="456"/>
      <c r="J3" s="437"/>
      <c r="K3" s="456"/>
      <c r="L3" s="456"/>
      <c r="M3" s="456"/>
      <c r="N3" s="583" t="s">
        <v>92</v>
      </c>
      <c r="O3" s="583" t="s">
        <v>93</v>
      </c>
      <c r="P3" s="583" t="s">
        <v>94</v>
      </c>
      <c r="Q3" s="437"/>
      <c r="R3" s="437"/>
      <c r="S3" s="437"/>
      <c r="T3" s="584" t="s">
        <v>95</v>
      </c>
      <c r="U3" s="585" t="s">
        <v>96</v>
      </c>
      <c r="V3" s="584" t="s">
        <v>97</v>
      </c>
      <c r="W3" s="584" t="s">
        <v>98</v>
      </c>
      <c r="X3" s="585" t="s">
        <v>99</v>
      </c>
      <c r="Y3" s="584" t="s">
        <v>100</v>
      </c>
      <c r="Z3" s="584" t="s">
        <v>101</v>
      </c>
      <c r="AA3" s="585" t="s">
        <v>102</v>
      </c>
      <c r="AB3" s="584" t="s">
        <v>103</v>
      </c>
      <c r="AC3" s="583" t="s">
        <v>104</v>
      </c>
      <c r="AD3" s="586" t="s">
        <v>105</v>
      </c>
      <c r="AE3" s="583" t="s">
        <v>106</v>
      </c>
      <c r="AF3" s="437"/>
      <c r="AG3" s="437"/>
      <c r="AH3" s="437"/>
      <c r="AI3" s="437"/>
      <c r="AJ3" s="456"/>
      <c r="AK3" s="456"/>
      <c r="AL3" s="456"/>
      <c r="AM3" s="456"/>
      <c r="AN3" s="584" t="s">
        <v>98</v>
      </c>
      <c r="AO3" s="584" t="s">
        <v>99</v>
      </c>
      <c r="AP3" s="584" t="s">
        <v>100</v>
      </c>
      <c r="AQ3" s="584" t="s">
        <v>107</v>
      </c>
      <c r="AR3" s="584" t="s">
        <v>108</v>
      </c>
      <c r="AS3" s="584" t="s">
        <v>109</v>
      </c>
      <c r="AT3" s="587" t="s">
        <v>110</v>
      </c>
      <c r="AU3" s="584" t="s">
        <v>111</v>
      </c>
      <c r="AV3" s="584" t="s">
        <v>112</v>
      </c>
      <c r="AW3" s="456"/>
      <c r="AX3" s="456"/>
      <c r="AY3" s="437"/>
      <c r="AZ3" s="437"/>
      <c r="BA3" s="583" t="s">
        <v>113</v>
      </c>
      <c r="BB3" s="583" t="s">
        <v>114</v>
      </c>
      <c r="BC3" s="583" t="s">
        <v>115</v>
      </c>
      <c r="BD3" s="459"/>
      <c r="BE3" s="429"/>
      <c r="BF3" s="434"/>
      <c r="BG3" s="434"/>
      <c r="BH3" s="434"/>
      <c r="BI3" s="434"/>
    </row>
    <row r="4" spans="1:63" ht="16.149999999999999" customHeight="1" thickTop="1">
      <c r="A4" s="514"/>
      <c r="B4" s="450"/>
      <c r="C4" s="3"/>
      <c r="D4" s="83"/>
      <c r="E4" s="4"/>
      <c r="F4" s="4"/>
      <c r="G4" s="6"/>
      <c r="H4" s="449"/>
      <c r="I4" s="449"/>
      <c r="J4" s="3">
        <f>C5-7.5</f>
        <v>57963.32</v>
      </c>
      <c r="K4" s="449" t="s">
        <v>117</v>
      </c>
      <c r="L4" s="449"/>
      <c r="M4" s="449"/>
      <c r="N4" s="449"/>
      <c r="O4" s="449"/>
      <c r="P4" s="449"/>
      <c r="Q4" s="4"/>
      <c r="R4" s="6"/>
      <c r="S4" s="6"/>
      <c r="T4" s="4"/>
      <c r="U4" s="4"/>
      <c r="V4" s="4"/>
      <c r="W4" s="9"/>
      <c r="X4" s="9"/>
      <c r="Y4" s="9"/>
      <c r="Z4" s="9"/>
      <c r="AA4" s="9"/>
      <c r="AB4" s="9"/>
      <c r="AC4" s="449" t="str">
        <f t="shared" ref="AC4:AC15" si="0">IF(OR(AT4&gt;8,AT4&lt;-8),"PH",
IF(OR(AT4&gt;5,AT4&lt;-5),"PHQ",
IF(OR(AT4&gt;1,AT4&lt;-1),
"PHC","")))</f>
        <v/>
      </c>
      <c r="AD4" s="449"/>
      <c r="AE4" s="449"/>
      <c r="AF4" s="4"/>
      <c r="AG4" s="83"/>
      <c r="AH4" s="4"/>
      <c r="AI4" s="4"/>
      <c r="AJ4" s="449"/>
      <c r="AK4" s="449"/>
      <c r="AL4" s="449"/>
      <c r="AM4" s="449"/>
      <c r="AN4" s="10"/>
      <c r="AO4" s="9"/>
      <c r="AP4" s="9"/>
      <c r="AQ4" s="9"/>
      <c r="AR4" s="9"/>
      <c r="AS4" s="9"/>
      <c r="AT4" s="9"/>
      <c r="AU4" s="428"/>
      <c r="AV4" s="428"/>
      <c r="AW4" s="449" t="str">
        <f>IF(C4&gt;0,VLOOKUP(C4,Foundation_Calc!$A$2:$C$13,3,1),
IF(J4&gt;0,VLOOKUP(J4,Foundation_Calc!$A$2:$C$13,3,1),""))</f>
        <v>Multi Soil</v>
      </c>
      <c r="AX4" s="449" t="str">
        <f>IF(C4&gt;0,VLOOKUP(C4,Foundation_Calc!$E$2:$G$33,3,1),
IF(J4&gt;0,VLOOKUP(J4,Foundation_Calc!$E$2:$G$33,3,1),""))</f>
        <v>PT</v>
      </c>
      <c r="AY4" s="10" t="str">
        <f>IF(L4="","",
IF(AX4="PT",VLOOKUP(L4,Foundation_Calc!$K$79:$R$113,VLOOKUP(AW4,Foundation_Calc!$I$2:$J$8,2,FALSE),0),
IF(AX4="K",VLOOKUP(L4,Foundation_Calc!$K$117:$R$151,VLOOKUP(AW4,Foundation_Calc!$I$2:$J$8,2,FALSE),0),"")))</f>
        <v/>
      </c>
      <c r="AZ4" s="10">
        <f>IF(K4="","",
IF(AX4="PT",VLOOKUP(K4,Foundation_Calc!$K$79:$R$113,VLOOKUP(AW4,Foundation_Calc!$I$2:$J$8,2,FALSE),0),
IF(AX4="K",VLOOKUP(K4,Foundation_Calc!$K$117:$R$151,VLOOKUP(AW4,Foundation_Calc!$I$2:$J$8,2,FALSE),0),"")))</f>
        <v>3.9</v>
      </c>
      <c r="BA4" s="495" t="str">
        <f t="shared" ref="BA4" si="1">IF(AY4="","",IF(AY4&gt;0,"ü",""))</f>
        <v/>
      </c>
      <c r="BB4" s="902" t="str">
        <f t="shared" ref="BB4" si="2">IF(AZ4="","",IF(AZ4&gt;0,"ü",""))</f>
        <v>ü</v>
      </c>
      <c r="BC4" s="495" t="str">
        <f t="shared" ref="BC4" si="3">IF(M4="","",IF(M4="U.S.","ü",IF(M4="U.S. N.D.","ü","")))</f>
        <v/>
      </c>
      <c r="BD4" s="513"/>
      <c r="BE4" s="498"/>
      <c r="BF4" s="1175"/>
      <c r="BG4" s="1175"/>
      <c r="BH4" s="1175"/>
      <c r="BI4" s="1175"/>
      <c r="BK4" s="292"/>
    </row>
    <row r="5" spans="1:63" ht="16.149999999999999" customHeight="1">
      <c r="A5" s="514"/>
      <c r="B5" s="450" t="s">
        <v>1792</v>
      </c>
      <c r="C5" s="3">
        <f>C7-G6</f>
        <v>57970.82</v>
      </c>
      <c r="D5" s="83"/>
      <c r="E5" s="4"/>
      <c r="F5" s="4">
        <v>0</v>
      </c>
      <c r="G5" s="6"/>
      <c r="H5" s="449" t="s">
        <v>121</v>
      </c>
      <c r="I5" s="449" t="s">
        <v>122</v>
      </c>
      <c r="J5" s="3"/>
      <c r="K5" s="449"/>
      <c r="L5" s="449" t="s">
        <v>158</v>
      </c>
      <c r="M5" s="449" t="str">
        <f>IF(L5="","",
IF(AX5="PT",VLOOKUP(L5,Foundation_Calc!$V$79:$X$113,VLOOKUP(AX5,Foundation_Calc!$I$10:$J$13,2,FALSE),0),
IF(AX5="K",VLOOKUP(L5,Foundation_Calc!$V$117:$X$151,VLOOKUP(AX5,Foundation_Calc!$I$10:$J$13,2,FALSE),0),"")))</f>
        <v>C4R</v>
      </c>
      <c r="N5" s="449"/>
      <c r="O5" s="449"/>
      <c r="P5" s="449"/>
      <c r="Q5" s="4"/>
      <c r="R5" s="6"/>
      <c r="S5" s="6"/>
      <c r="T5" s="4">
        <v>0</v>
      </c>
      <c r="U5" s="4"/>
      <c r="V5" s="4"/>
      <c r="W5" s="9"/>
      <c r="X5" s="9"/>
      <c r="Y5" s="9"/>
      <c r="Z5" s="9"/>
      <c r="AA5" s="9"/>
      <c r="AB5" s="9"/>
      <c r="AC5" s="449" t="str">
        <f t="shared" si="0"/>
        <v/>
      </c>
      <c r="AD5" s="449"/>
      <c r="AE5" s="449"/>
      <c r="AF5" s="4"/>
      <c r="AG5" s="83"/>
      <c r="AH5" s="4"/>
      <c r="AI5" s="4"/>
      <c r="AJ5" s="449"/>
      <c r="AK5" s="449"/>
      <c r="AL5" s="449"/>
      <c r="AM5" s="449"/>
      <c r="AN5" s="10"/>
      <c r="AO5" s="9"/>
      <c r="AP5" s="9"/>
      <c r="AQ5" s="9"/>
      <c r="AR5" s="9"/>
      <c r="AS5" s="9"/>
      <c r="AT5" s="9"/>
      <c r="AU5" s="428"/>
      <c r="AV5" s="428"/>
      <c r="AW5" s="449" t="str">
        <f>IF(C5&gt;0,VLOOKUP(C5,Foundation_Calc!$A$2:$C$13,3,1),
IF(J5&gt;0,VLOOKUP(J5,Foundation_Calc!$A$2:$C$13,3,1),""))</f>
        <v>Multi Soil</v>
      </c>
      <c r="AX5" s="449" t="str">
        <f>IF(C5&gt;0,VLOOKUP(C5,Foundation_Calc!$E$2:$G$33,3,1),
IF(J5&gt;0,VLOOKUP(J5,Foundation_Calc!$E$2:$G$33,3,1),""))</f>
        <v>PT</v>
      </c>
      <c r="AY5" s="10">
        <f>IF(L5="","",
IF(AX5="PT",VLOOKUP(L5,Foundation_Calc!$K$79:$R$113,VLOOKUP(AW5,Foundation_Calc!$I$2:$J$8,2,FALSE),0),
IF(AX5="K",VLOOKUP(L5,Foundation_Calc!$K$117:$R$151,VLOOKUP(AW5,Foundation_Calc!$I$2:$J$8,2,FALSE),0),"")))</f>
        <v>3.5</v>
      </c>
      <c r="AZ5" s="10" t="str">
        <f>IF(K5="","",
IF(AX5="PT",VLOOKUP(K5,Foundation_Calc!$K$79:$R$113,VLOOKUP(AW5,Foundation_Calc!$I$2:$J$8,2,FALSE),0),
IF(AX5="K",VLOOKUP(K5,Foundation_Calc!$K$117:$R$151,VLOOKUP(AW5,Foundation_Calc!$I$2:$J$8,2,FALSE),0),"")))</f>
        <v/>
      </c>
      <c r="BA5" s="495" t="str">
        <f t="shared" ref="BA5:BA6" si="4">IF(AY5="","",IF(AY5&gt;0,"ü",""))</f>
        <v>ü</v>
      </c>
      <c r="BB5" s="495" t="str">
        <f t="shared" ref="BB5:BB6" si="5">IF(AZ5="","",IF(AZ5&gt;0,"ü",""))</f>
        <v/>
      </c>
      <c r="BC5" s="495" t="str">
        <f t="shared" ref="BC5:BC6" si="6">IF(M5="","",IF(M5="U.S.","ü",IF(M5="U.S. N.D.","ü","")))</f>
        <v/>
      </c>
      <c r="BD5" s="513" t="str">
        <f>Pole_Calc!A$199</f>
        <v>App.7-V11I-P11.1</v>
      </c>
      <c r="BE5" s="429" t="s">
        <v>118</v>
      </c>
      <c r="BF5" s="289"/>
      <c r="BG5" s="289"/>
      <c r="BH5" s="290"/>
      <c r="BI5" s="289"/>
    </row>
    <row r="6" spans="1:63" ht="16.149999999999999" customHeight="1">
      <c r="A6" s="514"/>
      <c r="B6" s="450"/>
      <c r="C6" s="3"/>
      <c r="D6" s="83"/>
      <c r="E6" s="4"/>
      <c r="F6" s="4"/>
      <c r="G6" s="6">
        <v>13</v>
      </c>
      <c r="H6" s="449"/>
      <c r="I6" s="449"/>
      <c r="J6" s="3"/>
      <c r="K6" s="449"/>
      <c r="L6" s="449"/>
      <c r="M6" s="449"/>
      <c r="N6" s="449"/>
      <c r="O6" s="449"/>
      <c r="P6" s="449"/>
      <c r="Q6" s="4"/>
      <c r="R6" s="6"/>
      <c r="S6" s="6"/>
      <c r="T6" s="4"/>
      <c r="U6" s="4"/>
      <c r="V6" s="4"/>
      <c r="W6" s="9"/>
      <c r="X6" s="9"/>
      <c r="Y6" s="9"/>
      <c r="Z6" s="9"/>
      <c r="AA6" s="9"/>
      <c r="AB6" s="9"/>
      <c r="AC6" s="449" t="str">
        <f t="shared" si="0"/>
        <v/>
      </c>
      <c r="AD6" s="449"/>
      <c r="AE6" s="449"/>
      <c r="AF6" s="4"/>
      <c r="AG6" s="83"/>
      <c r="AH6" s="4"/>
      <c r="AI6" s="4"/>
      <c r="AJ6" s="449"/>
      <c r="AK6" s="449"/>
      <c r="AL6" s="449"/>
      <c r="AM6" s="449"/>
      <c r="AN6" s="10"/>
      <c r="AO6" s="9"/>
      <c r="AP6" s="9"/>
      <c r="AQ6" s="9">
        <f>+FL_1($T$7,$T$5,$G$6,1200,9.28, 1*$F$7)</f>
        <v>0.15</v>
      </c>
      <c r="AR6" s="9"/>
      <c r="AS6" s="9"/>
      <c r="AT6" s="9"/>
      <c r="AU6" s="428"/>
      <c r="AV6" s="428"/>
      <c r="AW6" s="449" t="str">
        <f>IF(C6&gt;0,VLOOKUP(C6,Foundation_Calc!$A$2:$C$13,3,1),
IF(J6&gt;0,VLOOKUP(J6,Foundation_Calc!$A$2:$C$13,3,1),""))</f>
        <v/>
      </c>
      <c r="AX6" s="449" t="str">
        <f>IF(C6&gt;0,VLOOKUP(C6,Foundation_Calc!$E$2:$G$33,3,1),
IF(J6&gt;0,VLOOKUP(J6,Foundation_Calc!$E$2:$G$33,3,1),""))</f>
        <v/>
      </c>
      <c r="AY6" s="10" t="str">
        <f>IF(L6="","",
IF(AX6="PT",VLOOKUP(L6,Foundation_Calc!$K$79:$R$113,VLOOKUP(AW6,Foundation_Calc!$I$2:$J$8,2,FALSE),0),
IF(AX6="K",VLOOKUP(L6,Foundation_Calc!$K$117:$R$151,VLOOKUP(AW6,Foundation_Calc!$I$2:$J$8,2,FALSE),0),"")))</f>
        <v/>
      </c>
      <c r="AZ6" s="10" t="str">
        <f>IF(K6="","",
IF(AX6="PT",VLOOKUP(K6,Foundation_Calc!$K$79:$R$113,VLOOKUP(AW6,Foundation_Calc!$I$2:$J$8,2,FALSE),0),
IF(AX6="K",VLOOKUP(K6,Foundation_Calc!$K$117:$R$151,VLOOKUP(AW6,Foundation_Calc!$I$2:$J$8,2,FALSE),0),"")))</f>
        <v/>
      </c>
      <c r="BA6" s="495" t="str">
        <f t="shared" si="4"/>
        <v/>
      </c>
      <c r="BB6" s="495" t="str">
        <f t="shared" si="5"/>
        <v/>
      </c>
      <c r="BC6" s="495" t="str">
        <f t="shared" si="6"/>
        <v/>
      </c>
      <c r="BD6" s="513"/>
      <c r="BE6" s="429" t="s">
        <v>118</v>
      </c>
      <c r="BF6" s="290"/>
      <c r="BG6" s="290"/>
      <c r="BH6" s="290"/>
      <c r="BI6" s="290"/>
    </row>
    <row r="7" spans="1:63" ht="16.149999999999999" customHeight="1">
      <c r="A7" s="514"/>
      <c r="B7" s="450" t="s">
        <v>1793</v>
      </c>
      <c r="C7" s="3">
        <v>57983.82</v>
      </c>
      <c r="D7" s="83"/>
      <c r="E7" s="4"/>
      <c r="F7" s="4">
        <v>0</v>
      </c>
      <c r="G7" s="6"/>
      <c r="H7" s="449"/>
      <c r="I7" s="449"/>
      <c r="J7" s="3"/>
      <c r="K7" s="449"/>
      <c r="L7" s="449" t="s">
        <v>250</v>
      </c>
      <c r="M7" s="449" t="str">
        <f>IF(L7="","",
IF(AX7="PT",VLOOKUP(L7,Foundation_Calc!$V$79:$X$113,VLOOKUP(AX7,Foundation_Calc!$I$10:$J$13,2,FALSE),0),
IF(AX7="K",VLOOKUP(L7,Foundation_Calc!$V$117:$X$151,VLOOKUP(AX7,Foundation_Calc!$I$10:$J$13,2,FALSE),0),"")))</f>
        <v>2C4R</v>
      </c>
      <c r="N7" s="449" t="s">
        <v>134</v>
      </c>
      <c r="O7" s="449"/>
      <c r="P7" s="449"/>
      <c r="Q7" s="4"/>
      <c r="R7" s="6"/>
      <c r="S7" s="6"/>
      <c r="T7" s="4">
        <v>15</v>
      </c>
      <c r="U7" s="4"/>
      <c r="V7" s="4"/>
      <c r="W7" s="9">
        <v>1.4</v>
      </c>
      <c r="X7" s="9"/>
      <c r="Y7" s="9"/>
      <c r="Z7" s="9"/>
      <c r="AA7" s="9"/>
      <c r="AB7" s="9"/>
      <c r="AC7" s="449" t="str">
        <f t="shared" si="0"/>
        <v>PH</v>
      </c>
      <c r="AD7" s="449"/>
      <c r="AE7" s="449"/>
      <c r="AF7" s="4"/>
      <c r="AG7" s="83"/>
      <c r="AH7" s="4"/>
      <c r="AI7" s="4"/>
      <c r="AJ7" s="449"/>
      <c r="AK7" s="449"/>
      <c r="AL7" s="449" t="s">
        <v>252</v>
      </c>
      <c r="AM7" s="449" t="s">
        <v>126</v>
      </c>
      <c r="AN7" s="10">
        <v>5.5</v>
      </c>
      <c r="AO7" s="9"/>
      <c r="AP7" s="9"/>
      <c r="AQ7" s="9"/>
      <c r="AR7" s="9"/>
      <c r="AS7" s="9"/>
      <c r="AT7" s="9">
        <f>+ab($T$7,$T$5,$T$9,$G$6,$G$8, 1*$F$7,1200)</f>
        <v>9.307511791328329</v>
      </c>
      <c r="AU7" s="428"/>
      <c r="AV7" s="428"/>
      <c r="AW7" s="449" t="str">
        <f>IF(C7&gt;0,VLOOKUP(C7,Foundation_Calc!$A$2:$C$13,3,1),
IF(J7&gt;0,VLOOKUP(J7,Foundation_Calc!$A$2:$C$13,3,1),""))</f>
        <v>Multi Soil</v>
      </c>
      <c r="AX7" s="449" t="str">
        <f>IF(C7&gt;0,VLOOKUP(C7,Foundation_Calc!$E$2:$G$33,3,1),
IF(J7&gt;0,VLOOKUP(J7,Foundation_Calc!$E$2:$G$33,3,1),""))</f>
        <v>PT</v>
      </c>
      <c r="AY7" s="10">
        <f>IF(L7="","",
IF(AX7="PT",VLOOKUP(L7,Foundation_Calc!$K$79:$R$113,VLOOKUP(AW7,Foundation_Calc!$I$2:$J$8,2,FALSE),0),
IF(AX7="K",VLOOKUP(L7,Foundation_Calc!$K$117:$R$151,VLOOKUP(AW7,Foundation_Calc!$I$2:$J$8,2,FALSE),0),"")))</f>
        <v>5.6</v>
      </c>
      <c r="AZ7" s="10" t="str">
        <f>IF(K7="","",
IF(AX7="PT",VLOOKUP(K7,Foundation_Calc!$K$79:$R$113,VLOOKUP(AW7,Foundation_Calc!$I$2:$J$8,2,FALSE),0),
IF(AX7="K",VLOOKUP(K7,Foundation_Calc!$K$117:$R$151,VLOOKUP(AW7,Foundation_Calc!$I$2:$J$8,2,FALSE),0),"")))</f>
        <v/>
      </c>
      <c r="BA7" s="495" t="str">
        <f t="shared" ref="BA7:BB26" si="7">IF(AY7="","",IF(AY7&gt;0,"ü",""))</f>
        <v>ü</v>
      </c>
      <c r="BB7" s="495" t="str">
        <f t="shared" si="7"/>
        <v/>
      </c>
      <c r="BC7" s="495" t="str">
        <f t="shared" ref="BC7:BC26" si="8">IF(M7="","",IF(M7="U.S.","ü",IF(M7="U.S. N.D.","ü","")))</f>
        <v/>
      </c>
      <c r="BD7" s="513" t="str">
        <f>Pole_Calc!A$251</f>
        <v>App.8-V08H-P10.3</v>
      </c>
      <c r="BE7" s="429" t="s">
        <v>118</v>
      </c>
      <c r="BF7" s="289"/>
      <c r="BG7" s="289"/>
      <c r="BH7" s="290"/>
      <c r="BI7" s="289"/>
    </row>
    <row r="8" spans="1:63" ht="16.149999999999999" customHeight="1">
      <c r="A8" s="517"/>
      <c r="B8" s="450"/>
      <c r="C8" s="3"/>
      <c r="D8" s="83"/>
      <c r="E8" s="4"/>
      <c r="F8" s="4"/>
      <c r="G8" s="6">
        <v>56.2</v>
      </c>
      <c r="H8" s="449"/>
      <c r="I8" s="449"/>
      <c r="J8" s="3"/>
      <c r="K8" s="449"/>
      <c r="L8" s="449"/>
      <c r="M8" s="449" t="str">
        <f>IF(L8="","",
IF(AX8="PT",VLOOKUP(L8,Foundation_Calc!$V$79:$X$113,VLOOKUP(AX8,Foundation_Calc!$I$10:$J$13,2,FALSE),0),
IF(AX8="K",VLOOKUP(L8,Foundation_Calc!$V$117:$X$151,VLOOKUP(AX8,Foundation_Calc!$I$10:$J$13,2,FALSE),0),"")))</f>
        <v/>
      </c>
      <c r="N8" s="449"/>
      <c r="O8" s="449"/>
      <c r="P8" s="449"/>
      <c r="Q8" s="4"/>
      <c r="R8" s="6"/>
      <c r="S8" s="6"/>
      <c r="T8" s="4"/>
      <c r="U8" s="4"/>
      <c r="V8" s="4"/>
      <c r="W8" s="9"/>
      <c r="X8" s="9"/>
      <c r="Y8" s="9"/>
      <c r="Z8" s="9"/>
      <c r="AA8" s="9"/>
      <c r="AB8" s="9"/>
      <c r="AC8" s="449" t="str">
        <f t="shared" si="0"/>
        <v/>
      </c>
      <c r="AD8" s="449"/>
      <c r="AE8" s="449"/>
      <c r="AF8" s="4"/>
      <c r="AG8" s="83"/>
      <c r="AH8" s="4"/>
      <c r="AI8" s="4"/>
      <c r="AJ8" s="449"/>
      <c r="AK8" s="449"/>
      <c r="AL8" s="449"/>
      <c r="AM8" s="449"/>
      <c r="AN8" s="10"/>
      <c r="AO8" s="9"/>
      <c r="AP8" s="9"/>
      <c r="AQ8" s="9">
        <f>+FL_2($T$9,$T$7,$G$8,1200,9.28, 1*$F$9)</f>
        <v>-0.45649236725978648</v>
      </c>
      <c r="AR8" s="9"/>
      <c r="AS8" s="9"/>
      <c r="AT8" s="9"/>
      <c r="AU8" s="428"/>
      <c r="AV8" s="428"/>
      <c r="AW8" s="449" t="str">
        <f>IF(C8&gt;0,VLOOKUP(C8,Foundation_Calc!$A$2:$C$13,3,1),
IF(J8&gt;0,VLOOKUP(J8,Foundation_Calc!$A$2:$C$13,3,1),""))</f>
        <v/>
      </c>
      <c r="AX8" s="449" t="str">
        <f>IF(C8&gt;0,VLOOKUP(C8,Foundation_Calc!$E$2:$G$33,3,1),
IF(J8&gt;0,VLOOKUP(J8,Foundation_Calc!$E$2:$G$33,3,1),""))</f>
        <v/>
      </c>
      <c r="AY8" s="10" t="str">
        <f>IF(L8="","",
IF(AX8="PT",VLOOKUP(L8,Foundation_Calc!$K$79:$R$113,VLOOKUP(AW8,Foundation_Calc!$I$2:$J$8,2,FALSE),0),
IF(AX8="K",VLOOKUP(L8,Foundation_Calc!$K$117:$R$151,VLOOKUP(AW8,Foundation_Calc!$I$2:$J$8,2,FALSE),0),"")))</f>
        <v/>
      </c>
      <c r="AZ8" s="10" t="str">
        <f>IF(K8="","",
IF(AX8="PT",VLOOKUP(K8,Foundation_Calc!$K$79:$R$113,VLOOKUP(AW8,Foundation_Calc!$I$2:$J$8,2,FALSE),0),
IF(AX8="K",VLOOKUP(K8,Foundation_Calc!$K$117:$R$151,VLOOKUP(AW8,Foundation_Calc!$I$2:$J$8,2,FALSE),0),"")))</f>
        <v/>
      </c>
      <c r="BA8" s="495" t="str">
        <f t="shared" si="7"/>
        <v/>
      </c>
      <c r="BB8" s="495" t="str">
        <f t="shared" si="7"/>
        <v/>
      </c>
      <c r="BC8" s="495" t="str">
        <f t="shared" si="8"/>
        <v/>
      </c>
      <c r="BD8" s="513" t="str">
        <f>IF(AND(L8="",H8=""),"",
IF(H8="",Pole_Calc!A$9,
IF(H8="MP",Pole_Calc!A$10,
IF(H8="AnMP",Pole_Calc!A$11,
IF(H8="A",Pole_Calc!A$12,
IF(H8="S/A",Pole_Calc!A$13,
IF(H8="A/S",Pole_Calc!A$14,"Poner a mano")))))))</f>
        <v/>
      </c>
      <c r="BE8" s="429" t="s">
        <v>118</v>
      </c>
      <c r="BF8" s="290"/>
      <c r="BG8" s="290"/>
      <c r="BH8" s="290"/>
      <c r="BI8" s="290"/>
    </row>
    <row r="9" spans="1:63" ht="16.149999999999999" customHeight="1">
      <c r="A9" s="517"/>
      <c r="B9" s="450" t="s">
        <v>1794</v>
      </c>
      <c r="C9" s="3">
        <f>+$C$7+$G$8</f>
        <v>58040.02</v>
      </c>
      <c r="D9" s="83"/>
      <c r="E9" s="4"/>
      <c r="F9" s="4">
        <v>0</v>
      </c>
      <c r="G9" s="6"/>
      <c r="H9" s="449"/>
      <c r="I9" s="449"/>
      <c r="J9" s="3"/>
      <c r="K9" s="449"/>
      <c r="L9" s="449" t="s">
        <v>250</v>
      </c>
      <c r="M9" s="449" t="str">
        <f>IF(L9="","",
IF(AX9="PT",VLOOKUP(L9,Foundation_Calc!$V$79:$X$113,VLOOKUP(AX9,Foundation_Calc!$I$10:$J$13,2,FALSE),0),
IF(AX9="K",VLOOKUP(L9,Foundation_Calc!$V$117:$X$151,VLOOKUP(AX9,Foundation_Calc!$I$10:$J$13,2,FALSE),0),"")))</f>
        <v>2C4R</v>
      </c>
      <c r="N9" s="449" t="s">
        <v>124</v>
      </c>
      <c r="O9" s="449"/>
      <c r="P9" s="449"/>
      <c r="Q9" s="4"/>
      <c r="R9" s="6"/>
      <c r="S9" s="6"/>
      <c r="T9" s="4">
        <v>-35</v>
      </c>
      <c r="U9" s="4"/>
      <c r="V9" s="4"/>
      <c r="W9" s="9">
        <v>1.4</v>
      </c>
      <c r="X9" s="9"/>
      <c r="Y9" s="9"/>
      <c r="Z9" s="9"/>
      <c r="AA9" s="9"/>
      <c r="AB9" s="9"/>
      <c r="AC9" s="449" t="str">
        <f t="shared" si="0"/>
        <v>PH</v>
      </c>
      <c r="AD9" s="449"/>
      <c r="AE9" s="449"/>
      <c r="AF9" s="4"/>
      <c r="AG9" s="83"/>
      <c r="AH9" s="4"/>
      <c r="AI9" s="4"/>
      <c r="AJ9" s="449"/>
      <c r="AK9" s="449"/>
      <c r="AL9" s="449" t="s">
        <v>252</v>
      </c>
      <c r="AM9" s="449" t="s">
        <v>126</v>
      </c>
      <c r="AN9" s="10">
        <v>5.5</v>
      </c>
      <c r="AO9" s="9"/>
      <c r="AP9" s="9"/>
      <c r="AQ9" s="9"/>
      <c r="AR9" s="9"/>
      <c r="AS9" s="9"/>
      <c r="AT9" s="9">
        <f>+ab($T$9,$T$7,$T$13,$G$8,$G$10, 1*$F$9,1200)</f>
        <v>-8.4081283632379282</v>
      </c>
      <c r="AU9" s="428"/>
      <c r="AV9" s="428"/>
      <c r="AW9" s="449" t="str">
        <f>IF(C9&gt;0,VLOOKUP(C9,Foundation_Calc!$A$2:$C$13,3,1),
IF(J9&gt;0,VLOOKUP(J9,Foundation_Calc!$A$2:$C$13,3,1),""))</f>
        <v>Multi Soil</v>
      </c>
      <c r="AX9" s="449" t="str">
        <f>IF(C9&gt;0,VLOOKUP(C9,Foundation_Calc!$E$2:$G$33,3,1),
IF(J9&gt;0,VLOOKUP(J9,Foundation_Calc!$E$2:$G$33,3,1),""))</f>
        <v>PT</v>
      </c>
      <c r="AY9" s="10">
        <f>IF(L9="","",
IF(AX9="PT",VLOOKUP(L9,Foundation_Calc!$K$79:$R$113,VLOOKUP(AW9,Foundation_Calc!$I$2:$J$8,2,FALSE),0),
IF(AX9="K",VLOOKUP(L9,Foundation_Calc!$K$117:$R$151,VLOOKUP(AW9,Foundation_Calc!$I$2:$J$8,2,FALSE),0),"")))</f>
        <v>5.6</v>
      </c>
      <c r="AZ9" s="10" t="str">
        <f>IF(K9="","",
IF(AX9="PT",VLOOKUP(K9,Foundation_Calc!$K$79:$R$113,VLOOKUP(AW9,Foundation_Calc!$I$2:$J$8,2,FALSE),0),
IF(AX9="K",VLOOKUP(K9,Foundation_Calc!$K$117:$R$151,VLOOKUP(AW9,Foundation_Calc!$I$2:$J$8,2,FALSE),0),"")))</f>
        <v/>
      </c>
      <c r="BA9" s="495" t="str">
        <f t="shared" si="7"/>
        <v>ü</v>
      </c>
      <c r="BB9" s="495" t="str">
        <f t="shared" si="7"/>
        <v/>
      </c>
      <c r="BC9" s="495" t="str">
        <f t="shared" si="8"/>
        <v/>
      </c>
      <c r="BD9" s="513" t="str">
        <f>Pole_Calc!A$251</f>
        <v>App.8-V08H-P10.3</v>
      </c>
      <c r="BE9" s="429" t="s">
        <v>118</v>
      </c>
      <c r="BF9" s="289"/>
      <c r="BG9" s="289"/>
      <c r="BH9" s="290"/>
      <c r="BI9" s="289"/>
    </row>
    <row r="10" spans="1:63" ht="16.149999999999999" customHeight="1">
      <c r="A10" s="517"/>
      <c r="B10" s="450"/>
      <c r="C10" s="3"/>
      <c r="D10" s="83"/>
      <c r="E10" s="4"/>
      <c r="F10" s="4"/>
      <c r="G10" s="6">
        <v>43.6</v>
      </c>
      <c r="H10" s="449"/>
      <c r="I10" s="449"/>
      <c r="J10" s="3"/>
      <c r="K10" s="449"/>
      <c r="L10" s="449"/>
      <c r="M10" s="449" t="str">
        <f>IF(L10="","",
IF(AX10="PT",VLOOKUP(L10,Foundation_Calc!$V$79:$X$113,VLOOKUP(AX10,Foundation_Calc!$I$10:$J$13,2,FALSE),0),
IF(AX10="K",VLOOKUP(L10,Foundation_Calc!$V$117:$X$151,VLOOKUP(AX10,Foundation_Calc!$I$10:$J$13,2,FALSE),0),"")))</f>
        <v/>
      </c>
      <c r="N10" s="449"/>
      <c r="O10" s="449"/>
      <c r="P10" s="449"/>
      <c r="Q10" s="4"/>
      <c r="R10" s="6"/>
      <c r="S10" s="6"/>
      <c r="T10" s="4"/>
      <c r="U10" s="4"/>
      <c r="V10" s="4"/>
      <c r="W10" s="9"/>
      <c r="X10" s="9"/>
      <c r="Y10" s="9"/>
      <c r="Z10" s="9"/>
      <c r="AA10" s="9"/>
      <c r="AB10" s="9"/>
      <c r="AC10" s="449" t="str">
        <f t="shared" si="0"/>
        <v/>
      </c>
      <c r="AD10" s="449"/>
      <c r="AE10" s="449"/>
      <c r="AF10" s="4"/>
      <c r="AG10" s="83"/>
      <c r="AH10" s="4"/>
      <c r="AI10" s="4"/>
      <c r="AJ10" s="449"/>
      <c r="AK10" s="449"/>
      <c r="AL10" s="449"/>
      <c r="AM10" s="449"/>
      <c r="AN10" s="10"/>
      <c r="AO10" s="9"/>
      <c r="AP10" s="9"/>
      <c r="AQ10" s="9">
        <f>+FL_2($T$13,$T$9,$G$10,1200,9.28, 1*$F$11)</f>
        <v>-0.35620212844036703</v>
      </c>
      <c r="AR10" s="9"/>
      <c r="AS10" s="9"/>
      <c r="AT10" s="9"/>
      <c r="AU10" s="428"/>
      <c r="AV10" s="428"/>
      <c r="AW10" s="449" t="str">
        <f>IF(C10&gt;0,VLOOKUP(C10,Foundation_Calc!$A$2:$C$13,3,1),
IF(J10&gt;0,VLOOKUP(J10,Foundation_Calc!$A$2:$C$13,3,1),""))</f>
        <v/>
      </c>
      <c r="AX10" s="449" t="str">
        <f>IF(C10&gt;0,VLOOKUP(C10,Foundation_Calc!$E$2:$G$33,3,1),
IF(J10&gt;0,VLOOKUP(J10,Foundation_Calc!$E$2:$G$33,3,1),""))</f>
        <v/>
      </c>
      <c r="AY10" s="10" t="str">
        <f>IF(L10="","",
IF(AX10="PT",VLOOKUP(L10,Foundation_Calc!$K$79:$R$113,VLOOKUP(AW10,Foundation_Calc!$I$2:$J$8,2,FALSE),0),
IF(AX10="K",VLOOKUP(L10,Foundation_Calc!$K$117:$R$151,VLOOKUP(AW10,Foundation_Calc!$I$2:$J$8,2,FALSE),0),"")))</f>
        <v/>
      </c>
      <c r="AZ10" s="10" t="str">
        <f>IF(K10="","",
IF(AX10="PT",VLOOKUP(K10,Foundation_Calc!$K$79:$R$113,VLOOKUP(AW10,Foundation_Calc!$I$2:$J$8,2,FALSE),0),
IF(AX10="K",VLOOKUP(K10,Foundation_Calc!$K$117:$R$151,VLOOKUP(AW10,Foundation_Calc!$I$2:$J$8,2,FALSE),0),"")))</f>
        <v/>
      </c>
      <c r="BA10" s="495" t="str">
        <f t="shared" si="7"/>
        <v/>
      </c>
      <c r="BB10" s="495" t="str">
        <f t="shared" si="7"/>
        <v/>
      </c>
      <c r="BC10" s="495" t="str">
        <f t="shared" si="8"/>
        <v/>
      </c>
      <c r="BD10" s="513" t="str">
        <f>IF(AND(L10="",H10=""),"",
IF(H10="",Pole_Calc!A$9,
IF(H10="MP",Pole_Calc!A$10,
IF(H10="AnMP",Pole_Calc!A$11,
IF(H10="A",Pole_Calc!A$12,
IF(H10="S/A",Pole_Calc!A$13,
IF(H10="A/S",Pole_Calc!A$14,"Poner a mano")))))))</f>
        <v/>
      </c>
      <c r="BE10" s="429" t="s">
        <v>118</v>
      </c>
      <c r="BF10" s="290"/>
      <c r="BG10" s="290"/>
      <c r="BH10" s="290"/>
      <c r="BI10" s="290"/>
    </row>
    <row r="11" spans="1:63" ht="16.149999999999999" customHeight="1">
      <c r="A11" s="517"/>
      <c r="B11" s="450" t="s">
        <v>1795</v>
      </c>
      <c r="C11" s="3">
        <f>+$C$9+$G$10</f>
        <v>58083.619999999995</v>
      </c>
      <c r="D11" s="83"/>
      <c r="E11" s="4"/>
      <c r="F11" s="4">
        <v>0</v>
      </c>
      <c r="G11" s="6"/>
      <c r="H11" s="449"/>
      <c r="I11" s="449"/>
      <c r="J11" s="3"/>
      <c r="K11" s="449"/>
      <c r="L11" s="449" t="s">
        <v>250</v>
      </c>
      <c r="M11" s="449" t="str">
        <f>IF(L11="","",
IF(AX11="PT",VLOOKUP(L11,Foundation_Calc!$V$79:$X$113,VLOOKUP(AX11,Foundation_Calc!$I$10:$J$13,2,FALSE),0),
IF(AX11="K",VLOOKUP(L11,Foundation_Calc!$V$117:$X$151,VLOOKUP(AX11,Foundation_Calc!$I$10:$J$13,2,FALSE),0),"")))</f>
        <v>2C4R</v>
      </c>
      <c r="N11" s="449"/>
      <c r="O11" s="449"/>
      <c r="P11" s="449"/>
      <c r="Q11" s="4"/>
      <c r="R11" s="6"/>
      <c r="S11" s="6"/>
      <c r="T11" s="4"/>
      <c r="U11" s="4"/>
      <c r="V11" s="4"/>
      <c r="W11" s="9"/>
      <c r="X11" s="9"/>
      <c r="Y11" s="9"/>
      <c r="Z11" s="9"/>
      <c r="AA11" s="9"/>
      <c r="AB11" s="9"/>
      <c r="AC11" s="449" t="str">
        <f t="shared" si="0"/>
        <v/>
      </c>
      <c r="AD11" s="449"/>
      <c r="AE11" s="449"/>
      <c r="AF11" s="4"/>
      <c r="AG11" s="83"/>
      <c r="AH11" s="4"/>
      <c r="AI11" s="4"/>
      <c r="AJ11" s="449"/>
      <c r="AK11" s="449"/>
      <c r="AL11" s="449" t="s">
        <v>252</v>
      </c>
      <c r="AM11" s="449" t="s">
        <v>126</v>
      </c>
      <c r="AN11" s="10"/>
      <c r="AO11" s="9"/>
      <c r="AP11" s="9"/>
      <c r="AQ11" s="9"/>
      <c r="AR11" s="9"/>
      <c r="AS11" s="9"/>
      <c r="AT11" s="9"/>
      <c r="AU11" s="428"/>
      <c r="AV11" s="428"/>
      <c r="AW11" s="449" t="str">
        <f>IF(C11&gt;0,VLOOKUP(C11,Foundation_Calc!$A$2:$C$13,3,1),
IF(J11&gt;0,VLOOKUP(J11,Foundation_Calc!$A$2:$C$13,3,1),""))</f>
        <v>Multi Soil</v>
      </c>
      <c r="AX11" s="449" t="str">
        <f>IF(C11&gt;0,VLOOKUP(C11,Foundation_Calc!$E$2:$G$33,3,1),
IF(J11&gt;0,VLOOKUP(J11,Foundation_Calc!$E$2:$G$33,3,1),""))</f>
        <v>PT</v>
      </c>
      <c r="AY11" s="10">
        <f>IF(L11="","",
IF(AX11="PT",VLOOKUP(L11,Foundation_Calc!$K$79:$R$113,VLOOKUP(AW11,Foundation_Calc!$I$2:$J$8,2,FALSE),0),
IF(AX11="K",VLOOKUP(L11,Foundation_Calc!$K$117:$R$151,VLOOKUP(AW11,Foundation_Calc!$I$2:$J$8,2,FALSE),0),"")))</f>
        <v>5.6</v>
      </c>
      <c r="AZ11" s="10" t="str">
        <f>IF(K11="","",
IF(AX11="PT",VLOOKUP(K11,Foundation_Calc!$K$79:$R$113,VLOOKUP(AW11,Foundation_Calc!$I$2:$J$8,2,FALSE),0),
IF(AX11="K",VLOOKUP(K11,Foundation_Calc!$K$117:$R$151,VLOOKUP(AW11,Foundation_Calc!$I$2:$J$8,2,FALSE),0),"")))</f>
        <v/>
      </c>
      <c r="BA11" s="495" t="str">
        <f t="shared" si="7"/>
        <v>ü</v>
      </c>
      <c r="BB11" s="495" t="str">
        <f t="shared" si="7"/>
        <v/>
      </c>
      <c r="BC11" s="495" t="str">
        <f t="shared" si="8"/>
        <v/>
      </c>
      <c r="BD11" s="513" t="str">
        <f>Pole_Calc!A$251</f>
        <v>App.8-V08H-P10.3</v>
      </c>
      <c r="BE11" s="429" t="s">
        <v>118</v>
      </c>
      <c r="BF11" s="289"/>
      <c r="BG11" s="289"/>
      <c r="BH11" s="290"/>
      <c r="BI11" s="289"/>
    </row>
    <row r="12" spans="1:63" ht="16.149999999999999" customHeight="1">
      <c r="A12" s="517"/>
      <c r="B12" s="450"/>
      <c r="C12" s="3"/>
      <c r="D12" s="83"/>
      <c r="E12" s="4"/>
      <c r="F12" s="4"/>
      <c r="G12" s="6">
        <v>7.5</v>
      </c>
      <c r="H12" s="449"/>
      <c r="I12" s="449"/>
      <c r="J12" s="3"/>
      <c r="K12" s="449"/>
      <c r="L12" s="449"/>
      <c r="M12" s="449" t="str">
        <f>IF(L12="","",
IF(AX12="PT",VLOOKUP(L12,Foundation_Calc!$V$79:$X$113,VLOOKUP(AX12,Foundation_Calc!$I$10:$J$13,2,FALSE),0),
IF(AX12="K",VLOOKUP(L12,Foundation_Calc!$V$117:$X$151,VLOOKUP(AX12,Foundation_Calc!$I$10:$J$13,2,FALSE),0),"")))</f>
        <v/>
      </c>
      <c r="N12" s="449"/>
      <c r="O12" s="449"/>
      <c r="P12" s="449"/>
      <c r="Q12" s="4"/>
      <c r="R12" s="6"/>
      <c r="S12" s="6"/>
      <c r="T12" s="4"/>
      <c r="U12" s="4"/>
      <c r="V12" s="4"/>
      <c r="W12" s="9"/>
      <c r="X12" s="9"/>
      <c r="Y12" s="9"/>
      <c r="Z12" s="9"/>
      <c r="AA12" s="9"/>
      <c r="AB12" s="9"/>
      <c r="AC12" s="449" t="str">
        <f t="shared" si="0"/>
        <v/>
      </c>
      <c r="AD12" s="449"/>
      <c r="AE12" s="449"/>
      <c r="AF12" s="4"/>
      <c r="AG12" s="83"/>
      <c r="AH12" s="4"/>
      <c r="AI12" s="4"/>
      <c r="AJ12" s="449"/>
      <c r="AK12" s="449"/>
      <c r="AL12" s="449"/>
      <c r="AM12" s="449"/>
      <c r="AN12" s="10"/>
      <c r="AO12" s="9"/>
      <c r="AP12" s="9"/>
      <c r="AQ12" s="9"/>
      <c r="AR12" s="9"/>
      <c r="AS12" s="9"/>
      <c r="AT12" s="9"/>
      <c r="AU12" s="428"/>
      <c r="AV12" s="428"/>
      <c r="AW12" s="449" t="str">
        <f>IF(C12&gt;0,VLOOKUP(C12,Foundation_Calc!$A$2:$C$13,3,1),
IF(J12&gt;0,VLOOKUP(J12,Foundation_Calc!$A$2:$C$13,3,1),""))</f>
        <v/>
      </c>
      <c r="AX12" s="449" t="str">
        <f>IF(C12&gt;0,VLOOKUP(C12,Foundation_Calc!$E$2:$G$33,3,1),
IF(J12&gt;0,VLOOKUP(J12,Foundation_Calc!$E$2:$G$33,3,1),""))</f>
        <v/>
      </c>
      <c r="AY12" s="10" t="str">
        <f>IF(L12="","",
IF(AX12="PT",VLOOKUP(L12,Foundation_Calc!$K$79:$R$113,VLOOKUP(AW12,Foundation_Calc!$I$2:$J$8,2,FALSE),0),
IF(AX12="K",VLOOKUP(L12,Foundation_Calc!$K$117:$R$151,VLOOKUP(AW12,Foundation_Calc!$I$2:$J$8,2,FALSE),0),"")))</f>
        <v/>
      </c>
      <c r="AZ12" s="10" t="str">
        <f>IF(K12="","",
IF(AX12="PT",VLOOKUP(K12,Foundation_Calc!$K$79:$R$113,VLOOKUP(AW12,Foundation_Calc!$I$2:$J$8,2,FALSE),0),
IF(AX12="K",VLOOKUP(K12,Foundation_Calc!$K$117:$R$151,VLOOKUP(AW12,Foundation_Calc!$I$2:$J$8,2,FALSE),0),"")))</f>
        <v/>
      </c>
      <c r="BA12" s="495" t="str">
        <f t="shared" ref="BA12:BA14" si="9">IF(AY12="","",IF(AY12&gt;0,"ü",""))</f>
        <v/>
      </c>
      <c r="BB12" s="495" t="str">
        <f t="shared" ref="BB12:BB14" si="10">IF(AZ12="","",IF(AZ12&gt;0,"ü",""))</f>
        <v/>
      </c>
      <c r="BC12" s="495" t="str">
        <f t="shared" ref="BC12:BC14" si="11">IF(M12="","",IF(M12="U.S.","ü",IF(M12="U.S. N.D.","ü","")))</f>
        <v/>
      </c>
      <c r="BD12" s="513"/>
      <c r="BE12" s="429" t="s">
        <v>118</v>
      </c>
      <c r="BF12" s="290"/>
      <c r="BG12" s="290"/>
      <c r="BH12" s="290"/>
      <c r="BI12" s="290"/>
    </row>
    <row r="13" spans="1:63" ht="16.149999999999999" customHeight="1">
      <c r="A13" s="517"/>
      <c r="B13" s="450" t="s">
        <v>1796</v>
      </c>
      <c r="C13" s="3">
        <f>+$C$11+$G$12</f>
        <v>58091.119999999995</v>
      </c>
      <c r="D13" s="83"/>
      <c r="E13" s="4"/>
      <c r="F13" s="4">
        <v>0</v>
      </c>
      <c r="G13" s="6"/>
      <c r="H13" s="449" t="s">
        <v>1797</v>
      </c>
      <c r="I13" s="449"/>
      <c r="J13" s="3"/>
      <c r="K13" s="449"/>
      <c r="L13" s="449" t="s">
        <v>183</v>
      </c>
      <c r="M13" s="449" t="str">
        <f>IF(L13="","",
IF(AX13="PT",VLOOKUP(L13,Foundation_Calc!$V$79:$X$113,VLOOKUP(AX13,Foundation_Calc!$I$10:$J$13,2,FALSE),0),
IF(AX13="K",VLOOKUP(L13,Foundation_Calc!$V$117:$X$151,VLOOKUP(AX13,Foundation_Calc!$I$10:$J$13,2,FALSE),0),"")))</f>
        <v>2C3R</v>
      </c>
      <c r="N13" s="449" t="s">
        <v>134</v>
      </c>
      <c r="O13" s="553" t="s">
        <v>124</v>
      </c>
      <c r="P13" s="449"/>
      <c r="Q13" s="4"/>
      <c r="R13" s="6"/>
      <c r="S13" s="6"/>
      <c r="T13" s="4">
        <v>25</v>
      </c>
      <c r="U13" s="4">
        <v>80</v>
      </c>
      <c r="V13" s="4"/>
      <c r="W13" s="9">
        <v>2</v>
      </c>
      <c r="X13" s="9">
        <v>1.4</v>
      </c>
      <c r="Y13" s="9"/>
      <c r="Z13" s="9"/>
      <c r="AA13" s="9"/>
      <c r="AB13" s="9"/>
      <c r="AC13" s="449" t="str">
        <f t="shared" si="0"/>
        <v>PHC</v>
      </c>
      <c r="AD13" s="449"/>
      <c r="AE13" s="449"/>
      <c r="AF13" s="4"/>
      <c r="AG13" s="83"/>
      <c r="AH13" s="4"/>
      <c r="AI13" s="4"/>
      <c r="AJ13" s="449"/>
      <c r="AK13" s="449"/>
      <c r="AL13" s="449"/>
      <c r="AM13" s="449"/>
      <c r="AN13" s="10">
        <v>5.5</v>
      </c>
      <c r="AO13" s="9"/>
      <c r="AP13" s="9"/>
      <c r="AQ13" s="9"/>
      <c r="AR13" s="9"/>
      <c r="AS13" s="9"/>
      <c r="AT13" s="9">
        <f>+ab($T$13,$T$9,$T$15,$G$12,$G$14, 1*$F$13,1200)</f>
        <v>2.3972577555472436</v>
      </c>
      <c r="AU13" s="428"/>
      <c r="AV13" s="428"/>
      <c r="AW13" s="449" t="str">
        <f>IF(C13&gt;0,VLOOKUP(C13,Foundation_Calc!$A$2:$C$13,3,1),
IF(J13&gt;0,VLOOKUP(J13,Foundation_Calc!$A$2:$C$13,3,1),""))</f>
        <v>Multi Soil</v>
      </c>
      <c r="AX13" s="449" t="str">
        <f>IF(C13&gt;0,VLOOKUP(C13,Foundation_Calc!$E$2:$G$33,3,1),
IF(J13&gt;0,VLOOKUP(J13,Foundation_Calc!$E$2:$G$33,3,1),""))</f>
        <v>PT</v>
      </c>
      <c r="AY13" s="10">
        <f>IF(L13="","",
IF(AX13="PT",VLOOKUP(L13,Foundation_Calc!$K$79:$R$113,VLOOKUP(AW13,Foundation_Calc!$I$2:$J$8,2,FALSE),0),
IF(AX13="K",VLOOKUP(L13,Foundation_Calc!$K$117:$R$151,VLOOKUP(AW13,Foundation_Calc!$I$2:$J$8,2,FALSE),0),"")))</f>
        <v>3.7</v>
      </c>
      <c r="AZ13" s="10" t="str">
        <f>IF(K13="","",
IF(AX13="PT",VLOOKUP(K13,Foundation_Calc!$K$79:$R$113,VLOOKUP(AW13,Foundation_Calc!$I$2:$J$8,2,FALSE),0),
IF(AX13="K",VLOOKUP(K13,Foundation_Calc!$K$117:$R$151,VLOOKUP(AW13,Foundation_Calc!$I$2:$J$8,2,FALSE),0),"")))</f>
        <v/>
      </c>
      <c r="BA13" s="495" t="str">
        <f t="shared" si="9"/>
        <v>ü</v>
      </c>
      <c r="BB13" s="495" t="str">
        <f t="shared" si="10"/>
        <v/>
      </c>
      <c r="BC13" s="495" t="str">
        <f t="shared" si="11"/>
        <v/>
      </c>
      <c r="BD13" s="513" t="str">
        <f>Pole_Calc!A$13</f>
        <v>App.7-V11I-P9.5.1.5</v>
      </c>
      <c r="BE13" s="429" t="s">
        <v>118</v>
      </c>
      <c r="BF13" s="289"/>
      <c r="BG13" s="289"/>
      <c r="BH13" s="290"/>
      <c r="BI13" s="289"/>
    </row>
    <row r="14" spans="1:63" ht="16.149999999999999" customHeight="1">
      <c r="A14" s="517"/>
      <c r="B14" s="450"/>
      <c r="C14" s="3"/>
      <c r="D14" s="83"/>
      <c r="E14" s="4"/>
      <c r="F14" s="4"/>
      <c r="G14" s="6">
        <v>40.1</v>
      </c>
      <c r="H14" s="449"/>
      <c r="I14" s="449"/>
      <c r="J14" s="3"/>
      <c r="K14" s="449"/>
      <c r="L14" s="449"/>
      <c r="M14" s="449"/>
      <c r="N14" s="449"/>
      <c r="O14" s="449"/>
      <c r="P14" s="449"/>
      <c r="Q14" s="4"/>
      <c r="R14" s="6"/>
      <c r="S14" s="6"/>
      <c r="T14" s="4"/>
      <c r="U14" s="4"/>
      <c r="V14" s="4"/>
      <c r="W14" s="9"/>
      <c r="X14" s="9"/>
      <c r="Y14" s="9"/>
      <c r="Z14" s="9"/>
      <c r="AA14" s="9"/>
      <c r="AB14" s="9"/>
      <c r="AC14" s="449" t="str">
        <f t="shared" si="0"/>
        <v/>
      </c>
      <c r="AD14" s="449"/>
      <c r="AE14" s="449"/>
      <c r="AF14" s="4"/>
      <c r="AG14" s="83"/>
      <c r="AH14" s="4"/>
      <c r="AI14" s="4"/>
      <c r="AJ14" s="449"/>
      <c r="AK14" s="449"/>
      <c r="AL14" s="449"/>
      <c r="AM14" s="449"/>
      <c r="AN14" s="10"/>
      <c r="AO14" s="9"/>
      <c r="AP14" s="9"/>
      <c r="AQ14" s="9">
        <f>+FL_1($T$15,$T$13,$G$14,1200,9.28, 1*$F$15)</f>
        <v>0.40544096666666668</v>
      </c>
      <c r="AR14" s="9"/>
      <c r="AS14" s="9"/>
      <c r="AT14" s="9"/>
      <c r="AU14" s="428"/>
      <c r="AV14" s="428"/>
      <c r="AW14" s="449" t="str">
        <f>IF(C14&gt;0,VLOOKUP(C14,Foundation_Calc!$A$2:$C$13,3,1),
IF(J14&gt;0,VLOOKUP(J14,Foundation_Calc!$A$2:$C$13,3,1),""))</f>
        <v/>
      </c>
      <c r="AX14" s="449" t="str">
        <f>IF(C14&gt;0,VLOOKUP(C14,Foundation_Calc!$E$2:$G$33,3,1),
IF(J14&gt;0,VLOOKUP(J14,Foundation_Calc!$E$2:$G$33,3,1),""))</f>
        <v/>
      </c>
      <c r="AY14" s="10" t="str">
        <f>IF(L14="","",
IF(AX14="PT",VLOOKUP(L14,Foundation_Calc!$K$79:$R$113,VLOOKUP(AW14,Foundation_Calc!$I$2:$J$8,2,FALSE),0),
IF(AX14="K",VLOOKUP(L14,Foundation_Calc!$K$117:$R$151,VLOOKUP(AW14,Foundation_Calc!$I$2:$J$8,2,FALSE),0),"")))</f>
        <v/>
      </c>
      <c r="AZ14" s="10" t="str">
        <f>IF(K14="","",
IF(AX14="PT",VLOOKUP(K14,Foundation_Calc!$K$79:$R$113,VLOOKUP(AW14,Foundation_Calc!$I$2:$J$8,2,FALSE),0),
IF(AX14="K",VLOOKUP(K14,Foundation_Calc!$K$117:$R$151,VLOOKUP(AW14,Foundation_Calc!$I$2:$J$8,2,FALSE),0),"")))</f>
        <v/>
      </c>
      <c r="BA14" s="495" t="str">
        <f t="shared" si="9"/>
        <v/>
      </c>
      <c r="BB14" s="495" t="str">
        <f t="shared" si="10"/>
        <v/>
      </c>
      <c r="BC14" s="495" t="str">
        <f t="shared" si="11"/>
        <v/>
      </c>
      <c r="BD14" s="513"/>
      <c r="BE14" s="429" t="s">
        <v>118</v>
      </c>
      <c r="BF14" s="290"/>
      <c r="BG14" s="290"/>
      <c r="BH14" s="290"/>
      <c r="BI14" s="290"/>
    </row>
    <row r="15" spans="1:63" ht="16.149999999999999" customHeight="1">
      <c r="A15" s="514" t="s">
        <v>1798</v>
      </c>
      <c r="B15" s="450" t="s">
        <v>1799</v>
      </c>
      <c r="C15" s="3">
        <f>+$C$11+$G$14</f>
        <v>58123.719999999994</v>
      </c>
      <c r="D15" s="83"/>
      <c r="E15" s="4"/>
      <c r="F15" s="4">
        <v>0</v>
      </c>
      <c r="G15" s="6"/>
      <c r="H15" s="449" t="s">
        <v>131</v>
      </c>
      <c r="I15" s="449"/>
      <c r="J15" s="3"/>
      <c r="K15" s="449"/>
      <c r="L15" s="449" t="s">
        <v>250</v>
      </c>
      <c r="M15" s="449" t="str">
        <f>IF(L15="","",
IF(AX15="PT",VLOOKUP(L15,Foundation_Calc!$V$79:$X$113,VLOOKUP(AX15,Foundation_Calc!$I$10:$J$13,2,FALSE),0),
IF(AX15="K",VLOOKUP(L15,Foundation_Calc!$V$117:$X$151,VLOOKUP(AX15,Foundation_Calc!$I$10:$J$13,2,FALSE),0),"")))</f>
        <v>2C4R</v>
      </c>
      <c r="N15" s="449" t="s">
        <v>134</v>
      </c>
      <c r="O15" s="449" t="s">
        <v>134</v>
      </c>
      <c r="P15" s="449"/>
      <c r="Q15" s="4"/>
      <c r="R15" s="6"/>
      <c r="S15" s="6"/>
      <c r="T15" s="4">
        <v>25</v>
      </c>
      <c r="U15" s="4">
        <v>80</v>
      </c>
      <c r="V15" s="4"/>
      <c r="W15" s="9">
        <v>2</v>
      </c>
      <c r="X15" s="9">
        <v>1.4</v>
      </c>
      <c r="Y15" s="9"/>
      <c r="Z15" s="9"/>
      <c r="AA15" s="9">
        <v>0.15</v>
      </c>
      <c r="AB15" s="9"/>
      <c r="AC15" s="449" t="str">
        <f t="shared" si="0"/>
        <v>PH</v>
      </c>
      <c r="AD15" s="449"/>
      <c r="AE15" s="449"/>
      <c r="AF15" s="4"/>
      <c r="AG15" s="83"/>
      <c r="AH15" s="4"/>
      <c r="AI15" s="4"/>
      <c r="AJ15" s="449" t="s">
        <v>251</v>
      </c>
      <c r="AK15" s="449"/>
      <c r="AL15" s="449" t="s">
        <v>252</v>
      </c>
      <c r="AM15" s="449" t="s">
        <v>126</v>
      </c>
      <c r="AN15" s="10">
        <v>5.5</v>
      </c>
      <c r="AO15" s="9"/>
      <c r="AP15" s="9"/>
      <c r="AQ15" s="9"/>
      <c r="AR15" s="9"/>
      <c r="AS15" s="9"/>
      <c r="AT15" s="9">
        <f>+ab($T$15,$T$13,$T$17,$G$14,$G$16, 1*$F$15,1200)</f>
        <v>13.689222776184117</v>
      </c>
      <c r="AU15" s="428"/>
      <c r="AV15" s="428"/>
      <c r="AW15" s="449" t="str">
        <f>IF(C15&gt;0,VLOOKUP(C15,Foundation_Calc!$A$2:$C$13,3,1),
IF(J15&gt;0,VLOOKUP(J15,Foundation_Calc!$A$2:$C$13,3,1),""))</f>
        <v>Multi Soil</v>
      </c>
      <c r="AX15" s="449" t="str">
        <f>IF(C15&gt;0,VLOOKUP(C15,Foundation_Calc!$E$2:$G$33,3,1),
IF(J15&gt;0,VLOOKUP(J15,Foundation_Calc!$E$2:$G$33,3,1),""))</f>
        <v>PT</v>
      </c>
      <c r="AY15" s="10">
        <f>IF(L15="","",
IF(AX15="PT",VLOOKUP(L15,Foundation_Calc!$K$79:$R$113,VLOOKUP(AW15,Foundation_Calc!$I$2:$J$8,2,FALSE),0),
IF(AX15="K",VLOOKUP(L15,Foundation_Calc!$K$117:$R$151,VLOOKUP(AW15,Foundation_Calc!$I$2:$J$8,2,FALSE),0),"")))</f>
        <v>5.6</v>
      </c>
      <c r="AZ15" s="10" t="str">
        <f>IF(K15="","",
IF(AX15="PT",VLOOKUP(K15,Foundation_Calc!$K$79:$R$113,VLOOKUP(AW15,Foundation_Calc!$I$2:$J$8,2,FALSE),0),
IF(AX15="K",VLOOKUP(K15,Foundation_Calc!$K$117:$R$151,VLOOKUP(AW15,Foundation_Calc!$I$2:$J$8,2,FALSE),0),"")))</f>
        <v/>
      </c>
      <c r="BA15" s="495" t="str">
        <f t="shared" si="7"/>
        <v>ü</v>
      </c>
      <c r="BB15" s="495" t="str">
        <f t="shared" si="7"/>
        <v/>
      </c>
      <c r="BC15" s="495" t="str">
        <f t="shared" si="8"/>
        <v/>
      </c>
      <c r="BD15" s="513" t="str">
        <f>Pole_Calc!A$251</f>
        <v>App.8-V08H-P10.3</v>
      </c>
      <c r="BE15" s="429" t="s">
        <v>118</v>
      </c>
      <c r="BF15" s="289"/>
      <c r="BG15" s="289"/>
      <c r="BH15" s="290"/>
      <c r="BI15" s="289"/>
    </row>
    <row r="16" spans="1:63" ht="16.149999999999999" customHeight="1">
      <c r="A16" s="514"/>
      <c r="B16" s="450"/>
      <c r="C16" s="3"/>
      <c r="D16" s="83"/>
      <c r="E16" s="4"/>
      <c r="F16" s="4"/>
      <c r="G16" s="6">
        <v>40</v>
      </c>
      <c r="H16" s="449"/>
      <c r="I16" s="449"/>
      <c r="J16" s="3">
        <f>C17-7.5</f>
        <v>58156.219999999994</v>
      </c>
      <c r="K16" s="449" t="s">
        <v>166</v>
      </c>
      <c r="L16" s="449"/>
      <c r="M16" s="449" t="str">
        <f>IF(L16="","",
IF(AX16="PT",VLOOKUP(L16,Foundation_Calc!$V$79:$X$113,VLOOKUP(AX16,Foundation_Calc!$I$10:$J$13,2,FALSE),0),
IF(AX16="K",VLOOKUP(L16,Foundation_Calc!$V$117:$X$151,VLOOKUP(AX16,Foundation_Calc!$I$10:$J$13,2,FALSE),0),"")))</f>
        <v/>
      </c>
      <c r="N16" s="449"/>
      <c r="O16" s="449"/>
      <c r="P16" s="449"/>
      <c r="Q16" s="4"/>
      <c r="R16" s="6"/>
      <c r="S16" s="6"/>
      <c r="T16" s="4"/>
      <c r="U16" s="4"/>
      <c r="V16" s="4"/>
      <c r="W16" s="9"/>
      <c r="X16" s="9"/>
      <c r="Y16" s="9"/>
      <c r="Z16" s="9"/>
      <c r="AA16" s="9"/>
      <c r="AB16" s="9"/>
      <c r="AC16" s="449" t="str">
        <f t="shared" ref="AC16:AC65" si="12">IF(OR(AT16&gt;8,AT16&lt;-8),"PH",
IF(OR(AT16&gt;5,AT16&lt;-5),"PHQ",
IF(OR(AT16&gt;1,AT16&lt;-1),
"PHC","")))</f>
        <v/>
      </c>
      <c r="AD16" s="449"/>
      <c r="AE16" s="449"/>
      <c r="AF16" s="4"/>
      <c r="AG16" s="83"/>
      <c r="AH16" s="4"/>
      <c r="AI16" s="4"/>
      <c r="AJ16" s="449"/>
      <c r="AK16" s="449"/>
      <c r="AL16" s="449"/>
      <c r="AM16" s="449"/>
      <c r="AN16" s="10"/>
      <c r="AO16" s="9"/>
      <c r="AP16" s="9"/>
      <c r="AQ16" s="9">
        <f>+FL_2($T$17,$T$15,$G$16,1200,9.28, 1*$F$17)</f>
        <v>-0.30190535200000002</v>
      </c>
      <c r="AR16" s="9"/>
      <c r="AS16" s="9"/>
      <c r="AT16" s="9"/>
      <c r="AU16" s="428"/>
      <c r="AV16" s="428"/>
      <c r="AW16" s="449" t="str">
        <f>IF(C16&gt;0,VLOOKUP(C16,Foundation_Calc!$A$2:$C$13,3,1),
IF(J16&gt;0,VLOOKUP(J16,Foundation_Calc!$A$2:$C$13,3,1),""))</f>
        <v>Multi Soil</v>
      </c>
      <c r="AX16" s="449" t="str">
        <f>IF(C16&gt;0,VLOOKUP(C16,Foundation_Calc!$E$2:$G$33,3,1),
IF(J16&gt;0,VLOOKUP(J16,Foundation_Calc!$E$2:$G$33,3,1),""))</f>
        <v>PT</v>
      </c>
      <c r="AY16" s="10" t="str">
        <f>IF(L16="","",
IF(AX16="PT",VLOOKUP(L16,Foundation_Calc!$K$79:$R$113,VLOOKUP(AW16,Foundation_Calc!$I$2:$J$8,2,FALSE),0),
IF(AX16="K",VLOOKUP(L16,Foundation_Calc!$K$117:$R$151,VLOOKUP(AW16,Foundation_Calc!$I$2:$J$8,2,FALSE),0),"")))</f>
        <v/>
      </c>
      <c r="AZ16" s="10">
        <f>IF(K16="","",
IF(AX16="PT",VLOOKUP(K16,Foundation_Calc!$K$79:$R$113,VLOOKUP(AW16,Foundation_Calc!$I$2:$J$8,2,FALSE),0),
IF(AX16="K",VLOOKUP(K16,Foundation_Calc!$K$117:$R$151,VLOOKUP(AW16,Foundation_Calc!$I$2:$J$8,2,FALSE),0),"")))</f>
        <v>2.8</v>
      </c>
      <c r="BA16" s="495" t="str">
        <f t="shared" si="7"/>
        <v/>
      </c>
      <c r="BB16" s="495" t="str">
        <f t="shared" si="7"/>
        <v>ü</v>
      </c>
      <c r="BC16" s="495" t="str">
        <f t="shared" si="8"/>
        <v/>
      </c>
      <c r="BD16" s="513" t="str">
        <f>IF(AND(L16="",H16=""),"",
IF(H16="",Pole_Calc!A$9,
IF(H16="MP",Pole_Calc!A$10,
IF(H16="AnMP",Pole_Calc!A$11,
IF(H16="A",Pole_Calc!A$12,
IF(H16="S/A",Pole_Calc!A$13,
IF(H16="A/S",Pole_Calc!A$14,"Poner a mano")))))))</f>
        <v/>
      </c>
      <c r="BE16" s="429" t="s">
        <v>118</v>
      </c>
      <c r="BF16" s="290"/>
      <c r="BG16" s="290"/>
      <c r="BH16" s="290"/>
      <c r="BI16" s="290"/>
    </row>
    <row r="17" spans="1:61" ht="16.149999999999999" customHeight="1">
      <c r="A17" s="517"/>
      <c r="B17" s="450" t="s">
        <v>1800</v>
      </c>
      <c r="C17" s="3">
        <f>+$C$15+$G$16</f>
        <v>58163.719999999994</v>
      </c>
      <c r="D17" s="83"/>
      <c r="E17" s="4"/>
      <c r="F17" s="4">
        <v>0</v>
      </c>
      <c r="G17" s="6"/>
      <c r="H17" s="449" t="s">
        <v>244</v>
      </c>
      <c r="I17" s="449"/>
      <c r="J17" s="3"/>
      <c r="K17" s="449"/>
      <c r="L17" s="449" t="s">
        <v>232</v>
      </c>
      <c r="M17" s="449" t="str">
        <f>IF(L17="","",
IF(AX17="PT",VLOOKUP(L17,Foundation_Calc!$V$79:$X$113,VLOOKUP(AX17,Foundation_Calc!$I$10:$J$13,2,FALSE),0),
IF(AX17="K",VLOOKUP(L17,Foundation_Calc!$V$117:$X$151,VLOOKUP(AX17,Foundation_Calc!$I$10:$J$13,2,FALSE),0),"")))</f>
        <v>C5R</v>
      </c>
      <c r="N17" s="449" t="s">
        <v>124</v>
      </c>
      <c r="O17" s="553" t="s">
        <v>133</v>
      </c>
      <c r="P17" s="449"/>
      <c r="Q17" s="4"/>
      <c r="R17" s="6"/>
      <c r="S17" s="6"/>
      <c r="T17" s="4">
        <v>-30</v>
      </c>
      <c r="U17" s="4">
        <v>25</v>
      </c>
      <c r="V17" s="4"/>
      <c r="W17" s="9">
        <v>2</v>
      </c>
      <c r="X17" s="9">
        <v>1.4</v>
      </c>
      <c r="Y17" s="9"/>
      <c r="Z17" s="9"/>
      <c r="AA17" s="9">
        <v>0.45</v>
      </c>
      <c r="AB17" s="9"/>
      <c r="AC17" s="449" t="str">
        <f t="shared" si="12"/>
        <v>PH</v>
      </c>
      <c r="AD17" s="449"/>
      <c r="AE17" s="449"/>
      <c r="AF17" s="4"/>
      <c r="AG17" s="83"/>
      <c r="AH17" s="4"/>
      <c r="AI17" s="4"/>
      <c r="AJ17" s="449"/>
      <c r="AK17" s="449"/>
      <c r="AL17" s="449" t="s">
        <v>241</v>
      </c>
      <c r="AM17" s="449" t="s">
        <v>126</v>
      </c>
      <c r="AN17" s="10">
        <v>5.5</v>
      </c>
      <c r="AO17" s="9"/>
      <c r="AP17" s="9"/>
      <c r="AQ17" s="9"/>
      <c r="AR17" s="9"/>
      <c r="AS17" s="9"/>
      <c r="AT17" s="9">
        <f>+ab($T$17,$T$15,$T$19,$G$16,$G$18, 1*$F$17,1200)</f>
        <v>-11.729312684092024</v>
      </c>
      <c r="AU17" s="428"/>
      <c r="AV17" s="428"/>
      <c r="AW17" s="449" t="str">
        <f>IF(C17&gt;0,VLOOKUP(C17,Foundation_Calc!$A$2:$C$13,3,1),
IF(J17&gt;0,VLOOKUP(J17,Foundation_Calc!$A$2:$C$13,3,1),""))</f>
        <v>Multi Soil</v>
      </c>
      <c r="AX17" s="449" t="str">
        <f>IF(C17&gt;0,VLOOKUP(C17,Foundation_Calc!$E$2:$G$33,3,1),
IF(J17&gt;0,VLOOKUP(J17,Foundation_Calc!$E$2:$G$33,3,1),""))</f>
        <v>PT</v>
      </c>
      <c r="AY17" s="10">
        <f>IF(L17="","",
IF(AX17="PT",VLOOKUP(L17,Foundation_Calc!$K$79:$R$113,VLOOKUP(AW17,Foundation_Calc!$I$2:$J$8,2,FALSE),0),
IF(AX17="K",VLOOKUP(L17,Foundation_Calc!$K$117:$R$151,VLOOKUP(AW17,Foundation_Calc!$I$2:$J$8,2,FALSE),0),"")))</f>
        <v>3.5</v>
      </c>
      <c r="AZ17" s="10" t="str">
        <f>IF(K17="","",
IF(AX17="PT",VLOOKUP(K17,Foundation_Calc!$K$79:$R$113,VLOOKUP(AW17,Foundation_Calc!$I$2:$J$8,2,FALSE),0),
IF(AX17="K",VLOOKUP(K17,Foundation_Calc!$K$117:$R$151,VLOOKUP(AW17,Foundation_Calc!$I$2:$J$8,2,FALSE),0),"")))</f>
        <v/>
      </c>
      <c r="BA17" s="495" t="str">
        <f t="shared" si="7"/>
        <v>ü</v>
      </c>
      <c r="BB17" s="495" t="str">
        <f t="shared" si="7"/>
        <v/>
      </c>
      <c r="BC17" s="495" t="str">
        <f t="shared" si="8"/>
        <v/>
      </c>
      <c r="BD17" s="513" t="str">
        <f>Pole_Calc!A$251</f>
        <v>App.8-V08H-P10.3</v>
      </c>
      <c r="BE17" s="429" t="s">
        <v>118</v>
      </c>
      <c r="BF17" s="289"/>
      <c r="BG17" s="289"/>
      <c r="BH17" s="290"/>
      <c r="BI17" s="289"/>
    </row>
    <row r="18" spans="1:61" ht="16.149999999999999" customHeight="1">
      <c r="A18" s="517"/>
      <c r="B18" s="450"/>
      <c r="C18" s="3"/>
      <c r="D18" s="83"/>
      <c r="E18" s="4"/>
      <c r="F18" s="4"/>
      <c r="G18" s="6">
        <v>42</v>
      </c>
      <c r="H18" s="449"/>
      <c r="I18" s="449">
        <v>260</v>
      </c>
      <c r="J18" s="3"/>
      <c r="K18" s="449"/>
      <c r="L18" s="449"/>
      <c r="M18" s="449" t="str">
        <f>IF(L18="","",
IF(AX18="PT",VLOOKUP(L18,Foundation_Calc!$V$79:$X$113,VLOOKUP(AX18,Foundation_Calc!$I$10:$J$13,2,FALSE),0),
IF(AX18="K",VLOOKUP(L18,Foundation_Calc!$V$117:$X$151,VLOOKUP(AX18,Foundation_Calc!$I$10:$J$13,2,FALSE),0),"")))</f>
        <v/>
      </c>
      <c r="N18" s="449"/>
      <c r="O18" s="449"/>
      <c r="P18" s="449"/>
      <c r="Q18" s="4"/>
      <c r="R18" s="6"/>
      <c r="S18" s="6"/>
      <c r="T18" s="4"/>
      <c r="U18" s="4"/>
      <c r="V18" s="4"/>
      <c r="W18" s="9"/>
      <c r="X18" s="9"/>
      <c r="Y18" s="9"/>
      <c r="Z18" s="9"/>
      <c r="AA18" s="9"/>
      <c r="AB18" s="9"/>
      <c r="AC18" s="449" t="str">
        <f t="shared" si="12"/>
        <v/>
      </c>
      <c r="AD18" s="449"/>
      <c r="AE18" s="449"/>
      <c r="AF18" s="4"/>
      <c r="AG18" s="83"/>
      <c r="AH18" s="4"/>
      <c r="AI18" s="4"/>
      <c r="AJ18" s="449"/>
      <c r="AK18" s="449"/>
      <c r="AL18" s="449"/>
      <c r="AM18" s="449"/>
      <c r="AN18" s="10"/>
      <c r="AO18" s="9"/>
      <c r="AP18" s="9"/>
      <c r="AQ18" s="9">
        <f>+FL_2($T$19,$T$17,$G$18,1200,9.28, 1*$F$19)</f>
        <v>-0.42418525866666662</v>
      </c>
      <c r="AR18" s="9"/>
      <c r="AS18" s="9"/>
      <c r="AT18" s="9"/>
      <c r="AU18" s="428"/>
      <c r="AV18" s="428"/>
      <c r="AW18" s="449" t="str">
        <f>IF(C18&gt;0,VLOOKUP(C18,Foundation_Calc!$A$2:$C$13,3,1),
IF(J18&gt;0,VLOOKUP(J18,Foundation_Calc!$A$2:$C$13,3,1),""))</f>
        <v/>
      </c>
      <c r="AX18" s="449" t="str">
        <f>IF(C18&gt;0,VLOOKUP(C18,Foundation_Calc!$E$2:$G$33,3,1),
IF(J18&gt;0,VLOOKUP(J18,Foundation_Calc!$E$2:$G$33,3,1),""))</f>
        <v/>
      </c>
      <c r="AY18" s="10" t="str">
        <f>IF(L18="","",
IF(AX18="PT",VLOOKUP(L18,Foundation_Calc!$K$79:$R$113,VLOOKUP(AW18,Foundation_Calc!$I$2:$J$8,2,FALSE),0),
IF(AX18="K",VLOOKUP(L18,Foundation_Calc!$K$117:$R$151,VLOOKUP(AW18,Foundation_Calc!$I$2:$J$8,2,FALSE),0),"")))</f>
        <v/>
      </c>
      <c r="AZ18" s="10" t="str">
        <f>IF(K18="","",
IF(AX18="PT",VLOOKUP(K18,Foundation_Calc!$K$79:$R$113,VLOOKUP(AW18,Foundation_Calc!$I$2:$J$8,2,FALSE),0),
IF(AX18="K",VLOOKUP(K18,Foundation_Calc!$K$117:$R$151,VLOOKUP(AW18,Foundation_Calc!$I$2:$J$8,2,FALSE),0),"")))</f>
        <v/>
      </c>
      <c r="BA18" s="495" t="str">
        <f t="shared" si="7"/>
        <v/>
      </c>
      <c r="BB18" s="495" t="str">
        <f t="shared" si="7"/>
        <v/>
      </c>
      <c r="BC18" s="495" t="str">
        <f t="shared" si="8"/>
        <v/>
      </c>
      <c r="BD18" s="513" t="str">
        <f>IF(AND(L18="",H18=""),"",
IF(H18="",Pole_Calc!A$9,
IF(H18="MP",Pole_Calc!A$10,
IF(H18="AnMP",Pole_Calc!A$11,
IF(H18="A",Pole_Calc!A$12,
IF(H18="S/A",Pole_Calc!A$13,
IF(H18="A/S",Pole_Calc!A$14,"Poner a mano")))))))</f>
        <v/>
      </c>
      <c r="BE18" s="429" t="s">
        <v>118</v>
      </c>
      <c r="BF18" s="290"/>
      <c r="BG18" s="290"/>
      <c r="BH18" s="290"/>
      <c r="BI18" s="290"/>
    </row>
    <row r="19" spans="1:61" ht="16.149999999999999" customHeight="1">
      <c r="A19" s="518"/>
      <c r="B19" s="450" t="s">
        <v>1801</v>
      </c>
      <c r="C19" s="3">
        <f>+$C$17+$G$18</f>
        <v>58205.719999999994</v>
      </c>
      <c r="D19" s="83"/>
      <c r="E19" s="4"/>
      <c r="F19" s="4">
        <v>0</v>
      </c>
      <c r="G19" s="6"/>
      <c r="H19" s="449" t="s">
        <v>284</v>
      </c>
      <c r="I19" s="4" t="s">
        <v>162</v>
      </c>
      <c r="J19" s="3"/>
      <c r="K19" s="449"/>
      <c r="L19" s="449" t="s">
        <v>268</v>
      </c>
      <c r="M19" s="449" t="str">
        <f>IF(L19="","",
IF(AX19="PT",VLOOKUP(L19,Foundation_Calc!$V$79:$X$113,VLOOKUP(AX19,Foundation_Calc!$I$10:$J$13,2,FALSE),0),
IF(AX19="K",VLOOKUP(L19,Foundation_Calc!$V$117:$X$151,VLOOKUP(AX19,Foundation_Calc!$I$10:$J$13,2,FALSE),0),"")))</f>
        <v>C7R</v>
      </c>
      <c r="N19" s="449" t="s">
        <v>124</v>
      </c>
      <c r="O19" s="449"/>
      <c r="P19" s="449"/>
      <c r="Q19" s="4"/>
      <c r="R19" s="6"/>
      <c r="S19" s="6"/>
      <c r="T19" s="4">
        <v>-20</v>
      </c>
      <c r="U19" s="4"/>
      <c r="V19" s="4"/>
      <c r="W19" s="9">
        <v>1.4</v>
      </c>
      <c r="X19" s="9"/>
      <c r="Y19" s="9"/>
      <c r="Z19" s="9"/>
      <c r="AA19" s="9"/>
      <c r="AB19" s="9"/>
      <c r="AC19" s="449" t="str">
        <f t="shared" si="12"/>
        <v>PH</v>
      </c>
      <c r="AD19" s="449"/>
      <c r="AE19" s="449"/>
      <c r="AF19" s="4"/>
      <c r="AG19" s="83"/>
      <c r="AH19" s="4"/>
      <c r="AI19" s="4"/>
      <c r="AJ19" s="449"/>
      <c r="AK19" s="449"/>
      <c r="AL19" s="449" t="s">
        <v>269</v>
      </c>
      <c r="AM19" s="449" t="s">
        <v>126</v>
      </c>
      <c r="AN19" s="10">
        <v>5.5</v>
      </c>
      <c r="AO19" s="9"/>
      <c r="AP19" s="9"/>
      <c r="AQ19" s="9"/>
      <c r="AR19" s="9"/>
      <c r="AS19" s="9"/>
      <c r="AT19" s="9">
        <f>+ab($T$19,$T$17,$T$21,$G$18,$G$20, 1*$F$19,1200)</f>
        <v>-17.834763460794786</v>
      </c>
      <c r="AU19" s="428"/>
      <c r="AV19" s="428"/>
      <c r="AW19" s="449" t="str">
        <f>IF(C19&gt;0,VLOOKUP(C19,Foundation_Calc!$A$2:$C$13,3,1),
IF(J19&gt;0,VLOOKUP(J19,Foundation_Calc!$A$2:$C$13,3,1),""))</f>
        <v>Multi Soil</v>
      </c>
      <c r="AX19" s="449" t="str">
        <f>IF(C19&gt;0,VLOOKUP(C19,Foundation_Calc!$E$2:$G$33,3,1),
IF(J19&gt;0,VLOOKUP(J19,Foundation_Calc!$E$2:$G$33,3,1),""))</f>
        <v>PT</v>
      </c>
      <c r="AY19" s="10">
        <f>IF(L19="","",
IF(AX19="PT",VLOOKUP(L19,Foundation_Calc!$K$79:$R$113,VLOOKUP(AW19,Foundation_Calc!$I$2:$J$8,2,FALSE),0),
IF(AX19="K",VLOOKUP(L19,Foundation_Calc!$K$117:$R$151,VLOOKUP(AW19,Foundation_Calc!$I$2:$J$8,2,FALSE),0),"")))</f>
        <v>4</v>
      </c>
      <c r="AZ19" s="10" t="str">
        <f>IF(K19="","",
IF(AX19="PT",VLOOKUP(K19,Foundation_Calc!$K$79:$R$113,VLOOKUP(AW19,Foundation_Calc!$I$2:$J$8,2,FALSE),0),
IF(AX19="K",VLOOKUP(K19,Foundation_Calc!$K$117:$R$151,VLOOKUP(AW19,Foundation_Calc!$I$2:$J$8,2,FALSE),0),"")))</f>
        <v/>
      </c>
      <c r="BA19" s="495" t="str">
        <f t="shared" si="7"/>
        <v>ü</v>
      </c>
      <c r="BB19" s="495" t="str">
        <f t="shared" si="7"/>
        <v/>
      </c>
      <c r="BC19" s="495" t="str">
        <f t="shared" si="8"/>
        <v/>
      </c>
      <c r="BD19" s="513" t="str">
        <f>Pole_Calc!A$251</f>
        <v>App.8-V08H-P10.3</v>
      </c>
      <c r="BE19" s="429" t="s">
        <v>118</v>
      </c>
      <c r="BF19" s="289"/>
      <c r="BG19" s="289"/>
      <c r="BH19" s="290"/>
      <c r="BI19" s="289"/>
    </row>
    <row r="20" spans="1:61" ht="16.149999999999999" customHeight="1">
      <c r="A20" s="518"/>
      <c r="B20" s="450"/>
      <c r="C20" s="3"/>
      <c r="D20" s="83"/>
      <c r="E20" s="4"/>
      <c r="F20" s="4"/>
      <c r="G20" s="6">
        <v>43</v>
      </c>
      <c r="H20" s="449"/>
      <c r="I20" s="449"/>
      <c r="J20" s="3">
        <f>C19+7.5</f>
        <v>58213.219999999994</v>
      </c>
      <c r="K20" s="449" t="s">
        <v>117</v>
      </c>
      <c r="L20" s="449"/>
      <c r="M20" s="449" t="str">
        <f>IF(L20="","",
IF(AX20="PT",VLOOKUP(L20,Foundation_Calc!$V$79:$X$113,VLOOKUP(AX20,Foundation_Calc!$I$10:$J$13,2,FALSE),0),
IF(AX20="K",VLOOKUP(L20,Foundation_Calc!$V$117:$X$151,VLOOKUP(AX20,Foundation_Calc!$I$10:$J$13,2,FALSE),0),"")))</f>
        <v/>
      </c>
      <c r="N20" s="449"/>
      <c r="O20" s="449"/>
      <c r="P20" s="449"/>
      <c r="Q20" s="4"/>
      <c r="R20" s="6"/>
      <c r="S20" s="6"/>
      <c r="T20" s="4"/>
      <c r="U20" s="4"/>
      <c r="V20" s="4"/>
      <c r="W20" s="9"/>
      <c r="X20" s="9"/>
      <c r="Y20" s="9"/>
      <c r="Z20" s="9"/>
      <c r="AA20" s="9"/>
      <c r="AB20" s="9"/>
      <c r="AC20" s="449" t="str">
        <f t="shared" si="12"/>
        <v/>
      </c>
      <c r="AD20" s="449"/>
      <c r="AE20" s="449"/>
      <c r="AF20" s="4"/>
      <c r="AG20" s="83"/>
      <c r="AH20" s="4"/>
      <c r="AI20" s="4"/>
      <c r="AJ20" s="449"/>
      <c r="AK20" s="449"/>
      <c r="AL20" s="449"/>
      <c r="AM20" s="449"/>
      <c r="AN20" s="10"/>
      <c r="AO20" s="9"/>
      <c r="AP20" s="9"/>
      <c r="AQ20" s="9">
        <f>+FL_1($T$21,$T$19,$G$20,1200,9.28, 1*$F$21)</f>
        <v>0.35951378753488367</v>
      </c>
      <c r="AR20" s="9"/>
      <c r="AS20" s="9"/>
      <c r="AT20" s="9"/>
      <c r="AU20" s="428"/>
      <c r="AV20" s="428"/>
      <c r="AW20" s="449" t="str">
        <f>IF(C20&gt;0,VLOOKUP(C20,Foundation_Calc!$A$2:$C$13,3,1),
IF(J20&gt;0,VLOOKUP(J20,Foundation_Calc!$A$2:$C$13,3,1),""))</f>
        <v>Multi Soil</v>
      </c>
      <c r="AX20" s="449" t="str">
        <f>IF(C20&gt;0,VLOOKUP(C20,Foundation_Calc!$E$2:$G$33,3,1),
IF(J20&gt;0,VLOOKUP(J20,Foundation_Calc!$E$2:$G$33,3,1),""))</f>
        <v>PT</v>
      </c>
      <c r="AY20" s="10" t="str">
        <f>IF(L20="","",
IF(AX20="PT",VLOOKUP(L20,Foundation_Calc!$K$79:$R$113,VLOOKUP(AW20,Foundation_Calc!$I$2:$J$8,2,FALSE),0),
IF(AX20="K",VLOOKUP(L20,Foundation_Calc!$K$117:$R$151,VLOOKUP(AW20,Foundation_Calc!$I$2:$J$8,2,FALSE),0),"")))</f>
        <v/>
      </c>
      <c r="AZ20" s="10">
        <f>IF(K20="","",
IF(AX20="PT",VLOOKUP(K20,Foundation_Calc!$K$79:$R$113,VLOOKUP(AW20,Foundation_Calc!$I$2:$J$8,2,FALSE),0),
IF(AX20="K",VLOOKUP(K20,Foundation_Calc!$K$117:$R$151,VLOOKUP(AW20,Foundation_Calc!$I$2:$J$8,2,FALSE),0),"")))</f>
        <v>3.9</v>
      </c>
      <c r="BA20" s="495" t="str">
        <f t="shared" si="7"/>
        <v/>
      </c>
      <c r="BB20" s="495" t="str">
        <f t="shared" si="7"/>
        <v>ü</v>
      </c>
      <c r="BC20" s="495" t="str">
        <f t="shared" si="8"/>
        <v/>
      </c>
      <c r="BD20" s="513" t="str">
        <f>IF(AND(L20="",H20=""),"",
IF(H20="",Pole_Calc!A$9,
IF(H20="MP",Pole_Calc!A$10,
IF(H20="AnMP",Pole_Calc!A$11,
IF(H20="A",Pole_Calc!A$12,
IF(H20="S/A",Pole_Calc!A$13,
IF(H20="A/S",Pole_Calc!A$14,"Poner a mano")))))))</f>
        <v/>
      </c>
      <c r="BE20" s="429" t="s">
        <v>118</v>
      </c>
      <c r="BF20" s="290"/>
      <c r="BG20" s="290"/>
      <c r="BH20" s="290"/>
      <c r="BI20" s="290"/>
    </row>
    <row r="21" spans="1:61" ht="16.149999999999999" customHeight="1">
      <c r="A21" s="517"/>
      <c r="B21" s="450" t="s">
        <v>1802</v>
      </c>
      <c r="C21" s="3">
        <f>+$C$19+$G$20</f>
        <v>58248.719999999994</v>
      </c>
      <c r="D21" s="83"/>
      <c r="E21" s="4"/>
      <c r="F21" s="4">
        <v>0</v>
      </c>
      <c r="G21" s="6"/>
      <c r="H21" s="449"/>
      <c r="I21" s="449"/>
      <c r="J21" s="3"/>
      <c r="K21" s="449"/>
      <c r="L21" s="449" t="s">
        <v>268</v>
      </c>
      <c r="M21" s="449" t="str">
        <f>IF(L21="","",
IF(AX21="PT",VLOOKUP(L21,Foundation_Calc!$V$79:$X$113,VLOOKUP(AX21,Foundation_Calc!$I$10:$J$13,2,FALSE),0),
IF(AX21="K",VLOOKUP(L21,Foundation_Calc!$V$117:$X$151,VLOOKUP(AX21,Foundation_Calc!$I$10:$J$13,2,FALSE),0),"")))</f>
        <v>C7R</v>
      </c>
      <c r="N21" s="449" t="s">
        <v>134</v>
      </c>
      <c r="O21" s="449"/>
      <c r="P21" s="449"/>
      <c r="Q21" s="4"/>
      <c r="R21" s="6"/>
      <c r="S21" s="6"/>
      <c r="T21" s="4">
        <v>35</v>
      </c>
      <c r="U21" s="4"/>
      <c r="V21" s="4"/>
      <c r="W21" s="9">
        <v>1.4</v>
      </c>
      <c r="X21" s="9"/>
      <c r="Y21" s="9"/>
      <c r="Z21" s="9"/>
      <c r="AA21" s="9"/>
      <c r="AB21" s="9"/>
      <c r="AC21" s="449" t="str">
        <f t="shared" si="12"/>
        <v>PHQ</v>
      </c>
      <c r="AD21" s="449"/>
      <c r="AE21" s="449"/>
      <c r="AF21" s="4"/>
      <c r="AG21" s="83"/>
      <c r="AH21" s="4"/>
      <c r="AI21" s="4"/>
      <c r="AJ21" s="449"/>
      <c r="AK21" s="449"/>
      <c r="AL21" s="449" t="s">
        <v>269</v>
      </c>
      <c r="AM21" s="449" t="s">
        <v>126</v>
      </c>
      <c r="AN21" s="10">
        <v>5.5</v>
      </c>
      <c r="AO21" s="9"/>
      <c r="AP21" s="9"/>
      <c r="AQ21" s="9"/>
      <c r="AR21" s="9"/>
      <c r="AS21" s="9"/>
      <c r="AT21" s="9">
        <f>+ab($T$21,$T$19,$T$23,$G$20,$G$22, 1*$F$21,1200)</f>
        <v>6.6477704894300613</v>
      </c>
      <c r="AU21" s="428"/>
      <c r="AV21" s="428"/>
      <c r="AW21" s="449" t="str">
        <f>IF(C21&gt;0,VLOOKUP(C21,Foundation_Calc!$A$2:$C$13,3,1),
IF(J21&gt;0,VLOOKUP(J21,Foundation_Calc!$A$2:$C$13,3,1),""))</f>
        <v>Multi Soil</v>
      </c>
      <c r="AX21" s="449" t="str">
        <f>IF(C21&gt;0,VLOOKUP(C21,Foundation_Calc!$E$2:$G$33,3,1),
IF(J21&gt;0,VLOOKUP(J21,Foundation_Calc!$E$2:$G$33,3,1),""))</f>
        <v>PT</v>
      </c>
      <c r="AY21" s="10">
        <f>IF(L21="","",
IF(AX21="PT",VLOOKUP(L21,Foundation_Calc!$K$79:$R$113,VLOOKUP(AW21,Foundation_Calc!$I$2:$J$8,2,FALSE),0),
IF(AX21="K",VLOOKUP(L21,Foundation_Calc!$K$117:$R$151,VLOOKUP(AW21,Foundation_Calc!$I$2:$J$8,2,FALSE),0),"")))</f>
        <v>4</v>
      </c>
      <c r="AZ21" s="10" t="str">
        <f>IF(K21="","",
IF(AX21="PT",VLOOKUP(K21,Foundation_Calc!$K$79:$R$113,VLOOKUP(AW21,Foundation_Calc!$I$2:$J$8,2,FALSE),0),
IF(AX21="K",VLOOKUP(K21,Foundation_Calc!$K$117:$R$151,VLOOKUP(AW21,Foundation_Calc!$I$2:$J$8,2,FALSE),0),"")))</f>
        <v/>
      </c>
      <c r="BA21" s="495" t="str">
        <f t="shared" si="7"/>
        <v>ü</v>
      </c>
      <c r="BB21" s="495" t="str">
        <f t="shared" si="7"/>
        <v/>
      </c>
      <c r="BC21" s="495" t="str">
        <f t="shared" si="8"/>
        <v/>
      </c>
      <c r="BD21" s="513" t="str">
        <f>Pole_Calc!A$251</f>
        <v>App.8-V08H-P10.3</v>
      </c>
      <c r="BE21" s="429" t="s">
        <v>118</v>
      </c>
      <c r="BF21" s="289"/>
      <c r="BG21" s="289"/>
      <c r="BH21" s="290"/>
      <c r="BI21" s="289"/>
    </row>
    <row r="22" spans="1:61" ht="16.149999999999999" customHeight="1">
      <c r="A22" s="696" t="s">
        <v>853</v>
      </c>
      <c r="B22" s="697"/>
      <c r="C22" s="698"/>
      <c r="D22" s="699"/>
      <c r="E22" s="700"/>
      <c r="F22" s="700"/>
      <c r="G22" s="701">
        <v>43.9</v>
      </c>
      <c r="H22" s="702"/>
      <c r="I22" s="703"/>
      <c r="J22" s="703"/>
      <c r="K22" s="702"/>
      <c r="L22" s="702"/>
      <c r="M22" s="702" t="str">
        <f>IF(L22="","",
IF(AX22="PT",VLOOKUP(L22,Foundation_Calc!$V$79:$X$113,VLOOKUP(AX22,Foundation_Calc!$I$10:$J$13,2,FALSE),0),
IF(AX22="K",VLOOKUP(L22,Foundation_Calc!$V$117:$X$151,VLOOKUP(AX22,Foundation_Calc!$I$10:$J$13,2,FALSE),0),"")))</f>
        <v/>
      </c>
      <c r="N22" s="702"/>
      <c r="O22" s="702"/>
      <c r="P22" s="702"/>
      <c r="Q22" s="700"/>
      <c r="R22" s="701"/>
      <c r="S22" s="701"/>
      <c r="T22" s="700"/>
      <c r="U22" s="700"/>
      <c r="V22" s="700"/>
      <c r="W22" s="703"/>
      <c r="X22" s="703"/>
      <c r="Y22" s="703"/>
      <c r="Z22" s="703"/>
      <c r="AA22" s="703"/>
      <c r="AB22" s="703"/>
      <c r="AC22" s="702" t="str">
        <f t="shared" si="12"/>
        <v/>
      </c>
      <c r="AD22" s="702"/>
      <c r="AE22" s="702"/>
      <c r="AF22" s="700"/>
      <c r="AG22" s="699"/>
      <c r="AH22" s="700"/>
      <c r="AI22" s="700"/>
      <c r="AJ22" s="702"/>
      <c r="AK22" s="702"/>
      <c r="AL22" s="702"/>
      <c r="AM22" s="702"/>
      <c r="AN22" s="704"/>
      <c r="AO22" s="703"/>
      <c r="AP22" s="703"/>
      <c r="AQ22" s="703">
        <f>+FL_1($T$23,$T$21,$G$22,1200,9.28, 1*$F$23)</f>
        <v>0.35068504270615042</v>
      </c>
      <c r="AR22" s="703"/>
      <c r="AS22" s="703"/>
      <c r="AT22" s="703"/>
      <c r="AU22" s="705"/>
      <c r="AV22" s="705"/>
      <c r="AW22" s="702" t="str">
        <f>IF(C22&gt;0,VLOOKUP(C22,Foundation_Calc!$A$2:$C$13,3,1),
IF(J22&gt;0,VLOOKUP(J22,Foundation_Calc!$A$2:$C$13,3,1),""))</f>
        <v/>
      </c>
      <c r="AX22" s="702" t="str">
        <f>IF(C22&gt;0,VLOOKUP(C22,Foundation_Calc!$E$2:$G$33,3,1),
IF(J22&gt;0,VLOOKUP(J22,Foundation_Calc!$E$2:$G$33,3,1),""))</f>
        <v/>
      </c>
      <c r="AY22" s="704" t="str">
        <f>IF(L22="","",
IF(AX22="PT",VLOOKUP(L22,Foundation_Calc!$K$79:$R$113,VLOOKUP(AW22,Foundation_Calc!$I$2:$J$8,2,FALSE),0),
IF(AX22="K",VLOOKUP(L22,Foundation_Calc!$K$117:$R$151,VLOOKUP(AW22,Foundation_Calc!$I$2:$J$8,2,FALSE),0),"")))</f>
        <v/>
      </c>
      <c r="AZ22" s="704" t="str">
        <f>IF(K22="","",
IF(AX22="PT",VLOOKUP(K22,Foundation_Calc!$K$79:$R$113,VLOOKUP(AW22,Foundation_Calc!$I$2:$J$8,2,FALSE),0),
IF(AX22="K",VLOOKUP(K22,Foundation_Calc!$K$117:$R$151,VLOOKUP(AW22,Foundation_Calc!$I$2:$J$8,2,FALSE),0),"")))</f>
        <v/>
      </c>
      <c r="BA22" s="495" t="str">
        <f t="shared" si="7"/>
        <v/>
      </c>
      <c r="BB22" s="495" t="str">
        <f t="shared" si="7"/>
        <v/>
      </c>
      <c r="BC22" s="495" t="str">
        <f t="shared" si="8"/>
        <v/>
      </c>
      <c r="BD22" s="513" t="str">
        <f>IF(AND(L22="",H22=""),"",
IF(H22="",Pole_Calc!A$9,
IF(H22="MP",Pole_Calc!A$10,
IF(H22="AnMP",Pole_Calc!A$11,
IF(H22="A",Pole_Calc!A$12,
IF(H22="S/A",Pole_Calc!A$13,
IF(H22="A/S",Pole_Calc!A$14,"Poner a mano")))))))</f>
        <v/>
      </c>
      <c r="BE22" s="429" t="s">
        <v>118</v>
      </c>
      <c r="BF22" s="290"/>
      <c r="BG22" s="290"/>
      <c r="BH22" s="290"/>
      <c r="BI22" s="290"/>
    </row>
    <row r="23" spans="1:61" ht="16.149999999999999" customHeight="1">
      <c r="A23" s="514"/>
      <c r="B23" s="450" t="s">
        <v>1803</v>
      </c>
      <c r="C23" s="3">
        <f>+$C$21+$G$22</f>
        <v>58292.619999999995</v>
      </c>
      <c r="D23" s="83"/>
      <c r="E23" s="4"/>
      <c r="F23" s="4">
        <v>0</v>
      </c>
      <c r="G23" s="6"/>
      <c r="H23" s="449"/>
      <c r="I23" s="449"/>
      <c r="J23" s="449"/>
      <c r="K23" s="449"/>
      <c r="L23" s="449" t="s">
        <v>268</v>
      </c>
      <c r="M23" s="449" t="str">
        <f>IF(L23="","",
IF(AX23="PT",VLOOKUP(L23,Foundation_Calc!$V$79:$X$113,VLOOKUP(AX23,Foundation_Calc!$I$10:$J$13,2,FALSE),0),
IF(AX23="K",VLOOKUP(L23,Foundation_Calc!$V$117:$X$151,VLOOKUP(AX23,Foundation_Calc!$I$10:$J$13,2,FALSE),0),"")))</f>
        <v>C7R</v>
      </c>
      <c r="N23" s="449" t="s">
        <v>124</v>
      </c>
      <c r="O23" s="449"/>
      <c r="P23" s="449"/>
      <c r="Q23" s="4"/>
      <c r="R23" s="6"/>
      <c r="S23" s="6"/>
      <c r="T23" s="4">
        <v>-35</v>
      </c>
      <c r="U23" s="4"/>
      <c r="V23" s="4"/>
      <c r="W23" s="9">
        <v>1.4</v>
      </c>
      <c r="X23" s="9"/>
      <c r="Y23" s="9"/>
      <c r="Z23" s="9"/>
      <c r="AA23" s="9"/>
      <c r="AB23" s="9"/>
      <c r="AC23" s="449" t="str">
        <f t="shared" si="12"/>
        <v>PHQ</v>
      </c>
      <c r="AD23" s="449"/>
      <c r="AE23" s="449"/>
      <c r="AF23" s="4"/>
      <c r="AG23" s="83"/>
      <c r="AH23" s="4"/>
      <c r="AI23" s="4"/>
      <c r="AJ23" s="449"/>
      <c r="AK23" s="449"/>
      <c r="AL23" s="449" t="s">
        <v>269</v>
      </c>
      <c r="AM23" s="449" t="s">
        <v>126</v>
      </c>
      <c r="AN23" s="10">
        <v>5.5</v>
      </c>
      <c r="AO23" s="9"/>
      <c r="AP23" s="9"/>
      <c r="AQ23" s="9"/>
      <c r="AR23" s="9"/>
      <c r="AS23" s="9"/>
      <c r="AT23" s="9">
        <f>+ab($T$23,$T$21,$T$25,$G$22,$G$24, 1*$F$23,1200)</f>
        <v>-5.2722235052400102</v>
      </c>
      <c r="AU23" s="428"/>
      <c r="AV23" s="428"/>
      <c r="AW23" s="449" t="str">
        <f>IF(C23&gt;0,VLOOKUP(C23,Foundation_Calc!$A$2:$C$13,3,1),
IF(J23&gt;0,VLOOKUP(J23,Foundation_Calc!$A$2:$C$13,3,1),""))</f>
        <v>Multi Soil</v>
      </c>
      <c r="AX23" s="449" t="str">
        <f>IF(C23&gt;0,VLOOKUP(C23,Foundation_Calc!$E$2:$G$33,3,1),
IF(J23&gt;0,VLOOKUP(J23,Foundation_Calc!$E$2:$G$33,3,1),""))</f>
        <v>PT</v>
      </c>
      <c r="AY23" s="10">
        <f>IF(L23="","",
IF(AX23="PT",VLOOKUP(L23,Foundation_Calc!$K$79:$R$113,VLOOKUP(AW23,Foundation_Calc!$I$2:$J$8,2,FALSE),0),
IF(AX23="K",VLOOKUP(L23,Foundation_Calc!$K$117:$R$151,VLOOKUP(AW23,Foundation_Calc!$I$2:$J$8,2,FALSE),0),"")))</f>
        <v>4</v>
      </c>
      <c r="AZ23" s="10" t="str">
        <f>IF(K23="","",
IF(AX23="PT",VLOOKUP(K23,Foundation_Calc!$K$79:$R$113,VLOOKUP(AW23,Foundation_Calc!$I$2:$J$8,2,FALSE),0),
IF(AX23="K",VLOOKUP(K23,Foundation_Calc!$K$117:$R$151,VLOOKUP(AW23,Foundation_Calc!$I$2:$J$8,2,FALSE),0),"")))</f>
        <v/>
      </c>
      <c r="BA23" s="495" t="str">
        <f t="shared" si="7"/>
        <v>ü</v>
      </c>
      <c r="BB23" s="495" t="str">
        <f t="shared" si="7"/>
        <v/>
      </c>
      <c r="BC23" s="495" t="str">
        <f t="shared" si="8"/>
        <v/>
      </c>
      <c r="BD23" s="513" t="str">
        <f>Pole_Calc!A$251</f>
        <v>App.8-V08H-P10.3</v>
      </c>
      <c r="BE23" s="429" t="s">
        <v>118</v>
      </c>
      <c r="BF23" s="289"/>
      <c r="BG23" s="289"/>
      <c r="BH23" s="290"/>
      <c r="BI23" s="289"/>
    </row>
    <row r="24" spans="1:61" ht="16.149999999999999" customHeight="1">
      <c r="A24" s="514"/>
      <c r="B24" s="450"/>
      <c r="C24" s="3"/>
      <c r="D24" s="83"/>
      <c r="E24" s="4"/>
      <c r="F24" s="4"/>
      <c r="G24" s="6">
        <v>34.4</v>
      </c>
      <c r="H24" s="449"/>
      <c r="I24" s="9"/>
      <c r="J24" s="9"/>
      <c r="K24" s="449"/>
      <c r="L24" s="449"/>
      <c r="M24" s="449" t="str">
        <f>IF(L24="","",
IF(AX24="PT",VLOOKUP(L24,Foundation_Calc!$V$79:$X$113,VLOOKUP(AX24,Foundation_Calc!$I$10:$J$13,2,FALSE),0),
IF(AX24="K",VLOOKUP(L24,Foundation_Calc!$V$117:$X$151,VLOOKUP(AX24,Foundation_Calc!$I$10:$J$13,2,FALSE),0),"")))</f>
        <v/>
      </c>
      <c r="N24" s="449"/>
      <c r="O24" s="449"/>
      <c r="P24" s="449"/>
      <c r="Q24" s="4"/>
      <c r="R24" s="6"/>
      <c r="S24" s="6"/>
      <c r="T24" s="4"/>
      <c r="U24" s="4"/>
      <c r="V24" s="4"/>
      <c r="W24" s="9"/>
      <c r="X24" s="9"/>
      <c r="Y24" s="9"/>
      <c r="Z24" s="9"/>
      <c r="AA24" s="9"/>
      <c r="AB24" s="9"/>
      <c r="AC24" s="449" t="str">
        <f t="shared" si="12"/>
        <v/>
      </c>
      <c r="AD24" s="449"/>
      <c r="AE24" s="449"/>
      <c r="AF24" s="4"/>
      <c r="AG24" s="83"/>
      <c r="AH24" s="4"/>
      <c r="AI24" s="4"/>
      <c r="AJ24" s="449"/>
      <c r="AK24" s="449"/>
      <c r="AL24" s="449"/>
      <c r="AM24" s="449"/>
      <c r="AN24" s="10"/>
      <c r="AO24" s="9"/>
      <c r="AP24" s="9"/>
      <c r="AQ24" s="9">
        <f>+FL_2($T$25,$T$23,$G$24,1200,9.28, 1*$F$25)</f>
        <v>-0.35000000000001208</v>
      </c>
      <c r="AR24" s="9"/>
      <c r="AS24" s="9"/>
      <c r="AT24" s="9"/>
      <c r="AU24" s="428"/>
      <c r="AV24" s="428"/>
      <c r="AW24" s="449" t="str">
        <f>IF(C24&gt;0,VLOOKUP(C24,Foundation_Calc!$A$2:$C$13,3,1),
IF(J24&gt;0,VLOOKUP(J24,Foundation_Calc!$A$2:$C$13,3,1),""))</f>
        <v/>
      </c>
      <c r="AX24" s="449" t="str">
        <f>IF(C24&gt;0,VLOOKUP(C24,Foundation_Calc!$E$2:$G$33,3,1),
IF(J24&gt;0,VLOOKUP(J24,Foundation_Calc!$E$2:$G$33,3,1),""))</f>
        <v/>
      </c>
      <c r="AY24" s="10" t="str">
        <f>IF(L24="","",
IF(AX24="PT",VLOOKUP(L24,Foundation_Calc!$K$79:$R$113,VLOOKUP(AW24,Foundation_Calc!$I$2:$J$8,2,FALSE),0),
IF(AX24="K",VLOOKUP(L24,Foundation_Calc!$K$117:$R$151,VLOOKUP(AW24,Foundation_Calc!$I$2:$J$8,2,FALSE),0),"")))</f>
        <v/>
      </c>
      <c r="AZ24" s="10" t="str">
        <f>IF(K24="","",
IF(AX24="PT",VLOOKUP(K24,Foundation_Calc!$K$79:$R$113,VLOOKUP(AW24,Foundation_Calc!$I$2:$J$8,2,FALSE),0),
IF(AX24="K",VLOOKUP(K24,Foundation_Calc!$K$117:$R$151,VLOOKUP(AW24,Foundation_Calc!$I$2:$J$8,2,FALSE),0),"")))</f>
        <v/>
      </c>
      <c r="BA24" s="495" t="str">
        <f t="shared" si="7"/>
        <v/>
      </c>
      <c r="BB24" s="495" t="str">
        <f t="shared" si="7"/>
        <v/>
      </c>
      <c r="BC24" s="495" t="str">
        <f t="shared" si="8"/>
        <v/>
      </c>
      <c r="BD24" s="513" t="str">
        <f>IF(AND(L24="",H24=""),"",
IF(H24="",Pole_Calc!A$9,
IF(H24="MP",Pole_Calc!A$10,
IF(H24="AnMP",Pole_Calc!A$11,
IF(H24="A",Pole_Calc!A$12,
IF(H24="S/A",Pole_Calc!A$13,
IF(H24="A/S",Pole_Calc!A$14,"Poner a mano")))))))</f>
        <v/>
      </c>
      <c r="BE24" s="429" t="s">
        <v>118</v>
      </c>
      <c r="BF24" s="290"/>
      <c r="BG24" s="290"/>
      <c r="BH24" s="290"/>
      <c r="BI24" s="290"/>
    </row>
    <row r="25" spans="1:61" ht="16.149999999999999" customHeight="1">
      <c r="A25" s="514"/>
      <c r="B25" s="450" t="s">
        <v>1804</v>
      </c>
      <c r="C25" s="3">
        <f>+$C$23+$G$24</f>
        <v>58327.02</v>
      </c>
      <c r="D25" s="83"/>
      <c r="E25" s="4"/>
      <c r="F25" s="4">
        <v>0</v>
      </c>
      <c r="G25" s="6"/>
      <c r="H25" s="449" t="s">
        <v>168</v>
      </c>
      <c r="I25" s="449"/>
      <c r="J25" s="3"/>
      <c r="K25" s="449"/>
      <c r="L25" s="449" t="s">
        <v>268</v>
      </c>
      <c r="M25" s="449" t="str">
        <f>IF(L25="","",
IF(AX25="PT",VLOOKUP(L25,Foundation_Calc!$V$79:$X$113,VLOOKUP(AX25,Foundation_Calc!$I$10:$J$13,2,FALSE),0),
IF(AX25="K",VLOOKUP(L25,Foundation_Calc!$V$117:$X$151,VLOOKUP(AX25,Foundation_Calc!$I$10:$J$13,2,FALSE),0),"")))</f>
        <v>C7R</v>
      </c>
      <c r="N25" s="449" t="s">
        <v>134</v>
      </c>
      <c r="O25" s="449"/>
      <c r="P25" s="449"/>
      <c r="Q25" s="4"/>
      <c r="R25" s="6"/>
      <c r="S25" s="6"/>
      <c r="T25" s="4">
        <v>35</v>
      </c>
      <c r="U25" s="4"/>
      <c r="V25" s="4"/>
      <c r="W25" s="9">
        <v>1.4</v>
      </c>
      <c r="X25" s="9"/>
      <c r="Y25" s="9"/>
      <c r="Z25" s="9"/>
      <c r="AA25" s="9"/>
      <c r="AB25" s="9"/>
      <c r="AC25" s="449" t="str">
        <f t="shared" si="12"/>
        <v>PHC</v>
      </c>
      <c r="AD25" s="449"/>
      <c r="AE25" s="449"/>
      <c r="AF25" s="4"/>
      <c r="AG25" s="83"/>
      <c r="AH25" s="4"/>
      <c r="AI25" s="4"/>
      <c r="AJ25" s="449"/>
      <c r="AK25" s="449"/>
      <c r="AL25" s="449" t="s">
        <v>269</v>
      </c>
      <c r="AM25" s="449" t="s">
        <v>126</v>
      </c>
      <c r="AN25" s="10">
        <v>5.5</v>
      </c>
      <c r="AO25" s="9"/>
      <c r="AP25" s="9"/>
      <c r="AQ25" s="9"/>
      <c r="AR25" s="9"/>
      <c r="AS25" s="9"/>
      <c r="AT25" s="9">
        <f>+ab($T$25,$T$23,$T$27,$G$24,$G$26, 1*$F$25,1200)</f>
        <v>4.3843479248099664</v>
      </c>
      <c r="AU25" s="428"/>
      <c r="AV25" s="428"/>
      <c r="AW25" s="449" t="str">
        <f>IF(C25&gt;0,VLOOKUP(C25,Foundation_Calc!$A$2:$C$13,3,1),
IF(J25&gt;0,VLOOKUP(J25,Foundation_Calc!$A$2:$C$13,3,1),""))</f>
        <v>Multi Soil</v>
      </c>
      <c r="AX25" s="449" t="str">
        <f>IF(C25&gt;0,VLOOKUP(C25,Foundation_Calc!$E$2:$G$33,3,1),
IF(J25&gt;0,VLOOKUP(J25,Foundation_Calc!$E$2:$G$33,3,1),""))</f>
        <v>PT</v>
      </c>
      <c r="AY25" s="10">
        <f>IF(L25="","",
IF(AX25="PT",VLOOKUP(L25,Foundation_Calc!$K$79:$R$113,VLOOKUP(AW25,Foundation_Calc!$I$2:$J$8,2,FALSE),0),
IF(AX25="K",VLOOKUP(L25,Foundation_Calc!$K$117:$R$151,VLOOKUP(AW25,Foundation_Calc!$I$2:$J$8,2,FALSE),0),"")))</f>
        <v>4</v>
      </c>
      <c r="AZ25" s="10" t="str">
        <f>IF(K25="","",
IF(AX25="PT",VLOOKUP(K25,Foundation_Calc!$K$79:$R$113,VLOOKUP(AW25,Foundation_Calc!$I$2:$J$8,2,FALSE),0),
IF(AX25="K",VLOOKUP(K25,Foundation_Calc!$K$117:$R$151,VLOOKUP(AW25,Foundation_Calc!$I$2:$J$8,2,FALSE),0),"")))</f>
        <v/>
      </c>
      <c r="BA25" s="495" t="str">
        <f t="shared" si="7"/>
        <v>ü</v>
      </c>
      <c r="BB25" s="495" t="str">
        <f t="shared" si="7"/>
        <v/>
      </c>
      <c r="BC25" s="495" t="str">
        <f t="shared" si="8"/>
        <v/>
      </c>
      <c r="BD25" s="513" t="str">
        <f>Pole_Calc!A$251</f>
        <v>App.8-V08H-P10.3</v>
      </c>
      <c r="BE25" s="429" t="s">
        <v>118</v>
      </c>
      <c r="BF25" s="289"/>
      <c r="BG25" s="289"/>
      <c r="BH25" s="290"/>
      <c r="BI25" s="289"/>
    </row>
    <row r="26" spans="1:61" ht="16.149999999999999" customHeight="1">
      <c r="A26" s="514"/>
      <c r="B26" s="450"/>
      <c r="C26" s="3"/>
      <c r="D26" s="83"/>
      <c r="E26" s="4"/>
      <c r="F26" s="4"/>
      <c r="G26" s="6">
        <v>30</v>
      </c>
      <c r="H26" s="449"/>
      <c r="I26" s="449"/>
      <c r="J26" s="3">
        <f>C25+7.5</f>
        <v>58334.52</v>
      </c>
      <c r="K26" s="449" t="s">
        <v>166</v>
      </c>
      <c r="L26" s="449"/>
      <c r="M26" s="449" t="str">
        <f>IF(L26="","",
IF(AX26="PT",VLOOKUP(L26,Foundation_Calc!$V$79:$X$113,VLOOKUP(AX26,Foundation_Calc!$I$10:$J$13,2,FALSE),0),
IF(AX26="K",VLOOKUP(L26,Foundation_Calc!$V$117:$X$151,VLOOKUP(AX26,Foundation_Calc!$I$10:$J$13,2,FALSE),0),"")))</f>
        <v/>
      </c>
      <c r="N26" s="449"/>
      <c r="O26" s="449"/>
      <c r="P26" s="449"/>
      <c r="Q26" s="4"/>
      <c r="R26" s="6"/>
      <c r="S26" s="6"/>
      <c r="T26" s="4"/>
      <c r="U26" s="4"/>
      <c r="V26" s="4"/>
      <c r="W26" s="9"/>
      <c r="X26" s="9"/>
      <c r="Y26" s="9"/>
      <c r="Z26" s="9"/>
      <c r="AA26" s="9"/>
      <c r="AB26" s="9"/>
      <c r="AC26" s="449" t="str">
        <f t="shared" si="12"/>
        <v/>
      </c>
      <c r="AD26" s="449"/>
      <c r="AE26" s="449"/>
      <c r="AF26" s="4"/>
      <c r="AG26" s="83"/>
      <c r="AH26" s="4"/>
      <c r="AI26" s="4"/>
      <c r="AJ26" s="449"/>
      <c r="AK26" s="449"/>
      <c r="AL26" s="449"/>
      <c r="AM26" s="449"/>
      <c r="AN26" s="10"/>
      <c r="AO26" s="9"/>
      <c r="AP26" s="9"/>
      <c r="AQ26" s="9">
        <f>+FL_1($T$27,$T$25,$G$26,1200,9.28, 1*$F$27)</f>
        <v>0.35000000000002224</v>
      </c>
      <c r="AR26" s="9"/>
      <c r="AS26" s="9"/>
      <c r="AT26" s="9"/>
      <c r="AU26" s="428"/>
      <c r="AV26" s="428"/>
      <c r="AW26" s="449" t="str">
        <f>IF(C26&gt;0,VLOOKUP(C26,Foundation_Calc!$A$2:$C$13,3,1),
IF(J26&gt;0,VLOOKUP(J26,Foundation_Calc!$A$2:$C$13,3,1),""))</f>
        <v>Multi Soil</v>
      </c>
      <c r="AX26" s="449" t="str">
        <f>IF(C26&gt;0,VLOOKUP(C26,Foundation_Calc!$E$2:$G$33,3,1),
IF(J26&gt;0,VLOOKUP(J26,Foundation_Calc!$E$2:$G$33,3,1),""))</f>
        <v>PT</v>
      </c>
      <c r="AY26" s="10" t="str">
        <f>IF(L26="","",
IF(AX26="PT",VLOOKUP(L26,Foundation_Calc!$K$79:$R$113,VLOOKUP(AW26,Foundation_Calc!$I$2:$J$8,2,FALSE),0),
IF(AX26="K",VLOOKUP(L26,Foundation_Calc!$K$117:$R$151,VLOOKUP(AW26,Foundation_Calc!$I$2:$J$8,2,FALSE),0),"")))</f>
        <v/>
      </c>
      <c r="AZ26" s="10">
        <f>IF(K26="","",
IF(AX26="PT",VLOOKUP(K26,Foundation_Calc!$K$79:$R$113,VLOOKUP(AW26,Foundation_Calc!$I$2:$J$8,2,FALSE),0),
IF(AX26="K",VLOOKUP(K26,Foundation_Calc!$K$117:$R$151,VLOOKUP(AW26,Foundation_Calc!$I$2:$J$8,2,FALSE),0),"")))</f>
        <v>2.8</v>
      </c>
      <c r="BA26" s="495" t="str">
        <f t="shared" si="7"/>
        <v/>
      </c>
      <c r="BB26" s="495" t="str">
        <f t="shared" si="7"/>
        <v>ü</v>
      </c>
      <c r="BC26" s="495" t="str">
        <f t="shared" si="8"/>
        <v/>
      </c>
      <c r="BD26" s="513" t="str">
        <f>IF(AND(L26="",H26=""),"",
IF(H26="",Pole_Calc!A$9,
IF(H26="MP",Pole_Calc!A$10,
IF(H26="AnMP",Pole_Calc!A$11,
IF(H26="A",Pole_Calc!A$12,
IF(H26="S/A",Pole_Calc!A$13,
IF(H26="A/S",Pole_Calc!A$14,"Poner a mano")))))))</f>
        <v/>
      </c>
      <c r="BE26" s="429" t="s">
        <v>118</v>
      </c>
      <c r="BF26" s="290"/>
      <c r="BG26" s="290"/>
      <c r="BH26" s="290"/>
      <c r="BI26" s="290"/>
    </row>
    <row r="27" spans="1:61" ht="16.149999999999999" customHeight="1">
      <c r="A27" s="514" t="s">
        <v>438</v>
      </c>
      <c r="B27" s="450" t="s">
        <v>1805</v>
      </c>
      <c r="C27" s="3">
        <f>+$C$25+$G$26</f>
        <v>58357.02</v>
      </c>
      <c r="D27" s="83"/>
      <c r="E27" s="4"/>
      <c r="F27" s="4">
        <v>0</v>
      </c>
      <c r="G27" s="6"/>
      <c r="H27" s="449"/>
      <c r="I27" s="449"/>
      <c r="J27" s="3"/>
      <c r="K27" s="449"/>
      <c r="L27" s="449" t="s">
        <v>268</v>
      </c>
      <c r="M27" s="449" t="str">
        <f>IF(L27="","",
IF(AX27="PT",VLOOKUP(L27,Foundation_Calc!$V$79:$X$113,VLOOKUP(AX27,Foundation_Calc!$I$10:$J$13,2,FALSE),0),
IF(AX27="K",VLOOKUP(L27,Foundation_Calc!$V$117:$X$151,VLOOKUP(AX27,Foundation_Calc!$I$10:$J$13,2,FALSE),0),"")))</f>
        <v>C7R</v>
      </c>
      <c r="N27" s="449" t="s">
        <v>124</v>
      </c>
      <c r="O27" s="449"/>
      <c r="P27" s="449"/>
      <c r="Q27" s="4"/>
      <c r="R27" s="6"/>
      <c r="S27" s="6"/>
      <c r="T27" s="4">
        <v>-35</v>
      </c>
      <c r="U27" s="4"/>
      <c r="V27" s="4"/>
      <c r="W27" s="9">
        <v>1.4</v>
      </c>
      <c r="X27" s="9"/>
      <c r="Y27" s="9"/>
      <c r="Z27" s="9"/>
      <c r="AA27" s="9"/>
      <c r="AB27" s="9"/>
      <c r="AC27" s="449" t="str">
        <f t="shared" si="12"/>
        <v>PHC</v>
      </c>
      <c r="AD27" s="449"/>
      <c r="AE27" s="449"/>
      <c r="AF27" s="4"/>
      <c r="AG27" s="83"/>
      <c r="AH27" s="4"/>
      <c r="AI27" s="4"/>
      <c r="AJ27" s="449"/>
      <c r="AK27" s="449"/>
      <c r="AL27" s="449" t="s">
        <v>269</v>
      </c>
      <c r="AM27" s="449" t="s">
        <v>126</v>
      </c>
      <c r="AN27" s="10">
        <v>5.5</v>
      </c>
      <c r="AO27" s="9"/>
      <c r="AP27" s="9"/>
      <c r="AQ27" s="9"/>
      <c r="AR27" s="9"/>
      <c r="AS27" s="9"/>
      <c r="AT27" s="9">
        <f>+ab($T$27,$T$25,$T$29,$G$26,$G$28, 1*$F$27,1200)</f>
        <v>-4.1049503047355094</v>
      </c>
      <c r="AU27" s="428"/>
      <c r="AV27" s="428"/>
      <c r="AW27" s="449" t="str">
        <f>IF(C27&gt;0,VLOOKUP(C27,Foundation_Calc!$A$2:$C$13,3,1),
IF(J27&gt;0,VLOOKUP(J27,Foundation_Calc!$A$2:$C$13,3,1),""))</f>
        <v>Multi Soil</v>
      </c>
      <c r="AX27" s="449" t="str">
        <f>IF(C27&gt;0,VLOOKUP(C27,Foundation_Calc!$E$2:$G$33,3,1),
IF(J27&gt;0,VLOOKUP(J27,Foundation_Calc!$E$2:$G$33,3,1),""))</f>
        <v>PT</v>
      </c>
      <c r="AY27" s="10">
        <f>IF(L27="","",
IF(AX27="PT",VLOOKUP(L27,Foundation_Calc!$K$79:$R$113,VLOOKUP(AW27,Foundation_Calc!$I$2:$J$8,2,FALSE),0),
IF(AX27="K",VLOOKUP(L27,Foundation_Calc!$K$117:$R$151,VLOOKUP(AW27,Foundation_Calc!$I$2:$J$8,2,FALSE),0),"")))</f>
        <v>4</v>
      </c>
      <c r="AZ27" s="10" t="str">
        <f>IF(K27="","",
IF(AX27="PT",VLOOKUP(K27,Foundation_Calc!$K$79:$R$113,VLOOKUP(AW27,Foundation_Calc!$I$2:$J$8,2,FALSE),0),
IF(AX27="K",VLOOKUP(K27,Foundation_Calc!$K$117:$R$151,VLOOKUP(AW27,Foundation_Calc!$I$2:$J$8,2,FALSE),0),"")))</f>
        <v/>
      </c>
      <c r="BA27" s="495" t="str">
        <f t="shared" ref="BA27:BA60" si="13">IF(AY27="","",IF(AY27&gt;0,"ü",""))</f>
        <v>ü</v>
      </c>
      <c r="BB27" s="495" t="str">
        <f t="shared" ref="BB27:BB60" si="14">IF(AZ27="","",IF(AZ27&gt;0,"ü",""))</f>
        <v/>
      </c>
      <c r="BC27" s="495" t="str">
        <f t="shared" ref="BC27:BC60" si="15">IF(M27="","",IF(M27="U.S.","ü",IF(M27="U.S. N.D.","ü","")))</f>
        <v/>
      </c>
      <c r="BD27" s="513" t="str">
        <f>Pole_Calc!A$251</f>
        <v>App.8-V08H-P10.3</v>
      </c>
      <c r="BE27" s="429" t="s">
        <v>118</v>
      </c>
      <c r="BF27" s="289"/>
      <c r="BG27" s="289"/>
      <c r="BH27" s="290"/>
      <c r="BI27" s="289"/>
    </row>
    <row r="28" spans="1:61" ht="16.149999999999999" customHeight="1">
      <c r="A28" s="517" t="s">
        <v>442</v>
      </c>
      <c r="B28" s="450"/>
      <c r="C28" s="3"/>
      <c r="D28" s="83"/>
      <c r="E28" s="4"/>
      <c r="F28" s="4"/>
      <c r="G28" s="6">
        <v>30</v>
      </c>
      <c r="H28" s="449"/>
      <c r="I28" s="449"/>
      <c r="J28" s="3"/>
      <c r="K28" s="449"/>
      <c r="L28" s="449"/>
      <c r="M28" s="449" t="str">
        <f>IF(L28="","",
IF(AX28="PT",VLOOKUP(L28,Foundation_Calc!$V$79:$X$113,VLOOKUP(AX28,Foundation_Calc!$I$10:$J$13,2,FALSE),0),
IF(AX28="K",VLOOKUP(L28,Foundation_Calc!$V$117:$X$151,VLOOKUP(AX28,Foundation_Calc!$I$10:$J$13,2,FALSE),0),"")))</f>
        <v/>
      </c>
      <c r="N28" s="449"/>
      <c r="O28" s="449"/>
      <c r="P28" s="449"/>
      <c r="Q28" s="4"/>
      <c r="R28" s="6"/>
      <c r="S28" s="6"/>
      <c r="T28" s="4"/>
      <c r="U28" s="4"/>
      <c r="V28" s="4"/>
      <c r="W28" s="9"/>
      <c r="X28" s="9"/>
      <c r="Y28" s="9"/>
      <c r="Z28" s="9"/>
      <c r="AA28" s="9"/>
      <c r="AB28" s="9"/>
      <c r="AC28" s="449" t="str">
        <f t="shared" si="12"/>
        <v/>
      </c>
      <c r="AD28" s="449"/>
      <c r="AE28" s="449"/>
      <c r="AF28" s="4"/>
      <c r="AG28" s="83"/>
      <c r="AH28" s="4"/>
      <c r="AI28" s="4"/>
      <c r="AJ28" s="449"/>
      <c r="AK28" s="449"/>
      <c r="AL28" s="449"/>
      <c r="AM28" s="449"/>
      <c r="AN28" s="10"/>
      <c r="AO28" s="9"/>
      <c r="AP28" s="9"/>
      <c r="AQ28" s="9">
        <f>+FL_2($T$29,$T$27,$G$28,1200,9.28, 1*$F$29)</f>
        <v>-0.35000000000002224</v>
      </c>
      <c r="AR28" s="9"/>
      <c r="AS28" s="9"/>
      <c r="AT28" s="9"/>
      <c r="AU28" s="428"/>
      <c r="AV28" s="428"/>
      <c r="AW28" s="449" t="str">
        <f>IF(C28&gt;0,VLOOKUP(C28,Foundation_Calc!$A$2:$C$13,3,1),
IF(J28&gt;0,VLOOKUP(J28,Foundation_Calc!$A$2:$C$13,3,1),""))</f>
        <v/>
      </c>
      <c r="AX28" s="449" t="str">
        <f>IF(C28&gt;0,VLOOKUP(C28,Foundation_Calc!$E$2:$G$33,3,1),
IF(J28&gt;0,VLOOKUP(J28,Foundation_Calc!$E$2:$G$33,3,1),""))</f>
        <v/>
      </c>
      <c r="AY28" s="10" t="str">
        <f>IF(L28="","",
IF(AX28="PT",VLOOKUP(L28,Foundation_Calc!$K$79:$R$113,VLOOKUP(AW28,Foundation_Calc!$I$2:$J$8,2,FALSE),0),
IF(AX28="K",VLOOKUP(L28,Foundation_Calc!$K$117:$R$151,VLOOKUP(AW28,Foundation_Calc!$I$2:$J$8,2,FALSE),0),"")))</f>
        <v/>
      </c>
      <c r="AZ28" s="10" t="str">
        <f>IF(K28="","",
IF(AX28="PT",VLOOKUP(K28,Foundation_Calc!$K$79:$R$113,VLOOKUP(AW28,Foundation_Calc!$I$2:$J$8,2,FALSE),0),
IF(AX28="K",VLOOKUP(K28,Foundation_Calc!$K$117:$R$151,VLOOKUP(AW28,Foundation_Calc!$I$2:$J$8,2,FALSE),0),"")))</f>
        <v/>
      </c>
      <c r="BA28" s="495" t="str">
        <f t="shared" si="13"/>
        <v/>
      </c>
      <c r="BB28" s="495" t="str">
        <f t="shared" si="14"/>
        <v/>
      </c>
      <c r="BC28" s="495" t="str">
        <f t="shared" si="15"/>
        <v/>
      </c>
      <c r="BD28" s="513" t="str">
        <f>IF(AND(L28="",H28=""),"",
IF(H28="",Pole_Calc!A$9,
IF(H28="MP",Pole_Calc!A$10,
IF(H28="AnMP",Pole_Calc!A$11,
IF(H28="A",Pole_Calc!A$12,
IF(H28="S/A",Pole_Calc!A$13,
IF(H28="A/S",Pole_Calc!A$14,"Poner a mano")))))))</f>
        <v/>
      </c>
      <c r="BE28" s="429" t="s">
        <v>118</v>
      </c>
      <c r="BF28" s="290"/>
      <c r="BG28" s="290"/>
      <c r="BH28" s="290"/>
      <c r="BI28" s="290"/>
    </row>
    <row r="29" spans="1:61" ht="16.149999999999999" customHeight="1">
      <c r="A29" s="517" t="s">
        <v>442</v>
      </c>
      <c r="B29" s="450" t="s">
        <v>1806</v>
      </c>
      <c r="C29" s="3">
        <f>+$C$27+$G$28</f>
        <v>58387.02</v>
      </c>
      <c r="D29" s="83"/>
      <c r="E29" s="4"/>
      <c r="F29" s="4">
        <v>0</v>
      </c>
      <c r="G29" s="6"/>
      <c r="H29" s="449"/>
      <c r="I29" s="449"/>
      <c r="J29" s="3"/>
      <c r="K29" s="449"/>
      <c r="L29" s="449" t="s">
        <v>268</v>
      </c>
      <c r="M29" s="449" t="str">
        <f>IF(L29="","",
IF(AX29="PT",VLOOKUP(L29,Foundation_Calc!$V$79:$X$113,VLOOKUP(AX29,Foundation_Calc!$I$10:$J$13,2,FALSE),0),
IF(AX29="K",VLOOKUP(L29,Foundation_Calc!$V$117:$X$151,VLOOKUP(AX29,Foundation_Calc!$I$10:$J$13,2,FALSE),0),"")))</f>
        <v>C7R</v>
      </c>
      <c r="N29" s="449" t="s">
        <v>134</v>
      </c>
      <c r="O29" s="449"/>
      <c r="P29" s="449"/>
      <c r="Q29" s="4"/>
      <c r="R29" s="6"/>
      <c r="S29" s="6"/>
      <c r="T29" s="4">
        <v>35</v>
      </c>
      <c r="U29" s="4"/>
      <c r="V29" s="4"/>
      <c r="W29" s="9">
        <v>1.4</v>
      </c>
      <c r="X29" s="9"/>
      <c r="Y29" s="9"/>
      <c r="Z29" s="9"/>
      <c r="AA29" s="9"/>
      <c r="AB29" s="9"/>
      <c r="AC29" s="449" t="str">
        <f t="shared" si="12"/>
        <v>PHC</v>
      </c>
      <c r="AD29" s="449"/>
      <c r="AE29" s="449"/>
      <c r="AF29" s="4"/>
      <c r="AG29" s="83"/>
      <c r="AH29" s="4"/>
      <c r="AI29" s="4"/>
      <c r="AJ29" s="449"/>
      <c r="AK29" s="449"/>
      <c r="AL29" s="449" t="s">
        <v>269</v>
      </c>
      <c r="AM29" s="449" t="s">
        <v>126</v>
      </c>
      <c r="AN29" s="10">
        <v>5.5</v>
      </c>
      <c r="AO29" s="9"/>
      <c r="AP29" s="9"/>
      <c r="AQ29" s="9"/>
      <c r="AR29" s="9"/>
      <c r="AS29" s="9"/>
      <c r="AT29" s="9">
        <f>+ab($T$29,$T$27,$T$31,$G$28,$G$30, 1*$F$29,1200)</f>
        <v>4.6889123715762251</v>
      </c>
      <c r="AU29" s="428"/>
      <c r="AV29" s="428"/>
      <c r="AW29" s="449" t="str">
        <f>IF(C29&gt;0,VLOOKUP(C29,Foundation_Calc!$A$2:$C$13,3,1),
IF(J29&gt;0,VLOOKUP(J29,Foundation_Calc!$A$2:$C$13,3,1),""))</f>
        <v>Multi Soil</v>
      </c>
      <c r="AX29" s="449" t="str">
        <f>IF(C29&gt;0,VLOOKUP(C29,Foundation_Calc!$E$2:$G$33,3,1),
IF(J29&gt;0,VLOOKUP(J29,Foundation_Calc!$E$2:$G$33,3,1),""))</f>
        <v>PT</v>
      </c>
      <c r="AY29" s="10">
        <f>IF(L29="","",
IF(AX29="PT",VLOOKUP(L29,Foundation_Calc!$K$79:$R$113,VLOOKUP(AW29,Foundation_Calc!$I$2:$J$8,2,FALSE),0),
IF(AX29="K",VLOOKUP(L29,Foundation_Calc!$K$117:$R$151,VLOOKUP(AW29,Foundation_Calc!$I$2:$J$8,2,FALSE),0),"")))</f>
        <v>4</v>
      </c>
      <c r="AZ29" s="10" t="str">
        <f>IF(K29="","",
IF(AX29="PT",VLOOKUP(K29,Foundation_Calc!$K$79:$R$113,VLOOKUP(AW29,Foundation_Calc!$I$2:$J$8,2,FALSE),0),
IF(AX29="K",VLOOKUP(K29,Foundation_Calc!$K$117:$R$151,VLOOKUP(AW29,Foundation_Calc!$I$2:$J$8,2,FALSE),0),"")))</f>
        <v/>
      </c>
      <c r="BA29" s="495" t="str">
        <f t="shared" si="13"/>
        <v>ü</v>
      </c>
      <c r="BB29" s="495" t="str">
        <f t="shared" si="14"/>
        <v/>
      </c>
      <c r="BC29" s="495" t="str">
        <f t="shared" si="15"/>
        <v/>
      </c>
      <c r="BD29" s="513" t="str">
        <f>Pole_Calc!A$251</f>
        <v>App.8-V08H-P10.3</v>
      </c>
      <c r="BE29" s="429" t="s">
        <v>118</v>
      </c>
      <c r="BF29" s="289"/>
      <c r="BG29" s="289"/>
      <c r="BH29" s="290"/>
      <c r="BI29" s="289"/>
    </row>
    <row r="30" spans="1:61" ht="16.149999999999999" customHeight="1">
      <c r="A30" s="518" t="s">
        <v>169</v>
      </c>
      <c r="B30" s="450"/>
      <c r="C30" s="3"/>
      <c r="D30" s="83"/>
      <c r="E30" s="4"/>
      <c r="F30" s="4"/>
      <c r="G30" s="6">
        <v>40</v>
      </c>
      <c r="H30" s="449"/>
      <c r="I30" s="4"/>
      <c r="J30" s="3">
        <f>C31-7.5</f>
        <v>58419.519999999997</v>
      </c>
      <c r="K30" s="449" t="s">
        <v>166</v>
      </c>
      <c r="L30" s="449"/>
      <c r="M30" s="449" t="str">
        <f>IF(L30="","",
IF(AX30="PT",VLOOKUP(L30,Foundation_Calc!$V$79:$X$113,VLOOKUP(AX30,Foundation_Calc!$I$10:$J$13,2,FALSE),0),
IF(AX30="K",VLOOKUP(L30,Foundation_Calc!$V$117:$X$151,VLOOKUP(AX30,Foundation_Calc!$I$10:$J$13,2,FALSE),0),"")))</f>
        <v/>
      </c>
      <c r="N30" s="449"/>
      <c r="O30" s="449"/>
      <c r="P30" s="449"/>
      <c r="Q30" s="4"/>
      <c r="R30" s="6"/>
      <c r="S30" s="6"/>
      <c r="T30" s="4"/>
      <c r="U30" s="4"/>
      <c r="V30" s="4"/>
      <c r="W30" s="9"/>
      <c r="X30" s="9"/>
      <c r="Y30" s="9"/>
      <c r="Z30" s="9"/>
      <c r="AA30" s="9"/>
      <c r="AB30" s="9"/>
      <c r="AC30" s="449" t="str">
        <f t="shared" si="12"/>
        <v/>
      </c>
      <c r="AD30" s="449"/>
      <c r="AE30" s="449"/>
      <c r="AF30" s="4"/>
      <c r="AG30" s="83"/>
      <c r="AH30" s="4"/>
      <c r="AI30" s="4"/>
      <c r="AJ30" s="449"/>
      <c r="AK30" s="449"/>
      <c r="AL30" s="449"/>
      <c r="AM30" s="449"/>
      <c r="AN30" s="10"/>
      <c r="AO30" s="9"/>
      <c r="AP30" s="9"/>
      <c r="AQ30" s="9">
        <f>+FL_1($T$31,$T$29,$G$30,1200,9.28, 1*$F$31)</f>
        <v>0.35000000000000125</v>
      </c>
      <c r="AR30" s="9"/>
      <c r="AS30" s="9"/>
      <c r="AT30" s="9"/>
      <c r="AU30" s="428"/>
      <c r="AV30" s="428"/>
      <c r="AW30" s="449" t="str">
        <f>IF(C30&gt;0,VLOOKUP(C30,Foundation_Calc!$A$2:$C$13,3,1),
IF(J30&gt;0,VLOOKUP(J30,Foundation_Calc!$A$2:$C$13,3,1),""))</f>
        <v>Multi Soil</v>
      </c>
      <c r="AX30" s="449" t="str">
        <f>IF(C30&gt;0,VLOOKUP(C30,Foundation_Calc!$E$2:$G$33,3,1),
IF(J30&gt;0,VLOOKUP(J30,Foundation_Calc!$E$2:$G$33,3,1),""))</f>
        <v>PT</v>
      </c>
      <c r="AY30" s="10" t="str">
        <f>IF(L30="","",
IF(AX30="PT",VLOOKUP(L30,Foundation_Calc!$K$79:$R$113,VLOOKUP(AW30,Foundation_Calc!$I$2:$J$8,2,FALSE),0),
IF(AX30="K",VLOOKUP(L30,Foundation_Calc!$K$117:$R$151,VLOOKUP(AW30,Foundation_Calc!$I$2:$J$8,2,FALSE),0),"")))</f>
        <v/>
      </c>
      <c r="AZ30" s="10">
        <f>IF(K30="","",
IF(AX30="PT",VLOOKUP(K30,Foundation_Calc!$K$79:$R$113,VLOOKUP(AW30,Foundation_Calc!$I$2:$J$8,2,FALSE),0),
IF(AX30="K",VLOOKUP(K30,Foundation_Calc!$K$117:$R$151,VLOOKUP(AW30,Foundation_Calc!$I$2:$J$8,2,FALSE),0),"")))</f>
        <v>2.8</v>
      </c>
      <c r="BA30" s="495" t="str">
        <f t="shared" si="13"/>
        <v/>
      </c>
      <c r="BB30" s="495" t="str">
        <f t="shared" si="14"/>
        <v>ü</v>
      </c>
      <c r="BC30" s="495" t="str">
        <f t="shared" si="15"/>
        <v/>
      </c>
      <c r="BD30" s="513" t="str">
        <f>IF(AND(L30="",H30=""),"",
IF(H30="",Pole_Calc!A$9,
IF(H30="MP",Pole_Calc!A$10,
IF(H30="AnMP",Pole_Calc!A$11,
IF(H30="A",Pole_Calc!A$12,
IF(H30="S/A",Pole_Calc!A$13,
IF(H30="A/S",Pole_Calc!A$14,"Poner a mano")))))))</f>
        <v/>
      </c>
      <c r="BE30" s="429" t="s">
        <v>118</v>
      </c>
      <c r="BF30" s="290"/>
      <c r="BG30" s="290"/>
      <c r="BH30" s="290"/>
      <c r="BI30" s="290"/>
    </row>
    <row r="31" spans="1:61" ht="16.149999999999999" customHeight="1">
      <c r="A31" s="781"/>
      <c r="B31" s="720" t="s">
        <v>1807</v>
      </c>
      <c r="C31" s="723">
        <f>+$C$29+$G$30</f>
        <v>58427.02</v>
      </c>
      <c r="D31" s="724"/>
      <c r="E31" s="725"/>
      <c r="F31" s="725">
        <v>0</v>
      </c>
      <c r="G31" s="726"/>
      <c r="H31" s="727" t="s">
        <v>168</v>
      </c>
      <c r="I31" s="725"/>
      <c r="J31" s="723"/>
      <c r="K31" s="727"/>
      <c r="L31" s="727" t="s">
        <v>268</v>
      </c>
      <c r="M31" s="727" t="str">
        <f>IF(L31="","",
IF(AX31="PT",VLOOKUP(L31,Foundation_Calc!$V$79:$X$113,VLOOKUP(AX31,Foundation_Calc!$I$10:$J$13,2,FALSE),0),
IF(AX31="K",VLOOKUP(L31,Foundation_Calc!$V$117:$X$151,VLOOKUP(AX31,Foundation_Calc!$I$10:$J$13,2,FALSE),0),"")))</f>
        <v>C7R</v>
      </c>
      <c r="N31" s="727" t="s">
        <v>124</v>
      </c>
      <c r="O31" s="727"/>
      <c r="P31" s="727"/>
      <c r="Q31" s="725"/>
      <c r="R31" s="726"/>
      <c r="S31" s="726"/>
      <c r="T31" s="725">
        <v>-35</v>
      </c>
      <c r="U31" s="725"/>
      <c r="V31" s="725"/>
      <c r="W31" s="728">
        <v>1.4</v>
      </c>
      <c r="X31" s="728"/>
      <c r="Y31" s="728"/>
      <c r="Z31" s="728"/>
      <c r="AA31" s="728"/>
      <c r="AB31" s="728"/>
      <c r="AC31" s="727" t="str">
        <f t="shared" si="12"/>
        <v>PHQ</v>
      </c>
      <c r="AD31" s="727"/>
      <c r="AE31" s="727"/>
      <c r="AF31" s="725"/>
      <c r="AG31" s="724"/>
      <c r="AH31" s="725"/>
      <c r="AI31" s="725"/>
      <c r="AJ31" s="727"/>
      <c r="AK31" s="727"/>
      <c r="AL31" s="727" t="s">
        <v>269</v>
      </c>
      <c r="AM31" s="727" t="s">
        <v>126</v>
      </c>
      <c r="AN31" s="729">
        <v>5.5</v>
      </c>
      <c r="AO31" s="728"/>
      <c r="AP31" s="728"/>
      <c r="AQ31" s="728"/>
      <c r="AR31" s="728"/>
      <c r="AS31" s="728"/>
      <c r="AT31" s="728">
        <f>+ab($T$31,$T$29,$T$33,$G$30,$G$32, 1*$F$31,1200)</f>
        <v>-5.9028151088503806</v>
      </c>
      <c r="AU31" s="730"/>
      <c r="AV31" s="730"/>
      <c r="AW31" s="727" t="str">
        <f>IF(C31&gt;0,VLOOKUP(C31,Foundation_Calc!$A$2:$C$13,3,1),
IF(J31&gt;0,VLOOKUP(J31,Foundation_Calc!$A$2:$C$13,3,1),""))</f>
        <v>Multi Soil</v>
      </c>
      <c r="AX31" s="727" t="str">
        <f>IF(C31&gt;0,VLOOKUP(C31,Foundation_Calc!$E$2:$G$33,3,1),
IF(J31&gt;0,VLOOKUP(J31,Foundation_Calc!$E$2:$G$33,3,1),""))</f>
        <v>PT</v>
      </c>
      <c r="AY31" s="729">
        <f>IF(L31="","",
IF(AX31="PT",VLOOKUP(L31,Foundation_Calc!$K$79:$R$113,VLOOKUP(AW31,Foundation_Calc!$I$2:$J$8,2,FALSE),0),
IF(AX31="K",VLOOKUP(L31,Foundation_Calc!$K$117:$R$151,VLOOKUP(AW31,Foundation_Calc!$I$2:$J$8,2,FALSE),0),"")))</f>
        <v>4</v>
      </c>
      <c r="AZ31" s="729" t="str">
        <f>IF(K31="","",
IF(AX31="PT",VLOOKUP(K31,Foundation_Calc!$K$79:$R$113,VLOOKUP(AW31,Foundation_Calc!$I$2:$J$8,2,FALSE),0),
IF(AX31="K",VLOOKUP(K31,Foundation_Calc!$K$117:$R$151,VLOOKUP(AW31,Foundation_Calc!$I$2:$J$8,2,FALSE),0),"")))</f>
        <v/>
      </c>
      <c r="BA31" s="495" t="str">
        <f t="shared" si="13"/>
        <v>ü</v>
      </c>
      <c r="BB31" s="495" t="str">
        <f t="shared" si="14"/>
        <v/>
      </c>
      <c r="BC31" s="495" t="str">
        <f t="shared" si="15"/>
        <v/>
      </c>
      <c r="BD31" s="513" t="str">
        <f>Pole_Calc!A$251</f>
        <v>App.8-V08H-P10.3</v>
      </c>
      <c r="BE31" s="429" t="s">
        <v>118</v>
      </c>
      <c r="BF31" s="289"/>
      <c r="BG31" s="289"/>
      <c r="BH31" s="290"/>
      <c r="BI31" s="289"/>
    </row>
    <row r="32" spans="1:61" ht="16.149999999999999" customHeight="1">
      <c r="A32" s="517" t="s">
        <v>442</v>
      </c>
      <c r="B32" s="450"/>
      <c r="C32" s="3"/>
      <c r="D32" s="83"/>
      <c r="E32" s="4"/>
      <c r="F32" s="4"/>
      <c r="G32" s="6">
        <v>47</v>
      </c>
      <c r="H32" s="449"/>
      <c r="I32" s="4">
        <f>C33-C5</f>
        <v>503.19999999999709</v>
      </c>
      <c r="J32" s="3"/>
      <c r="K32" s="449"/>
      <c r="L32" s="449"/>
      <c r="M32" s="449" t="str">
        <f>IF(L32="","",
IF(AX32="PT",VLOOKUP(L32,Foundation_Calc!$V$79:$X$113,VLOOKUP(AX32,Foundation_Calc!$I$10:$J$13,2,FALSE),0),
IF(AX32="K",VLOOKUP(L32,Foundation_Calc!$V$117:$X$151,VLOOKUP(AX32,Foundation_Calc!$I$10:$J$13,2,FALSE),0),"")))</f>
        <v/>
      </c>
      <c r="N32" s="449"/>
      <c r="O32" s="449"/>
      <c r="P32" s="449"/>
      <c r="Q32" s="4"/>
      <c r="R32" s="6"/>
      <c r="S32" s="6"/>
      <c r="T32" s="4"/>
      <c r="U32" s="4"/>
      <c r="V32" s="4"/>
      <c r="W32" s="9"/>
      <c r="X32" s="9"/>
      <c r="Y32" s="9"/>
      <c r="Z32" s="9"/>
      <c r="AA32" s="9"/>
      <c r="AB32" s="9"/>
      <c r="AC32" s="449" t="str">
        <f t="shared" si="12"/>
        <v/>
      </c>
      <c r="AD32" s="449"/>
      <c r="AE32" s="449"/>
      <c r="AF32" s="4"/>
      <c r="AG32" s="83"/>
      <c r="AH32" s="4"/>
      <c r="AI32" s="4"/>
      <c r="AJ32" s="449"/>
      <c r="AK32" s="449"/>
      <c r="AL32" s="449"/>
      <c r="AM32" s="449"/>
      <c r="AN32" s="10"/>
      <c r="AO32" s="9"/>
      <c r="AP32" s="9"/>
      <c r="AQ32" s="9">
        <f>+FL_2($T$33,$T$31,$G$32,1200,9.28, 1*$F$33)</f>
        <v>-0.35695465849645375</v>
      </c>
      <c r="AR32" s="9"/>
      <c r="AS32" s="9"/>
      <c r="AT32" s="9"/>
      <c r="AU32" s="428"/>
      <c r="AV32" s="428"/>
      <c r="AW32" s="449" t="str">
        <f>IF(C32&gt;0,VLOOKUP(C32,Foundation_Calc!$A$2:$C$13,3,1),
IF(J32&gt;0,VLOOKUP(J32,Foundation_Calc!$A$2:$C$13,3,1),""))</f>
        <v/>
      </c>
      <c r="AX32" s="449" t="str">
        <f>IF(C32&gt;0,VLOOKUP(C32,Foundation_Calc!$E$2:$G$33,3,1),
IF(J32&gt;0,VLOOKUP(J32,Foundation_Calc!$E$2:$G$33,3,1),""))</f>
        <v/>
      </c>
      <c r="AY32" s="10" t="str">
        <f>IF(L32="","",
IF(AX32="PT",VLOOKUP(L32,Foundation_Calc!$K$79:$R$113,VLOOKUP(AW32,Foundation_Calc!$I$2:$J$8,2,FALSE),0),
IF(AX32="K",VLOOKUP(L32,Foundation_Calc!$K$117:$R$151,VLOOKUP(AW32,Foundation_Calc!$I$2:$J$8,2,FALSE),0),"")))</f>
        <v/>
      </c>
      <c r="AZ32" s="10" t="str">
        <f>IF(K32="","",
IF(AX32="PT",VLOOKUP(K32,Foundation_Calc!$K$79:$R$113,VLOOKUP(AW32,Foundation_Calc!$I$2:$J$8,2,FALSE),0),
IF(AX32="K",VLOOKUP(K32,Foundation_Calc!$K$117:$R$151,VLOOKUP(AW32,Foundation_Calc!$I$2:$J$8,2,FALSE),0),"")))</f>
        <v/>
      </c>
      <c r="BA32" s="495" t="str">
        <f t="shared" si="13"/>
        <v/>
      </c>
      <c r="BB32" s="495" t="str">
        <f t="shared" si="14"/>
        <v/>
      </c>
      <c r="BC32" s="495" t="str">
        <f t="shared" si="15"/>
        <v/>
      </c>
      <c r="BD32" s="513" t="str">
        <f>IF(AND(L32="",H32=""),"",
IF(H32="",Pole_Calc!A$9,
IF(H32="MP",Pole_Calc!A$10,
IF(H32="AnMP",Pole_Calc!A$11,
IF(H32="A",Pole_Calc!A$12,
IF(H32="S/A",Pole_Calc!A$13,
IF(H32="A/S",Pole_Calc!A$14,"Poner a mano")))))))</f>
        <v/>
      </c>
      <c r="BE32" s="429" t="s">
        <v>118</v>
      </c>
      <c r="BF32" s="290"/>
      <c r="BG32" s="290"/>
      <c r="BH32" s="290"/>
      <c r="BI32" s="290"/>
    </row>
    <row r="33" spans="1:61" ht="16.149999999999999" customHeight="1">
      <c r="A33" s="781"/>
      <c r="B33" s="720" t="s">
        <v>1808</v>
      </c>
      <c r="C33" s="723">
        <f>+$C$31+$G$32</f>
        <v>58474.02</v>
      </c>
      <c r="D33" s="724"/>
      <c r="E33" s="725"/>
      <c r="F33" s="725">
        <v>0</v>
      </c>
      <c r="G33" s="726"/>
      <c r="H33" s="727" t="s">
        <v>171</v>
      </c>
      <c r="I33" s="725"/>
      <c r="J33" s="723"/>
      <c r="K33" s="727"/>
      <c r="L33" s="727" t="s">
        <v>268</v>
      </c>
      <c r="M33" s="727" t="str">
        <f>IF(L33="","",
IF(AX33="PT",VLOOKUP(L33,Foundation_Calc!$V$79:$X$113,VLOOKUP(AX33,Foundation_Calc!$I$10:$J$13,2,FALSE),0),
IF(AX33="K",VLOOKUP(L33,Foundation_Calc!$V$117:$X$151,VLOOKUP(AX33,Foundation_Calc!$I$10:$J$13,2,FALSE),0),"")))</f>
        <v>C7R</v>
      </c>
      <c r="N33" s="727" t="s">
        <v>134</v>
      </c>
      <c r="O33" s="727"/>
      <c r="P33" s="727"/>
      <c r="Q33" s="725"/>
      <c r="R33" s="726"/>
      <c r="S33" s="726"/>
      <c r="T33" s="725">
        <v>35</v>
      </c>
      <c r="U33" s="725"/>
      <c r="V33" s="725"/>
      <c r="W33" s="728">
        <v>1.4</v>
      </c>
      <c r="X33" s="728"/>
      <c r="Y33" s="728"/>
      <c r="Z33" s="728"/>
      <c r="AA33" s="728"/>
      <c r="AB33" s="728"/>
      <c r="AC33" s="727" t="str">
        <f t="shared" si="12"/>
        <v>PHQ</v>
      </c>
      <c r="AD33" s="727"/>
      <c r="AE33" s="727"/>
      <c r="AF33" s="725"/>
      <c r="AG33" s="724"/>
      <c r="AH33" s="725"/>
      <c r="AI33" s="725"/>
      <c r="AJ33" s="727"/>
      <c r="AK33" s="727"/>
      <c r="AL33" s="727" t="s">
        <v>269</v>
      </c>
      <c r="AM33" s="727" t="s">
        <v>126</v>
      </c>
      <c r="AN33" s="729">
        <v>5.5</v>
      </c>
      <c r="AO33" s="728"/>
      <c r="AP33" s="728"/>
      <c r="AQ33" s="728"/>
      <c r="AR33" s="728"/>
      <c r="AS33" s="728"/>
      <c r="AT33" s="728">
        <f>+ab($T$33,$T$31,$T$35,$G$32,$G$34, 1*$F$33,1200)</f>
        <v>6.4151580778988491</v>
      </c>
      <c r="AU33" s="730"/>
      <c r="AV33" s="730"/>
      <c r="AW33" s="727" t="str">
        <f>IF(C33&gt;0,VLOOKUP(C33,Foundation_Calc!$A$2:$C$13,3,1),
IF(J33&gt;0,VLOOKUP(J33,Foundation_Calc!$A$2:$C$13,3,1),""))</f>
        <v>Multi Soil</v>
      </c>
      <c r="AX33" s="727" t="str">
        <f>IF(C33&gt;0,VLOOKUP(C33,Foundation_Calc!$E$2:$G$33,3,1),
IF(J33&gt;0,VLOOKUP(J33,Foundation_Calc!$E$2:$G$33,3,1),""))</f>
        <v>PT</v>
      </c>
      <c r="AY33" s="729">
        <f>IF(L33="","",
IF(AX33="PT",VLOOKUP(L33,Foundation_Calc!$K$79:$R$113,VLOOKUP(AW33,Foundation_Calc!$I$2:$J$8,2,FALSE),0),
IF(AX33="K",VLOOKUP(L33,Foundation_Calc!$K$117:$R$151,VLOOKUP(AW33,Foundation_Calc!$I$2:$J$8,2,FALSE),0),"")))</f>
        <v>4</v>
      </c>
      <c r="AZ33" s="729" t="str">
        <f>IF(K33="","",
IF(AX33="PT",VLOOKUP(K33,Foundation_Calc!$K$79:$R$113,VLOOKUP(AW33,Foundation_Calc!$I$2:$J$8,2,FALSE),0),
IF(AX33="K",VLOOKUP(K33,Foundation_Calc!$K$117:$R$151,VLOOKUP(AW33,Foundation_Calc!$I$2:$J$8,2,FALSE),0),"")))</f>
        <v/>
      </c>
      <c r="BA33" s="495" t="str">
        <f t="shared" si="13"/>
        <v>ü</v>
      </c>
      <c r="BB33" s="495" t="str">
        <f t="shared" si="14"/>
        <v/>
      </c>
      <c r="BC33" s="495" t="str">
        <f t="shared" si="15"/>
        <v/>
      </c>
      <c r="BD33" s="513" t="str">
        <f>Pole_Calc!A$251</f>
        <v>App.8-V08H-P10.3</v>
      </c>
      <c r="BE33" s="429" t="s">
        <v>118</v>
      </c>
      <c r="BF33" s="289"/>
      <c r="BG33" s="289"/>
      <c r="BH33" s="290"/>
      <c r="BI33" s="289"/>
    </row>
    <row r="34" spans="1:61" ht="16.149999999999999" customHeight="1">
      <c r="A34" s="696" t="s">
        <v>853</v>
      </c>
      <c r="B34" s="697"/>
      <c r="C34" s="698"/>
      <c r="D34" s="699"/>
      <c r="E34" s="700"/>
      <c r="F34" s="700"/>
      <c r="G34" s="701">
        <v>47</v>
      </c>
      <c r="H34" s="702"/>
      <c r="I34" s="700">
        <f>C59-C33</f>
        <v>523.19999999999709</v>
      </c>
      <c r="J34" s="698"/>
      <c r="K34" s="702"/>
      <c r="L34" s="702"/>
      <c r="M34" s="702" t="str">
        <f>IF(L34="","",
IF(AX34="PT",VLOOKUP(L34,Foundation_Calc!$V$79:$X$113,VLOOKUP(AX34,Foundation_Calc!$I$10:$J$13,2,FALSE),0),
IF(AX34="K",VLOOKUP(L34,Foundation_Calc!$V$117:$X$151,VLOOKUP(AX34,Foundation_Calc!$I$10:$J$13,2,FALSE),0),"")))</f>
        <v/>
      </c>
      <c r="N34" s="702"/>
      <c r="O34" s="702"/>
      <c r="P34" s="702"/>
      <c r="Q34" s="700"/>
      <c r="R34" s="701"/>
      <c r="S34" s="701"/>
      <c r="T34" s="700"/>
      <c r="U34" s="700"/>
      <c r="V34" s="700"/>
      <c r="W34" s="703"/>
      <c r="X34" s="703"/>
      <c r="Y34" s="703"/>
      <c r="Z34" s="703"/>
      <c r="AA34" s="703"/>
      <c r="AB34" s="703"/>
      <c r="AC34" s="702" t="str">
        <f t="shared" si="12"/>
        <v/>
      </c>
      <c r="AD34" s="702"/>
      <c r="AE34" s="702"/>
      <c r="AF34" s="700"/>
      <c r="AG34" s="699"/>
      <c r="AH34" s="700"/>
      <c r="AI34" s="700"/>
      <c r="AJ34" s="702"/>
      <c r="AK34" s="702"/>
      <c r="AL34" s="702"/>
      <c r="AM34" s="702"/>
      <c r="AN34" s="704"/>
      <c r="AO34" s="703"/>
      <c r="AP34" s="703"/>
      <c r="AQ34" s="703">
        <f>+FL_1($T$35,$T$33,$G$34,1200,9.28, 1*$F$35)</f>
        <v>0.35695465849645375</v>
      </c>
      <c r="AR34" s="703"/>
      <c r="AS34" s="703"/>
      <c r="AT34" s="703"/>
      <c r="AU34" s="705"/>
      <c r="AV34" s="705"/>
      <c r="AW34" s="702" t="str">
        <f>IF(C34&gt;0,VLOOKUP(C34,Foundation_Calc!$A$2:$C$13,3,1),
IF(J34&gt;0,VLOOKUP(J34,Foundation_Calc!$A$2:$C$13,3,1),""))</f>
        <v/>
      </c>
      <c r="AX34" s="702" t="str">
        <f>IF(C34&gt;0,VLOOKUP(C34,Foundation_Calc!$E$2:$G$33,3,1),
IF(J34&gt;0,VLOOKUP(J34,Foundation_Calc!$E$2:$G$33,3,1),""))</f>
        <v/>
      </c>
      <c r="AY34" s="704" t="str">
        <f>IF(L34="","",
IF(AX34="PT",VLOOKUP(L34,Foundation_Calc!$K$79:$R$113,VLOOKUP(AW34,Foundation_Calc!$I$2:$J$8,2,FALSE),0),
IF(AX34="K",VLOOKUP(L34,Foundation_Calc!$K$117:$R$151,VLOOKUP(AW34,Foundation_Calc!$I$2:$J$8,2,FALSE),0),"")))</f>
        <v/>
      </c>
      <c r="AZ34" s="704" t="str">
        <f>IF(K34="","",
IF(AX34="PT",VLOOKUP(K34,Foundation_Calc!$K$79:$R$113,VLOOKUP(AW34,Foundation_Calc!$I$2:$J$8,2,FALSE),0),
IF(AX34="K",VLOOKUP(K34,Foundation_Calc!$K$117:$R$151,VLOOKUP(AW34,Foundation_Calc!$I$2:$J$8,2,FALSE),0),"")))</f>
        <v/>
      </c>
      <c r="BA34" s="495" t="str">
        <f t="shared" si="13"/>
        <v/>
      </c>
      <c r="BB34" s="495" t="str">
        <f t="shared" si="14"/>
        <v/>
      </c>
      <c r="BC34" s="495" t="str">
        <f t="shared" si="15"/>
        <v/>
      </c>
      <c r="BD34" s="513" t="str">
        <f>IF(AND(L34="",H34=""),"",
IF(H34="",Pole_Calc!A$9,
IF(H34="MP",Pole_Calc!A$10,
IF(H34="AnMP",Pole_Calc!A$11,
IF(H34="A",Pole_Calc!A$12,
IF(H34="S/A",Pole_Calc!A$13,
IF(H34="A/S",Pole_Calc!A$14,"Poner a mano")))))))</f>
        <v/>
      </c>
      <c r="BE34" s="429" t="s">
        <v>118</v>
      </c>
      <c r="BF34" s="290"/>
      <c r="BG34" s="290"/>
      <c r="BH34" s="290"/>
      <c r="BI34" s="290"/>
    </row>
    <row r="35" spans="1:61" ht="16.149999999999999" customHeight="1">
      <c r="A35" s="517" t="s">
        <v>442</v>
      </c>
      <c r="B35" s="450" t="s">
        <v>1809</v>
      </c>
      <c r="C35" s="3">
        <f>+$C$33+$G$34</f>
        <v>58521.02</v>
      </c>
      <c r="D35" s="83"/>
      <c r="E35" s="4"/>
      <c r="F35" s="4">
        <v>0</v>
      </c>
      <c r="G35" s="6"/>
      <c r="H35" s="449" t="s">
        <v>168</v>
      </c>
      <c r="I35" s="4"/>
      <c r="J35" s="3"/>
      <c r="K35" s="449"/>
      <c r="L35" s="449" t="s">
        <v>268</v>
      </c>
      <c r="M35" s="449" t="str">
        <f>IF(L35="","",
IF(AX35="PT",VLOOKUP(L35,Foundation_Calc!$V$79:$X$113,VLOOKUP(AX35,Foundation_Calc!$I$10:$J$13,2,FALSE),0),
IF(AX35="K",VLOOKUP(L35,Foundation_Calc!$V$117:$X$151,VLOOKUP(AX35,Foundation_Calc!$I$10:$J$13,2,FALSE),0),"")))</f>
        <v>C7R</v>
      </c>
      <c r="N35" s="449" t="s">
        <v>124</v>
      </c>
      <c r="O35" s="449"/>
      <c r="P35" s="449"/>
      <c r="Q35" s="4"/>
      <c r="R35" s="6"/>
      <c r="S35" s="6"/>
      <c r="T35" s="4">
        <v>-35</v>
      </c>
      <c r="U35" s="4"/>
      <c r="V35" s="4"/>
      <c r="W35" s="9">
        <v>1.4</v>
      </c>
      <c r="X35" s="9"/>
      <c r="Y35" s="9"/>
      <c r="Z35" s="9"/>
      <c r="AA35" s="9"/>
      <c r="AB35" s="9"/>
      <c r="AC35" s="449" t="str">
        <f t="shared" si="12"/>
        <v>PHQ</v>
      </c>
      <c r="AD35" s="449"/>
      <c r="AE35" s="449"/>
      <c r="AF35" s="4"/>
      <c r="AG35" s="83"/>
      <c r="AH35" s="4"/>
      <c r="AI35" s="4"/>
      <c r="AJ35" s="449"/>
      <c r="AK35" s="449"/>
      <c r="AL35" s="449" t="s">
        <v>269</v>
      </c>
      <c r="AM35" s="449" t="s">
        <v>126</v>
      </c>
      <c r="AN35" s="10">
        <v>5.5</v>
      </c>
      <c r="AO35" s="9"/>
      <c r="AP35" s="9"/>
      <c r="AQ35" s="9"/>
      <c r="AR35" s="9"/>
      <c r="AS35" s="9"/>
      <c r="AT35" s="9">
        <f>+ab($T$35,$T$33,$T$37,$G$34,$G$36, 1*$F$35,1200)</f>
        <v>-6.4151781535653143</v>
      </c>
      <c r="AU35" s="428"/>
      <c r="AV35" s="428"/>
      <c r="AW35" s="449" t="str">
        <f>IF(C35&gt;0,VLOOKUP(C35,Foundation_Calc!$A$2:$C$13,3,1),
IF(J35&gt;0,VLOOKUP(J35,Foundation_Calc!$A$2:$C$13,3,1),""))</f>
        <v>Multi Soil</v>
      </c>
      <c r="AX35" s="449" t="str">
        <f>IF(C35&gt;0,VLOOKUP(C35,Foundation_Calc!$E$2:$G$33,3,1),
IF(J35&gt;0,VLOOKUP(J35,Foundation_Calc!$E$2:$G$33,3,1),""))</f>
        <v>PT</v>
      </c>
      <c r="AY35" s="10">
        <f>IF(L35="","",
IF(AX35="PT",VLOOKUP(L35,Foundation_Calc!$K$79:$R$113,VLOOKUP(AW35,Foundation_Calc!$I$2:$J$8,2,FALSE),0),
IF(AX35="K",VLOOKUP(L35,Foundation_Calc!$K$117:$R$151,VLOOKUP(AW35,Foundation_Calc!$I$2:$J$8,2,FALSE),0),"")))</f>
        <v>4</v>
      </c>
      <c r="AZ35" s="10" t="str">
        <f>IF(K35="","",
IF(AX35="PT",VLOOKUP(K35,Foundation_Calc!$K$79:$R$113,VLOOKUP(AW35,Foundation_Calc!$I$2:$J$8,2,FALSE),0),
IF(AX35="K",VLOOKUP(K35,Foundation_Calc!$K$117:$R$151,VLOOKUP(AW35,Foundation_Calc!$I$2:$J$8,2,FALSE),0),"")))</f>
        <v/>
      </c>
      <c r="BA35" s="495" t="str">
        <f t="shared" si="13"/>
        <v>ü</v>
      </c>
      <c r="BB35" s="495" t="str">
        <f t="shared" si="14"/>
        <v/>
      </c>
      <c r="BC35" s="495" t="str">
        <f t="shared" si="15"/>
        <v/>
      </c>
      <c r="BD35" s="513" t="str">
        <f>Pole_Calc!A$251</f>
        <v>App.8-V08H-P10.3</v>
      </c>
      <c r="BE35" s="429" t="s">
        <v>118</v>
      </c>
      <c r="BF35" s="289"/>
      <c r="BG35" s="289"/>
      <c r="BH35" s="290"/>
      <c r="BI35" s="289"/>
    </row>
    <row r="36" spans="1:61" ht="16.149999999999999" customHeight="1">
      <c r="A36" s="732" t="s">
        <v>861</v>
      </c>
      <c r="B36" s="722"/>
      <c r="C36" s="723"/>
      <c r="D36" s="724"/>
      <c r="E36" s="725"/>
      <c r="F36" s="725"/>
      <c r="G36" s="726">
        <v>47</v>
      </c>
      <c r="H36" s="727"/>
      <c r="I36" s="725"/>
      <c r="J36" s="723">
        <f>C35+7.5</f>
        <v>58528.52</v>
      </c>
      <c r="K36" s="727" t="s">
        <v>166</v>
      </c>
      <c r="L36" s="727"/>
      <c r="M36" s="727" t="str">
        <f>IF(L36="","",
IF(AX36="PT",VLOOKUP(L36,Foundation_Calc!$V$79:$X$113,VLOOKUP(AX36,Foundation_Calc!$I$10:$J$13,2,FALSE),0),
IF(AX36="K",VLOOKUP(L36,Foundation_Calc!$V$117:$X$151,VLOOKUP(AX36,Foundation_Calc!$I$10:$J$13,2,FALSE),0),"")))</f>
        <v/>
      </c>
      <c r="N36" s="727"/>
      <c r="O36" s="727"/>
      <c r="P36" s="727"/>
      <c r="Q36" s="725"/>
      <c r="R36" s="726"/>
      <c r="S36" s="726"/>
      <c r="T36" s="725"/>
      <c r="U36" s="725"/>
      <c r="V36" s="725"/>
      <c r="W36" s="728"/>
      <c r="X36" s="728"/>
      <c r="Y36" s="728"/>
      <c r="Z36" s="728"/>
      <c r="AA36" s="728"/>
      <c r="AB36" s="728"/>
      <c r="AC36" s="727" t="str">
        <f t="shared" si="12"/>
        <v/>
      </c>
      <c r="AD36" s="727"/>
      <c r="AE36" s="727"/>
      <c r="AF36" s="725"/>
      <c r="AG36" s="724"/>
      <c r="AH36" s="725"/>
      <c r="AI36" s="725"/>
      <c r="AJ36" s="727"/>
      <c r="AK36" s="727"/>
      <c r="AL36" s="727"/>
      <c r="AM36" s="727"/>
      <c r="AN36" s="729"/>
      <c r="AO36" s="728"/>
      <c r="AP36" s="728"/>
      <c r="AQ36" s="728">
        <f>+FL_2($T$37,$T$35,$G$36,1200,9.28, 1*$F$37)</f>
        <v>-0.35695465849645375</v>
      </c>
      <c r="AR36" s="728"/>
      <c r="AS36" s="728"/>
      <c r="AT36" s="728"/>
      <c r="AU36" s="730"/>
      <c r="AV36" s="730"/>
      <c r="AW36" s="727" t="str">
        <f>IF(C36&gt;0,VLOOKUP(C36,Foundation_Calc!$A$2:$C$13,3,1),
IF(J36&gt;0,VLOOKUP(J36,Foundation_Calc!$A$2:$C$13,3,1),""))</f>
        <v>Multi Soil</v>
      </c>
      <c r="AX36" s="727" t="str">
        <f>IF(C36&gt;0,VLOOKUP(C36,Foundation_Calc!$E$2:$G$33,3,1),
IF(J36&gt;0,VLOOKUP(J36,Foundation_Calc!$E$2:$G$33,3,1),""))</f>
        <v>PT</v>
      </c>
      <c r="AY36" s="729" t="str">
        <f>IF(L36="","",
IF(AX36="PT",VLOOKUP(L36,Foundation_Calc!$K$79:$R$113,VLOOKUP(AW36,Foundation_Calc!$I$2:$J$8,2,FALSE),0),
IF(AX36="K",VLOOKUP(L36,Foundation_Calc!$K$117:$R$151,VLOOKUP(AW36,Foundation_Calc!$I$2:$J$8,2,FALSE),0),"")))</f>
        <v/>
      </c>
      <c r="AZ36" s="729">
        <f>IF(K36="","",
IF(AX36="PT",VLOOKUP(K36,Foundation_Calc!$K$79:$R$113,VLOOKUP(AW36,Foundation_Calc!$I$2:$J$8,2,FALSE),0),
IF(AX36="K",VLOOKUP(K36,Foundation_Calc!$K$117:$R$151,VLOOKUP(AW36,Foundation_Calc!$I$2:$J$8,2,FALSE),0),"")))</f>
        <v>2.8</v>
      </c>
      <c r="BA36" s="495" t="str">
        <f t="shared" si="13"/>
        <v/>
      </c>
      <c r="BB36" s="495" t="str">
        <f t="shared" si="14"/>
        <v>ü</v>
      </c>
      <c r="BC36" s="495" t="str">
        <f t="shared" si="15"/>
        <v/>
      </c>
      <c r="BD36" s="513" t="str">
        <f>IF(AND(L36="",H36=""),"",
IF(H36="",Pole_Calc!A$9,
IF(H36="MP",Pole_Calc!A$10,
IF(H36="AnMP",Pole_Calc!A$11,
IF(H36="A",Pole_Calc!A$12,
IF(H36="S/A",Pole_Calc!A$13,
IF(H36="A/S",Pole_Calc!A$14,"Poner a mano")))))))</f>
        <v/>
      </c>
      <c r="BE36" s="429" t="s">
        <v>118</v>
      </c>
      <c r="BF36" s="290"/>
      <c r="BG36" s="290"/>
      <c r="BH36" s="290"/>
      <c r="BI36" s="290"/>
    </row>
    <row r="37" spans="1:61" ht="16.149999999999999" customHeight="1">
      <c r="A37" s="518" t="s">
        <v>438</v>
      </c>
      <c r="B37" s="450" t="s">
        <v>1810</v>
      </c>
      <c r="C37" s="3">
        <f>+$C$35+$G$36</f>
        <v>58568.02</v>
      </c>
      <c r="D37" s="83"/>
      <c r="E37" s="4"/>
      <c r="F37" s="4">
        <v>0</v>
      </c>
      <c r="G37" s="6"/>
      <c r="H37" s="449"/>
      <c r="I37" s="4"/>
      <c r="J37" s="3"/>
      <c r="K37" s="449"/>
      <c r="L37" s="449" t="s">
        <v>268</v>
      </c>
      <c r="M37" s="449" t="str">
        <f>IF(L37="","",
IF(AX37="PT",VLOOKUP(L37,Foundation_Calc!$V$79:$X$113,VLOOKUP(AX37,Foundation_Calc!$I$10:$J$13,2,FALSE),0),
IF(AX37="K",VLOOKUP(L37,Foundation_Calc!$V$117:$X$151,VLOOKUP(AX37,Foundation_Calc!$I$10:$J$13,2,FALSE),0),"")))</f>
        <v>C7R</v>
      </c>
      <c r="N37" s="449" t="s">
        <v>134</v>
      </c>
      <c r="O37" s="449"/>
      <c r="P37" s="449"/>
      <c r="Q37" s="4"/>
      <c r="R37" s="6"/>
      <c r="S37" s="6"/>
      <c r="T37" s="4">
        <v>35</v>
      </c>
      <c r="U37" s="4"/>
      <c r="V37" s="4"/>
      <c r="W37" s="9">
        <v>1.4</v>
      </c>
      <c r="X37" s="9"/>
      <c r="Y37" s="9"/>
      <c r="Z37" s="9"/>
      <c r="AA37" s="9"/>
      <c r="AB37" s="9"/>
      <c r="AC37" s="449" t="str">
        <f t="shared" si="12"/>
        <v>PHQ</v>
      </c>
      <c r="AD37" s="449"/>
      <c r="AE37" s="449"/>
      <c r="AF37" s="4"/>
      <c r="AG37" s="83"/>
      <c r="AH37" s="4"/>
      <c r="AI37" s="4"/>
      <c r="AJ37" s="449"/>
      <c r="AK37" s="449"/>
      <c r="AL37" s="449" t="s">
        <v>269</v>
      </c>
      <c r="AM37" s="449" t="s">
        <v>126</v>
      </c>
      <c r="AN37" s="10">
        <v>5.5</v>
      </c>
      <c r="AO37" s="9"/>
      <c r="AP37" s="9"/>
      <c r="AQ37" s="9"/>
      <c r="AR37" s="9"/>
      <c r="AS37" s="9"/>
      <c r="AT37" s="9">
        <f>+ab($T$37,$T$35,$T$39,$G$36,$G$38, 1*$F$37,1200)</f>
        <v>6.4151580778988491</v>
      </c>
      <c r="AU37" s="428"/>
      <c r="AV37" s="428"/>
      <c r="AW37" s="449" t="str">
        <f>IF(C37&gt;0,VLOOKUP(C37,Foundation_Calc!$A$2:$C$13,3,1),
IF(J37&gt;0,VLOOKUP(J37,Foundation_Calc!$A$2:$C$13,3,1),""))</f>
        <v>Multi Soil</v>
      </c>
      <c r="AX37" s="449" t="str">
        <f>IF(C37&gt;0,VLOOKUP(C37,Foundation_Calc!$E$2:$G$33,3,1),
IF(J37&gt;0,VLOOKUP(J37,Foundation_Calc!$E$2:$G$33,3,1),""))</f>
        <v>PT</v>
      </c>
      <c r="AY37" s="10">
        <f>IF(L37="","",
IF(AX37="PT",VLOOKUP(L37,Foundation_Calc!$K$79:$R$113,VLOOKUP(AW37,Foundation_Calc!$I$2:$J$8,2,FALSE),0),
IF(AX37="K",VLOOKUP(L37,Foundation_Calc!$K$117:$R$151,VLOOKUP(AW37,Foundation_Calc!$I$2:$J$8,2,FALSE),0),"")))</f>
        <v>4</v>
      </c>
      <c r="AZ37" s="10" t="str">
        <f>IF(K37="","",
IF(AX37="PT",VLOOKUP(K37,Foundation_Calc!$K$79:$R$113,VLOOKUP(AW37,Foundation_Calc!$I$2:$J$8,2,FALSE),0),
IF(AX37="K",VLOOKUP(K37,Foundation_Calc!$K$117:$R$151,VLOOKUP(AW37,Foundation_Calc!$I$2:$J$8,2,FALSE),0),"")))</f>
        <v/>
      </c>
      <c r="BA37" s="495" t="str">
        <f t="shared" si="13"/>
        <v>ü</v>
      </c>
      <c r="BB37" s="495" t="str">
        <f t="shared" si="14"/>
        <v/>
      </c>
      <c r="BC37" s="495" t="str">
        <f t="shared" si="15"/>
        <v/>
      </c>
      <c r="BD37" s="513" t="str">
        <f>Pole_Calc!A$251</f>
        <v>App.8-V08H-P10.3</v>
      </c>
      <c r="BE37" s="429" t="s">
        <v>118</v>
      </c>
      <c r="BF37" s="289"/>
      <c r="BG37" s="289"/>
      <c r="BH37" s="290"/>
      <c r="BI37" s="289"/>
    </row>
    <row r="38" spans="1:61" ht="16.149999999999999" customHeight="1">
      <c r="A38" s="517" t="s">
        <v>442</v>
      </c>
      <c r="B38" s="450"/>
      <c r="C38" s="3"/>
      <c r="D38" s="83"/>
      <c r="E38" s="4"/>
      <c r="F38" s="4"/>
      <c r="G38" s="6">
        <v>47</v>
      </c>
      <c r="H38" s="449"/>
      <c r="I38" s="4"/>
      <c r="J38" s="3"/>
      <c r="K38" s="449"/>
      <c r="L38" s="449"/>
      <c r="M38" s="449" t="str">
        <f>IF(L38="","",
IF(AX38="PT",VLOOKUP(L38,Foundation_Calc!$V$79:$X$113,VLOOKUP(AX38,Foundation_Calc!$I$10:$J$13,2,FALSE),0),
IF(AX38="K",VLOOKUP(L38,Foundation_Calc!$V$117:$X$151,VLOOKUP(AX38,Foundation_Calc!$I$10:$J$13,2,FALSE),0),"")))</f>
        <v/>
      </c>
      <c r="N38" s="449"/>
      <c r="O38" s="449"/>
      <c r="P38" s="449"/>
      <c r="Q38" s="4"/>
      <c r="R38" s="6"/>
      <c r="S38" s="6"/>
      <c r="T38" s="4"/>
      <c r="U38" s="4"/>
      <c r="V38" s="4"/>
      <c r="W38" s="9"/>
      <c r="X38" s="9"/>
      <c r="Y38" s="9"/>
      <c r="Z38" s="9"/>
      <c r="AA38" s="9"/>
      <c r="AB38" s="9"/>
      <c r="AC38" s="449" t="str">
        <f t="shared" si="12"/>
        <v/>
      </c>
      <c r="AD38" s="449"/>
      <c r="AE38" s="449"/>
      <c r="AF38" s="4"/>
      <c r="AG38" s="83"/>
      <c r="AH38" s="4"/>
      <c r="AI38" s="4"/>
      <c r="AJ38" s="449"/>
      <c r="AK38" s="449"/>
      <c r="AL38" s="449"/>
      <c r="AM38" s="449"/>
      <c r="AN38" s="10"/>
      <c r="AO38" s="9"/>
      <c r="AP38" s="9"/>
      <c r="AQ38" s="9">
        <f>+FL_1($T$39,$T$37,$G$38,1200,9.28, 1*$F$39)</f>
        <v>0.35695465849645375</v>
      </c>
      <c r="AR38" s="9"/>
      <c r="AS38" s="9"/>
      <c r="AT38" s="9"/>
      <c r="AU38" s="428"/>
      <c r="AV38" s="428"/>
      <c r="AW38" s="449" t="str">
        <f>IF(C38&gt;0,VLOOKUP(C38,Foundation_Calc!$A$2:$C$13,3,1),
IF(J38&gt;0,VLOOKUP(J38,Foundation_Calc!$A$2:$C$13,3,1),""))</f>
        <v/>
      </c>
      <c r="AX38" s="449" t="str">
        <f>IF(C38&gt;0,VLOOKUP(C38,Foundation_Calc!$E$2:$G$33,3,1),
IF(J38&gt;0,VLOOKUP(J38,Foundation_Calc!$E$2:$G$33,3,1),""))</f>
        <v/>
      </c>
      <c r="AY38" s="10" t="str">
        <f>IF(L38="","",
IF(AX38="PT",VLOOKUP(L38,Foundation_Calc!$K$79:$R$113,VLOOKUP(AW38,Foundation_Calc!$I$2:$J$8,2,FALSE),0),
IF(AX38="K",VLOOKUP(L38,Foundation_Calc!$K$117:$R$151,VLOOKUP(AW38,Foundation_Calc!$I$2:$J$8,2,FALSE),0),"")))</f>
        <v/>
      </c>
      <c r="AZ38" s="10" t="str">
        <f>IF(K38="","",
IF(AX38="PT",VLOOKUP(K38,Foundation_Calc!$K$79:$R$113,VLOOKUP(AW38,Foundation_Calc!$I$2:$J$8,2,FALSE),0),
IF(AX38="K",VLOOKUP(K38,Foundation_Calc!$K$117:$R$151,VLOOKUP(AW38,Foundation_Calc!$I$2:$J$8,2,FALSE),0),"")))</f>
        <v/>
      </c>
      <c r="BA38" s="495" t="str">
        <f t="shared" si="13"/>
        <v/>
      </c>
      <c r="BB38" s="495" t="str">
        <f t="shared" si="14"/>
        <v/>
      </c>
      <c r="BC38" s="495" t="str">
        <f t="shared" si="15"/>
        <v/>
      </c>
      <c r="BD38" s="513" t="str">
        <f>IF(AND(L38="",H38=""),"",
IF(H38="",Pole_Calc!A$9,
IF(H38="MP",Pole_Calc!A$10,
IF(H38="AnMP",Pole_Calc!A$11,
IF(H38="A",Pole_Calc!A$12,
IF(H38="S/A",Pole_Calc!A$13,
IF(H38="A/S",Pole_Calc!A$14,"Poner a mano")))))))</f>
        <v/>
      </c>
      <c r="BE38" s="429" t="s">
        <v>118</v>
      </c>
      <c r="BF38" s="290"/>
      <c r="BG38" s="290"/>
      <c r="BH38" s="290"/>
      <c r="BI38" s="290"/>
    </row>
    <row r="39" spans="1:61" ht="16.149999999999999" customHeight="1">
      <c r="A39" s="517" t="s">
        <v>442</v>
      </c>
      <c r="B39" s="450" t="s">
        <v>1811</v>
      </c>
      <c r="C39" s="3">
        <f>+$C$37+$G$38</f>
        <v>58615.02</v>
      </c>
      <c r="D39" s="83"/>
      <c r="E39" s="4"/>
      <c r="F39" s="4">
        <v>0</v>
      </c>
      <c r="G39" s="6"/>
      <c r="H39" s="449"/>
      <c r="I39" s="4"/>
      <c r="J39" s="3"/>
      <c r="K39" s="449"/>
      <c r="L39" s="449" t="s">
        <v>268</v>
      </c>
      <c r="M39" s="449" t="str">
        <f>IF(L39="","",
IF(AX39="PT",VLOOKUP(L39,Foundation_Calc!$V$79:$X$113,VLOOKUP(AX39,Foundation_Calc!$I$10:$J$13,2,FALSE),0),
IF(AX39="K",VLOOKUP(L39,Foundation_Calc!$V$117:$X$151,VLOOKUP(AX39,Foundation_Calc!$I$10:$J$13,2,FALSE),0),"")))</f>
        <v>C7R</v>
      </c>
      <c r="N39" s="449" t="s">
        <v>124</v>
      </c>
      <c r="O39" s="449"/>
      <c r="P39" s="449"/>
      <c r="Q39" s="4"/>
      <c r="R39" s="6"/>
      <c r="S39" s="6"/>
      <c r="T39" s="4">
        <v>-35</v>
      </c>
      <c r="U39" s="4"/>
      <c r="V39" s="4"/>
      <c r="W39" s="9">
        <v>1.4</v>
      </c>
      <c r="X39" s="9"/>
      <c r="Y39" s="9"/>
      <c r="Z39" s="9"/>
      <c r="AA39" s="9"/>
      <c r="AB39" s="9"/>
      <c r="AC39" s="449" t="str">
        <f t="shared" si="12"/>
        <v>PHQ</v>
      </c>
      <c r="AD39" s="449"/>
      <c r="AE39" s="449"/>
      <c r="AF39" s="4"/>
      <c r="AG39" s="83"/>
      <c r="AH39" s="4"/>
      <c r="AI39" s="4"/>
      <c r="AJ39" s="449"/>
      <c r="AK39" s="449"/>
      <c r="AL39" s="449" t="s">
        <v>269</v>
      </c>
      <c r="AM39" s="449" t="s">
        <v>126</v>
      </c>
      <c r="AN39" s="10">
        <v>5.5</v>
      </c>
      <c r="AO39" s="9"/>
      <c r="AP39" s="9"/>
      <c r="AQ39" s="9"/>
      <c r="AR39" s="9"/>
      <c r="AS39" s="9"/>
      <c r="AT39" s="9">
        <f>+ab($T$39,$T$37,$T$41,$G$38,$G$40, 1*$F$39,1200)</f>
        <v>-6.1763277639217726</v>
      </c>
      <c r="AU39" s="428"/>
      <c r="AV39" s="428"/>
      <c r="AW39" s="449" t="str">
        <f>IF(C39&gt;0,VLOOKUP(C39,Foundation_Calc!$A$2:$C$13,3,1),
IF(J39&gt;0,VLOOKUP(J39,Foundation_Calc!$A$2:$C$13,3,1),""))</f>
        <v>Multi Soil</v>
      </c>
      <c r="AX39" s="449" t="str">
        <f>IF(C39&gt;0,VLOOKUP(C39,Foundation_Calc!$E$2:$G$33,3,1),
IF(J39&gt;0,VLOOKUP(J39,Foundation_Calc!$E$2:$G$33,3,1),""))</f>
        <v>PT</v>
      </c>
      <c r="AY39" s="10">
        <f>IF(L39="","",
IF(AX39="PT",VLOOKUP(L39,Foundation_Calc!$K$79:$R$113,VLOOKUP(AW39,Foundation_Calc!$I$2:$J$8,2,FALSE),0),
IF(AX39="K",VLOOKUP(L39,Foundation_Calc!$K$117:$R$151,VLOOKUP(AW39,Foundation_Calc!$I$2:$J$8,2,FALSE),0),"")))</f>
        <v>4</v>
      </c>
      <c r="AZ39" s="10" t="str">
        <f>IF(K39="","",
IF(AX39="PT",VLOOKUP(K39,Foundation_Calc!$K$79:$R$113,VLOOKUP(AW39,Foundation_Calc!$I$2:$J$8,2,FALSE),0),
IF(AX39="K",VLOOKUP(K39,Foundation_Calc!$K$117:$R$151,VLOOKUP(AW39,Foundation_Calc!$I$2:$J$8,2,FALSE),0),"")))</f>
        <v/>
      </c>
      <c r="BA39" s="495" t="str">
        <f t="shared" si="13"/>
        <v>ü</v>
      </c>
      <c r="BB39" s="495" t="str">
        <f t="shared" si="14"/>
        <v/>
      </c>
      <c r="BC39" s="495" t="str">
        <f t="shared" si="15"/>
        <v/>
      </c>
      <c r="BD39" s="513" t="str">
        <f>Pole_Calc!A$251</f>
        <v>App.8-V08H-P10.3</v>
      </c>
      <c r="BE39" s="429" t="s">
        <v>118</v>
      </c>
      <c r="BF39" s="289"/>
      <c r="BG39" s="289"/>
      <c r="BH39" s="290"/>
      <c r="BI39" s="289"/>
    </row>
    <row r="40" spans="1:61" ht="16.149999999999999" customHeight="1">
      <c r="A40" s="517" t="s">
        <v>442</v>
      </c>
      <c r="B40" s="450"/>
      <c r="C40" s="3"/>
      <c r="D40" s="83"/>
      <c r="E40" s="4"/>
      <c r="F40" s="4"/>
      <c r="G40" s="6">
        <v>43.6</v>
      </c>
      <c r="H40" s="449"/>
      <c r="I40" s="4"/>
      <c r="J40" s="3">
        <f>C41-7.5</f>
        <v>58651.119999999995</v>
      </c>
      <c r="K40" s="449" t="s">
        <v>117</v>
      </c>
      <c r="L40" s="449"/>
      <c r="M40" s="449" t="str">
        <f>IF(L40="","",
IF(AX40="PT",VLOOKUP(L40,Foundation_Calc!$V$79:$X$113,VLOOKUP(AX40,Foundation_Calc!$I$10:$J$13,2,FALSE),0),
IF(AX40="K",VLOOKUP(L40,Foundation_Calc!$V$117:$X$151,VLOOKUP(AX40,Foundation_Calc!$I$10:$J$13,2,FALSE),0),"")))</f>
        <v/>
      </c>
      <c r="N40" s="449"/>
      <c r="O40" s="449"/>
      <c r="P40" s="449"/>
      <c r="Q40" s="4"/>
      <c r="R40" s="6"/>
      <c r="S40" s="6"/>
      <c r="T40" s="4"/>
      <c r="U40" s="4"/>
      <c r="V40" s="4"/>
      <c r="W40" s="9"/>
      <c r="X40" s="9"/>
      <c r="Y40" s="9"/>
      <c r="Z40" s="9"/>
      <c r="AA40" s="9"/>
      <c r="AB40" s="9"/>
      <c r="AC40" s="449" t="str">
        <f t="shared" si="12"/>
        <v/>
      </c>
      <c r="AD40" s="449"/>
      <c r="AE40" s="449"/>
      <c r="AF40" s="4"/>
      <c r="AG40" s="83"/>
      <c r="AH40" s="4"/>
      <c r="AI40" s="4"/>
      <c r="AJ40" s="449"/>
      <c r="AK40" s="449"/>
      <c r="AL40" s="449"/>
      <c r="AM40" s="449"/>
      <c r="AN40" s="10"/>
      <c r="AO40" s="9"/>
      <c r="AP40" s="9"/>
      <c r="AQ40" s="9">
        <f>+FL_2($T$41,$T$39,$G$40,1200,9.28, 1*$F$41)</f>
        <v>-0.35041754696024452</v>
      </c>
      <c r="AR40" s="9"/>
      <c r="AS40" s="9"/>
      <c r="AT40" s="9"/>
      <c r="AU40" s="428"/>
      <c r="AV40" s="428"/>
      <c r="AW40" s="449" t="str">
        <f>IF(C40&gt;0,VLOOKUP(C40,Foundation_Calc!$A$2:$C$13,3,1),
IF(J40&gt;0,VLOOKUP(J40,Foundation_Calc!$A$2:$C$13,3,1),""))</f>
        <v>Multi Soil</v>
      </c>
      <c r="AX40" s="449" t="str">
        <f>IF(C40&gt;0,VLOOKUP(C40,Foundation_Calc!$E$2:$G$33,3,1),
IF(J40&gt;0,VLOOKUP(J40,Foundation_Calc!$E$2:$G$33,3,1),""))</f>
        <v>PT</v>
      </c>
      <c r="AY40" s="10" t="str">
        <f>IF(L40="","",
IF(AX40="PT",VLOOKUP(L40,Foundation_Calc!$K$79:$R$113,VLOOKUP(AW40,Foundation_Calc!$I$2:$J$8,2,FALSE),0),
IF(AX40="K",VLOOKUP(L40,Foundation_Calc!$K$117:$R$151,VLOOKUP(AW40,Foundation_Calc!$I$2:$J$8,2,FALSE),0),"")))</f>
        <v/>
      </c>
      <c r="AZ40" s="10">
        <f>IF(K40="","",
IF(AX40="PT",VLOOKUP(K40,Foundation_Calc!$K$79:$R$113,VLOOKUP(AW40,Foundation_Calc!$I$2:$J$8,2,FALSE),0),
IF(AX40="K",VLOOKUP(K40,Foundation_Calc!$K$117:$R$151,VLOOKUP(AW40,Foundation_Calc!$I$2:$J$8,2,FALSE),0),"")))</f>
        <v>3.9</v>
      </c>
      <c r="BA40" s="495" t="str">
        <f t="shared" si="13"/>
        <v/>
      </c>
      <c r="BB40" s="495" t="str">
        <f t="shared" si="14"/>
        <v>ü</v>
      </c>
      <c r="BC40" s="495" t="str">
        <f t="shared" si="15"/>
        <v/>
      </c>
      <c r="BD40" s="513" t="str">
        <f>IF(AND(L40="",H40=""),"",
IF(H40="",Pole_Calc!A$9,
IF(H40="MP",Pole_Calc!A$10,
IF(H40="AnMP",Pole_Calc!A$11,
IF(H40="A",Pole_Calc!A$12,
IF(H40="S/A",Pole_Calc!A$13,
IF(H40="A/S",Pole_Calc!A$14,"Poner a mano")))))))</f>
        <v/>
      </c>
      <c r="BE40" s="429" t="s">
        <v>118</v>
      </c>
      <c r="BF40" s="290"/>
      <c r="BG40" s="290"/>
      <c r="BH40" s="290"/>
      <c r="BI40" s="290"/>
    </row>
    <row r="41" spans="1:61" ht="16.149999999999999" customHeight="1">
      <c r="A41" s="517" t="s">
        <v>442</v>
      </c>
      <c r="B41" s="450" t="s">
        <v>1812</v>
      </c>
      <c r="C41" s="3">
        <f>+$C$39+$G$40</f>
        <v>58658.619999999995</v>
      </c>
      <c r="D41" s="83"/>
      <c r="E41" s="4"/>
      <c r="F41" s="4">
        <v>0</v>
      </c>
      <c r="G41" s="6"/>
      <c r="H41" s="449" t="s">
        <v>121</v>
      </c>
      <c r="I41" s="4" t="s">
        <v>122</v>
      </c>
      <c r="J41" s="3"/>
      <c r="K41" s="449"/>
      <c r="L41" s="449" t="s">
        <v>268</v>
      </c>
      <c r="M41" s="449" t="str">
        <f>IF(L41="","",
IF(AX41="PT",VLOOKUP(L41,Foundation_Calc!$V$79:$X$113,VLOOKUP(AX41,Foundation_Calc!$I$10:$J$13,2,FALSE),0),
IF(AX41="K",VLOOKUP(L41,Foundation_Calc!$V$117:$X$151,VLOOKUP(AX41,Foundation_Calc!$I$10:$J$13,2,FALSE),0),"")))</f>
        <v>C7R</v>
      </c>
      <c r="N41" s="449" t="s">
        <v>134</v>
      </c>
      <c r="O41" s="449"/>
      <c r="P41" s="449"/>
      <c r="Q41" s="4"/>
      <c r="R41" s="6"/>
      <c r="S41" s="6"/>
      <c r="T41" s="4">
        <v>35</v>
      </c>
      <c r="U41" s="4"/>
      <c r="V41" s="4"/>
      <c r="W41" s="9">
        <v>1.4</v>
      </c>
      <c r="X41" s="9"/>
      <c r="Y41" s="9"/>
      <c r="Z41" s="9"/>
      <c r="AA41" s="9"/>
      <c r="AB41" s="9"/>
      <c r="AC41" s="449" t="str">
        <f t="shared" si="12"/>
        <v>PH</v>
      </c>
      <c r="AD41" s="449"/>
      <c r="AE41" s="449"/>
      <c r="AF41" s="4"/>
      <c r="AG41" s="83"/>
      <c r="AH41" s="4"/>
      <c r="AI41" s="4"/>
      <c r="AJ41" s="449"/>
      <c r="AK41" s="449"/>
      <c r="AL41" s="449" t="s">
        <v>269</v>
      </c>
      <c r="AM41" s="449" t="s">
        <v>126</v>
      </c>
      <c r="AN41" s="10">
        <v>5.5</v>
      </c>
      <c r="AO41" s="9"/>
      <c r="AP41" s="9"/>
      <c r="AQ41" s="9"/>
      <c r="AR41" s="9"/>
      <c r="AS41" s="9"/>
      <c r="AT41" s="9">
        <f>+ab($T$41,$T$39,$T$43,$G$40,$G$42, 1*$F$41,1200)</f>
        <v>16.366705207963189</v>
      </c>
      <c r="AU41" s="428"/>
      <c r="AV41" s="428"/>
      <c r="AW41" s="449" t="str">
        <f>IF(C41&gt;0,VLOOKUP(C41,Foundation_Calc!$A$2:$C$13,3,1),
IF(J41&gt;0,VLOOKUP(J41,Foundation_Calc!$A$2:$C$13,3,1),""))</f>
        <v>Multi Soil</v>
      </c>
      <c r="AX41" s="449" t="str">
        <f>IF(C41&gt;0,VLOOKUP(C41,Foundation_Calc!$E$2:$G$33,3,1),
IF(J41&gt;0,VLOOKUP(J41,Foundation_Calc!$E$2:$G$33,3,1),""))</f>
        <v>PT</v>
      </c>
      <c r="AY41" s="10">
        <f>IF(L41="","",
IF(AX41="PT",VLOOKUP(L41,Foundation_Calc!$K$79:$R$113,VLOOKUP(AW41,Foundation_Calc!$I$2:$J$8,2,FALSE),0),
IF(AX41="K",VLOOKUP(L41,Foundation_Calc!$K$117:$R$151,VLOOKUP(AW41,Foundation_Calc!$I$2:$J$8,2,FALSE),0),"")))</f>
        <v>4</v>
      </c>
      <c r="AZ41" s="10" t="str">
        <f>IF(K41="","",
IF(AX41="PT",VLOOKUP(K41,Foundation_Calc!$K$79:$R$113,VLOOKUP(AW41,Foundation_Calc!$I$2:$J$8,2,FALSE),0),
IF(AX41="K",VLOOKUP(K41,Foundation_Calc!$K$117:$R$151,VLOOKUP(AW41,Foundation_Calc!$I$2:$J$8,2,FALSE),0),"")))</f>
        <v/>
      </c>
      <c r="BA41" s="495" t="str">
        <f t="shared" si="13"/>
        <v>ü</v>
      </c>
      <c r="BB41" s="495" t="str">
        <f t="shared" si="14"/>
        <v/>
      </c>
      <c r="BC41" s="495" t="str">
        <f t="shared" si="15"/>
        <v/>
      </c>
      <c r="BD41" s="513" t="str">
        <f>Pole_Calc!A$251</f>
        <v>App.8-V08H-P10.3</v>
      </c>
      <c r="BE41" s="429" t="s">
        <v>118</v>
      </c>
      <c r="BF41" s="289"/>
      <c r="BG41" s="289"/>
      <c r="BH41" s="290"/>
      <c r="BI41" s="289"/>
    </row>
    <row r="42" spans="1:61" ht="16.149999999999999" customHeight="1">
      <c r="A42" s="696" t="s">
        <v>853</v>
      </c>
      <c r="B42" s="697"/>
      <c r="C42" s="698"/>
      <c r="D42" s="699"/>
      <c r="E42" s="700"/>
      <c r="F42" s="700"/>
      <c r="G42" s="701">
        <v>43</v>
      </c>
      <c r="H42" s="702"/>
      <c r="I42" s="700">
        <v>612</v>
      </c>
      <c r="J42" s="698"/>
      <c r="K42" s="702"/>
      <c r="L42" s="702"/>
      <c r="M42" s="702" t="str">
        <f>IF(L42="","",
IF(AX42="PT",VLOOKUP(L42,Foundation_Calc!$V$79:$X$113,VLOOKUP(AX42,Foundation_Calc!$I$10:$J$13,2,FALSE),0),
IF(AX42="K",VLOOKUP(L42,Foundation_Calc!$V$117:$X$151,VLOOKUP(AX42,Foundation_Calc!$I$10:$J$13,2,FALSE),0),"")))</f>
        <v/>
      </c>
      <c r="N42" s="702"/>
      <c r="O42" s="702"/>
      <c r="P42" s="702"/>
      <c r="Q42" s="700"/>
      <c r="R42" s="701"/>
      <c r="S42" s="701"/>
      <c r="T42" s="700"/>
      <c r="U42" s="700"/>
      <c r="V42" s="700"/>
      <c r="W42" s="703"/>
      <c r="X42" s="703"/>
      <c r="Y42" s="703"/>
      <c r="Z42" s="703"/>
      <c r="AA42" s="703"/>
      <c r="AB42" s="703"/>
      <c r="AC42" s="702" t="str">
        <f t="shared" si="12"/>
        <v/>
      </c>
      <c r="AD42" s="702"/>
      <c r="AE42" s="702"/>
      <c r="AF42" s="700"/>
      <c r="AG42" s="699"/>
      <c r="AH42" s="700"/>
      <c r="AI42" s="700"/>
      <c r="AJ42" s="702"/>
      <c r="AK42" s="702"/>
      <c r="AL42" s="702"/>
      <c r="AM42" s="702"/>
      <c r="AN42" s="704"/>
      <c r="AO42" s="703"/>
      <c r="AP42" s="703"/>
      <c r="AQ42" s="703">
        <f>+FL_2($U$43,$T$41,$G$42,1200,9.28, 1*$F$43)</f>
        <v>-0.35902665318253446</v>
      </c>
      <c r="AR42" s="703"/>
      <c r="AS42" s="703"/>
      <c r="AT42" s="703"/>
      <c r="AU42" s="705"/>
      <c r="AV42" s="705"/>
      <c r="AW42" s="702" t="str">
        <f>IF(C42&gt;0,VLOOKUP(C42,Foundation_Calc!$A$2:$C$13,3,1),
IF(J42&gt;0,VLOOKUP(J42,Foundation_Calc!$A$2:$C$13,3,1),""))</f>
        <v/>
      </c>
      <c r="AX42" s="702" t="str">
        <f>IF(C42&gt;0,VLOOKUP(C42,Foundation_Calc!$E$2:$G$33,3,1),
IF(J42&gt;0,VLOOKUP(J42,Foundation_Calc!$E$2:$G$33,3,1),""))</f>
        <v/>
      </c>
      <c r="AY42" s="704" t="str">
        <f>IF(L42="","",
IF(AX42="PT",VLOOKUP(L42,Foundation_Calc!$K$79:$R$113,VLOOKUP(AW42,Foundation_Calc!$I$2:$J$8,2,FALSE),0),
IF(AX42="K",VLOOKUP(L42,Foundation_Calc!$K$117:$R$151,VLOOKUP(AW42,Foundation_Calc!$I$2:$J$8,2,FALSE),0),"")))</f>
        <v/>
      </c>
      <c r="AZ42" s="704" t="str">
        <f>IF(K42="","",
IF(AX42="PT",VLOOKUP(K42,Foundation_Calc!$K$79:$R$113,VLOOKUP(AW42,Foundation_Calc!$I$2:$J$8,2,FALSE),0),
IF(AX42="K",VLOOKUP(K42,Foundation_Calc!$K$117:$R$151,VLOOKUP(AW42,Foundation_Calc!$I$2:$J$8,2,FALSE),0),"")))</f>
        <v/>
      </c>
      <c r="BA42" s="495" t="str">
        <f t="shared" si="13"/>
        <v/>
      </c>
      <c r="BB42" s="495" t="str">
        <f t="shared" si="14"/>
        <v/>
      </c>
      <c r="BC42" s="495" t="str">
        <f t="shared" si="15"/>
        <v/>
      </c>
      <c r="BD42" s="513" t="str">
        <f>IF(AND(L42="",H42=""),"",
IF(H42="",Pole_Calc!A$9,
IF(H42="MP",Pole_Calc!A$10,
IF(H42="AnMP",Pole_Calc!A$11,
IF(H42="A",Pole_Calc!A$12,
IF(H42="S/A",Pole_Calc!A$13,
IF(H42="A/S",Pole_Calc!A$14,"Poner a mano")))))))</f>
        <v/>
      </c>
      <c r="BE42" s="429" t="s">
        <v>118</v>
      </c>
      <c r="BF42" s="290"/>
      <c r="BG42" s="290"/>
      <c r="BH42" s="290"/>
      <c r="BI42" s="290"/>
    </row>
    <row r="43" spans="1:61" ht="16.149999999999999" customHeight="1">
      <c r="A43" s="517" t="s">
        <v>442</v>
      </c>
      <c r="B43" s="450" t="s">
        <v>1813</v>
      </c>
      <c r="C43" s="3">
        <f>+$C$41+$G$42</f>
        <v>58701.619999999995</v>
      </c>
      <c r="D43" s="83"/>
      <c r="E43" s="4"/>
      <c r="F43" s="4">
        <v>2000</v>
      </c>
      <c r="G43" s="6"/>
      <c r="H43" s="449" t="s">
        <v>131</v>
      </c>
      <c r="I43" s="449"/>
      <c r="J43" s="3"/>
      <c r="K43" s="449"/>
      <c r="L43" s="449" t="s">
        <v>250</v>
      </c>
      <c r="M43" s="449" t="str">
        <f>IF(L43="","",
IF(AX43="PT",VLOOKUP(L43,Foundation_Calc!$V$79:$X$113,VLOOKUP(AX43,Foundation_Calc!$I$10:$J$13,2,FALSE),0),
IF(AX43="K",VLOOKUP(L43,Foundation_Calc!$V$117:$X$151,VLOOKUP(AX43,Foundation_Calc!$I$10:$J$13,2,FALSE),0),"")))</f>
        <v>2C4R</v>
      </c>
      <c r="N43" s="449" t="s">
        <v>133</v>
      </c>
      <c r="O43" s="449" t="s">
        <v>124</v>
      </c>
      <c r="P43" s="449"/>
      <c r="Q43" s="4"/>
      <c r="R43" s="6"/>
      <c r="S43" s="6"/>
      <c r="T43" s="4">
        <v>55</v>
      </c>
      <c r="U43" s="4">
        <v>-30</v>
      </c>
      <c r="V43" s="4"/>
      <c r="W43" s="9">
        <v>1.4</v>
      </c>
      <c r="X43" s="9">
        <v>2</v>
      </c>
      <c r="Y43" s="9"/>
      <c r="Z43" s="9">
        <v>0.5</v>
      </c>
      <c r="AA43" s="9"/>
      <c r="AB43" s="9"/>
      <c r="AC43" s="449"/>
      <c r="AD43" s="449"/>
      <c r="AE43" s="449"/>
      <c r="AF43" s="4"/>
      <c r="AG43" s="83"/>
      <c r="AH43" s="4"/>
      <c r="AI43" s="4"/>
      <c r="AJ43" s="449"/>
      <c r="AK43" s="449"/>
      <c r="AL43" s="449" t="s">
        <v>252</v>
      </c>
      <c r="AM43" s="449" t="s">
        <v>126</v>
      </c>
      <c r="AN43" s="10">
        <v>5.5</v>
      </c>
      <c r="AO43" s="9"/>
      <c r="AP43" s="9"/>
      <c r="AQ43" s="9"/>
      <c r="AR43" s="9"/>
      <c r="AS43" s="9"/>
      <c r="AT43" s="9">
        <f>+ab($U$43,$T$41,$T$45,$G$42,$G$44, 1*$F$43,1200)</f>
        <v>-18.185604721924722</v>
      </c>
      <c r="AU43" s="428"/>
      <c r="AV43" s="428"/>
      <c r="AW43" s="449" t="str">
        <f>IF(C43&gt;0,VLOOKUP(C43,Foundation_Calc!$A$2:$C$13,3,1),
IF(J43&gt;0,VLOOKUP(J43,Foundation_Calc!$A$2:$C$13,3,1),""))</f>
        <v>Multi Soil</v>
      </c>
      <c r="AX43" s="449" t="str">
        <f>IF(C43&gt;0,VLOOKUP(C43,Foundation_Calc!$E$2:$G$33,3,1),
IF(J43&gt;0,VLOOKUP(J43,Foundation_Calc!$E$2:$G$33,3,1),""))</f>
        <v>PT</v>
      </c>
      <c r="AY43" s="10">
        <f>IF(L43="","",
IF(AX43="PT",VLOOKUP(L43,Foundation_Calc!$K$79:$R$113,VLOOKUP(AW43,Foundation_Calc!$I$2:$J$8,2,FALSE),0),
IF(AX43="K",VLOOKUP(L43,Foundation_Calc!$K$117:$R$151,VLOOKUP(AW43,Foundation_Calc!$I$2:$J$8,2,FALSE),0),"")))</f>
        <v>5.6</v>
      </c>
      <c r="AZ43" s="10" t="str">
        <f>IF(K43="","",
IF(AX43="PT",VLOOKUP(K43,Foundation_Calc!$K$79:$R$113,VLOOKUP(AW43,Foundation_Calc!$I$2:$J$8,2,FALSE),0),
IF(AX43="K",VLOOKUP(K43,Foundation_Calc!$K$117:$R$151,VLOOKUP(AW43,Foundation_Calc!$I$2:$J$8,2,FALSE),0),"")))</f>
        <v/>
      </c>
      <c r="BA43" s="495" t="str">
        <f t="shared" si="13"/>
        <v>ü</v>
      </c>
      <c r="BB43" s="495" t="str">
        <f t="shared" si="14"/>
        <v/>
      </c>
      <c r="BC43" s="495" t="str">
        <f t="shared" si="15"/>
        <v/>
      </c>
      <c r="BD43" s="513" t="str">
        <f>Pole_Calc!A$251</f>
        <v>App.8-V08H-P10.3</v>
      </c>
      <c r="BE43" s="429" t="s">
        <v>118</v>
      </c>
      <c r="BF43" s="289"/>
      <c r="BG43" s="289"/>
      <c r="BH43" s="290"/>
      <c r="BI43" s="289"/>
    </row>
    <row r="44" spans="1:61" ht="16.149999999999999" customHeight="1">
      <c r="A44" s="514" t="s">
        <v>169</v>
      </c>
      <c r="B44" s="450"/>
      <c r="C44" s="3"/>
      <c r="D44" s="83"/>
      <c r="E44" s="4"/>
      <c r="F44" s="4"/>
      <c r="G44" s="6">
        <v>38.700000000000003</v>
      </c>
      <c r="H44" s="6"/>
      <c r="I44" s="4"/>
      <c r="J44" s="3"/>
      <c r="K44" s="449"/>
      <c r="L44" s="449"/>
      <c r="M44" s="449" t="str">
        <f>IF(L44="","",
IF(AX44="PT",VLOOKUP(L44,Foundation_Calc!$V$79:$X$113,VLOOKUP(AX44,Foundation_Calc!$I$10:$J$13,2,FALSE),0),
IF(AX44="K",VLOOKUP(L44,Foundation_Calc!$V$117:$X$151,VLOOKUP(AX44,Foundation_Calc!$I$10:$J$13,2,FALSE),0),"")))</f>
        <v/>
      </c>
      <c r="N44" s="449"/>
      <c r="O44" s="449"/>
      <c r="P44" s="449"/>
      <c r="Q44" s="4"/>
      <c r="R44" s="6"/>
      <c r="S44" s="6"/>
      <c r="T44" s="4"/>
      <c r="U44" s="4"/>
      <c r="V44" s="4"/>
      <c r="W44" s="9"/>
      <c r="X44" s="9"/>
      <c r="Y44" s="9"/>
      <c r="Z44" s="9"/>
      <c r="AA44" s="9"/>
      <c r="AB44" s="9"/>
      <c r="AC44" s="449" t="str">
        <f t="shared" si="12"/>
        <v/>
      </c>
      <c r="AD44" s="449"/>
      <c r="AE44" s="449"/>
      <c r="AF44" s="4"/>
      <c r="AG44" s="83"/>
      <c r="AH44" s="4"/>
      <c r="AI44" s="4"/>
      <c r="AJ44" s="449"/>
      <c r="AK44" s="449"/>
      <c r="AL44" s="449"/>
      <c r="AM44" s="449"/>
      <c r="AN44" s="10"/>
      <c r="AO44" s="9"/>
      <c r="AP44" s="9"/>
      <c r="AQ44" s="9">
        <f>+FL_1($T$45,$U$43,$G$44,1200,9.28, 1*$F$45)</f>
        <v>0.3</v>
      </c>
      <c r="AR44" s="9"/>
      <c r="AS44" s="9"/>
      <c r="AT44" s="9"/>
      <c r="AU44" s="428"/>
      <c r="AV44" s="428"/>
      <c r="AW44" s="449" t="str">
        <f>IF(C44&gt;0,VLOOKUP(C44,Foundation_Calc!$A$2:$C$13,3,1),
IF(J44&gt;0,VLOOKUP(J44,Foundation_Calc!$A$2:$C$13,3,1),""))</f>
        <v/>
      </c>
      <c r="AX44" s="449" t="str">
        <f>IF(C44&gt;0,VLOOKUP(C44,Foundation_Calc!$E$2:$G$33,3,1),
IF(J44&gt;0,VLOOKUP(J44,Foundation_Calc!$E$2:$G$33,3,1),""))</f>
        <v/>
      </c>
      <c r="AY44" s="10" t="str">
        <f>IF(L44="","",
IF(AX44="PT",VLOOKUP(L44,Foundation_Calc!$K$79:$R$113,VLOOKUP(AW44,Foundation_Calc!$I$2:$J$8,2,FALSE),0),
IF(AX44="K",VLOOKUP(L44,Foundation_Calc!$K$117:$R$151,VLOOKUP(AW44,Foundation_Calc!$I$2:$J$8,2,FALSE),0),"")))</f>
        <v/>
      </c>
      <c r="AZ44" s="10" t="str">
        <f>IF(K44="","",
IF(AX44="PT",VLOOKUP(K44,Foundation_Calc!$K$79:$R$113,VLOOKUP(AW44,Foundation_Calc!$I$2:$J$8,2,FALSE),0),
IF(AX44="K",VLOOKUP(K44,Foundation_Calc!$K$117:$R$151,VLOOKUP(AW44,Foundation_Calc!$I$2:$J$8,2,FALSE),0),"")))</f>
        <v/>
      </c>
      <c r="BA44" s="495" t="str">
        <f t="shared" si="13"/>
        <v/>
      </c>
      <c r="BB44" s="495" t="str">
        <f t="shared" si="14"/>
        <v/>
      </c>
      <c r="BC44" s="495" t="str">
        <f t="shared" si="15"/>
        <v/>
      </c>
      <c r="BD44" s="513" t="str">
        <f>IF(AND(L44="",H44=""),"",
IF(H44="",Pole_Calc!A$9,
IF(H44="MP",Pole_Calc!A$10,
IF(H44="AnMP",Pole_Calc!A$11,
IF(H44="A",Pole_Calc!A$12,
IF(H44="S/A",Pole_Calc!A$13,
IF(H44="A/S",Pole_Calc!A$14,"Poner a mano")))))))</f>
        <v/>
      </c>
      <c r="BE44" s="429" t="s">
        <v>118</v>
      </c>
      <c r="BF44" s="290"/>
      <c r="BG44" s="290"/>
      <c r="BH44" s="290"/>
      <c r="BI44" s="290"/>
    </row>
    <row r="45" spans="1:61" ht="16.149999999999999" customHeight="1">
      <c r="A45" s="517" t="s">
        <v>442</v>
      </c>
      <c r="B45" s="450" t="s">
        <v>1814</v>
      </c>
      <c r="C45" s="3">
        <f>+$C$43+$G$44</f>
        <v>58740.319999999992</v>
      </c>
      <c r="D45" s="83"/>
      <c r="E45" s="4"/>
      <c r="F45" s="4">
        <v>2000</v>
      </c>
      <c r="G45" s="6"/>
      <c r="H45" s="449"/>
      <c r="I45" s="449" t="s">
        <v>195</v>
      </c>
      <c r="J45" s="3"/>
      <c r="K45" s="449"/>
      <c r="L45" s="449" t="s">
        <v>250</v>
      </c>
      <c r="M45" s="449" t="str">
        <f>IF(L45="","",
IF(AX45="PT",VLOOKUP(L45,Foundation_Calc!$V$79:$X$113,VLOOKUP(AX45,Foundation_Calc!$I$10:$J$13,2,FALSE),0),
IF(AX45="K",VLOOKUP(L45,Foundation_Calc!$V$117:$X$151,VLOOKUP(AX45,Foundation_Calc!$I$10:$J$13,2,FALSE),0),"")))</f>
        <v>2C4R</v>
      </c>
      <c r="N45" s="449" t="s">
        <v>134</v>
      </c>
      <c r="O45" s="449"/>
      <c r="P45" s="449"/>
      <c r="Q45" s="4"/>
      <c r="R45" s="6"/>
      <c r="S45" s="6"/>
      <c r="T45" s="4">
        <v>30</v>
      </c>
      <c r="U45" s="4"/>
      <c r="V45" s="4"/>
      <c r="W45" s="9">
        <v>1.4</v>
      </c>
      <c r="X45" s="9"/>
      <c r="Y45" s="9"/>
      <c r="Z45" s="9"/>
      <c r="AA45" s="9"/>
      <c r="AB45" s="9"/>
      <c r="AC45" s="449" t="str">
        <f t="shared" si="12"/>
        <v>PHQ</v>
      </c>
      <c r="AD45" s="449"/>
      <c r="AE45" s="449"/>
      <c r="AF45" s="4"/>
      <c r="AG45" s="83"/>
      <c r="AH45" s="4"/>
      <c r="AI45" s="4"/>
      <c r="AJ45" s="449"/>
      <c r="AK45" s="449"/>
      <c r="AL45" s="449" t="s">
        <v>252</v>
      </c>
      <c r="AM45" s="449" t="s">
        <v>126</v>
      </c>
      <c r="AN45" s="10">
        <v>5.5</v>
      </c>
      <c r="AO45" s="9"/>
      <c r="AP45" s="9"/>
      <c r="AQ45" s="9"/>
      <c r="AR45" s="9"/>
      <c r="AS45" s="9"/>
      <c r="AT45" s="9">
        <f>+ab($T$45,$U$43,$T$47,$G$44,$G$46, 1*$F$45,1200)</f>
        <v>5.2998481330946099</v>
      </c>
      <c r="AU45" s="428"/>
      <c r="AV45" s="428"/>
      <c r="AW45" s="449" t="str">
        <f>IF(C45&gt;0,VLOOKUP(C45,Foundation_Calc!$A$2:$C$13,3,1),
IF(J45&gt;0,VLOOKUP(J45,Foundation_Calc!$A$2:$C$13,3,1),""))</f>
        <v>Multi Soil</v>
      </c>
      <c r="AX45" s="449" t="str">
        <f>IF(C45&gt;0,VLOOKUP(C45,Foundation_Calc!$E$2:$G$33,3,1),
IF(J45&gt;0,VLOOKUP(J45,Foundation_Calc!$E$2:$G$33,3,1),""))</f>
        <v>PT</v>
      </c>
      <c r="AY45" s="10">
        <f>IF(L45="","",
IF(AX45="PT",VLOOKUP(L45,Foundation_Calc!$K$79:$R$113,VLOOKUP(AW45,Foundation_Calc!$I$2:$J$8,2,FALSE),0),
IF(AX45="K",VLOOKUP(L45,Foundation_Calc!$K$117:$R$151,VLOOKUP(AW45,Foundation_Calc!$I$2:$J$8,2,FALSE),0),"")))</f>
        <v>5.6</v>
      </c>
      <c r="AZ45" s="10" t="str">
        <f>IF(K45="","",
IF(AX45="PT",VLOOKUP(K45,Foundation_Calc!$K$79:$R$113,VLOOKUP(AW45,Foundation_Calc!$I$2:$J$8,2,FALSE),0),
IF(AX45="K",VLOOKUP(K45,Foundation_Calc!$K$117:$R$151,VLOOKUP(AW45,Foundation_Calc!$I$2:$J$8,2,FALSE),0),"")))</f>
        <v/>
      </c>
      <c r="BA45" s="495" t="str">
        <f t="shared" si="13"/>
        <v>ü</v>
      </c>
      <c r="BB45" s="495" t="str">
        <f t="shared" si="14"/>
        <v/>
      </c>
      <c r="BC45" s="495" t="str">
        <f t="shared" si="15"/>
        <v/>
      </c>
      <c r="BD45" s="513" t="str">
        <f>Pole_Calc!A$251</f>
        <v>App.8-V08H-P10.3</v>
      </c>
      <c r="BE45" s="429" t="s">
        <v>118</v>
      </c>
      <c r="BF45" s="289"/>
      <c r="BG45" s="289"/>
      <c r="BH45" s="290"/>
      <c r="BI45" s="289"/>
    </row>
    <row r="46" spans="1:61" ht="16.149999999999999" customHeight="1">
      <c r="A46" s="514" t="s">
        <v>438</v>
      </c>
      <c r="B46" s="450"/>
      <c r="C46" s="3"/>
      <c r="D46" s="83"/>
      <c r="E46" s="4"/>
      <c r="F46" s="4"/>
      <c r="G46" s="6">
        <v>43.7</v>
      </c>
      <c r="H46" s="449"/>
      <c r="I46" s="449"/>
      <c r="J46" s="3">
        <f>C45+7.5</f>
        <v>58747.819999999992</v>
      </c>
      <c r="K46" s="449" t="s">
        <v>166</v>
      </c>
      <c r="L46" s="449"/>
      <c r="M46" s="449" t="str">
        <f>IF(L46="","",
IF(AX46="PT",VLOOKUP(L46,Foundation_Calc!$V$79:$X$113,VLOOKUP(AX46,Foundation_Calc!$I$10:$J$13,2,FALSE),0),
IF(AX46="K",VLOOKUP(L46,Foundation_Calc!$V$117:$X$151,VLOOKUP(AX46,Foundation_Calc!$I$10:$J$13,2,FALSE),0),"")))</f>
        <v/>
      </c>
      <c r="N46" s="449"/>
      <c r="O46" s="449"/>
      <c r="P46" s="449"/>
      <c r="Q46" s="4"/>
      <c r="R46" s="6"/>
      <c r="S46" s="6"/>
      <c r="T46" s="4"/>
      <c r="U46" s="4"/>
      <c r="V46" s="4"/>
      <c r="W46" s="9"/>
      <c r="X46" s="9"/>
      <c r="Y46" s="9"/>
      <c r="Z46" s="9"/>
      <c r="AA46" s="9"/>
      <c r="AB46" s="9"/>
      <c r="AC46" s="449" t="str">
        <f t="shared" si="12"/>
        <v/>
      </c>
      <c r="AD46" s="449"/>
      <c r="AE46" s="449"/>
      <c r="AF46" s="4"/>
      <c r="AG46" s="83"/>
      <c r="AH46" s="4"/>
      <c r="AI46" s="4"/>
      <c r="AJ46" s="449"/>
      <c r="AK46" s="449"/>
      <c r="AL46" s="449"/>
      <c r="AM46" s="449"/>
      <c r="AN46" s="10"/>
      <c r="AO46" s="9"/>
      <c r="AP46" s="9"/>
      <c r="AQ46" s="9">
        <f>+FL_1($T$47,-$T$45,$G$46,1200,9.28, 1*$F$47)</f>
        <v>0.30648629382151032</v>
      </c>
      <c r="AR46" s="9"/>
      <c r="AS46" s="9"/>
      <c r="AT46" s="9"/>
      <c r="AU46" s="428"/>
      <c r="AV46" s="428"/>
      <c r="AW46" s="449" t="str">
        <f>IF(C46&gt;0,VLOOKUP(C46,Foundation_Calc!$A$2:$C$13,3,1),
IF(J46&gt;0,VLOOKUP(J46,Foundation_Calc!$A$2:$C$13,3,1),""))</f>
        <v>Multi Soil</v>
      </c>
      <c r="AX46" s="449" t="str">
        <f>IF(C46&gt;0,VLOOKUP(C46,Foundation_Calc!$E$2:$G$33,3,1),
IF(J46&gt;0,VLOOKUP(J46,Foundation_Calc!$E$2:$G$33,3,1),""))</f>
        <v>PT</v>
      </c>
      <c r="AY46" s="10" t="str">
        <f>IF(L46="","",
IF(AX46="PT",VLOOKUP(L46,Foundation_Calc!$K$79:$R$113,VLOOKUP(AW46,Foundation_Calc!$I$2:$J$8,2,FALSE),0),
IF(AX46="K",VLOOKUP(L46,Foundation_Calc!$K$117:$R$151,VLOOKUP(AW46,Foundation_Calc!$I$2:$J$8,2,FALSE),0),"")))</f>
        <v/>
      </c>
      <c r="AZ46" s="10">
        <f>IF(K46="","",
IF(AX46="PT",VLOOKUP(K46,Foundation_Calc!$K$79:$R$113,VLOOKUP(AW46,Foundation_Calc!$I$2:$J$8,2,FALSE),0),
IF(AX46="K",VLOOKUP(K46,Foundation_Calc!$K$117:$R$151,VLOOKUP(AW46,Foundation_Calc!$I$2:$J$8,2,FALSE),0),"")))</f>
        <v>2.8</v>
      </c>
      <c r="BA46" s="495" t="str">
        <f t="shared" si="13"/>
        <v/>
      </c>
      <c r="BB46" s="495" t="str">
        <f t="shared" si="14"/>
        <v>ü</v>
      </c>
      <c r="BC46" s="495" t="str">
        <f t="shared" si="15"/>
        <v/>
      </c>
      <c r="BD46" s="513"/>
      <c r="BE46" s="429" t="s">
        <v>118</v>
      </c>
      <c r="BF46" s="290"/>
      <c r="BG46" s="290"/>
      <c r="BH46" s="290"/>
      <c r="BI46" s="290"/>
    </row>
    <row r="47" spans="1:61" ht="16.149999999999999" customHeight="1">
      <c r="A47" s="514"/>
      <c r="B47" s="450" t="s">
        <v>1815</v>
      </c>
      <c r="C47" s="3">
        <f>C45+G46</f>
        <v>58784.01999999999</v>
      </c>
      <c r="D47" s="83"/>
      <c r="E47" s="4"/>
      <c r="F47" s="4">
        <v>0</v>
      </c>
      <c r="G47" s="6"/>
      <c r="H47" s="449"/>
      <c r="I47" s="449"/>
      <c r="J47" s="3"/>
      <c r="K47" s="449"/>
      <c r="L47" s="449" t="s">
        <v>1816</v>
      </c>
      <c r="M47" s="449"/>
      <c r="N47" s="554" t="s">
        <v>134</v>
      </c>
      <c r="O47" s="449"/>
      <c r="P47" s="449"/>
      <c r="Q47" s="4"/>
      <c r="R47" s="6"/>
      <c r="S47" s="6"/>
      <c r="T47" s="4">
        <v>30</v>
      </c>
      <c r="U47" s="4"/>
      <c r="V47" s="4"/>
      <c r="W47" s="9">
        <v>1.4</v>
      </c>
      <c r="X47" s="9"/>
      <c r="Y47" s="9"/>
      <c r="Z47" s="9"/>
      <c r="AA47" s="9"/>
      <c r="AB47" s="9"/>
      <c r="AC47" s="449" t="str">
        <f t="shared" si="12"/>
        <v>PHQ</v>
      </c>
      <c r="AD47" s="449"/>
      <c r="AE47" s="449"/>
      <c r="AF47" s="4"/>
      <c r="AG47" s="83"/>
      <c r="AH47" s="4"/>
      <c r="AI47" s="4"/>
      <c r="AJ47" s="449"/>
      <c r="AK47" s="449"/>
      <c r="AL47" s="449"/>
      <c r="AM47" s="449"/>
      <c r="AN47" s="10">
        <v>5.5</v>
      </c>
      <c r="AO47" s="9"/>
      <c r="AP47" s="9"/>
      <c r="AQ47" s="9"/>
      <c r="AR47" s="9"/>
      <c r="AS47" s="9"/>
      <c r="AT47" s="9">
        <f>+ab($T$47,-$T$45,$T$49,$G$46,$G$48, 1*$F$47,1200)</f>
        <v>7.5697404095465188</v>
      </c>
      <c r="AU47" s="428"/>
      <c r="AV47" s="428"/>
      <c r="AW47" s="449"/>
      <c r="AX47" s="449"/>
      <c r="AY47" s="10" t="str">
        <f>IF(L47="","",
IF(AX47="PT",VLOOKUP(L47,Foundation_Calc!$K$79:$R$113,VLOOKUP(AW47,Foundation_Calc!$I$2:$J$8,2,FALSE),0),
IF(AX47="K",VLOOKUP(L47,Foundation_Calc!$K$117:$R$151,VLOOKUP(AW47,Foundation_Calc!$I$2:$J$8,2,FALSE),0),"")))</f>
        <v/>
      </c>
      <c r="AZ47" s="10" t="str">
        <f>IF(K47="","",
IF(AX47="PT",VLOOKUP(K47,Foundation_Calc!$K$79:$R$113,VLOOKUP(AW47,Foundation_Calc!$I$2:$J$8,2,FALSE),0),
IF(AX47="K",VLOOKUP(K47,Foundation_Calc!$K$117:$R$151,VLOOKUP(AW47,Foundation_Calc!$I$2:$J$8,2,FALSE),0),"")))</f>
        <v/>
      </c>
      <c r="BA47" s="495" t="str">
        <f t="shared" si="13"/>
        <v/>
      </c>
      <c r="BB47" s="495" t="str">
        <f t="shared" si="14"/>
        <v/>
      </c>
      <c r="BC47" s="495" t="str">
        <f t="shared" si="15"/>
        <v/>
      </c>
      <c r="BD47" s="513"/>
      <c r="BE47" s="429" t="s">
        <v>118</v>
      </c>
      <c r="BF47" s="289"/>
      <c r="BG47" s="289"/>
      <c r="BH47" s="290"/>
      <c r="BI47" s="289"/>
    </row>
    <row r="48" spans="1:61" ht="16.149999999999999" customHeight="1">
      <c r="A48" s="514"/>
      <c r="B48" s="450"/>
      <c r="C48" s="3"/>
      <c r="D48" s="83"/>
      <c r="E48" s="4"/>
      <c r="F48" s="4"/>
      <c r="G48" s="6">
        <v>52.3</v>
      </c>
      <c r="H48" s="449"/>
      <c r="I48" s="449"/>
      <c r="J48" s="3"/>
      <c r="K48" s="449"/>
      <c r="L48" s="449"/>
      <c r="M48" s="449" t="str">
        <f>IF(L48="","",
IF(AX48="PT",VLOOKUP(L48,Foundation_Calc!$V$79:$X$113,VLOOKUP(AX48,Foundation_Calc!$I$10:$J$13,2,FALSE),0),
IF(AX48="K",VLOOKUP(L48,Foundation_Calc!$V$117:$X$151,VLOOKUP(AX48,Foundation_Calc!$I$10:$J$13,2,FALSE),0),"")))</f>
        <v/>
      </c>
      <c r="N48" s="449"/>
      <c r="O48" s="449"/>
      <c r="P48" s="449"/>
      <c r="Q48" s="4"/>
      <c r="R48" s="6"/>
      <c r="S48" s="6"/>
      <c r="T48" s="4"/>
      <c r="U48" s="4"/>
      <c r="V48" s="4"/>
      <c r="W48" s="9"/>
      <c r="X48" s="9"/>
      <c r="Y48" s="9"/>
      <c r="Z48" s="9"/>
      <c r="AA48" s="9"/>
      <c r="AB48" s="9"/>
      <c r="AC48" s="449" t="str">
        <f t="shared" si="12"/>
        <v/>
      </c>
      <c r="AD48" s="449"/>
      <c r="AE48" s="449"/>
      <c r="AF48" s="4"/>
      <c r="AG48" s="83"/>
      <c r="AH48" s="4"/>
      <c r="AI48" s="4"/>
      <c r="AJ48" s="449"/>
      <c r="AK48" s="449"/>
      <c r="AL48" s="449"/>
      <c r="AM48" s="449"/>
      <c r="AN48" s="10"/>
      <c r="AO48" s="9"/>
      <c r="AP48" s="9"/>
      <c r="AQ48" s="9">
        <f>+FL_2($T$49,$T$47,$G$48,1200,9.28, 1*$F$49)</f>
        <v>-0.34950603521223711</v>
      </c>
      <c r="AR48" s="9"/>
      <c r="AS48" s="9"/>
      <c r="AT48" s="9"/>
      <c r="AU48" s="428"/>
      <c r="AV48" s="428"/>
      <c r="AW48" s="449" t="str">
        <f>IF(C48&gt;0,VLOOKUP(C48,Foundation_Calc!$A$2:$C$13,3,1),
IF(J48&gt;0,VLOOKUP(J48,Foundation_Calc!$A$2:$C$13,3,1),""))</f>
        <v/>
      </c>
      <c r="AX48" s="449" t="str">
        <f>IF(C48&gt;0,VLOOKUP(C48,Foundation_Calc!$E$2:$G$33,3,1),
IF(J48&gt;0,VLOOKUP(J48,Foundation_Calc!$E$2:$G$33,3,1),""))</f>
        <v/>
      </c>
      <c r="AY48" s="10" t="str">
        <f>IF(L48="","",
IF(AX48="PT",VLOOKUP(L48,Foundation_Calc!$K$79:$R$113,VLOOKUP(AW48,Foundation_Calc!$I$2:$J$8,2,FALSE),0),
IF(AX48="K",VLOOKUP(L48,Foundation_Calc!$K$117:$R$151,VLOOKUP(AW48,Foundation_Calc!$I$2:$J$8,2,FALSE),0),"")))</f>
        <v/>
      </c>
      <c r="AZ48" s="10" t="str">
        <f>IF(K48="","",
IF(AX48="PT",VLOOKUP(K48,Foundation_Calc!$K$79:$R$113,VLOOKUP(AW48,Foundation_Calc!$I$2:$J$8,2,FALSE),0),
IF(AX48="K",VLOOKUP(K48,Foundation_Calc!$K$117:$R$151,VLOOKUP(AW48,Foundation_Calc!$I$2:$J$8,2,FALSE),0),"")))</f>
        <v/>
      </c>
      <c r="BA48" s="495" t="str">
        <f t="shared" si="13"/>
        <v/>
      </c>
      <c r="BB48" s="495" t="str">
        <f t="shared" si="14"/>
        <v/>
      </c>
      <c r="BC48" s="495" t="str">
        <f t="shared" si="15"/>
        <v/>
      </c>
      <c r="BD48" s="513" t="str">
        <f>IF(AND(L48="",H48=""),"",
IF(H48="",Pole_Calc!A$9,
IF(H48="MP",Pole_Calc!A$10,
IF(H48="AnMP",Pole_Calc!A$11,
IF(H48="A",Pole_Calc!A$12,
IF(H48="S/A",Pole_Calc!A$13,
IF(H48="A/S",Pole_Calc!A$14,"Poner a mano")))))))</f>
        <v/>
      </c>
      <c r="BE48" s="429" t="s">
        <v>118</v>
      </c>
      <c r="BF48" s="290"/>
      <c r="BG48" s="290"/>
      <c r="BH48" s="290"/>
      <c r="BI48" s="290"/>
    </row>
    <row r="49" spans="1:61" ht="16.149999999999999" customHeight="1">
      <c r="A49" s="514"/>
      <c r="B49" s="450" t="s">
        <v>1817</v>
      </c>
      <c r="C49" s="3">
        <f>C47+G48</f>
        <v>58836.319999999992</v>
      </c>
      <c r="D49" s="83"/>
      <c r="E49" s="4"/>
      <c r="F49" s="4">
        <v>0</v>
      </c>
      <c r="G49" s="6"/>
      <c r="H49" s="449"/>
      <c r="I49" s="449"/>
      <c r="J49" s="3"/>
      <c r="K49" s="449"/>
      <c r="L49" s="449" t="s">
        <v>1816</v>
      </c>
      <c r="M49" s="449"/>
      <c r="N49" s="554" t="s">
        <v>124</v>
      </c>
      <c r="O49" s="449"/>
      <c r="P49" s="449"/>
      <c r="Q49" s="4"/>
      <c r="R49" s="6"/>
      <c r="S49" s="6"/>
      <c r="T49" s="4">
        <v>-30</v>
      </c>
      <c r="U49" s="4"/>
      <c r="V49" s="4"/>
      <c r="W49" s="9">
        <v>1.4</v>
      </c>
      <c r="X49" s="9"/>
      <c r="Y49" s="9"/>
      <c r="Z49" s="9"/>
      <c r="AA49" s="9"/>
      <c r="AB49" s="9"/>
      <c r="AC49" s="449" t="str">
        <f t="shared" si="12"/>
        <v>PHQ</v>
      </c>
      <c r="AD49" s="449"/>
      <c r="AE49" s="449"/>
      <c r="AF49" s="4"/>
      <c r="AG49" s="83"/>
      <c r="AH49" s="4"/>
      <c r="AI49" s="4"/>
      <c r="AJ49" s="449"/>
      <c r="AK49" s="449" t="s">
        <v>715</v>
      </c>
      <c r="AL49" s="449"/>
      <c r="AM49" s="449"/>
      <c r="AN49" s="10">
        <v>5.47</v>
      </c>
      <c r="AO49" s="9"/>
      <c r="AP49" s="9"/>
      <c r="AQ49" s="9"/>
      <c r="AR49" s="9"/>
      <c r="AS49" s="9"/>
      <c r="AT49" s="9">
        <f>+ab($T$49,$T$47,$T$51,$G$48,$G$50, 1*$F$49,1200)</f>
        <v>-6.9506697056865576</v>
      </c>
      <c r="AU49" s="428"/>
      <c r="AV49" s="428"/>
      <c r="AW49" s="449"/>
      <c r="AX49" s="449"/>
      <c r="AY49" s="10" t="str">
        <f>IF(L49="","",
IF(AX49="PT",VLOOKUP(L49,Foundation_Calc!$K$79:$R$113,VLOOKUP(AW49,Foundation_Calc!$I$2:$J$8,2,FALSE),0),
IF(AX49="K",VLOOKUP(L49,Foundation_Calc!$K$117:$R$151,VLOOKUP(AW49,Foundation_Calc!$I$2:$J$8,2,FALSE),0),"")))</f>
        <v/>
      </c>
      <c r="AZ49" s="10" t="str">
        <f>IF(K49="","",
IF(AX49="PT",VLOOKUP(K49,Foundation_Calc!$K$79:$R$113,VLOOKUP(AW49,Foundation_Calc!$I$2:$J$8,2,FALSE),0),
IF(AX49="K",VLOOKUP(K49,Foundation_Calc!$K$117:$R$151,VLOOKUP(AW49,Foundation_Calc!$I$2:$J$8,2,FALSE),0),"")))</f>
        <v/>
      </c>
      <c r="BA49" s="495" t="str">
        <f t="shared" si="13"/>
        <v/>
      </c>
      <c r="BB49" s="495" t="str">
        <f t="shared" si="14"/>
        <v/>
      </c>
      <c r="BC49" s="495" t="str">
        <f t="shared" si="15"/>
        <v/>
      </c>
      <c r="BD49" s="513"/>
      <c r="BE49" s="429" t="s">
        <v>118</v>
      </c>
      <c r="BF49" s="289"/>
      <c r="BG49" s="289"/>
      <c r="BH49" s="290"/>
      <c r="BI49" s="289"/>
    </row>
    <row r="50" spans="1:61" ht="16.149999999999999" customHeight="1">
      <c r="A50" s="514"/>
      <c r="B50" s="450"/>
      <c r="C50" s="3"/>
      <c r="D50" s="83"/>
      <c r="E50" s="4"/>
      <c r="F50" s="4"/>
      <c r="G50" s="6">
        <v>37.5</v>
      </c>
      <c r="H50" s="449"/>
      <c r="I50" s="449"/>
      <c r="J50" s="3">
        <f>C51-7.5</f>
        <v>58866.319999999992</v>
      </c>
      <c r="K50" s="449" t="s">
        <v>117</v>
      </c>
      <c r="L50" s="449"/>
      <c r="M50" s="449" t="str">
        <f>IF(L50="","",
IF(AX50="PT",VLOOKUP(L50,Foundation_Calc!$V$79:$X$113,VLOOKUP(AX50,Foundation_Calc!$I$10:$J$13,2,FALSE),0),
IF(AX50="K",VLOOKUP(L50,Foundation_Calc!$V$117:$X$151,VLOOKUP(AX50,Foundation_Calc!$I$10:$J$13,2,FALSE),0),"")))</f>
        <v/>
      </c>
      <c r="N50" s="449"/>
      <c r="O50" s="449"/>
      <c r="P50" s="449"/>
      <c r="Q50" s="4"/>
      <c r="R50" s="6"/>
      <c r="S50" s="6"/>
      <c r="T50" s="4"/>
      <c r="U50" s="4"/>
      <c r="V50" s="4"/>
      <c r="W50" s="9"/>
      <c r="X50" s="9"/>
      <c r="Y50" s="9"/>
      <c r="Z50" s="9"/>
      <c r="AA50" s="9"/>
      <c r="AB50" s="9"/>
      <c r="AC50" s="449" t="str">
        <f t="shared" si="12"/>
        <v/>
      </c>
      <c r="AD50" s="449"/>
      <c r="AE50" s="449"/>
      <c r="AF50" s="4"/>
      <c r="AG50" s="83"/>
      <c r="AH50" s="4"/>
      <c r="AI50" s="4"/>
      <c r="AJ50" s="449"/>
      <c r="AK50" s="449"/>
      <c r="AL50" s="449"/>
      <c r="AM50" s="449"/>
      <c r="AN50" s="10"/>
      <c r="AO50" s="9"/>
      <c r="AP50" s="9"/>
      <c r="AQ50" s="9">
        <f>+FL_1($T$51,$T$49,$G$50,1200,9.28, 1*$F$51)</f>
        <v>0.44521757256941308</v>
      </c>
      <c r="AR50" s="9"/>
      <c r="AS50" s="9"/>
      <c r="AT50" s="9"/>
      <c r="AU50" s="428"/>
      <c r="AV50" s="428"/>
      <c r="AW50" s="449" t="str">
        <f>IF(C50&gt;0,VLOOKUP(C50,Foundation_Calc!$A$2:$C$13,3,1),
IF(J50&gt;0,VLOOKUP(J50,Foundation_Calc!$A$2:$C$13,3,1),""))</f>
        <v>Multi Soil</v>
      </c>
      <c r="AX50" s="449" t="str">
        <f>IF(C50&gt;0,VLOOKUP(C50,Foundation_Calc!$E$2:$G$33,3,1),
IF(J50&gt;0,VLOOKUP(J50,Foundation_Calc!$E$2:$G$33,3,1),""))</f>
        <v>PT</v>
      </c>
      <c r="AY50" s="10" t="str">
        <f>IF(L50="","",
IF(AX50="PT",VLOOKUP(L50,Foundation_Calc!$K$79:$R$113,VLOOKUP(AW50,Foundation_Calc!$I$2:$J$8,2,FALSE),0),
IF(AX50="K",VLOOKUP(L50,Foundation_Calc!$K$117:$R$151,VLOOKUP(AW50,Foundation_Calc!$I$2:$J$8,2,FALSE),0),"")))</f>
        <v/>
      </c>
      <c r="AZ50" s="10">
        <f>IF(K50="","",
IF(AX50="PT",VLOOKUP(K50,Foundation_Calc!$K$79:$R$113,VLOOKUP(AW50,Foundation_Calc!$I$2:$J$8,2,FALSE),0),
IF(AX50="K",VLOOKUP(K50,Foundation_Calc!$K$117:$R$151,VLOOKUP(AW50,Foundation_Calc!$I$2:$J$8,2,FALSE),0),"")))</f>
        <v>3.9</v>
      </c>
      <c r="BA50" s="495" t="str">
        <f t="shared" si="13"/>
        <v/>
      </c>
      <c r="BB50" s="495" t="str">
        <f t="shared" si="14"/>
        <v>ü</v>
      </c>
      <c r="BC50" s="495" t="str">
        <f t="shared" si="15"/>
        <v/>
      </c>
      <c r="BD50" s="513" t="str">
        <f>IF(AND(L50="",H50=""),"",
IF(H50="",Pole_Calc!A$9,
IF(H50="MP",Pole_Calc!A$10,
IF(H50="AnMP",Pole_Calc!A$11,
IF(H50="A",Pole_Calc!A$12,
IF(H50="S/A",Pole_Calc!A$13,
IF(H50="A/S",Pole_Calc!A$14,"Poner a mano")))))))</f>
        <v/>
      </c>
      <c r="BE50" s="429" t="s">
        <v>118</v>
      </c>
      <c r="BF50" s="290"/>
      <c r="BG50" s="290"/>
      <c r="BH50" s="290"/>
      <c r="BI50" s="290"/>
    </row>
    <row r="51" spans="1:61" ht="16.149999999999999" customHeight="1">
      <c r="A51" s="514"/>
      <c r="B51" s="450" t="s">
        <v>1818</v>
      </c>
      <c r="C51" s="3">
        <f>C49+G50</f>
        <v>58873.819999999992</v>
      </c>
      <c r="D51" s="83"/>
      <c r="E51" s="4"/>
      <c r="F51" s="4">
        <v>-700</v>
      </c>
      <c r="G51" s="6"/>
      <c r="H51" s="449" t="s">
        <v>1819</v>
      </c>
      <c r="I51" s="449" t="s">
        <v>122</v>
      </c>
      <c r="J51" s="3"/>
      <c r="K51" s="449"/>
      <c r="L51" s="449" t="s">
        <v>1816</v>
      </c>
      <c r="M51" s="449" t="str">
        <f>IF(L51="","",
IF(AX51="PT",VLOOKUP(L51,Foundation_Calc!$V$79:$X$113,VLOOKUP(AX51,Foundation_Calc!$I$10:$J$13,2,FALSE),0),
IF(AX51="K",VLOOKUP(L51,Foundation_Calc!$V$117:$X$151,VLOOKUP(AX51,Foundation_Calc!$I$10:$J$13,2,FALSE),0),"")))</f>
        <v/>
      </c>
      <c r="N51" s="554" t="s">
        <v>134</v>
      </c>
      <c r="O51" s="449"/>
      <c r="P51" s="449"/>
      <c r="Q51" s="4"/>
      <c r="R51" s="6"/>
      <c r="S51" s="6"/>
      <c r="T51" s="4">
        <v>30</v>
      </c>
      <c r="U51" s="4"/>
      <c r="V51" s="4"/>
      <c r="W51" s="9">
        <v>1.4</v>
      </c>
      <c r="X51" s="9"/>
      <c r="Y51" s="9"/>
      <c r="Z51" s="9"/>
      <c r="AA51" s="9"/>
      <c r="AB51" s="9"/>
      <c r="AC51" s="449" t="str">
        <f t="shared" si="12"/>
        <v>PHQ</v>
      </c>
      <c r="AD51" s="449"/>
      <c r="AE51" s="449"/>
      <c r="AF51" s="4"/>
      <c r="AG51" s="83"/>
      <c r="AH51" s="4"/>
      <c r="AI51" s="4"/>
      <c r="AJ51" s="449"/>
      <c r="AK51" s="449" t="s">
        <v>715</v>
      </c>
      <c r="AL51" s="449"/>
      <c r="AM51" s="449"/>
      <c r="AN51" s="10">
        <v>5.43</v>
      </c>
      <c r="AO51" s="9"/>
      <c r="AP51" s="9"/>
      <c r="AQ51" s="9"/>
      <c r="AR51" s="9"/>
      <c r="AS51" s="9"/>
      <c r="AT51" s="9">
        <f>+ab($T$51,$T$49,$U$53,$G$50,$G$52, 1*$F$51,1200)</f>
        <v>-6.0867850271201283</v>
      </c>
      <c r="AU51" s="428"/>
      <c r="AV51" s="428"/>
      <c r="AW51" s="449"/>
      <c r="AX51" s="449"/>
      <c r="AY51" s="10"/>
      <c r="AZ51" s="10" t="str">
        <f>IF(K51="","",
IF(AX51="PT",VLOOKUP(K51,Foundation_Calc!$K$79:$R$113,VLOOKUP(AW51,Foundation_Calc!$I$2:$J$8,2,FALSE),0),
IF(AX51="K",VLOOKUP(K51,Foundation_Calc!$K$117:$R$151,VLOOKUP(AW51,Foundation_Calc!$I$2:$J$8,2,FALSE),0),"")))</f>
        <v/>
      </c>
      <c r="BA51" s="495" t="str">
        <f t="shared" si="13"/>
        <v/>
      </c>
      <c r="BB51" s="495" t="str">
        <f t="shared" si="14"/>
        <v/>
      </c>
      <c r="BC51" s="495" t="str">
        <f t="shared" si="15"/>
        <v/>
      </c>
      <c r="BD51" s="513"/>
      <c r="BE51" s="429" t="s">
        <v>118</v>
      </c>
      <c r="BF51" s="289"/>
      <c r="BG51" s="289"/>
      <c r="BH51" s="290"/>
      <c r="BI51" s="289"/>
    </row>
    <row r="52" spans="1:61" ht="16.149999999999999" customHeight="1">
      <c r="A52" s="514"/>
      <c r="B52" s="450"/>
      <c r="C52" s="3"/>
      <c r="D52" s="83"/>
      <c r="E52" s="4"/>
      <c r="F52" s="4"/>
      <c r="G52" s="6">
        <v>33.1</v>
      </c>
      <c r="H52" s="449"/>
      <c r="I52" s="449"/>
      <c r="J52" s="3"/>
      <c r="K52" s="449"/>
      <c r="L52" s="449"/>
      <c r="M52" s="449" t="str">
        <f>IF(L52="","",
IF(AX52="PT",VLOOKUP(L52,Foundation_Calc!$V$79:$X$113,VLOOKUP(AX52,Foundation_Calc!$I$10:$J$13,2,FALSE),0),
IF(AX52="K",VLOOKUP(L52,Foundation_Calc!$V$117:$X$151,VLOOKUP(AX52,Foundation_Calc!$I$10:$J$13,2,FALSE),0),"")))</f>
        <v/>
      </c>
      <c r="N52" s="449"/>
      <c r="O52" s="449"/>
      <c r="P52" s="449"/>
      <c r="Q52" s="4"/>
      <c r="R52" s="6"/>
      <c r="S52" s="6"/>
      <c r="T52" s="4"/>
      <c r="U52" s="4"/>
      <c r="V52" s="4"/>
      <c r="W52" s="9"/>
      <c r="X52" s="9"/>
      <c r="Y52" s="9"/>
      <c r="Z52" s="9"/>
      <c r="AA52" s="9"/>
      <c r="AB52" s="9"/>
      <c r="AC52" s="449" t="str">
        <f t="shared" si="12"/>
        <v/>
      </c>
      <c r="AD52" s="449"/>
      <c r="AE52" s="449"/>
      <c r="AF52" s="4"/>
      <c r="AG52" s="83"/>
      <c r="AH52" s="4"/>
      <c r="AI52" s="4"/>
      <c r="AJ52" s="449"/>
      <c r="AK52" s="449"/>
      <c r="AL52" s="449"/>
      <c r="AM52" s="449"/>
      <c r="AN52" s="10"/>
      <c r="AO52" s="9"/>
      <c r="AP52" s="9"/>
      <c r="AQ52" s="9">
        <f>+FL_1($U$53,$T$51,$G$52,1200,9.28, 1*$F$53)</f>
        <v>0.55365317947231596</v>
      </c>
      <c r="AR52" s="9"/>
      <c r="AS52" s="9"/>
      <c r="AT52" s="9"/>
      <c r="AU52" s="428"/>
      <c r="AV52" s="428"/>
      <c r="AW52" s="449" t="str">
        <f>IF(C52&gt;0,VLOOKUP(C52,Foundation_Calc!$A$2:$C$13,3,1),
IF(J52&gt;0,VLOOKUP(J52,Foundation_Calc!$A$2:$C$13,3,1),""))</f>
        <v/>
      </c>
      <c r="AX52" s="449" t="str">
        <f>IF(C52&gt;0,VLOOKUP(C52,Foundation_Calc!$E$2:$G$33,3,1),
IF(J52&gt;0,VLOOKUP(J52,Foundation_Calc!$E$2:$G$33,3,1),""))</f>
        <v/>
      </c>
      <c r="AY52" s="10" t="str">
        <f>IF(L52="","",
IF(AX52="PT",VLOOKUP(L52,Foundation_Calc!$K$79:$R$113,VLOOKUP(AW52,Foundation_Calc!$I$2:$J$8,2,FALSE),0),
IF(AX52="K",VLOOKUP(L52,Foundation_Calc!$K$117:$R$151,VLOOKUP(AW52,Foundation_Calc!$I$2:$J$8,2,FALSE),0),"")))</f>
        <v/>
      </c>
      <c r="AZ52" s="10" t="str">
        <f>IF(K52="","",
IF(AX52="PT",VLOOKUP(K52,Foundation_Calc!$K$79:$R$113,VLOOKUP(AW52,Foundation_Calc!$I$2:$J$8,2,FALSE),0),
IF(AX52="K",VLOOKUP(K52,Foundation_Calc!$K$117:$R$151,VLOOKUP(AW52,Foundation_Calc!$I$2:$J$8,2,FALSE),0),"")))</f>
        <v/>
      </c>
      <c r="BA52" s="495" t="str">
        <f t="shared" si="13"/>
        <v/>
      </c>
      <c r="BB52" s="495" t="str">
        <f t="shared" si="14"/>
        <v/>
      </c>
      <c r="BC52" s="495" t="str">
        <f t="shared" si="15"/>
        <v/>
      </c>
      <c r="BD52" s="513" t="str">
        <f>IF(AND(L52="",H52=""),"",
IF(H52="",Pole_Calc!A$9,
IF(H52="MP",Pole_Calc!A$10,
IF(H52="AnMP",Pole_Calc!A$11,
IF(H52="A",Pole_Calc!A$12,
IF(H52="S/A",Pole_Calc!A$13,
IF(H52="A/S",Pole_Calc!A$14,"Poner a mano")))))))</f>
        <v/>
      </c>
      <c r="BE52" s="429" t="s">
        <v>118</v>
      </c>
      <c r="BF52" s="290"/>
      <c r="BG52" s="290"/>
      <c r="BH52" s="290"/>
      <c r="BI52" s="290"/>
    </row>
    <row r="53" spans="1:61" ht="16.149999999999999" customHeight="1">
      <c r="A53" s="514"/>
      <c r="B53" s="450" t="s">
        <v>1820</v>
      </c>
      <c r="C53" s="3">
        <f>C51+G52</f>
        <v>58906.919999999991</v>
      </c>
      <c r="D53" s="83"/>
      <c r="E53" s="4"/>
      <c r="F53" s="4">
        <v>-700</v>
      </c>
      <c r="G53" s="6"/>
      <c r="H53" s="449" t="s">
        <v>131</v>
      </c>
      <c r="I53" s="449"/>
      <c r="J53" s="3"/>
      <c r="K53" s="449"/>
      <c r="L53" s="449" t="s">
        <v>1816</v>
      </c>
      <c r="M53" s="449"/>
      <c r="N53" s="575" t="s">
        <v>133</v>
      </c>
      <c r="O53" s="554" t="s">
        <v>134</v>
      </c>
      <c r="P53" s="449"/>
      <c r="Q53" s="4"/>
      <c r="R53" s="6"/>
      <c r="S53" s="6"/>
      <c r="T53" s="4">
        <v>50</v>
      </c>
      <c r="U53" s="4">
        <v>20</v>
      </c>
      <c r="V53" s="4"/>
      <c r="W53" s="9">
        <v>1.4</v>
      </c>
      <c r="X53" s="9">
        <v>1.8</v>
      </c>
      <c r="Y53" s="9"/>
      <c r="Z53" s="9">
        <v>0.25</v>
      </c>
      <c r="AA53" s="9"/>
      <c r="AB53" s="9"/>
      <c r="AC53" s="449"/>
      <c r="AD53" s="449"/>
      <c r="AE53" s="449"/>
      <c r="AF53" s="4"/>
      <c r="AG53" s="83"/>
      <c r="AH53" s="4"/>
      <c r="AI53" s="4"/>
      <c r="AJ53" s="449"/>
      <c r="AK53" s="449"/>
      <c r="AL53" s="449"/>
      <c r="AM53" s="449"/>
      <c r="AN53" s="10">
        <v>5.4</v>
      </c>
      <c r="AO53" s="9"/>
      <c r="AP53" s="9"/>
      <c r="AQ53" s="9"/>
      <c r="AR53" s="9"/>
      <c r="AS53" s="9"/>
      <c r="AT53" s="9">
        <f>+ab($U$53,$T$51,$U$55,$G$52,$G$54, 1*$F$53,1200)</f>
        <v>-4.9745461846960106</v>
      </c>
      <c r="AU53" s="428"/>
      <c r="AV53" s="428"/>
      <c r="AW53" s="449"/>
      <c r="AX53" s="449"/>
      <c r="AY53" s="10" t="str">
        <f>IF(L53="","",
IF(AX53="PT",VLOOKUP(L53,Foundation_Calc!$K$79:$R$113,VLOOKUP(AW53,Foundation_Calc!$I$2:$J$8,2,FALSE),0),
IF(AX53="K",VLOOKUP(L53,Foundation_Calc!$K$117:$R$151,VLOOKUP(AW53,Foundation_Calc!$I$2:$J$8,2,FALSE),0),"")))</f>
        <v/>
      </c>
      <c r="AZ53" s="10" t="str">
        <f>IF(K53="","",
IF(AX53="PT",VLOOKUP(K53,Foundation_Calc!$K$79:$R$113,VLOOKUP(AW53,Foundation_Calc!$I$2:$J$8,2,FALSE),0),
IF(AX53="K",VLOOKUP(K53,Foundation_Calc!$K$117:$R$151,VLOOKUP(AW53,Foundation_Calc!$I$2:$J$8,2,FALSE),0),"")))</f>
        <v/>
      </c>
      <c r="BA53" s="495" t="str">
        <f t="shared" si="13"/>
        <v/>
      </c>
      <c r="BB53" s="495" t="str">
        <f t="shared" si="14"/>
        <v/>
      </c>
      <c r="BC53" s="495" t="str">
        <f t="shared" si="15"/>
        <v/>
      </c>
      <c r="BD53" s="513"/>
      <c r="BE53" s="429" t="s">
        <v>118</v>
      </c>
      <c r="BF53" s="289"/>
      <c r="BG53" s="289"/>
      <c r="BH53" s="290"/>
      <c r="BI53" s="289"/>
    </row>
    <row r="54" spans="1:61" ht="16.149999999999999" customHeight="1">
      <c r="A54" s="514"/>
      <c r="B54" s="450"/>
      <c r="C54" s="3"/>
      <c r="D54" s="83"/>
      <c r="E54" s="4"/>
      <c r="F54" s="4"/>
      <c r="G54" s="6">
        <v>31.9</v>
      </c>
      <c r="H54" s="449"/>
      <c r="I54" s="449"/>
      <c r="J54" s="3"/>
      <c r="K54" s="449"/>
      <c r="L54" s="449"/>
      <c r="M54" s="449" t="str">
        <f>IF(L54="","",
IF(AX54="PT",VLOOKUP(L54,Foundation_Calc!$V$79:$X$113,VLOOKUP(AX54,Foundation_Calc!$I$10:$J$13,2,FALSE),0),
IF(AX54="K",VLOOKUP(L54,Foundation_Calc!$V$117:$X$151,VLOOKUP(AX54,Foundation_Calc!$I$10:$J$13,2,FALSE),0),"")))</f>
        <v/>
      </c>
      <c r="N54" s="449"/>
      <c r="O54" s="449"/>
      <c r="P54" s="449"/>
      <c r="Q54" s="4"/>
      <c r="R54" s="6"/>
      <c r="S54" s="6"/>
      <c r="T54" s="4"/>
      <c r="U54" s="4"/>
      <c r="V54" s="4"/>
      <c r="W54" s="9"/>
      <c r="X54" s="9"/>
      <c r="Y54" s="9"/>
      <c r="Z54" s="9"/>
      <c r="AA54" s="9"/>
      <c r="AB54" s="9"/>
      <c r="AC54" s="449" t="str">
        <f t="shared" si="12"/>
        <v/>
      </c>
      <c r="AD54" s="449"/>
      <c r="AE54" s="449"/>
      <c r="AF54" s="4"/>
      <c r="AG54" s="83"/>
      <c r="AH54" s="4"/>
      <c r="AI54" s="4"/>
      <c r="AJ54" s="449"/>
      <c r="AK54" s="449"/>
      <c r="AL54" s="449"/>
      <c r="AM54" s="449"/>
      <c r="AN54" s="10"/>
      <c r="AO54" s="9"/>
      <c r="AP54" s="9"/>
      <c r="AQ54" s="9">
        <f>+FL_1($U$55,$U$53,$G$54,1200,9.28, 1*$F$55)</f>
        <v>0.20120092983908047</v>
      </c>
      <c r="AR54" s="9"/>
      <c r="AS54" s="9"/>
      <c r="AT54" s="9"/>
      <c r="AU54" s="428"/>
      <c r="AV54" s="428"/>
      <c r="AW54" s="449" t="str">
        <f>IF(C54&gt;0,VLOOKUP(C54,Foundation_Calc!$A$2:$C$13,3,1),
IF(J54&gt;0,VLOOKUP(J54,Foundation_Calc!$A$2:$C$13,3,1),""))</f>
        <v/>
      </c>
      <c r="AX54" s="449" t="str">
        <f>IF(C54&gt;0,VLOOKUP(C54,Foundation_Calc!$E$2:$G$33,3,1),
IF(J54&gt;0,VLOOKUP(J54,Foundation_Calc!$E$2:$G$33,3,1),""))</f>
        <v/>
      </c>
      <c r="AY54" s="10" t="str">
        <f>IF(L54="","",
IF(AX54="PT",VLOOKUP(L54,Foundation_Calc!$K$79:$R$113,VLOOKUP(AW54,Foundation_Calc!$I$2:$J$8,2,FALSE),0),
IF(AX54="K",VLOOKUP(L54,Foundation_Calc!$K$117:$R$151,VLOOKUP(AW54,Foundation_Calc!$I$2:$J$8,2,FALSE),0),"")))</f>
        <v/>
      </c>
      <c r="AZ54" s="10" t="str">
        <f>IF(K54="","",
IF(AX54="PT",VLOOKUP(K54,Foundation_Calc!$K$79:$R$113,VLOOKUP(AW54,Foundation_Calc!$I$2:$J$8,2,FALSE),0),
IF(AX54="K",VLOOKUP(K54,Foundation_Calc!$K$117:$R$151,VLOOKUP(AW54,Foundation_Calc!$I$2:$J$8,2,FALSE),0),"")))</f>
        <v/>
      </c>
      <c r="BA54" s="495" t="str">
        <f t="shared" si="13"/>
        <v/>
      </c>
      <c r="BB54" s="495" t="str">
        <f t="shared" si="14"/>
        <v/>
      </c>
      <c r="BC54" s="495" t="str">
        <f t="shared" si="15"/>
        <v/>
      </c>
      <c r="BD54" s="513" t="str">
        <f>IF(AND(L54="",H54=""),"",
IF(H54="",Pole_Calc!A$9,
IF(H54="MP",Pole_Calc!A$10,
IF(H54="AnMP",Pole_Calc!A$11,
IF(H54="A",Pole_Calc!A$12,
IF(H54="S/A",Pole_Calc!A$13,
IF(H54="A/S",Pole_Calc!A$14,"Poner a mano")))))))</f>
        <v/>
      </c>
      <c r="BE54" s="429" t="s">
        <v>118</v>
      </c>
      <c r="BF54" s="290"/>
      <c r="BG54" s="290"/>
      <c r="BH54" s="290"/>
      <c r="BI54" s="290"/>
    </row>
    <row r="55" spans="1:61" ht="16.149999999999999" customHeight="1">
      <c r="A55" s="514"/>
      <c r="B55" s="450" t="s">
        <v>1821</v>
      </c>
      <c r="C55" s="3">
        <f>C53+G54</f>
        <v>58938.819999999992</v>
      </c>
      <c r="D55" s="83"/>
      <c r="E55" s="4"/>
      <c r="F55" s="4">
        <v>0</v>
      </c>
      <c r="G55" s="6"/>
      <c r="H55" s="449" t="s">
        <v>238</v>
      </c>
      <c r="I55" s="449"/>
      <c r="J55" s="3"/>
      <c r="K55" s="449"/>
      <c r="L55" s="449" t="s">
        <v>1816</v>
      </c>
      <c r="M55" s="449"/>
      <c r="N55" s="575" t="s">
        <v>134</v>
      </c>
      <c r="O55" s="554" t="s">
        <v>124</v>
      </c>
      <c r="P55" s="449"/>
      <c r="Q55" s="4"/>
      <c r="R55" s="6"/>
      <c r="S55" s="6"/>
      <c r="T55" s="4">
        <v>35</v>
      </c>
      <c r="U55" s="4">
        <v>-15</v>
      </c>
      <c r="V55" s="4"/>
      <c r="W55" s="9">
        <v>1.2</v>
      </c>
      <c r="X55" s="9">
        <v>1.6</v>
      </c>
      <c r="Y55" s="9"/>
      <c r="Z55" s="9"/>
      <c r="AA55" s="9"/>
      <c r="AB55" s="9"/>
      <c r="AC55" s="449" t="str">
        <f t="shared" si="12"/>
        <v>PH</v>
      </c>
      <c r="AD55" s="449"/>
      <c r="AE55" s="449"/>
      <c r="AF55" s="4"/>
      <c r="AG55" s="83"/>
      <c r="AH55" s="4"/>
      <c r="AI55" s="4"/>
      <c r="AJ55" s="449"/>
      <c r="AK55" s="449"/>
      <c r="AL55" s="449"/>
      <c r="AM55" s="449"/>
      <c r="AN55" s="10">
        <v>5.4</v>
      </c>
      <c r="AO55" s="9"/>
      <c r="AP55" s="9"/>
      <c r="AQ55" s="9"/>
      <c r="AR55" s="9"/>
      <c r="AS55" s="9"/>
      <c r="AT55" s="9">
        <f>+ab($U$55,$U$53,$T$57,$G$54,$G$56, 1*$F$55,1200)</f>
        <v>-26.865937480497756</v>
      </c>
      <c r="AU55" s="428"/>
      <c r="AV55" s="428"/>
      <c r="AW55" s="449"/>
      <c r="AX55" s="449"/>
      <c r="AY55" s="10" t="str">
        <f>IF(L55="","",
IF(AX55="PT",VLOOKUP(L55,Foundation_Calc!$K$79:$R$113,VLOOKUP(AW55,Foundation_Calc!$I$2:$J$8,2,FALSE),0),
IF(AX55="K",VLOOKUP(L55,Foundation_Calc!$K$117:$R$151,VLOOKUP(AW55,Foundation_Calc!$I$2:$J$8,2,FALSE),0),"")))</f>
        <v/>
      </c>
      <c r="AZ55" s="10" t="str">
        <f>IF(K55="","",
IF(AX55="PT",VLOOKUP(K55,Foundation_Calc!$K$79:$R$113,VLOOKUP(AW55,Foundation_Calc!$I$2:$J$8,2,FALSE),0),
IF(AX55="K",VLOOKUP(K55,Foundation_Calc!$K$117:$R$151,VLOOKUP(AW55,Foundation_Calc!$I$2:$J$8,2,FALSE),0),"")))</f>
        <v/>
      </c>
      <c r="BA55" s="495" t="str">
        <f t="shared" si="13"/>
        <v/>
      </c>
      <c r="BB55" s="495" t="str">
        <f t="shared" si="14"/>
        <v/>
      </c>
      <c r="BC55" s="495" t="str">
        <f t="shared" si="15"/>
        <v/>
      </c>
      <c r="BD55" s="513"/>
      <c r="BE55" s="429" t="s">
        <v>118</v>
      </c>
      <c r="BF55" s="289"/>
      <c r="BG55" s="289"/>
      <c r="BH55" s="290"/>
      <c r="BI55" s="289"/>
    </row>
    <row r="56" spans="1:61" ht="16.149999999999999" customHeight="1">
      <c r="A56" s="514"/>
      <c r="B56" s="450"/>
      <c r="C56" s="3"/>
      <c r="D56" s="83"/>
      <c r="E56" s="4"/>
      <c r="F56" s="4"/>
      <c r="G56" s="6">
        <v>34.4</v>
      </c>
      <c r="H56" s="449"/>
      <c r="I56" s="449"/>
      <c r="J56" s="3"/>
      <c r="K56" s="449"/>
      <c r="L56" s="449"/>
      <c r="M56" s="449" t="str">
        <f>IF(L56="","",
IF(AX56="PT",VLOOKUP(L56,Foundation_Calc!$V$79:$X$113,VLOOKUP(AX56,Foundation_Calc!$I$10:$J$13,2,FALSE),0),
IF(AX56="K",VLOOKUP(L56,Foundation_Calc!$V$117:$X$151,VLOOKUP(AX56,Foundation_Calc!$I$10:$J$13,2,FALSE),0),"")))</f>
        <v/>
      </c>
      <c r="N56" s="449"/>
      <c r="O56" s="449"/>
      <c r="P56" s="449"/>
      <c r="Q56" s="4"/>
      <c r="R56" s="6"/>
      <c r="S56" s="6"/>
      <c r="T56" s="4"/>
      <c r="U56" s="4"/>
      <c r="V56" s="4"/>
      <c r="W56" s="9"/>
      <c r="X56" s="9"/>
      <c r="Y56" s="9"/>
      <c r="Z56" s="9"/>
      <c r="AA56" s="9"/>
      <c r="AB56" s="9"/>
      <c r="AC56" s="449" t="str">
        <f t="shared" si="12"/>
        <v/>
      </c>
      <c r="AD56" s="449"/>
      <c r="AE56" s="449"/>
      <c r="AF56" s="4"/>
      <c r="AG56" s="83"/>
      <c r="AH56" s="4"/>
      <c r="AI56" s="4"/>
      <c r="AJ56" s="449"/>
      <c r="AK56" s="449"/>
      <c r="AL56" s="449"/>
      <c r="AM56" s="449"/>
      <c r="AN56" s="10"/>
      <c r="AO56" s="9"/>
      <c r="AP56" s="9"/>
      <c r="AQ56" s="9">
        <f>+FL_1($T$57,$U$55,$G$56,1200,9.28, 1*$F$57)</f>
        <v>-9.8315222077519387E-2</v>
      </c>
      <c r="AR56" s="9"/>
      <c r="AS56" s="9"/>
      <c r="AT56" s="9"/>
      <c r="AU56" s="428"/>
      <c r="AV56" s="428"/>
      <c r="AW56" s="449" t="str">
        <f>IF(C56&gt;0,VLOOKUP(C56,Foundation_Calc!$A$2:$C$13,3,1),
IF(J56&gt;0,VLOOKUP(J56,Foundation_Calc!$A$2:$C$13,3,1),""))</f>
        <v/>
      </c>
      <c r="AX56" s="449" t="str">
        <f>IF(C56&gt;0,VLOOKUP(C56,Foundation_Calc!$E$2:$G$33,3,1),
IF(J56&gt;0,VLOOKUP(J56,Foundation_Calc!$E$2:$G$33,3,1),""))</f>
        <v/>
      </c>
      <c r="AY56" s="10" t="str">
        <f>IF(L56="","",
IF(AX56="PT",VLOOKUP(L56,Foundation_Calc!$K$79:$R$113,VLOOKUP(AW56,Foundation_Calc!$I$2:$J$8,2,FALSE),0),
IF(AX56="K",VLOOKUP(L56,Foundation_Calc!$K$117:$R$151,VLOOKUP(AW56,Foundation_Calc!$I$2:$J$8,2,FALSE),0),"")))</f>
        <v/>
      </c>
      <c r="AZ56" s="10" t="str">
        <f>IF(K56="","",
IF(AX56="PT",VLOOKUP(K56,Foundation_Calc!$K$79:$R$113,VLOOKUP(AW56,Foundation_Calc!$I$2:$J$8,2,FALSE),0),
IF(AX56="K",VLOOKUP(K56,Foundation_Calc!$K$117:$R$151,VLOOKUP(AW56,Foundation_Calc!$I$2:$J$8,2,FALSE),0),"")))</f>
        <v/>
      </c>
      <c r="BA56" s="495" t="str">
        <f t="shared" si="13"/>
        <v/>
      </c>
      <c r="BB56" s="495" t="str">
        <f t="shared" si="14"/>
        <v/>
      </c>
      <c r="BC56" s="495" t="str">
        <f t="shared" si="15"/>
        <v/>
      </c>
      <c r="BD56" s="513" t="str">
        <f>IF(AND(L56="",H56=""),"",
IF(H56="",Pole_Calc!A$9,
IF(H56="MP",Pole_Calc!A$10,
IF(H56="AnMP",Pole_Calc!A$11,
IF(H56="A",Pole_Calc!A$12,
IF(H56="S/A",Pole_Calc!A$13,
IF(H56="A/S",Pole_Calc!A$14,"Poner a mano")))))))</f>
        <v/>
      </c>
      <c r="BE56" s="429" t="s">
        <v>118</v>
      </c>
      <c r="BF56" s="290"/>
      <c r="BG56" s="290"/>
      <c r="BH56" s="290"/>
      <c r="BI56" s="290"/>
    </row>
    <row r="57" spans="1:61" ht="16.149999999999999" customHeight="1">
      <c r="A57" s="514"/>
      <c r="B57" s="450" t="s">
        <v>1822</v>
      </c>
      <c r="C57" s="3">
        <f>C55+G56-1</f>
        <v>58972.219999999994</v>
      </c>
      <c r="D57" s="83"/>
      <c r="E57" s="4"/>
      <c r="F57" s="4">
        <v>0</v>
      </c>
      <c r="G57" s="6"/>
      <c r="H57" s="449"/>
      <c r="I57" s="449" t="s">
        <v>549</v>
      </c>
      <c r="J57" s="3"/>
      <c r="K57" s="449"/>
      <c r="L57" s="449" t="s">
        <v>153</v>
      </c>
      <c r="M57" s="449" t="str">
        <f>IF(L57="","",
IF(AX57="PT",VLOOKUP(L57,Foundation_Calc!$V$79:$X$113,VLOOKUP(AX57,Foundation_Calc!$I$10:$J$13,2,FALSE),0),
IF(AX57="K",VLOOKUP(L57,Foundation_Calc!$V$117:$X$151,VLOOKUP(AX57,Foundation_Calc!$I$10:$J$13,2,FALSE),0),"")))</f>
        <v>C3R</v>
      </c>
      <c r="N57" s="449" t="s">
        <v>124</v>
      </c>
      <c r="O57" s="449"/>
      <c r="P57" s="449"/>
      <c r="Q57" s="4"/>
      <c r="R57" s="6"/>
      <c r="S57" s="6"/>
      <c r="T57" s="4">
        <v>-30</v>
      </c>
      <c r="U57" s="4"/>
      <c r="V57" s="4"/>
      <c r="W57" s="9">
        <v>1.4</v>
      </c>
      <c r="X57" s="9"/>
      <c r="Y57" s="9"/>
      <c r="Z57" s="9"/>
      <c r="AA57" s="9"/>
      <c r="AB57" s="9"/>
      <c r="AC57" s="449" t="str">
        <f t="shared" si="12"/>
        <v>PHQ</v>
      </c>
      <c r="AD57" s="449"/>
      <c r="AE57" s="449"/>
      <c r="AF57" s="4"/>
      <c r="AG57" s="83"/>
      <c r="AH57" s="4"/>
      <c r="AI57" s="4"/>
      <c r="AJ57" s="449"/>
      <c r="AK57" s="449"/>
      <c r="AL57" s="449"/>
      <c r="AM57" s="449"/>
      <c r="AN57" s="10">
        <v>5.4</v>
      </c>
      <c r="AO57" s="9"/>
      <c r="AP57" s="9"/>
      <c r="AQ57" s="9"/>
      <c r="AR57" s="9"/>
      <c r="AS57" s="9"/>
      <c r="AT57" s="9">
        <f>+ab($T$57,$T$55,$T$59,$G$56,$G$58, 1*$F$57,1200)</f>
        <v>-6.1869001727037611</v>
      </c>
      <c r="AU57" s="428"/>
      <c r="AV57" s="428"/>
      <c r="AW57" s="449" t="str">
        <f>IF(C57&gt;0,VLOOKUP(C57,Foundation_Calc!$A$2:$C$13,3,1),
IF(J57&gt;0,VLOOKUP(J57,Foundation_Calc!$A$2:$C$13,3,1),""))</f>
        <v>Multi Soil</v>
      </c>
      <c r="AX57" s="449" t="str">
        <f>IF(C57&gt;0,VLOOKUP(C57,Foundation_Calc!$E$2:$G$33,3,1),
IF(J57&gt;0,VLOOKUP(J57,Foundation_Calc!$E$2:$G$33,3,1),""))</f>
        <v>PT</v>
      </c>
      <c r="AY57" s="10">
        <f>IF(L57="","",
IF(AX57="PT",VLOOKUP(L57,Foundation_Calc!$K$79:$R$113,VLOOKUP(AW57,Foundation_Calc!$I$2:$J$8,2,FALSE),0),
IF(AX57="K",VLOOKUP(L57,Foundation_Calc!$K$117:$R$151,VLOOKUP(AW57,Foundation_Calc!$I$2:$J$8,2,FALSE),0),"")))</f>
        <v>3.5</v>
      </c>
      <c r="AZ57" s="10" t="str">
        <f>IF(K57="","",
IF(AX57="PT",VLOOKUP(K57,Foundation_Calc!$K$79:$R$113,VLOOKUP(AW57,Foundation_Calc!$I$2:$J$8,2,FALSE),0),
IF(AX57="K",VLOOKUP(K57,Foundation_Calc!$K$117:$R$151,VLOOKUP(AW57,Foundation_Calc!$I$2:$J$8,2,FALSE),0),"")))</f>
        <v/>
      </c>
      <c r="BA57" s="495" t="str">
        <f t="shared" si="13"/>
        <v>ü</v>
      </c>
      <c r="BB57" s="495" t="str">
        <f t="shared" si="14"/>
        <v/>
      </c>
      <c r="BC57" s="495" t="str">
        <f t="shared" si="15"/>
        <v/>
      </c>
      <c r="BD57" s="513" t="str">
        <f>IF(AND(L57="",H57=""),"",
IF(H57="",Pole_Calc!A$9,
IF(H57="MP",Pole_Calc!A$10,
IF(H57="AnMP",Pole_Calc!A$11,
IF(H57="A",Pole_Calc!A$12,
IF(H57="S/A",Pole_Calc!A$13,
IF(H57="A/S",Pole_Calc!A$14,"Poner a mano")))))))</f>
        <v>App.7-V11I-P9.5.1.1</v>
      </c>
      <c r="BE57" s="429" t="s">
        <v>118</v>
      </c>
      <c r="BF57" s="289"/>
      <c r="BG57" s="289"/>
      <c r="BH57" s="290"/>
      <c r="BI57" s="289"/>
    </row>
    <row r="58" spans="1:61" ht="16.149999999999999" customHeight="1">
      <c r="A58" s="514"/>
      <c r="B58" s="450"/>
      <c r="C58" s="3"/>
      <c r="D58" s="83"/>
      <c r="E58" s="4"/>
      <c r="F58" s="4"/>
      <c r="G58" s="6">
        <v>25</v>
      </c>
      <c r="H58" s="449"/>
      <c r="I58" s="449"/>
      <c r="J58" s="3"/>
      <c r="K58" s="449"/>
      <c r="L58" s="449"/>
      <c r="M58" s="449" t="str">
        <f>IF(L58="","",
IF(AX58="PT",VLOOKUP(L58,Foundation_Calc!$V$79:$X$113,VLOOKUP(AX58,Foundation_Calc!$I$10:$J$13,2,FALSE),0),
IF(AX58="K",VLOOKUP(L58,Foundation_Calc!$V$117:$X$151,VLOOKUP(AX58,Foundation_Calc!$I$10:$J$13,2,FALSE),0),"")))</f>
        <v/>
      </c>
      <c r="N58" s="449"/>
      <c r="O58" s="449"/>
      <c r="P58" s="449"/>
      <c r="Q58" s="4"/>
      <c r="R58" s="6"/>
      <c r="S58" s="6"/>
      <c r="T58" s="4"/>
      <c r="U58" s="4"/>
      <c r="V58" s="4"/>
      <c r="W58" s="9"/>
      <c r="X58" s="9"/>
      <c r="Y58" s="9"/>
      <c r="Z58" s="9"/>
      <c r="AA58" s="9"/>
      <c r="AB58" s="9"/>
      <c r="AC58" s="449" t="str">
        <f t="shared" si="12"/>
        <v/>
      </c>
      <c r="AD58" s="449"/>
      <c r="AE58" s="449"/>
      <c r="AF58" s="4"/>
      <c r="AG58" s="83"/>
      <c r="AH58" s="4"/>
      <c r="AI58" s="4"/>
      <c r="AJ58" s="449"/>
      <c r="AK58" s="449"/>
      <c r="AL58" s="449"/>
      <c r="AM58" s="449"/>
      <c r="AN58" s="10"/>
      <c r="AO58" s="9"/>
      <c r="AP58" s="9"/>
      <c r="AQ58" s="9"/>
      <c r="AR58" s="9"/>
      <c r="AS58" s="9"/>
      <c r="AT58" s="9"/>
      <c r="AU58" s="428"/>
      <c r="AV58" s="428"/>
      <c r="AW58" s="449" t="str">
        <f>IF(C58&gt;0,VLOOKUP(C58,Foundation_Calc!$A$2:$C$13,3,1),
IF(J58&gt;0,VLOOKUP(J58,Foundation_Calc!$A$2:$C$13,3,1),""))</f>
        <v/>
      </c>
      <c r="AX58" s="449" t="str">
        <f>IF(C58&gt;0,VLOOKUP(C58,Foundation_Calc!$E$2:$G$33,3,1),
IF(J58&gt;0,VLOOKUP(J58,Foundation_Calc!$E$2:$G$33,3,1),""))</f>
        <v/>
      </c>
      <c r="AY58" s="10" t="str">
        <f>IF(L58="","",
IF(AX58="PT",VLOOKUP(L58,Foundation_Calc!$K$79:$R$113,VLOOKUP(AW58,Foundation_Calc!$I$2:$J$8,2,FALSE),0),
IF(AX58="K",VLOOKUP(L58,Foundation_Calc!$K$117:$R$151,VLOOKUP(AW58,Foundation_Calc!$I$2:$J$8,2,FALSE),0),"")))</f>
        <v/>
      </c>
      <c r="AZ58" s="10" t="str">
        <f>IF(K58="","",
IF(AX58="PT",VLOOKUP(K58,Foundation_Calc!$K$79:$R$113,VLOOKUP(AW58,Foundation_Calc!$I$2:$J$8,2,FALSE),0),
IF(AX58="K",VLOOKUP(K58,Foundation_Calc!$K$117:$R$151,VLOOKUP(AW58,Foundation_Calc!$I$2:$J$8,2,FALSE),0),"")))</f>
        <v/>
      </c>
      <c r="BA58" s="495" t="str">
        <f t="shared" si="13"/>
        <v/>
      </c>
      <c r="BB58" s="495" t="str">
        <f t="shared" si="14"/>
        <v/>
      </c>
      <c r="BC58" s="495" t="str">
        <f t="shared" si="15"/>
        <v/>
      </c>
      <c r="BD58" s="513" t="str">
        <f>IF(AND(L58="",H58=""),"",
IF(H58="",Pole_Calc!A$9,
IF(H58="MP",Pole_Calc!A$10,
IF(H58="AnMP",Pole_Calc!A$11,
IF(H58="A",Pole_Calc!A$12,
IF(H58="S/A",Pole_Calc!A$13,
IF(H58="A/S",Pole_Calc!A$14,"Poner a mano")))))))</f>
        <v/>
      </c>
      <c r="BE58" s="429" t="s">
        <v>118</v>
      </c>
      <c r="BF58" s="290"/>
      <c r="BG58" s="290"/>
      <c r="BH58" s="290"/>
      <c r="BI58" s="290"/>
    </row>
    <row r="59" spans="1:61" ht="16.149999999999999" customHeight="1">
      <c r="A59" s="514"/>
      <c r="B59" s="450" t="s">
        <v>1823</v>
      </c>
      <c r="C59" s="3">
        <f>C57+G58</f>
        <v>58997.219999999994</v>
      </c>
      <c r="D59" s="83"/>
      <c r="E59" s="4"/>
      <c r="F59" s="4">
        <v>0</v>
      </c>
      <c r="G59" s="6"/>
      <c r="H59" s="449" t="s">
        <v>121</v>
      </c>
      <c r="I59" s="449" t="s">
        <v>122</v>
      </c>
      <c r="J59" s="3"/>
      <c r="K59" s="449"/>
      <c r="L59" s="449" t="s">
        <v>1610</v>
      </c>
      <c r="M59" s="449" t="str">
        <f>IF(L59="","",
IF(AX59="PT",VLOOKUP(L59,Foundation_Calc!$V$79:$X$113,VLOOKUP(AX59,Foundation_Calc!$I$10:$J$13,2,FALSE),0),
IF(AX59="K",VLOOKUP(L59,Foundation_Calc!$V$117:$X$151,VLOOKUP(AX59,Foundation_Calc!$I$10:$J$13,2,FALSE),0),"")))</f>
        <v>C8R</v>
      </c>
      <c r="N59" s="449"/>
      <c r="O59" s="449"/>
      <c r="P59" s="449"/>
      <c r="Q59" s="4"/>
      <c r="R59" s="6"/>
      <c r="S59" s="6"/>
      <c r="T59" s="4"/>
      <c r="U59" s="4"/>
      <c r="V59" s="4"/>
      <c r="W59" s="9"/>
      <c r="X59" s="9"/>
      <c r="Y59" s="9"/>
      <c r="Z59" s="9"/>
      <c r="AA59" s="9"/>
      <c r="AB59" s="9"/>
      <c r="AC59" s="449"/>
      <c r="AD59" s="449"/>
      <c r="AE59" s="449"/>
      <c r="AF59" s="4"/>
      <c r="AG59" s="83"/>
      <c r="AH59" s="4"/>
      <c r="AI59" s="4"/>
      <c r="AJ59" s="449"/>
      <c r="AK59" s="449"/>
      <c r="AL59" s="449"/>
      <c r="AM59" s="449"/>
      <c r="AN59" s="10"/>
      <c r="AO59" s="9"/>
      <c r="AP59" s="9"/>
      <c r="AQ59" s="9"/>
      <c r="AR59" s="9"/>
      <c r="AS59" s="9"/>
      <c r="AT59" s="9">
        <f>+ab($T$57,$U$55,$T$61,$G$58,$G$60, 1*$F$59,1200)</f>
        <v>-15.827633826645737</v>
      </c>
      <c r="AU59" s="428"/>
      <c r="AV59" s="428"/>
      <c r="AW59" s="449" t="str">
        <f>IF(C59&gt;0,VLOOKUP(C59,Foundation_Calc!$A$2:$C$13,3,1),
IF(J59&gt;0,VLOOKUP(J59,Foundation_Calc!$A$2:$C$13,3,1),""))</f>
        <v>Multi Soil</v>
      </c>
      <c r="AX59" s="449" t="str">
        <f>IF(C59&gt;0,VLOOKUP(C59,Foundation_Calc!$E$2:$G$33,3,1),
IF(J59&gt;0,VLOOKUP(J59,Foundation_Calc!$E$2:$G$33,3,1),""))</f>
        <v>PT</v>
      </c>
      <c r="AY59" s="10">
        <f>IF(L59="","",
IF(AX59="PT",VLOOKUP(L59,Foundation_Calc!$K$79:$R$113,VLOOKUP(AW59,Foundation_Calc!$I$2:$J$8,2,FALSE),0),
IF(AX59="K",VLOOKUP(L59,Foundation_Calc!$K$117:$R$151,VLOOKUP(AW59,Foundation_Calc!$I$2:$J$8,2,FALSE),0),"")))</f>
        <v>4.5</v>
      </c>
      <c r="AZ59" s="10" t="str">
        <f>IF(K59="","",
IF(AX59="PT",VLOOKUP(K59,Foundation_Calc!$K$79:$R$113,VLOOKUP(AW59,Foundation_Calc!$I$2:$J$8,2,FALSE),0),
IF(AX59="K",VLOOKUP(K59,Foundation_Calc!$K$117:$R$151,VLOOKUP(AW59,Foundation_Calc!$I$2:$J$8,2,FALSE),0),"")))</f>
        <v/>
      </c>
      <c r="BA59" s="495" t="str">
        <f t="shared" si="13"/>
        <v>ü</v>
      </c>
      <c r="BB59" s="495" t="str">
        <f t="shared" si="14"/>
        <v/>
      </c>
      <c r="BC59" s="495" t="str">
        <f t="shared" si="15"/>
        <v/>
      </c>
      <c r="BD59" s="513" t="str">
        <f>IF(AND(L59="",H59=""),"",
IF(H59="",Pole_Calc!A$9,
IF(H59="MP",Pole_Calc!A$10,
IF(H59="AnMP",Pole_Calc!A$11,
IF(H59="A",Pole_Calc!A$12,
IF(H59="S/A",Pole_Calc!A$13,
IF(H59="A/S",Pole_Calc!A$14,"Poner a mano")))))))</f>
        <v>App.7-V11I-P9.5.1.6</v>
      </c>
      <c r="BE59" s="429" t="s">
        <v>118</v>
      </c>
      <c r="BF59" s="289"/>
      <c r="BG59" s="289"/>
      <c r="BH59" s="290"/>
      <c r="BI59" s="289"/>
    </row>
    <row r="60" spans="1:61" ht="16.149999999999999" customHeight="1">
      <c r="A60" s="514"/>
      <c r="B60" s="450"/>
      <c r="C60" s="3"/>
      <c r="D60" s="83"/>
      <c r="E60" s="4"/>
      <c r="F60" s="4"/>
      <c r="G60" s="6">
        <v>34.4</v>
      </c>
      <c r="H60" s="449"/>
      <c r="I60" s="449"/>
      <c r="J60" s="3"/>
      <c r="K60" s="449"/>
      <c r="L60" s="449"/>
      <c r="M60" s="449" t="str">
        <f>IF(L60="","",
IF(AX60="PT",VLOOKUP(L60,Foundation_Calc!$V$79:$X$113,VLOOKUP(AX60,Foundation_Calc!$I$10:$J$13,2,FALSE),0),
IF(AX60="K",VLOOKUP(L60,Foundation_Calc!$V$117:$X$151,VLOOKUP(AX60,Foundation_Calc!$I$10:$J$13,2,FALSE),0),"")))</f>
        <v/>
      </c>
      <c r="N60" s="449"/>
      <c r="O60" s="449"/>
      <c r="P60" s="449"/>
      <c r="Q60" s="4"/>
      <c r="R60" s="6"/>
      <c r="S60" s="6"/>
      <c r="T60" s="4"/>
      <c r="U60" s="4"/>
      <c r="V60" s="4"/>
      <c r="W60" s="9"/>
      <c r="X60" s="9"/>
      <c r="Y60" s="9"/>
      <c r="Z60" s="9"/>
      <c r="AA60" s="9"/>
      <c r="AB60" s="9"/>
      <c r="AC60" s="449" t="str">
        <f t="shared" si="12"/>
        <v/>
      </c>
      <c r="AD60" s="449"/>
      <c r="AE60" s="449"/>
      <c r="AF60" s="4"/>
      <c r="AG60" s="83"/>
      <c r="AH60" s="4"/>
      <c r="AI60" s="4"/>
      <c r="AJ60" s="449"/>
      <c r="AK60" s="449"/>
      <c r="AL60" s="449"/>
      <c r="AM60" s="449"/>
      <c r="AN60" s="10"/>
      <c r="AO60" s="9"/>
      <c r="AP60" s="9"/>
      <c r="AQ60" s="9">
        <f>+FL_2($T$61,$T$57,$G$60,1200,9.28, 1*$F$61)</f>
        <v>-0.33624624223255811</v>
      </c>
      <c r="AR60" s="9"/>
      <c r="AS60" s="9"/>
      <c r="AT60" s="9"/>
      <c r="AU60" s="428"/>
      <c r="AV60" s="428"/>
      <c r="AW60" s="449" t="str">
        <f>IF(C60&gt;0,VLOOKUP(C60,Foundation_Calc!$A$2:$C$13,3,1),
IF(J60&gt;0,VLOOKUP(J60,Foundation_Calc!$A$2:$C$13,3,1),""))</f>
        <v/>
      </c>
      <c r="AX60" s="449" t="str">
        <f>IF(C60&gt;0,VLOOKUP(C60,Foundation_Calc!$E$2:$G$33,3,1),
IF(J60&gt;0,VLOOKUP(J60,Foundation_Calc!$E$2:$G$33,3,1),""))</f>
        <v/>
      </c>
      <c r="AY60" s="10" t="str">
        <f>IF(L60="","",
IF(AX60="PT",VLOOKUP(L60,Foundation_Calc!$K$79:$R$113,VLOOKUP(AW60,Foundation_Calc!$I$2:$J$8,2,FALSE),0),
IF(AX60="K",VLOOKUP(L60,Foundation_Calc!$K$117:$R$151,VLOOKUP(AW60,Foundation_Calc!$I$2:$J$8,2,FALSE),0),"")))</f>
        <v/>
      </c>
      <c r="AZ60" s="10" t="str">
        <f>IF(K60="","",
IF(AX60="PT",VLOOKUP(K60,Foundation_Calc!$K$79:$R$113,VLOOKUP(AW60,Foundation_Calc!$I$2:$J$8,2,FALSE),0),
IF(AX60="K",VLOOKUP(K60,Foundation_Calc!$K$117:$R$151,VLOOKUP(AW60,Foundation_Calc!$I$2:$J$8,2,FALSE),0),"")))</f>
        <v/>
      </c>
      <c r="BA60" s="495" t="str">
        <f t="shared" si="13"/>
        <v/>
      </c>
      <c r="BB60" s="495" t="str">
        <f t="shared" si="14"/>
        <v/>
      </c>
      <c r="BC60" s="495" t="str">
        <f t="shared" si="15"/>
        <v/>
      </c>
      <c r="BD60" s="513" t="str">
        <f>IF(AND(L60="",H60=""),"",
IF(H60="",Pole_Calc!A$9,
IF(H60="MP",Pole_Calc!A$10,
IF(H60="AnMP",Pole_Calc!A$11,
IF(H60="A",Pole_Calc!A$12,
IF(H60="S/A",Pole_Calc!A$13,
IF(H60="A/S",Pole_Calc!A$14,"Poner a mano")))))))</f>
        <v/>
      </c>
      <c r="BE60" s="429" t="s">
        <v>118</v>
      </c>
      <c r="BF60" s="290"/>
      <c r="BG60" s="290"/>
      <c r="BH60" s="290"/>
      <c r="BI60" s="290"/>
    </row>
    <row r="61" spans="1:61" ht="16.149999999999999" customHeight="1">
      <c r="A61" s="514"/>
      <c r="B61" s="450" t="s">
        <v>1824</v>
      </c>
      <c r="C61" s="3">
        <v>58972.22</v>
      </c>
      <c r="D61" s="83"/>
      <c r="E61" s="4"/>
      <c r="F61" s="4">
        <v>0</v>
      </c>
      <c r="G61" s="6"/>
      <c r="H61" s="449"/>
      <c r="I61" s="449"/>
      <c r="J61" s="3"/>
      <c r="K61" s="449"/>
      <c r="L61" s="449" t="s">
        <v>1816</v>
      </c>
      <c r="M61" s="449"/>
      <c r="N61" s="554" t="s">
        <v>124</v>
      </c>
      <c r="O61" s="449"/>
      <c r="P61" s="449"/>
      <c r="Q61" s="4"/>
      <c r="R61" s="6"/>
      <c r="S61" s="6"/>
      <c r="T61" s="4">
        <v>-10</v>
      </c>
      <c r="U61" s="4"/>
      <c r="V61" s="4"/>
      <c r="W61" s="9">
        <v>0.8</v>
      </c>
      <c r="X61" s="9"/>
      <c r="Y61" s="9"/>
      <c r="Z61" s="9"/>
      <c r="AA61" s="9"/>
      <c r="AB61" s="9"/>
      <c r="AC61" s="449" t="str">
        <f t="shared" si="12"/>
        <v>PH</v>
      </c>
      <c r="AD61" s="449"/>
      <c r="AE61" s="449"/>
      <c r="AF61" s="4"/>
      <c r="AG61" s="83"/>
      <c r="AH61" s="4"/>
      <c r="AI61" s="4"/>
      <c r="AJ61" s="449"/>
      <c r="AK61" s="449"/>
      <c r="AL61" s="449"/>
      <c r="AM61" s="449"/>
      <c r="AN61" s="10">
        <v>5.4</v>
      </c>
      <c r="AO61" s="9"/>
      <c r="AP61" s="9"/>
      <c r="AQ61" s="9"/>
      <c r="AR61" s="9"/>
      <c r="AS61" s="9"/>
      <c r="AT61" s="9">
        <f>+ab($T$61,-$T$57,$T$63,$G$60,$G$62, 1*$F$61,1200)</f>
        <v>-9.9314230738055613</v>
      </c>
      <c r="AU61" s="428"/>
      <c r="AV61" s="428"/>
      <c r="AW61" s="449"/>
      <c r="AX61" s="449"/>
      <c r="AY61" s="10"/>
      <c r="AZ61" s="10"/>
      <c r="BA61" s="495"/>
      <c r="BB61" s="495"/>
      <c r="BC61" s="495"/>
      <c r="BD61" s="513"/>
      <c r="BE61" s="429" t="s">
        <v>118</v>
      </c>
      <c r="BF61" s="289"/>
      <c r="BG61" s="289"/>
      <c r="BH61" s="290"/>
      <c r="BI61" s="289"/>
    </row>
    <row r="62" spans="1:61" ht="16.149999999999999" customHeight="1">
      <c r="A62" s="514"/>
      <c r="B62" s="450"/>
      <c r="C62" s="3"/>
      <c r="D62" s="83"/>
      <c r="E62" s="4"/>
      <c r="F62" s="4"/>
      <c r="G62" s="6">
        <v>40</v>
      </c>
      <c r="H62" s="449"/>
      <c r="I62" s="449"/>
      <c r="J62" s="3"/>
      <c r="K62" s="449"/>
      <c r="L62" s="449"/>
      <c r="M62" s="449"/>
      <c r="N62" s="449"/>
      <c r="O62" s="449"/>
      <c r="P62" s="449"/>
      <c r="Q62" s="4"/>
      <c r="R62" s="6"/>
      <c r="S62" s="6"/>
      <c r="T62" s="4"/>
      <c r="U62" s="4"/>
      <c r="V62" s="4"/>
      <c r="W62" s="9"/>
      <c r="X62" s="9"/>
      <c r="Y62" s="9"/>
      <c r="Z62" s="9"/>
      <c r="AA62" s="9"/>
      <c r="AB62" s="9"/>
      <c r="AC62" s="449" t="str">
        <f t="shared" si="12"/>
        <v/>
      </c>
      <c r="AD62" s="449"/>
      <c r="AE62" s="449"/>
      <c r="AF62" s="4"/>
      <c r="AG62" s="83"/>
      <c r="AH62" s="4"/>
      <c r="AI62" s="4"/>
      <c r="AJ62" s="449"/>
      <c r="AK62" s="449"/>
      <c r="AL62" s="449"/>
      <c r="AM62" s="449"/>
      <c r="AN62" s="10"/>
      <c r="AO62" s="9"/>
      <c r="AP62" s="9"/>
      <c r="AQ62" s="9">
        <f>+FL_2($T$63,-$T$61,$G$62,1200,9.28, 1*$F$63)</f>
        <v>-0.33937287462771981</v>
      </c>
      <c r="AR62" s="9"/>
      <c r="AS62" s="9"/>
      <c r="AT62" s="9"/>
      <c r="AU62" s="428"/>
      <c r="AV62" s="428"/>
      <c r="AW62" s="449"/>
      <c r="AX62" s="449"/>
      <c r="AY62" s="10"/>
      <c r="AZ62" s="10"/>
      <c r="BA62" s="495"/>
      <c r="BB62" s="495"/>
      <c r="BC62" s="495"/>
      <c r="BD62" s="513"/>
      <c r="BE62" s="429" t="s">
        <v>118</v>
      </c>
      <c r="BF62" s="290"/>
      <c r="BG62" s="290"/>
      <c r="BH62" s="290"/>
      <c r="BI62" s="290"/>
    </row>
    <row r="63" spans="1:61" ht="16.149999999999999" customHeight="1">
      <c r="A63" s="514"/>
      <c r="B63" s="450" t="s">
        <v>1825</v>
      </c>
      <c r="C63" s="3">
        <v>59012</v>
      </c>
      <c r="D63" s="83"/>
      <c r="E63" s="4"/>
      <c r="F63" s="4">
        <v>600</v>
      </c>
      <c r="G63" s="6"/>
      <c r="H63" s="449"/>
      <c r="I63" s="449" t="s">
        <v>549</v>
      </c>
      <c r="J63" s="3"/>
      <c r="K63" s="449"/>
      <c r="L63" s="449" t="s">
        <v>232</v>
      </c>
      <c r="M63" s="449" t="str">
        <f>IF(L63="","",
IF(AX63="PT",VLOOKUP(L63,Foundation_Calc!$V$79:$X$113,VLOOKUP(AX63,Foundation_Calc!$I$10:$J$13,2,FALSE),0),
IF(AX63="K",VLOOKUP(L63,Foundation_Calc!$V$117:$X$151,VLOOKUP(AX63,Foundation_Calc!$I$10:$J$13,2,FALSE),0),"")))</f>
        <v>C5R</v>
      </c>
      <c r="N63" s="449" t="s">
        <v>134</v>
      </c>
      <c r="O63" s="449"/>
      <c r="P63" s="449"/>
      <c r="Q63" s="4"/>
      <c r="R63" s="6"/>
      <c r="S63" s="6"/>
      <c r="T63" s="4">
        <v>20</v>
      </c>
      <c r="U63" s="4"/>
      <c r="V63" s="4"/>
      <c r="W63" s="9">
        <v>0.6</v>
      </c>
      <c r="X63" s="9"/>
      <c r="Y63" s="9"/>
      <c r="Z63" s="9"/>
      <c r="AA63" s="9"/>
      <c r="AB63" s="9"/>
      <c r="AC63" s="449" t="str">
        <f t="shared" si="12"/>
        <v>PHC</v>
      </c>
      <c r="AD63" s="449"/>
      <c r="AE63" s="449"/>
      <c r="AF63" s="4"/>
      <c r="AG63" s="83"/>
      <c r="AH63" s="4"/>
      <c r="AI63" s="4"/>
      <c r="AJ63" s="449" t="s">
        <v>1826</v>
      </c>
      <c r="AK63" s="449"/>
      <c r="AL63" s="449" t="s">
        <v>241</v>
      </c>
      <c r="AM63" s="449" t="s">
        <v>126</v>
      </c>
      <c r="AN63" s="10">
        <v>5.4</v>
      </c>
      <c r="AO63" s="9"/>
      <c r="AP63" s="9"/>
      <c r="AQ63" s="9"/>
      <c r="AR63" s="9"/>
      <c r="AS63" s="9"/>
      <c r="AT63" s="9">
        <f>+ab($T$63,-$T$61,$T$65,$G$62,$G$64, 1*$F$63,1200)</f>
        <v>3.1512187476728286</v>
      </c>
      <c r="AU63" s="428"/>
      <c r="AV63" s="428"/>
      <c r="AW63" s="449" t="str">
        <f>IF(C63&gt;0,VLOOKUP(C63,Foundation_Calc!$A$2:$C$13,3,1),
IF(J63&gt;0,VLOOKUP(J63,Foundation_Calc!$A$2:$C$13,3,1),""))</f>
        <v>Multi Soil</v>
      </c>
      <c r="AX63" s="449" t="str">
        <f>IF(C63&gt;0,VLOOKUP(C63,Foundation_Calc!$E$2:$G$33,3,1),
IF(J63&gt;0,VLOOKUP(J63,Foundation_Calc!$E$2:$G$33,3,1),""))</f>
        <v>PT</v>
      </c>
      <c r="AY63" s="10">
        <f>IF(L63="","",
IF(AX63="PT",VLOOKUP(L63,Foundation_Calc!$K$79:$R$113,VLOOKUP(AW63,Foundation_Calc!$I$2:$J$8,2,FALSE),0),
IF(AX63="K",VLOOKUP(L63,Foundation_Calc!$K$117:$R$151,VLOOKUP(AW63,Foundation_Calc!$I$2:$J$8,2,FALSE),0),"")))</f>
        <v>3.5</v>
      </c>
      <c r="AZ63" s="10" t="str">
        <f>IF(K63="","",
IF(AX63="PT",VLOOKUP(K63,Foundation_Calc!$K$79:$R$113,VLOOKUP(AW63,Foundation_Calc!$I$2:$J$8,2,FALSE),0),
IF(AX63="K",VLOOKUP(K63,Foundation_Calc!$K$117:$R$151,VLOOKUP(AW63,Foundation_Calc!$I$2:$J$8,2,FALSE),0),"")))</f>
        <v/>
      </c>
      <c r="BA63" s="495" t="str">
        <f t="shared" ref="BA63:BA65" si="16">IF(AY63="","",IF(AY63&gt;0,"ü",""))</f>
        <v>ü</v>
      </c>
      <c r="BB63" s="495" t="str">
        <f t="shared" ref="BB63:BB65" si="17">IF(AZ63="","",IF(AZ63&gt;0,"ü",""))</f>
        <v/>
      </c>
      <c r="BC63" s="495" t="str">
        <f t="shared" ref="BC63:BC65" si="18">IF(M63="","",IF(M63="U.S.","ü",IF(M63="U.S. N.D.","ü","")))</f>
        <v/>
      </c>
      <c r="BD63" s="513" t="str">
        <f>Pole_Calc!A$251</f>
        <v>App.8-V08H-P10.3</v>
      </c>
      <c r="BE63" s="429" t="s">
        <v>118</v>
      </c>
      <c r="BF63" s="289"/>
      <c r="BG63" s="289"/>
      <c r="BH63" s="290"/>
      <c r="BI63" s="289"/>
    </row>
    <row r="64" spans="1:61" ht="15.75" customHeight="1">
      <c r="A64" s="389"/>
      <c r="B64" s="5"/>
      <c r="C64" s="671"/>
      <c r="D64" s="5"/>
      <c r="E64" s="5"/>
      <c r="F64" s="5"/>
      <c r="G64" s="5">
        <v>30</v>
      </c>
      <c r="H64" s="5"/>
      <c r="I64" s="5"/>
      <c r="J64" s="671"/>
      <c r="K64" s="5"/>
      <c r="L64" s="5"/>
      <c r="M64" s="5" t="str">
        <f>IF(L64="","",
IF(AX64="PT",VLOOKUP(L64,Foundation_Calc!$V$79:$X$113,VLOOKUP(AX64,Foundation_Calc!$I$10:$J$13,2,FALSE),0),
IF(AX64="K",VLOOKUP(L64,Foundation_Calc!$V$117:$X$151,VLOOKUP(AX64,Foundation_Calc!$I$10:$J$13,2,FALSE),0),"")))</f>
        <v/>
      </c>
      <c r="N64" s="5"/>
      <c r="O64" s="5"/>
      <c r="P64" s="5"/>
      <c r="Q64" s="5"/>
      <c r="R64" s="5"/>
      <c r="S64" s="5"/>
      <c r="T64" s="5"/>
      <c r="U64" s="5"/>
      <c r="V64" s="5"/>
      <c r="W64" s="5"/>
      <c r="X64" s="5"/>
      <c r="Y64" s="5"/>
      <c r="Z64" s="5"/>
      <c r="AA64" s="5"/>
      <c r="AB64" s="5"/>
      <c r="AC64" s="5" t="str">
        <f t="shared" si="12"/>
        <v/>
      </c>
      <c r="AD64" s="5"/>
      <c r="AE64" s="5"/>
      <c r="AF64" s="5"/>
      <c r="AG64" s="5"/>
      <c r="AH64" s="5"/>
      <c r="AI64" s="5"/>
      <c r="AJ64" s="5"/>
      <c r="AK64" s="5"/>
      <c r="AL64" s="5"/>
      <c r="AM64" s="5"/>
      <c r="AN64" s="449"/>
      <c r="AO64" s="449"/>
      <c r="AP64" s="449"/>
      <c r="AQ64" s="449">
        <f>+FL_1($T$65,$T$63,$G$64,1200,9.28, 1*$F$65)</f>
        <v>0.20000000000000004</v>
      </c>
      <c r="AR64" s="449"/>
      <c r="AS64" s="449"/>
      <c r="AT64" s="9"/>
      <c r="AU64" s="449"/>
      <c r="AV64" s="449"/>
      <c r="AW64" s="449" t="str">
        <f>IF(C64&gt;0,VLOOKUP(C64,Foundation_Calc!$A$2:$C$13,3,1),
IF(J64&gt;0,VLOOKUP(J64,Foundation_Calc!$A$2:$C$13,3,1),""))</f>
        <v/>
      </c>
      <c r="AX64" s="449" t="str">
        <f>IF(C64&gt;0,VLOOKUP(C64,Foundation_Calc!$E$2:$G$33,3,1),
IF(J64&gt;0,VLOOKUP(J64,Foundation_Calc!$E$2:$G$33,3,1),""))</f>
        <v/>
      </c>
      <c r="AY64" s="449" t="str">
        <f>IF(L64="","",
IF(AX64="PT",VLOOKUP(L64,Foundation_Calc!$K$79:$R$113,VLOOKUP(AW64,Foundation_Calc!$I$2:$J$8,2,FALSE),0),
IF(AX64="K",VLOOKUP(L64,Foundation_Calc!$K$117:$R$151,VLOOKUP(AW64,Foundation_Calc!$I$2:$J$8,2,FALSE),0),"")))</f>
        <v/>
      </c>
      <c r="AZ64" s="449" t="str">
        <f>IF(K64="","",
IF(AX64="PT",VLOOKUP(K64,Foundation_Calc!$K$79:$R$113,VLOOKUP(AW64,Foundation_Calc!$I$2:$J$8,2,FALSE),0),
IF(AX64="K",VLOOKUP(K64,Foundation_Calc!$K$117:$R$151,VLOOKUP(AW64,Foundation_Calc!$I$2:$J$8,2,FALSE),0),"")))</f>
        <v/>
      </c>
      <c r="BA64" s="449" t="str">
        <f t="shared" si="16"/>
        <v/>
      </c>
      <c r="BB64" s="449" t="str">
        <f t="shared" si="17"/>
        <v/>
      </c>
      <c r="BC64" s="449" t="str">
        <f t="shared" si="18"/>
        <v/>
      </c>
      <c r="BD64" s="888"/>
      <c r="BE64" s="429" t="s">
        <v>118</v>
      </c>
      <c r="BF64" s="290"/>
      <c r="BG64" s="290"/>
      <c r="BH64" s="290"/>
      <c r="BI64" s="290"/>
    </row>
    <row r="65" spans="1:61" ht="15.75" customHeight="1">
      <c r="A65" s="389"/>
      <c r="B65" s="5" t="s">
        <v>1827</v>
      </c>
      <c r="C65" s="671">
        <v>59042</v>
      </c>
      <c r="D65" s="5"/>
      <c r="E65" s="5"/>
      <c r="F65" s="5">
        <v>1200</v>
      </c>
      <c r="G65" s="5"/>
      <c r="H65" s="5"/>
      <c r="I65" s="5"/>
      <c r="J65" s="671"/>
      <c r="K65" s="5"/>
      <c r="L65" s="449" t="s">
        <v>232</v>
      </c>
      <c r="M65" s="5" t="str">
        <f>IF(L65="","",
IF(AX65="PT",VLOOKUP(L65,Foundation_Calc!$V$79:$X$113,VLOOKUP(AX65,Foundation_Calc!$I$10:$J$13,2,FALSE),0),
IF(AX65="K",VLOOKUP(L65,Foundation_Calc!$V$117:$X$151,VLOOKUP(AX65,Foundation_Calc!$I$10:$J$13,2,FALSE),0),"")))</f>
        <v>C5R</v>
      </c>
      <c r="N65" s="5" t="s">
        <v>134</v>
      </c>
      <c r="O65" s="5"/>
      <c r="P65" s="5"/>
      <c r="Q65" s="5"/>
      <c r="R65" s="5"/>
      <c r="S65" s="5"/>
      <c r="T65" s="5">
        <v>20</v>
      </c>
      <c r="U65" s="5"/>
      <c r="V65" s="5"/>
      <c r="W65" s="5">
        <v>0.6</v>
      </c>
      <c r="X65" s="5"/>
      <c r="Y65" s="5"/>
      <c r="Z65" s="5"/>
      <c r="AA65" s="5"/>
      <c r="AB65" s="5"/>
      <c r="AC65" s="5" t="str">
        <f t="shared" si="12"/>
        <v>PH</v>
      </c>
      <c r="AD65" s="5"/>
      <c r="AE65" s="5"/>
      <c r="AF65" s="5"/>
      <c r="AG65" s="5"/>
      <c r="AH65" s="5"/>
      <c r="AI65" s="5"/>
      <c r="AJ65" s="5"/>
      <c r="AK65" s="5"/>
      <c r="AL65" s="5" t="s">
        <v>241</v>
      </c>
      <c r="AM65" s="5" t="s">
        <v>126</v>
      </c>
      <c r="AN65" s="10">
        <v>5.4</v>
      </c>
      <c r="AO65" s="449"/>
      <c r="AP65" s="449"/>
      <c r="AQ65" s="449"/>
      <c r="AR65" s="449"/>
      <c r="AS65" s="449"/>
      <c r="AT65" s="9">
        <f>+ab($T$61,-$T$57,$T$63,$G$60,$G$62, 1*$F$61,1200)</f>
        <v>-9.9314230738055613</v>
      </c>
      <c r="AU65" s="449"/>
      <c r="AV65" s="449"/>
      <c r="AW65" s="449" t="str">
        <f>IF(C65&gt;0,VLOOKUP(C65,Foundation_Calc!$A$2:$C$13,3,1),
IF(J65&gt;0,VLOOKUP(J65,Foundation_Calc!$A$2:$C$13,3,1),""))</f>
        <v>Multi Soil</v>
      </c>
      <c r="AX65" s="449" t="str">
        <f>IF(C65&gt;0,VLOOKUP(C65,Foundation_Calc!$E$2:$G$33,3,1),
IF(J65&gt;0,VLOOKUP(J65,Foundation_Calc!$E$2:$G$33,3,1),""))</f>
        <v>PT</v>
      </c>
      <c r="AY65" s="9">
        <f>IF(L65="","",
IF(AX65="PT",VLOOKUP(L65,Foundation_Calc!$K$79:$R$113,VLOOKUP(AW65,Foundation_Calc!$I$2:$J$8,2,FALSE),0),
IF(AX65="K",VLOOKUP(L65,Foundation_Calc!$K$117:$R$151,VLOOKUP(AW65,Foundation_Calc!$I$2:$J$8,2,FALSE),0),"")))</f>
        <v>3.5</v>
      </c>
      <c r="AZ65" s="449" t="str">
        <f>IF(K65="","",
IF(AX65="PT",VLOOKUP(K65,Foundation_Calc!$K$79:$R$113,VLOOKUP(AW65,Foundation_Calc!$I$2:$J$8,2,FALSE),0),
IF(AX65="K",VLOOKUP(K65,Foundation_Calc!$K$117:$R$151,VLOOKUP(AW65,Foundation_Calc!$I$2:$J$8,2,FALSE),0),"")))</f>
        <v/>
      </c>
      <c r="BA65" s="495" t="str">
        <f t="shared" si="16"/>
        <v>ü</v>
      </c>
      <c r="BB65" s="495" t="str">
        <f t="shared" si="17"/>
        <v/>
      </c>
      <c r="BC65" s="495" t="str">
        <f t="shared" si="18"/>
        <v/>
      </c>
      <c r="BD65" s="513" t="str">
        <f>Pole_Calc!A$251</f>
        <v>App.8-V08H-P10.3</v>
      </c>
      <c r="BE65" s="429" t="s">
        <v>118</v>
      </c>
      <c r="BF65" s="289"/>
      <c r="BG65" s="289"/>
      <c r="BH65" s="290"/>
      <c r="BI65" s="289"/>
    </row>
    <row r="66" spans="1:61" ht="15.75" customHeight="1">
      <c r="A66" s="389"/>
      <c r="B66" s="5"/>
      <c r="C66" s="671"/>
      <c r="D66" s="5"/>
      <c r="E66" s="5"/>
      <c r="F66" s="5"/>
      <c r="G66" s="5"/>
      <c r="H66" s="5"/>
      <c r="I66" s="5"/>
      <c r="J66" s="671"/>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449"/>
      <c r="AO66" s="449"/>
      <c r="AP66" s="449"/>
      <c r="AQ66" s="449"/>
      <c r="AR66" s="449"/>
      <c r="AS66" s="449"/>
      <c r="AT66" s="9"/>
      <c r="AU66" s="449"/>
      <c r="AV66" s="449"/>
      <c r="AW66" s="449"/>
      <c r="AX66" s="449"/>
      <c r="AY66" s="449"/>
      <c r="AZ66" s="449"/>
      <c r="BA66" s="449"/>
      <c r="BB66" s="449"/>
      <c r="BC66" s="449"/>
      <c r="BD66" s="888"/>
      <c r="BE66" s="429" t="s">
        <v>118</v>
      </c>
      <c r="BF66" s="290"/>
      <c r="BG66" s="290"/>
      <c r="BH66" s="290"/>
      <c r="BI66" s="290"/>
    </row>
    <row r="67" spans="1:61" ht="15.75" customHeight="1" thickBot="1">
      <c r="A67" s="390"/>
      <c r="B67" s="357"/>
      <c r="C67" s="889"/>
      <c r="D67" s="357"/>
      <c r="E67" s="357"/>
      <c r="F67" s="357"/>
      <c r="G67" s="357"/>
      <c r="H67" s="357"/>
      <c r="I67" s="357"/>
      <c r="J67" s="889"/>
      <c r="K67" s="357"/>
      <c r="L67" s="357"/>
      <c r="M67" s="357"/>
      <c r="N67" s="357"/>
      <c r="O67" s="357"/>
      <c r="P67" s="357"/>
      <c r="Q67" s="357"/>
      <c r="R67" s="357"/>
      <c r="S67" s="357"/>
      <c r="T67" s="357"/>
      <c r="U67" s="357"/>
      <c r="V67" s="357"/>
      <c r="W67" s="357"/>
      <c r="X67" s="357"/>
      <c r="Y67" s="357"/>
      <c r="Z67" s="357"/>
      <c r="AA67" s="357"/>
      <c r="AB67" s="357"/>
      <c r="AC67" s="357"/>
      <c r="AD67" s="357"/>
      <c r="AE67" s="357"/>
      <c r="AF67" s="357"/>
      <c r="AG67" s="357"/>
      <c r="AH67" s="357"/>
      <c r="AI67" s="357"/>
      <c r="AJ67" s="357"/>
      <c r="AK67" s="357"/>
      <c r="AL67" s="357"/>
      <c r="AM67" s="357"/>
      <c r="AN67" s="525"/>
      <c r="AO67" s="525"/>
      <c r="AP67" s="525"/>
      <c r="AQ67" s="525"/>
      <c r="AR67" s="525"/>
      <c r="AS67" s="525"/>
      <c r="AT67" s="526"/>
      <c r="AU67" s="525"/>
      <c r="AV67" s="525"/>
      <c r="AW67" s="525"/>
      <c r="AX67" s="525"/>
      <c r="AY67" s="525"/>
      <c r="AZ67" s="525"/>
      <c r="BA67" s="525"/>
      <c r="BB67" s="525"/>
      <c r="BC67" s="525"/>
      <c r="BD67" s="890"/>
      <c r="BE67" s="429" t="s">
        <v>118</v>
      </c>
      <c r="BF67" s="289"/>
      <c r="BG67" s="289"/>
      <c r="BH67" s="290"/>
      <c r="BI67" s="289"/>
    </row>
    <row r="68" spans="1:61" ht="15.75" customHeight="1"/>
    <row r="69" spans="1:61" ht="15.75" customHeight="1"/>
    <row r="70" spans="1:61" ht="15.75" customHeight="1"/>
    <row r="71" spans="1:61" ht="15.75" customHeight="1"/>
    <row r="72" spans="1:61" ht="15.75" customHeight="1"/>
    <row r="73" spans="1:61" ht="15.75" customHeight="1"/>
    <row r="74" spans="1:61" ht="15.75" customHeight="1"/>
    <row r="75" spans="1:61" ht="15.75" customHeight="1"/>
    <row r="76" spans="1:61" ht="15.75" customHeight="1"/>
    <row r="77" spans="1:61" ht="15.75" customHeight="1"/>
    <row r="78" spans="1:61" ht="15.75" customHeight="1"/>
    <row r="79" spans="1:61" ht="15.75" customHeight="1"/>
    <row r="80" spans="1:61"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row r="1010" ht="15.75" customHeight="1"/>
    <row r="1011" ht="15.75" customHeight="1"/>
    <row r="1012" ht="15.75" customHeight="1"/>
    <row r="1013" ht="15.75" customHeight="1"/>
    <row r="1014" ht="15.75" customHeight="1"/>
    <row r="1015" ht="15.75" customHeight="1"/>
    <row r="1016" ht="15.75" customHeight="1"/>
    <row r="1017" ht="15.75" customHeight="1"/>
    <row r="1018" ht="15.75" customHeight="1"/>
    <row r="1019" ht="15.75" customHeight="1"/>
    <row r="1020" ht="15.75" customHeight="1"/>
    <row r="1021" ht="15.75" customHeight="1"/>
    <row r="1022" ht="15.75" customHeight="1"/>
    <row r="1023" ht="15.75" customHeight="1"/>
    <row r="1024" ht="15.75" customHeight="1"/>
    <row r="1025" ht="15.75" customHeight="1"/>
    <row r="1026" ht="15.75" customHeight="1"/>
    <row r="1027" ht="15.75" customHeight="1"/>
    <row r="1028" ht="15.75" customHeight="1"/>
    <row r="1029" ht="15.75" customHeight="1"/>
    <row r="1030" ht="15.75" customHeight="1"/>
    <row r="1031" ht="15.75" customHeight="1"/>
    <row r="1032" ht="15.75" customHeight="1"/>
    <row r="1033" ht="15.75" customHeight="1"/>
    <row r="1034" ht="15.75" customHeight="1"/>
    <row r="1035" ht="15.75" customHeight="1"/>
    <row r="1036" ht="15.75" customHeight="1"/>
    <row r="1037" ht="15.75" customHeight="1"/>
    <row r="1038" ht="15.75" customHeight="1"/>
    <row r="1039" ht="15.75" customHeight="1"/>
    <row r="1040" ht="15.75" customHeight="1"/>
    <row r="1041" ht="15.75" customHeight="1"/>
    <row r="1042" ht="15.75" customHeight="1"/>
    <row r="1043" ht="15.75" customHeight="1"/>
    <row r="1044" ht="15.75" customHeight="1"/>
    <row r="1045" ht="15.75" customHeight="1"/>
    <row r="1046" ht="15.75" customHeight="1"/>
    <row r="1047" ht="15.75" customHeight="1"/>
    <row r="1048" ht="15.75" customHeight="1"/>
    <row r="1049" ht="15.75" customHeight="1"/>
    <row r="1050" ht="15.75" customHeight="1"/>
    <row r="1051" ht="15.75" customHeight="1"/>
    <row r="1052" ht="15.75" customHeight="1"/>
    <row r="1053" ht="15.75" customHeight="1"/>
    <row r="1054" ht="15.75" customHeight="1"/>
    <row r="1055" ht="15.75" customHeight="1"/>
    <row r="1056" ht="15.75" customHeight="1"/>
    <row r="1057" ht="15.75" customHeight="1"/>
    <row r="1058" ht="15.75" customHeight="1"/>
    <row r="1059" ht="15.75" customHeight="1"/>
    <row r="1060" ht="15.75" customHeight="1"/>
    <row r="1061" ht="15.75" customHeight="1"/>
    <row r="1062" ht="15.75" customHeight="1"/>
    <row r="1063" ht="15.75" customHeight="1"/>
    <row r="1064" ht="15.75" customHeight="1"/>
    <row r="1065" ht="15.75" customHeight="1"/>
    <row r="1066" ht="15.75" customHeight="1"/>
    <row r="1067" ht="15.75" customHeight="1"/>
    <row r="1068" ht="15.75" customHeight="1"/>
    <row r="1069" ht="15.75" customHeight="1"/>
    <row r="1070" ht="15.75" customHeight="1"/>
    <row r="1071" ht="15.75" customHeight="1"/>
    <row r="1072" ht="15.75" customHeight="1"/>
    <row r="1073" ht="15.75" customHeight="1"/>
    <row r="1074" ht="15.75" customHeight="1"/>
    <row r="1075" ht="15.75" customHeight="1"/>
    <row r="1076" ht="15.75" customHeight="1"/>
    <row r="1077" ht="15.75" customHeight="1"/>
    <row r="1078" ht="15.75" customHeight="1"/>
    <row r="1079" ht="15.75" customHeight="1"/>
    <row r="1080" ht="15.75" customHeight="1"/>
    <row r="1081" ht="15.75" customHeight="1"/>
    <row r="1082" ht="15.75" customHeight="1"/>
    <row r="1083" ht="15.75" customHeight="1"/>
    <row r="1084" ht="15.75" customHeight="1"/>
    <row r="1085" ht="15.75" customHeight="1"/>
    <row r="1086" ht="15.75" customHeight="1"/>
    <row r="1087" ht="15.75" customHeight="1"/>
    <row r="1088" ht="15.75" customHeight="1"/>
    <row r="1089" ht="15.75" customHeight="1"/>
    <row r="1090" ht="15.75" customHeight="1"/>
    <row r="1091" ht="15.75" customHeight="1"/>
    <row r="1092" ht="15.75" customHeight="1"/>
    <row r="1093" ht="15.75" customHeight="1"/>
    <row r="1094" ht="15.75" customHeight="1"/>
    <row r="1095" ht="15.75" customHeight="1"/>
    <row r="1096" ht="15.75" customHeight="1"/>
    <row r="1097" ht="15.75" customHeight="1"/>
    <row r="1098" ht="15.75" customHeight="1"/>
    <row r="1099" ht="15.75" customHeight="1"/>
    <row r="1100" ht="15.75" customHeight="1"/>
    <row r="1101" ht="15.75" customHeight="1"/>
    <row r="1102" ht="15.75" customHeight="1"/>
    <row r="1103" ht="15.75" customHeight="1"/>
    <row r="1104" ht="15.75" customHeight="1"/>
    <row r="1105" ht="15.75" customHeight="1"/>
    <row r="1106" ht="15.75" customHeight="1"/>
    <row r="1107" ht="15.75" customHeight="1"/>
    <row r="1108" ht="15.75" customHeight="1"/>
    <row r="1109" ht="15.75" customHeight="1"/>
    <row r="1110" ht="15.75" customHeight="1"/>
    <row r="1111" ht="15.75" customHeight="1"/>
    <row r="1112" ht="15.75" customHeight="1"/>
    <row r="1113" ht="15.75" customHeight="1"/>
    <row r="1114" ht="15.75" customHeight="1"/>
    <row r="1115" ht="15.75" customHeight="1"/>
    <row r="1116" ht="15.75" customHeight="1"/>
    <row r="1117" ht="15.75" customHeight="1"/>
    <row r="1118" ht="15.75" customHeight="1"/>
    <row r="1119" ht="15.75" customHeight="1"/>
    <row r="1120" ht="15.75" customHeight="1"/>
    <row r="1121" ht="15.75" customHeight="1"/>
    <row r="1122" ht="15.75" customHeight="1"/>
    <row r="1123" ht="15.75" customHeight="1"/>
    <row r="1124" ht="15.75" customHeight="1"/>
    <row r="1125" ht="15.75" customHeight="1"/>
    <row r="1126" ht="15.75" customHeight="1"/>
    <row r="1127" ht="15.75" customHeight="1"/>
    <row r="1128" ht="15.75" customHeight="1"/>
    <row r="1129" ht="15.75" customHeight="1"/>
    <row r="1130" ht="15.75" customHeight="1"/>
    <row r="1131" ht="15.75" customHeight="1"/>
    <row r="1132" ht="15.75" customHeight="1"/>
    <row r="1133" ht="15.75" customHeight="1"/>
    <row r="1134" ht="15.75" customHeight="1"/>
    <row r="1135" ht="15.75" customHeight="1"/>
    <row r="1136" ht="15.75" customHeight="1"/>
    <row r="1137" ht="15.75" customHeight="1"/>
    <row r="1138" ht="15.75" customHeight="1"/>
    <row r="1139" ht="15.75" customHeight="1"/>
    <row r="1140" ht="15.75" customHeight="1"/>
    <row r="1141" ht="15.75" customHeight="1"/>
    <row r="1142" ht="15.75" customHeight="1"/>
    <row r="1143" ht="15.75" customHeight="1"/>
    <row r="1144" ht="15.75" customHeight="1"/>
    <row r="1145" ht="15.75" customHeight="1"/>
    <row r="1146" ht="15.75" customHeight="1"/>
    <row r="1147" ht="15.75" customHeight="1"/>
    <row r="1148" ht="15.75" customHeight="1"/>
    <row r="1149" ht="15.75" customHeight="1"/>
    <row r="1150" ht="15.75" customHeight="1"/>
    <row r="1151" ht="15.75" customHeight="1"/>
    <row r="1152" ht="15.75" customHeight="1"/>
    <row r="1153" ht="15.75" customHeight="1"/>
    <row r="1154" ht="15.75" customHeight="1"/>
    <row r="1155" ht="15.75" customHeight="1"/>
    <row r="1156" ht="15.75" customHeight="1"/>
    <row r="1157" ht="15.75" customHeight="1"/>
    <row r="1158" ht="15.75" customHeight="1"/>
    <row r="1159" ht="15.75" customHeight="1"/>
    <row r="1160" ht="15.75" customHeight="1"/>
    <row r="1161" ht="15.75" customHeight="1"/>
    <row r="1162" ht="15.75" customHeight="1"/>
    <row r="1163" ht="15.75" customHeight="1"/>
    <row r="1164" ht="15.75" customHeight="1"/>
    <row r="1165" ht="15.75" customHeight="1"/>
    <row r="1166" ht="15.75" customHeight="1"/>
    <row r="1167" ht="15.75" customHeight="1"/>
    <row r="1168" ht="15.75" customHeight="1"/>
    <row r="1169" ht="15.75" customHeight="1"/>
    <row r="1170" ht="15.75" customHeight="1"/>
    <row r="1171" ht="15.75" customHeight="1"/>
    <row r="1172" ht="15.75" customHeight="1"/>
    <row r="1173" ht="15.75" customHeight="1"/>
    <row r="1174" ht="15.75" customHeight="1"/>
    <row r="1175" ht="15.75" customHeight="1"/>
    <row r="1176" ht="15.75" customHeight="1"/>
    <row r="1177" ht="15.75" customHeight="1"/>
    <row r="1178" ht="15.75" customHeight="1"/>
    <row r="1179" ht="15.75" customHeight="1"/>
    <row r="1180" ht="15.75" customHeight="1"/>
    <row r="1181" ht="15.75" customHeight="1"/>
    <row r="1182" ht="15.75" customHeight="1"/>
    <row r="1183" ht="15.75" customHeight="1"/>
    <row r="1184" ht="15.75" customHeight="1"/>
    <row r="1185" ht="15.75" customHeight="1"/>
    <row r="1186" ht="15.75" customHeight="1"/>
    <row r="1187" ht="15.75" customHeight="1"/>
    <row r="1188" ht="15.75" customHeight="1"/>
    <row r="1189" ht="15.75" customHeight="1"/>
    <row r="1190" ht="15.75" customHeight="1"/>
    <row r="1191" ht="15.75" customHeight="1"/>
    <row r="1192" ht="15.75" customHeight="1"/>
    <row r="1193" ht="15.75" customHeight="1"/>
    <row r="1194" ht="15.75" customHeight="1"/>
    <row r="1195" ht="15.75" customHeight="1"/>
    <row r="1196" ht="15.75" customHeight="1"/>
    <row r="1197" ht="15.75" customHeight="1"/>
    <row r="1198" ht="15.75" customHeight="1"/>
    <row r="1199" ht="15.75" customHeight="1"/>
    <row r="1200" ht="15.75" customHeight="1"/>
    <row r="1201" ht="15.75" customHeight="1"/>
    <row r="1202" ht="15.75" customHeight="1"/>
    <row r="1203" ht="15.75" customHeight="1"/>
    <row r="1204" ht="15.75" customHeight="1"/>
    <row r="1205" ht="15.75" customHeight="1"/>
    <row r="1206" ht="15.75" customHeight="1"/>
    <row r="1207" ht="15.75" customHeight="1"/>
    <row r="1208" ht="15.75" customHeight="1"/>
    <row r="1209" ht="15.75" customHeight="1"/>
    <row r="1210" ht="15.75" customHeight="1"/>
    <row r="1211" ht="15.75" customHeight="1"/>
    <row r="1212" ht="15.75" customHeight="1"/>
    <row r="1213" ht="15.75" customHeight="1"/>
    <row r="1214" ht="15.75" customHeight="1"/>
    <row r="1215" ht="15.75" customHeight="1"/>
    <row r="1216" ht="15.75" customHeight="1"/>
    <row r="1217" ht="15.75" customHeight="1"/>
    <row r="1218" ht="15.75" customHeight="1"/>
    <row r="1219" ht="15.75" customHeight="1"/>
    <row r="1220" ht="15.75" customHeight="1"/>
    <row r="1221" ht="15.75" customHeight="1"/>
    <row r="1222" ht="15.75" customHeight="1"/>
    <row r="1223" ht="15.75" customHeight="1"/>
    <row r="1224" ht="15.75" customHeight="1"/>
    <row r="1225" ht="15.75" customHeight="1"/>
    <row r="1226" ht="15.75" customHeight="1"/>
    <row r="1227" ht="15.75" customHeight="1"/>
    <row r="1228" ht="15.75" customHeight="1"/>
    <row r="1229" ht="15.75" customHeight="1"/>
    <row r="1230" ht="15.75" customHeight="1"/>
    <row r="1231" ht="15.75" customHeight="1"/>
    <row r="1232" ht="15.75" customHeight="1"/>
    <row r="1233" ht="15.75" customHeight="1"/>
    <row r="1234" ht="15.75" customHeight="1"/>
    <row r="1235" ht="15.75" customHeight="1"/>
    <row r="1236" ht="15.75" customHeight="1"/>
    <row r="1237" ht="15.75" customHeight="1"/>
    <row r="1238" ht="15.75" customHeight="1"/>
    <row r="1239" ht="15.75" customHeight="1"/>
    <row r="1240" ht="15.75" customHeight="1"/>
    <row r="1241" ht="15.75" customHeight="1"/>
    <row r="1242" ht="15.75" customHeight="1"/>
    <row r="1243" ht="15.75" customHeight="1"/>
    <row r="1244" ht="15.75" customHeight="1"/>
    <row r="1245" ht="15.75" customHeight="1"/>
    <row r="1246" ht="15.75" customHeight="1"/>
    <row r="1247" ht="15.75" customHeight="1"/>
    <row r="1248" ht="15.75" customHeight="1"/>
    <row r="1249" ht="15.75" customHeight="1"/>
    <row r="1250" ht="15.75" customHeight="1"/>
    <row r="1251" ht="15.75" customHeight="1"/>
    <row r="1252" ht="15.75" customHeight="1"/>
    <row r="1253" ht="15.75" customHeight="1"/>
    <row r="1254" ht="15.75" customHeight="1"/>
    <row r="1255" ht="15.75" customHeight="1"/>
    <row r="1256" ht="15.75" customHeight="1"/>
    <row r="1257" ht="15.75" customHeight="1"/>
    <row r="1258" ht="15.75" customHeight="1"/>
    <row r="1259" ht="15.75" customHeight="1"/>
    <row r="1260" ht="15.75" customHeight="1"/>
    <row r="1261" ht="15.75" customHeight="1"/>
    <row r="1262" ht="15.75" customHeight="1"/>
    <row r="1263" ht="15.75" customHeight="1"/>
    <row r="1264" ht="15.75" customHeight="1"/>
    <row r="1265" ht="15.75" customHeight="1"/>
    <row r="1266" ht="15.75" customHeight="1"/>
    <row r="1267" ht="15.75" customHeight="1"/>
    <row r="1268" ht="15.75" customHeight="1"/>
    <row r="1269" ht="15.75" customHeight="1"/>
    <row r="1270" ht="15.75" customHeight="1"/>
    <row r="1271" ht="15.75" customHeight="1"/>
    <row r="1272" ht="15.75" customHeight="1"/>
    <row r="1273" ht="15.75" customHeight="1"/>
    <row r="1274" ht="15.75" customHeight="1"/>
    <row r="1275" ht="15.75" customHeight="1"/>
    <row r="1276" ht="15.75" customHeight="1"/>
    <row r="1277" ht="15.75" customHeight="1"/>
    <row r="1278" ht="15.75" customHeight="1"/>
    <row r="1279" ht="15.75" customHeight="1"/>
    <row r="1280" ht="15.75" customHeight="1"/>
    <row r="1281" ht="15.75" customHeight="1"/>
    <row r="1282" ht="15.75" customHeight="1"/>
    <row r="1283" ht="15.75" customHeight="1"/>
    <row r="1284" ht="15.75" customHeight="1"/>
    <row r="1285" ht="15.75" customHeight="1"/>
    <row r="1286" ht="15.75" customHeight="1"/>
    <row r="1287" ht="15.75" customHeight="1"/>
    <row r="1288" ht="15.75" customHeight="1"/>
    <row r="1289" ht="15.75" customHeight="1"/>
    <row r="1290" ht="15.75" customHeight="1"/>
    <row r="1291" ht="15.75" customHeight="1"/>
    <row r="1292" ht="15.75" customHeight="1"/>
    <row r="1293" ht="15.75" customHeight="1"/>
    <row r="1294" ht="15.75" customHeight="1"/>
    <row r="1295" ht="15.75" customHeight="1"/>
    <row r="1296" ht="15.75" customHeight="1"/>
    <row r="1297" ht="15.75" customHeight="1"/>
    <row r="1298" ht="15.75" customHeight="1"/>
    <row r="1299" ht="15.75" customHeight="1"/>
    <row r="1300" ht="15.75" customHeight="1"/>
    <row r="1301" ht="15.75" customHeight="1"/>
    <row r="1302" ht="15.75" customHeight="1"/>
    <row r="1303" ht="15.75" customHeight="1"/>
    <row r="1304" ht="15.75" customHeight="1"/>
    <row r="1305" ht="15.75" customHeight="1"/>
    <row r="1306" ht="15.75" customHeight="1"/>
    <row r="1307" ht="15.75" customHeight="1"/>
    <row r="1308" ht="15.75" customHeight="1"/>
    <row r="1309" ht="15.75" customHeight="1"/>
    <row r="1310" ht="15.75" customHeight="1"/>
    <row r="1311" ht="15.75" customHeight="1"/>
    <row r="1312" ht="15.75" customHeight="1"/>
    <row r="1313" ht="15.75" customHeight="1"/>
    <row r="1314" ht="15.75" customHeight="1"/>
    <row r="1315" ht="15.75" customHeight="1"/>
    <row r="1316" ht="15.75" customHeight="1"/>
    <row r="1317" ht="15.75" customHeight="1"/>
    <row r="1318" ht="15.75" customHeight="1"/>
    <row r="1319" ht="15.75" customHeight="1"/>
    <row r="1320" ht="15.75" customHeight="1"/>
    <row r="1321" ht="15.75" customHeight="1"/>
    <row r="1322" ht="15.75" customHeight="1"/>
    <row r="1323" ht="15.75" customHeight="1"/>
    <row r="1324" ht="15.75" customHeight="1"/>
    <row r="1325" ht="15.75" customHeight="1"/>
    <row r="1326" ht="15.75" customHeight="1"/>
    <row r="1327" ht="15.75" customHeight="1"/>
    <row r="1328" ht="15.75" customHeight="1"/>
    <row r="1329" ht="15.75" customHeight="1"/>
    <row r="1330" ht="15.75" customHeight="1"/>
    <row r="1331" ht="15.75" customHeight="1"/>
    <row r="1332" ht="15.75" customHeight="1"/>
    <row r="1333" ht="15.75" customHeight="1"/>
    <row r="1334" ht="15.75" customHeight="1"/>
    <row r="1335" ht="15.75" customHeight="1"/>
    <row r="1336" ht="15.75" customHeight="1"/>
    <row r="1337" ht="15.75" customHeight="1"/>
    <row r="1338" ht="15.75" customHeight="1"/>
    <row r="1339" ht="15.75" customHeight="1"/>
    <row r="1340" ht="15.75" customHeight="1"/>
    <row r="1341" ht="15.75" customHeight="1"/>
    <row r="1342" ht="15.75" customHeight="1"/>
    <row r="1343" ht="15.75" customHeight="1"/>
    <row r="1344" ht="15.75" customHeight="1"/>
    <row r="1345" ht="15.75" customHeight="1"/>
    <row r="1346" ht="15.75" customHeight="1"/>
    <row r="1347" ht="15.75" customHeight="1"/>
    <row r="1348" ht="15.75" customHeight="1"/>
    <row r="1349" ht="15.75" customHeight="1"/>
    <row r="1350" ht="15.75" customHeight="1"/>
    <row r="1351" ht="15.75" customHeight="1"/>
    <row r="1352" ht="15.75" customHeight="1"/>
    <row r="1353" ht="15.75" customHeight="1"/>
    <row r="1354" ht="15.75" customHeight="1"/>
    <row r="1355" ht="15.75" customHeight="1"/>
    <row r="1356" ht="15.75" customHeight="1"/>
    <row r="1357" ht="15.75" customHeight="1"/>
    <row r="1358" ht="15.75" customHeight="1"/>
    <row r="1359" ht="15.75" customHeight="1"/>
    <row r="1360" ht="15.75" customHeight="1"/>
    <row r="1361" ht="15.75" customHeight="1"/>
    <row r="1362" ht="15.75" customHeight="1"/>
    <row r="1363" ht="15.75" customHeight="1"/>
    <row r="1364" ht="15.75" customHeight="1"/>
    <row r="1365" ht="15.75" customHeight="1"/>
    <row r="1366" ht="15.75" customHeight="1"/>
    <row r="1367" ht="15.75" customHeight="1"/>
    <row r="1368" ht="15.75" customHeight="1"/>
    <row r="1369" ht="15.75" customHeight="1"/>
    <row r="1370" ht="15.75" customHeight="1"/>
    <row r="1371" ht="15.75" customHeight="1"/>
    <row r="1372" ht="15.75" customHeight="1"/>
    <row r="1373" ht="15.75" customHeight="1"/>
    <row r="1374" ht="15.75" customHeight="1"/>
    <row r="1375" ht="15.75" customHeight="1"/>
    <row r="1376" ht="15.75" customHeight="1"/>
    <row r="1377" ht="15.75" customHeight="1"/>
    <row r="1378" ht="15.75" customHeight="1"/>
    <row r="1379" ht="15.75" customHeight="1"/>
    <row r="1380" ht="15.75" customHeight="1"/>
    <row r="1381" ht="15.75" customHeight="1"/>
    <row r="1382" ht="15.75" customHeight="1"/>
    <row r="1383" ht="15.75" customHeight="1"/>
    <row r="1384" ht="15.75" customHeight="1"/>
    <row r="1385" ht="15.75" customHeight="1"/>
    <row r="1386" ht="15.75" customHeight="1"/>
    <row r="1387" ht="15.75" customHeight="1"/>
    <row r="1388" ht="15.75" customHeight="1"/>
    <row r="1389" ht="15.75" customHeight="1"/>
    <row r="1390" ht="15.75" customHeight="1"/>
    <row r="1391" ht="15.75" customHeight="1"/>
    <row r="1392" ht="15.75" customHeight="1"/>
    <row r="1393" ht="15.75" customHeight="1"/>
    <row r="1394" ht="15.75" customHeight="1"/>
    <row r="1395" ht="15.75" customHeight="1"/>
    <row r="1396" ht="15.75" customHeight="1"/>
    <row r="1397" ht="15.75" customHeight="1"/>
    <row r="1398" ht="15.75" customHeight="1"/>
    <row r="1399" ht="15.75" customHeight="1"/>
    <row r="1400" ht="15.75" customHeight="1"/>
    <row r="1401" ht="15.75" customHeight="1"/>
    <row r="1402" ht="15.75" customHeight="1"/>
    <row r="1403" ht="15.75" customHeight="1"/>
    <row r="1404" ht="15.75" customHeight="1"/>
    <row r="1405" ht="15.75" customHeight="1"/>
    <row r="1406" ht="15.75" customHeight="1"/>
    <row r="1407" ht="15.75" customHeight="1"/>
    <row r="1408" ht="15.75" customHeight="1"/>
    <row r="1409" ht="15.75" customHeight="1"/>
    <row r="1410" ht="15.75" customHeight="1"/>
    <row r="1411" ht="15.75" customHeight="1"/>
    <row r="1412" ht="15.75" customHeight="1"/>
    <row r="1413" ht="15.75" customHeight="1"/>
    <row r="1414" ht="15.75" customHeight="1"/>
    <row r="1415" ht="15.75" customHeight="1"/>
    <row r="1416" ht="15.75" customHeight="1"/>
    <row r="1417" ht="15.75" customHeight="1"/>
    <row r="1418" ht="15.75" customHeight="1"/>
    <row r="1419" ht="15.75" customHeight="1"/>
    <row r="1420" ht="15.75" customHeight="1"/>
    <row r="1421" ht="15.75" customHeight="1"/>
    <row r="1422" ht="15.75" customHeight="1"/>
    <row r="1423" ht="15.75" customHeight="1"/>
    <row r="1424" ht="15.75" customHeight="1"/>
    <row r="1425" ht="15.75" customHeight="1"/>
    <row r="1426" ht="15.75" customHeight="1"/>
    <row r="1427" ht="15.75" customHeight="1"/>
    <row r="1428" ht="15.75" customHeight="1"/>
    <row r="1429" ht="15.75" customHeight="1"/>
    <row r="1430" ht="15.75" customHeight="1"/>
    <row r="1431" ht="15.75" customHeight="1"/>
    <row r="1432" ht="15.75" customHeight="1"/>
    <row r="1433" ht="15.75" customHeight="1"/>
    <row r="1434" ht="15.75" customHeight="1"/>
    <row r="1435" ht="15.75" customHeight="1"/>
    <row r="1436" ht="15.75" customHeight="1"/>
    <row r="1437" ht="15.75" customHeight="1"/>
    <row r="1438" ht="15.75" customHeight="1"/>
    <row r="1439" ht="15.75" customHeight="1"/>
    <row r="1440" ht="15.75" customHeight="1"/>
    <row r="1441" ht="15.75" customHeight="1"/>
    <row r="1442" ht="15.75" customHeight="1"/>
    <row r="1443" ht="15.75" customHeight="1"/>
    <row r="1444" ht="15.75" customHeight="1"/>
    <row r="1445" ht="15.75" customHeight="1"/>
    <row r="1446" ht="15.75" customHeight="1"/>
    <row r="1447" ht="15.75" customHeight="1"/>
    <row r="1448" ht="15.75" customHeight="1"/>
    <row r="1449" ht="15.75" customHeight="1"/>
    <row r="1450" ht="15.75" customHeight="1"/>
    <row r="1451" ht="15.75" customHeight="1"/>
    <row r="1452" ht="15.75" customHeight="1"/>
    <row r="1453" ht="15.75" customHeight="1"/>
    <row r="1454" ht="15.75" customHeight="1"/>
    <row r="1455" ht="15.75" customHeight="1"/>
    <row r="1456" ht="15.75" customHeight="1"/>
    <row r="1457" ht="15.75" customHeight="1"/>
    <row r="1458" ht="15.75" customHeight="1"/>
    <row r="1459" ht="15.75" customHeight="1"/>
    <row r="1460" ht="15.75" customHeight="1"/>
    <row r="1461" ht="15.75" customHeight="1"/>
    <row r="1462" ht="15.75" customHeight="1"/>
    <row r="1463" ht="15.75" customHeight="1"/>
    <row r="1464" ht="15.75" customHeight="1"/>
    <row r="1465" ht="15.75" customHeight="1"/>
    <row r="1466" ht="15.75" customHeight="1"/>
    <row r="1467" ht="15.75" customHeight="1"/>
    <row r="1468" ht="15.75" customHeight="1"/>
    <row r="1469" ht="15.75" customHeight="1"/>
    <row r="1470" ht="15.75" customHeight="1"/>
    <row r="1471" ht="15.75" customHeight="1"/>
    <row r="1472" ht="15.75" customHeight="1"/>
    <row r="1473" ht="15.75" customHeight="1"/>
    <row r="1474" ht="15.75" customHeight="1"/>
    <row r="1475" ht="15.75" customHeight="1"/>
    <row r="1476" ht="15.75" customHeight="1"/>
    <row r="1477" ht="15.75" customHeight="1"/>
    <row r="1478" ht="15.75" customHeight="1"/>
    <row r="1479" ht="15.75" customHeight="1"/>
    <row r="1480" ht="15.75" customHeight="1"/>
    <row r="1481" ht="15.75" customHeight="1"/>
    <row r="1482" ht="15.75" customHeight="1"/>
    <row r="1483" ht="15.75" customHeight="1"/>
    <row r="1484" ht="15.75" customHeight="1"/>
    <row r="1485" ht="15.75" customHeight="1"/>
    <row r="1486" ht="15.75" customHeight="1"/>
    <row r="1487" ht="15.75" customHeight="1"/>
    <row r="1488" ht="15.75" customHeight="1"/>
    <row r="1489" ht="15.75" customHeight="1"/>
    <row r="1490" ht="15.75" customHeight="1"/>
    <row r="1491" ht="15.75" customHeight="1"/>
    <row r="1492" ht="15.75" customHeight="1"/>
    <row r="1493" ht="15.75" customHeight="1"/>
    <row r="1494" ht="15.75" customHeight="1"/>
    <row r="1495" ht="15.75" customHeight="1"/>
    <row r="1496" ht="15.75" customHeight="1"/>
    <row r="1497" ht="15.75" customHeight="1"/>
    <row r="1498" ht="15.75" customHeight="1"/>
    <row r="1499" ht="15.75" customHeight="1"/>
    <row r="1500" ht="15.75" customHeight="1"/>
    <row r="1501" ht="15.75" customHeight="1"/>
    <row r="1502" ht="15.75" customHeight="1"/>
    <row r="1503" ht="15.75" customHeight="1"/>
    <row r="1504" ht="15.75" customHeight="1"/>
    <row r="1505" ht="15.75" customHeight="1"/>
    <row r="1506" ht="15.75" customHeight="1"/>
    <row r="1507" ht="15.75" customHeight="1"/>
    <row r="1508" ht="15.75" customHeight="1"/>
    <row r="1509" ht="15.75" customHeight="1"/>
    <row r="1510" ht="15.75" customHeight="1"/>
    <row r="1511" ht="15.75" customHeight="1"/>
    <row r="1512" ht="15.75" customHeight="1"/>
    <row r="1513" ht="15.75" customHeight="1"/>
    <row r="1514" ht="15.75" customHeight="1"/>
    <row r="1515" ht="15.75" customHeight="1"/>
    <row r="1516" ht="15.75" customHeight="1"/>
    <row r="1517" ht="15.75" customHeight="1"/>
    <row r="1518" ht="15.75" customHeight="1"/>
    <row r="1519" ht="15.75" customHeight="1"/>
    <row r="1520" ht="15.75" customHeight="1"/>
    <row r="1521" ht="15.75" customHeight="1"/>
    <row r="1522" ht="15.75" customHeight="1"/>
    <row r="1523" ht="15.75" customHeight="1"/>
    <row r="1524" ht="15.75" customHeight="1"/>
    <row r="1525" ht="15.75" customHeight="1"/>
    <row r="1526" ht="15.75" customHeight="1"/>
    <row r="1527" ht="15.75" customHeight="1"/>
    <row r="1528" ht="15.75" customHeight="1"/>
    <row r="1529" ht="15.75" customHeight="1"/>
    <row r="1530" ht="15.75" customHeight="1"/>
    <row r="1531" ht="15.75" customHeight="1"/>
    <row r="1532" ht="15.75" customHeight="1"/>
    <row r="1533" ht="15.75" customHeight="1"/>
    <row r="1534" ht="15.75" customHeight="1"/>
    <row r="1535" ht="15.75" customHeight="1"/>
    <row r="1536" ht="15.75" customHeight="1"/>
    <row r="1537" ht="15.75" customHeight="1"/>
    <row r="1538" ht="15.75" customHeight="1"/>
    <row r="1539" ht="15.75" customHeight="1"/>
    <row r="1540" ht="15.75" customHeight="1"/>
    <row r="1541" ht="15.75" customHeight="1"/>
    <row r="1542" ht="15.75" customHeight="1"/>
    <row r="1543" ht="15.75" customHeight="1"/>
    <row r="1544" ht="15.75" customHeight="1"/>
    <row r="1545" ht="15.75" customHeight="1"/>
    <row r="1546" ht="15.75" customHeight="1"/>
    <row r="1547" ht="15.75" customHeight="1"/>
    <row r="1548" ht="15.75" customHeight="1"/>
    <row r="1549" ht="15.75" customHeight="1"/>
    <row r="1550" ht="15.75" customHeight="1"/>
    <row r="1551" ht="15.75" customHeight="1"/>
    <row r="1552" ht="15.75" customHeight="1"/>
    <row r="1553" ht="15.75" customHeight="1"/>
    <row r="1554" ht="15.75" customHeight="1"/>
    <row r="1555" ht="15.75" customHeight="1"/>
    <row r="1556" ht="15.75" customHeight="1"/>
    <row r="1557" ht="15.75" customHeight="1"/>
    <row r="1558" ht="15.75" customHeight="1"/>
    <row r="1559" ht="15.75" customHeight="1"/>
    <row r="1560" ht="15.75" customHeight="1"/>
    <row r="1561" ht="15.75" customHeight="1"/>
    <row r="1562" ht="15.75" customHeight="1"/>
    <row r="1563" ht="15.75" customHeight="1"/>
    <row r="1564" ht="15.75" customHeight="1"/>
    <row r="1565" ht="15.75" customHeight="1"/>
    <row r="1566" ht="15.75" customHeight="1"/>
    <row r="1567" ht="15.75" customHeight="1"/>
    <row r="1568" ht="15.75" customHeight="1"/>
    <row r="1569" ht="15.75" customHeight="1"/>
    <row r="1570" ht="15.75" customHeight="1"/>
    <row r="1571" ht="15.75" customHeight="1"/>
    <row r="1572" ht="15.75" customHeight="1"/>
    <row r="1573" ht="15.75" customHeight="1"/>
    <row r="1574" ht="15.75" customHeight="1"/>
    <row r="1575" ht="15.75" customHeight="1"/>
    <row r="1576" ht="15.75" customHeight="1"/>
    <row r="1577" ht="15.75" customHeight="1"/>
    <row r="1578" ht="15.75" customHeight="1"/>
    <row r="1579" ht="15.75" customHeight="1"/>
    <row r="1580" ht="15.75" customHeight="1"/>
    <row r="1581" ht="15.75" customHeight="1"/>
    <row r="1582" ht="15.75" customHeight="1"/>
    <row r="1583" ht="15.75" customHeight="1"/>
    <row r="1584" ht="15.75" customHeight="1"/>
    <row r="1585" ht="15.75" customHeight="1"/>
    <row r="1586" ht="15.75" customHeight="1"/>
    <row r="1587" ht="15.75" customHeight="1"/>
    <row r="1588" ht="15.75" customHeight="1"/>
    <row r="1589" ht="15.75" customHeight="1"/>
    <row r="1590" ht="15.75" customHeight="1"/>
    <row r="1591" ht="15.75" customHeight="1"/>
    <row r="1592" ht="15.75" customHeight="1"/>
    <row r="1593" ht="15.75" customHeight="1"/>
    <row r="1594" ht="15.75" customHeight="1"/>
    <row r="1595" ht="15.75" customHeight="1"/>
    <row r="1596" ht="15.75" customHeight="1"/>
    <row r="1597" ht="15.75" customHeight="1"/>
    <row r="1598" ht="15.75" customHeight="1"/>
    <row r="1599" ht="15.75" customHeight="1"/>
    <row r="1600" ht="15.75" customHeight="1"/>
    <row r="1601" ht="15.75" customHeight="1"/>
    <row r="1602" ht="15.75" customHeight="1"/>
    <row r="1603" ht="15.75" customHeight="1"/>
    <row r="1604" ht="15.75" customHeight="1"/>
    <row r="1605" ht="15.75" customHeight="1"/>
    <row r="1606" ht="15.75" customHeight="1"/>
    <row r="1607" ht="15.75" customHeight="1"/>
    <row r="1608" ht="15.75" customHeight="1"/>
    <row r="1609" ht="15.75" customHeight="1"/>
    <row r="1610" ht="15.75" customHeight="1"/>
    <row r="1611" ht="15.75" customHeight="1"/>
    <row r="1612" ht="15.75" customHeight="1"/>
    <row r="1613" ht="15.75" customHeight="1"/>
    <row r="1614" ht="15.75" customHeight="1"/>
    <row r="1615" ht="15.75" customHeight="1"/>
    <row r="1616" ht="15.75" customHeight="1"/>
    <row r="1617" ht="15.75" customHeight="1"/>
    <row r="1618" ht="15.75" customHeight="1"/>
    <row r="1619" ht="15.75" customHeight="1"/>
    <row r="1620" ht="15.75" customHeight="1"/>
    <row r="1621" ht="15.75" customHeight="1"/>
    <row r="1622" ht="15.75" customHeight="1"/>
    <row r="1623" ht="15.75" customHeight="1"/>
    <row r="1624" ht="15.75" customHeight="1"/>
    <row r="1625" ht="15.75" customHeight="1"/>
    <row r="1626" ht="15.75" customHeight="1"/>
    <row r="1627" ht="15.75" customHeight="1"/>
    <row r="1628" ht="15.75" customHeight="1"/>
    <row r="1629" ht="15.75" customHeight="1"/>
    <row r="1630" ht="15.75" customHeight="1"/>
    <row r="1631" ht="15.75" customHeight="1"/>
    <row r="1632" ht="15.75" customHeight="1"/>
    <row r="1633" ht="15.75" customHeight="1"/>
    <row r="1634" ht="15.75" customHeight="1"/>
    <row r="1635" ht="15.75" customHeight="1"/>
    <row r="1636" ht="15.75" customHeight="1"/>
    <row r="1637" ht="15.75" customHeight="1"/>
    <row r="1638" ht="15.75" customHeight="1"/>
    <row r="1639" ht="15.75" customHeight="1"/>
    <row r="1640" ht="15.75" customHeight="1"/>
    <row r="1641" ht="15.75" customHeight="1"/>
    <row r="1642" ht="15.75" customHeight="1"/>
    <row r="1643" ht="15.75" customHeight="1"/>
    <row r="1644" ht="15.75" customHeight="1"/>
    <row r="1645" ht="15.75" customHeight="1"/>
    <row r="1646" ht="15.75" customHeight="1"/>
    <row r="1647" ht="15.75" customHeight="1"/>
    <row r="1648" ht="15.75" customHeight="1"/>
    <row r="1649" ht="15.75" customHeight="1"/>
    <row r="1650" ht="15.75" customHeight="1"/>
    <row r="1651" ht="15.75" customHeight="1"/>
    <row r="1652" ht="15.75" customHeight="1"/>
    <row r="1653" ht="15.75" customHeight="1"/>
    <row r="1654" ht="15.75" customHeight="1"/>
    <row r="1655" ht="15.75" customHeight="1"/>
    <row r="1656" ht="15.75" customHeight="1"/>
    <row r="1657" ht="15.75" customHeight="1"/>
    <row r="1658" ht="15.75" customHeight="1"/>
    <row r="1659" ht="15.75" customHeight="1"/>
    <row r="1660" ht="15.75" customHeight="1"/>
    <row r="1661" ht="15.75" customHeight="1"/>
    <row r="1662" ht="15.75" customHeight="1"/>
    <row r="1663" ht="15.75" customHeight="1"/>
    <row r="1664" ht="15.75" customHeight="1"/>
    <row r="1665" ht="15.75" customHeight="1"/>
    <row r="1666" ht="15.75" customHeight="1"/>
    <row r="1667" ht="15.75" customHeight="1"/>
    <row r="1668" ht="15.75" customHeight="1"/>
    <row r="1669" ht="15.75" customHeight="1"/>
    <row r="1670" ht="15.75" customHeight="1"/>
    <row r="1671" ht="15.75" customHeight="1"/>
    <row r="1672" ht="15.75" customHeight="1"/>
    <row r="1673" ht="15.75" customHeight="1"/>
    <row r="1674" ht="15.75" customHeight="1"/>
    <row r="1675" ht="15.75" customHeight="1"/>
    <row r="1676" ht="15.75" customHeight="1"/>
    <row r="1677" ht="15.75" customHeight="1"/>
    <row r="1678" ht="15.75" customHeight="1"/>
    <row r="1679" ht="15.75" customHeight="1"/>
    <row r="1680" ht="15.75" customHeight="1"/>
    <row r="1681" ht="15.75" customHeight="1"/>
    <row r="1682" ht="15.75" customHeight="1"/>
    <row r="1683" ht="15.75" customHeight="1"/>
    <row r="1684" ht="15.75" customHeight="1"/>
    <row r="1685" ht="15.75" customHeight="1"/>
    <row r="1686" ht="15.75" customHeight="1"/>
    <row r="1687" ht="15.75" customHeight="1"/>
    <row r="1688" ht="15.75" customHeight="1"/>
    <row r="1689" ht="15.75" customHeight="1"/>
    <row r="1690" ht="15.75" customHeight="1"/>
    <row r="1691" ht="15.75" customHeight="1"/>
    <row r="1692" ht="15.75" customHeight="1"/>
    <row r="1693" ht="15.75" customHeight="1"/>
    <row r="1694" ht="15.75" customHeight="1"/>
    <row r="1695" ht="15.75" customHeight="1"/>
    <row r="1696" ht="15.75" customHeight="1"/>
    <row r="1697" ht="15.75" customHeight="1"/>
    <row r="1698" ht="15.75" customHeight="1"/>
    <row r="1699" ht="15.75" customHeight="1"/>
    <row r="1700" ht="15.75" customHeight="1"/>
    <row r="1701" ht="15.75" customHeight="1"/>
    <row r="1702" ht="15.75" customHeight="1"/>
    <row r="1703" ht="15.75" customHeight="1"/>
    <row r="1704" ht="15.75" customHeight="1"/>
    <row r="1705" ht="15.75" customHeight="1"/>
    <row r="1706" ht="15.75" customHeight="1"/>
    <row r="1707" ht="15.75" customHeight="1"/>
    <row r="1708" ht="15.75" customHeight="1"/>
    <row r="1709" ht="15.75" customHeight="1"/>
    <row r="1710" ht="15.75" customHeight="1"/>
    <row r="1711" ht="15.75" customHeight="1"/>
    <row r="1712" ht="15.75" customHeight="1"/>
    <row r="1713" ht="15.75" customHeight="1"/>
    <row r="1714" ht="15.75" customHeight="1"/>
    <row r="1715" ht="15.75" customHeight="1"/>
    <row r="1716" ht="15.75" customHeight="1"/>
    <row r="1717" ht="15.75" customHeight="1"/>
    <row r="1718" ht="15.75" customHeight="1"/>
    <row r="1719" ht="15.75" customHeight="1"/>
    <row r="1720" ht="15.75" customHeight="1"/>
    <row r="1721" ht="15.75" customHeight="1"/>
    <row r="1722" ht="15.75" customHeight="1"/>
    <row r="1723" ht="15.75" customHeight="1"/>
    <row r="1724" ht="15.75" customHeight="1"/>
    <row r="1725" ht="15.75" customHeight="1"/>
    <row r="1726" ht="15.75" customHeight="1"/>
    <row r="1727" ht="15.75" customHeight="1"/>
    <row r="1728" ht="15.75" customHeight="1"/>
    <row r="1729" ht="15.75" customHeight="1"/>
    <row r="1730" ht="15.75" customHeight="1"/>
    <row r="1731" ht="15.75" customHeight="1"/>
    <row r="1732" ht="15.75" customHeight="1"/>
    <row r="1733" ht="15.75" customHeight="1"/>
    <row r="1734" ht="15.75" customHeight="1"/>
    <row r="1735" ht="15.75" customHeight="1"/>
    <row r="1736" ht="15.75" customHeight="1"/>
    <row r="1737" ht="15.75" customHeight="1"/>
    <row r="1738" ht="15.75" customHeight="1"/>
    <row r="1739" ht="15.75" customHeight="1"/>
    <row r="1740" ht="15.75" customHeight="1"/>
    <row r="1741" ht="15.75" customHeight="1"/>
    <row r="1742" ht="15.75" customHeight="1"/>
    <row r="1743" ht="15.75" customHeight="1"/>
    <row r="1744" ht="15.75" customHeight="1"/>
    <row r="1745" ht="15.75" customHeight="1"/>
    <row r="1746" ht="15.75" customHeight="1"/>
    <row r="1747" ht="15.75" customHeight="1"/>
    <row r="1748" ht="15.75" customHeight="1"/>
    <row r="1749" ht="15.75" customHeight="1"/>
    <row r="1750" ht="15.75" customHeight="1"/>
    <row r="1751" ht="15.75" customHeight="1"/>
    <row r="1752" ht="15.75" customHeight="1"/>
    <row r="1753" ht="15.75" customHeight="1"/>
    <row r="1754" ht="15.75" customHeight="1"/>
    <row r="1755" ht="15.75" customHeight="1"/>
    <row r="1756" ht="15.75" customHeight="1"/>
    <row r="1757" ht="15.75" customHeight="1"/>
    <row r="1758" ht="15.75" customHeight="1"/>
    <row r="1759" ht="15.75" customHeight="1"/>
    <row r="1760" ht="15.75" customHeight="1"/>
    <row r="1761" ht="15.75" customHeight="1"/>
    <row r="1762" ht="15.75" customHeight="1"/>
    <row r="1763" ht="15.75" customHeight="1"/>
    <row r="1764" ht="15.75" customHeight="1"/>
    <row r="1765" ht="15.75" customHeight="1"/>
    <row r="1766" ht="15.75" customHeight="1"/>
    <row r="1767" ht="15.75" customHeight="1"/>
    <row r="1768" ht="15.75" customHeight="1"/>
    <row r="1769" ht="15.75" customHeight="1"/>
    <row r="1770" ht="15.75" customHeight="1"/>
    <row r="1771" ht="15.75" customHeight="1"/>
    <row r="1772" ht="15.75" customHeight="1"/>
    <row r="1773" ht="15.75" customHeight="1"/>
    <row r="1774" ht="15.75" customHeight="1"/>
    <row r="1775" ht="15.75" customHeight="1"/>
    <row r="1776" ht="15.75" customHeight="1"/>
    <row r="1777" ht="15.75" customHeight="1"/>
    <row r="1778" ht="15.75" customHeight="1"/>
    <row r="1779" ht="15.75" customHeight="1"/>
    <row r="1780" ht="15.75" customHeight="1"/>
    <row r="1781" ht="15.75" customHeight="1"/>
    <row r="1782" ht="15.75" customHeight="1"/>
    <row r="1783" ht="15.75" customHeight="1"/>
    <row r="1784" ht="15.75" customHeight="1"/>
    <row r="1785" ht="15.75" customHeight="1"/>
    <row r="1786" ht="15.75" customHeight="1"/>
    <row r="1787" ht="15.75" customHeight="1"/>
    <row r="1788" ht="15.75" customHeight="1"/>
    <row r="1789" ht="15.75" customHeight="1"/>
    <row r="1790" ht="15.75" customHeight="1"/>
    <row r="1791" ht="15.75" customHeight="1"/>
    <row r="1792" ht="15.75" customHeight="1"/>
    <row r="1793" ht="15.75" customHeight="1"/>
    <row r="1794" ht="15.75" customHeight="1"/>
    <row r="1795" ht="15.75" customHeight="1"/>
    <row r="1796" ht="15.75" customHeight="1"/>
    <row r="1797" ht="15.75" customHeight="1"/>
    <row r="1798" ht="15.75" customHeight="1"/>
    <row r="1799" ht="15.75" customHeight="1"/>
    <row r="1800" ht="15.75" customHeight="1"/>
    <row r="1801" ht="15.75" customHeight="1"/>
    <row r="1802" ht="15.75" customHeight="1"/>
    <row r="1803" ht="15.75" customHeight="1"/>
    <row r="1804" ht="15.75" customHeight="1"/>
    <row r="1805" ht="15.75" customHeight="1"/>
    <row r="1806" ht="15.75" customHeight="1"/>
    <row r="1807" ht="15.75" customHeight="1"/>
    <row r="1808" ht="15.75" customHeight="1"/>
    <row r="1809" ht="15.75" customHeight="1"/>
    <row r="1810" ht="15.75" customHeight="1"/>
    <row r="1811" ht="15.75" customHeight="1"/>
    <row r="1812" ht="15.75" customHeight="1"/>
    <row r="1813" ht="15.75" customHeight="1"/>
    <row r="1814" ht="15.75" customHeight="1"/>
    <row r="1815" ht="15.75" customHeight="1"/>
    <row r="1816" ht="15.75" customHeight="1"/>
    <row r="1817" ht="15.75" customHeight="1"/>
    <row r="1818" ht="15.75" customHeight="1"/>
    <row r="1819" ht="15.75" customHeight="1"/>
    <row r="1820" ht="15.75" customHeight="1"/>
    <row r="1821" ht="15.75" customHeight="1"/>
    <row r="1822" ht="15.75" customHeight="1"/>
    <row r="1823" ht="15.75" customHeight="1"/>
    <row r="1824" ht="15.75" customHeight="1"/>
    <row r="1825" ht="15.75" customHeight="1"/>
    <row r="1826" ht="15.75" customHeight="1"/>
    <row r="1827" ht="15.75" customHeight="1"/>
    <row r="1828" ht="15.75" customHeight="1"/>
    <row r="1829" ht="15.75" customHeight="1"/>
    <row r="1830" ht="15.75" customHeight="1"/>
    <row r="1831" ht="15.75" customHeight="1"/>
    <row r="1832" ht="15.75" customHeight="1"/>
    <row r="1833" ht="15.75" customHeight="1"/>
    <row r="1834" ht="15.75" customHeight="1"/>
    <row r="1835" ht="15.75" customHeight="1"/>
    <row r="1836" ht="15.75" customHeight="1"/>
    <row r="1837" ht="15.75" customHeight="1"/>
    <row r="1838" ht="15.75" customHeight="1"/>
    <row r="1839" ht="15.75" customHeight="1"/>
    <row r="1840" ht="15.75" customHeight="1"/>
    <row r="1841" ht="15.75" customHeight="1"/>
    <row r="1842" ht="15.75" customHeight="1"/>
    <row r="1843" ht="15.75" customHeight="1"/>
    <row r="1844" ht="15.75" customHeight="1"/>
    <row r="1845" ht="15.75" customHeight="1"/>
    <row r="1846" ht="15.75" customHeight="1"/>
    <row r="1847" ht="15.75" customHeight="1"/>
    <row r="1848" ht="15.75" customHeight="1"/>
    <row r="1849" ht="15.75" customHeight="1"/>
    <row r="1850" ht="15.75" customHeight="1"/>
    <row r="1851" ht="15.75" customHeight="1"/>
    <row r="1852" ht="15.75" customHeight="1"/>
    <row r="1853" ht="15.75" customHeight="1"/>
    <row r="1854" ht="15.75" customHeight="1"/>
    <row r="1855" ht="15.75" customHeight="1"/>
    <row r="1856" ht="15.75" customHeight="1"/>
    <row r="1857" ht="15.75" customHeight="1"/>
    <row r="1858" ht="15.75" customHeight="1"/>
    <row r="1859" ht="15.75" customHeight="1"/>
    <row r="1860" ht="15.75" customHeight="1"/>
    <row r="1861" ht="15.75" customHeight="1"/>
    <row r="1862" ht="15.75" customHeight="1"/>
  </sheetData>
  <autoFilter ref="A2:BK63" xr:uid="{E0B784E7-97E7-4379-83DA-FB86CF3D072D}">
    <filterColumn colId="13" showButton="0"/>
    <filterColumn colId="14" showButton="0"/>
    <filterColumn colId="19" showButton="0"/>
    <filterColumn colId="20" showButton="0"/>
    <filterColumn colId="22" showButton="0"/>
    <filterColumn colId="23" showButton="0"/>
    <filterColumn colId="25" showButton="0"/>
    <filterColumn colId="26" showButton="0"/>
    <filterColumn colId="28" showButton="0"/>
    <filterColumn colId="29" showButton="0"/>
    <filterColumn colId="39" showButton="0"/>
    <filterColumn colId="40" showButton="0"/>
    <filterColumn colId="42" showButton="0"/>
    <filterColumn colId="43" showButton="0"/>
    <filterColumn colId="45" showButton="0"/>
    <filterColumn colId="46" showButton="0"/>
    <filterColumn colId="52" showButton="0"/>
    <filterColumn colId="53" showButton="0"/>
  </autoFilter>
  <mergeCells count="11">
    <mergeCell ref="BA2:BC2"/>
    <mergeCell ref="A1:BD1"/>
    <mergeCell ref="BF1:BI1"/>
    <mergeCell ref="N2:P2"/>
    <mergeCell ref="T2:V2"/>
    <mergeCell ref="W2:Y2"/>
    <mergeCell ref="Z2:AB2"/>
    <mergeCell ref="AC2:AE2"/>
    <mergeCell ref="AN2:AP2"/>
    <mergeCell ref="AQ2:AS2"/>
    <mergeCell ref="AT2:AV2"/>
  </mergeCells>
  <phoneticPr fontId="76" type="noConversion"/>
  <conditionalFormatting sqref="BE4">
    <cfRule type="expression" dxfId="4492" priority="3970">
      <formula>$M4="NON DEFINED"</formula>
    </cfRule>
    <cfRule type="expression" dxfId="4491" priority="3971">
      <formula>$AY4="N.D."</formula>
    </cfRule>
  </conditionalFormatting>
  <conditionalFormatting sqref="BE4">
    <cfRule type="cellIs" dxfId="4490" priority="3969" operator="equal">
      <formula>0</formula>
    </cfRule>
  </conditionalFormatting>
  <conditionalFormatting sqref="C22:AZ22 C44:AL44 C43:M43 O43:AJ43 C32:AZ32 C25:G25 X25:AK25 C24:AZ24 C23:K23 X23:AK23 C45:AJ45 AL45:AM45 AL43:AM43 B63:AZ63 AN43:AV62 AY43:AZ62 M23:V23 AN23:AZ23 I25:K25 M25:V25 AN25:AZ25 C31:V31 C26:AZ30 X31:AZ31 B46:AL62">
    <cfRule type="expression" dxfId="4489" priority="3966">
      <formula>$M22="NON DEFINED"</formula>
    </cfRule>
    <cfRule type="expression" dxfId="4488" priority="3967">
      <formula>$AZ22="N.D."</formula>
    </cfRule>
    <cfRule type="expression" dxfId="4487" priority="3968">
      <formula>$AY22="N.D."</formula>
    </cfRule>
  </conditionalFormatting>
  <conditionalFormatting sqref="BA22:BC63">
    <cfRule type="expression" dxfId="4486" priority="3964">
      <formula>$BE22="A"</formula>
    </cfRule>
    <cfRule type="expression" dxfId="4485" priority="3965">
      <formula>$BE22="R"</formula>
    </cfRule>
  </conditionalFormatting>
  <conditionalFormatting sqref="AG22:AG32 A22:A32 AY22:AZ32 AM43 AM45 AM22:AS22 G22:H24 J22:J32 A63:AZ63 A43:A45 C43:E45 C22:E32 AY43:AZ62 N44:N62 AL43:AL62 AN43:AV62 O43:AJ62 AM24:AS24 AN23:AS23 G26:H32 G25 AN25:AS25 AM26:AS32 A46:E62 F43:M62">
    <cfRule type="expression" dxfId="4484" priority="3953">
      <formula>$A22="Overhead Cable"</formula>
    </cfRule>
    <cfRule type="expression" dxfId="4483" priority="3954">
      <formula>$A22="Level Crossing"</formula>
    </cfRule>
    <cfRule type="expression" dxfId="4482" priority="3955">
      <formula>$A22="Neutral Section"</formula>
    </cfRule>
    <cfRule type="expression" dxfId="4481" priority="3956">
      <formula>$A22="Tunnel"</formula>
    </cfRule>
    <cfRule type="expression" dxfId="4480" priority="3957">
      <formula>$A22="Bridge"</formula>
    </cfRule>
    <cfRule type="expression" dxfId="4479" priority="3958">
      <formula>$A22="Drainage Works"</formula>
    </cfRule>
    <cfRule type="expression" dxfId="4478" priority="3959">
      <formula>$A22="Underpass"</formula>
    </cfRule>
    <cfRule type="expression" dxfId="4477" priority="3960">
      <formula>$A22="Overcrossing"</formula>
    </cfRule>
    <cfRule type="expression" dxfId="4476" priority="3961">
      <formula>$A22="Overpass"</formula>
    </cfRule>
    <cfRule type="expression" dxfId="4475" priority="3962">
      <formula>$A22="Station"</formula>
    </cfRule>
    <cfRule type="expression" dxfId="4474" priority="3963">
      <formula>$A22="Overlap between sections"</formula>
    </cfRule>
  </conditionalFormatting>
  <conditionalFormatting sqref="AN22:AP32 AN43:AP63">
    <cfRule type="cellIs" dxfId="4473" priority="3952" operator="notEqual">
      <formula>5.5</formula>
    </cfRule>
  </conditionalFormatting>
  <conditionalFormatting sqref="B46:B63">
    <cfRule type="expression" dxfId="4472" priority="3951">
      <formula>AND($AH46&gt;2499,$AH46&lt;2901)</formula>
    </cfRule>
  </conditionalFormatting>
  <conditionalFormatting sqref="I22:I32">
    <cfRule type="expression" dxfId="4471" priority="3940">
      <formula>$A22="Overhead Cable"</formula>
    </cfRule>
    <cfRule type="expression" dxfId="4470" priority="3941">
      <formula>$A22="Level Crossing"</formula>
    </cfRule>
    <cfRule type="expression" dxfId="4469" priority="3942">
      <formula>$A22="Neutral Section"</formula>
    </cfRule>
    <cfRule type="expression" dxfId="4468" priority="3943">
      <formula>$A22="Tunnel"</formula>
    </cfRule>
    <cfRule type="expression" dxfId="4467" priority="3944">
      <formula>$A22="Bridge"</formula>
    </cfRule>
    <cfRule type="expression" dxfId="4466" priority="3945">
      <formula>$A22="Drainage Works"</formula>
    </cfRule>
    <cfRule type="expression" dxfId="4465" priority="3946">
      <formula>$A22="Underpass"</formula>
    </cfRule>
    <cfRule type="expression" dxfId="4464" priority="3947">
      <formula>$A22="Overcrossing"</formula>
    </cfRule>
    <cfRule type="expression" dxfId="4463" priority="3948">
      <formula>$A22="Overpass"</formula>
    </cfRule>
    <cfRule type="expression" dxfId="4462" priority="3949">
      <formula>$A22="Station"</formula>
    </cfRule>
    <cfRule type="expression" dxfId="4461" priority="3950">
      <formula>$A22="Overlap between sections"</formula>
    </cfRule>
  </conditionalFormatting>
  <conditionalFormatting sqref="K22:K32">
    <cfRule type="expression" dxfId="4460" priority="3929">
      <formula>$A22="Overhead Cable"</formula>
    </cfRule>
    <cfRule type="expression" dxfId="4459" priority="3930">
      <formula>$A22="Level Crossing"</formula>
    </cfRule>
    <cfRule type="expression" dxfId="4458" priority="3931">
      <formula>$A22="Neutral Section"</formula>
    </cfRule>
    <cfRule type="expression" dxfId="4457" priority="3932">
      <formula>$A22="Tunnel"</formula>
    </cfRule>
    <cfRule type="expression" dxfId="4456" priority="3933">
      <formula>$A22="Bridge"</formula>
    </cfRule>
    <cfRule type="expression" dxfId="4455" priority="3934">
      <formula>$A22="Drainage Works"</formula>
    </cfRule>
    <cfRule type="expression" dxfId="4454" priority="3935">
      <formula>$A22="Underpass"</formula>
    </cfRule>
    <cfRule type="expression" dxfId="4453" priority="3936">
      <formula>$A22="Overcrossing"</formula>
    </cfRule>
    <cfRule type="expression" dxfId="4452" priority="3937">
      <formula>$A22="Overpass"</formula>
    </cfRule>
    <cfRule type="expression" dxfId="4451" priority="3938">
      <formula>$A22="Station"</formula>
    </cfRule>
    <cfRule type="expression" dxfId="4450" priority="3939">
      <formula>$A22="Overlap between sections"</formula>
    </cfRule>
  </conditionalFormatting>
  <conditionalFormatting sqref="L22 L24 L26:L32">
    <cfRule type="expression" dxfId="4449" priority="3918">
      <formula>$A22="Overhead Cable"</formula>
    </cfRule>
    <cfRule type="expression" dxfId="4448" priority="3919">
      <formula>$A22="Level Crossing"</formula>
    </cfRule>
    <cfRule type="expression" dxfId="4447" priority="3920">
      <formula>$A22="Neutral Section"</formula>
    </cfRule>
    <cfRule type="expression" dxfId="4446" priority="3921">
      <formula>$A22="Tunnel"</formula>
    </cfRule>
    <cfRule type="expression" dxfId="4445" priority="3922">
      <formula>$A22="Bridge"</formula>
    </cfRule>
    <cfRule type="expression" dxfId="4444" priority="3923">
      <formula>$A22="Drainage Works"</formula>
    </cfRule>
    <cfRule type="expression" dxfId="4443" priority="3924">
      <formula>$A22="Underpass"</formula>
    </cfRule>
    <cfRule type="expression" dxfId="4442" priority="3925">
      <formula>$A22="Overcrossing"</formula>
    </cfRule>
    <cfRule type="expression" dxfId="4441" priority="3926">
      <formula>$A22="Overpass"</formula>
    </cfRule>
    <cfRule type="expression" dxfId="4440" priority="3927">
      <formula>$A22="Station"</formula>
    </cfRule>
    <cfRule type="expression" dxfId="4439" priority="3928">
      <formula>$A22="Overlap between sections"</formula>
    </cfRule>
  </conditionalFormatting>
  <conditionalFormatting sqref="M22:M32">
    <cfRule type="expression" dxfId="4438" priority="3907">
      <formula>$A22="Overhead Cable"</formula>
    </cfRule>
    <cfRule type="expression" dxfId="4437" priority="3908">
      <formula>$A22="Level Crossing"</formula>
    </cfRule>
    <cfRule type="expression" dxfId="4436" priority="3909">
      <formula>$A22="Neutral Section"</formula>
    </cfRule>
    <cfRule type="expression" dxfId="4435" priority="3910">
      <formula>$A22="Tunnel"</formula>
    </cfRule>
    <cfRule type="expression" dxfId="4434" priority="3911">
      <formula>$A22="Bridge"</formula>
    </cfRule>
    <cfRule type="expression" dxfId="4433" priority="3912">
      <formula>$A22="Drainage Works"</formula>
    </cfRule>
    <cfRule type="expression" dxfId="4432" priority="3913">
      <formula>$A22="Underpass"</formula>
    </cfRule>
    <cfRule type="expression" dxfId="4431" priority="3914">
      <formula>$A22="Overcrossing"</formula>
    </cfRule>
    <cfRule type="expression" dxfId="4430" priority="3915">
      <formula>$A22="Overpass"</formula>
    </cfRule>
    <cfRule type="expression" dxfId="4429" priority="3916">
      <formula>$A22="Station"</formula>
    </cfRule>
    <cfRule type="expression" dxfId="4428" priority="3917">
      <formula>$A22="Overlap between sections"</formula>
    </cfRule>
  </conditionalFormatting>
  <conditionalFormatting sqref="N22:N32">
    <cfRule type="expression" dxfId="4427" priority="3896">
      <formula>$A22="Overhead Cable"</formula>
    </cfRule>
    <cfRule type="expression" dxfId="4426" priority="3897">
      <formula>$A22="Level Crossing"</formula>
    </cfRule>
    <cfRule type="expression" dxfId="4425" priority="3898">
      <formula>$A22="Neutral Section"</formula>
    </cfRule>
    <cfRule type="expression" dxfId="4424" priority="3899">
      <formula>$A22="Tunnel"</formula>
    </cfRule>
    <cfRule type="expression" dxfId="4423" priority="3900">
      <formula>$A22="Bridge"</formula>
    </cfRule>
    <cfRule type="expression" dxfId="4422" priority="3901">
      <formula>$A22="Drainage Works"</formula>
    </cfRule>
    <cfRule type="expression" dxfId="4421" priority="3902">
      <formula>$A22="Underpass"</formula>
    </cfRule>
    <cfRule type="expression" dxfId="4420" priority="3903">
      <formula>$A22="Overcrossing"</formula>
    </cfRule>
    <cfRule type="expression" dxfId="4419" priority="3904">
      <formula>$A22="Overpass"</formula>
    </cfRule>
    <cfRule type="expression" dxfId="4418" priority="3905">
      <formula>$A22="Station"</formula>
    </cfRule>
    <cfRule type="expression" dxfId="4417" priority="3906">
      <formula>$A22="Overlap between sections"</formula>
    </cfRule>
  </conditionalFormatting>
  <conditionalFormatting sqref="O22:O32">
    <cfRule type="expression" dxfId="4416" priority="3885">
      <formula>$A22="Overhead Cable"</formula>
    </cfRule>
    <cfRule type="expression" dxfId="4415" priority="3886">
      <formula>$A22="Level Crossing"</formula>
    </cfRule>
    <cfRule type="expression" dxfId="4414" priority="3887">
      <formula>$A22="Neutral Section"</formula>
    </cfRule>
    <cfRule type="expression" dxfId="4413" priority="3888">
      <formula>$A22="Tunnel"</formula>
    </cfRule>
    <cfRule type="expression" dxfId="4412" priority="3889">
      <formula>$A22="Bridge"</formula>
    </cfRule>
    <cfRule type="expression" dxfId="4411" priority="3890">
      <formula>$A22="Drainage Works"</formula>
    </cfRule>
    <cfRule type="expression" dxfId="4410" priority="3891">
      <formula>$A22="Underpass"</formula>
    </cfRule>
    <cfRule type="expression" dxfId="4409" priority="3892">
      <formula>$A22="Overcrossing"</formula>
    </cfRule>
    <cfRule type="expression" dxfId="4408" priority="3893">
      <formula>$A22="Overpass"</formula>
    </cfRule>
    <cfRule type="expression" dxfId="4407" priority="3894">
      <formula>$A22="Station"</formula>
    </cfRule>
    <cfRule type="expression" dxfId="4406" priority="3895">
      <formula>$A22="Overlap between sections"</formula>
    </cfRule>
  </conditionalFormatting>
  <conditionalFormatting sqref="P22:P32">
    <cfRule type="expression" dxfId="4405" priority="3874">
      <formula>$A22="Overhead Cable"</formula>
    </cfRule>
    <cfRule type="expression" dxfId="4404" priority="3875">
      <formula>$A22="Level Crossing"</formula>
    </cfRule>
    <cfRule type="expression" dxfId="4403" priority="3876">
      <formula>$A22="Neutral Section"</formula>
    </cfRule>
    <cfRule type="expression" dxfId="4402" priority="3877">
      <formula>$A22="Tunnel"</formula>
    </cfRule>
    <cfRule type="expression" dxfId="4401" priority="3878">
      <formula>$A22="Bridge"</formula>
    </cfRule>
    <cfRule type="expression" dxfId="4400" priority="3879">
      <formula>$A22="Drainage Works"</formula>
    </cfRule>
    <cfRule type="expression" dxfId="4399" priority="3880">
      <formula>$A22="Underpass"</formula>
    </cfRule>
    <cfRule type="expression" dxfId="4398" priority="3881">
      <formula>$A22="Overcrossing"</formula>
    </cfRule>
    <cfRule type="expression" dxfId="4397" priority="3882">
      <formula>$A22="Overpass"</formula>
    </cfRule>
    <cfRule type="expression" dxfId="4396" priority="3883">
      <formula>$A22="Station"</formula>
    </cfRule>
    <cfRule type="expression" dxfId="4395" priority="3884">
      <formula>$A22="Overlap between sections"</formula>
    </cfRule>
  </conditionalFormatting>
  <conditionalFormatting sqref="AC22:AC32">
    <cfRule type="expression" dxfId="4394" priority="3863">
      <formula>$A22="Overhead Cable"</formula>
    </cfRule>
    <cfRule type="expression" dxfId="4393" priority="3864">
      <formula>$A22="Level Crossing"</formula>
    </cfRule>
    <cfRule type="expression" dxfId="4392" priority="3865">
      <formula>$A22="Neutral Section"</formula>
    </cfRule>
    <cfRule type="expression" dxfId="4391" priority="3866">
      <formula>$A22="Tunnel"</formula>
    </cfRule>
    <cfRule type="expression" dxfId="4390" priority="3867">
      <formula>$A22="Bridge"</formula>
    </cfRule>
    <cfRule type="expression" dxfId="4389" priority="3868">
      <formula>$A22="Drainage Works"</formula>
    </cfRule>
    <cfRule type="expression" dxfId="4388" priority="3869">
      <formula>$A22="Underpass"</formula>
    </cfRule>
    <cfRule type="expression" dxfId="4387" priority="3870">
      <formula>$A22="Overcrossing"</formula>
    </cfRule>
    <cfRule type="expression" dxfId="4386" priority="3871">
      <formula>$A22="Overpass"</formula>
    </cfRule>
    <cfRule type="expression" dxfId="4385" priority="3872">
      <formula>$A22="Station"</formula>
    </cfRule>
    <cfRule type="expression" dxfId="4384" priority="3873">
      <formula>$A22="Overlap between sections"</formula>
    </cfRule>
  </conditionalFormatting>
  <conditionalFormatting sqref="AD22:AD32">
    <cfRule type="expression" dxfId="4383" priority="3852">
      <formula>$A22="Overhead Cable"</formula>
    </cfRule>
    <cfRule type="expression" dxfId="4382" priority="3853">
      <formula>$A22="Level Crossing"</formula>
    </cfRule>
    <cfRule type="expression" dxfId="4381" priority="3854">
      <formula>$A22="Neutral Section"</formula>
    </cfRule>
    <cfRule type="expression" dxfId="4380" priority="3855">
      <formula>$A22="Tunnel"</formula>
    </cfRule>
    <cfRule type="expression" dxfId="4379" priority="3856">
      <formula>$A22="Bridge"</formula>
    </cfRule>
    <cfRule type="expression" dxfId="4378" priority="3857">
      <formula>$A22="Drainage Works"</formula>
    </cfRule>
    <cfRule type="expression" dxfId="4377" priority="3858">
      <formula>$A22="Underpass"</formula>
    </cfRule>
    <cfRule type="expression" dxfId="4376" priority="3859">
      <formula>$A22="Overcrossing"</formula>
    </cfRule>
    <cfRule type="expression" dxfId="4375" priority="3860">
      <formula>$A22="Overpass"</formula>
    </cfRule>
    <cfRule type="expression" dxfId="4374" priority="3861">
      <formula>$A22="Station"</formula>
    </cfRule>
    <cfRule type="expression" dxfId="4373" priority="3862">
      <formula>$A22="Overlap between sections"</formula>
    </cfRule>
  </conditionalFormatting>
  <conditionalFormatting sqref="AE22:AE32">
    <cfRule type="expression" dxfId="4372" priority="3841">
      <formula>$A22="Overhead Cable"</formula>
    </cfRule>
    <cfRule type="expression" dxfId="4371" priority="3842">
      <formula>$A22="Level Crossing"</formula>
    </cfRule>
    <cfRule type="expression" dxfId="4370" priority="3843">
      <formula>$A22="Neutral Section"</formula>
    </cfRule>
    <cfRule type="expression" dxfId="4369" priority="3844">
      <formula>$A22="Tunnel"</formula>
    </cfRule>
    <cfRule type="expression" dxfId="4368" priority="3845">
      <formula>$A22="Bridge"</formula>
    </cfRule>
    <cfRule type="expression" dxfId="4367" priority="3846">
      <formula>$A22="Drainage Works"</formula>
    </cfRule>
    <cfRule type="expression" dxfId="4366" priority="3847">
      <formula>$A22="Underpass"</formula>
    </cfRule>
    <cfRule type="expression" dxfId="4365" priority="3848">
      <formula>$A22="Overcrossing"</formula>
    </cfRule>
    <cfRule type="expression" dxfId="4364" priority="3849">
      <formula>$A22="Overpass"</formula>
    </cfRule>
    <cfRule type="expression" dxfId="4363" priority="3850">
      <formula>$A22="Station"</formula>
    </cfRule>
    <cfRule type="expression" dxfId="4362" priority="3851">
      <formula>$A22="Overlap between sections"</formula>
    </cfRule>
  </conditionalFormatting>
  <conditionalFormatting sqref="AJ22:AJ32">
    <cfRule type="expression" dxfId="4361" priority="3830">
      <formula>$A22="Overhead Cable"</formula>
    </cfRule>
    <cfRule type="expression" dxfId="4360" priority="3831">
      <formula>$A22="Level Crossing"</formula>
    </cfRule>
    <cfRule type="expression" dxfId="4359" priority="3832">
      <formula>$A22="Neutral Section"</formula>
    </cfRule>
    <cfRule type="expression" dxfId="4358" priority="3833">
      <formula>$A22="Tunnel"</formula>
    </cfRule>
    <cfRule type="expression" dxfId="4357" priority="3834">
      <formula>$A22="Bridge"</formula>
    </cfRule>
    <cfRule type="expression" dxfId="4356" priority="3835">
      <formula>$A22="Drainage Works"</formula>
    </cfRule>
    <cfRule type="expression" dxfId="4355" priority="3836">
      <formula>$A22="Underpass"</formula>
    </cfRule>
    <cfRule type="expression" dxfId="4354" priority="3837">
      <formula>$A22="Overcrossing"</formula>
    </cfRule>
    <cfRule type="expression" dxfId="4353" priority="3838">
      <formula>$A22="Overpass"</formula>
    </cfRule>
    <cfRule type="expression" dxfId="4352" priority="3839">
      <formula>$A22="Station"</formula>
    </cfRule>
    <cfRule type="expression" dxfId="4351" priority="3840">
      <formula>$A22="Overlap between sections"</formula>
    </cfRule>
  </conditionalFormatting>
  <conditionalFormatting sqref="AK22:AK32 AK44 AK46:AK62">
    <cfRule type="expression" dxfId="4350" priority="3819">
      <formula>$A22="Overhead Cable"</formula>
    </cfRule>
    <cfRule type="expression" dxfId="4349" priority="3820">
      <formula>$A22="Level Crossing"</formula>
    </cfRule>
    <cfRule type="expression" dxfId="4348" priority="3821">
      <formula>$A22="Neutral Section"</formula>
    </cfRule>
    <cfRule type="expression" dxfId="4347" priority="3822">
      <formula>$A22="Tunnel"</formula>
    </cfRule>
    <cfRule type="expression" dxfId="4346" priority="3823">
      <formula>$A22="Bridge"</formula>
    </cfRule>
    <cfRule type="expression" dxfId="4345" priority="3824">
      <formula>$A22="Drainage Works"</formula>
    </cfRule>
    <cfRule type="expression" dxfId="4344" priority="3825">
      <formula>$A22="Underpass"</formula>
    </cfRule>
    <cfRule type="expression" dxfId="4343" priority="3826">
      <formula>$A22="Overcrossing"</formula>
    </cfRule>
    <cfRule type="expression" dxfId="4342" priority="3827">
      <formula>$A22="Overpass"</formula>
    </cfRule>
    <cfRule type="expression" dxfId="4341" priority="3828">
      <formula>$A22="Station"</formula>
    </cfRule>
    <cfRule type="expression" dxfId="4340" priority="3829">
      <formula>$A22="Overlap between sections"</formula>
    </cfRule>
  </conditionalFormatting>
  <conditionalFormatting sqref="AL22 AL24 AL26:AL32">
    <cfRule type="expression" dxfId="4339" priority="3808">
      <formula>$A22="Overhead Cable"</formula>
    </cfRule>
    <cfRule type="expression" dxfId="4338" priority="3809">
      <formula>$A22="Level Crossing"</formula>
    </cfRule>
    <cfRule type="expression" dxfId="4337" priority="3810">
      <formula>$A22="Neutral Section"</formula>
    </cfRule>
    <cfRule type="expression" dxfId="4336" priority="3811">
      <formula>$A22="Tunnel"</formula>
    </cfRule>
    <cfRule type="expression" dxfId="4335" priority="3812">
      <formula>$A22="Bridge"</formula>
    </cfRule>
    <cfRule type="expression" dxfId="4334" priority="3813">
      <formula>$A22="Drainage Works"</formula>
    </cfRule>
    <cfRule type="expression" dxfId="4333" priority="3814">
      <formula>$A22="Underpass"</formula>
    </cfRule>
    <cfRule type="expression" dxfId="4332" priority="3815">
      <formula>$A22="Overcrossing"</formula>
    </cfRule>
    <cfRule type="expression" dxfId="4331" priority="3816">
      <formula>$A22="Overpass"</formula>
    </cfRule>
    <cfRule type="expression" dxfId="4330" priority="3817">
      <formula>$A22="Station"</formula>
    </cfRule>
    <cfRule type="expression" dxfId="4329" priority="3818">
      <formula>$A22="Overlap between sections"</formula>
    </cfRule>
  </conditionalFormatting>
  <conditionalFormatting sqref="AT22:AT32">
    <cfRule type="expression" dxfId="4328" priority="3797">
      <formula>$A22="Overhead Cable"</formula>
    </cfRule>
    <cfRule type="expression" dxfId="4327" priority="3798">
      <formula>$A22="Level Crossing"</formula>
    </cfRule>
    <cfRule type="expression" dxfId="4326" priority="3799">
      <formula>$A22="Neutral Section"</formula>
    </cfRule>
    <cfRule type="expression" dxfId="4325" priority="3800">
      <formula>$A22="Tunnel"</formula>
    </cfRule>
    <cfRule type="expression" dxfId="4324" priority="3801">
      <formula>$A22="Bridge"</formula>
    </cfRule>
    <cfRule type="expression" dxfId="4323" priority="3802">
      <formula>$A22="Drainage Works"</formula>
    </cfRule>
    <cfRule type="expression" dxfId="4322" priority="3803">
      <formula>$A22="Underpass"</formula>
    </cfRule>
    <cfRule type="expression" dxfId="4321" priority="3804">
      <formula>$A22="Overcrossing"</formula>
    </cfRule>
    <cfRule type="expression" dxfId="4320" priority="3805">
      <formula>$A22="Overpass"</formula>
    </cfRule>
    <cfRule type="expression" dxfId="4319" priority="3806">
      <formula>$A22="Station"</formula>
    </cfRule>
    <cfRule type="expression" dxfId="4318" priority="3807">
      <formula>$A22="Overlap between sections"</formula>
    </cfRule>
  </conditionalFormatting>
  <conditionalFormatting sqref="AU22:AU32">
    <cfRule type="expression" dxfId="4317" priority="3786">
      <formula>$A22="Overhead Cable"</formula>
    </cfRule>
    <cfRule type="expression" dxfId="4316" priority="3787">
      <formula>$A22="Level Crossing"</formula>
    </cfRule>
    <cfRule type="expression" dxfId="4315" priority="3788">
      <formula>$A22="Neutral Section"</formula>
    </cfRule>
    <cfRule type="expression" dxfId="4314" priority="3789">
      <formula>$A22="Tunnel"</formula>
    </cfRule>
    <cfRule type="expression" dxfId="4313" priority="3790">
      <formula>$A22="Bridge"</formula>
    </cfRule>
    <cfRule type="expression" dxfId="4312" priority="3791">
      <formula>$A22="Drainage Works"</formula>
    </cfRule>
    <cfRule type="expression" dxfId="4311" priority="3792">
      <formula>$A22="Underpass"</formula>
    </cfRule>
    <cfRule type="expression" dxfId="4310" priority="3793">
      <formula>$A22="Overcrossing"</formula>
    </cfRule>
    <cfRule type="expression" dxfId="4309" priority="3794">
      <formula>$A22="Overpass"</formula>
    </cfRule>
    <cfRule type="expression" dxfId="4308" priority="3795">
      <formula>$A22="Station"</formula>
    </cfRule>
    <cfRule type="expression" dxfId="4307" priority="3796">
      <formula>$A22="Overlap between sections"</formula>
    </cfRule>
  </conditionalFormatting>
  <conditionalFormatting sqref="AV22:AV32">
    <cfRule type="expression" dxfId="4306" priority="3775">
      <formula>$A22="Overhead Cable"</formula>
    </cfRule>
    <cfRule type="expression" dxfId="4305" priority="3776">
      <formula>$A22="Level Crossing"</formula>
    </cfRule>
    <cfRule type="expression" dxfId="4304" priority="3777">
      <formula>$A22="Neutral Section"</formula>
    </cfRule>
    <cfRule type="expression" dxfId="4303" priority="3778">
      <formula>$A22="Tunnel"</formula>
    </cfRule>
    <cfRule type="expression" dxfId="4302" priority="3779">
      <formula>$A22="Bridge"</formula>
    </cfRule>
    <cfRule type="expression" dxfId="4301" priority="3780">
      <formula>$A22="Drainage Works"</formula>
    </cfRule>
    <cfRule type="expression" dxfId="4300" priority="3781">
      <formula>$A22="Underpass"</formula>
    </cfRule>
    <cfRule type="expression" dxfId="4299" priority="3782">
      <formula>$A22="Overcrossing"</formula>
    </cfRule>
    <cfRule type="expression" dxfId="4298" priority="3783">
      <formula>$A22="Overpass"</formula>
    </cfRule>
    <cfRule type="expression" dxfId="4297" priority="3784">
      <formula>$A22="Station"</formula>
    </cfRule>
    <cfRule type="expression" dxfId="4296" priority="3785">
      <formula>$A22="Overlap between sections"</formula>
    </cfRule>
  </conditionalFormatting>
  <conditionalFormatting sqref="AW43 AW45">
    <cfRule type="expression" dxfId="4295" priority="3772">
      <formula>$M43="NON DEFINED"</formula>
    </cfRule>
    <cfRule type="expression" dxfId="4294" priority="3773">
      <formula>$AZ43="N.D."</formula>
    </cfRule>
    <cfRule type="expression" dxfId="4293" priority="3774">
      <formula>$AY43="N.D."</formula>
    </cfRule>
  </conditionalFormatting>
  <conditionalFormatting sqref="AW22:AW32 AW43 AW45">
    <cfRule type="expression" dxfId="4292" priority="3761">
      <formula>$A22="Overhead Cable"</formula>
    </cfRule>
    <cfRule type="expression" dxfId="4291" priority="3762">
      <formula>$A22="Level Crossing"</formula>
    </cfRule>
    <cfRule type="expression" dxfId="4290" priority="3763">
      <formula>$A22="Neutral Section"</formula>
    </cfRule>
    <cfRule type="expression" dxfId="4289" priority="3764">
      <formula>$A22="Tunnel"</formula>
    </cfRule>
    <cfRule type="expression" dxfId="4288" priority="3765">
      <formula>$A22="Bridge"</formula>
    </cfRule>
    <cfRule type="expression" dxfId="4287" priority="3766">
      <formula>$A22="Drainage Works"</formula>
    </cfRule>
    <cfRule type="expression" dxfId="4286" priority="3767">
      <formula>$A22="Underpass"</formula>
    </cfRule>
    <cfRule type="expression" dxfId="4285" priority="3768">
      <formula>$A22="Overcrossing"</formula>
    </cfRule>
    <cfRule type="expression" dxfId="4284" priority="3769">
      <formula>$A22="Overpass"</formula>
    </cfRule>
    <cfRule type="expression" dxfId="4283" priority="3770">
      <formula>$A22="Station"</formula>
    </cfRule>
    <cfRule type="expression" dxfId="4282" priority="3771">
      <formula>$A22="Overlap between sections"</formula>
    </cfRule>
  </conditionalFormatting>
  <conditionalFormatting sqref="AX43 AX45">
    <cfRule type="expression" dxfId="4281" priority="3758">
      <formula>$M43="NON DEFINED"</formula>
    </cfRule>
    <cfRule type="expression" dxfId="4280" priority="3759">
      <formula>$AZ43="N.D."</formula>
    </cfRule>
    <cfRule type="expression" dxfId="4279" priority="3760">
      <formula>$AY43="N.D."</formula>
    </cfRule>
  </conditionalFormatting>
  <conditionalFormatting sqref="AX22:AX32 AX43 AX45">
    <cfRule type="expression" dxfId="4278" priority="3747">
      <formula>$A22="Overhead Cable"</formula>
    </cfRule>
    <cfRule type="expression" dxfId="4277" priority="3748">
      <formula>$A22="Level Crossing"</formula>
    </cfRule>
    <cfRule type="expression" dxfId="4276" priority="3749">
      <formula>$A22="Neutral Section"</formula>
    </cfRule>
    <cfRule type="expression" dxfId="4275" priority="3750">
      <formula>$A22="Tunnel"</formula>
    </cfRule>
    <cfRule type="expression" dxfId="4274" priority="3751">
      <formula>$A22="Bridge"</formula>
    </cfRule>
    <cfRule type="expression" dxfId="4273" priority="3752">
      <formula>$A22="Drainage Works"</formula>
    </cfRule>
    <cfRule type="expression" dxfId="4272" priority="3753">
      <formula>$A22="Underpass"</formula>
    </cfRule>
    <cfRule type="expression" dxfId="4271" priority="3754">
      <formula>$A22="Overcrossing"</formula>
    </cfRule>
    <cfRule type="expression" dxfId="4270" priority="3755">
      <formula>$A22="Overpass"</formula>
    </cfRule>
    <cfRule type="expression" dxfId="4269" priority="3756">
      <formula>$A22="Station"</formula>
    </cfRule>
    <cfRule type="expression" dxfId="4268" priority="3757">
      <formula>$A22="Overlap between sections"</formula>
    </cfRule>
  </conditionalFormatting>
  <conditionalFormatting sqref="F22:F32">
    <cfRule type="expression" dxfId="4267" priority="3736">
      <formula>$A22="Overhead Cable"</formula>
    </cfRule>
    <cfRule type="expression" dxfId="4266" priority="3737">
      <formula>$A22="Level Crossing"</formula>
    </cfRule>
    <cfRule type="expression" dxfId="4265" priority="3738">
      <formula>$A22="Neutral Section"</formula>
    </cfRule>
    <cfRule type="expression" dxfId="4264" priority="3739">
      <formula>$A22="Tunnel"</formula>
    </cfRule>
    <cfRule type="expression" dxfId="4263" priority="3740">
      <formula>$A22="Bridge"</formula>
    </cfRule>
    <cfRule type="expression" dxfId="4262" priority="3741">
      <formula>$A22="Drainage Works"</formula>
    </cfRule>
    <cfRule type="expression" dxfId="4261" priority="3742">
      <formula>$A22="Underpass"</formula>
    </cfRule>
    <cfRule type="expression" dxfId="4260" priority="3743">
      <formula>$A22="Overcrossing"</formula>
    </cfRule>
    <cfRule type="expression" dxfId="4259" priority="3744">
      <formula>$A22="Overpass"</formula>
    </cfRule>
    <cfRule type="expression" dxfId="4258" priority="3745">
      <formula>$A22="Station"</formula>
    </cfRule>
    <cfRule type="expression" dxfId="4257" priority="3746">
      <formula>$A22="Overlap between sections"</formula>
    </cfRule>
  </conditionalFormatting>
  <conditionalFormatting sqref="Q22:Q32">
    <cfRule type="expression" dxfId="4256" priority="3725">
      <formula>$A22="Overhead Cable"</formula>
    </cfRule>
    <cfRule type="expression" dxfId="4255" priority="3726">
      <formula>$A22="Level Crossing"</formula>
    </cfRule>
    <cfRule type="expression" dxfId="4254" priority="3727">
      <formula>$A22="Neutral Section"</formula>
    </cfRule>
    <cfRule type="expression" dxfId="4253" priority="3728">
      <formula>$A22="Tunnel"</formula>
    </cfRule>
    <cfRule type="expression" dxfId="4252" priority="3729">
      <formula>$A22="Bridge"</formula>
    </cfRule>
    <cfRule type="expression" dxfId="4251" priority="3730">
      <formula>$A22="Drainage Works"</formula>
    </cfRule>
    <cfRule type="expression" dxfId="4250" priority="3731">
      <formula>$A22="Underpass"</formula>
    </cfRule>
    <cfRule type="expression" dxfId="4249" priority="3732">
      <formula>$A22="Overcrossing"</formula>
    </cfRule>
    <cfRule type="expression" dxfId="4248" priority="3733">
      <formula>$A22="Overpass"</formula>
    </cfRule>
    <cfRule type="expression" dxfId="4247" priority="3734">
      <formula>$A22="Station"</formula>
    </cfRule>
    <cfRule type="expression" dxfId="4246" priority="3735">
      <formula>$A22="Overlap between sections"</formula>
    </cfRule>
  </conditionalFormatting>
  <conditionalFormatting sqref="T22:T32">
    <cfRule type="expression" dxfId="4245" priority="3714">
      <formula>$A22="Overhead Cable"</formula>
    </cfRule>
    <cfRule type="expression" dxfId="4244" priority="3715">
      <formula>$A22="Level Crossing"</formula>
    </cfRule>
    <cfRule type="expression" dxfId="4243" priority="3716">
      <formula>$A22="Neutral Section"</formula>
    </cfRule>
    <cfRule type="expression" dxfId="4242" priority="3717">
      <formula>$A22="Tunnel"</formula>
    </cfRule>
    <cfRule type="expression" dxfId="4241" priority="3718">
      <formula>$A22="Bridge"</formula>
    </cfRule>
    <cfRule type="expression" dxfId="4240" priority="3719">
      <formula>$A22="Drainage Works"</formula>
    </cfRule>
    <cfRule type="expression" dxfId="4239" priority="3720">
      <formula>$A22="Underpass"</formula>
    </cfRule>
    <cfRule type="expression" dxfId="4238" priority="3721">
      <formula>$A22="Overcrossing"</formula>
    </cfRule>
    <cfRule type="expression" dxfId="4237" priority="3722">
      <formula>$A22="Overpass"</formula>
    </cfRule>
    <cfRule type="expression" dxfId="4236" priority="3723">
      <formula>$A22="Station"</formula>
    </cfRule>
    <cfRule type="expression" dxfId="4235" priority="3724">
      <formula>$A22="Overlap between sections"</formula>
    </cfRule>
  </conditionalFormatting>
  <conditionalFormatting sqref="U22:U32">
    <cfRule type="expression" dxfId="4234" priority="3703">
      <formula>$A22="Overhead Cable"</formula>
    </cfRule>
    <cfRule type="expression" dxfId="4233" priority="3704">
      <formula>$A22="Level Crossing"</formula>
    </cfRule>
    <cfRule type="expression" dxfId="4232" priority="3705">
      <formula>$A22="Neutral Section"</formula>
    </cfRule>
    <cfRule type="expression" dxfId="4231" priority="3706">
      <formula>$A22="Tunnel"</formula>
    </cfRule>
    <cfRule type="expression" dxfId="4230" priority="3707">
      <formula>$A22="Bridge"</formula>
    </cfRule>
    <cfRule type="expression" dxfId="4229" priority="3708">
      <formula>$A22="Drainage Works"</formula>
    </cfRule>
    <cfRule type="expression" dxfId="4228" priority="3709">
      <formula>$A22="Underpass"</formula>
    </cfRule>
    <cfRule type="expression" dxfId="4227" priority="3710">
      <formula>$A22="Overcrossing"</formula>
    </cfRule>
    <cfRule type="expression" dxfId="4226" priority="3711">
      <formula>$A22="Overpass"</formula>
    </cfRule>
    <cfRule type="expression" dxfId="4225" priority="3712">
      <formula>$A22="Station"</formula>
    </cfRule>
    <cfRule type="expression" dxfId="4224" priority="3713">
      <formula>$A22="Overlap between sections"</formula>
    </cfRule>
  </conditionalFormatting>
  <conditionalFormatting sqref="V22:V32">
    <cfRule type="expression" dxfId="4223" priority="3692">
      <formula>$A22="Overhead Cable"</formula>
    </cfRule>
    <cfRule type="expression" dxfId="4222" priority="3693">
      <formula>$A22="Level Crossing"</formula>
    </cfRule>
    <cfRule type="expression" dxfId="4221" priority="3694">
      <formula>$A22="Neutral Section"</formula>
    </cfRule>
    <cfRule type="expression" dxfId="4220" priority="3695">
      <formula>$A22="Tunnel"</formula>
    </cfRule>
    <cfRule type="expression" dxfId="4219" priority="3696">
      <formula>$A22="Bridge"</formula>
    </cfRule>
    <cfRule type="expression" dxfId="4218" priority="3697">
      <formula>$A22="Drainage Works"</formula>
    </cfRule>
    <cfRule type="expression" dxfId="4217" priority="3698">
      <formula>$A22="Underpass"</formula>
    </cfRule>
    <cfRule type="expression" dxfId="4216" priority="3699">
      <formula>$A22="Overcrossing"</formula>
    </cfRule>
    <cfRule type="expression" dxfId="4215" priority="3700">
      <formula>$A22="Overpass"</formula>
    </cfRule>
    <cfRule type="expression" dxfId="4214" priority="3701">
      <formula>$A22="Station"</formula>
    </cfRule>
    <cfRule type="expression" dxfId="4213" priority="3702">
      <formula>$A22="Overlap between sections"</formula>
    </cfRule>
  </conditionalFormatting>
  <conditionalFormatting sqref="AF22:AF32">
    <cfRule type="expression" dxfId="4212" priority="3681">
      <formula>$A22="Overhead Cable"</formula>
    </cfRule>
    <cfRule type="expression" dxfId="4211" priority="3682">
      <formula>$A22="Level Crossing"</formula>
    </cfRule>
    <cfRule type="expression" dxfId="4210" priority="3683">
      <formula>$A22="Neutral Section"</formula>
    </cfRule>
    <cfRule type="expression" dxfId="4209" priority="3684">
      <formula>$A22="Tunnel"</formula>
    </cfRule>
    <cfRule type="expression" dxfId="4208" priority="3685">
      <formula>$A22="Bridge"</formula>
    </cfRule>
    <cfRule type="expression" dxfId="4207" priority="3686">
      <formula>$A22="Drainage Works"</formula>
    </cfRule>
    <cfRule type="expression" dxfId="4206" priority="3687">
      <formula>$A22="Underpass"</formula>
    </cfRule>
    <cfRule type="expression" dxfId="4205" priority="3688">
      <formula>$A22="Overcrossing"</formula>
    </cfRule>
    <cfRule type="expression" dxfId="4204" priority="3689">
      <formula>$A22="Overpass"</formula>
    </cfRule>
    <cfRule type="expression" dxfId="4203" priority="3690">
      <formula>$A22="Station"</formula>
    </cfRule>
    <cfRule type="expression" dxfId="4202" priority="3691">
      <formula>$A22="Overlap between sections"</formula>
    </cfRule>
  </conditionalFormatting>
  <conditionalFormatting sqref="AH22:AH32">
    <cfRule type="expression" dxfId="4201" priority="3670">
      <formula>$A22="Overhead Cable"</formula>
    </cfRule>
    <cfRule type="expression" dxfId="4200" priority="3671">
      <formula>$A22="Level Crossing"</formula>
    </cfRule>
    <cfRule type="expression" dxfId="4199" priority="3672">
      <formula>$A22="Neutral Section"</formula>
    </cfRule>
    <cfRule type="expression" dxfId="4198" priority="3673">
      <formula>$A22="Tunnel"</formula>
    </cfRule>
    <cfRule type="expression" dxfId="4197" priority="3674">
      <formula>$A22="Bridge"</formula>
    </cfRule>
    <cfRule type="expression" dxfId="4196" priority="3675">
      <formula>$A22="Drainage Works"</formula>
    </cfRule>
    <cfRule type="expression" dxfId="4195" priority="3676">
      <formula>$A22="Underpass"</formula>
    </cfRule>
    <cfRule type="expression" dxfId="4194" priority="3677">
      <formula>$A22="Overcrossing"</formula>
    </cfRule>
    <cfRule type="expression" dxfId="4193" priority="3678">
      <formula>$A22="Overpass"</formula>
    </cfRule>
    <cfRule type="expression" dxfId="4192" priority="3679">
      <formula>$A22="Station"</formula>
    </cfRule>
    <cfRule type="expression" dxfId="4191" priority="3680">
      <formula>$A22="Overlap between sections"</formula>
    </cfRule>
  </conditionalFormatting>
  <conditionalFormatting sqref="AI22:AI32">
    <cfRule type="expression" dxfId="4190" priority="3659">
      <formula>$A22="Overhead Cable"</formula>
    </cfRule>
    <cfRule type="expression" dxfId="4189" priority="3660">
      <formula>$A22="Level Crossing"</formula>
    </cfRule>
    <cfRule type="expression" dxfId="4188" priority="3661">
      <formula>$A22="Neutral Section"</formula>
    </cfRule>
    <cfRule type="expression" dxfId="4187" priority="3662">
      <formula>$A22="Tunnel"</formula>
    </cfRule>
    <cfRule type="expression" dxfId="4186" priority="3663">
      <formula>$A22="Bridge"</formula>
    </cfRule>
    <cfRule type="expression" dxfId="4185" priority="3664">
      <formula>$A22="Drainage Works"</formula>
    </cfRule>
    <cfRule type="expression" dxfId="4184" priority="3665">
      <formula>$A22="Underpass"</formula>
    </cfRule>
    <cfRule type="expression" dxfId="4183" priority="3666">
      <formula>$A22="Overcrossing"</formula>
    </cfRule>
    <cfRule type="expression" dxfId="4182" priority="3667">
      <formula>$A22="Overpass"</formula>
    </cfRule>
    <cfRule type="expression" dxfId="4181" priority="3668">
      <formula>$A22="Station"</formula>
    </cfRule>
    <cfRule type="expression" dxfId="4180" priority="3669">
      <formula>$A22="Overlap between sections"</formula>
    </cfRule>
  </conditionalFormatting>
  <conditionalFormatting sqref="R22:R32">
    <cfRule type="expression" dxfId="4179" priority="3648">
      <formula>$A22="Overhead Cable"</formula>
    </cfRule>
    <cfRule type="expression" dxfId="4178" priority="3649">
      <formula>$A22="Level Crossing"</formula>
    </cfRule>
    <cfRule type="expression" dxfId="4177" priority="3650">
      <formula>$A22="Neutral Section"</formula>
    </cfRule>
    <cfRule type="expression" dxfId="4176" priority="3651">
      <formula>$A22="Tunnel"</formula>
    </cfRule>
    <cfRule type="expression" dxfId="4175" priority="3652">
      <formula>$A22="Bridge"</formula>
    </cfRule>
    <cfRule type="expression" dxfId="4174" priority="3653">
      <formula>$A22="Drainage Works"</formula>
    </cfRule>
    <cfRule type="expression" dxfId="4173" priority="3654">
      <formula>$A22="Underpass"</formula>
    </cfRule>
    <cfRule type="expression" dxfId="4172" priority="3655">
      <formula>$A22="Overcrossing"</formula>
    </cfRule>
    <cfRule type="expression" dxfId="4171" priority="3656">
      <formula>$A22="Overpass"</formula>
    </cfRule>
    <cfRule type="expression" dxfId="4170" priority="3657">
      <formula>$A22="Station"</formula>
    </cfRule>
    <cfRule type="expression" dxfId="4169" priority="3658">
      <formula>$A22="Overlap between sections"</formula>
    </cfRule>
  </conditionalFormatting>
  <conditionalFormatting sqref="S22:S32">
    <cfRule type="expression" dxfId="4168" priority="3637">
      <formula>$A22="Overhead Cable"</formula>
    </cfRule>
    <cfRule type="expression" dxfId="4167" priority="3638">
      <formula>$A22="Level Crossing"</formula>
    </cfRule>
    <cfRule type="expression" dxfId="4166" priority="3639">
      <formula>$A22="Neutral Section"</formula>
    </cfRule>
    <cfRule type="expression" dxfId="4165" priority="3640">
      <formula>$A22="Tunnel"</formula>
    </cfRule>
    <cfRule type="expression" dxfId="4164" priority="3641">
      <formula>$A22="Bridge"</formula>
    </cfRule>
    <cfRule type="expression" dxfId="4163" priority="3642">
      <formula>$A22="Drainage Works"</formula>
    </cfRule>
    <cfRule type="expression" dxfId="4162" priority="3643">
      <formula>$A22="Underpass"</formula>
    </cfRule>
    <cfRule type="expression" dxfId="4161" priority="3644">
      <formula>$A22="Overcrossing"</formula>
    </cfRule>
    <cfRule type="expression" dxfId="4160" priority="3645">
      <formula>$A22="Overpass"</formula>
    </cfRule>
    <cfRule type="expression" dxfId="4159" priority="3646">
      <formula>$A22="Station"</formula>
    </cfRule>
    <cfRule type="expression" dxfId="4158" priority="3647">
      <formula>$A22="Overlap between sections"</formula>
    </cfRule>
  </conditionalFormatting>
  <conditionalFormatting sqref="W22 W32 W26:W30 W24">
    <cfRule type="expression" dxfId="4157" priority="3626">
      <formula>$A22="Overhead Cable"</formula>
    </cfRule>
    <cfRule type="expression" dxfId="4156" priority="3627">
      <formula>$A22="Level Crossing"</formula>
    </cfRule>
    <cfRule type="expression" dxfId="4155" priority="3628">
      <formula>$A22="Neutral Section"</formula>
    </cfRule>
    <cfRule type="expression" dxfId="4154" priority="3629">
      <formula>$A22="Tunnel"</formula>
    </cfRule>
    <cfRule type="expression" dxfId="4153" priority="3630">
      <formula>$A22="Bridge"</formula>
    </cfRule>
    <cfRule type="expression" dxfId="4152" priority="3631">
      <formula>$A22="Drainage Works"</formula>
    </cfRule>
    <cfRule type="expression" dxfId="4151" priority="3632">
      <formula>$A22="Underpass"</formula>
    </cfRule>
    <cfRule type="expression" dxfId="4150" priority="3633">
      <formula>$A22="Overcrossing"</formula>
    </cfRule>
    <cfRule type="expression" dxfId="4149" priority="3634">
      <formula>$A22="Overpass"</formula>
    </cfRule>
    <cfRule type="expression" dxfId="4148" priority="3635">
      <formula>$A22="Station"</formula>
    </cfRule>
    <cfRule type="expression" dxfId="4147" priority="3636">
      <formula>$A22="Overlap between sections"</formula>
    </cfRule>
  </conditionalFormatting>
  <conditionalFormatting sqref="X22:X32">
    <cfRule type="expression" dxfId="4146" priority="3615">
      <formula>$A22="Overhead Cable"</formula>
    </cfRule>
    <cfRule type="expression" dxfId="4145" priority="3616">
      <formula>$A22="Level Crossing"</formula>
    </cfRule>
    <cfRule type="expression" dxfId="4144" priority="3617">
      <formula>$A22="Neutral Section"</formula>
    </cfRule>
    <cfRule type="expression" dxfId="4143" priority="3618">
      <formula>$A22="Tunnel"</formula>
    </cfRule>
    <cfRule type="expression" dxfId="4142" priority="3619">
      <formula>$A22="Bridge"</formula>
    </cfRule>
    <cfRule type="expression" dxfId="4141" priority="3620">
      <formula>$A22="Drainage Works"</formula>
    </cfRule>
    <cfRule type="expression" dxfId="4140" priority="3621">
      <formula>$A22="Underpass"</formula>
    </cfRule>
    <cfRule type="expression" dxfId="4139" priority="3622">
      <formula>$A22="Overcrossing"</formula>
    </cfRule>
    <cfRule type="expression" dxfId="4138" priority="3623">
      <formula>$A22="Overpass"</formula>
    </cfRule>
    <cfRule type="expression" dxfId="4137" priority="3624">
      <formula>$A22="Station"</formula>
    </cfRule>
    <cfRule type="expression" dxfId="4136" priority="3625">
      <formula>$A22="Overlap between sections"</formula>
    </cfRule>
  </conditionalFormatting>
  <conditionalFormatting sqref="Y22:Y32">
    <cfRule type="expression" dxfId="4135" priority="3604">
      <formula>$A22="Overhead Cable"</formula>
    </cfRule>
    <cfRule type="expression" dxfId="4134" priority="3605">
      <formula>$A22="Level Crossing"</formula>
    </cfRule>
    <cfRule type="expression" dxfId="4133" priority="3606">
      <formula>$A22="Neutral Section"</formula>
    </cfRule>
    <cfRule type="expression" dxfId="4132" priority="3607">
      <formula>$A22="Tunnel"</formula>
    </cfRule>
    <cfRule type="expression" dxfId="4131" priority="3608">
      <formula>$A22="Bridge"</formula>
    </cfRule>
    <cfRule type="expression" dxfId="4130" priority="3609">
      <formula>$A22="Drainage Works"</formula>
    </cfRule>
    <cfRule type="expression" dxfId="4129" priority="3610">
      <formula>$A22="Underpass"</formula>
    </cfRule>
    <cfRule type="expression" dxfId="4128" priority="3611">
      <formula>$A22="Overcrossing"</formula>
    </cfRule>
    <cfRule type="expression" dxfId="4127" priority="3612">
      <formula>$A22="Overpass"</formula>
    </cfRule>
    <cfRule type="expression" dxfId="4126" priority="3613">
      <formula>$A22="Station"</formula>
    </cfRule>
    <cfRule type="expression" dxfId="4125" priority="3614">
      <formula>$A22="Overlap between sections"</formula>
    </cfRule>
  </conditionalFormatting>
  <conditionalFormatting sqref="Z22:Z32">
    <cfRule type="expression" dxfId="4124" priority="3593">
      <formula>$A22="Overhead Cable"</formula>
    </cfRule>
    <cfRule type="expression" dxfId="4123" priority="3594">
      <formula>$A22="Level Crossing"</formula>
    </cfRule>
    <cfRule type="expression" dxfId="4122" priority="3595">
      <formula>$A22="Neutral Section"</formula>
    </cfRule>
    <cfRule type="expression" dxfId="4121" priority="3596">
      <formula>$A22="Tunnel"</formula>
    </cfRule>
    <cfRule type="expression" dxfId="4120" priority="3597">
      <formula>$A22="Bridge"</formula>
    </cfRule>
    <cfRule type="expression" dxfId="4119" priority="3598">
      <formula>$A22="Drainage Works"</formula>
    </cfRule>
    <cfRule type="expression" dxfId="4118" priority="3599">
      <formula>$A22="Underpass"</formula>
    </cfRule>
    <cfRule type="expression" dxfId="4117" priority="3600">
      <formula>$A22="Overcrossing"</formula>
    </cfRule>
    <cfRule type="expression" dxfId="4116" priority="3601">
      <formula>$A22="Overpass"</formula>
    </cfRule>
    <cfRule type="expression" dxfId="4115" priority="3602">
      <formula>$A22="Station"</formula>
    </cfRule>
    <cfRule type="expression" dxfId="4114" priority="3603">
      <formula>$A22="Overlap between sections"</formula>
    </cfRule>
  </conditionalFormatting>
  <conditionalFormatting sqref="AA22:AA32">
    <cfRule type="expression" dxfId="4113" priority="3582">
      <formula>$A22="Overhead Cable"</formula>
    </cfRule>
    <cfRule type="expression" dxfId="4112" priority="3583">
      <formula>$A22="Level Crossing"</formula>
    </cfRule>
    <cfRule type="expression" dxfId="4111" priority="3584">
      <formula>$A22="Neutral Section"</formula>
    </cfRule>
    <cfRule type="expression" dxfId="4110" priority="3585">
      <formula>$A22="Tunnel"</formula>
    </cfRule>
    <cfRule type="expression" dxfId="4109" priority="3586">
      <formula>$A22="Bridge"</formula>
    </cfRule>
    <cfRule type="expression" dxfId="4108" priority="3587">
      <formula>$A22="Drainage Works"</formula>
    </cfRule>
    <cfRule type="expression" dxfId="4107" priority="3588">
      <formula>$A22="Underpass"</formula>
    </cfRule>
    <cfRule type="expression" dxfId="4106" priority="3589">
      <formula>$A22="Overcrossing"</formula>
    </cfRule>
    <cfRule type="expression" dxfId="4105" priority="3590">
      <formula>$A22="Overpass"</formula>
    </cfRule>
    <cfRule type="expression" dxfId="4104" priority="3591">
      <formula>$A22="Station"</formula>
    </cfRule>
    <cfRule type="expression" dxfId="4103" priority="3592">
      <formula>$A22="Overlap between sections"</formula>
    </cfRule>
  </conditionalFormatting>
  <conditionalFormatting sqref="AB22:AB32">
    <cfRule type="expression" dxfId="4102" priority="3571">
      <formula>$A22="Overhead Cable"</formula>
    </cfRule>
    <cfRule type="expression" dxfId="4101" priority="3572">
      <formula>$A22="Level Crossing"</formula>
    </cfRule>
    <cfRule type="expression" dxfId="4100" priority="3573">
      <formula>$A22="Neutral Section"</formula>
    </cfRule>
    <cfRule type="expression" dxfId="4099" priority="3574">
      <formula>$A22="Tunnel"</formula>
    </cfRule>
    <cfRule type="expression" dxfId="4098" priority="3575">
      <formula>$A22="Bridge"</formula>
    </cfRule>
    <cfRule type="expression" dxfId="4097" priority="3576">
      <formula>$A22="Drainage Works"</formula>
    </cfRule>
    <cfRule type="expression" dxfId="4096" priority="3577">
      <formula>$A22="Underpass"</formula>
    </cfRule>
    <cfRule type="expression" dxfId="4095" priority="3578">
      <formula>$A22="Overcrossing"</formula>
    </cfRule>
    <cfRule type="expression" dxfId="4094" priority="3579">
      <formula>$A22="Overpass"</formula>
    </cfRule>
    <cfRule type="expression" dxfId="4093" priority="3580">
      <formula>$A22="Station"</formula>
    </cfRule>
    <cfRule type="expression" dxfId="4092" priority="3581">
      <formula>$A22="Overlap between sections"</formula>
    </cfRule>
  </conditionalFormatting>
  <conditionalFormatting sqref="BE5:BE67">
    <cfRule type="containsText" dxfId="4091" priority="3568" operator="containsText" text="a">
      <formula>NOT(ISERROR(SEARCH("a",BE5)))</formula>
    </cfRule>
    <cfRule type="containsText" dxfId="4090" priority="3569" operator="containsText" text="R">
      <formula>NOT(ISERROR(SEARCH("R",BE5)))</formula>
    </cfRule>
  </conditionalFormatting>
  <conditionalFormatting sqref="BD22 BD24 BD26 BD28 BD30 BD32 BD34 BD36 BD38 BD40">
    <cfRule type="containsText" dxfId="4089" priority="3567" operator="containsText" text="Poner a mano">
      <formula>NOT(ISERROR(SEARCH("Poner a mano",BD22)))</formula>
    </cfRule>
  </conditionalFormatting>
  <conditionalFormatting sqref="AW44">
    <cfRule type="expression" dxfId="4088" priority="3564">
      <formula>$M44="NON DEFINED"</formula>
    </cfRule>
    <cfRule type="expression" dxfId="4087" priority="3565">
      <formula>$AZ44="N.D."</formula>
    </cfRule>
    <cfRule type="expression" dxfId="4086" priority="3566">
      <formula>$AY44="N.D."</formula>
    </cfRule>
  </conditionalFormatting>
  <conditionalFormatting sqref="AW44">
    <cfRule type="expression" dxfId="4085" priority="3553">
      <formula>$A44="Overhead Cable"</formula>
    </cfRule>
    <cfRule type="expression" dxfId="4084" priority="3554">
      <formula>$A44="Level Crossing"</formula>
    </cfRule>
    <cfRule type="expression" dxfId="4083" priority="3555">
      <formula>$A44="Neutral Section"</formula>
    </cfRule>
    <cfRule type="expression" dxfId="4082" priority="3556">
      <formula>$A44="Tunnel"</formula>
    </cfRule>
    <cfRule type="expression" dxfId="4081" priority="3557">
      <formula>$A44="Bridge"</formula>
    </cfRule>
    <cfRule type="expression" dxfId="4080" priority="3558">
      <formula>$A44="Drainage Works"</formula>
    </cfRule>
    <cfRule type="expression" dxfId="4079" priority="3559">
      <formula>$A44="Underpass"</formula>
    </cfRule>
    <cfRule type="expression" dxfId="4078" priority="3560">
      <formula>$A44="Overcrossing"</formula>
    </cfRule>
    <cfRule type="expression" dxfId="4077" priority="3561">
      <formula>$A44="Overpass"</formula>
    </cfRule>
    <cfRule type="expression" dxfId="4076" priority="3562">
      <formula>$A44="Station"</formula>
    </cfRule>
    <cfRule type="expression" dxfId="4075" priority="3563">
      <formula>$A44="Overlap between sections"</formula>
    </cfRule>
  </conditionalFormatting>
  <conditionalFormatting sqref="AX44">
    <cfRule type="expression" dxfId="4074" priority="3550">
      <formula>$M44="NON DEFINED"</formula>
    </cfRule>
    <cfRule type="expression" dxfId="4073" priority="3551">
      <formula>$AZ44="N.D."</formula>
    </cfRule>
    <cfRule type="expression" dxfId="4072" priority="3552">
      <formula>$AY44="N.D."</formula>
    </cfRule>
  </conditionalFormatting>
  <conditionalFormatting sqref="AX44">
    <cfRule type="expression" dxfId="4071" priority="3539">
      <formula>$A44="Overhead Cable"</formula>
    </cfRule>
    <cfRule type="expression" dxfId="4070" priority="3540">
      <formula>$A44="Level Crossing"</formula>
    </cfRule>
    <cfRule type="expression" dxfId="4069" priority="3541">
      <formula>$A44="Neutral Section"</formula>
    </cfRule>
    <cfRule type="expression" dxfId="4068" priority="3542">
      <formula>$A44="Tunnel"</formula>
    </cfRule>
    <cfRule type="expression" dxfId="4067" priority="3543">
      <formula>$A44="Bridge"</formula>
    </cfRule>
    <cfRule type="expression" dxfId="4066" priority="3544">
      <formula>$A44="Drainage Works"</formula>
    </cfRule>
    <cfRule type="expression" dxfId="4065" priority="3545">
      <formula>$A44="Underpass"</formula>
    </cfRule>
    <cfRule type="expression" dxfId="4064" priority="3546">
      <formula>$A44="Overcrossing"</formula>
    </cfRule>
    <cfRule type="expression" dxfId="4063" priority="3547">
      <formula>$A44="Overpass"</formula>
    </cfRule>
    <cfRule type="expression" dxfId="4062" priority="3548">
      <formula>$A44="Station"</formula>
    </cfRule>
    <cfRule type="expression" dxfId="4061" priority="3549">
      <formula>$A44="Overlap between sections"</formula>
    </cfRule>
  </conditionalFormatting>
  <conditionalFormatting sqref="AW46:AW62">
    <cfRule type="expression" dxfId="4060" priority="3536">
      <formula>$M46="NON DEFINED"</formula>
    </cfRule>
    <cfRule type="expression" dxfId="4059" priority="3537">
      <formula>$AZ46="N.D."</formula>
    </cfRule>
    <cfRule type="expression" dxfId="4058" priority="3538">
      <formula>$AY46="N.D."</formula>
    </cfRule>
  </conditionalFormatting>
  <conditionalFormatting sqref="AW46:AW62">
    <cfRule type="expression" dxfId="4057" priority="3525">
      <formula>$A46="Overhead Cable"</formula>
    </cfRule>
    <cfRule type="expression" dxfId="4056" priority="3526">
      <formula>$A46="Level Crossing"</formula>
    </cfRule>
    <cfRule type="expression" dxfId="4055" priority="3527">
      <formula>$A46="Neutral Section"</formula>
    </cfRule>
    <cfRule type="expression" dxfId="4054" priority="3528">
      <formula>$A46="Tunnel"</formula>
    </cfRule>
    <cfRule type="expression" dxfId="4053" priority="3529">
      <formula>$A46="Bridge"</formula>
    </cfRule>
    <cfRule type="expression" dxfId="4052" priority="3530">
      <formula>$A46="Drainage Works"</formula>
    </cfRule>
    <cfRule type="expression" dxfId="4051" priority="3531">
      <formula>$A46="Underpass"</formula>
    </cfRule>
    <cfRule type="expression" dxfId="4050" priority="3532">
      <formula>$A46="Overcrossing"</formula>
    </cfRule>
    <cfRule type="expression" dxfId="4049" priority="3533">
      <formula>$A46="Overpass"</formula>
    </cfRule>
    <cfRule type="expression" dxfId="4048" priority="3534">
      <formula>$A46="Station"</formula>
    </cfRule>
    <cfRule type="expression" dxfId="4047" priority="3535">
      <formula>$A46="Overlap between sections"</formula>
    </cfRule>
  </conditionalFormatting>
  <conditionalFormatting sqref="AX46:AX62">
    <cfRule type="expression" dxfId="4046" priority="3522">
      <formula>$M46="NON DEFINED"</formula>
    </cfRule>
    <cfRule type="expression" dxfId="4045" priority="3523">
      <formula>$AZ46="N.D."</formula>
    </cfRule>
    <cfRule type="expression" dxfId="4044" priority="3524">
      <formula>$AY46="N.D."</formula>
    </cfRule>
  </conditionalFormatting>
  <conditionalFormatting sqref="AX46:AX62">
    <cfRule type="expression" dxfId="4043" priority="3511">
      <formula>$A46="Overhead Cable"</formula>
    </cfRule>
    <cfRule type="expression" dxfId="4042" priority="3512">
      <formula>$A46="Level Crossing"</formula>
    </cfRule>
    <cfRule type="expression" dxfId="4041" priority="3513">
      <formula>$A46="Neutral Section"</formula>
    </cfRule>
    <cfRule type="expression" dxfId="4040" priority="3514">
      <formula>$A46="Tunnel"</formula>
    </cfRule>
    <cfRule type="expression" dxfId="4039" priority="3515">
      <formula>$A46="Bridge"</formula>
    </cfRule>
    <cfRule type="expression" dxfId="4038" priority="3516">
      <formula>$A46="Drainage Works"</formula>
    </cfRule>
    <cfRule type="expression" dxfId="4037" priority="3517">
      <formula>$A46="Underpass"</formula>
    </cfRule>
    <cfRule type="expression" dxfId="4036" priority="3518">
      <formula>$A46="Overcrossing"</formula>
    </cfRule>
    <cfRule type="expression" dxfId="4035" priority="3519">
      <formula>$A46="Overpass"</formula>
    </cfRule>
    <cfRule type="expression" dxfId="4034" priority="3520">
      <formula>$A46="Station"</formula>
    </cfRule>
    <cfRule type="expression" dxfId="4033" priority="3521">
      <formula>$A46="Overlap between sections"</formula>
    </cfRule>
  </conditionalFormatting>
  <conditionalFormatting sqref="BC22:BC63">
    <cfRule type="expression" dxfId="4032" priority="3508">
      <formula>$M22="U.S. N.D."</formula>
    </cfRule>
  </conditionalFormatting>
  <conditionalFormatting sqref="BB22:BB63">
    <cfRule type="expression" dxfId="4031" priority="3506">
      <formula>$AZ22="N.D."</formula>
    </cfRule>
  </conditionalFormatting>
  <conditionalFormatting sqref="BA22:BA63">
    <cfRule type="expression" dxfId="4030" priority="3507">
      <formula>$AY22="N.D."</formula>
    </cfRule>
  </conditionalFormatting>
  <conditionalFormatting sqref="AM46:AM62">
    <cfRule type="expression" dxfId="4029" priority="3489">
      <formula>$M46="NON DEFINED"</formula>
    </cfRule>
    <cfRule type="expression" dxfId="4028" priority="3490">
      <formula>$AZ46="N.D."</formula>
    </cfRule>
    <cfRule type="expression" dxfId="4027" priority="3491">
      <formula>$AY46="N.D."</formula>
    </cfRule>
  </conditionalFormatting>
  <conditionalFormatting sqref="AM46:AM62">
    <cfRule type="expression" dxfId="4026" priority="3478">
      <formula>$A46="Overhead Cable"</formula>
    </cfRule>
    <cfRule type="expression" dxfId="4025" priority="3479">
      <formula>$A46="Level Crossing"</formula>
    </cfRule>
    <cfRule type="expression" dxfId="4024" priority="3480">
      <formula>$A46="Neutral Section"</formula>
    </cfRule>
    <cfRule type="expression" dxfId="4023" priority="3481">
      <formula>$A46="Tunnel"</formula>
    </cfRule>
    <cfRule type="expression" dxfId="4022" priority="3482">
      <formula>$A46="Bridge"</formula>
    </cfRule>
    <cfRule type="expression" dxfId="4021" priority="3483">
      <formula>$A46="Drainage Works"</formula>
    </cfRule>
    <cfRule type="expression" dxfId="4020" priority="3484">
      <formula>$A46="Underpass"</formula>
    </cfRule>
    <cfRule type="expression" dxfId="4019" priority="3485">
      <formula>$A46="Overcrossing"</formula>
    </cfRule>
    <cfRule type="expression" dxfId="4018" priority="3486">
      <formula>$A46="Overpass"</formula>
    </cfRule>
    <cfRule type="expression" dxfId="4017" priority="3487">
      <formula>$A46="Station"</formula>
    </cfRule>
    <cfRule type="expression" dxfId="4016" priority="3488">
      <formula>$A46="Overlap between sections"</formula>
    </cfRule>
  </conditionalFormatting>
  <conditionalFormatting sqref="AG18:AG21 AZ18:AZ21 J18:J21 AN18:AS21 G18:H21 C18:E21">
    <cfRule type="expression" dxfId="4015" priority="3366">
      <formula>$M18="NON DEFINED"</formula>
    </cfRule>
    <cfRule type="expression" dxfId="4014" priority="3367">
      <formula>$AZ18="N.D."</formula>
    </cfRule>
    <cfRule type="expression" dxfId="4013" priority="3368">
      <formula>$AY18="N.D."</formula>
    </cfRule>
  </conditionalFormatting>
  <conditionalFormatting sqref="AY18:AY21">
    <cfRule type="expression" dxfId="4012" priority="3363">
      <formula>$M18="NON DEFINED"</formula>
    </cfRule>
    <cfRule type="expression" dxfId="4011" priority="3364">
      <formula>$AZ18="N.D."</formula>
    </cfRule>
    <cfRule type="expression" dxfId="4010" priority="3365">
      <formula>$AY18="N.D."</formula>
    </cfRule>
  </conditionalFormatting>
  <conditionalFormatting sqref="J18:J21 AG18:AG21 AN18:AS21 G18:H21 A18:A21 AY18:AZ21 C18:E21">
    <cfRule type="expression" dxfId="4009" priority="3352">
      <formula>$A18="Overhead Cable"</formula>
    </cfRule>
    <cfRule type="expression" dxfId="4008" priority="3353">
      <formula>$A18="Level Crossing"</formula>
    </cfRule>
    <cfRule type="expression" dxfId="4007" priority="3354">
      <formula>$A18="Neutral Section"</formula>
    </cfRule>
    <cfRule type="expression" dxfId="4006" priority="3355">
      <formula>$A18="Tunnel"</formula>
    </cfRule>
    <cfRule type="expression" dxfId="4005" priority="3356">
      <formula>$A18="Bridge"</formula>
    </cfRule>
    <cfRule type="expression" dxfId="4004" priority="3357">
      <formula>$A18="Drainage Works"</formula>
    </cfRule>
    <cfRule type="expression" dxfId="4003" priority="3358">
      <formula>$A18="Underpass"</formula>
    </cfRule>
    <cfRule type="expression" dxfId="4002" priority="3359">
      <formula>$A18="Overcrossing"</formula>
    </cfRule>
    <cfRule type="expression" dxfId="4001" priority="3360">
      <formula>$A18="Overpass"</formula>
    </cfRule>
    <cfRule type="expression" dxfId="4000" priority="3361">
      <formula>$A18="Station"</formula>
    </cfRule>
    <cfRule type="expression" dxfId="3999" priority="3362">
      <formula>$A18="Overlap between sections"</formula>
    </cfRule>
  </conditionalFormatting>
  <conditionalFormatting sqref="AN18:AP21">
    <cfRule type="cellIs" dxfId="3998" priority="3351" operator="notEqual">
      <formula>5.5</formula>
    </cfRule>
  </conditionalFormatting>
  <conditionalFormatting sqref="I18:I21">
    <cfRule type="expression" dxfId="3997" priority="3347">
      <formula>$M18="NON DEFINED"</formula>
    </cfRule>
    <cfRule type="expression" dxfId="3996" priority="3348">
      <formula>$AZ18="N.D."</formula>
    </cfRule>
    <cfRule type="expression" dxfId="3995" priority="3349">
      <formula>$AY18="N.D."</formula>
    </cfRule>
  </conditionalFormatting>
  <conditionalFormatting sqref="I18:I21">
    <cfRule type="expression" dxfId="3994" priority="3336">
      <formula>$A18="Overhead Cable"</formula>
    </cfRule>
    <cfRule type="expression" dxfId="3993" priority="3337">
      <formula>$A18="Level Crossing"</formula>
    </cfRule>
    <cfRule type="expression" dxfId="3992" priority="3338">
      <formula>$A18="Neutral Section"</formula>
    </cfRule>
    <cfRule type="expression" dxfId="3991" priority="3339">
      <formula>$A18="Tunnel"</formula>
    </cfRule>
    <cfRule type="expression" dxfId="3990" priority="3340">
      <formula>$A18="Bridge"</formula>
    </cfRule>
    <cfRule type="expression" dxfId="3989" priority="3341">
      <formula>$A18="Drainage Works"</formula>
    </cfRule>
    <cfRule type="expression" dxfId="3988" priority="3342">
      <formula>$A18="Underpass"</formula>
    </cfRule>
    <cfRule type="expression" dxfId="3987" priority="3343">
      <formula>$A18="Overcrossing"</formula>
    </cfRule>
    <cfRule type="expression" dxfId="3986" priority="3344">
      <formula>$A18="Overpass"</formula>
    </cfRule>
    <cfRule type="expression" dxfId="3985" priority="3345">
      <formula>$A18="Station"</formula>
    </cfRule>
    <cfRule type="expression" dxfId="3984" priority="3346">
      <formula>$A18="Overlap between sections"</formula>
    </cfRule>
  </conditionalFormatting>
  <conditionalFormatting sqref="K18:K21">
    <cfRule type="expression" dxfId="3983" priority="3333">
      <formula>$M18="NON DEFINED"</formula>
    </cfRule>
    <cfRule type="expression" dxfId="3982" priority="3334">
      <formula>$AZ18="N.D."</formula>
    </cfRule>
    <cfRule type="expression" dxfId="3981" priority="3335">
      <formula>$AY18="N.D."</formula>
    </cfRule>
  </conditionalFormatting>
  <conditionalFormatting sqref="K18:K21">
    <cfRule type="expression" dxfId="3980" priority="3322">
      <formula>$A18="Overhead Cable"</formula>
    </cfRule>
    <cfRule type="expression" dxfId="3979" priority="3323">
      <formula>$A18="Level Crossing"</formula>
    </cfRule>
    <cfRule type="expression" dxfId="3978" priority="3324">
      <formula>$A18="Neutral Section"</formula>
    </cfRule>
    <cfRule type="expression" dxfId="3977" priority="3325">
      <formula>$A18="Tunnel"</formula>
    </cfRule>
    <cfRule type="expression" dxfId="3976" priority="3326">
      <formula>$A18="Bridge"</formula>
    </cfRule>
    <cfRule type="expression" dxfId="3975" priority="3327">
      <formula>$A18="Drainage Works"</formula>
    </cfRule>
    <cfRule type="expression" dxfId="3974" priority="3328">
      <formula>$A18="Underpass"</formula>
    </cfRule>
    <cfRule type="expression" dxfId="3973" priority="3329">
      <formula>$A18="Overcrossing"</formula>
    </cfRule>
    <cfRule type="expression" dxfId="3972" priority="3330">
      <formula>$A18="Overpass"</formula>
    </cfRule>
    <cfRule type="expression" dxfId="3971" priority="3331">
      <formula>$A18="Station"</formula>
    </cfRule>
    <cfRule type="expression" dxfId="3970" priority="3332">
      <formula>$A18="Overlap between sections"</formula>
    </cfRule>
  </conditionalFormatting>
  <conditionalFormatting sqref="L18:L21">
    <cfRule type="expression" dxfId="3969" priority="3319">
      <formula>$M18="NON DEFINED"</formula>
    </cfRule>
    <cfRule type="expression" dxfId="3968" priority="3320">
      <formula>$AZ18="N.D."</formula>
    </cfRule>
    <cfRule type="expression" dxfId="3967" priority="3321">
      <formula>$AY18="N.D."</formula>
    </cfRule>
  </conditionalFormatting>
  <conditionalFormatting sqref="L18:L21">
    <cfRule type="expression" dxfId="3966" priority="3308">
      <formula>$A18="Overhead Cable"</formula>
    </cfRule>
    <cfRule type="expression" dxfId="3965" priority="3309">
      <formula>$A18="Level Crossing"</formula>
    </cfRule>
    <cfRule type="expression" dxfId="3964" priority="3310">
      <formula>$A18="Neutral Section"</formula>
    </cfRule>
    <cfRule type="expression" dxfId="3963" priority="3311">
      <formula>$A18="Tunnel"</formula>
    </cfRule>
    <cfRule type="expression" dxfId="3962" priority="3312">
      <formula>$A18="Bridge"</formula>
    </cfRule>
    <cfRule type="expression" dxfId="3961" priority="3313">
      <formula>$A18="Drainage Works"</formula>
    </cfRule>
    <cfRule type="expression" dxfId="3960" priority="3314">
      <formula>$A18="Underpass"</formula>
    </cfRule>
    <cfRule type="expression" dxfId="3959" priority="3315">
      <formula>$A18="Overcrossing"</formula>
    </cfRule>
    <cfRule type="expression" dxfId="3958" priority="3316">
      <formula>$A18="Overpass"</formula>
    </cfRule>
    <cfRule type="expression" dxfId="3957" priority="3317">
      <formula>$A18="Station"</formula>
    </cfRule>
    <cfRule type="expression" dxfId="3956" priority="3318">
      <formula>$A18="Overlap between sections"</formula>
    </cfRule>
  </conditionalFormatting>
  <conditionalFormatting sqref="M18:M21">
    <cfRule type="expression" dxfId="3955" priority="3305">
      <formula>$M18="NON DEFINED"</formula>
    </cfRule>
    <cfRule type="expression" dxfId="3954" priority="3306">
      <formula>$AZ18="N.D."</formula>
    </cfRule>
    <cfRule type="expression" dxfId="3953" priority="3307">
      <formula>$AY18="N.D."</formula>
    </cfRule>
  </conditionalFormatting>
  <conditionalFormatting sqref="M18:M21">
    <cfRule type="expression" dxfId="3952" priority="3294">
      <formula>$A18="Overhead Cable"</formula>
    </cfRule>
    <cfRule type="expression" dxfId="3951" priority="3295">
      <formula>$A18="Level Crossing"</formula>
    </cfRule>
    <cfRule type="expression" dxfId="3950" priority="3296">
      <formula>$A18="Neutral Section"</formula>
    </cfRule>
    <cfRule type="expression" dxfId="3949" priority="3297">
      <formula>$A18="Tunnel"</formula>
    </cfRule>
    <cfRule type="expression" dxfId="3948" priority="3298">
      <formula>$A18="Bridge"</formula>
    </cfRule>
    <cfRule type="expression" dxfId="3947" priority="3299">
      <formula>$A18="Drainage Works"</formula>
    </cfRule>
    <cfRule type="expression" dxfId="3946" priority="3300">
      <formula>$A18="Underpass"</formula>
    </cfRule>
    <cfRule type="expression" dxfId="3945" priority="3301">
      <formula>$A18="Overcrossing"</formula>
    </cfRule>
    <cfRule type="expression" dxfId="3944" priority="3302">
      <formula>$A18="Overpass"</formula>
    </cfRule>
    <cfRule type="expression" dxfId="3943" priority="3303">
      <formula>$A18="Station"</formula>
    </cfRule>
    <cfRule type="expression" dxfId="3942" priority="3304">
      <formula>$A18="Overlap between sections"</formula>
    </cfRule>
  </conditionalFormatting>
  <conditionalFormatting sqref="N18:N21">
    <cfRule type="expression" dxfId="3941" priority="3291">
      <formula>$M18="NON DEFINED"</formula>
    </cfRule>
    <cfRule type="expression" dxfId="3940" priority="3292">
      <formula>$AZ18="N.D."</formula>
    </cfRule>
    <cfRule type="expression" dxfId="3939" priority="3293">
      <formula>$AY18="N.D."</formula>
    </cfRule>
  </conditionalFormatting>
  <conditionalFormatting sqref="N18:N21">
    <cfRule type="expression" dxfId="3938" priority="3280">
      <formula>$A18="Overhead Cable"</formula>
    </cfRule>
    <cfRule type="expression" dxfId="3937" priority="3281">
      <formula>$A18="Level Crossing"</formula>
    </cfRule>
    <cfRule type="expression" dxfId="3936" priority="3282">
      <formula>$A18="Neutral Section"</formula>
    </cfRule>
    <cfRule type="expression" dxfId="3935" priority="3283">
      <formula>$A18="Tunnel"</formula>
    </cfRule>
    <cfRule type="expression" dxfId="3934" priority="3284">
      <formula>$A18="Bridge"</formula>
    </cfRule>
    <cfRule type="expression" dxfId="3933" priority="3285">
      <formula>$A18="Drainage Works"</formula>
    </cfRule>
    <cfRule type="expression" dxfId="3932" priority="3286">
      <formula>$A18="Underpass"</formula>
    </cfRule>
    <cfRule type="expression" dxfId="3931" priority="3287">
      <formula>$A18="Overcrossing"</formula>
    </cfRule>
    <cfRule type="expression" dxfId="3930" priority="3288">
      <formula>$A18="Overpass"</formula>
    </cfRule>
    <cfRule type="expression" dxfId="3929" priority="3289">
      <formula>$A18="Station"</formula>
    </cfRule>
    <cfRule type="expression" dxfId="3928" priority="3290">
      <formula>$A18="Overlap between sections"</formula>
    </cfRule>
  </conditionalFormatting>
  <conditionalFormatting sqref="O18:O21">
    <cfRule type="expression" dxfId="3927" priority="3277">
      <formula>$M18="NON DEFINED"</formula>
    </cfRule>
    <cfRule type="expression" dxfId="3926" priority="3278">
      <formula>$AZ18="N.D."</formula>
    </cfRule>
    <cfRule type="expression" dxfId="3925" priority="3279">
      <formula>$AY18="N.D."</formula>
    </cfRule>
  </conditionalFormatting>
  <conditionalFormatting sqref="O18:O21">
    <cfRule type="expression" dxfId="3924" priority="3266">
      <formula>$A18="Overhead Cable"</formula>
    </cfRule>
    <cfRule type="expression" dxfId="3923" priority="3267">
      <formula>$A18="Level Crossing"</formula>
    </cfRule>
    <cfRule type="expression" dxfId="3922" priority="3268">
      <formula>$A18="Neutral Section"</formula>
    </cfRule>
    <cfRule type="expression" dxfId="3921" priority="3269">
      <formula>$A18="Tunnel"</formula>
    </cfRule>
    <cfRule type="expression" dxfId="3920" priority="3270">
      <formula>$A18="Bridge"</formula>
    </cfRule>
    <cfRule type="expression" dxfId="3919" priority="3271">
      <formula>$A18="Drainage Works"</formula>
    </cfRule>
    <cfRule type="expression" dxfId="3918" priority="3272">
      <formula>$A18="Underpass"</formula>
    </cfRule>
    <cfRule type="expression" dxfId="3917" priority="3273">
      <formula>$A18="Overcrossing"</formula>
    </cfRule>
    <cfRule type="expression" dxfId="3916" priority="3274">
      <formula>$A18="Overpass"</formula>
    </cfRule>
    <cfRule type="expression" dxfId="3915" priority="3275">
      <formula>$A18="Station"</formula>
    </cfRule>
    <cfRule type="expression" dxfId="3914" priority="3276">
      <formula>$A18="Overlap between sections"</formula>
    </cfRule>
  </conditionalFormatting>
  <conditionalFormatting sqref="P18:P21">
    <cfRule type="expression" dxfId="3913" priority="3263">
      <formula>$M18="NON DEFINED"</formula>
    </cfRule>
    <cfRule type="expression" dxfId="3912" priority="3264">
      <formula>$AZ18="N.D."</formula>
    </cfRule>
    <cfRule type="expression" dxfId="3911" priority="3265">
      <formula>$AY18="N.D."</formula>
    </cfRule>
  </conditionalFormatting>
  <conditionalFormatting sqref="P18:P21">
    <cfRule type="expression" dxfId="3910" priority="3252">
      <formula>$A18="Overhead Cable"</formula>
    </cfRule>
    <cfRule type="expression" dxfId="3909" priority="3253">
      <formula>$A18="Level Crossing"</formula>
    </cfRule>
    <cfRule type="expression" dxfId="3908" priority="3254">
      <formula>$A18="Neutral Section"</formula>
    </cfRule>
    <cfRule type="expression" dxfId="3907" priority="3255">
      <formula>$A18="Tunnel"</formula>
    </cfRule>
    <cfRule type="expression" dxfId="3906" priority="3256">
      <formula>$A18="Bridge"</formula>
    </cfRule>
    <cfRule type="expression" dxfId="3905" priority="3257">
      <formula>$A18="Drainage Works"</formula>
    </cfRule>
    <cfRule type="expression" dxfId="3904" priority="3258">
      <formula>$A18="Underpass"</formula>
    </cfRule>
    <cfRule type="expression" dxfId="3903" priority="3259">
      <formula>$A18="Overcrossing"</formula>
    </cfRule>
    <cfRule type="expression" dxfId="3902" priority="3260">
      <formula>$A18="Overpass"</formula>
    </cfRule>
    <cfRule type="expression" dxfId="3901" priority="3261">
      <formula>$A18="Station"</formula>
    </cfRule>
    <cfRule type="expression" dxfId="3900" priority="3262">
      <formula>$A18="Overlap between sections"</formula>
    </cfRule>
  </conditionalFormatting>
  <conditionalFormatting sqref="AC18:AC21">
    <cfRule type="expression" dxfId="3899" priority="3249">
      <formula>$M18="NON DEFINED"</formula>
    </cfRule>
    <cfRule type="expression" dxfId="3898" priority="3250">
      <formula>$AZ18="N.D."</formula>
    </cfRule>
    <cfRule type="expression" dxfId="3897" priority="3251">
      <formula>$AY18="N.D."</formula>
    </cfRule>
  </conditionalFormatting>
  <conditionalFormatting sqref="AC18:AC21">
    <cfRule type="expression" dxfId="3896" priority="3238">
      <formula>$A18="Overhead Cable"</formula>
    </cfRule>
    <cfRule type="expression" dxfId="3895" priority="3239">
      <formula>$A18="Level Crossing"</formula>
    </cfRule>
    <cfRule type="expression" dxfId="3894" priority="3240">
      <formula>$A18="Neutral Section"</formula>
    </cfRule>
    <cfRule type="expression" dxfId="3893" priority="3241">
      <formula>$A18="Tunnel"</formula>
    </cfRule>
    <cfRule type="expression" dxfId="3892" priority="3242">
      <formula>$A18="Bridge"</formula>
    </cfRule>
    <cfRule type="expression" dxfId="3891" priority="3243">
      <formula>$A18="Drainage Works"</formula>
    </cfRule>
    <cfRule type="expression" dxfId="3890" priority="3244">
      <formula>$A18="Underpass"</formula>
    </cfRule>
    <cfRule type="expression" dxfId="3889" priority="3245">
      <formula>$A18="Overcrossing"</formula>
    </cfRule>
    <cfRule type="expression" dxfId="3888" priority="3246">
      <formula>$A18="Overpass"</formula>
    </cfRule>
    <cfRule type="expression" dxfId="3887" priority="3247">
      <formula>$A18="Station"</formula>
    </cfRule>
    <cfRule type="expression" dxfId="3886" priority="3248">
      <formula>$A18="Overlap between sections"</formula>
    </cfRule>
  </conditionalFormatting>
  <conditionalFormatting sqref="AD18:AD21">
    <cfRule type="expression" dxfId="3885" priority="3235">
      <formula>$M18="NON DEFINED"</formula>
    </cfRule>
    <cfRule type="expression" dxfId="3884" priority="3236">
      <formula>$AZ18="N.D."</formula>
    </cfRule>
    <cfRule type="expression" dxfId="3883" priority="3237">
      <formula>$AY18="N.D."</formula>
    </cfRule>
  </conditionalFormatting>
  <conditionalFormatting sqref="AD18:AD21">
    <cfRule type="expression" dxfId="3882" priority="3224">
      <formula>$A18="Overhead Cable"</formula>
    </cfRule>
    <cfRule type="expression" dxfId="3881" priority="3225">
      <formula>$A18="Level Crossing"</formula>
    </cfRule>
    <cfRule type="expression" dxfId="3880" priority="3226">
      <formula>$A18="Neutral Section"</formula>
    </cfRule>
    <cfRule type="expression" dxfId="3879" priority="3227">
      <formula>$A18="Tunnel"</formula>
    </cfRule>
    <cfRule type="expression" dxfId="3878" priority="3228">
      <formula>$A18="Bridge"</formula>
    </cfRule>
    <cfRule type="expression" dxfId="3877" priority="3229">
      <formula>$A18="Drainage Works"</formula>
    </cfRule>
    <cfRule type="expression" dxfId="3876" priority="3230">
      <formula>$A18="Underpass"</formula>
    </cfRule>
    <cfRule type="expression" dxfId="3875" priority="3231">
      <formula>$A18="Overcrossing"</formula>
    </cfRule>
    <cfRule type="expression" dxfId="3874" priority="3232">
      <formula>$A18="Overpass"</formula>
    </cfRule>
    <cfRule type="expression" dxfId="3873" priority="3233">
      <formula>$A18="Station"</formula>
    </cfRule>
    <cfRule type="expression" dxfId="3872" priority="3234">
      <formula>$A18="Overlap between sections"</formula>
    </cfRule>
  </conditionalFormatting>
  <conditionalFormatting sqref="AE18:AE21">
    <cfRule type="expression" dxfId="3871" priority="3221">
      <formula>$M18="NON DEFINED"</formula>
    </cfRule>
    <cfRule type="expression" dxfId="3870" priority="3222">
      <formula>$AZ18="N.D."</formula>
    </cfRule>
    <cfRule type="expression" dxfId="3869" priority="3223">
      <formula>$AY18="N.D."</formula>
    </cfRule>
  </conditionalFormatting>
  <conditionalFormatting sqref="AE18:AE21">
    <cfRule type="expression" dxfId="3868" priority="3210">
      <formula>$A18="Overhead Cable"</formula>
    </cfRule>
    <cfRule type="expression" dxfId="3867" priority="3211">
      <formula>$A18="Level Crossing"</formula>
    </cfRule>
    <cfRule type="expression" dxfId="3866" priority="3212">
      <formula>$A18="Neutral Section"</formula>
    </cfRule>
    <cfRule type="expression" dxfId="3865" priority="3213">
      <formula>$A18="Tunnel"</formula>
    </cfRule>
    <cfRule type="expression" dxfId="3864" priority="3214">
      <formula>$A18="Bridge"</formula>
    </cfRule>
    <cfRule type="expression" dxfId="3863" priority="3215">
      <formula>$A18="Drainage Works"</formula>
    </cfRule>
    <cfRule type="expression" dxfId="3862" priority="3216">
      <formula>$A18="Underpass"</formula>
    </cfRule>
    <cfRule type="expression" dxfId="3861" priority="3217">
      <formula>$A18="Overcrossing"</formula>
    </cfRule>
    <cfRule type="expression" dxfId="3860" priority="3218">
      <formula>$A18="Overpass"</formula>
    </cfRule>
    <cfRule type="expression" dxfId="3859" priority="3219">
      <formula>$A18="Station"</formula>
    </cfRule>
    <cfRule type="expression" dxfId="3858" priority="3220">
      <formula>$A18="Overlap between sections"</formula>
    </cfRule>
  </conditionalFormatting>
  <conditionalFormatting sqref="AJ18:AJ21">
    <cfRule type="expression" dxfId="3857" priority="3207">
      <formula>$M18="NON DEFINED"</formula>
    </cfRule>
    <cfRule type="expression" dxfId="3856" priority="3208">
      <formula>$AZ18="N.D."</formula>
    </cfRule>
    <cfRule type="expression" dxfId="3855" priority="3209">
      <formula>$AY18="N.D."</formula>
    </cfRule>
  </conditionalFormatting>
  <conditionalFormatting sqref="AJ18:AJ21">
    <cfRule type="expression" dxfId="3854" priority="3196">
      <formula>$A18="Overhead Cable"</formula>
    </cfRule>
    <cfRule type="expression" dxfId="3853" priority="3197">
      <formula>$A18="Level Crossing"</formula>
    </cfRule>
    <cfRule type="expression" dxfId="3852" priority="3198">
      <formula>$A18="Neutral Section"</formula>
    </cfRule>
    <cfRule type="expression" dxfId="3851" priority="3199">
      <formula>$A18="Tunnel"</formula>
    </cfRule>
    <cfRule type="expression" dxfId="3850" priority="3200">
      <formula>$A18="Bridge"</formula>
    </cfRule>
    <cfRule type="expression" dxfId="3849" priority="3201">
      <formula>$A18="Drainage Works"</formula>
    </cfRule>
    <cfRule type="expression" dxfId="3848" priority="3202">
      <formula>$A18="Underpass"</formula>
    </cfRule>
    <cfRule type="expression" dxfId="3847" priority="3203">
      <formula>$A18="Overcrossing"</formula>
    </cfRule>
    <cfRule type="expression" dxfId="3846" priority="3204">
      <formula>$A18="Overpass"</formula>
    </cfRule>
    <cfRule type="expression" dxfId="3845" priority="3205">
      <formula>$A18="Station"</formula>
    </cfRule>
    <cfRule type="expression" dxfId="3844" priority="3206">
      <formula>$A18="Overlap between sections"</formula>
    </cfRule>
  </conditionalFormatting>
  <conditionalFormatting sqref="AK18:AK21">
    <cfRule type="expression" dxfId="3843" priority="3193">
      <formula>$M18="NON DEFINED"</formula>
    </cfRule>
    <cfRule type="expression" dxfId="3842" priority="3194">
      <formula>$AZ18="N.D."</formula>
    </cfRule>
    <cfRule type="expression" dxfId="3841" priority="3195">
      <formula>$AY18="N.D."</formula>
    </cfRule>
  </conditionalFormatting>
  <conditionalFormatting sqref="AK18:AK21">
    <cfRule type="expression" dxfId="3840" priority="3182">
      <formula>$A18="Overhead Cable"</formula>
    </cfRule>
    <cfRule type="expression" dxfId="3839" priority="3183">
      <formula>$A18="Level Crossing"</formula>
    </cfRule>
    <cfRule type="expression" dxfId="3838" priority="3184">
      <formula>$A18="Neutral Section"</formula>
    </cfRule>
    <cfRule type="expression" dxfId="3837" priority="3185">
      <formula>$A18="Tunnel"</formula>
    </cfRule>
    <cfRule type="expression" dxfId="3836" priority="3186">
      <formula>$A18="Bridge"</formula>
    </cfRule>
    <cfRule type="expression" dxfId="3835" priority="3187">
      <formula>$A18="Drainage Works"</formula>
    </cfRule>
    <cfRule type="expression" dxfId="3834" priority="3188">
      <formula>$A18="Underpass"</formula>
    </cfRule>
    <cfRule type="expression" dxfId="3833" priority="3189">
      <formula>$A18="Overcrossing"</formula>
    </cfRule>
    <cfRule type="expression" dxfId="3832" priority="3190">
      <formula>$A18="Overpass"</formula>
    </cfRule>
    <cfRule type="expression" dxfId="3831" priority="3191">
      <formula>$A18="Station"</formula>
    </cfRule>
    <cfRule type="expression" dxfId="3830" priority="3192">
      <formula>$A18="Overlap between sections"</formula>
    </cfRule>
  </conditionalFormatting>
  <conditionalFormatting sqref="AL18:AL20">
    <cfRule type="expression" dxfId="3829" priority="3179">
      <formula>$M18="NON DEFINED"</formula>
    </cfRule>
    <cfRule type="expression" dxfId="3828" priority="3180">
      <formula>$AZ18="N.D."</formula>
    </cfRule>
    <cfRule type="expression" dxfId="3827" priority="3181">
      <formula>$AY18="N.D."</formula>
    </cfRule>
  </conditionalFormatting>
  <conditionalFormatting sqref="AL18:AL20">
    <cfRule type="expression" dxfId="3826" priority="3168">
      <formula>$A18="Overhead Cable"</formula>
    </cfRule>
    <cfRule type="expression" dxfId="3825" priority="3169">
      <formula>$A18="Level Crossing"</formula>
    </cfRule>
    <cfRule type="expression" dxfId="3824" priority="3170">
      <formula>$A18="Neutral Section"</formula>
    </cfRule>
    <cfRule type="expression" dxfId="3823" priority="3171">
      <formula>$A18="Tunnel"</formula>
    </cfRule>
    <cfRule type="expression" dxfId="3822" priority="3172">
      <formula>$A18="Bridge"</formula>
    </cfRule>
    <cfRule type="expression" dxfId="3821" priority="3173">
      <formula>$A18="Drainage Works"</formula>
    </cfRule>
    <cfRule type="expression" dxfId="3820" priority="3174">
      <formula>$A18="Underpass"</formula>
    </cfRule>
    <cfRule type="expression" dxfId="3819" priority="3175">
      <formula>$A18="Overcrossing"</formula>
    </cfRule>
    <cfRule type="expression" dxfId="3818" priority="3176">
      <formula>$A18="Overpass"</formula>
    </cfRule>
    <cfRule type="expression" dxfId="3817" priority="3177">
      <formula>$A18="Station"</formula>
    </cfRule>
    <cfRule type="expression" dxfId="3816" priority="3178">
      <formula>$A18="Overlap between sections"</formula>
    </cfRule>
  </conditionalFormatting>
  <conditionalFormatting sqref="AM18:AM20">
    <cfRule type="expression" dxfId="3815" priority="3165">
      <formula>$M18="NON DEFINED"</formula>
    </cfRule>
    <cfRule type="expression" dxfId="3814" priority="3166">
      <formula>$AZ18="N.D."</formula>
    </cfRule>
    <cfRule type="expression" dxfId="3813" priority="3167">
      <formula>$AY18="N.D."</formula>
    </cfRule>
  </conditionalFormatting>
  <conditionalFormatting sqref="AM18:AM20">
    <cfRule type="expression" dxfId="3812" priority="3154">
      <formula>$A18="Overhead Cable"</formula>
    </cfRule>
    <cfRule type="expression" dxfId="3811" priority="3155">
      <formula>$A18="Level Crossing"</formula>
    </cfRule>
    <cfRule type="expression" dxfId="3810" priority="3156">
      <formula>$A18="Neutral Section"</formula>
    </cfRule>
    <cfRule type="expression" dxfId="3809" priority="3157">
      <formula>$A18="Tunnel"</formula>
    </cfRule>
    <cfRule type="expression" dxfId="3808" priority="3158">
      <formula>$A18="Bridge"</formula>
    </cfRule>
    <cfRule type="expression" dxfId="3807" priority="3159">
      <formula>$A18="Drainage Works"</formula>
    </cfRule>
    <cfRule type="expression" dxfId="3806" priority="3160">
      <formula>$A18="Underpass"</formula>
    </cfRule>
    <cfRule type="expression" dxfId="3805" priority="3161">
      <formula>$A18="Overcrossing"</formula>
    </cfRule>
    <cfRule type="expression" dxfId="3804" priority="3162">
      <formula>$A18="Overpass"</formula>
    </cfRule>
    <cfRule type="expression" dxfId="3803" priority="3163">
      <formula>$A18="Station"</formula>
    </cfRule>
    <cfRule type="expression" dxfId="3802" priority="3164">
      <formula>$A18="Overlap between sections"</formula>
    </cfRule>
  </conditionalFormatting>
  <conditionalFormatting sqref="AT18:AT21">
    <cfRule type="expression" dxfId="3801" priority="3151">
      <formula>$M18="NON DEFINED"</formula>
    </cfRule>
    <cfRule type="expression" dxfId="3800" priority="3152">
      <formula>$AZ18="N.D."</formula>
    </cfRule>
    <cfRule type="expression" dxfId="3799" priority="3153">
      <formula>$AY18="N.D."</formula>
    </cfRule>
  </conditionalFormatting>
  <conditionalFormatting sqref="AT18:AT21">
    <cfRule type="expression" dxfId="3798" priority="3140">
      <formula>$A18="Overhead Cable"</formula>
    </cfRule>
    <cfRule type="expression" dxfId="3797" priority="3141">
      <formula>$A18="Level Crossing"</formula>
    </cfRule>
    <cfRule type="expression" dxfId="3796" priority="3142">
      <formula>$A18="Neutral Section"</formula>
    </cfRule>
    <cfRule type="expression" dxfId="3795" priority="3143">
      <formula>$A18="Tunnel"</formula>
    </cfRule>
    <cfRule type="expression" dxfId="3794" priority="3144">
      <formula>$A18="Bridge"</formula>
    </cfRule>
    <cfRule type="expression" dxfId="3793" priority="3145">
      <formula>$A18="Drainage Works"</formula>
    </cfRule>
    <cfRule type="expression" dxfId="3792" priority="3146">
      <formula>$A18="Underpass"</formula>
    </cfRule>
    <cfRule type="expression" dxfId="3791" priority="3147">
      <formula>$A18="Overcrossing"</formula>
    </cfRule>
    <cfRule type="expression" dxfId="3790" priority="3148">
      <formula>$A18="Overpass"</formula>
    </cfRule>
    <cfRule type="expression" dxfId="3789" priority="3149">
      <formula>$A18="Station"</formula>
    </cfRule>
    <cfRule type="expression" dxfId="3788" priority="3150">
      <formula>$A18="Overlap between sections"</formula>
    </cfRule>
  </conditionalFormatting>
  <conditionalFormatting sqref="AU18:AU21">
    <cfRule type="expression" dxfId="3787" priority="3137">
      <formula>$M18="NON DEFINED"</formula>
    </cfRule>
    <cfRule type="expression" dxfId="3786" priority="3138">
      <formula>$AZ18="N.D."</formula>
    </cfRule>
    <cfRule type="expression" dxfId="3785" priority="3139">
      <formula>$AY18="N.D."</formula>
    </cfRule>
  </conditionalFormatting>
  <conditionalFormatting sqref="AU18:AU21">
    <cfRule type="expression" dxfId="3784" priority="3126">
      <formula>$A18="Overhead Cable"</formula>
    </cfRule>
    <cfRule type="expression" dxfId="3783" priority="3127">
      <formula>$A18="Level Crossing"</formula>
    </cfRule>
    <cfRule type="expression" dxfId="3782" priority="3128">
      <formula>$A18="Neutral Section"</formula>
    </cfRule>
    <cfRule type="expression" dxfId="3781" priority="3129">
      <formula>$A18="Tunnel"</formula>
    </cfRule>
    <cfRule type="expression" dxfId="3780" priority="3130">
      <formula>$A18="Bridge"</formula>
    </cfRule>
    <cfRule type="expression" dxfId="3779" priority="3131">
      <formula>$A18="Drainage Works"</formula>
    </cfRule>
    <cfRule type="expression" dxfId="3778" priority="3132">
      <formula>$A18="Underpass"</formula>
    </cfRule>
    <cfRule type="expression" dxfId="3777" priority="3133">
      <formula>$A18="Overcrossing"</formula>
    </cfRule>
    <cfRule type="expression" dxfId="3776" priority="3134">
      <formula>$A18="Overpass"</formula>
    </cfRule>
    <cfRule type="expression" dxfId="3775" priority="3135">
      <formula>$A18="Station"</formula>
    </cfRule>
    <cfRule type="expression" dxfId="3774" priority="3136">
      <formula>$A18="Overlap between sections"</formula>
    </cfRule>
  </conditionalFormatting>
  <conditionalFormatting sqref="AV18:AV21">
    <cfRule type="expression" dxfId="3773" priority="3123">
      <formula>$M18="NON DEFINED"</formula>
    </cfRule>
    <cfRule type="expression" dxfId="3772" priority="3124">
      <formula>$AZ18="N.D."</formula>
    </cfRule>
    <cfRule type="expression" dxfId="3771" priority="3125">
      <formula>$AY18="N.D."</formula>
    </cfRule>
  </conditionalFormatting>
  <conditionalFormatting sqref="AV18:AV21">
    <cfRule type="expression" dxfId="3770" priority="3112">
      <formula>$A18="Overhead Cable"</formula>
    </cfRule>
    <cfRule type="expression" dxfId="3769" priority="3113">
      <formula>$A18="Level Crossing"</formula>
    </cfRule>
    <cfRule type="expression" dxfId="3768" priority="3114">
      <formula>$A18="Neutral Section"</formula>
    </cfRule>
    <cfRule type="expression" dxfId="3767" priority="3115">
      <formula>$A18="Tunnel"</formula>
    </cfRule>
    <cfRule type="expression" dxfId="3766" priority="3116">
      <formula>$A18="Bridge"</formula>
    </cfRule>
    <cfRule type="expression" dxfId="3765" priority="3117">
      <formula>$A18="Drainage Works"</formula>
    </cfRule>
    <cfRule type="expression" dxfId="3764" priority="3118">
      <formula>$A18="Underpass"</formula>
    </cfRule>
    <cfRule type="expression" dxfId="3763" priority="3119">
      <formula>$A18="Overcrossing"</formula>
    </cfRule>
    <cfRule type="expression" dxfId="3762" priority="3120">
      <formula>$A18="Overpass"</formula>
    </cfRule>
    <cfRule type="expression" dxfId="3761" priority="3121">
      <formula>$A18="Station"</formula>
    </cfRule>
    <cfRule type="expression" dxfId="3760" priority="3122">
      <formula>$A18="Overlap between sections"</formula>
    </cfRule>
  </conditionalFormatting>
  <conditionalFormatting sqref="AW18:AW21">
    <cfRule type="expression" dxfId="3759" priority="3109">
      <formula>$M18="NON DEFINED"</formula>
    </cfRule>
    <cfRule type="expression" dxfId="3758" priority="3110">
      <formula>$AZ18="N.D."</formula>
    </cfRule>
    <cfRule type="expression" dxfId="3757" priority="3111">
      <formula>$AY18="N.D."</formula>
    </cfRule>
  </conditionalFormatting>
  <conditionalFormatting sqref="AW18:AW21">
    <cfRule type="expression" dxfId="3756" priority="3098">
      <formula>$A18="Overhead Cable"</formula>
    </cfRule>
    <cfRule type="expression" dxfId="3755" priority="3099">
      <formula>$A18="Level Crossing"</formula>
    </cfRule>
    <cfRule type="expression" dxfId="3754" priority="3100">
      <formula>$A18="Neutral Section"</formula>
    </cfRule>
    <cfRule type="expression" dxfId="3753" priority="3101">
      <formula>$A18="Tunnel"</formula>
    </cfRule>
    <cfRule type="expression" dxfId="3752" priority="3102">
      <formula>$A18="Bridge"</formula>
    </cfRule>
    <cfRule type="expression" dxfId="3751" priority="3103">
      <formula>$A18="Drainage Works"</formula>
    </cfRule>
    <cfRule type="expression" dxfId="3750" priority="3104">
      <formula>$A18="Underpass"</formula>
    </cfRule>
    <cfRule type="expression" dxfId="3749" priority="3105">
      <formula>$A18="Overcrossing"</formula>
    </cfRule>
    <cfRule type="expression" dxfId="3748" priority="3106">
      <formula>$A18="Overpass"</formula>
    </cfRule>
    <cfRule type="expression" dxfId="3747" priority="3107">
      <formula>$A18="Station"</formula>
    </cfRule>
    <cfRule type="expression" dxfId="3746" priority="3108">
      <formula>$A18="Overlap between sections"</formula>
    </cfRule>
  </conditionalFormatting>
  <conditionalFormatting sqref="AX18:AX21">
    <cfRule type="expression" dxfId="3745" priority="3095">
      <formula>$M18="NON DEFINED"</formula>
    </cfRule>
    <cfRule type="expression" dxfId="3744" priority="3096">
      <formula>$AZ18="N.D."</formula>
    </cfRule>
    <cfRule type="expression" dxfId="3743" priority="3097">
      <formula>$AY18="N.D."</formula>
    </cfRule>
  </conditionalFormatting>
  <conditionalFormatting sqref="AX18:AX21">
    <cfRule type="expression" dxfId="3742" priority="3084">
      <formula>$A18="Overhead Cable"</formula>
    </cfRule>
    <cfRule type="expression" dxfId="3741" priority="3085">
      <formula>$A18="Level Crossing"</formula>
    </cfRule>
    <cfRule type="expression" dxfId="3740" priority="3086">
      <formula>$A18="Neutral Section"</formula>
    </cfRule>
    <cfRule type="expression" dxfId="3739" priority="3087">
      <formula>$A18="Tunnel"</formula>
    </cfRule>
    <cfRule type="expression" dxfId="3738" priority="3088">
      <formula>$A18="Bridge"</formula>
    </cfRule>
    <cfRule type="expression" dxfId="3737" priority="3089">
      <formula>$A18="Drainage Works"</formula>
    </cfRule>
    <cfRule type="expression" dxfId="3736" priority="3090">
      <formula>$A18="Underpass"</formula>
    </cfRule>
    <cfRule type="expression" dxfId="3735" priority="3091">
      <formula>$A18="Overcrossing"</formula>
    </cfRule>
    <cfRule type="expression" dxfId="3734" priority="3092">
      <formula>$A18="Overpass"</formula>
    </cfRule>
    <cfRule type="expression" dxfId="3733" priority="3093">
      <formula>$A18="Station"</formula>
    </cfRule>
    <cfRule type="expression" dxfId="3732" priority="3094">
      <formula>$A18="Overlap between sections"</formula>
    </cfRule>
  </conditionalFormatting>
  <conditionalFormatting sqref="F18:F21">
    <cfRule type="expression" dxfId="3731" priority="3081">
      <formula>$M18="NON DEFINED"</formula>
    </cfRule>
    <cfRule type="expression" dxfId="3730" priority="3082">
      <formula>$AZ18="N.D."</formula>
    </cfRule>
    <cfRule type="expression" dxfId="3729" priority="3083">
      <formula>$AY18="N.D."</formula>
    </cfRule>
  </conditionalFormatting>
  <conditionalFormatting sqref="F18:F21">
    <cfRule type="expression" dxfId="3728" priority="3070">
      <formula>$A18="Overhead Cable"</formula>
    </cfRule>
    <cfRule type="expression" dxfId="3727" priority="3071">
      <formula>$A18="Level Crossing"</formula>
    </cfRule>
    <cfRule type="expression" dxfId="3726" priority="3072">
      <formula>$A18="Neutral Section"</formula>
    </cfRule>
    <cfRule type="expression" dxfId="3725" priority="3073">
      <formula>$A18="Tunnel"</formula>
    </cfRule>
    <cfRule type="expression" dxfId="3724" priority="3074">
      <formula>$A18="Bridge"</formula>
    </cfRule>
    <cfRule type="expression" dxfId="3723" priority="3075">
      <formula>$A18="Drainage Works"</formula>
    </cfRule>
    <cfRule type="expression" dxfId="3722" priority="3076">
      <formula>$A18="Underpass"</formula>
    </cfRule>
    <cfRule type="expression" dxfId="3721" priority="3077">
      <formula>$A18="Overcrossing"</formula>
    </cfRule>
    <cfRule type="expression" dxfId="3720" priority="3078">
      <formula>$A18="Overpass"</formula>
    </cfRule>
    <cfRule type="expression" dxfId="3719" priority="3079">
      <formula>$A18="Station"</formula>
    </cfRule>
    <cfRule type="expression" dxfId="3718" priority="3080">
      <formula>$A18="Overlap between sections"</formula>
    </cfRule>
  </conditionalFormatting>
  <conditionalFormatting sqref="Q18:Q21">
    <cfRule type="expression" dxfId="3717" priority="3067">
      <formula>$M18="NON DEFINED"</formula>
    </cfRule>
    <cfRule type="expression" dxfId="3716" priority="3068">
      <formula>$AZ18="N.D."</formula>
    </cfRule>
    <cfRule type="expression" dxfId="3715" priority="3069">
      <formula>$AY18="N.D."</formula>
    </cfRule>
  </conditionalFormatting>
  <conditionalFormatting sqref="Q18:Q21">
    <cfRule type="expression" dxfId="3714" priority="3056">
      <formula>$A18="Overhead Cable"</formula>
    </cfRule>
    <cfRule type="expression" dxfId="3713" priority="3057">
      <formula>$A18="Level Crossing"</formula>
    </cfRule>
    <cfRule type="expression" dxfId="3712" priority="3058">
      <formula>$A18="Neutral Section"</formula>
    </cfRule>
    <cfRule type="expression" dxfId="3711" priority="3059">
      <formula>$A18="Tunnel"</formula>
    </cfRule>
    <cfRule type="expression" dxfId="3710" priority="3060">
      <formula>$A18="Bridge"</formula>
    </cfRule>
    <cfRule type="expression" dxfId="3709" priority="3061">
      <formula>$A18="Drainage Works"</formula>
    </cfRule>
    <cfRule type="expression" dxfId="3708" priority="3062">
      <formula>$A18="Underpass"</formula>
    </cfRule>
    <cfRule type="expression" dxfId="3707" priority="3063">
      <formula>$A18="Overcrossing"</formula>
    </cfRule>
    <cfRule type="expression" dxfId="3706" priority="3064">
      <formula>$A18="Overpass"</formula>
    </cfRule>
    <cfRule type="expression" dxfId="3705" priority="3065">
      <formula>$A18="Station"</formula>
    </cfRule>
    <cfRule type="expression" dxfId="3704" priority="3066">
      <formula>$A18="Overlap between sections"</formula>
    </cfRule>
  </conditionalFormatting>
  <conditionalFormatting sqref="T18:T21">
    <cfRule type="expression" dxfId="3703" priority="3053">
      <formula>$M18="NON DEFINED"</formula>
    </cfRule>
    <cfRule type="expression" dxfId="3702" priority="3054">
      <formula>$AZ18="N.D."</formula>
    </cfRule>
    <cfRule type="expression" dxfId="3701" priority="3055">
      <formula>$AY18="N.D."</formula>
    </cfRule>
  </conditionalFormatting>
  <conditionalFormatting sqref="T18:T21">
    <cfRule type="expression" dxfId="3700" priority="3042">
      <formula>$A18="Overhead Cable"</formula>
    </cfRule>
    <cfRule type="expression" dxfId="3699" priority="3043">
      <formula>$A18="Level Crossing"</formula>
    </cfRule>
    <cfRule type="expression" dxfId="3698" priority="3044">
      <formula>$A18="Neutral Section"</formula>
    </cfRule>
    <cfRule type="expression" dxfId="3697" priority="3045">
      <formula>$A18="Tunnel"</formula>
    </cfRule>
    <cfRule type="expression" dxfId="3696" priority="3046">
      <formula>$A18="Bridge"</formula>
    </cfRule>
    <cfRule type="expression" dxfId="3695" priority="3047">
      <formula>$A18="Drainage Works"</formula>
    </cfRule>
    <cfRule type="expression" dxfId="3694" priority="3048">
      <formula>$A18="Underpass"</formula>
    </cfRule>
    <cfRule type="expression" dxfId="3693" priority="3049">
      <formula>$A18="Overcrossing"</formula>
    </cfRule>
    <cfRule type="expression" dxfId="3692" priority="3050">
      <formula>$A18="Overpass"</formula>
    </cfRule>
    <cfRule type="expression" dxfId="3691" priority="3051">
      <formula>$A18="Station"</formula>
    </cfRule>
    <cfRule type="expression" dxfId="3690" priority="3052">
      <formula>$A18="Overlap between sections"</formula>
    </cfRule>
  </conditionalFormatting>
  <conditionalFormatting sqref="U18:U21">
    <cfRule type="expression" dxfId="3689" priority="3039">
      <formula>$M18="NON DEFINED"</formula>
    </cfRule>
    <cfRule type="expression" dxfId="3688" priority="3040">
      <formula>$AZ18="N.D."</formula>
    </cfRule>
    <cfRule type="expression" dxfId="3687" priority="3041">
      <formula>$AY18="N.D."</formula>
    </cfRule>
  </conditionalFormatting>
  <conditionalFormatting sqref="U18:U21">
    <cfRule type="expression" dxfId="3686" priority="3028">
      <formula>$A18="Overhead Cable"</formula>
    </cfRule>
    <cfRule type="expression" dxfId="3685" priority="3029">
      <formula>$A18="Level Crossing"</formula>
    </cfRule>
    <cfRule type="expression" dxfId="3684" priority="3030">
      <formula>$A18="Neutral Section"</formula>
    </cfRule>
    <cfRule type="expression" dxfId="3683" priority="3031">
      <formula>$A18="Tunnel"</formula>
    </cfRule>
    <cfRule type="expression" dxfId="3682" priority="3032">
      <formula>$A18="Bridge"</formula>
    </cfRule>
    <cfRule type="expression" dxfId="3681" priority="3033">
      <formula>$A18="Drainage Works"</formula>
    </cfRule>
    <cfRule type="expression" dxfId="3680" priority="3034">
      <formula>$A18="Underpass"</formula>
    </cfRule>
    <cfRule type="expression" dxfId="3679" priority="3035">
      <formula>$A18="Overcrossing"</formula>
    </cfRule>
    <cfRule type="expression" dxfId="3678" priority="3036">
      <formula>$A18="Overpass"</formula>
    </cfRule>
    <cfRule type="expression" dxfId="3677" priority="3037">
      <formula>$A18="Station"</formula>
    </cfRule>
    <cfRule type="expression" dxfId="3676" priority="3038">
      <formula>$A18="Overlap between sections"</formula>
    </cfRule>
  </conditionalFormatting>
  <conditionalFormatting sqref="V18:V21">
    <cfRule type="expression" dxfId="3675" priority="3025">
      <formula>$M18="NON DEFINED"</formula>
    </cfRule>
    <cfRule type="expression" dxfId="3674" priority="3026">
      <formula>$AZ18="N.D."</formula>
    </cfRule>
    <cfRule type="expression" dxfId="3673" priority="3027">
      <formula>$AY18="N.D."</formula>
    </cfRule>
  </conditionalFormatting>
  <conditionalFormatting sqref="V18:V21">
    <cfRule type="expression" dxfId="3672" priority="3014">
      <formula>$A18="Overhead Cable"</formula>
    </cfRule>
    <cfRule type="expression" dxfId="3671" priority="3015">
      <formula>$A18="Level Crossing"</formula>
    </cfRule>
    <cfRule type="expression" dxfId="3670" priority="3016">
      <formula>$A18="Neutral Section"</formula>
    </cfRule>
    <cfRule type="expression" dxfId="3669" priority="3017">
      <formula>$A18="Tunnel"</formula>
    </cfRule>
    <cfRule type="expression" dxfId="3668" priority="3018">
      <formula>$A18="Bridge"</formula>
    </cfRule>
    <cfRule type="expression" dxfId="3667" priority="3019">
      <formula>$A18="Drainage Works"</formula>
    </cfRule>
    <cfRule type="expression" dxfId="3666" priority="3020">
      <formula>$A18="Underpass"</formula>
    </cfRule>
    <cfRule type="expression" dxfId="3665" priority="3021">
      <formula>$A18="Overcrossing"</formula>
    </cfRule>
    <cfRule type="expression" dxfId="3664" priority="3022">
      <formula>$A18="Overpass"</formula>
    </cfRule>
    <cfRule type="expression" dxfId="3663" priority="3023">
      <formula>$A18="Station"</formula>
    </cfRule>
    <cfRule type="expression" dxfId="3662" priority="3024">
      <formula>$A18="Overlap between sections"</formula>
    </cfRule>
  </conditionalFormatting>
  <conditionalFormatting sqref="AF18:AF21">
    <cfRule type="expression" dxfId="3661" priority="3011">
      <formula>$M18="NON DEFINED"</formula>
    </cfRule>
    <cfRule type="expression" dxfId="3660" priority="3012">
      <formula>$AZ18="N.D."</formula>
    </cfRule>
    <cfRule type="expression" dxfId="3659" priority="3013">
      <formula>$AY18="N.D."</formula>
    </cfRule>
  </conditionalFormatting>
  <conditionalFormatting sqref="AF18:AF21">
    <cfRule type="expression" dxfId="3658" priority="3000">
      <formula>$A18="Overhead Cable"</formula>
    </cfRule>
    <cfRule type="expression" dxfId="3657" priority="3001">
      <formula>$A18="Level Crossing"</formula>
    </cfRule>
    <cfRule type="expression" dxfId="3656" priority="3002">
      <formula>$A18="Neutral Section"</formula>
    </cfRule>
    <cfRule type="expression" dxfId="3655" priority="3003">
      <formula>$A18="Tunnel"</formula>
    </cfRule>
    <cfRule type="expression" dxfId="3654" priority="3004">
      <formula>$A18="Bridge"</formula>
    </cfRule>
    <cfRule type="expression" dxfId="3653" priority="3005">
      <formula>$A18="Drainage Works"</formula>
    </cfRule>
    <cfRule type="expression" dxfId="3652" priority="3006">
      <formula>$A18="Underpass"</formula>
    </cfRule>
    <cfRule type="expression" dxfId="3651" priority="3007">
      <formula>$A18="Overcrossing"</formula>
    </cfRule>
    <cfRule type="expression" dxfId="3650" priority="3008">
      <formula>$A18="Overpass"</formula>
    </cfRule>
    <cfRule type="expression" dxfId="3649" priority="3009">
      <formula>$A18="Station"</formula>
    </cfRule>
    <cfRule type="expression" dxfId="3648" priority="3010">
      <formula>$A18="Overlap between sections"</formula>
    </cfRule>
  </conditionalFormatting>
  <conditionalFormatting sqref="AH18:AH21">
    <cfRule type="expression" dxfId="3647" priority="2997">
      <formula>$M18="NON DEFINED"</formula>
    </cfRule>
    <cfRule type="expression" dxfId="3646" priority="2998">
      <formula>$AZ18="N.D."</formula>
    </cfRule>
    <cfRule type="expression" dxfId="3645" priority="2999">
      <formula>$AY18="N.D."</formula>
    </cfRule>
  </conditionalFormatting>
  <conditionalFormatting sqref="AH18:AH21">
    <cfRule type="expression" dxfId="3644" priority="2986">
      <formula>$A18="Overhead Cable"</formula>
    </cfRule>
    <cfRule type="expression" dxfId="3643" priority="2987">
      <formula>$A18="Level Crossing"</formula>
    </cfRule>
    <cfRule type="expression" dxfId="3642" priority="2988">
      <formula>$A18="Neutral Section"</formula>
    </cfRule>
    <cfRule type="expression" dxfId="3641" priority="2989">
      <formula>$A18="Tunnel"</formula>
    </cfRule>
    <cfRule type="expression" dxfId="3640" priority="2990">
      <formula>$A18="Bridge"</formula>
    </cfRule>
    <cfRule type="expression" dxfId="3639" priority="2991">
      <formula>$A18="Drainage Works"</formula>
    </cfRule>
    <cfRule type="expression" dxfId="3638" priority="2992">
      <formula>$A18="Underpass"</formula>
    </cfRule>
    <cfRule type="expression" dxfId="3637" priority="2993">
      <formula>$A18="Overcrossing"</formula>
    </cfRule>
    <cfRule type="expression" dxfId="3636" priority="2994">
      <formula>$A18="Overpass"</formula>
    </cfRule>
    <cfRule type="expression" dxfId="3635" priority="2995">
      <formula>$A18="Station"</formula>
    </cfRule>
    <cfRule type="expression" dxfId="3634" priority="2996">
      <formula>$A18="Overlap between sections"</formula>
    </cfRule>
  </conditionalFormatting>
  <conditionalFormatting sqref="AI18:AI21">
    <cfRule type="expression" dxfId="3633" priority="2983">
      <formula>$M18="NON DEFINED"</formula>
    </cfRule>
    <cfRule type="expression" dxfId="3632" priority="2984">
      <formula>$AZ18="N.D."</formula>
    </cfRule>
    <cfRule type="expression" dxfId="3631" priority="2985">
      <formula>$AY18="N.D."</formula>
    </cfRule>
  </conditionalFormatting>
  <conditionalFormatting sqref="AI18:AI21">
    <cfRule type="expression" dxfId="3630" priority="2972">
      <formula>$A18="Overhead Cable"</formula>
    </cfRule>
    <cfRule type="expression" dxfId="3629" priority="2973">
      <formula>$A18="Level Crossing"</formula>
    </cfRule>
    <cfRule type="expression" dxfId="3628" priority="2974">
      <formula>$A18="Neutral Section"</formula>
    </cfRule>
    <cfRule type="expression" dxfId="3627" priority="2975">
      <formula>$A18="Tunnel"</formula>
    </cfRule>
    <cfRule type="expression" dxfId="3626" priority="2976">
      <formula>$A18="Bridge"</formula>
    </cfRule>
    <cfRule type="expression" dxfId="3625" priority="2977">
      <formula>$A18="Drainage Works"</formula>
    </cfRule>
    <cfRule type="expression" dxfId="3624" priority="2978">
      <formula>$A18="Underpass"</formula>
    </cfRule>
    <cfRule type="expression" dxfId="3623" priority="2979">
      <formula>$A18="Overcrossing"</formula>
    </cfRule>
    <cfRule type="expression" dxfId="3622" priority="2980">
      <formula>$A18="Overpass"</formula>
    </cfRule>
    <cfRule type="expression" dxfId="3621" priority="2981">
      <formula>$A18="Station"</formula>
    </cfRule>
    <cfRule type="expression" dxfId="3620" priority="2982">
      <formula>$A18="Overlap between sections"</formula>
    </cfRule>
  </conditionalFormatting>
  <conditionalFormatting sqref="R18:R21">
    <cfRule type="expression" dxfId="3619" priority="2969">
      <formula>$M18="NON DEFINED"</formula>
    </cfRule>
    <cfRule type="expression" dxfId="3618" priority="2970">
      <formula>$AZ18="N.D."</formula>
    </cfRule>
    <cfRule type="expression" dxfId="3617" priority="2971">
      <formula>$AY18="N.D."</formula>
    </cfRule>
  </conditionalFormatting>
  <conditionalFormatting sqref="R18:R21">
    <cfRule type="expression" dxfId="3616" priority="2958">
      <formula>$A18="Overhead Cable"</formula>
    </cfRule>
    <cfRule type="expression" dxfId="3615" priority="2959">
      <formula>$A18="Level Crossing"</formula>
    </cfRule>
    <cfRule type="expression" dxfId="3614" priority="2960">
      <formula>$A18="Neutral Section"</formula>
    </cfRule>
    <cfRule type="expression" dxfId="3613" priority="2961">
      <formula>$A18="Tunnel"</formula>
    </cfRule>
    <cfRule type="expression" dxfId="3612" priority="2962">
      <formula>$A18="Bridge"</formula>
    </cfRule>
    <cfRule type="expression" dxfId="3611" priority="2963">
      <formula>$A18="Drainage Works"</formula>
    </cfRule>
    <cfRule type="expression" dxfId="3610" priority="2964">
      <formula>$A18="Underpass"</formula>
    </cfRule>
    <cfRule type="expression" dxfId="3609" priority="2965">
      <formula>$A18="Overcrossing"</formula>
    </cfRule>
    <cfRule type="expression" dxfId="3608" priority="2966">
      <formula>$A18="Overpass"</formula>
    </cfRule>
    <cfRule type="expression" dxfId="3607" priority="2967">
      <formula>$A18="Station"</formula>
    </cfRule>
    <cfRule type="expression" dxfId="3606" priority="2968">
      <formula>$A18="Overlap between sections"</formula>
    </cfRule>
  </conditionalFormatting>
  <conditionalFormatting sqref="S18:S21">
    <cfRule type="expression" dxfId="3605" priority="2955">
      <formula>$M18="NON DEFINED"</formula>
    </cfRule>
    <cfRule type="expression" dxfId="3604" priority="2956">
      <formula>$AZ18="N.D."</formula>
    </cfRule>
    <cfRule type="expression" dxfId="3603" priority="2957">
      <formula>$AY18="N.D."</formula>
    </cfRule>
  </conditionalFormatting>
  <conditionalFormatting sqref="S18:S21">
    <cfRule type="expression" dxfId="3602" priority="2944">
      <formula>$A18="Overhead Cable"</formula>
    </cfRule>
    <cfRule type="expression" dxfId="3601" priority="2945">
      <formula>$A18="Level Crossing"</formula>
    </cfRule>
    <cfRule type="expression" dxfId="3600" priority="2946">
      <formula>$A18="Neutral Section"</formula>
    </cfRule>
    <cfRule type="expression" dxfId="3599" priority="2947">
      <formula>$A18="Tunnel"</formula>
    </cfRule>
    <cfRule type="expression" dxfId="3598" priority="2948">
      <formula>$A18="Bridge"</formula>
    </cfRule>
    <cfRule type="expression" dxfId="3597" priority="2949">
      <formula>$A18="Drainage Works"</formula>
    </cfRule>
    <cfRule type="expression" dxfId="3596" priority="2950">
      <formula>$A18="Underpass"</formula>
    </cfRule>
    <cfRule type="expression" dxfId="3595" priority="2951">
      <formula>$A18="Overcrossing"</formula>
    </cfRule>
    <cfRule type="expression" dxfId="3594" priority="2952">
      <formula>$A18="Overpass"</formula>
    </cfRule>
    <cfRule type="expression" dxfId="3593" priority="2953">
      <formula>$A18="Station"</formula>
    </cfRule>
    <cfRule type="expression" dxfId="3592" priority="2954">
      <formula>$A18="Overlap between sections"</formula>
    </cfRule>
  </conditionalFormatting>
  <conditionalFormatting sqref="W20 W18">
    <cfRule type="expression" dxfId="3591" priority="2941">
      <formula>$M18="NON DEFINED"</formula>
    </cfRule>
    <cfRule type="expression" dxfId="3590" priority="2942">
      <formula>$AZ18="N.D."</formula>
    </cfRule>
    <cfRule type="expression" dxfId="3589" priority="2943">
      <formula>$AY18="N.D."</formula>
    </cfRule>
  </conditionalFormatting>
  <conditionalFormatting sqref="W20 W18">
    <cfRule type="expression" dxfId="3588" priority="2930">
      <formula>$A18="Overhead Cable"</formula>
    </cfRule>
    <cfRule type="expression" dxfId="3587" priority="2931">
      <formula>$A18="Level Crossing"</formula>
    </cfRule>
    <cfRule type="expression" dxfId="3586" priority="2932">
      <formula>$A18="Neutral Section"</formula>
    </cfRule>
    <cfRule type="expression" dxfId="3585" priority="2933">
      <formula>$A18="Tunnel"</formula>
    </cfRule>
    <cfRule type="expression" dxfId="3584" priority="2934">
      <formula>$A18="Bridge"</formula>
    </cfRule>
    <cfRule type="expression" dxfId="3583" priority="2935">
      <formula>$A18="Drainage Works"</formula>
    </cfRule>
    <cfRule type="expression" dxfId="3582" priority="2936">
      <formula>$A18="Underpass"</formula>
    </cfRule>
    <cfRule type="expression" dxfId="3581" priority="2937">
      <formula>$A18="Overcrossing"</formula>
    </cfRule>
    <cfRule type="expression" dxfId="3580" priority="2938">
      <formula>$A18="Overpass"</formula>
    </cfRule>
    <cfRule type="expression" dxfId="3579" priority="2939">
      <formula>$A18="Station"</formula>
    </cfRule>
    <cfRule type="expression" dxfId="3578" priority="2940">
      <formula>$A18="Overlap between sections"</formula>
    </cfRule>
  </conditionalFormatting>
  <conditionalFormatting sqref="X18:X21">
    <cfRule type="expression" dxfId="3577" priority="2927">
      <formula>$M18="NON DEFINED"</formula>
    </cfRule>
    <cfRule type="expression" dxfId="3576" priority="2928">
      <formula>$AZ18="N.D."</formula>
    </cfRule>
    <cfRule type="expression" dxfId="3575" priority="2929">
      <formula>$AY18="N.D."</formula>
    </cfRule>
  </conditionalFormatting>
  <conditionalFormatting sqref="X18:X21">
    <cfRule type="expression" dxfId="3574" priority="2916">
      <formula>$A18="Overhead Cable"</formula>
    </cfRule>
    <cfRule type="expression" dxfId="3573" priority="2917">
      <formula>$A18="Level Crossing"</formula>
    </cfRule>
    <cfRule type="expression" dxfId="3572" priority="2918">
      <formula>$A18="Neutral Section"</formula>
    </cfRule>
    <cfRule type="expression" dxfId="3571" priority="2919">
      <formula>$A18="Tunnel"</formula>
    </cfRule>
    <cfRule type="expression" dxfId="3570" priority="2920">
      <formula>$A18="Bridge"</formula>
    </cfRule>
    <cfRule type="expression" dxfId="3569" priority="2921">
      <formula>$A18="Drainage Works"</formula>
    </cfRule>
    <cfRule type="expression" dxfId="3568" priority="2922">
      <formula>$A18="Underpass"</formula>
    </cfRule>
    <cfRule type="expression" dxfId="3567" priority="2923">
      <formula>$A18="Overcrossing"</formula>
    </cfRule>
    <cfRule type="expression" dxfId="3566" priority="2924">
      <formula>$A18="Overpass"</formula>
    </cfRule>
    <cfRule type="expression" dxfId="3565" priority="2925">
      <formula>$A18="Station"</formula>
    </cfRule>
    <cfRule type="expression" dxfId="3564" priority="2926">
      <formula>$A18="Overlap between sections"</formula>
    </cfRule>
  </conditionalFormatting>
  <conditionalFormatting sqref="Y18:Y21">
    <cfRule type="expression" dxfId="3563" priority="2913">
      <formula>$M18="NON DEFINED"</formula>
    </cfRule>
    <cfRule type="expression" dxfId="3562" priority="2914">
      <formula>$AZ18="N.D."</formula>
    </cfRule>
    <cfRule type="expression" dxfId="3561" priority="2915">
      <formula>$AY18="N.D."</formula>
    </cfRule>
  </conditionalFormatting>
  <conditionalFormatting sqref="Y18:Y21">
    <cfRule type="expression" dxfId="3560" priority="2902">
      <formula>$A18="Overhead Cable"</formula>
    </cfRule>
    <cfRule type="expression" dxfId="3559" priority="2903">
      <formula>$A18="Level Crossing"</formula>
    </cfRule>
    <cfRule type="expression" dxfId="3558" priority="2904">
      <formula>$A18="Neutral Section"</formula>
    </cfRule>
    <cfRule type="expression" dxfId="3557" priority="2905">
      <formula>$A18="Tunnel"</formula>
    </cfRule>
    <cfRule type="expression" dxfId="3556" priority="2906">
      <formula>$A18="Bridge"</formula>
    </cfRule>
    <cfRule type="expression" dxfId="3555" priority="2907">
      <formula>$A18="Drainage Works"</formula>
    </cfRule>
    <cfRule type="expression" dxfId="3554" priority="2908">
      <formula>$A18="Underpass"</formula>
    </cfRule>
    <cfRule type="expression" dxfId="3553" priority="2909">
      <formula>$A18="Overcrossing"</formula>
    </cfRule>
    <cfRule type="expression" dxfId="3552" priority="2910">
      <formula>$A18="Overpass"</formula>
    </cfRule>
    <cfRule type="expression" dxfId="3551" priority="2911">
      <formula>$A18="Station"</formula>
    </cfRule>
    <cfRule type="expression" dxfId="3550" priority="2912">
      <formula>$A18="Overlap between sections"</formula>
    </cfRule>
  </conditionalFormatting>
  <conditionalFormatting sqref="Z18:Z21">
    <cfRule type="expression" dxfId="3549" priority="2899">
      <formula>$M18="NON DEFINED"</formula>
    </cfRule>
    <cfRule type="expression" dxfId="3548" priority="2900">
      <formula>$AZ18="N.D."</formula>
    </cfRule>
    <cfRule type="expression" dxfId="3547" priority="2901">
      <formula>$AY18="N.D."</formula>
    </cfRule>
  </conditionalFormatting>
  <conditionalFormatting sqref="Z18:Z21">
    <cfRule type="expression" dxfId="3546" priority="2888">
      <formula>$A18="Overhead Cable"</formula>
    </cfRule>
    <cfRule type="expression" dxfId="3545" priority="2889">
      <formula>$A18="Level Crossing"</formula>
    </cfRule>
    <cfRule type="expression" dxfId="3544" priority="2890">
      <formula>$A18="Neutral Section"</formula>
    </cfRule>
    <cfRule type="expression" dxfId="3543" priority="2891">
      <formula>$A18="Tunnel"</formula>
    </cfRule>
    <cfRule type="expression" dxfId="3542" priority="2892">
      <formula>$A18="Bridge"</formula>
    </cfRule>
    <cfRule type="expression" dxfId="3541" priority="2893">
      <formula>$A18="Drainage Works"</formula>
    </cfRule>
    <cfRule type="expression" dxfId="3540" priority="2894">
      <formula>$A18="Underpass"</formula>
    </cfRule>
    <cfRule type="expression" dxfId="3539" priority="2895">
      <formula>$A18="Overcrossing"</formula>
    </cfRule>
    <cfRule type="expression" dxfId="3538" priority="2896">
      <formula>$A18="Overpass"</formula>
    </cfRule>
    <cfRule type="expression" dxfId="3537" priority="2897">
      <formula>$A18="Station"</formula>
    </cfRule>
    <cfRule type="expression" dxfId="3536" priority="2898">
      <formula>$A18="Overlap between sections"</formula>
    </cfRule>
  </conditionalFormatting>
  <conditionalFormatting sqref="AA18:AA21">
    <cfRule type="expression" dxfId="3535" priority="2885">
      <formula>$M18="NON DEFINED"</formula>
    </cfRule>
    <cfRule type="expression" dxfId="3534" priority="2886">
      <formula>$AZ18="N.D."</formula>
    </cfRule>
    <cfRule type="expression" dxfId="3533" priority="2887">
      <formula>$AY18="N.D."</formula>
    </cfRule>
  </conditionalFormatting>
  <conditionalFormatting sqref="AA18:AA21">
    <cfRule type="expression" dxfId="3532" priority="2874">
      <formula>$A18="Overhead Cable"</formula>
    </cfRule>
    <cfRule type="expression" dxfId="3531" priority="2875">
      <formula>$A18="Level Crossing"</formula>
    </cfRule>
    <cfRule type="expression" dxfId="3530" priority="2876">
      <formula>$A18="Neutral Section"</formula>
    </cfRule>
    <cfRule type="expression" dxfId="3529" priority="2877">
      <formula>$A18="Tunnel"</formula>
    </cfRule>
    <cfRule type="expression" dxfId="3528" priority="2878">
      <formula>$A18="Bridge"</formula>
    </cfRule>
    <cfRule type="expression" dxfId="3527" priority="2879">
      <formula>$A18="Drainage Works"</formula>
    </cfRule>
    <cfRule type="expression" dxfId="3526" priority="2880">
      <formula>$A18="Underpass"</formula>
    </cfRule>
    <cfRule type="expression" dxfId="3525" priority="2881">
      <formula>$A18="Overcrossing"</formula>
    </cfRule>
    <cfRule type="expression" dxfId="3524" priority="2882">
      <formula>$A18="Overpass"</formula>
    </cfRule>
    <cfRule type="expression" dxfId="3523" priority="2883">
      <formula>$A18="Station"</formula>
    </cfRule>
    <cfRule type="expression" dxfId="3522" priority="2884">
      <formula>$A18="Overlap between sections"</formula>
    </cfRule>
  </conditionalFormatting>
  <conditionalFormatting sqref="AB18:AB21">
    <cfRule type="expression" dxfId="3521" priority="2871">
      <formula>$M18="NON DEFINED"</formula>
    </cfRule>
    <cfRule type="expression" dxfId="3520" priority="2872">
      <formula>$AZ18="N.D."</formula>
    </cfRule>
    <cfRule type="expression" dxfId="3519" priority="2873">
      <formula>$AY18="N.D."</formula>
    </cfRule>
  </conditionalFormatting>
  <conditionalFormatting sqref="AB18:AB21">
    <cfRule type="expression" dxfId="3518" priority="2860">
      <formula>$A18="Overhead Cable"</formula>
    </cfRule>
    <cfRule type="expression" dxfId="3517" priority="2861">
      <formula>$A18="Level Crossing"</formula>
    </cfRule>
    <cfRule type="expression" dxfId="3516" priority="2862">
      <formula>$A18="Neutral Section"</formula>
    </cfRule>
    <cfRule type="expression" dxfId="3515" priority="2863">
      <formula>$A18="Tunnel"</formula>
    </cfRule>
    <cfRule type="expression" dxfId="3514" priority="2864">
      <formula>$A18="Bridge"</formula>
    </cfRule>
    <cfRule type="expression" dxfId="3513" priority="2865">
      <formula>$A18="Drainage Works"</formula>
    </cfRule>
    <cfRule type="expression" dxfId="3512" priority="2866">
      <formula>$A18="Underpass"</formula>
    </cfRule>
    <cfRule type="expression" dxfId="3511" priority="2867">
      <formula>$A18="Overcrossing"</formula>
    </cfRule>
    <cfRule type="expression" dxfId="3510" priority="2868">
      <formula>$A18="Overpass"</formula>
    </cfRule>
    <cfRule type="expression" dxfId="3509" priority="2869">
      <formula>$A18="Station"</formula>
    </cfRule>
    <cfRule type="expression" dxfId="3508" priority="2870">
      <formula>$A18="Overlap between sections"</formula>
    </cfRule>
  </conditionalFormatting>
  <conditionalFormatting sqref="BA18:BC21">
    <cfRule type="expression" dxfId="3507" priority="2858">
      <formula>$BE18="A"</formula>
    </cfRule>
    <cfRule type="expression" dxfId="3506" priority="2859">
      <formula>$BE18="R"</formula>
    </cfRule>
  </conditionalFormatting>
  <conditionalFormatting sqref="BC18:BC21">
    <cfRule type="expression" dxfId="3505" priority="2856">
      <formula>$M18="U.S. N.D."</formula>
    </cfRule>
  </conditionalFormatting>
  <conditionalFormatting sqref="BB18:BB21">
    <cfRule type="expression" dxfId="3504" priority="2854">
      <formula>$AZ18="N.D."</formula>
    </cfRule>
  </conditionalFormatting>
  <conditionalFormatting sqref="BA18:BA21">
    <cfRule type="expression" dxfId="3503" priority="2855">
      <formula>$AY18="N.D."</formula>
    </cfRule>
  </conditionalFormatting>
  <conditionalFormatting sqref="BD20">
    <cfRule type="containsText" dxfId="3502" priority="2853" operator="containsText" text="Poner a mano">
      <formula>NOT(ISERROR(SEARCH("Poner a mano",BD20)))</formula>
    </cfRule>
  </conditionalFormatting>
  <conditionalFormatting sqref="J22:J24">
    <cfRule type="expression" dxfId="3501" priority="2842">
      <formula>$A22="Overhead Cable"</formula>
    </cfRule>
    <cfRule type="expression" dxfId="3500" priority="2843">
      <formula>$A22="Level Crossing"</formula>
    </cfRule>
    <cfRule type="expression" dxfId="3499" priority="2844">
      <formula>$A22="Neutral Section"</formula>
    </cfRule>
    <cfRule type="expression" dxfId="3498" priority="2845">
      <formula>$A22="Tunnel"</formula>
    </cfRule>
    <cfRule type="expression" dxfId="3497" priority="2846">
      <formula>$A22="Bridge"</formula>
    </cfRule>
    <cfRule type="expression" dxfId="3496" priority="2847">
      <formula>$A22="Drainage Works"</formula>
    </cfRule>
    <cfRule type="expression" dxfId="3495" priority="2848">
      <formula>$A22="Underpass"</formula>
    </cfRule>
    <cfRule type="expression" dxfId="3494" priority="2849">
      <formula>$A22="Overcrossing"</formula>
    </cfRule>
    <cfRule type="expression" dxfId="3493" priority="2850">
      <formula>$A22="Overpass"</formula>
    </cfRule>
    <cfRule type="expression" dxfId="3492" priority="2851">
      <formula>$A22="Station"</formula>
    </cfRule>
    <cfRule type="expression" dxfId="3491" priority="2852">
      <formula>$A22="Overlap between sections"</formula>
    </cfRule>
  </conditionalFormatting>
  <conditionalFormatting sqref="C34:AZ34 C42:AZ42 C41:V41 X41:AJ41 C40:AZ40 C39:K39 X39:AJ39 C38:AZ38 C37:K37 X37:AJ37 C36:G36 C35:K35 X35:AJ35 C33:K33 X33:AJ33 AN33:AZ33 AN35:AZ35 AN37:AZ37 AL41:AZ41 AN39:AZ39 I36:AZ36 M33:V33 M35:V35 M37:V37 M39:V39">
    <cfRule type="expression" dxfId="3490" priority="2839">
      <formula>$M33="NON DEFINED"</formula>
    </cfRule>
    <cfRule type="expression" dxfId="3489" priority="2840">
      <formula>$AZ33="N.D."</formula>
    </cfRule>
    <cfRule type="expression" dxfId="3488" priority="2841">
      <formula>$AY33="N.D."</formula>
    </cfRule>
  </conditionalFormatting>
  <conditionalFormatting sqref="AG33:AG42 A33:A42 AY33:AZ42 AM34:AS34 G33:H35 J33:J42 G37:H42 G36 C33:E42 AN33:AS33 AM36:AS36 AN35:AS35 AM38:AS38 AN37:AS37 AM40:AS42 AN39:AS39">
    <cfRule type="expression" dxfId="3487" priority="2828">
      <formula>$A33="Overhead Cable"</formula>
    </cfRule>
    <cfRule type="expression" dxfId="3486" priority="2829">
      <formula>$A33="Level Crossing"</formula>
    </cfRule>
    <cfRule type="expression" dxfId="3485" priority="2830">
      <formula>$A33="Neutral Section"</formula>
    </cfRule>
    <cfRule type="expression" dxfId="3484" priority="2831">
      <formula>$A33="Tunnel"</formula>
    </cfRule>
    <cfRule type="expression" dxfId="3483" priority="2832">
      <formula>$A33="Bridge"</formula>
    </cfRule>
    <cfRule type="expression" dxfId="3482" priority="2833">
      <formula>$A33="Drainage Works"</formula>
    </cfRule>
    <cfRule type="expression" dxfId="3481" priority="2834">
      <formula>$A33="Underpass"</formula>
    </cfRule>
    <cfRule type="expression" dxfId="3480" priority="2835">
      <formula>$A33="Overcrossing"</formula>
    </cfRule>
    <cfRule type="expression" dxfId="3479" priority="2836">
      <formula>$A33="Overpass"</formula>
    </cfRule>
    <cfRule type="expression" dxfId="3478" priority="2837">
      <formula>$A33="Station"</formula>
    </cfRule>
    <cfRule type="expression" dxfId="3477" priority="2838">
      <formula>$A33="Overlap between sections"</formula>
    </cfRule>
  </conditionalFormatting>
  <conditionalFormatting sqref="AN33:AP42">
    <cfRule type="cellIs" dxfId="3476" priority="2827" operator="notEqual">
      <formula>5.5</formula>
    </cfRule>
  </conditionalFormatting>
  <conditionalFormatting sqref="I33:I42">
    <cfRule type="expression" dxfId="3475" priority="2815">
      <formula>$A33="Overhead Cable"</formula>
    </cfRule>
    <cfRule type="expression" dxfId="3474" priority="2816">
      <formula>$A33="Level Crossing"</formula>
    </cfRule>
    <cfRule type="expression" dxfId="3473" priority="2817">
      <formula>$A33="Neutral Section"</formula>
    </cfRule>
    <cfRule type="expression" dxfId="3472" priority="2818">
      <formula>$A33="Tunnel"</formula>
    </cfRule>
    <cfRule type="expression" dxfId="3471" priority="2819">
      <formula>$A33="Bridge"</formula>
    </cfRule>
    <cfRule type="expression" dxfId="3470" priority="2820">
      <formula>$A33="Drainage Works"</formula>
    </cfRule>
    <cfRule type="expression" dxfId="3469" priority="2821">
      <formula>$A33="Underpass"</formula>
    </cfRule>
    <cfRule type="expression" dxfId="3468" priority="2822">
      <formula>$A33="Overcrossing"</formula>
    </cfRule>
    <cfRule type="expression" dxfId="3467" priority="2823">
      <formula>$A33="Overpass"</formula>
    </cfRule>
    <cfRule type="expression" dxfId="3466" priority="2824">
      <formula>$A33="Station"</formula>
    </cfRule>
    <cfRule type="expression" dxfId="3465" priority="2825">
      <formula>$A33="Overlap between sections"</formula>
    </cfRule>
  </conditionalFormatting>
  <conditionalFormatting sqref="K33:K42">
    <cfRule type="expression" dxfId="3464" priority="2804">
      <formula>$A33="Overhead Cable"</formula>
    </cfRule>
    <cfRule type="expression" dxfId="3463" priority="2805">
      <formula>$A33="Level Crossing"</formula>
    </cfRule>
    <cfRule type="expression" dxfId="3462" priority="2806">
      <formula>$A33="Neutral Section"</formula>
    </cfRule>
    <cfRule type="expression" dxfId="3461" priority="2807">
      <formula>$A33="Tunnel"</formula>
    </cfRule>
    <cfRule type="expression" dxfId="3460" priority="2808">
      <formula>$A33="Bridge"</formula>
    </cfRule>
    <cfRule type="expression" dxfId="3459" priority="2809">
      <formula>$A33="Drainage Works"</formula>
    </cfRule>
    <cfRule type="expression" dxfId="3458" priority="2810">
      <formula>$A33="Underpass"</formula>
    </cfRule>
    <cfRule type="expression" dxfId="3457" priority="2811">
      <formula>$A33="Overcrossing"</formula>
    </cfRule>
    <cfRule type="expression" dxfId="3456" priority="2812">
      <formula>$A33="Overpass"</formula>
    </cfRule>
    <cfRule type="expression" dxfId="3455" priority="2813">
      <formula>$A33="Station"</formula>
    </cfRule>
    <cfRule type="expression" dxfId="3454" priority="2814">
      <formula>$A33="Overlap between sections"</formula>
    </cfRule>
  </conditionalFormatting>
  <conditionalFormatting sqref="L34 L36 L38 L40:L42">
    <cfRule type="expression" dxfId="3453" priority="2793">
      <formula>$A34="Overhead Cable"</formula>
    </cfRule>
    <cfRule type="expression" dxfId="3452" priority="2794">
      <formula>$A34="Level Crossing"</formula>
    </cfRule>
    <cfRule type="expression" dxfId="3451" priority="2795">
      <formula>$A34="Neutral Section"</formula>
    </cfRule>
    <cfRule type="expression" dxfId="3450" priority="2796">
      <formula>$A34="Tunnel"</formula>
    </cfRule>
    <cfRule type="expression" dxfId="3449" priority="2797">
      <formula>$A34="Bridge"</formula>
    </cfRule>
    <cfRule type="expression" dxfId="3448" priority="2798">
      <formula>$A34="Drainage Works"</formula>
    </cfRule>
    <cfRule type="expression" dxfId="3447" priority="2799">
      <formula>$A34="Underpass"</formula>
    </cfRule>
    <cfRule type="expression" dxfId="3446" priority="2800">
      <formula>$A34="Overcrossing"</formula>
    </cfRule>
    <cfRule type="expression" dxfId="3445" priority="2801">
      <formula>$A34="Overpass"</formula>
    </cfRule>
    <cfRule type="expression" dxfId="3444" priority="2802">
      <formula>$A34="Station"</formula>
    </cfRule>
    <cfRule type="expression" dxfId="3443" priority="2803">
      <formula>$A34="Overlap between sections"</formula>
    </cfRule>
  </conditionalFormatting>
  <conditionalFormatting sqref="M33:M42">
    <cfRule type="expression" dxfId="3442" priority="2782">
      <formula>$A33="Overhead Cable"</formula>
    </cfRule>
    <cfRule type="expression" dxfId="3441" priority="2783">
      <formula>$A33="Level Crossing"</formula>
    </cfRule>
    <cfRule type="expression" dxfId="3440" priority="2784">
      <formula>$A33="Neutral Section"</formula>
    </cfRule>
    <cfRule type="expression" dxfId="3439" priority="2785">
      <formula>$A33="Tunnel"</formula>
    </cfRule>
    <cfRule type="expression" dxfId="3438" priority="2786">
      <formula>$A33="Bridge"</formula>
    </cfRule>
    <cfRule type="expression" dxfId="3437" priority="2787">
      <formula>$A33="Drainage Works"</formula>
    </cfRule>
    <cfRule type="expression" dxfId="3436" priority="2788">
      <formula>$A33="Underpass"</formula>
    </cfRule>
    <cfRule type="expression" dxfId="3435" priority="2789">
      <formula>$A33="Overcrossing"</formula>
    </cfRule>
    <cfRule type="expression" dxfId="3434" priority="2790">
      <formula>$A33="Overpass"</formula>
    </cfRule>
    <cfRule type="expression" dxfId="3433" priority="2791">
      <formula>$A33="Station"</formula>
    </cfRule>
    <cfRule type="expression" dxfId="3432" priority="2792">
      <formula>$A33="Overlap between sections"</formula>
    </cfRule>
  </conditionalFormatting>
  <conditionalFormatting sqref="N33:N42">
    <cfRule type="expression" dxfId="3431" priority="2771">
      <formula>$A33="Overhead Cable"</formula>
    </cfRule>
    <cfRule type="expression" dxfId="3430" priority="2772">
      <formula>$A33="Level Crossing"</formula>
    </cfRule>
    <cfRule type="expression" dxfId="3429" priority="2773">
      <formula>$A33="Neutral Section"</formula>
    </cfRule>
    <cfRule type="expression" dxfId="3428" priority="2774">
      <formula>$A33="Tunnel"</formula>
    </cfRule>
    <cfRule type="expression" dxfId="3427" priority="2775">
      <formula>$A33="Bridge"</formula>
    </cfRule>
    <cfRule type="expression" dxfId="3426" priority="2776">
      <formula>$A33="Drainage Works"</formula>
    </cfRule>
    <cfRule type="expression" dxfId="3425" priority="2777">
      <formula>$A33="Underpass"</formula>
    </cfRule>
    <cfRule type="expression" dxfId="3424" priority="2778">
      <formula>$A33="Overcrossing"</formula>
    </cfRule>
    <cfRule type="expression" dxfId="3423" priority="2779">
      <formula>$A33="Overpass"</formula>
    </cfRule>
    <cfRule type="expression" dxfId="3422" priority="2780">
      <formula>$A33="Station"</formula>
    </cfRule>
    <cfRule type="expression" dxfId="3421" priority="2781">
      <formula>$A33="Overlap between sections"</formula>
    </cfRule>
  </conditionalFormatting>
  <conditionalFormatting sqref="O33:O42">
    <cfRule type="expression" dxfId="3420" priority="2760">
      <formula>$A33="Overhead Cable"</formula>
    </cfRule>
    <cfRule type="expression" dxfId="3419" priority="2761">
      <formula>$A33="Level Crossing"</formula>
    </cfRule>
    <cfRule type="expression" dxfId="3418" priority="2762">
      <formula>$A33="Neutral Section"</formula>
    </cfRule>
    <cfRule type="expression" dxfId="3417" priority="2763">
      <formula>$A33="Tunnel"</formula>
    </cfRule>
    <cfRule type="expression" dxfId="3416" priority="2764">
      <formula>$A33="Bridge"</formula>
    </cfRule>
    <cfRule type="expression" dxfId="3415" priority="2765">
      <formula>$A33="Drainage Works"</formula>
    </cfRule>
    <cfRule type="expression" dxfId="3414" priority="2766">
      <formula>$A33="Underpass"</formula>
    </cfRule>
    <cfRule type="expression" dxfId="3413" priority="2767">
      <formula>$A33="Overcrossing"</formula>
    </cfRule>
    <cfRule type="expression" dxfId="3412" priority="2768">
      <formula>$A33="Overpass"</formula>
    </cfRule>
    <cfRule type="expression" dxfId="3411" priority="2769">
      <formula>$A33="Station"</formula>
    </cfRule>
    <cfRule type="expression" dxfId="3410" priority="2770">
      <formula>$A33="Overlap between sections"</formula>
    </cfRule>
  </conditionalFormatting>
  <conditionalFormatting sqref="P33:P42">
    <cfRule type="expression" dxfId="3409" priority="2749">
      <formula>$A33="Overhead Cable"</formula>
    </cfRule>
    <cfRule type="expression" dxfId="3408" priority="2750">
      <formula>$A33="Level Crossing"</formula>
    </cfRule>
    <cfRule type="expression" dxfId="3407" priority="2751">
      <formula>$A33="Neutral Section"</formula>
    </cfRule>
    <cfRule type="expression" dxfId="3406" priority="2752">
      <formula>$A33="Tunnel"</formula>
    </cfRule>
    <cfRule type="expression" dxfId="3405" priority="2753">
      <formula>$A33="Bridge"</formula>
    </cfRule>
    <cfRule type="expression" dxfId="3404" priority="2754">
      <formula>$A33="Drainage Works"</formula>
    </cfRule>
    <cfRule type="expression" dxfId="3403" priority="2755">
      <formula>$A33="Underpass"</formula>
    </cfRule>
    <cfRule type="expression" dxfId="3402" priority="2756">
      <formula>$A33="Overcrossing"</formula>
    </cfRule>
    <cfRule type="expression" dxfId="3401" priority="2757">
      <formula>$A33="Overpass"</formula>
    </cfRule>
    <cfRule type="expression" dxfId="3400" priority="2758">
      <formula>$A33="Station"</formula>
    </cfRule>
    <cfRule type="expression" dxfId="3399" priority="2759">
      <formula>$A33="Overlap between sections"</formula>
    </cfRule>
  </conditionalFormatting>
  <conditionalFormatting sqref="AC33:AC42">
    <cfRule type="expression" dxfId="3398" priority="2738">
      <formula>$A33="Overhead Cable"</formula>
    </cfRule>
    <cfRule type="expression" dxfId="3397" priority="2739">
      <formula>$A33="Level Crossing"</formula>
    </cfRule>
    <cfRule type="expression" dxfId="3396" priority="2740">
      <formula>$A33="Neutral Section"</formula>
    </cfRule>
    <cfRule type="expression" dxfId="3395" priority="2741">
      <formula>$A33="Tunnel"</formula>
    </cfRule>
    <cfRule type="expression" dxfId="3394" priority="2742">
      <formula>$A33="Bridge"</formula>
    </cfRule>
    <cfRule type="expression" dxfId="3393" priority="2743">
      <formula>$A33="Drainage Works"</formula>
    </cfRule>
    <cfRule type="expression" dxfId="3392" priority="2744">
      <formula>$A33="Underpass"</formula>
    </cfRule>
    <cfRule type="expression" dxfId="3391" priority="2745">
      <formula>$A33="Overcrossing"</formula>
    </cfRule>
    <cfRule type="expression" dxfId="3390" priority="2746">
      <formula>$A33="Overpass"</formula>
    </cfRule>
    <cfRule type="expression" dxfId="3389" priority="2747">
      <formula>$A33="Station"</formula>
    </cfRule>
    <cfRule type="expression" dxfId="3388" priority="2748">
      <formula>$A33="Overlap between sections"</formula>
    </cfRule>
  </conditionalFormatting>
  <conditionalFormatting sqref="AD33:AD42">
    <cfRule type="expression" dxfId="3387" priority="2727">
      <formula>$A33="Overhead Cable"</formula>
    </cfRule>
    <cfRule type="expression" dxfId="3386" priority="2728">
      <formula>$A33="Level Crossing"</formula>
    </cfRule>
    <cfRule type="expression" dxfId="3385" priority="2729">
      <formula>$A33="Neutral Section"</formula>
    </cfRule>
    <cfRule type="expression" dxfId="3384" priority="2730">
      <formula>$A33="Tunnel"</formula>
    </cfRule>
    <cfRule type="expression" dxfId="3383" priority="2731">
      <formula>$A33="Bridge"</formula>
    </cfRule>
    <cfRule type="expression" dxfId="3382" priority="2732">
      <formula>$A33="Drainage Works"</formula>
    </cfRule>
    <cfRule type="expression" dxfId="3381" priority="2733">
      <formula>$A33="Underpass"</formula>
    </cfRule>
    <cfRule type="expression" dxfId="3380" priority="2734">
      <formula>$A33="Overcrossing"</formula>
    </cfRule>
    <cfRule type="expression" dxfId="3379" priority="2735">
      <formula>$A33="Overpass"</formula>
    </cfRule>
    <cfRule type="expression" dxfId="3378" priority="2736">
      <formula>$A33="Station"</formula>
    </cfRule>
    <cfRule type="expression" dxfId="3377" priority="2737">
      <formula>$A33="Overlap between sections"</formula>
    </cfRule>
  </conditionalFormatting>
  <conditionalFormatting sqref="AE33:AE42">
    <cfRule type="expression" dxfId="3376" priority="2716">
      <formula>$A33="Overhead Cable"</formula>
    </cfRule>
    <cfRule type="expression" dxfId="3375" priority="2717">
      <formula>$A33="Level Crossing"</formula>
    </cfRule>
    <cfRule type="expression" dxfId="3374" priority="2718">
      <formula>$A33="Neutral Section"</formula>
    </cfRule>
    <cfRule type="expression" dxfId="3373" priority="2719">
      <formula>$A33="Tunnel"</formula>
    </cfRule>
    <cfRule type="expression" dxfId="3372" priority="2720">
      <formula>$A33="Bridge"</formula>
    </cfRule>
    <cfRule type="expression" dxfId="3371" priority="2721">
      <formula>$A33="Drainage Works"</formula>
    </cfRule>
    <cfRule type="expression" dxfId="3370" priority="2722">
      <formula>$A33="Underpass"</formula>
    </cfRule>
    <cfRule type="expression" dxfId="3369" priority="2723">
      <formula>$A33="Overcrossing"</formula>
    </cfRule>
    <cfRule type="expression" dxfId="3368" priority="2724">
      <formula>$A33="Overpass"</formula>
    </cfRule>
    <cfRule type="expression" dxfId="3367" priority="2725">
      <formula>$A33="Station"</formula>
    </cfRule>
    <cfRule type="expression" dxfId="3366" priority="2726">
      <formula>$A33="Overlap between sections"</formula>
    </cfRule>
  </conditionalFormatting>
  <conditionalFormatting sqref="AJ33:AJ42">
    <cfRule type="expression" dxfId="3365" priority="2705">
      <formula>$A33="Overhead Cable"</formula>
    </cfRule>
    <cfRule type="expression" dxfId="3364" priority="2706">
      <formula>$A33="Level Crossing"</formula>
    </cfRule>
    <cfRule type="expression" dxfId="3363" priority="2707">
      <formula>$A33="Neutral Section"</formula>
    </cfRule>
    <cfRule type="expression" dxfId="3362" priority="2708">
      <formula>$A33="Tunnel"</formula>
    </cfRule>
    <cfRule type="expression" dxfId="3361" priority="2709">
      <formula>$A33="Bridge"</formula>
    </cfRule>
    <cfRule type="expression" dxfId="3360" priority="2710">
      <formula>$A33="Drainage Works"</formula>
    </cfRule>
    <cfRule type="expression" dxfId="3359" priority="2711">
      <formula>$A33="Underpass"</formula>
    </cfRule>
    <cfRule type="expression" dxfId="3358" priority="2712">
      <formula>$A33="Overcrossing"</formula>
    </cfRule>
    <cfRule type="expression" dxfId="3357" priority="2713">
      <formula>$A33="Overpass"</formula>
    </cfRule>
    <cfRule type="expression" dxfId="3356" priority="2714">
      <formula>$A33="Station"</formula>
    </cfRule>
    <cfRule type="expression" dxfId="3355" priority="2715">
      <formula>$A33="Overlap between sections"</formula>
    </cfRule>
  </conditionalFormatting>
  <conditionalFormatting sqref="AK34 AK36 AK38 AK42 AK40">
    <cfRule type="expression" dxfId="3354" priority="2694">
      <formula>$A34="Overhead Cable"</formula>
    </cfRule>
    <cfRule type="expression" dxfId="3353" priority="2695">
      <formula>$A34="Level Crossing"</formula>
    </cfRule>
    <cfRule type="expression" dxfId="3352" priority="2696">
      <formula>$A34="Neutral Section"</formula>
    </cfRule>
    <cfRule type="expression" dxfId="3351" priority="2697">
      <formula>$A34="Tunnel"</formula>
    </cfRule>
    <cfRule type="expression" dxfId="3350" priority="2698">
      <formula>$A34="Bridge"</formula>
    </cfRule>
    <cfRule type="expression" dxfId="3349" priority="2699">
      <formula>$A34="Drainage Works"</formula>
    </cfRule>
    <cfRule type="expression" dxfId="3348" priority="2700">
      <formula>$A34="Underpass"</formula>
    </cfRule>
    <cfRule type="expression" dxfId="3347" priority="2701">
      <formula>$A34="Overcrossing"</formula>
    </cfRule>
    <cfRule type="expression" dxfId="3346" priority="2702">
      <formula>$A34="Overpass"</formula>
    </cfRule>
    <cfRule type="expression" dxfId="3345" priority="2703">
      <formula>$A34="Station"</formula>
    </cfRule>
    <cfRule type="expression" dxfId="3344" priority="2704">
      <formula>$A34="Overlap between sections"</formula>
    </cfRule>
  </conditionalFormatting>
  <conditionalFormatting sqref="AL34 AL36 AL38 AL40:AL42">
    <cfRule type="expression" dxfId="3343" priority="2683">
      <formula>$A34="Overhead Cable"</formula>
    </cfRule>
    <cfRule type="expression" dxfId="3342" priority="2684">
      <formula>$A34="Level Crossing"</formula>
    </cfRule>
    <cfRule type="expression" dxfId="3341" priority="2685">
      <formula>$A34="Neutral Section"</formula>
    </cfRule>
    <cfRule type="expression" dxfId="3340" priority="2686">
      <formula>$A34="Tunnel"</formula>
    </cfRule>
    <cfRule type="expression" dxfId="3339" priority="2687">
      <formula>$A34="Bridge"</formula>
    </cfRule>
    <cfRule type="expression" dxfId="3338" priority="2688">
      <formula>$A34="Drainage Works"</formula>
    </cfRule>
    <cfRule type="expression" dxfId="3337" priority="2689">
      <formula>$A34="Underpass"</formula>
    </cfRule>
    <cfRule type="expression" dxfId="3336" priority="2690">
      <formula>$A34="Overcrossing"</formula>
    </cfRule>
    <cfRule type="expression" dxfId="3335" priority="2691">
      <formula>$A34="Overpass"</formula>
    </cfRule>
    <cfRule type="expression" dxfId="3334" priority="2692">
      <formula>$A34="Station"</formula>
    </cfRule>
    <cfRule type="expression" dxfId="3333" priority="2693">
      <formula>$A34="Overlap between sections"</formula>
    </cfRule>
  </conditionalFormatting>
  <conditionalFormatting sqref="AT33:AT42">
    <cfRule type="expression" dxfId="3332" priority="2672">
      <formula>$A33="Overhead Cable"</formula>
    </cfRule>
    <cfRule type="expression" dxfId="3331" priority="2673">
      <formula>$A33="Level Crossing"</formula>
    </cfRule>
    <cfRule type="expression" dxfId="3330" priority="2674">
      <formula>$A33="Neutral Section"</formula>
    </cfRule>
    <cfRule type="expression" dxfId="3329" priority="2675">
      <formula>$A33="Tunnel"</formula>
    </cfRule>
    <cfRule type="expression" dxfId="3328" priority="2676">
      <formula>$A33="Bridge"</formula>
    </cfRule>
    <cfRule type="expression" dxfId="3327" priority="2677">
      <formula>$A33="Drainage Works"</formula>
    </cfRule>
    <cfRule type="expression" dxfId="3326" priority="2678">
      <formula>$A33="Underpass"</formula>
    </cfRule>
    <cfRule type="expression" dxfId="3325" priority="2679">
      <formula>$A33="Overcrossing"</formula>
    </cfRule>
    <cfRule type="expression" dxfId="3324" priority="2680">
      <formula>$A33="Overpass"</formula>
    </cfRule>
    <cfRule type="expression" dxfId="3323" priority="2681">
      <formula>$A33="Station"</formula>
    </cfRule>
    <cfRule type="expression" dxfId="3322" priority="2682">
      <formula>$A33="Overlap between sections"</formula>
    </cfRule>
  </conditionalFormatting>
  <conditionalFormatting sqref="AU33:AU42">
    <cfRule type="expression" dxfId="3321" priority="2661">
      <formula>$A33="Overhead Cable"</formula>
    </cfRule>
    <cfRule type="expression" dxfId="3320" priority="2662">
      <formula>$A33="Level Crossing"</formula>
    </cfRule>
    <cfRule type="expression" dxfId="3319" priority="2663">
      <formula>$A33="Neutral Section"</formula>
    </cfRule>
    <cfRule type="expression" dxfId="3318" priority="2664">
      <formula>$A33="Tunnel"</formula>
    </cfRule>
    <cfRule type="expression" dxfId="3317" priority="2665">
      <formula>$A33="Bridge"</formula>
    </cfRule>
    <cfRule type="expression" dxfId="3316" priority="2666">
      <formula>$A33="Drainage Works"</formula>
    </cfRule>
    <cfRule type="expression" dxfId="3315" priority="2667">
      <formula>$A33="Underpass"</formula>
    </cfRule>
    <cfRule type="expression" dxfId="3314" priority="2668">
      <formula>$A33="Overcrossing"</formula>
    </cfRule>
    <cfRule type="expression" dxfId="3313" priority="2669">
      <formula>$A33="Overpass"</formula>
    </cfRule>
    <cfRule type="expression" dxfId="3312" priority="2670">
      <formula>$A33="Station"</formula>
    </cfRule>
    <cfRule type="expression" dxfId="3311" priority="2671">
      <formula>$A33="Overlap between sections"</formula>
    </cfRule>
  </conditionalFormatting>
  <conditionalFormatting sqref="AV33:AV42">
    <cfRule type="expression" dxfId="3310" priority="2650">
      <formula>$A33="Overhead Cable"</formula>
    </cfRule>
    <cfRule type="expression" dxfId="3309" priority="2651">
      <formula>$A33="Level Crossing"</formula>
    </cfRule>
    <cfRule type="expression" dxfId="3308" priority="2652">
      <formula>$A33="Neutral Section"</formula>
    </cfRule>
    <cfRule type="expression" dxfId="3307" priority="2653">
      <formula>$A33="Tunnel"</formula>
    </cfRule>
    <cfRule type="expression" dxfId="3306" priority="2654">
      <formula>$A33="Bridge"</formula>
    </cfRule>
    <cfRule type="expression" dxfId="3305" priority="2655">
      <formula>$A33="Drainage Works"</formula>
    </cfRule>
    <cfRule type="expression" dxfId="3304" priority="2656">
      <formula>$A33="Underpass"</formula>
    </cfRule>
    <cfRule type="expression" dxfId="3303" priority="2657">
      <formula>$A33="Overcrossing"</formula>
    </cfRule>
    <cfRule type="expression" dxfId="3302" priority="2658">
      <formula>$A33="Overpass"</formula>
    </cfRule>
    <cfRule type="expression" dxfId="3301" priority="2659">
      <formula>$A33="Station"</formula>
    </cfRule>
    <cfRule type="expression" dxfId="3300" priority="2660">
      <formula>$A33="Overlap between sections"</formula>
    </cfRule>
  </conditionalFormatting>
  <conditionalFormatting sqref="AW33:AW42">
    <cfRule type="expression" dxfId="3299" priority="2639">
      <formula>$A33="Overhead Cable"</formula>
    </cfRule>
    <cfRule type="expression" dxfId="3298" priority="2640">
      <formula>$A33="Level Crossing"</formula>
    </cfRule>
    <cfRule type="expression" dxfId="3297" priority="2641">
      <formula>$A33="Neutral Section"</formula>
    </cfRule>
    <cfRule type="expression" dxfId="3296" priority="2642">
      <formula>$A33="Tunnel"</formula>
    </cfRule>
    <cfRule type="expression" dxfId="3295" priority="2643">
      <formula>$A33="Bridge"</formula>
    </cfRule>
    <cfRule type="expression" dxfId="3294" priority="2644">
      <formula>$A33="Drainage Works"</formula>
    </cfRule>
    <cfRule type="expression" dxfId="3293" priority="2645">
      <formula>$A33="Underpass"</formula>
    </cfRule>
    <cfRule type="expression" dxfId="3292" priority="2646">
      <formula>$A33="Overcrossing"</formula>
    </cfRule>
    <cfRule type="expression" dxfId="3291" priority="2647">
      <formula>$A33="Overpass"</formula>
    </cfRule>
    <cfRule type="expression" dxfId="3290" priority="2648">
      <formula>$A33="Station"</formula>
    </cfRule>
    <cfRule type="expression" dxfId="3289" priority="2649">
      <formula>$A33="Overlap between sections"</formula>
    </cfRule>
  </conditionalFormatting>
  <conditionalFormatting sqref="AX33:AX42">
    <cfRule type="expression" dxfId="3288" priority="2628">
      <formula>$A33="Overhead Cable"</formula>
    </cfRule>
    <cfRule type="expression" dxfId="3287" priority="2629">
      <formula>$A33="Level Crossing"</formula>
    </cfRule>
    <cfRule type="expression" dxfId="3286" priority="2630">
      <formula>$A33="Neutral Section"</formula>
    </cfRule>
    <cfRule type="expression" dxfId="3285" priority="2631">
      <formula>$A33="Tunnel"</formula>
    </cfRule>
    <cfRule type="expression" dxfId="3284" priority="2632">
      <formula>$A33="Bridge"</formula>
    </cfRule>
    <cfRule type="expression" dxfId="3283" priority="2633">
      <formula>$A33="Drainage Works"</formula>
    </cfRule>
    <cfRule type="expression" dxfId="3282" priority="2634">
      <formula>$A33="Underpass"</formula>
    </cfRule>
    <cfRule type="expression" dxfId="3281" priority="2635">
      <formula>$A33="Overcrossing"</formula>
    </cfRule>
    <cfRule type="expression" dxfId="3280" priority="2636">
      <formula>$A33="Overpass"</formula>
    </cfRule>
    <cfRule type="expression" dxfId="3279" priority="2637">
      <formula>$A33="Station"</formula>
    </cfRule>
    <cfRule type="expression" dxfId="3278" priority="2638">
      <formula>$A33="Overlap between sections"</formula>
    </cfRule>
  </conditionalFormatting>
  <conditionalFormatting sqref="F33:F42">
    <cfRule type="expression" dxfId="3277" priority="2617">
      <formula>$A33="Overhead Cable"</formula>
    </cfRule>
    <cfRule type="expression" dxfId="3276" priority="2618">
      <formula>$A33="Level Crossing"</formula>
    </cfRule>
    <cfRule type="expression" dxfId="3275" priority="2619">
      <formula>$A33="Neutral Section"</formula>
    </cfRule>
    <cfRule type="expression" dxfId="3274" priority="2620">
      <formula>$A33="Tunnel"</formula>
    </cfRule>
    <cfRule type="expression" dxfId="3273" priority="2621">
      <formula>$A33="Bridge"</formula>
    </cfRule>
    <cfRule type="expression" dxfId="3272" priority="2622">
      <formula>$A33="Drainage Works"</formula>
    </cfRule>
    <cfRule type="expression" dxfId="3271" priority="2623">
      <formula>$A33="Underpass"</formula>
    </cfRule>
    <cfRule type="expression" dxfId="3270" priority="2624">
      <formula>$A33="Overcrossing"</formula>
    </cfRule>
    <cfRule type="expression" dxfId="3269" priority="2625">
      <formula>$A33="Overpass"</formula>
    </cfRule>
    <cfRule type="expression" dxfId="3268" priority="2626">
      <formula>$A33="Station"</formula>
    </cfRule>
    <cfRule type="expression" dxfId="3267" priority="2627">
      <formula>$A33="Overlap between sections"</formula>
    </cfRule>
  </conditionalFormatting>
  <conditionalFormatting sqref="Q33:Q42">
    <cfRule type="expression" dxfId="3266" priority="2606">
      <formula>$A33="Overhead Cable"</formula>
    </cfRule>
    <cfRule type="expression" dxfId="3265" priority="2607">
      <formula>$A33="Level Crossing"</formula>
    </cfRule>
    <cfRule type="expression" dxfId="3264" priority="2608">
      <formula>$A33="Neutral Section"</formula>
    </cfRule>
    <cfRule type="expression" dxfId="3263" priority="2609">
      <formula>$A33="Tunnel"</formula>
    </cfRule>
    <cfRule type="expression" dxfId="3262" priority="2610">
      <formula>$A33="Bridge"</formula>
    </cfRule>
    <cfRule type="expression" dxfId="3261" priority="2611">
      <formula>$A33="Drainage Works"</formula>
    </cfRule>
    <cfRule type="expression" dxfId="3260" priority="2612">
      <formula>$A33="Underpass"</formula>
    </cfRule>
    <cfRule type="expression" dxfId="3259" priority="2613">
      <formula>$A33="Overcrossing"</formula>
    </cfRule>
    <cfRule type="expression" dxfId="3258" priority="2614">
      <formula>$A33="Overpass"</formula>
    </cfRule>
    <cfRule type="expression" dxfId="3257" priority="2615">
      <formula>$A33="Station"</formula>
    </cfRule>
    <cfRule type="expression" dxfId="3256" priority="2616">
      <formula>$A33="Overlap between sections"</formula>
    </cfRule>
  </conditionalFormatting>
  <conditionalFormatting sqref="T33:T42">
    <cfRule type="expression" dxfId="3255" priority="2595">
      <formula>$A33="Overhead Cable"</formula>
    </cfRule>
    <cfRule type="expression" dxfId="3254" priority="2596">
      <formula>$A33="Level Crossing"</formula>
    </cfRule>
    <cfRule type="expression" dxfId="3253" priority="2597">
      <formula>$A33="Neutral Section"</formula>
    </cfRule>
    <cfRule type="expression" dxfId="3252" priority="2598">
      <formula>$A33="Tunnel"</formula>
    </cfRule>
    <cfRule type="expression" dxfId="3251" priority="2599">
      <formula>$A33="Bridge"</formula>
    </cfRule>
    <cfRule type="expression" dxfId="3250" priority="2600">
      <formula>$A33="Drainage Works"</formula>
    </cfRule>
    <cfRule type="expression" dxfId="3249" priority="2601">
      <formula>$A33="Underpass"</formula>
    </cfRule>
    <cfRule type="expression" dxfId="3248" priority="2602">
      <formula>$A33="Overcrossing"</formula>
    </cfRule>
    <cfRule type="expression" dxfId="3247" priority="2603">
      <formula>$A33="Overpass"</formula>
    </cfRule>
    <cfRule type="expression" dxfId="3246" priority="2604">
      <formula>$A33="Station"</formula>
    </cfRule>
    <cfRule type="expression" dxfId="3245" priority="2605">
      <formula>$A33="Overlap between sections"</formula>
    </cfRule>
  </conditionalFormatting>
  <conditionalFormatting sqref="U33:U42">
    <cfRule type="expression" dxfId="3244" priority="2584">
      <formula>$A33="Overhead Cable"</formula>
    </cfRule>
    <cfRule type="expression" dxfId="3243" priority="2585">
      <formula>$A33="Level Crossing"</formula>
    </cfRule>
    <cfRule type="expression" dxfId="3242" priority="2586">
      <formula>$A33="Neutral Section"</formula>
    </cfRule>
    <cfRule type="expression" dxfId="3241" priority="2587">
      <formula>$A33="Tunnel"</formula>
    </cfRule>
    <cfRule type="expression" dxfId="3240" priority="2588">
      <formula>$A33="Bridge"</formula>
    </cfRule>
    <cfRule type="expression" dxfId="3239" priority="2589">
      <formula>$A33="Drainage Works"</formula>
    </cfRule>
    <cfRule type="expression" dxfId="3238" priority="2590">
      <formula>$A33="Underpass"</formula>
    </cfRule>
    <cfRule type="expression" dxfId="3237" priority="2591">
      <formula>$A33="Overcrossing"</formula>
    </cfRule>
    <cfRule type="expression" dxfId="3236" priority="2592">
      <formula>$A33="Overpass"</formula>
    </cfRule>
    <cfRule type="expression" dxfId="3235" priority="2593">
      <formula>$A33="Station"</formula>
    </cfRule>
    <cfRule type="expression" dxfId="3234" priority="2594">
      <formula>$A33="Overlap between sections"</formula>
    </cfRule>
  </conditionalFormatting>
  <conditionalFormatting sqref="V33:V42">
    <cfRule type="expression" dxfId="3233" priority="2573">
      <formula>$A33="Overhead Cable"</formula>
    </cfRule>
    <cfRule type="expression" dxfId="3232" priority="2574">
      <formula>$A33="Level Crossing"</formula>
    </cfRule>
    <cfRule type="expression" dxfId="3231" priority="2575">
      <formula>$A33="Neutral Section"</formula>
    </cfRule>
    <cfRule type="expression" dxfId="3230" priority="2576">
      <formula>$A33="Tunnel"</formula>
    </cfRule>
    <cfRule type="expression" dxfId="3229" priority="2577">
      <formula>$A33="Bridge"</formula>
    </cfRule>
    <cfRule type="expression" dxfId="3228" priority="2578">
      <formula>$A33="Drainage Works"</formula>
    </cfRule>
    <cfRule type="expression" dxfId="3227" priority="2579">
      <formula>$A33="Underpass"</formula>
    </cfRule>
    <cfRule type="expression" dxfId="3226" priority="2580">
      <formula>$A33="Overcrossing"</formula>
    </cfRule>
    <cfRule type="expression" dxfId="3225" priority="2581">
      <formula>$A33="Overpass"</formula>
    </cfRule>
    <cfRule type="expression" dxfId="3224" priority="2582">
      <formula>$A33="Station"</formula>
    </cfRule>
    <cfRule type="expression" dxfId="3223" priority="2583">
      <formula>$A33="Overlap between sections"</formula>
    </cfRule>
  </conditionalFormatting>
  <conditionalFormatting sqref="AF33:AF42">
    <cfRule type="expression" dxfId="3222" priority="2562">
      <formula>$A33="Overhead Cable"</formula>
    </cfRule>
    <cfRule type="expression" dxfId="3221" priority="2563">
      <formula>$A33="Level Crossing"</formula>
    </cfRule>
    <cfRule type="expression" dxfId="3220" priority="2564">
      <formula>$A33="Neutral Section"</formula>
    </cfRule>
    <cfRule type="expression" dxfId="3219" priority="2565">
      <formula>$A33="Tunnel"</formula>
    </cfRule>
    <cfRule type="expression" dxfId="3218" priority="2566">
      <formula>$A33="Bridge"</formula>
    </cfRule>
    <cfRule type="expression" dxfId="3217" priority="2567">
      <formula>$A33="Drainage Works"</formula>
    </cfRule>
    <cfRule type="expression" dxfId="3216" priority="2568">
      <formula>$A33="Underpass"</formula>
    </cfRule>
    <cfRule type="expression" dxfId="3215" priority="2569">
      <formula>$A33="Overcrossing"</formula>
    </cfRule>
    <cfRule type="expression" dxfId="3214" priority="2570">
      <formula>$A33="Overpass"</formula>
    </cfRule>
    <cfRule type="expression" dxfId="3213" priority="2571">
      <formula>$A33="Station"</formula>
    </cfRule>
    <cfRule type="expression" dxfId="3212" priority="2572">
      <formula>$A33="Overlap between sections"</formula>
    </cfRule>
  </conditionalFormatting>
  <conditionalFormatting sqref="AH33:AH42">
    <cfRule type="expression" dxfId="3211" priority="2551">
      <formula>$A33="Overhead Cable"</formula>
    </cfRule>
    <cfRule type="expression" dxfId="3210" priority="2552">
      <formula>$A33="Level Crossing"</formula>
    </cfRule>
    <cfRule type="expression" dxfId="3209" priority="2553">
      <formula>$A33="Neutral Section"</formula>
    </cfRule>
    <cfRule type="expression" dxfId="3208" priority="2554">
      <formula>$A33="Tunnel"</formula>
    </cfRule>
    <cfRule type="expression" dxfId="3207" priority="2555">
      <formula>$A33="Bridge"</formula>
    </cfRule>
    <cfRule type="expression" dxfId="3206" priority="2556">
      <formula>$A33="Drainage Works"</formula>
    </cfRule>
    <cfRule type="expression" dxfId="3205" priority="2557">
      <formula>$A33="Underpass"</formula>
    </cfRule>
    <cfRule type="expression" dxfId="3204" priority="2558">
      <formula>$A33="Overcrossing"</formula>
    </cfRule>
    <cfRule type="expression" dxfId="3203" priority="2559">
      <formula>$A33="Overpass"</formula>
    </cfRule>
    <cfRule type="expression" dxfId="3202" priority="2560">
      <formula>$A33="Station"</formula>
    </cfRule>
    <cfRule type="expression" dxfId="3201" priority="2561">
      <formula>$A33="Overlap between sections"</formula>
    </cfRule>
  </conditionalFormatting>
  <conditionalFormatting sqref="AI33:AI42">
    <cfRule type="expression" dxfId="3200" priority="2540">
      <formula>$A33="Overhead Cable"</formula>
    </cfRule>
    <cfRule type="expression" dxfId="3199" priority="2541">
      <formula>$A33="Level Crossing"</formula>
    </cfRule>
    <cfRule type="expression" dxfId="3198" priority="2542">
      <formula>$A33="Neutral Section"</formula>
    </cfRule>
    <cfRule type="expression" dxfId="3197" priority="2543">
      <formula>$A33="Tunnel"</formula>
    </cfRule>
    <cfRule type="expression" dxfId="3196" priority="2544">
      <formula>$A33="Bridge"</formula>
    </cfRule>
    <cfRule type="expression" dxfId="3195" priority="2545">
      <formula>$A33="Drainage Works"</formula>
    </cfRule>
    <cfRule type="expression" dxfId="3194" priority="2546">
      <formula>$A33="Underpass"</formula>
    </cfRule>
    <cfRule type="expression" dxfId="3193" priority="2547">
      <formula>$A33="Overcrossing"</formula>
    </cfRule>
    <cfRule type="expression" dxfId="3192" priority="2548">
      <formula>$A33="Overpass"</formula>
    </cfRule>
    <cfRule type="expression" dxfId="3191" priority="2549">
      <formula>$A33="Station"</formula>
    </cfRule>
    <cfRule type="expression" dxfId="3190" priority="2550">
      <formula>$A33="Overlap between sections"</formula>
    </cfRule>
  </conditionalFormatting>
  <conditionalFormatting sqref="R33:R42">
    <cfRule type="expression" dxfId="3189" priority="2529">
      <formula>$A33="Overhead Cable"</formula>
    </cfRule>
    <cfRule type="expression" dxfId="3188" priority="2530">
      <formula>$A33="Level Crossing"</formula>
    </cfRule>
    <cfRule type="expression" dxfId="3187" priority="2531">
      <formula>$A33="Neutral Section"</formula>
    </cfRule>
    <cfRule type="expression" dxfId="3186" priority="2532">
      <formula>$A33="Tunnel"</formula>
    </cfRule>
    <cfRule type="expression" dxfId="3185" priority="2533">
      <formula>$A33="Bridge"</formula>
    </cfRule>
    <cfRule type="expression" dxfId="3184" priority="2534">
      <formula>$A33="Drainage Works"</formula>
    </cfRule>
    <cfRule type="expression" dxfId="3183" priority="2535">
      <formula>$A33="Underpass"</formula>
    </cfRule>
    <cfRule type="expression" dxfId="3182" priority="2536">
      <formula>$A33="Overcrossing"</formula>
    </cfRule>
    <cfRule type="expression" dxfId="3181" priority="2537">
      <formula>$A33="Overpass"</formula>
    </cfRule>
    <cfRule type="expression" dxfId="3180" priority="2538">
      <formula>$A33="Station"</formula>
    </cfRule>
    <cfRule type="expression" dxfId="3179" priority="2539">
      <formula>$A33="Overlap between sections"</formula>
    </cfRule>
  </conditionalFormatting>
  <conditionalFormatting sqref="S33:S42">
    <cfRule type="expression" dxfId="3178" priority="2518">
      <formula>$A33="Overhead Cable"</formula>
    </cfRule>
    <cfRule type="expression" dxfId="3177" priority="2519">
      <formula>$A33="Level Crossing"</formula>
    </cfRule>
    <cfRule type="expression" dxfId="3176" priority="2520">
      <formula>$A33="Neutral Section"</formula>
    </cfRule>
    <cfRule type="expression" dxfId="3175" priority="2521">
      <formula>$A33="Tunnel"</formula>
    </cfRule>
    <cfRule type="expression" dxfId="3174" priority="2522">
      <formula>$A33="Bridge"</formula>
    </cfRule>
    <cfRule type="expression" dxfId="3173" priority="2523">
      <formula>$A33="Drainage Works"</formula>
    </cfRule>
    <cfRule type="expression" dxfId="3172" priority="2524">
      <formula>$A33="Underpass"</formula>
    </cfRule>
    <cfRule type="expression" dxfId="3171" priority="2525">
      <formula>$A33="Overcrossing"</formula>
    </cfRule>
    <cfRule type="expression" dxfId="3170" priority="2526">
      <formula>$A33="Overpass"</formula>
    </cfRule>
    <cfRule type="expression" dxfId="3169" priority="2527">
      <formula>$A33="Station"</formula>
    </cfRule>
    <cfRule type="expression" dxfId="3168" priority="2528">
      <formula>$A33="Overlap between sections"</formula>
    </cfRule>
  </conditionalFormatting>
  <conditionalFormatting sqref="W34 W42 W40 W38 W36">
    <cfRule type="expression" dxfId="3167" priority="2507">
      <formula>$A34="Overhead Cable"</formula>
    </cfRule>
    <cfRule type="expression" dxfId="3166" priority="2508">
      <formula>$A34="Level Crossing"</formula>
    </cfRule>
    <cfRule type="expression" dxfId="3165" priority="2509">
      <formula>$A34="Neutral Section"</formula>
    </cfRule>
    <cfRule type="expression" dxfId="3164" priority="2510">
      <formula>$A34="Tunnel"</formula>
    </cfRule>
    <cfRule type="expression" dxfId="3163" priority="2511">
      <formula>$A34="Bridge"</formula>
    </cfRule>
    <cfRule type="expression" dxfId="3162" priority="2512">
      <formula>$A34="Drainage Works"</formula>
    </cfRule>
    <cfRule type="expression" dxfId="3161" priority="2513">
      <formula>$A34="Underpass"</formula>
    </cfRule>
    <cfRule type="expression" dxfId="3160" priority="2514">
      <formula>$A34="Overcrossing"</formula>
    </cfRule>
    <cfRule type="expression" dxfId="3159" priority="2515">
      <formula>$A34="Overpass"</formula>
    </cfRule>
    <cfRule type="expression" dxfId="3158" priority="2516">
      <formula>$A34="Station"</formula>
    </cfRule>
    <cfRule type="expression" dxfId="3157" priority="2517">
      <formula>$A34="Overlap between sections"</formula>
    </cfRule>
  </conditionalFormatting>
  <conditionalFormatting sqref="X33:X42">
    <cfRule type="expression" dxfId="3156" priority="2496">
      <formula>$A33="Overhead Cable"</formula>
    </cfRule>
    <cfRule type="expression" dxfId="3155" priority="2497">
      <formula>$A33="Level Crossing"</formula>
    </cfRule>
    <cfRule type="expression" dxfId="3154" priority="2498">
      <formula>$A33="Neutral Section"</formula>
    </cfRule>
    <cfRule type="expression" dxfId="3153" priority="2499">
      <formula>$A33="Tunnel"</formula>
    </cfRule>
    <cfRule type="expression" dxfId="3152" priority="2500">
      <formula>$A33="Bridge"</formula>
    </cfRule>
    <cfRule type="expression" dxfId="3151" priority="2501">
      <formula>$A33="Drainage Works"</formula>
    </cfRule>
    <cfRule type="expression" dxfId="3150" priority="2502">
      <formula>$A33="Underpass"</formula>
    </cfRule>
    <cfRule type="expression" dxfId="3149" priority="2503">
      <formula>$A33="Overcrossing"</formula>
    </cfRule>
    <cfRule type="expression" dxfId="3148" priority="2504">
      <formula>$A33="Overpass"</formula>
    </cfRule>
    <cfRule type="expression" dxfId="3147" priority="2505">
      <formula>$A33="Station"</formula>
    </cfRule>
    <cfRule type="expression" dxfId="3146" priority="2506">
      <formula>$A33="Overlap between sections"</formula>
    </cfRule>
  </conditionalFormatting>
  <conditionalFormatting sqref="Y33:Y42">
    <cfRule type="expression" dxfId="3145" priority="2485">
      <formula>$A33="Overhead Cable"</formula>
    </cfRule>
    <cfRule type="expression" dxfId="3144" priority="2486">
      <formula>$A33="Level Crossing"</formula>
    </cfRule>
    <cfRule type="expression" dxfId="3143" priority="2487">
      <formula>$A33="Neutral Section"</formula>
    </cfRule>
    <cfRule type="expression" dxfId="3142" priority="2488">
      <formula>$A33="Tunnel"</formula>
    </cfRule>
    <cfRule type="expression" dxfId="3141" priority="2489">
      <formula>$A33="Bridge"</formula>
    </cfRule>
    <cfRule type="expression" dxfId="3140" priority="2490">
      <formula>$A33="Drainage Works"</formula>
    </cfRule>
    <cfRule type="expression" dxfId="3139" priority="2491">
      <formula>$A33="Underpass"</formula>
    </cfRule>
    <cfRule type="expression" dxfId="3138" priority="2492">
      <formula>$A33="Overcrossing"</formula>
    </cfRule>
    <cfRule type="expression" dxfId="3137" priority="2493">
      <formula>$A33="Overpass"</formula>
    </cfRule>
    <cfRule type="expression" dxfId="3136" priority="2494">
      <formula>$A33="Station"</formula>
    </cfRule>
    <cfRule type="expression" dxfId="3135" priority="2495">
      <formula>$A33="Overlap between sections"</formula>
    </cfRule>
  </conditionalFormatting>
  <conditionalFormatting sqref="Z33:Z42">
    <cfRule type="expression" dxfId="3134" priority="2474">
      <formula>$A33="Overhead Cable"</formula>
    </cfRule>
    <cfRule type="expression" dxfId="3133" priority="2475">
      <formula>$A33="Level Crossing"</formula>
    </cfRule>
    <cfRule type="expression" dxfId="3132" priority="2476">
      <formula>$A33="Neutral Section"</formula>
    </cfRule>
    <cfRule type="expression" dxfId="3131" priority="2477">
      <formula>$A33="Tunnel"</formula>
    </cfRule>
    <cfRule type="expression" dxfId="3130" priority="2478">
      <formula>$A33="Bridge"</formula>
    </cfRule>
    <cfRule type="expression" dxfId="3129" priority="2479">
      <formula>$A33="Drainage Works"</formula>
    </cfRule>
    <cfRule type="expression" dxfId="3128" priority="2480">
      <formula>$A33="Underpass"</formula>
    </cfRule>
    <cfRule type="expression" dxfId="3127" priority="2481">
      <formula>$A33="Overcrossing"</formula>
    </cfRule>
    <cfRule type="expression" dxfId="3126" priority="2482">
      <formula>$A33="Overpass"</formula>
    </cfRule>
    <cfRule type="expression" dxfId="3125" priority="2483">
      <formula>$A33="Station"</formula>
    </cfRule>
    <cfRule type="expression" dxfId="3124" priority="2484">
      <formula>$A33="Overlap between sections"</formula>
    </cfRule>
  </conditionalFormatting>
  <conditionalFormatting sqref="AA33:AA42">
    <cfRule type="expression" dxfId="3123" priority="2463">
      <formula>$A33="Overhead Cable"</formula>
    </cfRule>
    <cfRule type="expression" dxfId="3122" priority="2464">
      <formula>$A33="Level Crossing"</formula>
    </cfRule>
    <cfRule type="expression" dxfId="3121" priority="2465">
      <formula>$A33="Neutral Section"</formula>
    </cfRule>
    <cfRule type="expression" dxfId="3120" priority="2466">
      <formula>$A33="Tunnel"</formula>
    </cfRule>
    <cfRule type="expression" dxfId="3119" priority="2467">
      <formula>$A33="Bridge"</formula>
    </cfRule>
    <cfRule type="expression" dxfId="3118" priority="2468">
      <formula>$A33="Drainage Works"</formula>
    </cfRule>
    <cfRule type="expression" dxfId="3117" priority="2469">
      <formula>$A33="Underpass"</formula>
    </cfRule>
    <cfRule type="expression" dxfId="3116" priority="2470">
      <formula>$A33="Overcrossing"</formula>
    </cfRule>
    <cfRule type="expression" dxfId="3115" priority="2471">
      <formula>$A33="Overpass"</formula>
    </cfRule>
    <cfRule type="expression" dxfId="3114" priority="2472">
      <formula>$A33="Station"</formula>
    </cfRule>
    <cfRule type="expression" dxfId="3113" priority="2473">
      <formula>$A33="Overlap between sections"</formula>
    </cfRule>
  </conditionalFormatting>
  <conditionalFormatting sqref="AB33:AB42">
    <cfRule type="expression" dxfId="3112" priority="2452">
      <formula>$A33="Overhead Cable"</formula>
    </cfRule>
    <cfRule type="expression" dxfId="3111" priority="2453">
      <formula>$A33="Level Crossing"</formula>
    </cfRule>
    <cfRule type="expression" dxfId="3110" priority="2454">
      <formula>$A33="Neutral Section"</formula>
    </cfRule>
    <cfRule type="expression" dxfId="3109" priority="2455">
      <formula>$A33="Tunnel"</formula>
    </cfRule>
    <cfRule type="expression" dxfId="3108" priority="2456">
      <formula>$A33="Bridge"</formula>
    </cfRule>
    <cfRule type="expression" dxfId="3107" priority="2457">
      <formula>$A33="Drainage Works"</formula>
    </cfRule>
    <cfRule type="expression" dxfId="3106" priority="2458">
      <formula>$A33="Underpass"</formula>
    </cfRule>
    <cfRule type="expression" dxfId="3105" priority="2459">
      <formula>$A33="Overcrossing"</formula>
    </cfRule>
    <cfRule type="expression" dxfId="3104" priority="2460">
      <formula>$A33="Overpass"</formula>
    </cfRule>
    <cfRule type="expression" dxfId="3103" priority="2461">
      <formula>$A33="Station"</formula>
    </cfRule>
    <cfRule type="expression" dxfId="3102" priority="2462">
      <formula>$A33="Overlap between sections"</formula>
    </cfRule>
  </conditionalFormatting>
  <conditionalFormatting sqref="N43">
    <cfRule type="expression" dxfId="3101" priority="2449">
      <formula>$M43="NON DEFINED"</formula>
    </cfRule>
    <cfRule type="expression" dxfId="3100" priority="2450">
      <formula>$AZ43="N.D."</formula>
    </cfRule>
    <cfRule type="expression" dxfId="3099" priority="2451">
      <formula>$AY43="N.D."</formula>
    </cfRule>
  </conditionalFormatting>
  <conditionalFormatting sqref="N43">
    <cfRule type="expression" dxfId="3098" priority="2438">
      <formula>$A43="Overhead Cable"</formula>
    </cfRule>
    <cfRule type="expression" dxfId="3097" priority="2439">
      <formula>$A43="Level Crossing"</formula>
    </cfRule>
    <cfRule type="expression" dxfId="3096" priority="2440">
      <formula>$A43="Neutral Section"</formula>
    </cfRule>
    <cfRule type="expression" dxfId="3095" priority="2441">
      <formula>$A43="Tunnel"</formula>
    </cfRule>
    <cfRule type="expression" dxfId="3094" priority="2442">
      <formula>$A43="Bridge"</formula>
    </cfRule>
    <cfRule type="expression" dxfId="3093" priority="2443">
      <formula>$A43="Drainage Works"</formula>
    </cfRule>
    <cfRule type="expression" dxfId="3092" priority="2444">
      <formula>$A43="Underpass"</formula>
    </cfRule>
    <cfRule type="expression" dxfId="3091" priority="2445">
      <formula>$A43="Overcrossing"</formula>
    </cfRule>
    <cfRule type="expression" dxfId="3090" priority="2446">
      <formula>$A43="Overpass"</formula>
    </cfRule>
    <cfRule type="expression" dxfId="3089" priority="2447">
      <formula>$A43="Station"</formula>
    </cfRule>
    <cfRule type="expression" dxfId="3088" priority="2448">
      <formula>$A43="Overlap between sections"</formula>
    </cfRule>
  </conditionalFormatting>
  <conditionalFormatting sqref="W41">
    <cfRule type="expression" dxfId="3087" priority="2435">
      <formula>$M41="NON DEFINED"</formula>
    </cfRule>
    <cfRule type="expression" dxfId="3086" priority="2436">
      <formula>$AZ41="N.D."</formula>
    </cfRule>
    <cfRule type="expression" dxfId="3085" priority="2437">
      <formula>$AY41="N.D."</formula>
    </cfRule>
  </conditionalFormatting>
  <conditionalFormatting sqref="W41">
    <cfRule type="expression" dxfId="3084" priority="2424">
      <formula>$A41="Overhead Cable"</formula>
    </cfRule>
    <cfRule type="expression" dxfId="3083" priority="2425">
      <formula>$A41="Level Crossing"</formula>
    </cfRule>
    <cfRule type="expression" dxfId="3082" priority="2426">
      <formula>$A41="Neutral Section"</formula>
    </cfRule>
    <cfRule type="expression" dxfId="3081" priority="2427">
      <formula>$A41="Tunnel"</formula>
    </cfRule>
    <cfRule type="expression" dxfId="3080" priority="2428">
      <formula>$A41="Bridge"</formula>
    </cfRule>
    <cfRule type="expression" dxfId="3079" priority="2429">
      <formula>$A41="Drainage Works"</formula>
    </cfRule>
    <cfRule type="expression" dxfId="3078" priority="2430">
      <formula>$A41="Underpass"</formula>
    </cfRule>
    <cfRule type="expression" dxfId="3077" priority="2431">
      <formula>$A41="Overcrossing"</formula>
    </cfRule>
    <cfRule type="expression" dxfId="3076" priority="2432">
      <formula>$A41="Overpass"</formula>
    </cfRule>
    <cfRule type="expression" dxfId="3075" priority="2433">
      <formula>$A41="Station"</formula>
    </cfRule>
    <cfRule type="expression" dxfId="3074" priority="2434">
      <formula>$A41="Overlap between sections"</formula>
    </cfRule>
  </conditionalFormatting>
  <conditionalFormatting sqref="W39">
    <cfRule type="expression" dxfId="3073" priority="2421">
      <formula>$M39="NON DEFINED"</formula>
    </cfRule>
    <cfRule type="expression" dxfId="3072" priority="2422">
      <formula>$AZ39="N.D."</formula>
    </cfRule>
    <cfRule type="expression" dxfId="3071" priority="2423">
      <formula>$AY39="N.D."</formula>
    </cfRule>
  </conditionalFormatting>
  <conditionalFormatting sqref="W39">
    <cfRule type="expression" dxfId="3070" priority="2410">
      <formula>$A39="Overhead Cable"</formula>
    </cfRule>
    <cfRule type="expression" dxfId="3069" priority="2411">
      <formula>$A39="Level Crossing"</formula>
    </cfRule>
    <cfRule type="expression" dxfId="3068" priority="2412">
      <formula>$A39="Neutral Section"</formula>
    </cfRule>
    <cfRule type="expression" dxfId="3067" priority="2413">
      <formula>$A39="Tunnel"</formula>
    </cfRule>
    <cfRule type="expression" dxfId="3066" priority="2414">
      <formula>$A39="Bridge"</formula>
    </cfRule>
    <cfRule type="expression" dxfId="3065" priority="2415">
      <formula>$A39="Drainage Works"</formula>
    </cfRule>
    <cfRule type="expression" dxfId="3064" priority="2416">
      <formula>$A39="Underpass"</formula>
    </cfRule>
    <cfRule type="expression" dxfId="3063" priority="2417">
      <formula>$A39="Overcrossing"</formula>
    </cfRule>
    <cfRule type="expression" dxfId="3062" priority="2418">
      <formula>$A39="Overpass"</formula>
    </cfRule>
    <cfRule type="expression" dxfId="3061" priority="2419">
      <formula>$A39="Station"</formula>
    </cfRule>
    <cfRule type="expression" dxfId="3060" priority="2420">
      <formula>$A39="Overlap between sections"</formula>
    </cfRule>
  </conditionalFormatting>
  <conditionalFormatting sqref="W37">
    <cfRule type="expression" dxfId="3059" priority="2407">
      <formula>$M37="NON DEFINED"</formula>
    </cfRule>
    <cfRule type="expression" dxfId="3058" priority="2408">
      <formula>$AZ37="N.D."</formula>
    </cfRule>
    <cfRule type="expression" dxfId="3057" priority="2409">
      <formula>$AY37="N.D."</formula>
    </cfRule>
  </conditionalFormatting>
  <conditionalFormatting sqref="W37">
    <cfRule type="expression" dxfId="3056" priority="2396">
      <formula>$A37="Overhead Cable"</formula>
    </cfRule>
    <cfRule type="expression" dxfId="3055" priority="2397">
      <formula>$A37="Level Crossing"</formula>
    </cfRule>
    <cfRule type="expression" dxfId="3054" priority="2398">
      <formula>$A37="Neutral Section"</formula>
    </cfRule>
    <cfRule type="expression" dxfId="3053" priority="2399">
      <formula>$A37="Tunnel"</formula>
    </cfRule>
    <cfRule type="expression" dxfId="3052" priority="2400">
      <formula>$A37="Bridge"</formula>
    </cfRule>
    <cfRule type="expression" dxfId="3051" priority="2401">
      <formula>$A37="Drainage Works"</formula>
    </cfRule>
    <cfRule type="expression" dxfId="3050" priority="2402">
      <formula>$A37="Underpass"</formula>
    </cfRule>
    <cfRule type="expression" dxfId="3049" priority="2403">
      <formula>$A37="Overcrossing"</formula>
    </cfRule>
    <cfRule type="expression" dxfId="3048" priority="2404">
      <formula>$A37="Overpass"</formula>
    </cfRule>
    <cfRule type="expression" dxfId="3047" priority="2405">
      <formula>$A37="Station"</formula>
    </cfRule>
    <cfRule type="expression" dxfId="3046" priority="2406">
      <formula>$A37="Overlap between sections"</formula>
    </cfRule>
  </conditionalFormatting>
  <conditionalFormatting sqref="W35">
    <cfRule type="expression" dxfId="3045" priority="2393">
      <formula>$M35="NON DEFINED"</formula>
    </cfRule>
    <cfRule type="expression" dxfId="3044" priority="2394">
      <formula>$AZ35="N.D."</formula>
    </cfRule>
    <cfRule type="expression" dxfId="3043" priority="2395">
      <formula>$AY35="N.D."</formula>
    </cfRule>
  </conditionalFormatting>
  <conditionalFormatting sqref="W35">
    <cfRule type="expression" dxfId="3042" priority="2382">
      <formula>$A35="Overhead Cable"</formula>
    </cfRule>
    <cfRule type="expression" dxfId="3041" priority="2383">
      <formula>$A35="Level Crossing"</formula>
    </cfRule>
    <cfRule type="expression" dxfId="3040" priority="2384">
      <formula>$A35="Neutral Section"</formula>
    </cfRule>
    <cfRule type="expression" dxfId="3039" priority="2385">
      <formula>$A35="Tunnel"</formula>
    </cfRule>
    <cfRule type="expression" dxfId="3038" priority="2386">
      <formula>$A35="Bridge"</formula>
    </cfRule>
    <cfRule type="expression" dxfId="3037" priority="2387">
      <formula>$A35="Drainage Works"</formula>
    </cfRule>
    <cfRule type="expression" dxfId="3036" priority="2388">
      <formula>$A35="Underpass"</formula>
    </cfRule>
    <cfRule type="expression" dxfId="3035" priority="2389">
      <formula>$A35="Overcrossing"</formula>
    </cfRule>
    <cfRule type="expression" dxfId="3034" priority="2390">
      <formula>$A35="Overpass"</formula>
    </cfRule>
    <cfRule type="expression" dxfId="3033" priority="2391">
      <formula>$A35="Station"</formula>
    </cfRule>
    <cfRule type="expression" dxfId="3032" priority="2392">
      <formula>$A35="Overlap between sections"</formula>
    </cfRule>
  </conditionalFormatting>
  <conditionalFormatting sqref="W33">
    <cfRule type="expression" dxfId="3031" priority="2379">
      <formula>$M33="NON DEFINED"</formula>
    </cfRule>
    <cfRule type="expression" dxfId="3030" priority="2380">
      <formula>$AZ33="N.D."</formula>
    </cfRule>
    <cfRule type="expression" dxfId="3029" priority="2381">
      <formula>$AY33="N.D."</formula>
    </cfRule>
  </conditionalFormatting>
  <conditionalFormatting sqref="W33">
    <cfRule type="expression" dxfId="3028" priority="2368">
      <formula>$A33="Overhead Cable"</formula>
    </cfRule>
    <cfRule type="expression" dxfId="3027" priority="2369">
      <formula>$A33="Level Crossing"</formula>
    </cfRule>
    <cfRule type="expression" dxfId="3026" priority="2370">
      <formula>$A33="Neutral Section"</formula>
    </cfRule>
    <cfRule type="expression" dxfId="3025" priority="2371">
      <formula>$A33="Tunnel"</formula>
    </cfRule>
    <cfRule type="expression" dxfId="3024" priority="2372">
      <formula>$A33="Bridge"</formula>
    </cfRule>
    <cfRule type="expression" dxfId="3023" priority="2373">
      <formula>$A33="Drainage Works"</formula>
    </cfRule>
    <cfRule type="expression" dxfId="3022" priority="2374">
      <formula>$A33="Underpass"</formula>
    </cfRule>
    <cfRule type="expression" dxfId="3021" priority="2375">
      <formula>$A33="Overcrossing"</formula>
    </cfRule>
    <cfRule type="expression" dxfId="3020" priority="2376">
      <formula>$A33="Overpass"</formula>
    </cfRule>
    <cfRule type="expression" dxfId="3019" priority="2377">
      <formula>$A33="Station"</formula>
    </cfRule>
    <cfRule type="expression" dxfId="3018" priority="2378">
      <formula>$A33="Overlap between sections"</formula>
    </cfRule>
  </conditionalFormatting>
  <conditionalFormatting sqref="W31">
    <cfRule type="expression" dxfId="3017" priority="2365">
      <formula>$M31="NON DEFINED"</formula>
    </cfRule>
    <cfRule type="expression" dxfId="3016" priority="2366">
      <formula>$AZ31="N.D."</formula>
    </cfRule>
    <cfRule type="expression" dxfId="3015" priority="2367">
      <formula>$AY31="N.D."</formula>
    </cfRule>
  </conditionalFormatting>
  <conditionalFormatting sqref="W31">
    <cfRule type="expression" dxfId="3014" priority="2354">
      <formula>$A31="Overhead Cable"</formula>
    </cfRule>
    <cfRule type="expression" dxfId="3013" priority="2355">
      <formula>$A31="Level Crossing"</formula>
    </cfRule>
    <cfRule type="expression" dxfId="3012" priority="2356">
      <formula>$A31="Neutral Section"</formula>
    </cfRule>
    <cfRule type="expression" dxfId="3011" priority="2357">
      <formula>$A31="Tunnel"</formula>
    </cfRule>
    <cfRule type="expression" dxfId="3010" priority="2358">
      <formula>$A31="Bridge"</formula>
    </cfRule>
    <cfRule type="expression" dxfId="3009" priority="2359">
      <formula>$A31="Drainage Works"</formula>
    </cfRule>
    <cfRule type="expression" dxfId="3008" priority="2360">
      <formula>$A31="Underpass"</formula>
    </cfRule>
    <cfRule type="expression" dxfId="3007" priority="2361">
      <formula>$A31="Overcrossing"</formula>
    </cfRule>
    <cfRule type="expression" dxfId="3006" priority="2362">
      <formula>$A31="Overpass"</formula>
    </cfRule>
    <cfRule type="expression" dxfId="3005" priority="2363">
      <formula>$A31="Station"</formula>
    </cfRule>
    <cfRule type="expression" dxfId="3004" priority="2364">
      <formula>$A31="Overlap between sections"</formula>
    </cfRule>
  </conditionalFormatting>
  <conditionalFormatting sqref="W25">
    <cfRule type="expression" dxfId="3003" priority="2351">
      <formula>$M25="NON DEFINED"</formula>
    </cfRule>
    <cfRule type="expression" dxfId="3002" priority="2352">
      <formula>$AZ25="N.D."</formula>
    </cfRule>
    <cfRule type="expression" dxfId="3001" priority="2353">
      <formula>$AY25="N.D."</formula>
    </cfRule>
  </conditionalFormatting>
  <conditionalFormatting sqref="W25">
    <cfRule type="expression" dxfId="3000" priority="2340">
      <formula>$A25="Overhead Cable"</formula>
    </cfRule>
    <cfRule type="expression" dxfId="2999" priority="2341">
      <formula>$A25="Level Crossing"</formula>
    </cfRule>
    <cfRule type="expression" dxfId="2998" priority="2342">
      <formula>$A25="Neutral Section"</formula>
    </cfRule>
    <cfRule type="expression" dxfId="2997" priority="2343">
      <formula>$A25="Tunnel"</formula>
    </cfRule>
    <cfRule type="expression" dxfId="2996" priority="2344">
      <formula>$A25="Bridge"</formula>
    </cfRule>
    <cfRule type="expression" dxfId="2995" priority="2345">
      <formula>$A25="Drainage Works"</formula>
    </cfRule>
    <cfRule type="expression" dxfId="2994" priority="2346">
      <formula>$A25="Underpass"</formula>
    </cfRule>
    <cfRule type="expression" dxfId="2993" priority="2347">
      <formula>$A25="Overcrossing"</formula>
    </cfRule>
    <cfRule type="expression" dxfId="2992" priority="2348">
      <formula>$A25="Overpass"</formula>
    </cfRule>
    <cfRule type="expression" dxfId="2991" priority="2349">
      <formula>$A25="Station"</formula>
    </cfRule>
    <cfRule type="expression" dxfId="2990" priority="2350">
      <formula>$A25="Overlap between sections"</formula>
    </cfRule>
  </conditionalFormatting>
  <conditionalFormatting sqref="W23">
    <cfRule type="expression" dxfId="2989" priority="2337">
      <formula>$M23="NON DEFINED"</formula>
    </cfRule>
    <cfRule type="expression" dxfId="2988" priority="2338">
      <formula>$AZ23="N.D."</formula>
    </cfRule>
    <cfRule type="expression" dxfId="2987" priority="2339">
      <formula>$AY23="N.D."</formula>
    </cfRule>
  </conditionalFormatting>
  <conditionalFormatting sqref="W23">
    <cfRule type="expression" dxfId="2986" priority="2326">
      <formula>$A23="Overhead Cable"</formula>
    </cfRule>
    <cfRule type="expression" dxfId="2985" priority="2327">
      <formula>$A23="Level Crossing"</formula>
    </cfRule>
    <cfRule type="expression" dxfId="2984" priority="2328">
      <formula>$A23="Neutral Section"</formula>
    </cfRule>
    <cfRule type="expression" dxfId="2983" priority="2329">
      <formula>$A23="Tunnel"</formula>
    </cfRule>
    <cfRule type="expression" dxfId="2982" priority="2330">
      <formula>$A23="Bridge"</formula>
    </cfRule>
    <cfRule type="expression" dxfId="2981" priority="2331">
      <formula>$A23="Drainage Works"</formula>
    </cfRule>
    <cfRule type="expression" dxfId="2980" priority="2332">
      <formula>$A23="Underpass"</formula>
    </cfRule>
    <cfRule type="expression" dxfId="2979" priority="2333">
      <formula>$A23="Overcrossing"</formula>
    </cfRule>
    <cfRule type="expression" dxfId="2978" priority="2334">
      <formula>$A23="Overpass"</formula>
    </cfRule>
    <cfRule type="expression" dxfId="2977" priority="2335">
      <formula>$A23="Station"</formula>
    </cfRule>
    <cfRule type="expression" dxfId="2976" priority="2336">
      <formula>$A23="Overlap between sections"</formula>
    </cfRule>
  </conditionalFormatting>
  <conditionalFormatting sqref="W21">
    <cfRule type="expression" dxfId="2975" priority="2323">
      <formula>$M21="NON DEFINED"</formula>
    </cfRule>
    <cfRule type="expression" dxfId="2974" priority="2324">
      <formula>$AZ21="N.D."</formula>
    </cfRule>
    <cfRule type="expression" dxfId="2973" priority="2325">
      <formula>$AY21="N.D."</formula>
    </cfRule>
  </conditionalFormatting>
  <conditionalFormatting sqref="W21">
    <cfRule type="expression" dxfId="2972" priority="2312">
      <formula>$A21="Overhead Cable"</formula>
    </cfRule>
    <cfRule type="expression" dxfId="2971" priority="2313">
      <formula>$A21="Level Crossing"</formula>
    </cfRule>
    <cfRule type="expression" dxfId="2970" priority="2314">
      <formula>$A21="Neutral Section"</formula>
    </cfRule>
    <cfRule type="expression" dxfId="2969" priority="2315">
      <formula>$A21="Tunnel"</formula>
    </cfRule>
    <cfRule type="expression" dxfId="2968" priority="2316">
      <formula>$A21="Bridge"</formula>
    </cfRule>
    <cfRule type="expression" dxfId="2967" priority="2317">
      <formula>$A21="Drainage Works"</formula>
    </cfRule>
    <cfRule type="expression" dxfId="2966" priority="2318">
      <formula>$A21="Underpass"</formula>
    </cfRule>
    <cfRule type="expression" dxfId="2965" priority="2319">
      <formula>$A21="Overcrossing"</formula>
    </cfRule>
    <cfRule type="expression" dxfId="2964" priority="2320">
      <formula>$A21="Overpass"</formula>
    </cfRule>
    <cfRule type="expression" dxfId="2963" priority="2321">
      <formula>$A21="Station"</formula>
    </cfRule>
    <cfRule type="expression" dxfId="2962" priority="2322">
      <formula>$A21="Overlap between sections"</formula>
    </cfRule>
  </conditionalFormatting>
  <conditionalFormatting sqref="W19">
    <cfRule type="expression" dxfId="2961" priority="2309">
      <formula>$M19="NON DEFINED"</formula>
    </cfRule>
    <cfRule type="expression" dxfId="2960" priority="2310">
      <formula>$AZ19="N.D."</formula>
    </cfRule>
    <cfRule type="expression" dxfId="2959" priority="2311">
      <formula>$AY19="N.D."</formula>
    </cfRule>
  </conditionalFormatting>
  <conditionalFormatting sqref="W19">
    <cfRule type="expression" dxfId="2958" priority="2298">
      <formula>$A19="Overhead Cable"</formula>
    </cfRule>
    <cfRule type="expression" dxfId="2957" priority="2299">
      <formula>$A19="Level Crossing"</formula>
    </cfRule>
    <cfRule type="expression" dxfId="2956" priority="2300">
      <formula>$A19="Neutral Section"</formula>
    </cfRule>
    <cfRule type="expression" dxfId="2955" priority="2301">
      <formula>$A19="Tunnel"</formula>
    </cfRule>
    <cfRule type="expression" dxfId="2954" priority="2302">
      <formula>$A19="Bridge"</formula>
    </cfRule>
    <cfRule type="expression" dxfId="2953" priority="2303">
      <formula>$A19="Drainage Works"</formula>
    </cfRule>
    <cfRule type="expression" dxfId="2952" priority="2304">
      <formula>$A19="Underpass"</formula>
    </cfRule>
    <cfRule type="expression" dxfId="2951" priority="2305">
      <formula>$A19="Overcrossing"</formula>
    </cfRule>
    <cfRule type="expression" dxfId="2950" priority="2306">
      <formula>$A19="Overpass"</formula>
    </cfRule>
    <cfRule type="expression" dxfId="2949" priority="2307">
      <formula>$A19="Station"</formula>
    </cfRule>
    <cfRule type="expression" dxfId="2948" priority="2308">
      <formula>$A19="Overlap between sections"</formula>
    </cfRule>
  </conditionalFormatting>
  <conditionalFormatting sqref="AK33">
    <cfRule type="expression" dxfId="2947" priority="2295">
      <formula>$M33="NON DEFINED"</formula>
    </cfRule>
    <cfRule type="expression" dxfId="2946" priority="2296">
      <formula>$AZ33="N.D."</formula>
    </cfRule>
    <cfRule type="expression" dxfId="2945" priority="2297">
      <formula>$AY33="N.D."</formula>
    </cfRule>
  </conditionalFormatting>
  <conditionalFormatting sqref="AK33">
    <cfRule type="expression" dxfId="2944" priority="2284">
      <formula>$A33="Overhead Cable"</formula>
    </cfRule>
    <cfRule type="expression" dxfId="2943" priority="2285">
      <formula>$A33="Level Crossing"</formula>
    </cfRule>
    <cfRule type="expression" dxfId="2942" priority="2286">
      <formula>$A33="Neutral Section"</formula>
    </cfRule>
    <cfRule type="expression" dxfId="2941" priority="2287">
      <formula>$A33="Tunnel"</formula>
    </cfRule>
    <cfRule type="expression" dxfId="2940" priority="2288">
      <formula>$A33="Bridge"</formula>
    </cfRule>
    <cfRule type="expression" dxfId="2939" priority="2289">
      <formula>$A33="Drainage Works"</formula>
    </cfRule>
    <cfRule type="expression" dxfId="2938" priority="2290">
      <formula>$A33="Underpass"</formula>
    </cfRule>
    <cfRule type="expression" dxfId="2937" priority="2291">
      <formula>$A33="Overcrossing"</formula>
    </cfRule>
    <cfRule type="expression" dxfId="2936" priority="2292">
      <formula>$A33="Overpass"</formula>
    </cfRule>
    <cfRule type="expression" dxfId="2935" priority="2293">
      <formula>$A33="Station"</formula>
    </cfRule>
    <cfRule type="expression" dxfId="2934" priority="2294">
      <formula>$A33="Overlap between sections"</formula>
    </cfRule>
  </conditionalFormatting>
  <conditionalFormatting sqref="AK35">
    <cfRule type="expression" dxfId="2933" priority="2281">
      <formula>$M35="NON DEFINED"</formula>
    </cfRule>
    <cfRule type="expression" dxfId="2932" priority="2282">
      <formula>$AZ35="N.D."</formula>
    </cfRule>
    <cfRule type="expression" dxfId="2931" priority="2283">
      <formula>$AY35="N.D."</formula>
    </cfRule>
  </conditionalFormatting>
  <conditionalFormatting sqref="AK35">
    <cfRule type="expression" dxfId="2930" priority="2270">
      <formula>$A35="Overhead Cable"</formula>
    </cfRule>
    <cfRule type="expression" dxfId="2929" priority="2271">
      <formula>$A35="Level Crossing"</formula>
    </cfRule>
    <cfRule type="expression" dxfId="2928" priority="2272">
      <formula>$A35="Neutral Section"</formula>
    </cfRule>
    <cfRule type="expression" dxfId="2927" priority="2273">
      <formula>$A35="Tunnel"</formula>
    </cfRule>
    <cfRule type="expression" dxfId="2926" priority="2274">
      <formula>$A35="Bridge"</formula>
    </cfRule>
    <cfRule type="expression" dxfId="2925" priority="2275">
      <formula>$A35="Drainage Works"</formula>
    </cfRule>
    <cfRule type="expression" dxfId="2924" priority="2276">
      <formula>$A35="Underpass"</formula>
    </cfRule>
    <cfRule type="expression" dxfId="2923" priority="2277">
      <formula>$A35="Overcrossing"</formula>
    </cfRule>
    <cfRule type="expression" dxfId="2922" priority="2278">
      <formula>$A35="Overpass"</formula>
    </cfRule>
    <cfRule type="expression" dxfId="2921" priority="2279">
      <formula>$A35="Station"</formula>
    </cfRule>
    <cfRule type="expression" dxfId="2920" priority="2280">
      <formula>$A35="Overlap between sections"</formula>
    </cfRule>
  </conditionalFormatting>
  <conditionalFormatting sqref="AK37">
    <cfRule type="expression" dxfId="2919" priority="2267">
      <formula>$M37="NON DEFINED"</formula>
    </cfRule>
    <cfRule type="expression" dxfId="2918" priority="2268">
      <formula>$AZ37="N.D."</formula>
    </cfRule>
    <cfRule type="expression" dxfId="2917" priority="2269">
      <formula>$AY37="N.D."</formula>
    </cfRule>
  </conditionalFormatting>
  <conditionalFormatting sqref="AK37">
    <cfRule type="expression" dxfId="2916" priority="2256">
      <formula>$A37="Overhead Cable"</formula>
    </cfRule>
    <cfRule type="expression" dxfId="2915" priority="2257">
      <formula>$A37="Level Crossing"</formula>
    </cfRule>
    <cfRule type="expression" dxfId="2914" priority="2258">
      <formula>$A37="Neutral Section"</formula>
    </cfRule>
    <cfRule type="expression" dxfId="2913" priority="2259">
      <formula>$A37="Tunnel"</formula>
    </cfRule>
    <cfRule type="expression" dxfId="2912" priority="2260">
      <formula>$A37="Bridge"</formula>
    </cfRule>
    <cfRule type="expression" dxfId="2911" priority="2261">
      <formula>$A37="Drainage Works"</formula>
    </cfRule>
    <cfRule type="expression" dxfId="2910" priority="2262">
      <formula>$A37="Underpass"</formula>
    </cfRule>
    <cfRule type="expression" dxfId="2909" priority="2263">
      <formula>$A37="Overcrossing"</formula>
    </cfRule>
    <cfRule type="expression" dxfId="2908" priority="2264">
      <formula>$A37="Overpass"</formula>
    </cfRule>
    <cfRule type="expression" dxfId="2907" priority="2265">
      <formula>$A37="Station"</formula>
    </cfRule>
    <cfRule type="expression" dxfId="2906" priority="2266">
      <formula>$A37="Overlap between sections"</formula>
    </cfRule>
  </conditionalFormatting>
  <conditionalFormatting sqref="AK45">
    <cfRule type="expression" dxfId="2905" priority="2239">
      <formula>$M45="NON DEFINED"</formula>
    </cfRule>
    <cfRule type="expression" dxfId="2904" priority="2240">
      <formula>$AZ45="N.D."</formula>
    </cfRule>
    <cfRule type="expression" dxfId="2903" priority="2241">
      <formula>$AY45="N.D."</formula>
    </cfRule>
  </conditionalFormatting>
  <conditionalFormatting sqref="AK45">
    <cfRule type="expression" dxfId="2902" priority="2228">
      <formula>$A45="Overhead Cable"</formula>
    </cfRule>
    <cfRule type="expression" dxfId="2901" priority="2229">
      <formula>$A45="Level Crossing"</formula>
    </cfRule>
    <cfRule type="expression" dxfId="2900" priority="2230">
      <formula>$A45="Neutral Section"</formula>
    </cfRule>
    <cfRule type="expression" dxfId="2899" priority="2231">
      <formula>$A45="Tunnel"</formula>
    </cfRule>
    <cfRule type="expression" dxfId="2898" priority="2232">
      <formula>$A45="Bridge"</formula>
    </cfRule>
    <cfRule type="expression" dxfId="2897" priority="2233">
      <formula>$A45="Drainage Works"</formula>
    </cfRule>
    <cfRule type="expression" dxfId="2896" priority="2234">
      <formula>$A45="Underpass"</formula>
    </cfRule>
    <cfRule type="expression" dxfId="2895" priority="2235">
      <formula>$A45="Overcrossing"</formula>
    </cfRule>
    <cfRule type="expression" dxfId="2894" priority="2236">
      <formula>$A45="Overpass"</formula>
    </cfRule>
    <cfRule type="expression" dxfId="2893" priority="2237">
      <formula>$A45="Station"</formula>
    </cfRule>
    <cfRule type="expression" dxfId="2892" priority="2238">
      <formula>$A45="Overlap between sections"</formula>
    </cfRule>
  </conditionalFormatting>
  <conditionalFormatting sqref="AK43">
    <cfRule type="expression" dxfId="2891" priority="2225">
      <formula>$M43="NON DEFINED"</formula>
    </cfRule>
    <cfRule type="expression" dxfId="2890" priority="2226">
      <formula>$AZ43="N.D."</formula>
    </cfRule>
    <cfRule type="expression" dxfId="2889" priority="2227">
      <formula>$AY43="N.D."</formula>
    </cfRule>
  </conditionalFormatting>
  <conditionalFormatting sqref="AK43">
    <cfRule type="expression" dxfId="2888" priority="2214">
      <formula>$A43="Overhead Cable"</formula>
    </cfRule>
    <cfRule type="expression" dxfId="2887" priority="2215">
      <formula>$A43="Level Crossing"</formula>
    </cfRule>
    <cfRule type="expression" dxfId="2886" priority="2216">
      <formula>$A43="Neutral Section"</formula>
    </cfRule>
    <cfRule type="expression" dxfId="2885" priority="2217">
      <formula>$A43="Tunnel"</formula>
    </cfRule>
    <cfRule type="expression" dxfId="2884" priority="2218">
      <formula>$A43="Bridge"</formula>
    </cfRule>
    <cfRule type="expression" dxfId="2883" priority="2219">
      <formula>$A43="Drainage Works"</formula>
    </cfRule>
    <cfRule type="expression" dxfId="2882" priority="2220">
      <formula>$A43="Underpass"</formula>
    </cfRule>
    <cfRule type="expression" dxfId="2881" priority="2221">
      <formula>$A43="Overcrossing"</formula>
    </cfRule>
    <cfRule type="expression" dxfId="2880" priority="2222">
      <formula>$A43="Overpass"</formula>
    </cfRule>
    <cfRule type="expression" dxfId="2879" priority="2223">
      <formula>$A43="Station"</formula>
    </cfRule>
    <cfRule type="expression" dxfId="2878" priority="2224">
      <formula>$A43="Overlap between sections"</formula>
    </cfRule>
  </conditionalFormatting>
  <conditionalFormatting sqref="AK41">
    <cfRule type="expression" dxfId="2877" priority="2211">
      <formula>$M41="NON DEFINED"</formula>
    </cfRule>
    <cfRule type="expression" dxfId="2876" priority="2212">
      <formula>$AZ41="N.D."</formula>
    </cfRule>
    <cfRule type="expression" dxfId="2875" priority="2213">
      <formula>$AY41="N.D."</formula>
    </cfRule>
  </conditionalFormatting>
  <conditionalFormatting sqref="AK41">
    <cfRule type="expression" dxfId="2874" priority="2200">
      <formula>$A41="Overhead Cable"</formula>
    </cfRule>
    <cfRule type="expression" dxfId="2873" priority="2201">
      <formula>$A41="Level Crossing"</formula>
    </cfRule>
    <cfRule type="expression" dxfId="2872" priority="2202">
      <formula>$A41="Neutral Section"</formula>
    </cfRule>
    <cfRule type="expression" dxfId="2871" priority="2203">
      <formula>$A41="Tunnel"</formula>
    </cfRule>
    <cfRule type="expression" dxfId="2870" priority="2204">
      <formula>$A41="Bridge"</formula>
    </cfRule>
    <cfRule type="expression" dxfId="2869" priority="2205">
      <formula>$A41="Drainage Works"</formula>
    </cfRule>
    <cfRule type="expression" dxfId="2868" priority="2206">
      <formula>$A41="Underpass"</formula>
    </cfRule>
    <cfRule type="expression" dxfId="2867" priority="2207">
      <formula>$A41="Overcrossing"</formula>
    </cfRule>
    <cfRule type="expression" dxfId="2866" priority="2208">
      <formula>$A41="Overpass"</formula>
    </cfRule>
    <cfRule type="expression" dxfId="2865" priority="2209">
      <formula>$A41="Station"</formula>
    </cfRule>
    <cfRule type="expression" dxfId="2864" priority="2210">
      <formula>$A41="Overlap between sections"</formula>
    </cfRule>
  </conditionalFormatting>
  <conditionalFormatting sqref="AK39">
    <cfRule type="expression" dxfId="2863" priority="2197">
      <formula>$M39="NON DEFINED"</formula>
    </cfRule>
    <cfRule type="expression" dxfId="2862" priority="2198">
      <formula>$AZ39="N.D."</formula>
    </cfRule>
    <cfRule type="expression" dxfId="2861" priority="2199">
      <formula>$AY39="N.D."</formula>
    </cfRule>
  </conditionalFormatting>
  <conditionalFormatting sqref="AK39">
    <cfRule type="expression" dxfId="2860" priority="2186">
      <formula>$A39="Overhead Cable"</formula>
    </cfRule>
    <cfRule type="expression" dxfId="2859" priority="2187">
      <formula>$A39="Level Crossing"</formula>
    </cfRule>
    <cfRule type="expression" dxfId="2858" priority="2188">
      <formula>$A39="Neutral Section"</formula>
    </cfRule>
    <cfRule type="expression" dxfId="2857" priority="2189">
      <formula>$A39="Tunnel"</formula>
    </cfRule>
    <cfRule type="expression" dxfId="2856" priority="2190">
      <formula>$A39="Bridge"</formula>
    </cfRule>
    <cfRule type="expression" dxfId="2855" priority="2191">
      <formula>$A39="Drainage Works"</formula>
    </cfRule>
    <cfRule type="expression" dxfId="2854" priority="2192">
      <formula>$A39="Underpass"</formula>
    </cfRule>
    <cfRule type="expression" dxfId="2853" priority="2193">
      <formula>$A39="Overcrossing"</formula>
    </cfRule>
    <cfRule type="expression" dxfId="2852" priority="2194">
      <formula>$A39="Overpass"</formula>
    </cfRule>
    <cfRule type="expression" dxfId="2851" priority="2195">
      <formula>$A39="Station"</formula>
    </cfRule>
    <cfRule type="expression" dxfId="2850" priority="2196">
      <formula>$A39="Overlap between sections"</formula>
    </cfRule>
  </conditionalFormatting>
  <conditionalFormatting sqref="B10:B45 B7:V9 X7:AZ11 C10:V17 X15:AZ17 X12:AV14">
    <cfRule type="expression" dxfId="2849" priority="2155">
      <formula>$M7="NON DEFINED"</formula>
    </cfRule>
    <cfRule type="expression" dxfId="2848" priority="2156">
      <formula>$AZ7="N.D."</formula>
    </cfRule>
    <cfRule type="expression" dxfId="2847" priority="2157">
      <formula>$AY7="N.D."</formula>
    </cfRule>
  </conditionalFormatting>
  <conditionalFormatting sqref="AG7:AG17 A7:E9 AY7:AZ11 G7:H17 J7:J17 A10:A17 B10:B45 AM7:AS17 C10:E17 AY15:AZ17">
    <cfRule type="expression" dxfId="2846" priority="2144">
      <formula>$A7="Overhead Cable"</formula>
    </cfRule>
    <cfRule type="expression" dxfId="2845" priority="2145">
      <formula>$A7="Level Crossing"</formula>
    </cfRule>
    <cfRule type="expression" dxfId="2844" priority="2146">
      <formula>$A7="Neutral Section"</formula>
    </cfRule>
    <cfRule type="expression" dxfId="2843" priority="2147">
      <formula>$A7="Tunnel"</formula>
    </cfRule>
    <cfRule type="expression" dxfId="2842" priority="2148">
      <formula>$A7="Bridge"</formula>
    </cfRule>
    <cfRule type="expression" dxfId="2841" priority="2149">
      <formula>$A7="Drainage Works"</formula>
    </cfRule>
    <cfRule type="expression" dxfId="2840" priority="2150">
      <formula>$A7="Underpass"</formula>
    </cfRule>
    <cfRule type="expression" dxfId="2839" priority="2151">
      <formula>$A7="Overcrossing"</formula>
    </cfRule>
    <cfRule type="expression" dxfId="2838" priority="2152">
      <formula>$A7="Overpass"</formula>
    </cfRule>
    <cfRule type="expression" dxfId="2837" priority="2153">
      <formula>$A7="Station"</formula>
    </cfRule>
    <cfRule type="expression" dxfId="2836" priority="2154">
      <formula>$A7="Overlap between sections"</formula>
    </cfRule>
  </conditionalFormatting>
  <conditionalFormatting sqref="AN7:AP17">
    <cfRule type="cellIs" dxfId="2835" priority="2143" operator="notEqual">
      <formula>5.5</formula>
    </cfRule>
  </conditionalFormatting>
  <conditionalFormatting sqref="B7:B45">
    <cfRule type="expression" dxfId="2834" priority="2142">
      <formula>AND($AH7&gt;2499,$AH7&lt;2901)</formula>
    </cfRule>
  </conditionalFormatting>
  <conditionalFormatting sqref="I7:I17">
    <cfRule type="expression" dxfId="2833" priority="2131">
      <formula>$A7="Overhead Cable"</formula>
    </cfRule>
    <cfRule type="expression" dxfId="2832" priority="2132">
      <formula>$A7="Level Crossing"</formula>
    </cfRule>
    <cfRule type="expression" dxfId="2831" priority="2133">
      <formula>$A7="Neutral Section"</formula>
    </cfRule>
    <cfRule type="expression" dxfId="2830" priority="2134">
      <formula>$A7="Tunnel"</formula>
    </cfRule>
    <cfRule type="expression" dxfId="2829" priority="2135">
      <formula>$A7="Bridge"</formula>
    </cfRule>
    <cfRule type="expression" dxfId="2828" priority="2136">
      <formula>$A7="Drainage Works"</formula>
    </cfRule>
    <cfRule type="expression" dxfId="2827" priority="2137">
      <formula>$A7="Underpass"</formula>
    </cfRule>
    <cfRule type="expression" dxfId="2826" priority="2138">
      <formula>$A7="Overcrossing"</formula>
    </cfRule>
    <cfRule type="expression" dxfId="2825" priority="2139">
      <formula>$A7="Overpass"</formula>
    </cfRule>
    <cfRule type="expression" dxfId="2824" priority="2140">
      <formula>$A7="Station"</formula>
    </cfRule>
    <cfRule type="expression" dxfId="2823" priority="2141">
      <formula>$A7="Overlap between sections"</formula>
    </cfRule>
  </conditionalFormatting>
  <conditionalFormatting sqref="K7:K17">
    <cfRule type="expression" dxfId="2822" priority="2120">
      <formula>$A7="Overhead Cable"</formula>
    </cfRule>
    <cfRule type="expression" dxfId="2821" priority="2121">
      <formula>$A7="Level Crossing"</formula>
    </cfRule>
    <cfRule type="expression" dxfId="2820" priority="2122">
      <formula>$A7="Neutral Section"</formula>
    </cfRule>
    <cfRule type="expression" dxfId="2819" priority="2123">
      <formula>$A7="Tunnel"</formula>
    </cfRule>
    <cfRule type="expression" dxfId="2818" priority="2124">
      <formula>$A7="Bridge"</formula>
    </cfRule>
    <cfRule type="expression" dxfId="2817" priority="2125">
      <formula>$A7="Drainage Works"</formula>
    </cfRule>
    <cfRule type="expression" dxfId="2816" priority="2126">
      <formula>$A7="Underpass"</formula>
    </cfRule>
    <cfRule type="expression" dxfId="2815" priority="2127">
      <formula>$A7="Overcrossing"</formula>
    </cfRule>
    <cfRule type="expression" dxfId="2814" priority="2128">
      <formula>$A7="Overpass"</formula>
    </cfRule>
    <cfRule type="expression" dxfId="2813" priority="2129">
      <formula>$A7="Station"</formula>
    </cfRule>
    <cfRule type="expression" dxfId="2812" priority="2130">
      <formula>$A7="Overlap between sections"</formula>
    </cfRule>
  </conditionalFormatting>
  <conditionalFormatting sqref="L7:L17">
    <cfRule type="expression" dxfId="2811" priority="2109">
      <formula>$A7="Overhead Cable"</formula>
    </cfRule>
    <cfRule type="expression" dxfId="2810" priority="2110">
      <formula>$A7="Level Crossing"</formula>
    </cfRule>
    <cfRule type="expression" dxfId="2809" priority="2111">
      <formula>$A7="Neutral Section"</formula>
    </cfRule>
    <cfRule type="expression" dxfId="2808" priority="2112">
      <formula>$A7="Tunnel"</formula>
    </cfRule>
    <cfRule type="expression" dxfId="2807" priority="2113">
      <formula>$A7="Bridge"</formula>
    </cfRule>
    <cfRule type="expression" dxfId="2806" priority="2114">
      <formula>$A7="Drainage Works"</formula>
    </cfRule>
    <cfRule type="expression" dxfId="2805" priority="2115">
      <formula>$A7="Underpass"</formula>
    </cfRule>
    <cfRule type="expression" dxfId="2804" priority="2116">
      <formula>$A7="Overcrossing"</formula>
    </cfRule>
    <cfRule type="expression" dxfId="2803" priority="2117">
      <formula>$A7="Overpass"</formula>
    </cfRule>
    <cfRule type="expression" dxfId="2802" priority="2118">
      <formula>$A7="Station"</formula>
    </cfRule>
    <cfRule type="expression" dxfId="2801" priority="2119">
      <formula>$A7="Overlap between sections"</formula>
    </cfRule>
  </conditionalFormatting>
  <conditionalFormatting sqref="M7:M17">
    <cfRule type="expression" dxfId="2800" priority="2098">
      <formula>$A7="Overhead Cable"</formula>
    </cfRule>
    <cfRule type="expression" dxfId="2799" priority="2099">
      <formula>$A7="Level Crossing"</formula>
    </cfRule>
    <cfRule type="expression" dxfId="2798" priority="2100">
      <formula>$A7="Neutral Section"</formula>
    </cfRule>
    <cfRule type="expression" dxfId="2797" priority="2101">
      <formula>$A7="Tunnel"</formula>
    </cfRule>
    <cfRule type="expression" dxfId="2796" priority="2102">
      <formula>$A7="Bridge"</formula>
    </cfRule>
    <cfRule type="expression" dxfId="2795" priority="2103">
      <formula>$A7="Drainage Works"</formula>
    </cfRule>
    <cfRule type="expression" dxfId="2794" priority="2104">
      <formula>$A7="Underpass"</formula>
    </cfRule>
    <cfRule type="expression" dxfId="2793" priority="2105">
      <formula>$A7="Overcrossing"</formula>
    </cfRule>
    <cfRule type="expression" dxfId="2792" priority="2106">
      <formula>$A7="Overpass"</formula>
    </cfRule>
    <cfRule type="expression" dxfId="2791" priority="2107">
      <formula>$A7="Station"</formula>
    </cfRule>
    <cfRule type="expression" dxfId="2790" priority="2108">
      <formula>$A7="Overlap between sections"</formula>
    </cfRule>
  </conditionalFormatting>
  <conditionalFormatting sqref="N7:N17">
    <cfRule type="expression" dxfId="2789" priority="2087">
      <formula>$A7="Overhead Cable"</formula>
    </cfRule>
    <cfRule type="expression" dxfId="2788" priority="2088">
      <formula>$A7="Level Crossing"</formula>
    </cfRule>
    <cfRule type="expression" dxfId="2787" priority="2089">
      <formula>$A7="Neutral Section"</formula>
    </cfRule>
    <cfRule type="expression" dxfId="2786" priority="2090">
      <formula>$A7="Tunnel"</formula>
    </cfRule>
    <cfRule type="expression" dxfId="2785" priority="2091">
      <formula>$A7="Bridge"</formula>
    </cfRule>
    <cfRule type="expression" dxfId="2784" priority="2092">
      <formula>$A7="Drainage Works"</formula>
    </cfRule>
    <cfRule type="expression" dxfId="2783" priority="2093">
      <formula>$A7="Underpass"</formula>
    </cfRule>
    <cfRule type="expression" dxfId="2782" priority="2094">
      <formula>$A7="Overcrossing"</formula>
    </cfRule>
    <cfRule type="expression" dxfId="2781" priority="2095">
      <formula>$A7="Overpass"</formula>
    </cfRule>
    <cfRule type="expression" dxfId="2780" priority="2096">
      <formula>$A7="Station"</formula>
    </cfRule>
    <cfRule type="expression" dxfId="2779" priority="2097">
      <formula>$A7="Overlap between sections"</formula>
    </cfRule>
  </conditionalFormatting>
  <conditionalFormatting sqref="O7:O17">
    <cfRule type="expression" dxfId="2778" priority="2076">
      <formula>$A7="Overhead Cable"</formula>
    </cfRule>
    <cfRule type="expression" dxfId="2777" priority="2077">
      <formula>$A7="Level Crossing"</formula>
    </cfRule>
    <cfRule type="expression" dxfId="2776" priority="2078">
      <formula>$A7="Neutral Section"</formula>
    </cfRule>
    <cfRule type="expression" dxfId="2775" priority="2079">
      <formula>$A7="Tunnel"</formula>
    </cfRule>
    <cfRule type="expression" dxfId="2774" priority="2080">
      <formula>$A7="Bridge"</formula>
    </cfRule>
    <cfRule type="expression" dxfId="2773" priority="2081">
      <formula>$A7="Drainage Works"</formula>
    </cfRule>
    <cfRule type="expression" dxfId="2772" priority="2082">
      <formula>$A7="Underpass"</formula>
    </cfRule>
    <cfRule type="expression" dxfId="2771" priority="2083">
      <formula>$A7="Overcrossing"</formula>
    </cfRule>
    <cfRule type="expression" dxfId="2770" priority="2084">
      <formula>$A7="Overpass"</formula>
    </cfRule>
    <cfRule type="expression" dxfId="2769" priority="2085">
      <formula>$A7="Station"</formula>
    </cfRule>
    <cfRule type="expression" dxfId="2768" priority="2086">
      <formula>$A7="Overlap between sections"</formula>
    </cfRule>
  </conditionalFormatting>
  <conditionalFormatting sqref="P7:P17">
    <cfRule type="expression" dxfId="2767" priority="2065">
      <formula>$A7="Overhead Cable"</formula>
    </cfRule>
    <cfRule type="expression" dxfId="2766" priority="2066">
      <formula>$A7="Level Crossing"</formula>
    </cfRule>
    <cfRule type="expression" dxfId="2765" priority="2067">
      <formula>$A7="Neutral Section"</formula>
    </cfRule>
    <cfRule type="expression" dxfId="2764" priority="2068">
      <formula>$A7="Tunnel"</formula>
    </cfRule>
    <cfRule type="expression" dxfId="2763" priority="2069">
      <formula>$A7="Bridge"</formula>
    </cfRule>
    <cfRule type="expression" dxfId="2762" priority="2070">
      <formula>$A7="Drainage Works"</formula>
    </cfRule>
    <cfRule type="expression" dxfId="2761" priority="2071">
      <formula>$A7="Underpass"</formula>
    </cfRule>
    <cfRule type="expression" dxfId="2760" priority="2072">
      <formula>$A7="Overcrossing"</formula>
    </cfRule>
    <cfRule type="expression" dxfId="2759" priority="2073">
      <formula>$A7="Overpass"</formula>
    </cfRule>
    <cfRule type="expression" dxfId="2758" priority="2074">
      <formula>$A7="Station"</formula>
    </cfRule>
    <cfRule type="expression" dxfId="2757" priority="2075">
      <formula>$A7="Overlap between sections"</formula>
    </cfRule>
  </conditionalFormatting>
  <conditionalFormatting sqref="AC7:AC17">
    <cfRule type="expression" dxfId="2756" priority="2054">
      <formula>$A7="Overhead Cable"</formula>
    </cfRule>
    <cfRule type="expression" dxfId="2755" priority="2055">
      <formula>$A7="Level Crossing"</formula>
    </cfRule>
    <cfRule type="expression" dxfId="2754" priority="2056">
      <formula>$A7="Neutral Section"</formula>
    </cfRule>
    <cfRule type="expression" dxfId="2753" priority="2057">
      <formula>$A7="Tunnel"</formula>
    </cfRule>
    <cfRule type="expression" dxfId="2752" priority="2058">
      <formula>$A7="Bridge"</formula>
    </cfRule>
    <cfRule type="expression" dxfId="2751" priority="2059">
      <formula>$A7="Drainage Works"</formula>
    </cfRule>
    <cfRule type="expression" dxfId="2750" priority="2060">
      <formula>$A7="Underpass"</formula>
    </cfRule>
    <cfRule type="expression" dxfId="2749" priority="2061">
      <formula>$A7="Overcrossing"</formula>
    </cfRule>
    <cfRule type="expression" dxfId="2748" priority="2062">
      <formula>$A7="Overpass"</formula>
    </cfRule>
    <cfRule type="expression" dxfId="2747" priority="2063">
      <formula>$A7="Station"</formula>
    </cfRule>
    <cfRule type="expression" dxfId="2746" priority="2064">
      <formula>$A7="Overlap between sections"</formula>
    </cfRule>
  </conditionalFormatting>
  <conditionalFormatting sqref="AD7:AD17">
    <cfRule type="expression" dxfId="2745" priority="2043">
      <formula>$A7="Overhead Cable"</formula>
    </cfRule>
    <cfRule type="expression" dxfId="2744" priority="2044">
      <formula>$A7="Level Crossing"</formula>
    </cfRule>
    <cfRule type="expression" dxfId="2743" priority="2045">
      <formula>$A7="Neutral Section"</formula>
    </cfRule>
    <cfRule type="expression" dxfId="2742" priority="2046">
      <formula>$A7="Tunnel"</formula>
    </cfRule>
    <cfRule type="expression" dxfId="2741" priority="2047">
      <formula>$A7="Bridge"</formula>
    </cfRule>
    <cfRule type="expression" dxfId="2740" priority="2048">
      <formula>$A7="Drainage Works"</formula>
    </cfRule>
    <cfRule type="expression" dxfId="2739" priority="2049">
      <formula>$A7="Underpass"</formula>
    </cfRule>
    <cfRule type="expression" dxfId="2738" priority="2050">
      <formula>$A7="Overcrossing"</formula>
    </cfRule>
    <cfRule type="expression" dxfId="2737" priority="2051">
      <formula>$A7="Overpass"</formula>
    </cfRule>
    <cfRule type="expression" dxfId="2736" priority="2052">
      <formula>$A7="Station"</formula>
    </cfRule>
    <cfRule type="expression" dxfId="2735" priority="2053">
      <formula>$A7="Overlap between sections"</formula>
    </cfRule>
  </conditionalFormatting>
  <conditionalFormatting sqref="AE7:AE17">
    <cfRule type="expression" dxfId="2734" priority="2032">
      <formula>$A7="Overhead Cable"</formula>
    </cfRule>
    <cfRule type="expression" dxfId="2733" priority="2033">
      <formula>$A7="Level Crossing"</formula>
    </cfRule>
    <cfRule type="expression" dxfId="2732" priority="2034">
      <formula>$A7="Neutral Section"</formula>
    </cfRule>
    <cfRule type="expression" dxfId="2731" priority="2035">
      <formula>$A7="Tunnel"</formula>
    </cfRule>
    <cfRule type="expression" dxfId="2730" priority="2036">
      <formula>$A7="Bridge"</formula>
    </cfRule>
    <cfRule type="expression" dxfId="2729" priority="2037">
      <formula>$A7="Drainage Works"</formula>
    </cfRule>
    <cfRule type="expression" dxfId="2728" priority="2038">
      <formula>$A7="Underpass"</formula>
    </cfRule>
    <cfRule type="expression" dxfId="2727" priority="2039">
      <formula>$A7="Overcrossing"</formula>
    </cfRule>
    <cfRule type="expression" dxfId="2726" priority="2040">
      <formula>$A7="Overpass"</formula>
    </cfRule>
    <cfRule type="expression" dxfId="2725" priority="2041">
      <formula>$A7="Station"</formula>
    </cfRule>
    <cfRule type="expression" dxfId="2724" priority="2042">
      <formula>$A7="Overlap between sections"</formula>
    </cfRule>
  </conditionalFormatting>
  <conditionalFormatting sqref="AJ7:AJ17">
    <cfRule type="expression" dxfId="2723" priority="2021">
      <formula>$A7="Overhead Cable"</formula>
    </cfRule>
    <cfRule type="expression" dxfId="2722" priority="2022">
      <formula>$A7="Level Crossing"</formula>
    </cfRule>
    <cfRule type="expression" dxfId="2721" priority="2023">
      <formula>$A7="Neutral Section"</formula>
    </cfRule>
    <cfRule type="expression" dxfId="2720" priority="2024">
      <formula>$A7="Tunnel"</formula>
    </cfRule>
    <cfRule type="expression" dxfId="2719" priority="2025">
      <formula>$A7="Bridge"</formula>
    </cfRule>
    <cfRule type="expression" dxfId="2718" priority="2026">
      <formula>$A7="Drainage Works"</formula>
    </cfRule>
    <cfRule type="expression" dxfId="2717" priority="2027">
      <formula>$A7="Underpass"</formula>
    </cfRule>
    <cfRule type="expression" dxfId="2716" priority="2028">
      <formula>$A7="Overcrossing"</formula>
    </cfRule>
    <cfRule type="expression" dxfId="2715" priority="2029">
      <formula>$A7="Overpass"</formula>
    </cfRule>
    <cfRule type="expression" dxfId="2714" priority="2030">
      <formula>$A7="Station"</formula>
    </cfRule>
    <cfRule type="expression" dxfId="2713" priority="2031">
      <formula>$A7="Overlap between sections"</formula>
    </cfRule>
  </conditionalFormatting>
  <conditionalFormatting sqref="AK7:AK17">
    <cfRule type="expression" dxfId="2712" priority="2010">
      <formula>$A7="Overhead Cable"</formula>
    </cfRule>
    <cfRule type="expression" dxfId="2711" priority="2011">
      <formula>$A7="Level Crossing"</formula>
    </cfRule>
    <cfRule type="expression" dxfId="2710" priority="2012">
      <formula>$A7="Neutral Section"</formula>
    </cfRule>
    <cfRule type="expression" dxfId="2709" priority="2013">
      <formula>$A7="Tunnel"</formula>
    </cfRule>
    <cfRule type="expression" dxfId="2708" priority="2014">
      <formula>$A7="Bridge"</formula>
    </cfRule>
    <cfRule type="expression" dxfId="2707" priority="2015">
      <formula>$A7="Drainage Works"</formula>
    </cfRule>
    <cfRule type="expression" dxfId="2706" priority="2016">
      <formula>$A7="Underpass"</formula>
    </cfRule>
    <cfRule type="expression" dxfId="2705" priority="2017">
      <formula>$A7="Overcrossing"</formula>
    </cfRule>
    <cfRule type="expression" dxfId="2704" priority="2018">
      <formula>$A7="Overpass"</formula>
    </cfRule>
    <cfRule type="expression" dxfId="2703" priority="2019">
      <formula>$A7="Station"</formula>
    </cfRule>
    <cfRule type="expression" dxfId="2702" priority="2020">
      <formula>$A7="Overlap between sections"</formula>
    </cfRule>
  </conditionalFormatting>
  <conditionalFormatting sqref="AL7:AL17">
    <cfRule type="expression" dxfId="2701" priority="1999">
      <formula>$A7="Overhead Cable"</formula>
    </cfRule>
    <cfRule type="expression" dxfId="2700" priority="2000">
      <formula>$A7="Level Crossing"</formula>
    </cfRule>
    <cfRule type="expression" dxfId="2699" priority="2001">
      <formula>$A7="Neutral Section"</formula>
    </cfRule>
    <cfRule type="expression" dxfId="2698" priority="2002">
      <formula>$A7="Tunnel"</formula>
    </cfRule>
    <cfRule type="expression" dxfId="2697" priority="2003">
      <formula>$A7="Bridge"</formula>
    </cfRule>
    <cfRule type="expression" dxfId="2696" priority="2004">
      <formula>$A7="Drainage Works"</formula>
    </cfRule>
    <cfRule type="expression" dxfId="2695" priority="2005">
      <formula>$A7="Underpass"</formula>
    </cfRule>
    <cfRule type="expression" dxfId="2694" priority="2006">
      <formula>$A7="Overcrossing"</formula>
    </cfRule>
    <cfRule type="expression" dxfId="2693" priority="2007">
      <formula>$A7="Overpass"</formula>
    </cfRule>
    <cfRule type="expression" dxfId="2692" priority="2008">
      <formula>$A7="Station"</formula>
    </cfRule>
    <cfRule type="expression" dxfId="2691" priority="2009">
      <formula>$A7="Overlap between sections"</formula>
    </cfRule>
  </conditionalFormatting>
  <conditionalFormatting sqref="AT7:AT17">
    <cfRule type="expression" dxfId="2690" priority="1988">
      <formula>$A7="Overhead Cable"</formula>
    </cfRule>
    <cfRule type="expression" dxfId="2689" priority="1989">
      <formula>$A7="Level Crossing"</formula>
    </cfRule>
    <cfRule type="expression" dxfId="2688" priority="1990">
      <formula>$A7="Neutral Section"</formula>
    </cfRule>
    <cfRule type="expression" dxfId="2687" priority="1991">
      <formula>$A7="Tunnel"</formula>
    </cfRule>
    <cfRule type="expression" dxfId="2686" priority="1992">
      <formula>$A7="Bridge"</formula>
    </cfRule>
    <cfRule type="expression" dxfId="2685" priority="1993">
      <formula>$A7="Drainage Works"</formula>
    </cfRule>
    <cfRule type="expression" dxfId="2684" priority="1994">
      <formula>$A7="Underpass"</formula>
    </cfRule>
    <cfRule type="expression" dxfId="2683" priority="1995">
      <formula>$A7="Overcrossing"</formula>
    </cfRule>
    <cfRule type="expression" dxfId="2682" priority="1996">
      <formula>$A7="Overpass"</formula>
    </cfRule>
    <cfRule type="expression" dxfId="2681" priority="1997">
      <formula>$A7="Station"</formula>
    </cfRule>
    <cfRule type="expression" dxfId="2680" priority="1998">
      <formula>$A7="Overlap between sections"</formula>
    </cfRule>
  </conditionalFormatting>
  <conditionalFormatting sqref="AU7:AU17">
    <cfRule type="expression" dxfId="2679" priority="1977">
      <formula>$A7="Overhead Cable"</formula>
    </cfRule>
    <cfRule type="expression" dxfId="2678" priority="1978">
      <formula>$A7="Level Crossing"</formula>
    </cfRule>
    <cfRule type="expression" dxfId="2677" priority="1979">
      <formula>$A7="Neutral Section"</formula>
    </cfRule>
    <cfRule type="expression" dxfId="2676" priority="1980">
      <formula>$A7="Tunnel"</formula>
    </cfRule>
    <cfRule type="expression" dxfId="2675" priority="1981">
      <formula>$A7="Bridge"</formula>
    </cfRule>
    <cfRule type="expression" dxfId="2674" priority="1982">
      <formula>$A7="Drainage Works"</formula>
    </cfRule>
    <cfRule type="expression" dxfId="2673" priority="1983">
      <formula>$A7="Underpass"</formula>
    </cfRule>
    <cfRule type="expression" dxfId="2672" priority="1984">
      <formula>$A7="Overcrossing"</formula>
    </cfRule>
    <cfRule type="expression" dxfId="2671" priority="1985">
      <formula>$A7="Overpass"</formula>
    </cfRule>
    <cfRule type="expression" dxfId="2670" priority="1986">
      <formula>$A7="Station"</formula>
    </cfRule>
    <cfRule type="expression" dxfId="2669" priority="1987">
      <formula>$A7="Overlap between sections"</formula>
    </cfRule>
  </conditionalFormatting>
  <conditionalFormatting sqref="AV7:AV17">
    <cfRule type="expression" dxfId="2668" priority="1966">
      <formula>$A7="Overhead Cable"</formula>
    </cfRule>
    <cfRule type="expression" dxfId="2667" priority="1967">
      <formula>$A7="Level Crossing"</formula>
    </cfRule>
    <cfRule type="expression" dxfId="2666" priority="1968">
      <formula>$A7="Neutral Section"</formula>
    </cfRule>
    <cfRule type="expression" dxfId="2665" priority="1969">
      <formula>$A7="Tunnel"</formula>
    </cfRule>
    <cfRule type="expression" dxfId="2664" priority="1970">
      <formula>$A7="Bridge"</formula>
    </cfRule>
    <cfRule type="expression" dxfId="2663" priority="1971">
      <formula>$A7="Drainage Works"</formula>
    </cfRule>
    <cfRule type="expression" dxfId="2662" priority="1972">
      <formula>$A7="Underpass"</formula>
    </cfRule>
    <cfRule type="expression" dxfId="2661" priority="1973">
      <formula>$A7="Overcrossing"</formula>
    </cfRule>
    <cfRule type="expression" dxfId="2660" priority="1974">
      <formula>$A7="Overpass"</formula>
    </cfRule>
    <cfRule type="expression" dxfId="2659" priority="1975">
      <formula>$A7="Station"</formula>
    </cfRule>
    <cfRule type="expression" dxfId="2658" priority="1976">
      <formula>$A7="Overlap between sections"</formula>
    </cfRule>
  </conditionalFormatting>
  <conditionalFormatting sqref="AW7:AW11 AW15:AW17">
    <cfRule type="expression" dxfId="2657" priority="1955">
      <formula>$A7="Overhead Cable"</formula>
    </cfRule>
    <cfRule type="expression" dxfId="2656" priority="1956">
      <formula>$A7="Level Crossing"</formula>
    </cfRule>
    <cfRule type="expression" dxfId="2655" priority="1957">
      <formula>$A7="Neutral Section"</formula>
    </cfRule>
    <cfRule type="expression" dxfId="2654" priority="1958">
      <formula>$A7="Tunnel"</formula>
    </cfRule>
    <cfRule type="expression" dxfId="2653" priority="1959">
      <formula>$A7="Bridge"</formula>
    </cfRule>
    <cfRule type="expression" dxfId="2652" priority="1960">
      <formula>$A7="Drainage Works"</formula>
    </cfRule>
    <cfRule type="expression" dxfId="2651" priority="1961">
      <formula>$A7="Underpass"</formula>
    </cfRule>
    <cfRule type="expression" dxfId="2650" priority="1962">
      <formula>$A7="Overcrossing"</formula>
    </cfRule>
    <cfRule type="expression" dxfId="2649" priority="1963">
      <formula>$A7="Overpass"</formula>
    </cfRule>
    <cfRule type="expression" dxfId="2648" priority="1964">
      <formula>$A7="Station"</formula>
    </cfRule>
    <cfRule type="expression" dxfId="2647" priority="1965">
      <formula>$A7="Overlap between sections"</formula>
    </cfRule>
  </conditionalFormatting>
  <conditionalFormatting sqref="AX7:AX11 AX15:AX17">
    <cfRule type="expression" dxfId="2646" priority="1944">
      <formula>$A7="Overhead Cable"</formula>
    </cfRule>
    <cfRule type="expression" dxfId="2645" priority="1945">
      <formula>$A7="Level Crossing"</formula>
    </cfRule>
    <cfRule type="expression" dxfId="2644" priority="1946">
      <formula>$A7="Neutral Section"</formula>
    </cfRule>
    <cfRule type="expression" dxfId="2643" priority="1947">
      <formula>$A7="Tunnel"</formula>
    </cfRule>
    <cfRule type="expression" dxfId="2642" priority="1948">
      <formula>$A7="Bridge"</formula>
    </cfRule>
    <cfRule type="expression" dxfId="2641" priority="1949">
      <formula>$A7="Drainage Works"</formula>
    </cfRule>
    <cfRule type="expression" dxfId="2640" priority="1950">
      <formula>$A7="Underpass"</formula>
    </cfRule>
    <cfRule type="expression" dxfId="2639" priority="1951">
      <formula>$A7="Overcrossing"</formula>
    </cfRule>
    <cfRule type="expression" dxfId="2638" priority="1952">
      <formula>$A7="Overpass"</formula>
    </cfRule>
    <cfRule type="expression" dxfId="2637" priority="1953">
      <formula>$A7="Station"</formula>
    </cfRule>
    <cfRule type="expression" dxfId="2636" priority="1954">
      <formula>$A7="Overlap between sections"</formula>
    </cfRule>
  </conditionalFormatting>
  <conditionalFormatting sqref="F7:F17">
    <cfRule type="expression" dxfId="2635" priority="1933">
      <formula>$A7="Overhead Cable"</formula>
    </cfRule>
    <cfRule type="expression" dxfId="2634" priority="1934">
      <formula>$A7="Level Crossing"</formula>
    </cfRule>
    <cfRule type="expression" dxfId="2633" priority="1935">
      <formula>$A7="Neutral Section"</formula>
    </cfRule>
    <cfRule type="expression" dxfId="2632" priority="1936">
      <formula>$A7="Tunnel"</formula>
    </cfRule>
    <cfRule type="expression" dxfId="2631" priority="1937">
      <formula>$A7="Bridge"</formula>
    </cfRule>
    <cfRule type="expression" dxfId="2630" priority="1938">
      <formula>$A7="Drainage Works"</formula>
    </cfRule>
    <cfRule type="expression" dxfId="2629" priority="1939">
      <formula>$A7="Underpass"</formula>
    </cfRule>
    <cfRule type="expression" dxfId="2628" priority="1940">
      <formula>$A7="Overcrossing"</formula>
    </cfRule>
    <cfRule type="expression" dxfId="2627" priority="1941">
      <formula>$A7="Overpass"</formula>
    </cfRule>
    <cfRule type="expression" dxfId="2626" priority="1942">
      <formula>$A7="Station"</formula>
    </cfRule>
    <cfRule type="expression" dxfId="2625" priority="1943">
      <formula>$A7="Overlap between sections"</formula>
    </cfRule>
  </conditionalFormatting>
  <conditionalFormatting sqref="Q7:Q17">
    <cfRule type="expression" dxfId="2624" priority="1922">
      <formula>$A7="Overhead Cable"</formula>
    </cfRule>
    <cfRule type="expression" dxfId="2623" priority="1923">
      <formula>$A7="Level Crossing"</formula>
    </cfRule>
    <cfRule type="expression" dxfId="2622" priority="1924">
      <formula>$A7="Neutral Section"</formula>
    </cfRule>
    <cfRule type="expression" dxfId="2621" priority="1925">
      <formula>$A7="Tunnel"</formula>
    </cfRule>
    <cfRule type="expression" dxfId="2620" priority="1926">
      <formula>$A7="Bridge"</formula>
    </cfRule>
    <cfRule type="expression" dxfId="2619" priority="1927">
      <formula>$A7="Drainage Works"</formula>
    </cfRule>
    <cfRule type="expression" dxfId="2618" priority="1928">
      <formula>$A7="Underpass"</formula>
    </cfRule>
    <cfRule type="expression" dxfId="2617" priority="1929">
      <formula>$A7="Overcrossing"</formula>
    </cfRule>
    <cfRule type="expression" dxfId="2616" priority="1930">
      <formula>$A7="Overpass"</formula>
    </cfRule>
    <cfRule type="expression" dxfId="2615" priority="1931">
      <formula>$A7="Station"</formula>
    </cfRule>
    <cfRule type="expression" dxfId="2614" priority="1932">
      <formula>$A7="Overlap between sections"</formula>
    </cfRule>
  </conditionalFormatting>
  <conditionalFormatting sqref="T7:T17">
    <cfRule type="expression" dxfId="2613" priority="1911">
      <formula>$A7="Overhead Cable"</formula>
    </cfRule>
    <cfRule type="expression" dxfId="2612" priority="1912">
      <formula>$A7="Level Crossing"</formula>
    </cfRule>
    <cfRule type="expression" dxfId="2611" priority="1913">
      <formula>$A7="Neutral Section"</formula>
    </cfRule>
    <cfRule type="expression" dxfId="2610" priority="1914">
      <formula>$A7="Tunnel"</formula>
    </cfRule>
    <cfRule type="expression" dxfId="2609" priority="1915">
      <formula>$A7="Bridge"</formula>
    </cfRule>
    <cfRule type="expression" dxfId="2608" priority="1916">
      <formula>$A7="Drainage Works"</formula>
    </cfRule>
    <cfRule type="expression" dxfId="2607" priority="1917">
      <formula>$A7="Underpass"</formula>
    </cfRule>
    <cfRule type="expression" dxfId="2606" priority="1918">
      <formula>$A7="Overcrossing"</formula>
    </cfRule>
    <cfRule type="expression" dxfId="2605" priority="1919">
      <formula>$A7="Overpass"</formula>
    </cfRule>
    <cfRule type="expression" dxfId="2604" priority="1920">
      <formula>$A7="Station"</formula>
    </cfRule>
    <cfRule type="expression" dxfId="2603" priority="1921">
      <formula>$A7="Overlap between sections"</formula>
    </cfRule>
  </conditionalFormatting>
  <conditionalFormatting sqref="U7:U17">
    <cfRule type="expression" dxfId="2602" priority="1900">
      <formula>$A7="Overhead Cable"</formula>
    </cfRule>
    <cfRule type="expression" dxfId="2601" priority="1901">
      <formula>$A7="Level Crossing"</formula>
    </cfRule>
    <cfRule type="expression" dxfId="2600" priority="1902">
      <formula>$A7="Neutral Section"</formula>
    </cfRule>
    <cfRule type="expression" dxfId="2599" priority="1903">
      <formula>$A7="Tunnel"</formula>
    </cfRule>
    <cfRule type="expression" dxfId="2598" priority="1904">
      <formula>$A7="Bridge"</formula>
    </cfRule>
    <cfRule type="expression" dxfId="2597" priority="1905">
      <formula>$A7="Drainage Works"</formula>
    </cfRule>
    <cfRule type="expression" dxfId="2596" priority="1906">
      <formula>$A7="Underpass"</formula>
    </cfRule>
    <cfRule type="expression" dxfId="2595" priority="1907">
      <formula>$A7="Overcrossing"</formula>
    </cfRule>
    <cfRule type="expression" dxfId="2594" priority="1908">
      <formula>$A7="Overpass"</formula>
    </cfRule>
    <cfRule type="expression" dxfId="2593" priority="1909">
      <formula>$A7="Station"</formula>
    </cfRule>
    <cfRule type="expression" dxfId="2592" priority="1910">
      <formula>$A7="Overlap between sections"</formula>
    </cfRule>
  </conditionalFormatting>
  <conditionalFormatting sqref="V7:V17">
    <cfRule type="expression" dxfId="2591" priority="1889">
      <formula>$A7="Overhead Cable"</formula>
    </cfRule>
    <cfRule type="expression" dxfId="2590" priority="1890">
      <formula>$A7="Level Crossing"</formula>
    </cfRule>
    <cfRule type="expression" dxfId="2589" priority="1891">
      <formula>$A7="Neutral Section"</formula>
    </cfRule>
    <cfRule type="expression" dxfId="2588" priority="1892">
      <formula>$A7="Tunnel"</formula>
    </cfRule>
    <cfRule type="expression" dxfId="2587" priority="1893">
      <formula>$A7="Bridge"</formula>
    </cfRule>
    <cfRule type="expression" dxfId="2586" priority="1894">
      <formula>$A7="Drainage Works"</formula>
    </cfRule>
    <cfRule type="expression" dxfId="2585" priority="1895">
      <formula>$A7="Underpass"</formula>
    </cfRule>
    <cfRule type="expression" dxfId="2584" priority="1896">
      <formula>$A7="Overcrossing"</formula>
    </cfRule>
    <cfRule type="expression" dxfId="2583" priority="1897">
      <formula>$A7="Overpass"</formula>
    </cfRule>
    <cfRule type="expression" dxfId="2582" priority="1898">
      <formula>$A7="Station"</formula>
    </cfRule>
    <cfRule type="expression" dxfId="2581" priority="1899">
      <formula>$A7="Overlap between sections"</formula>
    </cfRule>
  </conditionalFormatting>
  <conditionalFormatting sqref="AF7:AF17">
    <cfRule type="expression" dxfId="2580" priority="1878">
      <formula>$A7="Overhead Cable"</formula>
    </cfRule>
    <cfRule type="expression" dxfId="2579" priority="1879">
      <formula>$A7="Level Crossing"</formula>
    </cfRule>
    <cfRule type="expression" dxfId="2578" priority="1880">
      <formula>$A7="Neutral Section"</formula>
    </cfRule>
    <cfRule type="expression" dxfId="2577" priority="1881">
      <formula>$A7="Tunnel"</formula>
    </cfRule>
    <cfRule type="expression" dxfId="2576" priority="1882">
      <formula>$A7="Bridge"</formula>
    </cfRule>
    <cfRule type="expression" dxfId="2575" priority="1883">
      <formula>$A7="Drainage Works"</formula>
    </cfRule>
    <cfRule type="expression" dxfId="2574" priority="1884">
      <formula>$A7="Underpass"</formula>
    </cfRule>
    <cfRule type="expression" dxfId="2573" priority="1885">
      <formula>$A7="Overcrossing"</formula>
    </cfRule>
    <cfRule type="expression" dxfId="2572" priority="1886">
      <formula>$A7="Overpass"</formula>
    </cfRule>
    <cfRule type="expression" dxfId="2571" priority="1887">
      <formula>$A7="Station"</formula>
    </cfRule>
    <cfRule type="expression" dxfId="2570" priority="1888">
      <formula>$A7="Overlap between sections"</formula>
    </cfRule>
  </conditionalFormatting>
  <conditionalFormatting sqref="AH7:AH17">
    <cfRule type="expression" dxfId="2569" priority="1867">
      <formula>$A7="Overhead Cable"</formula>
    </cfRule>
    <cfRule type="expression" dxfId="2568" priority="1868">
      <formula>$A7="Level Crossing"</formula>
    </cfRule>
    <cfRule type="expression" dxfId="2567" priority="1869">
      <formula>$A7="Neutral Section"</formula>
    </cfRule>
    <cfRule type="expression" dxfId="2566" priority="1870">
      <formula>$A7="Tunnel"</formula>
    </cfRule>
    <cfRule type="expression" dxfId="2565" priority="1871">
      <formula>$A7="Bridge"</formula>
    </cfRule>
    <cfRule type="expression" dxfId="2564" priority="1872">
      <formula>$A7="Drainage Works"</formula>
    </cfRule>
    <cfRule type="expression" dxfId="2563" priority="1873">
      <formula>$A7="Underpass"</formula>
    </cfRule>
    <cfRule type="expression" dxfId="2562" priority="1874">
      <formula>$A7="Overcrossing"</formula>
    </cfRule>
    <cfRule type="expression" dxfId="2561" priority="1875">
      <formula>$A7="Overpass"</formula>
    </cfRule>
    <cfRule type="expression" dxfId="2560" priority="1876">
      <formula>$A7="Station"</formula>
    </cfRule>
    <cfRule type="expression" dxfId="2559" priority="1877">
      <formula>$A7="Overlap between sections"</formula>
    </cfRule>
  </conditionalFormatting>
  <conditionalFormatting sqref="AI7:AI17">
    <cfRule type="expression" dxfId="2558" priority="1856">
      <formula>$A7="Overhead Cable"</formula>
    </cfRule>
    <cfRule type="expression" dxfId="2557" priority="1857">
      <formula>$A7="Level Crossing"</formula>
    </cfRule>
    <cfRule type="expression" dxfId="2556" priority="1858">
      <formula>$A7="Neutral Section"</formula>
    </cfRule>
    <cfRule type="expression" dxfId="2555" priority="1859">
      <formula>$A7="Tunnel"</formula>
    </cfRule>
    <cfRule type="expression" dxfId="2554" priority="1860">
      <formula>$A7="Bridge"</formula>
    </cfRule>
    <cfRule type="expression" dxfId="2553" priority="1861">
      <formula>$A7="Drainage Works"</formula>
    </cfRule>
    <cfRule type="expression" dxfId="2552" priority="1862">
      <formula>$A7="Underpass"</formula>
    </cfRule>
    <cfRule type="expression" dxfId="2551" priority="1863">
      <formula>$A7="Overcrossing"</formula>
    </cfRule>
    <cfRule type="expression" dxfId="2550" priority="1864">
      <formula>$A7="Overpass"</formula>
    </cfRule>
    <cfRule type="expression" dxfId="2549" priority="1865">
      <formula>$A7="Station"</formula>
    </cfRule>
    <cfRule type="expression" dxfId="2548" priority="1866">
      <formula>$A7="Overlap between sections"</formula>
    </cfRule>
  </conditionalFormatting>
  <conditionalFormatting sqref="R7:R17">
    <cfRule type="expression" dxfId="2547" priority="1845">
      <formula>$A7="Overhead Cable"</formula>
    </cfRule>
    <cfRule type="expression" dxfId="2546" priority="1846">
      <formula>$A7="Level Crossing"</formula>
    </cfRule>
    <cfRule type="expression" dxfId="2545" priority="1847">
      <formula>$A7="Neutral Section"</formula>
    </cfRule>
    <cfRule type="expression" dxfId="2544" priority="1848">
      <formula>$A7="Tunnel"</formula>
    </cfRule>
    <cfRule type="expression" dxfId="2543" priority="1849">
      <formula>$A7="Bridge"</formula>
    </cfRule>
    <cfRule type="expression" dxfId="2542" priority="1850">
      <formula>$A7="Drainage Works"</formula>
    </cfRule>
    <cfRule type="expression" dxfId="2541" priority="1851">
      <formula>$A7="Underpass"</formula>
    </cfRule>
    <cfRule type="expression" dxfId="2540" priority="1852">
      <formula>$A7="Overcrossing"</formula>
    </cfRule>
    <cfRule type="expression" dxfId="2539" priority="1853">
      <formula>$A7="Overpass"</formula>
    </cfRule>
    <cfRule type="expression" dxfId="2538" priority="1854">
      <formula>$A7="Station"</formula>
    </cfRule>
    <cfRule type="expression" dxfId="2537" priority="1855">
      <formula>$A7="Overlap between sections"</formula>
    </cfRule>
  </conditionalFormatting>
  <conditionalFormatting sqref="S7:S17">
    <cfRule type="expression" dxfId="2536" priority="1834">
      <formula>$A7="Overhead Cable"</formula>
    </cfRule>
    <cfRule type="expression" dxfId="2535" priority="1835">
      <formula>$A7="Level Crossing"</formula>
    </cfRule>
    <cfRule type="expression" dxfId="2534" priority="1836">
      <formula>$A7="Neutral Section"</formula>
    </cfRule>
    <cfRule type="expression" dxfId="2533" priority="1837">
      <formula>$A7="Tunnel"</formula>
    </cfRule>
    <cfRule type="expression" dxfId="2532" priority="1838">
      <formula>$A7="Bridge"</formula>
    </cfRule>
    <cfRule type="expression" dxfId="2531" priority="1839">
      <formula>$A7="Drainage Works"</formula>
    </cfRule>
    <cfRule type="expression" dxfId="2530" priority="1840">
      <formula>$A7="Underpass"</formula>
    </cfRule>
    <cfRule type="expression" dxfId="2529" priority="1841">
      <formula>$A7="Overcrossing"</formula>
    </cfRule>
    <cfRule type="expression" dxfId="2528" priority="1842">
      <formula>$A7="Overpass"</formula>
    </cfRule>
    <cfRule type="expression" dxfId="2527" priority="1843">
      <formula>$A7="Station"</formula>
    </cfRule>
    <cfRule type="expression" dxfId="2526" priority="1844">
      <formula>$A7="Overlap between sections"</formula>
    </cfRule>
  </conditionalFormatting>
  <conditionalFormatting sqref="X7:X17">
    <cfRule type="expression" dxfId="2525" priority="1823">
      <formula>$A7="Overhead Cable"</formula>
    </cfRule>
    <cfRule type="expression" dxfId="2524" priority="1824">
      <formula>$A7="Level Crossing"</formula>
    </cfRule>
    <cfRule type="expression" dxfId="2523" priority="1825">
      <formula>$A7="Neutral Section"</formula>
    </cfRule>
    <cfRule type="expression" dxfId="2522" priority="1826">
      <formula>$A7="Tunnel"</formula>
    </cfRule>
    <cfRule type="expression" dxfId="2521" priority="1827">
      <formula>$A7="Bridge"</formula>
    </cfRule>
    <cfRule type="expression" dxfId="2520" priority="1828">
      <formula>$A7="Drainage Works"</formula>
    </cfRule>
    <cfRule type="expression" dxfId="2519" priority="1829">
      <formula>$A7="Underpass"</formula>
    </cfRule>
    <cfRule type="expression" dxfId="2518" priority="1830">
      <formula>$A7="Overcrossing"</formula>
    </cfRule>
    <cfRule type="expression" dxfId="2517" priority="1831">
      <formula>$A7="Overpass"</formula>
    </cfRule>
    <cfRule type="expression" dxfId="2516" priority="1832">
      <formula>$A7="Station"</formula>
    </cfRule>
    <cfRule type="expression" dxfId="2515" priority="1833">
      <formula>$A7="Overlap between sections"</formula>
    </cfRule>
  </conditionalFormatting>
  <conditionalFormatting sqref="Y7:Y17">
    <cfRule type="expression" dxfId="2514" priority="1812">
      <formula>$A7="Overhead Cable"</formula>
    </cfRule>
    <cfRule type="expression" dxfId="2513" priority="1813">
      <formula>$A7="Level Crossing"</formula>
    </cfRule>
    <cfRule type="expression" dxfId="2512" priority="1814">
      <formula>$A7="Neutral Section"</formula>
    </cfRule>
    <cfRule type="expression" dxfId="2511" priority="1815">
      <formula>$A7="Tunnel"</formula>
    </cfRule>
    <cfRule type="expression" dxfId="2510" priority="1816">
      <formula>$A7="Bridge"</formula>
    </cfRule>
    <cfRule type="expression" dxfId="2509" priority="1817">
      <formula>$A7="Drainage Works"</formula>
    </cfRule>
    <cfRule type="expression" dxfId="2508" priority="1818">
      <formula>$A7="Underpass"</formula>
    </cfRule>
    <cfRule type="expression" dxfId="2507" priority="1819">
      <formula>$A7="Overcrossing"</formula>
    </cfRule>
    <cfRule type="expression" dxfId="2506" priority="1820">
      <formula>$A7="Overpass"</formula>
    </cfRule>
    <cfRule type="expression" dxfId="2505" priority="1821">
      <formula>$A7="Station"</formula>
    </cfRule>
    <cfRule type="expression" dxfId="2504" priority="1822">
      <formula>$A7="Overlap between sections"</formula>
    </cfRule>
  </conditionalFormatting>
  <conditionalFormatting sqref="Z7:Z17">
    <cfRule type="expression" dxfId="2503" priority="1801">
      <formula>$A7="Overhead Cable"</formula>
    </cfRule>
    <cfRule type="expression" dxfId="2502" priority="1802">
      <formula>$A7="Level Crossing"</formula>
    </cfRule>
    <cfRule type="expression" dxfId="2501" priority="1803">
      <formula>$A7="Neutral Section"</formula>
    </cfRule>
    <cfRule type="expression" dxfId="2500" priority="1804">
      <formula>$A7="Tunnel"</formula>
    </cfRule>
    <cfRule type="expression" dxfId="2499" priority="1805">
      <formula>$A7="Bridge"</formula>
    </cfRule>
    <cfRule type="expression" dxfId="2498" priority="1806">
      <formula>$A7="Drainage Works"</formula>
    </cfRule>
    <cfRule type="expression" dxfId="2497" priority="1807">
      <formula>$A7="Underpass"</formula>
    </cfRule>
    <cfRule type="expression" dxfId="2496" priority="1808">
      <formula>$A7="Overcrossing"</formula>
    </cfRule>
    <cfRule type="expression" dxfId="2495" priority="1809">
      <formula>$A7="Overpass"</formula>
    </cfRule>
    <cfRule type="expression" dxfId="2494" priority="1810">
      <formula>$A7="Station"</formula>
    </cfRule>
    <cfRule type="expression" dxfId="2493" priority="1811">
      <formula>$A7="Overlap between sections"</formula>
    </cfRule>
  </conditionalFormatting>
  <conditionalFormatting sqref="AA7:AA17">
    <cfRule type="expression" dxfId="2492" priority="1790">
      <formula>$A7="Overhead Cable"</formula>
    </cfRule>
    <cfRule type="expression" dxfId="2491" priority="1791">
      <formula>$A7="Level Crossing"</formula>
    </cfRule>
    <cfRule type="expression" dxfId="2490" priority="1792">
      <formula>$A7="Neutral Section"</formula>
    </cfRule>
    <cfRule type="expression" dxfId="2489" priority="1793">
      <formula>$A7="Tunnel"</formula>
    </cfRule>
    <cfRule type="expression" dxfId="2488" priority="1794">
      <formula>$A7="Bridge"</formula>
    </cfRule>
    <cfRule type="expression" dxfId="2487" priority="1795">
      <formula>$A7="Drainage Works"</formula>
    </cfRule>
    <cfRule type="expression" dxfId="2486" priority="1796">
      <formula>$A7="Underpass"</formula>
    </cfRule>
    <cfRule type="expression" dxfId="2485" priority="1797">
      <formula>$A7="Overcrossing"</formula>
    </cfRule>
    <cfRule type="expression" dxfId="2484" priority="1798">
      <formula>$A7="Overpass"</formula>
    </cfRule>
    <cfRule type="expression" dxfId="2483" priority="1799">
      <formula>$A7="Station"</formula>
    </cfRule>
    <cfRule type="expression" dxfId="2482" priority="1800">
      <formula>$A7="Overlap between sections"</formula>
    </cfRule>
  </conditionalFormatting>
  <conditionalFormatting sqref="AB7:AB17">
    <cfRule type="expression" dxfId="2481" priority="1779">
      <formula>$A7="Overhead Cable"</formula>
    </cfRule>
    <cfRule type="expression" dxfId="2480" priority="1780">
      <formula>$A7="Level Crossing"</formula>
    </cfRule>
    <cfRule type="expression" dxfId="2479" priority="1781">
      <formula>$A7="Neutral Section"</formula>
    </cfRule>
    <cfRule type="expression" dxfId="2478" priority="1782">
      <formula>$A7="Tunnel"</formula>
    </cfRule>
    <cfRule type="expression" dxfId="2477" priority="1783">
      <formula>$A7="Bridge"</formula>
    </cfRule>
    <cfRule type="expression" dxfId="2476" priority="1784">
      <formula>$A7="Drainage Works"</formula>
    </cfRule>
    <cfRule type="expression" dxfId="2475" priority="1785">
      <formula>$A7="Underpass"</formula>
    </cfRule>
    <cfRule type="expression" dxfId="2474" priority="1786">
      <formula>$A7="Overcrossing"</formula>
    </cfRule>
    <cfRule type="expression" dxfId="2473" priority="1787">
      <formula>$A7="Overpass"</formula>
    </cfRule>
    <cfRule type="expression" dxfId="2472" priority="1788">
      <formula>$A7="Station"</formula>
    </cfRule>
    <cfRule type="expression" dxfId="2471" priority="1789">
      <formula>$A7="Overlap between sections"</formula>
    </cfRule>
  </conditionalFormatting>
  <conditionalFormatting sqref="BD7:BD11 BD15:BD17">
    <cfRule type="containsText" dxfId="2470" priority="1778" operator="containsText" text="Poner a mano">
      <formula>NOT(ISERROR(SEARCH("Poner a mano",BD7)))</formula>
    </cfRule>
  </conditionalFormatting>
  <conditionalFormatting sqref="BA7:BC11 BA15:BC17">
    <cfRule type="expression" dxfId="2469" priority="1776">
      <formula>$BE7="A"</formula>
    </cfRule>
    <cfRule type="expression" dxfId="2468" priority="1777">
      <formula>$BE7="R"</formula>
    </cfRule>
  </conditionalFormatting>
  <conditionalFormatting sqref="BC7:BC11 BC15:BC17">
    <cfRule type="expression" dxfId="2467" priority="1775">
      <formula>$M7="U.S. N.D."</formula>
    </cfRule>
  </conditionalFormatting>
  <conditionalFormatting sqref="BB7:BB11 BB15:BB17">
    <cfRule type="expression" dxfId="2466" priority="1773">
      <formula>$AZ7="N.D."</formula>
    </cfRule>
  </conditionalFormatting>
  <conditionalFormatting sqref="BA7:BA11 BA15:BA17">
    <cfRule type="expression" dxfId="2465" priority="1774">
      <formula>$AY7="N.D."</formula>
    </cfRule>
  </conditionalFormatting>
  <conditionalFormatting sqref="W7:W17">
    <cfRule type="expression" dxfId="2464" priority="1770">
      <formula>$M7="NON DEFINED"</formula>
    </cfRule>
    <cfRule type="expression" dxfId="2463" priority="1771">
      <formula>$AZ7="N.D."</formula>
    </cfRule>
    <cfRule type="expression" dxfId="2462" priority="1772">
      <formula>$AY7="N.D."</formula>
    </cfRule>
  </conditionalFormatting>
  <conditionalFormatting sqref="W7:W17">
    <cfRule type="expression" dxfId="2461" priority="1759">
      <formula>$A7="Overhead Cable"</formula>
    </cfRule>
    <cfRule type="expression" dxfId="2460" priority="1760">
      <formula>$A7="Level Crossing"</formula>
    </cfRule>
    <cfRule type="expression" dxfId="2459" priority="1761">
      <formula>$A7="Neutral Section"</formula>
    </cfRule>
    <cfRule type="expression" dxfId="2458" priority="1762">
      <formula>$A7="Tunnel"</formula>
    </cfRule>
    <cfRule type="expression" dxfId="2457" priority="1763">
      <formula>$A7="Bridge"</formula>
    </cfRule>
    <cfRule type="expression" dxfId="2456" priority="1764">
      <formula>$A7="Drainage Works"</formula>
    </cfRule>
    <cfRule type="expression" dxfId="2455" priority="1765">
      <formula>$A7="Underpass"</formula>
    </cfRule>
    <cfRule type="expression" dxfId="2454" priority="1766">
      <formula>$A7="Overcrossing"</formula>
    </cfRule>
    <cfRule type="expression" dxfId="2453" priority="1767">
      <formula>$A7="Overpass"</formula>
    </cfRule>
    <cfRule type="expression" dxfId="2452" priority="1768">
      <formula>$A7="Station"</formula>
    </cfRule>
    <cfRule type="expression" dxfId="2451" priority="1769">
      <formula>$A7="Overlap between sections"</formula>
    </cfRule>
  </conditionalFormatting>
  <conditionalFormatting sqref="H36">
    <cfRule type="expression" dxfId="2450" priority="1354">
      <formula>$M36="NON DEFINED"</formula>
    </cfRule>
    <cfRule type="expression" dxfId="2449" priority="1355">
      <formula>$AZ36="N.D."</formula>
    </cfRule>
    <cfRule type="expression" dxfId="2448" priority="1356">
      <formula>$AY36="N.D."</formula>
    </cfRule>
  </conditionalFormatting>
  <conditionalFormatting sqref="H36">
    <cfRule type="expression" dxfId="2447" priority="1343">
      <formula>$A36="Overhead Cable"</formula>
    </cfRule>
    <cfRule type="expression" dxfId="2446" priority="1344">
      <formula>$A36="Level Crossing"</formula>
    </cfRule>
    <cfRule type="expression" dxfId="2445" priority="1345">
      <formula>$A36="Neutral Section"</formula>
    </cfRule>
    <cfRule type="expression" dxfId="2444" priority="1346">
      <formula>$A36="Tunnel"</formula>
    </cfRule>
    <cfRule type="expression" dxfId="2443" priority="1347">
      <formula>$A36="Bridge"</formula>
    </cfRule>
    <cfRule type="expression" dxfId="2442" priority="1348">
      <formula>$A36="Drainage Works"</formula>
    </cfRule>
    <cfRule type="expression" dxfId="2441" priority="1349">
      <formula>$A36="Underpass"</formula>
    </cfRule>
    <cfRule type="expression" dxfId="2440" priority="1350">
      <formula>$A36="Overcrossing"</formula>
    </cfRule>
    <cfRule type="expression" dxfId="2439" priority="1351">
      <formula>$A36="Overpass"</formula>
    </cfRule>
    <cfRule type="expression" dxfId="2438" priority="1352">
      <formula>$A36="Station"</formula>
    </cfRule>
    <cfRule type="expression" dxfId="2437" priority="1353">
      <formula>$A36="Overlap between sections"</formula>
    </cfRule>
  </conditionalFormatting>
  <conditionalFormatting sqref="BD18">
    <cfRule type="containsText" dxfId="2436" priority="1233" operator="containsText" text="Poner a mano">
      <formula>NOT(ISERROR(SEARCH("Poner a mano",BD18)))</formula>
    </cfRule>
  </conditionalFormatting>
  <conditionalFormatting sqref="BD42">
    <cfRule type="containsText" dxfId="2435" priority="1231" operator="containsText" text="Poner a mano">
      <formula>NOT(ISERROR(SEARCH("Poner a mano",BD42)))</formula>
    </cfRule>
  </conditionalFormatting>
  <conditionalFormatting sqref="BD44">
    <cfRule type="containsText" dxfId="2434" priority="1230" operator="containsText" text="Poner a mano">
      <formula>NOT(ISERROR(SEARCH("Poner a mano",BD44)))</formula>
    </cfRule>
  </conditionalFormatting>
  <conditionalFormatting sqref="BD46:BD50 BD52:BD54 BD56:BD62">
    <cfRule type="containsText" dxfId="2433" priority="1229" operator="containsText" text="Poner a mano">
      <formula>NOT(ISERROR(SEARCH("Poner a mano",BD46)))</formula>
    </cfRule>
  </conditionalFormatting>
  <conditionalFormatting sqref="AM44">
    <cfRule type="expression" dxfId="2432" priority="1220">
      <formula>$M44="NON DEFINED"</formula>
    </cfRule>
    <cfRule type="expression" dxfId="2431" priority="1221">
      <formula>$AZ44="N.D."</formula>
    </cfRule>
    <cfRule type="expression" dxfId="2430" priority="1222">
      <formula>$AY44="N.D."</formula>
    </cfRule>
  </conditionalFormatting>
  <conditionalFormatting sqref="AM44">
    <cfRule type="expression" dxfId="2429" priority="1209">
      <formula>$A44="Overhead Cable"</formula>
    </cfRule>
    <cfRule type="expression" dxfId="2428" priority="1210">
      <formula>$A44="Level Crossing"</formula>
    </cfRule>
    <cfRule type="expression" dxfId="2427" priority="1211">
      <formula>$A44="Neutral Section"</formula>
    </cfRule>
    <cfRule type="expression" dxfId="2426" priority="1212">
      <formula>$A44="Tunnel"</formula>
    </cfRule>
    <cfRule type="expression" dxfId="2425" priority="1213">
      <formula>$A44="Bridge"</formula>
    </cfRule>
    <cfRule type="expression" dxfId="2424" priority="1214">
      <formula>$A44="Drainage Works"</formula>
    </cfRule>
    <cfRule type="expression" dxfId="2423" priority="1215">
      <formula>$A44="Underpass"</formula>
    </cfRule>
    <cfRule type="expression" dxfId="2422" priority="1216">
      <formula>$A44="Overcrossing"</formula>
    </cfRule>
    <cfRule type="expression" dxfId="2421" priority="1217">
      <formula>$A44="Overpass"</formula>
    </cfRule>
    <cfRule type="expression" dxfId="2420" priority="1218">
      <formula>$A44="Station"</formula>
    </cfRule>
    <cfRule type="expression" dxfId="2419" priority="1219">
      <formula>$A44="Overlap between sections"</formula>
    </cfRule>
  </conditionalFormatting>
  <conditionalFormatting sqref="BF5:BG5 BI5">
    <cfRule type="containsBlanks" dxfId="2418" priority="1208">
      <formula>LEN(TRIM(BF5))=0</formula>
    </cfRule>
  </conditionalFormatting>
  <conditionalFormatting sqref="BF7:BG7 BI7 BF9:BG9 BF11:BG11 BF15:BG15 BF17:BG17 BF19:BG19 BF21:BG21 BF23:BG23 BF25:BG25 BF27:BG27 BF29:BG29 BF31:BG31 BF33:BG33 BF35:BG35 BF37:BG37 BF39:BG39 BF41:BG41 BF43:BG43 BF45:BG45 BI9 BI11 BI15 BI17 BI19 BI21 BI23 BI25 BI27 BI29 BI31 BI33 BI35 BI37 BI39 BI41 BI43 BI45 BF47:BG47 BF49:BG49 BF51:BG51 BF53:BG53 BF55:BG55 BF57:BG57 BI47 BI49 BI51 BI53 BI55 BI57 BF59:BG59 BF61:BG61 BF63:BG63 BF65:BG65 BF67:BG67 BI59 BI61 BI63 BI65 BI67">
    <cfRule type="containsBlanks" dxfId="2417" priority="1207">
      <formula>LEN(TRIM(BF7))=0</formula>
    </cfRule>
  </conditionalFormatting>
  <conditionalFormatting sqref="AL21">
    <cfRule type="expression" dxfId="2416" priority="1204">
      <formula>$M21="NON DEFINED"</formula>
    </cfRule>
    <cfRule type="expression" dxfId="2415" priority="1205">
      <formula>$AZ21="N.D."</formula>
    </cfRule>
    <cfRule type="expression" dxfId="2414" priority="1206">
      <formula>$AY21="N.D."</formula>
    </cfRule>
  </conditionalFormatting>
  <conditionalFormatting sqref="AL21">
    <cfRule type="expression" dxfId="2413" priority="1193">
      <formula>$A21="Overhead Cable"</formula>
    </cfRule>
    <cfRule type="expression" dxfId="2412" priority="1194">
      <formula>$A21="Level Crossing"</formula>
    </cfRule>
    <cfRule type="expression" dxfId="2411" priority="1195">
      <formula>$A21="Neutral Section"</formula>
    </cfRule>
    <cfRule type="expression" dxfId="2410" priority="1196">
      <formula>$A21="Tunnel"</formula>
    </cfRule>
    <cfRule type="expression" dxfId="2409" priority="1197">
      <formula>$A21="Bridge"</formula>
    </cfRule>
    <cfRule type="expression" dxfId="2408" priority="1198">
      <formula>$A21="Drainage Works"</formula>
    </cfRule>
    <cfRule type="expression" dxfId="2407" priority="1199">
      <formula>$A21="Underpass"</formula>
    </cfRule>
    <cfRule type="expression" dxfId="2406" priority="1200">
      <formula>$A21="Overcrossing"</formula>
    </cfRule>
    <cfRule type="expression" dxfId="2405" priority="1201">
      <formula>$A21="Overpass"</formula>
    </cfRule>
    <cfRule type="expression" dxfId="2404" priority="1202">
      <formula>$A21="Station"</formula>
    </cfRule>
    <cfRule type="expression" dxfId="2403" priority="1203">
      <formula>$A21="Overlap between sections"</formula>
    </cfRule>
  </conditionalFormatting>
  <conditionalFormatting sqref="AM21">
    <cfRule type="expression" dxfId="2402" priority="1190">
      <formula>$M21="NON DEFINED"</formula>
    </cfRule>
    <cfRule type="expression" dxfId="2401" priority="1191">
      <formula>$AZ21="N.D."</formula>
    </cfRule>
    <cfRule type="expression" dxfId="2400" priority="1192">
      <formula>$AY21="N.D."</formula>
    </cfRule>
  </conditionalFormatting>
  <conditionalFormatting sqref="AM21">
    <cfRule type="expression" dxfId="2399" priority="1179">
      <formula>$A21="Overhead Cable"</formula>
    </cfRule>
    <cfRule type="expression" dxfId="2398" priority="1180">
      <formula>$A21="Level Crossing"</formula>
    </cfRule>
    <cfRule type="expression" dxfId="2397" priority="1181">
      <formula>$A21="Neutral Section"</formula>
    </cfRule>
    <cfRule type="expression" dxfId="2396" priority="1182">
      <formula>$A21="Tunnel"</formula>
    </cfRule>
    <cfRule type="expression" dxfId="2395" priority="1183">
      <formula>$A21="Bridge"</formula>
    </cfRule>
    <cfRule type="expression" dxfId="2394" priority="1184">
      <formula>$A21="Drainage Works"</formula>
    </cfRule>
    <cfRule type="expression" dxfId="2393" priority="1185">
      <formula>$A21="Underpass"</formula>
    </cfRule>
    <cfRule type="expression" dxfId="2392" priority="1186">
      <formula>$A21="Overcrossing"</formula>
    </cfRule>
    <cfRule type="expression" dxfId="2391" priority="1187">
      <formula>$A21="Overpass"</formula>
    </cfRule>
    <cfRule type="expression" dxfId="2390" priority="1188">
      <formula>$A21="Station"</formula>
    </cfRule>
    <cfRule type="expression" dxfId="2389" priority="1189">
      <formula>$A21="Overlap between sections"</formula>
    </cfRule>
  </conditionalFormatting>
  <conditionalFormatting sqref="L23">
    <cfRule type="expression" dxfId="2388" priority="1176">
      <formula>$M23="NON DEFINED"</formula>
    </cfRule>
    <cfRule type="expression" dxfId="2387" priority="1177">
      <formula>$AZ23="N.D."</formula>
    </cfRule>
    <cfRule type="expression" dxfId="2386" priority="1178">
      <formula>$AY23="N.D."</formula>
    </cfRule>
  </conditionalFormatting>
  <conditionalFormatting sqref="L23">
    <cfRule type="expression" dxfId="2385" priority="1165">
      <formula>$A23="Overhead Cable"</formula>
    </cfRule>
    <cfRule type="expression" dxfId="2384" priority="1166">
      <formula>$A23="Level Crossing"</formula>
    </cfRule>
    <cfRule type="expression" dxfId="2383" priority="1167">
      <formula>$A23="Neutral Section"</formula>
    </cfRule>
    <cfRule type="expression" dxfId="2382" priority="1168">
      <formula>$A23="Tunnel"</formula>
    </cfRule>
    <cfRule type="expression" dxfId="2381" priority="1169">
      <formula>$A23="Bridge"</formula>
    </cfRule>
    <cfRule type="expression" dxfId="2380" priority="1170">
      <formula>$A23="Drainage Works"</formula>
    </cfRule>
    <cfRule type="expression" dxfId="2379" priority="1171">
      <formula>$A23="Underpass"</formula>
    </cfRule>
    <cfRule type="expression" dxfId="2378" priority="1172">
      <formula>$A23="Overcrossing"</formula>
    </cfRule>
    <cfRule type="expression" dxfId="2377" priority="1173">
      <formula>$A23="Overpass"</formula>
    </cfRule>
    <cfRule type="expression" dxfId="2376" priority="1174">
      <formula>$A23="Station"</formula>
    </cfRule>
    <cfRule type="expression" dxfId="2375" priority="1175">
      <formula>$A23="Overlap between sections"</formula>
    </cfRule>
  </conditionalFormatting>
  <conditionalFormatting sqref="AL23">
    <cfRule type="expression" dxfId="2374" priority="1162">
      <formula>$M23="NON DEFINED"</formula>
    </cfRule>
    <cfRule type="expression" dxfId="2373" priority="1163">
      <formula>$AZ23="N.D."</formula>
    </cfRule>
    <cfRule type="expression" dxfId="2372" priority="1164">
      <formula>$AY23="N.D."</formula>
    </cfRule>
  </conditionalFormatting>
  <conditionalFormatting sqref="AL23">
    <cfRule type="expression" dxfId="2371" priority="1151">
      <formula>$A23="Overhead Cable"</formula>
    </cfRule>
    <cfRule type="expression" dxfId="2370" priority="1152">
      <formula>$A23="Level Crossing"</formula>
    </cfRule>
    <cfRule type="expression" dxfId="2369" priority="1153">
      <formula>$A23="Neutral Section"</formula>
    </cfRule>
    <cfRule type="expression" dxfId="2368" priority="1154">
      <formula>$A23="Tunnel"</formula>
    </cfRule>
    <cfRule type="expression" dxfId="2367" priority="1155">
      <formula>$A23="Bridge"</formula>
    </cfRule>
    <cfRule type="expression" dxfId="2366" priority="1156">
      <formula>$A23="Drainage Works"</formula>
    </cfRule>
    <cfRule type="expression" dxfId="2365" priority="1157">
      <formula>$A23="Underpass"</formula>
    </cfRule>
    <cfRule type="expression" dxfId="2364" priority="1158">
      <formula>$A23="Overcrossing"</formula>
    </cfRule>
    <cfRule type="expression" dxfId="2363" priority="1159">
      <formula>$A23="Overpass"</formula>
    </cfRule>
    <cfRule type="expression" dxfId="2362" priority="1160">
      <formula>$A23="Station"</formula>
    </cfRule>
    <cfRule type="expression" dxfId="2361" priority="1161">
      <formula>$A23="Overlap between sections"</formula>
    </cfRule>
  </conditionalFormatting>
  <conditionalFormatting sqref="AM23">
    <cfRule type="expression" dxfId="2360" priority="1148">
      <formula>$M23="NON DEFINED"</formula>
    </cfRule>
    <cfRule type="expression" dxfId="2359" priority="1149">
      <formula>$AZ23="N.D."</formula>
    </cfRule>
    <cfRule type="expression" dxfId="2358" priority="1150">
      <formula>$AY23="N.D."</formula>
    </cfRule>
  </conditionalFormatting>
  <conditionalFormatting sqref="AM23">
    <cfRule type="expression" dxfId="2357" priority="1137">
      <formula>$A23="Overhead Cable"</formula>
    </cfRule>
    <cfRule type="expression" dxfId="2356" priority="1138">
      <formula>$A23="Level Crossing"</formula>
    </cfRule>
    <cfRule type="expression" dxfId="2355" priority="1139">
      <formula>$A23="Neutral Section"</formula>
    </cfRule>
    <cfRule type="expression" dxfId="2354" priority="1140">
      <formula>$A23="Tunnel"</formula>
    </cfRule>
    <cfRule type="expression" dxfId="2353" priority="1141">
      <formula>$A23="Bridge"</formula>
    </cfRule>
    <cfRule type="expression" dxfId="2352" priority="1142">
      <formula>$A23="Drainage Works"</formula>
    </cfRule>
    <cfRule type="expression" dxfId="2351" priority="1143">
      <formula>$A23="Underpass"</formula>
    </cfRule>
    <cfRule type="expression" dxfId="2350" priority="1144">
      <formula>$A23="Overcrossing"</formula>
    </cfRule>
    <cfRule type="expression" dxfId="2349" priority="1145">
      <formula>$A23="Overpass"</formula>
    </cfRule>
    <cfRule type="expression" dxfId="2348" priority="1146">
      <formula>$A23="Station"</formula>
    </cfRule>
    <cfRule type="expression" dxfId="2347" priority="1147">
      <formula>$A23="Overlap between sections"</formula>
    </cfRule>
  </conditionalFormatting>
  <conditionalFormatting sqref="H25">
    <cfRule type="expression" dxfId="2346" priority="1134">
      <formula>$M25="NON DEFINED"</formula>
    </cfRule>
    <cfRule type="expression" dxfId="2345" priority="1135">
      <formula>$AZ25="N.D."</formula>
    </cfRule>
    <cfRule type="expression" dxfId="2344" priority="1136">
      <formula>$AY25="N.D."</formula>
    </cfRule>
  </conditionalFormatting>
  <conditionalFormatting sqref="H25">
    <cfRule type="expression" dxfId="2343" priority="1123">
      <formula>$A25="Overhead Cable"</formula>
    </cfRule>
    <cfRule type="expression" dxfId="2342" priority="1124">
      <formula>$A25="Level Crossing"</formula>
    </cfRule>
    <cfRule type="expression" dxfId="2341" priority="1125">
      <formula>$A25="Neutral Section"</formula>
    </cfRule>
    <cfRule type="expression" dxfId="2340" priority="1126">
      <formula>$A25="Tunnel"</formula>
    </cfRule>
    <cfRule type="expression" dxfId="2339" priority="1127">
      <formula>$A25="Bridge"</formula>
    </cfRule>
    <cfRule type="expression" dxfId="2338" priority="1128">
      <formula>$A25="Drainage Works"</formula>
    </cfRule>
    <cfRule type="expression" dxfId="2337" priority="1129">
      <formula>$A25="Underpass"</formula>
    </cfRule>
    <cfRule type="expression" dxfId="2336" priority="1130">
      <formula>$A25="Overcrossing"</formula>
    </cfRule>
    <cfRule type="expression" dxfId="2335" priority="1131">
      <formula>$A25="Overpass"</formula>
    </cfRule>
    <cfRule type="expression" dxfId="2334" priority="1132">
      <formula>$A25="Station"</formula>
    </cfRule>
    <cfRule type="expression" dxfId="2333" priority="1133">
      <formula>$A25="Overlap between sections"</formula>
    </cfRule>
  </conditionalFormatting>
  <conditionalFormatting sqref="L25">
    <cfRule type="expression" dxfId="2332" priority="1120">
      <formula>$M25="NON DEFINED"</formula>
    </cfRule>
    <cfRule type="expression" dxfId="2331" priority="1121">
      <formula>$AZ25="N.D."</formula>
    </cfRule>
    <cfRule type="expression" dxfId="2330" priority="1122">
      <formula>$AY25="N.D."</formula>
    </cfRule>
  </conditionalFormatting>
  <conditionalFormatting sqref="L25">
    <cfRule type="expression" dxfId="2329" priority="1109">
      <formula>$A25="Overhead Cable"</formula>
    </cfRule>
    <cfRule type="expression" dxfId="2328" priority="1110">
      <formula>$A25="Level Crossing"</formula>
    </cfRule>
    <cfRule type="expression" dxfId="2327" priority="1111">
      <formula>$A25="Neutral Section"</formula>
    </cfRule>
    <cfRule type="expression" dxfId="2326" priority="1112">
      <formula>$A25="Tunnel"</formula>
    </cfRule>
    <cfRule type="expression" dxfId="2325" priority="1113">
      <formula>$A25="Bridge"</formula>
    </cfRule>
    <cfRule type="expression" dxfId="2324" priority="1114">
      <formula>$A25="Drainage Works"</formula>
    </cfRule>
    <cfRule type="expression" dxfId="2323" priority="1115">
      <formula>$A25="Underpass"</formula>
    </cfRule>
    <cfRule type="expression" dxfId="2322" priority="1116">
      <formula>$A25="Overcrossing"</formula>
    </cfRule>
    <cfRule type="expression" dxfId="2321" priority="1117">
      <formula>$A25="Overpass"</formula>
    </cfRule>
    <cfRule type="expression" dxfId="2320" priority="1118">
      <formula>$A25="Station"</formula>
    </cfRule>
    <cfRule type="expression" dxfId="2319" priority="1119">
      <formula>$A25="Overlap between sections"</formula>
    </cfRule>
  </conditionalFormatting>
  <conditionalFormatting sqref="AL25">
    <cfRule type="expression" dxfId="2318" priority="1106">
      <formula>$M25="NON DEFINED"</formula>
    </cfRule>
    <cfRule type="expression" dxfId="2317" priority="1107">
      <formula>$AZ25="N.D."</formula>
    </cfRule>
    <cfRule type="expression" dxfId="2316" priority="1108">
      <formula>$AY25="N.D."</formula>
    </cfRule>
  </conditionalFormatting>
  <conditionalFormatting sqref="AL25">
    <cfRule type="expression" dxfId="2315" priority="1095">
      <formula>$A25="Overhead Cable"</formula>
    </cfRule>
    <cfRule type="expression" dxfId="2314" priority="1096">
      <formula>$A25="Level Crossing"</formula>
    </cfRule>
    <cfRule type="expression" dxfId="2313" priority="1097">
      <formula>$A25="Neutral Section"</formula>
    </cfRule>
    <cfRule type="expression" dxfId="2312" priority="1098">
      <formula>$A25="Tunnel"</formula>
    </cfRule>
    <cfRule type="expression" dxfId="2311" priority="1099">
      <formula>$A25="Bridge"</formula>
    </cfRule>
    <cfRule type="expression" dxfId="2310" priority="1100">
      <formula>$A25="Drainage Works"</formula>
    </cfRule>
    <cfRule type="expression" dxfId="2309" priority="1101">
      <formula>$A25="Underpass"</formula>
    </cfRule>
    <cfRule type="expression" dxfId="2308" priority="1102">
      <formula>$A25="Overcrossing"</formula>
    </cfRule>
    <cfRule type="expression" dxfId="2307" priority="1103">
      <formula>$A25="Overpass"</formula>
    </cfRule>
    <cfRule type="expression" dxfId="2306" priority="1104">
      <formula>$A25="Station"</formula>
    </cfRule>
    <cfRule type="expression" dxfId="2305" priority="1105">
      <formula>$A25="Overlap between sections"</formula>
    </cfRule>
  </conditionalFormatting>
  <conditionalFormatting sqref="AM25">
    <cfRule type="expression" dxfId="2304" priority="1092">
      <formula>$M25="NON DEFINED"</formula>
    </cfRule>
    <cfRule type="expression" dxfId="2303" priority="1093">
      <formula>$AZ25="N.D."</formula>
    </cfRule>
    <cfRule type="expression" dxfId="2302" priority="1094">
      <formula>$AY25="N.D."</formula>
    </cfRule>
  </conditionalFormatting>
  <conditionalFormatting sqref="AM25">
    <cfRule type="expression" dxfId="2301" priority="1081">
      <formula>$A25="Overhead Cable"</formula>
    </cfRule>
    <cfRule type="expression" dxfId="2300" priority="1082">
      <formula>$A25="Level Crossing"</formula>
    </cfRule>
    <cfRule type="expression" dxfId="2299" priority="1083">
      <formula>$A25="Neutral Section"</formula>
    </cfRule>
    <cfRule type="expression" dxfId="2298" priority="1084">
      <formula>$A25="Tunnel"</formula>
    </cfRule>
    <cfRule type="expression" dxfId="2297" priority="1085">
      <formula>$A25="Bridge"</formula>
    </cfRule>
    <cfRule type="expression" dxfId="2296" priority="1086">
      <formula>$A25="Drainage Works"</formula>
    </cfRule>
    <cfRule type="expression" dxfId="2295" priority="1087">
      <formula>$A25="Underpass"</formula>
    </cfRule>
    <cfRule type="expression" dxfId="2294" priority="1088">
      <formula>$A25="Overcrossing"</formula>
    </cfRule>
    <cfRule type="expression" dxfId="2293" priority="1089">
      <formula>$A25="Overpass"</formula>
    </cfRule>
    <cfRule type="expression" dxfId="2292" priority="1090">
      <formula>$A25="Station"</formula>
    </cfRule>
    <cfRule type="expression" dxfId="2291" priority="1091">
      <formula>$A25="Overlap between sections"</formula>
    </cfRule>
  </conditionalFormatting>
  <conditionalFormatting sqref="L33">
    <cfRule type="expression" dxfId="2290" priority="1078">
      <formula>$M33="NON DEFINED"</formula>
    </cfRule>
    <cfRule type="expression" dxfId="2289" priority="1079">
      <formula>$AZ33="N.D."</formula>
    </cfRule>
    <cfRule type="expression" dxfId="2288" priority="1080">
      <formula>$AY33="N.D."</formula>
    </cfRule>
  </conditionalFormatting>
  <conditionalFormatting sqref="L33">
    <cfRule type="expression" dxfId="2287" priority="1067">
      <formula>$A33="Overhead Cable"</formula>
    </cfRule>
    <cfRule type="expression" dxfId="2286" priority="1068">
      <formula>$A33="Level Crossing"</formula>
    </cfRule>
    <cfRule type="expression" dxfId="2285" priority="1069">
      <formula>$A33="Neutral Section"</formula>
    </cfRule>
    <cfRule type="expression" dxfId="2284" priority="1070">
      <formula>$A33="Tunnel"</formula>
    </cfRule>
    <cfRule type="expression" dxfId="2283" priority="1071">
      <formula>$A33="Bridge"</formula>
    </cfRule>
    <cfRule type="expression" dxfId="2282" priority="1072">
      <formula>$A33="Drainage Works"</formula>
    </cfRule>
    <cfRule type="expression" dxfId="2281" priority="1073">
      <formula>$A33="Underpass"</formula>
    </cfRule>
    <cfRule type="expression" dxfId="2280" priority="1074">
      <formula>$A33="Overcrossing"</formula>
    </cfRule>
    <cfRule type="expression" dxfId="2279" priority="1075">
      <formula>$A33="Overpass"</formula>
    </cfRule>
    <cfRule type="expression" dxfId="2278" priority="1076">
      <formula>$A33="Station"</formula>
    </cfRule>
    <cfRule type="expression" dxfId="2277" priority="1077">
      <formula>$A33="Overlap between sections"</formula>
    </cfRule>
  </conditionalFormatting>
  <conditionalFormatting sqref="L35">
    <cfRule type="expression" dxfId="2276" priority="1064">
      <formula>$M35="NON DEFINED"</formula>
    </cfRule>
    <cfRule type="expression" dxfId="2275" priority="1065">
      <formula>$AZ35="N.D."</formula>
    </cfRule>
    <cfRule type="expression" dxfId="2274" priority="1066">
      <formula>$AY35="N.D."</formula>
    </cfRule>
  </conditionalFormatting>
  <conditionalFormatting sqref="L35">
    <cfRule type="expression" dxfId="2273" priority="1053">
      <formula>$A35="Overhead Cable"</formula>
    </cfRule>
    <cfRule type="expression" dxfId="2272" priority="1054">
      <formula>$A35="Level Crossing"</formula>
    </cfRule>
    <cfRule type="expression" dxfId="2271" priority="1055">
      <formula>$A35="Neutral Section"</formula>
    </cfRule>
    <cfRule type="expression" dxfId="2270" priority="1056">
      <formula>$A35="Tunnel"</formula>
    </cfRule>
    <cfRule type="expression" dxfId="2269" priority="1057">
      <formula>$A35="Bridge"</formula>
    </cfRule>
    <cfRule type="expression" dxfId="2268" priority="1058">
      <formula>$A35="Drainage Works"</formula>
    </cfRule>
    <cfRule type="expression" dxfId="2267" priority="1059">
      <formula>$A35="Underpass"</formula>
    </cfRule>
    <cfRule type="expression" dxfId="2266" priority="1060">
      <formula>$A35="Overcrossing"</formula>
    </cfRule>
    <cfRule type="expression" dxfId="2265" priority="1061">
      <formula>$A35="Overpass"</formula>
    </cfRule>
    <cfRule type="expression" dxfId="2264" priority="1062">
      <formula>$A35="Station"</formula>
    </cfRule>
    <cfRule type="expression" dxfId="2263" priority="1063">
      <formula>$A35="Overlap between sections"</formula>
    </cfRule>
  </conditionalFormatting>
  <conditionalFormatting sqref="L37">
    <cfRule type="expression" dxfId="2262" priority="1050">
      <formula>$M37="NON DEFINED"</formula>
    </cfRule>
    <cfRule type="expression" dxfId="2261" priority="1051">
      <formula>$AZ37="N.D."</formula>
    </cfRule>
    <cfRule type="expression" dxfId="2260" priority="1052">
      <formula>$AY37="N.D."</formula>
    </cfRule>
  </conditionalFormatting>
  <conditionalFormatting sqref="L37">
    <cfRule type="expression" dxfId="2259" priority="1039">
      <formula>$A37="Overhead Cable"</formula>
    </cfRule>
    <cfRule type="expression" dxfId="2258" priority="1040">
      <formula>$A37="Level Crossing"</formula>
    </cfRule>
    <cfRule type="expression" dxfId="2257" priority="1041">
      <formula>$A37="Neutral Section"</formula>
    </cfRule>
    <cfRule type="expression" dxfId="2256" priority="1042">
      <formula>$A37="Tunnel"</formula>
    </cfRule>
    <cfRule type="expression" dxfId="2255" priority="1043">
      <formula>$A37="Bridge"</formula>
    </cfRule>
    <cfRule type="expression" dxfId="2254" priority="1044">
      <formula>$A37="Drainage Works"</formula>
    </cfRule>
    <cfRule type="expression" dxfId="2253" priority="1045">
      <formula>$A37="Underpass"</formula>
    </cfRule>
    <cfRule type="expression" dxfId="2252" priority="1046">
      <formula>$A37="Overcrossing"</formula>
    </cfRule>
    <cfRule type="expression" dxfId="2251" priority="1047">
      <formula>$A37="Overpass"</formula>
    </cfRule>
    <cfRule type="expression" dxfId="2250" priority="1048">
      <formula>$A37="Station"</formula>
    </cfRule>
    <cfRule type="expression" dxfId="2249" priority="1049">
      <formula>$A37="Overlap between sections"</formula>
    </cfRule>
  </conditionalFormatting>
  <conditionalFormatting sqref="L39">
    <cfRule type="expression" dxfId="2248" priority="1036">
      <formula>$M39="NON DEFINED"</formula>
    </cfRule>
    <cfRule type="expression" dxfId="2247" priority="1037">
      <formula>$AZ39="N.D."</formula>
    </cfRule>
    <cfRule type="expression" dxfId="2246" priority="1038">
      <formula>$AY39="N.D."</formula>
    </cfRule>
  </conditionalFormatting>
  <conditionalFormatting sqref="L39">
    <cfRule type="expression" dxfId="2245" priority="1025">
      <formula>$A39="Overhead Cable"</formula>
    </cfRule>
    <cfRule type="expression" dxfId="2244" priority="1026">
      <formula>$A39="Level Crossing"</formula>
    </cfRule>
    <cfRule type="expression" dxfId="2243" priority="1027">
      <formula>$A39="Neutral Section"</formula>
    </cfRule>
    <cfRule type="expression" dxfId="2242" priority="1028">
      <formula>$A39="Tunnel"</formula>
    </cfRule>
    <cfRule type="expression" dxfId="2241" priority="1029">
      <formula>$A39="Bridge"</formula>
    </cfRule>
    <cfRule type="expression" dxfId="2240" priority="1030">
      <formula>$A39="Drainage Works"</formula>
    </cfRule>
    <cfRule type="expression" dxfId="2239" priority="1031">
      <formula>$A39="Underpass"</formula>
    </cfRule>
    <cfRule type="expression" dxfId="2238" priority="1032">
      <formula>$A39="Overcrossing"</formula>
    </cfRule>
    <cfRule type="expression" dxfId="2237" priority="1033">
      <formula>$A39="Overpass"</formula>
    </cfRule>
    <cfRule type="expression" dxfId="2236" priority="1034">
      <formula>$A39="Station"</formula>
    </cfRule>
    <cfRule type="expression" dxfId="2235" priority="1035">
      <formula>$A39="Overlap between sections"</formula>
    </cfRule>
  </conditionalFormatting>
  <conditionalFormatting sqref="AL33:AM33">
    <cfRule type="expression" dxfId="2234" priority="1022">
      <formula>$M33="NON DEFINED"</formula>
    </cfRule>
    <cfRule type="expression" dxfId="2233" priority="1023">
      <formula>$AZ33="N.D."</formula>
    </cfRule>
    <cfRule type="expression" dxfId="2232" priority="1024">
      <formula>$AY33="N.D."</formula>
    </cfRule>
  </conditionalFormatting>
  <conditionalFormatting sqref="AM33">
    <cfRule type="expression" dxfId="2231" priority="1011">
      <formula>$A33="Overhead Cable"</formula>
    </cfRule>
    <cfRule type="expression" dxfId="2230" priority="1012">
      <formula>$A33="Level Crossing"</formula>
    </cfRule>
    <cfRule type="expression" dxfId="2229" priority="1013">
      <formula>$A33="Neutral Section"</formula>
    </cfRule>
    <cfRule type="expression" dxfId="2228" priority="1014">
      <formula>$A33="Tunnel"</formula>
    </cfRule>
    <cfRule type="expression" dxfId="2227" priority="1015">
      <formula>$A33="Bridge"</formula>
    </cfRule>
    <cfRule type="expression" dxfId="2226" priority="1016">
      <formula>$A33="Drainage Works"</formula>
    </cfRule>
    <cfRule type="expression" dxfId="2225" priority="1017">
      <formula>$A33="Underpass"</formula>
    </cfRule>
    <cfRule type="expression" dxfId="2224" priority="1018">
      <formula>$A33="Overcrossing"</formula>
    </cfRule>
    <cfRule type="expression" dxfId="2223" priority="1019">
      <formula>$A33="Overpass"</formula>
    </cfRule>
    <cfRule type="expression" dxfId="2222" priority="1020">
      <formula>$A33="Station"</formula>
    </cfRule>
    <cfRule type="expression" dxfId="2221" priority="1021">
      <formula>$A33="Overlap between sections"</formula>
    </cfRule>
  </conditionalFormatting>
  <conditionalFormatting sqref="AL33">
    <cfRule type="expression" dxfId="2220" priority="1000">
      <formula>$A33="Overhead Cable"</formula>
    </cfRule>
    <cfRule type="expression" dxfId="2219" priority="1001">
      <formula>$A33="Level Crossing"</formula>
    </cfRule>
    <cfRule type="expression" dxfId="2218" priority="1002">
      <formula>$A33="Neutral Section"</formula>
    </cfRule>
    <cfRule type="expression" dxfId="2217" priority="1003">
      <formula>$A33="Tunnel"</formula>
    </cfRule>
    <cfRule type="expression" dxfId="2216" priority="1004">
      <formula>$A33="Bridge"</formula>
    </cfRule>
    <cfRule type="expression" dxfId="2215" priority="1005">
      <formula>$A33="Drainage Works"</formula>
    </cfRule>
    <cfRule type="expression" dxfId="2214" priority="1006">
      <formula>$A33="Underpass"</formula>
    </cfRule>
    <cfRule type="expression" dxfId="2213" priority="1007">
      <formula>$A33="Overcrossing"</formula>
    </cfRule>
    <cfRule type="expression" dxfId="2212" priority="1008">
      <formula>$A33="Overpass"</formula>
    </cfRule>
    <cfRule type="expression" dxfId="2211" priority="1009">
      <formula>$A33="Station"</formula>
    </cfRule>
    <cfRule type="expression" dxfId="2210" priority="1010">
      <formula>$A33="Overlap between sections"</formula>
    </cfRule>
  </conditionalFormatting>
  <conditionalFormatting sqref="AL35:AM35">
    <cfRule type="expression" dxfId="2209" priority="997">
      <formula>$M35="NON DEFINED"</formula>
    </cfRule>
    <cfRule type="expression" dxfId="2208" priority="998">
      <formula>$AZ35="N.D."</formula>
    </cfRule>
    <cfRule type="expression" dxfId="2207" priority="999">
      <formula>$AY35="N.D."</formula>
    </cfRule>
  </conditionalFormatting>
  <conditionalFormatting sqref="AM35">
    <cfRule type="expression" dxfId="2206" priority="986">
      <formula>$A35="Overhead Cable"</formula>
    </cfRule>
    <cfRule type="expression" dxfId="2205" priority="987">
      <formula>$A35="Level Crossing"</formula>
    </cfRule>
    <cfRule type="expression" dxfId="2204" priority="988">
      <formula>$A35="Neutral Section"</formula>
    </cfRule>
    <cfRule type="expression" dxfId="2203" priority="989">
      <formula>$A35="Tunnel"</formula>
    </cfRule>
    <cfRule type="expression" dxfId="2202" priority="990">
      <formula>$A35="Bridge"</formula>
    </cfRule>
    <cfRule type="expression" dxfId="2201" priority="991">
      <formula>$A35="Drainage Works"</formula>
    </cfRule>
    <cfRule type="expression" dxfId="2200" priority="992">
      <formula>$A35="Underpass"</formula>
    </cfRule>
    <cfRule type="expression" dxfId="2199" priority="993">
      <formula>$A35="Overcrossing"</formula>
    </cfRule>
    <cfRule type="expression" dxfId="2198" priority="994">
      <formula>$A35="Overpass"</formula>
    </cfRule>
    <cfRule type="expression" dxfId="2197" priority="995">
      <formula>$A35="Station"</formula>
    </cfRule>
    <cfRule type="expression" dxfId="2196" priority="996">
      <formula>$A35="Overlap between sections"</formula>
    </cfRule>
  </conditionalFormatting>
  <conditionalFormatting sqref="AL35">
    <cfRule type="expression" dxfId="2195" priority="975">
      <formula>$A35="Overhead Cable"</formula>
    </cfRule>
    <cfRule type="expression" dxfId="2194" priority="976">
      <formula>$A35="Level Crossing"</formula>
    </cfRule>
    <cfRule type="expression" dxfId="2193" priority="977">
      <formula>$A35="Neutral Section"</formula>
    </cfRule>
    <cfRule type="expression" dxfId="2192" priority="978">
      <formula>$A35="Tunnel"</formula>
    </cfRule>
    <cfRule type="expression" dxfId="2191" priority="979">
      <formula>$A35="Bridge"</formula>
    </cfRule>
    <cfRule type="expression" dxfId="2190" priority="980">
      <formula>$A35="Drainage Works"</formula>
    </cfRule>
    <cfRule type="expression" dxfId="2189" priority="981">
      <formula>$A35="Underpass"</formula>
    </cfRule>
    <cfRule type="expression" dxfId="2188" priority="982">
      <formula>$A35="Overcrossing"</formula>
    </cfRule>
    <cfRule type="expression" dxfId="2187" priority="983">
      <formula>$A35="Overpass"</formula>
    </cfRule>
    <cfRule type="expression" dxfId="2186" priority="984">
      <formula>$A35="Station"</formula>
    </cfRule>
    <cfRule type="expression" dxfId="2185" priority="985">
      <formula>$A35="Overlap between sections"</formula>
    </cfRule>
  </conditionalFormatting>
  <conditionalFormatting sqref="AL37:AM37">
    <cfRule type="expression" dxfId="2184" priority="972">
      <formula>$M37="NON DEFINED"</formula>
    </cfRule>
    <cfRule type="expression" dxfId="2183" priority="973">
      <formula>$AZ37="N.D."</formula>
    </cfRule>
    <cfRule type="expression" dxfId="2182" priority="974">
      <formula>$AY37="N.D."</formula>
    </cfRule>
  </conditionalFormatting>
  <conditionalFormatting sqref="AM37">
    <cfRule type="expression" dxfId="2181" priority="961">
      <formula>$A37="Overhead Cable"</formula>
    </cfRule>
    <cfRule type="expression" dxfId="2180" priority="962">
      <formula>$A37="Level Crossing"</formula>
    </cfRule>
    <cfRule type="expression" dxfId="2179" priority="963">
      <formula>$A37="Neutral Section"</formula>
    </cfRule>
    <cfRule type="expression" dxfId="2178" priority="964">
      <formula>$A37="Tunnel"</formula>
    </cfRule>
    <cfRule type="expression" dxfId="2177" priority="965">
      <formula>$A37="Bridge"</formula>
    </cfRule>
    <cfRule type="expression" dxfId="2176" priority="966">
      <formula>$A37="Drainage Works"</formula>
    </cfRule>
    <cfRule type="expression" dxfId="2175" priority="967">
      <formula>$A37="Underpass"</formula>
    </cfRule>
    <cfRule type="expression" dxfId="2174" priority="968">
      <formula>$A37="Overcrossing"</formula>
    </cfRule>
    <cfRule type="expression" dxfId="2173" priority="969">
      <formula>$A37="Overpass"</formula>
    </cfRule>
    <cfRule type="expression" dxfId="2172" priority="970">
      <formula>$A37="Station"</formula>
    </cfRule>
    <cfRule type="expression" dxfId="2171" priority="971">
      <formula>$A37="Overlap between sections"</formula>
    </cfRule>
  </conditionalFormatting>
  <conditionalFormatting sqref="AL37">
    <cfRule type="expression" dxfId="2170" priority="950">
      <formula>$A37="Overhead Cable"</formula>
    </cfRule>
    <cfRule type="expression" dxfId="2169" priority="951">
      <formula>$A37="Level Crossing"</formula>
    </cfRule>
    <cfRule type="expression" dxfId="2168" priority="952">
      <formula>$A37="Neutral Section"</formula>
    </cfRule>
    <cfRule type="expression" dxfId="2167" priority="953">
      <formula>$A37="Tunnel"</formula>
    </cfRule>
    <cfRule type="expression" dxfId="2166" priority="954">
      <formula>$A37="Bridge"</formula>
    </cfRule>
    <cfRule type="expression" dxfId="2165" priority="955">
      <formula>$A37="Drainage Works"</formula>
    </cfRule>
    <cfRule type="expression" dxfId="2164" priority="956">
      <formula>$A37="Underpass"</formula>
    </cfRule>
    <cfRule type="expression" dxfId="2163" priority="957">
      <formula>$A37="Overcrossing"</formula>
    </cfRule>
    <cfRule type="expression" dxfId="2162" priority="958">
      <formula>$A37="Overpass"</formula>
    </cfRule>
    <cfRule type="expression" dxfId="2161" priority="959">
      <formula>$A37="Station"</formula>
    </cfRule>
    <cfRule type="expression" dxfId="2160" priority="960">
      <formula>$A37="Overlap between sections"</formula>
    </cfRule>
  </conditionalFormatting>
  <conditionalFormatting sqref="AL39:AM39">
    <cfRule type="expression" dxfId="2159" priority="947">
      <formula>$M39="NON DEFINED"</formula>
    </cfRule>
    <cfRule type="expression" dxfId="2158" priority="948">
      <formula>$AZ39="N.D."</formula>
    </cfRule>
    <cfRule type="expression" dxfId="2157" priority="949">
      <formula>$AY39="N.D."</formula>
    </cfRule>
  </conditionalFormatting>
  <conditionalFormatting sqref="AM39">
    <cfRule type="expression" dxfId="2156" priority="936">
      <formula>$A39="Overhead Cable"</formula>
    </cfRule>
    <cfRule type="expression" dxfId="2155" priority="937">
      <formula>$A39="Level Crossing"</formula>
    </cfRule>
    <cfRule type="expression" dxfId="2154" priority="938">
      <formula>$A39="Neutral Section"</formula>
    </cfRule>
    <cfRule type="expression" dxfId="2153" priority="939">
      <formula>$A39="Tunnel"</formula>
    </cfRule>
    <cfRule type="expression" dxfId="2152" priority="940">
      <formula>$A39="Bridge"</formula>
    </cfRule>
    <cfRule type="expression" dxfId="2151" priority="941">
      <formula>$A39="Drainage Works"</formula>
    </cfRule>
    <cfRule type="expression" dxfId="2150" priority="942">
      <formula>$A39="Underpass"</formula>
    </cfRule>
    <cfRule type="expression" dxfId="2149" priority="943">
      <formula>$A39="Overcrossing"</formula>
    </cfRule>
    <cfRule type="expression" dxfId="2148" priority="944">
      <formula>$A39="Overpass"</formula>
    </cfRule>
    <cfRule type="expression" dxfId="2147" priority="945">
      <formula>$A39="Station"</formula>
    </cfRule>
    <cfRule type="expression" dxfId="2146" priority="946">
      <formula>$A39="Overlap between sections"</formula>
    </cfRule>
  </conditionalFormatting>
  <conditionalFormatting sqref="AL39">
    <cfRule type="expression" dxfId="2145" priority="925">
      <formula>$A39="Overhead Cable"</formula>
    </cfRule>
    <cfRule type="expression" dxfId="2144" priority="926">
      <formula>$A39="Level Crossing"</formula>
    </cfRule>
    <cfRule type="expression" dxfId="2143" priority="927">
      <formula>$A39="Neutral Section"</formula>
    </cfRule>
    <cfRule type="expression" dxfId="2142" priority="928">
      <formula>$A39="Tunnel"</formula>
    </cfRule>
    <cfRule type="expression" dxfId="2141" priority="929">
      <formula>$A39="Bridge"</formula>
    </cfRule>
    <cfRule type="expression" dxfId="2140" priority="930">
      <formula>$A39="Drainage Works"</formula>
    </cfRule>
    <cfRule type="expression" dxfId="2139" priority="931">
      <formula>$A39="Underpass"</formula>
    </cfRule>
    <cfRule type="expression" dxfId="2138" priority="932">
      <formula>$A39="Overcrossing"</formula>
    </cfRule>
    <cfRule type="expression" dxfId="2137" priority="933">
      <formula>$A39="Overpass"</formula>
    </cfRule>
    <cfRule type="expression" dxfId="2136" priority="934">
      <formula>$A39="Station"</formula>
    </cfRule>
    <cfRule type="expression" dxfId="2135" priority="935">
      <formula>$A39="Overlap between sections"</formula>
    </cfRule>
  </conditionalFormatting>
  <conditionalFormatting sqref="BD19">
    <cfRule type="containsText" dxfId="2134" priority="924" operator="containsText" text="Poner a mano">
      <formula>NOT(ISERROR(SEARCH("Poner a mano",BD19)))</formula>
    </cfRule>
  </conditionalFormatting>
  <conditionalFormatting sqref="BD21">
    <cfRule type="containsText" dxfId="2133" priority="923" operator="containsText" text="Poner a mano">
      <formula>NOT(ISERROR(SEARCH("Poner a mano",BD21)))</formula>
    </cfRule>
  </conditionalFormatting>
  <conditionalFormatting sqref="BD23">
    <cfRule type="containsText" dxfId="2132" priority="922" operator="containsText" text="Poner a mano">
      <formula>NOT(ISERROR(SEARCH("Poner a mano",BD23)))</formula>
    </cfRule>
  </conditionalFormatting>
  <conditionalFormatting sqref="BD25">
    <cfRule type="containsText" dxfId="2131" priority="921" operator="containsText" text="Poner a mano">
      <formula>NOT(ISERROR(SEARCH("Poner a mano",BD25)))</formula>
    </cfRule>
  </conditionalFormatting>
  <conditionalFormatting sqref="BD27">
    <cfRule type="containsText" dxfId="2130" priority="920" operator="containsText" text="Poner a mano">
      <formula>NOT(ISERROR(SEARCH("Poner a mano",BD27)))</formula>
    </cfRule>
  </conditionalFormatting>
  <conditionalFormatting sqref="BD29">
    <cfRule type="containsText" dxfId="2129" priority="919" operator="containsText" text="Poner a mano">
      <formula>NOT(ISERROR(SEARCH("Poner a mano",BD29)))</formula>
    </cfRule>
  </conditionalFormatting>
  <conditionalFormatting sqref="BD31">
    <cfRule type="containsText" dxfId="2128" priority="918" operator="containsText" text="Poner a mano">
      <formula>NOT(ISERROR(SEARCH("Poner a mano",BD31)))</formula>
    </cfRule>
  </conditionalFormatting>
  <conditionalFormatting sqref="BD33">
    <cfRule type="containsText" dxfId="2127" priority="917" operator="containsText" text="Poner a mano">
      <formula>NOT(ISERROR(SEARCH("Poner a mano",BD33)))</formula>
    </cfRule>
  </conditionalFormatting>
  <conditionalFormatting sqref="BD35">
    <cfRule type="containsText" dxfId="2126" priority="916" operator="containsText" text="Poner a mano">
      <formula>NOT(ISERROR(SEARCH("Poner a mano",BD35)))</formula>
    </cfRule>
  </conditionalFormatting>
  <conditionalFormatting sqref="BD37">
    <cfRule type="containsText" dxfId="2125" priority="915" operator="containsText" text="Poner a mano">
      <formula>NOT(ISERROR(SEARCH("Poner a mano",BD37)))</formula>
    </cfRule>
  </conditionalFormatting>
  <conditionalFormatting sqref="BD39">
    <cfRule type="containsText" dxfId="2124" priority="914" operator="containsText" text="Poner a mano">
      <formula>NOT(ISERROR(SEARCH("Poner a mano",BD39)))</formula>
    </cfRule>
  </conditionalFormatting>
  <conditionalFormatting sqref="BD41">
    <cfRule type="containsText" dxfId="2123" priority="913" operator="containsText" text="Poner a mano">
      <formula>NOT(ISERROR(SEARCH("Poner a mano",BD41)))</formula>
    </cfRule>
  </conditionalFormatting>
  <conditionalFormatting sqref="BD43">
    <cfRule type="containsText" dxfId="2122" priority="912" operator="containsText" text="Poner a mano">
      <formula>NOT(ISERROR(SEARCH("Poner a mano",BD43)))</formula>
    </cfRule>
  </conditionalFormatting>
  <conditionalFormatting sqref="BD45">
    <cfRule type="containsText" dxfId="2121" priority="911" operator="containsText" text="Poner a mano">
      <formula>NOT(ISERROR(SEARCH("Poner a mano",BD45)))</formula>
    </cfRule>
  </conditionalFormatting>
  <conditionalFormatting sqref="L65">
    <cfRule type="expression" dxfId="2120" priority="908">
      <formula>$M65="NON DEFINED"</formula>
    </cfRule>
    <cfRule type="expression" dxfId="2119" priority="909">
      <formula>$AZ65="N.D."</formula>
    </cfRule>
    <cfRule type="expression" dxfId="2118" priority="910">
      <formula>$AY65="N.D."</formula>
    </cfRule>
  </conditionalFormatting>
  <conditionalFormatting sqref="L65">
    <cfRule type="expression" dxfId="2117" priority="897">
      <formula>$A65="Overhead Cable"</formula>
    </cfRule>
    <cfRule type="expression" dxfId="2116" priority="898">
      <formula>$A65="Level Crossing"</formula>
    </cfRule>
    <cfRule type="expression" dxfId="2115" priority="899">
      <formula>$A65="Neutral Section"</formula>
    </cfRule>
    <cfRule type="expression" dxfId="2114" priority="900">
      <formula>$A65="Tunnel"</formula>
    </cfRule>
    <cfRule type="expression" dxfId="2113" priority="901">
      <formula>$A65="Bridge"</formula>
    </cfRule>
    <cfRule type="expression" dxfId="2112" priority="902">
      <formula>$A65="Drainage Works"</formula>
    </cfRule>
    <cfRule type="expression" dxfId="2111" priority="903">
      <formula>$A65="Underpass"</formula>
    </cfRule>
    <cfRule type="expression" dxfId="2110" priority="904">
      <formula>$A65="Overcrossing"</formula>
    </cfRule>
    <cfRule type="expression" dxfId="2109" priority="905">
      <formula>$A65="Overpass"</formula>
    </cfRule>
    <cfRule type="expression" dxfId="2108" priority="906">
      <formula>$A65="Station"</formula>
    </cfRule>
    <cfRule type="expression" dxfId="2107" priority="907">
      <formula>$A65="Overlap between sections"</formula>
    </cfRule>
  </conditionalFormatting>
  <conditionalFormatting sqref="BD63">
    <cfRule type="containsText" dxfId="2106" priority="896" operator="containsText" text="Poner a mano">
      <formula>NOT(ISERROR(SEARCH("Poner a mano",BD63)))</formula>
    </cfRule>
  </conditionalFormatting>
  <conditionalFormatting sqref="BD65">
    <cfRule type="containsText" dxfId="2105" priority="895" operator="containsText" text="Poner a mano">
      <formula>NOT(ISERROR(SEARCH("Poner a mano",BD65)))</formula>
    </cfRule>
  </conditionalFormatting>
  <conditionalFormatting sqref="BA65:BC65">
    <cfRule type="expression" dxfId="2104" priority="893">
      <formula>$BE65="A"</formula>
    </cfRule>
    <cfRule type="expression" dxfId="2103" priority="894">
      <formula>$BE65="R"</formula>
    </cfRule>
  </conditionalFormatting>
  <conditionalFormatting sqref="BC65">
    <cfRule type="expression" dxfId="2102" priority="892">
      <formula>$M65="U.S. N.D."</formula>
    </cfRule>
  </conditionalFormatting>
  <conditionalFormatting sqref="BB65">
    <cfRule type="expression" dxfId="2101" priority="890">
      <formula>$AZ65="N.D."</formula>
    </cfRule>
  </conditionalFormatting>
  <conditionalFormatting sqref="BA65">
    <cfRule type="expression" dxfId="2100" priority="891">
      <formula>$AY65="N.D."</formula>
    </cfRule>
  </conditionalFormatting>
  <conditionalFormatting sqref="B6:V6 X5:AZ6 B5:L5 N5:V5">
    <cfRule type="expression" dxfId="2099" priority="887">
      <formula>$M5="NON DEFINED"</formula>
    </cfRule>
    <cfRule type="expression" dxfId="2098" priority="888">
      <formula>$AZ5="N.D."</formula>
    </cfRule>
    <cfRule type="expression" dxfId="2097" priority="889">
      <formula>$AY5="N.D."</formula>
    </cfRule>
  </conditionalFormatting>
  <conditionalFormatting sqref="AG5:AG6 A5:E6 AY5:AZ6 G5:H6 J5:J6 AM5:AS6">
    <cfRule type="expression" dxfId="2096" priority="876">
      <formula>$A5="Overhead Cable"</formula>
    </cfRule>
    <cfRule type="expression" dxfId="2095" priority="877">
      <formula>$A5="Level Crossing"</formula>
    </cfRule>
    <cfRule type="expression" dxfId="2094" priority="878">
      <formula>$A5="Neutral Section"</formula>
    </cfRule>
    <cfRule type="expression" dxfId="2093" priority="879">
      <formula>$A5="Tunnel"</formula>
    </cfRule>
    <cfRule type="expression" dxfId="2092" priority="880">
      <formula>$A5="Bridge"</formula>
    </cfRule>
    <cfRule type="expression" dxfId="2091" priority="881">
      <formula>$A5="Drainage Works"</formula>
    </cfRule>
    <cfRule type="expression" dxfId="2090" priority="882">
      <formula>$A5="Underpass"</formula>
    </cfRule>
    <cfRule type="expression" dxfId="2089" priority="883">
      <formula>$A5="Overcrossing"</formula>
    </cfRule>
    <cfRule type="expression" dxfId="2088" priority="884">
      <formula>$A5="Overpass"</formula>
    </cfRule>
    <cfRule type="expression" dxfId="2087" priority="885">
      <formula>$A5="Station"</formula>
    </cfRule>
    <cfRule type="expression" dxfId="2086" priority="886">
      <formula>$A5="Overlap between sections"</formula>
    </cfRule>
  </conditionalFormatting>
  <conditionalFormatting sqref="AN5:AP6">
    <cfRule type="cellIs" dxfId="2085" priority="875" operator="notEqual">
      <formula>5.5</formula>
    </cfRule>
  </conditionalFormatting>
  <conditionalFormatting sqref="B5:B6">
    <cfRule type="expression" dxfId="2084" priority="874">
      <formula>AND($AH5&gt;2499,$AH5&lt;2901)</formula>
    </cfRule>
  </conditionalFormatting>
  <conditionalFormatting sqref="I5:I6">
    <cfRule type="expression" dxfId="2083" priority="863">
      <formula>$A5="Overhead Cable"</formula>
    </cfRule>
    <cfRule type="expression" dxfId="2082" priority="864">
      <formula>$A5="Level Crossing"</formula>
    </cfRule>
    <cfRule type="expression" dxfId="2081" priority="865">
      <formula>$A5="Neutral Section"</formula>
    </cfRule>
    <cfRule type="expression" dxfId="2080" priority="866">
      <formula>$A5="Tunnel"</formula>
    </cfRule>
    <cfRule type="expression" dxfId="2079" priority="867">
      <formula>$A5="Bridge"</formula>
    </cfRule>
    <cfRule type="expression" dxfId="2078" priority="868">
      <formula>$A5="Drainage Works"</formula>
    </cfRule>
    <cfRule type="expression" dxfId="2077" priority="869">
      <formula>$A5="Underpass"</formula>
    </cfRule>
    <cfRule type="expression" dxfId="2076" priority="870">
      <formula>$A5="Overcrossing"</formula>
    </cfRule>
    <cfRule type="expression" dxfId="2075" priority="871">
      <formula>$A5="Overpass"</formula>
    </cfRule>
    <cfRule type="expression" dxfId="2074" priority="872">
      <formula>$A5="Station"</formula>
    </cfRule>
    <cfRule type="expression" dxfId="2073" priority="873">
      <formula>$A5="Overlap between sections"</formula>
    </cfRule>
  </conditionalFormatting>
  <conditionalFormatting sqref="K5:K6">
    <cfRule type="expression" dxfId="2072" priority="852">
      <formula>$A5="Overhead Cable"</formula>
    </cfRule>
    <cfRule type="expression" dxfId="2071" priority="853">
      <formula>$A5="Level Crossing"</formula>
    </cfRule>
    <cfRule type="expression" dxfId="2070" priority="854">
      <formula>$A5="Neutral Section"</formula>
    </cfRule>
    <cfRule type="expression" dxfId="2069" priority="855">
      <formula>$A5="Tunnel"</formula>
    </cfRule>
    <cfRule type="expression" dxfId="2068" priority="856">
      <formula>$A5="Bridge"</formula>
    </cfRule>
    <cfRule type="expression" dxfId="2067" priority="857">
      <formula>$A5="Drainage Works"</formula>
    </cfRule>
    <cfRule type="expression" dxfId="2066" priority="858">
      <formula>$A5="Underpass"</formula>
    </cfRule>
    <cfRule type="expression" dxfId="2065" priority="859">
      <formula>$A5="Overcrossing"</formula>
    </cfRule>
    <cfRule type="expression" dxfId="2064" priority="860">
      <formula>$A5="Overpass"</formula>
    </cfRule>
    <cfRule type="expression" dxfId="2063" priority="861">
      <formula>$A5="Station"</formula>
    </cfRule>
    <cfRule type="expression" dxfId="2062" priority="862">
      <formula>$A5="Overlap between sections"</formula>
    </cfRule>
  </conditionalFormatting>
  <conditionalFormatting sqref="L5:L6">
    <cfRule type="expression" dxfId="2061" priority="841">
      <formula>$A5="Overhead Cable"</formula>
    </cfRule>
    <cfRule type="expression" dxfId="2060" priority="842">
      <formula>$A5="Level Crossing"</formula>
    </cfRule>
    <cfRule type="expression" dxfId="2059" priority="843">
      <formula>$A5="Neutral Section"</formula>
    </cfRule>
    <cfRule type="expression" dxfId="2058" priority="844">
      <formula>$A5="Tunnel"</formula>
    </cfRule>
    <cfRule type="expression" dxfId="2057" priority="845">
      <formula>$A5="Bridge"</formula>
    </cfRule>
    <cfRule type="expression" dxfId="2056" priority="846">
      <formula>$A5="Drainage Works"</formula>
    </cfRule>
    <cfRule type="expression" dxfId="2055" priority="847">
      <formula>$A5="Underpass"</formula>
    </cfRule>
    <cfRule type="expression" dxfId="2054" priority="848">
      <formula>$A5="Overcrossing"</formula>
    </cfRule>
    <cfRule type="expression" dxfId="2053" priority="849">
      <formula>$A5="Overpass"</formula>
    </cfRule>
    <cfRule type="expression" dxfId="2052" priority="850">
      <formula>$A5="Station"</formula>
    </cfRule>
    <cfRule type="expression" dxfId="2051" priority="851">
      <formula>$A5="Overlap between sections"</formula>
    </cfRule>
  </conditionalFormatting>
  <conditionalFormatting sqref="M6">
    <cfRule type="expression" dxfId="2050" priority="830">
      <formula>$A6="Overhead Cable"</formula>
    </cfRule>
    <cfRule type="expression" dxfId="2049" priority="831">
      <formula>$A6="Level Crossing"</formula>
    </cfRule>
    <cfRule type="expression" dxfId="2048" priority="832">
      <formula>$A6="Neutral Section"</formula>
    </cfRule>
    <cfRule type="expression" dxfId="2047" priority="833">
      <formula>$A6="Tunnel"</formula>
    </cfRule>
    <cfRule type="expression" dxfId="2046" priority="834">
      <formula>$A6="Bridge"</formula>
    </cfRule>
    <cfRule type="expression" dxfId="2045" priority="835">
      <formula>$A6="Drainage Works"</formula>
    </cfRule>
    <cfRule type="expression" dxfId="2044" priority="836">
      <formula>$A6="Underpass"</formula>
    </cfRule>
    <cfRule type="expression" dxfId="2043" priority="837">
      <formula>$A6="Overcrossing"</formula>
    </cfRule>
    <cfRule type="expression" dxfId="2042" priority="838">
      <formula>$A6="Overpass"</formula>
    </cfRule>
    <cfRule type="expression" dxfId="2041" priority="839">
      <formula>$A6="Station"</formula>
    </cfRule>
    <cfRule type="expression" dxfId="2040" priority="840">
      <formula>$A6="Overlap between sections"</formula>
    </cfRule>
  </conditionalFormatting>
  <conditionalFormatting sqref="N5:N6">
    <cfRule type="expression" dxfId="2039" priority="819">
      <formula>$A5="Overhead Cable"</formula>
    </cfRule>
    <cfRule type="expression" dxfId="2038" priority="820">
      <formula>$A5="Level Crossing"</formula>
    </cfRule>
    <cfRule type="expression" dxfId="2037" priority="821">
      <formula>$A5="Neutral Section"</formula>
    </cfRule>
    <cfRule type="expression" dxfId="2036" priority="822">
      <formula>$A5="Tunnel"</formula>
    </cfRule>
    <cfRule type="expression" dxfId="2035" priority="823">
      <formula>$A5="Bridge"</formula>
    </cfRule>
    <cfRule type="expression" dxfId="2034" priority="824">
      <formula>$A5="Drainage Works"</formula>
    </cfRule>
    <cfRule type="expression" dxfId="2033" priority="825">
      <formula>$A5="Underpass"</formula>
    </cfRule>
    <cfRule type="expression" dxfId="2032" priority="826">
      <formula>$A5="Overcrossing"</formula>
    </cfRule>
    <cfRule type="expression" dxfId="2031" priority="827">
      <formula>$A5="Overpass"</formula>
    </cfRule>
    <cfRule type="expression" dxfId="2030" priority="828">
      <formula>$A5="Station"</formula>
    </cfRule>
    <cfRule type="expression" dxfId="2029" priority="829">
      <formula>$A5="Overlap between sections"</formula>
    </cfRule>
  </conditionalFormatting>
  <conditionalFormatting sqref="O5:O6">
    <cfRule type="expression" dxfId="2028" priority="808">
      <formula>$A5="Overhead Cable"</formula>
    </cfRule>
    <cfRule type="expression" dxfId="2027" priority="809">
      <formula>$A5="Level Crossing"</formula>
    </cfRule>
    <cfRule type="expression" dxfId="2026" priority="810">
      <formula>$A5="Neutral Section"</formula>
    </cfRule>
    <cfRule type="expression" dxfId="2025" priority="811">
      <formula>$A5="Tunnel"</formula>
    </cfRule>
    <cfRule type="expression" dxfId="2024" priority="812">
      <formula>$A5="Bridge"</formula>
    </cfRule>
    <cfRule type="expression" dxfId="2023" priority="813">
      <formula>$A5="Drainage Works"</formula>
    </cfRule>
    <cfRule type="expression" dxfId="2022" priority="814">
      <formula>$A5="Underpass"</formula>
    </cfRule>
    <cfRule type="expression" dxfId="2021" priority="815">
      <formula>$A5="Overcrossing"</formula>
    </cfRule>
    <cfRule type="expression" dxfId="2020" priority="816">
      <formula>$A5="Overpass"</formula>
    </cfRule>
    <cfRule type="expression" dxfId="2019" priority="817">
      <formula>$A5="Station"</formula>
    </cfRule>
    <cfRule type="expression" dxfId="2018" priority="818">
      <formula>$A5="Overlap between sections"</formula>
    </cfRule>
  </conditionalFormatting>
  <conditionalFormatting sqref="P5:P6">
    <cfRule type="expression" dxfId="2017" priority="797">
      <formula>$A5="Overhead Cable"</formula>
    </cfRule>
    <cfRule type="expression" dxfId="2016" priority="798">
      <formula>$A5="Level Crossing"</formula>
    </cfRule>
    <cfRule type="expression" dxfId="2015" priority="799">
      <formula>$A5="Neutral Section"</formula>
    </cfRule>
    <cfRule type="expression" dxfId="2014" priority="800">
      <formula>$A5="Tunnel"</formula>
    </cfRule>
    <cfRule type="expression" dxfId="2013" priority="801">
      <formula>$A5="Bridge"</formula>
    </cfRule>
    <cfRule type="expression" dxfId="2012" priority="802">
      <formula>$A5="Drainage Works"</formula>
    </cfRule>
    <cfRule type="expression" dxfId="2011" priority="803">
      <formula>$A5="Underpass"</formula>
    </cfRule>
    <cfRule type="expression" dxfId="2010" priority="804">
      <formula>$A5="Overcrossing"</formula>
    </cfRule>
    <cfRule type="expression" dxfId="2009" priority="805">
      <formula>$A5="Overpass"</formula>
    </cfRule>
    <cfRule type="expression" dxfId="2008" priority="806">
      <formula>$A5="Station"</formula>
    </cfRule>
    <cfRule type="expression" dxfId="2007" priority="807">
      <formula>$A5="Overlap between sections"</formula>
    </cfRule>
  </conditionalFormatting>
  <conditionalFormatting sqref="AC5:AC6">
    <cfRule type="expression" dxfId="2006" priority="786">
      <formula>$A5="Overhead Cable"</formula>
    </cfRule>
    <cfRule type="expression" dxfId="2005" priority="787">
      <formula>$A5="Level Crossing"</formula>
    </cfRule>
    <cfRule type="expression" dxfId="2004" priority="788">
      <formula>$A5="Neutral Section"</formula>
    </cfRule>
    <cfRule type="expression" dxfId="2003" priority="789">
      <formula>$A5="Tunnel"</formula>
    </cfRule>
    <cfRule type="expression" dxfId="2002" priority="790">
      <formula>$A5="Bridge"</formula>
    </cfRule>
    <cfRule type="expression" dxfId="2001" priority="791">
      <formula>$A5="Drainage Works"</formula>
    </cfRule>
    <cfRule type="expression" dxfId="2000" priority="792">
      <formula>$A5="Underpass"</formula>
    </cfRule>
    <cfRule type="expression" dxfId="1999" priority="793">
      <formula>$A5="Overcrossing"</formula>
    </cfRule>
    <cfRule type="expression" dxfId="1998" priority="794">
      <formula>$A5="Overpass"</formula>
    </cfRule>
    <cfRule type="expression" dxfId="1997" priority="795">
      <formula>$A5="Station"</formula>
    </cfRule>
    <cfRule type="expression" dxfId="1996" priority="796">
      <formula>$A5="Overlap between sections"</formula>
    </cfRule>
  </conditionalFormatting>
  <conditionalFormatting sqref="AD5:AD6">
    <cfRule type="expression" dxfId="1995" priority="775">
      <formula>$A5="Overhead Cable"</formula>
    </cfRule>
    <cfRule type="expression" dxfId="1994" priority="776">
      <formula>$A5="Level Crossing"</formula>
    </cfRule>
    <cfRule type="expression" dxfId="1993" priority="777">
      <formula>$A5="Neutral Section"</formula>
    </cfRule>
    <cfRule type="expression" dxfId="1992" priority="778">
      <formula>$A5="Tunnel"</formula>
    </cfRule>
    <cfRule type="expression" dxfId="1991" priority="779">
      <formula>$A5="Bridge"</formula>
    </cfRule>
    <cfRule type="expression" dxfId="1990" priority="780">
      <formula>$A5="Drainage Works"</formula>
    </cfRule>
    <cfRule type="expression" dxfId="1989" priority="781">
      <formula>$A5="Underpass"</formula>
    </cfRule>
    <cfRule type="expression" dxfId="1988" priority="782">
      <formula>$A5="Overcrossing"</formula>
    </cfRule>
    <cfRule type="expression" dxfId="1987" priority="783">
      <formula>$A5="Overpass"</formula>
    </cfRule>
    <cfRule type="expression" dxfId="1986" priority="784">
      <formula>$A5="Station"</formula>
    </cfRule>
    <cfRule type="expression" dxfId="1985" priority="785">
      <formula>$A5="Overlap between sections"</formula>
    </cfRule>
  </conditionalFormatting>
  <conditionalFormatting sqref="AE5:AE6">
    <cfRule type="expression" dxfId="1984" priority="764">
      <formula>$A5="Overhead Cable"</formula>
    </cfRule>
    <cfRule type="expression" dxfId="1983" priority="765">
      <formula>$A5="Level Crossing"</formula>
    </cfRule>
    <cfRule type="expression" dxfId="1982" priority="766">
      <formula>$A5="Neutral Section"</formula>
    </cfRule>
    <cfRule type="expression" dxfId="1981" priority="767">
      <formula>$A5="Tunnel"</formula>
    </cfRule>
    <cfRule type="expression" dxfId="1980" priority="768">
      <formula>$A5="Bridge"</formula>
    </cfRule>
    <cfRule type="expression" dxfId="1979" priority="769">
      <formula>$A5="Drainage Works"</formula>
    </cfRule>
    <cfRule type="expression" dxfId="1978" priority="770">
      <formula>$A5="Underpass"</formula>
    </cfRule>
    <cfRule type="expression" dxfId="1977" priority="771">
      <formula>$A5="Overcrossing"</formula>
    </cfRule>
    <cfRule type="expression" dxfId="1976" priority="772">
      <formula>$A5="Overpass"</formula>
    </cfRule>
    <cfRule type="expression" dxfId="1975" priority="773">
      <formula>$A5="Station"</formula>
    </cfRule>
    <cfRule type="expression" dxfId="1974" priority="774">
      <formula>$A5="Overlap between sections"</formula>
    </cfRule>
  </conditionalFormatting>
  <conditionalFormatting sqref="AJ5:AJ6">
    <cfRule type="expression" dxfId="1973" priority="753">
      <formula>$A5="Overhead Cable"</formula>
    </cfRule>
    <cfRule type="expression" dxfId="1972" priority="754">
      <formula>$A5="Level Crossing"</formula>
    </cfRule>
    <cfRule type="expression" dxfId="1971" priority="755">
      <formula>$A5="Neutral Section"</formula>
    </cfRule>
    <cfRule type="expression" dxfId="1970" priority="756">
      <formula>$A5="Tunnel"</formula>
    </cfRule>
    <cfRule type="expression" dxfId="1969" priority="757">
      <formula>$A5="Bridge"</formula>
    </cfRule>
    <cfRule type="expression" dxfId="1968" priority="758">
      <formula>$A5="Drainage Works"</formula>
    </cfRule>
    <cfRule type="expression" dxfId="1967" priority="759">
      <formula>$A5="Underpass"</formula>
    </cfRule>
    <cfRule type="expression" dxfId="1966" priority="760">
      <formula>$A5="Overcrossing"</formula>
    </cfRule>
    <cfRule type="expression" dxfId="1965" priority="761">
      <formula>$A5="Overpass"</formula>
    </cfRule>
    <cfRule type="expression" dxfId="1964" priority="762">
      <formula>$A5="Station"</formula>
    </cfRule>
    <cfRule type="expression" dxfId="1963" priority="763">
      <formula>$A5="Overlap between sections"</formula>
    </cfRule>
  </conditionalFormatting>
  <conditionalFormatting sqref="AK5:AK6">
    <cfRule type="expression" dxfId="1962" priority="742">
      <formula>$A5="Overhead Cable"</formula>
    </cfRule>
    <cfRule type="expression" dxfId="1961" priority="743">
      <formula>$A5="Level Crossing"</formula>
    </cfRule>
    <cfRule type="expression" dxfId="1960" priority="744">
      <formula>$A5="Neutral Section"</formula>
    </cfRule>
    <cfRule type="expression" dxfId="1959" priority="745">
      <formula>$A5="Tunnel"</formula>
    </cfRule>
    <cfRule type="expression" dxfId="1958" priority="746">
      <formula>$A5="Bridge"</formula>
    </cfRule>
    <cfRule type="expression" dxfId="1957" priority="747">
      <formula>$A5="Drainage Works"</formula>
    </cfRule>
    <cfRule type="expression" dxfId="1956" priority="748">
      <formula>$A5="Underpass"</formula>
    </cfRule>
    <cfRule type="expression" dxfId="1955" priority="749">
      <formula>$A5="Overcrossing"</formula>
    </cfRule>
    <cfRule type="expression" dxfId="1954" priority="750">
      <formula>$A5="Overpass"</formula>
    </cfRule>
    <cfRule type="expression" dxfId="1953" priority="751">
      <formula>$A5="Station"</formula>
    </cfRule>
    <cfRule type="expression" dxfId="1952" priority="752">
      <formula>$A5="Overlap between sections"</formula>
    </cfRule>
  </conditionalFormatting>
  <conditionalFormatting sqref="AL5:AL6">
    <cfRule type="expression" dxfId="1951" priority="731">
      <formula>$A5="Overhead Cable"</formula>
    </cfRule>
    <cfRule type="expression" dxfId="1950" priority="732">
      <formula>$A5="Level Crossing"</formula>
    </cfRule>
    <cfRule type="expression" dxfId="1949" priority="733">
      <formula>$A5="Neutral Section"</formula>
    </cfRule>
    <cfRule type="expression" dxfId="1948" priority="734">
      <formula>$A5="Tunnel"</formula>
    </cfRule>
    <cfRule type="expression" dxfId="1947" priority="735">
      <formula>$A5="Bridge"</formula>
    </cfRule>
    <cfRule type="expression" dxfId="1946" priority="736">
      <formula>$A5="Drainage Works"</formula>
    </cfRule>
    <cfRule type="expression" dxfId="1945" priority="737">
      <formula>$A5="Underpass"</formula>
    </cfRule>
    <cfRule type="expression" dxfId="1944" priority="738">
      <formula>$A5="Overcrossing"</formula>
    </cfRule>
    <cfRule type="expression" dxfId="1943" priority="739">
      <formula>$A5="Overpass"</formula>
    </cfRule>
    <cfRule type="expression" dxfId="1942" priority="740">
      <formula>$A5="Station"</formula>
    </cfRule>
    <cfRule type="expression" dxfId="1941" priority="741">
      <formula>$A5="Overlap between sections"</formula>
    </cfRule>
  </conditionalFormatting>
  <conditionalFormatting sqref="AT5:AT6">
    <cfRule type="expression" dxfId="1940" priority="720">
      <formula>$A5="Overhead Cable"</formula>
    </cfRule>
    <cfRule type="expression" dxfId="1939" priority="721">
      <formula>$A5="Level Crossing"</formula>
    </cfRule>
    <cfRule type="expression" dxfId="1938" priority="722">
      <formula>$A5="Neutral Section"</formula>
    </cfRule>
    <cfRule type="expression" dxfId="1937" priority="723">
      <formula>$A5="Tunnel"</formula>
    </cfRule>
    <cfRule type="expression" dxfId="1936" priority="724">
      <formula>$A5="Bridge"</formula>
    </cfRule>
    <cfRule type="expression" dxfId="1935" priority="725">
      <formula>$A5="Drainage Works"</formula>
    </cfRule>
    <cfRule type="expression" dxfId="1934" priority="726">
      <formula>$A5="Underpass"</formula>
    </cfRule>
    <cfRule type="expression" dxfId="1933" priority="727">
      <formula>$A5="Overcrossing"</formula>
    </cfRule>
    <cfRule type="expression" dxfId="1932" priority="728">
      <formula>$A5="Overpass"</formula>
    </cfRule>
    <cfRule type="expression" dxfId="1931" priority="729">
      <formula>$A5="Station"</formula>
    </cfRule>
    <cfRule type="expression" dxfId="1930" priority="730">
      <formula>$A5="Overlap between sections"</formula>
    </cfRule>
  </conditionalFormatting>
  <conditionalFormatting sqref="AU5:AU6">
    <cfRule type="expression" dxfId="1929" priority="709">
      <formula>$A5="Overhead Cable"</formula>
    </cfRule>
    <cfRule type="expression" dxfId="1928" priority="710">
      <formula>$A5="Level Crossing"</formula>
    </cfRule>
    <cfRule type="expression" dxfId="1927" priority="711">
      <formula>$A5="Neutral Section"</formula>
    </cfRule>
    <cfRule type="expression" dxfId="1926" priority="712">
      <formula>$A5="Tunnel"</formula>
    </cfRule>
    <cfRule type="expression" dxfId="1925" priority="713">
      <formula>$A5="Bridge"</formula>
    </cfRule>
    <cfRule type="expression" dxfId="1924" priority="714">
      <formula>$A5="Drainage Works"</formula>
    </cfRule>
    <cfRule type="expression" dxfId="1923" priority="715">
      <formula>$A5="Underpass"</formula>
    </cfRule>
    <cfRule type="expression" dxfId="1922" priority="716">
      <formula>$A5="Overcrossing"</formula>
    </cfRule>
    <cfRule type="expression" dxfId="1921" priority="717">
      <formula>$A5="Overpass"</formula>
    </cfRule>
    <cfRule type="expression" dxfId="1920" priority="718">
      <formula>$A5="Station"</formula>
    </cfRule>
    <cfRule type="expression" dxfId="1919" priority="719">
      <formula>$A5="Overlap between sections"</formula>
    </cfRule>
  </conditionalFormatting>
  <conditionalFormatting sqref="AV5:AV6">
    <cfRule type="expression" dxfId="1918" priority="698">
      <formula>$A5="Overhead Cable"</formula>
    </cfRule>
    <cfRule type="expression" dxfId="1917" priority="699">
      <formula>$A5="Level Crossing"</formula>
    </cfRule>
    <cfRule type="expression" dxfId="1916" priority="700">
      <formula>$A5="Neutral Section"</formula>
    </cfRule>
    <cfRule type="expression" dxfId="1915" priority="701">
      <formula>$A5="Tunnel"</formula>
    </cfRule>
    <cfRule type="expression" dxfId="1914" priority="702">
      <formula>$A5="Bridge"</formula>
    </cfRule>
    <cfRule type="expression" dxfId="1913" priority="703">
      <formula>$A5="Drainage Works"</formula>
    </cfRule>
    <cfRule type="expression" dxfId="1912" priority="704">
      <formula>$A5="Underpass"</formula>
    </cfRule>
    <cfRule type="expression" dxfId="1911" priority="705">
      <formula>$A5="Overcrossing"</formula>
    </cfRule>
    <cfRule type="expression" dxfId="1910" priority="706">
      <formula>$A5="Overpass"</formula>
    </cfRule>
    <cfRule type="expression" dxfId="1909" priority="707">
      <formula>$A5="Station"</formula>
    </cfRule>
    <cfRule type="expression" dxfId="1908" priority="708">
      <formula>$A5="Overlap between sections"</formula>
    </cfRule>
  </conditionalFormatting>
  <conditionalFormatting sqref="AW5:AW6">
    <cfRule type="expression" dxfId="1907" priority="687">
      <formula>$A5="Overhead Cable"</formula>
    </cfRule>
    <cfRule type="expression" dxfId="1906" priority="688">
      <formula>$A5="Level Crossing"</formula>
    </cfRule>
    <cfRule type="expression" dxfId="1905" priority="689">
      <formula>$A5="Neutral Section"</formula>
    </cfRule>
    <cfRule type="expression" dxfId="1904" priority="690">
      <formula>$A5="Tunnel"</formula>
    </cfRule>
    <cfRule type="expression" dxfId="1903" priority="691">
      <formula>$A5="Bridge"</formula>
    </cfRule>
    <cfRule type="expression" dxfId="1902" priority="692">
      <formula>$A5="Drainage Works"</formula>
    </cfRule>
    <cfRule type="expression" dxfId="1901" priority="693">
      <formula>$A5="Underpass"</formula>
    </cfRule>
    <cfRule type="expression" dxfId="1900" priority="694">
      <formula>$A5="Overcrossing"</formula>
    </cfRule>
    <cfRule type="expression" dxfId="1899" priority="695">
      <formula>$A5="Overpass"</formula>
    </cfRule>
    <cfRule type="expression" dxfId="1898" priority="696">
      <formula>$A5="Station"</formula>
    </cfRule>
    <cfRule type="expression" dxfId="1897" priority="697">
      <formula>$A5="Overlap between sections"</formula>
    </cfRule>
  </conditionalFormatting>
  <conditionalFormatting sqref="AX5:AX6">
    <cfRule type="expression" dxfId="1896" priority="676">
      <formula>$A5="Overhead Cable"</formula>
    </cfRule>
    <cfRule type="expression" dxfId="1895" priority="677">
      <formula>$A5="Level Crossing"</formula>
    </cfRule>
    <cfRule type="expression" dxfId="1894" priority="678">
      <formula>$A5="Neutral Section"</formula>
    </cfRule>
    <cfRule type="expression" dxfId="1893" priority="679">
      <formula>$A5="Tunnel"</formula>
    </cfRule>
    <cfRule type="expression" dxfId="1892" priority="680">
      <formula>$A5="Bridge"</formula>
    </cfRule>
    <cfRule type="expression" dxfId="1891" priority="681">
      <formula>$A5="Drainage Works"</formula>
    </cfRule>
    <cfRule type="expression" dxfId="1890" priority="682">
      <formula>$A5="Underpass"</formula>
    </cfRule>
    <cfRule type="expression" dxfId="1889" priority="683">
      <formula>$A5="Overcrossing"</formula>
    </cfRule>
    <cfRule type="expression" dxfId="1888" priority="684">
      <formula>$A5="Overpass"</formula>
    </cfRule>
    <cfRule type="expression" dxfId="1887" priority="685">
      <formula>$A5="Station"</formula>
    </cfRule>
    <cfRule type="expression" dxfId="1886" priority="686">
      <formula>$A5="Overlap between sections"</formula>
    </cfRule>
  </conditionalFormatting>
  <conditionalFormatting sqref="F5:F6">
    <cfRule type="expression" dxfId="1885" priority="665">
      <formula>$A5="Overhead Cable"</formula>
    </cfRule>
    <cfRule type="expression" dxfId="1884" priority="666">
      <formula>$A5="Level Crossing"</formula>
    </cfRule>
    <cfRule type="expression" dxfId="1883" priority="667">
      <formula>$A5="Neutral Section"</formula>
    </cfRule>
    <cfRule type="expression" dxfId="1882" priority="668">
      <formula>$A5="Tunnel"</formula>
    </cfRule>
    <cfRule type="expression" dxfId="1881" priority="669">
      <formula>$A5="Bridge"</formula>
    </cfRule>
    <cfRule type="expression" dxfId="1880" priority="670">
      <formula>$A5="Drainage Works"</formula>
    </cfRule>
    <cfRule type="expression" dxfId="1879" priority="671">
      <formula>$A5="Underpass"</formula>
    </cfRule>
    <cfRule type="expression" dxfId="1878" priority="672">
      <formula>$A5="Overcrossing"</formula>
    </cfRule>
    <cfRule type="expression" dxfId="1877" priority="673">
      <formula>$A5="Overpass"</formula>
    </cfRule>
    <cfRule type="expression" dxfId="1876" priority="674">
      <formula>$A5="Station"</formula>
    </cfRule>
    <cfRule type="expression" dxfId="1875" priority="675">
      <formula>$A5="Overlap between sections"</formula>
    </cfRule>
  </conditionalFormatting>
  <conditionalFormatting sqref="Q5:Q6">
    <cfRule type="expression" dxfId="1874" priority="654">
      <formula>$A5="Overhead Cable"</formula>
    </cfRule>
    <cfRule type="expression" dxfId="1873" priority="655">
      <formula>$A5="Level Crossing"</formula>
    </cfRule>
    <cfRule type="expression" dxfId="1872" priority="656">
      <formula>$A5="Neutral Section"</formula>
    </cfRule>
    <cfRule type="expression" dxfId="1871" priority="657">
      <formula>$A5="Tunnel"</formula>
    </cfRule>
    <cfRule type="expression" dxfId="1870" priority="658">
      <formula>$A5="Bridge"</formula>
    </cfRule>
    <cfRule type="expression" dxfId="1869" priority="659">
      <formula>$A5="Drainage Works"</formula>
    </cfRule>
    <cfRule type="expression" dxfId="1868" priority="660">
      <formula>$A5="Underpass"</formula>
    </cfRule>
    <cfRule type="expression" dxfId="1867" priority="661">
      <formula>$A5="Overcrossing"</formula>
    </cfRule>
    <cfRule type="expression" dxfId="1866" priority="662">
      <formula>$A5="Overpass"</formula>
    </cfRule>
    <cfRule type="expression" dxfId="1865" priority="663">
      <formula>$A5="Station"</formula>
    </cfRule>
    <cfRule type="expression" dxfId="1864" priority="664">
      <formula>$A5="Overlap between sections"</formula>
    </cfRule>
  </conditionalFormatting>
  <conditionalFormatting sqref="T5:T6">
    <cfRule type="expression" dxfId="1863" priority="643">
      <formula>$A5="Overhead Cable"</formula>
    </cfRule>
    <cfRule type="expression" dxfId="1862" priority="644">
      <formula>$A5="Level Crossing"</formula>
    </cfRule>
    <cfRule type="expression" dxfId="1861" priority="645">
      <formula>$A5="Neutral Section"</formula>
    </cfRule>
    <cfRule type="expression" dxfId="1860" priority="646">
      <formula>$A5="Tunnel"</formula>
    </cfRule>
    <cfRule type="expression" dxfId="1859" priority="647">
      <formula>$A5="Bridge"</formula>
    </cfRule>
    <cfRule type="expression" dxfId="1858" priority="648">
      <formula>$A5="Drainage Works"</formula>
    </cfRule>
    <cfRule type="expression" dxfId="1857" priority="649">
      <formula>$A5="Underpass"</formula>
    </cfRule>
    <cfRule type="expression" dxfId="1856" priority="650">
      <formula>$A5="Overcrossing"</formula>
    </cfRule>
    <cfRule type="expression" dxfId="1855" priority="651">
      <formula>$A5="Overpass"</formula>
    </cfRule>
    <cfRule type="expression" dxfId="1854" priority="652">
      <formula>$A5="Station"</formula>
    </cfRule>
    <cfRule type="expression" dxfId="1853" priority="653">
      <formula>$A5="Overlap between sections"</formula>
    </cfRule>
  </conditionalFormatting>
  <conditionalFormatting sqref="U5:U6">
    <cfRule type="expression" dxfId="1852" priority="632">
      <formula>$A5="Overhead Cable"</formula>
    </cfRule>
    <cfRule type="expression" dxfId="1851" priority="633">
      <formula>$A5="Level Crossing"</formula>
    </cfRule>
    <cfRule type="expression" dxfId="1850" priority="634">
      <formula>$A5="Neutral Section"</formula>
    </cfRule>
    <cfRule type="expression" dxfId="1849" priority="635">
      <formula>$A5="Tunnel"</formula>
    </cfRule>
    <cfRule type="expression" dxfId="1848" priority="636">
      <formula>$A5="Bridge"</formula>
    </cfRule>
    <cfRule type="expression" dxfId="1847" priority="637">
      <formula>$A5="Drainage Works"</formula>
    </cfRule>
    <cfRule type="expression" dxfId="1846" priority="638">
      <formula>$A5="Underpass"</formula>
    </cfRule>
    <cfRule type="expression" dxfId="1845" priority="639">
      <formula>$A5="Overcrossing"</formula>
    </cfRule>
    <cfRule type="expression" dxfId="1844" priority="640">
      <formula>$A5="Overpass"</formula>
    </cfRule>
    <cfRule type="expression" dxfId="1843" priority="641">
      <formula>$A5="Station"</formula>
    </cfRule>
    <cfRule type="expression" dxfId="1842" priority="642">
      <formula>$A5="Overlap between sections"</formula>
    </cfRule>
  </conditionalFormatting>
  <conditionalFormatting sqref="V5:V6">
    <cfRule type="expression" dxfId="1841" priority="621">
      <formula>$A5="Overhead Cable"</formula>
    </cfRule>
    <cfRule type="expression" dxfId="1840" priority="622">
      <formula>$A5="Level Crossing"</formula>
    </cfRule>
    <cfRule type="expression" dxfId="1839" priority="623">
      <formula>$A5="Neutral Section"</formula>
    </cfRule>
    <cfRule type="expression" dxfId="1838" priority="624">
      <formula>$A5="Tunnel"</formula>
    </cfRule>
    <cfRule type="expression" dxfId="1837" priority="625">
      <formula>$A5="Bridge"</formula>
    </cfRule>
    <cfRule type="expression" dxfId="1836" priority="626">
      <formula>$A5="Drainage Works"</formula>
    </cfRule>
    <cfRule type="expression" dxfId="1835" priority="627">
      <formula>$A5="Underpass"</formula>
    </cfRule>
    <cfRule type="expression" dxfId="1834" priority="628">
      <formula>$A5="Overcrossing"</formula>
    </cfRule>
    <cfRule type="expression" dxfId="1833" priority="629">
      <formula>$A5="Overpass"</formula>
    </cfRule>
    <cfRule type="expression" dxfId="1832" priority="630">
      <formula>$A5="Station"</formula>
    </cfRule>
    <cfRule type="expression" dxfId="1831" priority="631">
      <formula>$A5="Overlap between sections"</formula>
    </cfRule>
  </conditionalFormatting>
  <conditionalFormatting sqref="AF5:AF6">
    <cfRule type="expression" dxfId="1830" priority="610">
      <formula>$A5="Overhead Cable"</formula>
    </cfRule>
    <cfRule type="expression" dxfId="1829" priority="611">
      <formula>$A5="Level Crossing"</formula>
    </cfRule>
    <cfRule type="expression" dxfId="1828" priority="612">
      <formula>$A5="Neutral Section"</formula>
    </cfRule>
    <cfRule type="expression" dxfId="1827" priority="613">
      <formula>$A5="Tunnel"</formula>
    </cfRule>
    <cfRule type="expression" dxfId="1826" priority="614">
      <formula>$A5="Bridge"</formula>
    </cfRule>
    <cfRule type="expression" dxfId="1825" priority="615">
      <formula>$A5="Drainage Works"</formula>
    </cfRule>
    <cfRule type="expression" dxfId="1824" priority="616">
      <formula>$A5="Underpass"</formula>
    </cfRule>
    <cfRule type="expression" dxfId="1823" priority="617">
      <formula>$A5="Overcrossing"</formula>
    </cfRule>
    <cfRule type="expression" dxfId="1822" priority="618">
      <formula>$A5="Overpass"</formula>
    </cfRule>
    <cfRule type="expression" dxfId="1821" priority="619">
      <formula>$A5="Station"</formula>
    </cfRule>
    <cfRule type="expression" dxfId="1820" priority="620">
      <formula>$A5="Overlap between sections"</formula>
    </cfRule>
  </conditionalFormatting>
  <conditionalFormatting sqref="AH5:AH6">
    <cfRule type="expression" dxfId="1819" priority="599">
      <formula>$A5="Overhead Cable"</formula>
    </cfRule>
    <cfRule type="expression" dxfId="1818" priority="600">
      <formula>$A5="Level Crossing"</formula>
    </cfRule>
    <cfRule type="expression" dxfId="1817" priority="601">
      <formula>$A5="Neutral Section"</formula>
    </cfRule>
    <cfRule type="expression" dxfId="1816" priority="602">
      <formula>$A5="Tunnel"</formula>
    </cfRule>
    <cfRule type="expression" dxfId="1815" priority="603">
      <formula>$A5="Bridge"</formula>
    </cfRule>
    <cfRule type="expression" dxfId="1814" priority="604">
      <formula>$A5="Drainage Works"</formula>
    </cfRule>
    <cfRule type="expression" dxfId="1813" priority="605">
      <formula>$A5="Underpass"</formula>
    </cfRule>
    <cfRule type="expression" dxfId="1812" priority="606">
      <formula>$A5="Overcrossing"</formula>
    </cfRule>
    <cfRule type="expression" dxfId="1811" priority="607">
      <formula>$A5="Overpass"</formula>
    </cfRule>
    <cfRule type="expression" dxfId="1810" priority="608">
      <formula>$A5="Station"</formula>
    </cfRule>
    <cfRule type="expression" dxfId="1809" priority="609">
      <formula>$A5="Overlap between sections"</formula>
    </cfRule>
  </conditionalFormatting>
  <conditionalFormatting sqref="AI5:AI6">
    <cfRule type="expression" dxfId="1808" priority="588">
      <formula>$A5="Overhead Cable"</formula>
    </cfRule>
    <cfRule type="expression" dxfId="1807" priority="589">
      <formula>$A5="Level Crossing"</formula>
    </cfRule>
    <cfRule type="expression" dxfId="1806" priority="590">
      <formula>$A5="Neutral Section"</formula>
    </cfRule>
    <cfRule type="expression" dxfId="1805" priority="591">
      <formula>$A5="Tunnel"</formula>
    </cfRule>
    <cfRule type="expression" dxfId="1804" priority="592">
      <formula>$A5="Bridge"</formula>
    </cfRule>
    <cfRule type="expression" dxfId="1803" priority="593">
      <formula>$A5="Drainage Works"</formula>
    </cfRule>
    <cfRule type="expression" dxfId="1802" priority="594">
      <formula>$A5="Underpass"</formula>
    </cfRule>
    <cfRule type="expression" dxfId="1801" priority="595">
      <formula>$A5="Overcrossing"</formula>
    </cfRule>
    <cfRule type="expression" dxfId="1800" priority="596">
      <formula>$A5="Overpass"</formula>
    </cfRule>
    <cfRule type="expression" dxfId="1799" priority="597">
      <formula>$A5="Station"</formula>
    </cfRule>
    <cfRule type="expression" dxfId="1798" priority="598">
      <formula>$A5="Overlap between sections"</formula>
    </cfRule>
  </conditionalFormatting>
  <conditionalFormatting sqref="R5:R6">
    <cfRule type="expression" dxfId="1797" priority="577">
      <formula>$A5="Overhead Cable"</formula>
    </cfRule>
    <cfRule type="expression" dxfId="1796" priority="578">
      <formula>$A5="Level Crossing"</formula>
    </cfRule>
    <cfRule type="expression" dxfId="1795" priority="579">
      <formula>$A5="Neutral Section"</formula>
    </cfRule>
    <cfRule type="expression" dxfId="1794" priority="580">
      <formula>$A5="Tunnel"</formula>
    </cfRule>
    <cfRule type="expression" dxfId="1793" priority="581">
      <formula>$A5="Bridge"</formula>
    </cfRule>
    <cfRule type="expression" dxfId="1792" priority="582">
      <formula>$A5="Drainage Works"</formula>
    </cfRule>
    <cfRule type="expression" dxfId="1791" priority="583">
      <formula>$A5="Underpass"</formula>
    </cfRule>
    <cfRule type="expression" dxfId="1790" priority="584">
      <formula>$A5="Overcrossing"</formula>
    </cfRule>
    <cfRule type="expression" dxfId="1789" priority="585">
      <formula>$A5="Overpass"</formula>
    </cfRule>
    <cfRule type="expression" dxfId="1788" priority="586">
      <formula>$A5="Station"</formula>
    </cfRule>
    <cfRule type="expression" dxfId="1787" priority="587">
      <formula>$A5="Overlap between sections"</formula>
    </cfRule>
  </conditionalFormatting>
  <conditionalFormatting sqref="S5:S6">
    <cfRule type="expression" dxfId="1786" priority="566">
      <formula>$A5="Overhead Cable"</formula>
    </cfRule>
    <cfRule type="expression" dxfId="1785" priority="567">
      <formula>$A5="Level Crossing"</formula>
    </cfRule>
    <cfRule type="expression" dxfId="1784" priority="568">
      <formula>$A5="Neutral Section"</formula>
    </cfRule>
    <cfRule type="expression" dxfId="1783" priority="569">
      <formula>$A5="Tunnel"</formula>
    </cfRule>
    <cfRule type="expression" dxfId="1782" priority="570">
      <formula>$A5="Bridge"</formula>
    </cfRule>
    <cfRule type="expression" dxfId="1781" priority="571">
      <formula>$A5="Drainage Works"</formula>
    </cfRule>
    <cfRule type="expression" dxfId="1780" priority="572">
      <formula>$A5="Underpass"</formula>
    </cfRule>
    <cfRule type="expression" dxfId="1779" priority="573">
      <formula>$A5="Overcrossing"</formula>
    </cfRule>
    <cfRule type="expression" dxfId="1778" priority="574">
      <formula>$A5="Overpass"</formula>
    </cfRule>
    <cfRule type="expression" dxfId="1777" priority="575">
      <formula>$A5="Station"</formula>
    </cfRule>
    <cfRule type="expression" dxfId="1776" priority="576">
      <formula>$A5="Overlap between sections"</formula>
    </cfRule>
  </conditionalFormatting>
  <conditionalFormatting sqref="X5:X6">
    <cfRule type="expression" dxfId="1775" priority="555">
      <formula>$A5="Overhead Cable"</formula>
    </cfRule>
    <cfRule type="expression" dxfId="1774" priority="556">
      <formula>$A5="Level Crossing"</formula>
    </cfRule>
    <cfRule type="expression" dxfId="1773" priority="557">
      <formula>$A5="Neutral Section"</formula>
    </cfRule>
    <cfRule type="expression" dxfId="1772" priority="558">
      <formula>$A5="Tunnel"</formula>
    </cfRule>
    <cfRule type="expression" dxfId="1771" priority="559">
      <formula>$A5="Bridge"</formula>
    </cfRule>
    <cfRule type="expression" dxfId="1770" priority="560">
      <formula>$A5="Drainage Works"</formula>
    </cfRule>
    <cfRule type="expression" dxfId="1769" priority="561">
      <formula>$A5="Underpass"</formula>
    </cfRule>
    <cfRule type="expression" dxfId="1768" priority="562">
      <formula>$A5="Overcrossing"</formula>
    </cfRule>
    <cfRule type="expression" dxfId="1767" priority="563">
      <formula>$A5="Overpass"</formula>
    </cfRule>
    <cfRule type="expression" dxfId="1766" priority="564">
      <formula>$A5="Station"</formula>
    </cfRule>
    <cfRule type="expression" dxfId="1765" priority="565">
      <formula>$A5="Overlap between sections"</formula>
    </cfRule>
  </conditionalFormatting>
  <conditionalFormatting sqref="Y5:Y6">
    <cfRule type="expression" dxfId="1764" priority="544">
      <formula>$A5="Overhead Cable"</formula>
    </cfRule>
    <cfRule type="expression" dxfId="1763" priority="545">
      <formula>$A5="Level Crossing"</formula>
    </cfRule>
    <cfRule type="expression" dxfId="1762" priority="546">
      <formula>$A5="Neutral Section"</formula>
    </cfRule>
    <cfRule type="expression" dxfId="1761" priority="547">
      <formula>$A5="Tunnel"</formula>
    </cfRule>
    <cfRule type="expression" dxfId="1760" priority="548">
      <formula>$A5="Bridge"</formula>
    </cfRule>
    <cfRule type="expression" dxfId="1759" priority="549">
      <formula>$A5="Drainage Works"</formula>
    </cfRule>
    <cfRule type="expression" dxfId="1758" priority="550">
      <formula>$A5="Underpass"</formula>
    </cfRule>
    <cfRule type="expression" dxfId="1757" priority="551">
      <formula>$A5="Overcrossing"</formula>
    </cfRule>
    <cfRule type="expression" dxfId="1756" priority="552">
      <formula>$A5="Overpass"</formula>
    </cfRule>
    <cfRule type="expression" dxfId="1755" priority="553">
      <formula>$A5="Station"</formula>
    </cfRule>
    <cfRule type="expression" dxfId="1754" priority="554">
      <formula>$A5="Overlap between sections"</formula>
    </cfRule>
  </conditionalFormatting>
  <conditionalFormatting sqref="Z5:Z6">
    <cfRule type="expression" dxfId="1753" priority="533">
      <formula>$A5="Overhead Cable"</formula>
    </cfRule>
    <cfRule type="expression" dxfId="1752" priority="534">
      <formula>$A5="Level Crossing"</formula>
    </cfRule>
    <cfRule type="expression" dxfId="1751" priority="535">
      <formula>$A5="Neutral Section"</formula>
    </cfRule>
    <cfRule type="expression" dxfId="1750" priority="536">
      <formula>$A5="Tunnel"</formula>
    </cfRule>
    <cfRule type="expression" dxfId="1749" priority="537">
      <formula>$A5="Bridge"</formula>
    </cfRule>
    <cfRule type="expression" dxfId="1748" priority="538">
      <formula>$A5="Drainage Works"</formula>
    </cfRule>
    <cfRule type="expression" dxfId="1747" priority="539">
      <formula>$A5="Underpass"</formula>
    </cfRule>
    <cfRule type="expression" dxfId="1746" priority="540">
      <formula>$A5="Overcrossing"</formula>
    </cfRule>
    <cfRule type="expression" dxfId="1745" priority="541">
      <formula>$A5="Overpass"</formula>
    </cfRule>
    <cfRule type="expression" dxfId="1744" priority="542">
      <formula>$A5="Station"</formula>
    </cfRule>
    <cfRule type="expression" dxfId="1743" priority="543">
      <formula>$A5="Overlap between sections"</formula>
    </cfRule>
  </conditionalFormatting>
  <conditionalFormatting sqref="AA5:AA6">
    <cfRule type="expression" dxfId="1742" priority="522">
      <formula>$A5="Overhead Cable"</formula>
    </cfRule>
    <cfRule type="expression" dxfId="1741" priority="523">
      <formula>$A5="Level Crossing"</formula>
    </cfRule>
    <cfRule type="expression" dxfId="1740" priority="524">
      <formula>$A5="Neutral Section"</formula>
    </cfRule>
    <cfRule type="expression" dxfId="1739" priority="525">
      <formula>$A5="Tunnel"</formula>
    </cfRule>
    <cfRule type="expression" dxfId="1738" priority="526">
      <formula>$A5="Bridge"</formula>
    </cfRule>
    <cfRule type="expression" dxfId="1737" priority="527">
      <formula>$A5="Drainage Works"</formula>
    </cfRule>
    <cfRule type="expression" dxfId="1736" priority="528">
      <formula>$A5="Underpass"</formula>
    </cfRule>
    <cfRule type="expression" dxfId="1735" priority="529">
      <formula>$A5="Overcrossing"</formula>
    </cfRule>
    <cfRule type="expression" dxfId="1734" priority="530">
      <formula>$A5="Overpass"</formula>
    </cfRule>
    <cfRule type="expression" dxfId="1733" priority="531">
      <formula>$A5="Station"</formula>
    </cfRule>
    <cfRule type="expression" dxfId="1732" priority="532">
      <formula>$A5="Overlap between sections"</formula>
    </cfRule>
  </conditionalFormatting>
  <conditionalFormatting sqref="AB5:AB6">
    <cfRule type="expression" dxfId="1731" priority="511">
      <formula>$A5="Overhead Cable"</formula>
    </cfRule>
    <cfRule type="expression" dxfId="1730" priority="512">
      <formula>$A5="Level Crossing"</formula>
    </cfRule>
    <cfRule type="expression" dxfId="1729" priority="513">
      <formula>$A5="Neutral Section"</formula>
    </cfRule>
    <cfRule type="expression" dxfId="1728" priority="514">
      <formula>$A5="Tunnel"</formula>
    </cfRule>
    <cfRule type="expression" dxfId="1727" priority="515">
      <formula>$A5="Bridge"</formula>
    </cfRule>
    <cfRule type="expression" dxfId="1726" priority="516">
      <formula>$A5="Drainage Works"</formula>
    </cfRule>
    <cfRule type="expression" dxfId="1725" priority="517">
      <formula>$A5="Underpass"</formula>
    </cfRule>
    <cfRule type="expression" dxfId="1724" priority="518">
      <formula>$A5="Overcrossing"</formula>
    </cfRule>
    <cfRule type="expression" dxfId="1723" priority="519">
      <formula>$A5="Overpass"</formula>
    </cfRule>
    <cfRule type="expression" dxfId="1722" priority="520">
      <formula>$A5="Station"</formula>
    </cfRule>
    <cfRule type="expression" dxfId="1721" priority="521">
      <formula>$A5="Overlap between sections"</formula>
    </cfRule>
  </conditionalFormatting>
  <conditionalFormatting sqref="BD5:BD6">
    <cfRule type="containsText" dxfId="1720" priority="510" operator="containsText" text="Poner a mano">
      <formula>NOT(ISERROR(SEARCH("Poner a mano",BD5)))</formula>
    </cfRule>
  </conditionalFormatting>
  <conditionalFormatting sqref="BA5:BC6">
    <cfRule type="expression" dxfId="1719" priority="508">
      <formula>$BE5="A"</formula>
    </cfRule>
    <cfRule type="expression" dxfId="1718" priority="509">
      <formula>$BE5="R"</formula>
    </cfRule>
  </conditionalFormatting>
  <conditionalFormatting sqref="BC5:BC6">
    <cfRule type="expression" dxfId="1717" priority="507">
      <formula>$M5="U.S. N.D."</formula>
    </cfRule>
  </conditionalFormatting>
  <conditionalFormatting sqref="BB5:BB6">
    <cfRule type="expression" dxfId="1716" priority="505">
      <formula>$AZ5="N.D."</formula>
    </cfRule>
  </conditionalFormatting>
  <conditionalFormatting sqref="BA5:BA6">
    <cfRule type="expression" dxfId="1715" priority="506">
      <formula>$AY5="N.D."</formula>
    </cfRule>
  </conditionalFormatting>
  <conditionalFormatting sqref="W5:W6">
    <cfRule type="expression" dxfId="1714" priority="502">
      <formula>$M5="NON DEFINED"</formula>
    </cfRule>
    <cfRule type="expression" dxfId="1713" priority="503">
      <formula>$AZ5="N.D."</formula>
    </cfRule>
    <cfRule type="expression" dxfId="1712" priority="504">
      <formula>$AY5="N.D."</formula>
    </cfRule>
  </conditionalFormatting>
  <conditionalFormatting sqref="W5:W6">
    <cfRule type="expression" dxfId="1711" priority="491">
      <formula>$A5="Overhead Cable"</formula>
    </cfRule>
    <cfRule type="expression" dxfId="1710" priority="492">
      <formula>$A5="Level Crossing"</formula>
    </cfRule>
    <cfRule type="expression" dxfId="1709" priority="493">
      <formula>$A5="Neutral Section"</formula>
    </cfRule>
    <cfRule type="expression" dxfId="1708" priority="494">
      <formula>$A5="Tunnel"</formula>
    </cfRule>
    <cfRule type="expression" dxfId="1707" priority="495">
      <formula>$A5="Bridge"</formula>
    </cfRule>
    <cfRule type="expression" dxfId="1706" priority="496">
      <formula>$A5="Drainage Works"</formula>
    </cfRule>
    <cfRule type="expression" dxfId="1705" priority="497">
      <formula>$A5="Underpass"</formula>
    </cfRule>
    <cfRule type="expression" dxfId="1704" priority="498">
      <formula>$A5="Overcrossing"</formula>
    </cfRule>
    <cfRule type="expression" dxfId="1703" priority="499">
      <formula>$A5="Overpass"</formula>
    </cfRule>
    <cfRule type="expression" dxfId="1702" priority="500">
      <formula>$A5="Station"</formula>
    </cfRule>
    <cfRule type="expression" dxfId="1701" priority="501">
      <formula>$A5="Overlap between sections"</formula>
    </cfRule>
  </conditionalFormatting>
  <conditionalFormatting sqref="M5">
    <cfRule type="expression" dxfId="1700" priority="488">
      <formula>$M5="NON DEFINED"</formula>
    </cfRule>
    <cfRule type="expression" dxfId="1699" priority="489">
      <formula>$AZ5="N.D."</formula>
    </cfRule>
    <cfRule type="expression" dxfId="1698" priority="490">
      <formula>$AY5="N.D."</formula>
    </cfRule>
  </conditionalFormatting>
  <conditionalFormatting sqref="M5">
    <cfRule type="expression" dxfId="1697" priority="477">
      <formula>$A5="Overhead Cable"</formula>
    </cfRule>
    <cfRule type="expression" dxfId="1696" priority="478">
      <formula>$A5="Level Crossing"</formula>
    </cfRule>
    <cfRule type="expression" dxfId="1695" priority="479">
      <formula>$A5="Neutral Section"</formula>
    </cfRule>
    <cfRule type="expression" dxfId="1694" priority="480">
      <formula>$A5="Tunnel"</formula>
    </cfRule>
    <cfRule type="expression" dxfId="1693" priority="481">
      <formula>$A5="Bridge"</formula>
    </cfRule>
    <cfRule type="expression" dxfId="1692" priority="482">
      <formula>$A5="Drainage Works"</formula>
    </cfRule>
    <cfRule type="expression" dxfId="1691" priority="483">
      <formula>$A5="Underpass"</formula>
    </cfRule>
    <cfRule type="expression" dxfId="1690" priority="484">
      <formula>$A5="Overcrossing"</formula>
    </cfRule>
    <cfRule type="expression" dxfId="1689" priority="485">
      <formula>$A5="Overpass"</formula>
    </cfRule>
    <cfRule type="expression" dxfId="1688" priority="486">
      <formula>$A5="Station"</formula>
    </cfRule>
    <cfRule type="expression" dxfId="1687" priority="487">
      <formula>$A5="Overlap between sections"</formula>
    </cfRule>
  </conditionalFormatting>
  <conditionalFormatting sqref="AW12:AZ14">
    <cfRule type="expression" dxfId="1686" priority="474">
      <formula>$M12="NON DEFINED"</formula>
    </cfRule>
    <cfRule type="expression" dxfId="1685" priority="475">
      <formula>$AZ12="N.D."</formula>
    </cfRule>
    <cfRule type="expression" dxfId="1684" priority="476">
      <formula>$AY12="N.D."</formula>
    </cfRule>
  </conditionalFormatting>
  <conditionalFormatting sqref="AY12:AZ14">
    <cfRule type="expression" dxfId="1683" priority="463">
      <formula>$A12="Overhead Cable"</formula>
    </cfRule>
    <cfRule type="expression" dxfId="1682" priority="464">
      <formula>$A12="Level Crossing"</formula>
    </cfRule>
    <cfRule type="expression" dxfId="1681" priority="465">
      <formula>$A12="Neutral Section"</formula>
    </cfRule>
    <cfRule type="expression" dxfId="1680" priority="466">
      <formula>$A12="Tunnel"</formula>
    </cfRule>
    <cfRule type="expression" dxfId="1679" priority="467">
      <formula>$A12="Bridge"</formula>
    </cfRule>
    <cfRule type="expression" dxfId="1678" priority="468">
      <formula>$A12="Drainage Works"</formula>
    </cfRule>
    <cfRule type="expression" dxfId="1677" priority="469">
      <formula>$A12="Underpass"</formula>
    </cfRule>
    <cfRule type="expression" dxfId="1676" priority="470">
      <formula>$A12="Overcrossing"</formula>
    </cfRule>
    <cfRule type="expression" dxfId="1675" priority="471">
      <formula>$A12="Overpass"</formula>
    </cfRule>
    <cfRule type="expression" dxfId="1674" priority="472">
      <formula>$A12="Station"</formula>
    </cfRule>
    <cfRule type="expression" dxfId="1673" priority="473">
      <formula>$A12="Overlap between sections"</formula>
    </cfRule>
  </conditionalFormatting>
  <conditionalFormatting sqref="AW12:AW14">
    <cfRule type="expression" dxfId="1672" priority="452">
      <formula>$A12="Overhead Cable"</formula>
    </cfRule>
    <cfRule type="expression" dxfId="1671" priority="453">
      <formula>$A12="Level Crossing"</formula>
    </cfRule>
    <cfRule type="expression" dxfId="1670" priority="454">
      <formula>$A12="Neutral Section"</formula>
    </cfRule>
    <cfRule type="expression" dxfId="1669" priority="455">
      <formula>$A12="Tunnel"</formula>
    </cfRule>
    <cfRule type="expression" dxfId="1668" priority="456">
      <formula>$A12="Bridge"</formula>
    </cfRule>
    <cfRule type="expression" dxfId="1667" priority="457">
      <formula>$A12="Drainage Works"</formula>
    </cfRule>
    <cfRule type="expression" dxfId="1666" priority="458">
      <formula>$A12="Underpass"</formula>
    </cfRule>
    <cfRule type="expression" dxfId="1665" priority="459">
      <formula>$A12="Overcrossing"</formula>
    </cfRule>
    <cfRule type="expression" dxfId="1664" priority="460">
      <formula>$A12="Overpass"</formula>
    </cfRule>
    <cfRule type="expression" dxfId="1663" priority="461">
      <formula>$A12="Station"</formula>
    </cfRule>
    <cfRule type="expression" dxfId="1662" priority="462">
      <formula>$A12="Overlap between sections"</formula>
    </cfRule>
  </conditionalFormatting>
  <conditionalFormatting sqref="AX12:AX14">
    <cfRule type="expression" dxfId="1661" priority="441">
      <formula>$A12="Overhead Cable"</formula>
    </cfRule>
    <cfRule type="expression" dxfId="1660" priority="442">
      <formula>$A12="Level Crossing"</formula>
    </cfRule>
    <cfRule type="expression" dxfId="1659" priority="443">
      <formula>$A12="Neutral Section"</formula>
    </cfRule>
    <cfRule type="expression" dxfId="1658" priority="444">
      <formula>$A12="Tunnel"</formula>
    </cfRule>
    <cfRule type="expression" dxfId="1657" priority="445">
      <formula>$A12="Bridge"</formula>
    </cfRule>
    <cfRule type="expression" dxfId="1656" priority="446">
      <formula>$A12="Drainage Works"</formula>
    </cfRule>
    <cfRule type="expression" dxfId="1655" priority="447">
      <formula>$A12="Underpass"</formula>
    </cfRule>
    <cfRule type="expression" dxfId="1654" priority="448">
      <formula>$A12="Overcrossing"</formula>
    </cfRule>
    <cfRule type="expression" dxfId="1653" priority="449">
      <formula>$A12="Overpass"</formula>
    </cfRule>
    <cfRule type="expression" dxfId="1652" priority="450">
      <formula>$A12="Station"</formula>
    </cfRule>
    <cfRule type="expression" dxfId="1651" priority="451">
      <formula>$A12="Overlap between sections"</formula>
    </cfRule>
  </conditionalFormatting>
  <conditionalFormatting sqref="BD12:BD14">
    <cfRule type="containsText" dxfId="1650" priority="440" operator="containsText" text="Poner a mano">
      <formula>NOT(ISERROR(SEARCH("Poner a mano",BD12)))</formula>
    </cfRule>
  </conditionalFormatting>
  <conditionalFormatting sqref="BA12:BC14">
    <cfRule type="expression" dxfId="1649" priority="438">
      <formula>$BE12="A"</formula>
    </cfRule>
    <cfRule type="expression" dxfId="1648" priority="439">
      <formula>$BE12="R"</formula>
    </cfRule>
  </conditionalFormatting>
  <conditionalFormatting sqref="BC12:BC14">
    <cfRule type="expression" dxfId="1647" priority="437">
      <formula>$M12="U.S. N.D."</formula>
    </cfRule>
  </conditionalFormatting>
  <conditionalFormatting sqref="BB12:BB14">
    <cfRule type="expression" dxfId="1646" priority="435">
      <formula>$AZ12="N.D."</formula>
    </cfRule>
  </conditionalFormatting>
  <conditionalFormatting sqref="BA12:BA14">
    <cfRule type="expression" dxfId="1645" priority="436">
      <formula>$AY12="N.D."</formula>
    </cfRule>
  </conditionalFormatting>
  <conditionalFormatting sqref="BF13:BG13 BI13">
    <cfRule type="containsBlanks" dxfId="1644" priority="434">
      <formula>LEN(TRIM(BF13))=0</formula>
    </cfRule>
  </conditionalFormatting>
  <conditionalFormatting sqref="BD51">
    <cfRule type="containsText" dxfId="1643" priority="433" operator="containsText" text="Poner a mano">
      <formula>NOT(ISERROR(SEARCH("Poner a mano",BD51)))</formula>
    </cfRule>
  </conditionalFormatting>
  <conditionalFormatting sqref="BD55">
    <cfRule type="containsText" dxfId="1642" priority="432" operator="containsText" text="Poner a mano">
      <formula>NOT(ISERROR(SEARCH("Poner a mano",BD55)))</formula>
    </cfRule>
  </conditionalFormatting>
  <conditionalFormatting sqref="AN65">
    <cfRule type="expression" dxfId="1641" priority="429">
      <formula>$M65="NON DEFINED"</formula>
    </cfRule>
    <cfRule type="expression" dxfId="1640" priority="430">
      <formula>$AZ65="N.D."</formula>
    </cfRule>
    <cfRule type="expression" dxfId="1639" priority="431">
      <formula>$AY65="N.D."</formula>
    </cfRule>
  </conditionalFormatting>
  <conditionalFormatting sqref="AN65">
    <cfRule type="expression" dxfId="1638" priority="418">
      <formula>$A65="Overhead Cable"</formula>
    </cfRule>
    <cfRule type="expression" dxfId="1637" priority="419">
      <formula>$A65="Level Crossing"</formula>
    </cfRule>
    <cfRule type="expression" dxfId="1636" priority="420">
      <formula>$A65="Neutral Section"</formula>
    </cfRule>
    <cfRule type="expression" dxfId="1635" priority="421">
      <formula>$A65="Tunnel"</formula>
    </cfRule>
    <cfRule type="expression" dxfId="1634" priority="422">
      <formula>$A65="Bridge"</formula>
    </cfRule>
    <cfRule type="expression" dxfId="1633" priority="423">
      <formula>$A65="Drainage Works"</formula>
    </cfRule>
    <cfRule type="expression" dxfId="1632" priority="424">
      <formula>$A65="Underpass"</formula>
    </cfRule>
    <cfRule type="expression" dxfId="1631" priority="425">
      <formula>$A65="Overcrossing"</formula>
    </cfRule>
    <cfRule type="expression" dxfId="1630" priority="426">
      <formula>$A65="Overpass"</formula>
    </cfRule>
    <cfRule type="expression" dxfId="1629" priority="427">
      <formula>$A65="Station"</formula>
    </cfRule>
    <cfRule type="expression" dxfId="1628" priority="428">
      <formula>$A65="Overlap between sections"</formula>
    </cfRule>
  </conditionalFormatting>
  <conditionalFormatting sqref="AN65">
    <cfRule type="cellIs" dxfId="1627" priority="417" operator="notEqual">
      <formula>5.5</formula>
    </cfRule>
  </conditionalFormatting>
  <conditionalFormatting sqref="AT65">
    <cfRule type="expression" dxfId="1626" priority="414">
      <formula>$M65="NON DEFINED"</formula>
    </cfRule>
    <cfRule type="expression" dxfId="1625" priority="415">
      <formula>$AZ65="N.D."</formula>
    </cfRule>
    <cfRule type="expression" dxfId="1624" priority="416">
      <formula>$AY65="N.D."</formula>
    </cfRule>
  </conditionalFormatting>
  <conditionalFormatting sqref="AT65">
    <cfRule type="expression" dxfId="1623" priority="403">
      <formula>$A65="Overhead Cable"</formula>
    </cfRule>
    <cfRule type="expression" dxfId="1622" priority="404">
      <formula>$A65="Level Crossing"</formula>
    </cfRule>
    <cfRule type="expression" dxfId="1621" priority="405">
      <formula>$A65="Neutral Section"</formula>
    </cfRule>
    <cfRule type="expression" dxfId="1620" priority="406">
      <formula>$A65="Tunnel"</formula>
    </cfRule>
    <cfRule type="expression" dxfId="1619" priority="407">
      <formula>$A65="Bridge"</formula>
    </cfRule>
    <cfRule type="expression" dxfId="1618" priority="408">
      <formula>$A65="Drainage Works"</formula>
    </cfRule>
    <cfRule type="expression" dxfId="1617" priority="409">
      <formula>$A65="Underpass"</formula>
    </cfRule>
    <cfRule type="expression" dxfId="1616" priority="410">
      <formula>$A65="Overcrossing"</formula>
    </cfRule>
    <cfRule type="expression" dxfId="1615" priority="411">
      <formula>$A65="Overpass"</formula>
    </cfRule>
    <cfRule type="expression" dxfId="1614" priority="412">
      <formula>$A65="Station"</formula>
    </cfRule>
    <cfRule type="expression" dxfId="1613" priority="413">
      <formula>$A65="Overlap between sections"</formula>
    </cfRule>
  </conditionalFormatting>
  <conditionalFormatting sqref="X4:AZ4 B4:L4 N4:V4">
    <cfRule type="expression" dxfId="1612" priority="400">
      <formula>$M4="NON DEFINED"</formula>
    </cfRule>
    <cfRule type="expression" dxfId="1611" priority="401">
      <formula>$AZ4="N.D."</formula>
    </cfRule>
    <cfRule type="expression" dxfId="1610" priority="402">
      <formula>$AY4="N.D."</formula>
    </cfRule>
  </conditionalFormatting>
  <conditionalFormatting sqref="AG4 A4:E4 AY4:AZ4 G4:H4 J4 AM4:AS4">
    <cfRule type="expression" dxfId="1609" priority="389">
      <formula>$A4="Overhead Cable"</formula>
    </cfRule>
    <cfRule type="expression" dxfId="1608" priority="390">
      <formula>$A4="Level Crossing"</formula>
    </cfRule>
    <cfRule type="expression" dxfId="1607" priority="391">
      <formula>$A4="Neutral Section"</formula>
    </cfRule>
    <cfRule type="expression" dxfId="1606" priority="392">
      <formula>$A4="Tunnel"</formula>
    </cfRule>
    <cfRule type="expression" dxfId="1605" priority="393">
      <formula>$A4="Bridge"</formula>
    </cfRule>
    <cfRule type="expression" dxfId="1604" priority="394">
      <formula>$A4="Drainage Works"</formula>
    </cfRule>
    <cfRule type="expression" dxfId="1603" priority="395">
      <formula>$A4="Underpass"</formula>
    </cfRule>
    <cfRule type="expression" dxfId="1602" priority="396">
      <formula>$A4="Overcrossing"</formula>
    </cfRule>
    <cfRule type="expression" dxfId="1601" priority="397">
      <formula>$A4="Overpass"</formula>
    </cfRule>
    <cfRule type="expression" dxfId="1600" priority="398">
      <formula>$A4="Station"</formula>
    </cfRule>
    <cfRule type="expression" dxfId="1599" priority="399">
      <formula>$A4="Overlap between sections"</formula>
    </cfRule>
  </conditionalFormatting>
  <conditionalFormatting sqref="AN4:AP4">
    <cfRule type="cellIs" dxfId="1598" priority="388" operator="notEqual">
      <formula>5.5</formula>
    </cfRule>
  </conditionalFormatting>
  <conditionalFormatting sqref="B4">
    <cfRule type="expression" dxfId="1597" priority="387">
      <formula>AND($AH4&gt;2499,$AH4&lt;2901)</formula>
    </cfRule>
  </conditionalFormatting>
  <conditionalFormatting sqref="I4">
    <cfRule type="expression" dxfId="1596" priority="376">
      <formula>$A4="Overhead Cable"</formula>
    </cfRule>
    <cfRule type="expression" dxfId="1595" priority="377">
      <formula>$A4="Level Crossing"</formula>
    </cfRule>
    <cfRule type="expression" dxfId="1594" priority="378">
      <formula>$A4="Neutral Section"</formula>
    </cfRule>
    <cfRule type="expression" dxfId="1593" priority="379">
      <formula>$A4="Tunnel"</formula>
    </cfRule>
    <cfRule type="expression" dxfId="1592" priority="380">
      <formula>$A4="Bridge"</formula>
    </cfRule>
    <cfRule type="expression" dxfId="1591" priority="381">
      <formula>$A4="Drainage Works"</formula>
    </cfRule>
    <cfRule type="expression" dxfId="1590" priority="382">
      <formula>$A4="Underpass"</formula>
    </cfRule>
    <cfRule type="expression" dxfId="1589" priority="383">
      <formula>$A4="Overcrossing"</formula>
    </cfRule>
    <cfRule type="expression" dxfId="1588" priority="384">
      <formula>$A4="Overpass"</formula>
    </cfRule>
    <cfRule type="expression" dxfId="1587" priority="385">
      <formula>$A4="Station"</formula>
    </cfRule>
    <cfRule type="expression" dxfId="1586" priority="386">
      <formula>$A4="Overlap between sections"</formula>
    </cfRule>
  </conditionalFormatting>
  <conditionalFormatting sqref="K4">
    <cfRule type="expression" dxfId="1585" priority="365">
      <formula>$A4="Overhead Cable"</formula>
    </cfRule>
    <cfRule type="expression" dxfId="1584" priority="366">
      <formula>$A4="Level Crossing"</formula>
    </cfRule>
    <cfRule type="expression" dxfId="1583" priority="367">
      <formula>$A4="Neutral Section"</formula>
    </cfRule>
    <cfRule type="expression" dxfId="1582" priority="368">
      <formula>$A4="Tunnel"</formula>
    </cfRule>
    <cfRule type="expression" dxfId="1581" priority="369">
      <formula>$A4="Bridge"</formula>
    </cfRule>
    <cfRule type="expression" dxfId="1580" priority="370">
      <formula>$A4="Drainage Works"</formula>
    </cfRule>
    <cfRule type="expression" dxfId="1579" priority="371">
      <formula>$A4="Underpass"</formula>
    </cfRule>
    <cfRule type="expression" dxfId="1578" priority="372">
      <formula>$A4="Overcrossing"</formula>
    </cfRule>
    <cfRule type="expression" dxfId="1577" priority="373">
      <formula>$A4="Overpass"</formula>
    </cfRule>
    <cfRule type="expression" dxfId="1576" priority="374">
      <formula>$A4="Station"</formula>
    </cfRule>
    <cfRule type="expression" dxfId="1575" priority="375">
      <formula>$A4="Overlap between sections"</formula>
    </cfRule>
  </conditionalFormatting>
  <conditionalFormatting sqref="L4">
    <cfRule type="expression" dxfId="1574" priority="354">
      <formula>$A4="Overhead Cable"</formula>
    </cfRule>
    <cfRule type="expression" dxfId="1573" priority="355">
      <formula>$A4="Level Crossing"</formula>
    </cfRule>
    <cfRule type="expression" dxfId="1572" priority="356">
      <formula>$A4="Neutral Section"</formula>
    </cfRule>
    <cfRule type="expression" dxfId="1571" priority="357">
      <formula>$A4="Tunnel"</formula>
    </cfRule>
    <cfRule type="expression" dxfId="1570" priority="358">
      <formula>$A4="Bridge"</formula>
    </cfRule>
    <cfRule type="expression" dxfId="1569" priority="359">
      <formula>$A4="Drainage Works"</formula>
    </cfRule>
    <cfRule type="expression" dxfId="1568" priority="360">
      <formula>$A4="Underpass"</formula>
    </cfRule>
    <cfRule type="expression" dxfId="1567" priority="361">
      <formula>$A4="Overcrossing"</formula>
    </cfRule>
    <cfRule type="expression" dxfId="1566" priority="362">
      <formula>$A4="Overpass"</formula>
    </cfRule>
    <cfRule type="expression" dxfId="1565" priority="363">
      <formula>$A4="Station"</formula>
    </cfRule>
    <cfRule type="expression" dxfId="1564" priority="364">
      <formula>$A4="Overlap between sections"</formula>
    </cfRule>
  </conditionalFormatting>
  <conditionalFormatting sqref="N4">
    <cfRule type="expression" dxfId="1563" priority="343">
      <formula>$A4="Overhead Cable"</formula>
    </cfRule>
    <cfRule type="expression" dxfId="1562" priority="344">
      <formula>$A4="Level Crossing"</formula>
    </cfRule>
    <cfRule type="expression" dxfId="1561" priority="345">
      <formula>$A4="Neutral Section"</formula>
    </cfRule>
    <cfRule type="expression" dxfId="1560" priority="346">
      <formula>$A4="Tunnel"</formula>
    </cfRule>
    <cfRule type="expression" dxfId="1559" priority="347">
      <formula>$A4="Bridge"</formula>
    </cfRule>
    <cfRule type="expression" dxfId="1558" priority="348">
      <formula>$A4="Drainage Works"</formula>
    </cfRule>
    <cfRule type="expression" dxfId="1557" priority="349">
      <formula>$A4="Underpass"</formula>
    </cfRule>
    <cfRule type="expression" dxfId="1556" priority="350">
      <formula>$A4="Overcrossing"</formula>
    </cfRule>
    <cfRule type="expression" dxfId="1555" priority="351">
      <formula>$A4="Overpass"</formula>
    </cfRule>
    <cfRule type="expression" dxfId="1554" priority="352">
      <formula>$A4="Station"</formula>
    </cfRule>
    <cfRule type="expression" dxfId="1553" priority="353">
      <formula>$A4="Overlap between sections"</formula>
    </cfRule>
  </conditionalFormatting>
  <conditionalFormatting sqref="O4">
    <cfRule type="expression" dxfId="1552" priority="332">
      <formula>$A4="Overhead Cable"</formula>
    </cfRule>
    <cfRule type="expression" dxfId="1551" priority="333">
      <formula>$A4="Level Crossing"</formula>
    </cfRule>
    <cfRule type="expression" dxfId="1550" priority="334">
      <formula>$A4="Neutral Section"</formula>
    </cfRule>
    <cfRule type="expression" dxfId="1549" priority="335">
      <formula>$A4="Tunnel"</formula>
    </cfRule>
    <cfRule type="expression" dxfId="1548" priority="336">
      <formula>$A4="Bridge"</formula>
    </cfRule>
    <cfRule type="expression" dxfId="1547" priority="337">
      <formula>$A4="Drainage Works"</formula>
    </cfRule>
    <cfRule type="expression" dxfId="1546" priority="338">
      <formula>$A4="Underpass"</formula>
    </cfRule>
    <cfRule type="expression" dxfId="1545" priority="339">
      <formula>$A4="Overcrossing"</formula>
    </cfRule>
    <cfRule type="expression" dxfId="1544" priority="340">
      <formula>$A4="Overpass"</formula>
    </cfRule>
    <cfRule type="expression" dxfId="1543" priority="341">
      <formula>$A4="Station"</formula>
    </cfRule>
    <cfRule type="expression" dxfId="1542" priority="342">
      <formula>$A4="Overlap between sections"</formula>
    </cfRule>
  </conditionalFormatting>
  <conditionalFormatting sqref="P4">
    <cfRule type="expression" dxfId="1541" priority="321">
      <formula>$A4="Overhead Cable"</formula>
    </cfRule>
    <cfRule type="expression" dxfId="1540" priority="322">
      <formula>$A4="Level Crossing"</formula>
    </cfRule>
    <cfRule type="expression" dxfId="1539" priority="323">
      <formula>$A4="Neutral Section"</formula>
    </cfRule>
    <cfRule type="expression" dxfId="1538" priority="324">
      <formula>$A4="Tunnel"</formula>
    </cfRule>
    <cfRule type="expression" dxfId="1537" priority="325">
      <formula>$A4="Bridge"</formula>
    </cfRule>
    <cfRule type="expression" dxfId="1536" priority="326">
      <formula>$A4="Drainage Works"</formula>
    </cfRule>
    <cfRule type="expression" dxfId="1535" priority="327">
      <formula>$A4="Underpass"</formula>
    </cfRule>
    <cfRule type="expression" dxfId="1534" priority="328">
      <formula>$A4="Overcrossing"</formula>
    </cfRule>
    <cfRule type="expression" dxfId="1533" priority="329">
      <formula>$A4="Overpass"</formula>
    </cfRule>
    <cfRule type="expression" dxfId="1532" priority="330">
      <formula>$A4="Station"</formula>
    </cfRule>
    <cfRule type="expression" dxfId="1531" priority="331">
      <formula>$A4="Overlap between sections"</formula>
    </cfRule>
  </conditionalFormatting>
  <conditionalFormatting sqref="AC4">
    <cfRule type="expression" dxfId="1530" priority="310">
      <formula>$A4="Overhead Cable"</formula>
    </cfRule>
    <cfRule type="expression" dxfId="1529" priority="311">
      <formula>$A4="Level Crossing"</formula>
    </cfRule>
    <cfRule type="expression" dxfId="1528" priority="312">
      <formula>$A4="Neutral Section"</formula>
    </cfRule>
    <cfRule type="expression" dxfId="1527" priority="313">
      <formula>$A4="Tunnel"</formula>
    </cfRule>
    <cfRule type="expression" dxfId="1526" priority="314">
      <formula>$A4="Bridge"</formula>
    </cfRule>
    <cfRule type="expression" dxfId="1525" priority="315">
      <formula>$A4="Drainage Works"</formula>
    </cfRule>
    <cfRule type="expression" dxfId="1524" priority="316">
      <formula>$A4="Underpass"</formula>
    </cfRule>
    <cfRule type="expression" dxfId="1523" priority="317">
      <formula>$A4="Overcrossing"</formula>
    </cfRule>
    <cfRule type="expression" dxfId="1522" priority="318">
      <formula>$A4="Overpass"</formula>
    </cfRule>
    <cfRule type="expression" dxfId="1521" priority="319">
      <formula>$A4="Station"</formula>
    </cfRule>
    <cfRule type="expression" dxfId="1520" priority="320">
      <formula>$A4="Overlap between sections"</formula>
    </cfRule>
  </conditionalFormatting>
  <conditionalFormatting sqref="AD4">
    <cfRule type="expression" dxfId="1519" priority="299">
      <formula>$A4="Overhead Cable"</formula>
    </cfRule>
    <cfRule type="expression" dxfId="1518" priority="300">
      <formula>$A4="Level Crossing"</formula>
    </cfRule>
    <cfRule type="expression" dxfId="1517" priority="301">
      <formula>$A4="Neutral Section"</formula>
    </cfRule>
    <cfRule type="expression" dxfId="1516" priority="302">
      <formula>$A4="Tunnel"</formula>
    </cfRule>
    <cfRule type="expression" dxfId="1515" priority="303">
      <formula>$A4="Bridge"</formula>
    </cfRule>
    <cfRule type="expression" dxfId="1514" priority="304">
      <formula>$A4="Drainage Works"</formula>
    </cfRule>
    <cfRule type="expression" dxfId="1513" priority="305">
      <formula>$A4="Underpass"</formula>
    </cfRule>
    <cfRule type="expression" dxfId="1512" priority="306">
      <formula>$A4="Overcrossing"</formula>
    </cfRule>
    <cfRule type="expression" dxfId="1511" priority="307">
      <formula>$A4="Overpass"</formula>
    </cfRule>
    <cfRule type="expression" dxfId="1510" priority="308">
      <formula>$A4="Station"</formula>
    </cfRule>
    <cfRule type="expression" dxfId="1509" priority="309">
      <formula>$A4="Overlap between sections"</formula>
    </cfRule>
  </conditionalFormatting>
  <conditionalFormatting sqref="AE4">
    <cfRule type="expression" dxfId="1508" priority="288">
      <formula>$A4="Overhead Cable"</formula>
    </cfRule>
    <cfRule type="expression" dxfId="1507" priority="289">
      <formula>$A4="Level Crossing"</formula>
    </cfRule>
    <cfRule type="expression" dxfId="1506" priority="290">
      <formula>$A4="Neutral Section"</formula>
    </cfRule>
    <cfRule type="expression" dxfId="1505" priority="291">
      <formula>$A4="Tunnel"</formula>
    </cfRule>
    <cfRule type="expression" dxfId="1504" priority="292">
      <formula>$A4="Bridge"</formula>
    </cfRule>
    <cfRule type="expression" dxfId="1503" priority="293">
      <formula>$A4="Drainage Works"</formula>
    </cfRule>
    <cfRule type="expression" dxfId="1502" priority="294">
      <formula>$A4="Underpass"</formula>
    </cfRule>
    <cfRule type="expression" dxfId="1501" priority="295">
      <formula>$A4="Overcrossing"</formula>
    </cfRule>
    <cfRule type="expression" dxfId="1500" priority="296">
      <formula>$A4="Overpass"</formula>
    </cfRule>
    <cfRule type="expression" dxfId="1499" priority="297">
      <formula>$A4="Station"</formula>
    </cfRule>
    <cfRule type="expression" dxfId="1498" priority="298">
      <formula>$A4="Overlap between sections"</formula>
    </cfRule>
  </conditionalFormatting>
  <conditionalFormatting sqref="AJ4">
    <cfRule type="expression" dxfId="1497" priority="277">
      <formula>$A4="Overhead Cable"</formula>
    </cfRule>
    <cfRule type="expression" dxfId="1496" priority="278">
      <formula>$A4="Level Crossing"</formula>
    </cfRule>
    <cfRule type="expression" dxfId="1495" priority="279">
      <formula>$A4="Neutral Section"</formula>
    </cfRule>
    <cfRule type="expression" dxfId="1494" priority="280">
      <formula>$A4="Tunnel"</formula>
    </cfRule>
    <cfRule type="expression" dxfId="1493" priority="281">
      <formula>$A4="Bridge"</formula>
    </cfRule>
    <cfRule type="expression" dxfId="1492" priority="282">
      <formula>$A4="Drainage Works"</formula>
    </cfRule>
    <cfRule type="expression" dxfId="1491" priority="283">
      <formula>$A4="Underpass"</formula>
    </cfRule>
    <cfRule type="expression" dxfId="1490" priority="284">
      <formula>$A4="Overcrossing"</formula>
    </cfRule>
    <cfRule type="expression" dxfId="1489" priority="285">
      <formula>$A4="Overpass"</formula>
    </cfRule>
    <cfRule type="expression" dxfId="1488" priority="286">
      <formula>$A4="Station"</formula>
    </cfRule>
    <cfRule type="expression" dxfId="1487" priority="287">
      <formula>$A4="Overlap between sections"</formula>
    </cfRule>
  </conditionalFormatting>
  <conditionalFormatting sqref="AK4">
    <cfRule type="expression" dxfId="1486" priority="266">
      <formula>$A4="Overhead Cable"</formula>
    </cfRule>
    <cfRule type="expression" dxfId="1485" priority="267">
      <formula>$A4="Level Crossing"</formula>
    </cfRule>
    <cfRule type="expression" dxfId="1484" priority="268">
      <formula>$A4="Neutral Section"</formula>
    </cfRule>
    <cfRule type="expression" dxfId="1483" priority="269">
      <formula>$A4="Tunnel"</formula>
    </cfRule>
    <cfRule type="expression" dxfId="1482" priority="270">
      <formula>$A4="Bridge"</formula>
    </cfRule>
    <cfRule type="expression" dxfId="1481" priority="271">
      <formula>$A4="Drainage Works"</formula>
    </cfRule>
    <cfRule type="expression" dxfId="1480" priority="272">
      <formula>$A4="Underpass"</formula>
    </cfRule>
    <cfRule type="expression" dxfId="1479" priority="273">
      <formula>$A4="Overcrossing"</formula>
    </cfRule>
    <cfRule type="expression" dxfId="1478" priority="274">
      <formula>$A4="Overpass"</formula>
    </cfRule>
    <cfRule type="expression" dxfId="1477" priority="275">
      <formula>$A4="Station"</formula>
    </cfRule>
    <cfRule type="expression" dxfId="1476" priority="276">
      <formula>$A4="Overlap between sections"</formula>
    </cfRule>
  </conditionalFormatting>
  <conditionalFormatting sqref="AL4">
    <cfRule type="expression" dxfId="1475" priority="255">
      <formula>$A4="Overhead Cable"</formula>
    </cfRule>
    <cfRule type="expression" dxfId="1474" priority="256">
      <formula>$A4="Level Crossing"</formula>
    </cfRule>
    <cfRule type="expression" dxfId="1473" priority="257">
      <formula>$A4="Neutral Section"</formula>
    </cfRule>
    <cfRule type="expression" dxfId="1472" priority="258">
      <formula>$A4="Tunnel"</formula>
    </cfRule>
    <cfRule type="expression" dxfId="1471" priority="259">
      <formula>$A4="Bridge"</formula>
    </cfRule>
    <cfRule type="expression" dxfId="1470" priority="260">
      <formula>$A4="Drainage Works"</formula>
    </cfRule>
    <cfRule type="expression" dxfId="1469" priority="261">
      <formula>$A4="Underpass"</formula>
    </cfRule>
    <cfRule type="expression" dxfId="1468" priority="262">
      <formula>$A4="Overcrossing"</formula>
    </cfRule>
    <cfRule type="expression" dxfId="1467" priority="263">
      <formula>$A4="Overpass"</formula>
    </cfRule>
    <cfRule type="expression" dxfId="1466" priority="264">
      <formula>$A4="Station"</formula>
    </cfRule>
    <cfRule type="expression" dxfId="1465" priority="265">
      <formula>$A4="Overlap between sections"</formula>
    </cfRule>
  </conditionalFormatting>
  <conditionalFormatting sqref="AT4">
    <cfRule type="expression" dxfId="1464" priority="244">
      <formula>$A4="Overhead Cable"</formula>
    </cfRule>
    <cfRule type="expression" dxfId="1463" priority="245">
      <formula>$A4="Level Crossing"</formula>
    </cfRule>
    <cfRule type="expression" dxfId="1462" priority="246">
      <formula>$A4="Neutral Section"</formula>
    </cfRule>
    <cfRule type="expression" dxfId="1461" priority="247">
      <formula>$A4="Tunnel"</formula>
    </cfRule>
    <cfRule type="expression" dxfId="1460" priority="248">
      <formula>$A4="Bridge"</formula>
    </cfRule>
    <cfRule type="expression" dxfId="1459" priority="249">
      <formula>$A4="Drainage Works"</formula>
    </cfRule>
    <cfRule type="expression" dxfId="1458" priority="250">
      <formula>$A4="Underpass"</formula>
    </cfRule>
    <cfRule type="expression" dxfId="1457" priority="251">
      <formula>$A4="Overcrossing"</formula>
    </cfRule>
    <cfRule type="expression" dxfId="1456" priority="252">
      <formula>$A4="Overpass"</formula>
    </cfRule>
    <cfRule type="expression" dxfId="1455" priority="253">
      <formula>$A4="Station"</formula>
    </cfRule>
    <cfRule type="expression" dxfId="1454" priority="254">
      <formula>$A4="Overlap between sections"</formula>
    </cfRule>
  </conditionalFormatting>
  <conditionalFormatting sqref="AU4">
    <cfRule type="expression" dxfId="1453" priority="233">
      <formula>$A4="Overhead Cable"</formula>
    </cfRule>
    <cfRule type="expression" dxfId="1452" priority="234">
      <formula>$A4="Level Crossing"</formula>
    </cfRule>
    <cfRule type="expression" dxfId="1451" priority="235">
      <formula>$A4="Neutral Section"</formula>
    </cfRule>
    <cfRule type="expression" dxfId="1450" priority="236">
      <formula>$A4="Tunnel"</formula>
    </cfRule>
    <cfRule type="expression" dxfId="1449" priority="237">
      <formula>$A4="Bridge"</formula>
    </cfRule>
    <cfRule type="expression" dxfId="1448" priority="238">
      <formula>$A4="Drainage Works"</formula>
    </cfRule>
    <cfRule type="expression" dxfId="1447" priority="239">
      <formula>$A4="Underpass"</formula>
    </cfRule>
    <cfRule type="expression" dxfId="1446" priority="240">
      <formula>$A4="Overcrossing"</formula>
    </cfRule>
    <cfRule type="expression" dxfId="1445" priority="241">
      <formula>$A4="Overpass"</formula>
    </cfRule>
    <cfRule type="expression" dxfId="1444" priority="242">
      <formula>$A4="Station"</formula>
    </cfRule>
    <cfRule type="expression" dxfId="1443" priority="243">
      <formula>$A4="Overlap between sections"</formula>
    </cfRule>
  </conditionalFormatting>
  <conditionalFormatting sqref="AV4">
    <cfRule type="expression" dxfId="1442" priority="222">
      <formula>$A4="Overhead Cable"</formula>
    </cfRule>
    <cfRule type="expression" dxfId="1441" priority="223">
      <formula>$A4="Level Crossing"</formula>
    </cfRule>
    <cfRule type="expression" dxfId="1440" priority="224">
      <formula>$A4="Neutral Section"</formula>
    </cfRule>
    <cfRule type="expression" dxfId="1439" priority="225">
      <formula>$A4="Tunnel"</formula>
    </cfRule>
    <cfRule type="expression" dxfId="1438" priority="226">
      <formula>$A4="Bridge"</formula>
    </cfRule>
    <cfRule type="expression" dxfId="1437" priority="227">
      <formula>$A4="Drainage Works"</formula>
    </cfRule>
    <cfRule type="expression" dxfId="1436" priority="228">
      <formula>$A4="Underpass"</formula>
    </cfRule>
    <cfRule type="expression" dxfId="1435" priority="229">
      <formula>$A4="Overcrossing"</formula>
    </cfRule>
    <cfRule type="expression" dxfId="1434" priority="230">
      <formula>$A4="Overpass"</formula>
    </cfRule>
    <cfRule type="expression" dxfId="1433" priority="231">
      <formula>$A4="Station"</formula>
    </cfRule>
    <cfRule type="expression" dxfId="1432" priority="232">
      <formula>$A4="Overlap between sections"</formula>
    </cfRule>
  </conditionalFormatting>
  <conditionalFormatting sqref="AW4">
    <cfRule type="expression" dxfId="1431" priority="211">
      <formula>$A4="Overhead Cable"</formula>
    </cfRule>
    <cfRule type="expression" dxfId="1430" priority="212">
      <formula>$A4="Level Crossing"</formula>
    </cfRule>
    <cfRule type="expression" dxfId="1429" priority="213">
      <formula>$A4="Neutral Section"</formula>
    </cfRule>
    <cfRule type="expression" dxfId="1428" priority="214">
      <formula>$A4="Tunnel"</formula>
    </cfRule>
    <cfRule type="expression" dxfId="1427" priority="215">
      <formula>$A4="Bridge"</formula>
    </cfRule>
    <cfRule type="expression" dxfId="1426" priority="216">
      <formula>$A4="Drainage Works"</formula>
    </cfRule>
    <cfRule type="expression" dxfId="1425" priority="217">
      <formula>$A4="Underpass"</formula>
    </cfRule>
    <cfRule type="expression" dxfId="1424" priority="218">
      <formula>$A4="Overcrossing"</formula>
    </cfRule>
    <cfRule type="expression" dxfId="1423" priority="219">
      <formula>$A4="Overpass"</formula>
    </cfRule>
    <cfRule type="expression" dxfId="1422" priority="220">
      <formula>$A4="Station"</formula>
    </cfRule>
    <cfRule type="expression" dxfId="1421" priority="221">
      <formula>$A4="Overlap between sections"</formula>
    </cfRule>
  </conditionalFormatting>
  <conditionalFormatting sqref="AX4">
    <cfRule type="expression" dxfId="1420" priority="200">
      <formula>$A4="Overhead Cable"</formula>
    </cfRule>
    <cfRule type="expression" dxfId="1419" priority="201">
      <formula>$A4="Level Crossing"</formula>
    </cfRule>
    <cfRule type="expression" dxfId="1418" priority="202">
      <formula>$A4="Neutral Section"</formula>
    </cfRule>
    <cfRule type="expression" dxfId="1417" priority="203">
      <formula>$A4="Tunnel"</formula>
    </cfRule>
    <cfRule type="expression" dxfId="1416" priority="204">
      <formula>$A4="Bridge"</formula>
    </cfRule>
    <cfRule type="expression" dxfId="1415" priority="205">
      <formula>$A4="Drainage Works"</formula>
    </cfRule>
    <cfRule type="expression" dxfId="1414" priority="206">
      <formula>$A4="Underpass"</formula>
    </cfRule>
    <cfRule type="expression" dxfId="1413" priority="207">
      <formula>$A4="Overcrossing"</formula>
    </cfRule>
    <cfRule type="expression" dxfId="1412" priority="208">
      <formula>$A4="Overpass"</formula>
    </cfRule>
    <cfRule type="expression" dxfId="1411" priority="209">
      <formula>$A4="Station"</formula>
    </cfRule>
    <cfRule type="expression" dxfId="1410" priority="210">
      <formula>$A4="Overlap between sections"</formula>
    </cfRule>
  </conditionalFormatting>
  <conditionalFormatting sqref="F4">
    <cfRule type="expression" dxfId="1409" priority="189">
      <formula>$A4="Overhead Cable"</formula>
    </cfRule>
    <cfRule type="expression" dxfId="1408" priority="190">
      <formula>$A4="Level Crossing"</formula>
    </cfRule>
    <cfRule type="expression" dxfId="1407" priority="191">
      <formula>$A4="Neutral Section"</formula>
    </cfRule>
    <cfRule type="expression" dxfId="1406" priority="192">
      <formula>$A4="Tunnel"</formula>
    </cfRule>
    <cfRule type="expression" dxfId="1405" priority="193">
      <formula>$A4="Bridge"</formula>
    </cfRule>
    <cfRule type="expression" dxfId="1404" priority="194">
      <formula>$A4="Drainage Works"</formula>
    </cfRule>
    <cfRule type="expression" dxfId="1403" priority="195">
      <formula>$A4="Underpass"</formula>
    </cfRule>
    <cfRule type="expression" dxfId="1402" priority="196">
      <formula>$A4="Overcrossing"</formula>
    </cfRule>
    <cfRule type="expression" dxfId="1401" priority="197">
      <formula>$A4="Overpass"</formula>
    </cfRule>
    <cfRule type="expression" dxfId="1400" priority="198">
      <formula>$A4="Station"</formula>
    </cfRule>
    <cfRule type="expression" dxfId="1399" priority="199">
      <formula>$A4="Overlap between sections"</formula>
    </cfRule>
  </conditionalFormatting>
  <conditionalFormatting sqref="Q4">
    <cfRule type="expression" dxfId="1398" priority="178">
      <formula>$A4="Overhead Cable"</formula>
    </cfRule>
    <cfRule type="expression" dxfId="1397" priority="179">
      <formula>$A4="Level Crossing"</formula>
    </cfRule>
    <cfRule type="expression" dxfId="1396" priority="180">
      <formula>$A4="Neutral Section"</formula>
    </cfRule>
    <cfRule type="expression" dxfId="1395" priority="181">
      <formula>$A4="Tunnel"</formula>
    </cfRule>
    <cfRule type="expression" dxfId="1394" priority="182">
      <formula>$A4="Bridge"</formula>
    </cfRule>
    <cfRule type="expression" dxfId="1393" priority="183">
      <formula>$A4="Drainage Works"</formula>
    </cfRule>
    <cfRule type="expression" dxfId="1392" priority="184">
      <formula>$A4="Underpass"</formula>
    </cfRule>
    <cfRule type="expression" dxfId="1391" priority="185">
      <formula>$A4="Overcrossing"</formula>
    </cfRule>
    <cfRule type="expression" dxfId="1390" priority="186">
      <formula>$A4="Overpass"</formula>
    </cfRule>
    <cfRule type="expression" dxfId="1389" priority="187">
      <formula>$A4="Station"</formula>
    </cfRule>
    <cfRule type="expression" dxfId="1388" priority="188">
      <formula>$A4="Overlap between sections"</formula>
    </cfRule>
  </conditionalFormatting>
  <conditionalFormatting sqref="T4">
    <cfRule type="expression" dxfId="1387" priority="167">
      <formula>$A4="Overhead Cable"</formula>
    </cfRule>
    <cfRule type="expression" dxfId="1386" priority="168">
      <formula>$A4="Level Crossing"</formula>
    </cfRule>
    <cfRule type="expression" dxfId="1385" priority="169">
      <formula>$A4="Neutral Section"</formula>
    </cfRule>
    <cfRule type="expression" dxfId="1384" priority="170">
      <formula>$A4="Tunnel"</formula>
    </cfRule>
    <cfRule type="expression" dxfId="1383" priority="171">
      <formula>$A4="Bridge"</formula>
    </cfRule>
    <cfRule type="expression" dxfId="1382" priority="172">
      <formula>$A4="Drainage Works"</formula>
    </cfRule>
    <cfRule type="expression" dxfId="1381" priority="173">
      <formula>$A4="Underpass"</formula>
    </cfRule>
    <cfRule type="expression" dxfId="1380" priority="174">
      <formula>$A4="Overcrossing"</formula>
    </cfRule>
    <cfRule type="expression" dxfId="1379" priority="175">
      <formula>$A4="Overpass"</formula>
    </cfRule>
    <cfRule type="expression" dxfId="1378" priority="176">
      <formula>$A4="Station"</formula>
    </cfRule>
    <cfRule type="expression" dxfId="1377" priority="177">
      <formula>$A4="Overlap between sections"</formula>
    </cfRule>
  </conditionalFormatting>
  <conditionalFormatting sqref="U4">
    <cfRule type="expression" dxfId="1376" priority="156">
      <formula>$A4="Overhead Cable"</formula>
    </cfRule>
    <cfRule type="expression" dxfId="1375" priority="157">
      <formula>$A4="Level Crossing"</formula>
    </cfRule>
    <cfRule type="expression" dxfId="1374" priority="158">
      <formula>$A4="Neutral Section"</formula>
    </cfRule>
    <cfRule type="expression" dxfId="1373" priority="159">
      <formula>$A4="Tunnel"</formula>
    </cfRule>
    <cfRule type="expression" dxfId="1372" priority="160">
      <formula>$A4="Bridge"</formula>
    </cfRule>
    <cfRule type="expression" dxfId="1371" priority="161">
      <formula>$A4="Drainage Works"</formula>
    </cfRule>
    <cfRule type="expression" dxfId="1370" priority="162">
      <formula>$A4="Underpass"</formula>
    </cfRule>
    <cfRule type="expression" dxfId="1369" priority="163">
      <formula>$A4="Overcrossing"</formula>
    </cfRule>
    <cfRule type="expression" dxfId="1368" priority="164">
      <formula>$A4="Overpass"</formula>
    </cfRule>
    <cfRule type="expression" dxfId="1367" priority="165">
      <formula>$A4="Station"</formula>
    </cfRule>
    <cfRule type="expression" dxfId="1366" priority="166">
      <formula>$A4="Overlap between sections"</formula>
    </cfRule>
  </conditionalFormatting>
  <conditionalFormatting sqref="V4">
    <cfRule type="expression" dxfId="1365" priority="145">
      <formula>$A4="Overhead Cable"</formula>
    </cfRule>
    <cfRule type="expression" dxfId="1364" priority="146">
      <formula>$A4="Level Crossing"</formula>
    </cfRule>
    <cfRule type="expression" dxfId="1363" priority="147">
      <formula>$A4="Neutral Section"</formula>
    </cfRule>
    <cfRule type="expression" dxfId="1362" priority="148">
      <formula>$A4="Tunnel"</formula>
    </cfRule>
    <cfRule type="expression" dxfId="1361" priority="149">
      <formula>$A4="Bridge"</formula>
    </cfRule>
    <cfRule type="expression" dxfId="1360" priority="150">
      <formula>$A4="Drainage Works"</formula>
    </cfRule>
    <cfRule type="expression" dxfId="1359" priority="151">
      <formula>$A4="Underpass"</formula>
    </cfRule>
    <cfRule type="expression" dxfId="1358" priority="152">
      <formula>$A4="Overcrossing"</formula>
    </cfRule>
    <cfRule type="expression" dxfId="1357" priority="153">
      <formula>$A4="Overpass"</formula>
    </cfRule>
    <cfRule type="expression" dxfId="1356" priority="154">
      <formula>$A4="Station"</formula>
    </cfRule>
    <cfRule type="expression" dxfId="1355" priority="155">
      <formula>$A4="Overlap between sections"</formula>
    </cfRule>
  </conditionalFormatting>
  <conditionalFormatting sqref="AF4">
    <cfRule type="expression" dxfId="1354" priority="134">
      <formula>$A4="Overhead Cable"</formula>
    </cfRule>
    <cfRule type="expression" dxfId="1353" priority="135">
      <formula>$A4="Level Crossing"</formula>
    </cfRule>
    <cfRule type="expression" dxfId="1352" priority="136">
      <formula>$A4="Neutral Section"</formula>
    </cfRule>
    <cfRule type="expression" dxfId="1351" priority="137">
      <formula>$A4="Tunnel"</formula>
    </cfRule>
    <cfRule type="expression" dxfId="1350" priority="138">
      <formula>$A4="Bridge"</formula>
    </cfRule>
    <cfRule type="expression" dxfId="1349" priority="139">
      <formula>$A4="Drainage Works"</formula>
    </cfRule>
    <cfRule type="expression" dxfId="1348" priority="140">
      <formula>$A4="Underpass"</formula>
    </cfRule>
    <cfRule type="expression" dxfId="1347" priority="141">
      <formula>$A4="Overcrossing"</formula>
    </cfRule>
    <cfRule type="expression" dxfId="1346" priority="142">
      <formula>$A4="Overpass"</formula>
    </cfRule>
    <cfRule type="expression" dxfId="1345" priority="143">
      <formula>$A4="Station"</formula>
    </cfRule>
    <cfRule type="expression" dxfId="1344" priority="144">
      <formula>$A4="Overlap between sections"</formula>
    </cfRule>
  </conditionalFormatting>
  <conditionalFormatting sqref="AH4">
    <cfRule type="expression" dxfId="1343" priority="123">
      <formula>$A4="Overhead Cable"</formula>
    </cfRule>
    <cfRule type="expression" dxfId="1342" priority="124">
      <formula>$A4="Level Crossing"</formula>
    </cfRule>
    <cfRule type="expression" dxfId="1341" priority="125">
      <formula>$A4="Neutral Section"</formula>
    </cfRule>
    <cfRule type="expression" dxfId="1340" priority="126">
      <formula>$A4="Tunnel"</formula>
    </cfRule>
    <cfRule type="expression" dxfId="1339" priority="127">
      <formula>$A4="Bridge"</formula>
    </cfRule>
    <cfRule type="expression" dxfId="1338" priority="128">
      <formula>$A4="Drainage Works"</formula>
    </cfRule>
    <cfRule type="expression" dxfId="1337" priority="129">
      <formula>$A4="Underpass"</formula>
    </cfRule>
    <cfRule type="expression" dxfId="1336" priority="130">
      <formula>$A4="Overcrossing"</formula>
    </cfRule>
    <cfRule type="expression" dxfId="1335" priority="131">
      <formula>$A4="Overpass"</formula>
    </cfRule>
    <cfRule type="expression" dxfId="1334" priority="132">
      <formula>$A4="Station"</formula>
    </cfRule>
    <cfRule type="expression" dxfId="1333" priority="133">
      <formula>$A4="Overlap between sections"</formula>
    </cfRule>
  </conditionalFormatting>
  <conditionalFormatting sqref="AI4">
    <cfRule type="expression" dxfId="1332" priority="112">
      <formula>$A4="Overhead Cable"</formula>
    </cfRule>
    <cfRule type="expression" dxfId="1331" priority="113">
      <formula>$A4="Level Crossing"</formula>
    </cfRule>
    <cfRule type="expression" dxfId="1330" priority="114">
      <formula>$A4="Neutral Section"</formula>
    </cfRule>
    <cfRule type="expression" dxfId="1329" priority="115">
      <formula>$A4="Tunnel"</formula>
    </cfRule>
    <cfRule type="expression" dxfId="1328" priority="116">
      <formula>$A4="Bridge"</formula>
    </cfRule>
    <cfRule type="expression" dxfId="1327" priority="117">
      <formula>$A4="Drainage Works"</formula>
    </cfRule>
    <cfRule type="expression" dxfId="1326" priority="118">
      <formula>$A4="Underpass"</formula>
    </cfRule>
    <cfRule type="expression" dxfId="1325" priority="119">
      <formula>$A4="Overcrossing"</formula>
    </cfRule>
    <cfRule type="expression" dxfId="1324" priority="120">
      <formula>$A4="Overpass"</formula>
    </cfRule>
    <cfRule type="expression" dxfId="1323" priority="121">
      <formula>$A4="Station"</formula>
    </cfRule>
    <cfRule type="expression" dxfId="1322" priority="122">
      <formula>$A4="Overlap between sections"</formula>
    </cfRule>
  </conditionalFormatting>
  <conditionalFormatting sqref="R4">
    <cfRule type="expression" dxfId="1321" priority="101">
      <formula>$A4="Overhead Cable"</formula>
    </cfRule>
    <cfRule type="expression" dxfId="1320" priority="102">
      <formula>$A4="Level Crossing"</formula>
    </cfRule>
    <cfRule type="expression" dxfId="1319" priority="103">
      <formula>$A4="Neutral Section"</formula>
    </cfRule>
    <cfRule type="expression" dxfId="1318" priority="104">
      <formula>$A4="Tunnel"</formula>
    </cfRule>
    <cfRule type="expression" dxfId="1317" priority="105">
      <formula>$A4="Bridge"</formula>
    </cfRule>
    <cfRule type="expression" dxfId="1316" priority="106">
      <formula>$A4="Drainage Works"</formula>
    </cfRule>
    <cfRule type="expression" dxfId="1315" priority="107">
      <formula>$A4="Underpass"</formula>
    </cfRule>
    <cfRule type="expression" dxfId="1314" priority="108">
      <formula>$A4="Overcrossing"</formula>
    </cfRule>
    <cfRule type="expression" dxfId="1313" priority="109">
      <formula>$A4="Overpass"</formula>
    </cfRule>
    <cfRule type="expression" dxfId="1312" priority="110">
      <formula>$A4="Station"</formula>
    </cfRule>
    <cfRule type="expression" dxfId="1311" priority="111">
      <formula>$A4="Overlap between sections"</formula>
    </cfRule>
  </conditionalFormatting>
  <conditionalFormatting sqref="S4">
    <cfRule type="expression" dxfId="1310" priority="90">
      <formula>$A4="Overhead Cable"</formula>
    </cfRule>
    <cfRule type="expression" dxfId="1309" priority="91">
      <formula>$A4="Level Crossing"</formula>
    </cfRule>
    <cfRule type="expression" dxfId="1308" priority="92">
      <formula>$A4="Neutral Section"</formula>
    </cfRule>
    <cfRule type="expression" dxfId="1307" priority="93">
      <formula>$A4="Tunnel"</formula>
    </cfRule>
    <cfRule type="expression" dxfId="1306" priority="94">
      <formula>$A4="Bridge"</formula>
    </cfRule>
    <cfRule type="expression" dxfId="1305" priority="95">
      <formula>$A4="Drainage Works"</formula>
    </cfRule>
    <cfRule type="expression" dxfId="1304" priority="96">
      <formula>$A4="Underpass"</formula>
    </cfRule>
    <cfRule type="expression" dxfId="1303" priority="97">
      <formula>$A4="Overcrossing"</formula>
    </cfRule>
    <cfRule type="expression" dxfId="1302" priority="98">
      <formula>$A4="Overpass"</formula>
    </cfRule>
    <cfRule type="expression" dxfId="1301" priority="99">
      <formula>$A4="Station"</formula>
    </cfRule>
    <cfRule type="expression" dxfId="1300" priority="100">
      <formula>$A4="Overlap between sections"</formula>
    </cfRule>
  </conditionalFormatting>
  <conditionalFormatting sqref="X4">
    <cfRule type="expression" dxfId="1299" priority="79">
      <formula>$A4="Overhead Cable"</formula>
    </cfRule>
    <cfRule type="expression" dxfId="1298" priority="80">
      <formula>$A4="Level Crossing"</formula>
    </cfRule>
    <cfRule type="expression" dxfId="1297" priority="81">
      <formula>$A4="Neutral Section"</formula>
    </cfRule>
    <cfRule type="expression" dxfId="1296" priority="82">
      <formula>$A4="Tunnel"</formula>
    </cfRule>
    <cfRule type="expression" dxfId="1295" priority="83">
      <formula>$A4="Bridge"</formula>
    </cfRule>
    <cfRule type="expression" dxfId="1294" priority="84">
      <formula>$A4="Drainage Works"</formula>
    </cfRule>
    <cfRule type="expression" dxfId="1293" priority="85">
      <formula>$A4="Underpass"</formula>
    </cfRule>
    <cfRule type="expression" dxfId="1292" priority="86">
      <formula>$A4="Overcrossing"</formula>
    </cfRule>
    <cfRule type="expression" dxfId="1291" priority="87">
      <formula>$A4="Overpass"</formula>
    </cfRule>
    <cfRule type="expression" dxfId="1290" priority="88">
      <formula>$A4="Station"</formula>
    </cfRule>
    <cfRule type="expression" dxfId="1289" priority="89">
      <formula>$A4="Overlap between sections"</formula>
    </cfRule>
  </conditionalFormatting>
  <conditionalFormatting sqref="Y4">
    <cfRule type="expression" dxfId="1288" priority="68">
      <formula>$A4="Overhead Cable"</formula>
    </cfRule>
    <cfRule type="expression" dxfId="1287" priority="69">
      <formula>$A4="Level Crossing"</formula>
    </cfRule>
    <cfRule type="expression" dxfId="1286" priority="70">
      <formula>$A4="Neutral Section"</formula>
    </cfRule>
    <cfRule type="expression" dxfId="1285" priority="71">
      <formula>$A4="Tunnel"</formula>
    </cfRule>
    <cfRule type="expression" dxfId="1284" priority="72">
      <formula>$A4="Bridge"</formula>
    </cfRule>
    <cfRule type="expression" dxfId="1283" priority="73">
      <formula>$A4="Drainage Works"</formula>
    </cfRule>
    <cfRule type="expression" dxfId="1282" priority="74">
      <formula>$A4="Underpass"</formula>
    </cfRule>
    <cfRule type="expression" dxfId="1281" priority="75">
      <formula>$A4="Overcrossing"</formula>
    </cfRule>
    <cfRule type="expression" dxfId="1280" priority="76">
      <formula>$A4="Overpass"</formula>
    </cfRule>
    <cfRule type="expression" dxfId="1279" priority="77">
      <formula>$A4="Station"</formula>
    </cfRule>
    <cfRule type="expression" dxfId="1278" priority="78">
      <formula>$A4="Overlap between sections"</formula>
    </cfRule>
  </conditionalFormatting>
  <conditionalFormatting sqref="Z4">
    <cfRule type="expression" dxfId="1277" priority="57">
      <formula>$A4="Overhead Cable"</formula>
    </cfRule>
    <cfRule type="expression" dxfId="1276" priority="58">
      <formula>$A4="Level Crossing"</formula>
    </cfRule>
    <cfRule type="expression" dxfId="1275" priority="59">
      <formula>$A4="Neutral Section"</formula>
    </cfRule>
    <cfRule type="expression" dxfId="1274" priority="60">
      <formula>$A4="Tunnel"</formula>
    </cfRule>
    <cfRule type="expression" dxfId="1273" priority="61">
      <formula>$A4="Bridge"</formula>
    </cfRule>
    <cfRule type="expression" dxfId="1272" priority="62">
      <formula>$A4="Drainage Works"</formula>
    </cfRule>
    <cfRule type="expression" dxfId="1271" priority="63">
      <formula>$A4="Underpass"</formula>
    </cfRule>
    <cfRule type="expression" dxfId="1270" priority="64">
      <formula>$A4="Overcrossing"</formula>
    </cfRule>
    <cfRule type="expression" dxfId="1269" priority="65">
      <formula>$A4="Overpass"</formula>
    </cfRule>
    <cfRule type="expression" dxfId="1268" priority="66">
      <formula>$A4="Station"</formula>
    </cfRule>
    <cfRule type="expression" dxfId="1267" priority="67">
      <formula>$A4="Overlap between sections"</formula>
    </cfRule>
  </conditionalFormatting>
  <conditionalFormatting sqref="AA4">
    <cfRule type="expression" dxfId="1266" priority="46">
      <formula>$A4="Overhead Cable"</formula>
    </cfRule>
    <cfRule type="expression" dxfId="1265" priority="47">
      <formula>$A4="Level Crossing"</formula>
    </cfRule>
    <cfRule type="expression" dxfId="1264" priority="48">
      <formula>$A4="Neutral Section"</formula>
    </cfRule>
    <cfRule type="expression" dxfId="1263" priority="49">
      <formula>$A4="Tunnel"</formula>
    </cfRule>
    <cfRule type="expression" dxfId="1262" priority="50">
      <formula>$A4="Bridge"</formula>
    </cfRule>
    <cfRule type="expression" dxfId="1261" priority="51">
      <formula>$A4="Drainage Works"</formula>
    </cfRule>
    <cfRule type="expression" dxfId="1260" priority="52">
      <formula>$A4="Underpass"</formula>
    </cfRule>
    <cfRule type="expression" dxfId="1259" priority="53">
      <formula>$A4="Overcrossing"</formula>
    </cfRule>
    <cfRule type="expression" dxfId="1258" priority="54">
      <formula>$A4="Overpass"</formula>
    </cfRule>
    <cfRule type="expression" dxfId="1257" priority="55">
      <formula>$A4="Station"</formula>
    </cfRule>
    <cfRule type="expression" dxfId="1256" priority="56">
      <formula>$A4="Overlap between sections"</formula>
    </cfRule>
  </conditionalFormatting>
  <conditionalFormatting sqref="AB4">
    <cfRule type="expression" dxfId="1255" priority="35">
      <formula>$A4="Overhead Cable"</formula>
    </cfRule>
    <cfRule type="expression" dxfId="1254" priority="36">
      <formula>$A4="Level Crossing"</formula>
    </cfRule>
    <cfRule type="expression" dxfId="1253" priority="37">
      <formula>$A4="Neutral Section"</formula>
    </cfRule>
    <cfRule type="expression" dxfId="1252" priority="38">
      <formula>$A4="Tunnel"</formula>
    </cfRule>
    <cfRule type="expression" dxfId="1251" priority="39">
      <formula>$A4="Bridge"</formula>
    </cfRule>
    <cfRule type="expression" dxfId="1250" priority="40">
      <formula>$A4="Drainage Works"</formula>
    </cfRule>
    <cfRule type="expression" dxfId="1249" priority="41">
      <formula>$A4="Underpass"</formula>
    </cfRule>
    <cfRule type="expression" dxfId="1248" priority="42">
      <formula>$A4="Overcrossing"</formula>
    </cfRule>
    <cfRule type="expression" dxfId="1247" priority="43">
      <formula>$A4="Overpass"</formula>
    </cfRule>
    <cfRule type="expression" dxfId="1246" priority="44">
      <formula>$A4="Station"</formula>
    </cfRule>
    <cfRule type="expression" dxfId="1245" priority="45">
      <formula>$A4="Overlap between sections"</formula>
    </cfRule>
  </conditionalFormatting>
  <conditionalFormatting sqref="BD4">
    <cfRule type="containsText" dxfId="1244" priority="34" operator="containsText" text="Poner a mano">
      <formula>NOT(ISERROR(SEARCH("Poner a mano",BD4)))</formula>
    </cfRule>
  </conditionalFormatting>
  <conditionalFormatting sqref="BA4:BC4">
    <cfRule type="expression" dxfId="1243" priority="32">
      <formula>$BE4="A"</formula>
    </cfRule>
    <cfRule type="expression" dxfId="1242" priority="33">
      <formula>$BE4="R"</formula>
    </cfRule>
  </conditionalFormatting>
  <conditionalFormatting sqref="BC4">
    <cfRule type="expression" dxfId="1241" priority="31">
      <formula>$M4="U.S. N.D."</formula>
    </cfRule>
  </conditionalFormatting>
  <conditionalFormatting sqref="BB4">
    <cfRule type="expression" dxfId="1240" priority="29">
      <formula>$AZ4="N.D."</formula>
    </cfRule>
  </conditionalFormatting>
  <conditionalFormatting sqref="BA4">
    <cfRule type="expression" dxfId="1239" priority="30">
      <formula>$AY4="N.D."</formula>
    </cfRule>
  </conditionalFormatting>
  <conditionalFormatting sqref="W4">
    <cfRule type="expression" dxfId="1238" priority="26">
      <formula>$M4="NON DEFINED"</formula>
    </cfRule>
    <cfRule type="expression" dxfId="1237" priority="27">
      <formula>$AZ4="N.D."</formula>
    </cfRule>
    <cfRule type="expression" dxfId="1236" priority="28">
      <formula>$AY4="N.D."</formula>
    </cfRule>
  </conditionalFormatting>
  <conditionalFormatting sqref="W4">
    <cfRule type="expression" dxfId="1235" priority="15">
      <formula>$A4="Overhead Cable"</formula>
    </cfRule>
    <cfRule type="expression" dxfId="1234" priority="16">
      <formula>$A4="Level Crossing"</formula>
    </cfRule>
    <cfRule type="expression" dxfId="1233" priority="17">
      <formula>$A4="Neutral Section"</formula>
    </cfRule>
    <cfRule type="expression" dxfId="1232" priority="18">
      <formula>$A4="Tunnel"</formula>
    </cfRule>
    <cfRule type="expression" dxfId="1231" priority="19">
      <formula>$A4="Bridge"</formula>
    </cfRule>
    <cfRule type="expression" dxfId="1230" priority="20">
      <formula>$A4="Drainage Works"</formula>
    </cfRule>
    <cfRule type="expression" dxfId="1229" priority="21">
      <formula>$A4="Underpass"</formula>
    </cfRule>
    <cfRule type="expression" dxfId="1228" priority="22">
      <formula>$A4="Overcrossing"</formula>
    </cfRule>
    <cfRule type="expression" dxfId="1227" priority="23">
      <formula>$A4="Overpass"</formula>
    </cfRule>
    <cfRule type="expression" dxfId="1226" priority="24">
      <formula>$A4="Station"</formula>
    </cfRule>
    <cfRule type="expression" dxfId="1225" priority="25">
      <formula>$A4="Overlap between sections"</formula>
    </cfRule>
  </conditionalFormatting>
  <conditionalFormatting sqref="M4">
    <cfRule type="expression" dxfId="1224" priority="12">
      <formula>$M4="NON DEFINED"</formula>
    </cfRule>
    <cfRule type="expression" dxfId="1223" priority="13">
      <formula>$AZ4="N.D."</formula>
    </cfRule>
    <cfRule type="expression" dxfId="1222" priority="14">
      <formula>$AY4="N.D."</formula>
    </cfRule>
  </conditionalFormatting>
  <conditionalFormatting sqref="M4">
    <cfRule type="expression" dxfId="1221" priority="1">
      <formula>$A4="Overhead Cable"</formula>
    </cfRule>
    <cfRule type="expression" dxfId="1220" priority="2">
      <formula>$A4="Level Crossing"</formula>
    </cfRule>
    <cfRule type="expression" dxfId="1219" priority="3">
      <formula>$A4="Neutral Section"</formula>
    </cfRule>
    <cfRule type="expression" dxfId="1218" priority="4">
      <formula>$A4="Tunnel"</formula>
    </cfRule>
    <cfRule type="expression" dxfId="1217" priority="5">
      <formula>$A4="Bridge"</formula>
    </cfRule>
    <cfRule type="expression" dxfId="1216" priority="6">
      <formula>$A4="Drainage Works"</formula>
    </cfRule>
    <cfRule type="expression" dxfId="1215" priority="7">
      <formula>$A4="Underpass"</formula>
    </cfRule>
    <cfRule type="expression" dxfId="1214" priority="8">
      <formula>$A4="Overcrossing"</formula>
    </cfRule>
    <cfRule type="expression" dxfId="1213" priority="9">
      <formula>$A4="Overpass"</formula>
    </cfRule>
    <cfRule type="expression" dxfId="1212" priority="10">
      <formula>$A4="Station"</formula>
    </cfRule>
    <cfRule type="expression" dxfId="1211" priority="11">
      <formula>$A4="Overlap between sections"</formula>
    </cfRule>
  </conditionalFormatting>
  <printOptions horizontalCentered="1"/>
  <pageMargins left="0.39370078740157483" right="0.39370078740157483" top="0.78740157480314965" bottom="0.78740157480314965" header="0.31496062992125984" footer="0.31496062992125984"/>
  <pageSetup paperSize="9" scale="53" orientation="landscape" r:id="rId1"/>
  <headerFooter>
    <oddHeader>&amp;L&amp;G&amp;CLAYOUT AND EQUIPMENT
EP 04 TRACK 4 KFA
KP 57+960 to 58+965&amp;R&amp;G</oddHeader>
    <oddFooter>&amp;L&amp;G
&amp;F&amp;C&amp;D&amp;RPag &amp;P of &amp;N</oddFooter>
  </headerFooter>
  <legacy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theme="8" tint="0.59999389629810485"/>
  </sheetPr>
  <dimension ref="A1:L354"/>
  <sheetViews>
    <sheetView showGridLines="0" zoomScale="80" zoomScaleNormal="80" workbookViewId="0">
      <pane ySplit="3" topLeftCell="A4" activePane="bottomLeft" state="frozen"/>
      <selection pane="bottomLeft" activeCell="T23" sqref="T23"/>
      <selection activeCell="M245" sqref="M245"/>
    </sheetView>
  </sheetViews>
  <sheetFormatPr defaultColWidth="9.140625" defaultRowHeight="13.15"/>
  <cols>
    <col min="1" max="1" width="20.28515625" style="55" customWidth="1"/>
    <col min="2" max="2" width="12.42578125" style="55" bestFit="1" customWidth="1"/>
    <col min="3" max="3" width="14.28515625" style="55" customWidth="1"/>
    <col min="4" max="8" width="15.7109375" style="14" customWidth="1"/>
    <col min="9" max="10" width="15.7109375" style="55" customWidth="1"/>
    <col min="11" max="11" width="11.7109375" style="55" customWidth="1"/>
    <col min="12" max="16384" width="9.140625" style="55"/>
  </cols>
  <sheetData>
    <row r="1" spans="1:12">
      <c r="B1" s="392" t="s">
        <v>1828</v>
      </c>
    </row>
    <row r="2" spans="1:12">
      <c r="A2" s="56" t="s">
        <v>1829</v>
      </c>
      <c r="B2" s="393" t="s">
        <v>1830</v>
      </c>
      <c r="C2" s="55" t="s">
        <v>1831</v>
      </c>
    </row>
    <row r="3" spans="1:12">
      <c r="A3" s="56" t="s">
        <v>1832</v>
      </c>
      <c r="B3" s="393" t="s">
        <v>1833</v>
      </c>
      <c r="C3" s="55" t="s">
        <v>1834</v>
      </c>
    </row>
    <row r="4" spans="1:12" ht="30" customHeight="1">
      <c r="A4" s="1009" t="s">
        <v>1835</v>
      </c>
      <c r="B4" s="1010"/>
      <c r="C4" s="1010"/>
      <c r="D4" s="1010"/>
      <c r="E4" s="1010"/>
      <c r="F4" s="1010"/>
      <c r="G4" s="1010"/>
      <c r="H4" s="1010"/>
      <c r="I4" s="1010"/>
      <c r="J4" s="1011"/>
    </row>
    <row r="5" spans="1:12" ht="19.899999999999999" customHeight="1" thickBot="1"/>
    <row r="6" spans="1:12" ht="19.899999999999999" customHeight="1" thickBot="1">
      <c r="A6" s="1046" t="s">
        <v>1836</v>
      </c>
      <c r="B6" s="1047"/>
      <c r="C6" s="1047"/>
      <c r="D6" s="1047"/>
      <c r="E6" s="1047"/>
      <c r="F6" s="1047"/>
      <c r="G6" s="1047"/>
      <c r="H6" s="1047"/>
      <c r="I6" s="1047"/>
      <c r="J6" s="1048"/>
      <c r="K6" s="63"/>
    </row>
    <row r="7" spans="1:12" ht="25.15" customHeight="1">
      <c r="A7" s="1040" t="s">
        <v>1837</v>
      </c>
      <c r="B7" s="1051" t="s">
        <v>1838</v>
      </c>
      <c r="C7" s="1053"/>
      <c r="D7" s="394" t="s">
        <v>1839</v>
      </c>
      <c r="E7" s="394" t="s">
        <v>1840</v>
      </c>
      <c r="F7" s="394" t="s">
        <v>1841</v>
      </c>
      <c r="G7" s="394" t="s">
        <v>1842</v>
      </c>
      <c r="H7" s="394" t="s">
        <v>1843</v>
      </c>
      <c r="I7" s="394" t="s">
        <v>1844</v>
      </c>
      <c r="J7" s="395" t="s">
        <v>1845</v>
      </c>
      <c r="K7" s="63"/>
    </row>
    <row r="8" spans="1:12" ht="25.15" customHeight="1">
      <c r="A8" s="1041"/>
      <c r="B8" s="1052"/>
      <c r="C8" s="1050"/>
      <c r="D8" s="396" t="s">
        <v>1846</v>
      </c>
      <c r="E8" s="396" t="s">
        <v>1846</v>
      </c>
      <c r="F8" s="396" t="s">
        <v>1847</v>
      </c>
      <c r="G8" s="396" t="s">
        <v>1848</v>
      </c>
      <c r="H8" s="396" t="s">
        <v>1849</v>
      </c>
      <c r="I8" s="396" t="s">
        <v>1850</v>
      </c>
      <c r="J8" s="397" t="s">
        <v>1851</v>
      </c>
      <c r="K8" s="63"/>
    </row>
    <row r="9" spans="1:12" ht="19.899999999999999" customHeight="1">
      <c r="A9" s="355" t="str">
        <f t="shared" ref="A9:A17" si="0">CONCATENATE($A$2,"-",$B$2,"-",B9)</f>
        <v>App.7-V11I-P9.5.1.1</v>
      </c>
      <c r="B9" s="5" t="s">
        <v>1852</v>
      </c>
      <c r="C9" s="398" t="s">
        <v>1853</v>
      </c>
      <c r="D9" s="399" t="s">
        <v>153</v>
      </c>
      <c r="E9" s="400" t="s">
        <v>153</v>
      </c>
      <c r="F9" s="400" t="s">
        <v>153</v>
      </c>
      <c r="G9" s="400" t="s">
        <v>158</v>
      </c>
      <c r="H9" s="400" t="s">
        <v>158</v>
      </c>
      <c r="I9" s="400" t="s">
        <v>158</v>
      </c>
      <c r="J9" s="401" t="s">
        <v>1714</v>
      </c>
      <c r="K9" s="63"/>
      <c r="L9" s="55" t="s">
        <v>1854</v>
      </c>
    </row>
    <row r="10" spans="1:12" ht="19.899999999999999" customHeight="1">
      <c r="A10" s="355" t="str">
        <f t="shared" si="0"/>
        <v>App.7-V11I-P9.5.1.2</v>
      </c>
      <c r="B10" s="5" t="s">
        <v>1855</v>
      </c>
      <c r="C10" s="398" t="s">
        <v>171</v>
      </c>
      <c r="D10" s="400" t="s">
        <v>153</v>
      </c>
      <c r="E10" s="400" t="s">
        <v>153</v>
      </c>
      <c r="F10" s="400" t="s">
        <v>153</v>
      </c>
      <c r="G10" s="400" t="s">
        <v>158</v>
      </c>
      <c r="H10" s="400" t="s">
        <v>158</v>
      </c>
      <c r="I10" s="400" t="s">
        <v>398</v>
      </c>
      <c r="J10" s="401" t="s">
        <v>206</v>
      </c>
      <c r="K10" s="63"/>
      <c r="L10" s="55" t="s">
        <v>1856</v>
      </c>
    </row>
    <row r="11" spans="1:12" ht="19.899999999999999" customHeight="1">
      <c r="A11" s="355" t="str">
        <f t="shared" si="0"/>
        <v>App.7-V11I-P9.5.1.3</v>
      </c>
      <c r="B11" s="5" t="s">
        <v>1857</v>
      </c>
      <c r="C11" s="398" t="s">
        <v>168</v>
      </c>
      <c r="D11" s="400" t="s">
        <v>158</v>
      </c>
      <c r="E11" s="400" t="s">
        <v>158</v>
      </c>
      <c r="F11" s="400" t="s">
        <v>158</v>
      </c>
      <c r="G11" s="400" t="s">
        <v>158</v>
      </c>
      <c r="H11" s="400" t="s">
        <v>398</v>
      </c>
      <c r="I11" s="400" t="s">
        <v>398</v>
      </c>
      <c r="J11" s="401" t="s">
        <v>206</v>
      </c>
      <c r="K11" s="63"/>
      <c r="L11" s="55" t="s">
        <v>1858</v>
      </c>
    </row>
    <row r="12" spans="1:12" ht="19.899999999999999" customHeight="1">
      <c r="A12" s="355" t="str">
        <f t="shared" si="0"/>
        <v>App.7-V11I-P9.5.1.4</v>
      </c>
      <c r="B12" s="5" t="s">
        <v>1859</v>
      </c>
      <c r="C12" s="398" t="s">
        <v>114</v>
      </c>
      <c r="D12" s="400" t="s">
        <v>158</v>
      </c>
      <c r="E12" s="400" t="s">
        <v>158</v>
      </c>
      <c r="F12" s="400" t="s">
        <v>158</v>
      </c>
      <c r="G12" s="400" t="s">
        <v>398</v>
      </c>
      <c r="H12" s="400" t="s">
        <v>398</v>
      </c>
      <c r="I12" s="400" t="s">
        <v>1714</v>
      </c>
      <c r="J12" s="401" t="s">
        <v>206</v>
      </c>
      <c r="K12" s="63"/>
    </row>
    <row r="13" spans="1:12" ht="19.899999999999999" customHeight="1">
      <c r="A13" s="355" t="str">
        <f t="shared" si="0"/>
        <v>App.7-V11I-P9.5.1.5</v>
      </c>
      <c r="B13" s="5" t="s">
        <v>1860</v>
      </c>
      <c r="C13" s="398" t="s">
        <v>131</v>
      </c>
      <c r="D13" s="400" t="s">
        <v>158</v>
      </c>
      <c r="E13" s="400" t="s">
        <v>158</v>
      </c>
      <c r="F13" s="400" t="s">
        <v>158</v>
      </c>
      <c r="G13" s="400" t="s">
        <v>183</v>
      </c>
      <c r="H13" s="400" t="s">
        <v>183</v>
      </c>
      <c r="I13" s="400" t="s">
        <v>183</v>
      </c>
      <c r="J13" s="401" t="s">
        <v>206</v>
      </c>
      <c r="K13" s="63"/>
    </row>
    <row r="14" spans="1:12" ht="19.899999999999999" customHeight="1">
      <c r="A14" s="355" t="str">
        <f t="shared" si="0"/>
        <v>App.7-V11I-P9.5.1.6</v>
      </c>
      <c r="B14" s="5" t="s">
        <v>1861</v>
      </c>
      <c r="C14" s="398" t="s">
        <v>121</v>
      </c>
      <c r="D14" s="400" t="s">
        <v>158</v>
      </c>
      <c r="E14" s="400" t="s">
        <v>158</v>
      </c>
      <c r="F14" s="400" t="s">
        <v>158</v>
      </c>
      <c r="G14" s="400" t="s">
        <v>398</v>
      </c>
      <c r="H14" s="400" t="s">
        <v>398</v>
      </c>
      <c r="I14" s="400" t="s">
        <v>1714</v>
      </c>
      <c r="J14" s="401" t="s">
        <v>1862</v>
      </c>
      <c r="K14" s="63"/>
    </row>
    <row r="15" spans="1:12" ht="19.899999999999999" customHeight="1">
      <c r="A15" s="355" t="str">
        <f t="shared" si="0"/>
        <v>App.7-V11I-P9.5.1.7</v>
      </c>
      <c r="B15" s="5" t="s">
        <v>1863</v>
      </c>
      <c r="C15" s="398" t="s">
        <v>1864</v>
      </c>
      <c r="D15" s="400" t="s">
        <v>398</v>
      </c>
      <c r="E15" s="400" t="s">
        <v>398</v>
      </c>
      <c r="F15" s="400" t="s">
        <v>398</v>
      </c>
      <c r="G15" s="400" t="s">
        <v>1714</v>
      </c>
      <c r="H15" s="400" t="s">
        <v>1714</v>
      </c>
      <c r="I15" s="400" t="s">
        <v>206</v>
      </c>
      <c r="J15" s="401" t="s">
        <v>1862</v>
      </c>
      <c r="K15" s="63"/>
    </row>
    <row r="16" spans="1:12" ht="19.899999999999999" customHeight="1">
      <c r="A16" s="355" t="str">
        <f t="shared" si="0"/>
        <v>App.7-V11I-P9.5.1.8</v>
      </c>
      <c r="B16" s="5" t="s">
        <v>1865</v>
      </c>
      <c r="C16" s="398" t="s">
        <v>277</v>
      </c>
      <c r="D16" s="400" t="s">
        <v>398</v>
      </c>
      <c r="E16" s="400" t="s">
        <v>398</v>
      </c>
      <c r="F16" s="400" t="s">
        <v>398</v>
      </c>
      <c r="G16" s="400" t="s">
        <v>183</v>
      </c>
      <c r="H16" s="400" t="s">
        <v>206</v>
      </c>
      <c r="I16" s="400" t="s">
        <v>206</v>
      </c>
      <c r="J16" s="401" t="s">
        <v>1862</v>
      </c>
      <c r="K16" s="63"/>
    </row>
    <row r="17" spans="1:12" ht="19.899999999999999" customHeight="1" thickBot="1">
      <c r="A17" s="356" t="str">
        <f t="shared" si="0"/>
        <v>App.7-V11I-P9.5.1.9</v>
      </c>
      <c r="B17" s="357" t="s">
        <v>1866</v>
      </c>
      <c r="C17" s="402" t="s">
        <v>1867</v>
      </c>
      <c r="D17" s="403" t="s">
        <v>398</v>
      </c>
      <c r="E17" s="403" t="s">
        <v>398</v>
      </c>
      <c r="F17" s="403" t="s">
        <v>398</v>
      </c>
      <c r="G17" s="403" t="s">
        <v>1714</v>
      </c>
      <c r="H17" s="403" t="s">
        <v>1868</v>
      </c>
      <c r="I17" s="403" t="s">
        <v>1868</v>
      </c>
      <c r="J17" s="404" t="s">
        <v>1868</v>
      </c>
      <c r="K17" s="63"/>
    </row>
    <row r="18" spans="1:12" ht="19.899999999999999" customHeight="1" thickBot="1"/>
    <row r="19" spans="1:12" ht="19.899999999999999" customHeight="1" thickBot="1">
      <c r="A19" s="1046" t="s">
        <v>1869</v>
      </c>
      <c r="B19" s="1047"/>
      <c r="C19" s="1047"/>
      <c r="D19" s="1047"/>
      <c r="E19" s="1047"/>
      <c r="F19" s="1047"/>
      <c r="G19" s="1047"/>
      <c r="H19" s="1047"/>
      <c r="I19" s="1047"/>
      <c r="J19" s="1048"/>
    </row>
    <row r="20" spans="1:12" ht="25.15" customHeight="1">
      <c r="A20" s="1040" t="s">
        <v>1837</v>
      </c>
      <c r="B20" s="1051" t="s">
        <v>1838</v>
      </c>
      <c r="C20" s="1053"/>
      <c r="D20" s="394" t="s">
        <v>1839</v>
      </c>
      <c r="E20" s="394" t="s">
        <v>1840</v>
      </c>
      <c r="F20" s="394" t="s">
        <v>1841</v>
      </c>
      <c r="G20" s="394" t="s">
        <v>1842</v>
      </c>
      <c r="H20" s="394" t="s">
        <v>1843</v>
      </c>
      <c r="I20" s="394" t="s">
        <v>1844</v>
      </c>
      <c r="J20" s="395" t="s">
        <v>1845</v>
      </c>
    </row>
    <row r="21" spans="1:12" ht="25.15" customHeight="1">
      <c r="A21" s="1041"/>
      <c r="B21" s="1052"/>
      <c r="C21" s="1050"/>
      <c r="D21" s="396" t="s">
        <v>1846</v>
      </c>
      <c r="E21" s="396" t="s">
        <v>1846</v>
      </c>
      <c r="F21" s="396" t="s">
        <v>1847</v>
      </c>
      <c r="G21" s="396" t="s">
        <v>1848</v>
      </c>
      <c r="H21" s="396" t="s">
        <v>1849</v>
      </c>
      <c r="I21" s="396" t="s">
        <v>1850</v>
      </c>
      <c r="J21" s="397" t="s">
        <v>1851</v>
      </c>
    </row>
    <row r="22" spans="1:12" ht="19.899999999999999" customHeight="1">
      <c r="A22" s="355" t="str">
        <f t="shared" ref="A22:A30" si="1">CONCATENATE($A$2,"-",$B$2,"-",B22)</f>
        <v>App.7-V11I-P9.5.2.1</v>
      </c>
      <c r="B22" s="5" t="s">
        <v>1870</v>
      </c>
      <c r="C22" s="398" t="s">
        <v>1853</v>
      </c>
      <c r="D22" s="400" t="s">
        <v>158</v>
      </c>
      <c r="E22" s="400" t="s">
        <v>158</v>
      </c>
      <c r="F22" s="400" t="s">
        <v>158</v>
      </c>
      <c r="G22" s="400" t="s">
        <v>398</v>
      </c>
      <c r="H22" s="400" t="s">
        <v>398</v>
      </c>
      <c r="I22" s="400" t="s">
        <v>398</v>
      </c>
      <c r="J22" s="401" t="s">
        <v>1714</v>
      </c>
      <c r="L22" s="55" t="s">
        <v>1854</v>
      </c>
    </row>
    <row r="23" spans="1:12" ht="19.899999999999999" customHeight="1">
      <c r="A23" s="355" t="str">
        <f t="shared" si="1"/>
        <v>App.7-V11I-P9.5.2.2</v>
      </c>
      <c r="B23" s="5" t="s">
        <v>1871</v>
      </c>
      <c r="C23" s="398" t="s">
        <v>171</v>
      </c>
      <c r="D23" s="400" t="s">
        <v>158</v>
      </c>
      <c r="E23" s="400" t="s">
        <v>158</v>
      </c>
      <c r="F23" s="400" t="s">
        <v>158</v>
      </c>
      <c r="G23" s="400" t="s">
        <v>398</v>
      </c>
      <c r="H23" s="400" t="s">
        <v>398</v>
      </c>
      <c r="I23" s="400" t="s">
        <v>398</v>
      </c>
      <c r="J23" s="401" t="s">
        <v>206</v>
      </c>
      <c r="L23" s="55" t="s">
        <v>1856</v>
      </c>
    </row>
    <row r="24" spans="1:12" ht="19.899999999999999" customHeight="1">
      <c r="A24" s="355" t="str">
        <f t="shared" si="1"/>
        <v>App.7-V11I-P9.5.2.3</v>
      </c>
      <c r="B24" s="5" t="s">
        <v>1872</v>
      </c>
      <c r="C24" s="398" t="s">
        <v>168</v>
      </c>
      <c r="D24" s="400" t="s">
        <v>158</v>
      </c>
      <c r="E24" s="400" t="s">
        <v>158</v>
      </c>
      <c r="F24" s="400" t="s">
        <v>158</v>
      </c>
      <c r="G24" s="400" t="s">
        <v>398</v>
      </c>
      <c r="H24" s="400" t="s">
        <v>398</v>
      </c>
      <c r="I24" s="400" t="s">
        <v>1714</v>
      </c>
      <c r="J24" s="401" t="s">
        <v>1862</v>
      </c>
      <c r="L24" s="55" t="s">
        <v>1858</v>
      </c>
    </row>
    <row r="25" spans="1:12" ht="19.899999999999999" customHeight="1">
      <c r="A25" s="355" t="str">
        <f t="shared" si="1"/>
        <v>App.7-V11I-P9.5.2.4</v>
      </c>
      <c r="B25" s="5" t="s">
        <v>1873</v>
      </c>
      <c r="C25" s="398" t="s">
        <v>114</v>
      </c>
      <c r="D25" s="400" t="s">
        <v>398</v>
      </c>
      <c r="E25" s="400" t="s">
        <v>398</v>
      </c>
      <c r="F25" s="400" t="s">
        <v>398</v>
      </c>
      <c r="G25" s="400" t="s">
        <v>1714</v>
      </c>
      <c r="H25" s="400" t="s">
        <v>1714</v>
      </c>
      <c r="I25" s="400" t="s">
        <v>1714</v>
      </c>
      <c r="J25" s="401" t="s">
        <v>1862</v>
      </c>
    </row>
    <row r="26" spans="1:12" ht="19.899999999999999" customHeight="1">
      <c r="A26" s="355" t="str">
        <f t="shared" si="1"/>
        <v>App.7-V11I-P9.5.2.5</v>
      </c>
      <c r="B26" s="5" t="s">
        <v>1874</v>
      </c>
      <c r="C26" s="398" t="s">
        <v>131</v>
      </c>
      <c r="D26" s="400" t="s">
        <v>158</v>
      </c>
      <c r="E26" s="400" t="s">
        <v>398</v>
      </c>
      <c r="F26" s="400" t="s">
        <v>398</v>
      </c>
      <c r="G26" s="400" t="s">
        <v>183</v>
      </c>
      <c r="H26" s="400" t="s">
        <v>183</v>
      </c>
      <c r="I26" s="400" t="s">
        <v>183</v>
      </c>
      <c r="J26" s="401" t="s">
        <v>206</v>
      </c>
    </row>
    <row r="27" spans="1:12" ht="19.899999999999999" customHeight="1">
      <c r="A27" s="355" t="str">
        <f t="shared" si="1"/>
        <v>App.7-V11I-P9.5.2.6</v>
      </c>
      <c r="B27" s="5" t="s">
        <v>1875</v>
      </c>
      <c r="C27" s="398" t="s">
        <v>121</v>
      </c>
      <c r="D27" s="400" t="s">
        <v>158</v>
      </c>
      <c r="E27" s="400" t="s">
        <v>158</v>
      </c>
      <c r="F27" s="400" t="s">
        <v>398</v>
      </c>
      <c r="G27" s="400" t="s">
        <v>398</v>
      </c>
      <c r="H27" s="400" t="s">
        <v>1714</v>
      </c>
      <c r="I27" s="400" t="s">
        <v>1714</v>
      </c>
      <c r="J27" s="401" t="s">
        <v>1862</v>
      </c>
    </row>
    <row r="28" spans="1:12" ht="19.899999999999999" customHeight="1">
      <c r="A28" s="355" t="str">
        <f t="shared" si="1"/>
        <v>App.7-V11I-P9.5.2.7</v>
      </c>
      <c r="B28" s="5" t="s">
        <v>1876</v>
      </c>
      <c r="C28" s="398" t="s">
        <v>1864</v>
      </c>
      <c r="D28" s="400" t="s">
        <v>398</v>
      </c>
      <c r="E28" s="400" t="s">
        <v>398</v>
      </c>
      <c r="F28" s="400" t="s">
        <v>1714</v>
      </c>
      <c r="G28" s="400" t="s">
        <v>1714</v>
      </c>
      <c r="H28" s="400" t="s">
        <v>1714</v>
      </c>
      <c r="I28" s="400" t="s">
        <v>206</v>
      </c>
      <c r="J28" s="401" t="s">
        <v>1862</v>
      </c>
    </row>
    <row r="29" spans="1:12" ht="19.899999999999999" customHeight="1">
      <c r="A29" s="355" t="str">
        <f t="shared" si="1"/>
        <v>App.7-V11I-P9.5.2.8</v>
      </c>
      <c r="B29" s="5" t="s">
        <v>1877</v>
      </c>
      <c r="C29" s="398" t="s">
        <v>277</v>
      </c>
      <c r="D29" s="400" t="s">
        <v>398</v>
      </c>
      <c r="E29" s="400" t="s">
        <v>398</v>
      </c>
      <c r="F29" s="400" t="s">
        <v>398</v>
      </c>
      <c r="G29" s="400" t="s">
        <v>206</v>
      </c>
      <c r="H29" s="400" t="s">
        <v>206</v>
      </c>
      <c r="I29" s="400" t="s">
        <v>206</v>
      </c>
      <c r="J29" s="401" t="s">
        <v>1862</v>
      </c>
    </row>
    <row r="30" spans="1:12" ht="19.899999999999999" customHeight="1" thickBot="1">
      <c r="A30" s="356" t="str">
        <f t="shared" si="1"/>
        <v>App.7-V11I-P9.5.2.9</v>
      </c>
      <c r="B30" s="357" t="s">
        <v>1878</v>
      </c>
      <c r="C30" s="402" t="s">
        <v>1867</v>
      </c>
      <c r="D30" s="403" t="s">
        <v>398</v>
      </c>
      <c r="E30" s="403" t="s">
        <v>398</v>
      </c>
      <c r="F30" s="403" t="s">
        <v>398</v>
      </c>
      <c r="G30" s="403" t="s">
        <v>1714</v>
      </c>
      <c r="H30" s="403" t="s">
        <v>1868</v>
      </c>
      <c r="I30" s="403" t="s">
        <v>1868</v>
      </c>
      <c r="J30" s="404" t="s">
        <v>1868</v>
      </c>
    </row>
    <row r="31" spans="1:12" ht="19.899999999999999" customHeight="1" thickBot="1"/>
    <row r="32" spans="1:12" ht="19.899999999999999" customHeight="1" thickBot="1">
      <c r="A32" s="1046" t="s">
        <v>1879</v>
      </c>
      <c r="B32" s="1047"/>
      <c r="C32" s="1047"/>
      <c r="D32" s="1047"/>
      <c r="E32" s="1047"/>
      <c r="F32" s="1047"/>
      <c r="G32" s="1047"/>
      <c r="H32" s="1047"/>
      <c r="I32" s="1047"/>
      <c r="J32" s="1048"/>
      <c r="K32" s="1071"/>
    </row>
    <row r="33" spans="1:12" ht="25.15" customHeight="1">
      <c r="A33" s="1040" t="s">
        <v>1837</v>
      </c>
      <c r="B33" s="1051" t="s">
        <v>1838</v>
      </c>
      <c r="C33" s="1053"/>
      <c r="D33" s="394" t="s">
        <v>1839</v>
      </c>
      <c r="E33" s="394" t="s">
        <v>1840</v>
      </c>
      <c r="F33" s="394" t="s">
        <v>1841</v>
      </c>
      <c r="G33" s="394" t="s">
        <v>1842</v>
      </c>
      <c r="H33" s="394" t="s">
        <v>1843</v>
      </c>
      <c r="I33" s="394" t="s">
        <v>1844</v>
      </c>
      <c r="J33" s="395" t="s">
        <v>1845</v>
      </c>
      <c r="K33" s="1071"/>
    </row>
    <row r="34" spans="1:12" ht="25.15" customHeight="1">
      <c r="A34" s="1041"/>
      <c r="B34" s="1052"/>
      <c r="C34" s="1050"/>
      <c r="D34" s="396" t="s">
        <v>1846</v>
      </c>
      <c r="E34" s="396" t="s">
        <v>1846</v>
      </c>
      <c r="F34" s="396" t="s">
        <v>1847</v>
      </c>
      <c r="G34" s="396" t="s">
        <v>1848</v>
      </c>
      <c r="H34" s="396" t="s">
        <v>1849</v>
      </c>
      <c r="I34" s="396" t="s">
        <v>1850</v>
      </c>
      <c r="J34" s="397" t="s">
        <v>1851</v>
      </c>
      <c r="K34" s="1071"/>
    </row>
    <row r="35" spans="1:12" ht="19.899999999999999" customHeight="1">
      <c r="A35" s="355" t="str">
        <f t="shared" ref="A35:A43" si="2">CONCATENATE($A$2,"-",$B$2,"-",B35)</f>
        <v>App.7-V11I-P9.5.4.1</v>
      </c>
      <c r="B35" s="5" t="s">
        <v>1880</v>
      </c>
      <c r="C35" s="398" t="s">
        <v>1853</v>
      </c>
      <c r="D35" s="400" t="s">
        <v>153</v>
      </c>
      <c r="E35" s="400" t="s">
        <v>153</v>
      </c>
      <c r="F35" s="400" t="s">
        <v>153</v>
      </c>
      <c r="G35" s="400" t="s">
        <v>158</v>
      </c>
      <c r="H35" s="400" t="s">
        <v>158</v>
      </c>
      <c r="I35" s="400" t="s">
        <v>158</v>
      </c>
      <c r="J35" s="401" t="s">
        <v>1714</v>
      </c>
      <c r="K35" s="1071"/>
      <c r="L35" s="405" t="s">
        <v>1854</v>
      </c>
    </row>
    <row r="36" spans="1:12" ht="19.899999999999999" customHeight="1">
      <c r="A36" s="355" t="str">
        <f t="shared" si="2"/>
        <v>App.7-V11I-P9.5.4.2</v>
      </c>
      <c r="B36" s="5" t="s">
        <v>1881</v>
      </c>
      <c r="C36" s="398" t="s">
        <v>171</v>
      </c>
      <c r="D36" s="400" t="s">
        <v>153</v>
      </c>
      <c r="E36" s="400" t="s">
        <v>158</v>
      </c>
      <c r="F36" s="400" t="s">
        <v>158</v>
      </c>
      <c r="G36" s="400" t="s">
        <v>158</v>
      </c>
      <c r="H36" s="400" t="s">
        <v>158</v>
      </c>
      <c r="I36" s="400" t="s">
        <v>398</v>
      </c>
      <c r="J36" s="401" t="s">
        <v>206</v>
      </c>
      <c r="K36" s="1071"/>
      <c r="L36" s="405" t="s">
        <v>1882</v>
      </c>
    </row>
    <row r="37" spans="1:12" ht="19.899999999999999" customHeight="1">
      <c r="A37" s="355" t="str">
        <f t="shared" si="2"/>
        <v>App.7-V11I-P9.5.4.3</v>
      </c>
      <c r="B37" s="5" t="s">
        <v>1883</v>
      </c>
      <c r="C37" s="398" t="s">
        <v>168</v>
      </c>
      <c r="D37" s="400" t="s">
        <v>158</v>
      </c>
      <c r="E37" s="400" t="s">
        <v>158</v>
      </c>
      <c r="F37" s="400" t="s">
        <v>158</v>
      </c>
      <c r="G37" s="400" t="s">
        <v>398</v>
      </c>
      <c r="H37" s="400" t="s">
        <v>398</v>
      </c>
      <c r="I37" s="400" t="s">
        <v>398</v>
      </c>
      <c r="J37" s="401" t="s">
        <v>206</v>
      </c>
      <c r="K37" s="1071"/>
    </row>
    <row r="38" spans="1:12" ht="19.899999999999999" customHeight="1">
      <c r="A38" s="355" t="str">
        <f t="shared" si="2"/>
        <v>App.7-V11I-P9.5.4.4</v>
      </c>
      <c r="B38" s="5" t="s">
        <v>1884</v>
      </c>
      <c r="C38" s="398" t="s">
        <v>114</v>
      </c>
      <c r="D38" s="400" t="s">
        <v>158</v>
      </c>
      <c r="E38" s="400" t="s">
        <v>158</v>
      </c>
      <c r="F38" s="400" t="s">
        <v>398</v>
      </c>
      <c r="G38" s="400" t="s">
        <v>398</v>
      </c>
      <c r="H38" s="400" t="s">
        <v>398</v>
      </c>
      <c r="I38" s="400" t="s">
        <v>1714</v>
      </c>
      <c r="J38" s="401" t="s">
        <v>206</v>
      </c>
      <c r="K38" s="1071"/>
    </row>
    <row r="39" spans="1:12" ht="19.899999999999999" customHeight="1">
      <c r="A39" s="355" t="str">
        <f t="shared" si="2"/>
        <v>App.7-V11I-P9.5.4.5</v>
      </c>
      <c r="B39" s="5" t="s">
        <v>1885</v>
      </c>
      <c r="C39" s="398" t="s">
        <v>131</v>
      </c>
      <c r="D39" s="400" t="s">
        <v>158</v>
      </c>
      <c r="E39" s="400" t="s">
        <v>158</v>
      </c>
      <c r="F39" s="400" t="s">
        <v>158</v>
      </c>
      <c r="G39" s="400" t="s">
        <v>183</v>
      </c>
      <c r="H39" s="400" t="s">
        <v>183</v>
      </c>
      <c r="I39" s="400" t="s">
        <v>183</v>
      </c>
      <c r="J39" s="401" t="s">
        <v>183</v>
      </c>
      <c r="K39" s="1071"/>
    </row>
    <row r="40" spans="1:12" ht="19.899999999999999" customHeight="1">
      <c r="A40" s="355" t="str">
        <f t="shared" si="2"/>
        <v>App.7-V11I-P9.5.4.6</v>
      </c>
      <c r="B40" s="5" t="s">
        <v>1886</v>
      </c>
      <c r="C40" s="398" t="s">
        <v>121</v>
      </c>
      <c r="D40" s="400" t="s">
        <v>158</v>
      </c>
      <c r="E40" s="400" t="s">
        <v>158</v>
      </c>
      <c r="F40" s="400" t="s">
        <v>398</v>
      </c>
      <c r="G40" s="400" t="s">
        <v>398</v>
      </c>
      <c r="H40" s="400" t="s">
        <v>1714</v>
      </c>
      <c r="I40" s="400" t="s">
        <v>1714</v>
      </c>
      <c r="J40" s="401" t="s">
        <v>1862</v>
      </c>
      <c r="K40" s="1071"/>
    </row>
    <row r="41" spans="1:12" ht="19.899999999999999" customHeight="1">
      <c r="A41" s="355" t="str">
        <f t="shared" si="2"/>
        <v>App.7-V11I-P9.5.4.7</v>
      </c>
      <c r="B41" s="5" t="s">
        <v>1887</v>
      </c>
      <c r="C41" s="398" t="s">
        <v>1864</v>
      </c>
      <c r="D41" s="400" t="s">
        <v>398</v>
      </c>
      <c r="E41" s="400" t="s">
        <v>398</v>
      </c>
      <c r="F41" s="400" t="s">
        <v>398</v>
      </c>
      <c r="G41" s="400" t="s">
        <v>1714</v>
      </c>
      <c r="H41" s="400" t="s">
        <v>1714</v>
      </c>
      <c r="I41" s="400" t="s">
        <v>206</v>
      </c>
      <c r="J41" s="401" t="s">
        <v>1862</v>
      </c>
      <c r="K41" s="1071"/>
    </row>
    <row r="42" spans="1:12" ht="19.899999999999999" customHeight="1">
      <c r="A42" s="355" t="str">
        <f t="shared" si="2"/>
        <v>App.7-V11I-P9.5.4.8</v>
      </c>
      <c r="B42" s="5" t="s">
        <v>1888</v>
      </c>
      <c r="C42" s="398" t="s">
        <v>277</v>
      </c>
      <c r="D42" s="400" t="s">
        <v>398</v>
      </c>
      <c r="E42" s="400" t="s">
        <v>398</v>
      </c>
      <c r="F42" s="400" t="s">
        <v>398</v>
      </c>
      <c r="G42" s="400" t="s">
        <v>183</v>
      </c>
      <c r="H42" s="400" t="s">
        <v>206</v>
      </c>
      <c r="I42" s="400" t="s">
        <v>206</v>
      </c>
      <c r="J42" s="401" t="s">
        <v>1862</v>
      </c>
      <c r="K42" s="1071"/>
    </row>
    <row r="43" spans="1:12" ht="19.899999999999999" customHeight="1" thickBot="1">
      <c r="A43" s="356" t="str">
        <f t="shared" si="2"/>
        <v>App.7-V11I-P9.5.4.9</v>
      </c>
      <c r="B43" s="357" t="s">
        <v>1889</v>
      </c>
      <c r="C43" s="402" t="s">
        <v>1867</v>
      </c>
      <c r="D43" s="403" t="s">
        <v>398</v>
      </c>
      <c r="E43" s="403" t="s">
        <v>398</v>
      </c>
      <c r="F43" s="403" t="s">
        <v>398</v>
      </c>
      <c r="G43" s="403" t="s">
        <v>1714</v>
      </c>
      <c r="H43" s="403" t="s">
        <v>1868</v>
      </c>
      <c r="I43" s="403" t="s">
        <v>1868</v>
      </c>
      <c r="J43" s="404" t="s">
        <v>1868</v>
      </c>
      <c r="K43" s="1071"/>
    </row>
    <row r="44" spans="1:12" ht="19.899999999999999" customHeight="1" thickBot="1"/>
    <row r="45" spans="1:12" ht="19.899999999999999" customHeight="1" thickBot="1">
      <c r="A45" s="1046" t="s">
        <v>1890</v>
      </c>
      <c r="B45" s="1047"/>
      <c r="C45" s="1047"/>
      <c r="D45" s="1047"/>
      <c r="E45" s="1047"/>
      <c r="F45" s="1047"/>
      <c r="G45" s="1047"/>
      <c r="H45" s="1047"/>
      <c r="I45" s="1047"/>
      <c r="J45" s="1048"/>
    </row>
    <row r="46" spans="1:12" ht="25.15" customHeight="1">
      <c r="A46" s="1040" t="s">
        <v>1837</v>
      </c>
      <c r="B46" s="1051" t="s">
        <v>1838</v>
      </c>
      <c r="C46" s="1053"/>
      <c r="D46" s="394" t="s">
        <v>1839</v>
      </c>
      <c r="E46" s="394" t="s">
        <v>1840</v>
      </c>
      <c r="F46" s="394" t="s">
        <v>1841</v>
      </c>
      <c r="G46" s="394" t="s">
        <v>1842</v>
      </c>
      <c r="H46" s="394" t="s">
        <v>1843</v>
      </c>
      <c r="I46" s="394" t="s">
        <v>1844</v>
      </c>
      <c r="J46" s="395" t="s">
        <v>1845</v>
      </c>
    </row>
    <row r="47" spans="1:12" ht="25.15" customHeight="1">
      <c r="A47" s="1041"/>
      <c r="B47" s="1052"/>
      <c r="C47" s="1050"/>
      <c r="D47" s="396" t="s">
        <v>1846</v>
      </c>
      <c r="E47" s="396" t="s">
        <v>1846</v>
      </c>
      <c r="F47" s="396" t="s">
        <v>1847</v>
      </c>
      <c r="G47" s="396" t="s">
        <v>1848</v>
      </c>
      <c r="H47" s="396" t="s">
        <v>1849</v>
      </c>
      <c r="I47" s="396" t="s">
        <v>1850</v>
      </c>
      <c r="J47" s="397" t="s">
        <v>1851</v>
      </c>
    </row>
    <row r="48" spans="1:12" ht="19.899999999999999" customHeight="1">
      <c r="A48" s="355" t="str">
        <f t="shared" ref="A48:A56" si="3">CONCATENATE($A$2,"-",$B$2,"-",B48)</f>
        <v>App.7-V11I-P9.5.5.1</v>
      </c>
      <c r="B48" s="5" t="s">
        <v>1891</v>
      </c>
      <c r="C48" s="398" t="s">
        <v>1853</v>
      </c>
      <c r="D48" s="400" t="s">
        <v>158</v>
      </c>
      <c r="E48" s="400" t="s">
        <v>158</v>
      </c>
      <c r="F48" s="400" t="s">
        <v>158</v>
      </c>
      <c r="G48" s="400" t="s">
        <v>398</v>
      </c>
      <c r="H48" s="400" t="s">
        <v>398</v>
      </c>
      <c r="I48" s="400" t="s">
        <v>398</v>
      </c>
      <c r="J48" s="401" t="s">
        <v>1714</v>
      </c>
      <c r="L48" s="405" t="s">
        <v>1854</v>
      </c>
    </row>
    <row r="49" spans="1:12" ht="19.899999999999999" customHeight="1">
      <c r="A49" s="355" t="str">
        <f t="shared" si="3"/>
        <v>App.7-V11I-P9.5.5.2</v>
      </c>
      <c r="B49" s="5" t="s">
        <v>1892</v>
      </c>
      <c r="C49" s="398" t="s">
        <v>171</v>
      </c>
      <c r="D49" s="400" t="s">
        <v>158</v>
      </c>
      <c r="E49" s="400" t="s">
        <v>158</v>
      </c>
      <c r="F49" s="400" t="s">
        <v>158</v>
      </c>
      <c r="G49" s="400" t="s">
        <v>398</v>
      </c>
      <c r="H49" s="400" t="s">
        <v>398</v>
      </c>
      <c r="I49" s="400" t="s">
        <v>398</v>
      </c>
      <c r="J49" s="401" t="s">
        <v>206</v>
      </c>
      <c r="L49" s="405" t="s">
        <v>1882</v>
      </c>
    </row>
    <row r="50" spans="1:12" ht="19.899999999999999" customHeight="1">
      <c r="A50" s="355" t="str">
        <f t="shared" si="3"/>
        <v>App.7-V11I-P9.5.5.3</v>
      </c>
      <c r="B50" s="5" t="s">
        <v>1893</v>
      </c>
      <c r="C50" s="398" t="s">
        <v>168</v>
      </c>
      <c r="D50" s="400" t="s">
        <v>158</v>
      </c>
      <c r="E50" s="400" t="s">
        <v>158</v>
      </c>
      <c r="F50" s="400" t="s">
        <v>398</v>
      </c>
      <c r="G50" s="400" t="s">
        <v>398</v>
      </c>
      <c r="H50" s="400" t="s">
        <v>1714</v>
      </c>
      <c r="I50" s="400" t="s">
        <v>1714</v>
      </c>
      <c r="J50" s="401" t="s">
        <v>1862</v>
      </c>
    </row>
    <row r="51" spans="1:12" ht="19.899999999999999" customHeight="1">
      <c r="A51" s="355" t="str">
        <f t="shared" si="3"/>
        <v>App.7-V11I-P9.5.5.5</v>
      </c>
      <c r="B51" s="5" t="s">
        <v>1894</v>
      </c>
      <c r="C51" s="398" t="s">
        <v>114</v>
      </c>
      <c r="D51" s="400" t="s">
        <v>398</v>
      </c>
      <c r="E51" s="400" t="s">
        <v>398</v>
      </c>
      <c r="F51" s="400" t="s">
        <v>398</v>
      </c>
      <c r="G51" s="400" t="s">
        <v>1714</v>
      </c>
      <c r="H51" s="400" t="s">
        <v>1714</v>
      </c>
      <c r="I51" s="400" t="s">
        <v>1714</v>
      </c>
      <c r="J51" s="401" t="s">
        <v>1862</v>
      </c>
    </row>
    <row r="52" spans="1:12" ht="19.899999999999999" customHeight="1">
      <c r="A52" s="355" t="str">
        <f t="shared" si="3"/>
        <v>App.7-V11I-P9.5.5.5</v>
      </c>
      <c r="B52" s="5" t="s">
        <v>1894</v>
      </c>
      <c r="C52" s="398" t="s">
        <v>131</v>
      </c>
      <c r="D52" s="400" t="s">
        <v>158</v>
      </c>
      <c r="E52" s="400" t="s">
        <v>398</v>
      </c>
      <c r="F52" s="400" t="s">
        <v>398</v>
      </c>
      <c r="G52" s="400" t="s">
        <v>183</v>
      </c>
      <c r="H52" s="400" t="s">
        <v>183</v>
      </c>
      <c r="I52" s="400" t="s">
        <v>183</v>
      </c>
      <c r="J52" s="401" t="s">
        <v>206</v>
      </c>
    </row>
    <row r="53" spans="1:12" ht="19.899999999999999" customHeight="1">
      <c r="A53" s="355" t="str">
        <f t="shared" si="3"/>
        <v>App.7-V11I-P9.5.5.6</v>
      </c>
      <c r="B53" s="5" t="s">
        <v>1895</v>
      </c>
      <c r="C53" s="398" t="s">
        <v>121</v>
      </c>
      <c r="D53" s="400" t="s">
        <v>398</v>
      </c>
      <c r="E53" s="400" t="s">
        <v>398</v>
      </c>
      <c r="F53" s="400" t="s">
        <v>398</v>
      </c>
      <c r="G53" s="400" t="s">
        <v>1714</v>
      </c>
      <c r="H53" s="400" t="s">
        <v>1714</v>
      </c>
      <c r="I53" s="400" t="s">
        <v>1714</v>
      </c>
      <c r="J53" s="401" t="s">
        <v>1862</v>
      </c>
    </row>
    <row r="54" spans="1:12" ht="19.899999999999999" customHeight="1">
      <c r="A54" s="355" t="str">
        <f t="shared" si="3"/>
        <v>App.7-V11I-P9.5.5.7</v>
      </c>
      <c r="B54" s="5" t="s">
        <v>1896</v>
      </c>
      <c r="C54" s="398" t="s">
        <v>1864</v>
      </c>
      <c r="D54" s="400" t="s">
        <v>398</v>
      </c>
      <c r="E54" s="400" t="s">
        <v>398</v>
      </c>
      <c r="F54" s="400" t="s">
        <v>1714</v>
      </c>
      <c r="G54" s="400" t="s">
        <v>1714</v>
      </c>
      <c r="H54" s="400" t="s">
        <v>206</v>
      </c>
      <c r="I54" s="400" t="s">
        <v>1862</v>
      </c>
      <c r="J54" s="478" t="s">
        <v>1862</v>
      </c>
    </row>
    <row r="55" spans="1:12" ht="19.899999999999999" customHeight="1">
      <c r="A55" s="355" t="str">
        <f t="shared" si="3"/>
        <v>App.7-V11I-P9.5.5.8</v>
      </c>
      <c r="B55" s="5" t="s">
        <v>1897</v>
      </c>
      <c r="C55" s="398" t="s">
        <v>277</v>
      </c>
      <c r="D55" s="400" t="s">
        <v>398</v>
      </c>
      <c r="E55" s="400" t="s">
        <v>398</v>
      </c>
      <c r="F55" s="400" t="s">
        <v>206</v>
      </c>
      <c r="G55" s="400" t="s">
        <v>206</v>
      </c>
      <c r="H55" s="400" t="s">
        <v>206</v>
      </c>
      <c r="I55" s="400" t="s">
        <v>206</v>
      </c>
      <c r="J55" s="401" t="s">
        <v>1862</v>
      </c>
    </row>
    <row r="56" spans="1:12" ht="19.899999999999999" customHeight="1" thickBot="1">
      <c r="A56" s="356" t="str">
        <f t="shared" si="3"/>
        <v>App.7-V11I-P9.5.5.9</v>
      </c>
      <c r="B56" s="357" t="s">
        <v>1898</v>
      </c>
      <c r="C56" s="402" t="s">
        <v>1867</v>
      </c>
      <c r="D56" s="403" t="s">
        <v>398</v>
      </c>
      <c r="E56" s="403" t="s">
        <v>398</v>
      </c>
      <c r="F56" s="403" t="s">
        <v>1714</v>
      </c>
      <c r="G56" s="403" t="s">
        <v>1714</v>
      </c>
      <c r="H56" s="403" t="s">
        <v>1868</v>
      </c>
      <c r="I56" s="403" t="s">
        <v>1868</v>
      </c>
      <c r="J56" s="404" t="s">
        <v>1868</v>
      </c>
    </row>
    <row r="57" spans="1:12" ht="19.899999999999999" customHeight="1" thickBot="1"/>
    <row r="58" spans="1:12" ht="19.899999999999999" customHeight="1" thickBot="1">
      <c r="A58" s="1046" t="s">
        <v>1899</v>
      </c>
      <c r="B58" s="1047"/>
      <c r="C58" s="1047"/>
      <c r="D58" s="1047"/>
      <c r="E58" s="1047"/>
      <c r="F58" s="1047"/>
      <c r="G58" s="1047"/>
      <c r="H58" s="1047"/>
      <c r="I58" s="1047"/>
      <c r="J58" s="1048"/>
    </row>
    <row r="59" spans="1:12" ht="25.15" customHeight="1">
      <c r="A59" s="1049" t="s">
        <v>1837</v>
      </c>
      <c r="B59" s="1176" t="s">
        <v>1838</v>
      </c>
      <c r="C59" s="1177"/>
      <c r="D59" s="394" t="s">
        <v>1839</v>
      </c>
      <c r="E59" s="394" t="s">
        <v>1840</v>
      </c>
      <c r="F59" s="394" t="s">
        <v>1841</v>
      </c>
      <c r="G59" s="394" t="s">
        <v>1842</v>
      </c>
      <c r="H59" s="394" t="s">
        <v>1843</v>
      </c>
      <c r="I59" s="394" t="s">
        <v>1844</v>
      </c>
      <c r="J59" s="395" t="s">
        <v>1845</v>
      </c>
    </row>
    <row r="60" spans="1:12" ht="25.15" customHeight="1">
      <c r="A60" s="1041"/>
      <c r="B60" s="1052"/>
      <c r="C60" s="1050"/>
      <c r="D60" s="396" t="s">
        <v>1846</v>
      </c>
      <c r="E60" s="396" t="s">
        <v>1846</v>
      </c>
      <c r="F60" s="396" t="s">
        <v>1847</v>
      </c>
      <c r="G60" s="396" t="s">
        <v>1848</v>
      </c>
      <c r="H60" s="396" t="s">
        <v>1849</v>
      </c>
      <c r="I60" s="396" t="s">
        <v>1850</v>
      </c>
      <c r="J60" s="397" t="s">
        <v>1851</v>
      </c>
      <c r="L60" s="405"/>
    </row>
    <row r="61" spans="1:12" ht="19.899999999999999" customHeight="1">
      <c r="A61" s="355" t="str">
        <f t="shared" ref="A61:A69" si="4">CONCATENATE($A$2,"-",$B$2,"-",B61)</f>
        <v>App.7-V11I-P9.5.7.1</v>
      </c>
      <c r="B61" s="5" t="s">
        <v>1900</v>
      </c>
      <c r="C61" s="398" t="s">
        <v>1853</v>
      </c>
      <c r="D61" s="5" t="s">
        <v>158</v>
      </c>
      <c r="E61" s="5" t="s">
        <v>158</v>
      </c>
      <c r="F61" s="5" t="s">
        <v>158</v>
      </c>
      <c r="G61" s="5" t="s">
        <v>158</v>
      </c>
      <c r="H61" s="5" t="s">
        <v>158</v>
      </c>
      <c r="I61" s="358" t="s">
        <v>398</v>
      </c>
      <c r="J61" s="359" t="s">
        <v>1714</v>
      </c>
      <c r="L61" s="405" t="s">
        <v>1854</v>
      </c>
    </row>
    <row r="62" spans="1:12" ht="19.899999999999999" customHeight="1">
      <c r="A62" s="355" t="str">
        <f t="shared" si="4"/>
        <v>App.7-V11I-P9.5.7.2</v>
      </c>
      <c r="B62" s="5" t="s">
        <v>1901</v>
      </c>
      <c r="C62" s="398" t="s">
        <v>171</v>
      </c>
      <c r="D62" s="5" t="s">
        <v>158</v>
      </c>
      <c r="E62" s="5" t="s">
        <v>158</v>
      </c>
      <c r="F62" s="5" t="s">
        <v>158</v>
      </c>
      <c r="G62" s="5" t="s">
        <v>158</v>
      </c>
      <c r="H62" s="5" t="s">
        <v>158</v>
      </c>
      <c r="I62" s="358" t="s">
        <v>158</v>
      </c>
      <c r="J62" s="359" t="s">
        <v>1714</v>
      </c>
      <c r="L62" s="406" t="s">
        <v>1856</v>
      </c>
    </row>
    <row r="63" spans="1:12" ht="19.899999999999999" customHeight="1">
      <c r="A63" s="355" t="str">
        <f t="shared" si="4"/>
        <v>App.7-V11I-P9.5.7.3</v>
      </c>
      <c r="B63" s="5" t="s">
        <v>1902</v>
      </c>
      <c r="C63" s="398" t="s">
        <v>168</v>
      </c>
      <c r="D63" s="5" t="s">
        <v>158</v>
      </c>
      <c r="E63" s="5" t="s">
        <v>158</v>
      </c>
      <c r="F63" s="5" t="s">
        <v>158</v>
      </c>
      <c r="G63" s="5" t="s">
        <v>398</v>
      </c>
      <c r="H63" s="5" t="s">
        <v>398</v>
      </c>
      <c r="I63" s="358" t="s">
        <v>1714</v>
      </c>
      <c r="J63" s="359" t="s">
        <v>206</v>
      </c>
      <c r="L63" s="322" t="s">
        <v>1858</v>
      </c>
    </row>
    <row r="64" spans="1:12" ht="19.899999999999999" customHeight="1">
      <c r="A64" s="355" t="str">
        <f t="shared" si="4"/>
        <v>App.7-V11I-P9.5.7.4</v>
      </c>
      <c r="B64" s="5" t="s">
        <v>1903</v>
      </c>
      <c r="C64" s="398" t="s">
        <v>114</v>
      </c>
      <c r="D64" s="5" t="s">
        <v>398</v>
      </c>
      <c r="E64" s="5" t="s">
        <v>398</v>
      </c>
      <c r="F64" s="5" t="s">
        <v>398</v>
      </c>
      <c r="G64" s="5" t="s">
        <v>398</v>
      </c>
      <c r="H64" s="5" t="s">
        <v>1714</v>
      </c>
      <c r="I64" s="358" t="s">
        <v>1714</v>
      </c>
      <c r="J64" s="359" t="s">
        <v>1862</v>
      </c>
    </row>
    <row r="65" spans="1:12" ht="19.899999999999999" customHeight="1">
      <c r="A65" s="355" t="str">
        <f t="shared" si="4"/>
        <v>App.7-V11I-P9.5.7.5</v>
      </c>
      <c r="B65" s="5" t="s">
        <v>1904</v>
      </c>
      <c r="C65" s="398" t="s">
        <v>131</v>
      </c>
      <c r="D65" s="360" t="s">
        <v>1905</v>
      </c>
      <c r="E65" s="361" t="s">
        <v>1906</v>
      </c>
      <c r="F65" s="361" t="s">
        <v>1906</v>
      </c>
      <c r="G65" s="5" t="s">
        <v>183</v>
      </c>
      <c r="H65" s="5" t="s">
        <v>183</v>
      </c>
      <c r="I65" s="358" t="s">
        <v>183</v>
      </c>
      <c r="J65" s="359" t="s">
        <v>206</v>
      </c>
    </row>
    <row r="66" spans="1:12" ht="19.899999999999999" customHeight="1">
      <c r="A66" s="355" t="str">
        <f t="shared" si="4"/>
        <v>App.7-V11I-P9.5.7.6</v>
      </c>
      <c r="B66" s="5" t="s">
        <v>1907</v>
      </c>
      <c r="C66" s="398" t="s">
        <v>121</v>
      </c>
      <c r="D66" s="5" t="s">
        <v>158</v>
      </c>
      <c r="E66" s="5" t="s">
        <v>158</v>
      </c>
      <c r="F66" s="5" t="s">
        <v>398</v>
      </c>
      <c r="G66" s="5" t="s">
        <v>398</v>
      </c>
      <c r="H66" s="5" t="s">
        <v>1714</v>
      </c>
      <c r="I66" s="358" t="s">
        <v>1714</v>
      </c>
      <c r="J66" s="359" t="s">
        <v>1862</v>
      </c>
    </row>
    <row r="67" spans="1:12" ht="19.899999999999999" customHeight="1">
      <c r="A67" s="355" t="str">
        <f t="shared" si="4"/>
        <v>App.7-V11I-P9.5.7.7</v>
      </c>
      <c r="B67" s="5" t="s">
        <v>1908</v>
      </c>
      <c r="C67" s="398" t="s">
        <v>1864</v>
      </c>
      <c r="D67" s="5" t="s">
        <v>398</v>
      </c>
      <c r="E67" s="5" t="s">
        <v>398</v>
      </c>
      <c r="F67" s="5" t="s">
        <v>1714</v>
      </c>
      <c r="G67" s="5" t="s">
        <v>1714</v>
      </c>
      <c r="H67" s="5" t="s">
        <v>206</v>
      </c>
      <c r="I67" s="358" t="s">
        <v>206</v>
      </c>
      <c r="J67" s="359" t="s">
        <v>1862</v>
      </c>
    </row>
    <row r="68" spans="1:12" ht="19.899999999999999" customHeight="1">
      <c r="A68" s="355" t="str">
        <f t="shared" si="4"/>
        <v>App.7-V11I-P9.5.7.8</v>
      </c>
      <c r="B68" s="5" t="s">
        <v>1909</v>
      </c>
      <c r="C68" s="398" t="s">
        <v>277</v>
      </c>
      <c r="D68" s="5" t="s">
        <v>398</v>
      </c>
      <c r="E68" s="5" t="s">
        <v>398</v>
      </c>
      <c r="F68" s="5" t="s">
        <v>183</v>
      </c>
      <c r="G68" s="5" t="s">
        <v>206</v>
      </c>
      <c r="H68" s="5" t="s">
        <v>206</v>
      </c>
      <c r="I68" s="358" t="s">
        <v>206</v>
      </c>
      <c r="J68" s="359" t="s">
        <v>1862</v>
      </c>
    </row>
    <row r="69" spans="1:12" ht="19.899999999999999" customHeight="1" thickBot="1">
      <c r="A69" s="356" t="str">
        <f t="shared" si="4"/>
        <v>App.7-V11I-P9.5.7.9</v>
      </c>
      <c r="B69" s="357" t="s">
        <v>1910</v>
      </c>
      <c r="C69" s="402" t="s">
        <v>1867</v>
      </c>
      <c r="D69" s="357" t="s">
        <v>398</v>
      </c>
      <c r="E69" s="357" t="s">
        <v>398</v>
      </c>
      <c r="F69" s="357" t="s">
        <v>1714</v>
      </c>
      <c r="G69" s="357" t="s">
        <v>1714</v>
      </c>
      <c r="H69" s="357" t="s">
        <v>1868</v>
      </c>
      <c r="I69" s="323" t="s">
        <v>1868</v>
      </c>
      <c r="J69" s="362" t="s">
        <v>1868</v>
      </c>
    </row>
    <row r="70" spans="1:12" ht="19.899999999999999" customHeight="1" thickBot="1">
      <c r="B70" s="14"/>
      <c r="C70" s="407"/>
      <c r="I70" s="308"/>
      <c r="J70" s="308"/>
    </row>
    <row r="71" spans="1:12" ht="19.899999999999999" customHeight="1" thickBot="1">
      <c r="A71" s="1046" t="s">
        <v>1911</v>
      </c>
      <c r="B71" s="1047"/>
      <c r="C71" s="1047"/>
      <c r="D71" s="1047"/>
      <c r="E71" s="1047"/>
      <c r="F71" s="1047"/>
      <c r="G71" s="1047"/>
      <c r="H71" s="1047"/>
      <c r="I71" s="1047"/>
      <c r="J71" s="1048"/>
    </row>
    <row r="72" spans="1:12" ht="25.15" customHeight="1">
      <c r="A72" s="1049" t="s">
        <v>1837</v>
      </c>
      <c r="B72" s="1176" t="s">
        <v>1838</v>
      </c>
      <c r="C72" s="1177"/>
      <c r="D72" s="394" t="s">
        <v>1839</v>
      </c>
      <c r="E72" s="394" t="s">
        <v>1840</v>
      </c>
      <c r="F72" s="394" t="s">
        <v>1841</v>
      </c>
      <c r="G72" s="394" t="s">
        <v>1842</v>
      </c>
      <c r="H72" s="394" t="s">
        <v>1843</v>
      </c>
      <c r="I72" s="394" t="s">
        <v>1844</v>
      </c>
      <c r="J72" s="395" t="s">
        <v>1845</v>
      </c>
    </row>
    <row r="73" spans="1:12" ht="25.15" customHeight="1">
      <c r="A73" s="1041"/>
      <c r="B73" s="1052"/>
      <c r="C73" s="1050"/>
      <c r="D73" s="396" t="s">
        <v>1846</v>
      </c>
      <c r="E73" s="396" t="s">
        <v>1846</v>
      </c>
      <c r="F73" s="396" t="s">
        <v>1847</v>
      </c>
      <c r="G73" s="396" t="s">
        <v>1848</v>
      </c>
      <c r="H73" s="396" t="s">
        <v>1849</v>
      </c>
      <c r="I73" s="396" t="s">
        <v>1850</v>
      </c>
      <c r="J73" s="397" t="s">
        <v>1851</v>
      </c>
    </row>
    <row r="74" spans="1:12" ht="19.899999999999999" customHeight="1">
      <c r="A74" s="355" t="str">
        <f t="shared" ref="A74:A82" si="5">CONCATENATE($A$2,"-",$B$2,"-",B74)</f>
        <v>App.7-V11I-P9.5.8.1</v>
      </c>
      <c r="B74" s="5" t="s">
        <v>1912</v>
      </c>
      <c r="C74" s="398" t="s">
        <v>1853</v>
      </c>
      <c r="D74" s="5" t="s">
        <v>398</v>
      </c>
      <c r="E74" s="5" t="s">
        <v>398</v>
      </c>
      <c r="F74" s="5" t="s">
        <v>398</v>
      </c>
      <c r="G74" s="5" t="s">
        <v>398</v>
      </c>
      <c r="H74" s="5" t="s">
        <v>398</v>
      </c>
      <c r="I74" s="358" t="s">
        <v>398</v>
      </c>
      <c r="J74" s="359" t="s">
        <v>1714</v>
      </c>
      <c r="L74" s="405" t="s">
        <v>1854</v>
      </c>
    </row>
    <row r="75" spans="1:12" ht="19.899999999999999" customHeight="1">
      <c r="A75" s="355" t="str">
        <f t="shared" si="5"/>
        <v>App.7-V11I-P9.5.8.2</v>
      </c>
      <c r="B75" s="5" t="s">
        <v>1913</v>
      </c>
      <c r="C75" s="398" t="s">
        <v>171</v>
      </c>
      <c r="D75" s="5" t="s">
        <v>398</v>
      </c>
      <c r="E75" s="5" t="s">
        <v>398</v>
      </c>
      <c r="F75" s="5" t="s">
        <v>398</v>
      </c>
      <c r="G75" s="5" t="s">
        <v>398</v>
      </c>
      <c r="H75" s="5" t="s">
        <v>398</v>
      </c>
      <c r="I75" s="358" t="s">
        <v>398</v>
      </c>
      <c r="J75" s="359" t="s">
        <v>206</v>
      </c>
      <c r="L75" s="406" t="s">
        <v>1856</v>
      </c>
    </row>
    <row r="76" spans="1:12" ht="19.899999999999999" customHeight="1">
      <c r="A76" s="355" t="str">
        <f t="shared" si="5"/>
        <v>App.7-V11I-P9.5.8.3</v>
      </c>
      <c r="B76" s="5" t="s">
        <v>1914</v>
      </c>
      <c r="C76" s="398" t="s">
        <v>168</v>
      </c>
      <c r="D76" s="5" t="s">
        <v>398</v>
      </c>
      <c r="E76" s="5" t="s">
        <v>398</v>
      </c>
      <c r="F76" s="5" t="s">
        <v>398</v>
      </c>
      <c r="G76" s="5" t="s">
        <v>1714</v>
      </c>
      <c r="H76" s="5" t="s">
        <v>1714</v>
      </c>
      <c r="I76" s="358" t="s">
        <v>1714</v>
      </c>
      <c r="J76" s="359" t="s">
        <v>1862</v>
      </c>
      <c r="L76" s="322" t="s">
        <v>1858</v>
      </c>
    </row>
    <row r="77" spans="1:12" ht="19.899999999999999" customHeight="1">
      <c r="A77" s="355" t="str">
        <f t="shared" si="5"/>
        <v>App.7-V11I-P9.5.8.4</v>
      </c>
      <c r="B77" s="5" t="s">
        <v>1915</v>
      </c>
      <c r="C77" s="398" t="s">
        <v>114</v>
      </c>
      <c r="D77" s="5" t="s">
        <v>398</v>
      </c>
      <c r="E77" s="5" t="s">
        <v>1714</v>
      </c>
      <c r="F77" s="5" t="s">
        <v>1714</v>
      </c>
      <c r="G77" s="5" t="s">
        <v>1714</v>
      </c>
      <c r="H77" s="5" t="s">
        <v>1714</v>
      </c>
      <c r="I77" s="358" t="s">
        <v>1714</v>
      </c>
      <c r="J77" s="359" t="s">
        <v>1862</v>
      </c>
    </row>
    <row r="78" spans="1:12" ht="19.899999999999999" customHeight="1">
      <c r="A78" s="355" t="str">
        <f t="shared" si="5"/>
        <v>App.7-V11I-P9.5.8.5</v>
      </c>
      <c r="B78" s="5" t="s">
        <v>1916</v>
      </c>
      <c r="C78" s="398" t="s">
        <v>131</v>
      </c>
      <c r="D78" s="361" t="s">
        <v>1906</v>
      </c>
      <c r="E78" s="361" t="s">
        <v>1906</v>
      </c>
      <c r="F78" s="361" t="s">
        <v>1917</v>
      </c>
      <c r="G78" s="5" t="s">
        <v>206</v>
      </c>
      <c r="H78" s="5" t="s">
        <v>206</v>
      </c>
      <c r="I78" s="358" t="s">
        <v>206</v>
      </c>
      <c r="J78" s="359" t="s">
        <v>1862</v>
      </c>
    </row>
    <row r="79" spans="1:12" ht="19.899999999999999" customHeight="1">
      <c r="A79" s="355" t="str">
        <f t="shared" si="5"/>
        <v>App.7-V11I-P9.5.8.6</v>
      </c>
      <c r="B79" s="5" t="s">
        <v>1918</v>
      </c>
      <c r="C79" s="398" t="s">
        <v>121</v>
      </c>
      <c r="D79" s="5" t="s">
        <v>398</v>
      </c>
      <c r="E79" s="5" t="s">
        <v>398</v>
      </c>
      <c r="F79" s="5" t="s">
        <v>1714</v>
      </c>
      <c r="G79" s="5" t="s">
        <v>1714</v>
      </c>
      <c r="H79" s="5" t="s">
        <v>1714</v>
      </c>
      <c r="I79" s="358" t="s">
        <v>206</v>
      </c>
      <c r="J79" s="359" t="s">
        <v>1862</v>
      </c>
    </row>
    <row r="80" spans="1:12" ht="19.899999999999999" customHeight="1">
      <c r="A80" s="355" t="str">
        <f t="shared" si="5"/>
        <v>App.7-V11I-P9.5.8.8</v>
      </c>
      <c r="B80" s="5" t="s">
        <v>1919</v>
      </c>
      <c r="C80" s="398" t="s">
        <v>1864</v>
      </c>
      <c r="D80" s="5" t="s">
        <v>1714</v>
      </c>
      <c r="E80" s="5" t="s">
        <v>1714</v>
      </c>
      <c r="F80" s="5" t="s">
        <v>1714</v>
      </c>
      <c r="G80" s="5" t="s">
        <v>206</v>
      </c>
      <c r="H80" s="5" t="s">
        <v>206</v>
      </c>
      <c r="I80" s="358" t="s">
        <v>1862</v>
      </c>
      <c r="J80" s="359" t="s">
        <v>1862</v>
      </c>
    </row>
    <row r="81" spans="1:12" ht="19.899999999999999" customHeight="1">
      <c r="A81" s="355" t="str">
        <f t="shared" si="5"/>
        <v>App.7-V11I-P9.5.8.8</v>
      </c>
      <c r="B81" s="5" t="s">
        <v>1919</v>
      </c>
      <c r="C81" s="398" t="s">
        <v>277</v>
      </c>
      <c r="D81" s="5" t="s">
        <v>1714</v>
      </c>
      <c r="E81" s="5" t="s">
        <v>1714</v>
      </c>
      <c r="F81" s="5" t="s">
        <v>1714</v>
      </c>
      <c r="G81" s="5" t="s">
        <v>206</v>
      </c>
      <c r="H81" s="5" t="s">
        <v>206</v>
      </c>
      <c r="I81" s="358" t="s">
        <v>1862</v>
      </c>
      <c r="J81" s="359" t="s">
        <v>1862</v>
      </c>
    </row>
    <row r="82" spans="1:12" ht="19.899999999999999" customHeight="1" thickBot="1">
      <c r="A82" s="356" t="str">
        <f t="shared" si="5"/>
        <v>App.7-V11I-P9.5.8.9</v>
      </c>
      <c r="B82" s="357" t="s">
        <v>1920</v>
      </c>
      <c r="C82" s="402" t="s">
        <v>1867</v>
      </c>
      <c r="D82" s="357" t="s">
        <v>1714</v>
      </c>
      <c r="E82" s="357" t="s">
        <v>1714</v>
      </c>
      <c r="F82" s="357" t="s">
        <v>1714</v>
      </c>
      <c r="G82" s="357" t="s">
        <v>206</v>
      </c>
      <c r="H82" s="357" t="s">
        <v>1868</v>
      </c>
      <c r="I82" s="323" t="s">
        <v>1868</v>
      </c>
      <c r="J82" s="362" t="s">
        <v>1868</v>
      </c>
    </row>
    <row r="83" spans="1:12" ht="19.899999999999999" customHeight="1" thickBot="1">
      <c r="B83" s="14"/>
      <c r="C83" s="407"/>
      <c r="I83" s="308"/>
      <c r="J83" s="308"/>
    </row>
    <row r="84" spans="1:12" ht="19.899999999999999" customHeight="1" thickBot="1">
      <c r="A84" s="1046" t="s">
        <v>1921</v>
      </c>
      <c r="B84" s="1047"/>
      <c r="C84" s="1047"/>
      <c r="D84" s="1047"/>
      <c r="E84" s="1047"/>
      <c r="F84" s="1047"/>
      <c r="G84" s="1047"/>
      <c r="H84" s="1047"/>
      <c r="I84" s="1047"/>
      <c r="J84" s="1048"/>
    </row>
    <row r="85" spans="1:12" ht="25.15" customHeight="1">
      <c r="A85" s="1040" t="s">
        <v>1837</v>
      </c>
      <c r="B85" s="1051" t="s">
        <v>1838</v>
      </c>
      <c r="C85" s="1053"/>
      <c r="D85" s="394" t="s">
        <v>1839</v>
      </c>
      <c r="E85" s="394" t="s">
        <v>1840</v>
      </c>
      <c r="F85" s="394" t="s">
        <v>1841</v>
      </c>
      <c r="G85" s="394" t="s">
        <v>1842</v>
      </c>
      <c r="H85" s="394" t="s">
        <v>1843</v>
      </c>
      <c r="I85" s="394" t="s">
        <v>1844</v>
      </c>
      <c r="J85" s="395" t="s">
        <v>1845</v>
      </c>
    </row>
    <row r="86" spans="1:12" ht="25.15" customHeight="1">
      <c r="A86" s="1041"/>
      <c r="B86" s="1052"/>
      <c r="C86" s="1050"/>
      <c r="D86" s="396" t="s">
        <v>1846</v>
      </c>
      <c r="E86" s="396" t="s">
        <v>1846</v>
      </c>
      <c r="F86" s="396" t="s">
        <v>1847</v>
      </c>
      <c r="G86" s="396" t="s">
        <v>1848</v>
      </c>
      <c r="H86" s="396" t="s">
        <v>1849</v>
      </c>
      <c r="I86" s="396" t="s">
        <v>1850</v>
      </c>
      <c r="J86" s="397" t="s">
        <v>1851</v>
      </c>
    </row>
    <row r="87" spans="1:12" ht="19.899999999999999" customHeight="1">
      <c r="A87" s="355" t="str">
        <f t="shared" ref="A87:A95" si="6">CONCATENATE($A$2,"-",$B$2,"-",B87)</f>
        <v>App.7-V11I-P9.5.9.1</v>
      </c>
      <c r="B87" s="5" t="s">
        <v>1922</v>
      </c>
      <c r="C87" s="398" t="s">
        <v>1853</v>
      </c>
      <c r="D87" s="5" t="s">
        <v>158</v>
      </c>
      <c r="E87" s="5" t="s">
        <v>158</v>
      </c>
      <c r="F87" s="5" t="s">
        <v>158</v>
      </c>
      <c r="G87" s="5" t="s">
        <v>158</v>
      </c>
      <c r="H87" s="5" t="s">
        <v>158</v>
      </c>
      <c r="I87" s="358" t="s">
        <v>398</v>
      </c>
      <c r="J87" s="359" t="s">
        <v>1714</v>
      </c>
      <c r="L87" s="405" t="s">
        <v>1854</v>
      </c>
    </row>
    <row r="88" spans="1:12" ht="19.899999999999999" customHeight="1">
      <c r="A88" s="355" t="str">
        <f t="shared" si="6"/>
        <v>App.7-V11I-P9.5.9.2</v>
      </c>
      <c r="B88" s="5" t="s">
        <v>1923</v>
      </c>
      <c r="C88" s="398" t="s">
        <v>171</v>
      </c>
      <c r="D88" s="5" t="s">
        <v>158</v>
      </c>
      <c r="E88" s="5" t="s">
        <v>158</v>
      </c>
      <c r="F88" s="5" t="s">
        <v>158</v>
      </c>
      <c r="G88" s="5" t="s">
        <v>158</v>
      </c>
      <c r="H88" s="5" t="s">
        <v>158</v>
      </c>
      <c r="I88" s="358" t="s">
        <v>158</v>
      </c>
      <c r="J88" s="359" t="s">
        <v>1714</v>
      </c>
      <c r="L88" s="406" t="s">
        <v>1882</v>
      </c>
    </row>
    <row r="89" spans="1:12" ht="19.899999999999999" customHeight="1">
      <c r="A89" s="355" t="str">
        <f t="shared" si="6"/>
        <v>App.7-V11I-P9.5.9.3</v>
      </c>
      <c r="B89" s="5" t="s">
        <v>1924</v>
      </c>
      <c r="C89" s="398" t="s">
        <v>168</v>
      </c>
      <c r="D89" s="5" t="s">
        <v>158</v>
      </c>
      <c r="E89" s="5" t="s">
        <v>158</v>
      </c>
      <c r="F89" s="5" t="s">
        <v>158</v>
      </c>
      <c r="G89" s="5" t="s">
        <v>398</v>
      </c>
      <c r="H89" s="5" t="s">
        <v>398</v>
      </c>
      <c r="I89" s="358" t="s">
        <v>1714</v>
      </c>
      <c r="J89" s="359" t="s">
        <v>206</v>
      </c>
    </row>
    <row r="90" spans="1:12" ht="19.899999999999999" customHeight="1">
      <c r="A90" s="355" t="str">
        <f t="shared" si="6"/>
        <v>App.7-V11I-P9.5.9.4</v>
      </c>
      <c r="B90" s="5" t="s">
        <v>1925</v>
      </c>
      <c r="C90" s="398" t="s">
        <v>114</v>
      </c>
      <c r="D90" s="5" t="s">
        <v>398</v>
      </c>
      <c r="E90" s="5" t="s">
        <v>398</v>
      </c>
      <c r="F90" s="5" t="s">
        <v>398</v>
      </c>
      <c r="G90" s="5" t="s">
        <v>398</v>
      </c>
      <c r="H90" s="5" t="s">
        <v>1714</v>
      </c>
      <c r="I90" s="358" t="s">
        <v>1714</v>
      </c>
      <c r="J90" s="359" t="s">
        <v>1862</v>
      </c>
    </row>
    <row r="91" spans="1:12" ht="19.899999999999999" customHeight="1">
      <c r="A91" s="355" t="str">
        <f t="shared" si="6"/>
        <v>App.7-V11I-P9.5.9.5</v>
      </c>
      <c r="B91" s="5" t="s">
        <v>1926</v>
      </c>
      <c r="C91" s="398" t="s">
        <v>131</v>
      </c>
      <c r="D91" s="360" t="s">
        <v>1905</v>
      </c>
      <c r="E91" s="361" t="s">
        <v>1906</v>
      </c>
      <c r="F91" s="361" t="s">
        <v>1906</v>
      </c>
      <c r="G91" s="5" t="s">
        <v>183</v>
      </c>
      <c r="H91" s="5" t="s">
        <v>183</v>
      </c>
      <c r="I91" s="358" t="s">
        <v>183</v>
      </c>
      <c r="J91" s="359" t="s">
        <v>206</v>
      </c>
    </row>
    <row r="92" spans="1:12" ht="19.899999999999999" customHeight="1">
      <c r="A92" s="355" t="str">
        <f t="shared" si="6"/>
        <v>App.7-V11I-P9.5.9.6</v>
      </c>
      <c r="B92" s="5" t="s">
        <v>1927</v>
      </c>
      <c r="C92" s="398" t="s">
        <v>121</v>
      </c>
      <c r="D92" s="5" t="s">
        <v>158</v>
      </c>
      <c r="E92" s="5" t="s">
        <v>158</v>
      </c>
      <c r="F92" s="5" t="s">
        <v>398</v>
      </c>
      <c r="G92" s="5" t="s">
        <v>398</v>
      </c>
      <c r="H92" s="5" t="s">
        <v>1714</v>
      </c>
      <c r="I92" s="358" t="s">
        <v>1714</v>
      </c>
      <c r="J92" s="359" t="s">
        <v>1862</v>
      </c>
    </row>
    <row r="93" spans="1:12" ht="19.899999999999999" customHeight="1">
      <c r="A93" s="355" t="str">
        <f t="shared" si="6"/>
        <v>App.7-V11I-P9.5.9.7</v>
      </c>
      <c r="B93" s="5" t="s">
        <v>1928</v>
      </c>
      <c r="C93" s="398" t="s">
        <v>1864</v>
      </c>
      <c r="D93" s="5" t="s">
        <v>398</v>
      </c>
      <c r="E93" s="5" t="s">
        <v>398</v>
      </c>
      <c r="F93" s="5" t="s">
        <v>1714</v>
      </c>
      <c r="G93" s="5" t="s">
        <v>1714</v>
      </c>
      <c r="H93" s="5" t="s">
        <v>206</v>
      </c>
      <c r="I93" s="358" t="s">
        <v>206</v>
      </c>
      <c r="J93" s="359" t="s">
        <v>1862</v>
      </c>
    </row>
    <row r="94" spans="1:12" ht="19.899999999999999" customHeight="1">
      <c r="A94" s="355" t="str">
        <f t="shared" si="6"/>
        <v>App.7-V11I-P9.5.9.9</v>
      </c>
      <c r="B94" s="5" t="s">
        <v>1929</v>
      </c>
      <c r="C94" s="398" t="s">
        <v>277</v>
      </c>
      <c r="D94" s="5" t="s">
        <v>398</v>
      </c>
      <c r="E94" s="5" t="s">
        <v>398</v>
      </c>
      <c r="F94" s="5" t="s">
        <v>183</v>
      </c>
      <c r="G94" s="5" t="s">
        <v>206</v>
      </c>
      <c r="H94" s="5" t="s">
        <v>206</v>
      </c>
      <c r="I94" s="358" t="s">
        <v>206</v>
      </c>
      <c r="J94" s="359" t="s">
        <v>1862</v>
      </c>
    </row>
    <row r="95" spans="1:12" ht="19.899999999999999" customHeight="1" thickBot="1">
      <c r="A95" s="356" t="str">
        <f t="shared" si="6"/>
        <v>App.7-V11I-P9.5.9.9</v>
      </c>
      <c r="B95" s="357" t="s">
        <v>1929</v>
      </c>
      <c r="C95" s="402" t="s">
        <v>1867</v>
      </c>
      <c r="D95" s="357" t="s">
        <v>398</v>
      </c>
      <c r="E95" s="357" t="s">
        <v>398</v>
      </c>
      <c r="F95" s="357" t="s">
        <v>1714</v>
      </c>
      <c r="G95" s="357" t="s">
        <v>1714</v>
      </c>
      <c r="H95" s="357" t="s">
        <v>1868</v>
      </c>
      <c r="I95" s="323" t="s">
        <v>1868</v>
      </c>
      <c r="J95" s="362" t="s">
        <v>1868</v>
      </c>
    </row>
    <row r="96" spans="1:12" ht="19.899999999999999" customHeight="1" thickBot="1">
      <c r="B96" s="14"/>
      <c r="C96" s="407"/>
      <c r="I96" s="308"/>
      <c r="J96" s="308"/>
    </row>
    <row r="97" spans="1:12" ht="19.899999999999999" customHeight="1" thickBot="1">
      <c r="A97" s="1046" t="s">
        <v>1930</v>
      </c>
      <c r="B97" s="1047"/>
      <c r="C97" s="1047"/>
      <c r="D97" s="1047"/>
      <c r="E97" s="1047"/>
      <c r="F97" s="1047"/>
      <c r="G97" s="1047"/>
      <c r="H97" s="1047"/>
      <c r="I97" s="1047"/>
      <c r="J97" s="1048"/>
    </row>
    <row r="98" spans="1:12" ht="25.15" customHeight="1">
      <c r="A98" s="1040" t="s">
        <v>1837</v>
      </c>
      <c r="B98" s="1051" t="s">
        <v>1838</v>
      </c>
      <c r="C98" s="1053"/>
      <c r="D98" s="394" t="s">
        <v>1839</v>
      </c>
      <c r="E98" s="394" t="s">
        <v>1840</v>
      </c>
      <c r="F98" s="394" t="s">
        <v>1841</v>
      </c>
      <c r="G98" s="394" t="s">
        <v>1842</v>
      </c>
      <c r="H98" s="394" t="s">
        <v>1843</v>
      </c>
      <c r="I98" s="394" t="s">
        <v>1844</v>
      </c>
      <c r="J98" s="395" t="s">
        <v>1845</v>
      </c>
    </row>
    <row r="99" spans="1:12" ht="25.15" customHeight="1">
      <c r="A99" s="1041"/>
      <c r="B99" s="1052"/>
      <c r="C99" s="1050"/>
      <c r="D99" s="396" t="s">
        <v>1846</v>
      </c>
      <c r="E99" s="396" t="s">
        <v>1846</v>
      </c>
      <c r="F99" s="396" t="s">
        <v>1847</v>
      </c>
      <c r="G99" s="396" t="s">
        <v>1848</v>
      </c>
      <c r="H99" s="396" t="s">
        <v>1849</v>
      </c>
      <c r="I99" s="396" t="s">
        <v>1850</v>
      </c>
      <c r="J99" s="397" t="s">
        <v>1851</v>
      </c>
    </row>
    <row r="100" spans="1:12" ht="19.899999999999999" customHeight="1">
      <c r="A100" s="355" t="str">
        <f t="shared" ref="A100:A108" si="7">CONCATENATE($A$2,"-",$B$2,"-",B100)</f>
        <v>App.7-V11I-P9.5.10.1</v>
      </c>
      <c r="B100" s="5" t="s">
        <v>1931</v>
      </c>
      <c r="C100" s="398" t="s">
        <v>1853</v>
      </c>
      <c r="D100" s="5" t="s">
        <v>398</v>
      </c>
      <c r="E100" s="5" t="s">
        <v>398</v>
      </c>
      <c r="F100" s="5" t="s">
        <v>398</v>
      </c>
      <c r="G100" s="5" t="s">
        <v>398</v>
      </c>
      <c r="H100" s="5" t="s">
        <v>398</v>
      </c>
      <c r="I100" s="358" t="s">
        <v>398</v>
      </c>
      <c r="J100" s="359" t="s">
        <v>1714</v>
      </c>
      <c r="L100" s="405" t="s">
        <v>1854</v>
      </c>
    </row>
    <row r="101" spans="1:12" ht="19.899999999999999" customHeight="1">
      <c r="A101" s="355" t="str">
        <f t="shared" si="7"/>
        <v>App.7-V11I-P9.5.10.2</v>
      </c>
      <c r="B101" s="5" t="s">
        <v>1932</v>
      </c>
      <c r="C101" s="398" t="s">
        <v>171</v>
      </c>
      <c r="D101" s="5" t="s">
        <v>398</v>
      </c>
      <c r="E101" s="5" t="s">
        <v>398</v>
      </c>
      <c r="F101" s="5" t="s">
        <v>398</v>
      </c>
      <c r="G101" s="5" t="s">
        <v>398</v>
      </c>
      <c r="H101" s="5" t="s">
        <v>398</v>
      </c>
      <c r="I101" s="358" t="s">
        <v>398</v>
      </c>
      <c r="J101" s="359" t="s">
        <v>206</v>
      </c>
      <c r="L101" s="406" t="s">
        <v>1882</v>
      </c>
    </row>
    <row r="102" spans="1:12" ht="19.899999999999999" customHeight="1">
      <c r="A102" s="355" t="str">
        <f t="shared" si="7"/>
        <v>App.7-V11I-P9.5.10.3</v>
      </c>
      <c r="B102" s="5" t="s">
        <v>1933</v>
      </c>
      <c r="C102" s="398" t="s">
        <v>168</v>
      </c>
      <c r="D102" s="5" t="s">
        <v>398</v>
      </c>
      <c r="E102" s="5" t="s">
        <v>398</v>
      </c>
      <c r="F102" s="5" t="s">
        <v>398</v>
      </c>
      <c r="G102" s="5" t="s">
        <v>1714</v>
      </c>
      <c r="H102" s="5" t="s">
        <v>1714</v>
      </c>
      <c r="I102" s="358" t="s">
        <v>1714</v>
      </c>
      <c r="J102" s="359" t="s">
        <v>1862</v>
      </c>
    </row>
    <row r="103" spans="1:12" ht="19.899999999999999" customHeight="1">
      <c r="A103" s="355" t="str">
        <f t="shared" si="7"/>
        <v>App.7-V11I-P9.5.10.4</v>
      </c>
      <c r="B103" s="5" t="s">
        <v>1934</v>
      </c>
      <c r="C103" s="398" t="s">
        <v>114</v>
      </c>
      <c r="D103" s="5" t="s">
        <v>398</v>
      </c>
      <c r="E103" s="5" t="s">
        <v>1714</v>
      </c>
      <c r="F103" s="5" t="s">
        <v>1714</v>
      </c>
      <c r="G103" s="5" t="s">
        <v>1714</v>
      </c>
      <c r="H103" s="5" t="s">
        <v>1714</v>
      </c>
      <c r="I103" s="358" t="s">
        <v>1714</v>
      </c>
      <c r="J103" s="359" t="s">
        <v>1862</v>
      </c>
    </row>
    <row r="104" spans="1:12" ht="19.899999999999999" customHeight="1">
      <c r="A104" s="355" t="str">
        <f t="shared" si="7"/>
        <v>App.7-V11I-P9.5.10.5</v>
      </c>
      <c r="B104" s="5" t="s">
        <v>1935</v>
      </c>
      <c r="C104" s="398" t="s">
        <v>131</v>
      </c>
      <c r="D104" s="361" t="s">
        <v>1906</v>
      </c>
      <c r="E104" s="361" t="s">
        <v>1906</v>
      </c>
      <c r="F104" s="361" t="s">
        <v>1917</v>
      </c>
      <c r="G104" s="5" t="s">
        <v>206</v>
      </c>
      <c r="H104" s="5" t="s">
        <v>206</v>
      </c>
      <c r="I104" s="358" t="s">
        <v>206</v>
      </c>
      <c r="J104" s="359" t="s">
        <v>1862</v>
      </c>
    </row>
    <row r="105" spans="1:12" ht="19.899999999999999" customHeight="1">
      <c r="A105" s="355" t="str">
        <f t="shared" si="7"/>
        <v>App.7-V11I-P9.5.10.6</v>
      </c>
      <c r="B105" s="5" t="s">
        <v>1936</v>
      </c>
      <c r="C105" s="398" t="s">
        <v>121</v>
      </c>
      <c r="D105" s="5" t="s">
        <v>398</v>
      </c>
      <c r="E105" s="5" t="s">
        <v>398</v>
      </c>
      <c r="F105" s="5" t="s">
        <v>1714</v>
      </c>
      <c r="G105" s="5" t="s">
        <v>1714</v>
      </c>
      <c r="H105" s="5" t="s">
        <v>1714</v>
      </c>
      <c r="I105" s="358" t="s">
        <v>206</v>
      </c>
      <c r="J105" s="359" t="s">
        <v>1862</v>
      </c>
    </row>
    <row r="106" spans="1:12" ht="19.899999999999999" customHeight="1">
      <c r="A106" s="355" t="str">
        <f t="shared" si="7"/>
        <v>App.7-V11I-P9.5.10.7</v>
      </c>
      <c r="B106" s="5" t="s">
        <v>1937</v>
      </c>
      <c r="C106" s="398" t="s">
        <v>1864</v>
      </c>
      <c r="D106" s="5" t="s">
        <v>1714</v>
      </c>
      <c r="E106" s="5" t="s">
        <v>1714</v>
      </c>
      <c r="F106" s="5" t="s">
        <v>1714</v>
      </c>
      <c r="G106" s="5" t="s">
        <v>206</v>
      </c>
      <c r="H106" s="5" t="s">
        <v>1862</v>
      </c>
      <c r="I106" s="358" t="s">
        <v>1862</v>
      </c>
      <c r="J106" s="359" t="s">
        <v>1862</v>
      </c>
    </row>
    <row r="107" spans="1:12" ht="19.899999999999999" customHeight="1">
      <c r="A107" s="355" t="str">
        <f t="shared" si="7"/>
        <v>App.7-V11I-P9.5.10.10</v>
      </c>
      <c r="B107" s="5" t="s">
        <v>1938</v>
      </c>
      <c r="C107" s="398" t="s">
        <v>277</v>
      </c>
      <c r="D107" s="5" t="s">
        <v>1714</v>
      </c>
      <c r="E107" s="5" t="s">
        <v>1714</v>
      </c>
      <c r="F107" s="5" t="s">
        <v>206</v>
      </c>
      <c r="G107" s="5" t="s">
        <v>206</v>
      </c>
      <c r="H107" s="5" t="s">
        <v>206</v>
      </c>
      <c r="I107" s="358" t="s">
        <v>1862</v>
      </c>
      <c r="J107" s="359" t="s">
        <v>1862</v>
      </c>
    </row>
    <row r="108" spans="1:12" ht="19.899999999999999" customHeight="1" thickBot="1">
      <c r="A108" s="356" t="str">
        <f t="shared" si="7"/>
        <v>App.7-V11I-P9.5.10.9</v>
      </c>
      <c r="B108" s="357" t="s">
        <v>1939</v>
      </c>
      <c r="C108" s="402" t="s">
        <v>1867</v>
      </c>
      <c r="D108" s="357" t="s">
        <v>1714</v>
      </c>
      <c r="E108" s="357" t="s">
        <v>1714</v>
      </c>
      <c r="F108" s="357" t="s">
        <v>1714</v>
      </c>
      <c r="G108" s="357" t="s">
        <v>206</v>
      </c>
      <c r="H108" s="357" t="s">
        <v>1868</v>
      </c>
      <c r="I108" s="323" t="s">
        <v>1868</v>
      </c>
      <c r="J108" s="362" t="s">
        <v>1868</v>
      </c>
    </row>
    <row r="109" spans="1:12" ht="19.899999999999999" customHeight="1" thickBot="1">
      <c r="B109" s="14"/>
      <c r="C109" s="407"/>
      <c r="I109" s="308"/>
      <c r="J109" s="308"/>
    </row>
    <row r="110" spans="1:12" ht="19.899999999999999" customHeight="1" thickBot="1">
      <c r="A110" s="1046" t="s">
        <v>1940</v>
      </c>
      <c r="B110" s="1047"/>
      <c r="C110" s="1047"/>
      <c r="D110" s="1047"/>
      <c r="E110" s="1047"/>
      <c r="F110" s="1047"/>
      <c r="G110" s="1047"/>
      <c r="H110" s="1047"/>
      <c r="I110" s="1047"/>
      <c r="J110" s="1048"/>
    </row>
    <row r="111" spans="1:12" ht="25.15" customHeight="1">
      <c r="A111" s="1049" t="s">
        <v>1837</v>
      </c>
      <c r="B111" s="1176" t="s">
        <v>1838</v>
      </c>
      <c r="C111" s="1177"/>
      <c r="D111" s="394" t="s">
        <v>1839</v>
      </c>
      <c r="E111" s="394" t="s">
        <v>1840</v>
      </c>
      <c r="F111" s="394" t="s">
        <v>1841</v>
      </c>
      <c r="G111" s="394" t="s">
        <v>1842</v>
      </c>
      <c r="H111" s="394" t="s">
        <v>1843</v>
      </c>
      <c r="I111" s="394" t="s">
        <v>1844</v>
      </c>
      <c r="J111" s="395" t="s">
        <v>1845</v>
      </c>
    </row>
    <row r="112" spans="1:12" ht="25.15" customHeight="1">
      <c r="A112" s="1041"/>
      <c r="B112" s="1052"/>
      <c r="C112" s="1050"/>
      <c r="D112" s="396" t="s">
        <v>1846</v>
      </c>
      <c r="E112" s="396" t="s">
        <v>1846</v>
      </c>
      <c r="F112" s="396" t="s">
        <v>1847</v>
      </c>
      <c r="G112" s="396" t="s">
        <v>1848</v>
      </c>
      <c r="H112" s="396" t="s">
        <v>1849</v>
      </c>
      <c r="I112" s="396" t="s">
        <v>1850</v>
      </c>
      <c r="J112" s="397" t="s">
        <v>1851</v>
      </c>
    </row>
    <row r="113" spans="1:12" ht="19.899999999999999" customHeight="1">
      <c r="A113" s="355" t="str">
        <f t="shared" ref="A113:A121" si="8">CONCATENATE($A$2,"-",$B$2,"-",B113)</f>
        <v>App.7-V11I-P9.5.11.1</v>
      </c>
      <c r="B113" s="5" t="s">
        <v>1941</v>
      </c>
      <c r="C113" s="398" t="s">
        <v>1853</v>
      </c>
      <c r="D113" s="5" t="s">
        <v>158</v>
      </c>
      <c r="E113" s="5" t="s">
        <v>158</v>
      </c>
      <c r="F113" s="5" t="s">
        <v>158</v>
      </c>
      <c r="G113" s="5" t="s">
        <v>398</v>
      </c>
      <c r="H113" s="5" t="s">
        <v>398</v>
      </c>
      <c r="I113" s="358" t="s">
        <v>398</v>
      </c>
      <c r="J113" s="359" t="s">
        <v>1714</v>
      </c>
      <c r="L113" s="405" t="s">
        <v>1854</v>
      </c>
    </row>
    <row r="114" spans="1:12" ht="19.899999999999999" customHeight="1">
      <c r="A114" s="355" t="str">
        <f t="shared" si="8"/>
        <v>App.7-V11I-P9.5.11.2</v>
      </c>
      <c r="B114" s="5" t="s">
        <v>1942</v>
      </c>
      <c r="C114" s="398" t="s">
        <v>171</v>
      </c>
      <c r="D114" s="5" t="s">
        <v>158</v>
      </c>
      <c r="E114" s="5" t="s">
        <v>158</v>
      </c>
      <c r="F114" s="5" t="s">
        <v>158</v>
      </c>
      <c r="G114" s="5" t="s">
        <v>398</v>
      </c>
      <c r="H114" s="5" t="s">
        <v>398</v>
      </c>
      <c r="I114" s="358" t="s">
        <v>398</v>
      </c>
      <c r="J114" s="359" t="s">
        <v>1714</v>
      </c>
      <c r="L114" s="406" t="s">
        <v>1943</v>
      </c>
    </row>
    <row r="115" spans="1:12" ht="19.899999999999999" customHeight="1">
      <c r="A115" s="355" t="str">
        <f t="shared" si="8"/>
        <v>App.7-V11I-P9.5.11.3</v>
      </c>
      <c r="B115" s="5" t="s">
        <v>1944</v>
      </c>
      <c r="C115" s="398" t="s">
        <v>168</v>
      </c>
      <c r="D115" s="5" t="s">
        <v>158</v>
      </c>
      <c r="E115" s="5" t="s">
        <v>158</v>
      </c>
      <c r="F115" s="5" t="s">
        <v>398</v>
      </c>
      <c r="G115" s="5" t="s">
        <v>398</v>
      </c>
      <c r="H115" s="5" t="s">
        <v>398</v>
      </c>
      <c r="I115" s="358" t="s">
        <v>1714</v>
      </c>
      <c r="J115" s="359" t="s">
        <v>206</v>
      </c>
      <c r="L115" s="406" t="s">
        <v>1945</v>
      </c>
    </row>
    <row r="116" spans="1:12" ht="19.899999999999999" customHeight="1">
      <c r="A116" s="355" t="str">
        <f t="shared" si="8"/>
        <v>App.7-V11I-P9.5.11.4</v>
      </c>
      <c r="B116" s="5" t="s">
        <v>1946</v>
      </c>
      <c r="C116" s="398" t="s">
        <v>114</v>
      </c>
      <c r="D116" s="5" t="s">
        <v>398</v>
      </c>
      <c r="E116" s="5" t="s">
        <v>398</v>
      </c>
      <c r="F116" s="5" t="s">
        <v>398</v>
      </c>
      <c r="G116" s="5" t="s">
        <v>1714</v>
      </c>
      <c r="H116" s="5" t="s">
        <v>1714</v>
      </c>
      <c r="I116" s="358" t="s">
        <v>1714</v>
      </c>
      <c r="J116" s="359" t="s">
        <v>1862</v>
      </c>
    </row>
    <row r="117" spans="1:12" ht="19.899999999999999" customHeight="1">
      <c r="A117" s="355" t="str">
        <f t="shared" si="8"/>
        <v>App.7-V11I-P9.5.11.5</v>
      </c>
      <c r="B117" s="5" t="s">
        <v>1947</v>
      </c>
      <c r="C117" s="398" t="s">
        <v>131</v>
      </c>
      <c r="D117" s="361" t="s">
        <v>1906</v>
      </c>
      <c r="E117" s="361" t="s">
        <v>1906</v>
      </c>
      <c r="F117" s="361" t="s">
        <v>1906</v>
      </c>
      <c r="G117" s="5" t="s">
        <v>183</v>
      </c>
      <c r="H117" s="5" t="s">
        <v>183</v>
      </c>
      <c r="I117" s="358" t="s">
        <v>183</v>
      </c>
      <c r="J117" s="359" t="s">
        <v>206</v>
      </c>
    </row>
    <row r="118" spans="1:12" ht="19.899999999999999" customHeight="1">
      <c r="A118" s="355" t="str">
        <f t="shared" si="8"/>
        <v>App.7-V11I-P9.5.11.6</v>
      </c>
      <c r="B118" s="5" t="s">
        <v>1948</v>
      </c>
      <c r="C118" s="398" t="s">
        <v>121</v>
      </c>
      <c r="D118" s="5" t="s">
        <v>398</v>
      </c>
      <c r="E118" s="5" t="s">
        <v>398</v>
      </c>
      <c r="F118" s="5" t="s">
        <v>398</v>
      </c>
      <c r="G118" s="5" t="s">
        <v>1714</v>
      </c>
      <c r="H118" s="5" t="s">
        <v>1714</v>
      </c>
      <c r="I118" s="358" t="s">
        <v>1714</v>
      </c>
      <c r="J118" s="359" t="s">
        <v>1862</v>
      </c>
    </row>
    <row r="119" spans="1:12" ht="19.899999999999999" customHeight="1">
      <c r="A119" s="355" t="str">
        <f t="shared" si="8"/>
        <v>App.7-V11I-P9.5.11.7</v>
      </c>
      <c r="B119" s="5" t="s">
        <v>1949</v>
      </c>
      <c r="C119" s="398" t="s">
        <v>1864</v>
      </c>
      <c r="D119" s="5" t="s">
        <v>1714</v>
      </c>
      <c r="E119" s="5" t="s">
        <v>1714</v>
      </c>
      <c r="F119" s="5" t="s">
        <v>1714</v>
      </c>
      <c r="G119" s="5" t="s">
        <v>206</v>
      </c>
      <c r="H119" s="5" t="s">
        <v>206</v>
      </c>
      <c r="I119" s="358" t="s">
        <v>206</v>
      </c>
      <c r="J119" s="359" t="s">
        <v>1862</v>
      </c>
    </row>
    <row r="120" spans="1:12" ht="19.899999999999999" customHeight="1">
      <c r="A120" s="355" t="str">
        <f t="shared" si="8"/>
        <v>App.7-V11I-P9.5.11.8</v>
      </c>
      <c r="B120" s="5" t="s">
        <v>1950</v>
      </c>
      <c r="C120" s="398" t="s">
        <v>277</v>
      </c>
      <c r="D120" s="5" t="s">
        <v>398</v>
      </c>
      <c r="E120" s="5" t="s">
        <v>1714</v>
      </c>
      <c r="F120" s="5" t="s">
        <v>1714</v>
      </c>
      <c r="G120" s="5" t="s">
        <v>206</v>
      </c>
      <c r="H120" s="5" t="s">
        <v>206</v>
      </c>
      <c r="I120" s="358" t="s">
        <v>206</v>
      </c>
      <c r="J120" s="359" t="s">
        <v>1862</v>
      </c>
    </row>
    <row r="121" spans="1:12" ht="19.899999999999999" customHeight="1" thickBot="1">
      <c r="A121" s="356" t="str">
        <f t="shared" si="8"/>
        <v>App.7-V11I-P9.5.11.11</v>
      </c>
      <c r="B121" s="357" t="s">
        <v>1951</v>
      </c>
      <c r="C121" s="402" t="s">
        <v>1867</v>
      </c>
      <c r="D121" s="357" t="s">
        <v>1714</v>
      </c>
      <c r="E121" s="357" t="s">
        <v>1714</v>
      </c>
      <c r="F121" s="357" t="s">
        <v>1714</v>
      </c>
      <c r="G121" s="357" t="s">
        <v>1714</v>
      </c>
      <c r="H121" s="357" t="s">
        <v>1868</v>
      </c>
      <c r="I121" s="323" t="s">
        <v>1868</v>
      </c>
      <c r="J121" s="362" t="s">
        <v>1868</v>
      </c>
    </row>
    <row r="122" spans="1:12" ht="19.899999999999999" customHeight="1" thickBot="1"/>
    <row r="123" spans="1:12" ht="19.899999999999999" customHeight="1" thickBot="1">
      <c r="A123" s="1046" t="s">
        <v>1952</v>
      </c>
      <c r="B123" s="1047"/>
      <c r="C123" s="1047"/>
      <c r="D123" s="1047"/>
      <c r="E123" s="1047"/>
      <c r="F123" s="1047"/>
      <c r="G123" s="1047"/>
      <c r="H123" s="1047"/>
      <c r="I123" s="1047"/>
      <c r="J123" s="1048"/>
    </row>
    <row r="124" spans="1:12" ht="25.15" customHeight="1">
      <c r="A124" s="1049" t="s">
        <v>1837</v>
      </c>
      <c r="B124" s="1176" t="s">
        <v>1838</v>
      </c>
      <c r="C124" s="1177"/>
      <c r="D124" s="394" t="s">
        <v>1839</v>
      </c>
      <c r="E124" s="394" t="s">
        <v>1840</v>
      </c>
      <c r="F124" s="394" t="s">
        <v>1841</v>
      </c>
      <c r="G124" s="394" t="s">
        <v>1842</v>
      </c>
      <c r="H124" s="394" t="s">
        <v>1843</v>
      </c>
      <c r="I124" s="394" t="s">
        <v>1844</v>
      </c>
      <c r="J124" s="395" t="s">
        <v>1845</v>
      </c>
    </row>
    <row r="125" spans="1:12" ht="25.15" customHeight="1">
      <c r="A125" s="1041"/>
      <c r="B125" s="1052"/>
      <c r="C125" s="1050"/>
      <c r="D125" s="396" t="s">
        <v>1846</v>
      </c>
      <c r="E125" s="396" t="s">
        <v>1846</v>
      </c>
      <c r="F125" s="396" t="s">
        <v>1847</v>
      </c>
      <c r="G125" s="396" t="s">
        <v>1848</v>
      </c>
      <c r="H125" s="396" t="s">
        <v>1849</v>
      </c>
      <c r="I125" s="396" t="s">
        <v>1850</v>
      </c>
      <c r="J125" s="397" t="s">
        <v>1851</v>
      </c>
    </row>
    <row r="126" spans="1:12" ht="19.899999999999999" customHeight="1">
      <c r="A126" s="355" t="str">
        <f t="shared" ref="A126:A134" si="9">CONCATENATE($A$2,"-",$B$2,"-",B126)</f>
        <v>App.7-V11I-P9.5.12.1</v>
      </c>
      <c r="B126" s="5" t="s">
        <v>1953</v>
      </c>
      <c r="C126" s="398" t="s">
        <v>1853</v>
      </c>
      <c r="D126" s="5" t="s">
        <v>398</v>
      </c>
      <c r="E126" s="5" t="s">
        <v>398</v>
      </c>
      <c r="F126" s="5" t="s">
        <v>398</v>
      </c>
      <c r="G126" s="5" t="s">
        <v>398</v>
      </c>
      <c r="H126" s="5" t="s">
        <v>398</v>
      </c>
      <c r="I126" s="358" t="s">
        <v>398</v>
      </c>
      <c r="J126" s="359" t="s">
        <v>206</v>
      </c>
      <c r="L126" s="405" t="s">
        <v>1854</v>
      </c>
    </row>
    <row r="127" spans="1:12" ht="19.899999999999999" customHeight="1">
      <c r="A127" s="355" t="str">
        <f t="shared" si="9"/>
        <v>App.7-V11I-P9.5.12.2</v>
      </c>
      <c r="B127" s="5" t="s">
        <v>1954</v>
      </c>
      <c r="C127" s="398" t="s">
        <v>171</v>
      </c>
      <c r="D127" s="5" t="s">
        <v>398</v>
      </c>
      <c r="E127" s="5" t="s">
        <v>398</v>
      </c>
      <c r="F127" s="5" t="s">
        <v>398</v>
      </c>
      <c r="G127" s="5" t="s">
        <v>398</v>
      </c>
      <c r="H127" s="5" t="s">
        <v>398</v>
      </c>
      <c r="I127" s="358" t="s">
        <v>398</v>
      </c>
      <c r="J127" s="359" t="s">
        <v>206</v>
      </c>
      <c r="L127" s="406" t="s">
        <v>1943</v>
      </c>
    </row>
    <row r="128" spans="1:12" ht="19.899999999999999" customHeight="1">
      <c r="A128" s="355" t="str">
        <f t="shared" si="9"/>
        <v>App.7-V11I-P9.5.12.3</v>
      </c>
      <c r="B128" s="5" t="s">
        <v>1955</v>
      </c>
      <c r="C128" s="398" t="s">
        <v>168</v>
      </c>
      <c r="D128" s="5" t="s">
        <v>398</v>
      </c>
      <c r="E128" s="5" t="s">
        <v>398</v>
      </c>
      <c r="F128" s="5" t="s">
        <v>1714</v>
      </c>
      <c r="G128" s="5" t="s">
        <v>1714</v>
      </c>
      <c r="H128" s="5" t="s">
        <v>1714</v>
      </c>
      <c r="I128" s="358" t="s">
        <v>1714</v>
      </c>
      <c r="J128" s="359" t="s">
        <v>1862</v>
      </c>
      <c r="L128" s="406" t="s">
        <v>1945</v>
      </c>
    </row>
    <row r="129" spans="1:12" ht="19.899999999999999" customHeight="1">
      <c r="A129" s="355" t="str">
        <f t="shared" si="9"/>
        <v>App.7-V11I-P9.5.12.4</v>
      </c>
      <c r="B129" s="5" t="s">
        <v>1956</v>
      </c>
      <c r="C129" s="398" t="s">
        <v>114</v>
      </c>
      <c r="D129" s="5" t="s">
        <v>1714</v>
      </c>
      <c r="E129" s="5" t="s">
        <v>1714</v>
      </c>
      <c r="F129" s="5" t="s">
        <v>1714</v>
      </c>
      <c r="G129" s="5" t="s">
        <v>1714</v>
      </c>
      <c r="H129" s="5" t="s">
        <v>1714</v>
      </c>
      <c r="I129" s="358" t="s">
        <v>1714</v>
      </c>
      <c r="J129" s="359" t="s">
        <v>1862</v>
      </c>
    </row>
    <row r="130" spans="1:12" ht="19.899999999999999" customHeight="1">
      <c r="A130" s="355" t="str">
        <f t="shared" si="9"/>
        <v>App.7-V11I-P9.5.12.5</v>
      </c>
      <c r="B130" s="5" t="s">
        <v>1957</v>
      </c>
      <c r="C130" s="398" t="s">
        <v>131</v>
      </c>
      <c r="D130" s="361" t="s">
        <v>1917</v>
      </c>
      <c r="E130" s="361" t="s">
        <v>1917</v>
      </c>
      <c r="F130" s="361" t="s">
        <v>1917</v>
      </c>
      <c r="G130" s="5" t="s">
        <v>206</v>
      </c>
      <c r="H130" s="5" t="s">
        <v>206</v>
      </c>
      <c r="I130" s="358" t="s">
        <v>206</v>
      </c>
      <c r="J130" s="359" t="s">
        <v>1862</v>
      </c>
    </row>
    <row r="131" spans="1:12" ht="19.899999999999999" customHeight="1">
      <c r="A131" s="355" t="str">
        <f t="shared" si="9"/>
        <v>App.7-V11I-P9.5.12.6</v>
      </c>
      <c r="B131" s="5" t="s">
        <v>1958</v>
      </c>
      <c r="C131" s="398" t="s">
        <v>121</v>
      </c>
      <c r="D131" s="5" t="s">
        <v>1714</v>
      </c>
      <c r="E131" s="5" t="s">
        <v>1714</v>
      </c>
      <c r="F131" s="5" t="s">
        <v>1714</v>
      </c>
      <c r="G131" s="5" t="s">
        <v>1714</v>
      </c>
      <c r="H131" s="5" t="s">
        <v>1714</v>
      </c>
      <c r="I131" s="358" t="s">
        <v>206</v>
      </c>
      <c r="J131" s="359" t="s">
        <v>1862</v>
      </c>
    </row>
    <row r="132" spans="1:12" ht="19.899999999999999" customHeight="1">
      <c r="A132" s="355" t="str">
        <f t="shared" si="9"/>
        <v>App.7-V11I-P9.5.12.7</v>
      </c>
      <c r="B132" s="5" t="s">
        <v>1959</v>
      </c>
      <c r="C132" s="398" t="s">
        <v>1864</v>
      </c>
      <c r="D132" s="5" t="s">
        <v>1714</v>
      </c>
      <c r="E132" s="5" t="s">
        <v>1714</v>
      </c>
      <c r="F132" s="5" t="s">
        <v>1714</v>
      </c>
      <c r="G132" s="5" t="s">
        <v>206</v>
      </c>
      <c r="H132" s="5" t="s">
        <v>1862</v>
      </c>
      <c r="I132" s="358" t="s">
        <v>1862</v>
      </c>
      <c r="J132" s="359" t="s">
        <v>1862</v>
      </c>
    </row>
    <row r="133" spans="1:12" ht="19.899999999999999" customHeight="1">
      <c r="A133" s="355" t="str">
        <f t="shared" si="9"/>
        <v>App.7-V11I-P9.5.12.8</v>
      </c>
      <c r="B133" s="5" t="s">
        <v>1960</v>
      </c>
      <c r="C133" s="398" t="s">
        <v>277</v>
      </c>
      <c r="D133" s="5" t="s">
        <v>1714</v>
      </c>
      <c r="E133" s="5" t="s">
        <v>1714</v>
      </c>
      <c r="F133" s="5" t="s">
        <v>1714</v>
      </c>
      <c r="G133" s="5" t="s">
        <v>206</v>
      </c>
      <c r="H133" s="5" t="s">
        <v>1862</v>
      </c>
      <c r="I133" s="358" t="s">
        <v>1862</v>
      </c>
      <c r="J133" s="359" t="s">
        <v>1862</v>
      </c>
    </row>
    <row r="134" spans="1:12" ht="19.899999999999999" customHeight="1" thickBot="1">
      <c r="A134" s="356" t="str">
        <f t="shared" si="9"/>
        <v>App.7-V11I-P9.5.12.12</v>
      </c>
      <c r="B134" s="357" t="s">
        <v>1961</v>
      </c>
      <c r="C134" s="402" t="s">
        <v>1867</v>
      </c>
      <c r="D134" s="357" t="s">
        <v>1714</v>
      </c>
      <c r="E134" s="357" t="s">
        <v>1714</v>
      </c>
      <c r="F134" s="357" t="s">
        <v>1714</v>
      </c>
      <c r="G134" s="357" t="s">
        <v>206</v>
      </c>
      <c r="H134" s="357" t="s">
        <v>1868</v>
      </c>
      <c r="I134" s="323" t="s">
        <v>1868</v>
      </c>
      <c r="J134" s="362" t="s">
        <v>1868</v>
      </c>
    </row>
    <row r="135" spans="1:12" ht="19.899999999999999" customHeight="1" thickBot="1"/>
    <row r="136" spans="1:12" ht="19.899999999999999" customHeight="1" thickBot="1">
      <c r="A136" s="1046" t="s">
        <v>1962</v>
      </c>
      <c r="B136" s="1047"/>
      <c r="C136" s="1047"/>
      <c r="D136" s="1047"/>
      <c r="E136" s="1047"/>
      <c r="F136" s="1047"/>
      <c r="G136" s="1047"/>
      <c r="H136" s="1047"/>
      <c r="I136" s="1047"/>
      <c r="J136" s="1048"/>
    </row>
    <row r="137" spans="1:12" ht="25.15" customHeight="1">
      <c r="A137" s="1049" t="s">
        <v>1837</v>
      </c>
      <c r="B137" s="1176" t="s">
        <v>1838</v>
      </c>
      <c r="C137" s="1177"/>
      <c r="D137" s="394" t="s">
        <v>1839</v>
      </c>
      <c r="E137" s="394" t="s">
        <v>1840</v>
      </c>
      <c r="F137" s="394" t="s">
        <v>1841</v>
      </c>
      <c r="G137" s="394" t="s">
        <v>1842</v>
      </c>
      <c r="H137" s="394" t="s">
        <v>1843</v>
      </c>
      <c r="I137" s="394" t="s">
        <v>1844</v>
      </c>
      <c r="J137" s="395" t="s">
        <v>1845</v>
      </c>
    </row>
    <row r="138" spans="1:12" ht="25.15" customHeight="1">
      <c r="A138" s="1041"/>
      <c r="B138" s="1052"/>
      <c r="C138" s="1050"/>
      <c r="D138" s="396" t="s">
        <v>1846</v>
      </c>
      <c r="E138" s="396" t="s">
        <v>1846</v>
      </c>
      <c r="F138" s="396" t="s">
        <v>1847</v>
      </c>
      <c r="G138" s="396" t="s">
        <v>1848</v>
      </c>
      <c r="H138" s="396" t="s">
        <v>1849</v>
      </c>
      <c r="I138" s="396" t="s">
        <v>1850</v>
      </c>
      <c r="J138" s="397" t="s">
        <v>1851</v>
      </c>
    </row>
    <row r="139" spans="1:12" ht="19.899999999999999" customHeight="1">
      <c r="A139" s="355" t="str">
        <f t="shared" ref="A139:A147" si="10">CONCATENATE($A$2,"-",$B$2,"-",B139)</f>
        <v>App.7-V11I-P9.5.13.1</v>
      </c>
      <c r="B139" s="5" t="s">
        <v>1963</v>
      </c>
      <c r="C139" s="398" t="s">
        <v>1853</v>
      </c>
      <c r="D139" s="5" t="s">
        <v>158</v>
      </c>
      <c r="E139" s="5" t="s">
        <v>158</v>
      </c>
      <c r="F139" s="5" t="s">
        <v>158</v>
      </c>
      <c r="G139" s="5" t="s">
        <v>398</v>
      </c>
      <c r="H139" s="5" t="s">
        <v>398</v>
      </c>
      <c r="I139" s="358" t="s">
        <v>398</v>
      </c>
      <c r="J139" s="359" t="s">
        <v>1714</v>
      </c>
      <c r="L139" s="405" t="s">
        <v>1854</v>
      </c>
    </row>
    <row r="140" spans="1:12" ht="19.899999999999999" customHeight="1">
      <c r="A140" s="355" t="str">
        <f t="shared" si="10"/>
        <v>App.7-V11I-P9.5.13.2</v>
      </c>
      <c r="B140" s="5" t="s">
        <v>1964</v>
      </c>
      <c r="C140" s="398" t="s">
        <v>171</v>
      </c>
      <c r="D140" s="5" t="s">
        <v>158</v>
      </c>
      <c r="E140" s="5" t="s">
        <v>158</v>
      </c>
      <c r="F140" s="5" t="s">
        <v>158</v>
      </c>
      <c r="G140" s="5" t="s">
        <v>398</v>
      </c>
      <c r="H140" s="5" t="s">
        <v>398</v>
      </c>
      <c r="I140" s="358" t="s">
        <v>398</v>
      </c>
      <c r="J140" s="359" t="s">
        <v>1714</v>
      </c>
      <c r="L140" s="406" t="s">
        <v>1882</v>
      </c>
    </row>
    <row r="141" spans="1:12" ht="19.899999999999999" customHeight="1">
      <c r="A141" s="355" t="str">
        <f t="shared" si="10"/>
        <v>App.7-V11I-P9.5.13.3</v>
      </c>
      <c r="B141" s="5" t="s">
        <v>1965</v>
      </c>
      <c r="C141" s="398" t="s">
        <v>168</v>
      </c>
      <c r="D141" s="5" t="s">
        <v>398</v>
      </c>
      <c r="E141" s="5" t="s">
        <v>398</v>
      </c>
      <c r="F141" s="5" t="s">
        <v>398</v>
      </c>
      <c r="G141" s="5" t="s">
        <v>398</v>
      </c>
      <c r="H141" s="5" t="s">
        <v>398</v>
      </c>
      <c r="I141" s="358" t="s">
        <v>1714</v>
      </c>
      <c r="J141" s="359" t="s">
        <v>206</v>
      </c>
    </row>
    <row r="142" spans="1:12" ht="19.899999999999999" customHeight="1">
      <c r="A142" s="355" t="str">
        <f t="shared" si="10"/>
        <v>App.7-V11I-P9.5.13.4</v>
      </c>
      <c r="B142" s="5" t="s">
        <v>1966</v>
      </c>
      <c r="C142" s="398" t="s">
        <v>114</v>
      </c>
      <c r="D142" s="5" t="s">
        <v>398</v>
      </c>
      <c r="E142" s="5" t="s">
        <v>398</v>
      </c>
      <c r="F142" s="5" t="s">
        <v>398</v>
      </c>
      <c r="G142" s="5" t="s">
        <v>1714</v>
      </c>
      <c r="H142" s="5" t="s">
        <v>1714</v>
      </c>
      <c r="I142" s="358" t="s">
        <v>1714</v>
      </c>
      <c r="J142" s="359" t="s">
        <v>1862</v>
      </c>
    </row>
    <row r="143" spans="1:12" ht="19.899999999999999" customHeight="1">
      <c r="A143" s="355" t="str">
        <f t="shared" si="10"/>
        <v>App.7-V11I-P9.5.13.5</v>
      </c>
      <c r="B143" s="5" t="s">
        <v>1967</v>
      </c>
      <c r="C143" s="398" t="s">
        <v>131</v>
      </c>
      <c r="D143" s="361" t="s">
        <v>1906</v>
      </c>
      <c r="E143" s="361" t="s">
        <v>1906</v>
      </c>
      <c r="F143" s="361" t="s">
        <v>1906</v>
      </c>
      <c r="G143" s="5" t="s">
        <v>183</v>
      </c>
      <c r="H143" s="5" t="s">
        <v>183</v>
      </c>
      <c r="I143" s="358" t="s">
        <v>183</v>
      </c>
      <c r="J143" s="359" t="s">
        <v>206</v>
      </c>
    </row>
    <row r="144" spans="1:12" ht="19.899999999999999" customHeight="1">
      <c r="A144" s="355" t="str">
        <f t="shared" si="10"/>
        <v>App.7-V11I-P9.5.13.6</v>
      </c>
      <c r="B144" s="5" t="s">
        <v>1968</v>
      </c>
      <c r="C144" s="398" t="s">
        <v>121</v>
      </c>
      <c r="D144" s="5" t="s">
        <v>398</v>
      </c>
      <c r="E144" s="5" t="s">
        <v>398</v>
      </c>
      <c r="F144" s="5" t="s">
        <v>398</v>
      </c>
      <c r="G144" s="5" t="s">
        <v>1714</v>
      </c>
      <c r="H144" s="5" t="s">
        <v>1714</v>
      </c>
      <c r="I144" s="358" t="s">
        <v>1714</v>
      </c>
      <c r="J144" s="359" t="s">
        <v>1862</v>
      </c>
    </row>
    <row r="145" spans="1:12" ht="19.899999999999999" customHeight="1">
      <c r="A145" s="355" t="str">
        <f t="shared" si="10"/>
        <v>App.7-V11I-P9.5.13.7</v>
      </c>
      <c r="B145" s="5" t="s">
        <v>1969</v>
      </c>
      <c r="C145" s="398" t="s">
        <v>1864</v>
      </c>
      <c r="D145" s="5" t="s">
        <v>1714</v>
      </c>
      <c r="E145" s="5" t="s">
        <v>1714</v>
      </c>
      <c r="F145" s="5" t="s">
        <v>1714</v>
      </c>
      <c r="G145" s="5" t="s">
        <v>206</v>
      </c>
      <c r="H145" s="5" t="s">
        <v>206</v>
      </c>
      <c r="I145" s="358" t="s">
        <v>1862</v>
      </c>
      <c r="J145" s="359" t="s">
        <v>1862</v>
      </c>
    </row>
    <row r="146" spans="1:12" ht="19.899999999999999" customHeight="1">
      <c r="A146" s="355" t="str">
        <f t="shared" si="10"/>
        <v>App.7-V11I-P9.5.13.8</v>
      </c>
      <c r="B146" s="5" t="s">
        <v>1970</v>
      </c>
      <c r="C146" s="398" t="s">
        <v>277</v>
      </c>
      <c r="D146" s="5" t="s">
        <v>398</v>
      </c>
      <c r="E146" s="5" t="s">
        <v>1714</v>
      </c>
      <c r="F146" s="5" t="s">
        <v>1714</v>
      </c>
      <c r="G146" s="5" t="s">
        <v>206</v>
      </c>
      <c r="H146" s="5" t="s">
        <v>206</v>
      </c>
      <c r="I146" s="358" t="s">
        <v>206</v>
      </c>
      <c r="J146" s="359" t="s">
        <v>1862</v>
      </c>
    </row>
    <row r="147" spans="1:12" ht="19.899999999999999" customHeight="1" thickBot="1">
      <c r="A147" s="356" t="str">
        <f t="shared" si="10"/>
        <v>App.7-V11I-P9.5.13.9</v>
      </c>
      <c r="B147" s="357" t="s">
        <v>1971</v>
      </c>
      <c r="C147" s="402" t="s">
        <v>1867</v>
      </c>
      <c r="D147" s="357" t="s">
        <v>1714</v>
      </c>
      <c r="E147" s="357" t="s">
        <v>1714</v>
      </c>
      <c r="F147" s="357" t="s">
        <v>1714</v>
      </c>
      <c r="G147" s="357" t="s">
        <v>1714</v>
      </c>
      <c r="H147" s="357" t="s">
        <v>1868</v>
      </c>
      <c r="I147" s="323" t="s">
        <v>1868</v>
      </c>
      <c r="J147" s="362" t="s">
        <v>1868</v>
      </c>
    </row>
    <row r="148" spans="1:12" ht="19.899999999999999" customHeight="1" thickBot="1">
      <c r="B148" s="14"/>
      <c r="C148" s="407"/>
      <c r="D148" s="363"/>
      <c r="E148" s="363"/>
      <c r="F148" s="363"/>
      <c r="G148" s="363"/>
      <c r="H148" s="363"/>
      <c r="I148" s="308"/>
    </row>
    <row r="149" spans="1:12" ht="19.899999999999999" customHeight="1" thickBot="1">
      <c r="A149" s="1046" t="s">
        <v>1972</v>
      </c>
      <c r="B149" s="1047"/>
      <c r="C149" s="1047"/>
      <c r="D149" s="1047"/>
      <c r="E149" s="1047"/>
      <c r="F149" s="1047"/>
      <c r="G149" s="1047"/>
      <c r="H149" s="1047"/>
      <c r="I149" s="1047"/>
      <c r="J149" s="1048"/>
    </row>
    <row r="150" spans="1:12" ht="25.15" customHeight="1">
      <c r="A150" s="1049" t="s">
        <v>1837</v>
      </c>
      <c r="B150" s="1176" t="s">
        <v>1838</v>
      </c>
      <c r="C150" s="1177"/>
      <c r="D150" s="394" t="s">
        <v>1839</v>
      </c>
      <c r="E150" s="394" t="s">
        <v>1840</v>
      </c>
      <c r="F150" s="394" t="s">
        <v>1841</v>
      </c>
      <c r="G150" s="394" t="s">
        <v>1842</v>
      </c>
      <c r="H150" s="394" t="s">
        <v>1843</v>
      </c>
      <c r="I150" s="394" t="s">
        <v>1844</v>
      </c>
      <c r="J150" s="395" t="s">
        <v>1845</v>
      </c>
    </row>
    <row r="151" spans="1:12" ht="25.15" customHeight="1">
      <c r="A151" s="1041"/>
      <c r="B151" s="1052"/>
      <c r="C151" s="1050"/>
      <c r="D151" s="396" t="s">
        <v>1846</v>
      </c>
      <c r="E151" s="396" t="s">
        <v>1846</v>
      </c>
      <c r="F151" s="396" t="s">
        <v>1847</v>
      </c>
      <c r="G151" s="396" t="s">
        <v>1848</v>
      </c>
      <c r="H151" s="396" t="s">
        <v>1849</v>
      </c>
      <c r="I151" s="396" t="s">
        <v>1850</v>
      </c>
      <c r="J151" s="397" t="s">
        <v>1851</v>
      </c>
    </row>
    <row r="152" spans="1:12" ht="19.899999999999999" customHeight="1">
      <c r="A152" s="355" t="str">
        <f t="shared" ref="A152:A160" si="11">CONCATENATE($A$2,"-",$B$2,"-",B152)</f>
        <v>App.7-V11I-P9.5.14.1</v>
      </c>
      <c r="B152" s="5" t="s">
        <v>1973</v>
      </c>
      <c r="C152" s="398" t="s">
        <v>1853</v>
      </c>
      <c r="D152" s="5" t="s">
        <v>398</v>
      </c>
      <c r="E152" s="5" t="s">
        <v>398</v>
      </c>
      <c r="F152" s="5" t="s">
        <v>398</v>
      </c>
      <c r="G152" s="5" t="s">
        <v>398</v>
      </c>
      <c r="H152" s="5" t="s">
        <v>398</v>
      </c>
      <c r="I152" s="358" t="s">
        <v>398</v>
      </c>
      <c r="J152" s="359" t="s">
        <v>206</v>
      </c>
      <c r="L152" s="405" t="s">
        <v>1854</v>
      </c>
    </row>
    <row r="153" spans="1:12" ht="19.899999999999999" customHeight="1">
      <c r="A153" s="355" t="str">
        <f t="shared" si="11"/>
        <v>App.7-V11I-P9.5.14.2</v>
      </c>
      <c r="B153" s="5" t="s">
        <v>1974</v>
      </c>
      <c r="C153" s="398" t="s">
        <v>171</v>
      </c>
      <c r="D153" s="5" t="s">
        <v>398</v>
      </c>
      <c r="E153" s="5" t="s">
        <v>398</v>
      </c>
      <c r="F153" s="5" t="s">
        <v>398</v>
      </c>
      <c r="G153" s="5" t="s">
        <v>398</v>
      </c>
      <c r="H153" s="5" t="s">
        <v>398</v>
      </c>
      <c r="I153" s="358" t="s">
        <v>398</v>
      </c>
      <c r="J153" s="359" t="s">
        <v>206</v>
      </c>
      <c r="L153" s="406" t="s">
        <v>1882</v>
      </c>
    </row>
    <row r="154" spans="1:12" ht="19.899999999999999" customHeight="1">
      <c r="A154" s="355" t="str">
        <f t="shared" si="11"/>
        <v>App.7-V11I-P9.5.14.3</v>
      </c>
      <c r="B154" s="5" t="s">
        <v>1975</v>
      </c>
      <c r="C154" s="398" t="s">
        <v>168</v>
      </c>
      <c r="D154" s="5" t="s">
        <v>398</v>
      </c>
      <c r="E154" s="5" t="s">
        <v>398</v>
      </c>
      <c r="F154" s="5" t="s">
        <v>1714</v>
      </c>
      <c r="G154" s="5" t="s">
        <v>1714</v>
      </c>
      <c r="H154" s="5" t="s">
        <v>1714</v>
      </c>
      <c r="I154" s="358" t="s">
        <v>1714</v>
      </c>
      <c r="J154" s="359" t="s">
        <v>1862</v>
      </c>
    </row>
    <row r="155" spans="1:12" ht="19.899999999999999" customHeight="1">
      <c r="A155" s="355" t="str">
        <f t="shared" si="11"/>
        <v>App.7-V11I-P9.5.14.4</v>
      </c>
      <c r="B155" s="5" t="s">
        <v>1976</v>
      </c>
      <c r="C155" s="398" t="s">
        <v>114</v>
      </c>
      <c r="D155" s="5" t="s">
        <v>1714</v>
      </c>
      <c r="E155" s="5" t="s">
        <v>1714</v>
      </c>
      <c r="F155" s="5" t="s">
        <v>1714</v>
      </c>
      <c r="G155" s="5" t="s">
        <v>1714</v>
      </c>
      <c r="H155" s="5" t="s">
        <v>1714</v>
      </c>
      <c r="I155" s="358" t="s">
        <v>1714</v>
      </c>
      <c r="J155" s="359" t="s">
        <v>1862</v>
      </c>
    </row>
    <row r="156" spans="1:12" ht="19.899999999999999" customHeight="1">
      <c r="A156" s="355" t="str">
        <f t="shared" si="11"/>
        <v>App.7-V11I-P9.5.14.5</v>
      </c>
      <c r="B156" s="5" t="s">
        <v>1977</v>
      </c>
      <c r="C156" s="398" t="s">
        <v>131</v>
      </c>
      <c r="D156" s="361" t="s">
        <v>1917</v>
      </c>
      <c r="E156" s="361" t="s">
        <v>1917</v>
      </c>
      <c r="F156" s="361" t="s">
        <v>1917</v>
      </c>
      <c r="G156" s="5" t="s">
        <v>206</v>
      </c>
      <c r="H156" s="5" t="s">
        <v>206</v>
      </c>
      <c r="I156" s="358" t="s">
        <v>206</v>
      </c>
      <c r="J156" s="359" t="s">
        <v>1862</v>
      </c>
    </row>
    <row r="157" spans="1:12" ht="19.899999999999999" customHeight="1">
      <c r="A157" s="355" t="str">
        <f t="shared" si="11"/>
        <v>App.7-V11I-P9.5.14.6</v>
      </c>
      <c r="B157" s="5" t="s">
        <v>1978</v>
      </c>
      <c r="C157" s="398" t="s">
        <v>121</v>
      </c>
      <c r="D157" s="5" t="s">
        <v>1714</v>
      </c>
      <c r="E157" s="5" t="s">
        <v>1714</v>
      </c>
      <c r="F157" s="5" t="s">
        <v>1714</v>
      </c>
      <c r="G157" s="5" t="s">
        <v>1714</v>
      </c>
      <c r="H157" s="5" t="s">
        <v>1714</v>
      </c>
      <c r="I157" s="358" t="s">
        <v>206</v>
      </c>
      <c r="J157" s="359" t="s">
        <v>1862</v>
      </c>
    </row>
    <row r="158" spans="1:12" ht="19.899999999999999" customHeight="1">
      <c r="A158" s="355" t="str">
        <f t="shared" si="11"/>
        <v>App.7-V11I-P9.5.14.7</v>
      </c>
      <c r="B158" s="5" t="s">
        <v>1979</v>
      </c>
      <c r="C158" s="398" t="s">
        <v>1864</v>
      </c>
      <c r="D158" s="5" t="s">
        <v>1714</v>
      </c>
      <c r="E158" s="5" t="s">
        <v>1714</v>
      </c>
      <c r="F158" s="5" t="s">
        <v>206</v>
      </c>
      <c r="G158" s="5" t="s">
        <v>1862</v>
      </c>
      <c r="H158" s="5" t="s">
        <v>1862</v>
      </c>
      <c r="I158" s="358" t="s">
        <v>1862</v>
      </c>
      <c r="J158" s="359" t="s">
        <v>1862</v>
      </c>
    </row>
    <row r="159" spans="1:12" ht="19.899999999999999" customHeight="1">
      <c r="A159" s="355" t="str">
        <f t="shared" si="11"/>
        <v>App.7-V11I-P9.5.14.8</v>
      </c>
      <c r="B159" s="5" t="s">
        <v>1980</v>
      </c>
      <c r="C159" s="398" t="s">
        <v>277</v>
      </c>
      <c r="D159" s="5" t="s">
        <v>1714</v>
      </c>
      <c r="E159" s="5" t="s">
        <v>1714</v>
      </c>
      <c r="F159" s="5" t="s">
        <v>206</v>
      </c>
      <c r="G159" s="5" t="s">
        <v>1862</v>
      </c>
      <c r="H159" s="5" t="s">
        <v>1862</v>
      </c>
      <c r="I159" s="358" t="s">
        <v>1862</v>
      </c>
      <c r="J159" s="359" t="s">
        <v>1862</v>
      </c>
    </row>
    <row r="160" spans="1:12" ht="19.899999999999999" customHeight="1" thickBot="1">
      <c r="A160" s="356" t="str">
        <f t="shared" si="11"/>
        <v>App.7-V11I-P9.5.14.9</v>
      </c>
      <c r="B160" s="357" t="s">
        <v>1981</v>
      </c>
      <c r="C160" s="402" t="s">
        <v>1867</v>
      </c>
      <c r="D160" s="357" t="s">
        <v>1714</v>
      </c>
      <c r="E160" s="357" t="s">
        <v>206</v>
      </c>
      <c r="F160" s="357" t="s">
        <v>206</v>
      </c>
      <c r="G160" s="357" t="s">
        <v>206</v>
      </c>
      <c r="H160" s="357" t="s">
        <v>1868</v>
      </c>
      <c r="I160" s="323" t="s">
        <v>1868</v>
      </c>
      <c r="J160" s="362" t="s">
        <v>1868</v>
      </c>
    </row>
    <row r="161" spans="1:12" ht="19.899999999999999" customHeight="1">
      <c r="B161" s="14"/>
      <c r="C161" s="407"/>
      <c r="D161" s="363"/>
      <c r="E161" s="363"/>
      <c r="F161" s="363"/>
      <c r="G161" s="363"/>
      <c r="H161" s="363"/>
      <c r="I161" s="308"/>
    </row>
    <row r="162" spans="1:12" ht="19.899999999999999" customHeight="1" thickBot="1">
      <c r="A162" s="1042" t="s">
        <v>1982</v>
      </c>
      <c r="B162" s="1043"/>
      <c r="C162" s="1043"/>
      <c r="D162" s="1043"/>
      <c r="E162" s="1043"/>
      <c r="F162" s="1043"/>
      <c r="G162" s="1043"/>
      <c r="H162" s="1043"/>
      <c r="I162" s="1043"/>
      <c r="J162" s="1044"/>
    </row>
    <row r="163" spans="1:12" ht="19.899999999999999" customHeight="1" thickBot="1">
      <c r="A163" s="1046" t="s">
        <v>1836</v>
      </c>
      <c r="B163" s="1047"/>
      <c r="C163" s="1047"/>
      <c r="D163" s="1047"/>
      <c r="E163" s="1047"/>
      <c r="F163" s="1047"/>
      <c r="G163" s="1047"/>
      <c r="H163" s="1047"/>
      <c r="I163" s="1047"/>
      <c r="J163" s="1048"/>
    </row>
    <row r="164" spans="1:12" ht="25.15" customHeight="1">
      <c r="A164" s="1049" t="s">
        <v>1837</v>
      </c>
      <c r="B164" s="1176" t="s">
        <v>1838</v>
      </c>
      <c r="C164" s="1177"/>
      <c r="D164" s="1178" t="s">
        <v>1839</v>
      </c>
      <c r="E164" s="1178" t="s">
        <v>1840</v>
      </c>
      <c r="F164" s="1178" t="s">
        <v>1841</v>
      </c>
      <c r="G164" s="1178" t="s">
        <v>1842</v>
      </c>
      <c r="H164" s="1178" t="s">
        <v>1843</v>
      </c>
      <c r="I164" s="308"/>
      <c r="J164" s="364"/>
    </row>
    <row r="165" spans="1:12" ht="25.15" customHeight="1">
      <c r="A165" s="1041"/>
      <c r="B165" s="1052"/>
      <c r="C165" s="1050"/>
      <c r="D165" s="408" t="s">
        <v>1846</v>
      </c>
      <c r="E165" s="408" t="s">
        <v>1846</v>
      </c>
      <c r="F165" s="408" t="s">
        <v>1847</v>
      </c>
      <c r="G165" s="408" t="s">
        <v>1848</v>
      </c>
      <c r="H165" s="408" t="s">
        <v>1849</v>
      </c>
      <c r="I165" s="308"/>
      <c r="J165" s="364"/>
    </row>
    <row r="166" spans="1:12" ht="19.899999999999999" customHeight="1">
      <c r="A166" s="355" t="str">
        <f>CONCATENATE($A$2,"-",$B$2,"-",B166)</f>
        <v>App.7-V11I-P9.5.15.1</v>
      </c>
      <c r="B166" s="5" t="s">
        <v>1983</v>
      </c>
      <c r="C166" s="398" t="s">
        <v>168</v>
      </c>
      <c r="D166" s="365" t="s">
        <v>206</v>
      </c>
      <c r="E166" s="365" t="s">
        <v>206</v>
      </c>
      <c r="F166" s="365" t="s">
        <v>206</v>
      </c>
      <c r="G166" s="365" t="s">
        <v>206</v>
      </c>
      <c r="H166" s="365" t="s">
        <v>206</v>
      </c>
      <c r="I166" s="308"/>
      <c r="J166" s="364"/>
      <c r="L166" s="405" t="s">
        <v>1854</v>
      </c>
    </row>
    <row r="167" spans="1:12" ht="19.899999999999999" customHeight="1">
      <c r="A167" s="355" t="str">
        <f>CONCATENATE($A$2,"-",$B$2,"-",B167)</f>
        <v>App.7-V11I-P9.5.15.2</v>
      </c>
      <c r="B167" s="5" t="s">
        <v>1984</v>
      </c>
      <c r="C167" s="398" t="s">
        <v>121</v>
      </c>
      <c r="D167" s="365" t="s">
        <v>206</v>
      </c>
      <c r="E167" s="365" t="s">
        <v>206</v>
      </c>
      <c r="F167" s="365" t="s">
        <v>206</v>
      </c>
      <c r="G167" s="365" t="s">
        <v>206</v>
      </c>
      <c r="H167" s="365" t="s">
        <v>206</v>
      </c>
      <c r="I167" s="308"/>
      <c r="J167" s="364"/>
    </row>
    <row r="168" spans="1:12" ht="19.899999999999999" customHeight="1">
      <c r="A168" s="355" t="str">
        <f>CONCATENATE($A$2,"-",$B$2,"-",B168)</f>
        <v>App.7-V11I-P9.5.15.3</v>
      </c>
      <c r="B168" s="5" t="s">
        <v>1985</v>
      </c>
      <c r="C168" s="398" t="s">
        <v>1864</v>
      </c>
      <c r="D168" s="365" t="s">
        <v>206</v>
      </c>
      <c r="E168" s="365" t="s">
        <v>206</v>
      </c>
      <c r="F168" s="365" t="s">
        <v>206</v>
      </c>
      <c r="G168" s="365" t="s">
        <v>206</v>
      </c>
      <c r="H168" s="365" t="s">
        <v>206</v>
      </c>
      <c r="I168" s="308"/>
      <c r="J168" s="364"/>
    </row>
    <row r="169" spans="1:12" ht="19.899999999999999" customHeight="1" thickBot="1">
      <c r="A169" s="356" t="str">
        <f>CONCATENATE($A$2,"-",$B$2,"-",B169)</f>
        <v>App.7-V11I-P9.5.15.4</v>
      </c>
      <c r="B169" s="357" t="s">
        <v>1986</v>
      </c>
      <c r="C169" s="402" t="s">
        <v>277</v>
      </c>
      <c r="D169" s="366" t="s">
        <v>206</v>
      </c>
      <c r="E169" s="366" t="s">
        <v>206</v>
      </c>
      <c r="F169" s="366" t="s">
        <v>206</v>
      </c>
      <c r="G169" s="366" t="s">
        <v>206</v>
      </c>
      <c r="H169" s="366" t="s">
        <v>206</v>
      </c>
      <c r="I169" s="327"/>
      <c r="J169" s="367"/>
    </row>
    <row r="170" spans="1:12" ht="19.899999999999999" customHeight="1" thickBot="1"/>
    <row r="171" spans="1:12" ht="19.899999999999999" customHeight="1" thickBot="1">
      <c r="A171" s="1046" t="s">
        <v>1987</v>
      </c>
      <c r="B171" s="1047"/>
      <c r="C171" s="1047"/>
      <c r="D171" s="1047"/>
      <c r="E171" s="1047"/>
      <c r="F171" s="1047"/>
      <c r="G171" s="1047"/>
      <c r="H171" s="1047"/>
      <c r="I171" s="1047"/>
      <c r="J171" s="1048"/>
    </row>
    <row r="172" spans="1:12" ht="25.15" customHeight="1">
      <c r="A172" s="1049" t="s">
        <v>1837</v>
      </c>
      <c r="B172" s="1176" t="s">
        <v>1838</v>
      </c>
      <c r="C172" s="1177"/>
      <c r="D172" s="1178" t="s">
        <v>1839</v>
      </c>
      <c r="E172" s="1178" t="s">
        <v>1840</v>
      </c>
      <c r="F172" s="1178" t="s">
        <v>1841</v>
      </c>
      <c r="G172" s="1178" t="s">
        <v>1842</v>
      </c>
      <c r="H172" s="1178" t="s">
        <v>1843</v>
      </c>
      <c r="I172" s="308"/>
      <c r="J172" s="364"/>
    </row>
    <row r="173" spans="1:12" ht="25.15" customHeight="1">
      <c r="A173" s="1041"/>
      <c r="B173" s="1052"/>
      <c r="C173" s="1050"/>
      <c r="D173" s="408" t="s">
        <v>1846</v>
      </c>
      <c r="E173" s="408" t="s">
        <v>1846</v>
      </c>
      <c r="F173" s="408" t="s">
        <v>1847</v>
      </c>
      <c r="G173" s="408" t="s">
        <v>1848</v>
      </c>
      <c r="H173" s="408" t="s">
        <v>1849</v>
      </c>
      <c r="I173" s="308"/>
      <c r="J173" s="364"/>
    </row>
    <row r="174" spans="1:12" ht="19.899999999999999" customHeight="1">
      <c r="A174" s="355" t="str">
        <f>CONCATENATE($A$2,"-",$B$2,"-",B174)</f>
        <v>App.7-V11I-P9.5.16.1</v>
      </c>
      <c r="B174" s="5" t="s">
        <v>1988</v>
      </c>
      <c r="C174" s="398" t="s">
        <v>168</v>
      </c>
      <c r="D174" s="365" t="s">
        <v>206</v>
      </c>
      <c r="E174" s="365" t="s">
        <v>206</v>
      </c>
      <c r="F174" s="365" t="s">
        <v>206</v>
      </c>
      <c r="G174" s="365" t="s">
        <v>206</v>
      </c>
      <c r="H174" s="365" t="s">
        <v>206</v>
      </c>
      <c r="I174" s="308"/>
      <c r="J174" s="364"/>
      <c r="L174" s="405" t="s">
        <v>1854</v>
      </c>
    </row>
    <row r="175" spans="1:12" ht="19.899999999999999" customHeight="1">
      <c r="A175" s="355" t="str">
        <f>CONCATENATE($A$2,"-",$B$2,"-",B175)</f>
        <v>App.7-V11I-P9.5.16.2</v>
      </c>
      <c r="B175" s="5" t="s">
        <v>1989</v>
      </c>
      <c r="C175" s="398" t="s">
        <v>121</v>
      </c>
      <c r="D175" s="365" t="s">
        <v>206</v>
      </c>
      <c r="E175" s="365" t="s">
        <v>206</v>
      </c>
      <c r="F175" s="365" t="s">
        <v>206</v>
      </c>
      <c r="G175" s="365" t="s">
        <v>206</v>
      </c>
      <c r="H175" s="365" t="s">
        <v>206</v>
      </c>
      <c r="I175" s="308"/>
      <c r="J175" s="364"/>
    </row>
    <row r="176" spans="1:12" ht="19.899999999999999" customHeight="1">
      <c r="A176" s="355" t="str">
        <f>CONCATENATE($A$2,"-",$B$2,"-",B176)</f>
        <v>App.7-V11I-P9.5.16.3</v>
      </c>
      <c r="B176" s="5" t="s">
        <v>1990</v>
      </c>
      <c r="C176" s="398" t="s">
        <v>1864</v>
      </c>
      <c r="D176" s="365" t="s">
        <v>206</v>
      </c>
      <c r="E176" s="365" t="s">
        <v>206</v>
      </c>
      <c r="F176" s="365" t="s">
        <v>206</v>
      </c>
      <c r="G176" s="365" t="s">
        <v>206</v>
      </c>
      <c r="H176" s="365" t="s">
        <v>206</v>
      </c>
      <c r="I176" s="308"/>
      <c r="J176" s="364"/>
    </row>
    <row r="177" spans="1:12" ht="19.899999999999999" customHeight="1" thickBot="1">
      <c r="A177" s="356" t="str">
        <f>CONCATENATE($A$2,"-",$B$2,"-",B177)</f>
        <v>App.7-V11I-P9.5.16.4</v>
      </c>
      <c r="B177" s="357" t="s">
        <v>1991</v>
      </c>
      <c r="C177" s="402" t="s">
        <v>277</v>
      </c>
      <c r="D177" s="366" t="s">
        <v>206</v>
      </c>
      <c r="E177" s="366" t="s">
        <v>206</v>
      </c>
      <c r="F177" s="366" t="s">
        <v>206</v>
      </c>
      <c r="G177" s="366" t="s">
        <v>206</v>
      </c>
      <c r="H177" s="366" t="s">
        <v>206</v>
      </c>
      <c r="I177" s="327"/>
      <c r="J177" s="367"/>
    </row>
    <row r="178" spans="1:12" ht="19.899999999999999" customHeight="1" thickBot="1">
      <c r="B178" s="14"/>
      <c r="C178" s="407"/>
      <c r="D178" s="308"/>
      <c r="E178" s="308"/>
      <c r="F178" s="308"/>
      <c r="G178" s="308"/>
      <c r="H178" s="308"/>
      <c r="I178" s="308"/>
    </row>
    <row r="179" spans="1:12" ht="19.899999999999999" customHeight="1" thickBot="1">
      <c r="A179" s="1046" t="s">
        <v>1879</v>
      </c>
      <c r="B179" s="1047"/>
      <c r="C179" s="1047"/>
      <c r="D179" s="1047"/>
      <c r="E179" s="1047"/>
      <c r="F179" s="1047"/>
      <c r="G179" s="1047"/>
      <c r="H179" s="1047"/>
      <c r="I179" s="1047"/>
      <c r="J179" s="1048"/>
    </row>
    <row r="180" spans="1:12" ht="25.15" customHeight="1">
      <c r="A180" s="1049" t="s">
        <v>1837</v>
      </c>
      <c r="B180" s="1176" t="s">
        <v>1838</v>
      </c>
      <c r="C180" s="1177"/>
      <c r="D180" s="1178" t="s">
        <v>1839</v>
      </c>
      <c r="E180" s="1178" t="s">
        <v>1840</v>
      </c>
      <c r="F180" s="1178" t="s">
        <v>1841</v>
      </c>
      <c r="G180" s="1178" t="s">
        <v>1842</v>
      </c>
      <c r="H180" s="1178" t="s">
        <v>1843</v>
      </c>
      <c r="I180" s="308"/>
      <c r="J180" s="364"/>
    </row>
    <row r="181" spans="1:12" ht="25.15" customHeight="1">
      <c r="A181" s="1041"/>
      <c r="B181" s="1052"/>
      <c r="C181" s="1050"/>
      <c r="D181" s="408" t="s">
        <v>1846</v>
      </c>
      <c r="E181" s="408" t="s">
        <v>1846</v>
      </c>
      <c r="F181" s="408" t="s">
        <v>1847</v>
      </c>
      <c r="G181" s="408" t="s">
        <v>1848</v>
      </c>
      <c r="H181" s="408" t="s">
        <v>1849</v>
      </c>
      <c r="I181" s="308"/>
      <c r="J181" s="364"/>
    </row>
    <row r="182" spans="1:12" ht="19.899999999999999" customHeight="1">
      <c r="A182" s="355" t="str">
        <f>CONCATENATE($A$2,"-",$B$2,"-",B182)</f>
        <v>App.7-V11I-P9.5.17.1</v>
      </c>
      <c r="B182" s="5" t="s">
        <v>1992</v>
      </c>
      <c r="C182" s="398" t="s">
        <v>168</v>
      </c>
      <c r="D182" s="365" t="s">
        <v>206</v>
      </c>
      <c r="E182" s="365" t="s">
        <v>206</v>
      </c>
      <c r="F182" s="365" t="s">
        <v>206</v>
      </c>
      <c r="G182" s="365" t="s">
        <v>206</v>
      </c>
      <c r="H182" s="365" t="s">
        <v>206</v>
      </c>
      <c r="I182" s="308"/>
      <c r="J182" s="364"/>
      <c r="L182" s="405" t="s">
        <v>1854</v>
      </c>
    </row>
    <row r="183" spans="1:12" ht="19.899999999999999" customHeight="1">
      <c r="A183" s="355" t="str">
        <f>CONCATENATE($A$2,"-",$B$2,"-",B183)</f>
        <v>App.7-V11I-P9.5.17.2</v>
      </c>
      <c r="B183" s="5" t="s">
        <v>1993</v>
      </c>
      <c r="C183" s="398" t="s">
        <v>121</v>
      </c>
      <c r="D183" s="365" t="s">
        <v>206</v>
      </c>
      <c r="E183" s="365" t="s">
        <v>206</v>
      </c>
      <c r="F183" s="365" t="s">
        <v>206</v>
      </c>
      <c r="G183" s="365" t="s">
        <v>206</v>
      </c>
      <c r="H183" s="365" t="s">
        <v>206</v>
      </c>
      <c r="I183" s="308"/>
      <c r="J183" s="364"/>
    </row>
    <row r="184" spans="1:12" ht="19.899999999999999" customHeight="1">
      <c r="A184" s="355" t="str">
        <f>CONCATENATE($A$2,"-",$B$2,"-",B184)</f>
        <v>App.7-V11I-P9.5.17.3</v>
      </c>
      <c r="B184" s="5" t="s">
        <v>1994</v>
      </c>
      <c r="C184" s="398" t="s">
        <v>1864</v>
      </c>
      <c r="D184" s="365" t="s">
        <v>206</v>
      </c>
      <c r="E184" s="365" t="s">
        <v>206</v>
      </c>
      <c r="F184" s="365" t="s">
        <v>206</v>
      </c>
      <c r="G184" s="365" t="s">
        <v>206</v>
      </c>
      <c r="H184" s="365" t="s">
        <v>206</v>
      </c>
      <c r="I184" s="308"/>
      <c r="J184" s="364"/>
    </row>
    <row r="185" spans="1:12" ht="19.899999999999999" customHeight="1" thickBot="1">
      <c r="A185" s="356" t="str">
        <f>CONCATENATE($A$2,"-",$B$2,"-",B185)</f>
        <v>App.7-V11I-P9.5.17.4</v>
      </c>
      <c r="B185" s="357" t="s">
        <v>1995</v>
      </c>
      <c r="C185" s="402" t="s">
        <v>277</v>
      </c>
      <c r="D185" s="366" t="s">
        <v>206</v>
      </c>
      <c r="E185" s="366" t="s">
        <v>206</v>
      </c>
      <c r="F185" s="366" t="s">
        <v>206</v>
      </c>
      <c r="G185" s="366" t="s">
        <v>206</v>
      </c>
      <c r="H185" s="366" t="s">
        <v>206</v>
      </c>
      <c r="I185" s="327"/>
      <c r="J185" s="367"/>
    </row>
    <row r="186" spans="1:12" ht="19.899999999999999" customHeight="1" thickBot="1"/>
    <row r="187" spans="1:12" ht="19.899999999999999" customHeight="1" thickBot="1">
      <c r="A187" s="1046" t="s">
        <v>1890</v>
      </c>
      <c r="B187" s="1047"/>
      <c r="C187" s="1047"/>
      <c r="D187" s="1047"/>
      <c r="E187" s="1047"/>
      <c r="F187" s="1047"/>
      <c r="G187" s="1047"/>
      <c r="H187" s="1047"/>
      <c r="I187" s="1047"/>
      <c r="J187" s="1048"/>
    </row>
    <row r="188" spans="1:12" ht="25.15" customHeight="1">
      <c r="A188" s="1049" t="s">
        <v>1837</v>
      </c>
      <c r="B188" s="1176" t="s">
        <v>1838</v>
      </c>
      <c r="C188" s="1177"/>
      <c r="D188" s="1178" t="s">
        <v>1839</v>
      </c>
      <c r="E188" s="1178" t="s">
        <v>1840</v>
      </c>
      <c r="F188" s="1178" t="s">
        <v>1841</v>
      </c>
      <c r="G188" s="1178" t="s">
        <v>1842</v>
      </c>
      <c r="H188" s="1178" t="s">
        <v>1843</v>
      </c>
      <c r="I188" s="308"/>
      <c r="J188" s="364"/>
    </row>
    <row r="189" spans="1:12" ht="25.15" customHeight="1">
      <c r="A189" s="1041"/>
      <c r="B189" s="1052"/>
      <c r="C189" s="1050"/>
      <c r="D189" s="408" t="s">
        <v>1846</v>
      </c>
      <c r="E189" s="408" t="s">
        <v>1846</v>
      </c>
      <c r="F189" s="408" t="s">
        <v>1847</v>
      </c>
      <c r="G189" s="408" t="s">
        <v>1848</v>
      </c>
      <c r="H189" s="408" t="s">
        <v>1849</v>
      </c>
      <c r="I189" s="308"/>
      <c r="J189" s="364"/>
    </row>
    <row r="190" spans="1:12" ht="19.899999999999999" customHeight="1">
      <c r="A190" s="355" t="str">
        <f>CONCATENATE($A$2,"-",$B$2,"-",B190)</f>
        <v>App.7-V11I-P9.5.18.1</v>
      </c>
      <c r="B190" s="5" t="s">
        <v>1996</v>
      </c>
      <c r="C190" s="398" t="s">
        <v>168</v>
      </c>
      <c r="D190" s="365" t="s">
        <v>206</v>
      </c>
      <c r="E190" s="365" t="s">
        <v>206</v>
      </c>
      <c r="F190" s="365" t="s">
        <v>206</v>
      </c>
      <c r="G190" s="365" t="s">
        <v>206</v>
      </c>
      <c r="H190" s="365" t="s">
        <v>206</v>
      </c>
      <c r="I190" s="308"/>
      <c r="J190" s="364"/>
      <c r="L190" s="405" t="s">
        <v>1854</v>
      </c>
    </row>
    <row r="191" spans="1:12" ht="19.899999999999999" customHeight="1">
      <c r="A191" s="355" t="str">
        <f>CONCATENATE($A$2,"-",$B$2,"-",B191)</f>
        <v>App.7-V11I-P9.5.18.2</v>
      </c>
      <c r="B191" s="5" t="s">
        <v>1997</v>
      </c>
      <c r="C191" s="398" t="s">
        <v>121</v>
      </c>
      <c r="D191" s="365" t="s">
        <v>206</v>
      </c>
      <c r="E191" s="365" t="s">
        <v>206</v>
      </c>
      <c r="F191" s="365" t="s">
        <v>206</v>
      </c>
      <c r="G191" s="365" t="s">
        <v>206</v>
      </c>
      <c r="H191" s="365" t="s">
        <v>206</v>
      </c>
      <c r="I191" s="308"/>
      <c r="J191" s="364"/>
    </row>
    <row r="192" spans="1:12" ht="19.899999999999999" customHeight="1">
      <c r="A192" s="355" t="str">
        <f>CONCATENATE($A$2,"-",$B$2,"-",B192)</f>
        <v>App.7-V11I-P9.5.18.3</v>
      </c>
      <c r="B192" s="5" t="s">
        <v>1998</v>
      </c>
      <c r="C192" s="398" t="s">
        <v>1864</v>
      </c>
      <c r="D192" s="365" t="s">
        <v>206</v>
      </c>
      <c r="E192" s="365" t="s">
        <v>206</v>
      </c>
      <c r="F192" s="365" t="s">
        <v>206</v>
      </c>
      <c r="G192" s="365" t="s">
        <v>206</v>
      </c>
      <c r="H192" s="365" t="s">
        <v>206</v>
      </c>
      <c r="I192" s="308"/>
      <c r="J192" s="364"/>
    </row>
    <row r="193" spans="1:12" ht="19.899999999999999" customHeight="1" thickBot="1">
      <c r="A193" s="356" t="str">
        <f>CONCATENATE($A$2,"-",$B$2,"-",B193)</f>
        <v>App.7-V11I-P9.5.18.4</v>
      </c>
      <c r="B193" s="357" t="s">
        <v>1999</v>
      </c>
      <c r="C193" s="402" t="s">
        <v>277</v>
      </c>
      <c r="D193" s="366" t="s">
        <v>206</v>
      </c>
      <c r="E193" s="366" t="s">
        <v>206</v>
      </c>
      <c r="F193" s="366" t="s">
        <v>206</v>
      </c>
      <c r="G193" s="366" t="s">
        <v>206</v>
      </c>
      <c r="H193" s="366" t="s">
        <v>206</v>
      </c>
      <c r="I193" s="327"/>
      <c r="J193" s="367"/>
    </row>
    <row r="194" spans="1:12" ht="19.899999999999999" customHeight="1">
      <c r="B194" s="14"/>
      <c r="C194" s="407"/>
      <c r="D194" s="308"/>
      <c r="E194" s="308"/>
      <c r="F194" s="308"/>
      <c r="G194" s="308"/>
      <c r="H194" s="308"/>
      <c r="I194" s="308"/>
    </row>
    <row r="195" spans="1:12" ht="19.899999999999999" customHeight="1" thickBot="1">
      <c r="A195" s="1042" t="s">
        <v>2000</v>
      </c>
      <c r="B195" s="1043"/>
      <c r="C195" s="1043"/>
      <c r="D195" s="1043"/>
      <c r="E195" s="1043"/>
      <c r="F195" s="1043"/>
      <c r="G195" s="1043"/>
      <c r="H195" s="1043"/>
      <c r="I195" s="1043"/>
      <c r="J195" s="1044"/>
    </row>
    <row r="196" spans="1:12" ht="19.899999999999999" customHeight="1" thickBot="1">
      <c r="A196" s="1046" t="s">
        <v>2001</v>
      </c>
      <c r="B196" s="1047"/>
      <c r="C196" s="1047"/>
      <c r="D196" s="1047"/>
      <c r="E196" s="1047"/>
      <c r="F196" s="1047"/>
      <c r="G196" s="1047"/>
      <c r="H196" s="1047"/>
      <c r="I196" s="1047"/>
      <c r="J196" s="1048"/>
    </row>
    <row r="197" spans="1:12" ht="19.899999999999999" customHeight="1">
      <c r="A197" s="1049" t="s">
        <v>1837</v>
      </c>
      <c r="B197" s="1029" t="s">
        <v>1838</v>
      </c>
      <c r="C197" s="1177"/>
      <c r="D197" s="1179" t="s">
        <v>2002</v>
      </c>
      <c r="I197" s="308"/>
      <c r="J197" s="364"/>
    </row>
    <row r="198" spans="1:12" ht="19.899999999999999" customHeight="1">
      <c r="A198" s="1041"/>
      <c r="B198" s="1176"/>
      <c r="C198" s="1050"/>
      <c r="D198" s="1045"/>
      <c r="I198" s="308"/>
      <c r="J198" s="364"/>
    </row>
    <row r="199" spans="1:12" ht="19.899999999999999" customHeight="1" thickBot="1">
      <c r="A199" s="356" t="str">
        <f>CONCATENATE($A$2,"-",$B$2,"-",B199)</f>
        <v>App.7-V11I-P11.1</v>
      </c>
      <c r="B199" s="357" t="s">
        <v>2003</v>
      </c>
      <c r="C199" s="409" t="s">
        <v>2004</v>
      </c>
      <c r="D199" s="323" t="s">
        <v>2005</v>
      </c>
      <c r="E199" s="368"/>
      <c r="F199" s="368"/>
      <c r="G199" s="368"/>
      <c r="H199" s="368"/>
      <c r="I199" s="327"/>
      <c r="J199" s="367"/>
    </row>
    <row r="200" spans="1:12" ht="19.899999999999999" customHeight="1"/>
    <row r="201" spans="1:12" ht="19.899999999999999" customHeight="1" thickBot="1">
      <c r="A201" s="1042" t="s">
        <v>2006</v>
      </c>
      <c r="B201" s="1043"/>
      <c r="C201" s="1043"/>
      <c r="D201" s="1043"/>
      <c r="E201" s="1043"/>
      <c r="F201" s="1043"/>
      <c r="G201" s="1043"/>
      <c r="H201" s="1043"/>
      <c r="I201" s="1043"/>
      <c r="J201" s="1044"/>
    </row>
    <row r="202" spans="1:12" ht="19.899999999999999" customHeight="1">
      <c r="A202" s="1054" t="s">
        <v>2007</v>
      </c>
      <c r="B202" s="1055"/>
      <c r="C202" s="1055"/>
      <c r="D202" s="1055"/>
      <c r="E202" s="1055"/>
      <c r="F202" s="1055"/>
      <c r="G202" s="1055"/>
      <c r="H202" s="1055"/>
      <c r="I202" s="1055"/>
      <c r="J202" s="1056"/>
    </row>
    <row r="203" spans="1:12" ht="25.15" customHeight="1">
      <c r="A203" s="1049" t="s">
        <v>1837</v>
      </c>
      <c r="B203" s="1176" t="s">
        <v>1838</v>
      </c>
      <c r="C203" s="1177"/>
      <c r="D203" s="1178" t="s">
        <v>1839</v>
      </c>
      <c r="E203" s="1178" t="s">
        <v>1840</v>
      </c>
      <c r="F203" s="1178" t="s">
        <v>1841</v>
      </c>
      <c r="G203" s="1178" t="s">
        <v>1842</v>
      </c>
      <c r="H203" s="1178" t="s">
        <v>1843</v>
      </c>
      <c r="I203" s="14"/>
      <c r="J203" s="364"/>
    </row>
    <row r="204" spans="1:12" ht="25.15" customHeight="1">
      <c r="A204" s="1041"/>
      <c r="B204" s="1052"/>
      <c r="C204" s="1050"/>
      <c r="D204" s="408" t="s">
        <v>1846</v>
      </c>
      <c r="E204" s="408" t="s">
        <v>1846</v>
      </c>
      <c r="F204" s="408" t="s">
        <v>1847</v>
      </c>
      <c r="G204" s="408" t="s">
        <v>1848</v>
      </c>
      <c r="H204" s="408" t="s">
        <v>1849</v>
      </c>
      <c r="I204" s="14"/>
      <c r="J204" s="364"/>
    </row>
    <row r="205" spans="1:12" ht="19.899999999999999" customHeight="1">
      <c r="A205" s="369" t="str">
        <f t="shared" ref="A205:A213" si="12">CONCATENATE($A$2,"-",$B$2,"-",B205)</f>
        <v>App.7-V11I-P12.3.1.1</v>
      </c>
      <c r="B205" s="5" t="s">
        <v>2008</v>
      </c>
      <c r="C205" s="398" t="s">
        <v>1853</v>
      </c>
      <c r="D205" s="370" t="s">
        <v>2009</v>
      </c>
      <c r="E205" s="370" t="s">
        <v>2009</v>
      </c>
      <c r="F205" s="371" t="s">
        <v>123</v>
      </c>
      <c r="G205" s="371" t="s">
        <v>123</v>
      </c>
      <c r="H205" s="371" t="s">
        <v>123</v>
      </c>
      <c r="I205" s="14"/>
      <c r="J205" s="364"/>
      <c r="L205" s="405" t="s">
        <v>2010</v>
      </c>
    </row>
    <row r="206" spans="1:12" ht="19.899999999999999" customHeight="1">
      <c r="A206" s="369" t="str">
        <f t="shared" si="12"/>
        <v>App.7-V11I-P12.3.1.2</v>
      </c>
      <c r="B206" s="5" t="s">
        <v>2011</v>
      </c>
      <c r="C206" s="398" t="s">
        <v>171</v>
      </c>
      <c r="D206" s="370" t="s">
        <v>2009</v>
      </c>
      <c r="E206" s="370" t="s">
        <v>2009</v>
      </c>
      <c r="F206" s="371" t="s">
        <v>123</v>
      </c>
      <c r="G206" s="371" t="s">
        <v>2012</v>
      </c>
      <c r="H206" s="371" t="s">
        <v>123</v>
      </c>
      <c r="I206" s="14"/>
      <c r="J206" s="364"/>
      <c r="L206" s="405" t="s">
        <v>1854</v>
      </c>
    </row>
    <row r="207" spans="1:12" ht="19.899999999999999" customHeight="1">
      <c r="A207" s="369" t="str">
        <f t="shared" si="12"/>
        <v>App.7-V11I-P12.3.1.3</v>
      </c>
      <c r="B207" s="5" t="s">
        <v>2013</v>
      </c>
      <c r="C207" s="398" t="s">
        <v>168</v>
      </c>
      <c r="D207" s="371" t="s">
        <v>123</v>
      </c>
      <c r="E207" s="371" t="s">
        <v>123</v>
      </c>
      <c r="F207" s="371" t="s">
        <v>123</v>
      </c>
      <c r="G207" s="372" t="s">
        <v>142</v>
      </c>
      <c r="H207" s="372" t="s">
        <v>142</v>
      </c>
      <c r="I207" s="14"/>
      <c r="J207" s="364"/>
      <c r="L207" s="405"/>
    </row>
    <row r="208" spans="1:12" ht="19.899999999999999" customHeight="1">
      <c r="A208" s="369" t="str">
        <f t="shared" si="12"/>
        <v>App.7-V11I-P12.3.1.4</v>
      </c>
      <c r="B208" s="5" t="s">
        <v>2014</v>
      </c>
      <c r="C208" s="398" t="s">
        <v>114</v>
      </c>
      <c r="D208" s="371" t="s">
        <v>123</v>
      </c>
      <c r="E208" s="371" t="s">
        <v>123</v>
      </c>
      <c r="F208" s="371" t="s">
        <v>123</v>
      </c>
      <c r="G208" s="372" t="s">
        <v>142</v>
      </c>
      <c r="H208" s="373" t="s">
        <v>568</v>
      </c>
      <c r="I208" s="14"/>
      <c r="J208" s="364"/>
    </row>
    <row r="209" spans="1:12" ht="19.899999999999999" customHeight="1">
      <c r="A209" s="369" t="str">
        <f t="shared" si="12"/>
        <v>App.7-V11I-P12.3.1.5</v>
      </c>
      <c r="B209" s="5" t="s">
        <v>2015</v>
      </c>
      <c r="C209" s="398" t="s">
        <v>131</v>
      </c>
      <c r="D209" s="371" t="s">
        <v>123</v>
      </c>
      <c r="E209" s="371" t="s">
        <v>123</v>
      </c>
      <c r="F209" s="371" t="s">
        <v>123</v>
      </c>
      <c r="G209" s="372" t="s">
        <v>142</v>
      </c>
      <c r="H209" s="372" t="s">
        <v>142</v>
      </c>
      <c r="I209" s="14"/>
      <c r="J209" s="364"/>
    </row>
    <row r="210" spans="1:12" ht="19.899999999999999" customHeight="1">
      <c r="A210" s="369" t="str">
        <f t="shared" si="12"/>
        <v>App.7-V11I-P12.3.1.6</v>
      </c>
      <c r="B210" s="5" t="s">
        <v>2016</v>
      </c>
      <c r="C210" s="398" t="s">
        <v>121</v>
      </c>
      <c r="D210" s="371" t="s">
        <v>123</v>
      </c>
      <c r="E210" s="371" t="s">
        <v>123</v>
      </c>
      <c r="F210" s="371" t="s">
        <v>123</v>
      </c>
      <c r="G210" s="372" t="s">
        <v>142</v>
      </c>
      <c r="H210" s="373" t="s">
        <v>568</v>
      </c>
      <c r="I210" s="14"/>
      <c r="J210" s="364"/>
    </row>
    <row r="211" spans="1:12" ht="19.899999999999999" customHeight="1">
      <c r="A211" s="369" t="str">
        <f t="shared" si="12"/>
        <v>App.7-V11I-P12.3.1.7</v>
      </c>
      <c r="B211" s="5" t="s">
        <v>2017</v>
      </c>
      <c r="C211" s="398" t="s">
        <v>1864</v>
      </c>
      <c r="D211" s="372" t="s">
        <v>142</v>
      </c>
      <c r="E211" s="372" t="s">
        <v>142</v>
      </c>
      <c r="F211" s="372" t="s">
        <v>142</v>
      </c>
      <c r="G211" s="373" t="s">
        <v>568</v>
      </c>
      <c r="H211" s="373" t="s">
        <v>568</v>
      </c>
      <c r="I211" s="14"/>
      <c r="J211" s="364"/>
    </row>
    <row r="212" spans="1:12" ht="19.899999999999999" customHeight="1">
      <c r="A212" s="369" t="str">
        <f t="shared" si="12"/>
        <v>App.7-V11I-P12.3.1.8</v>
      </c>
      <c r="B212" s="5" t="s">
        <v>2018</v>
      </c>
      <c r="C212" s="398" t="s">
        <v>277</v>
      </c>
      <c r="D212" s="372" t="s">
        <v>142</v>
      </c>
      <c r="E212" s="372" t="s">
        <v>142</v>
      </c>
      <c r="F212" s="372" t="s">
        <v>142</v>
      </c>
      <c r="G212" s="373" t="s">
        <v>568</v>
      </c>
      <c r="H212" s="373" t="s">
        <v>568</v>
      </c>
      <c r="I212" s="14"/>
      <c r="J212" s="364"/>
    </row>
    <row r="213" spans="1:12" ht="19.899999999999999" customHeight="1" thickBot="1">
      <c r="A213" s="356" t="str">
        <f t="shared" si="12"/>
        <v>App.7-V11I-P12.3.1.9</v>
      </c>
      <c r="B213" s="357" t="s">
        <v>2019</v>
      </c>
      <c r="C213" s="402" t="s">
        <v>1867</v>
      </c>
      <c r="D213" s="374" t="s">
        <v>142</v>
      </c>
      <c r="E213" s="374" t="s">
        <v>142</v>
      </c>
      <c r="F213" s="374" t="s">
        <v>142</v>
      </c>
      <c r="G213" s="375" t="s">
        <v>568</v>
      </c>
      <c r="H213" s="357" t="s">
        <v>1868</v>
      </c>
      <c r="I213" s="368"/>
      <c r="J213" s="367"/>
    </row>
    <row r="214" spans="1:12" ht="19.899999999999999" customHeight="1" thickBot="1"/>
    <row r="215" spans="1:12" ht="19.899999999999999" customHeight="1">
      <c r="A215" s="1054" t="s">
        <v>2020</v>
      </c>
      <c r="B215" s="1055"/>
      <c r="C215" s="1055"/>
      <c r="D215" s="1055"/>
      <c r="E215" s="1055"/>
      <c r="F215" s="1055"/>
      <c r="G215" s="1055"/>
      <c r="H215" s="1055"/>
      <c r="I215" s="1055"/>
      <c r="J215" s="1056"/>
    </row>
    <row r="216" spans="1:12" ht="25.15" customHeight="1">
      <c r="A216" s="1049" t="s">
        <v>1837</v>
      </c>
      <c r="B216" s="1176" t="s">
        <v>1838</v>
      </c>
      <c r="C216" s="1177"/>
      <c r="D216" s="1178" t="s">
        <v>1839</v>
      </c>
      <c r="E216" s="1178" t="s">
        <v>1840</v>
      </c>
      <c r="F216" s="1178" t="s">
        <v>1841</v>
      </c>
      <c r="G216" s="1178" t="s">
        <v>1842</v>
      </c>
      <c r="H216" s="1178" t="s">
        <v>1843</v>
      </c>
      <c r="I216" s="14"/>
      <c r="J216" s="364"/>
    </row>
    <row r="217" spans="1:12" ht="25.15" customHeight="1">
      <c r="A217" s="1041"/>
      <c r="B217" s="1052"/>
      <c r="C217" s="1050"/>
      <c r="D217" s="408" t="s">
        <v>1846</v>
      </c>
      <c r="E217" s="408" t="s">
        <v>1846</v>
      </c>
      <c r="F217" s="408" t="s">
        <v>1847</v>
      </c>
      <c r="G217" s="408" t="s">
        <v>1848</v>
      </c>
      <c r="H217" s="408" t="s">
        <v>1849</v>
      </c>
      <c r="I217" s="14"/>
      <c r="J217" s="364"/>
    </row>
    <row r="218" spans="1:12" ht="19.899999999999999" customHeight="1">
      <c r="A218" s="369" t="str">
        <f t="shared" ref="A218:A226" si="13">CONCATENATE($A$2,"-",$B$2,"-",B218)</f>
        <v>App.7-V11I-P12.3.1.1</v>
      </c>
      <c r="B218" s="5" t="s">
        <v>2008</v>
      </c>
      <c r="C218" s="398" t="s">
        <v>1853</v>
      </c>
      <c r="D218" s="372" t="s">
        <v>142</v>
      </c>
      <c r="E218" s="372" t="s">
        <v>142</v>
      </c>
      <c r="F218" s="372" t="s">
        <v>142</v>
      </c>
      <c r="G218" s="372" t="s">
        <v>142</v>
      </c>
      <c r="H218" s="372" t="s">
        <v>142</v>
      </c>
      <c r="I218" s="14"/>
      <c r="J218" s="364"/>
      <c r="L218" s="405" t="s">
        <v>2010</v>
      </c>
    </row>
    <row r="219" spans="1:12" ht="19.899999999999999" customHeight="1">
      <c r="A219" s="369" t="str">
        <f t="shared" si="13"/>
        <v>App.7-V11I-P12.3.1.2</v>
      </c>
      <c r="B219" s="5" t="s">
        <v>2011</v>
      </c>
      <c r="C219" s="398" t="s">
        <v>171</v>
      </c>
      <c r="D219" s="372" t="s">
        <v>142</v>
      </c>
      <c r="E219" s="372" t="s">
        <v>142</v>
      </c>
      <c r="F219" s="372" t="s">
        <v>142</v>
      </c>
      <c r="G219" s="372" t="s">
        <v>142</v>
      </c>
      <c r="H219" s="372" t="s">
        <v>142</v>
      </c>
      <c r="I219" s="14"/>
      <c r="J219" s="364"/>
      <c r="L219" s="405" t="s">
        <v>1854</v>
      </c>
    </row>
    <row r="220" spans="1:12" ht="19.899999999999999" customHeight="1">
      <c r="A220" s="369" t="str">
        <f t="shared" si="13"/>
        <v>App.7-V11I-P12.3.1.3</v>
      </c>
      <c r="B220" s="5" t="s">
        <v>2013</v>
      </c>
      <c r="C220" s="398" t="s">
        <v>168</v>
      </c>
      <c r="D220" s="373" t="s">
        <v>568</v>
      </c>
      <c r="E220" s="373" t="s">
        <v>568</v>
      </c>
      <c r="F220" s="373" t="s">
        <v>568</v>
      </c>
      <c r="G220" s="373" t="s">
        <v>568</v>
      </c>
      <c r="H220" s="373" t="s">
        <v>568</v>
      </c>
      <c r="I220" s="14"/>
      <c r="J220" s="364"/>
      <c r="L220" s="405"/>
    </row>
    <row r="221" spans="1:12" ht="19.899999999999999" customHeight="1">
      <c r="A221" s="369" t="str">
        <f t="shared" si="13"/>
        <v>App.7-V11I-P12.3.1.4</v>
      </c>
      <c r="B221" s="5" t="s">
        <v>2014</v>
      </c>
      <c r="C221" s="398" t="s">
        <v>114</v>
      </c>
      <c r="D221" s="373" t="s">
        <v>568</v>
      </c>
      <c r="E221" s="373" t="s">
        <v>568</v>
      </c>
      <c r="F221" s="373" t="s">
        <v>568</v>
      </c>
      <c r="G221" s="373" t="s">
        <v>568</v>
      </c>
      <c r="H221" s="373" t="s">
        <v>568</v>
      </c>
      <c r="I221" s="14"/>
      <c r="J221" s="364"/>
    </row>
    <row r="222" spans="1:12" ht="19.899999999999999" customHeight="1">
      <c r="A222" s="369" t="str">
        <f t="shared" si="13"/>
        <v>App.7-V11I-P12.3.1.5</v>
      </c>
      <c r="B222" s="5" t="s">
        <v>2015</v>
      </c>
      <c r="C222" s="398" t="s">
        <v>131</v>
      </c>
      <c r="D222" s="373" t="s">
        <v>568</v>
      </c>
      <c r="E222" s="373" t="s">
        <v>568</v>
      </c>
      <c r="F222" s="373" t="s">
        <v>568</v>
      </c>
      <c r="G222" s="373" t="s">
        <v>568</v>
      </c>
      <c r="H222" s="373" t="s">
        <v>568</v>
      </c>
      <c r="I222" s="14"/>
      <c r="J222" s="364"/>
    </row>
    <row r="223" spans="1:12" ht="19.899999999999999" customHeight="1">
      <c r="A223" s="369" t="str">
        <f t="shared" si="13"/>
        <v>App.7-V11I-P12.3.1.6</v>
      </c>
      <c r="B223" s="5" t="s">
        <v>2016</v>
      </c>
      <c r="C223" s="398" t="s">
        <v>121</v>
      </c>
      <c r="D223" s="373" t="s">
        <v>568</v>
      </c>
      <c r="E223" s="373" t="s">
        <v>568</v>
      </c>
      <c r="F223" s="5" t="s">
        <v>1740</v>
      </c>
      <c r="G223" s="5" t="s">
        <v>1740</v>
      </c>
      <c r="H223" s="5" t="s">
        <v>1740</v>
      </c>
      <c r="I223" s="14"/>
      <c r="J223" s="364"/>
    </row>
    <row r="224" spans="1:12" ht="19.899999999999999" customHeight="1">
      <c r="A224" s="369" t="str">
        <f t="shared" si="13"/>
        <v>App.7-V11I-P12.3.1.7</v>
      </c>
      <c r="B224" s="5" t="s">
        <v>2017</v>
      </c>
      <c r="C224" s="398" t="s">
        <v>1864</v>
      </c>
      <c r="D224" s="5" t="s">
        <v>1740</v>
      </c>
      <c r="E224" s="5" t="s">
        <v>1740</v>
      </c>
      <c r="F224" s="5" t="s">
        <v>1740</v>
      </c>
      <c r="G224" s="5" t="s">
        <v>1740</v>
      </c>
      <c r="H224" s="5" t="s">
        <v>1740</v>
      </c>
      <c r="I224" s="14"/>
      <c r="J224" s="364"/>
    </row>
    <row r="225" spans="1:10" ht="19.899999999999999" customHeight="1">
      <c r="A225" s="369" t="str">
        <f t="shared" si="13"/>
        <v>App.7-V11I-P12.3.1.8</v>
      </c>
      <c r="B225" s="5" t="s">
        <v>2018</v>
      </c>
      <c r="C225" s="398" t="s">
        <v>277</v>
      </c>
      <c r="D225" s="5" t="s">
        <v>1740</v>
      </c>
      <c r="E225" s="5" t="s">
        <v>1740</v>
      </c>
      <c r="F225" s="5" t="s">
        <v>1740</v>
      </c>
      <c r="G225" s="5" t="s">
        <v>1740</v>
      </c>
      <c r="H225" s="5" t="s">
        <v>1740</v>
      </c>
      <c r="I225" s="14"/>
      <c r="J225" s="364"/>
    </row>
    <row r="226" spans="1:10" ht="19.899999999999999" customHeight="1" thickBot="1">
      <c r="A226" s="356" t="str">
        <f t="shared" si="13"/>
        <v>App.7-V11I-P12.3.1.9</v>
      </c>
      <c r="B226" s="357" t="s">
        <v>2019</v>
      </c>
      <c r="C226" s="402" t="s">
        <v>1867</v>
      </c>
      <c r="D226" s="357" t="s">
        <v>1740</v>
      </c>
      <c r="E226" s="357" t="s">
        <v>1740</v>
      </c>
      <c r="F226" s="357" t="s">
        <v>1740</v>
      </c>
      <c r="G226" s="357" t="s">
        <v>1740</v>
      </c>
      <c r="H226" s="357" t="s">
        <v>1868</v>
      </c>
      <c r="I226" s="368"/>
      <c r="J226" s="367"/>
    </row>
    <row r="227" spans="1:10" ht="19.899999999999999" customHeight="1">
      <c r="A227" s="479"/>
      <c r="B227" s="480"/>
      <c r="C227" s="481"/>
      <c r="D227" s="480"/>
      <c r="E227" s="480"/>
      <c r="F227" s="480"/>
      <c r="G227" s="480"/>
      <c r="H227" s="480"/>
      <c r="I227" s="14"/>
    </row>
    <row r="228" spans="1:10" ht="19.899999999999999" customHeight="1" thickBot="1">
      <c r="A228" s="1042" t="s">
        <v>2021</v>
      </c>
      <c r="B228" s="1043"/>
      <c r="C228" s="1043"/>
      <c r="D228" s="1043"/>
      <c r="E228" s="1043"/>
      <c r="F228" s="1043"/>
      <c r="G228" s="1043"/>
      <c r="H228" s="1043"/>
      <c r="I228" s="1043"/>
      <c r="J228" s="1044"/>
    </row>
    <row r="229" spans="1:10" ht="19.899999999999999" customHeight="1" thickBot="1">
      <c r="A229" s="1046" t="s">
        <v>2022</v>
      </c>
      <c r="B229" s="1047"/>
      <c r="C229" s="1047"/>
      <c r="D229" s="1047"/>
      <c r="E229" s="1047"/>
      <c r="F229" s="1047"/>
      <c r="G229" s="1047"/>
      <c r="H229" s="1047"/>
      <c r="I229" s="1047"/>
      <c r="J229" s="1048"/>
    </row>
    <row r="230" spans="1:10" ht="19.899999999999999" customHeight="1">
      <c r="A230" s="1049" t="s">
        <v>1837</v>
      </c>
      <c r="B230" s="1029" t="s">
        <v>1838</v>
      </c>
      <c r="C230" s="1177"/>
      <c r="D230" s="1179" t="s">
        <v>2002</v>
      </c>
      <c r="I230" s="308"/>
      <c r="J230" s="364"/>
    </row>
    <row r="231" spans="1:10" ht="19.899999999999999" customHeight="1">
      <c r="A231" s="1041"/>
      <c r="B231" s="1176"/>
      <c r="C231" s="1050"/>
      <c r="D231" s="1045"/>
      <c r="I231" s="308"/>
      <c r="J231" s="364"/>
    </row>
    <row r="232" spans="1:10" ht="19.899999999999999" customHeight="1" thickBot="1">
      <c r="A232" s="356" t="str">
        <f>CONCATENATE($A$2,"-",$B$2,"-",B232)</f>
        <v>App.7-V11I-P13.3</v>
      </c>
      <c r="B232" s="357" t="s">
        <v>2023</v>
      </c>
      <c r="C232" s="409" t="s">
        <v>1839</v>
      </c>
      <c r="D232" s="323" t="s">
        <v>568</v>
      </c>
      <c r="E232" s="368"/>
      <c r="F232" s="368"/>
      <c r="G232" s="368"/>
      <c r="H232" s="368"/>
      <c r="I232" s="327"/>
      <c r="J232" s="367"/>
    </row>
    <row r="233" spans="1:10" ht="19.899999999999999" customHeight="1" thickBot="1">
      <c r="A233" s="479"/>
      <c r="B233" s="480"/>
      <c r="C233" s="481"/>
      <c r="D233" s="480"/>
      <c r="E233" s="480"/>
      <c r="F233" s="480"/>
      <c r="G233" s="480"/>
      <c r="H233" s="480"/>
      <c r="I233" s="14"/>
    </row>
    <row r="234" spans="1:10" ht="19.899999999999999" customHeight="1" thickBot="1">
      <c r="A234" s="1046" t="s">
        <v>2024</v>
      </c>
      <c r="B234" s="1047"/>
      <c r="C234" s="1047"/>
      <c r="D234" s="1047"/>
      <c r="E234" s="1047"/>
      <c r="F234" s="1047"/>
      <c r="G234" s="1047"/>
      <c r="H234" s="1047"/>
      <c r="I234" s="1047"/>
      <c r="J234" s="1048"/>
    </row>
    <row r="235" spans="1:10" ht="19.899999999999999" customHeight="1">
      <c r="A235" s="1049" t="s">
        <v>1837</v>
      </c>
      <c r="B235" s="1029" t="s">
        <v>1838</v>
      </c>
      <c r="C235" s="1177"/>
      <c r="D235" s="1179" t="s">
        <v>2002</v>
      </c>
      <c r="I235" s="308"/>
      <c r="J235" s="364"/>
    </row>
    <row r="236" spans="1:10" ht="19.899999999999999" customHeight="1">
      <c r="A236" s="1041"/>
      <c r="B236" s="1176"/>
      <c r="C236" s="1050"/>
      <c r="D236" s="1045"/>
      <c r="I236" s="308"/>
      <c r="J236" s="364"/>
    </row>
    <row r="237" spans="1:10" ht="19.899999999999999" customHeight="1" thickBot="1">
      <c r="A237" s="356" t="str">
        <f>CONCATENATE($A$2,"-",$B$2,"-",B237)</f>
        <v>App.7-V11I-P13.3</v>
      </c>
      <c r="B237" s="357" t="s">
        <v>2023</v>
      </c>
      <c r="C237" s="409" t="s">
        <v>1839</v>
      </c>
      <c r="D237" s="323" t="s">
        <v>568</v>
      </c>
      <c r="E237" s="368"/>
      <c r="F237" s="368"/>
      <c r="G237" s="368"/>
      <c r="H237" s="368"/>
      <c r="I237" s="327"/>
      <c r="J237" s="367"/>
    </row>
    <row r="238" spans="1:10" ht="19.899999999999999" customHeight="1">
      <c r="A238" s="479"/>
      <c r="B238" s="480"/>
      <c r="C238" s="482"/>
      <c r="D238" s="483"/>
      <c r="I238" s="308"/>
    </row>
    <row r="239" spans="1:10" ht="19.899999999999999" customHeight="1" thickBot="1">
      <c r="A239" s="1042" t="s">
        <v>2025</v>
      </c>
      <c r="B239" s="1043"/>
      <c r="C239" s="1043"/>
      <c r="D239" s="1043"/>
      <c r="E239" s="1043"/>
      <c r="F239" s="1043"/>
      <c r="G239" s="1043"/>
      <c r="H239" s="1043"/>
      <c r="I239" s="1043"/>
      <c r="J239" s="1044"/>
    </row>
    <row r="240" spans="1:10" ht="19.899999999999999" customHeight="1">
      <c r="A240" s="1040" t="s">
        <v>1837</v>
      </c>
      <c r="B240" s="1051" t="s">
        <v>1838</v>
      </c>
      <c r="C240" s="1053"/>
      <c r="D240" s="1051" t="s">
        <v>2026</v>
      </c>
      <c r="E240" s="376"/>
      <c r="F240" s="376"/>
      <c r="G240" s="376"/>
      <c r="H240" s="376"/>
      <c r="I240" s="377"/>
      <c r="J240" s="378"/>
    </row>
    <row r="241" spans="1:10" ht="19.899999999999999" customHeight="1">
      <c r="A241" s="1041"/>
      <c r="B241" s="1052"/>
      <c r="C241" s="1050"/>
      <c r="D241" s="1052"/>
      <c r="J241" s="364"/>
    </row>
    <row r="242" spans="1:10" ht="19.899999999999999" customHeight="1">
      <c r="A242" s="1069" t="str">
        <f t="shared" ref="A242" si="14">CONCATENATE($A$2,"-",$B$2,"-",B242)</f>
        <v>App.7-V11I-P10.1</v>
      </c>
      <c r="B242" s="1012" t="s">
        <v>2027</v>
      </c>
      <c r="C242" s="1015" t="s">
        <v>201</v>
      </c>
      <c r="D242" s="5" t="s">
        <v>2028</v>
      </c>
      <c r="J242" s="364"/>
    </row>
    <row r="243" spans="1:10" ht="19.899999999999999" customHeight="1">
      <c r="A243" s="1069"/>
      <c r="B243" s="1013"/>
      <c r="C243" s="1015"/>
      <c r="D243" s="358" t="s">
        <v>168</v>
      </c>
      <c r="J243" s="364"/>
    </row>
    <row r="244" spans="1:10" ht="19.899999999999999" customHeight="1">
      <c r="A244" s="1069"/>
      <c r="B244" s="1013"/>
      <c r="C244" s="1015"/>
      <c r="D244" s="358" t="s">
        <v>549</v>
      </c>
      <c r="J244" s="364"/>
    </row>
    <row r="245" spans="1:10" ht="19.899999999999999" customHeight="1" thickBot="1">
      <c r="A245" s="1070"/>
      <c r="B245" s="1014"/>
      <c r="C245" s="1016"/>
      <c r="D245" s="323" t="s">
        <v>139</v>
      </c>
      <c r="E245" s="368"/>
      <c r="F245" s="368"/>
      <c r="G245" s="368"/>
      <c r="H245" s="368"/>
      <c r="I245" s="379"/>
      <c r="J245" s="367"/>
    </row>
    <row r="246" spans="1:10" ht="19.899999999999999" customHeight="1"/>
    <row r="247" spans="1:10" ht="30" customHeight="1">
      <c r="A247" s="1009" t="s">
        <v>2029</v>
      </c>
      <c r="B247" s="1010"/>
      <c r="C247" s="1010"/>
      <c r="D247" s="1010"/>
      <c r="E247" s="1010"/>
      <c r="F247" s="1010"/>
      <c r="G247" s="1010"/>
      <c r="H247" s="1010"/>
      <c r="I247" s="1010"/>
      <c r="J247" s="1011"/>
    </row>
    <row r="248" spans="1:10" ht="19.899999999999999" customHeight="1" thickBot="1">
      <c r="A248" s="14"/>
      <c r="B248" s="14"/>
      <c r="C248" s="14"/>
      <c r="I248" s="14"/>
    </row>
    <row r="249" spans="1:10" ht="25.15" customHeight="1">
      <c r="A249" s="1057" t="s">
        <v>1837</v>
      </c>
      <c r="B249" s="1030"/>
      <c r="C249" s="1028" t="s">
        <v>2030</v>
      </c>
      <c r="D249" s="394" t="s">
        <v>1839</v>
      </c>
      <c r="E249" s="394" t="s">
        <v>1840</v>
      </c>
      <c r="F249" s="394" t="s">
        <v>1841</v>
      </c>
      <c r="G249" s="394" t="s">
        <v>1842</v>
      </c>
      <c r="H249" s="394" t="s">
        <v>1843</v>
      </c>
      <c r="I249" s="324"/>
      <c r="J249" s="325"/>
    </row>
    <row r="250" spans="1:10" ht="25.15" customHeight="1">
      <c r="A250" s="1058"/>
      <c r="B250" s="1180"/>
      <c r="C250" s="1176"/>
      <c r="D250" s="396" t="s">
        <v>1846</v>
      </c>
      <c r="E250" s="396" t="s">
        <v>2031</v>
      </c>
      <c r="F250" s="396" t="s">
        <v>1847</v>
      </c>
      <c r="G250" s="396" t="s">
        <v>1848</v>
      </c>
      <c r="H250" s="396" t="s">
        <v>1849</v>
      </c>
      <c r="I250" s="307"/>
      <c r="J250" s="326"/>
    </row>
    <row r="251" spans="1:10" ht="19.899999999999999" customHeight="1">
      <c r="A251" s="1023" t="str">
        <f>CONCATENATE($A$3,"-",$B$3,"-P10.3")</f>
        <v>App.8-V08H-P10.3</v>
      </c>
      <c r="B251" s="1015" t="s">
        <v>2032</v>
      </c>
      <c r="C251" s="410" t="s">
        <v>2033</v>
      </c>
      <c r="D251" s="361" t="s">
        <v>232</v>
      </c>
      <c r="E251" s="361" t="s">
        <v>232</v>
      </c>
      <c r="F251" s="361" t="s">
        <v>232</v>
      </c>
      <c r="G251" s="380" t="s">
        <v>562</v>
      </c>
      <c r="H251" s="380" t="s">
        <v>562</v>
      </c>
      <c r="I251" s="307"/>
      <c r="J251" s="326"/>
    </row>
    <row r="252" spans="1:10" ht="19.899999999999999" customHeight="1">
      <c r="A252" s="1024"/>
      <c r="B252" s="1015"/>
      <c r="C252" s="410" t="s">
        <v>2034</v>
      </c>
      <c r="D252" s="361" t="s">
        <v>232</v>
      </c>
      <c r="E252" s="361" t="s">
        <v>232</v>
      </c>
      <c r="F252" s="361" t="s">
        <v>232</v>
      </c>
      <c r="G252" s="380" t="s">
        <v>562</v>
      </c>
      <c r="H252" s="380" t="s">
        <v>562</v>
      </c>
      <c r="I252" s="307"/>
      <c r="J252" s="326"/>
    </row>
    <row r="253" spans="1:10" ht="19.899999999999999" customHeight="1">
      <c r="A253" s="1024"/>
      <c r="B253" s="1015"/>
      <c r="C253" s="410" t="s">
        <v>2035</v>
      </c>
      <c r="D253" s="361" t="s">
        <v>232</v>
      </c>
      <c r="E253" s="361" t="s">
        <v>232</v>
      </c>
      <c r="F253" s="361" t="s">
        <v>232</v>
      </c>
      <c r="G253" s="380" t="s">
        <v>562</v>
      </c>
      <c r="H253" s="380" t="s">
        <v>562</v>
      </c>
      <c r="I253" s="307"/>
      <c r="J253" s="326"/>
    </row>
    <row r="254" spans="1:10" ht="19.899999999999999" customHeight="1">
      <c r="A254" s="1024"/>
      <c r="B254" s="1015"/>
      <c r="C254" s="410" t="s">
        <v>2036</v>
      </c>
      <c r="D254" s="361" t="s">
        <v>232</v>
      </c>
      <c r="E254" s="361" t="s">
        <v>232</v>
      </c>
      <c r="F254" s="361" t="s">
        <v>232</v>
      </c>
      <c r="G254" s="380" t="s">
        <v>562</v>
      </c>
      <c r="H254" s="380" t="s">
        <v>562</v>
      </c>
      <c r="I254" s="307"/>
      <c r="J254" s="326"/>
    </row>
    <row r="255" spans="1:10" ht="19.899999999999999" customHeight="1">
      <c r="A255" s="1024"/>
      <c r="B255" s="1015" t="s">
        <v>2037</v>
      </c>
      <c r="C255" s="410" t="s">
        <v>2033</v>
      </c>
      <c r="D255" s="361" t="s">
        <v>232</v>
      </c>
      <c r="E255" s="361" t="s">
        <v>232</v>
      </c>
      <c r="F255" s="380" t="s">
        <v>562</v>
      </c>
      <c r="G255" s="380" t="s">
        <v>562</v>
      </c>
      <c r="H255" s="381" t="s">
        <v>250</v>
      </c>
      <c r="I255" s="307"/>
      <c r="J255" s="326"/>
    </row>
    <row r="256" spans="1:10" ht="19.899999999999999" customHeight="1">
      <c r="A256" s="1024"/>
      <c r="B256" s="1015"/>
      <c r="C256" s="410" t="s">
        <v>2034</v>
      </c>
      <c r="D256" s="361" t="s">
        <v>232</v>
      </c>
      <c r="E256" s="361" t="s">
        <v>232</v>
      </c>
      <c r="F256" s="380" t="s">
        <v>562</v>
      </c>
      <c r="G256" s="380" t="s">
        <v>562</v>
      </c>
      <c r="H256" s="381" t="s">
        <v>250</v>
      </c>
      <c r="I256" s="307"/>
      <c r="J256" s="326"/>
    </row>
    <row r="257" spans="1:10" ht="19.899999999999999" customHeight="1">
      <c r="A257" s="1024"/>
      <c r="B257" s="1015"/>
      <c r="C257" s="410" t="s">
        <v>2035</v>
      </c>
      <c r="D257" s="361" t="s">
        <v>232</v>
      </c>
      <c r="E257" s="361" t="s">
        <v>232</v>
      </c>
      <c r="F257" s="380" t="s">
        <v>562</v>
      </c>
      <c r="G257" s="380" t="s">
        <v>562</v>
      </c>
      <c r="H257" s="381" t="s">
        <v>250</v>
      </c>
      <c r="I257" s="307"/>
      <c r="J257" s="326"/>
    </row>
    <row r="258" spans="1:10" ht="19.899999999999999" customHeight="1">
      <c r="A258" s="1024"/>
      <c r="B258" s="1015"/>
      <c r="C258" s="410" t="s">
        <v>2036</v>
      </c>
      <c r="D258" s="361" t="s">
        <v>232</v>
      </c>
      <c r="E258" s="361" t="s">
        <v>232</v>
      </c>
      <c r="F258" s="380" t="s">
        <v>562</v>
      </c>
      <c r="G258" s="380" t="s">
        <v>562</v>
      </c>
      <c r="H258" s="381" t="s">
        <v>250</v>
      </c>
      <c r="I258" s="307"/>
      <c r="J258" s="326"/>
    </row>
    <row r="259" spans="1:10" ht="19.899999999999999" customHeight="1">
      <c r="A259" s="1024"/>
      <c r="B259" s="1015" t="s">
        <v>2038</v>
      </c>
      <c r="C259" s="410" t="s">
        <v>2033</v>
      </c>
      <c r="D259" s="382" t="s">
        <v>268</v>
      </c>
      <c r="E259" s="382" t="s">
        <v>268</v>
      </c>
      <c r="F259" s="360" t="s">
        <v>2039</v>
      </c>
      <c r="G259" s="360" t="s">
        <v>2039</v>
      </c>
      <c r="H259" s="381" t="s">
        <v>250</v>
      </c>
      <c r="I259" s="307"/>
      <c r="J259" s="326"/>
    </row>
    <row r="260" spans="1:10" ht="19.899999999999999" customHeight="1">
      <c r="A260" s="1024"/>
      <c r="B260" s="1015"/>
      <c r="C260" s="410" t="s">
        <v>2034</v>
      </c>
      <c r="D260" s="382" t="s">
        <v>268</v>
      </c>
      <c r="E260" s="382" t="s">
        <v>268</v>
      </c>
      <c r="F260" s="360" t="s">
        <v>2039</v>
      </c>
      <c r="G260" s="360" t="s">
        <v>2039</v>
      </c>
      <c r="H260" s="381" t="s">
        <v>250</v>
      </c>
      <c r="I260" s="307"/>
      <c r="J260" s="326"/>
    </row>
    <row r="261" spans="1:10" ht="19.899999999999999" customHeight="1">
      <c r="A261" s="1024"/>
      <c r="B261" s="1015"/>
      <c r="C261" s="410" t="s">
        <v>2035</v>
      </c>
      <c r="D261" s="382" t="s">
        <v>268</v>
      </c>
      <c r="E261" s="382" t="s">
        <v>268</v>
      </c>
      <c r="F261" s="360" t="s">
        <v>2039</v>
      </c>
      <c r="G261" s="360" t="s">
        <v>2039</v>
      </c>
      <c r="H261" s="381" t="s">
        <v>250</v>
      </c>
      <c r="I261" s="307"/>
      <c r="J261" s="326"/>
    </row>
    <row r="262" spans="1:10" ht="19.899999999999999" customHeight="1">
      <c r="A262" s="1024"/>
      <c r="B262" s="1015"/>
      <c r="C262" s="410" t="s">
        <v>2036</v>
      </c>
      <c r="D262" s="382" t="s">
        <v>268</v>
      </c>
      <c r="E262" s="382" t="s">
        <v>268</v>
      </c>
      <c r="F262" s="360" t="s">
        <v>2039</v>
      </c>
      <c r="G262" s="360" t="s">
        <v>2039</v>
      </c>
      <c r="H262" s="381" t="s">
        <v>250</v>
      </c>
      <c r="I262" s="307"/>
      <c r="J262" s="326"/>
    </row>
    <row r="263" spans="1:10" ht="19.899999999999999" customHeight="1">
      <c r="A263" s="1024"/>
      <c r="B263" s="1015" t="s">
        <v>2040</v>
      </c>
      <c r="C263" s="410" t="s">
        <v>2033</v>
      </c>
      <c r="D263" s="381" t="s">
        <v>250</v>
      </c>
      <c r="E263" s="381" t="s">
        <v>250</v>
      </c>
      <c r="F263" s="381" t="s">
        <v>250</v>
      </c>
      <c r="G263" s="381" t="s">
        <v>250</v>
      </c>
      <c r="H263" s="381" t="s">
        <v>250</v>
      </c>
      <c r="I263" s="307"/>
      <c r="J263" s="326"/>
    </row>
    <row r="264" spans="1:10" ht="19.899999999999999" customHeight="1">
      <c r="A264" s="1024"/>
      <c r="B264" s="1015"/>
      <c r="C264" s="410" t="s">
        <v>2034</v>
      </c>
      <c r="D264" s="381" t="s">
        <v>250</v>
      </c>
      <c r="E264" s="381" t="s">
        <v>250</v>
      </c>
      <c r="F264" s="381" t="s">
        <v>250</v>
      </c>
      <c r="G264" s="381" t="s">
        <v>250</v>
      </c>
      <c r="H264" s="381" t="s">
        <v>250</v>
      </c>
      <c r="I264" s="307"/>
      <c r="J264" s="326"/>
    </row>
    <row r="265" spans="1:10" ht="19.899999999999999" customHeight="1">
      <c r="A265" s="1024"/>
      <c r="B265" s="1015"/>
      <c r="C265" s="410" t="s">
        <v>2035</v>
      </c>
      <c r="D265" s="381" t="s">
        <v>250</v>
      </c>
      <c r="E265" s="381" t="s">
        <v>250</v>
      </c>
      <c r="F265" s="381" t="s">
        <v>250</v>
      </c>
      <c r="G265" s="381" t="s">
        <v>250</v>
      </c>
      <c r="H265" s="381" t="s">
        <v>250</v>
      </c>
      <c r="I265" s="307"/>
      <c r="J265" s="326"/>
    </row>
    <row r="266" spans="1:10" ht="19.899999999999999" customHeight="1">
      <c r="A266" s="1024"/>
      <c r="B266" s="1015"/>
      <c r="C266" s="410" t="s">
        <v>2036</v>
      </c>
      <c r="D266" s="381" t="s">
        <v>250</v>
      </c>
      <c r="E266" s="381" t="s">
        <v>250</v>
      </c>
      <c r="F266" s="381" t="s">
        <v>250</v>
      </c>
      <c r="G266" s="381" t="s">
        <v>250</v>
      </c>
      <c r="H266" s="381" t="s">
        <v>250</v>
      </c>
      <c r="I266" s="307"/>
      <c r="J266" s="326"/>
    </row>
    <row r="267" spans="1:10" ht="19.899999999999999" customHeight="1">
      <c r="A267" s="1024"/>
      <c r="B267" s="1015"/>
      <c r="C267" s="410" t="s">
        <v>2041</v>
      </c>
      <c r="D267" s="383" t="s">
        <v>250</v>
      </c>
      <c r="E267" s="383" t="s">
        <v>250</v>
      </c>
      <c r="F267" s="383" t="s">
        <v>250</v>
      </c>
      <c r="G267" s="383" t="s">
        <v>250</v>
      </c>
      <c r="H267" s="383" t="s">
        <v>250</v>
      </c>
      <c r="I267" s="307"/>
      <c r="J267" s="326"/>
    </row>
    <row r="268" spans="1:10" ht="19.899999999999999" customHeight="1">
      <c r="A268" s="1024"/>
      <c r="B268" s="1015" t="s">
        <v>2042</v>
      </c>
      <c r="C268" s="410" t="s">
        <v>2033</v>
      </c>
      <c r="D268" s="384" t="s">
        <v>455</v>
      </c>
      <c r="E268" s="384" t="s">
        <v>455</v>
      </c>
      <c r="F268" s="384" t="s">
        <v>455</v>
      </c>
      <c r="G268" s="384" t="s">
        <v>455</v>
      </c>
      <c r="H268" s="384" t="s">
        <v>455</v>
      </c>
      <c r="I268" s="308"/>
      <c r="J268" s="326"/>
    </row>
    <row r="269" spans="1:10" ht="19.899999999999999" customHeight="1">
      <c r="A269" s="1024"/>
      <c r="B269" s="1015"/>
      <c r="C269" s="410" t="s">
        <v>2034</v>
      </c>
      <c r="D269" s="384" t="s">
        <v>455</v>
      </c>
      <c r="E269" s="384" t="s">
        <v>455</v>
      </c>
      <c r="F269" s="384" t="s">
        <v>455</v>
      </c>
      <c r="G269" s="384" t="s">
        <v>455</v>
      </c>
      <c r="H269" s="384" t="s">
        <v>455</v>
      </c>
      <c r="I269" s="308"/>
      <c r="J269" s="326"/>
    </row>
    <row r="270" spans="1:10" ht="19.899999999999999" customHeight="1">
      <c r="A270" s="1024"/>
      <c r="B270" s="1015"/>
      <c r="C270" s="410" t="s">
        <v>2035</v>
      </c>
      <c r="D270" s="384" t="s">
        <v>455</v>
      </c>
      <c r="E270" s="384" t="s">
        <v>455</v>
      </c>
      <c r="F270" s="384" t="s">
        <v>455</v>
      </c>
      <c r="G270" s="384" t="s">
        <v>455</v>
      </c>
      <c r="H270" s="384" t="s">
        <v>455</v>
      </c>
      <c r="I270" s="308"/>
      <c r="J270" s="326"/>
    </row>
    <row r="271" spans="1:10" ht="19.899999999999999" customHeight="1">
      <c r="A271" s="1024"/>
      <c r="B271" s="1015"/>
      <c r="C271" s="410" t="s">
        <v>2036</v>
      </c>
      <c r="D271" s="384" t="s">
        <v>455</v>
      </c>
      <c r="E271" s="384" t="s">
        <v>455</v>
      </c>
      <c r="F271" s="384" t="s">
        <v>455</v>
      </c>
      <c r="G271" s="384" t="s">
        <v>455</v>
      </c>
      <c r="H271" s="384" t="s">
        <v>455</v>
      </c>
      <c r="I271" s="308"/>
      <c r="J271" s="326"/>
    </row>
    <row r="272" spans="1:10" ht="19.899999999999999" customHeight="1">
      <c r="A272" s="1024"/>
      <c r="B272" s="1015"/>
      <c r="C272" s="410" t="s">
        <v>2041</v>
      </c>
      <c r="D272" s="384" t="s">
        <v>455</v>
      </c>
      <c r="E272" s="384" t="s">
        <v>455</v>
      </c>
      <c r="F272" s="384" t="s">
        <v>455</v>
      </c>
      <c r="G272" s="384" t="s">
        <v>455</v>
      </c>
      <c r="H272" s="384" t="s">
        <v>455</v>
      </c>
      <c r="I272" s="308"/>
      <c r="J272" s="326"/>
    </row>
    <row r="273" spans="1:10" ht="19.899999999999999" customHeight="1">
      <c r="A273" s="1024"/>
      <c r="B273" s="1026" t="s">
        <v>2043</v>
      </c>
      <c r="C273" s="410" t="s">
        <v>2033</v>
      </c>
      <c r="D273" s="385" t="s">
        <v>247</v>
      </c>
      <c r="E273" s="385" t="s">
        <v>247</v>
      </c>
      <c r="F273" s="385" t="s">
        <v>247</v>
      </c>
      <c r="G273" s="385" t="s">
        <v>247</v>
      </c>
      <c r="H273" s="385" t="s">
        <v>247</v>
      </c>
      <c r="I273" s="308"/>
      <c r="J273" s="326"/>
    </row>
    <row r="274" spans="1:10" ht="19.899999999999999" customHeight="1">
      <c r="A274" s="1024"/>
      <c r="B274" s="1027"/>
      <c r="C274" s="410" t="s">
        <v>2034</v>
      </c>
      <c r="D274" s="385" t="s">
        <v>247</v>
      </c>
      <c r="E274" s="385" t="s">
        <v>247</v>
      </c>
      <c r="F274" s="385" t="s">
        <v>247</v>
      </c>
      <c r="G274" s="385" t="s">
        <v>247</v>
      </c>
      <c r="H274" s="385" t="s">
        <v>247</v>
      </c>
      <c r="I274" s="308"/>
      <c r="J274" s="326"/>
    </row>
    <row r="275" spans="1:10" ht="19.899999999999999" customHeight="1">
      <c r="A275" s="1024"/>
      <c r="B275" s="1027"/>
      <c r="C275" s="410" t="s">
        <v>2035</v>
      </c>
      <c r="D275" s="385" t="s">
        <v>247</v>
      </c>
      <c r="E275" s="385" t="s">
        <v>247</v>
      </c>
      <c r="F275" s="385" t="s">
        <v>247</v>
      </c>
      <c r="G275" s="385" t="s">
        <v>247</v>
      </c>
      <c r="H275" s="385" t="s">
        <v>247</v>
      </c>
      <c r="I275" s="308"/>
      <c r="J275" s="326"/>
    </row>
    <row r="276" spans="1:10" ht="19.899999999999999" customHeight="1">
      <c r="A276" s="1024"/>
      <c r="B276" s="1027"/>
      <c r="C276" s="410" t="s">
        <v>2036</v>
      </c>
      <c r="D276" s="385" t="s">
        <v>247</v>
      </c>
      <c r="E276" s="385" t="s">
        <v>247</v>
      </c>
      <c r="F276" s="385" t="s">
        <v>247</v>
      </c>
      <c r="G276" s="385" t="s">
        <v>247</v>
      </c>
      <c r="H276" s="385" t="s">
        <v>247</v>
      </c>
      <c r="I276" s="308"/>
      <c r="J276" s="326"/>
    </row>
    <row r="277" spans="1:10" ht="19.899999999999999" customHeight="1">
      <c r="A277" s="1024"/>
      <c r="B277" s="1027"/>
      <c r="C277" s="410" t="s">
        <v>2041</v>
      </c>
      <c r="D277" s="385" t="s">
        <v>247</v>
      </c>
      <c r="E277" s="385" t="s">
        <v>247</v>
      </c>
      <c r="F277" s="385" t="s">
        <v>247</v>
      </c>
      <c r="G277" s="385" t="s">
        <v>247</v>
      </c>
      <c r="H277" s="385" t="s">
        <v>247</v>
      </c>
      <c r="I277" s="308"/>
      <c r="J277" s="326"/>
    </row>
    <row r="278" spans="1:10" ht="19.899999999999999" customHeight="1">
      <c r="A278" s="1024"/>
      <c r="B278" s="1027"/>
      <c r="C278" s="410" t="s">
        <v>2044</v>
      </c>
      <c r="D278" s="385" t="s">
        <v>247</v>
      </c>
      <c r="E278" s="385" t="s">
        <v>247</v>
      </c>
      <c r="F278" s="385" t="s">
        <v>247</v>
      </c>
      <c r="G278" s="385" t="s">
        <v>247</v>
      </c>
      <c r="H278" s="385" t="s">
        <v>247</v>
      </c>
      <c r="I278" s="308"/>
      <c r="J278" s="326"/>
    </row>
    <row r="279" spans="1:10" ht="19.899999999999999" customHeight="1">
      <c r="A279" s="1024"/>
      <c r="B279" s="1181"/>
      <c r="C279" s="410" t="s">
        <v>2045</v>
      </c>
      <c r="D279" s="385" t="s">
        <v>247</v>
      </c>
      <c r="E279" s="385" t="s">
        <v>247</v>
      </c>
      <c r="F279" s="385" t="s">
        <v>247</v>
      </c>
      <c r="G279" s="385" t="s">
        <v>247</v>
      </c>
      <c r="H279" s="385" t="s">
        <v>247</v>
      </c>
      <c r="I279" s="308"/>
      <c r="J279" s="326"/>
    </row>
    <row r="280" spans="1:10" ht="19.899999999999999" customHeight="1">
      <c r="A280" s="1024"/>
      <c r="B280" s="1015" t="s">
        <v>2046</v>
      </c>
      <c r="C280" s="410" t="s">
        <v>2033</v>
      </c>
      <c r="D280" s="66" t="s">
        <v>1408</v>
      </c>
      <c r="E280" s="66" t="s">
        <v>1408</v>
      </c>
      <c r="F280" s="66" t="s">
        <v>1408</v>
      </c>
      <c r="G280" s="66" t="s">
        <v>1408</v>
      </c>
      <c r="H280" s="66" t="s">
        <v>1408</v>
      </c>
      <c r="I280" s="308"/>
      <c r="J280" s="326"/>
    </row>
    <row r="281" spans="1:10" ht="19.899999999999999" customHeight="1">
      <c r="A281" s="1024"/>
      <c r="B281" s="1015"/>
      <c r="C281" s="410" t="s">
        <v>2034</v>
      </c>
      <c r="D281" s="66" t="s">
        <v>1408</v>
      </c>
      <c r="E281" s="66" t="s">
        <v>1408</v>
      </c>
      <c r="F281" s="66" t="s">
        <v>1408</v>
      </c>
      <c r="G281" s="66" t="s">
        <v>1408</v>
      </c>
      <c r="H281" s="66" t="s">
        <v>1408</v>
      </c>
      <c r="I281" s="308"/>
      <c r="J281" s="326"/>
    </row>
    <row r="282" spans="1:10" ht="19.899999999999999" customHeight="1">
      <c r="A282" s="1024"/>
      <c r="B282" s="1015"/>
      <c r="C282" s="410" t="s">
        <v>2035</v>
      </c>
      <c r="D282" s="66" t="s">
        <v>1408</v>
      </c>
      <c r="E282" s="66" t="s">
        <v>1408</v>
      </c>
      <c r="F282" s="66" t="s">
        <v>1408</v>
      </c>
      <c r="G282" s="66" t="s">
        <v>1408</v>
      </c>
      <c r="H282" s="66" t="s">
        <v>1408</v>
      </c>
      <c r="I282" s="308"/>
      <c r="J282" s="326"/>
    </row>
    <row r="283" spans="1:10" ht="19.899999999999999" customHeight="1">
      <c r="A283" s="1024"/>
      <c r="B283" s="1015"/>
      <c r="C283" s="410" t="s">
        <v>2036</v>
      </c>
      <c r="D283" s="66" t="s">
        <v>1408</v>
      </c>
      <c r="E283" s="66" t="s">
        <v>1408</v>
      </c>
      <c r="F283" s="66" t="s">
        <v>1408</v>
      </c>
      <c r="G283" s="66" t="s">
        <v>1408</v>
      </c>
      <c r="H283" s="66" t="s">
        <v>1408</v>
      </c>
      <c r="I283" s="308"/>
      <c r="J283" s="326"/>
    </row>
    <row r="284" spans="1:10" ht="19.899999999999999" customHeight="1" thickBot="1">
      <c r="A284" s="1025"/>
      <c r="B284" s="1016"/>
      <c r="C284" s="411" t="s">
        <v>2041</v>
      </c>
      <c r="D284" s="386" t="s">
        <v>1408</v>
      </c>
      <c r="E284" s="386" t="s">
        <v>1408</v>
      </c>
      <c r="F284" s="386" t="s">
        <v>1408</v>
      </c>
      <c r="G284" s="386" t="s">
        <v>1408</v>
      </c>
      <c r="H284" s="386" t="s">
        <v>1408</v>
      </c>
      <c r="I284" s="327"/>
      <c r="J284" s="328"/>
    </row>
    <row r="285" spans="1:10" ht="19.899999999999999" customHeight="1"/>
    <row r="286" spans="1:10" ht="19.899999999999999" customHeight="1" thickBot="1">
      <c r="A286" s="1042" t="s">
        <v>2047</v>
      </c>
      <c r="B286" s="1043"/>
      <c r="C286" s="1043"/>
      <c r="D286" s="1043"/>
      <c r="E286" s="1043"/>
      <c r="F286" s="1043"/>
      <c r="G286" s="1043"/>
      <c r="H286" s="1043"/>
      <c r="I286" s="1043"/>
      <c r="J286" s="1044"/>
    </row>
    <row r="287" spans="1:10" ht="25.15" customHeight="1">
      <c r="A287" s="1057" t="s">
        <v>1837</v>
      </c>
      <c r="B287" s="1030"/>
      <c r="C287" s="1028" t="s">
        <v>2030</v>
      </c>
      <c r="D287" s="394" t="s">
        <v>1839</v>
      </c>
      <c r="E287" s="394" t="s">
        <v>1840</v>
      </c>
      <c r="F287" s="394" t="s">
        <v>1841</v>
      </c>
      <c r="G287" s="394" t="s">
        <v>1842</v>
      </c>
      <c r="H287" s="394" t="s">
        <v>1843</v>
      </c>
      <c r="I287" s="329"/>
      <c r="J287" s="378"/>
    </row>
    <row r="288" spans="1:10" ht="25.15" customHeight="1" thickBot="1">
      <c r="A288" s="1058"/>
      <c r="B288" s="1031"/>
      <c r="C288" s="1029"/>
      <c r="D288" s="412" t="s">
        <v>1846</v>
      </c>
      <c r="E288" s="412" t="s">
        <v>2031</v>
      </c>
      <c r="F288" s="412" t="s">
        <v>1847</v>
      </c>
      <c r="G288" s="412" t="s">
        <v>1848</v>
      </c>
      <c r="H288" s="412" t="s">
        <v>1849</v>
      </c>
      <c r="I288" s="68"/>
      <c r="J288" s="364"/>
    </row>
    <row r="289" spans="1:10" ht="19.899999999999999" customHeight="1">
      <c r="A289" s="1059" t="str">
        <f>CONCATENATE($A$3,"-",$B$3,"-P10.3.2")</f>
        <v>App.8-V08H-P10.3.2</v>
      </c>
      <c r="B289" s="1015" t="s">
        <v>2032</v>
      </c>
      <c r="C289" s="410" t="s">
        <v>2033</v>
      </c>
      <c r="D289" s="385" t="s">
        <v>247</v>
      </c>
      <c r="E289" s="385" t="s">
        <v>247</v>
      </c>
      <c r="F289" s="385" t="s">
        <v>247</v>
      </c>
      <c r="G289" s="385" t="s">
        <v>247</v>
      </c>
      <c r="H289" s="385" t="s">
        <v>247</v>
      </c>
      <c r="J289" s="364"/>
    </row>
    <row r="290" spans="1:10" ht="19.899999999999999" customHeight="1">
      <c r="A290" s="1060"/>
      <c r="B290" s="1015"/>
      <c r="C290" s="410" t="s">
        <v>2034</v>
      </c>
      <c r="D290" s="385" t="s">
        <v>247</v>
      </c>
      <c r="E290" s="385" t="s">
        <v>247</v>
      </c>
      <c r="F290" s="385" t="s">
        <v>247</v>
      </c>
      <c r="G290" s="385" t="s">
        <v>247</v>
      </c>
      <c r="H290" s="385" t="s">
        <v>247</v>
      </c>
      <c r="J290" s="364"/>
    </row>
    <row r="291" spans="1:10" ht="19.899999999999999" customHeight="1">
      <c r="A291" s="1060"/>
      <c r="B291" s="1015"/>
      <c r="C291" s="410" t="s">
        <v>2035</v>
      </c>
      <c r="D291" s="385" t="s">
        <v>247</v>
      </c>
      <c r="E291" s="385" t="s">
        <v>247</v>
      </c>
      <c r="F291" s="385" t="s">
        <v>247</v>
      </c>
      <c r="G291" s="385" t="s">
        <v>247</v>
      </c>
      <c r="H291" s="385" t="s">
        <v>247</v>
      </c>
      <c r="J291" s="364"/>
    </row>
    <row r="292" spans="1:10" ht="19.899999999999999" customHeight="1">
      <c r="A292" s="1060"/>
      <c r="B292" s="1015"/>
      <c r="C292" s="410" t="s">
        <v>2036</v>
      </c>
      <c r="D292" s="385" t="s">
        <v>247</v>
      </c>
      <c r="E292" s="385" t="s">
        <v>247</v>
      </c>
      <c r="F292" s="385" t="s">
        <v>247</v>
      </c>
      <c r="G292" s="385" t="s">
        <v>247</v>
      </c>
      <c r="H292" s="385" t="s">
        <v>247</v>
      </c>
      <c r="J292" s="364"/>
    </row>
    <row r="293" spans="1:10" ht="19.899999999999999" customHeight="1">
      <c r="A293" s="1060"/>
      <c r="B293" s="1015" t="s">
        <v>2037</v>
      </c>
      <c r="C293" s="410" t="s">
        <v>2033</v>
      </c>
      <c r="D293" s="385" t="s">
        <v>247</v>
      </c>
      <c r="E293" s="385" t="s">
        <v>247</v>
      </c>
      <c r="F293" s="385" t="s">
        <v>247</v>
      </c>
      <c r="G293" s="385" t="s">
        <v>247</v>
      </c>
      <c r="H293" s="385" t="s">
        <v>247</v>
      </c>
      <c r="J293" s="364"/>
    </row>
    <row r="294" spans="1:10" ht="19.899999999999999" customHeight="1">
      <c r="A294" s="1060"/>
      <c r="B294" s="1015"/>
      <c r="C294" s="410" t="s">
        <v>2034</v>
      </c>
      <c r="D294" s="385" t="s">
        <v>247</v>
      </c>
      <c r="E294" s="385" t="s">
        <v>247</v>
      </c>
      <c r="F294" s="385" t="s">
        <v>247</v>
      </c>
      <c r="G294" s="385" t="s">
        <v>247</v>
      </c>
      <c r="H294" s="385" t="s">
        <v>247</v>
      </c>
      <c r="J294" s="364"/>
    </row>
    <row r="295" spans="1:10" ht="19.899999999999999" customHeight="1">
      <c r="A295" s="1060"/>
      <c r="B295" s="1015"/>
      <c r="C295" s="410" t="s">
        <v>2035</v>
      </c>
      <c r="D295" s="385" t="s">
        <v>247</v>
      </c>
      <c r="E295" s="385" t="s">
        <v>247</v>
      </c>
      <c r="F295" s="385" t="s">
        <v>247</v>
      </c>
      <c r="G295" s="385" t="s">
        <v>247</v>
      </c>
      <c r="H295" s="385" t="s">
        <v>247</v>
      </c>
      <c r="J295" s="364"/>
    </row>
    <row r="296" spans="1:10" ht="19.899999999999999" customHeight="1">
      <c r="A296" s="1060"/>
      <c r="B296" s="1015"/>
      <c r="C296" s="410" t="s">
        <v>2036</v>
      </c>
      <c r="D296" s="385" t="s">
        <v>247</v>
      </c>
      <c r="E296" s="385" t="s">
        <v>247</v>
      </c>
      <c r="F296" s="385" t="s">
        <v>247</v>
      </c>
      <c r="G296" s="385" t="s">
        <v>247</v>
      </c>
      <c r="H296" s="385" t="s">
        <v>247</v>
      </c>
      <c r="J296" s="364"/>
    </row>
    <row r="297" spans="1:10" ht="19.899999999999999" customHeight="1">
      <c r="A297" s="1060"/>
      <c r="B297" s="1015" t="s">
        <v>2038</v>
      </c>
      <c r="C297" s="410" t="s">
        <v>2033</v>
      </c>
      <c r="D297" s="385" t="s">
        <v>247</v>
      </c>
      <c r="E297" s="385" t="s">
        <v>247</v>
      </c>
      <c r="F297" s="385" t="s">
        <v>247</v>
      </c>
      <c r="G297" s="385" t="s">
        <v>247</v>
      </c>
      <c r="H297" s="385" t="s">
        <v>247</v>
      </c>
      <c r="J297" s="364"/>
    </row>
    <row r="298" spans="1:10" ht="19.899999999999999" customHeight="1">
      <c r="A298" s="1060"/>
      <c r="B298" s="1015"/>
      <c r="C298" s="410" t="s">
        <v>2034</v>
      </c>
      <c r="D298" s="385" t="s">
        <v>247</v>
      </c>
      <c r="E298" s="385" t="s">
        <v>247</v>
      </c>
      <c r="F298" s="385" t="s">
        <v>247</v>
      </c>
      <c r="G298" s="385" t="s">
        <v>247</v>
      </c>
      <c r="H298" s="385" t="s">
        <v>247</v>
      </c>
      <c r="J298" s="364"/>
    </row>
    <row r="299" spans="1:10" ht="19.899999999999999" customHeight="1">
      <c r="A299" s="1060"/>
      <c r="B299" s="1015"/>
      <c r="C299" s="410" t="s">
        <v>2035</v>
      </c>
      <c r="D299" s="385" t="s">
        <v>247</v>
      </c>
      <c r="E299" s="385" t="s">
        <v>247</v>
      </c>
      <c r="F299" s="385" t="s">
        <v>247</v>
      </c>
      <c r="G299" s="385" t="s">
        <v>247</v>
      </c>
      <c r="H299" s="385" t="s">
        <v>247</v>
      </c>
      <c r="J299" s="364"/>
    </row>
    <row r="300" spans="1:10" ht="19.899999999999999" customHeight="1">
      <c r="A300" s="1060"/>
      <c r="B300" s="1015"/>
      <c r="C300" s="410" t="s">
        <v>2036</v>
      </c>
      <c r="D300" s="385" t="s">
        <v>247</v>
      </c>
      <c r="E300" s="385" t="s">
        <v>247</v>
      </c>
      <c r="F300" s="385" t="s">
        <v>247</v>
      </c>
      <c r="G300" s="385" t="s">
        <v>247</v>
      </c>
      <c r="H300" s="385" t="s">
        <v>247</v>
      </c>
      <c r="J300" s="364"/>
    </row>
    <row r="301" spans="1:10" ht="19.899999999999999" customHeight="1">
      <c r="A301" s="1060"/>
      <c r="B301" s="1015" t="s">
        <v>2040</v>
      </c>
      <c r="C301" s="410" t="s">
        <v>2033</v>
      </c>
      <c r="D301" s="385" t="s">
        <v>247</v>
      </c>
      <c r="E301" s="385" t="s">
        <v>247</v>
      </c>
      <c r="F301" s="385" t="s">
        <v>247</v>
      </c>
      <c r="G301" s="385" t="s">
        <v>247</v>
      </c>
      <c r="H301" s="385" t="s">
        <v>247</v>
      </c>
      <c r="J301" s="364"/>
    </row>
    <row r="302" spans="1:10" ht="19.899999999999999" customHeight="1">
      <c r="A302" s="1060"/>
      <c r="B302" s="1015"/>
      <c r="C302" s="410" t="s">
        <v>2034</v>
      </c>
      <c r="D302" s="385" t="s">
        <v>247</v>
      </c>
      <c r="E302" s="385" t="s">
        <v>247</v>
      </c>
      <c r="F302" s="385" t="s">
        <v>247</v>
      </c>
      <c r="G302" s="385" t="s">
        <v>247</v>
      </c>
      <c r="H302" s="385" t="s">
        <v>247</v>
      </c>
      <c r="J302" s="364"/>
    </row>
    <row r="303" spans="1:10" ht="19.899999999999999" customHeight="1">
      <c r="A303" s="1060"/>
      <c r="B303" s="1015"/>
      <c r="C303" s="410" t="s">
        <v>2035</v>
      </c>
      <c r="D303" s="385" t="s">
        <v>247</v>
      </c>
      <c r="E303" s="385" t="s">
        <v>247</v>
      </c>
      <c r="F303" s="385" t="s">
        <v>247</v>
      </c>
      <c r="G303" s="385" t="s">
        <v>247</v>
      </c>
      <c r="H303" s="385" t="s">
        <v>247</v>
      </c>
      <c r="J303" s="364"/>
    </row>
    <row r="304" spans="1:10" ht="19.899999999999999" customHeight="1">
      <c r="A304" s="1060"/>
      <c r="B304" s="1015"/>
      <c r="C304" s="410" t="s">
        <v>2036</v>
      </c>
      <c r="D304" s="385" t="s">
        <v>247</v>
      </c>
      <c r="E304" s="385" t="s">
        <v>247</v>
      </c>
      <c r="F304" s="385" t="s">
        <v>247</v>
      </c>
      <c r="G304" s="385" t="s">
        <v>247</v>
      </c>
      <c r="H304" s="385" t="s">
        <v>247</v>
      </c>
      <c r="J304" s="364"/>
    </row>
    <row r="305" spans="1:10" ht="19.899999999999999" customHeight="1">
      <c r="A305" s="1060"/>
      <c r="B305" s="1015"/>
      <c r="C305" s="410" t="s">
        <v>2041</v>
      </c>
      <c r="D305" s="385" t="s">
        <v>247</v>
      </c>
      <c r="E305" s="385" t="s">
        <v>247</v>
      </c>
      <c r="F305" s="385" t="s">
        <v>247</v>
      </c>
      <c r="G305" s="385" t="s">
        <v>247</v>
      </c>
      <c r="H305" s="385" t="s">
        <v>247</v>
      </c>
      <c r="J305" s="364"/>
    </row>
    <row r="306" spans="1:10" ht="19.899999999999999" customHeight="1">
      <c r="A306" s="1060"/>
      <c r="B306" s="1015" t="s">
        <v>2042</v>
      </c>
      <c r="C306" s="410" t="s">
        <v>2033</v>
      </c>
      <c r="D306" s="385" t="s">
        <v>247</v>
      </c>
      <c r="E306" s="385" t="s">
        <v>247</v>
      </c>
      <c r="F306" s="385" t="s">
        <v>247</v>
      </c>
      <c r="G306" s="385" t="s">
        <v>247</v>
      </c>
      <c r="H306" s="385" t="s">
        <v>247</v>
      </c>
      <c r="J306" s="364"/>
    </row>
    <row r="307" spans="1:10" ht="19.899999999999999" customHeight="1">
      <c r="A307" s="1060"/>
      <c r="B307" s="1015"/>
      <c r="C307" s="410" t="s">
        <v>2034</v>
      </c>
      <c r="D307" s="385" t="s">
        <v>247</v>
      </c>
      <c r="E307" s="385" t="s">
        <v>247</v>
      </c>
      <c r="F307" s="385" t="s">
        <v>247</v>
      </c>
      <c r="G307" s="385" t="s">
        <v>247</v>
      </c>
      <c r="H307" s="385" t="s">
        <v>247</v>
      </c>
      <c r="J307" s="364"/>
    </row>
    <row r="308" spans="1:10" ht="19.899999999999999" customHeight="1">
      <c r="A308" s="1060"/>
      <c r="B308" s="1015"/>
      <c r="C308" s="410" t="s">
        <v>2035</v>
      </c>
      <c r="D308" s="385" t="s">
        <v>247</v>
      </c>
      <c r="E308" s="385" t="s">
        <v>247</v>
      </c>
      <c r="F308" s="385" t="s">
        <v>247</v>
      </c>
      <c r="G308" s="385" t="s">
        <v>247</v>
      </c>
      <c r="H308" s="385" t="s">
        <v>247</v>
      </c>
      <c r="J308" s="364"/>
    </row>
    <row r="309" spans="1:10" ht="19.899999999999999" customHeight="1">
      <c r="A309" s="1060"/>
      <c r="B309" s="1015"/>
      <c r="C309" s="410" t="s">
        <v>2036</v>
      </c>
      <c r="D309" s="385" t="s">
        <v>247</v>
      </c>
      <c r="E309" s="385" t="s">
        <v>247</v>
      </c>
      <c r="F309" s="385" t="s">
        <v>247</v>
      </c>
      <c r="G309" s="385" t="s">
        <v>247</v>
      </c>
      <c r="H309" s="385" t="s">
        <v>247</v>
      </c>
      <c r="J309" s="364"/>
    </row>
    <row r="310" spans="1:10" ht="19.899999999999999" customHeight="1">
      <c r="A310" s="1060"/>
      <c r="B310" s="1015"/>
      <c r="C310" s="410" t="s">
        <v>2041</v>
      </c>
      <c r="D310" s="385" t="s">
        <v>247</v>
      </c>
      <c r="E310" s="385" t="s">
        <v>247</v>
      </c>
      <c r="F310" s="385" t="s">
        <v>247</v>
      </c>
      <c r="G310" s="385" t="s">
        <v>247</v>
      </c>
      <c r="H310" s="385" t="s">
        <v>247</v>
      </c>
      <c r="J310" s="364"/>
    </row>
    <row r="311" spans="1:10" ht="19.899999999999999" customHeight="1">
      <c r="A311" s="1060"/>
      <c r="B311" s="1015" t="s">
        <v>2043</v>
      </c>
      <c r="C311" s="410" t="s">
        <v>2033</v>
      </c>
      <c r="D311" s="387" t="s">
        <v>2048</v>
      </c>
      <c r="E311" s="387" t="s">
        <v>2048</v>
      </c>
      <c r="F311" s="387" t="s">
        <v>2048</v>
      </c>
      <c r="G311" s="387" t="s">
        <v>2048</v>
      </c>
      <c r="H311" s="387" t="s">
        <v>2048</v>
      </c>
      <c r="J311" s="364"/>
    </row>
    <row r="312" spans="1:10" ht="19.899999999999999" customHeight="1">
      <c r="A312" s="1060"/>
      <c r="B312" s="1015"/>
      <c r="C312" s="410" t="s">
        <v>2034</v>
      </c>
      <c r="D312" s="387" t="s">
        <v>2048</v>
      </c>
      <c r="E312" s="387" t="s">
        <v>2048</v>
      </c>
      <c r="F312" s="387" t="s">
        <v>2048</v>
      </c>
      <c r="G312" s="387" t="s">
        <v>2048</v>
      </c>
      <c r="H312" s="387" t="s">
        <v>2048</v>
      </c>
      <c r="J312" s="364"/>
    </row>
    <row r="313" spans="1:10" ht="19.899999999999999" customHeight="1">
      <c r="A313" s="1060"/>
      <c r="B313" s="1015"/>
      <c r="C313" s="410" t="s">
        <v>2035</v>
      </c>
      <c r="D313" s="387" t="s">
        <v>2048</v>
      </c>
      <c r="E313" s="387" t="s">
        <v>2048</v>
      </c>
      <c r="F313" s="387" t="s">
        <v>2048</v>
      </c>
      <c r="G313" s="387" t="s">
        <v>2048</v>
      </c>
      <c r="H313" s="387" t="s">
        <v>2048</v>
      </c>
      <c r="J313" s="364"/>
    </row>
    <row r="314" spans="1:10" ht="19.899999999999999" customHeight="1">
      <c r="A314" s="1060"/>
      <c r="B314" s="1015"/>
      <c r="C314" s="410" t="s">
        <v>2036</v>
      </c>
      <c r="D314" s="387" t="s">
        <v>2048</v>
      </c>
      <c r="E314" s="387" t="s">
        <v>2048</v>
      </c>
      <c r="F314" s="387" t="s">
        <v>2048</v>
      </c>
      <c r="G314" s="387" t="s">
        <v>2048</v>
      </c>
      <c r="H314" s="387" t="s">
        <v>2048</v>
      </c>
      <c r="J314" s="364"/>
    </row>
    <row r="315" spans="1:10" ht="19.899999999999999" customHeight="1">
      <c r="A315" s="1060"/>
      <c r="B315" s="1015"/>
      <c r="C315" s="410" t="s">
        <v>2041</v>
      </c>
      <c r="D315" s="387" t="s">
        <v>2048</v>
      </c>
      <c r="E315" s="387" t="s">
        <v>2048</v>
      </c>
      <c r="F315" s="387" t="s">
        <v>2048</v>
      </c>
      <c r="G315" s="387" t="s">
        <v>2048</v>
      </c>
      <c r="H315" s="387" t="s">
        <v>2048</v>
      </c>
      <c r="J315" s="364"/>
    </row>
    <row r="316" spans="1:10" ht="19.899999999999999" customHeight="1">
      <c r="A316" s="1060"/>
      <c r="B316" s="1015"/>
      <c r="C316" s="410" t="s">
        <v>2044</v>
      </c>
      <c r="D316" s="387" t="s">
        <v>2048</v>
      </c>
      <c r="E316" s="387" t="s">
        <v>2048</v>
      </c>
      <c r="F316" s="387" t="s">
        <v>2048</v>
      </c>
      <c r="G316" s="387" t="s">
        <v>2048</v>
      </c>
      <c r="H316" s="387" t="s">
        <v>2048</v>
      </c>
      <c r="J316" s="364"/>
    </row>
    <row r="317" spans="1:10" ht="19.899999999999999" customHeight="1" thickBot="1">
      <c r="A317" s="1061"/>
      <c r="B317" s="1016"/>
      <c r="C317" s="411" t="s">
        <v>2045</v>
      </c>
      <c r="D317" s="388" t="s">
        <v>2048</v>
      </c>
      <c r="E317" s="388" t="s">
        <v>2048</v>
      </c>
      <c r="F317" s="388" t="s">
        <v>2048</v>
      </c>
      <c r="G317" s="388" t="s">
        <v>2048</v>
      </c>
      <c r="H317" s="388" t="s">
        <v>2048</v>
      </c>
      <c r="I317" s="379"/>
      <c r="J317" s="367"/>
    </row>
    <row r="318" spans="1:10" ht="19.899999999999999" customHeight="1">
      <c r="A318" s="14"/>
      <c r="B318" s="392"/>
      <c r="C318" s="413"/>
      <c r="D318" s="308"/>
      <c r="E318" s="308"/>
      <c r="F318" s="308"/>
      <c r="G318" s="308"/>
      <c r="H318" s="308"/>
    </row>
    <row r="319" spans="1:10" ht="19.899999999999999" customHeight="1" thickBot="1">
      <c r="A319" s="1042" t="s">
        <v>2049</v>
      </c>
      <c r="B319" s="1043"/>
      <c r="C319" s="1043"/>
      <c r="D319" s="1043"/>
      <c r="E319" s="1043"/>
      <c r="F319" s="1043"/>
      <c r="G319" s="1043"/>
      <c r="H319" s="1043"/>
      <c r="I319" s="1043"/>
      <c r="J319" s="1044"/>
    </row>
    <row r="320" spans="1:10" ht="19.899999999999999" customHeight="1">
      <c r="A320" s="1040" t="s">
        <v>1837</v>
      </c>
      <c r="B320" s="1028" t="s">
        <v>1838</v>
      </c>
      <c r="C320" s="1030"/>
      <c r="D320" s="1032" t="s">
        <v>2002</v>
      </c>
      <c r="E320" s="308"/>
      <c r="F320" s="308"/>
      <c r="G320" s="308"/>
      <c r="H320" s="308"/>
      <c r="J320" s="364"/>
    </row>
    <row r="321" spans="1:10" ht="19.899999999999999" customHeight="1">
      <c r="A321" s="1065"/>
      <c r="B321" s="1029"/>
      <c r="C321" s="1031"/>
      <c r="D321" s="1033"/>
      <c r="E321" s="308"/>
      <c r="F321" s="308"/>
      <c r="G321" s="308"/>
      <c r="H321" s="308"/>
      <c r="J321" s="364"/>
    </row>
    <row r="322" spans="1:10" ht="19.899999999999999" customHeight="1">
      <c r="A322" s="389" t="str">
        <f>CONCATENATE($A$3,"-",$B$3,"-",B322)</f>
        <v>App.8-V08H-10.7.4.1</v>
      </c>
      <c r="B322" s="414" t="s">
        <v>2050</v>
      </c>
      <c r="C322" s="410"/>
      <c r="D322" s="358" t="s">
        <v>123</v>
      </c>
      <c r="E322" s="1066" t="s">
        <v>2051</v>
      </c>
      <c r="F322" s="1067"/>
      <c r="G322" s="1067"/>
      <c r="H322" s="1067"/>
      <c r="I322" s="1067"/>
      <c r="J322" s="1068"/>
    </row>
    <row r="323" spans="1:10" ht="19.899999999999999" customHeight="1" thickBot="1">
      <c r="A323" s="390" t="str">
        <f>CONCATENATE($A$3,"-",$B$3,"-",B323)</f>
        <v>App.8-V08H-10.7.4.2</v>
      </c>
      <c r="B323" s="409" t="s">
        <v>2052</v>
      </c>
      <c r="C323" s="411"/>
      <c r="D323" s="323" t="s">
        <v>142</v>
      </c>
      <c r="E323" s="1062" t="s">
        <v>2053</v>
      </c>
      <c r="F323" s="1063"/>
      <c r="G323" s="1063"/>
      <c r="H323" s="1063"/>
      <c r="I323" s="1063"/>
      <c r="J323" s="1064"/>
    </row>
    <row r="324" spans="1:10" ht="19.899999999999999" customHeight="1">
      <c r="A324" s="14"/>
      <c r="B324" s="392"/>
      <c r="C324" s="413"/>
      <c r="D324" s="308"/>
      <c r="E324" s="308"/>
      <c r="F324" s="308"/>
      <c r="G324" s="308"/>
      <c r="H324" s="308"/>
    </row>
    <row r="325" spans="1:10" ht="19.899999999999999" customHeight="1" thickBot="1">
      <c r="A325" s="1042" t="s">
        <v>2054</v>
      </c>
      <c r="B325" s="1043"/>
      <c r="C325" s="1043"/>
      <c r="D325" s="1043"/>
      <c r="E325" s="1043"/>
      <c r="F325" s="1043"/>
      <c r="G325" s="1043"/>
      <c r="H325" s="1043"/>
      <c r="I325" s="1043"/>
      <c r="J325" s="1044"/>
    </row>
    <row r="326" spans="1:10" ht="19.899999999999999" customHeight="1">
      <c r="A326" s="1040" t="s">
        <v>1837</v>
      </c>
      <c r="B326" s="1028" t="s">
        <v>1838</v>
      </c>
      <c r="C326" s="1030"/>
      <c r="D326" s="1032" t="s">
        <v>2002</v>
      </c>
      <c r="E326" s="376"/>
      <c r="F326" s="376"/>
      <c r="G326" s="376"/>
      <c r="H326" s="376"/>
      <c r="I326" s="377"/>
      <c r="J326" s="378"/>
    </row>
    <row r="327" spans="1:10" ht="19.899999999999999" customHeight="1">
      <c r="A327" s="1041"/>
      <c r="B327" s="1176"/>
      <c r="C327" s="1031"/>
      <c r="D327" s="1045"/>
      <c r="J327" s="364"/>
    </row>
    <row r="328" spans="1:10" ht="19.899999999999999" customHeight="1">
      <c r="A328" s="1023" t="str">
        <f>CONCATENATE($A$3,"-",$B$3,"-P8.7")</f>
        <v>App.8-V08H-P8.7</v>
      </c>
      <c r="B328" s="5" t="s">
        <v>2055</v>
      </c>
      <c r="C328" s="414" t="s">
        <v>2004</v>
      </c>
      <c r="D328" s="358" t="s">
        <v>2056</v>
      </c>
      <c r="J328" s="364"/>
    </row>
    <row r="329" spans="1:10" ht="19.899999999999999" customHeight="1" thickBot="1">
      <c r="A329" s="1025"/>
      <c r="B329" s="357" t="s">
        <v>2055</v>
      </c>
      <c r="C329" s="409" t="s">
        <v>2004</v>
      </c>
      <c r="D329" s="323" t="s">
        <v>2057</v>
      </c>
      <c r="E329" s="368"/>
      <c r="F329" s="368"/>
      <c r="G329" s="368"/>
      <c r="H329" s="368"/>
      <c r="I329" s="379"/>
      <c r="J329" s="367"/>
    </row>
    <row r="330" spans="1:10" ht="19.899999999999999" customHeight="1"/>
    <row r="331" spans="1:10" ht="30" hidden="1" customHeight="1">
      <c r="A331" s="1034"/>
      <c r="B331" s="1036"/>
      <c r="C331" s="1038" t="s">
        <v>2030</v>
      </c>
      <c r="D331" s="415" t="s">
        <v>1839</v>
      </c>
      <c r="E331" s="415" t="s">
        <v>1840</v>
      </c>
      <c r="F331" s="415" t="s">
        <v>1841</v>
      </c>
      <c r="G331" s="415" t="s">
        <v>1842</v>
      </c>
      <c r="H331" s="415" t="s">
        <v>1843</v>
      </c>
      <c r="I331" s="1017"/>
      <c r="J331" s="1018"/>
    </row>
    <row r="332" spans="1:10" hidden="1">
      <c r="A332" s="1035"/>
      <c r="B332" s="1037"/>
      <c r="C332" s="1039"/>
      <c r="D332" s="416" t="s">
        <v>1846</v>
      </c>
      <c r="E332" s="416" t="s">
        <v>2031</v>
      </c>
      <c r="F332" s="416" t="s">
        <v>1847</v>
      </c>
      <c r="G332" s="416" t="s">
        <v>1848</v>
      </c>
      <c r="H332" s="416" t="s">
        <v>1849</v>
      </c>
      <c r="I332" s="1017"/>
      <c r="J332" s="1018"/>
    </row>
    <row r="333" spans="1:10" hidden="1">
      <c r="A333" s="1019"/>
      <c r="B333" s="1022" t="s">
        <v>2032</v>
      </c>
      <c r="C333" s="417" t="s">
        <v>2033</v>
      </c>
      <c r="D333" s="67"/>
      <c r="E333" s="67"/>
      <c r="F333" s="67"/>
      <c r="G333" s="67"/>
      <c r="H333" s="67"/>
      <c r="I333" s="1017"/>
      <c r="J333" s="1018"/>
    </row>
    <row r="334" spans="1:10" hidden="1">
      <c r="A334" s="1020"/>
      <c r="B334" s="1022"/>
      <c r="C334" s="417" t="s">
        <v>2034</v>
      </c>
      <c r="D334" s="67"/>
      <c r="E334" s="67"/>
      <c r="F334" s="67"/>
      <c r="G334" s="67"/>
      <c r="H334" s="67"/>
      <c r="I334" s="1017"/>
      <c r="J334" s="1018"/>
    </row>
    <row r="335" spans="1:10" hidden="1">
      <c r="A335" s="1020"/>
      <c r="B335" s="1022"/>
      <c r="C335" s="417" t="s">
        <v>2035</v>
      </c>
      <c r="D335" s="67"/>
      <c r="E335" s="67"/>
      <c r="F335" s="67"/>
      <c r="G335" s="67"/>
      <c r="H335" s="67"/>
      <c r="I335" s="1017"/>
      <c r="J335" s="1018"/>
    </row>
    <row r="336" spans="1:10" hidden="1">
      <c r="A336" s="1020"/>
      <c r="B336" s="1022"/>
      <c r="C336" s="417" t="s">
        <v>2036</v>
      </c>
      <c r="D336" s="67"/>
      <c r="E336" s="67"/>
      <c r="F336" s="67"/>
      <c r="G336" s="67"/>
      <c r="H336" s="67"/>
      <c r="I336" s="1017"/>
      <c r="J336" s="1018"/>
    </row>
    <row r="337" spans="1:10" hidden="1">
      <c r="A337" s="1020"/>
      <c r="B337" s="1022" t="s">
        <v>2037</v>
      </c>
      <c r="C337" s="417" t="s">
        <v>2033</v>
      </c>
      <c r="D337" s="67"/>
      <c r="E337" s="67"/>
      <c r="F337" s="67"/>
      <c r="G337" s="67"/>
      <c r="H337" s="67"/>
      <c r="I337" s="1017"/>
      <c r="J337" s="1018"/>
    </row>
    <row r="338" spans="1:10" hidden="1">
      <c r="A338" s="1020"/>
      <c r="B338" s="1022"/>
      <c r="C338" s="417" t="s">
        <v>2034</v>
      </c>
      <c r="D338" s="67"/>
      <c r="E338" s="67"/>
      <c r="F338" s="67"/>
      <c r="G338" s="67"/>
      <c r="H338" s="67"/>
      <c r="I338" s="1017"/>
      <c r="J338" s="1018"/>
    </row>
    <row r="339" spans="1:10" hidden="1">
      <c r="A339" s="1020"/>
      <c r="B339" s="1022"/>
      <c r="C339" s="417" t="s">
        <v>2035</v>
      </c>
      <c r="D339" s="67"/>
      <c r="E339" s="67"/>
      <c r="F339" s="67"/>
      <c r="G339" s="67"/>
      <c r="H339" s="67"/>
      <c r="I339" s="1017"/>
      <c r="J339" s="1018"/>
    </row>
    <row r="340" spans="1:10" hidden="1">
      <c r="A340" s="1020"/>
      <c r="B340" s="1022"/>
      <c r="C340" s="417" t="s">
        <v>2036</v>
      </c>
      <c r="D340" s="67"/>
      <c r="E340" s="67"/>
      <c r="F340" s="67"/>
      <c r="G340" s="67"/>
      <c r="H340" s="67"/>
      <c r="I340" s="1017"/>
      <c r="J340" s="1018"/>
    </row>
    <row r="341" spans="1:10" hidden="1">
      <c r="A341" s="1020"/>
      <c r="B341" s="1022" t="s">
        <v>2038</v>
      </c>
      <c r="C341" s="417" t="s">
        <v>2033</v>
      </c>
      <c r="D341" s="67"/>
      <c r="E341" s="67"/>
      <c r="F341" s="67"/>
      <c r="G341" s="67"/>
      <c r="H341" s="67"/>
      <c r="I341" s="1017"/>
      <c r="J341" s="1018"/>
    </row>
    <row r="342" spans="1:10" hidden="1">
      <c r="A342" s="1020"/>
      <c r="B342" s="1022"/>
      <c r="C342" s="417" t="s">
        <v>2034</v>
      </c>
      <c r="D342" s="67"/>
      <c r="E342" s="67"/>
      <c r="F342" s="67"/>
      <c r="G342" s="67"/>
      <c r="H342" s="67"/>
      <c r="I342" s="1017"/>
      <c r="J342" s="1018"/>
    </row>
    <row r="343" spans="1:10" hidden="1">
      <c r="A343" s="1020"/>
      <c r="B343" s="1022"/>
      <c r="C343" s="417" t="s">
        <v>2035</v>
      </c>
      <c r="D343" s="67"/>
      <c r="E343" s="67"/>
      <c r="F343" s="67"/>
      <c r="G343" s="67"/>
      <c r="H343" s="67"/>
      <c r="I343" s="1017"/>
      <c r="J343" s="1018"/>
    </row>
    <row r="344" spans="1:10" hidden="1">
      <c r="A344" s="1020"/>
      <c r="B344" s="1022"/>
      <c r="C344" s="417" t="s">
        <v>2036</v>
      </c>
      <c r="D344" s="67"/>
      <c r="E344" s="67"/>
      <c r="F344" s="67"/>
      <c r="G344" s="67"/>
      <c r="H344" s="67"/>
      <c r="I344" s="1017"/>
      <c r="J344" s="1018"/>
    </row>
    <row r="345" spans="1:10" hidden="1">
      <c r="A345" s="1020"/>
      <c r="B345" s="1022" t="s">
        <v>2040</v>
      </c>
      <c r="C345" s="417" t="s">
        <v>2033</v>
      </c>
      <c r="D345" s="67"/>
      <c r="E345" s="67"/>
      <c r="F345" s="67"/>
      <c r="G345" s="67"/>
      <c r="H345" s="67"/>
      <c r="I345" s="1017"/>
      <c r="J345" s="1018"/>
    </row>
    <row r="346" spans="1:10" hidden="1">
      <c r="A346" s="1020"/>
      <c r="B346" s="1022"/>
      <c r="C346" s="417" t="s">
        <v>2034</v>
      </c>
      <c r="D346" s="67"/>
      <c r="E346" s="67"/>
      <c r="F346" s="67"/>
      <c r="G346" s="67"/>
      <c r="H346" s="67"/>
      <c r="I346" s="1017"/>
      <c r="J346" s="1018"/>
    </row>
    <row r="347" spans="1:10" hidden="1">
      <c r="A347" s="1020"/>
      <c r="B347" s="1022"/>
      <c r="C347" s="417" t="s">
        <v>2035</v>
      </c>
      <c r="D347" s="67"/>
      <c r="E347" s="67"/>
      <c r="F347" s="67"/>
      <c r="G347" s="67"/>
      <c r="H347" s="67"/>
      <c r="I347" s="1017"/>
      <c r="J347" s="1018"/>
    </row>
    <row r="348" spans="1:10" hidden="1">
      <c r="A348" s="1020"/>
      <c r="B348" s="1022"/>
      <c r="C348" s="417" t="s">
        <v>2036</v>
      </c>
      <c r="D348" s="67"/>
      <c r="E348" s="67"/>
      <c r="F348" s="67"/>
      <c r="G348" s="67"/>
      <c r="H348" s="67"/>
      <c r="I348" s="1017"/>
      <c r="J348" s="1018"/>
    </row>
    <row r="349" spans="1:10" hidden="1">
      <c r="A349" s="1020"/>
      <c r="B349" s="1022"/>
      <c r="C349" s="417" t="s">
        <v>2041</v>
      </c>
      <c r="D349" s="67"/>
      <c r="E349" s="67"/>
      <c r="F349" s="67"/>
      <c r="G349" s="67"/>
      <c r="H349" s="67"/>
      <c r="I349" s="1017"/>
      <c r="J349" s="1018"/>
    </row>
    <row r="350" spans="1:10" hidden="1">
      <c r="A350" s="1020"/>
      <c r="B350" s="1022" t="s">
        <v>2042</v>
      </c>
      <c r="C350" s="417" t="s">
        <v>2033</v>
      </c>
      <c r="D350" s="67"/>
      <c r="E350" s="67"/>
      <c r="F350" s="67"/>
      <c r="G350" s="67"/>
      <c r="H350" s="67"/>
      <c r="I350" s="1017"/>
      <c r="J350" s="1018"/>
    </row>
    <row r="351" spans="1:10" hidden="1">
      <c r="A351" s="1020"/>
      <c r="B351" s="1022"/>
      <c r="C351" s="417" t="s">
        <v>2034</v>
      </c>
      <c r="D351" s="67"/>
      <c r="E351" s="67"/>
      <c r="F351" s="67"/>
      <c r="G351" s="67"/>
      <c r="H351" s="67"/>
      <c r="I351" s="1017"/>
      <c r="J351" s="1018"/>
    </row>
    <row r="352" spans="1:10" hidden="1">
      <c r="A352" s="1020"/>
      <c r="B352" s="1022"/>
      <c r="C352" s="417" t="s">
        <v>2035</v>
      </c>
      <c r="D352" s="67"/>
      <c r="E352" s="67"/>
      <c r="F352" s="67"/>
      <c r="G352" s="67"/>
      <c r="H352" s="67"/>
      <c r="I352" s="1017"/>
      <c r="J352" s="1018"/>
    </row>
    <row r="353" spans="1:10" hidden="1">
      <c r="A353" s="1020"/>
      <c r="B353" s="1022"/>
      <c r="C353" s="417" t="s">
        <v>2036</v>
      </c>
      <c r="D353" s="67"/>
      <c r="E353" s="67"/>
      <c r="F353" s="67"/>
      <c r="G353" s="67"/>
      <c r="H353" s="67"/>
      <c r="I353" s="1017"/>
      <c r="J353" s="1018"/>
    </row>
    <row r="354" spans="1:10" hidden="1">
      <c r="A354" s="1021"/>
      <c r="B354" s="1022"/>
      <c r="C354" s="417" t="s">
        <v>2041</v>
      </c>
      <c r="D354" s="67"/>
      <c r="E354" s="67"/>
      <c r="F354" s="67"/>
      <c r="G354" s="67"/>
      <c r="H354" s="67"/>
      <c r="I354" s="1017"/>
      <c r="J354" s="1018"/>
    </row>
  </sheetData>
  <mergeCells count="147">
    <mergeCell ref="A234:J234"/>
    <mergeCell ref="A235:A236"/>
    <mergeCell ref="B235:B236"/>
    <mergeCell ref="C235:C236"/>
    <mergeCell ref="D235:D236"/>
    <mergeCell ref="A4:J4"/>
    <mergeCell ref="A6:J6"/>
    <mergeCell ref="A7:A8"/>
    <mergeCell ref="B7:B8"/>
    <mergeCell ref="C7:C8"/>
    <mergeCell ref="A19:J19"/>
    <mergeCell ref="A20:A21"/>
    <mergeCell ref="B20:B21"/>
    <mergeCell ref="C20:C21"/>
    <mergeCell ref="K32:K43"/>
    <mergeCell ref="A33:A34"/>
    <mergeCell ref="B33:B34"/>
    <mergeCell ref="C33:C34"/>
    <mergeCell ref="A45:J45"/>
    <mergeCell ref="A59:A60"/>
    <mergeCell ref="B59:B60"/>
    <mergeCell ref="C59:C60"/>
    <mergeCell ref="A85:A86"/>
    <mergeCell ref="B85:B86"/>
    <mergeCell ref="C85:C86"/>
    <mergeCell ref="A72:A73"/>
    <mergeCell ref="B72:B73"/>
    <mergeCell ref="C72:C73"/>
    <mergeCell ref="A84:J84"/>
    <mergeCell ref="C46:C47"/>
    <mergeCell ref="B46:B47"/>
    <mergeCell ref="A46:A47"/>
    <mergeCell ref="A32:J32"/>
    <mergeCell ref="A58:J58"/>
    <mergeCell ref="C249:C250"/>
    <mergeCell ref="B251:B254"/>
    <mergeCell ref="B255:B258"/>
    <mergeCell ref="B259:B262"/>
    <mergeCell ref="A164:A165"/>
    <mergeCell ref="B164:B165"/>
    <mergeCell ref="A110:J110"/>
    <mergeCell ref="A123:J123"/>
    <mergeCell ref="A124:A125"/>
    <mergeCell ref="B124:B125"/>
    <mergeCell ref="C124:C125"/>
    <mergeCell ref="A136:J136"/>
    <mergeCell ref="A149:J149"/>
    <mergeCell ref="A150:A151"/>
    <mergeCell ref="B150:B151"/>
    <mergeCell ref="C150:C151"/>
    <mergeCell ref="A162:J162"/>
    <mergeCell ref="A163:J163"/>
    <mergeCell ref="C164:C165"/>
    <mergeCell ref="A171:J171"/>
    <mergeCell ref="A172:A173"/>
    <mergeCell ref="B172:B173"/>
    <mergeCell ref="A111:A112"/>
    <mergeCell ref="A242:A245"/>
    <mergeCell ref="A286:J286"/>
    <mergeCell ref="A249:A250"/>
    <mergeCell ref="B249:B250"/>
    <mergeCell ref="B111:B112"/>
    <mergeCell ref="C111:C112"/>
    <mergeCell ref="A137:A138"/>
    <mergeCell ref="B137:B138"/>
    <mergeCell ref="C137:C138"/>
    <mergeCell ref="A180:A181"/>
    <mergeCell ref="B180:B181"/>
    <mergeCell ref="C180:C181"/>
    <mergeCell ref="B240:B241"/>
    <mergeCell ref="C240:C241"/>
    <mergeCell ref="D240:D241"/>
    <mergeCell ref="B188:B189"/>
    <mergeCell ref="C188:C189"/>
    <mergeCell ref="A195:J195"/>
    <mergeCell ref="A196:J196"/>
    <mergeCell ref="A201:J201"/>
    <mergeCell ref="A202:J202"/>
    <mergeCell ref="A203:A204"/>
    <mergeCell ref="B203:B204"/>
    <mergeCell ref="C203:C204"/>
    <mergeCell ref="A197:A198"/>
    <mergeCell ref="C326:C327"/>
    <mergeCell ref="D326:D327"/>
    <mergeCell ref="A325:J325"/>
    <mergeCell ref="A287:A288"/>
    <mergeCell ref="B287:B288"/>
    <mergeCell ref="C287:C288"/>
    <mergeCell ref="A289:A317"/>
    <mergeCell ref="B289:B292"/>
    <mergeCell ref="B293:B296"/>
    <mergeCell ref="B297:B300"/>
    <mergeCell ref="B301:B305"/>
    <mergeCell ref="B306:B310"/>
    <mergeCell ref="B311:B317"/>
    <mergeCell ref="E323:J323"/>
    <mergeCell ref="A319:J319"/>
    <mergeCell ref="A320:A321"/>
    <mergeCell ref="E322:J322"/>
    <mergeCell ref="A239:J239"/>
    <mergeCell ref="A240:A241"/>
    <mergeCell ref="D197:D198"/>
    <mergeCell ref="A187:J187"/>
    <mergeCell ref="A188:A189"/>
    <mergeCell ref="B197:B198"/>
    <mergeCell ref="C197:C198"/>
    <mergeCell ref="A71:J71"/>
    <mergeCell ref="A97:J97"/>
    <mergeCell ref="A98:A99"/>
    <mergeCell ref="B98:B99"/>
    <mergeCell ref="C98:C99"/>
    <mergeCell ref="C172:C173"/>
    <mergeCell ref="A179:J179"/>
    <mergeCell ref="A215:J215"/>
    <mergeCell ref="A216:A217"/>
    <mergeCell ref="B216:B217"/>
    <mergeCell ref="C216:C217"/>
    <mergeCell ref="A228:J228"/>
    <mergeCell ref="A229:J229"/>
    <mergeCell ref="A230:A231"/>
    <mergeCell ref="B230:B231"/>
    <mergeCell ref="C230:C231"/>
    <mergeCell ref="D230:D231"/>
    <mergeCell ref="A247:J247"/>
    <mergeCell ref="B242:B245"/>
    <mergeCell ref="C242:C245"/>
    <mergeCell ref="I331:J354"/>
    <mergeCell ref="A333:A354"/>
    <mergeCell ref="B333:B336"/>
    <mergeCell ref="B337:B340"/>
    <mergeCell ref="B341:B344"/>
    <mergeCell ref="A251:A284"/>
    <mergeCell ref="B268:B272"/>
    <mergeCell ref="B280:B284"/>
    <mergeCell ref="B273:B279"/>
    <mergeCell ref="B320:B321"/>
    <mergeCell ref="C320:C321"/>
    <mergeCell ref="D320:D321"/>
    <mergeCell ref="B345:B349"/>
    <mergeCell ref="B350:B354"/>
    <mergeCell ref="A328:A329"/>
    <mergeCell ref="A331:A332"/>
    <mergeCell ref="B331:B332"/>
    <mergeCell ref="C331:C332"/>
    <mergeCell ref="B263:B267"/>
    <mergeCell ref="A326:A327"/>
    <mergeCell ref="B326:B327"/>
  </mergeCells>
  <conditionalFormatting sqref="D17:G17 D10:J16">
    <cfRule type="cellIs" dxfId="1210" priority="891" operator="equal">
      <formula>"2HEB-300"</formula>
    </cfRule>
    <cfRule type="cellIs" dxfId="1209" priority="892" operator="equal">
      <formula>"2HEB-260"</formula>
    </cfRule>
    <cfRule type="cellIs" dxfId="1208" priority="893" operator="equal">
      <formula>"2HEB-240"</formula>
    </cfRule>
    <cfRule type="cellIs" dxfId="1207" priority="894" operator="equal">
      <formula>"HEB-300"</formula>
    </cfRule>
    <cfRule type="cellIs" dxfId="1206" priority="895" operator="equal">
      <formula>"HEB-280"</formula>
    </cfRule>
    <cfRule type="cellIs" dxfId="1205" priority="896" operator="equal">
      <formula>"HEB-260"</formula>
    </cfRule>
    <cfRule type="cellIs" dxfId="1204" priority="897" operator="equal">
      <formula>"HEB-240"</formula>
    </cfRule>
  </conditionalFormatting>
  <conditionalFormatting sqref="D9:J9">
    <cfRule type="cellIs" dxfId="1203" priority="898" operator="equal">
      <formula>"2HEB-300"</formula>
    </cfRule>
    <cfRule type="cellIs" dxfId="1202" priority="899" operator="equal">
      <formula>"2HEB-260"</formula>
    </cfRule>
    <cfRule type="cellIs" dxfId="1201" priority="900" operator="equal">
      <formula>"2HEB-240"</formula>
    </cfRule>
    <cfRule type="cellIs" dxfId="1200" priority="901" operator="equal">
      <formula>"HEB-300"</formula>
    </cfRule>
    <cfRule type="cellIs" dxfId="1199" priority="902" operator="equal">
      <formula>"HEB-280"</formula>
    </cfRule>
    <cfRule type="cellIs" dxfId="1198" priority="903" operator="equal">
      <formula>"HEB-260"</formula>
    </cfRule>
    <cfRule type="cellIs" dxfId="1197" priority="904" operator="equal">
      <formula>"HEB-240"</formula>
    </cfRule>
  </conditionalFormatting>
  <conditionalFormatting sqref="H17">
    <cfRule type="cellIs" dxfId="1196" priority="884" operator="equal">
      <formula>"2HEB-300"</formula>
    </cfRule>
    <cfRule type="cellIs" dxfId="1195" priority="885" operator="equal">
      <formula>"2HEB-260"</formula>
    </cfRule>
    <cfRule type="cellIs" dxfId="1194" priority="886" operator="equal">
      <formula>"2HEB-240"</formula>
    </cfRule>
    <cfRule type="cellIs" dxfId="1193" priority="887" operator="equal">
      <formula>"HEB-300"</formula>
    </cfRule>
    <cfRule type="cellIs" dxfId="1192" priority="888" operator="equal">
      <formula>"HEB-280"</formula>
    </cfRule>
    <cfRule type="cellIs" dxfId="1191" priority="889" operator="equal">
      <formula>"HEB-260"</formula>
    </cfRule>
    <cfRule type="cellIs" dxfId="1190" priority="890" operator="equal">
      <formula>"HEB-240"</formula>
    </cfRule>
  </conditionalFormatting>
  <conditionalFormatting sqref="I17">
    <cfRule type="cellIs" dxfId="1189" priority="877" operator="equal">
      <formula>"2HEB-300"</formula>
    </cfRule>
    <cfRule type="cellIs" dxfId="1188" priority="878" operator="equal">
      <formula>"2HEB-260"</formula>
    </cfRule>
    <cfRule type="cellIs" dxfId="1187" priority="879" operator="equal">
      <formula>"2HEB-240"</formula>
    </cfRule>
    <cfRule type="cellIs" dxfId="1186" priority="880" operator="equal">
      <formula>"HEB-300"</formula>
    </cfRule>
    <cfRule type="cellIs" dxfId="1185" priority="881" operator="equal">
      <formula>"HEB-280"</formula>
    </cfRule>
    <cfRule type="cellIs" dxfId="1184" priority="882" operator="equal">
      <formula>"HEB-260"</formula>
    </cfRule>
    <cfRule type="cellIs" dxfId="1183" priority="883" operator="equal">
      <formula>"HEB-240"</formula>
    </cfRule>
  </conditionalFormatting>
  <conditionalFormatting sqref="J17">
    <cfRule type="cellIs" dxfId="1182" priority="870" operator="equal">
      <formula>"2HEB-300"</formula>
    </cfRule>
    <cfRule type="cellIs" dxfId="1181" priority="871" operator="equal">
      <formula>"2HEB-260"</formula>
    </cfRule>
    <cfRule type="cellIs" dxfId="1180" priority="872" operator="equal">
      <formula>"2HEB-240"</formula>
    </cfRule>
    <cfRule type="cellIs" dxfId="1179" priority="873" operator="equal">
      <formula>"HEB-300"</formula>
    </cfRule>
    <cfRule type="cellIs" dxfId="1178" priority="874" operator="equal">
      <formula>"HEB-280"</formula>
    </cfRule>
    <cfRule type="cellIs" dxfId="1177" priority="875" operator="equal">
      <formula>"HEB-260"</formula>
    </cfRule>
    <cfRule type="cellIs" dxfId="1176" priority="876" operator="equal">
      <formula>"HEB-240"</formula>
    </cfRule>
  </conditionalFormatting>
  <conditionalFormatting sqref="D23:J23 D30:G30 D26:J26">
    <cfRule type="cellIs" dxfId="1175" priority="814" operator="equal">
      <formula>"2HEB-300"</formula>
    </cfRule>
    <cfRule type="cellIs" dxfId="1174" priority="815" operator="equal">
      <formula>"2HEB-260"</formula>
    </cfRule>
    <cfRule type="cellIs" dxfId="1173" priority="816" operator="equal">
      <formula>"2HEB-240"</formula>
    </cfRule>
    <cfRule type="cellIs" dxfId="1172" priority="817" operator="equal">
      <formula>"HEB-300"</formula>
    </cfRule>
    <cfRule type="cellIs" dxfId="1171" priority="818" operator="equal">
      <formula>"HEB-280"</formula>
    </cfRule>
    <cfRule type="cellIs" dxfId="1170" priority="819" operator="equal">
      <formula>"HEB-260"</formula>
    </cfRule>
    <cfRule type="cellIs" dxfId="1169" priority="820" operator="equal">
      <formula>"HEB-240"</formula>
    </cfRule>
  </conditionalFormatting>
  <conditionalFormatting sqref="D22:J22">
    <cfRule type="cellIs" dxfId="1168" priority="821" operator="equal">
      <formula>"2HEB-300"</formula>
    </cfRule>
    <cfRule type="cellIs" dxfId="1167" priority="822" operator="equal">
      <formula>"2HEB-260"</formula>
    </cfRule>
    <cfRule type="cellIs" dxfId="1166" priority="823" operator="equal">
      <formula>"2HEB-240"</formula>
    </cfRule>
    <cfRule type="cellIs" dxfId="1165" priority="824" operator="equal">
      <formula>"HEB-300"</formula>
    </cfRule>
    <cfRule type="cellIs" dxfId="1164" priority="825" operator="equal">
      <formula>"HEB-280"</formula>
    </cfRule>
    <cfRule type="cellIs" dxfId="1163" priority="826" operator="equal">
      <formula>"HEB-260"</formula>
    </cfRule>
    <cfRule type="cellIs" dxfId="1162" priority="827" operator="equal">
      <formula>"HEB-240"</formula>
    </cfRule>
  </conditionalFormatting>
  <conditionalFormatting sqref="H30">
    <cfRule type="cellIs" dxfId="1161" priority="807" operator="equal">
      <formula>"2HEB-300"</formula>
    </cfRule>
    <cfRule type="cellIs" dxfId="1160" priority="808" operator="equal">
      <formula>"2HEB-260"</formula>
    </cfRule>
    <cfRule type="cellIs" dxfId="1159" priority="809" operator="equal">
      <formula>"2HEB-240"</formula>
    </cfRule>
    <cfRule type="cellIs" dxfId="1158" priority="810" operator="equal">
      <formula>"HEB-300"</formula>
    </cfRule>
    <cfRule type="cellIs" dxfId="1157" priority="811" operator="equal">
      <formula>"HEB-280"</formula>
    </cfRule>
    <cfRule type="cellIs" dxfId="1156" priority="812" operator="equal">
      <formula>"HEB-260"</formula>
    </cfRule>
    <cfRule type="cellIs" dxfId="1155" priority="813" operator="equal">
      <formula>"HEB-240"</formula>
    </cfRule>
  </conditionalFormatting>
  <conditionalFormatting sqref="I30">
    <cfRule type="cellIs" dxfId="1154" priority="800" operator="equal">
      <formula>"2HEB-300"</formula>
    </cfRule>
    <cfRule type="cellIs" dxfId="1153" priority="801" operator="equal">
      <formula>"2HEB-260"</formula>
    </cfRule>
    <cfRule type="cellIs" dxfId="1152" priority="802" operator="equal">
      <formula>"2HEB-240"</formula>
    </cfRule>
    <cfRule type="cellIs" dxfId="1151" priority="803" operator="equal">
      <formula>"HEB-300"</formula>
    </cfRule>
    <cfRule type="cellIs" dxfId="1150" priority="804" operator="equal">
      <formula>"HEB-280"</formula>
    </cfRule>
    <cfRule type="cellIs" dxfId="1149" priority="805" operator="equal">
      <formula>"HEB-260"</formula>
    </cfRule>
    <cfRule type="cellIs" dxfId="1148" priority="806" operator="equal">
      <formula>"HEB-240"</formula>
    </cfRule>
  </conditionalFormatting>
  <conditionalFormatting sqref="J30">
    <cfRule type="cellIs" dxfId="1147" priority="793" operator="equal">
      <formula>"2HEB-300"</formula>
    </cfRule>
    <cfRule type="cellIs" dxfId="1146" priority="794" operator="equal">
      <formula>"2HEB-260"</formula>
    </cfRule>
    <cfRule type="cellIs" dxfId="1145" priority="795" operator="equal">
      <formula>"2HEB-240"</formula>
    </cfRule>
    <cfRule type="cellIs" dxfId="1144" priority="796" operator="equal">
      <formula>"HEB-300"</formula>
    </cfRule>
    <cfRule type="cellIs" dxfId="1143" priority="797" operator="equal">
      <formula>"HEB-280"</formula>
    </cfRule>
    <cfRule type="cellIs" dxfId="1142" priority="798" operator="equal">
      <formula>"HEB-260"</formula>
    </cfRule>
    <cfRule type="cellIs" dxfId="1141" priority="799" operator="equal">
      <formula>"HEB-240"</formula>
    </cfRule>
  </conditionalFormatting>
  <conditionalFormatting sqref="D24:J25 D27:J29">
    <cfRule type="cellIs" dxfId="1140" priority="828" operator="equal">
      <formula>"2HEB-300"</formula>
    </cfRule>
    <cfRule type="cellIs" dxfId="1139" priority="829" operator="equal">
      <formula>"2HEB-260"</formula>
    </cfRule>
    <cfRule type="cellIs" dxfId="1138" priority="830" operator="equal">
      <formula>"2HEB-240"</formula>
    </cfRule>
    <cfRule type="cellIs" dxfId="1137" priority="831" operator="equal">
      <formula>"HEB-300"</formula>
    </cfRule>
    <cfRule type="cellIs" dxfId="1136" priority="832" operator="equal">
      <formula>"HEB-280"</formula>
    </cfRule>
    <cfRule type="cellIs" dxfId="1135" priority="833" operator="equal">
      <formula>"HEB-260"</formula>
    </cfRule>
    <cfRule type="cellIs" dxfId="1134" priority="834" operator="equal">
      <formula>"HEB-240"</formula>
    </cfRule>
  </conditionalFormatting>
  <conditionalFormatting sqref="H43">
    <cfRule type="cellIs" dxfId="1133" priority="625" operator="equal">
      <formula>"2HEB-300"</formula>
    </cfRule>
    <cfRule type="cellIs" dxfId="1132" priority="626" operator="equal">
      <formula>"2HEB-260"</formula>
    </cfRule>
    <cfRule type="cellIs" dxfId="1131" priority="627" operator="equal">
      <formula>"2HEB-240"</formula>
    </cfRule>
    <cfRule type="cellIs" dxfId="1130" priority="628" operator="equal">
      <formula>"HEB-300"</formula>
    </cfRule>
    <cfRule type="cellIs" dxfId="1129" priority="629" operator="equal">
      <formula>"HEB-280"</formula>
    </cfRule>
    <cfRule type="cellIs" dxfId="1128" priority="630" operator="equal">
      <formula>"HEB-260"</formula>
    </cfRule>
    <cfRule type="cellIs" dxfId="1127" priority="631" operator="equal">
      <formula>"HEB-240"</formula>
    </cfRule>
  </conditionalFormatting>
  <conditionalFormatting sqref="D36:J42">
    <cfRule type="cellIs" dxfId="1126" priority="660" operator="equal">
      <formula>"2HEB-300"</formula>
    </cfRule>
    <cfRule type="cellIs" dxfId="1125" priority="661" operator="equal">
      <formula>"2HEB-260"</formula>
    </cfRule>
    <cfRule type="cellIs" dxfId="1124" priority="662" operator="equal">
      <formula>"2HEB-240"</formula>
    </cfRule>
    <cfRule type="cellIs" dxfId="1123" priority="663" operator="equal">
      <formula>"HEB-300"</formula>
    </cfRule>
    <cfRule type="cellIs" dxfId="1122" priority="664" operator="equal">
      <formula>"HEB-280"</formula>
    </cfRule>
    <cfRule type="cellIs" dxfId="1121" priority="665" operator="equal">
      <formula>"HEB-260"</formula>
    </cfRule>
    <cfRule type="cellIs" dxfId="1120" priority="666" operator="equal">
      <formula>"HEB-240"</formula>
    </cfRule>
  </conditionalFormatting>
  <conditionalFormatting sqref="D35:J35">
    <cfRule type="cellIs" dxfId="1119" priority="653" operator="equal">
      <formula>"2HEB-300"</formula>
    </cfRule>
    <cfRule type="cellIs" dxfId="1118" priority="654" operator="equal">
      <formula>"2HEB-260"</formula>
    </cfRule>
    <cfRule type="cellIs" dxfId="1117" priority="655" operator="equal">
      <formula>"2HEB-240"</formula>
    </cfRule>
    <cfRule type="cellIs" dxfId="1116" priority="656" operator="equal">
      <formula>"HEB-300"</formula>
    </cfRule>
    <cfRule type="cellIs" dxfId="1115" priority="657" operator="equal">
      <formula>"HEB-280"</formula>
    </cfRule>
    <cfRule type="cellIs" dxfId="1114" priority="658" operator="equal">
      <formula>"HEB-260"</formula>
    </cfRule>
    <cfRule type="cellIs" dxfId="1113" priority="659" operator="equal">
      <formula>"HEB-240"</formula>
    </cfRule>
  </conditionalFormatting>
  <conditionalFormatting sqref="D43:G43">
    <cfRule type="cellIs" dxfId="1112" priority="646" operator="equal">
      <formula>"2HEB-300"</formula>
    </cfRule>
    <cfRule type="cellIs" dxfId="1111" priority="647" operator="equal">
      <formula>"2HEB-260"</formula>
    </cfRule>
    <cfRule type="cellIs" dxfId="1110" priority="648" operator="equal">
      <formula>"2HEB-240"</formula>
    </cfRule>
    <cfRule type="cellIs" dxfId="1109" priority="649" operator="equal">
      <formula>"HEB-300"</formula>
    </cfRule>
    <cfRule type="cellIs" dxfId="1108" priority="650" operator="equal">
      <formula>"HEB-280"</formula>
    </cfRule>
    <cfRule type="cellIs" dxfId="1107" priority="651" operator="equal">
      <formula>"HEB-260"</formula>
    </cfRule>
    <cfRule type="cellIs" dxfId="1106" priority="652" operator="equal">
      <formula>"HEB-240"</formula>
    </cfRule>
  </conditionalFormatting>
  <conditionalFormatting sqref="I43">
    <cfRule type="cellIs" dxfId="1105" priority="639" operator="equal">
      <formula>"2HEB-300"</formula>
    </cfRule>
    <cfRule type="cellIs" dxfId="1104" priority="640" operator="equal">
      <formula>"2HEB-260"</formula>
    </cfRule>
    <cfRule type="cellIs" dxfId="1103" priority="641" operator="equal">
      <formula>"2HEB-240"</formula>
    </cfRule>
    <cfRule type="cellIs" dxfId="1102" priority="642" operator="equal">
      <formula>"HEB-300"</formula>
    </cfRule>
    <cfRule type="cellIs" dxfId="1101" priority="643" operator="equal">
      <formula>"HEB-280"</formula>
    </cfRule>
    <cfRule type="cellIs" dxfId="1100" priority="644" operator="equal">
      <formula>"HEB-260"</formula>
    </cfRule>
    <cfRule type="cellIs" dxfId="1099" priority="645" operator="equal">
      <formula>"HEB-240"</formula>
    </cfRule>
  </conditionalFormatting>
  <conditionalFormatting sqref="J43">
    <cfRule type="cellIs" dxfId="1098" priority="632" operator="equal">
      <formula>"2HEB-300"</formula>
    </cfRule>
    <cfRule type="cellIs" dxfId="1097" priority="633" operator="equal">
      <formula>"2HEB-260"</formula>
    </cfRule>
    <cfRule type="cellIs" dxfId="1096" priority="634" operator="equal">
      <formula>"2HEB-240"</formula>
    </cfRule>
    <cfRule type="cellIs" dxfId="1095" priority="635" operator="equal">
      <formula>"HEB-300"</formula>
    </cfRule>
    <cfRule type="cellIs" dxfId="1094" priority="636" operator="equal">
      <formula>"HEB-280"</formula>
    </cfRule>
    <cfRule type="cellIs" dxfId="1093" priority="637" operator="equal">
      <formula>"HEB-260"</formula>
    </cfRule>
    <cfRule type="cellIs" dxfId="1092" priority="638" operator="equal">
      <formula>"HEB-240"</formula>
    </cfRule>
  </conditionalFormatting>
  <conditionalFormatting sqref="H56">
    <cfRule type="cellIs" dxfId="1091" priority="583" operator="equal">
      <formula>"2HEB-300"</formula>
    </cfRule>
    <cfRule type="cellIs" dxfId="1090" priority="584" operator="equal">
      <formula>"2HEB-260"</formula>
    </cfRule>
    <cfRule type="cellIs" dxfId="1089" priority="585" operator="equal">
      <formula>"2HEB-240"</formula>
    </cfRule>
    <cfRule type="cellIs" dxfId="1088" priority="586" operator="equal">
      <formula>"HEB-300"</formula>
    </cfRule>
    <cfRule type="cellIs" dxfId="1087" priority="587" operator="equal">
      <formula>"HEB-280"</formula>
    </cfRule>
    <cfRule type="cellIs" dxfId="1086" priority="588" operator="equal">
      <formula>"HEB-260"</formula>
    </cfRule>
    <cfRule type="cellIs" dxfId="1085" priority="589" operator="equal">
      <formula>"HEB-240"</formula>
    </cfRule>
  </conditionalFormatting>
  <conditionalFormatting sqref="D49:J55">
    <cfRule type="cellIs" dxfId="1084" priority="618" operator="equal">
      <formula>"2HEB-300"</formula>
    </cfRule>
    <cfRule type="cellIs" dxfId="1083" priority="619" operator="equal">
      <formula>"2HEB-260"</formula>
    </cfRule>
    <cfRule type="cellIs" dxfId="1082" priority="620" operator="equal">
      <formula>"2HEB-240"</formula>
    </cfRule>
    <cfRule type="cellIs" dxfId="1081" priority="621" operator="equal">
      <formula>"HEB-300"</formula>
    </cfRule>
    <cfRule type="cellIs" dxfId="1080" priority="622" operator="equal">
      <formula>"HEB-280"</formula>
    </cfRule>
    <cfRule type="cellIs" dxfId="1079" priority="623" operator="equal">
      <formula>"HEB-260"</formula>
    </cfRule>
    <cfRule type="cellIs" dxfId="1078" priority="624" operator="equal">
      <formula>"HEB-240"</formula>
    </cfRule>
  </conditionalFormatting>
  <conditionalFormatting sqref="J48">
    <cfRule type="cellIs" dxfId="1077" priority="611" operator="equal">
      <formula>"2HEB-300"</formula>
    </cfRule>
    <cfRule type="cellIs" dxfId="1076" priority="612" operator="equal">
      <formula>"2HEB-260"</formula>
    </cfRule>
    <cfRule type="cellIs" dxfId="1075" priority="613" operator="equal">
      <formula>"2HEB-240"</formula>
    </cfRule>
    <cfRule type="cellIs" dxfId="1074" priority="614" operator="equal">
      <formula>"HEB-300"</formula>
    </cfRule>
    <cfRule type="cellIs" dxfId="1073" priority="615" operator="equal">
      <formula>"HEB-280"</formula>
    </cfRule>
    <cfRule type="cellIs" dxfId="1072" priority="616" operator="equal">
      <formula>"HEB-260"</formula>
    </cfRule>
    <cfRule type="cellIs" dxfId="1071" priority="617" operator="equal">
      <formula>"HEB-240"</formula>
    </cfRule>
  </conditionalFormatting>
  <conditionalFormatting sqref="D56:G56">
    <cfRule type="cellIs" dxfId="1070" priority="604" operator="equal">
      <formula>"2HEB-300"</formula>
    </cfRule>
    <cfRule type="cellIs" dxfId="1069" priority="605" operator="equal">
      <formula>"2HEB-260"</formula>
    </cfRule>
    <cfRule type="cellIs" dxfId="1068" priority="606" operator="equal">
      <formula>"2HEB-240"</formula>
    </cfRule>
    <cfRule type="cellIs" dxfId="1067" priority="607" operator="equal">
      <formula>"HEB-300"</formula>
    </cfRule>
    <cfRule type="cellIs" dxfId="1066" priority="608" operator="equal">
      <formula>"HEB-280"</formula>
    </cfRule>
    <cfRule type="cellIs" dxfId="1065" priority="609" operator="equal">
      <formula>"HEB-260"</formula>
    </cfRule>
    <cfRule type="cellIs" dxfId="1064" priority="610" operator="equal">
      <formula>"HEB-240"</formula>
    </cfRule>
  </conditionalFormatting>
  <conditionalFormatting sqref="I56">
    <cfRule type="cellIs" dxfId="1063" priority="597" operator="equal">
      <formula>"2HEB-300"</formula>
    </cfRule>
    <cfRule type="cellIs" dxfId="1062" priority="598" operator="equal">
      <formula>"2HEB-260"</formula>
    </cfRule>
    <cfRule type="cellIs" dxfId="1061" priority="599" operator="equal">
      <formula>"2HEB-240"</formula>
    </cfRule>
    <cfRule type="cellIs" dxfId="1060" priority="600" operator="equal">
      <formula>"HEB-300"</formula>
    </cfRule>
    <cfRule type="cellIs" dxfId="1059" priority="601" operator="equal">
      <formula>"HEB-280"</formula>
    </cfRule>
    <cfRule type="cellIs" dxfId="1058" priority="602" operator="equal">
      <formula>"HEB-260"</formula>
    </cfRule>
    <cfRule type="cellIs" dxfId="1057" priority="603" operator="equal">
      <formula>"HEB-240"</formula>
    </cfRule>
  </conditionalFormatting>
  <conditionalFormatting sqref="J56">
    <cfRule type="cellIs" dxfId="1056" priority="590" operator="equal">
      <formula>"2HEB-300"</formula>
    </cfRule>
    <cfRule type="cellIs" dxfId="1055" priority="591" operator="equal">
      <formula>"2HEB-260"</formula>
    </cfRule>
    <cfRule type="cellIs" dxfId="1054" priority="592" operator="equal">
      <formula>"2HEB-240"</formula>
    </cfRule>
    <cfRule type="cellIs" dxfId="1053" priority="593" operator="equal">
      <formula>"HEB-300"</formula>
    </cfRule>
    <cfRule type="cellIs" dxfId="1052" priority="594" operator="equal">
      <formula>"HEB-280"</formula>
    </cfRule>
    <cfRule type="cellIs" dxfId="1051" priority="595" operator="equal">
      <formula>"HEB-260"</formula>
    </cfRule>
    <cfRule type="cellIs" dxfId="1050" priority="596" operator="equal">
      <formula>"HEB-240"</formula>
    </cfRule>
  </conditionalFormatting>
  <conditionalFormatting sqref="D61:J70 D83:J83">
    <cfRule type="cellIs" dxfId="1049" priority="574" operator="equal">
      <formula>"HEB-2801"</formula>
    </cfRule>
    <cfRule type="cellIs" dxfId="1048" priority="575" operator="equal">
      <formula>"HEB-2601"</formula>
    </cfRule>
    <cfRule type="cellIs" dxfId="1047" priority="576" operator="equal">
      <formula>"2HEB-320"</formula>
    </cfRule>
    <cfRule type="cellIs" dxfId="1046" priority="577" operator="equal">
      <formula>"2HEB-260"</formula>
    </cfRule>
    <cfRule type="cellIs" dxfId="1045" priority="578" operator="equal">
      <formula>"2HEB-240"</formula>
    </cfRule>
    <cfRule type="cellIs" dxfId="1044" priority="579" operator="equal">
      <formula>"HEB-300"</formula>
    </cfRule>
    <cfRule type="cellIs" dxfId="1043" priority="580" operator="equal">
      <formula>"HEB-280"</formula>
    </cfRule>
    <cfRule type="cellIs" dxfId="1042" priority="581" operator="equal">
      <formula>"HEB-260"</formula>
    </cfRule>
    <cfRule type="cellIs" dxfId="1041" priority="582" operator="equal">
      <formula>"HEB-240"</formula>
    </cfRule>
  </conditionalFormatting>
  <conditionalFormatting sqref="D61:J70 D83:J83">
    <cfRule type="cellIs" dxfId="1040" priority="573" operator="equal">
      <formula>"HEB-3001"</formula>
    </cfRule>
  </conditionalFormatting>
  <conditionalFormatting sqref="F78">
    <cfRule type="cellIs" dxfId="1039" priority="536" operator="equal">
      <formula>"HEB-2801"</formula>
    </cfRule>
    <cfRule type="cellIs" dxfId="1038" priority="537" operator="equal">
      <formula>"HEB-2601"</formula>
    </cfRule>
    <cfRule type="cellIs" dxfId="1037" priority="538" operator="equal">
      <formula>"2HEB-320"</formula>
    </cfRule>
    <cfRule type="cellIs" dxfId="1036" priority="539" operator="equal">
      <formula>"2HEB-260"</formula>
    </cfRule>
    <cfRule type="cellIs" dxfId="1035" priority="540" operator="equal">
      <formula>"2HEB-240"</formula>
    </cfRule>
    <cfRule type="cellIs" dxfId="1034" priority="541" operator="equal">
      <formula>"HEB-300"</formula>
    </cfRule>
    <cfRule type="cellIs" dxfId="1033" priority="542" operator="equal">
      <formula>"HEB-280"</formula>
    </cfRule>
    <cfRule type="cellIs" dxfId="1032" priority="543" operator="equal">
      <formula>"HEB-260"</formula>
    </cfRule>
    <cfRule type="cellIs" dxfId="1031" priority="544" operator="equal">
      <formula>"HEB-240"</formula>
    </cfRule>
  </conditionalFormatting>
  <conditionalFormatting sqref="D74:J82">
    <cfRule type="cellIs" dxfId="1030" priority="535" operator="equal">
      <formula>"HEB-3001"</formula>
    </cfRule>
  </conditionalFormatting>
  <conditionalFormatting sqref="D74:J77 D79:J82 G78:J78">
    <cfRule type="cellIs" dxfId="1029" priority="554" operator="equal">
      <formula>"HEB-2801"</formula>
    </cfRule>
    <cfRule type="cellIs" dxfId="1028" priority="555" operator="equal">
      <formula>"HEB-2601"</formula>
    </cfRule>
    <cfRule type="cellIs" dxfId="1027" priority="556" operator="equal">
      <formula>"2HEB-320"</formula>
    </cfRule>
    <cfRule type="cellIs" dxfId="1026" priority="557" operator="equal">
      <formula>"2HEB-260"</formula>
    </cfRule>
    <cfRule type="cellIs" dxfId="1025" priority="558" operator="equal">
      <formula>"2HEB-240"</formula>
    </cfRule>
    <cfRule type="cellIs" dxfId="1024" priority="559" operator="equal">
      <formula>"HEB-300"</formula>
    </cfRule>
    <cfRule type="cellIs" dxfId="1023" priority="560" operator="equal">
      <formula>"HEB-280"</formula>
    </cfRule>
    <cfRule type="cellIs" dxfId="1022" priority="561" operator="equal">
      <formula>"HEB-260"</formula>
    </cfRule>
    <cfRule type="cellIs" dxfId="1021" priority="562" operator="equal">
      <formula>"HEB-240"</formula>
    </cfRule>
  </conditionalFormatting>
  <conditionalFormatting sqref="D78:E78">
    <cfRule type="cellIs" dxfId="1020" priority="545" operator="equal">
      <formula>"HEB-2801"</formula>
    </cfRule>
    <cfRule type="cellIs" dxfId="1019" priority="546" operator="equal">
      <formula>"HEB-2601"</formula>
    </cfRule>
    <cfRule type="cellIs" dxfId="1018" priority="547" operator="equal">
      <formula>"2HEB-320"</formula>
    </cfRule>
    <cfRule type="cellIs" dxfId="1017" priority="548" operator="equal">
      <formula>"2HEB-260"</formula>
    </cfRule>
    <cfRule type="cellIs" dxfId="1016" priority="549" operator="equal">
      <formula>"2HEB-240"</formula>
    </cfRule>
    <cfRule type="cellIs" dxfId="1015" priority="550" operator="equal">
      <formula>"HEB-300"</formula>
    </cfRule>
    <cfRule type="cellIs" dxfId="1014" priority="551" operator="equal">
      <formula>"HEB-280"</formula>
    </cfRule>
    <cfRule type="cellIs" dxfId="1013" priority="552" operator="equal">
      <formula>"HEB-260"</formula>
    </cfRule>
    <cfRule type="cellIs" dxfId="1012" priority="553" operator="equal">
      <formula>"HEB-240"</formula>
    </cfRule>
  </conditionalFormatting>
  <conditionalFormatting sqref="H95:J96 H109:J109">
    <cfRule type="cellIs" dxfId="1011" priority="498" operator="equal">
      <formula>"HEB-2801"</formula>
    </cfRule>
    <cfRule type="cellIs" dxfId="1010" priority="499" operator="equal">
      <formula>"HEB-2601"</formula>
    </cfRule>
    <cfRule type="cellIs" dxfId="1009" priority="500" operator="equal">
      <formula>"2HEB-320"</formula>
    </cfRule>
    <cfRule type="cellIs" dxfId="1008" priority="501" operator="equal">
      <formula>"2HEB-260"</formula>
    </cfRule>
    <cfRule type="cellIs" dxfId="1007" priority="502" operator="equal">
      <formula>"2HEB-240"</formula>
    </cfRule>
    <cfRule type="cellIs" dxfId="1006" priority="503" operator="equal">
      <formula>"HEB-300"</formula>
    </cfRule>
    <cfRule type="cellIs" dxfId="1005" priority="504" operator="equal">
      <formula>"HEB-280"</formula>
    </cfRule>
    <cfRule type="cellIs" dxfId="1004" priority="505" operator="equal">
      <formula>"HEB-260"</formula>
    </cfRule>
    <cfRule type="cellIs" dxfId="1003" priority="506" operator="equal">
      <formula>"HEB-240"</formula>
    </cfRule>
  </conditionalFormatting>
  <conditionalFormatting sqref="D87:J96 D109:J109">
    <cfRule type="cellIs" dxfId="1002" priority="526" operator="equal">
      <formula>"HEB-2801"</formula>
    </cfRule>
    <cfRule type="cellIs" dxfId="1001" priority="527" operator="equal">
      <formula>"HEB-2601"</formula>
    </cfRule>
    <cfRule type="cellIs" dxfId="1000" priority="528" operator="equal">
      <formula>"2HEB-320"</formula>
    </cfRule>
    <cfRule type="cellIs" dxfId="999" priority="529" operator="equal">
      <formula>"2HEB-260"</formula>
    </cfRule>
    <cfRule type="cellIs" dxfId="998" priority="530" operator="equal">
      <formula>"2HEB-240"</formula>
    </cfRule>
    <cfRule type="cellIs" dxfId="997" priority="531" operator="equal">
      <formula>"HEB-300"</formula>
    </cfRule>
    <cfRule type="cellIs" dxfId="996" priority="532" operator="equal">
      <formula>"HEB-280"</formula>
    </cfRule>
    <cfRule type="cellIs" dxfId="995" priority="533" operator="equal">
      <formula>"HEB-260"</formula>
    </cfRule>
    <cfRule type="cellIs" dxfId="994" priority="534" operator="equal">
      <formula>"HEB-240"</formula>
    </cfRule>
  </conditionalFormatting>
  <conditionalFormatting sqref="D87:J96 D109:J109">
    <cfRule type="cellIs" dxfId="993" priority="525" operator="equal">
      <formula>"HEB-3001"</formula>
    </cfRule>
  </conditionalFormatting>
  <conditionalFormatting sqref="I87:J96 I109:J109">
    <cfRule type="cellIs" dxfId="992" priority="516" operator="equal">
      <formula>"HEB-2801"</formula>
    </cfRule>
    <cfRule type="cellIs" dxfId="991" priority="517" operator="equal">
      <formula>"HEB-2601"</formula>
    </cfRule>
    <cfRule type="cellIs" dxfId="990" priority="518" operator="equal">
      <formula>"2HEB-320"</formula>
    </cfRule>
    <cfRule type="cellIs" dxfId="989" priority="519" operator="equal">
      <formula>"2HEB-260"</formula>
    </cfRule>
    <cfRule type="cellIs" dxfId="988" priority="520" operator="equal">
      <formula>"2HEB-240"</formula>
    </cfRule>
    <cfRule type="cellIs" dxfId="987" priority="521" operator="equal">
      <formula>"HEB-300"</formula>
    </cfRule>
    <cfRule type="cellIs" dxfId="986" priority="522" operator="equal">
      <formula>"HEB-280"</formula>
    </cfRule>
    <cfRule type="cellIs" dxfId="985" priority="523" operator="equal">
      <formula>"HEB-260"</formula>
    </cfRule>
    <cfRule type="cellIs" dxfId="984" priority="524" operator="equal">
      <formula>"HEB-240"</formula>
    </cfRule>
  </conditionalFormatting>
  <conditionalFormatting sqref="E91:F91">
    <cfRule type="cellIs" dxfId="983" priority="507" operator="equal">
      <formula>"HEB-2801"</formula>
    </cfRule>
    <cfRule type="cellIs" dxfId="982" priority="508" operator="equal">
      <formula>"HEB-2601"</formula>
    </cfRule>
    <cfRule type="cellIs" dxfId="981" priority="509" operator="equal">
      <formula>"2HEB-320"</formula>
    </cfRule>
    <cfRule type="cellIs" dxfId="980" priority="510" operator="equal">
      <formula>"2HEB-260"</formula>
    </cfRule>
    <cfRule type="cellIs" dxfId="979" priority="511" operator="equal">
      <formula>"2HEB-240"</formula>
    </cfRule>
    <cfRule type="cellIs" dxfId="978" priority="512" operator="equal">
      <formula>"HEB-300"</formula>
    </cfRule>
    <cfRule type="cellIs" dxfId="977" priority="513" operator="equal">
      <formula>"HEB-280"</formula>
    </cfRule>
    <cfRule type="cellIs" dxfId="976" priority="514" operator="equal">
      <formula>"HEB-260"</formula>
    </cfRule>
    <cfRule type="cellIs" dxfId="975" priority="515" operator="equal">
      <formula>"HEB-240"</formula>
    </cfRule>
  </conditionalFormatting>
  <conditionalFormatting sqref="D100:J103 D105:J107 G104:J104 D108:G108">
    <cfRule type="cellIs" dxfId="974" priority="452" operator="equal">
      <formula>"HEB-2801"</formula>
    </cfRule>
    <cfRule type="cellIs" dxfId="973" priority="453" operator="equal">
      <formula>"HEB-2601"</formula>
    </cfRule>
    <cfRule type="cellIs" dxfId="972" priority="454" operator="equal">
      <formula>"2HEB-320"</formula>
    </cfRule>
    <cfRule type="cellIs" dxfId="971" priority="455" operator="equal">
      <formula>"2HEB-260"</formula>
    </cfRule>
    <cfRule type="cellIs" dxfId="970" priority="456" operator="equal">
      <formula>"2HEB-240"</formula>
    </cfRule>
    <cfRule type="cellIs" dxfId="969" priority="457" operator="equal">
      <formula>"HEB-300"</formula>
    </cfRule>
    <cfRule type="cellIs" dxfId="968" priority="458" operator="equal">
      <formula>"HEB-280"</formula>
    </cfRule>
    <cfRule type="cellIs" dxfId="967" priority="459" operator="equal">
      <formula>"HEB-260"</formula>
    </cfRule>
    <cfRule type="cellIs" dxfId="966" priority="460" operator="equal">
      <formula>"HEB-240"</formula>
    </cfRule>
  </conditionalFormatting>
  <conditionalFormatting sqref="D100:J103 D105:J107 G104:J104 D108:G108">
    <cfRule type="cellIs" dxfId="965" priority="451" operator="equal">
      <formula>"HEB-3001"</formula>
    </cfRule>
  </conditionalFormatting>
  <conditionalFormatting sqref="I100:J107">
    <cfRule type="cellIs" dxfId="964" priority="442" operator="equal">
      <formula>"HEB-2801"</formula>
    </cfRule>
    <cfRule type="cellIs" dxfId="963" priority="443" operator="equal">
      <formula>"HEB-2601"</formula>
    </cfRule>
    <cfRule type="cellIs" dxfId="962" priority="444" operator="equal">
      <formula>"2HEB-320"</formula>
    </cfRule>
    <cfRule type="cellIs" dxfId="961" priority="445" operator="equal">
      <formula>"2HEB-260"</formula>
    </cfRule>
    <cfRule type="cellIs" dxfId="960" priority="446" operator="equal">
      <formula>"2HEB-240"</formula>
    </cfRule>
    <cfRule type="cellIs" dxfId="959" priority="447" operator="equal">
      <formula>"HEB-300"</formula>
    </cfRule>
    <cfRule type="cellIs" dxfId="958" priority="448" operator="equal">
      <formula>"HEB-280"</formula>
    </cfRule>
    <cfRule type="cellIs" dxfId="957" priority="449" operator="equal">
      <formula>"HEB-260"</formula>
    </cfRule>
    <cfRule type="cellIs" dxfId="956" priority="450" operator="equal">
      <formula>"HEB-240"</formula>
    </cfRule>
  </conditionalFormatting>
  <conditionalFormatting sqref="D104:E104">
    <cfRule type="cellIs" dxfId="955" priority="433" operator="equal">
      <formula>"HEB-2801"</formula>
    </cfRule>
    <cfRule type="cellIs" dxfId="954" priority="434" operator="equal">
      <formula>"HEB-2601"</formula>
    </cfRule>
    <cfRule type="cellIs" dxfId="953" priority="435" operator="equal">
      <formula>"2HEB-320"</formula>
    </cfRule>
    <cfRule type="cellIs" dxfId="952" priority="436" operator="equal">
      <formula>"2HEB-260"</formula>
    </cfRule>
    <cfRule type="cellIs" dxfId="951" priority="437" operator="equal">
      <formula>"2HEB-240"</formula>
    </cfRule>
    <cfRule type="cellIs" dxfId="950" priority="438" operator="equal">
      <formula>"HEB-300"</formula>
    </cfRule>
    <cfRule type="cellIs" dxfId="949" priority="439" operator="equal">
      <formula>"HEB-280"</formula>
    </cfRule>
    <cfRule type="cellIs" dxfId="948" priority="440" operator="equal">
      <formula>"HEB-260"</formula>
    </cfRule>
    <cfRule type="cellIs" dxfId="947" priority="441" operator="equal">
      <formula>"HEB-240"</formula>
    </cfRule>
  </conditionalFormatting>
  <conditionalFormatting sqref="D104:E104">
    <cfRule type="cellIs" dxfId="946" priority="432" operator="equal">
      <formula>"HEB-3001"</formula>
    </cfRule>
  </conditionalFormatting>
  <conditionalFormatting sqref="D104:E104">
    <cfRule type="cellIs" dxfId="945" priority="423" operator="equal">
      <formula>"HEB-2801"</formula>
    </cfRule>
    <cfRule type="cellIs" dxfId="944" priority="424" operator="equal">
      <formula>"HEB-2601"</formula>
    </cfRule>
    <cfRule type="cellIs" dxfId="943" priority="425" operator="equal">
      <formula>"2HEB-320"</formula>
    </cfRule>
    <cfRule type="cellIs" dxfId="942" priority="426" operator="equal">
      <formula>"2HEB-260"</formula>
    </cfRule>
    <cfRule type="cellIs" dxfId="941" priority="427" operator="equal">
      <formula>"2HEB-240"</formula>
    </cfRule>
    <cfRule type="cellIs" dxfId="940" priority="428" operator="equal">
      <formula>"HEB-300"</formula>
    </cfRule>
    <cfRule type="cellIs" dxfId="939" priority="429" operator="equal">
      <formula>"HEB-280"</formula>
    </cfRule>
    <cfRule type="cellIs" dxfId="938" priority="430" operator="equal">
      <formula>"HEB-260"</formula>
    </cfRule>
    <cfRule type="cellIs" dxfId="937" priority="431" operator="equal">
      <formula>"HEB-240"</formula>
    </cfRule>
  </conditionalFormatting>
  <conditionalFormatting sqref="F104">
    <cfRule type="cellIs" dxfId="936" priority="414" operator="equal">
      <formula>"HEB-2801"</formula>
    </cfRule>
    <cfRule type="cellIs" dxfId="935" priority="415" operator="equal">
      <formula>"HEB-2601"</formula>
    </cfRule>
    <cfRule type="cellIs" dxfId="934" priority="416" operator="equal">
      <formula>"2HEB-320"</formula>
    </cfRule>
    <cfRule type="cellIs" dxfId="933" priority="417" operator="equal">
      <formula>"2HEB-260"</formula>
    </cfRule>
    <cfRule type="cellIs" dxfId="932" priority="418" operator="equal">
      <formula>"2HEB-240"</formula>
    </cfRule>
    <cfRule type="cellIs" dxfId="931" priority="419" operator="equal">
      <formula>"HEB-300"</formula>
    </cfRule>
    <cfRule type="cellIs" dxfId="930" priority="420" operator="equal">
      <formula>"HEB-280"</formula>
    </cfRule>
    <cfRule type="cellIs" dxfId="929" priority="421" operator="equal">
      <formula>"HEB-260"</formula>
    </cfRule>
    <cfRule type="cellIs" dxfId="928" priority="422" operator="equal">
      <formula>"HEB-240"</formula>
    </cfRule>
  </conditionalFormatting>
  <conditionalFormatting sqref="F104">
    <cfRule type="cellIs" dxfId="927" priority="413" operator="equal">
      <formula>"HEB-3001"</formula>
    </cfRule>
  </conditionalFormatting>
  <conditionalFormatting sqref="H108:J108">
    <cfRule type="cellIs" dxfId="926" priority="404" operator="equal">
      <formula>"HEB-2801"</formula>
    </cfRule>
    <cfRule type="cellIs" dxfId="925" priority="405" operator="equal">
      <formula>"HEB-2601"</formula>
    </cfRule>
    <cfRule type="cellIs" dxfId="924" priority="406" operator="equal">
      <formula>"2HEB-320"</formula>
    </cfRule>
    <cfRule type="cellIs" dxfId="923" priority="407" operator="equal">
      <formula>"2HEB-260"</formula>
    </cfRule>
    <cfRule type="cellIs" dxfId="922" priority="408" operator="equal">
      <formula>"2HEB-240"</formula>
    </cfRule>
    <cfRule type="cellIs" dxfId="921" priority="409" operator="equal">
      <formula>"HEB-300"</formula>
    </cfRule>
    <cfRule type="cellIs" dxfId="920" priority="410" operator="equal">
      <formula>"HEB-280"</formula>
    </cfRule>
    <cfRule type="cellIs" dxfId="919" priority="411" operator="equal">
      <formula>"HEB-260"</formula>
    </cfRule>
    <cfRule type="cellIs" dxfId="918" priority="412" operator="equal">
      <formula>"HEB-240"</formula>
    </cfRule>
  </conditionalFormatting>
  <conditionalFormatting sqref="H108:J108">
    <cfRule type="cellIs" dxfId="917" priority="403" operator="equal">
      <formula>"HEB-3001"</formula>
    </cfRule>
  </conditionalFormatting>
  <conditionalFormatting sqref="D113:H116 D121:G121 D118:H120 G117:H117">
    <cfRule type="cellIs" dxfId="916" priority="394" operator="equal">
      <formula>"HEB-2801"</formula>
    </cfRule>
    <cfRule type="cellIs" dxfId="915" priority="395" operator="equal">
      <formula>"HEB-2601"</formula>
    </cfRule>
    <cfRule type="cellIs" dxfId="914" priority="396" operator="equal">
      <formula>"2HEB-320"</formula>
    </cfRule>
    <cfRule type="cellIs" dxfId="913" priority="397" operator="equal">
      <formula>"2HEB-260"</formula>
    </cfRule>
    <cfRule type="cellIs" dxfId="912" priority="398" operator="equal">
      <formula>"2HEB-240"</formula>
    </cfRule>
    <cfRule type="cellIs" dxfId="911" priority="399" operator="equal">
      <formula>"HEB-300"</formula>
    </cfRule>
    <cfRule type="cellIs" dxfId="910" priority="400" operator="equal">
      <formula>"HEB-280"</formula>
    </cfRule>
    <cfRule type="cellIs" dxfId="909" priority="401" operator="equal">
      <formula>"HEB-260"</formula>
    </cfRule>
    <cfRule type="cellIs" dxfId="908" priority="402" operator="equal">
      <formula>"HEB-240"</formula>
    </cfRule>
  </conditionalFormatting>
  <conditionalFormatting sqref="D113:H116 D121:G121 D118:H120 G117:H117">
    <cfRule type="cellIs" dxfId="907" priority="393" operator="equal">
      <formula>"HEB-3001"</formula>
    </cfRule>
  </conditionalFormatting>
  <conditionalFormatting sqref="I113:J120">
    <cfRule type="cellIs" dxfId="906" priority="384" operator="equal">
      <formula>"HEB-2801"</formula>
    </cfRule>
    <cfRule type="cellIs" dxfId="905" priority="385" operator="equal">
      <formula>"HEB-2601"</formula>
    </cfRule>
    <cfRule type="cellIs" dxfId="904" priority="386" operator="equal">
      <formula>"2HEB-320"</formula>
    </cfRule>
    <cfRule type="cellIs" dxfId="903" priority="387" operator="equal">
      <formula>"2HEB-260"</formula>
    </cfRule>
    <cfRule type="cellIs" dxfId="902" priority="388" operator="equal">
      <formula>"2HEB-240"</formula>
    </cfRule>
    <cfRule type="cellIs" dxfId="901" priority="389" operator="equal">
      <formula>"HEB-300"</formula>
    </cfRule>
    <cfRule type="cellIs" dxfId="900" priority="390" operator="equal">
      <formula>"HEB-280"</formula>
    </cfRule>
    <cfRule type="cellIs" dxfId="899" priority="391" operator="equal">
      <formula>"HEB-260"</formula>
    </cfRule>
    <cfRule type="cellIs" dxfId="898" priority="392" operator="equal">
      <formula>"HEB-240"</formula>
    </cfRule>
  </conditionalFormatting>
  <conditionalFormatting sqref="I113:J120">
    <cfRule type="cellIs" dxfId="897" priority="383" operator="equal">
      <formula>"HEB-3001"</formula>
    </cfRule>
  </conditionalFormatting>
  <conditionalFormatting sqref="I113:J120">
    <cfRule type="cellIs" dxfId="896" priority="374" operator="equal">
      <formula>"HEB-2801"</formula>
    </cfRule>
    <cfRule type="cellIs" dxfId="895" priority="375" operator="equal">
      <formula>"HEB-2601"</formula>
    </cfRule>
    <cfRule type="cellIs" dxfId="894" priority="376" operator="equal">
      <formula>"2HEB-320"</formula>
    </cfRule>
    <cfRule type="cellIs" dxfId="893" priority="377" operator="equal">
      <formula>"2HEB-260"</formula>
    </cfRule>
    <cfRule type="cellIs" dxfId="892" priority="378" operator="equal">
      <formula>"2HEB-240"</formula>
    </cfRule>
    <cfRule type="cellIs" dxfId="891" priority="379" operator="equal">
      <formula>"HEB-300"</formula>
    </cfRule>
    <cfRule type="cellIs" dxfId="890" priority="380" operator="equal">
      <formula>"HEB-280"</formula>
    </cfRule>
    <cfRule type="cellIs" dxfId="889" priority="381" operator="equal">
      <formula>"HEB-260"</formula>
    </cfRule>
    <cfRule type="cellIs" dxfId="888" priority="382" operator="equal">
      <formula>"HEB-240"</formula>
    </cfRule>
  </conditionalFormatting>
  <conditionalFormatting sqref="H121:J121">
    <cfRule type="cellIs" dxfId="887" priority="365" operator="equal">
      <formula>"HEB-2801"</formula>
    </cfRule>
    <cfRule type="cellIs" dxfId="886" priority="366" operator="equal">
      <formula>"HEB-2601"</formula>
    </cfRule>
    <cfRule type="cellIs" dxfId="885" priority="367" operator="equal">
      <formula>"2HEB-320"</formula>
    </cfRule>
    <cfRule type="cellIs" dxfId="884" priority="368" operator="equal">
      <formula>"2HEB-260"</formula>
    </cfRule>
    <cfRule type="cellIs" dxfId="883" priority="369" operator="equal">
      <formula>"2HEB-240"</formula>
    </cfRule>
    <cfRule type="cellIs" dxfId="882" priority="370" operator="equal">
      <formula>"HEB-300"</formula>
    </cfRule>
    <cfRule type="cellIs" dxfId="881" priority="371" operator="equal">
      <formula>"HEB-280"</formula>
    </cfRule>
    <cfRule type="cellIs" dxfId="880" priority="372" operator="equal">
      <formula>"HEB-260"</formula>
    </cfRule>
    <cfRule type="cellIs" dxfId="879" priority="373" operator="equal">
      <formula>"HEB-240"</formula>
    </cfRule>
  </conditionalFormatting>
  <conditionalFormatting sqref="H121:J121">
    <cfRule type="cellIs" dxfId="878" priority="364" operator="equal">
      <formula>"HEB-3001"</formula>
    </cfRule>
  </conditionalFormatting>
  <conditionalFormatting sqref="D117:F117">
    <cfRule type="cellIs" dxfId="877" priority="355" operator="equal">
      <formula>"HEB-2801"</formula>
    </cfRule>
    <cfRule type="cellIs" dxfId="876" priority="356" operator="equal">
      <formula>"HEB-2601"</formula>
    </cfRule>
    <cfRule type="cellIs" dxfId="875" priority="357" operator="equal">
      <formula>"2HEB-320"</formula>
    </cfRule>
    <cfRule type="cellIs" dxfId="874" priority="358" operator="equal">
      <formula>"2HEB-260"</formula>
    </cfRule>
    <cfRule type="cellIs" dxfId="873" priority="359" operator="equal">
      <formula>"2HEB-240"</formula>
    </cfRule>
    <cfRule type="cellIs" dxfId="872" priority="360" operator="equal">
      <formula>"HEB-300"</formula>
    </cfRule>
    <cfRule type="cellIs" dxfId="871" priority="361" operator="equal">
      <formula>"HEB-280"</formula>
    </cfRule>
    <cfRule type="cellIs" dxfId="870" priority="362" operator="equal">
      <formula>"HEB-260"</formula>
    </cfRule>
    <cfRule type="cellIs" dxfId="869" priority="363" operator="equal">
      <formula>"HEB-240"</formula>
    </cfRule>
  </conditionalFormatting>
  <conditionalFormatting sqref="D117:F117">
    <cfRule type="cellIs" dxfId="868" priority="354" operator="equal">
      <formula>"HEB-3001"</formula>
    </cfRule>
  </conditionalFormatting>
  <conditionalFormatting sqref="D117:F117">
    <cfRule type="cellIs" dxfId="867" priority="345" operator="equal">
      <formula>"HEB-2801"</formula>
    </cfRule>
    <cfRule type="cellIs" dxfId="866" priority="346" operator="equal">
      <formula>"HEB-2601"</formula>
    </cfRule>
    <cfRule type="cellIs" dxfId="865" priority="347" operator="equal">
      <formula>"2HEB-320"</formula>
    </cfRule>
    <cfRule type="cellIs" dxfId="864" priority="348" operator="equal">
      <formula>"2HEB-260"</formula>
    </cfRule>
    <cfRule type="cellIs" dxfId="863" priority="349" operator="equal">
      <formula>"2HEB-240"</formula>
    </cfRule>
    <cfRule type="cellIs" dxfId="862" priority="350" operator="equal">
      <formula>"HEB-300"</formula>
    </cfRule>
    <cfRule type="cellIs" dxfId="861" priority="351" operator="equal">
      <formula>"HEB-280"</formula>
    </cfRule>
    <cfRule type="cellIs" dxfId="860" priority="352" operator="equal">
      <formula>"HEB-260"</formula>
    </cfRule>
    <cfRule type="cellIs" dxfId="859" priority="353" operator="equal">
      <formula>"HEB-240"</formula>
    </cfRule>
  </conditionalFormatting>
  <conditionalFormatting sqref="I126:J133">
    <cfRule type="cellIs" dxfId="858" priority="258" operator="equal">
      <formula>"HEB-2801"</formula>
    </cfRule>
    <cfRule type="cellIs" dxfId="857" priority="259" operator="equal">
      <formula>"HEB-2601"</formula>
    </cfRule>
    <cfRule type="cellIs" dxfId="856" priority="260" operator="equal">
      <formula>"2HEB-320"</formula>
    </cfRule>
    <cfRule type="cellIs" dxfId="855" priority="261" operator="equal">
      <formula>"2HEB-260"</formula>
    </cfRule>
    <cfRule type="cellIs" dxfId="854" priority="262" operator="equal">
      <formula>"2HEB-240"</formula>
    </cfRule>
    <cfRule type="cellIs" dxfId="853" priority="263" operator="equal">
      <formula>"HEB-300"</formula>
    </cfRule>
    <cfRule type="cellIs" dxfId="852" priority="264" operator="equal">
      <formula>"HEB-280"</formula>
    </cfRule>
    <cfRule type="cellIs" dxfId="851" priority="265" operator="equal">
      <formula>"HEB-260"</formula>
    </cfRule>
    <cfRule type="cellIs" dxfId="850" priority="266" operator="equal">
      <formula>"HEB-240"</formula>
    </cfRule>
  </conditionalFormatting>
  <conditionalFormatting sqref="D130:F130">
    <cfRule type="cellIs" dxfId="849" priority="239" operator="equal">
      <formula>"HEB-2801"</formula>
    </cfRule>
    <cfRule type="cellIs" dxfId="848" priority="240" operator="equal">
      <formula>"HEB-2601"</formula>
    </cfRule>
    <cfRule type="cellIs" dxfId="847" priority="241" operator="equal">
      <formula>"2HEB-320"</formula>
    </cfRule>
    <cfRule type="cellIs" dxfId="846" priority="242" operator="equal">
      <formula>"2HEB-260"</formula>
    </cfRule>
    <cfRule type="cellIs" dxfId="845" priority="243" operator="equal">
      <formula>"2HEB-240"</formula>
    </cfRule>
    <cfRule type="cellIs" dxfId="844" priority="244" operator="equal">
      <formula>"HEB-300"</formula>
    </cfRule>
    <cfRule type="cellIs" dxfId="843" priority="245" operator="equal">
      <formula>"HEB-280"</formula>
    </cfRule>
    <cfRule type="cellIs" dxfId="842" priority="246" operator="equal">
      <formula>"HEB-260"</formula>
    </cfRule>
    <cfRule type="cellIs" dxfId="841" priority="247" operator="equal">
      <formula>"HEB-240"</formula>
    </cfRule>
  </conditionalFormatting>
  <conditionalFormatting sqref="D130:F130">
    <cfRule type="cellIs" dxfId="840" priority="238" operator="equal">
      <formula>"HEB-3001"</formula>
    </cfRule>
  </conditionalFormatting>
  <conditionalFormatting sqref="D126:H129 D134:G134 D131:H133 G130:H130">
    <cfRule type="cellIs" dxfId="839" priority="278" operator="equal">
      <formula>"HEB-2801"</formula>
    </cfRule>
    <cfRule type="cellIs" dxfId="838" priority="279" operator="equal">
      <formula>"HEB-2601"</formula>
    </cfRule>
    <cfRule type="cellIs" dxfId="837" priority="280" operator="equal">
      <formula>"2HEB-320"</formula>
    </cfRule>
    <cfRule type="cellIs" dxfId="836" priority="281" operator="equal">
      <formula>"2HEB-260"</formula>
    </cfRule>
    <cfRule type="cellIs" dxfId="835" priority="282" operator="equal">
      <formula>"2HEB-240"</formula>
    </cfRule>
    <cfRule type="cellIs" dxfId="834" priority="283" operator="equal">
      <formula>"HEB-300"</formula>
    </cfRule>
    <cfRule type="cellIs" dxfId="833" priority="284" operator="equal">
      <formula>"HEB-280"</formula>
    </cfRule>
    <cfRule type="cellIs" dxfId="832" priority="285" operator="equal">
      <formula>"HEB-260"</formula>
    </cfRule>
    <cfRule type="cellIs" dxfId="831" priority="286" operator="equal">
      <formula>"HEB-240"</formula>
    </cfRule>
  </conditionalFormatting>
  <conditionalFormatting sqref="D126:H129 D134:G134 D131:H133 G130:H130">
    <cfRule type="cellIs" dxfId="830" priority="277" operator="equal">
      <formula>"HEB-3001"</formula>
    </cfRule>
  </conditionalFormatting>
  <conditionalFormatting sqref="I126:J133">
    <cfRule type="cellIs" dxfId="829" priority="268" operator="equal">
      <formula>"HEB-2801"</formula>
    </cfRule>
    <cfRule type="cellIs" dxfId="828" priority="269" operator="equal">
      <formula>"HEB-2601"</formula>
    </cfRule>
    <cfRule type="cellIs" dxfId="827" priority="270" operator="equal">
      <formula>"2HEB-320"</formula>
    </cfRule>
    <cfRule type="cellIs" dxfId="826" priority="271" operator="equal">
      <formula>"2HEB-260"</formula>
    </cfRule>
    <cfRule type="cellIs" dxfId="825" priority="272" operator="equal">
      <formula>"2HEB-240"</formula>
    </cfRule>
    <cfRule type="cellIs" dxfId="824" priority="273" operator="equal">
      <formula>"HEB-300"</formula>
    </cfRule>
    <cfRule type="cellIs" dxfId="823" priority="274" operator="equal">
      <formula>"HEB-280"</formula>
    </cfRule>
    <cfRule type="cellIs" dxfId="822" priority="275" operator="equal">
      <formula>"HEB-260"</formula>
    </cfRule>
    <cfRule type="cellIs" dxfId="821" priority="276" operator="equal">
      <formula>"HEB-240"</formula>
    </cfRule>
  </conditionalFormatting>
  <conditionalFormatting sqref="I126:J133">
    <cfRule type="cellIs" dxfId="820" priority="267" operator="equal">
      <formula>"HEB-3001"</formula>
    </cfRule>
  </conditionalFormatting>
  <conditionalFormatting sqref="H134:J134">
    <cfRule type="cellIs" dxfId="819" priority="249" operator="equal">
      <formula>"HEB-2801"</formula>
    </cfRule>
    <cfRule type="cellIs" dxfId="818" priority="250" operator="equal">
      <formula>"HEB-2601"</formula>
    </cfRule>
    <cfRule type="cellIs" dxfId="817" priority="251" operator="equal">
      <formula>"2HEB-320"</formula>
    </cfRule>
    <cfRule type="cellIs" dxfId="816" priority="252" operator="equal">
      <formula>"2HEB-260"</formula>
    </cfRule>
    <cfRule type="cellIs" dxfId="815" priority="253" operator="equal">
      <formula>"2HEB-240"</formula>
    </cfRule>
    <cfRule type="cellIs" dxfId="814" priority="254" operator="equal">
      <formula>"HEB-300"</formula>
    </cfRule>
    <cfRule type="cellIs" dxfId="813" priority="255" operator="equal">
      <formula>"HEB-280"</formula>
    </cfRule>
    <cfRule type="cellIs" dxfId="812" priority="256" operator="equal">
      <formula>"HEB-260"</formula>
    </cfRule>
    <cfRule type="cellIs" dxfId="811" priority="257" operator="equal">
      <formula>"HEB-240"</formula>
    </cfRule>
  </conditionalFormatting>
  <conditionalFormatting sqref="H134:J134">
    <cfRule type="cellIs" dxfId="810" priority="248" operator="equal">
      <formula>"HEB-3001"</formula>
    </cfRule>
  </conditionalFormatting>
  <conditionalFormatting sqref="D139:H142 D144:H146 G143:H143 D147:G147">
    <cfRule type="cellIs" dxfId="809" priority="229" operator="equal">
      <formula>"HEB-2801"</formula>
    </cfRule>
    <cfRule type="cellIs" dxfId="808" priority="230" operator="equal">
      <formula>"HEB-2601"</formula>
    </cfRule>
    <cfRule type="cellIs" dxfId="807" priority="231" operator="equal">
      <formula>"2HEB-320"</formula>
    </cfRule>
    <cfRule type="cellIs" dxfId="806" priority="232" operator="equal">
      <formula>"2HEB-260"</formula>
    </cfRule>
    <cfRule type="cellIs" dxfId="805" priority="233" operator="equal">
      <formula>"2HEB-240"</formula>
    </cfRule>
    <cfRule type="cellIs" dxfId="804" priority="234" operator="equal">
      <formula>"HEB-300"</formula>
    </cfRule>
    <cfRule type="cellIs" dxfId="803" priority="235" operator="equal">
      <formula>"HEB-280"</formula>
    </cfRule>
    <cfRule type="cellIs" dxfId="802" priority="236" operator="equal">
      <formula>"HEB-260"</formula>
    </cfRule>
    <cfRule type="cellIs" dxfId="801" priority="237" operator="equal">
      <formula>"HEB-240"</formula>
    </cfRule>
  </conditionalFormatting>
  <conditionalFormatting sqref="D139:H142 D144:H146 G143:H143 D147:G147">
    <cfRule type="cellIs" dxfId="800" priority="228" operator="equal">
      <formula>"HEB-3001"</formula>
    </cfRule>
  </conditionalFormatting>
  <conditionalFormatting sqref="I139:J146">
    <cfRule type="cellIs" dxfId="799" priority="219" operator="equal">
      <formula>"HEB-2801"</formula>
    </cfRule>
    <cfRule type="cellIs" dxfId="798" priority="220" operator="equal">
      <formula>"HEB-2601"</formula>
    </cfRule>
    <cfRule type="cellIs" dxfId="797" priority="221" operator="equal">
      <formula>"2HEB-320"</formula>
    </cfRule>
    <cfRule type="cellIs" dxfId="796" priority="222" operator="equal">
      <formula>"2HEB-260"</formula>
    </cfRule>
    <cfRule type="cellIs" dxfId="795" priority="223" operator="equal">
      <formula>"2HEB-240"</formula>
    </cfRule>
    <cfRule type="cellIs" dxfId="794" priority="224" operator="equal">
      <formula>"HEB-300"</formula>
    </cfRule>
    <cfRule type="cellIs" dxfId="793" priority="225" operator="equal">
      <formula>"HEB-280"</formula>
    </cfRule>
    <cfRule type="cellIs" dxfId="792" priority="226" operator="equal">
      <formula>"HEB-260"</formula>
    </cfRule>
    <cfRule type="cellIs" dxfId="791" priority="227" operator="equal">
      <formula>"HEB-240"</formula>
    </cfRule>
  </conditionalFormatting>
  <conditionalFormatting sqref="I139:J146">
    <cfRule type="cellIs" dxfId="790" priority="218" operator="equal">
      <formula>"HEB-3001"</formula>
    </cfRule>
  </conditionalFormatting>
  <conditionalFormatting sqref="I139:J146">
    <cfRule type="cellIs" dxfId="789" priority="209" operator="equal">
      <formula>"HEB-2801"</formula>
    </cfRule>
    <cfRule type="cellIs" dxfId="788" priority="210" operator="equal">
      <formula>"HEB-2601"</formula>
    </cfRule>
    <cfRule type="cellIs" dxfId="787" priority="211" operator="equal">
      <formula>"2HEB-320"</formula>
    </cfRule>
    <cfRule type="cellIs" dxfId="786" priority="212" operator="equal">
      <formula>"2HEB-260"</formula>
    </cfRule>
    <cfRule type="cellIs" dxfId="785" priority="213" operator="equal">
      <formula>"2HEB-240"</formula>
    </cfRule>
    <cfRule type="cellIs" dxfId="784" priority="214" operator="equal">
      <formula>"HEB-300"</formula>
    </cfRule>
    <cfRule type="cellIs" dxfId="783" priority="215" operator="equal">
      <formula>"HEB-280"</formula>
    </cfRule>
    <cfRule type="cellIs" dxfId="782" priority="216" operator="equal">
      <formula>"HEB-260"</formula>
    </cfRule>
    <cfRule type="cellIs" dxfId="781" priority="217" operator="equal">
      <formula>"HEB-240"</formula>
    </cfRule>
  </conditionalFormatting>
  <conditionalFormatting sqref="D143:F143">
    <cfRule type="cellIs" dxfId="780" priority="200" operator="equal">
      <formula>"HEB-2801"</formula>
    </cfRule>
    <cfRule type="cellIs" dxfId="779" priority="201" operator="equal">
      <formula>"HEB-2601"</formula>
    </cfRule>
    <cfRule type="cellIs" dxfId="778" priority="202" operator="equal">
      <formula>"2HEB-320"</formula>
    </cfRule>
    <cfRule type="cellIs" dxfId="777" priority="203" operator="equal">
      <formula>"2HEB-260"</formula>
    </cfRule>
    <cfRule type="cellIs" dxfId="776" priority="204" operator="equal">
      <formula>"2HEB-240"</formula>
    </cfRule>
    <cfRule type="cellIs" dxfId="775" priority="205" operator="equal">
      <formula>"HEB-300"</formula>
    </cfRule>
    <cfRule type="cellIs" dxfId="774" priority="206" operator="equal">
      <formula>"HEB-280"</formula>
    </cfRule>
    <cfRule type="cellIs" dxfId="773" priority="207" operator="equal">
      <formula>"HEB-260"</formula>
    </cfRule>
    <cfRule type="cellIs" dxfId="772" priority="208" operator="equal">
      <formula>"HEB-240"</formula>
    </cfRule>
  </conditionalFormatting>
  <conditionalFormatting sqref="D143:F143">
    <cfRule type="cellIs" dxfId="771" priority="199" operator="equal">
      <formula>"HEB-3001"</formula>
    </cfRule>
  </conditionalFormatting>
  <conditionalFormatting sqref="D143:F143">
    <cfRule type="cellIs" dxfId="770" priority="190" operator="equal">
      <formula>"HEB-2801"</formula>
    </cfRule>
    <cfRule type="cellIs" dxfId="769" priority="191" operator="equal">
      <formula>"HEB-2601"</formula>
    </cfRule>
    <cfRule type="cellIs" dxfId="768" priority="192" operator="equal">
      <formula>"2HEB-320"</formula>
    </cfRule>
    <cfRule type="cellIs" dxfId="767" priority="193" operator="equal">
      <formula>"2HEB-260"</formula>
    </cfRule>
    <cfRule type="cellIs" dxfId="766" priority="194" operator="equal">
      <formula>"2HEB-240"</formula>
    </cfRule>
    <cfRule type="cellIs" dxfId="765" priority="195" operator="equal">
      <formula>"HEB-300"</formula>
    </cfRule>
    <cfRule type="cellIs" dxfId="764" priority="196" operator="equal">
      <formula>"HEB-280"</formula>
    </cfRule>
    <cfRule type="cellIs" dxfId="763" priority="197" operator="equal">
      <formula>"HEB-260"</formula>
    </cfRule>
    <cfRule type="cellIs" dxfId="762" priority="198" operator="equal">
      <formula>"HEB-240"</formula>
    </cfRule>
  </conditionalFormatting>
  <conditionalFormatting sqref="H147:J147">
    <cfRule type="cellIs" dxfId="761" priority="181" operator="equal">
      <formula>"HEB-2801"</formula>
    </cfRule>
    <cfRule type="cellIs" dxfId="760" priority="182" operator="equal">
      <formula>"HEB-2601"</formula>
    </cfRule>
    <cfRule type="cellIs" dxfId="759" priority="183" operator="equal">
      <formula>"2HEB-320"</formula>
    </cfRule>
    <cfRule type="cellIs" dxfId="758" priority="184" operator="equal">
      <formula>"2HEB-260"</formula>
    </cfRule>
    <cfRule type="cellIs" dxfId="757" priority="185" operator="equal">
      <formula>"2HEB-240"</formula>
    </cfRule>
    <cfRule type="cellIs" dxfId="756" priority="186" operator="equal">
      <formula>"HEB-300"</formula>
    </cfRule>
    <cfRule type="cellIs" dxfId="755" priority="187" operator="equal">
      <formula>"HEB-280"</formula>
    </cfRule>
    <cfRule type="cellIs" dxfId="754" priority="188" operator="equal">
      <formula>"HEB-260"</formula>
    </cfRule>
    <cfRule type="cellIs" dxfId="753" priority="189" operator="equal">
      <formula>"HEB-240"</formula>
    </cfRule>
  </conditionalFormatting>
  <conditionalFormatting sqref="H147:J147">
    <cfRule type="cellIs" dxfId="752" priority="180" operator="equal">
      <formula>"HEB-3001"</formula>
    </cfRule>
  </conditionalFormatting>
  <conditionalFormatting sqref="I152:J159">
    <cfRule type="cellIs" dxfId="751" priority="93" operator="equal">
      <formula>"HEB-2801"</formula>
    </cfRule>
    <cfRule type="cellIs" dxfId="750" priority="94" operator="equal">
      <formula>"HEB-2601"</formula>
    </cfRule>
    <cfRule type="cellIs" dxfId="749" priority="95" operator="equal">
      <formula>"2HEB-320"</formula>
    </cfRule>
    <cfRule type="cellIs" dxfId="748" priority="96" operator="equal">
      <formula>"2HEB-260"</formula>
    </cfRule>
    <cfRule type="cellIs" dxfId="747" priority="97" operator="equal">
      <formula>"2HEB-240"</formula>
    </cfRule>
    <cfRule type="cellIs" dxfId="746" priority="98" operator="equal">
      <formula>"HEB-300"</formula>
    </cfRule>
    <cfRule type="cellIs" dxfId="745" priority="99" operator="equal">
      <formula>"HEB-280"</formula>
    </cfRule>
    <cfRule type="cellIs" dxfId="744" priority="100" operator="equal">
      <formula>"HEB-260"</formula>
    </cfRule>
    <cfRule type="cellIs" dxfId="743" priority="101" operator="equal">
      <formula>"HEB-240"</formula>
    </cfRule>
  </conditionalFormatting>
  <conditionalFormatting sqref="H160:J160">
    <cfRule type="cellIs" dxfId="742" priority="74" operator="equal">
      <formula>"HEB-2801"</formula>
    </cfRule>
    <cfRule type="cellIs" dxfId="741" priority="75" operator="equal">
      <formula>"HEB-2601"</formula>
    </cfRule>
    <cfRule type="cellIs" dxfId="740" priority="76" operator="equal">
      <formula>"2HEB-320"</formula>
    </cfRule>
    <cfRule type="cellIs" dxfId="739" priority="77" operator="equal">
      <formula>"2HEB-260"</formula>
    </cfRule>
    <cfRule type="cellIs" dxfId="738" priority="78" operator="equal">
      <formula>"2HEB-240"</formula>
    </cfRule>
    <cfRule type="cellIs" dxfId="737" priority="79" operator="equal">
      <formula>"HEB-300"</formula>
    </cfRule>
    <cfRule type="cellIs" dxfId="736" priority="80" operator="equal">
      <formula>"HEB-280"</formula>
    </cfRule>
    <cfRule type="cellIs" dxfId="735" priority="81" operator="equal">
      <formula>"HEB-260"</formula>
    </cfRule>
    <cfRule type="cellIs" dxfId="734" priority="82" operator="equal">
      <formula>"HEB-240"</formula>
    </cfRule>
  </conditionalFormatting>
  <conditionalFormatting sqref="H160:J160">
    <cfRule type="cellIs" dxfId="733" priority="73" operator="equal">
      <formula>"HEB-3001"</formula>
    </cfRule>
  </conditionalFormatting>
  <conditionalFormatting sqref="D152:H155 D157:H159 G156:H156 D160:G160">
    <cfRule type="cellIs" dxfId="732" priority="113" operator="equal">
      <formula>"HEB-2801"</formula>
    </cfRule>
    <cfRule type="cellIs" dxfId="731" priority="114" operator="equal">
      <formula>"HEB-2601"</formula>
    </cfRule>
    <cfRule type="cellIs" dxfId="730" priority="115" operator="equal">
      <formula>"2HEB-320"</formula>
    </cfRule>
    <cfRule type="cellIs" dxfId="729" priority="116" operator="equal">
      <formula>"2HEB-260"</formula>
    </cfRule>
    <cfRule type="cellIs" dxfId="728" priority="117" operator="equal">
      <formula>"2HEB-240"</formula>
    </cfRule>
    <cfRule type="cellIs" dxfId="727" priority="118" operator="equal">
      <formula>"HEB-300"</formula>
    </cfRule>
    <cfRule type="cellIs" dxfId="726" priority="119" operator="equal">
      <formula>"HEB-280"</formula>
    </cfRule>
    <cfRule type="cellIs" dxfId="725" priority="120" operator="equal">
      <formula>"HEB-260"</formula>
    </cfRule>
    <cfRule type="cellIs" dxfId="724" priority="121" operator="equal">
      <formula>"HEB-240"</formula>
    </cfRule>
  </conditionalFormatting>
  <conditionalFormatting sqref="D152:H155 D157:H159 G156:H156 D160:G160">
    <cfRule type="cellIs" dxfId="723" priority="112" operator="equal">
      <formula>"HEB-3001"</formula>
    </cfRule>
  </conditionalFormatting>
  <conditionalFormatting sqref="I152:J159">
    <cfRule type="cellIs" dxfId="722" priority="103" operator="equal">
      <formula>"HEB-2801"</formula>
    </cfRule>
    <cfRule type="cellIs" dxfId="721" priority="104" operator="equal">
      <formula>"HEB-2601"</formula>
    </cfRule>
    <cfRule type="cellIs" dxfId="720" priority="105" operator="equal">
      <formula>"2HEB-320"</formula>
    </cfRule>
    <cfRule type="cellIs" dxfId="719" priority="106" operator="equal">
      <formula>"2HEB-260"</formula>
    </cfRule>
    <cfRule type="cellIs" dxfId="718" priority="107" operator="equal">
      <formula>"2HEB-240"</formula>
    </cfRule>
    <cfRule type="cellIs" dxfId="717" priority="108" operator="equal">
      <formula>"HEB-300"</formula>
    </cfRule>
    <cfRule type="cellIs" dxfId="716" priority="109" operator="equal">
      <formula>"HEB-280"</formula>
    </cfRule>
    <cfRule type="cellIs" dxfId="715" priority="110" operator="equal">
      <formula>"HEB-260"</formula>
    </cfRule>
    <cfRule type="cellIs" dxfId="714" priority="111" operator="equal">
      <formula>"HEB-240"</formula>
    </cfRule>
  </conditionalFormatting>
  <conditionalFormatting sqref="I152:J159">
    <cfRule type="cellIs" dxfId="713" priority="102" operator="equal">
      <formula>"HEB-3001"</formula>
    </cfRule>
  </conditionalFormatting>
  <conditionalFormatting sqref="D156:F156">
    <cfRule type="cellIs" dxfId="712" priority="84" operator="equal">
      <formula>"HEB-2801"</formula>
    </cfRule>
    <cfRule type="cellIs" dxfId="711" priority="85" operator="equal">
      <formula>"HEB-2601"</formula>
    </cfRule>
    <cfRule type="cellIs" dxfId="710" priority="86" operator="equal">
      <formula>"2HEB-320"</formula>
    </cfRule>
    <cfRule type="cellIs" dxfId="709" priority="87" operator="equal">
      <formula>"2HEB-260"</formula>
    </cfRule>
    <cfRule type="cellIs" dxfId="708" priority="88" operator="equal">
      <formula>"2HEB-240"</formula>
    </cfRule>
    <cfRule type="cellIs" dxfId="707" priority="89" operator="equal">
      <formula>"HEB-300"</formula>
    </cfRule>
    <cfRule type="cellIs" dxfId="706" priority="90" operator="equal">
      <formula>"HEB-280"</formula>
    </cfRule>
    <cfRule type="cellIs" dxfId="705" priority="91" operator="equal">
      <formula>"HEB-260"</formula>
    </cfRule>
    <cfRule type="cellIs" dxfId="704" priority="92" operator="equal">
      <formula>"HEB-240"</formula>
    </cfRule>
  </conditionalFormatting>
  <conditionalFormatting sqref="D156:F156">
    <cfRule type="cellIs" dxfId="703" priority="83" operator="equal">
      <formula>"HEB-3001"</formula>
    </cfRule>
  </conditionalFormatting>
  <conditionalFormatting sqref="D205:H213">
    <cfRule type="cellIs" dxfId="702" priority="64" operator="equal">
      <formula>"HEB-2801"</formula>
    </cfRule>
    <cfRule type="cellIs" dxfId="701" priority="65" operator="equal">
      <formula>"HEB-2601"</formula>
    </cfRule>
    <cfRule type="cellIs" dxfId="700" priority="66" operator="equal">
      <formula>"2HEB-320"</formula>
    </cfRule>
    <cfRule type="cellIs" dxfId="699" priority="67" operator="equal">
      <formula>"2HEB-260"</formula>
    </cfRule>
    <cfRule type="cellIs" dxfId="698" priority="68" operator="equal">
      <formula>"2HEB-240"</formula>
    </cfRule>
    <cfRule type="cellIs" dxfId="697" priority="69" operator="equal">
      <formula>"HEB-300"</formula>
    </cfRule>
    <cfRule type="cellIs" dxfId="696" priority="70" operator="equal">
      <formula>"HEB-280"</formula>
    </cfRule>
    <cfRule type="cellIs" dxfId="695" priority="71" operator="equal">
      <formula>"HEB-260"</formula>
    </cfRule>
    <cfRule type="cellIs" dxfId="694" priority="72" operator="equal">
      <formula>"HEB-240"</formula>
    </cfRule>
  </conditionalFormatting>
  <conditionalFormatting sqref="D205:H213">
    <cfRule type="cellIs" dxfId="693" priority="63" operator="equal">
      <formula>"HEB-3001"</formula>
    </cfRule>
  </conditionalFormatting>
  <conditionalFormatting sqref="D242:D245">
    <cfRule type="cellIs" dxfId="692" priority="54" operator="equal">
      <formula>"HEB-2801"</formula>
    </cfRule>
    <cfRule type="cellIs" dxfId="691" priority="55" operator="equal">
      <formula>"HEB-2601"</formula>
    </cfRule>
    <cfRule type="cellIs" dxfId="690" priority="56" operator="equal">
      <formula>"2HEB-320"</formula>
    </cfRule>
    <cfRule type="cellIs" dxfId="689" priority="57" operator="equal">
      <formula>"2HEB-260"</formula>
    </cfRule>
    <cfRule type="cellIs" dxfId="688" priority="58" operator="equal">
      <formula>"2HEB-240"</formula>
    </cfRule>
    <cfRule type="cellIs" dxfId="687" priority="59" operator="equal">
      <formula>"HEB-300"</formula>
    </cfRule>
    <cfRule type="cellIs" dxfId="686" priority="60" operator="equal">
      <formula>"HEB-280"</formula>
    </cfRule>
    <cfRule type="cellIs" dxfId="685" priority="61" operator="equal">
      <formula>"HEB-260"</formula>
    </cfRule>
    <cfRule type="cellIs" dxfId="684" priority="62" operator="equal">
      <formula>"HEB-240"</formula>
    </cfRule>
  </conditionalFormatting>
  <conditionalFormatting sqref="D242:D245">
    <cfRule type="cellIs" dxfId="683" priority="53" operator="equal">
      <formula>"HEB-3001"</formula>
    </cfRule>
  </conditionalFormatting>
  <conditionalFormatting sqref="D48">
    <cfRule type="cellIs" dxfId="682" priority="46" operator="equal">
      <formula>"2HEB-300"</formula>
    </cfRule>
    <cfRule type="cellIs" dxfId="681" priority="47" operator="equal">
      <formula>"2HEB-260"</formula>
    </cfRule>
    <cfRule type="cellIs" dxfId="680" priority="48" operator="equal">
      <formula>"2HEB-240"</formula>
    </cfRule>
    <cfRule type="cellIs" dxfId="679" priority="49" operator="equal">
      <formula>"HEB-300"</formula>
    </cfRule>
    <cfRule type="cellIs" dxfId="678" priority="50" operator="equal">
      <formula>"HEB-280"</formula>
    </cfRule>
    <cfRule type="cellIs" dxfId="677" priority="51" operator="equal">
      <formula>"HEB-260"</formula>
    </cfRule>
    <cfRule type="cellIs" dxfId="676" priority="52" operator="equal">
      <formula>"HEB-240"</formula>
    </cfRule>
  </conditionalFormatting>
  <conditionalFormatting sqref="E48">
    <cfRule type="cellIs" dxfId="675" priority="39" operator="equal">
      <formula>"2HEB-300"</formula>
    </cfRule>
    <cfRule type="cellIs" dxfId="674" priority="40" operator="equal">
      <formula>"2HEB-260"</formula>
    </cfRule>
    <cfRule type="cellIs" dxfId="673" priority="41" operator="equal">
      <formula>"2HEB-240"</formula>
    </cfRule>
    <cfRule type="cellIs" dxfId="672" priority="42" operator="equal">
      <formula>"HEB-300"</formula>
    </cfRule>
    <cfRule type="cellIs" dxfId="671" priority="43" operator="equal">
      <formula>"HEB-280"</formula>
    </cfRule>
    <cfRule type="cellIs" dxfId="670" priority="44" operator="equal">
      <formula>"HEB-260"</formula>
    </cfRule>
    <cfRule type="cellIs" dxfId="669" priority="45" operator="equal">
      <formula>"HEB-240"</formula>
    </cfRule>
  </conditionalFormatting>
  <conditionalFormatting sqref="F48">
    <cfRule type="cellIs" dxfId="668" priority="32" operator="equal">
      <formula>"2HEB-300"</formula>
    </cfRule>
    <cfRule type="cellIs" dxfId="667" priority="33" operator="equal">
      <formula>"2HEB-260"</formula>
    </cfRule>
    <cfRule type="cellIs" dxfId="666" priority="34" operator="equal">
      <formula>"2HEB-240"</formula>
    </cfRule>
    <cfRule type="cellIs" dxfId="665" priority="35" operator="equal">
      <formula>"HEB-300"</formula>
    </cfRule>
    <cfRule type="cellIs" dxfId="664" priority="36" operator="equal">
      <formula>"HEB-280"</formula>
    </cfRule>
    <cfRule type="cellIs" dxfId="663" priority="37" operator="equal">
      <formula>"HEB-260"</formula>
    </cfRule>
    <cfRule type="cellIs" dxfId="662" priority="38" operator="equal">
      <formula>"HEB-240"</formula>
    </cfRule>
  </conditionalFormatting>
  <conditionalFormatting sqref="G48">
    <cfRule type="cellIs" dxfId="661" priority="25" operator="equal">
      <formula>"2HEB-300"</formula>
    </cfRule>
    <cfRule type="cellIs" dxfId="660" priority="26" operator="equal">
      <formula>"2HEB-260"</formula>
    </cfRule>
    <cfRule type="cellIs" dxfId="659" priority="27" operator="equal">
      <formula>"2HEB-240"</formula>
    </cfRule>
    <cfRule type="cellIs" dxfId="658" priority="28" operator="equal">
      <formula>"HEB-300"</formula>
    </cfRule>
    <cfRule type="cellIs" dxfId="657" priority="29" operator="equal">
      <formula>"HEB-280"</formula>
    </cfRule>
    <cfRule type="cellIs" dxfId="656" priority="30" operator="equal">
      <formula>"HEB-260"</formula>
    </cfRule>
    <cfRule type="cellIs" dxfId="655" priority="31" operator="equal">
      <formula>"HEB-240"</formula>
    </cfRule>
  </conditionalFormatting>
  <conditionalFormatting sqref="H48">
    <cfRule type="cellIs" dxfId="654" priority="18" operator="equal">
      <formula>"2HEB-300"</formula>
    </cfRule>
    <cfRule type="cellIs" dxfId="653" priority="19" operator="equal">
      <formula>"2HEB-260"</formula>
    </cfRule>
    <cfRule type="cellIs" dxfId="652" priority="20" operator="equal">
      <formula>"2HEB-240"</formula>
    </cfRule>
    <cfRule type="cellIs" dxfId="651" priority="21" operator="equal">
      <formula>"HEB-300"</formula>
    </cfRule>
    <cfRule type="cellIs" dxfId="650" priority="22" operator="equal">
      <formula>"HEB-280"</formula>
    </cfRule>
    <cfRule type="cellIs" dxfId="649" priority="23" operator="equal">
      <formula>"HEB-260"</formula>
    </cfRule>
    <cfRule type="cellIs" dxfId="648" priority="24" operator="equal">
      <formula>"HEB-240"</formula>
    </cfRule>
  </conditionalFormatting>
  <conditionalFormatting sqref="I48">
    <cfRule type="cellIs" dxfId="647" priority="11" operator="equal">
      <formula>"2HEB-300"</formula>
    </cfRule>
    <cfRule type="cellIs" dxfId="646" priority="12" operator="equal">
      <formula>"2HEB-260"</formula>
    </cfRule>
    <cfRule type="cellIs" dxfId="645" priority="13" operator="equal">
      <formula>"2HEB-240"</formula>
    </cfRule>
    <cfRule type="cellIs" dxfId="644" priority="14" operator="equal">
      <formula>"HEB-300"</formula>
    </cfRule>
    <cfRule type="cellIs" dxfId="643" priority="15" operator="equal">
      <formula>"HEB-280"</formula>
    </cfRule>
    <cfRule type="cellIs" dxfId="642" priority="16" operator="equal">
      <formula>"HEB-260"</formula>
    </cfRule>
    <cfRule type="cellIs" dxfId="641" priority="17" operator="equal">
      <formula>"HEB-240"</formula>
    </cfRule>
  </conditionalFormatting>
  <conditionalFormatting sqref="D218:H227 D233:H233">
    <cfRule type="cellIs" dxfId="640" priority="2" operator="equal">
      <formula>"HEB-2801"</formula>
    </cfRule>
    <cfRule type="cellIs" dxfId="639" priority="3" operator="equal">
      <formula>"HEB-2601"</formula>
    </cfRule>
    <cfRule type="cellIs" dxfId="638" priority="4" operator="equal">
      <formula>"2HEB-320"</formula>
    </cfRule>
    <cfRule type="cellIs" dxfId="637" priority="5" operator="equal">
      <formula>"2HEB-260"</formula>
    </cfRule>
    <cfRule type="cellIs" dxfId="636" priority="6" operator="equal">
      <formula>"2HEB-240"</formula>
    </cfRule>
    <cfRule type="cellIs" dxfId="635" priority="7" operator="equal">
      <formula>"HEB-300"</formula>
    </cfRule>
    <cfRule type="cellIs" dxfId="634" priority="8" operator="equal">
      <formula>"HEB-280"</formula>
    </cfRule>
    <cfRule type="cellIs" dxfId="633" priority="9" operator="equal">
      <formula>"HEB-260"</formula>
    </cfRule>
    <cfRule type="cellIs" dxfId="632" priority="10" operator="equal">
      <formula>"HEB-240"</formula>
    </cfRule>
  </conditionalFormatting>
  <conditionalFormatting sqref="D218:H227 D233:H233">
    <cfRule type="cellIs" dxfId="631" priority="1" operator="equal">
      <formula>"HEB-3001"</formula>
    </cfRule>
  </conditionalFormatting>
  <pageMargins left="0.70866141732283472" right="0.70866141732283472" top="0.74803149606299213" bottom="0.74803149606299213" header="0.31496062992125984" footer="0.31496062992125984"/>
  <pageSetup paperSize="9" scale="5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
    <tabColor theme="5" tint="0.79998168889431442"/>
    <pageSetUpPr fitToPage="1"/>
  </sheetPr>
  <dimension ref="A1:AO84"/>
  <sheetViews>
    <sheetView zoomScale="80" zoomScaleNormal="80" workbookViewId="0">
      <pane ySplit="1" topLeftCell="A2" activePane="bottomLeft" state="frozen"/>
      <selection pane="bottomLeft" activeCell="AP22" sqref="AP22"/>
    </sheetView>
  </sheetViews>
  <sheetFormatPr defaultColWidth="11.42578125" defaultRowHeight="13.15"/>
  <cols>
    <col min="1" max="1" width="44.28515625" style="391" bestFit="1" customWidth="1"/>
    <col min="2" max="2" width="23.140625" style="391" bestFit="1" customWidth="1"/>
    <col min="3" max="3" width="11.42578125" style="391"/>
    <col min="4" max="4" width="35.7109375" style="391" bestFit="1" customWidth="1"/>
    <col min="5" max="5" width="14.85546875" style="391" bestFit="1" customWidth="1"/>
    <col min="6" max="6" width="11.42578125" style="391"/>
    <col min="7" max="7" width="24.7109375" style="391" hidden="1" customWidth="1"/>
    <col min="8" max="9" width="13.28515625" style="391" hidden="1" customWidth="1"/>
    <col min="10" max="10" width="11.5703125" style="391" hidden="1" customWidth="1"/>
    <col min="11" max="11" width="7.5703125" style="391" hidden="1" customWidth="1"/>
    <col min="12" max="12" width="11.42578125" style="391" hidden="1" customWidth="1"/>
    <col min="13" max="13" width="24.7109375" style="391" hidden="1" customWidth="1"/>
    <col min="14" max="15" width="13.28515625" style="391" hidden="1" customWidth="1"/>
    <col min="16" max="16" width="11.5703125" style="391" hidden="1" customWidth="1"/>
    <col min="17" max="17" width="7.5703125" style="391" hidden="1" customWidth="1"/>
    <col min="18" max="18" width="11.42578125" style="391" hidden="1" customWidth="1"/>
    <col min="19" max="19" width="24.7109375" style="391" hidden="1" customWidth="1"/>
    <col min="20" max="21" width="13.28515625" style="391" hidden="1" customWidth="1"/>
    <col min="22" max="22" width="11.5703125" style="391" hidden="1" customWidth="1"/>
    <col min="23" max="23" width="7.5703125" style="391" hidden="1" customWidth="1"/>
    <col min="24" max="24" width="11.42578125" style="391" hidden="1" customWidth="1"/>
    <col min="25" max="25" width="24.7109375" style="391" hidden="1" customWidth="1"/>
    <col min="26" max="27" width="13.28515625" style="391" hidden="1" customWidth="1"/>
    <col min="28" max="28" width="11.5703125" style="391" hidden="1" customWidth="1"/>
    <col min="29" max="29" width="7.5703125" style="391" hidden="1" customWidth="1"/>
    <col min="30" max="30" width="11.42578125" style="391" hidden="1" customWidth="1"/>
    <col min="31" max="31" width="24.7109375" style="391" hidden="1" customWidth="1"/>
    <col min="32" max="33" width="13.28515625" style="391" hidden="1" customWidth="1"/>
    <col min="34" max="34" width="11.5703125" style="391" hidden="1" customWidth="1"/>
    <col min="35" max="35" width="7.5703125" style="391" hidden="1" customWidth="1"/>
    <col min="36" max="36" width="11.42578125" style="391" hidden="1" customWidth="1"/>
    <col min="37" max="37" width="24.7109375" style="391" hidden="1" customWidth="1"/>
    <col min="38" max="39" width="13.28515625" style="391" hidden="1" customWidth="1"/>
    <col min="40" max="40" width="11.5703125" style="391" hidden="1" customWidth="1"/>
    <col min="41" max="41" width="7.5703125" style="391" hidden="1" customWidth="1"/>
    <col min="42" max="16384" width="11.42578125" style="391"/>
  </cols>
  <sheetData>
    <row r="1" spans="1:41" ht="13.9" thickBot="1">
      <c r="A1" s="76" t="s">
        <v>2058</v>
      </c>
      <c r="B1" s="77"/>
      <c r="C1" s="129"/>
      <c r="D1" s="78" t="s">
        <v>2058</v>
      </c>
      <c r="E1" s="79"/>
      <c r="F1" s="151"/>
      <c r="G1" s="1073" t="str">
        <f>'HR Track 1'!A1</f>
        <v>TRACK 1</v>
      </c>
      <c r="H1" s="1073"/>
      <c r="I1" s="1073"/>
      <c r="J1" s="1073"/>
      <c r="K1" s="1073"/>
      <c r="M1" s="1074" t="str">
        <f>'HR Track 2'!A1</f>
        <v>TRACK 2</v>
      </c>
      <c r="N1" s="1074"/>
      <c r="O1" s="1074"/>
      <c r="P1" s="1074"/>
      <c r="Q1" s="1074"/>
      <c r="S1" s="1075" t="str">
        <f>'HR Track 3 ZIC'!A1</f>
        <v>TRACK 3 ZIC</v>
      </c>
      <c r="T1" s="1075"/>
      <c r="U1" s="1075"/>
      <c r="V1" s="1075"/>
      <c r="W1" s="1075"/>
      <c r="Y1" s="1076" t="str">
        <f>'HR Track 4 ZIC'!A1</f>
        <v>TRACK 4 ZIC</v>
      </c>
      <c r="Z1" s="1076"/>
      <c r="AA1" s="1076"/>
      <c r="AB1" s="1076"/>
      <c r="AC1" s="1076"/>
      <c r="AE1" s="1077" t="str">
        <f>'HR Track 4 BIN'!A1</f>
        <v>TRACK 4 BIN</v>
      </c>
      <c r="AF1" s="1077"/>
      <c r="AG1" s="1077"/>
      <c r="AH1" s="1077"/>
      <c r="AI1" s="1077"/>
      <c r="AK1" s="1072" t="str">
        <f>'HR Track 5 BIN'!A1</f>
        <v>TRACK 5 BIN</v>
      </c>
      <c r="AL1" s="1072"/>
      <c r="AM1" s="1072"/>
      <c r="AN1" s="1072"/>
      <c r="AO1" s="1072"/>
    </row>
    <row r="2" spans="1:41">
      <c r="A2" s="88"/>
      <c r="B2" s="89"/>
      <c r="C2" s="129"/>
      <c r="D2" s="88"/>
      <c r="E2" s="89"/>
      <c r="F2" s="125"/>
      <c r="G2" s="80" t="s">
        <v>2059</v>
      </c>
      <c r="H2" s="81" t="s">
        <v>2060</v>
      </c>
      <c r="I2" s="81" t="s">
        <v>2061</v>
      </c>
      <c r="J2" s="81" t="s">
        <v>2062</v>
      </c>
      <c r="K2" s="82" t="s">
        <v>2063</v>
      </c>
      <c r="M2" s="80" t="s">
        <v>2059</v>
      </c>
      <c r="N2" s="81" t="s">
        <v>2060</v>
      </c>
      <c r="O2" s="81" t="s">
        <v>2061</v>
      </c>
      <c r="P2" s="81" t="s">
        <v>2062</v>
      </c>
      <c r="Q2" s="82" t="s">
        <v>2063</v>
      </c>
      <c r="S2" s="80" t="s">
        <v>2059</v>
      </c>
      <c r="T2" s="81" t="s">
        <v>2060</v>
      </c>
      <c r="U2" s="81" t="s">
        <v>2061</v>
      </c>
      <c r="V2" s="81" t="s">
        <v>2062</v>
      </c>
      <c r="W2" s="82" t="s">
        <v>2063</v>
      </c>
      <c r="Y2" s="80" t="s">
        <v>2059</v>
      </c>
      <c r="Z2" s="81" t="s">
        <v>2060</v>
      </c>
      <c r="AA2" s="81" t="s">
        <v>2061</v>
      </c>
      <c r="AB2" s="81" t="s">
        <v>2062</v>
      </c>
      <c r="AC2" s="82" t="s">
        <v>2063</v>
      </c>
      <c r="AE2" s="80" t="s">
        <v>2059</v>
      </c>
      <c r="AF2" s="81" t="s">
        <v>2060</v>
      </c>
      <c r="AG2" s="81" t="s">
        <v>2061</v>
      </c>
      <c r="AH2" s="81" t="s">
        <v>2062</v>
      </c>
      <c r="AI2" s="82" t="s">
        <v>2063</v>
      </c>
      <c r="AK2" s="80" t="s">
        <v>2059</v>
      </c>
      <c r="AL2" s="81" t="s">
        <v>2060</v>
      </c>
      <c r="AM2" s="81" t="s">
        <v>2061</v>
      </c>
      <c r="AN2" s="81" t="s">
        <v>2062</v>
      </c>
      <c r="AO2" s="82" t="s">
        <v>2063</v>
      </c>
    </row>
    <row r="3" spans="1:41">
      <c r="A3" s="53"/>
      <c r="B3" s="54"/>
      <c r="C3" s="129"/>
      <c r="D3" s="53"/>
      <c r="E3" s="54"/>
      <c r="F3" s="125"/>
      <c r="G3" s="90"/>
      <c r="H3" s="8"/>
      <c r="I3" s="8"/>
      <c r="J3" s="8"/>
      <c r="K3" s="91"/>
      <c r="M3" s="90"/>
      <c r="N3" s="8"/>
      <c r="O3" s="8"/>
      <c r="P3" s="8"/>
      <c r="Q3" s="91"/>
      <c r="S3" s="90"/>
      <c r="T3" s="8"/>
      <c r="U3" s="8"/>
      <c r="V3" s="8"/>
      <c r="W3" s="91"/>
      <c r="Y3" s="90"/>
      <c r="Z3" s="8"/>
      <c r="AA3" s="8"/>
      <c r="AB3" s="8"/>
      <c r="AC3" s="91"/>
      <c r="AE3" s="90"/>
      <c r="AF3" s="8"/>
      <c r="AG3" s="8"/>
      <c r="AH3" s="8"/>
      <c r="AI3" s="91"/>
      <c r="AK3" s="90"/>
      <c r="AL3" s="8"/>
      <c r="AM3" s="8"/>
      <c r="AN3" s="8"/>
      <c r="AO3" s="91"/>
    </row>
    <row r="4" spans="1:41">
      <c r="A4" s="92" t="s">
        <v>2064</v>
      </c>
      <c r="B4" s="93"/>
      <c r="C4" s="129"/>
      <c r="D4" s="92" t="s">
        <v>25</v>
      </c>
      <c r="E4" s="93"/>
      <c r="F4" s="125"/>
      <c r="G4" s="90"/>
      <c r="H4" s="12"/>
      <c r="I4" s="12"/>
      <c r="J4" s="8"/>
      <c r="K4" s="91"/>
      <c r="M4" s="90"/>
      <c r="N4" s="12"/>
      <c r="O4" s="12"/>
      <c r="P4" s="8"/>
      <c r="Q4" s="91"/>
      <c r="S4" s="90"/>
      <c r="T4" s="12"/>
      <c r="U4" s="12"/>
      <c r="V4" s="8"/>
      <c r="W4" s="91"/>
      <c r="Y4" s="90"/>
      <c r="Z4" s="12"/>
      <c r="AA4" s="12"/>
      <c r="AB4" s="8"/>
      <c r="AC4" s="91"/>
      <c r="AE4" s="90"/>
      <c r="AF4" s="12"/>
      <c r="AG4" s="12"/>
      <c r="AH4" s="8"/>
      <c r="AI4" s="91"/>
      <c r="AK4" s="90"/>
      <c r="AL4" s="12"/>
      <c r="AM4" s="12"/>
      <c r="AN4" s="8"/>
      <c r="AO4" s="91"/>
    </row>
    <row r="5" spans="1:41">
      <c r="A5" s="53" t="s">
        <v>2065</v>
      </c>
      <c r="B5" s="94"/>
      <c r="C5" s="129"/>
      <c r="D5" s="53" t="s">
        <v>2066</v>
      </c>
      <c r="E5" s="54" t="s">
        <v>2067</v>
      </c>
      <c r="F5" s="125"/>
      <c r="G5" s="90" t="s">
        <v>2068</v>
      </c>
      <c r="H5" s="12"/>
      <c r="I5" s="12"/>
      <c r="J5" s="8">
        <v>1</v>
      </c>
      <c r="K5" s="91">
        <f>+(I5-H5)*J5/1000</f>
        <v>0</v>
      </c>
      <c r="M5" s="90" t="s">
        <v>2068</v>
      </c>
      <c r="N5" s="12"/>
      <c r="O5" s="12"/>
      <c r="P5" s="8">
        <v>1</v>
      </c>
      <c r="Q5" s="91">
        <f>+(O5-N5)*P5/1000</f>
        <v>0</v>
      </c>
      <c r="S5" s="90" t="s">
        <v>2068</v>
      </c>
      <c r="T5" s="12"/>
      <c r="U5" s="12"/>
      <c r="V5" s="8">
        <v>1</v>
      </c>
      <c r="W5" s="91">
        <f>+(U5-T5)*V5/1000</f>
        <v>0</v>
      </c>
      <c r="Y5" s="90" t="s">
        <v>2068</v>
      </c>
      <c r="Z5" s="12"/>
      <c r="AA5" s="12"/>
      <c r="AB5" s="8">
        <v>1</v>
      </c>
      <c r="AC5" s="91">
        <f>+(AA5-Z5)*AB5/1000</f>
        <v>0</v>
      </c>
      <c r="AE5" s="90" t="s">
        <v>2068</v>
      </c>
      <c r="AF5" s="12"/>
      <c r="AG5" s="12"/>
      <c r="AH5" s="8">
        <v>1</v>
      </c>
      <c r="AI5" s="91">
        <f>+(AG5-AF5)*AH5/1000</f>
        <v>0</v>
      </c>
      <c r="AK5" s="90" t="s">
        <v>2068</v>
      </c>
      <c r="AL5" s="12"/>
      <c r="AM5" s="12"/>
      <c r="AN5" s="8">
        <v>1</v>
      </c>
      <c r="AO5" s="91">
        <f>+(AM5-AL5)*AN5/1000</f>
        <v>0</v>
      </c>
    </row>
    <row r="6" spans="1:41">
      <c r="A6" s="53" t="s">
        <v>39</v>
      </c>
      <c r="B6" s="95"/>
      <c r="C6" s="129"/>
      <c r="D6" s="53" t="s">
        <v>2069</v>
      </c>
      <c r="E6" s="54" t="s">
        <v>2070</v>
      </c>
      <c r="F6" s="125"/>
      <c r="G6" s="90" t="s">
        <v>2071</v>
      </c>
      <c r="H6" s="12"/>
      <c r="I6" s="12"/>
      <c r="J6" s="8">
        <v>2</v>
      </c>
      <c r="K6" s="91">
        <f>+(I6-H6)*J6/1000</f>
        <v>0</v>
      </c>
      <c r="M6" s="90" t="s">
        <v>2071</v>
      </c>
      <c r="N6" s="12"/>
      <c r="O6" s="12"/>
      <c r="P6" s="8">
        <v>2</v>
      </c>
      <c r="Q6" s="91">
        <f>+(O6-N6)*P6/1000</f>
        <v>0</v>
      </c>
      <c r="S6" s="90" t="s">
        <v>2071</v>
      </c>
      <c r="T6" s="12"/>
      <c r="U6" s="12"/>
      <c r="V6" s="8">
        <v>2</v>
      </c>
      <c r="W6" s="91">
        <f>+(U6-T6)*V6/1000</f>
        <v>0</v>
      </c>
      <c r="Y6" s="90" t="s">
        <v>2071</v>
      </c>
      <c r="Z6" s="12"/>
      <c r="AA6" s="12"/>
      <c r="AB6" s="8">
        <v>2</v>
      </c>
      <c r="AC6" s="91">
        <f>+(AA6-Z6)*AB6/1000</f>
        <v>0</v>
      </c>
      <c r="AE6" s="90" t="s">
        <v>2071</v>
      </c>
      <c r="AF6" s="12"/>
      <c r="AG6" s="12"/>
      <c r="AH6" s="8">
        <v>2</v>
      </c>
      <c r="AI6" s="91">
        <f>+(AG6-AF6)*AH6/1000</f>
        <v>0</v>
      </c>
      <c r="AK6" s="90" t="s">
        <v>2071</v>
      </c>
      <c r="AL6" s="12"/>
      <c r="AM6" s="12"/>
      <c r="AN6" s="8">
        <v>2</v>
      </c>
      <c r="AO6" s="91">
        <f>+(AM6-AL6)*AN6/1000</f>
        <v>0</v>
      </c>
    </row>
    <row r="7" spans="1:41">
      <c r="A7" s="53" t="s">
        <v>44</v>
      </c>
      <c r="B7" s="96"/>
      <c r="C7" s="129"/>
      <c r="D7" s="53" t="s">
        <v>2072</v>
      </c>
      <c r="E7" s="54" t="s">
        <v>2073</v>
      </c>
      <c r="F7" s="125"/>
      <c r="G7" s="90"/>
      <c r="H7" s="12"/>
      <c r="I7" s="12"/>
      <c r="J7" s="8"/>
      <c r="K7" s="91">
        <f>+(I7-H7)*J7/1000</f>
        <v>0</v>
      </c>
      <c r="M7" s="90"/>
      <c r="N7" s="12"/>
      <c r="O7" s="12"/>
      <c r="P7" s="8"/>
      <c r="Q7" s="91">
        <f>+(O7-N7)*P7/1000</f>
        <v>0</v>
      </c>
      <c r="S7" s="90"/>
      <c r="T7" s="12"/>
      <c r="U7" s="12"/>
      <c r="V7" s="8"/>
      <c r="W7" s="91">
        <f>+(U7-T7)*V7/1000</f>
        <v>0</v>
      </c>
      <c r="Y7" s="90"/>
      <c r="Z7" s="12"/>
      <c r="AA7" s="12"/>
      <c r="AB7" s="8"/>
      <c r="AC7" s="91">
        <f>+(AA7-Z7)*AB7/1000</f>
        <v>0</v>
      </c>
      <c r="AE7" s="90"/>
      <c r="AF7" s="12"/>
      <c r="AG7" s="12"/>
      <c r="AH7" s="8"/>
      <c r="AI7" s="91">
        <f>+(AG7-AF7)*AH7/1000</f>
        <v>0</v>
      </c>
      <c r="AK7" s="90"/>
      <c r="AL7" s="12"/>
      <c r="AM7" s="12"/>
      <c r="AN7" s="8"/>
      <c r="AO7" s="91">
        <f>+(AM7-AL7)*AN7/1000</f>
        <v>0</v>
      </c>
    </row>
    <row r="8" spans="1:41">
      <c r="A8" s="53" t="s">
        <v>30</v>
      </c>
      <c r="B8" s="97"/>
      <c r="C8" s="129"/>
      <c r="D8" s="53" t="s">
        <v>2074</v>
      </c>
      <c r="E8" s="54" t="s">
        <v>2075</v>
      </c>
      <c r="F8" s="125"/>
      <c r="G8" s="90"/>
      <c r="H8" s="12"/>
      <c r="I8" s="12"/>
      <c r="J8" s="8"/>
      <c r="K8" s="91">
        <f>+(I8-H8)*J8/1000</f>
        <v>0</v>
      </c>
      <c r="M8" s="90"/>
      <c r="N8" s="12"/>
      <c r="O8" s="12"/>
      <c r="P8" s="8"/>
      <c r="Q8" s="91">
        <f>+(O8-N8)*P8/1000</f>
        <v>0</v>
      </c>
      <c r="S8" s="90"/>
      <c r="T8" s="12"/>
      <c r="U8" s="12"/>
      <c r="V8" s="8"/>
      <c r="W8" s="91">
        <f>+(U8-T8)*V8/1000</f>
        <v>0</v>
      </c>
      <c r="Y8" s="90"/>
      <c r="Z8" s="12"/>
      <c r="AA8" s="12"/>
      <c r="AB8" s="8"/>
      <c r="AC8" s="91">
        <f>+(AA8-Z8)*AB8/1000</f>
        <v>0</v>
      </c>
      <c r="AE8" s="90"/>
      <c r="AF8" s="12"/>
      <c r="AG8" s="12"/>
      <c r="AH8" s="8"/>
      <c r="AI8" s="91">
        <f>+(AG8-AF8)*AH8/1000</f>
        <v>0</v>
      </c>
      <c r="AK8" s="90"/>
      <c r="AL8" s="12"/>
      <c r="AM8" s="12"/>
      <c r="AN8" s="8"/>
      <c r="AO8" s="91">
        <f>+(AM8-AL8)*AN8/1000</f>
        <v>0</v>
      </c>
    </row>
    <row r="9" spans="1:41">
      <c r="A9" s="53" t="s">
        <v>644</v>
      </c>
      <c r="B9" s="98"/>
      <c r="C9" s="129"/>
      <c r="D9" s="53" t="s">
        <v>2076</v>
      </c>
      <c r="E9" s="54" t="s">
        <v>2077</v>
      </c>
      <c r="F9" s="125"/>
      <c r="G9" s="90"/>
      <c r="H9" s="12"/>
      <c r="I9" s="12"/>
      <c r="J9" s="8"/>
      <c r="K9" s="91">
        <f>+(I9-H9)*J9/1000</f>
        <v>0</v>
      </c>
      <c r="M9" s="90"/>
      <c r="N9" s="12"/>
      <c r="O9" s="12"/>
      <c r="P9" s="8"/>
      <c r="Q9" s="91">
        <f>+(O9-N9)*P9/1000</f>
        <v>0</v>
      </c>
      <c r="S9" s="90"/>
      <c r="T9" s="12"/>
      <c r="U9" s="12"/>
      <c r="V9" s="8"/>
      <c r="W9" s="91">
        <f>+(U9-T9)*V9/1000</f>
        <v>0</v>
      </c>
      <c r="Y9" s="90"/>
      <c r="Z9" s="12"/>
      <c r="AA9" s="12"/>
      <c r="AB9" s="8"/>
      <c r="AC9" s="91">
        <f>+(AA9-Z9)*AB9/1000</f>
        <v>0</v>
      </c>
      <c r="AE9" s="90"/>
      <c r="AF9" s="12"/>
      <c r="AG9" s="12"/>
      <c r="AH9" s="8"/>
      <c r="AI9" s="91">
        <f>+(AG9-AF9)*AH9/1000</f>
        <v>0</v>
      </c>
      <c r="AK9" s="90"/>
      <c r="AL9" s="12"/>
      <c r="AM9" s="12"/>
      <c r="AN9" s="8"/>
      <c r="AO9" s="91">
        <f>+(AM9-AL9)*AN9/1000</f>
        <v>0</v>
      </c>
    </row>
    <row r="10" spans="1:41" ht="13.9" thickBot="1">
      <c r="A10" s="53" t="s">
        <v>31</v>
      </c>
      <c r="B10" s="102"/>
      <c r="C10" s="129"/>
      <c r="D10" s="53" t="s">
        <v>2078</v>
      </c>
      <c r="E10" s="54" t="s">
        <v>2079</v>
      </c>
      <c r="F10" s="125"/>
      <c r="G10" s="99" t="s">
        <v>2080</v>
      </c>
      <c r="H10" s="100"/>
      <c r="I10" s="100"/>
      <c r="J10" s="100"/>
      <c r="K10" s="101">
        <f>SUM(K3:K9)</f>
        <v>0</v>
      </c>
      <c r="M10" s="99" t="s">
        <v>2080</v>
      </c>
      <c r="N10" s="100"/>
      <c r="O10" s="100"/>
      <c r="P10" s="100"/>
      <c r="Q10" s="101">
        <f>SUM(Q3:Q9)</f>
        <v>0</v>
      </c>
      <c r="S10" s="99" t="s">
        <v>2080</v>
      </c>
      <c r="T10" s="100"/>
      <c r="U10" s="100"/>
      <c r="V10" s="100"/>
      <c r="W10" s="101">
        <f>SUM(W3:W9)</f>
        <v>0</v>
      </c>
      <c r="Y10" s="99" t="s">
        <v>2080</v>
      </c>
      <c r="Z10" s="100"/>
      <c r="AA10" s="100"/>
      <c r="AB10" s="100"/>
      <c r="AC10" s="101">
        <f>SUM(AC3:AC9)</f>
        <v>0</v>
      </c>
      <c r="AE10" s="99" t="s">
        <v>2080</v>
      </c>
      <c r="AF10" s="100"/>
      <c r="AG10" s="100"/>
      <c r="AH10" s="100"/>
      <c r="AI10" s="101">
        <f>SUM(AI3:AI9)</f>
        <v>0</v>
      </c>
      <c r="AK10" s="99" t="s">
        <v>2080</v>
      </c>
      <c r="AL10" s="100"/>
      <c r="AM10" s="100"/>
      <c r="AN10" s="100"/>
      <c r="AO10" s="101">
        <f>SUM(AO3:AO9)</f>
        <v>0</v>
      </c>
    </row>
    <row r="11" spans="1:41">
      <c r="A11" s="53" t="s">
        <v>38</v>
      </c>
      <c r="B11" s="103"/>
      <c r="C11" s="129"/>
      <c r="D11" s="53" t="s">
        <v>2081</v>
      </c>
      <c r="E11" s="54" t="s">
        <v>2082</v>
      </c>
      <c r="F11" s="125"/>
      <c r="G11" s="125"/>
      <c r="H11" s="125"/>
      <c r="I11" s="125"/>
      <c r="J11" s="125"/>
      <c r="K11" s="125"/>
      <c r="M11" s="125"/>
      <c r="N11" s="125"/>
      <c r="O11" s="125"/>
      <c r="P11" s="125"/>
      <c r="Q11" s="125"/>
      <c r="S11" s="125"/>
      <c r="T11" s="125"/>
      <c r="U11" s="125"/>
      <c r="V11" s="125"/>
      <c r="W11" s="125"/>
      <c r="Y11" s="125"/>
      <c r="Z11" s="125"/>
      <c r="AA11" s="125"/>
      <c r="AB11" s="125"/>
      <c r="AC11" s="125"/>
      <c r="AE11" s="125"/>
      <c r="AF11" s="125"/>
      <c r="AG11" s="125"/>
      <c r="AH11" s="125"/>
      <c r="AI11" s="125"/>
      <c r="AK11" s="125"/>
      <c r="AL11" s="125"/>
      <c r="AM11" s="125"/>
      <c r="AN11" s="125"/>
      <c r="AO11" s="125"/>
    </row>
    <row r="12" spans="1:41">
      <c r="A12" s="53" t="s">
        <v>43</v>
      </c>
      <c r="B12" s="106"/>
      <c r="C12" s="129"/>
      <c r="D12" s="53"/>
      <c r="E12" s="54"/>
      <c r="F12" s="125"/>
      <c r="G12" s="104" t="s">
        <v>2083</v>
      </c>
      <c r="H12" s="104"/>
      <c r="I12" s="104"/>
      <c r="J12" s="104"/>
      <c r="K12" s="105">
        <f>+(I6-H5)/1000</f>
        <v>0</v>
      </c>
      <c r="M12" s="104" t="s">
        <v>2083</v>
      </c>
      <c r="N12" s="104"/>
      <c r="O12" s="104"/>
      <c r="P12" s="104"/>
      <c r="Q12" s="105">
        <f>+(O6-N5)/1000</f>
        <v>0</v>
      </c>
      <c r="S12" s="104" t="s">
        <v>2083</v>
      </c>
      <c r="T12" s="104"/>
      <c r="U12" s="104"/>
      <c r="V12" s="104"/>
      <c r="W12" s="105">
        <f>+(U6-T5)/1000</f>
        <v>0</v>
      </c>
      <c r="Y12" s="104" t="s">
        <v>2083</v>
      </c>
      <c r="Z12" s="104"/>
      <c r="AA12" s="104"/>
      <c r="AB12" s="104"/>
      <c r="AC12" s="105">
        <f>+(AA6-Z5)/1000</f>
        <v>0</v>
      </c>
      <c r="AE12" s="104" t="s">
        <v>2083</v>
      </c>
      <c r="AF12" s="104"/>
      <c r="AG12" s="104"/>
      <c r="AH12" s="104"/>
      <c r="AI12" s="105">
        <f>+(AG6-AF5)/1000</f>
        <v>0</v>
      </c>
      <c r="AK12" s="104" t="s">
        <v>2083</v>
      </c>
      <c r="AL12" s="104"/>
      <c r="AM12" s="104"/>
      <c r="AN12" s="104"/>
      <c r="AO12" s="105">
        <f>+(AM6-AL5)/1000</f>
        <v>0</v>
      </c>
    </row>
    <row r="13" spans="1:41">
      <c r="A13" s="53" t="s">
        <v>32</v>
      </c>
      <c r="B13" s="107"/>
      <c r="C13" s="129"/>
      <c r="D13" s="92" t="s">
        <v>2084</v>
      </c>
      <c r="E13" s="93"/>
      <c r="F13" s="125"/>
      <c r="G13" s="125"/>
      <c r="H13" s="125"/>
      <c r="I13" s="125"/>
      <c r="J13" s="125"/>
      <c r="K13" s="125"/>
      <c r="M13" s="125"/>
      <c r="N13" s="125"/>
      <c r="O13" s="125"/>
      <c r="P13" s="125"/>
      <c r="Q13" s="125"/>
      <c r="S13" s="125"/>
      <c r="T13" s="125"/>
      <c r="U13" s="125"/>
      <c r="V13" s="125"/>
      <c r="W13" s="125"/>
      <c r="Y13" s="125"/>
      <c r="Z13" s="125"/>
      <c r="AA13" s="125"/>
      <c r="AB13" s="125"/>
      <c r="AC13" s="125"/>
      <c r="AE13" s="125"/>
      <c r="AF13" s="125"/>
      <c r="AG13" s="125"/>
      <c r="AH13" s="125"/>
      <c r="AI13" s="125"/>
      <c r="AK13" s="125"/>
      <c r="AL13" s="125"/>
      <c r="AM13" s="125"/>
      <c r="AN13" s="125"/>
      <c r="AO13" s="125"/>
    </row>
    <row r="14" spans="1:41">
      <c r="A14" s="53"/>
      <c r="B14" s="54"/>
      <c r="C14" s="129"/>
      <c r="D14" s="53" t="s">
        <v>2085</v>
      </c>
      <c r="E14" s="54" t="s">
        <v>2086</v>
      </c>
      <c r="F14" s="125"/>
      <c r="G14" s="108" t="s">
        <v>2087</v>
      </c>
      <c r="H14" s="108" t="s">
        <v>2060</v>
      </c>
      <c r="I14" s="108" t="s">
        <v>2061</v>
      </c>
      <c r="J14" s="108" t="s">
        <v>2062</v>
      </c>
      <c r="K14" s="108" t="s">
        <v>2063</v>
      </c>
      <c r="M14" s="108" t="s">
        <v>2087</v>
      </c>
      <c r="N14" s="108" t="s">
        <v>2060</v>
      </c>
      <c r="O14" s="108" t="s">
        <v>2061</v>
      </c>
      <c r="P14" s="108" t="s">
        <v>2062</v>
      </c>
      <c r="Q14" s="108" t="s">
        <v>2063</v>
      </c>
      <c r="S14" s="108" t="s">
        <v>2087</v>
      </c>
      <c r="T14" s="108" t="s">
        <v>2060</v>
      </c>
      <c r="U14" s="108" t="s">
        <v>2061</v>
      </c>
      <c r="V14" s="108" t="s">
        <v>2062</v>
      </c>
      <c r="W14" s="108" t="s">
        <v>2063</v>
      </c>
      <c r="Y14" s="108" t="s">
        <v>2087</v>
      </c>
      <c r="Z14" s="108" t="s">
        <v>2060</v>
      </c>
      <c r="AA14" s="108" t="s">
        <v>2061</v>
      </c>
      <c r="AB14" s="108" t="s">
        <v>2062</v>
      </c>
      <c r="AC14" s="108" t="s">
        <v>2063</v>
      </c>
      <c r="AE14" s="108" t="s">
        <v>2087</v>
      </c>
      <c r="AF14" s="108" t="s">
        <v>2060</v>
      </c>
      <c r="AG14" s="108" t="s">
        <v>2061</v>
      </c>
      <c r="AH14" s="108" t="s">
        <v>2062</v>
      </c>
      <c r="AI14" s="108" t="s">
        <v>2063</v>
      </c>
      <c r="AK14" s="108" t="s">
        <v>2087</v>
      </c>
      <c r="AL14" s="108" t="s">
        <v>2060</v>
      </c>
      <c r="AM14" s="108" t="s">
        <v>2061</v>
      </c>
      <c r="AN14" s="108" t="s">
        <v>2062</v>
      </c>
      <c r="AO14" s="108" t="s">
        <v>2063</v>
      </c>
    </row>
    <row r="15" spans="1:41" ht="13.9" thickBot="1">
      <c r="A15" s="53" t="s">
        <v>28</v>
      </c>
      <c r="B15" s="36"/>
      <c r="C15" s="129"/>
      <c r="D15" s="53" t="s">
        <v>2088</v>
      </c>
      <c r="E15" s="54" t="s">
        <v>1741</v>
      </c>
      <c r="F15" s="125"/>
      <c r="G15" s="125"/>
      <c r="H15" s="125"/>
      <c r="I15" s="125"/>
      <c r="J15" s="125"/>
      <c r="K15" s="125"/>
      <c r="M15" s="125"/>
      <c r="N15" s="125"/>
      <c r="O15" s="125"/>
      <c r="P15" s="125"/>
      <c r="Q15" s="125"/>
      <c r="S15" s="125"/>
      <c r="T15" s="125"/>
      <c r="U15" s="125"/>
      <c r="V15" s="125"/>
      <c r="W15" s="125"/>
      <c r="Y15" s="125"/>
      <c r="Z15" s="125"/>
      <c r="AA15" s="125"/>
      <c r="AB15" s="125"/>
      <c r="AC15" s="125"/>
      <c r="AE15" s="125"/>
      <c r="AF15" s="125"/>
      <c r="AG15" s="125"/>
      <c r="AH15" s="125"/>
      <c r="AI15" s="125"/>
      <c r="AK15" s="125"/>
      <c r="AL15" s="125"/>
      <c r="AM15" s="125"/>
      <c r="AN15" s="125"/>
      <c r="AO15" s="125"/>
    </row>
    <row r="16" spans="1:41">
      <c r="A16" s="53" t="s">
        <v>45</v>
      </c>
      <c r="B16" s="113"/>
      <c r="C16" s="129"/>
      <c r="D16" s="53" t="s">
        <v>2089</v>
      </c>
      <c r="E16" s="54" t="s">
        <v>569</v>
      </c>
      <c r="F16" s="125"/>
      <c r="G16" s="109" t="s">
        <v>2090</v>
      </c>
      <c r="H16" s="110"/>
      <c r="I16" s="110"/>
      <c r="J16" s="111">
        <v>0</v>
      </c>
      <c r="K16" s="112">
        <f t="shared" ref="K16:K21" si="0">+(I16-H16)*J16/1000</f>
        <v>0</v>
      </c>
      <c r="M16" s="109" t="s">
        <v>2090</v>
      </c>
      <c r="N16" s="110"/>
      <c r="O16" s="110"/>
      <c r="P16" s="111">
        <v>0</v>
      </c>
      <c r="Q16" s="112">
        <f t="shared" ref="Q16:Q21" si="1">+(O16-N16)*P16/1000</f>
        <v>0</v>
      </c>
      <c r="S16" s="109" t="s">
        <v>2090</v>
      </c>
      <c r="T16" s="110"/>
      <c r="U16" s="110"/>
      <c r="V16" s="111">
        <v>0</v>
      </c>
      <c r="W16" s="112">
        <f t="shared" ref="W16:W21" si="2">+(U16-T16)*V16/1000</f>
        <v>0</v>
      </c>
      <c r="Y16" s="109" t="s">
        <v>2090</v>
      </c>
      <c r="Z16" s="110"/>
      <c r="AA16" s="110"/>
      <c r="AB16" s="111">
        <v>0</v>
      </c>
      <c r="AC16" s="112">
        <f t="shared" ref="AC16:AC21" si="3">+(AA16-Z16)*AB16/1000</f>
        <v>0</v>
      </c>
      <c r="AE16" s="109" t="s">
        <v>2090</v>
      </c>
      <c r="AF16" s="110"/>
      <c r="AG16" s="110"/>
      <c r="AH16" s="111">
        <v>0</v>
      </c>
      <c r="AI16" s="112">
        <f t="shared" ref="AI16:AI21" si="4">+(AG16-AF16)*AH16/1000</f>
        <v>0</v>
      </c>
      <c r="AK16" s="109" t="s">
        <v>2090</v>
      </c>
      <c r="AL16" s="110"/>
      <c r="AM16" s="110"/>
      <c r="AN16" s="111">
        <v>0</v>
      </c>
      <c r="AO16" s="112">
        <f t="shared" ref="AO16:AO21" si="5">+(AM16-AL16)*AN16/1000</f>
        <v>0</v>
      </c>
    </row>
    <row r="17" spans="1:41">
      <c r="A17" s="53" t="s">
        <v>42</v>
      </c>
      <c r="B17" s="114"/>
      <c r="C17" s="129"/>
      <c r="D17" s="53"/>
      <c r="E17" s="54"/>
      <c r="F17" s="125"/>
      <c r="G17" s="90" t="s">
        <v>2091</v>
      </c>
      <c r="H17" s="12"/>
      <c r="I17" s="12"/>
      <c r="J17" s="8">
        <v>0</v>
      </c>
      <c r="K17" s="91">
        <f t="shared" si="0"/>
        <v>0</v>
      </c>
      <c r="M17" s="90" t="s">
        <v>2091</v>
      </c>
      <c r="N17" s="12"/>
      <c r="O17" s="12"/>
      <c r="P17" s="8">
        <v>0</v>
      </c>
      <c r="Q17" s="91">
        <f t="shared" si="1"/>
        <v>0</v>
      </c>
      <c r="S17" s="90" t="s">
        <v>2091</v>
      </c>
      <c r="T17" s="12"/>
      <c r="U17" s="12"/>
      <c r="V17" s="8">
        <v>0</v>
      </c>
      <c r="W17" s="91">
        <f t="shared" si="2"/>
        <v>0</v>
      </c>
      <c r="Y17" s="90" t="s">
        <v>2091</v>
      </c>
      <c r="Z17" s="12"/>
      <c r="AA17" s="12"/>
      <c r="AB17" s="8">
        <v>0</v>
      </c>
      <c r="AC17" s="91">
        <f t="shared" si="3"/>
        <v>0</v>
      </c>
      <c r="AE17" s="90" t="s">
        <v>2091</v>
      </c>
      <c r="AF17" s="12"/>
      <c r="AG17" s="12"/>
      <c r="AH17" s="8">
        <v>0</v>
      </c>
      <c r="AI17" s="91">
        <f t="shared" si="4"/>
        <v>0</v>
      </c>
      <c r="AK17" s="90" t="s">
        <v>2091</v>
      </c>
      <c r="AL17" s="12"/>
      <c r="AM17" s="12"/>
      <c r="AN17" s="8">
        <v>0</v>
      </c>
      <c r="AO17" s="91">
        <f t="shared" si="5"/>
        <v>0</v>
      </c>
    </row>
    <row r="18" spans="1:41">
      <c r="A18" s="53" t="s">
        <v>29</v>
      </c>
      <c r="B18" s="115"/>
      <c r="C18" s="129"/>
      <c r="D18" s="92" t="s">
        <v>2092</v>
      </c>
      <c r="E18" s="93"/>
      <c r="F18" s="125"/>
      <c r="G18" s="90"/>
      <c r="H18" s="12"/>
      <c r="I18" s="12"/>
      <c r="J18" s="8"/>
      <c r="K18" s="91">
        <f t="shared" si="0"/>
        <v>0</v>
      </c>
      <c r="M18" s="90"/>
      <c r="N18" s="12"/>
      <c r="O18" s="12"/>
      <c r="P18" s="8"/>
      <c r="Q18" s="91">
        <f t="shared" si="1"/>
        <v>0</v>
      </c>
      <c r="S18" s="90"/>
      <c r="T18" s="12"/>
      <c r="U18" s="12"/>
      <c r="V18" s="8"/>
      <c r="W18" s="91">
        <f t="shared" si="2"/>
        <v>0</v>
      </c>
      <c r="Y18" s="90"/>
      <c r="Z18" s="12"/>
      <c r="AA18" s="12"/>
      <c r="AB18" s="8"/>
      <c r="AC18" s="91">
        <f t="shared" si="3"/>
        <v>0</v>
      </c>
      <c r="AE18" s="90"/>
      <c r="AF18" s="12"/>
      <c r="AG18" s="12"/>
      <c r="AH18" s="8"/>
      <c r="AI18" s="91">
        <f t="shared" si="4"/>
        <v>0</v>
      </c>
      <c r="AK18" s="90"/>
      <c r="AL18" s="12"/>
      <c r="AM18" s="12"/>
      <c r="AN18" s="8"/>
      <c r="AO18" s="91">
        <f t="shared" si="5"/>
        <v>0</v>
      </c>
    </row>
    <row r="19" spans="1:41">
      <c r="A19" s="53" t="s">
        <v>2093</v>
      </c>
      <c r="B19" s="35"/>
      <c r="C19" s="129"/>
      <c r="D19" s="53" t="s">
        <v>2094</v>
      </c>
      <c r="E19" s="54" t="s">
        <v>124</v>
      </c>
      <c r="F19" s="125"/>
      <c r="G19" s="90"/>
      <c r="H19" s="12"/>
      <c r="I19" s="12"/>
      <c r="J19" s="8"/>
      <c r="K19" s="91">
        <f t="shared" si="0"/>
        <v>0</v>
      </c>
      <c r="M19" s="90"/>
      <c r="N19" s="12"/>
      <c r="O19" s="12"/>
      <c r="P19" s="8"/>
      <c r="Q19" s="91">
        <f t="shared" si="1"/>
        <v>0</v>
      </c>
      <c r="S19" s="90"/>
      <c r="T19" s="12"/>
      <c r="U19" s="12"/>
      <c r="V19" s="8"/>
      <c r="W19" s="91">
        <f t="shared" si="2"/>
        <v>0</v>
      </c>
      <c r="Y19" s="90"/>
      <c r="Z19" s="12"/>
      <c r="AA19" s="12"/>
      <c r="AB19" s="8"/>
      <c r="AC19" s="91">
        <f t="shared" si="3"/>
        <v>0</v>
      </c>
      <c r="AE19" s="90"/>
      <c r="AF19" s="12"/>
      <c r="AG19" s="12"/>
      <c r="AH19" s="8"/>
      <c r="AI19" s="91">
        <f t="shared" si="4"/>
        <v>0</v>
      </c>
      <c r="AK19" s="90"/>
      <c r="AL19" s="12"/>
      <c r="AM19" s="12"/>
      <c r="AN19" s="8"/>
      <c r="AO19" s="91">
        <f t="shared" si="5"/>
        <v>0</v>
      </c>
    </row>
    <row r="20" spans="1:41">
      <c r="A20" s="53"/>
      <c r="B20" s="54"/>
      <c r="C20" s="129"/>
      <c r="D20" s="53" t="s">
        <v>2095</v>
      </c>
      <c r="E20" s="54" t="s">
        <v>134</v>
      </c>
      <c r="F20" s="125"/>
      <c r="G20" s="90"/>
      <c r="H20" s="12"/>
      <c r="I20" s="12"/>
      <c r="J20" s="8"/>
      <c r="K20" s="91">
        <f t="shared" si="0"/>
        <v>0</v>
      </c>
      <c r="M20" s="90"/>
      <c r="N20" s="12"/>
      <c r="O20" s="12"/>
      <c r="P20" s="8"/>
      <c r="Q20" s="91">
        <f t="shared" si="1"/>
        <v>0</v>
      </c>
      <c r="S20" s="90"/>
      <c r="T20" s="12"/>
      <c r="U20" s="12"/>
      <c r="V20" s="8"/>
      <c r="W20" s="91">
        <f t="shared" si="2"/>
        <v>0</v>
      </c>
      <c r="Y20" s="90"/>
      <c r="Z20" s="12"/>
      <c r="AA20" s="12"/>
      <c r="AB20" s="8"/>
      <c r="AC20" s="91">
        <f t="shared" si="3"/>
        <v>0</v>
      </c>
      <c r="AE20" s="90"/>
      <c r="AF20" s="12"/>
      <c r="AG20" s="12"/>
      <c r="AH20" s="8"/>
      <c r="AI20" s="91">
        <f t="shared" si="4"/>
        <v>0</v>
      </c>
      <c r="AK20" s="90"/>
      <c r="AL20" s="12"/>
      <c r="AM20" s="12"/>
      <c r="AN20" s="8"/>
      <c r="AO20" s="91">
        <f t="shared" si="5"/>
        <v>0</v>
      </c>
    </row>
    <row r="21" spans="1:41">
      <c r="A21" s="92" t="s">
        <v>2096</v>
      </c>
      <c r="B21" s="93"/>
      <c r="C21" s="129"/>
      <c r="D21" s="53" t="s">
        <v>2097</v>
      </c>
      <c r="E21" s="54" t="s">
        <v>133</v>
      </c>
      <c r="F21" s="125"/>
      <c r="G21" s="90"/>
      <c r="H21" s="116"/>
      <c r="I21" s="116"/>
      <c r="J21" s="87"/>
      <c r="K21" s="117">
        <f t="shared" si="0"/>
        <v>0</v>
      </c>
      <c r="M21" s="90"/>
      <c r="N21" s="116"/>
      <c r="O21" s="116"/>
      <c r="P21" s="87"/>
      <c r="Q21" s="117">
        <f t="shared" si="1"/>
        <v>0</v>
      </c>
      <c r="S21" s="90"/>
      <c r="T21" s="116"/>
      <c r="U21" s="116"/>
      <c r="V21" s="87"/>
      <c r="W21" s="117">
        <f t="shared" si="2"/>
        <v>0</v>
      </c>
      <c r="Y21" s="90"/>
      <c r="Z21" s="116"/>
      <c r="AA21" s="116"/>
      <c r="AB21" s="87"/>
      <c r="AC21" s="117">
        <f t="shared" si="3"/>
        <v>0</v>
      </c>
      <c r="AE21" s="90"/>
      <c r="AF21" s="116"/>
      <c r="AG21" s="116"/>
      <c r="AH21" s="87"/>
      <c r="AI21" s="117">
        <f t="shared" si="4"/>
        <v>0</v>
      </c>
      <c r="AK21" s="90"/>
      <c r="AL21" s="116"/>
      <c r="AM21" s="116"/>
      <c r="AN21" s="87"/>
      <c r="AO21" s="117">
        <f t="shared" si="5"/>
        <v>0</v>
      </c>
    </row>
    <row r="22" spans="1:41">
      <c r="A22" s="53" t="s">
        <v>2098</v>
      </c>
      <c r="B22" s="54" t="s">
        <v>121</v>
      </c>
      <c r="C22" s="129"/>
      <c r="D22" s="53" t="s">
        <v>2099</v>
      </c>
      <c r="E22" s="54" t="s">
        <v>2100</v>
      </c>
      <c r="F22" s="125"/>
      <c r="G22" s="118" t="s">
        <v>2101</v>
      </c>
      <c r="H22" s="8"/>
      <c r="I22" s="8"/>
      <c r="J22" s="8"/>
      <c r="K22" s="119">
        <f>SUM(K16:K21)</f>
        <v>0</v>
      </c>
      <c r="M22" s="118" t="s">
        <v>2101</v>
      </c>
      <c r="N22" s="8"/>
      <c r="O22" s="8"/>
      <c r="P22" s="8"/>
      <c r="Q22" s="119">
        <f>SUM(Q16:Q21)</f>
        <v>0</v>
      </c>
      <c r="S22" s="118" t="s">
        <v>2101</v>
      </c>
      <c r="T22" s="8"/>
      <c r="U22" s="8"/>
      <c r="V22" s="8"/>
      <c r="W22" s="119">
        <f>SUM(W16:W21)</f>
        <v>0</v>
      </c>
      <c r="Y22" s="118" t="s">
        <v>2101</v>
      </c>
      <c r="Z22" s="8"/>
      <c r="AA22" s="8"/>
      <c r="AB22" s="8"/>
      <c r="AC22" s="119">
        <f>SUM(AC16:AC21)</f>
        <v>0</v>
      </c>
      <c r="AE22" s="118" t="s">
        <v>2101</v>
      </c>
      <c r="AF22" s="8"/>
      <c r="AG22" s="8"/>
      <c r="AH22" s="8"/>
      <c r="AI22" s="119">
        <f>SUM(AI16:AI21)</f>
        <v>0</v>
      </c>
      <c r="AK22" s="118" t="s">
        <v>2101</v>
      </c>
      <c r="AL22" s="8"/>
      <c r="AM22" s="8"/>
      <c r="AN22" s="8"/>
      <c r="AO22" s="119">
        <f>SUM(AO16:AO21)</f>
        <v>0</v>
      </c>
    </row>
    <row r="23" spans="1:41">
      <c r="A23" s="53" t="s">
        <v>2102</v>
      </c>
      <c r="B23" s="54" t="s">
        <v>284</v>
      </c>
      <c r="C23" s="125"/>
      <c r="D23" s="53" t="s">
        <v>2103</v>
      </c>
      <c r="E23" s="54" t="s">
        <v>2104</v>
      </c>
      <c r="F23" s="125"/>
      <c r="G23" s="90"/>
      <c r="H23" s="8"/>
      <c r="I23" s="8"/>
      <c r="J23" s="8"/>
      <c r="K23" s="91"/>
      <c r="M23" s="90"/>
      <c r="N23" s="8"/>
      <c r="O23" s="8"/>
      <c r="P23" s="8"/>
      <c r="Q23" s="91"/>
      <c r="S23" s="90"/>
      <c r="T23" s="8"/>
      <c r="U23" s="8"/>
      <c r="V23" s="8"/>
      <c r="W23" s="91"/>
      <c r="Y23" s="90"/>
      <c r="Z23" s="8"/>
      <c r="AA23" s="8"/>
      <c r="AB23" s="8"/>
      <c r="AC23" s="91"/>
      <c r="AE23" s="90"/>
      <c r="AF23" s="8"/>
      <c r="AG23" s="8"/>
      <c r="AH23" s="8"/>
      <c r="AI23" s="91"/>
      <c r="AK23" s="90"/>
      <c r="AL23" s="8"/>
      <c r="AM23" s="8"/>
      <c r="AN23" s="8"/>
      <c r="AO23" s="91"/>
    </row>
    <row r="24" spans="1:41" ht="13.9" thickBot="1">
      <c r="A24" s="53" t="s">
        <v>2105</v>
      </c>
      <c r="B24" s="54" t="s">
        <v>131</v>
      </c>
      <c r="C24" s="125"/>
      <c r="D24" s="53" t="s">
        <v>2106</v>
      </c>
      <c r="E24" s="54" t="s">
        <v>2107</v>
      </c>
      <c r="F24" s="125"/>
      <c r="G24" s="99" t="s">
        <v>2108</v>
      </c>
      <c r="H24" s="100"/>
      <c r="I24" s="100"/>
      <c r="J24" s="100"/>
      <c r="K24" s="101">
        <f>SUM(I16:I21)/1000-SUM(H16:H21)/1000</f>
        <v>0</v>
      </c>
      <c r="M24" s="99" t="s">
        <v>2108</v>
      </c>
      <c r="N24" s="100"/>
      <c r="O24" s="100"/>
      <c r="P24" s="100"/>
      <c r="Q24" s="101">
        <f>SUM(O16:O21)/1000-SUM(N16:N21)/1000</f>
        <v>0</v>
      </c>
      <c r="S24" s="99" t="s">
        <v>2108</v>
      </c>
      <c r="T24" s="100"/>
      <c r="U24" s="100"/>
      <c r="V24" s="100"/>
      <c r="W24" s="101">
        <f>SUM(U16:U21)/1000-SUM(T16:T21)/1000</f>
        <v>0</v>
      </c>
      <c r="Y24" s="99" t="s">
        <v>2108</v>
      </c>
      <c r="Z24" s="100"/>
      <c r="AA24" s="100"/>
      <c r="AB24" s="100"/>
      <c r="AC24" s="101">
        <f>SUM(AA16:AA21)/1000-SUM(Z16:Z21)/1000</f>
        <v>0</v>
      </c>
      <c r="AE24" s="99" t="s">
        <v>2108</v>
      </c>
      <c r="AF24" s="100"/>
      <c r="AG24" s="100"/>
      <c r="AH24" s="100"/>
      <c r="AI24" s="101">
        <f>SUM(AG16:AG21)/1000-SUM(AF16:AF21)/1000</f>
        <v>0</v>
      </c>
      <c r="AK24" s="99" t="s">
        <v>2108</v>
      </c>
      <c r="AL24" s="100"/>
      <c r="AM24" s="100"/>
      <c r="AN24" s="100"/>
      <c r="AO24" s="101">
        <f>SUM(AM16:AM21)/1000-SUM(AL16:AL21)/1000</f>
        <v>0</v>
      </c>
    </row>
    <row r="25" spans="1:41" ht="13.9" thickBot="1">
      <c r="A25" s="53" t="s">
        <v>2109</v>
      </c>
      <c r="B25" s="54" t="s">
        <v>114</v>
      </c>
      <c r="C25" s="125"/>
      <c r="D25" s="53" t="s">
        <v>2110</v>
      </c>
      <c r="E25" s="54" t="s">
        <v>343</v>
      </c>
      <c r="F25" s="125"/>
      <c r="G25" s="125"/>
      <c r="H25" s="125"/>
      <c r="I25" s="125"/>
      <c r="J25" s="125"/>
      <c r="K25" s="125"/>
      <c r="M25" s="125"/>
      <c r="N25" s="125"/>
      <c r="O25" s="125"/>
      <c r="P25" s="125"/>
      <c r="Q25" s="125"/>
      <c r="S25" s="125"/>
      <c r="T25" s="125"/>
      <c r="U25" s="125"/>
      <c r="V25" s="125"/>
      <c r="W25" s="125"/>
      <c r="Y25" s="125"/>
      <c r="Z25" s="125"/>
      <c r="AA25" s="125"/>
      <c r="AB25" s="125"/>
      <c r="AC25" s="125"/>
      <c r="AE25" s="125"/>
      <c r="AF25" s="125"/>
      <c r="AG25" s="125"/>
      <c r="AH25" s="125"/>
      <c r="AI25" s="125"/>
      <c r="AK25" s="125"/>
      <c r="AL25" s="125"/>
      <c r="AM25" s="125"/>
      <c r="AN25" s="125"/>
      <c r="AO25" s="125"/>
    </row>
    <row r="26" spans="1:41">
      <c r="A26" s="53" t="s">
        <v>2111</v>
      </c>
      <c r="B26" s="54" t="s">
        <v>171</v>
      </c>
      <c r="C26" s="125"/>
      <c r="D26" s="53" t="s">
        <v>2112</v>
      </c>
      <c r="E26" s="54" t="s">
        <v>453</v>
      </c>
      <c r="F26" s="125"/>
      <c r="G26" s="109" t="s">
        <v>2113</v>
      </c>
      <c r="H26" s="110"/>
      <c r="I26" s="110"/>
      <c r="J26" s="111">
        <v>0</v>
      </c>
      <c r="K26" s="112">
        <f>+(I26-H26)*J26/1000</f>
        <v>0</v>
      </c>
      <c r="M26" s="109" t="s">
        <v>2113</v>
      </c>
      <c r="N26" s="110"/>
      <c r="O26" s="110"/>
      <c r="P26" s="111">
        <v>0</v>
      </c>
      <c r="Q26" s="112">
        <f>+(O26-N26)*P26/1000</f>
        <v>0</v>
      </c>
      <c r="S26" s="109" t="s">
        <v>2113</v>
      </c>
      <c r="T26" s="110"/>
      <c r="U26" s="110"/>
      <c r="V26" s="111">
        <v>0</v>
      </c>
      <c r="W26" s="112">
        <f>+(U26-T26)*V26/1000</f>
        <v>0</v>
      </c>
      <c r="Y26" s="109" t="s">
        <v>2113</v>
      </c>
      <c r="Z26" s="110"/>
      <c r="AA26" s="110"/>
      <c r="AB26" s="111">
        <v>0</v>
      </c>
      <c r="AC26" s="112">
        <f>+(AA26-Z26)*AB26/1000</f>
        <v>0</v>
      </c>
      <c r="AE26" s="109" t="s">
        <v>2113</v>
      </c>
      <c r="AF26" s="110"/>
      <c r="AG26" s="110"/>
      <c r="AH26" s="111">
        <v>0</v>
      </c>
      <c r="AI26" s="112">
        <f>+(AG26-AF26)*AH26/1000</f>
        <v>0</v>
      </c>
      <c r="AK26" s="109" t="s">
        <v>2113</v>
      </c>
      <c r="AL26" s="110"/>
      <c r="AM26" s="110"/>
      <c r="AN26" s="111">
        <v>0</v>
      </c>
      <c r="AO26" s="112">
        <f>+(AM26-AL26)*AN26/1000</f>
        <v>0</v>
      </c>
    </row>
    <row r="27" spans="1:41">
      <c r="A27" s="53" t="s">
        <v>2114</v>
      </c>
      <c r="B27" s="54" t="s">
        <v>2115</v>
      </c>
      <c r="C27" s="125"/>
      <c r="D27" s="53" t="s">
        <v>2116</v>
      </c>
      <c r="E27" s="54" t="s">
        <v>840</v>
      </c>
      <c r="F27" s="125"/>
      <c r="G27" s="90" t="s">
        <v>2113</v>
      </c>
      <c r="H27" s="12"/>
      <c r="I27" s="12"/>
      <c r="J27" s="8">
        <v>0</v>
      </c>
      <c r="K27" s="91">
        <f>+(I27-H27)*J27/1000</f>
        <v>0</v>
      </c>
      <c r="M27" s="90" t="s">
        <v>2113</v>
      </c>
      <c r="N27" s="12"/>
      <c r="O27" s="12"/>
      <c r="P27" s="8">
        <v>0</v>
      </c>
      <c r="Q27" s="91">
        <f>+(O27-N27)*P27/1000</f>
        <v>0</v>
      </c>
      <c r="S27" s="90" t="s">
        <v>2113</v>
      </c>
      <c r="T27" s="12"/>
      <c r="U27" s="12"/>
      <c r="V27" s="8">
        <v>0</v>
      </c>
      <c r="W27" s="91">
        <f>+(U27-T27)*V27/1000</f>
        <v>0</v>
      </c>
      <c r="Y27" s="90" t="s">
        <v>2113</v>
      </c>
      <c r="Z27" s="12"/>
      <c r="AA27" s="12"/>
      <c r="AB27" s="8">
        <v>0</v>
      </c>
      <c r="AC27" s="91">
        <f>+(AA27-Z27)*AB27/1000</f>
        <v>0</v>
      </c>
      <c r="AE27" s="90" t="s">
        <v>2113</v>
      </c>
      <c r="AF27" s="12"/>
      <c r="AG27" s="12"/>
      <c r="AH27" s="8">
        <v>0</v>
      </c>
      <c r="AI27" s="91">
        <f>+(AG27-AF27)*AH27/1000</f>
        <v>0</v>
      </c>
      <c r="AK27" s="90" t="s">
        <v>2113</v>
      </c>
      <c r="AL27" s="12"/>
      <c r="AM27" s="12"/>
      <c r="AN27" s="8">
        <v>0</v>
      </c>
      <c r="AO27" s="91">
        <f>+(AM27-AL27)*AN27/1000</f>
        <v>0</v>
      </c>
    </row>
    <row r="28" spans="1:41">
      <c r="A28" s="53" t="s">
        <v>2117</v>
      </c>
      <c r="B28" s="54" t="s">
        <v>168</v>
      </c>
      <c r="C28" s="125"/>
      <c r="D28" s="53"/>
      <c r="E28" s="54"/>
      <c r="F28" s="125"/>
      <c r="G28" s="90"/>
      <c r="H28" s="12"/>
      <c r="I28" s="12"/>
      <c r="J28" s="8"/>
      <c r="K28" s="91"/>
      <c r="M28" s="90"/>
      <c r="N28" s="12"/>
      <c r="O28" s="12"/>
      <c r="P28" s="8"/>
      <c r="Q28" s="91"/>
      <c r="S28" s="90"/>
      <c r="T28" s="12"/>
      <c r="U28" s="12"/>
      <c r="V28" s="8"/>
      <c r="W28" s="91"/>
      <c r="Y28" s="90"/>
      <c r="Z28" s="12"/>
      <c r="AA28" s="12"/>
      <c r="AB28" s="8"/>
      <c r="AC28" s="91"/>
      <c r="AE28" s="90"/>
      <c r="AF28" s="12"/>
      <c r="AG28" s="12"/>
      <c r="AH28" s="8"/>
      <c r="AI28" s="91"/>
      <c r="AK28" s="90"/>
      <c r="AL28" s="12"/>
      <c r="AM28" s="12"/>
      <c r="AN28" s="8"/>
      <c r="AO28" s="91"/>
    </row>
    <row r="29" spans="1:41">
      <c r="A29" s="53" t="s">
        <v>2118</v>
      </c>
      <c r="B29" s="54" t="s">
        <v>2119</v>
      </c>
      <c r="C29" s="125"/>
      <c r="D29" s="92" t="s">
        <v>2120</v>
      </c>
      <c r="E29" s="93"/>
      <c r="F29" s="125"/>
      <c r="G29" s="90"/>
      <c r="H29" s="12"/>
      <c r="I29" s="12"/>
      <c r="J29" s="8"/>
      <c r="K29" s="91"/>
      <c r="M29" s="90"/>
      <c r="N29" s="12"/>
      <c r="O29" s="12"/>
      <c r="P29" s="8"/>
      <c r="Q29" s="91"/>
      <c r="S29" s="90"/>
      <c r="T29" s="12"/>
      <c r="U29" s="12"/>
      <c r="V29" s="8"/>
      <c r="W29" s="91"/>
      <c r="Y29" s="90"/>
      <c r="Z29" s="12"/>
      <c r="AA29" s="12"/>
      <c r="AB29" s="8"/>
      <c r="AC29" s="91"/>
      <c r="AE29" s="90"/>
      <c r="AF29" s="12"/>
      <c r="AG29" s="12"/>
      <c r="AH29" s="8"/>
      <c r="AI29" s="91"/>
      <c r="AK29" s="90"/>
      <c r="AL29" s="12"/>
      <c r="AM29" s="12"/>
      <c r="AN29" s="8"/>
      <c r="AO29" s="91"/>
    </row>
    <row r="30" spans="1:41">
      <c r="A30" s="53" t="s">
        <v>2121</v>
      </c>
      <c r="B30" s="54" t="s">
        <v>2122</v>
      </c>
      <c r="C30" s="125"/>
      <c r="D30" s="53" t="s">
        <v>2123</v>
      </c>
      <c r="E30" s="54" t="s">
        <v>2124</v>
      </c>
      <c r="F30" s="125"/>
      <c r="G30" s="90"/>
      <c r="H30" s="12"/>
      <c r="I30" s="12"/>
      <c r="J30" s="8"/>
      <c r="K30" s="91"/>
      <c r="M30" s="90"/>
      <c r="N30" s="12"/>
      <c r="O30" s="12"/>
      <c r="P30" s="8"/>
      <c r="Q30" s="91"/>
      <c r="S30" s="90"/>
      <c r="T30" s="12"/>
      <c r="U30" s="12"/>
      <c r="V30" s="8"/>
      <c r="W30" s="91"/>
      <c r="Y30" s="90"/>
      <c r="Z30" s="12"/>
      <c r="AA30" s="12"/>
      <c r="AB30" s="8"/>
      <c r="AC30" s="91"/>
      <c r="AE30" s="90"/>
      <c r="AF30" s="12"/>
      <c r="AG30" s="12"/>
      <c r="AH30" s="8"/>
      <c r="AI30" s="91"/>
      <c r="AK30" s="90"/>
      <c r="AL30" s="12"/>
      <c r="AM30" s="12"/>
      <c r="AN30" s="8"/>
      <c r="AO30" s="91"/>
    </row>
    <row r="31" spans="1:41">
      <c r="A31" s="53" t="s">
        <v>2125</v>
      </c>
      <c r="B31" s="54" t="s">
        <v>2126</v>
      </c>
      <c r="C31" s="125"/>
      <c r="D31" s="53" t="s">
        <v>2127</v>
      </c>
      <c r="E31" s="54" t="s">
        <v>290</v>
      </c>
      <c r="F31" s="125"/>
      <c r="G31" s="90"/>
      <c r="H31" s="12"/>
      <c r="I31" s="12"/>
      <c r="J31" s="8"/>
      <c r="K31" s="91"/>
      <c r="M31" s="90"/>
      <c r="N31" s="12"/>
      <c r="O31" s="12"/>
      <c r="P31" s="8"/>
      <c r="Q31" s="91"/>
      <c r="S31" s="90"/>
      <c r="T31" s="12"/>
      <c r="U31" s="12"/>
      <c r="V31" s="8"/>
      <c r="W31" s="91"/>
      <c r="Y31" s="90"/>
      <c r="Z31" s="12"/>
      <c r="AA31" s="12"/>
      <c r="AB31" s="8"/>
      <c r="AC31" s="91"/>
      <c r="AE31" s="90"/>
      <c r="AF31" s="12"/>
      <c r="AG31" s="12"/>
      <c r="AH31" s="8"/>
      <c r="AI31" s="91"/>
      <c r="AK31" s="90"/>
      <c r="AL31" s="12"/>
      <c r="AM31" s="12"/>
      <c r="AN31" s="8"/>
      <c r="AO31" s="91"/>
    </row>
    <row r="32" spans="1:41">
      <c r="A32" s="53"/>
      <c r="B32" s="54"/>
      <c r="C32" s="129"/>
      <c r="D32" s="53" t="s">
        <v>2128</v>
      </c>
      <c r="E32" s="54" t="s">
        <v>2129</v>
      </c>
      <c r="F32" s="125"/>
      <c r="G32" s="90"/>
      <c r="H32" s="12"/>
      <c r="I32" s="12"/>
      <c r="J32" s="8"/>
      <c r="K32" s="91"/>
      <c r="M32" s="90"/>
      <c r="N32" s="12"/>
      <c r="O32" s="12"/>
      <c r="P32" s="8"/>
      <c r="Q32" s="91"/>
      <c r="S32" s="90"/>
      <c r="T32" s="12"/>
      <c r="U32" s="12"/>
      <c r="V32" s="8"/>
      <c r="W32" s="91"/>
      <c r="Y32" s="90"/>
      <c r="Z32" s="12"/>
      <c r="AA32" s="12"/>
      <c r="AB32" s="8"/>
      <c r="AC32" s="91"/>
      <c r="AE32" s="90"/>
      <c r="AF32" s="12"/>
      <c r="AG32" s="12"/>
      <c r="AH32" s="8"/>
      <c r="AI32" s="91"/>
      <c r="AK32" s="90"/>
      <c r="AL32" s="12"/>
      <c r="AM32" s="12"/>
      <c r="AN32" s="8"/>
      <c r="AO32" s="91"/>
    </row>
    <row r="33" spans="1:41">
      <c r="A33" s="53"/>
      <c r="B33" s="54"/>
      <c r="C33" s="129"/>
      <c r="D33" s="53" t="s">
        <v>2130</v>
      </c>
      <c r="E33" s="54" t="s">
        <v>2131</v>
      </c>
      <c r="F33" s="125"/>
      <c r="G33" s="90"/>
      <c r="H33" s="12"/>
      <c r="I33" s="12"/>
      <c r="J33" s="8"/>
      <c r="K33" s="91"/>
      <c r="M33" s="90"/>
      <c r="N33" s="12"/>
      <c r="O33" s="12"/>
      <c r="P33" s="8"/>
      <c r="Q33" s="91"/>
      <c r="S33" s="90"/>
      <c r="T33" s="12"/>
      <c r="U33" s="12"/>
      <c r="V33" s="8"/>
      <c r="W33" s="91"/>
      <c r="Y33" s="90"/>
      <c r="Z33" s="12"/>
      <c r="AA33" s="12"/>
      <c r="AB33" s="8"/>
      <c r="AC33" s="91"/>
      <c r="AE33" s="90"/>
      <c r="AF33" s="12"/>
      <c r="AG33" s="12"/>
      <c r="AH33" s="8"/>
      <c r="AI33" s="91"/>
      <c r="AK33" s="90"/>
      <c r="AL33" s="12"/>
      <c r="AM33" s="12"/>
      <c r="AN33" s="8"/>
      <c r="AO33" s="91"/>
    </row>
    <row r="34" spans="1:41">
      <c r="A34" s="92" t="s">
        <v>2132</v>
      </c>
      <c r="B34" s="93"/>
      <c r="C34" s="129"/>
      <c r="D34" s="53" t="s">
        <v>2133</v>
      </c>
      <c r="E34" s="54" t="s">
        <v>2134</v>
      </c>
      <c r="F34" s="125"/>
      <c r="G34" s="90"/>
      <c r="H34" s="12"/>
      <c r="I34" s="12"/>
      <c r="J34" s="8"/>
      <c r="K34" s="91"/>
      <c r="M34" s="90"/>
      <c r="N34" s="12"/>
      <c r="O34" s="12"/>
      <c r="P34" s="8"/>
      <c r="Q34" s="91"/>
      <c r="S34" s="90"/>
      <c r="T34" s="12"/>
      <c r="U34" s="12"/>
      <c r="V34" s="8"/>
      <c r="W34" s="91"/>
      <c r="Y34" s="90"/>
      <c r="Z34" s="12"/>
      <c r="AA34" s="12"/>
      <c r="AB34" s="8"/>
      <c r="AC34" s="91"/>
      <c r="AE34" s="90"/>
      <c r="AF34" s="12"/>
      <c r="AG34" s="12"/>
      <c r="AH34" s="8"/>
      <c r="AI34" s="91"/>
      <c r="AK34" s="90"/>
      <c r="AL34" s="12"/>
      <c r="AM34" s="12"/>
      <c r="AN34" s="8"/>
      <c r="AO34" s="91"/>
    </row>
    <row r="35" spans="1:41">
      <c r="A35" s="53" t="s">
        <v>2135</v>
      </c>
      <c r="B35" s="54" t="s">
        <v>122</v>
      </c>
      <c r="C35" s="125"/>
      <c r="D35" s="53" t="s">
        <v>2136</v>
      </c>
      <c r="E35" s="54" t="s">
        <v>2137</v>
      </c>
      <c r="F35" s="125"/>
      <c r="G35" s="118" t="s">
        <v>2138</v>
      </c>
      <c r="H35" s="8"/>
      <c r="I35" s="8"/>
      <c r="J35" s="8"/>
      <c r="K35" s="119">
        <f>SUM(K26:K34)</f>
        <v>0</v>
      </c>
      <c r="M35" s="118" t="s">
        <v>2138</v>
      </c>
      <c r="N35" s="8"/>
      <c r="O35" s="8"/>
      <c r="P35" s="8"/>
      <c r="Q35" s="119">
        <f>SUM(Q26:Q34)</f>
        <v>0</v>
      </c>
      <c r="S35" s="118" t="s">
        <v>2138</v>
      </c>
      <c r="T35" s="8"/>
      <c r="U35" s="8"/>
      <c r="V35" s="8"/>
      <c r="W35" s="119">
        <f>SUM(W26:W34)</f>
        <v>0</v>
      </c>
      <c r="Y35" s="118" t="s">
        <v>2138</v>
      </c>
      <c r="Z35" s="8"/>
      <c r="AA35" s="8"/>
      <c r="AB35" s="8"/>
      <c r="AC35" s="119">
        <f>SUM(AC26:AC34)</f>
        <v>0</v>
      </c>
      <c r="AE35" s="118" t="s">
        <v>2138</v>
      </c>
      <c r="AF35" s="8"/>
      <c r="AG35" s="8"/>
      <c r="AH35" s="8"/>
      <c r="AI35" s="119">
        <f>SUM(AI26:AI34)</f>
        <v>0</v>
      </c>
      <c r="AK35" s="118" t="s">
        <v>2138</v>
      </c>
      <c r="AL35" s="8"/>
      <c r="AM35" s="8"/>
      <c r="AN35" s="8"/>
      <c r="AO35" s="119">
        <f>SUM(AO26:AO34)</f>
        <v>0</v>
      </c>
    </row>
    <row r="36" spans="1:41">
      <c r="A36" s="53" t="s">
        <v>2139</v>
      </c>
      <c r="B36" s="54" t="s">
        <v>162</v>
      </c>
      <c r="C36" s="125"/>
      <c r="D36" s="53" t="s">
        <v>2140</v>
      </c>
      <c r="E36" s="54" t="s">
        <v>135</v>
      </c>
      <c r="F36" s="125"/>
      <c r="G36" s="90"/>
      <c r="H36" s="8"/>
      <c r="I36" s="8"/>
      <c r="J36" s="8"/>
      <c r="K36" s="91"/>
      <c r="M36" s="90"/>
      <c r="N36" s="8"/>
      <c r="O36" s="8"/>
      <c r="P36" s="8"/>
      <c r="Q36" s="91"/>
      <c r="S36" s="90"/>
      <c r="T36" s="8"/>
      <c r="U36" s="8"/>
      <c r="V36" s="8"/>
      <c r="W36" s="91"/>
      <c r="Y36" s="90"/>
      <c r="Z36" s="8"/>
      <c r="AA36" s="8"/>
      <c r="AB36" s="8"/>
      <c r="AC36" s="91"/>
      <c r="AE36" s="90"/>
      <c r="AF36" s="8"/>
      <c r="AG36" s="8"/>
      <c r="AH36" s="8"/>
      <c r="AI36" s="91"/>
      <c r="AK36" s="90"/>
      <c r="AL36" s="8"/>
      <c r="AM36" s="8"/>
      <c r="AN36" s="8"/>
      <c r="AO36" s="91"/>
    </row>
    <row r="37" spans="1:41">
      <c r="A37" s="53" t="s">
        <v>2141</v>
      </c>
      <c r="B37" s="54" t="s">
        <v>2142</v>
      </c>
      <c r="C37" s="125"/>
      <c r="D37" s="53" t="s">
        <v>2143</v>
      </c>
      <c r="E37" s="54" t="s">
        <v>233</v>
      </c>
      <c r="F37" s="125"/>
      <c r="G37" s="90"/>
      <c r="H37" s="8"/>
      <c r="I37" s="8"/>
      <c r="J37" s="8"/>
      <c r="K37" s="91"/>
      <c r="M37" s="90"/>
      <c r="N37" s="8"/>
      <c r="O37" s="8"/>
      <c r="P37" s="8"/>
      <c r="Q37" s="91"/>
      <c r="S37" s="90"/>
      <c r="T37" s="8"/>
      <c r="U37" s="8"/>
      <c r="V37" s="8"/>
      <c r="W37" s="91"/>
      <c r="Y37" s="90"/>
      <c r="Z37" s="8"/>
      <c r="AA37" s="8"/>
      <c r="AB37" s="8"/>
      <c r="AC37" s="91"/>
      <c r="AE37" s="90"/>
      <c r="AF37" s="8"/>
      <c r="AG37" s="8"/>
      <c r="AH37" s="8"/>
      <c r="AI37" s="91"/>
      <c r="AK37" s="90"/>
      <c r="AL37" s="8"/>
      <c r="AM37" s="8"/>
      <c r="AN37" s="8"/>
      <c r="AO37" s="91"/>
    </row>
    <row r="38" spans="1:41" ht="13.9" thickBot="1">
      <c r="A38" s="53" t="s">
        <v>2144</v>
      </c>
      <c r="B38" s="54" t="s">
        <v>2145</v>
      </c>
      <c r="C38" s="125"/>
      <c r="D38" s="53" t="s">
        <v>2146</v>
      </c>
      <c r="E38" s="54" t="s">
        <v>2147</v>
      </c>
      <c r="F38" s="125"/>
      <c r="G38" s="99" t="s">
        <v>2148</v>
      </c>
      <c r="H38" s="100"/>
      <c r="I38" s="100"/>
      <c r="J38" s="100"/>
      <c r="K38" s="120">
        <f>(SUM(I26:I34)-SUM(H26:H34))/1000</f>
        <v>0</v>
      </c>
      <c r="M38" s="99" t="s">
        <v>2148</v>
      </c>
      <c r="N38" s="100"/>
      <c r="O38" s="100"/>
      <c r="P38" s="100"/>
      <c r="Q38" s="120">
        <f>(SUM(O26:O34)-SUM(N26:N34))/1000</f>
        <v>0</v>
      </c>
      <c r="S38" s="99" t="s">
        <v>2148</v>
      </c>
      <c r="T38" s="100"/>
      <c r="U38" s="100"/>
      <c r="V38" s="100"/>
      <c r="W38" s="120">
        <f>(SUM(U26:U34)-SUM(T26:T34))/1000</f>
        <v>0</v>
      </c>
      <c r="Y38" s="99" t="s">
        <v>2148</v>
      </c>
      <c r="Z38" s="100"/>
      <c r="AA38" s="100"/>
      <c r="AB38" s="100"/>
      <c r="AC38" s="120">
        <f>(SUM(AA26:AA34)-SUM(Z26:Z34))/1000</f>
        <v>0</v>
      </c>
      <c r="AE38" s="99" t="s">
        <v>2148</v>
      </c>
      <c r="AF38" s="100"/>
      <c r="AG38" s="100"/>
      <c r="AH38" s="100"/>
      <c r="AI38" s="120">
        <f>(SUM(AG26:AG34)-SUM(AF26:AF34))/1000</f>
        <v>0</v>
      </c>
      <c r="AK38" s="99" t="s">
        <v>2148</v>
      </c>
      <c r="AL38" s="100"/>
      <c r="AM38" s="100"/>
      <c r="AN38" s="100"/>
      <c r="AO38" s="120">
        <f>(SUM(AM26:AM34)-SUM(AL26:AL34))/1000</f>
        <v>0</v>
      </c>
    </row>
    <row r="39" spans="1:41">
      <c r="A39" s="53" t="s">
        <v>2149</v>
      </c>
      <c r="B39" s="54" t="s">
        <v>1729</v>
      </c>
      <c r="C39" s="125"/>
      <c r="D39" s="53" t="s">
        <v>2150</v>
      </c>
      <c r="E39" s="54" t="s">
        <v>2151</v>
      </c>
      <c r="F39" s="125"/>
      <c r="G39" s="125"/>
      <c r="H39" s="125"/>
      <c r="I39" s="125"/>
      <c r="J39" s="125"/>
      <c r="K39" s="125"/>
      <c r="M39" s="125"/>
      <c r="N39" s="125"/>
      <c r="O39" s="125"/>
      <c r="P39" s="125"/>
      <c r="Q39" s="125"/>
      <c r="S39" s="125"/>
      <c r="T39" s="125"/>
      <c r="U39" s="125"/>
      <c r="V39" s="125"/>
      <c r="W39" s="125"/>
      <c r="Y39" s="125"/>
      <c r="Z39" s="125"/>
      <c r="AA39" s="125"/>
      <c r="AB39" s="125"/>
      <c r="AC39" s="125"/>
      <c r="AE39" s="125"/>
      <c r="AF39" s="125"/>
      <c r="AG39" s="125"/>
      <c r="AH39" s="125"/>
      <c r="AI39" s="125"/>
      <c r="AK39" s="125"/>
      <c r="AL39" s="125"/>
      <c r="AM39" s="125"/>
      <c r="AN39" s="125"/>
      <c r="AO39" s="125"/>
    </row>
    <row r="40" spans="1:41">
      <c r="A40" s="53"/>
      <c r="B40" s="54" t="s">
        <v>2152</v>
      </c>
      <c r="C40" s="125"/>
      <c r="D40" s="53" t="s">
        <v>2153</v>
      </c>
      <c r="E40" s="54" t="s">
        <v>2154</v>
      </c>
      <c r="F40" s="125"/>
      <c r="G40" s="125"/>
      <c r="H40" s="125"/>
      <c r="I40" s="125"/>
      <c r="J40" s="125"/>
      <c r="K40" s="125"/>
      <c r="M40" s="125"/>
      <c r="N40" s="125"/>
      <c r="O40" s="125"/>
      <c r="P40" s="125"/>
      <c r="Q40" s="125"/>
      <c r="S40" s="125"/>
      <c r="T40" s="125"/>
      <c r="U40" s="125"/>
      <c r="V40" s="125"/>
      <c r="W40" s="125"/>
      <c r="Y40" s="125"/>
      <c r="Z40" s="125"/>
      <c r="AA40" s="125"/>
      <c r="AB40" s="125"/>
      <c r="AC40" s="125"/>
      <c r="AE40" s="125"/>
      <c r="AF40" s="125"/>
      <c r="AG40" s="125"/>
      <c r="AH40" s="125"/>
      <c r="AI40" s="125"/>
      <c r="AK40" s="125"/>
      <c r="AL40" s="125"/>
      <c r="AM40" s="125"/>
      <c r="AN40" s="125"/>
      <c r="AO40" s="125"/>
    </row>
    <row r="41" spans="1:41">
      <c r="A41" s="53" t="s">
        <v>2155</v>
      </c>
      <c r="B41" s="54" t="s">
        <v>2156</v>
      </c>
      <c r="C41" s="125"/>
      <c r="D41" s="53" t="s">
        <v>2157</v>
      </c>
      <c r="E41" s="54" t="s">
        <v>2158</v>
      </c>
      <c r="F41" s="125"/>
      <c r="G41" s="125"/>
      <c r="H41" s="125"/>
      <c r="I41" s="125"/>
      <c r="J41" s="125"/>
      <c r="K41" s="125"/>
      <c r="M41" s="125"/>
      <c r="N41" s="125"/>
      <c r="O41" s="125"/>
      <c r="P41" s="125"/>
      <c r="Q41" s="125"/>
      <c r="S41" s="125"/>
      <c r="T41" s="125"/>
      <c r="U41" s="125"/>
      <c r="V41" s="125"/>
      <c r="W41" s="125"/>
      <c r="Y41" s="125"/>
      <c r="Z41" s="125"/>
      <c r="AA41" s="125"/>
      <c r="AB41" s="125"/>
      <c r="AC41" s="125"/>
      <c r="AE41" s="125"/>
      <c r="AF41" s="125"/>
      <c r="AG41" s="125"/>
      <c r="AH41" s="125"/>
      <c r="AI41" s="125"/>
      <c r="AK41" s="125"/>
      <c r="AL41" s="125"/>
      <c r="AM41" s="125"/>
      <c r="AN41" s="125"/>
      <c r="AO41" s="125"/>
    </row>
    <row r="42" spans="1:41">
      <c r="A42" s="53"/>
      <c r="B42" s="54" t="s">
        <v>2159</v>
      </c>
      <c r="C42" s="125"/>
      <c r="D42" s="53" t="s">
        <v>2160</v>
      </c>
      <c r="E42" s="54" t="s">
        <v>668</v>
      </c>
      <c r="F42" s="125"/>
      <c r="G42" s="125"/>
      <c r="H42" s="125"/>
      <c r="I42" s="125"/>
      <c r="J42" s="125"/>
      <c r="K42" s="125"/>
      <c r="M42" s="125"/>
      <c r="N42" s="125"/>
      <c r="O42" s="125"/>
      <c r="P42" s="125"/>
      <c r="Q42" s="125"/>
      <c r="S42" s="125"/>
      <c r="T42" s="125"/>
      <c r="U42" s="125"/>
      <c r="V42" s="125"/>
      <c r="W42" s="125"/>
      <c r="Y42" s="125"/>
      <c r="Z42" s="125"/>
      <c r="AA42" s="125"/>
      <c r="AB42" s="125"/>
      <c r="AC42" s="125"/>
      <c r="AE42" s="125"/>
      <c r="AF42" s="125"/>
      <c r="AG42" s="125"/>
      <c r="AH42" s="125"/>
      <c r="AI42" s="125"/>
      <c r="AK42" s="125"/>
      <c r="AL42" s="125"/>
      <c r="AM42" s="125"/>
      <c r="AN42" s="125"/>
      <c r="AO42" s="125"/>
    </row>
    <row r="43" spans="1:41">
      <c r="A43" s="53" t="s">
        <v>2161</v>
      </c>
      <c r="B43" s="54" t="s">
        <v>2162</v>
      </c>
      <c r="C43" s="125"/>
      <c r="D43" s="53" t="s">
        <v>2163</v>
      </c>
      <c r="E43" s="54" t="s">
        <v>239</v>
      </c>
      <c r="F43" s="125"/>
      <c r="G43" s="125"/>
      <c r="H43" s="125"/>
      <c r="I43" s="125"/>
      <c r="J43" s="125"/>
      <c r="K43" s="125"/>
      <c r="M43" s="125"/>
      <c r="N43" s="125"/>
      <c r="O43" s="125"/>
      <c r="P43" s="125"/>
      <c r="Q43" s="125"/>
      <c r="S43" s="125"/>
      <c r="T43" s="125"/>
      <c r="U43" s="125"/>
      <c r="V43" s="125"/>
      <c r="W43" s="125"/>
      <c r="Y43" s="125"/>
      <c r="Z43" s="125"/>
      <c r="AA43" s="125"/>
      <c r="AB43" s="125"/>
      <c r="AC43" s="125"/>
      <c r="AE43" s="125"/>
      <c r="AF43" s="125"/>
      <c r="AG43" s="125"/>
      <c r="AH43" s="125"/>
      <c r="AI43" s="125"/>
      <c r="AK43" s="125"/>
      <c r="AL43" s="125"/>
      <c r="AM43" s="125"/>
      <c r="AN43" s="125"/>
      <c r="AO43" s="125"/>
    </row>
    <row r="44" spans="1:41">
      <c r="A44" s="53"/>
      <c r="B44" s="54" t="s">
        <v>2164</v>
      </c>
      <c r="C44" s="125"/>
      <c r="D44" s="53" t="s">
        <v>2165</v>
      </c>
      <c r="E44" s="54" t="s">
        <v>2166</v>
      </c>
      <c r="F44" s="125"/>
      <c r="G44" s="125"/>
      <c r="H44" s="125"/>
      <c r="I44" s="125"/>
      <c r="J44" s="125"/>
      <c r="K44" s="125"/>
      <c r="M44" s="125"/>
      <c r="N44" s="125"/>
      <c r="O44" s="125"/>
      <c r="P44" s="125"/>
      <c r="Q44" s="125"/>
      <c r="S44" s="125"/>
      <c r="T44" s="125"/>
      <c r="U44" s="125"/>
      <c r="V44" s="125"/>
      <c r="W44" s="125"/>
      <c r="Y44" s="125"/>
      <c r="Z44" s="125"/>
      <c r="AA44" s="125"/>
      <c r="AB44" s="125"/>
      <c r="AC44" s="125"/>
      <c r="AE44" s="125"/>
      <c r="AF44" s="125"/>
      <c r="AG44" s="125"/>
      <c r="AH44" s="125"/>
      <c r="AI44" s="125"/>
      <c r="AK44" s="125"/>
      <c r="AL44" s="125"/>
      <c r="AM44" s="125"/>
      <c r="AN44" s="125"/>
      <c r="AO44" s="125"/>
    </row>
    <row r="45" spans="1:41">
      <c r="A45" s="53" t="s">
        <v>2167</v>
      </c>
      <c r="B45" s="54" t="s">
        <v>139</v>
      </c>
      <c r="C45" s="125"/>
      <c r="D45" s="53"/>
      <c r="E45" s="54"/>
      <c r="F45" s="125"/>
      <c r="G45" s="125"/>
      <c r="H45" s="125"/>
      <c r="I45" s="125"/>
      <c r="J45" s="125"/>
      <c r="K45" s="125"/>
      <c r="M45" s="125"/>
      <c r="N45" s="125"/>
      <c r="O45" s="125"/>
      <c r="P45" s="125"/>
      <c r="Q45" s="125"/>
      <c r="S45" s="125"/>
      <c r="T45" s="125"/>
      <c r="U45" s="125"/>
      <c r="V45" s="125"/>
      <c r="W45" s="125"/>
      <c r="Y45" s="125"/>
      <c r="Z45" s="125"/>
      <c r="AA45" s="125"/>
      <c r="AB45" s="125"/>
      <c r="AC45" s="125"/>
      <c r="AE45" s="125"/>
      <c r="AF45" s="125"/>
      <c r="AG45" s="125"/>
      <c r="AH45" s="125"/>
      <c r="AI45" s="125"/>
      <c r="AK45" s="125"/>
      <c r="AL45" s="125"/>
      <c r="AM45" s="125"/>
      <c r="AN45" s="125"/>
      <c r="AO45" s="125"/>
    </row>
    <row r="46" spans="1:41">
      <c r="A46" s="53" t="s">
        <v>2168</v>
      </c>
      <c r="B46" s="54" t="s">
        <v>549</v>
      </c>
      <c r="C46" s="125"/>
      <c r="D46" s="53" t="s">
        <v>2169</v>
      </c>
      <c r="E46" s="54" t="s">
        <v>143</v>
      </c>
      <c r="F46" s="125"/>
      <c r="G46" s="125"/>
      <c r="H46" s="125"/>
      <c r="I46" s="125"/>
      <c r="J46" s="125"/>
      <c r="K46" s="125"/>
      <c r="M46" s="125"/>
      <c r="N46" s="125"/>
      <c r="O46" s="125"/>
      <c r="P46" s="125"/>
      <c r="Q46" s="125"/>
      <c r="S46" s="125"/>
      <c r="T46" s="125"/>
      <c r="U46" s="125"/>
      <c r="V46" s="125"/>
      <c r="W46" s="125"/>
      <c r="Y46" s="125"/>
      <c r="Z46" s="125"/>
      <c r="AA46" s="125"/>
      <c r="AB46" s="125"/>
      <c r="AC46" s="125"/>
      <c r="AE46" s="125"/>
      <c r="AF46" s="125"/>
      <c r="AG46" s="125"/>
      <c r="AH46" s="125"/>
      <c r="AI46" s="125"/>
      <c r="AK46" s="125"/>
      <c r="AL46" s="125"/>
      <c r="AM46" s="125"/>
      <c r="AN46" s="125"/>
      <c r="AO46" s="125"/>
    </row>
    <row r="47" spans="1:41">
      <c r="A47" s="53" t="s">
        <v>2170</v>
      </c>
      <c r="B47" s="54" t="s">
        <v>2171</v>
      </c>
      <c r="C47" s="125"/>
      <c r="D47" s="53" t="s">
        <v>2172</v>
      </c>
      <c r="E47" s="54" t="s">
        <v>2173</v>
      </c>
      <c r="F47" s="125"/>
      <c r="G47" s="125"/>
      <c r="H47" s="125"/>
      <c r="I47" s="125"/>
      <c r="J47" s="125"/>
      <c r="K47" s="125"/>
      <c r="M47" s="125"/>
      <c r="N47" s="125"/>
      <c r="O47" s="125"/>
      <c r="P47" s="125"/>
      <c r="Q47" s="125"/>
      <c r="S47" s="125"/>
      <c r="T47" s="125"/>
      <c r="U47" s="125"/>
      <c r="V47" s="125"/>
      <c r="W47" s="125"/>
      <c r="Y47" s="125"/>
      <c r="Z47" s="125"/>
      <c r="AA47" s="125"/>
      <c r="AB47" s="125"/>
      <c r="AC47" s="125"/>
      <c r="AE47" s="125"/>
      <c r="AF47" s="125"/>
      <c r="AG47" s="125"/>
      <c r="AH47" s="125"/>
      <c r="AI47" s="125"/>
      <c r="AK47" s="125"/>
      <c r="AL47" s="125"/>
      <c r="AM47" s="125"/>
      <c r="AN47" s="125"/>
      <c r="AO47" s="125"/>
    </row>
    <row r="48" spans="1:41">
      <c r="A48" s="53" t="s">
        <v>2174</v>
      </c>
      <c r="B48" s="54" t="s">
        <v>2175</v>
      </c>
      <c r="C48" s="125"/>
      <c r="D48" s="53" t="s">
        <v>2176</v>
      </c>
      <c r="E48" s="54" t="s">
        <v>2177</v>
      </c>
      <c r="F48" s="125"/>
      <c r="G48" s="125"/>
      <c r="H48" s="125"/>
      <c r="I48" s="125"/>
      <c r="J48" s="125"/>
      <c r="K48" s="125"/>
      <c r="M48" s="125"/>
      <c r="N48" s="125"/>
      <c r="O48" s="125"/>
      <c r="P48" s="125"/>
      <c r="Q48" s="125"/>
      <c r="S48" s="125"/>
      <c r="T48" s="125"/>
      <c r="U48" s="125"/>
      <c r="V48" s="125"/>
      <c r="W48" s="125"/>
      <c r="Y48" s="125"/>
      <c r="Z48" s="125"/>
      <c r="AA48" s="125"/>
      <c r="AB48" s="125"/>
      <c r="AC48" s="125"/>
      <c r="AE48" s="125"/>
      <c r="AF48" s="125"/>
      <c r="AG48" s="125"/>
      <c r="AH48" s="125"/>
      <c r="AI48" s="125"/>
      <c r="AK48" s="125"/>
      <c r="AL48" s="125"/>
      <c r="AM48" s="125"/>
      <c r="AN48" s="125"/>
      <c r="AO48" s="125"/>
    </row>
    <row r="49" spans="1:41">
      <c r="A49" s="53" t="s">
        <v>2178</v>
      </c>
      <c r="B49" s="54" t="s">
        <v>2179</v>
      </c>
      <c r="C49" s="125"/>
      <c r="D49" s="53" t="s">
        <v>2180</v>
      </c>
      <c r="E49" s="54" t="s">
        <v>2181</v>
      </c>
      <c r="F49" s="125"/>
      <c r="G49" s="125"/>
      <c r="H49" s="125"/>
      <c r="I49" s="125"/>
      <c r="J49" s="125"/>
      <c r="K49" s="125"/>
      <c r="M49" s="125"/>
      <c r="N49" s="125"/>
      <c r="O49" s="125"/>
      <c r="P49" s="125"/>
      <c r="Q49" s="125"/>
      <c r="S49" s="125"/>
      <c r="T49" s="125"/>
      <c r="U49" s="125"/>
      <c r="V49" s="125"/>
      <c r="W49" s="125"/>
      <c r="Y49" s="125"/>
      <c r="Z49" s="125"/>
      <c r="AA49" s="125"/>
      <c r="AB49" s="125"/>
      <c r="AC49" s="125"/>
      <c r="AE49" s="125"/>
      <c r="AF49" s="125"/>
      <c r="AG49" s="125"/>
      <c r="AH49" s="125"/>
      <c r="AI49" s="125"/>
      <c r="AK49" s="125"/>
      <c r="AL49" s="125"/>
      <c r="AM49" s="125"/>
      <c r="AN49" s="125"/>
      <c r="AO49" s="125"/>
    </row>
    <row r="50" spans="1:41">
      <c r="A50" s="53" t="s">
        <v>2182</v>
      </c>
      <c r="B50" s="54" t="s">
        <v>132</v>
      </c>
      <c r="C50" s="125"/>
      <c r="D50" s="53" t="s">
        <v>2183</v>
      </c>
      <c r="E50" s="54" t="s">
        <v>563</v>
      </c>
      <c r="F50" s="125"/>
      <c r="G50" s="125"/>
      <c r="H50" s="125"/>
      <c r="I50" s="125"/>
      <c r="J50" s="125"/>
      <c r="K50" s="125"/>
      <c r="M50" s="125"/>
      <c r="N50" s="125"/>
      <c r="O50" s="125"/>
      <c r="P50" s="125"/>
      <c r="Q50" s="125"/>
      <c r="S50" s="125"/>
      <c r="T50" s="125"/>
      <c r="U50" s="125"/>
      <c r="V50" s="125"/>
      <c r="W50" s="125"/>
      <c r="Y50" s="125"/>
      <c r="Z50" s="125"/>
      <c r="AA50" s="125"/>
      <c r="AB50" s="125"/>
      <c r="AC50" s="125"/>
      <c r="AE50" s="125"/>
      <c r="AF50" s="125"/>
      <c r="AG50" s="125"/>
      <c r="AH50" s="125"/>
      <c r="AI50" s="125"/>
      <c r="AK50" s="125"/>
      <c r="AL50" s="125"/>
      <c r="AM50" s="125"/>
      <c r="AN50" s="125"/>
      <c r="AO50" s="125"/>
    </row>
    <row r="51" spans="1:41">
      <c r="A51" s="53"/>
      <c r="B51" s="54"/>
      <c r="C51" s="125"/>
      <c r="D51" s="53" t="s">
        <v>2184</v>
      </c>
      <c r="E51" s="54" t="s">
        <v>2185</v>
      </c>
      <c r="F51" s="125"/>
      <c r="G51" s="125"/>
      <c r="H51" s="125"/>
      <c r="I51" s="125"/>
      <c r="J51" s="125"/>
      <c r="K51" s="125"/>
      <c r="M51" s="125"/>
      <c r="N51" s="125"/>
      <c r="O51" s="125"/>
      <c r="P51" s="125"/>
      <c r="Q51" s="125"/>
      <c r="S51" s="125"/>
      <c r="T51" s="125"/>
      <c r="U51" s="125"/>
      <c r="V51" s="125"/>
      <c r="W51" s="125"/>
      <c r="Y51" s="125"/>
      <c r="Z51" s="125"/>
      <c r="AA51" s="125"/>
      <c r="AB51" s="125"/>
      <c r="AC51" s="125"/>
      <c r="AE51" s="125"/>
      <c r="AF51" s="125"/>
      <c r="AG51" s="125"/>
      <c r="AH51" s="125"/>
      <c r="AI51" s="125"/>
      <c r="AK51" s="125"/>
      <c r="AL51" s="125"/>
      <c r="AM51" s="125"/>
      <c r="AN51" s="125"/>
      <c r="AO51" s="125"/>
    </row>
    <row r="52" spans="1:41">
      <c r="A52" s="92" t="s">
        <v>2186</v>
      </c>
      <c r="B52" s="93"/>
      <c r="C52" s="125"/>
      <c r="D52" s="53" t="s">
        <v>2187</v>
      </c>
      <c r="E52" s="54" t="s">
        <v>2188</v>
      </c>
      <c r="F52" s="125"/>
      <c r="G52" s="125"/>
      <c r="H52" s="125"/>
      <c r="I52" s="125"/>
      <c r="J52" s="125"/>
      <c r="K52" s="125"/>
      <c r="M52" s="125"/>
      <c r="N52" s="125"/>
      <c r="O52" s="125"/>
      <c r="P52" s="125"/>
      <c r="Q52" s="125"/>
      <c r="S52" s="125"/>
      <c r="T52" s="125"/>
      <c r="U52" s="125"/>
      <c r="V52" s="125"/>
      <c r="W52" s="125"/>
      <c r="Y52" s="125"/>
      <c r="Z52" s="125"/>
      <c r="AA52" s="125"/>
      <c r="AB52" s="125"/>
      <c r="AC52" s="125"/>
      <c r="AE52" s="125"/>
      <c r="AF52" s="125"/>
      <c r="AG52" s="125"/>
      <c r="AH52" s="125"/>
      <c r="AI52" s="125"/>
      <c r="AK52" s="125"/>
      <c r="AL52" s="125"/>
      <c r="AM52" s="125"/>
      <c r="AN52" s="125"/>
      <c r="AO52" s="125"/>
    </row>
    <row r="53" spans="1:41">
      <c r="A53" s="53" t="s">
        <v>2189</v>
      </c>
      <c r="B53" s="54"/>
      <c r="C53" s="125"/>
      <c r="D53" s="53"/>
      <c r="E53" s="54"/>
      <c r="F53" s="125"/>
      <c r="G53" s="125"/>
      <c r="H53" s="125"/>
      <c r="I53" s="125"/>
      <c r="J53" s="125"/>
      <c r="K53" s="125"/>
      <c r="M53" s="125"/>
      <c r="N53" s="125"/>
      <c r="O53" s="125"/>
      <c r="P53" s="125"/>
      <c r="Q53" s="125"/>
      <c r="S53" s="125"/>
      <c r="T53" s="125"/>
      <c r="U53" s="125"/>
      <c r="V53" s="125"/>
      <c r="W53" s="125"/>
      <c r="Y53" s="125"/>
      <c r="Z53" s="125"/>
      <c r="AA53" s="125"/>
      <c r="AB53" s="125"/>
      <c r="AC53" s="125"/>
      <c r="AE53" s="125"/>
      <c r="AF53" s="125"/>
      <c r="AG53" s="125"/>
      <c r="AH53" s="125"/>
      <c r="AI53" s="125"/>
      <c r="AK53" s="125"/>
      <c r="AL53" s="125"/>
      <c r="AM53" s="125"/>
      <c r="AN53" s="125"/>
      <c r="AO53" s="125"/>
    </row>
    <row r="54" spans="1:41">
      <c r="A54" s="53" t="s">
        <v>2069</v>
      </c>
      <c r="B54" s="54" t="s">
        <v>2190</v>
      </c>
      <c r="C54" s="129"/>
      <c r="D54" s="92" t="s">
        <v>2191</v>
      </c>
      <c r="E54" s="93"/>
      <c r="F54" s="125"/>
      <c r="G54" s="125"/>
      <c r="H54" s="125"/>
      <c r="I54" s="125"/>
      <c r="J54" s="125"/>
      <c r="K54" s="125"/>
      <c r="M54" s="125"/>
      <c r="N54" s="125"/>
      <c r="O54" s="125"/>
      <c r="P54" s="125"/>
      <c r="Q54" s="125"/>
      <c r="S54" s="125"/>
      <c r="T54" s="125"/>
      <c r="U54" s="125"/>
      <c r="V54" s="125"/>
      <c r="W54" s="125"/>
      <c r="Y54" s="125"/>
      <c r="Z54" s="125"/>
      <c r="AA54" s="125"/>
      <c r="AB54" s="125"/>
      <c r="AC54" s="125"/>
      <c r="AE54" s="125"/>
      <c r="AF54" s="125"/>
      <c r="AG54" s="125"/>
      <c r="AH54" s="125"/>
      <c r="AI54" s="125"/>
      <c r="AK54" s="125"/>
      <c r="AL54" s="125"/>
      <c r="AM54" s="125"/>
      <c r="AN54" s="125"/>
      <c r="AO54" s="125"/>
    </row>
    <row r="55" spans="1:41">
      <c r="A55" s="53" t="s">
        <v>2192</v>
      </c>
      <c r="B55" s="54"/>
      <c r="C55" s="129"/>
      <c r="D55" s="53" t="s">
        <v>2193</v>
      </c>
      <c r="E55" s="54" t="s">
        <v>2194</v>
      </c>
      <c r="F55" s="125"/>
      <c r="G55" s="125"/>
      <c r="H55" s="125"/>
      <c r="I55" s="125"/>
      <c r="J55" s="125"/>
      <c r="K55" s="125"/>
      <c r="M55" s="125"/>
      <c r="N55" s="125"/>
      <c r="O55" s="125"/>
      <c r="P55" s="125"/>
      <c r="Q55" s="125"/>
      <c r="S55" s="125"/>
      <c r="T55" s="125"/>
      <c r="U55" s="125"/>
      <c r="V55" s="125"/>
      <c r="W55" s="125"/>
      <c r="Y55" s="125"/>
      <c r="Z55" s="125"/>
      <c r="AA55" s="125"/>
      <c r="AB55" s="125"/>
      <c r="AC55" s="125"/>
      <c r="AE55" s="125"/>
      <c r="AF55" s="125"/>
      <c r="AG55" s="125"/>
      <c r="AH55" s="125"/>
      <c r="AI55" s="125"/>
      <c r="AK55" s="125"/>
      <c r="AL55" s="125"/>
      <c r="AM55" s="125"/>
      <c r="AN55" s="125"/>
      <c r="AO55" s="125"/>
    </row>
    <row r="56" spans="1:41">
      <c r="A56" s="53" t="s">
        <v>2069</v>
      </c>
      <c r="B56" s="54" t="s">
        <v>2195</v>
      </c>
      <c r="C56" s="129"/>
      <c r="D56" s="53" t="s">
        <v>2196</v>
      </c>
      <c r="E56" s="54" t="s">
        <v>2197</v>
      </c>
      <c r="F56" s="125"/>
      <c r="G56" s="125"/>
      <c r="H56" s="125"/>
      <c r="I56" s="125"/>
      <c r="J56" s="125"/>
      <c r="K56" s="125"/>
      <c r="M56" s="125"/>
      <c r="N56" s="125"/>
      <c r="O56" s="125"/>
      <c r="P56" s="125"/>
      <c r="Q56" s="125"/>
      <c r="S56" s="125"/>
      <c r="T56" s="125"/>
      <c r="U56" s="125"/>
      <c r="V56" s="125"/>
      <c r="W56" s="125"/>
      <c r="Y56" s="125"/>
      <c r="Z56" s="125"/>
      <c r="AA56" s="125"/>
      <c r="AB56" s="125"/>
      <c r="AC56" s="125"/>
      <c r="AE56" s="125"/>
      <c r="AF56" s="125"/>
      <c r="AG56" s="125"/>
      <c r="AH56" s="125"/>
      <c r="AI56" s="125"/>
      <c r="AK56" s="125"/>
      <c r="AL56" s="125"/>
      <c r="AM56" s="125"/>
      <c r="AN56" s="125"/>
      <c r="AO56" s="125"/>
    </row>
    <row r="57" spans="1:41">
      <c r="A57" s="53" t="s">
        <v>2198</v>
      </c>
      <c r="B57" s="54" t="s">
        <v>2199</v>
      </c>
      <c r="C57" s="129"/>
      <c r="D57" s="53" t="s">
        <v>2200</v>
      </c>
      <c r="E57" s="54" t="s">
        <v>2201</v>
      </c>
      <c r="F57" s="125"/>
      <c r="G57" s="125"/>
      <c r="H57" s="125"/>
      <c r="I57" s="125"/>
      <c r="J57" s="125"/>
      <c r="K57" s="125"/>
      <c r="M57" s="125"/>
      <c r="N57" s="125"/>
      <c r="O57" s="125"/>
      <c r="P57" s="125"/>
      <c r="Q57" s="125"/>
      <c r="S57" s="125"/>
      <c r="T57" s="125"/>
      <c r="U57" s="125"/>
      <c r="V57" s="125"/>
      <c r="W57" s="125"/>
      <c r="Y57" s="125"/>
      <c r="Z57" s="125"/>
      <c r="AA57" s="125"/>
      <c r="AB57" s="125"/>
      <c r="AC57" s="125"/>
      <c r="AE57" s="125"/>
      <c r="AF57" s="125"/>
      <c r="AG57" s="125"/>
      <c r="AH57" s="125"/>
      <c r="AI57" s="125"/>
      <c r="AK57" s="125"/>
      <c r="AL57" s="125"/>
      <c r="AM57" s="125"/>
      <c r="AN57" s="125"/>
      <c r="AO57" s="125"/>
    </row>
    <row r="58" spans="1:41">
      <c r="A58" s="53" t="s">
        <v>2202</v>
      </c>
      <c r="B58" s="54" t="s">
        <v>2203</v>
      </c>
      <c r="C58" s="129"/>
      <c r="D58" s="53" t="s">
        <v>2204</v>
      </c>
      <c r="E58" s="54" t="s">
        <v>2205</v>
      </c>
      <c r="F58" s="125"/>
      <c r="G58" s="125"/>
      <c r="H58" s="125"/>
      <c r="I58" s="125"/>
      <c r="J58" s="125"/>
      <c r="K58" s="125"/>
      <c r="M58" s="125"/>
      <c r="N58" s="125"/>
      <c r="O58" s="125"/>
      <c r="P58" s="125"/>
      <c r="Q58" s="125"/>
      <c r="S58" s="125"/>
      <c r="T58" s="125"/>
      <c r="U58" s="125"/>
      <c r="V58" s="125"/>
      <c r="W58" s="125"/>
      <c r="Y58" s="125"/>
      <c r="Z58" s="125"/>
      <c r="AA58" s="125"/>
      <c r="AB58" s="125"/>
      <c r="AC58" s="125"/>
      <c r="AE58" s="125"/>
      <c r="AF58" s="125"/>
      <c r="AG58" s="125"/>
      <c r="AH58" s="125"/>
      <c r="AI58" s="125"/>
      <c r="AK58" s="125"/>
      <c r="AL58" s="125"/>
      <c r="AM58" s="125"/>
      <c r="AN58" s="125"/>
      <c r="AO58" s="125"/>
    </row>
    <row r="59" spans="1:41">
      <c r="A59" s="53" t="s">
        <v>2206</v>
      </c>
      <c r="B59" s="54" t="s">
        <v>2207</v>
      </c>
      <c r="C59" s="129"/>
      <c r="D59" s="90"/>
      <c r="E59" s="91"/>
      <c r="F59" s="125"/>
      <c r="G59" s="125"/>
      <c r="H59" s="125"/>
      <c r="I59" s="125"/>
      <c r="J59" s="125"/>
      <c r="K59" s="125"/>
      <c r="M59" s="125"/>
      <c r="N59" s="125"/>
      <c r="O59" s="125"/>
      <c r="P59" s="125"/>
      <c r="Q59" s="125"/>
      <c r="S59" s="125"/>
      <c r="T59" s="125"/>
      <c r="U59" s="125"/>
      <c r="V59" s="125"/>
      <c r="W59" s="125"/>
      <c r="Y59" s="125"/>
      <c r="Z59" s="125"/>
      <c r="AA59" s="125"/>
      <c r="AB59" s="125"/>
      <c r="AC59" s="125"/>
      <c r="AE59" s="125"/>
      <c r="AF59" s="125"/>
      <c r="AG59" s="125"/>
      <c r="AH59" s="125"/>
      <c r="AI59" s="125"/>
      <c r="AK59" s="125"/>
      <c r="AL59" s="125"/>
      <c r="AM59" s="125"/>
      <c r="AN59" s="125"/>
      <c r="AO59" s="125"/>
    </row>
    <row r="60" spans="1:41">
      <c r="A60" s="53" t="s">
        <v>2208</v>
      </c>
      <c r="B60" s="54" t="s">
        <v>2209</v>
      </c>
      <c r="C60" s="129"/>
      <c r="D60" s="92" t="s">
        <v>2210</v>
      </c>
      <c r="E60" s="93"/>
      <c r="F60" s="125"/>
      <c r="G60" s="125"/>
      <c r="H60" s="125"/>
      <c r="I60" s="125"/>
      <c r="J60" s="125"/>
      <c r="K60" s="125"/>
      <c r="M60" s="125"/>
      <c r="N60" s="125"/>
      <c r="O60" s="125"/>
      <c r="P60" s="125"/>
      <c r="Q60" s="125"/>
      <c r="S60" s="125"/>
      <c r="T60" s="125"/>
      <c r="U60" s="125"/>
      <c r="V60" s="125"/>
      <c r="W60" s="125"/>
      <c r="Y60" s="125"/>
      <c r="Z60" s="125"/>
      <c r="AA60" s="125"/>
      <c r="AB60" s="125"/>
      <c r="AC60" s="125"/>
      <c r="AE60" s="125"/>
      <c r="AF60" s="125"/>
      <c r="AG60" s="125"/>
      <c r="AH60" s="125"/>
      <c r="AI60" s="125"/>
      <c r="AK60" s="125"/>
      <c r="AL60" s="125"/>
      <c r="AM60" s="125"/>
      <c r="AN60" s="125"/>
      <c r="AO60" s="125"/>
    </row>
    <row r="61" spans="1:41">
      <c r="A61" s="53" t="s">
        <v>2211</v>
      </c>
      <c r="B61" s="54" t="s">
        <v>2212</v>
      </c>
      <c r="C61" s="129"/>
      <c r="D61" s="53" t="s">
        <v>2213</v>
      </c>
      <c r="E61" s="54" t="s">
        <v>552</v>
      </c>
      <c r="F61" s="125"/>
      <c r="G61" s="125"/>
      <c r="H61" s="125"/>
      <c r="I61" s="125"/>
      <c r="J61" s="125"/>
      <c r="K61" s="125"/>
      <c r="M61" s="125"/>
      <c r="N61" s="125"/>
      <c r="O61" s="125"/>
      <c r="P61" s="125"/>
      <c r="Q61" s="125"/>
      <c r="S61" s="125"/>
      <c r="T61" s="125"/>
      <c r="U61" s="125"/>
      <c r="V61" s="125"/>
      <c r="W61" s="125"/>
      <c r="Y61" s="125"/>
      <c r="Z61" s="125"/>
      <c r="AA61" s="125"/>
      <c r="AB61" s="125"/>
      <c r="AC61" s="125"/>
      <c r="AE61" s="125"/>
      <c r="AF61" s="125"/>
      <c r="AG61" s="125"/>
      <c r="AH61" s="125"/>
      <c r="AI61" s="125"/>
      <c r="AK61" s="125"/>
      <c r="AL61" s="125"/>
      <c r="AM61" s="125"/>
      <c r="AN61" s="125"/>
      <c r="AO61" s="125"/>
    </row>
    <row r="62" spans="1:41">
      <c r="A62" s="53" t="s">
        <v>2214</v>
      </c>
      <c r="B62" s="54" t="s">
        <v>2215</v>
      </c>
      <c r="C62" s="129"/>
      <c r="D62" s="53" t="s">
        <v>2216</v>
      </c>
      <c r="E62" s="54" t="s">
        <v>126</v>
      </c>
      <c r="F62" s="125"/>
      <c r="G62" s="125"/>
      <c r="H62" s="125"/>
      <c r="I62" s="125"/>
      <c r="J62" s="125"/>
      <c r="K62" s="125"/>
      <c r="M62" s="125"/>
      <c r="N62" s="125"/>
      <c r="O62" s="125"/>
      <c r="P62" s="125"/>
      <c r="Q62" s="125"/>
      <c r="S62" s="125"/>
      <c r="T62" s="125"/>
      <c r="U62" s="125"/>
      <c r="V62" s="125"/>
      <c r="W62" s="125"/>
      <c r="Y62" s="125"/>
      <c r="Z62" s="125"/>
      <c r="AA62" s="125"/>
      <c r="AB62" s="125"/>
      <c r="AC62" s="125"/>
      <c r="AE62" s="125"/>
      <c r="AF62" s="125"/>
      <c r="AG62" s="125"/>
      <c r="AH62" s="125"/>
      <c r="AI62" s="125"/>
      <c r="AK62" s="125"/>
      <c r="AL62" s="125"/>
      <c r="AM62" s="125"/>
      <c r="AN62" s="125"/>
      <c r="AO62" s="125"/>
    </row>
    <row r="63" spans="1:41">
      <c r="A63" s="53" t="s">
        <v>2217</v>
      </c>
      <c r="B63" s="54" t="s">
        <v>2218</v>
      </c>
      <c r="C63" s="129"/>
      <c r="D63" s="53" t="s">
        <v>2219</v>
      </c>
      <c r="E63" s="54" t="s">
        <v>2220</v>
      </c>
      <c r="F63" s="125"/>
      <c r="G63" s="125"/>
      <c r="H63" s="125"/>
      <c r="I63" s="125"/>
      <c r="J63" s="125"/>
      <c r="K63" s="125"/>
      <c r="M63" s="125"/>
      <c r="N63" s="125"/>
      <c r="O63" s="125"/>
      <c r="P63" s="125"/>
      <c r="Q63" s="125"/>
      <c r="S63" s="125"/>
      <c r="T63" s="125"/>
      <c r="U63" s="125"/>
      <c r="V63" s="125"/>
      <c r="W63" s="125"/>
      <c r="Y63" s="125"/>
      <c r="Z63" s="125"/>
      <c r="AA63" s="125"/>
      <c r="AB63" s="125"/>
      <c r="AC63" s="125"/>
      <c r="AE63" s="125"/>
      <c r="AF63" s="125"/>
      <c r="AG63" s="125"/>
      <c r="AH63" s="125"/>
      <c r="AI63" s="125"/>
      <c r="AK63" s="125"/>
      <c r="AL63" s="125"/>
      <c r="AM63" s="125"/>
      <c r="AN63" s="125"/>
      <c r="AO63" s="125"/>
    </row>
    <row r="64" spans="1:41">
      <c r="A64" s="53" t="s">
        <v>2221</v>
      </c>
      <c r="B64" s="54" t="s">
        <v>2222</v>
      </c>
      <c r="C64" s="129"/>
      <c r="D64" s="53" t="s">
        <v>2223</v>
      </c>
      <c r="E64" s="54" t="s">
        <v>2224</v>
      </c>
      <c r="F64" s="125"/>
      <c r="G64" s="125"/>
      <c r="H64" s="125"/>
      <c r="I64" s="125"/>
      <c r="J64" s="125"/>
      <c r="K64" s="125"/>
      <c r="M64" s="125"/>
      <c r="N64" s="125"/>
      <c r="O64" s="125"/>
      <c r="P64" s="125"/>
      <c r="Q64" s="125"/>
      <c r="S64" s="125"/>
      <c r="T64" s="125"/>
      <c r="U64" s="125"/>
      <c r="V64" s="125"/>
      <c r="W64" s="125"/>
      <c r="Y64" s="125"/>
      <c r="Z64" s="125"/>
      <c r="AA64" s="125"/>
      <c r="AB64" s="125"/>
      <c r="AC64" s="125"/>
      <c r="AE64" s="125"/>
      <c r="AF64" s="125"/>
      <c r="AG64" s="125"/>
      <c r="AH64" s="125"/>
      <c r="AI64" s="125"/>
      <c r="AK64" s="125"/>
      <c r="AL64" s="125"/>
      <c r="AM64" s="125"/>
      <c r="AN64" s="125"/>
      <c r="AO64" s="125"/>
    </row>
    <row r="65" spans="1:41">
      <c r="A65" s="53" t="s">
        <v>2225</v>
      </c>
      <c r="B65" s="54" t="s">
        <v>2226</v>
      </c>
      <c r="C65" s="129"/>
      <c r="D65" s="53" t="s">
        <v>2227</v>
      </c>
      <c r="E65" s="54" t="s">
        <v>574</v>
      </c>
      <c r="F65" s="125"/>
      <c r="G65" s="125"/>
      <c r="H65" s="125"/>
      <c r="I65" s="125"/>
      <c r="J65" s="125"/>
      <c r="K65" s="125"/>
      <c r="M65" s="125"/>
      <c r="N65" s="125"/>
      <c r="O65" s="125"/>
      <c r="P65" s="125"/>
      <c r="Q65" s="125"/>
      <c r="S65" s="125"/>
      <c r="T65" s="125"/>
      <c r="U65" s="125"/>
      <c r="V65" s="125"/>
      <c r="W65" s="125"/>
      <c r="Y65" s="125"/>
      <c r="Z65" s="125"/>
      <c r="AA65" s="125"/>
      <c r="AB65" s="125"/>
      <c r="AC65" s="125"/>
      <c r="AE65" s="125"/>
      <c r="AF65" s="125"/>
      <c r="AG65" s="125"/>
      <c r="AH65" s="125"/>
      <c r="AI65" s="125"/>
      <c r="AK65" s="125"/>
      <c r="AL65" s="125"/>
      <c r="AM65" s="125"/>
      <c r="AN65" s="125"/>
      <c r="AO65" s="125"/>
    </row>
    <row r="66" spans="1:41">
      <c r="A66" s="53"/>
      <c r="B66" s="91"/>
      <c r="C66" s="129"/>
      <c r="D66" s="53" t="s">
        <v>2228</v>
      </c>
      <c r="E66" s="54" t="s">
        <v>345</v>
      </c>
      <c r="F66" s="125"/>
      <c r="G66" s="125"/>
      <c r="H66" s="125"/>
      <c r="I66" s="125"/>
      <c r="J66" s="125"/>
      <c r="K66" s="125"/>
      <c r="M66" s="125"/>
      <c r="N66" s="125"/>
      <c r="O66" s="125"/>
      <c r="P66" s="125"/>
      <c r="Q66" s="125"/>
      <c r="S66" s="125"/>
      <c r="T66" s="125"/>
      <c r="U66" s="125"/>
      <c r="V66" s="125"/>
      <c r="W66" s="125"/>
      <c r="Y66" s="125"/>
      <c r="Z66" s="125"/>
      <c r="AA66" s="125"/>
      <c r="AB66" s="125"/>
      <c r="AC66" s="125"/>
      <c r="AE66" s="125"/>
      <c r="AF66" s="125"/>
      <c r="AG66" s="125"/>
      <c r="AH66" s="125"/>
      <c r="AI66" s="125"/>
      <c r="AK66" s="125"/>
      <c r="AL66" s="125"/>
      <c r="AM66" s="125"/>
      <c r="AN66" s="125"/>
      <c r="AO66" s="125"/>
    </row>
    <row r="67" spans="1:41">
      <c r="A67" s="92" t="s">
        <v>2229</v>
      </c>
      <c r="B67" s="93"/>
      <c r="C67" s="129"/>
      <c r="D67" s="53"/>
      <c r="E67" s="54"/>
      <c r="F67" s="125"/>
      <c r="G67" s="125"/>
      <c r="H67" s="125"/>
      <c r="I67" s="125"/>
      <c r="J67" s="125"/>
      <c r="K67" s="125"/>
      <c r="M67" s="125"/>
      <c r="N67" s="125"/>
      <c r="O67" s="125"/>
      <c r="P67" s="125"/>
      <c r="Q67" s="125"/>
      <c r="S67" s="125"/>
      <c r="T67" s="125"/>
      <c r="U67" s="125"/>
      <c r="V67" s="125"/>
      <c r="W67" s="125"/>
      <c r="Y67" s="125"/>
      <c r="Z67" s="125"/>
      <c r="AA67" s="125"/>
      <c r="AB67" s="125"/>
      <c r="AC67" s="125"/>
      <c r="AE67" s="125"/>
      <c r="AF67" s="125"/>
      <c r="AG67" s="125"/>
      <c r="AH67" s="125"/>
      <c r="AI67" s="125"/>
      <c r="AK67" s="125"/>
      <c r="AL67" s="125"/>
      <c r="AM67" s="125"/>
      <c r="AN67" s="125"/>
      <c r="AO67" s="125"/>
    </row>
    <row r="68" spans="1:41">
      <c r="A68" s="53" t="s">
        <v>2230</v>
      </c>
      <c r="B68" s="54" t="s">
        <v>2231</v>
      </c>
      <c r="C68" s="129"/>
      <c r="D68" s="92" t="s">
        <v>2232</v>
      </c>
      <c r="E68" s="93"/>
      <c r="F68" s="125"/>
      <c r="G68" s="125"/>
      <c r="H68" s="125"/>
      <c r="I68" s="125"/>
      <c r="J68" s="125"/>
      <c r="K68" s="125"/>
      <c r="M68" s="125"/>
      <c r="N68" s="125"/>
      <c r="O68" s="125"/>
      <c r="P68" s="125"/>
      <c r="Q68" s="125"/>
      <c r="S68" s="125"/>
      <c r="T68" s="125"/>
      <c r="U68" s="125"/>
      <c r="V68" s="125"/>
      <c r="W68" s="125"/>
      <c r="Y68" s="125"/>
      <c r="Z68" s="125"/>
      <c r="AA68" s="125"/>
      <c r="AB68" s="125"/>
      <c r="AC68" s="125"/>
      <c r="AE68" s="125"/>
      <c r="AF68" s="125"/>
      <c r="AG68" s="125"/>
      <c r="AH68" s="125"/>
      <c r="AI68" s="125"/>
      <c r="AK68" s="125"/>
      <c r="AL68" s="125"/>
      <c r="AM68" s="125"/>
      <c r="AN68" s="125"/>
      <c r="AO68" s="125"/>
    </row>
    <row r="69" spans="1:41">
      <c r="A69" s="53" t="s">
        <v>2233</v>
      </c>
      <c r="B69" s="54" t="s">
        <v>451</v>
      </c>
      <c r="C69" s="129"/>
      <c r="D69" s="53" t="s">
        <v>2234</v>
      </c>
      <c r="E69" s="54" t="s">
        <v>2235</v>
      </c>
      <c r="F69" s="125"/>
      <c r="G69" s="125"/>
      <c r="H69" s="125"/>
      <c r="I69" s="125"/>
      <c r="J69" s="125"/>
      <c r="K69" s="125"/>
      <c r="M69" s="125"/>
      <c r="N69" s="125"/>
      <c r="O69" s="125"/>
      <c r="P69" s="125"/>
      <c r="Q69" s="125"/>
      <c r="S69" s="125"/>
      <c r="T69" s="125"/>
      <c r="U69" s="125"/>
      <c r="V69" s="125"/>
      <c r="W69" s="125"/>
      <c r="Y69" s="125"/>
      <c r="Z69" s="125"/>
      <c r="AA69" s="125"/>
      <c r="AB69" s="125"/>
      <c r="AC69" s="125"/>
      <c r="AE69" s="125"/>
      <c r="AF69" s="125"/>
      <c r="AG69" s="125"/>
      <c r="AH69" s="125"/>
      <c r="AI69" s="125"/>
      <c r="AK69" s="125"/>
      <c r="AL69" s="125"/>
      <c r="AM69" s="125"/>
      <c r="AN69" s="125"/>
      <c r="AO69" s="125"/>
    </row>
    <row r="70" spans="1:41">
      <c r="A70" s="53" t="s">
        <v>2236</v>
      </c>
      <c r="B70" s="54" t="s">
        <v>841</v>
      </c>
      <c r="C70" s="129"/>
      <c r="D70" s="53" t="s">
        <v>2237</v>
      </c>
      <c r="E70" s="54" t="s">
        <v>115</v>
      </c>
      <c r="F70" s="125"/>
      <c r="G70" s="125"/>
      <c r="H70" s="125"/>
      <c r="I70" s="125"/>
      <c r="J70" s="125"/>
      <c r="K70" s="125"/>
      <c r="M70" s="125"/>
      <c r="N70" s="125"/>
      <c r="O70" s="125"/>
      <c r="P70" s="125"/>
      <c r="Q70" s="125"/>
      <c r="S70" s="125"/>
      <c r="T70" s="125"/>
      <c r="U70" s="125"/>
      <c r="V70" s="125"/>
      <c r="W70" s="125"/>
      <c r="Y70" s="125"/>
      <c r="Z70" s="125"/>
      <c r="AA70" s="125"/>
      <c r="AB70" s="125"/>
      <c r="AC70" s="125"/>
      <c r="AE70" s="125"/>
      <c r="AF70" s="125"/>
      <c r="AG70" s="125"/>
      <c r="AH70" s="125"/>
      <c r="AI70" s="125"/>
      <c r="AK70" s="125"/>
      <c r="AL70" s="125"/>
      <c r="AM70" s="125"/>
      <c r="AN70" s="125"/>
      <c r="AO70" s="125"/>
    </row>
    <row r="71" spans="1:41">
      <c r="A71" s="53" t="s">
        <v>2238</v>
      </c>
      <c r="B71" s="54" t="s">
        <v>344</v>
      </c>
      <c r="C71" s="129"/>
      <c r="D71" s="53" t="s">
        <v>2239</v>
      </c>
      <c r="E71" s="54" t="s">
        <v>450</v>
      </c>
      <c r="F71" s="125"/>
      <c r="G71" s="125"/>
      <c r="H71" s="125"/>
      <c r="I71" s="125"/>
      <c r="J71" s="125"/>
      <c r="K71" s="125"/>
      <c r="M71" s="125"/>
      <c r="N71" s="125"/>
      <c r="O71" s="125"/>
      <c r="P71" s="125"/>
      <c r="Q71" s="125"/>
      <c r="S71" s="125"/>
      <c r="T71" s="125"/>
      <c r="U71" s="125"/>
      <c r="V71" s="125"/>
      <c r="W71" s="125"/>
      <c r="Y71" s="125"/>
      <c r="Z71" s="125"/>
      <c r="AA71" s="125"/>
      <c r="AB71" s="125"/>
      <c r="AC71" s="125"/>
      <c r="AE71" s="125"/>
      <c r="AF71" s="125"/>
      <c r="AG71" s="125"/>
      <c r="AH71" s="125"/>
      <c r="AI71" s="125"/>
      <c r="AK71" s="125"/>
      <c r="AL71" s="125"/>
      <c r="AM71" s="125"/>
      <c r="AN71" s="125"/>
      <c r="AO71" s="125"/>
    </row>
    <row r="72" spans="1:41" ht="15">
      <c r="A72" s="53" t="s">
        <v>2240</v>
      </c>
      <c r="B72" s="54" t="s">
        <v>2241</v>
      </c>
      <c r="C72" s="129"/>
      <c r="D72" s="53" t="s">
        <v>2242</v>
      </c>
      <c r="E72" s="532" t="s">
        <v>2243</v>
      </c>
      <c r="F72" s="125"/>
      <c r="G72" s="125"/>
      <c r="H72" s="125"/>
      <c r="I72" s="125"/>
      <c r="J72" s="125"/>
      <c r="K72" s="125"/>
      <c r="M72" s="125"/>
      <c r="N72" s="125"/>
      <c r="O72" s="125"/>
      <c r="P72" s="125"/>
      <c r="Q72" s="125"/>
      <c r="S72" s="125"/>
      <c r="T72" s="125"/>
      <c r="U72" s="125"/>
      <c r="V72" s="125"/>
      <c r="W72" s="125"/>
      <c r="Y72" s="125"/>
      <c r="Z72" s="125"/>
      <c r="AA72" s="125"/>
      <c r="AB72" s="125"/>
      <c r="AC72" s="125"/>
      <c r="AE72" s="125"/>
      <c r="AF72" s="125"/>
      <c r="AG72" s="125"/>
      <c r="AH72" s="125"/>
      <c r="AI72" s="125"/>
      <c r="AK72" s="125"/>
      <c r="AL72" s="125"/>
      <c r="AM72" s="125"/>
      <c r="AN72" s="125"/>
      <c r="AO72" s="125"/>
    </row>
    <row r="73" spans="1:41" ht="15">
      <c r="A73" s="53" t="s">
        <v>2244</v>
      </c>
      <c r="B73" s="54" t="s">
        <v>2245</v>
      </c>
      <c r="C73" s="129"/>
      <c r="D73" s="53" t="s">
        <v>2246</v>
      </c>
      <c r="E73" s="533" t="s">
        <v>2243</v>
      </c>
      <c r="F73" s="125"/>
      <c r="G73" s="125"/>
      <c r="H73" s="125"/>
      <c r="I73" s="125"/>
      <c r="J73" s="125"/>
      <c r="K73" s="125"/>
      <c r="M73" s="125"/>
      <c r="N73" s="125"/>
      <c r="O73" s="125"/>
      <c r="P73" s="125"/>
      <c r="Q73" s="125"/>
      <c r="S73" s="125"/>
      <c r="T73" s="125"/>
      <c r="U73" s="125"/>
      <c r="V73" s="125"/>
      <c r="W73" s="125"/>
      <c r="Y73" s="125"/>
      <c r="Z73" s="125"/>
      <c r="AA73" s="125"/>
      <c r="AB73" s="125"/>
      <c r="AC73" s="125"/>
      <c r="AE73" s="125"/>
      <c r="AF73" s="125"/>
      <c r="AG73" s="125"/>
      <c r="AH73" s="125"/>
      <c r="AI73" s="125"/>
      <c r="AK73" s="125"/>
      <c r="AL73" s="125"/>
      <c r="AM73" s="125"/>
      <c r="AN73" s="125"/>
      <c r="AO73" s="125"/>
    </row>
    <row r="74" spans="1:41" ht="15.6" thickBot="1">
      <c r="A74" s="53" t="s">
        <v>2247</v>
      </c>
      <c r="B74" s="54" t="s">
        <v>2248</v>
      </c>
      <c r="C74" s="129"/>
      <c r="D74" s="531" t="s">
        <v>2249</v>
      </c>
      <c r="E74" s="551" t="s">
        <v>2243</v>
      </c>
      <c r="F74" s="125"/>
      <c r="G74" s="125"/>
      <c r="H74" s="125"/>
      <c r="I74" s="125"/>
      <c r="J74" s="125"/>
      <c r="K74" s="125"/>
      <c r="M74" s="125"/>
      <c r="N74" s="125"/>
      <c r="O74" s="125"/>
      <c r="P74" s="125"/>
      <c r="Q74" s="125"/>
      <c r="S74" s="125"/>
      <c r="T74" s="125"/>
      <c r="U74" s="125"/>
      <c r="V74" s="125"/>
      <c r="W74" s="125"/>
      <c r="Y74" s="125"/>
      <c r="Z74" s="125"/>
      <c r="AA74" s="125"/>
      <c r="AB74" s="125"/>
      <c r="AC74" s="125"/>
      <c r="AE74" s="125"/>
      <c r="AF74" s="125"/>
      <c r="AG74" s="125"/>
      <c r="AH74" s="125"/>
      <c r="AI74" s="125"/>
      <c r="AK74" s="125"/>
      <c r="AL74" s="125"/>
      <c r="AM74" s="125"/>
      <c r="AN74" s="125"/>
      <c r="AO74" s="125"/>
    </row>
    <row r="75" spans="1:41">
      <c r="A75" s="53" t="s">
        <v>2250</v>
      </c>
      <c r="B75" s="54" t="s">
        <v>2251</v>
      </c>
      <c r="C75" s="129"/>
      <c r="D75" s="129"/>
      <c r="E75" s="129"/>
      <c r="F75" s="125"/>
      <c r="G75" s="125"/>
      <c r="H75" s="125"/>
      <c r="I75" s="125"/>
      <c r="J75" s="125"/>
      <c r="K75" s="125"/>
      <c r="M75" s="125"/>
      <c r="N75" s="125"/>
      <c r="O75" s="125"/>
      <c r="P75" s="125"/>
      <c r="Q75" s="125"/>
      <c r="S75" s="125"/>
      <c r="T75" s="125"/>
      <c r="U75" s="125"/>
      <c r="V75" s="125"/>
      <c r="W75" s="125"/>
      <c r="Y75" s="125"/>
      <c r="Z75" s="125"/>
      <c r="AA75" s="125"/>
      <c r="AB75" s="125"/>
      <c r="AC75" s="125"/>
      <c r="AE75" s="125"/>
      <c r="AF75" s="125"/>
      <c r="AG75" s="125"/>
      <c r="AH75" s="125"/>
      <c r="AI75" s="125"/>
      <c r="AK75" s="125"/>
      <c r="AL75" s="125"/>
      <c r="AM75" s="125"/>
      <c r="AN75" s="125"/>
      <c r="AO75" s="125"/>
    </row>
    <row r="76" spans="1:41">
      <c r="A76" s="53" t="s">
        <v>2252</v>
      </c>
      <c r="B76" s="54" t="s">
        <v>2253</v>
      </c>
      <c r="C76" s="129"/>
      <c r="D76" s="129"/>
      <c r="E76" s="129"/>
      <c r="F76" s="125"/>
      <c r="G76" s="125"/>
      <c r="H76" s="125"/>
      <c r="I76" s="125"/>
      <c r="J76" s="125"/>
      <c r="K76" s="125"/>
      <c r="M76" s="125"/>
      <c r="N76" s="125"/>
      <c r="O76" s="125"/>
      <c r="P76" s="125"/>
      <c r="Q76" s="125"/>
      <c r="S76" s="125"/>
      <c r="T76" s="125"/>
      <c r="U76" s="125"/>
      <c r="V76" s="125"/>
      <c r="W76" s="125"/>
      <c r="Y76" s="125"/>
      <c r="Z76" s="125"/>
      <c r="AA76" s="125"/>
      <c r="AB76" s="125"/>
      <c r="AC76" s="125"/>
      <c r="AE76" s="125"/>
      <c r="AF76" s="125"/>
      <c r="AG76" s="125"/>
      <c r="AH76" s="125"/>
      <c r="AI76" s="125"/>
      <c r="AK76" s="125"/>
      <c r="AL76" s="125"/>
      <c r="AM76" s="125"/>
      <c r="AN76" s="125"/>
      <c r="AO76" s="125"/>
    </row>
    <row r="77" spans="1:41">
      <c r="A77" s="53" t="s">
        <v>2254</v>
      </c>
      <c r="B77" s="54" t="s">
        <v>2255</v>
      </c>
      <c r="C77" s="129"/>
      <c r="D77" s="129"/>
      <c r="E77" s="129"/>
      <c r="F77" s="125"/>
      <c r="G77" s="125"/>
      <c r="H77" s="125"/>
      <c r="I77" s="125"/>
      <c r="J77" s="125"/>
      <c r="K77" s="125"/>
      <c r="M77" s="125"/>
      <c r="N77" s="125"/>
      <c r="O77" s="125"/>
      <c r="P77" s="125"/>
      <c r="Q77" s="125"/>
      <c r="S77" s="125"/>
      <c r="T77" s="125"/>
      <c r="U77" s="125"/>
      <c r="V77" s="125"/>
      <c r="W77" s="125"/>
      <c r="Y77" s="125"/>
      <c r="Z77" s="125"/>
      <c r="AA77" s="125"/>
      <c r="AB77" s="125"/>
      <c r="AC77" s="125"/>
      <c r="AE77" s="125"/>
      <c r="AF77" s="125"/>
      <c r="AG77" s="125"/>
      <c r="AH77" s="125"/>
      <c r="AI77" s="125"/>
      <c r="AK77" s="125"/>
      <c r="AL77" s="125"/>
      <c r="AM77" s="125"/>
      <c r="AN77" s="125"/>
      <c r="AO77" s="125"/>
    </row>
    <row r="78" spans="1:41">
      <c r="A78" s="53" t="s">
        <v>2256</v>
      </c>
      <c r="B78" s="54" t="s">
        <v>2257</v>
      </c>
      <c r="C78" s="129"/>
      <c r="D78" s="129"/>
      <c r="E78" s="129"/>
      <c r="F78" s="125"/>
      <c r="G78" s="125"/>
      <c r="H78" s="125"/>
      <c r="I78" s="125"/>
      <c r="J78" s="125"/>
      <c r="K78" s="125"/>
      <c r="M78" s="125"/>
      <c r="N78" s="125"/>
      <c r="O78" s="125"/>
      <c r="P78" s="125"/>
      <c r="Q78" s="125"/>
      <c r="S78" s="125"/>
      <c r="T78" s="125"/>
      <c r="U78" s="125"/>
      <c r="V78" s="125"/>
      <c r="W78" s="125"/>
      <c r="Y78" s="125"/>
      <c r="Z78" s="125"/>
      <c r="AA78" s="125"/>
      <c r="AB78" s="125"/>
      <c r="AC78" s="125"/>
      <c r="AE78" s="125"/>
      <c r="AF78" s="125"/>
      <c r="AG78" s="125"/>
      <c r="AH78" s="125"/>
      <c r="AI78" s="125"/>
      <c r="AK78" s="125"/>
      <c r="AL78" s="125"/>
      <c r="AM78" s="125"/>
      <c r="AN78" s="125"/>
      <c r="AO78" s="125"/>
    </row>
    <row r="79" spans="1:41">
      <c r="A79" s="53" t="s">
        <v>2254</v>
      </c>
      <c r="B79" s="54" t="s">
        <v>202</v>
      </c>
      <c r="C79" s="129"/>
      <c r="D79" s="125"/>
      <c r="E79" s="125"/>
      <c r="F79" s="125"/>
      <c r="G79" s="125"/>
      <c r="H79" s="125"/>
      <c r="I79" s="125"/>
      <c r="J79" s="125"/>
      <c r="K79" s="125"/>
      <c r="M79" s="125"/>
      <c r="N79" s="125"/>
      <c r="O79" s="125"/>
      <c r="P79" s="125"/>
      <c r="Q79" s="125"/>
      <c r="S79" s="125"/>
      <c r="T79" s="125"/>
      <c r="U79" s="125"/>
      <c r="V79" s="125"/>
      <c r="W79" s="125"/>
      <c r="Y79" s="125"/>
      <c r="Z79" s="125"/>
      <c r="AA79" s="125"/>
      <c r="AB79" s="125"/>
      <c r="AC79" s="125"/>
      <c r="AE79" s="125"/>
      <c r="AF79" s="125"/>
      <c r="AG79" s="125"/>
      <c r="AH79" s="125"/>
      <c r="AI79" s="125"/>
      <c r="AK79" s="125"/>
      <c r="AL79" s="125"/>
      <c r="AM79" s="125"/>
      <c r="AN79" s="125"/>
      <c r="AO79" s="125"/>
    </row>
    <row r="80" spans="1:41">
      <c r="A80" s="53" t="s">
        <v>2256</v>
      </c>
      <c r="B80" s="54" t="s">
        <v>2258</v>
      </c>
      <c r="C80" s="129"/>
      <c r="D80" s="129"/>
      <c r="E80" s="129"/>
      <c r="F80" s="125"/>
      <c r="G80" s="125"/>
      <c r="H80" s="125"/>
      <c r="I80" s="125"/>
      <c r="J80" s="125"/>
      <c r="K80" s="125"/>
      <c r="M80" s="125"/>
      <c r="N80" s="125"/>
      <c r="O80" s="125"/>
      <c r="P80" s="125"/>
      <c r="Q80" s="125"/>
      <c r="S80" s="125"/>
      <c r="T80" s="125"/>
      <c r="U80" s="125"/>
      <c r="V80" s="125"/>
      <c r="W80" s="125"/>
      <c r="Y80" s="125"/>
      <c r="Z80" s="125"/>
      <c r="AA80" s="125"/>
      <c r="AB80" s="125"/>
      <c r="AC80" s="125"/>
      <c r="AE80" s="125"/>
      <c r="AF80" s="125"/>
      <c r="AG80" s="125"/>
      <c r="AH80" s="125"/>
      <c r="AI80" s="125"/>
      <c r="AK80" s="125"/>
      <c r="AL80" s="125"/>
      <c r="AM80" s="125"/>
      <c r="AN80" s="125"/>
      <c r="AO80" s="125"/>
    </row>
    <row r="81" spans="1:41">
      <c r="A81" s="53" t="s">
        <v>2259</v>
      </c>
      <c r="B81" s="54" t="s">
        <v>2260</v>
      </c>
      <c r="D81" s="129"/>
      <c r="E81" s="129"/>
      <c r="G81" s="125"/>
      <c r="H81" s="125"/>
      <c r="I81" s="125"/>
      <c r="J81" s="125"/>
      <c r="K81" s="125"/>
      <c r="M81" s="125"/>
      <c r="N81" s="125"/>
      <c r="O81" s="125"/>
      <c r="P81" s="125"/>
      <c r="Q81" s="125"/>
      <c r="S81" s="125"/>
      <c r="T81" s="125"/>
      <c r="U81" s="125"/>
      <c r="V81" s="125"/>
      <c r="W81" s="125"/>
      <c r="Y81" s="125"/>
      <c r="Z81" s="125"/>
      <c r="AA81" s="125"/>
      <c r="AB81" s="125"/>
      <c r="AC81" s="125"/>
      <c r="AE81" s="125"/>
      <c r="AF81" s="125"/>
      <c r="AG81" s="125"/>
      <c r="AH81" s="125"/>
      <c r="AI81" s="125"/>
      <c r="AK81" s="125"/>
      <c r="AL81" s="125"/>
      <c r="AM81" s="125"/>
      <c r="AN81" s="125"/>
      <c r="AO81" s="125"/>
    </row>
    <row r="82" spans="1:41">
      <c r="A82" s="53" t="s">
        <v>2261</v>
      </c>
      <c r="B82" s="54" t="s">
        <v>2262</v>
      </c>
      <c r="D82" s="129"/>
      <c r="E82" s="129"/>
    </row>
    <row r="83" spans="1:41" ht="13.9" thickBot="1">
      <c r="A83" s="121"/>
      <c r="B83" s="122"/>
      <c r="D83" s="129"/>
      <c r="E83" s="129"/>
    </row>
    <row r="84" spans="1:41">
      <c r="D84" s="125"/>
      <c r="E84" s="125"/>
    </row>
  </sheetData>
  <mergeCells count="6">
    <mergeCell ref="AK1:AO1"/>
    <mergeCell ref="G1:K1"/>
    <mergeCell ref="M1:Q1"/>
    <mergeCell ref="S1:W1"/>
    <mergeCell ref="Y1:AC1"/>
    <mergeCell ref="AE1:AI1"/>
  </mergeCells>
  <pageMargins left="0.7" right="0.7" top="0.75" bottom="0.75" header="0.3" footer="0.3"/>
  <pageSetup paperSize="9" scale="14"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tabColor theme="8" tint="0.59999389629810485"/>
    <pageSetUpPr fitToPage="1"/>
  </sheetPr>
  <dimension ref="A1:AE1153"/>
  <sheetViews>
    <sheetView zoomScale="85" zoomScaleNormal="85" workbookViewId="0">
      <pane ySplit="1" topLeftCell="A2" activePane="bottomLeft" state="frozen"/>
      <selection pane="bottomLeft" activeCell="S4" sqref="S4:S151"/>
    </sheetView>
  </sheetViews>
  <sheetFormatPr defaultColWidth="11.42578125" defaultRowHeight="13.15"/>
  <cols>
    <col min="1" max="4" width="11.42578125" style="129"/>
    <col min="5" max="5" width="13.85546875" style="129" customWidth="1"/>
    <col min="6" max="6" width="11.42578125" style="129"/>
    <col min="7" max="7" width="12.140625" style="129" bestFit="1" customWidth="1"/>
    <col min="8" max="9" width="11.42578125" style="129"/>
    <col min="10" max="10" width="13.42578125" style="129" bestFit="1" customWidth="1"/>
    <col min="11" max="11" width="15.28515625" style="129" bestFit="1" customWidth="1"/>
    <col min="12" max="13" width="11.42578125" style="129"/>
    <col min="14" max="15" width="11.42578125" style="129" customWidth="1"/>
    <col min="16" max="18" width="11.42578125" style="129" hidden="1" customWidth="1"/>
    <col min="19" max="21" width="11.42578125" style="129"/>
    <col min="22" max="22" width="15.28515625" style="129" bestFit="1" customWidth="1"/>
    <col min="23" max="24" width="13" style="129" customWidth="1"/>
    <col min="25" max="25" width="9.140625" style="129" customWidth="1"/>
    <col min="26" max="26" width="7.7109375" style="129" bestFit="1" customWidth="1"/>
    <col min="27" max="27" width="8.5703125" style="129" bestFit="1" customWidth="1"/>
    <col min="28" max="28" width="22.7109375" style="129" bestFit="1" customWidth="1"/>
    <col min="29" max="30" width="11.42578125" style="129"/>
    <col min="31" max="31" width="10.7109375" style="129" bestFit="1" customWidth="1"/>
    <col min="32" max="16384" width="11.42578125" style="129"/>
  </cols>
  <sheetData>
    <row r="1" spans="1:31" s="418" customFormat="1" ht="39.75" customHeight="1">
      <c r="A1" s="1087" t="s">
        <v>2263</v>
      </c>
      <c r="B1" s="1088"/>
      <c r="C1" s="1089"/>
      <c r="E1" s="1087" t="s">
        <v>2264</v>
      </c>
      <c r="F1" s="1088"/>
      <c r="G1" s="1089"/>
      <c r="L1" s="1090" t="s">
        <v>2265</v>
      </c>
      <c r="M1" s="1091"/>
      <c r="N1" s="1091"/>
      <c r="O1" s="1091"/>
      <c r="P1" s="1091"/>
      <c r="Q1" s="1091"/>
      <c r="R1" s="1091"/>
      <c r="S1" s="425" t="s">
        <v>2266</v>
      </c>
      <c r="V1" s="1092" t="s">
        <v>2265</v>
      </c>
      <c r="W1" s="1092"/>
      <c r="X1" s="1092"/>
      <c r="Y1" s="330" t="s">
        <v>2267</v>
      </c>
      <c r="Z1" s="330" t="s">
        <v>2268</v>
      </c>
      <c r="AA1" s="330" t="s">
        <v>2269</v>
      </c>
      <c r="AB1" s="330" t="s">
        <v>2270</v>
      </c>
      <c r="AC1" s="330" t="s">
        <v>2271</v>
      </c>
      <c r="AD1" s="330" t="s">
        <v>2272</v>
      </c>
      <c r="AE1" s="330" t="s">
        <v>2273</v>
      </c>
    </row>
    <row r="2" spans="1:31" ht="19.899999999999999" customHeight="1">
      <c r="A2" s="153" t="s">
        <v>2274</v>
      </c>
      <c r="B2" s="153" t="s">
        <v>2275</v>
      </c>
      <c r="C2" s="153" t="s">
        <v>2276</v>
      </c>
      <c r="E2" s="153" t="s">
        <v>2274</v>
      </c>
      <c r="F2" s="153" t="s">
        <v>2275</v>
      </c>
      <c r="G2" s="153" t="s">
        <v>2276</v>
      </c>
      <c r="I2" s="1095" t="s">
        <v>2277</v>
      </c>
      <c r="J2" s="1096"/>
      <c r="K2" s="66" t="s">
        <v>2278</v>
      </c>
      <c r="L2" s="66"/>
      <c r="M2" s="153" t="s">
        <v>2279</v>
      </c>
      <c r="N2" s="153" t="s">
        <v>2279</v>
      </c>
      <c r="O2" s="153" t="s">
        <v>2279</v>
      </c>
      <c r="P2" s="153" t="s">
        <v>2280</v>
      </c>
      <c r="Q2" s="153" t="s">
        <v>2281</v>
      </c>
      <c r="R2" s="153" t="s">
        <v>2282</v>
      </c>
      <c r="S2" s="153" t="s">
        <v>2283</v>
      </c>
      <c r="T2" s="418"/>
      <c r="V2" s="66" t="s">
        <v>2278</v>
      </c>
      <c r="W2" s="66" t="s">
        <v>1592</v>
      </c>
      <c r="X2" s="66"/>
      <c r="Y2" s="153"/>
      <c r="Z2" s="153"/>
      <c r="AA2" s="153"/>
      <c r="AB2" s="153"/>
      <c r="AC2" s="153"/>
      <c r="AD2" s="153"/>
      <c r="AE2" s="153"/>
    </row>
    <row r="3" spans="1:31" ht="19.899999999999999" customHeight="1">
      <c r="A3" s="3">
        <v>30000</v>
      </c>
      <c r="B3" s="494">
        <v>32000</v>
      </c>
      <c r="C3" s="11" t="s">
        <v>2279</v>
      </c>
      <c r="D3" s="1097" t="s">
        <v>2284</v>
      </c>
      <c r="E3" s="3">
        <v>30000</v>
      </c>
      <c r="F3" s="3">
        <v>32000</v>
      </c>
      <c r="G3" s="11" t="s">
        <v>1592</v>
      </c>
      <c r="I3" s="5" t="s">
        <v>2279</v>
      </c>
      <c r="J3" s="5">
        <v>3</v>
      </c>
      <c r="K3" s="1080"/>
      <c r="L3" s="1081"/>
      <c r="M3" s="1081"/>
      <c r="N3" s="1081"/>
      <c r="O3" s="1081"/>
      <c r="P3" s="1081"/>
      <c r="Q3" s="1081"/>
      <c r="R3" s="1085"/>
      <c r="S3" s="424" t="s">
        <v>2285</v>
      </c>
      <c r="V3" s="1080"/>
      <c r="W3" s="1081"/>
      <c r="X3" s="1081"/>
      <c r="Y3" s="1081"/>
      <c r="Z3" s="1081"/>
      <c r="AA3" s="1081"/>
      <c r="AB3" s="1081"/>
      <c r="AC3" s="1081"/>
      <c r="AD3" s="1081"/>
      <c r="AE3" s="1085"/>
    </row>
    <row r="4" spans="1:31" ht="19.899999999999999" customHeight="1">
      <c r="A4" s="3">
        <v>32001</v>
      </c>
      <c r="B4" s="3">
        <v>32500</v>
      </c>
      <c r="C4" s="11" t="s">
        <v>2279</v>
      </c>
      <c r="D4" s="1098"/>
      <c r="E4" s="3">
        <v>32001</v>
      </c>
      <c r="F4" s="3">
        <v>32500</v>
      </c>
      <c r="G4" s="11" t="s">
        <v>1592</v>
      </c>
      <c r="I4" s="5" t="s">
        <v>2279</v>
      </c>
      <c r="J4" s="5">
        <v>4</v>
      </c>
      <c r="K4" s="5" t="s">
        <v>153</v>
      </c>
      <c r="L4" s="5" t="s">
        <v>2286</v>
      </c>
      <c r="M4" s="11" t="s">
        <v>2235</v>
      </c>
      <c r="N4" s="11" t="s">
        <v>2235</v>
      </c>
      <c r="O4" s="11" t="s">
        <v>2235</v>
      </c>
      <c r="P4" s="11" t="s">
        <v>2235</v>
      </c>
      <c r="Q4" s="11" t="s">
        <v>2235</v>
      </c>
      <c r="R4" s="11" t="s">
        <v>2235</v>
      </c>
      <c r="S4" s="1086" t="str">
        <f>CONCATENATE("OSC FOUNDATIONS ",$S$1," DESIGANTION TABLE (SEM-ER-",$S$1,"-OCS_FOUND-DD-6900-",$S$3,")")</f>
        <v>OSC FOUNDATIONS EP04 DESIGANTION TABLE (SEM-ER-EP04-OCS_FOUND-DD-6900-00)</v>
      </c>
      <c r="V4" s="5" t="s">
        <v>153</v>
      </c>
      <c r="W4" s="11" t="s">
        <v>2286</v>
      </c>
      <c r="X4" s="287"/>
      <c r="Y4" s="419">
        <v>0.75</v>
      </c>
      <c r="Z4" s="420">
        <v>25</v>
      </c>
      <c r="AA4" s="71">
        <v>4</v>
      </c>
      <c r="AB4" s="71" t="s">
        <v>2287</v>
      </c>
      <c r="AC4" s="71" t="s">
        <v>2288</v>
      </c>
      <c r="AD4" s="71" t="s">
        <v>2289</v>
      </c>
      <c r="AE4" s="71" t="s">
        <v>2290</v>
      </c>
    </row>
    <row r="5" spans="1:31" ht="19.899999999999999" customHeight="1">
      <c r="A5" s="3">
        <v>32501</v>
      </c>
      <c r="B5" s="3">
        <v>36000</v>
      </c>
      <c r="C5" s="11" t="s">
        <v>2279</v>
      </c>
      <c r="D5" s="1098"/>
      <c r="E5" s="3">
        <v>32501</v>
      </c>
      <c r="F5" s="3">
        <v>36000</v>
      </c>
      <c r="G5" s="11" t="s">
        <v>1592</v>
      </c>
      <c r="I5" s="5" t="s">
        <v>2291</v>
      </c>
      <c r="J5" s="5">
        <v>5</v>
      </c>
      <c r="K5" s="71" t="s">
        <v>158</v>
      </c>
      <c r="L5" s="71" t="str">
        <f t="shared" ref="L5:L20" si="0">VLOOKUP(K5,$V$4:$W$38,2,FALSE)</f>
        <v>C4SR</v>
      </c>
      <c r="M5" s="72" t="s">
        <v>2235</v>
      </c>
      <c r="N5" s="72" t="s">
        <v>2235</v>
      </c>
      <c r="O5" s="72" t="s">
        <v>2235</v>
      </c>
      <c r="P5" s="72" t="s">
        <v>2235</v>
      </c>
      <c r="Q5" s="72" t="s">
        <v>2235</v>
      </c>
      <c r="R5" s="487" t="s">
        <v>2235</v>
      </c>
      <c r="S5" s="1086"/>
      <c r="V5" s="71" t="s">
        <v>158</v>
      </c>
      <c r="W5" s="72" t="s">
        <v>2292</v>
      </c>
      <c r="X5" s="287"/>
      <c r="Y5" s="419">
        <v>0.75</v>
      </c>
      <c r="Z5" s="420">
        <v>32</v>
      </c>
      <c r="AA5" s="71">
        <v>4</v>
      </c>
      <c r="AB5" s="71" t="s">
        <v>2293</v>
      </c>
      <c r="AC5" s="71" t="s">
        <v>2288</v>
      </c>
      <c r="AD5" s="71" t="s">
        <v>2289</v>
      </c>
      <c r="AE5" s="71" t="s">
        <v>2290</v>
      </c>
    </row>
    <row r="6" spans="1:31" ht="19.899999999999999" customHeight="1">
      <c r="A6" s="3">
        <v>36001</v>
      </c>
      <c r="B6" s="3">
        <v>36400</v>
      </c>
      <c r="C6" s="11" t="s">
        <v>2279</v>
      </c>
      <c r="D6" s="1098"/>
      <c r="E6" s="3">
        <v>36001</v>
      </c>
      <c r="F6" s="3">
        <v>36200</v>
      </c>
      <c r="G6" s="11" t="s">
        <v>1592</v>
      </c>
      <c r="I6" s="5" t="s">
        <v>2280</v>
      </c>
      <c r="J6" s="5">
        <v>6</v>
      </c>
      <c r="K6" s="73" t="s">
        <v>151</v>
      </c>
      <c r="L6" s="73" t="str">
        <f t="shared" si="0"/>
        <v>C4SR</v>
      </c>
      <c r="M6" s="74" t="str">
        <f t="shared" ref="M6" si="1">M5</f>
        <v>N.D.</v>
      </c>
      <c r="N6" s="74" t="str">
        <f t="shared" ref="N6:R6" si="2">N5</f>
        <v>N.D.</v>
      </c>
      <c r="O6" s="74" t="str">
        <f t="shared" si="2"/>
        <v>N.D.</v>
      </c>
      <c r="P6" s="74" t="str">
        <f t="shared" si="2"/>
        <v>N.D.</v>
      </c>
      <c r="Q6" s="74" t="str">
        <f t="shared" si="2"/>
        <v>N.D.</v>
      </c>
      <c r="R6" s="488" t="str">
        <f t="shared" si="2"/>
        <v>N.D.</v>
      </c>
      <c r="S6" s="1086"/>
      <c r="V6" s="73" t="s">
        <v>151</v>
      </c>
      <c r="W6" s="74" t="s">
        <v>2292</v>
      </c>
      <c r="X6" s="287"/>
      <c r="Y6" s="419">
        <v>0.75</v>
      </c>
      <c r="Z6" s="420">
        <v>32</v>
      </c>
      <c r="AA6" s="71">
        <v>4</v>
      </c>
      <c r="AB6" s="71" t="s">
        <v>2293</v>
      </c>
      <c r="AC6" s="71" t="s">
        <v>2288</v>
      </c>
      <c r="AD6" s="71" t="s">
        <v>2289</v>
      </c>
      <c r="AE6" s="71" t="s">
        <v>2290</v>
      </c>
    </row>
    <row r="7" spans="1:31" ht="19.899999999999999" customHeight="1">
      <c r="A7" s="3">
        <v>36401</v>
      </c>
      <c r="B7" s="3">
        <v>39400</v>
      </c>
      <c r="C7" s="11" t="s">
        <v>2279</v>
      </c>
      <c r="D7" s="1098"/>
      <c r="E7" s="3">
        <v>36201</v>
      </c>
      <c r="F7" s="3">
        <v>37000</v>
      </c>
      <c r="G7" s="11" t="s">
        <v>2294</v>
      </c>
      <c r="I7" s="5" t="s">
        <v>2281</v>
      </c>
      <c r="J7" s="5">
        <v>7</v>
      </c>
      <c r="K7" s="71" t="s">
        <v>148</v>
      </c>
      <c r="L7" s="71" t="str">
        <f t="shared" si="0"/>
        <v>C4SR</v>
      </c>
      <c r="M7" s="72" t="s">
        <v>2235</v>
      </c>
      <c r="N7" s="72" t="s">
        <v>2235</v>
      </c>
      <c r="O7" s="72" t="s">
        <v>2235</v>
      </c>
      <c r="P7" s="72" t="s">
        <v>2235</v>
      </c>
      <c r="Q7" s="72" t="s">
        <v>2235</v>
      </c>
      <c r="R7" s="487" t="s">
        <v>2235</v>
      </c>
      <c r="S7" s="1086"/>
      <c r="V7" s="71" t="s">
        <v>148</v>
      </c>
      <c r="W7" s="72" t="s">
        <v>2292</v>
      </c>
      <c r="X7" s="287"/>
      <c r="Y7" s="419">
        <v>0.75</v>
      </c>
      <c r="Z7" s="420">
        <v>32</v>
      </c>
      <c r="AA7" s="71">
        <v>4</v>
      </c>
      <c r="AB7" s="71" t="s">
        <v>2293</v>
      </c>
      <c r="AC7" s="71" t="s">
        <v>2288</v>
      </c>
      <c r="AD7" s="71" t="s">
        <v>2289</v>
      </c>
      <c r="AE7" s="71" t="s">
        <v>2290</v>
      </c>
    </row>
    <row r="8" spans="1:31" ht="19.899999999999999" customHeight="1">
      <c r="A8" s="3">
        <v>39401</v>
      </c>
      <c r="B8" s="3">
        <v>39800</v>
      </c>
      <c r="C8" s="11" t="s">
        <v>2279</v>
      </c>
      <c r="D8" s="1098"/>
      <c r="E8" s="3">
        <v>37001</v>
      </c>
      <c r="F8" s="3">
        <v>37800</v>
      </c>
      <c r="G8" s="11" t="s">
        <v>1592</v>
      </c>
      <c r="I8" s="5" t="s">
        <v>2282</v>
      </c>
      <c r="J8" s="5">
        <v>8</v>
      </c>
      <c r="K8" s="5" t="s">
        <v>398</v>
      </c>
      <c r="L8" s="5" t="str">
        <f t="shared" si="0"/>
        <v>C5SR</v>
      </c>
      <c r="M8" s="11" t="s">
        <v>2235</v>
      </c>
      <c r="N8" s="11" t="s">
        <v>2235</v>
      </c>
      <c r="O8" s="11" t="s">
        <v>2235</v>
      </c>
      <c r="P8" s="11" t="s">
        <v>2235</v>
      </c>
      <c r="Q8" s="11" t="s">
        <v>2235</v>
      </c>
      <c r="R8" s="486" t="s">
        <v>2235</v>
      </c>
      <c r="S8" s="1086"/>
      <c r="V8" s="5" t="s">
        <v>398</v>
      </c>
      <c r="W8" s="11" t="s">
        <v>2295</v>
      </c>
      <c r="X8" s="287"/>
      <c r="Y8" s="419">
        <v>1</v>
      </c>
      <c r="Z8" s="420">
        <v>32</v>
      </c>
      <c r="AA8" s="71">
        <v>4</v>
      </c>
      <c r="AB8" s="71" t="s">
        <v>2296</v>
      </c>
      <c r="AC8" s="71" t="s">
        <v>2297</v>
      </c>
      <c r="AD8" s="71" t="s">
        <v>2289</v>
      </c>
      <c r="AE8" s="71" t="s">
        <v>2290</v>
      </c>
    </row>
    <row r="9" spans="1:31" ht="19.899999999999999" customHeight="1">
      <c r="A9" s="3">
        <v>39801</v>
      </c>
      <c r="B9" s="3">
        <v>40200</v>
      </c>
      <c r="C9" s="11" t="s">
        <v>2279</v>
      </c>
      <c r="D9" s="1098"/>
      <c r="E9" s="3">
        <v>37801</v>
      </c>
      <c r="F9" s="3">
        <v>38400</v>
      </c>
      <c r="G9" s="11" t="s">
        <v>1592</v>
      </c>
      <c r="I9" s="128" t="s">
        <v>2235</v>
      </c>
      <c r="K9" s="75" t="s">
        <v>181</v>
      </c>
      <c r="L9" s="75" t="str">
        <f t="shared" si="0"/>
        <v>C5SR</v>
      </c>
      <c r="M9" s="65" t="str">
        <f t="shared" ref="M9" si="3">M8</f>
        <v>N.D.</v>
      </c>
      <c r="N9" s="65" t="str">
        <f t="shared" ref="N9:R9" si="4">N8</f>
        <v>N.D.</v>
      </c>
      <c r="O9" s="65" t="str">
        <f t="shared" si="4"/>
        <v>N.D.</v>
      </c>
      <c r="P9" s="65" t="str">
        <f t="shared" si="4"/>
        <v>N.D.</v>
      </c>
      <c r="Q9" s="65" t="str">
        <f t="shared" si="4"/>
        <v>N.D.</v>
      </c>
      <c r="R9" s="489" t="str">
        <f t="shared" si="4"/>
        <v>N.D.</v>
      </c>
      <c r="S9" s="1086"/>
      <c r="V9" s="75" t="s">
        <v>181</v>
      </c>
      <c r="W9" s="65" t="s">
        <v>2295</v>
      </c>
      <c r="X9" s="287"/>
      <c r="Y9" s="419">
        <v>1</v>
      </c>
      <c r="Z9" s="420">
        <v>32</v>
      </c>
      <c r="AA9" s="71">
        <v>4</v>
      </c>
      <c r="AB9" s="71" t="s">
        <v>2296</v>
      </c>
      <c r="AC9" s="71" t="s">
        <v>2297</v>
      </c>
      <c r="AD9" s="71" t="s">
        <v>2289</v>
      </c>
      <c r="AE9" s="71" t="s">
        <v>2290</v>
      </c>
    </row>
    <row r="10" spans="1:31" ht="19.899999999999999" customHeight="1">
      <c r="A10" s="3">
        <v>40201</v>
      </c>
      <c r="B10" s="3">
        <v>60400</v>
      </c>
      <c r="C10" s="11" t="s">
        <v>2279</v>
      </c>
      <c r="D10" s="1098"/>
      <c r="E10" s="3">
        <v>38401</v>
      </c>
      <c r="F10" s="3">
        <v>39000</v>
      </c>
      <c r="G10" s="11" t="s">
        <v>1592</v>
      </c>
      <c r="I10" s="1095" t="s">
        <v>2277</v>
      </c>
      <c r="J10" s="1096"/>
      <c r="K10" s="5" t="s">
        <v>232</v>
      </c>
      <c r="L10" s="5" t="str">
        <f t="shared" si="0"/>
        <v>C5SR</v>
      </c>
      <c r="M10" s="11" t="s">
        <v>2235</v>
      </c>
      <c r="N10" s="11" t="s">
        <v>2235</v>
      </c>
      <c r="O10" s="11" t="s">
        <v>2235</v>
      </c>
      <c r="P10" s="11" t="s">
        <v>2235</v>
      </c>
      <c r="Q10" s="11" t="s">
        <v>2235</v>
      </c>
      <c r="R10" s="486" t="s">
        <v>2235</v>
      </c>
      <c r="S10" s="1086"/>
      <c r="V10" s="5" t="s">
        <v>232</v>
      </c>
      <c r="W10" s="11" t="s">
        <v>2295</v>
      </c>
      <c r="X10" s="287"/>
      <c r="Y10" s="419">
        <v>1</v>
      </c>
      <c r="Z10" s="420">
        <v>32</v>
      </c>
      <c r="AA10" s="71">
        <v>4</v>
      </c>
      <c r="AB10" s="71" t="s">
        <v>2296</v>
      </c>
      <c r="AC10" s="71" t="s">
        <v>2297</v>
      </c>
      <c r="AD10" s="71" t="s">
        <v>2289</v>
      </c>
      <c r="AE10" s="71" t="s">
        <v>2290</v>
      </c>
    </row>
    <row r="11" spans="1:31" ht="19.899999999999999" customHeight="1">
      <c r="A11" s="3">
        <v>60401</v>
      </c>
      <c r="B11" s="3">
        <v>60800</v>
      </c>
      <c r="C11" s="11" t="s">
        <v>2279</v>
      </c>
      <c r="D11" s="1098"/>
      <c r="E11" s="3">
        <v>39001</v>
      </c>
      <c r="F11" s="3">
        <v>39300</v>
      </c>
      <c r="G11" s="11" t="s">
        <v>2294</v>
      </c>
      <c r="I11" s="5" t="s">
        <v>1592</v>
      </c>
      <c r="J11" s="5">
        <v>2</v>
      </c>
      <c r="K11" s="71" t="s">
        <v>1714</v>
      </c>
      <c r="L11" s="71" t="str">
        <f t="shared" si="0"/>
        <v>C7SR</v>
      </c>
      <c r="M11" s="72" t="s">
        <v>2235</v>
      </c>
      <c r="N11" s="72" t="s">
        <v>2235</v>
      </c>
      <c r="O11" s="72" t="s">
        <v>2235</v>
      </c>
      <c r="P11" s="72" t="s">
        <v>2235</v>
      </c>
      <c r="Q11" s="72" t="s">
        <v>2235</v>
      </c>
      <c r="R11" s="487" t="s">
        <v>2235</v>
      </c>
      <c r="S11" s="1086"/>
      <c r="V11" s="71" t="s">
        <v>1714</v>
      </c>
      <c r="W11" s="72" t="s">
        <v>2298</v>
      </c>
      <c r="X11" s="287"/>
      <c r="Y11" s="419">
        <v>1</v>
      </c>
      <c r="Z11" s="420">
        <v>40</v>
      </c>
      <c r="AA11" s="71">
        <v>4</v>
      </c>
      <c r="AB11" s="71" t="s">
        <v>2296</v>
      </c>
      <c r="AC11" s="71" t="s">
        <v>2297</v>
      </c>
      <c r="AD11" s="71" t="s">
        <v>2289</v>
      </c>
      <c r="AE11" s="71" t="s">
        <v>2290</v>
      </c>
    </row>
    <row r="12" spans="1:31" ht="19.899999999999999" customHeight="1">
      <c r="A12" s="3"/>
      <c r="B12" s="3"/>
      <c r="C12" s="11" t="s">
        <v>2235</v>
      </c>
      <c r="D12" s="1098"/>
      <c r="E12" s="3">
        <v>39301</v>
      </c>
      <c r="F12" s="3">
        <v>41000</v>
      </c>
      <c r="G12" s="11" t="s">
        <v>1592</v>
      </c>
      <c r="I12" s="5" t="s">
        <v>2294</v>
      </c>
      <c r="J12" s="5">
        <v>3</v>
      </c>
      <c r="K12" s="73" t="s">
        <v>2299</v>
      </c>
      <c r="L12" s="73" t="str">
        <f t="shared" si="0"/>
        <v>C7SR</v>
      </c>
      <c r="M12" s="74" t="str">
        <f t="shared" ref="M12" si="5">M11</f>
        <v>N.D.</v>
      </c>
      <c r="N12" s="74" t="str">
        <f t="shared" ref="N12:R12" si="6">N11</f>
        <v>N.D.</v>
      </c>
      <c r="O12" s="74" t="str">
        <f t="shared" si="6"/>
        <v>N.D.</v>
      </c>
      <c r="P12" s="74" t="str">
        <f t="shared" si="6"/>
        <v>N.D.</v>
      </c>
      <c r="Q12" s="74" t="str">
        <f t="shared" si="6"/>
        <v>N.D.</v>
      </c>
      <c r="R12" s="488" t="str">
        <f t="shared" si="6"/>
        <v>N.D.</v>
      </c>
      <c r="S12" s="1086"/>
      <c r="V12" s="73" t="s">
        <v>2299</v>
      </c>
      <c r="W12" s="74" t="s">
        <v>2298</v>
      </c>
      <c r="X12" s="421"/>
      <c r="Y12" s="419">
        <v>1</v>
      </c>
      <c r="Z12" s="420">
        <v>40</v>
      </c>
      <c r="AA12" s="71">
        <v>4</v>
      </c>
      <c r="AB12" s="71" t="s">
        <v>2296</v>
      </c>
      <c r="AC12" s="71" t="s">
        <v>2297</v>
      </c>
      <c r="AD12" s="71" t="s">
        <v>2289</v>
      </c>
      <c r="AE12" s="71" t="s">
        <v>2290</v>
      </c>
    </row>
    <row r="13" spans="1:31" ht="19.899999999999999" customHeight="1">
      <c r="A13" s="3"/>
      <c r="B13" s="3"/>
      <c r="C13" s="11" t="s">
        <v>2235</v>
      </c>
      <c r="D13" s="1098"/>
      <c r="E13" s="3">
        <v>41001</v>
      </c>
      <c r="F13" s="3">
        <v>43400</v>
      </c>
      <c r="G13" s="11" t="s">
        <v>1592</v>
      </c>
      <c r="I13" s="128" t="s">
        <v>2235</v>
      </c>
      <c r="K13" s="71" t="s">
        <v>562</v>
      </c>
      <c r="L13" s="71" t="str">
        <f t="shared" si="0"/>
        <v>C7SR</v>
      </c>
      <c r="M13" s="72" t="s">
        <v>2235</v>
      </c>
      <c r="N13" s="72" t="s">
        <v>2235</v>
      </c>
      <c r="O13" s="72" t="s">
        <v>2235</v>
      </c>
      <c r="P13" s="72" t="s">
        <v>2235</v>
      </c>
      <c r="Q13" s="72" t="s">
        <v>2235</v>
      </c>
      <c r="R13" s="487" t="s">
        <v>2235</v>
      </c>
      <c r="S13" s="1086"/>
      <c r="V13" s="71" t="s">
        <v>562</v>
      </c>
      <c r="W13" s="72" t="s">
        <v>2298</v>
      </c>
      <c r="X13" s="421"/>
      <c r="Y13" s="419">
        <v>1</v>
      </c>
      <c r="Z13" s="420">
        <v>40</v>
      </c>
      <c r="AA13" s="71">
        <v>4</v>
      </c>
      <c r="AB13" s="71" t="s">
        <v>2296</v>
      </c>
      <c r="AC13" s="71" t="s">
        <v>2297</v>
      </c>
      <c r="AD13" s="71" t="s">
        <v>2289</v>
      </c>
      <c r="AE13" s="71" t="s">
        <v>2290</v>
      </c>
    </row>
    <row r="14" spans="1:31" ht="19.899999999999999" customHeight="1">
      <c r="A14" s="3"/>
      <c r="B14" s="3"/>
      <c r="C14" s="11" t="s">
        <v>2235</v>
      </c>
      <c r="D14" s="1098"/>
      <c r="E14" s="3">
        <v>43401</v>
      </c>
      <c r="F14" s="3">
        <v>43600</v>
      </c>
      <c r="G14" s="11" t="s">
        <v>2294</v>
      </c>
      <c r="K14" s="71" t="s">
        <v>123</v>
      </c>
      <c r="L14" s="71" t="str">
        <f t="shared" si="0"/>
        <v>C9SR</v>
      </c>
      <c r="M14" s="72" t="s">
        <v>2235</v>
      </c>
      <c r="N14" s="72" t="s">
        <v>2235</v>
      </c>
      <c r="O14" s="72" t="s">
        <v>2235</v>
      </c>
      <c r="P14" s="72" t="s">
        <v>2235</v>
      </c>
      <c r="Q14" s="72" t="s">
        <v>2235</v>
      </c>
      <c r="R14" s="487" t="s">
        <v>2235</v>
      </c>
      <c r="S14" s="1086"/>
      <c r="V14" s="71" t="s">
        <v>123</v>
      </c>
      <c r="W14" s="72" t="s">
        <v>2300</v>
      </c>
      <c r="X14" s="421"/>
      <c r="Y14" s="419">
        <v>1</v>
      </c>
      <c r="Z14" s="420">
        <v>40</v>
      </c>
      <c r="AA14" s="71">
        <v>4</v>
      </c>
      <c r="AB14" s="71" t="s">
        <v>2296</v>
      </c>
      <c r="AC14" s="71" t="s">
        <v>2301</v>
      </c>
      <c r="AD14" s="71" t="s">
        <v>2302</v>
      </c>
      <c r="AE14" s="71" t="s">
        <v>2303</v>
      </c>
    </row>
    <row r="15" spans="1:31" ht="19.899999999999999" customHeight="1">
      <c r="A15" s="3"/>
      <c r="B15" s="3"/>
      <c r="C15" s="11" t="s">
        <v>2235</v>
      </c>
      <c r="D15" s="1098"/>
      <c r="E15" s="3">
        <v>43601</v>
      </c>
      <c r="F15" s="3">
        <v>45000</v>
      </c>
      <c r="G15" s="11" t="s">
        <v>1592</v>
      </c>
      <c r="K15" s="71" t="s">
        <v>268</v>
      </c>
      <c r="L15" s="71" t="str">
        <f t="shared" si="0"/>
        <v>C7SR</v>
      </c>
      <c r="M15" s="72" t="s">
        <v>2235</v>
      </c>
      <c r="N15" s="72" t="s">
        <v>2235</v>
      </c>
      <c r="O15" s="72" t="s">
        <v>2235</v>
      </c>
      <c r="P15" s="72" t="s">
        <v>2235</v>
      </c>
      <c r="Q15" s="72" t="s">
        <v>2235</v>
      </c>
      <c r="R15" s="487" t="s">
        <v>2235</v>
      </c>
      <c r="S15" s="1086"/>
      <c r="V15" s="71" t="s">
        <v>268</v>
      </c>
      <c r="W15" s="72" t="s">
        <v>2298</v>
      </c>
      <c r="X15" s="421"/>
      <c r="Y15" s="419">
        <v>1</v>
      </c>
      <c r="Z15" s="420">
        <v>40</v>
      </c>
      <c r="AA15" s="71">
        <v>4</v>
      </c>
      <c r="AB15" s="71" t="s">
        <v>2296</v>
      </c>
      <c r="AC15" s="71" t="s">
        <v>2297</v>
      </c>
      <c r="AD15" s="71" t="s">
        <v>2289</v>
      </c>
      <c r="AE15" s="71" t="s">
        <v>2290</v>
      </c>
    </row>
    <row r="16" spans="1:31" ht="19.899999999999999" customHeight="1">
      <c r="A16" s="3"/>
      <c r="B16" s="3"/>
      <c r="C16" s="11" t="s">
        <v>2235</v>
      </c>
      <c r="D16" s="1098"/>
      <c r="E16" s="3">
        <v>45001</v>
      </c>
      <c r="F16" s="3">
        <v>46000</v>
      </c>
      <c r="G16" s="11" t="s">
        <v>1592</v>
      </c>
      <c r="K16" s="71" t="s">
        <v>250</v>
      </c>
      <c r="L16" s="71" t="str">
        <f t="shared" si="0"/>
        <v>2C4SR</v>
      </c>
      <c r="M16" s="72" t="s">
        <v>2235</v>
      </c>
      <c r="N16" s="72" t="s">
        <v>2235</v>
      </c>
      <c r="O16" s="72" t="s">
        <v>2235</v>
      </c>
      <c r="P16" s="72" t="s">
        <v>2235</v>
      </c>
      <c r="Q16" s="72" t="s">
        <v>2235</v>
      </c>
      <c r="R16" s="487" t="s">
        <v>2235</v>
      </c>
      <c r="S16" s="1086"/>
      <c r="V16" s="71" t="s">
        <v>250</v>
      </c>
      <c r="W16" s="72" t="s">
        <v>2304</v>
      </c>
      <c r="X16" s="421"/>
      <c r="Y16" s="419">
        <v>1</v>
      </c>
      <c r="Z16" s="420">
        <v>32</v>
      </c>
      <c r="AA16" s="71">
        <v>6</v>
      </c>
      <c r="AB16" s="71" t="s">
        <v>2305</v>
      </c>
      <c r="AC16" s="71" t="s">
        <v>2301</v>
      </c>
      <c r="AD16" s="71" t="s">
        <v>2302</v>
      </c>
      <c r="AE16" s="71" t="s">
        <v>2306</v>
      </c>
    </row>
    <row r="17" spans="1:31" ht="19.899999999999999" customHeight="1">
      <c r="A17" s="3"/>
      <c r="B17" s="3"/>
      <c r="C17" s="11" t="s">
        <v>2235</v>
      </c>
      <c r="D17" s="1098"/>
      <c r="E17" s="3">
        <v>46001</v>
      </c>
      <c r="F17" s="3">
        <v>46250</v>
      </c>
      <c r="G17" s="11" t="s">
        <v>2294</v>
      </c>
      <c r="K17" s="5" t="s">
        <v>1862</v>
      </c>
      <c r="L17" s="5" t="str">
        <f t="shared" si="0"/>
        <v>C8SR</v>
      </c>
      <c r="M17" s="11" t="s">
        <v>2235</v>
      </c>
      <c r="N17" s="11" t="s">
        <v>2235</v>
      </c>
      <c r="O17" s="11" t="s">
        <v>2235</v>
      </c>
      <c r="P17" s="11" t="s">
        <v>2235</v>
      </c>
      <c r="Q17" s="11" t="s">
        <v>2235</v>
      </c>
      <c r="R17" s="486" t="s">
        <v>2235</v>
      </c>
      <c r="S17" s="1086"/>
      <c r="V17" s="5" t="s">
        <v>1862</v>
      </c>
      <c r="W17" s="11" t="s">
        <v>2307</v>
      </c>
      <c r="X17" s="421"/>
      <c r="Y17" s="419">
        <v>1.2</v>
      </c>
      <c r="Z17" s="420">
        <v>40</v>
      </c>
      <c r="AA17" s="71">
        <v>8</v>
      </c>
      <c r="AB17" s="71" t="s">
        <v>2308</v>
      </c>
      <c r="AC17" s="71" t="s">
        <v>2309</v>
      </c>
      <c r="AD17" s="71" t="s">
        <v>2302</v>
      </c>
      <c r="AE17" s="71" t="s">
        <v>2310</v>
      </c>
    </row>
    <row r="18" spans="1:31" ht="19.899999999999999" customHeight="1">
      <c r="A18" s="3"/>
      <c r="B18" s="3"/>
      <c r="C18" s="11" t="s">
        <v>2235</v>
      </c>
      <c r="D18" s="1098"/>
      <c r="E18" s="3">
        <v>46251</v>
      </c>
      <c r="F18" s="3">
        <v>47000</v>
      </c>
      <c r="G18" s="11" t="s">
        <v>1592</v>
      </c>
      <c r="K18" s="75" t="s">
        <v>1610</v>
      </c>
      <c r="L18" s="75" t="str">
        <f t="shared" si="0"/>
        <v>C8SR</v>
      </c>
      <c r="M18" s="65" t="str">
        <f t="shared" ref="M18" si="7">M17</f>
        <v>N.D.</v>
      </c>
      <c r="N18" s="65" t="str">
        <f t="shared" ref="N18:R18" si="8">N17</f>
        <v>N.D.</v>
      </c>
      <c r="O18" s="65" t="str">
        <f t="shared" si="8"/>
        <v>N.D.</v>
      </c>
      <c r="P18" s="65" t="str">
        <f t="shared" si="8"/>
        <v>N.D.</v>
      </c>
      <c r="Q18" s="65" t="str">
        <f t="shared" si="8"/>
        <v>N.D.</v>
      </c>
      <c r="R18" s="489" t="str">
        <f t="shared" si="8"/>
        <v>N.D.</v>
      </c>
      <c r="S18" s="1086"/>
      <c r="V18" s="75" t="s">
        <v>1610</v>
      </c>
      <c r="W18" s="65" t="s">
        <v>2307</v>
      </c>
      <c r="X18" s="421"/>
      <c r="Y18" s="419">
        <v>1.2</v>
      </c>
      <c r="Z18" s="420">
        <v>40</v>
      </c>
      <c r="AA18" s="71">
        <v>8</v>
      </c>
      <c r="AB18" s="71" t="s">
        <v>2308</v>
      </c>
      <c r="AC18" s="71" t="s">
        <v>2309</v>
      </c>
      <c r="AD18" s="71" t="s">
        <v>2302</v>
      </c>
      <c r="AE18" s="71" t="s">
        <v>2310</v>
      </c>
    </row>
    <row r="19" spans="1:31" ht="19.899999999999999" customHeight="1">
      <c r="A19" s="3"/>
      <c r="B19" s="3"/>
      <c r="C19" s="11" t="s">
        <v>2235</v>
      </c>
      <c r="D19" s="1098"/>
      <c r="E19" s="3">
        <v>47001</v>
      </c>
      <c r="F19" s="3">
        <v>47800</v>
      </c>
      <c r="G19" s="11" t="s">
        <v>1592</v>
      </c>
      <c r="K19" s="5" t="s">
        <v>2311</v>
      </c>
      <c r="L19" s="5" t="str">
        <f t="shared" si="0"/>
        <v>C8SR</v>
      </c>
      <c r="M19" s="11" t="s">
        <v>2235</v>
      </c>
      <c r="N19" s="11" t="s">
        <v>2235</v>
      </c>
      <c r="O19" s="11" t="s">
        <v>2235</v>
      </c>
      <c r="P19" s="11" t="s">
        <v>2235</v>
      </c>
      <c r="Q19" s="11" t="s">
        <v>2235</v>
      </c>
      <c r="R19" s="486" t="s">
        <v>2235</v>
      </c>
      <c r="S19" s="1086"/>
      <c r="V19" s="5" t="s">
        <v>2311</v>
      </c>
      <c r="W19" s="11" t="s">
        <v>2307</v>
      </c>
      <c r="X19" s="421"/>
      <c r="Y19" s="419">
        <v>1.2</v>
      </c>
      <c r="Z19" s="420">
        <v>40</v>
      </c>
      <c r="AA19" s="71">
        <v>8</v>
      </c>
      <c r="AB19" s="71" t="s">
        <v>2308</v>
      </c>
      <c r="AC19" s="71" t="s">
        <v>2309</v>
      </c>
      <c r="AD19" s="71" t="s">
        <v>2302</v>
      </c>
      <c r="AE19" s="71" t="s">
        <v>2310</v>
      </c>
    </row>
    <row r="20" spans="1:31" ht="19.899999999999999" customHeight="1">
      <c r="A20" s="3"/>
      <c r="B20" s="3"/>
      <c r="C20" s="11" t="s">
        <v>2235</v>
      </c>
      <c r="D20" s="1098"/>
      <c r="E20" s="3">
        <v>47801</v>
      </c>
      <c r="F20" s="3">
        <v>48250</v>
      </c>
      <c r="G20" s="11" t="s">
        <v>2294</v>
      </c>
      <c r="K20" s="71" t="s">
        <v>2039</v>
      </c>
      <c r="L20" s="71" t="str">
        <f t="shared" si="0"/>
        <v>C9SR</v>
      </c>
      <c r="M20" s="72" t="s">
        <v>2235</v>
      </c>
      <c r="N20" s="72" t="s">
        <v>2235</v>
      </c>
      <c r="O20" s="72" t="s">
        <v>2235</v>
      </c>
      <c r="P20" s="72" t="s">
        <v>2235</v>
      </c>
      <c r="Q20" s="72" t="s">
        <v>2235</v>
      </c>
      <c r="R20" s="487" t="s">
        <v>2235</v>
      </c>
      <c r="S20" s="1086"/>
      <c r="V20" s="71" t="s">
        <v>2039</v>
      </c>
      <c r="W20" s="72" t="s">
        <v>2300</v>
      </c>
      <c r="X20" s="421"/>
      <c r="Y20" s="419">
        <v>1</v>
      </c>
      <c r="Z20" s="420">
        <v>40</v>
      </c>
      <c r="AA20" s="71">
        <v>4</v>
      </c>
      <c r="AB20" s="71" t="s">
        <v>2296</v>
      </c>
      <c r="AC20" s="71" t="s">
        <v>2301</v>
      </c>
      <c r="AD20" s="71" t="s">
        <v>2302</v>
      </c>
      <c r="AE20" s="71" t="s">
        <v>2312</v>
      </c>
    </row>
    <row r="21" spans="1:31" ht="19.899999999999999" customHeight="1">
      <c r="A21" s="3"/>
      <c r="B21" s="3"/>
      <c r="C21" s="11" t="s">
        <v>2235</v>
      </c>
      <c r="D21" s="1098"/>
      <c r="E21" s="3">
        <v>48251</v>
      </c>
      <c r="F21" s="3">
        <v>48600</v>
      </c>
      <c r="G21" s="11" t="s">
        <v>1592</v>
      </c>
      <c r="K21" s="71" t="s">
        <v>2009</v>
      </c>
      <c r="L21" s="71" t="s">
        <v>2313</v>
      </c>
      <c r="M21" s="72" t="s">
        <v>2235</v>
      </c>
      <c r="N21" s="72" t="s">
        <v>2235</v>
      </c>
      <c r="O21" s="72" t="s">
        <v>2235</v>
      </c>
      <c r="P21" s="72" t="s">
        <v>2235</v>
      </c>
      <c r="Q21" s="72" t="s">
        <v>2235</v>
      </c>
      <c r="R21" s="487" t="s">
        <v>2235</v>
      </c>
      <c r="S21" s="1086"/>
      <c r="V21" s="71" t="s">
        <v>2009</v>
      </c>
      <c r="W21" s="72" t="s">
        <v>2295</v>
      </c>
      <c r="X21" s="421"/>
      <c r="Y21" s="419">
        <v>1</v>
      </c>
      <c r="Z21" s="420">
        <v>32</v>
      </c>
      <c r="AA21" s="71">
        <v>4</v>
      </c>
      <c r="AB21" s="71" t="s">
        <v>2296</v>
      </c>
      <c r="AC21" s="285" t="s">
        <v>2314</v>
      </c>
      <c r="AD21" s="285" t="s">
        <v>2315</v>
      </c>
      <c r="AE21" s="285" t="s">
        <v>2316</v>
      </c>
    </row>
    <row r="22" spans="1:31" ht="19.899999999999999" customHeight="1">
      <c r="A22" s="3"/>
      <c r="B22" s="3"/>
      <c r="C22" s="11" t="s">
        <v>2235</v>
      </c>
      <c r="D22" s="1098"/>
      <c r="E22" s="3">
        <v>48601</v>
      </c>
      <c r="F22" s="3">
        <v>49000</v>
      </c>
      <c r="G22" s="11" t="s">
        <v>2294</v>
      </c>
      <c r="K22" s="71" t="s">
        <v>142</v>
      </c>
      <c r="L22" s="71" t="str">
        <f t="shared" ref="L22:L37" si="9">VLOOKUP(K22,$V$4:$W$38,2,FALSE)</f>
        <v>C9SR</v>
      </c>
      <c r="M22" s="72" t="s">
        <v>2235</v>
      </c>
      <c r="N22" s="72" t="s">
        <v>2235</v>
      </c>
      <c r="O22" s="72" t="s">
        <v>2235</v>
      </c>
      <c r="P22" s="72" t="s">
        <v>2235</v>
      </c>
      <c r="Q22" s="72" t="s">
        <v>2235</v>
      </c>
      <c r="R22" s="487" t="s">
        <v>2235</v>
      </c>
      <c r="S22" s="1086"/>
      <c r="V22" s="71" t="s">
        <v>142</v>
      </c>
      <c r="W22" s="72" t="s">
        <v>2300</v>
      </c>
      <c r="X22" s="421"/>
      <c r="Y22" s="419">
        <v>1</v>
      </c>
      <c r="Z22" s="420">
        <v>40</v>
      </c>
      <c r="AA22" s="71">
        <v>4</v>
      </c>
      <c r="AB22" s="71" t="s">
        <v>2296</v>
      </c>
      <c r="AC22" s="71" t="s">
        <v>2301</v>
      </c>
      <c r="AD22" s="71" t="s">
        <v>2302</v>
      </c>
      <c r="AE22" s="71" t="s">
        <v>2303</v>
      </c>
    </row>
    <row r="23" spans="1:31" ht="19.899999999999999" customHeight="1">
      <c r="A23" s="3"/>
      <c r="B23" s="3"/>
      <c r="C23" s="11" t="s">
        <v>2235</v>
      </c>
      <c r="D23" s="1098"/>
      <c r="E23" s="3">
        <v>49001</v>
      </c>
      <c r="F23" s="3">
        <v>50000</v>
      </c>
      <c r="G23" s="11" t="s">
        <v>1592</v>
      </c>
      <c r="K23" s="71" t="s">
        <v>568</v>
      </c>
      <c r="L23" s="71" t="str">
        <f t="shared" si="9"/>
        <v>C9SR</v>
      </c>
      <c r="M23" s="72" t="s">
        <v>2235</v>
      </c>
      <c r="N23" s="72" t="s">
        <v>2235</v>
      </c>
      <c r="O23" s="72" t="s">
        <v>2235</v>
      </c>
      <c r="P23" s="72" t="s">
        <v>2235</v>
      </c>
      <c r="Q23" s="72" t="s">
        <v>2235</v>
      </c>
      <c r="R23" s="487" t="s">
        <v>2235</v>
      </c>
      <c r="S23" s="1086"/>
      <c r="V23" s="71" t="s">
        <v>568</v>
      </c>
      <c r="W23" s="72" t="s">
        <v>2300</v>
      </c>
      <c r="X23" s="288"/>
      <c r="Y23" s="419">
        <v>1</v>
      </c>
      <c r="Z23" s="420">
        <v>40</v>
      </c>
      <c r="AA23" s="71">
        <v>4</v>
      </c>
      <c r="AB23" s="71" t="s">
        <v>2296</v>
      </c>
      <c r="AC23" s="71" t="s">
        <v>2301</v>
      </c>
      <c r="AD23" s="71" t="s">
        <v>2302</v>
      </c>
      <c r="AE23" s="71" t="s">
        <v>2312</v>
      </c>
    </row>
    <row r="24" spans="1:31" ht="19.899999999999999" customHeight="1">
      <c r="A24" s="3"/>
      <c r="B24" s="3"/>
      <c r="C24" s="11" t="s">
        <v>2235</v>
      </c>
      <c r="D24" s="1098"/>
      <c r="E24" s="3">
        <v>50001</v>
      </c>
      <c r="F24" s="3">
        <v>50400</v>
      </c>
      <c r="G24" s="11" t="s">
        <v>1592</v>
      </c>
      <c r="K24" s="5" t="s">
        <v>1740</v>
      </c>
      <c r="L24" s="5" t="str">
        <f t="shared" si="9"/>
        <v>C10SR</v>
      </c>
      <c r="M24" s="11" t="s">
        <v>2235</v>
      </c>
      <c r="N24" s="11" t="s">
        <v>2235</v>
      </c>
      <c r="O24" s="11" t="s">
        <v>2235</v>
      </c>
      <c r="P24" s="11" t="s">
        <v>2235</v>
      </c>
      <c r="Q24" s="11" t="s">
        <v>2235</v>
      </c>
      <c r="R24" s="486" t="s">
        <v>2235</v>
      </c>
      <c r="S24" s="1086"/>
      <c r="V24" s="5" t="s">
        <v>1740</v>
      </c>
      <c r="W24" s="11" t="s">
        <v>2317</v>
      </c>
      <c r="X24" s="421"/>
      <c r="Y24" s="419">
        <v>1.2</v>
      </c>
      <c r="Z24" s="420">
        <v>40</v>
      </c>
      <c r="AA24" s="71">
        <v>4</v>
      </c>
      <c r="AB24" s="71" t="s">
        <v>2296</v>
      </c>
      <c r="AC24" s="71" t="s">
        <v>2309</v>
      </c>
      <c r="AD24" s="71" t="s">
        <v>2302</v>
      </c>
      <c r="AE24" s="71" t="s">
        <v>2318</v>
      </c>
    </row>
    <row r="25" spans="1:31" ht="19.899999999999999" customHeight="1">
      <c r="A25" s="3"/>
      <c r="B25" s="3"/>
      <c r="C25" s="11" t="s">
        <v>2235</v>
      </c>
      <c r="D25" s="1098"/>
      <c r="E25" s="3">
        <v>50401</v>
      </c>
      <c r="F25" s="3">
        <v>52800</v>
      </c>
      <c r="G25" s="11" t="s">
        <v>1592</v>
      </c>
      <c r="K25" s="71" t="s">
        <v>1408</v>
      </c>
      <c r="L25" s="71" t="str">
        <f t="shared" si="9"/>
        <v>C11SR</v>
      </c>
      <c r="M25" s="72" t="s">
        <v>2235</v>
      </c>
      <c r="N25" s="72" t="s">
        <v>2235</v>
      </c>
      <c r="O25" s="72" t="s">
        <v>2235</v>
      </c>
      <c r="P25" s="72" t="s">
        <v>2235</v>
      </c>
      <c r="Q25" s="72" t="s">
        <v>2235</v>
      </c>
      <c r="R25" s="487" t="s">
        <v>2235</v>
      </c>
      <c r="S25" s="1086"/>
      <c r="V25" s="71" t="s">
        <v>1408</v>
      </c>
      <c r="W25" s="72" t="s">
        <v>2319</v>
      </c>
      <c r="X25" s="421"/>
      <c r="Y25" s="419">
        <v>1.2</v>
      </c>
      <c r="Z25" s="420">
        <v>40</v>
      </c>
      <c r="AA25" s="71">
        <v>8</v>
      </c>
      <c r="AB25" s="286" t="s">
        <v>2320</v>
      </c>
      <c r="AC25" s="71" t="s">
        <v>2309</v>
      </c>
      <c r="AD25" s="71" t="s">
        <v>2302</v>
      </c>
      <c r="AE25" s="71" t="s">
        <v>2321</v>
      </c>
    </row>
    <row r="26" spans="1:31" ht="19.899999999999999" customHeight="1">
      <c r="A26" s="3"/>
      <c r="B26" s="3"/>
      <c r="C26" s="11" t="s">
        <v>2235</v>
      </c>
      <c r="D26" s="1098"/>
      <c r="E26" s="3">
        <v>52801</v>
      </c>
      <c r="F26" s="3">
        <v>53200</v>
      </c>
      <c r="G26" s="11" t="s">
        <v>1592</v>
      </c>
      <c r="K26" s="71" t="s">
        <v>455</v>
      </c>
      <c r="L26" s="71" t="str">
        <f t="shared" si="9"/>
        <v>C11SR</v>
      </c>
      <c r="M26" s="72" t="s">
        <v>2235</v>
      </c>
      <c r="N26" s="72" t="s">
        <v>2235</v>
      </c>
      <c r="O26" s="72" t="s">
        <v>2235</v>
      </c>
      <c r="P26" s="72" t="s">
        <v>2235</v>
      </c>
      <c r="Q26" s="72" t="s">
        <v>2235</v>
      </c>
      <c r="R26" s="487" t="s">
        <v>2235</v>
      </c>
      <c r="S26" s="1086"/>
      <c r="V26" s="71" t="s">
        <v>455</v>
      </c>
      <c r="W26" s="72" t="s">
        <v>2319</v>
      </c>
      <c r="X26" s="421"/>
      <c r="Y26" s="419">
        <v>1.2</v>
      </c>
      <c r="Z26" s="420">
        <v>40</v>
      </c>
      <c r="AA26" s="71">
        <v>8</v>
      </c>
      <c r="AB26" s="286" t="s">
        <v>2320</v>
      </c>
      <c r="AC26" s="71" t="s">
        <v>2309</v>
      </c>
      <c r="AD26" s="71" t="s">
        <v>2302</v>
      </c>
      <c r="AE26" s="71" t="s">
        <v>2321</v>
      </c>
    </row>
    <row r="27" spans="1:31" ht="19.899999999999999" customHeight="1">
      <c r="A27" s="3"/>
      <c r="B27" s="3"/>
      <c r="C27" s="11" t="s">
        <v>2235</v>
      </c>
      <c r="D27" s="1098"/>
      <c r="E27" s="3">
        <v>53201</v>
      </c>
      <c r="F27" s="3">
        <v>53800</v>
      </c>
      <c r="G27" s="11" t="s">
        <v>1592</v>
      </c>
      <c r="K27" s="5" t="s">
        <v>247</v>
      </c>
      <c r="L27" s="5" t="str">
        <f t="shared" si="9"/>
        <v>C12SR</v>
      </c>
      <c r="M27" s="11" t="s">
        <v>2235</v>
      </c>
      <c r="N27" s="11" t="s">
        <v>2235</v>
      </c>
      <c r="O27" s="11" t="s">
        <v>2235</v>
      </c>
      <c r="P27" s="11" t="s">
        <v>2235</v>
      </c>
      <c r="Q27" s="11" t="s">
        <v>2235</v>
      </c>
      <c r="R27" s="486" t="s">
        <v>2235</v>
      </c>
      <c r="S27" s="1086"/>
      <c r="V27" s="5" t="s">
        <v>247</v>
      </c>
      <c r="W27" s="11" t="s">
        <v>2322</v>
      </c>
      <c r="X27" s="421"/>
      <c r="Y27" s="419">
        <v>1.2</v>
      </c>
      <c r="Z27" s="420">
        <v>40</v>
      </c>
      <c r="AA27" s="71">
        <v>10</v>
      </c>
      <c r="AB27" s="71" t="s">
        <v>2323</v>
      </c>
      <c r="AC27" s="71" t="s">
        <v>2309</v>
      </c>
      <c r="AD27" s="71" t="s">
        <v>2302</v>
      </c>
      <c r="AE27" s="71" t="s">
        <v>2324</v>
      </c>
    </row>
    <row r="28" spans="1:31" ht="19.899999999999999" customHeight="1">
      <c r="A28" s="3"/>
      <c r="B28" s="3"/>
      <c r="C28" s="11" t="s">
        <v>2235</v>
      </c>
      <c r="D28" s="1098"/>
      <c r="E28" s="3">
        <v>53801</v>
      </c>
      <c r="F28" s="3">
        <v>54700</v>
      </c>
      <c r="G28" s="11" t="s">
        <v>2294</v>
      </c>
      <c r="K28" s="71" t="s">
        <v>2048</v>
      </c>
      <c r="L28" s="71" t="str">
        <f t="shared" si="9"/>
        <v>C13SR</v>
      </c>
      <c r="M28" s="72" t="s">
        <v>2235</v>
      </c>
      <c r="N28" s="72" t="s">
        <v>2235</v>
      </c>
      <c r="O28" s="72" t="s">
        <v>2235</v>
      </c>
      <c r="P28" s="72" t="s">
        <v>2235</v>
      </c>
      <c r="Q28" s="72" t="s">
        <v>2235</v>
      </c>
      <c r="R28" s="487" t="s">
        <v>2235</v>
      </c>
      <c r="S28" s="1086"/>
      <c r="V28" s="71" t="s">
        <v>2048</v>
      </c>
      <c r="W28" s="72" t="s">
        <v>2325</v>
      </c>
      <c r="X28" s="421"/>
      <c r="Y28" s="419">
        <v>1.2</v>
      </c>
      <c r="Z28" s="420">
        <v>40</v>
      </c>
      <c r="AA28" s="71">
        <v>12</v>
      </c>
      <c r="AB28" s="71" t="s">
        <v>2326</v>
      </c>
      <c r="AC28" s="71" t="s">
        <v>2309</v>
      </c>
      <c r="AD28" s="71" t="s">
        <v>2302</v>
      </c>
      <c r="AE28" s="71" t="s">
        <v>2327</v>
      </c>
    </row>
    <row r="29" spans="1:31" ht="19.899999999999999" customHeight="1">
      <c r="A29" s="3"/>
      <c r="B29" s="3"/>
      <c r="C29" s="11" t="s">
        <v>2235</v>
      </c>
      <c r="D29" s="1098"/>
      <c r="E29" s="3">
        <v>54701</v>
      </c>
      <c r="F29" s="3">
        <v>57250</v>
      </c>
      <c r="G29" s="11" t="s">
        <v>1592</v>
      </c>
      <c r="K29" s="5" t="s">
        <v>183</v>
      </c>
      <c r="L29" s="5" t="str">
        <f t="shared" si="9"/>
        <v>2C3SR</v>
      </c>
      <c r="M29" s="11" t="s">
        <v>2235</v>
      </c>
      <c r="N29" s="11" t="s">
        <v>2235</v>
      </c>
      <c r="O29" s="11" t="s">
        <v>2235</v>
      </c>
      <c r="P29" s="11" t="s">
        <v>2235</v>
      </c>
      <c r="Q29" s="11" t="s">
        <v>2235</v>
      </c>
      <c r="R29" s="486" t="s">
        <v>2235</v>
      </c>
      <c r="S29" s="1086"/>
      <c r="V29" s="5" t="s">
        <v>183</v>
      </c>
      <c r="W29" s="11" t="s">
        <v>2328</v>
      </c>
      <c r="X29" s="421"/>
      <c r="Y29" s="419">
        <v>1</v>
      </c>
      <c r="Z29" s="420">
        <v>25</v>
      </c>
      <c r="AA29" s="71">
        <v>6</v>
      </c>
      <c r="AB29" s="71" t="s">
        <v>2329</v>
      </c>
      <c r="AC29" s="71" t="s">
        <v>2297</v>
      </c>
      <c r="AD29" s="71" t="s">
        <v>2289</v>
      </c>
      <c r="AE29" s="71" t="s">
        <v>2330</v>
      </c>
    </row>
    <row r="30" spans="1:31" ht="19.899999999999999" customHeight="1">
      <c r="A30" s="3"/>
      <c r="B30" s="3"/>
      <c r="C30" s="11" t="s">
        <v>2235</v>
      </c>
      <c r="D30" s="1098"/>
      <c r="E30" s="3">
        <v>57251</v>
      </c>
      <c r="F30" s="3">
        <v>57900</v>
      </c>
      <c r="G30" s="11" t="s">
        <v>2294</v>
      </c>
      <c r="K30" s="5" t="s">
        <v>298</v>
      </c>
      <c r="L30" s="5" t="str">
        <f t="shared" si="9"/>
        <v>2C3SR</v>
      </c>
      <c r="M30" s="11" t="s">
        <v>2235</v>
      </c>
      <c r="N30" s="11" t="s">
        <v>2235</v>
      </c>
      <c r="O30" s="11" t="s">
        <v>2235</v>
      </c>
      <c r="P30" s="11" t="s">
        <v>2235</v>
      </c>
      <c r="Q30" s="11" t="s">
        <v>2235</v>
      </c>
      <c r="R30" s="486" t="s">
        <v>2235</v>
      </c>
      <c r="S30" s="1086"/>
      <c r="V30" s="5" t="s">
        <v>298</v>
      </c>
      <c r="W30" s="11" t="s">
        <v>2328</v>
      </c>
      <c r="X30" s="421"/>
      <c r="Y30" s="419">
        <v>1</v>
      </c>
      <c r="Z30" s="420">
        <v>25</v>
      </c>
      <c r="AA30" s="71">
        <v>6</v>
      </c>
      <c r="AB30" s="71" t="s">
        <v>2329</v>
      </c>
      <c r="AC30" s="71" t="s">
        <v>2297</v>
      </c>
      <c r="AD30" s="71" t="s">
        <v>2289</v>
      </c>
      <c r="AE30" s="71" t="s">
        <v>2330</v>
      </c>
    </row>
    <row r="31" spans="1:31" ht="19.899999999999999" customHeight="1">
      <c r="A31" s="3"/>
      <c r="B31" s="3"/>
      <c r="C31" s="11" t="s">
        <v>2235</v>
      </c>
      <c r="D31" s="1098"/>
      <c r="E31" s="3">
        <v>57901</v>
      </c>
      <c r="F31" s="3">
        <v>59000</v>
      </c>
      <c r="G31" s="11" t="s">
        <v>1592</v>
      </c>
      <c r="K31" s="71" t="s">
        <v>206</v>
      </c>
      <c r="L31" s="71" t="str">
        <f t="shared" si="9"/>
        <v>2C4SR</v>
      </c>
      <c r="M31" s="72" t="s">
        <v>2235</v>
      </c>
      <c r="N31" s="72" t="s">
        <v>2235</v>
      </c>
      <c r="O31" s="72" t="s">
        <v>2235</v>
      </c>
      <c r="P31" s="72" t="s">
        <v>2235</v>
      </c>
      <c r="Q31" s="72" t="s">
        <v>2235</v>
      </c>
      <c r="R31" s="487" t="s">
        <v>2235</v>
      </c>
      <c r="S31" s="1086"/>
      <c r="V31" s="71" t="s">
        <v>206</v>
      </c>
      <c r="W31" s="72" t="s">
        <v>2304</v>
      </c>
      <c r="X31" s="421"/>
      <c r="Y31" s="419">
        <v>1</v>
      </c>
      <c r="Z31" s="420">
        <v>32</v>
      </c>
      <c r="AA31" s="71">
        <v>6</v>
      </c>
      <c r="AB31" s="71" t="s">
        <v>2305</v>
      </c>
      <c r="AC31" s="71" t="s">
        <v>2301</v>
      </c>
      <c r="AD31" s="71" t="s">
        <v>2302</v>
      </c>
      <c r="AE31" s="71" t="s">
        <v>2331</v>
      </c>
    </row>
    <row r="32" spans="1:31" ht="19.899999999999999" customHeight="1">
      <c r="A32" s="3"/>
      <c r="B32" s="3"/>
      <c r="C32" s="11" t="s">
        <v>2235</v>
      </c>
      <c r="D32" s="1098"/>
      <c r="E32" s="3">
        <v>59001</v>
      </c>
      <c r="F32" s="3">
        <v>59800</v>
      </c>
      <c r="G32" s="11" t="s">
        <v>1592</v>
      </c>
      <c r="K32" s="71" t="s">
        <v>2332</v>
      </c>
      <c r="L32" s="71" t="str">
        <f t="shared" si="9"/>
        <v>2C4SR</v>
      </c>
      <c r="M32" s="72" t="s">
        <v>2235</v>
      </c>
      <c r="N32" s="72" t="s">
        <v>2235</v>
      </c>
      <c r="O32" s="72" t="s">
        <v>2235</v>
      </c>
      <c r="P32" s="72" t="s">
        <v>2235</v>
      </c>
      <c r="Q32" s="72" t="s">
        <v>2235</v>
      </c>
      <c r="R32" s="487" t="s">
        <v>2235</v>
      </c>
      <c r="S32" s="1086"/>
      <c r="V32" s="71" t="s">
        <v>2332</v>
      </c>
      <c r="W32" s="72" t="s">
        <v>2304</v>
      </c>
      <c r="X32" s="421"/>
      <c r="Y32" s="419">
        <v>1</v>
      </c>
      <c r="Z32" s="420">
        <v>32</v>
      </c>
      <c r="AA32" s="71">
        <v>6</v>
      </c>
      <c r="AB32" s="71" t="s">
        <v>2305</v>
      </c>
      <c r="AC32" s="71" t="s">
        <v>2301</v>
      </c>
      <c r="AD32" s="71" t="s">
        <v>2302</v>
      </c>
      <c r="AE32" s="71" t="s">
        <v>2331</v>
      </c>
    </row>
    <row r="33" spans="1:31" ht="19.899999999999999" customHeight="1">
      <c r="A33" s="3"/>
      <c r="B33" s="3"/>
      <c r="C33" s="11" t="s">
        <v>2235</v>
      </c>
      <c r="D33" s="1099"/>
      <c r="E33" s="3">
        <v>59801</v>
      </c>
      <c r="F33" s="3">
        <v>60000</v>
      </c>
      <c r="G33" s="11" t="s">
        <v>1592</v>
      </c>
      <c r="K33" s="5" t="s">
        <v>2333</v>
      </c>
      <c r="L33" s="5" t="str">
        <f t="shared" si="9"/>
        <v>2C7SR</v>
      </c>
      <c r="M33" s="11" t="s">
        <v>2235</v>
      </c>
      <c r="N33" s="11" t="s">
        <v>2235</v>
      </c>
      <c r="O33" s="11" t="s">
        <v>2235</v>
      </c>
      <c r="P33" s="11" t="s">
        <v>2235</v>
      </c>
      <c r="Q33" s="11" t="s">
        <v>2235</v>
      </c>
      <c r="R33" s="486" t="s">
        <v>2235</v>
      </c>
      <c r="S33" s="1086"/>
      <c r="V33" s="5" t="s">
        <v>2333</v>
      </c>
      <c r="W33" s="11" t="s">
        <v>2334</v>
      </c>
      <c r="X33" s="421"/>
      <c r="Y33" s="419"/>
      <c r="Z33" s="420">
        <v>40</v>
      </c>
      <c r="AA33" s="71">
        <v>8</v>
      </c>
      <c r="AB33" s="71" t="s">
        <v>2335</v>
      </c>
      <c r="AC33" s="285" t="s">
        <v>2314</v>
      </c>
      <c r="AD33" s="285" t="s">
        <v>2315</v>
      </c>
      <c r="AE33" s="285" t="s">
        <v>2316</v>
      </c>
    </row>
    <row r="34" spans="1:31" ht="19.899999999999999" customHeight="1">
      <c r="A34" s="3"/>
      <c r="B34" s="3"/>
      <c r="C34" s="11" t="s">
        <v>2235</v>
      </c>
      <c r="E34" s="3"/>
      <c r="F34" s="3"/>
      <c r="G34" s="11"/>
      <c r="K34" s="71" t="s">
        <v>2056</v>
      </c>
      <c r="L34" s="71" t="str">
        <f t="shared" si="9"/>
        <v>2C4FSR</v>
      </c>
      <c r="M34" s="72" t="s">
        <v>2235</v>
      </c>
      <c r="N34" s="72" t="s">
        <v>2235</v>
      </c>
      <c r="O34" s="72" t="s">
        <v>2235</v>
      </c>
      <c r="P34" s="72" t="s">
        <v>2235</v>
      </c>
      <c r="Q34" s="72" t="s">
        <v>2235</v>
      </c>
      <c r="R34" s="487" t="s">
        <v>2235</v>
      </c>
      <c r="S34" s="1086"/>
      <c r="V34" s="71" t="s">
        <v>2056</v>
      </c>
      <c r="W34" s="72" t="s">
        <v>2336</v>
      </c>
      <c r="X34" s="421"/>
      <c r="Y34" s="419">
        <v>1</v>
      </c>
      <c r="Z34" s="420">
        <v>32</v>
      </c>
      <c r="AA34" s="71">
        <v>6</v>
      </c>
      <c r="AB34" s="71" t="s">
        <v>2305</v>
      </c>
      <c r="AC34" s="71" t="s">
        <v>2297</v>
      </c>
      <c r="AD34" s="71" t="s">
        <v>2337</v>
      </c>
      <c r="AE34" s="71" t="s">
        <v>2338</v>
      </c>
    </row>
    <row r="35" spans="1:31" ht="19.899999999999999" customHeight="1">
      <c r="A35" s="3"/>
      <c r="B35" s="3"/>
      <c r="C35" s="11" t="s">
        <v>2235</v>
      </c>
      <c r="D35" s="1097" t="s">
        <v>2339</v>
      </c>
      <c r="E35" s="3">
        <v>30000</v>
      </c>
      <c r="F35" s="3">
        <v>32000</v>
      </c>
      <c r="G35" s="11" t="s">
        <v>1592</v>
      </c>
      <c r="K35" s="5" t="s">
        <v>2057</v>
      </c>
      <c r="L35" s="5" t="str">
        <f t="shared" si="9"/>
        <v>C12FSR</v>
      </c>
      <c r="M35" s="11" t="s">
        <v>2235</v>
      </c>
      <c r="N35" s="11" t="s">
        <v>2235</v>
      </c>
      <c r="O35" s="11" t="s">
        <v>2235</v>
      </c>
      <c r="P35" s="11" t="s">
        <v>2235</v>
      </c>
      <c r="Q35" s="11" t="s">
        <v>2235</v>
      </c>
      <c r="R35" s="486" t="s">
        <v>2235</v>
      </c>
      <c r="S35" s="1086"/>
      <c r="V35" s="5" t="s">
        <v>2057</v>
      </c>
      <c r="W35" s="11" t="s">
        <v>2340</v>
      </c>
      <c r="X35" s="421"/>
      <c r="Y35" s="419">
        <v>1.2</v>
      </c>
      <c r="Z35" s="420">
        <v>40</v>
      </c>
      <c r="AA35" s="71">
        <v>10</v>
      </c>
      <c r="AB35" s="71" t="s">
        <v>2341</v>
      </c>
      <c r="AC35" s="71" t="s">
        <v>2309</v>
      </c>
      <c r="AD35" s="71" t="s">
        <v>2337</v>
      </c>
      <c r="AE35" s="71" t="s">
        <v>2342</v>
      </c>
    </row>
    <row r="36" spans="1:31" ht="19.899999999999999" customHeight="1">
      <c r="A36" s="3"/>
      <c r="B36" s="3"/>
      <c r="C36" s="11" t="s">
        <v>2235</v>
      </c>
      <c r="D36" s="1098"/>
      <c r="E36" s="3">
        <v>32001</v>
      </c>
      <c r="F36" s="3">
        <v>32500</v>
      </c>
      <c r="G36" s="11" t="s">
        <v>1592</v>
      </c>
      <c r="K36" s="72" t="s">
        <v>117</v>
      </c>
      <c r="L36" s="72" t="str">
        <f t="shared" si="9"/>
        <v>AnMC-R</v>
      </c>
      <c r="M36" s="72" t="s">
        <v>2235</v>
      </c>
      <c r="N36" s="72" t="s">
        <v>2235</v>
      </c>
      <c r="O36" s="72" t="s">
        <v>2235</v>
      </c>
      <c r="P36" s="72" t="s">
        <v>2235</v>
      </c>
      <c r="Q36" s="72" t="s">
        <v>2235</v>
      </c>
      <c r="R36" s="487" t="s">
        <v>2235</v>
      </c>
      <c r="S36" s="1086"/>
      <c r="V36" s="72" t="s">
        <v>117</v>
      </c>
      <c r="W36" s="72" t="s">
        <v>117</v>
      </c>
      <c r="X36" s="421"/>
      <c r="Y36" s="419">
        <v>0.75</v>
      </c>
      <c r="Z36" s="420">
        <v>16</v>
      </c>
      <c r="AA36" s="71">
        <v>4</v>
      </c>
      <c r="AB36" s="71" t="s">
        <v>2343</v>
      </c>
      <c r="AC36" s="71" t="s">
        <v>2288</v>
      </c>
      <c r="AD36" s="71" t="s">
        <v>2289</v>
      </c>
      <c r="AE36" s="71" t="s">
        <v>2344</v>
      </c>
    </row>
    <row r="37" spans="1:31" ht="19.899999999999999" customHeight="1">
      <c r="A37" s="3"/>
      <c r="B37" s="3"/>
      <c r="C37" s="11" t="s">
        <v>2235</v>
      </c>
      <c r="D37" s="1098"/>
      <c r="E37" s="3">
        <v>32501</v>
      </c>
      <c r="F37" s="3">
        <v>36000</v>
      </c>
      <c r="G37" s="11" t="s">
        <v>1592</v>
      </c>
      <c r="K37" s="72" t="s">
        <v>166</v>
      </c>
      <c r="L37" s="72" t="str">
        <f t="shared" si="9"/>
        <v>AnM-R</v>
      </c>
      <c r="M37" s="72" t="s">
        <v>2235</v>
      </c>
      <c r="N37" s="72" t="s">
        <v>2235</v>
      </c>
      <c r="O37" s="72" t="s">
        <v>2235</v>
      </c>
      <c r="P37" s="72" t="s">
        <v>2235</v>
      </c>
      <c r="Q37" s="72" t="s">
        <v>2235</v>
      </c>
      <c r="R37" s="487" t="s">
        <v>2235</v>
      </c>
      <c r="S37" s="1086"/>
      <c r="V37" s="72" t="s">
        <v>166</v>
      </c>
      <c r="W37" s="72" t="s">
        <v>166</v>
      </c>
      <c r="X37" s="421"/>
      <c r="Y37" s="419">
        <v>0.75</v>
      </c>
      <c r="Z37" s="420">
        <v>16</v>
      </c>
      <c r="AA37" s="71">
        <v>4</v>
      </c>
      <c r="AB37" s="71" t="s">
        <v>2343</v>
      </c>
      <c r="AC37" s="71" t="s">
        <v>2288</v>
      </c>
      <c r="AD37" s="71" t="s">
        <v>2289</v>
      </c>
      <c r="AE37" s="71" t="s">
        <v>2344</v>
      </c>
    </row>
    <row r="38" spans="1:31" ht="19.899999999999999" customHeight="1">
      <c r="A38" s="3"/>
      <c r="B38" s="3"/>
      <c r="C38" s="11" t="s">
        <v>2235</v>
      </c>
      <c r="D38" s="1098"/>
      <c r="E38" s="3">
        <v>36001</v>
      </c>
      <c r="F38" s="3">
        <v>36200</v>
      </c>
      <c r="G38" s="11" t="s">
        <v>1592</v>
      </c>
      <c r="K38" s="14"/>
      <c r="L38" s="1093" t="s">
        <v>2345</v>
      </c>
      <c r="M38" s="1094"/>
      <c r="N38" s="1094"/>
      <c r="O38" s="1094"/>
      <c r="P38" s="1094"/>
      <c r="Q38" s="1094"/>
      <c r="R38" s="1094"/>
      <c r="S38" s="1086"/>
      <c r="V38" s="1092" t="s">
        <v>2345</v>
      </c>
      <c r="W38" s="1092"/>
      <c r="X38" s="1092"/>
    </row>
    <row r="39" spans="1:31" ht="19.899999999999999" customHeight="1">
      <c r="A39" s="3"/>
      <c r="B39" s="3"/>
      <c r="C39" s="11" t="s">
        <v>2235</v>
      </c>
      <c r="D39" s="1098"/>
      <c r="E39" s="3">
        <v>36201</v>
      </c>
      <c r="F39" s="3">
        <v>37000</v>
      </c>
      <c r="G39" s="11" t="s">
        <v>2294</v>
      </c>
      <c r="K39" s="422" t="s">
        <v>2278</v>
      </c>
      <c r="L39" s="422"/>
      <c r="M39" s="423" t="s">
        <v>2291</v>
      </c>
      <c r="N39" s="423" t="s">
        <v>2291</v>
      </c>
      <c r="O39" s="423" t="s">
        <v>2291</v>
      </c>
      <c r="P39" s="423" t="s">
        <v>2280</v>
      </c>
      <c r="Q39" s="423" t="s">
        <v>2281</v>
      </c>
      <c r="R39" s="490" t="s">
        <v>2282</v>
      </c>
      <c r="S39" s="1086"/>
      <c r="V39" s="422" t="s">
        <v>2278</v>
      </c>
      <c r="W39" s="153"/>
      <c r="X39" s="153" t="s">
        <v>2294</v>
      </c>
    </row>
    <row r="40" spans="1:31" ht="19.899999999999999" customHeight="1">
      <c r="A40" s="3"/>
      <c r="B40" s="3"/>
      <c r="C40" s="11" t="s">
        <v>2235</v>
      </c>
      <c r="D40" s="1098"/>
      <c r="E40" s="3">
        <v>37001</v>
      </c>
      <c r="F40" s="3">
        <v>37800</v>
      </c>
      <c r="G40" s="11" t="s">
        <v>1592</v>
      </c>
      <c r="K40" s="1080"/>
      <c r="L40" s="1081"/>
      <c r="M40" s="1081"/>
      <c r="N40" s="1081"/>
      <c r="O40" s="1081"/>
      <c r="P40" s="1081"/>
      <c r="Q40" s="1081"/>
      <c r="R40" s="1081"/>
      <c r="S40" s="1086"/>
      <c r="V40" s="1080"/>
      <c r="W40" s="1081"/>
      <c r="X40" s="1085"/>
    </row>
    <row r="41" spans="1:31" ht="19.899999999999999" customHeight="1">
      <c r="A41" s="3"/>
      <c r="B41" s="3"/>
      <c r="C41" s="11" t="s">
        <v>2235</v>
      </c>
      <c r="D41" s="1098"/>
      <c r="E41" s="3">
        <v>37801</v>
      </c>
      <c r="F41" s="3">
        <v>38400</v>
      </c>
      <c r="G41" s="11" t="s">
        <v>2294</v>
      </c>
      <c r="K41" s="5" t="s">
        <v>153</v>
      </c>
      <c r="L41" s="633" t="s">
        <v>2346</v>
      </c>
      <c r="M41" s="11" t="s">
        <v>2235</v>
      </c>
      <c r="N41" s="11" t="s">
        <v>2235</v>
      </c>
      <c r="O41" s="11" t="s">
        <v>2235</v>
      </c>
      <c r="P41" s="11" t="s">
        <v>2235</v>
      </c>
      <c r="Q41" s="11" t="s">
        <v>2235</v>
      </c>
      <c r="R41" s="486" t="s">
        <v>2235</v>
      </c>
      <c r="S41" s="1086"/>
      <c r="V41" s="5" t="s">
        <v>153</v>
      </c>
      <c r="W41" s="11"/>
      <c r="X41" s="5" t="s">
        <v>2346</v>
      </c>
    </row>
    <row r="42" spans="1:31" ht="19.899999999999999" customHeight="1">
      <c r="A42" s="3"/>
      <c r="B42" s="3"/>
      <c r="C42" s="11" t="s">
        <v>2235</v>
      </c>
      <c r="D42" s="1098"/>
      <c r="E42" s="3">
        <v>38401</v>
      </c>
      <c r="F42" s="3">
        <v>39000</v>
      </c>
      <c r="G42" s="11" t="s">
        <v>1592</v>
      </c>
      <c r="K42" s="71" t="s">
        <v>158</v>
      </c>
      <c r="L42" s="71" t="str">
        <f t="shared" ref="L42:L57" si="10">VLOOKUP(K42,$V$41:$X$78,3,FALSE)</f>
        <v>C4SRT</v>
      </c>
      <c r="M42" s="72" t="s">
        <v>2235</v>
      </c>
      <c r="N42" s="72" t="s">
        <v>2235</v>
      </c>
      <c r="O42" s="72" t="s">
        <v>2235</v>
      </c>
      <c r="P42" s="72" t="s">
        <v>2235</v>
      </c>
      <c r="Q42" s="72" t="s">
        <v>2235</v>
      </c>
      <c r="R42" s="487" t="s">
        <v>2235</v>
      </c>
      <c r="S42" s="1086"/>
      <c r="V42" s="71" t="s">
        <v>158</v>
      </c>
      <c r="W42" s="72"/>
      <c r="X42" s="71" t="s">
        <v>2346</v>
      </c>
    </row>
    <row r="43" spans="1:31" ht="19.899999999999999" customHeight="1">
      <c r="A43" s="3"/>
      <c r="B43" s="3"/>
      <c r="C43" s="11" t="s">
        <v>2235</v>
      </c>
      <c r="D43" s="1098"/>
      <c r="E43" s="3">
        <v>39001</v>
      </c>
      <c r="F43" s="3">
        <v>39300</v>
      </c>
      <c r="G43" s="11" t="s">
        <v>2294</v>
      </c>
      <c r="K43" s="73" t="s">
        <v>151</v>
      </c>
      <c r="L43" s="73" t="str">
        <f t="shared" si="10"/>
        <v>C4SRT</v>
      </c>
      <c r="M43" s="74" t="str">
        <f>M42</f>
        <v>N.D.</v>
      </c>
      <c r="N43" s="74" t="str">
        <f>N42</f>
        <v>N.D.</v>
      </c>
      <c r="O43" s="74" t="str">
        <f t="shared" ref="O43:R43" si="11">O42</f>
        <v>N.D.</v>
      </c>
      <c r="P43" s="74" t="str">
        <f t="shared" si="11"/>
        <v>N.D.</v>
      </c>
      <c r="Q43" s="74" t="str">
        <f t="shared" si="11"/>
        <v>N.D.</v>
      </c>
      <c r="R43" s="488" t="str">
        <f t="shared" si="11"/>
        <v>N.D.</v>
      </c>
      <c r="S43" s="1086"/>
      <c r="V43" s="73" t="s">
        <v>151</v>
      </c>
      <c r="W43" s="74"/>
      <c r="X43" s="73" t="s">
        <v>2346</v>
      </c>
    </row>
    <row r="44" spans="1:31" ht="19.899999999999999" customHeight="1">
      <c r="A44" s="3"/>
      <c r="B44" s="3"/>
      <c r="C44" s="11" t="s">
        <v>2235</v>
      </c>
      <c r="D44" s="1098"/>
      <c r="E44" s="3">
        <v>39301</v>
      </c>
      <c r="F44" s="3">
        <v>41000</v>
      </c>
      <c r="G44" s="11" t="s">
        <v>1592</v>
      </c>
      <c r="K44" s="71" t="s">
        <v>148</v>
      </c>
      <c r="L44" s="71" t="str">
        <f t="shared" si="10"/>
        <v>C4SRT</v>
      </c>
      <c r="M44" s="72" t="s">
        <v>2235</v>
      </c>
      <c r="N44" s="72" t="s">
        <v>2235</v>
      </c>
      <c r="O44" s="72" t="s">
        <v>2235</v>
      </c>
      <c r="P44" s="72" t="s">
        <v>2235</v>
      </c>
      <c r="Q44" s="72" t="s">
        <v>2235</v>
      </c>
      <c r="R44" s="487" t="s">
        <v>2235</v>
      </c>
      <c r="S44" s="1086"/>
      <c r="V44" s="71" t="s">
        <v>148</v>
      </c>
      <c r="W44" s="74"/>
      <c r="X44" s="71" t="s">
        <v>2346</v>
      </c>
    </row>
    <row r="45" spans="1:31" ht="19.899999999999999" customHeight="1">
      <c r="A45" s="3"/>
      <c r="B45" s="3"/>
      <c r="C45" s="11" t="s">
        <v>2235</v>
      </c>
      <c r="D45" s="1098"/>
      <c r="E45" s="3">
        <v>41001</v>
      </c>
      <c r="F45" s="3">
        <v>43400</v>
      </c>
      <c r="G45" s="11" t="s">
        <v>1592</v>
      </c>
      <c r="K45" s="5" t="s">
        <v>398</v>
      </c>
      <c r="L45" s="5" t="str">
        <f t="shared" si="10"/>
        <v>C5SRT</v>
      </c>
      <c r="M45" s="11" t="s">
        <v>2235</v>
      </c>
      <c r="N45" s="11" t="s">
        <v>2235</v>
      </c>
      <c r="O45" s="11" t="s">
        <v>2235</v>
      </c>
      <c r="P45" s="11" t="s">
        <v>2235</v>
      </c>
      <c r="Q45" s="11" t="s">
        <v>2235</v>
      </c>
      <c r="R45" s="486" t="s">
        <v>2235</v>
      </c>
      <c r="S45" s="1086"/>
      <c r="V45" s="5" t="s">
        <v>398</v>
      </c>
      <c r="W45" s="11"/>
      <c r="X45" s="5" t="s">
        <v>2347</v>
      </c>
    </row>
    <row r="46" spans="1:31" ht="19.899999999999999" customHeight="1">
      <c r="A46" s="3"/>
      <c r="B46" s="3"/>
      <c r="C46" s="11" t="s">
        <v>2235</v>
      </c>
      <c r="D46" s="1098"/>
      <c r="E46" s="3">
        <v>43401</v>
      </c>
      <c r="F46" s="3">
        <v>43600</v>
      </c>
      <c r="G46" s="11" t="s">
        <v>2294</v>
      </c>
      <c r="K46" s="75" t="s">
        <v>181</v>
      </c>
      <c r="L46" s="75" t="str">
        <f t="shared" si="10"/>
        <v>C5SRT</v>
      </c>
      <c r="M46" s="65" t="str">
        <f t="shared" ref="M46" si="12">M45</f>
        <v>N.D.</v>
      </c>
      <c r="N46" s="65" t="str">
        <f t="shared" ref="N46:R46" si="13">N45</f>
        <v>N.D.</v>
      </c>
      <c r="O46" s="65" t="str">
        <f t="shared" si="13"/>
        <v>N.D.</v>
      </c>
      <c r="P46" s="65" t="str">
        <f t="shared" si="13"/>
        <v>N.D.</v>
      </c>
      <c r="Q46" s="65" t="str">
        <f t="shared" si="13"/>
        <v>N.D.</v>
      </c>
      <c r="R46" s="489" t="str">
        <f t="shared" si="13"/>
        <v>N.D.</v>
      </c>
      <c r="S46" s="1086"/>
      <c r="V46" s="75" t="s">
        <v>181</v>
      </c>
      <c r="W46" s="65"/>
      <c r="X46" s="75" t="s">
        <v>2347</v>
      </c>
    </row>
    <row r="47" spans="1:31" ht="19.899999999999999" customHeight="1">
      <c r="A47" s="3"/>
      <c r="B47" s="3"/>
      <c r="C47" s="11" t="s">
        <v>2235</v>
      </c>
      <c r="D47" s="1098"/>
      <c r="E47" s="3">
        <v>43601</v>
      </c>
      <c r="F47" s="3">
        <v>45000</v>
      </c>
      <c r="G47" s="11" t="s">
        <v>1592</v>
      </c>
      <c r="K47" s="5" t="s">
        <v>232</v>
      </c>
      <c r="L47" s="5" t="str">
        <f t="shared" si="10"/>
        <v>C5SRT</v>
      </c>
      <c r="M47" s="11" t="s">
        <v>2235</v>
      </c>
      <c r="N47" s="11" t="s">
        <v>2235</v>
      </c>
      <c r="O47" s="11" t="s">
        <v>2235</v>
      </c>
      <c r="P47" s="11" t="s">
        <v>2235</v>
      </c>
      <c r="Q47" s="11" t="s">
        <v>2235</v>
      </c>
      <c r="R47" s="486" t="s">
        <v>2235</v>
      </c>
      <c r="S47" s="1086"/>
      <c r="V47" s="5" t="s">
        <v>232</v>
      </c>
      <c r="W47" s="11"/>
      <c r="X47" s="5" t="s">
        <v>2347</v>
      </c>
    </row>
    <row r="48" spans="1:31" ht="19.899999999999999" customHeight="1">
      <c r="A48" s="3"/>
      <c r="B48" s="3"/>
      <c r="C48" s="11" t="s">
        <v>2235</v>
      </c>
      <c r="D48" s="1098"/>
      <c r="E48" s="3">
        <v>45001</v>
      </c>
      <c r="F48" s="3">
        <v>46000</v>
      </c>
      <c r="G48" s="11" t="s">
        <v>1592</v>
      </c>
      <c r="K48" s="71" t="s">
        <v>1714</v>
      </c>
      <c r="L48" s="71" t="str">
        <f t="shared" si="10"/>
        <v>C7SRT</v>
      </c>
      <c r="M48" s="72" t="s">
        <v>2235</v>
      </c>
      <c r="N48" s="72" t="s">
        <v>2235</v>
      </c>
      <c r="O48" s="72" t="s">
        <v>2235</v>
      </c>
      <c r="P48" s="72" t="s">
        <v>2235</v>
      </c>
      <c r="Q48" s="72" t="s">
        <v>2235</v>
      </c>
      <c r="R48" s="487" t="s">
        <v>2235</v>
      </c>
      <c r="S48" s="1086"/>
      <c r="V48" s="71" t="s">
        <v>1714</v>
      </c>
      <c r="W48" s="72"/>
      <c r="X48" s="71" t="s">
        <v>2348</v>
      </c>
    </row>
    <row r="49" spans="1:24" ht="19.899999999999999" customHeight="1">
      <c r="A49" s="3"/>
      <c r="B49" s="3"/>
      <c r="C49" s="11" t="s">
        <v>2235</v>
      </c>
      <c r="D49" s="1098"/>
      <c r="E49" s="3">
        <v>46001</v>
      </c>
      <c r="F49" s="3">
        <v>46250</v>
      </c>
      <c r="G49" s="11" t="s">
        <v>2294</v>
      </c>
      <c r="K49" s="73" t="s">
        <v>2299</v>
      </c>
      <c r="L49" s="73" t="str">
        <f t="shared" si="10"/>
        <v>C7SRT</v>
      </c>
      <c r="M49" s="74" t="str">
        <f t="shared" ref="M49" si="14">M48</f>
        <v>N.D.</v>
      </c>
      <c r="N49" s="74" t="str">
        <f t="shared" ref="N49:R49" si="15">N48</f>
        <v>N.D.</v>
      </c>
      <c r="O49" s="74" t="str">
        <f t="shared" si="15"/>
        <v>N.D.</v>
      </c>
      <c r="P49" s="74" t="str">
        <f t="shared" si="15"/>
        <v>N.D.</v>
      </c>
      <c r="Q49" s="74" t="str">
        <f t="shared" si="15"/>
        <v>N.D.</v>
      </c>
      <c r="R49" s="488" t="str">
        <f t="shared" si="15"/>
        <v>N.D.</v>
      </c>
      <c r="S49" s="1086"/>
      <c r="V49" s="73" t="s">
        <v>2299</v>
      </c>
      <c r="W49" s="74"/>
      <c r="X49" s="73" t="s">
        <v>2348</v>
      </c>
    </row>
    <row r="50" spans="1:24" ht="19.899999999999999" customHeight="1">
      <c r="A50" s="3"/>
      <c r="B50" s="3"/>
      <c r="C50" s="11" t="s">
        <v>2235</v>
      </c>
      <c r="D50" s="1098"/>
      <c r="E50" s="3">
        <v>46251</v>
      </c>
      <c r="F50" s="3">
        <v>47000</v>
      </c>
      <c r="G50" s="11" t="s">
        <v>1592</v>
      </c>
      <c r="K50" s="71" t="s">
        <v>562</v>
      </c>
      <c r="L50" s="71" t="str">
        <f t="shared" si="10"/>
        <v>C7SRT</v>
      </c>
      <c r="M50" s="72" t="s">
        <v>2235</v>
      </c>
      <c r="N50" s="72" t="s">
        <v>2235</v>
      </c>
      <c r="O50" s="72" t="s">
        <v>2235</v>
      </c>
      <c r="P50" s="72" t="s">
        <v>2235</v>
      </c>
      <c r="Q50" s="72" t="s">
        <v>2235</v>
      </c>
      <c r="R50" s="487" t="s">
        <v>2235</v>
      </c>
      <c r="S50" s="1086"/>
      <c r="V50" s="71" t="s">
        <v>562</v>
      </c>
      <c r="W50" s="72"/>
      <c r="X50" s="71" t="s">
        <v>2348</v>
      </c>
    </row>
    <row r="51" spans="1:24" ht="19.899999999999999" customHeight="1">
      <c r="A51" s="3"/>
      <c r="B51" s="3"/>
      <c r="C51" s="11" t="s">
        <v>2235</v>
      </c>
      <c r="D51" s="1098"/>
      <c r="E51" s="3">
        <v>47001</v>
      </c>
      <c r="F51" s="3">
        <v>47800</v>
      </c>
      <c r="G51" s="11" t="s">
        <v>1592</v>
      </c>
      <c r="K51" s="71" t="s">
        <v>123</v>
      </c>
      <c r="L51" s="71" t="str">
        <f t="shared" si="10"/>
        <v>C9SRT</v>
      </c>
      <c r="M51" s="72" t="s">
        <v>2235</v>
      </c>
      <c r="N51" s="72" t="s">
        <v>2235</v>
      </c>
      <c r="O51" s="72" t="s">
        <v>2235</v>
      </c>
      <c r="P51" s="72" t="s">
        <v>2235</v>
      </c>
      <c r="Q51" s="72" t="s">
        <v>2235</v>
      </c>
      <c r="R51" s="487" t="s">
        <v>2235</v>
      </c>
      <c r="S51" s="1086"/>
      <c r="V51" s="71" t="s">
        <v>123</v>
      </c>
      <c r="W51" s="72"/>
      <c r="X51" s="71" t="s">
        <v>2349</v>
      </c>
    </row>
    <row r="52" spans="1:24" ht="19.899999999999999" customHeight="1">
      <c r="A52" s="3"/>
      <c r="B52" s="3"/>
      <c r="C52" s="11" t="s">
        <v>2235</v>
      </c>
      <c r="D52" s="1098"/>
      <c r="E52" s="3">
        <v>47801</v>
      </c>
      <c r="F52" s="3">
        <v>48250</v>
      </c>
      <c r="G52" s="11" t="s">
        <v>2294</v>
      </c>
      <c r="K52" s="71" t="s">
        <v>268</v>
      </c>
      <c r="L52" s="71" t="str">
        <f t="shared" si="10"/>
        <v>C7SRT</v>
      </c>
      <c r="M52" s="72" t="s">
        <v>2235</v>
      </c>
      <c r="N52" s="72" t="s">
        <v>2235</v>
      </c>
      <c r="O52" s="72" t="s">
        <v>2235</v>
      </c>
      <c r="P52" s="72" t="s">
        <v>2235</v>
      </c>
      <c r="Q52" s="72" t="s">
        <v>2235</v>
      </c>
      <c r="R52" s="487" t="s">
        <v>2235</v>
      </c>
      <c r="S52" s="1086"/>
      <c r="V52" s="71" t="s">
        <v>268</v>
      </c>
      <c r="W52" s="72"/>
      <c r="X52" s="71" t="s">
        <v>2348</v>
      </c>
    </row>
    <row r="53" spans="1:24" ht="19.899999999999999" customHeight="1">
      <c r="A53" s="3"/>
      <c r="B53" s="3"/>
      <c r="C53" s="11" t="s">
        <v>2235</v>
      </c>
      <c r="D53" s="1098"/>
      <c r="E53" s="3">
        <v>48251</v>
      </c>
      <c r="F53" s="3">
        <v>48600</v>
      </c>
      <c r="G53" s="11" t="s">
        <v>1592</v>
      </c>
      <c r="K53" s="71" t="s">
        <v>250</v>
      </c>
      <c r="L53" s="71" t="str">
        <f t="shared" si="10"/>
        <v>2C4SRT</v>
      </c>
      <c r="M53" s="72" t="s">
        <v>2235</v>
      </c>
      <c r="N53" s="72" t="s">
        <v>2235</v>
      </c>
      <c r="O53" s="72" t="s">
        <v>2235</v>
      </c>
      <c r="P53" s="72" t="s">
        <v>2235</v>
      </c>
      <c r="Q53" s="72" t="s">
        <v>2235</v>
      </c>
      <c r="R53" s="487" t="s">
        <v>2235</v>
      </c>
      <c r="S53" s="1086"/>
      <c r="V53" s="71" t="s">
        <v>250</v>
      </c>
      <c r="W53" s="74"/>
      <c r="X53" s="71" t="s">
        <v>2350</v>
      </c>
    </row>
    <row r="54" spans="1:24" ht="19.899999999999999" customHeight="1">
      <c r="A54" s="3"/>
      <c r="B54" s="3"/>
      <c r="C54" s="11" t="s">
        <v>2235</v>
      </c>
      <c r="D54" s="1098"/>
      <c r="E54" s="3">
        <v>48601</v>
      </c>
      <c r="F54" s="3">
        <v>49000</v>
      </c>
      <c r="G54" s="11" t="s">
        <v>2294</v>
      </c>
      <c r="K54" s="5" t="s">
        <v>1862</v>
      </c>
      <c r="L54" s="5" t="str">
        <f t="shared" si="10"/>
        <v>C8SRT</v>
      </c>
      <c r="M54" s="11" t="s">
        <v>2235</v>
      </c>
      <c r="N54" s="11" t="s">
        <v>2235</v>
      </c>
      <c r="O54" s="11" t="s">
        <v>2235</v>
      </c>
      <c r="P54" s="11" t="s">
        <v>2235</v>
      </c>
      <c r="Q54" s="11" t="s">
        <v>2235</v>
      </c>
      <c r="R54" s="486" t="s">
        <v>2235</v>
      </c>
      <c r="S54" s="1086"/>
      <c r="V54" s="5" t="s">
        <v>1862</v>
      </c>
      <c r="W54" s="11"/>
      <c r="X54" s="5" t="s">
        <v>2351</v>
      </c>
    </row>
    <row r="55" spans="1:24" ht="19.899999999999999" customHeight="1">
      <c r="A55" s="3"/>
      <c r="B55" s="3"/>
      <c r="C55" s="11" t="s">
        <v>2235</v>
      </c>
      <c r="D55" s="1098"/>
      <c r="E55" s="3">
        <v>49001</v>
      </c>
      <c r="F55" s="3">
        <v>50000</v>
      </c>
      <c r="G55" s="11" t="s">
        <v>1592</v>
      </c>
      <c r="K55" s="75" t="s">
        <v>1610</v>
      </c>
      <c r="L55" s="75" t="str">
        <f t="shared" si="10"/>
        <v>C8SRT</v>
      </c>
      <c r="M55" s="65" t="str">
        <f t="shared" ref="M55" si="16">M54</f>
        <v>N.D.</v>
      </c>
      <c r="N55" s="65" t="str">
        <f t="shared" ref="N55:R55" si="17">N54</f>
        <v>N.D.</v>
      </c>
      <c r="O55" s="65" t="str">
        <f t="shared" si="17"/>
        <v>N.D.</v>
      </c>
      <c r="P55" s="65" t="str">
        <f t="shared" si="17"/>
        <v>N.D.</v>
      </c>
      <c r="Q55" s="65" t="str">
        <f t="shared" si="17"/>
        <v>N.D.</v>
      </c>
      <c r="R55" s="489" t="str">
        <f t="shared" si="17"/>
        <v>N.D.</v>
      </c>
      <c r="S55" s="1086"/>
      <c r="V55" s="75" t="s">
        <v>1610</v>
      </c>
      <c r="W55" s="65"/>
      <c r="X55" s="75" t="s">
        <v>2351</v>
      </c>
    </row>
    <row r="56" spans="1:24" ht="19.899999999999999" customHeight="1">
      <c r="A56" s="3"/>
      <c r="B56" s="3"/>
      <c r="C56" s="11" t="s">
        <v>2235</v>
      </c>
      <c r="D56" s="1098"/>
      <c r="E56" s="3">
        <v>50001</v>
      </c>
      <c r="F56" s="3">
        <v>50400</v>
      </c>
      <c r="G56" s="11" t="s">
        <v>2294</v>
      </c>
      <c r="K56" s="5" t="s">
        <v>2311</v>
      </c>
      <c r="L56" s="5" t="str">
        <f t="shared" si="10"/>
        <v>C8SRT</v>
      </c>
      <c r="M56" s="11" t="s">
        <v>2235</v>
      </c>
      <c r="N56" s="11" t="s">
        <v>2235</v>
      </c>
      <c r="O56" s="11" t="s">
        <v>2235</v>
      </c>
      <c r="P56" s="11" t="s">
        <v>2235</v>
      </c>
      <c r="Q56" s="11" t="s">
        <v>2235</v>
      </c>
      <c r="R56" s="486" t="s">
        <v>2235</v>
      </c>
      <c r="S56" s="1086"/>
      <c r="V56" s="5" t="s">
        <v>2311</v>
      </c>
      <c r="W56" s="65"/>
      <c r="X56" s="5" t="s">
        <v>2351</v>
      </c>
    </row>
    <row r="57" spans="1:24" ht="19.899999999999999" customHeight="1">
      <c r="A57" s="3"/>
      <c r="B57" s="3"/>
      <c r="C57" s="11" t="s">
        <v>2235</v>
      </c>
      <c r="D57" s="1098"/>
      <c r="E57" s="3">
        <v>50401</v>
      </c>
      <c r="F57" s="3">
        <v>52800</v>
      </c>
      <c r="G57" s="11" t="s">
        <v>1592</v>
      </c>
      <c r="K57" s="71" t="s">
        <v>2039</v>
      </c>
      <c r="L57" s="71" t="str">
        <f t="shared" si="10"/>
        <v>C9SRT</v>
      </c>
      <c r="M57" s="72" t="s">
        <v>2235</v>
      </c>
      <c r="N57" s="72" t="s">
        <v>2235</v>
      </c>
      <c r="O57" s="72" t="s">
        <v>2235</v>
      </c>
      <c r="P57" s="72" t="s">
        <v>2235</v>
      </c>
      <c r="Q57" s="72" t="s">
        <v>2235</v>
      </c>
      <c r="R57" s="487" t="s">
        <v>2235</v>
      </c>
      <c r="S57" s="1086"/>
      <c r="V57" s="71" t="s">
        <v>2039</v>
      </c>
      <c r="W57" s="72"/>
      <c r="X57" s="71" t="s">
        <v>2349</v>
      </c>
    </row>
    <row r="58" spans="1:24" ht="19.899999999999999" customHeight="1">
      <c r="A58" s="3"/>
      <c r="B58" s="3"/>
      <c r="C58" s="11" t="s">
        <v>2235</v>
      </c>
      <c r="D58" s="1098"/>
      <c r="E58" s="3">
        <v>52801</v>
      </c>
      <c r="F58" s="3">
        <v>53200</v>
      </c>
      <c r="G58" s="11" t="s">
        <v>2294</v>
      </c>
      <c r="K58" s="71" t="s">
        <v>2009</v>
      </c>
      <c r="L58" s="71" t="s">
        <v>2352</v>
      </c>
      <c r="M58" s="72" t="s">
        <v>2235</v>
      </c>
      <c r="N58" s="72" t="s">
        <v>2235</v>
      </c>
      <c r="O58" s="72" t="s">
        <v>2235</v>
      </c>
      <c r="P58" s="72" t="s">
        <v>2235</v>
      </c>
      <c r="Q58" s="72" t="s">
        <v>2235</v>
      </c>
      <c r="R58" s="487" t="s">
        <v>2235</v>
      </c>
      <c r="S58" s="1086"/>
      <c r="V58" s="71" t="s">
        <v>2009</v>
      </c>
      <c r="W58" s="72"/>
      <c r="X58" s="71" t="s">
        <v>2347</v>
      </c>
    </row>
    <row r="59" spans="1:24" ht="19.899999999999999" customHeight="1">
      <c r="A59" s="3"/>
      <c r="B59" s="3"/>
      <c r="C59" s="11" t="s">
        <v>2235</v>
      </c>
      <c r="D59" s="1098"/>
      <c r="E59" s="3">
        <v>53201</v>
      </c>
      <c r="F59" s="3">
        <v>53800</v>
      </c>
      <c r="G59" s="11" t="s">
        <v>1592</v>
      </c>
      <c r="K59" s="71" t="s">
        <v>142</v>
      </c>
      <c r="L59" s="71" t="str">
        <f t="shared" ref="L59:L74" si="18">VLOOKUP(K59,$V$41:$X$78,3,FALSE)</f>
        <v>C9SRT</v>
      </c>
      <c r="M59" s="72" t="s">
        <v>2235</v>
      </c>
      <c r="N59" s="72" t="s">
        <v>2235</v>
      </c>
      <c r="O59" s="72" t="s">
        <v>2235</v>
      </c>
      <c r="P59" s="72" t="s">
        <v>2235</v>
      </c>
      <c r="Q59" s="72" t="s">
        <v>2235</v>
      </c>
      <c r="R59" s="487" t="s">
        <v>2235</v>
      </c>
      <c r="S59" s="1086"/>
      <c r="V59" s="71" t="s">
        <v>142</v>
      </c>
      <c r="W59" s="72"/>
      <c r="X59" s="71" t="s">
        <v>2349</v>
      </c>
    </row>
    <row r="60" spans="1:24" ht="19.899999999999999" customHeight="1">
      <c r="A60" s="3"/>
      <c r="B60" s="3"/>
      <c r="C60" s="11" t="s">
        <v>2235</v>
      </c>
      <c r="D60" s="1098"/>
      <c r="E60" s="3">
        <v>53801</v>
      </c>
      <c r="F60" s="3">
        <v>54700</v>
      </c>
      <c r="G60" s="11" t="s">
        <v>2294</v>
      </c>
      <c r="K60" s="71" t="s">
        <v>568</v>
      </c>
      <c r="L60" s="71" t="str">
        <f t="shared" si="18"/>
        <v>C9SRT</v>
      </c>
      <c r="M60" s="72" t="s">
        <v>2235</v>
      </c>
      <c r="N60" s="72" t="s">
        <v>2235</v>
      </c>
      <c r="O60" s="72" t="s">
        <v>2235</v>
      </c>
      <c r="P60" s="72" t="s">
        <v>2235</v>
      </c>
      <c r="Q60" s="72" t="s">
        <v>2235</v>
      </c>
      <c r="R60" s="487" t="s">
        <v>2235</v>
      </c>
      <c r="S60" s="1086"/>
      <c r="V60" s="71" t="s">
        <v>568</v>
      </c>
      <c r="W60" s="72"/>
      <c r="X60" s="71" t="s">
        <v>2349</v>
      </c>
    </row>
    <row r="61" spans="1:24" ht="19.899999999999999" customHeight="1">
      <c r="A61" s="3"/>
      <c r="B61" s="3"/>
      <c r="C61" s="11" t="s">
        <v>2235</v>
      </c>
      <c r="D61" s="1098"/>
      <c r="E61" s="3">
        <v>54701</v>
      </c>
      <c r="F61" s="3">
        <v>57250</v>
      </c>
      <c r="G61" s="11" t="s">
        <v>1592</v>
      </c>
      <c r="K61" s="5" t="s">
        <v>1740</v>
      </c>
      <c r="L61" s="5" t="str">
        <f t="shared" si="18"/>
        <v>C10SRT</v>
      </c>
      <c r="M61" s="11" t="s">
        <v>2235</v>
      </c>
      <c r="N61" s="11" t="s">
        <v>2235</v>
      </c>
      <c r="O61" s="11" t="s">
        <v>2235</v>
      </c>
      <c r="P61" s="11" t="s">
        <v>2235</v>
      </c>
      <c r="Q61" s="11" t="s">
        <v>2235</v>
      </c>
      <c r="R61" s="486" t="s">
        <v>2235</v>
      </c>
      <c r="S61" s="1086"/>
      <c r="V61" s="5" t="s">
        <v>1740</v>
      </c>
      <c r="W61" s="11"/>
      <c r="X61" s="5" t="s">
        <v>2353</v>
      </c>
    </row>
    <row r="62" spans="1:24" ht="19.899999999999999" customHeight="1">
      <c r="A62" s="3"/>
      <c r="B62" s="3"/>
      <c r="C62" s="11" t="s">
        <v>2235</v>
      </c>
      <c r="D62" s="1098"/>
      <c r="E62" s="3">
        <v>57251</v>
      </c>
      <c r="F62" s="3">
        <v>57900</v>
      </c>
      <c r="G62" s="11" t="s">
        <v>2294</v>
      </c>
      <c r="K62" s="71" t="s">
        <v>1408</v>
      </c>
      <c r="L62" s="71" t="str">
        <f t="shared" si="18"/>
        <v>C11SRT</v>
      </c>
      <c r="M62" s="72" t="s">
        <v>2235</v>
      </c>
      <c r="N62" s="72" t="s">
        <v>2235</v>
      </c>
      <c r="O62" s="72" t="s">
        <v>2235</v>
      </c>
      <c r="P62" s="72" t="s">
        <v>2235</v>
      </c>
      <c r="Q62" s="72" t="s">
        <v>2235</v>
      </c>
      <c r="R62" s="487" t="s">
        <v>2235</v>
      </c>
      <c r="S62" s="1086"/>
      <c r="V62" s="71" t="s">
        <v>1408</v>
      </c>
      <c r="W62" s="72"/>
      <c r="X62" s="71" t="s">
        <v>2354</v>
      </c>
    </row>
    <row r="63" spans="1:24" ht="19.899999999999999" customHeight="1">
      <c r="A63" s="3"/>
      <c r="B63" s="3"/>
      <c r="C63" s="11" t="s">
        <v>2235</v>
      </c>
      <c r="D63" s="1098"/>
      <c r="E63" s="3">
        <v>57901</v>
      </c>
      <c r="F63" s="3">
        <v>59000</v>
      </c>
      <c r="G63" s="11" t="s">
        <v>1592</v>
      </c>
      <c r="K63" s="71" t="s">
        <v>455</v>
      </c>
      <c r="L63" s="71" t="str">
        <f t="shared" si="18"/>
        <v>C11SRT</v>
      </c>
      <c r="M63" s="72" t="s">
        <v>2235</v>
      </c>
      <c r="N63" s="72" t="s">
        <v>2235</v>
      </c>
      <c r="O63" s="72" t="s">
        <v>2235</v>
      </c>
      <c r="P63" s="72" t="s">
        <v>2235</v>
      </c>
      <c r="Q63" s="72" t="s">
        <v>2235</v>
      </c>
      <c r="R63" s="487" t="s">
        <v>2235</v>
      </c>
      <c r="S63" s="1086"/>
      <c r="V63" s="71" t="s">
        <v>455</v>
      </c>
      <c r="W63" s="72"/>
      <c r="X63" s="71" t="s">
        <v>2354</v>
      </c>
    </row>
    <row r="64" spans="1:24" ht="19.899999999999999" customHeight="1">
      <c r="A64" s="3"/>
      <c r="B64" s="3"/>
      <c r="C64" s="11" t="s">
        <v>2235</v>
      </c>
      <c r="D64" s="1098"/>
      <c r="E64" s="3">
        <v>59001</v>
      </c>
      <c r="F64" s="3">
        <v>59800</v>
      </c>
      <c r="G64" s="11" t="s">
        <v>1592</v>
      </c>
      <c r="K64" s="5" t="s">
        <v>247</v>
      </c>
      <c r="L64" s="5" t="str">
        <f t="shared" si="18"/>
        <v>C12SRT</v>
      </c>
      <c r="M64" s="11" t="s">
        <v>2235</v>
      </c>
      <c r="N64" s="11" t="s">
        <v>2235</v>
      </c>
      <c r="O64" s="11" t="s">
        <v>2235</v>
      </c>
      <c r="P64" s="11" t="s">
        <v>2235</v>
      </c>
      <c r="Q64" s="11" t="s">
        <v>2235</v>
      </c>
      <c r="R64" s="486" t="s">
        <v>2235</v>
      </c>
      <c r="S64" s="1086"/>
      <c r="V64" s="5" t="s">
        <v>247</v>
      </c>
      <c r="W64" s="11"/>
      <c r="X64" s="5" t="s">
        <v>2355</v>
      </c>
    </row>
    <row r="65" spans="1:24" ht="19.899999999999999" customHeight="1">
      <c r="A65" s="3"/>
      <c r="B65" s="3"/>
      <c r="C65" s="11" t="s">
        <v>2235</v>
      </c>
      <c r="D65" s="1099"/>
      <c r="E65" s="3">
        <v>59801</v>
      </c>
      <c r="F65" s="3">
        <v>60000</v>
      </c>
      <c r="G65" s="11" t="s">
        <v>2294</v>
      </c>
      <c r="K65" s="71" t="s">
        <v>2048</v>
      </c>
      <c r="L65" s="71" t="str">
        <f t="shared" si="18"/>
        <v>C13SRT</v>
      </c>
      <c r="M65" s="72" t="s">
        <v>2235</v>
      </c>
      <c r="N65" s="72" t="s">
        <v>2235</v>
      </c>
      <c r="O65" s="72" t="s">
        <v>2235</v>
      </c>
      <c r="P65" s="72" t="s">
        <v>2235</v>
      </c>
      <c r="Q65" s="72" t="s">
        <v>2235</v>
      </c>
      <c r="R65" s="487" t="s">
        <v>2235</v>
      </c>
      <c r="S65" s="1086"/>
      <c r="V65" s="71" t="s">
        <v>2048</v>
      </c>
      <c r="W65" s="72"/>
      <c r="X65" s="71" t="s">
        <v>2356</v>
      </c>
    </row>
    <row r="66" spans="1:24" ht="19.899999999999999" customHeight="1">
      <c r="A66" s="3"/>
      <c r="B66" s="3"/>
      <c r="C66" s="11" t="s">
        <v>2235</v>
      </c>
      <c r="E66" s="3"/>
      <c r="F66" s="3"/>
      <c r="G66" s="11" t="s">
        <v>2235</v>
      </c>
      <c r="K66" s="5" t="s">
        <v>183</v>
      </c>
      <c r="L66" s="5" t="str">
        <f t="shared" si="18"/>
        <v>2C3SRT</v>
      </c>
      <c r="M66" s="11" t="s">
        <v>2235</v>
      </c>
      <c r="N66" s="11" t="s">
        <v>2235</v>
      </c>
      <c r="O66" s="11" t="s">
        <v>2235</v>
      </c>
      <c r="P66" s="11" t="s">
        <v>2235</v>
      </c>
      <c r="Q66" s="11" t="s">
        <v>2235</v>
      </c>
      <c r="R66" s="486" t="s">
        <v>2235</v>
      </c>
      <c r="S66" s="1086"/>
      <c r="V66" s="5" t="s">
        <v>183</v>
      </c>
      <c r="W66" s="11"/>
      <c r="X66" s="5" t="s">
        <v>2357</v>
      </c>
    </row>
    <row r="67" spans="1:24" ht="19.899999999999999" customHeight="1">
      <c r="A67" s="3"/>
      <c r="B67" s="3"/>
      <c r="C67" s="11" t="s">
        <v>2235</v>
      </c>
      <c r="E67" s="3"/>
      <c r="F67" s="3"/>
      <c r="G67" s="11" t="s">
        <v>2235</v>
      </c>
      <c r="K67" s="5" t="s">
        <v>298</v>
      </c>
      <c r="L67" s="5" t="str">
        <f t="shared" si="18"/>
        <v>2C3SRT</v>
      </c>
      <c r="M67" s="11" t="s">
        <v>2235</v>
      </c>
      <c r="N67" s="11" t="s">
        <v>2235</v>
      </c>
      <c r="O67" s="11" t="s">
        <v>2235</v>
      </c>
      <c r="P67" s="11" t="s">
        <v>2235</v>
      </c>
      <c r="Q67" s="11" t="s">
        <v>2235</v>
      </c>
      <c r="R67" s="486" t="s">
        <v>2235</v>
      </c>
      <c r="S67" s="1086"/>
      <c r="V67" s="5" t="s">
        <v>298</v>
      </c>
      <c r="W67" s="65"/>
      <c r="X67" s="5" t="s">
        <v>2357</v>
      </c>
    </row>
    <row r="68" spans="1:24" ht="19.899999999999999" customHeight="1">
      <c r="A68" s="3"/>
      <c r="B68" s="3"/>
      <c r="C68" s="11" t="s">
        <v>2235</v>
      </c>
      <c r="E68" s="3"/>
      <c r="F68" s="3"/>
      <c r="G68" s="11" t="s">
        <v>2235</v>
      </c>
      <c r="K68" s="71" t="s">
        <v>206</v>
      </c>
      <c r="L68" s="71" t="str">
        <f t="shared" si="18"/>
        <v>2C4SRT</v>
      </c>
      <c r="M68" s="72" t="s">
        <v>2235</v>
      </c>
      <c r="N68" s="72" t="s">
        <v>2235</v>
      </c>
      <c r="O68" s="72" t="str">
        <f t="shared" ref="O68:R69" si="19">O67</f>
        <v>N.D.</v>
      </c>
      <c r="P68" s="72" t="s">
        <v>2235</v>
      </c>
      <c r="Q68" s="72" t="str">
        <f t="shared" si="19"/>
        <v>N.D.</v>
      </c>
      <c r="R68" s="487" t="str">
        <f t="shared" si="19"/>
        <v>N.D.</v>
      </c>
      <c r="S68" s="1086"/>
      <c r="V68" s="71" t="s">
        <v>206</v>
      </c>
      <c r="W68" s="72"/>
      <c r="X68" s="71" t="s">
        <v>2350</v>
      </c>
    </row>
    <row r="69" spans="1:24" ht="19.899999999999999" customHeight="1">
      <c r="A69" s="3"/>
      <c r="B69" s="3"/>
      <c r="C69" s="11" t="s">
        <v>2235</v>
      </c>
      <c r="E69" s="3"/>
      <c r="F69" s="3"/>
      <c r="G69" s="11" t="s">
        <v>2235</v>
      </c>
      <c r="K69" s="71" t="s">
        <v>2332</v>
      </c>
      <c r="L69" s="71" t="str">
        <f t="shared" si="18"/>
        <v>2C4SRT</v>
      </c>
      <c r="M69" s="72" t="str">
        <f>M68</f>
        <v>N.D.</v>
      </c>
      <c r="N69" s="72" t="str">
        <f>N68</f>
        <v>N.D.</v>
      </c>
      <c r="O69" s="72" t="str">
        <f t="shared" si="19"/>
        <v>N.D.</v>
      </c>
      <c r="P69" s="72" t="str">
        <f t="shared" si="19"/>
        <v>N.D.</v>
      </c>
      <c r="Q69" s="72" t="str">
        <f t="shared" si="19"/>
        <v>N.D.</v>
      </c>
      <c r="R69" s="487" t="str">
        <f t="shared" si="19"/>
        <v>N.D.</v>
      </c>
      <c r="S69" s="1086"/>
      <c r="V69" s="71" t="s">
        <v>2332</v>
      </c>
      <c r="W69" s="72"/>
      <c r="X69" s="71" t="s">
        <v>2350</v>
      </c>
    </row>
    <row r="70" spans="1:24" ht="19.899999999999999" customHeight="1">
      <c r="A70" s="3"/>
      <c r="B70" s="3"/>
      <c r="C70" s="11" t="s">
        <v>2235</v>
      </c>
      <c r="E70" s="3"/>
      <c r="F70" s="3"/>
      <c r="G70" s="11" t="s">
        <v>2235</v>
      </c>
      <c r="K70" s="5" t="s">
        <v>2333</v>
      </c>
      <c r="L70" s="5" t="str">
        <f t="shared" si="18"/>
        <v>2C7SRT</v>
      </c>
      <c r="M70" s="11" t="s">
        <v>2235</v>
      </c>
      <c r="N70" s="11" t="s">
        <v>2235</v>
      </c>
      <c r="O70" s="11" t="s">
        <v>2235</v>
      </c>
      <c r="P70" s="11" t="s">
        <v>2235</v>
      </c>
      <c r="Q70" s="11" t="s">
        <v>2235</v>
      </c>
      <c r="R70" s="486" t="s">
        <v>2235</v>
      </c>
      <c r="S70" s="1086"/>
      <c r="V70" s="5" t="s">
        <v>2333</v>
      </c>
      <c r="W70" s="11"/>
      <c r="X70" s="5" t="s">
        <v>2358</v>
      </c>
    </row>
    <row r="71" spans="1:24" ht="19.899999999999999" customHeight="1">
      <c r="A71" s="3"/>
      <c r="B71" s="3"/>
      <c r="C71" s="11" t="s">
        <v>2235</v>
      </c>
      <c r="E71" s="3"/>
      <c r="F71" s="3"/>
      <c r="G71" s="11" t="s">
        <v>2235</v>
      </c>
      <c r="K71" s="71" t="s">
        <v>2056</v>
      </c>
      <c r="L71" s="71" t="str">
        <f t="shared" si="18"/>
        <v>2C4FSRT</v>
      </c>
      <c r="M71" s="72" t="s">
        <v>2235</v>
      </c>
      <c r="N71" s="72" t="s">
        <v>2235</v>
      </c>
      <c r="O71" s="72" t="s">
        <v>2235</v>
      </c>
      <c r="P71" s="72" t="s">
        <v>2235</v>
      </c>
      <c r="Q71" s="72" t="s">
        <v>2235</v>
      </c>
      <c r="R71" s="487" t="s">
        <v>2235</v>
      </c>
      <c r="S71" s="1086"/>
      <c r="V71" s="71" t="s">
        <v>2056</v>
      </c>
      <c r="W71" s="72"/>
      <c r="X71" s="71" t="s">
        <v>2359</v>
      </c>
    </row>
    <row r="72" spans="1:24" ht="19.899999999999999" customHeight="1">
      <c r="A72" s="3"/>
      <c r="B72" s="3"/>
      <c r="C72" s="11" t="s">
        <v>2235</v>
      </c>
      <c r="E72" s="3"/>
      <c r="F72" s="3"/>
      <c r="G72" s="11" t="s">
        <v>2235</v>
      </c>
      <c r="K72" s="5" t="s">
        <v>2057</v>
      </c>
      <c r="L72" s="5" t="str">
        <f t="shared" si="18"/>
        <v>C12FSRT</v>
      </c>
      <c r="M72" s="11" t="s">
        <v>2235</v>
      </c>
      <c r="N72" s="11" t="s">
        <v>2235</v>
      </c>
      <c r="O72" s="11" t="s">
        <v>2235</v>
      </c>
      <c r="P72" s="11" t="s">
        <v>2235</v>
      </c>
      <c r="Q72" s="11" t="s">
        <v>2235</v>
      </c>
      <c r="R72" s="486" t="s">
        <v>2235</v>
      </c>
      <c r="S72" s="1086"/>
      <c r="V72" s="5" t="s">
        <v>2057</v>
      </c>
      <c r="W72" s="11"/>
      <c r="X72" s="5" t="s">
        <v>2360</v>
      </c>
    </row>
    <row r="73" spans="1:24" ht="19.899999999999999" customHeight="1">
      <c r="A73" s="3"/>
      <c r="B73" s="3"/>
      <c r="C73" s="11" t="s">
        <v>2235</v>
      </c>
      <c r="E73" s="3"/>
      <c r="F73" s="3"/>
      <c r="G73" s="11" t="s">
        <v>2235</v>
      </c>
      <c r="K73" s="72" t="s">
        <v>315</v>
      </c>
      <c r="L73" s="72" t="str">
        <f t="shared" si="18"/>
        <v>AnMC-RT</v>
      </c>
      <c r="M73" s="72" t="s">
        <v>2235</v>
      </c>
      <c r="N73" s="72" t="s">
        <v>2235</v>
      </c>
      <c r="O73" s="72" t="s">
        <v>2235</v>
      </c>
      <c r="P73" s="72" t="s">
        <v>2235</v>
      </c>
      <c r="Q73" s="72" t="s">
        <v>2235</v>
      </c>
      <c r="R73" s="487" t="s">
        <v>2235</v>
      </c>
      <c r="S73" s="1086"/>
      <c r="V73" s="72" t="s">
        <v>315</v>
      </c>
      <c r="W73" s="72"/>
      <c r="X73" s="72" t="s">
        <v>315</v>
      </c>
    </row>
    <row r="74" spans="1:24" ht="19.899999999999999" customHeight="1">
      <c r="A74" s="3"/>
      <c r="B74" s="3"/>
      <c r="C74" s="11" t="s">
        <v>2235</v>
      </c>
      <c r="E74" s="3"/>
      <c r="F74" s="3"/>
      <c r="G74" s="11" t="s">
        <v>2235</v>
      </c>
      <c r="K74" s="72" t="s">
        <v>324</v>
      </c>
      <c r="L74" s="72" t="str">
        <f t="shared" si="18"/>
        <v>AnM-RT</v>
      </c>
      <c r="M74" s="72" t="s">
        <v>2235</v>
      </c>
      <c r="N74" s="72" t="s">
        <v>2235</v>
      </c>
      <c r="O74" s="72" t="s">
        <v>2235</v>
      </c>
      <c r="P74" s="72" t="s">
        <v>2235</v>
      </c>
      <c r="Q74" s="72" t="s">
        <v>2235</v>
      </c>
      <c r="R74" s="487" t="s">
        <v>2235</v>
      </c>
      <c r="S74" s="1086"/>
      <c r="V74" s="72" t="s">
        <v>324</v>
      </c>
      <c r="W74" s="72"/>
      <c r="X74" s="72" t="s">
        <v>324</v>
      </c>
    </row>
    <row r="75" spans="1:24" ht="19.899999999999999" customHeight="1">
      <c r="A75" s="3"/>
      <c r="B75" s="3"/>
      <c r="C75" s="11" t="s">
        <v>2235</v>
      </c>
      <c r="E75" s="3"/>
      <c r="F75" s="3"/>
      <c r="G75" s="11" t="s">
        <v>2235</v>
      </c>
      <c r="S75" s="1086"/>
    </row>
    <row r="76" spans="1:24" ht="19.899999999999999" customHeight="1">
      <c r="A76" s="3"/>
      <c r="B76" s="3"/>
      <c r="C76" s="11" t="s">
        <v>2235</v>
      </c>
      <c r="E76" s="3"/>
      <c r="F76" s="3"/>
      <c r="G76" s="11" t="s">
        <v>2235</v>
      </c>
      <c r="K76" s="418"/>
      <c r="L76" s="1078" t="s">
        <v>2361</v>
      </c>
      <c r="M76" s="1079"/>
      <c r="N76" s="1079"/>
      <c r="O76" s="1079"/>
      <c r="P76" s="1079"/>
      <c r="Q76" s="1079"/>
      <c r="R76" s="1079"/>
      <c r="S76" s="1086"/>
      <c r="V76" s="1084" t="s">
        <v>2361</v>
      </c>
      <c r="W76" s="1084"/>
      <c r="X76" s="1084"/>
    </row>
    <row r="77" spans="1:24" ht="19.899999999999999" customHeight="1">
      <c r="A77" s="3"/>
      <c r="B77" s="3"/>
      <c r="C77" s="11" t="s">
        <v>2235</v>
      </c>
      <c r="E77" s="3"/>
      <c r="F77" s="3"/>
      <c r="G77" s="11" t="s">
        <v>2235</v>
      </c>
      <c r="K77" s="66" t="s">
        <v>2278</v>
      </c>
      <c r="L77" s="66"/>
      <c r="M77" s="153" t="s">
        <v>2291</v>
      </c>
      <c r="N77" s="153" t="s">
        <v>2291</v>
      </c>
      <c r="O77" s="153" t="s">
        <v>2291</v>
      </c>
      <c r="P77" s="153" t="s">
        <v>2280</v>
      </c>
      <c r="Q77" s="153" t="s">
        <v>2281</v>
      </c>
      <c r="R77" s="477" t="s">
        <v>2282</v>
      </c>
      <c r="S77" s="1086"/>
      <c r="V77" s="66" t="s">
        <v>2278</v>
      </c>
      <c r="W77" s="66" t="s">
        <v>1592</v>
      </c>
      <c r="X77" s="66"/>
    </row>
    <row r="78" spans="1:24" ht="19.899999999999999" customHeight="1">
      <c r="A78" s="3"/>
      <c r="B78" s="3"/>
      <c r="C78" s="11" t="s">
        <v>2235</v>
      </c>
      <c r="E78" s="3"/>
      <c r="F78" s="3"/>
      <c r="G78" s="11" t="s">
        <v>2235</v>
      </c>
      <c r="K78" s="1080"/>
      <c r="L78" s="1081"/>
      <c r="M78" s="1081"/>
      <c r="N78" s="1081"/>
      <c r="O78" s="1081"/>
      <c r="P78" s="1081"/>
      <c r="Q78" s="1081"/>
      <c r="R78" s="1081"/>
      <c r="S78" s="1086"/>
      <c r="V78" s="484"/>
      <c r="W78" s="485"/>
      <c r="X78" s="485"/>
    </row>
    <row r="79" spans="1:24" ht="19.899999999999999" customHeight="1">
      <c r="A79" s="3"/>
      <c r="B79" s="3"/>
      <c r="C79" s="11" t="s">
        <v>2235</v>
      </c>
      <c r="E79" s="3"/>
      <c r="F79" s="3"/>
      <c r="G79" s="11" t="s">
        <v>2235</v>
      </c>
      <c r="K79" s="5" t="s">
        <v>153</v>
      </c>
      <c r="L79" s="5" t="str">
        <f t="shared" ref="L79:L110" si="20">VLOOKUP(K79,$V$79:$W$114,2,FALSE)</f>
        <v>C3R</v>
      </c>
      <c r="M79" s="11">
        <v>3.5</v>
      </c>
      <c r="N79" s="11">
        <v>3.5</v>
      </c>
      <c r="O79" s="11">
        <v>3.5</v>
      </c>
      <c r="P79" s="11" t="s">
        <v>2235</v>
      </c>
      <c r="Q79" s="11" t="s">
        <v>2235</v>
      </c>
      <c r="R79" s="486" t="s">
        <v>2235</v>
      </c>
      <c r="S79" s="1086"/>
      <c r="V79" s="5" t="s">
        <v>153</v>
      </c>
      <c r="W79" s="11" t="s">
        <v>643</v>
      </c>
      <c r="X79" s="287"/>
    </row>
    <row r="80" spans="1:24" ht="19.899999999999999" customHeight="1">
      <c r="A80" s="3"/>
      <c r="B80" s="3"/>
      <c r="C80" s="11" t="s">
        <v>2235</v>
      </c>
      <c r="E80" s="3"/>
      <c r="F80" s="3"/>
      <c r="G80" s="11" t="s">
        <v>2235</v>
      </c>
      <c r="K80" s="71" t="s">
        <v>158</v>
      </c>
      <c r="L80" s="71" t="str">
        <f t="shared" si="20"/>
        <v>C4R</v>
      </c>
      <c r="M80" s="72">
        <v>3.5</v>
      </c>
      <c r="N80" s="72">
        <v>3.5</v>
      </c>
      <c r="O80" s="72">
        <v>3.5</v>
      </c>
      <c r="P80" s="72" t="s">
        <v>2235</v>
      </c>
      <c r="Q80" s="72" t="s">
        <v>2235</v>
      </c>
      <c r="R80" s="487" t="s">
        <v>2235</v>
      </c>
      <c r="S80" s="1086"/>
      <c r="V80" s="71" t="s">
        <v>158</v>
      </c>
      <c r="W80" s="72" t="s">
        <v>646</v>
      </c>
      <c r="X80" s="287"/>
    </row>
    <row r="81" spans="1:24" ht="19.899999999999999" customHeight="1">
      <c r="A81" s="3"/>
      <c r="B81" s="3"/>
      <c r="C81" s="11" t="s">
        <v>2235</v>
      </c>
      <c r="E81" s="3"/>
      <c r="F81" s="3"/>
      <c r="G81" s="11" t="s">
        <v>2235</v>
      </c>
      <c r="K81" s="73" t="s">
        <v>151</v>
      </c>
      <c r="L81" s="73" t="str">
        <f t="shared" si="20"/>
        <v>C4R</v>
      </c>
      <c r="M81" s="74">
        <f t="shared" ref="M81" si="21">M80</f>
        <v>3.5</v>
      </c>
      <c r="N81" s="74">
        <f t="shared" ref="N81:R81" si="22">N80</f>
        <v>3.5</v>
      </c>
      <c r="O81" s="74">
        <f t="shared" si="22"/>
        <v>3.5</v>
      </c>
      <c r="P81" s="74" t="str">
        <f t="shared" si="22"/>
        <v>N.D.</v>
      </c>
      <c r="Q81" s="74" t="str">
        <f t="shared" si="22"/>
        <v>N.D.</v>
      </c>
      <c r="R81" s="488" t="str">
        <f t="shared" si="22"/>
        <v>N.D.</v>
      </c>
      <c r="S81" s="1086"/>
      <c r="V81" s="73" t="s">
        <v>151</v>
      </c>
      <c r="W81" s="74" t="s">
        <v>646</v>
      </c>
      <c r="X81" s="287"/>
    </row>
    <row r="82" spans="1:24" ht="19.899999999999999" customHeight="1">
      <c r="A82" s="3"/>
      <c r="B82" s="3"/>
      <c r="C82" s="11" t="s">
        <v>2235</v>
      </c>
      <c r="E82" s="3"/>
      <c r="F82" s="3"/>
      <c r="G82" s="11" t="s">
        <v>2235</v>
      </c>
      <c r="K82" s="71" t="s">
        <v>148</v>
      </c>
      <c r="L82" s="71" t="str">
        <f t="shared" si="20"/>
        <v>C4R</v>
      </c>
      <c r="M82" s="72">
        <v>3.7</v>
      </c>
      <c r="N82" s="72">
        <v>3.7</v>
      </c>
      <c r="O82" s="72">
        <v>3.7</v>
      </c>
      <c r="P82" s="72" t="s">
        <v>2235</v>
      </c>
      <c r="Q82" s="72" t="s">
        <v>2235</v>
      </c>
      <c r="R82" s="487" t="s">
        <v>2235</v>
      </c>
      <c r="S82" s="1086"/>
      <c r="V82" s="71" t="s">
        <v>148</v>
      </c>
      <c r="W82" s="72" t="s">
        <v>646</v>
      </c>
      <c r="X82" s="287"/>
    </row>
    <row r="83" spans="1:24" ht="19.899999999999999" customHeight="1">
      <c r="A83" s="3"/>
      <c r="B83" s="3"/>
      <c r="C83" s="11" t="s">
        <v>2235</v>
      </c>
      <c r="E83" s="3"/>
      <c r="F83" s="3"/>
      <c r="G83" s="11" t="s">
        <v>2235</v>
      </c>
      <c r="K83" s="5" t="s">
        <v>398</v>
      </c>
      <c r="L83" s="5" t="str">
        <f t="shared" si="20"/>
        <v>C5R</v>
      </c>
      <c r="M83" s="11">
        <v>3.5</v>
      </c>
      <c r="N83" s="11">
        <v>3.5</v>
      </c>
      <c r="O83" s="11">
        <v>3.5</v>
      </c>
      <c r="P83" s="11" t="s">
        <v>2235</v>
      </c>
      <c r="Q83" s="11" t="s">
        <v>2235</v>
      </c>
      <c r="R83" s="486" t="s">
        <v>2235</v>
      </c>
      <c r="S83" s="1086"/>
      <c r="V83" s="5" t="s">
        <v>398</v>
      </c>
      <c r="W83" s="11" t="s">
        <v>2313</v>
      </c>
      <c r="X83" s="287"/>
    </row>
    <row r="84" spans="1:24" ht="19.899999999999999" customHeight="1">
      <c r="A84" s="3"/>
      <c r="B84" s="3"/>
      <c r="C84" s="11" t="s">
        <v>2235</v>
      </c>
      <c r="E84" s="3"/>
      <c r="F84" s="3"/>
      <c r="G84" s="11" t="s">
        <v>2235</v>
      </c>
      <c r="K84" s="75" t="s">
        <v>181</v>
      </c>
      <c r="L84" s="75" t="str">
        <f t="shared" si="20"/>
        <v>C5R</v>
      </c>
      <c r="M84" s="65">
        <f t="shared" ref="M84" si="23">M83</f>
        <v>3.5</v>
      </c>
      <c r="N84" s="65">
        <f t="shared" ref="N84:R84" si="24">N83</f>
        <v>3.5</v>
      </c>
      <c r="O84" s="65">
        <f t="shared" si="24"/>
        <v>3.5</v>
      </c>
      <c r="P84" s="65" t="str">
        <f t="shared" si="24"/>
        <v>N.D.</v>
      </c>
      <c r="Q84" s="65" t="str">
        <f t="shared" si="24"/>
        <v>N.D.</v>
      </c>
      <c r="R84" s="489" t="str">
        <f t="shared" si="24"/>
        <v>N.D.</v>
      </c>
      <c r="S84" s="1086"/>
      <c r="V84" s="75" t="s">
        <v>181</v>
      </c>
      <c r="W84" s="65" t="s">
        <v>2313</v>
      </c>
      <c r="X84" s="287"/>
    </row>
    <row r="85" spans="1:24" ht="19.899999999999999" customHeight="1">
      <c r="A85" s="3"/>
      <c r="B85" s="3"/>
      <c r="C85" s="11" t="s">
        <v>2235</v>
      </c>
      <c r="E85" s="3"/>
      <c r="F85" s="3"/>
      <c r="G85" s="11" t="s">
        <v>2235</v>
      </c>
      <c r="K85" s="5" t="s">
        <v>232</v>
      </c>
      <c r="L85" s="5" t="str">
        <f t="shared" si="20"/>
        <v>C5R</v>
      </c>
      <c r="M85" s="11">
        <v>3.5</v>
      </c>
      <c r="N85" s="11">
        <v>3.5</v>
      </c>
      <c r="O85" s="11">
        <v>3.5</v>
      </c>
      <c r="P85" s="11" t="s">
        <v>2235</v>
      </c>
      <c r="Q85" s="11" t="s">
        <v>2235</v>
      </c>
      <c r="R85" s="486" t="s">
        <v>2235</v>
      </c>
      <c r="S85" s="1086"/>
      <c r="V85" s="5" t="s">
        <v>232</v>
      </c>
      <c r="W85" s="11" t="s">
        <v>2313</v>
      </c>
      <c r="X85" s="287"/>
    </row>
    <row r="86" spans="1:24" ht="19.899999999999999" customHeight="1">
      <c r="A86" s="3"/>
      <c r="B86" s="3"/>
      <c r="C86" s="11" t="s">
        <v>2235</v>
      </c>
      <c r="E86" s="3"/>
      <c r="F86" s="3"/>
      <c r="G86" s="11" t="s">
        <v>2235</v>
      </c>
      <c r="K86" s="71" t="s">
        <v>1714</v>
      </c>
      <c r="L86" s="71" t="str">
        <f t="shared" si="20"/>
        <v>C7R</v>
      </c>
      <c r="M86" s="72">
        <v>4</v>
      </c>
      <c r="N86" s="72">
        <v>4</v>
      </c>
      <c r="O86" s="72">
        <v>4</v>
      </c>
      <c r="P86" s="72" t="s">
        <v>2235</v>
      </c>
      <c r="Q86" s="72" t="s">
        <v>2235</v>
      </c>
      <c r="R86" s="487" t="s">
        <v>2235</v>
      </c>
      <c r="S86" s="1086"/>
      <c r="V86" s="71" t="s">
        <v>1714</v>
      </c>
      <c r="W86" s="72" t="s">
        <v>2362</v>
      </c>
      <c r="X86" s="287"/>
    </row>
    <row r="87" spans="1:24" ht="19.899999999999999" customHeight="1">
      <c r="A87" s="3"/>
      <c r="B87" s="3"/>
      <c r="C87" s="11" t="s">
        <v>2235</v>
      </c>
      <c r="E87" s="3"/>
      <c r="F87" s="3"/>
      <c r="G87" s="11" t="s">
        <v>2235</v>
      </c>
      <c r="K87" s="73" t="s">
        <v>2299</v>
      </c>
      <c r="L87" s="73" t="str">
        <f t="shared" si="20"/>
        <v>C7R</v>
      </c>
      <c r="M87" s="74">
        <f t="shared" ref="M87" si="25">M86</f>
        <v>4</v>
      </c>
      <c r="N87" s="74">
        <f t="shared" ref="N87:R87" si="26">N86</f>
        <v>4</v>
      </c>
      <c r="O87" s="74">
        <f t="shared" si="26"/>
        <v>4</v>
      </c>
      <c r="P87" s="74" t="str">
        <f t="shared" si="26"/>
        <v>N.D.</v>
      </c>
      <c r="Q87" s="74" t="str">
        <f t="shared" si="26"/>
        <v>N.D.</v>
      </c>
      <c r="R87" s="488" t="str">
        <f t="shared" si="26"/>
        <v>N.D.</v>
      </c>
      <c r="S87" s="1086"/>
      <c r="V87" s="73" t="s">
        <v>2299</v>
      </c>
      <c r="W87" s="74" t="s">
        <v>2362</v>
      </c>
      <c r="X87" s="421"/>
    </row>
    <row r="88" spans="1:24" ht="19.899999999999999" customHeight="1">
      <c r="K88" s="71" t="s">
        <v>562</v>
      </c>
      <c r="L88" s="71" t="str">
        <f t="shared" si="20"/>
        <v>C7R</v>
      </c>
      <c r="M88" s="72">
        <v>3.7</v>
      </c>
      <c r="N88" s="72">
        <v>3.7</v>
      </c>
      <c r="O88" s="72">
        <v>3.7</v>
      </c>
      <c r="P88" s="72" t="s">
        <v>2235</v>
      </c>
      <c r="Q88" s="72" t="s">
        <v>2235</v>
      </c>
      <c r="R88" s="487" t="s">
        <v>2235</v>
      </c>
      <c r="S88" s="1086"/>
      <c r="V88" s="71" t="s">
        <v>562</v>
      </c>
      <c r="W88" s="72" t="s">
        <v>2362</v>
      </c>
      <c r="X88" s="421"/>
    </row>
    <row r="89" spans="1:24" ht="19.899999999999999" customHeight="1">
      <c r="K89" s="71" t="s">
        <v>123</v>
      </c>
      <c r="L89" s="71" t="str">
        <f t="shared" si="20"/>
        <v>C9R</v>
      </c>
      <c r="M89" s="72">
        <v>4.4000000000000004</v>
      </c>
      <c r="N89" s="72">
        <v>4.4000000000000004</v>
      </c>
      <c r="O89" s="72">
        <v>4.4000000000000004</v>
      </c>
      <c r="P89" s="72" t="s">
        <v>2235</v>
      </c>
      <c r="Q89" s="72" t="s">
        <v>2235</v>
      </c>
      <c r="R89" s="487" t="s">
        <v>2235</v>
      </c>
      <c r="S89" s="1086"/>
      <c r="V89" s="71" t="s">
        <v>123</v>
      </c>
      <c r="W89" s="72" t="s">
        <v>929</v>
      </c>
      <c r="X89" s="421"/>
    </row>
    <row r="90" spans="1:24" ht="19.899999999999999" customHeight="1">
      <c r="K90" s="71" t="s">
        <v>268</v>
      </c>
      <c r="L90" s="71" t="str">
        <f t="shared" si="20"/>
        <v>C7R</v>
      </c>
      <c r="M90" s="72">
        <v>4</v>
      </c>
      <c r="N90" s="72">
        <v>4</v>
      </c>
      <c r="O90" s="72">
        <v>4</v>
      </c>
      <c r="P90" s="72" t="s">
        <v>2235</v>
      </c>
      <c r="Q90" s="72" t="s">
        <v>2235</v>
      </c>
      <c r="R90" s="487" t="s">
        <v>2235</v>
      </c>
      <c r="S90" s="1086"/>
      <c r="V90" s="71" t="s">
        <v>268</v>
      </c>
      <c r="W90" s="72" t="s">
        <v>2362</v>
      </c>
      <c r="X90" s="421"/>
    </row>
    <row r="91" spans="1:24" ht="19.899999999999999" customHeight="1">
      <c r="K91" s="71" t="s">
        <v>250</v>
      </c>
      <c r="L91" s="71" t="str">
        <f t="shared" si="20"/>
        <v>2C4R</v>
      </c>
      <c r="M91" s="72">
        <v>5.6</v>
      </c>
      <c r="N91" s="72">
        <v>5.6</v>
      </c>
      <c r="O91" s="72">
        <v>5.6</v>
      </c>
      <c r="P91" s="72" t="s">
        <v>2235</v>
      </c>
      <c r="Q91" s="72" t="s">
        <v>2235</v>
      </c>
      <c r="R91" s="487" t="s">
        <v>2235</v>
      </c>
      <c r="S91" s="1086"/>
      <c r="V91" s="71" t="s">
        <v>250</v>
      </c>
      <c r="W91" s="72" t="s">
        <v>2363</v>
      </c>
      <c r="X91" s="421"/>
    </row>
    <row r="92" spans="1:24" ht="19.899999999999999" customHeight="1">
      <c r="K92" s="5" t="s">
        <v>1862</v>
      </c>
      <c r="L92" s="5" t="str">
        <f t="shared" si="20"/>
        <v>C8R</v>
      </c>
      <c r="M92" s="11">
        <v>4.5</v>
      </c>
      <c r="N92" s="11">
        <v>4.5</v>
      </c>
      <c r="O92" s="11">
        <v>4.5</v>
      </c>
      <c r="P92" s="11" t="s">
        <v>2235</v>
      </c>
      <c r="Q92" s="11" t="s">
        <v>2235</v>
      </c>
      <c r="R92" s="486" t="s">
        <v>2235</v>
      </c>
      <c r="S92" s="1086"/>
      <c r="V92" s="5" t="s">
        <v>1862</v>
      </c>
      <c r="W92" s="11" t="s">
        <v>2364</v>
      </c>
      <c r="X92" s="421"/>
    </row>
    <row r="93" spans="1:24" ht="19.899999999999999" customHeight="1">
      <c r="K93" s="75" t="s">
        <v>1610</v>
      </c>
      <c r="L93" s="75" t="str">
        <f t="shared" si="20"/>
        <v>C8R</v>
      </c>
      <c r="M93" s="65">
        <f t="shared" ref="M93" si="27">M92</f>
        <v>4.5</v>
      </c>
      <c r="N93" s="65">
        <f t="shared" ref="N93:R93" si="28">N92</f>
        <v>4.5</v>
      </c>
      <c r="O93" s="65">
        <f t="shared" si="28"/>
        <v>4.5</v>
      </c>
      <c r="P93" s="65" t="str">
        <f t="shared" si="28"/>
        <v>N.D.</v>
      </c>
      <c r="Q93" s="65" t="str">
        <f t="shared" si="28"/>
        <v>N.D.</v>
      </c>
      <c r="R93" s="489" t="str">
        <f t="shared" si="28"/>
        <v>N.D.</v>
      </c>
      <c r="S93" s="1086"/>
      <c r="V93" s="75" t="s">
        <v>1610</v>
      </c>
      <c r="W93" s="65" t="s">
        <v>2364</v>
      </c>
      <c r="X93" s="421"/>
    </row>
    <row r="94" spans="1:24" ht="19.899999999999999" customHeight="1">
      <c r="K94" s="5" t="s">
        <v>2311</v>
      </c>
      <c r="L94" s="5" t="str">
        <f t="shared" si="20"/>
        <v>C8R</v>
      </c>
      <c r="M94" s="11" t="s">
        <v>2235</v>
      </c>
      <c r="N94" s="11" t="s">
        <v>2235</v>
      </c>
      <c r="O94" s="11" t="s">
        <v>2235</v>
      </c>
      <c r="P94" s="11" t="s">
        <v>2235</v>
      </c>
      <c r="Q94" s="11" t="s">
        <v>2235</v>
      </c>
      <c r="R94" s="486" t="s">
        <v>2235</v>
      </c>
      <c r="S94" s="1086"/>
      <c r="V94" s="5" t="s">
        <v>2311</v>
      </c>
      <c r="W94" s="11" t="s">
        <v>2364</v>
      </c>
      <c r="X94" s="421"/>
    </row>
    <row r="95" spans="1:24" ht="19.899999999999999" customHeight="1">
      <c r="K95" s="71" t="s">
        <v>2039</v>
      </c>
      <c r="L95" s="71" t="str">
        <f t="shared" si="20"/>
        <v>C9R</v>
      </c>
      <c r="M95" s="72">
        <v>4.5</v>
      </c>
      <c r="N95" s="72">
        <v>4.5</v>
      </c>
      <c r="O95" s="72">
        <v>4.5</v>
      </c>
      <c r="P95" s="72" t="s">
        <v>2235</v>
      </c>
      <c r="Q95" s="72" t="s">
        <v>2235</v>
      </c>
      <c r="R95" s="487" t="s">
        <v>2235</v>
      </c>
      <c r="S95" s="1086"/>
      <c r="V95" s="71" t="s">
        <v>2039</v>
      </c>
      <c r="W95" s="72" t="s">
        <v>929</v>
      </c>
      <c r="X95" s="421"/>
    </row>
    <row r="96" spans="1:24" ht="19.899999999999999" customHeight="1">
      <c r="K96" s="71" t="s">
        <v>2009</v>
      </c>
      <c r="L96" s="71" t="str">
        <f t="shared" si="20"/>
        <v>C5R</v>
      </c>
      <c r="M96" s="72">
        <v>4</v>
      </c>
      <c r="N96" s="72">
        <v>4</v>
      </c>
      <c r="O96" s="72">
        <v>4</v>
      </c>
      <c r="P96" s="72" t="s">
        <v>2235</v>
      </c>
      <c r="Q96" s="72" t="s">
        <v>2235</v>
      </c>
      <c r="R96" s="487" t="s">
        <v>2235</v>
      </c>
      <c r="S96" s="1086"/>
      <c r="V96" s="71" t="s">
        <v>2009</v>
      </c>
      <c r="W96" s="72" t="s">
        <v>2313</v>
      </c>
      <c r="X96" s="421"/>
    </row>
    <row r="97" spans="11:24" ht="19.899999999999999" customHeight="1">
      <c r="K97" s="71" t="s">
        <v>142</v>
      </c>
      <c r="L97" s="71" t="str">
        <f t="shared" si="20"/>
        <v>C9R</v>
      </c>
      <c r="M97" s="72">
        <v>4.4000000000000004</v>
      </c>
      <c r="N97" s="72">
        <v>4.4000000000000004</v>
      </c>
      <c r="O97" s="72">
        <v>4.4000000000000004</v>
      </c>
      <c r="P97" s="72" t="s">
        <v>2235</v>
      </c>
      <c r="Q97" s="72" t="s">
        <v>2235</v>
      </c>
      <c r="R97" s="487" t="s">
        <v>2235</v>
      </c>
      <c r="S97" s="1086"/>
      <c r="V97" s="71" t="s">
        <v>142</v>
      </c>
      <c r="W97" s="72" t="s">
        <v>929</v>
      </c>
      <c r="X97" s="421"/>
    </row>
    <row r="98" spans="11:24" ht="19.899999999999999" customHeight="1">
      <c r="K98" s="71" t="s">
        <v>568</v>
      </c>
      <c r="L98" s="71" t="str">
        <f t="shared" si="20"/>
        <v>C9R</v>
      </c>
      <c r="M98" s="72">
        <v>4.5999999999999996</v>
      </c>
      <c r="N98" s="72">
        <v>4.5999999999999996</v>
      </c>
      <c r="O98" s="72">
        <v>4.5999999999999996</v>
      </c>
      <c r="P98" s="72" t="s">
        <v>2235</v>
      </c>
      <c r="Q98" s="72" t="s">
        <v>2235</v>
      </c>
      <c r="R98" s="487" t="s">
        <v>2235</v>
      </c>
      <c r="S98" s="1086"/>
      <c r="V98" s="71" t="s">
        <v>568</v>
      </c>
      <c r="W98" s="72" t="s">
        <v>929</v>
      </c>
      <c r="X98" s="288"/>
    </row>
    <row r="99" spans="11:24" ht="19.899999999999999" customHeight="1">
      <c r="K99" s="5" t="s">
        <v>1740</v>
      </c>
      <c r="L99" s="5" t="str">
        <f t="shared" si="20"/>
        <v>C10R</v>
      </c>
      <c r="M99" s="11" t="s">
        <v>2235</v>
      </c>
      <c r="N99" s="11" t="s">
        <v>2235</v>
      </c>
      <c r="O99" s="11" t="s">
        <v>2235</v>
      </c>
      <c r="P99" s="11" t="s">
        <v>2235</v>
      </c>
      <c r="Q99" s="11" t="s">
        <v>2235</v>
      </c>
      <c r="R99" s="486" t="s">
        <v>2235</v>
      </c>
      <c r="S99" s="1086"/>
      <c r="V99" s="5" t="s">
        <v>1740</v>
      </c>
      <c r="W99" s="11" t="s">
        <v>2365</v>
      </c>
      <c r="X99" s="421"/>
    </row>
    <row r="100" spans="11:24" ht="19.899999999999999" customHeight="1">
      <c r="K100" s="71" t="s">
        <v>1408</v>
      </c>
      <c r="L100" s="71" t="str">
        <f t="shared" si="20"/>
        <v>C11R</v>
      </c>
      <c r="M100" s="72" t="s">
        <v>2235</v>
      </c>
      <c r="N100" s="72" t="s">
        <v>2235</v>
      </c>
      <c r="O100" s="72" t="s">
        <v>2235</v>
      </c>
      <c r="P100" s="72" t="s">
        <v>2235</v>
      </c>
      <c r="Q100" s="72" t="s">
        <v>2235</v>
      </c>
      <c r="R100" s="487" t="s">
        <v>2235</v>
      </c>
      <c r="S100" s="1086"/>
      <c r="V100" s="71" t="s">
        <v>1408</v>
      </c>
      <c r="W100" s="72" t="s">
        <v>2366</v>
      </c>
      <c r="X100" s="421"/>
    </row>
    <row r="101" spans="11:24" ht="19.899999999999999" customHeight="1">
      <c r="K101" s="71" t="s">
        <v>455</v>
      </c>
      <c r="L101" s="71" t="str">
        <f t="shared" si="20"/>
        <v>C11R</v>
      </c>
      <c r="M101" s="72">
        <v>4.5999999999999996</v>
      </c>
      <c r="N101" s="72">
        <v>4.5999999999999996</v>
      </c>
      <c r="O101" s="72">
        <v>4.5999999999999996</v>
      </c>
      <c r="P101" s="72" t="s">
        <v>2235</v>
      </c>
      <c r="Q101" s="72" t="s">
        <v>2235</v>
      </c>
      <c r="R101" s="487" t="s">
        <v>2235</v>
      </c>
      <c r="S101" s="1086"/>
      <c r="V101" s="71" t="s">
        <v>455</v>
      </c>
      <c r="W101" s="72" t="s">
        <v>2366</v>
      </c>
      <c r="X101" s="421"/>
    </row>
    <row r="102" spans="11:24" ht="19.899999999999999" customHeight="1">
      <c r="K102" s="5" t="s">
        <v>247</v>
      </c>
      <c r="L102" s="5" t="str">
        <f t="shared" si="20"/>
        <v>C12R</v>
      </c>
      <c r="M102" s="11">
        <v>6.2</v>
      </c>
      <c r="N102" s="11">
        <v>6.2</v>
      </c>
      <c r="O102" s="11">
        <v>6.2</v>
      </c>
      <c r="P102" s="11" t="s">
        <v>2235</v>
      </c>
      <c r="Q102" s="11" t="s">
        <v>2235</v>
      </c>
      <c r="R102" s="486" t="s">
        <v>2235</v>
      </c>
      <c r="S102" s="1086"/>
      <c r="V102" s="5" t="s">
        <v>247</v>
      </c>
      <c r="W102" s="11" t="s">
        <v>2367</v>
      </c>
      <c r="X102" s="421"/>
    </row>
    <row r="103" spans="11:24" ht="19.899999999999999" customHeight="1">
      <c r="K103" s="71" t="s">
        <v>2048</v>
      </c>
      <c r="L103" s="71" t="str">
        <f t="shared" si="20"/>
        <v>C13R</v>
      </c>
      <c r="M103" s="72" t="s">
        <v>2235</v>
      </c>
      <c r="N103" s="72" t="s">
        <v>2235</v>
      </c>
      <c r="O103" s="72" t="s">
        <v>2235</v>
      </c>
      <c r="P103" s="72" t="s">
        <v>2235</v>
      </c>
      <c r="Q103" s="72" t="s">
        <v>2235</v>
      </c>
      <c r="R103" s="487" t="s">
        <v>2235</v>
      </c>
      <c r="S103" s="1086"/>
      <c r="V103" s="71" t="s">
        <v>2048</v>
      </c>
      <c r="W103" s="72" t="s">
        <v>2368</v>
      </c>
      <c r="X103" s="421"/>
    </row>
    <row r="104" spans="11:24" ht="19.899999999999999" customHeight="1">
      <c r="K104" s="5" t="s">
        <v>183</v>
      </c>
      <c r="L104" s="5" t="str">
        <f t="shared" si="20"/>
        <v>2C3R</v>
      </c>
      <c r="M104" s="11">
        <v>3.7</v>
      </c>
      <c r="N104" s="11">
        <v>3.7</v>
      </c>
      <c r="O104" s="11">
        <v>3.7</v>
      </c>
      <c r="P104" s="11" t="s">
        <v>2235</v>
      </c>
      <c r="Q104" s="11" t="s">
        <v>2235</v>
      </c>
      <c r="R104" s="486" t="s">
        <v>2235</v>
      </c>
      <c r="S104" s="1086"/>
      <c r="V104" s="5" t="s">
        <v>183</v>
      </c>
      <c r="W104" s="11" t="s">
        <v>2369</v>
      </c>
      <c r="X104" s="421"/>
    </row>
    <row r="105" spans="11:24" ht="19.899999999999999" customHeight="1">
      <c r="K105" s="5" t="s">
        <v>298</v>
      </c>
      <c r="L105" s="5" t="str">
        <f t="shared" si="20"/>
        <v>2C3R</v>
      </c>
      <c r="M105" s="11">
        <v>4</v>
      </c>
      <c r="N105" s="11">
        <v>4</v>
      </c>
      <c r="O105" s="11">
        <v>4</v>
      </c>
      <c r="P105" s="11" t="s">
        <v>2235</v>
      </c>
      <c r="Q105" s="11" t="s">
        <v>2235</v>
      </c>
      <c r="R105" s="486" t="s">
        <v>2235</v>
      </c>
      <c r="S105" s="1086"/>
      <c r="V105" s="5" t="s">
        <v>298</v>
      </c>
      <c r="W105" s="11" t="s">
        <v>2369</v>
      </c>
      <c r="X105" s="421"/>
    </row>
    <row r="106" spans="11:24" ht="19.899999999999999" customHeight="1">
      <c r="K106" s="71" t="s">
        <v>206</v>
      </c>
      <c r="L106" s="71" t="str">
        <f t="shared" si="20"/>
        <v>2C4R</v>
      </c>
      <c r="M106" s="72">
        <v>4</v>
      </c>
      <c r="N106" s="72">
        <v>4</v>
      </c>
      <c r="O106" s="72">
        <v>4</v>
      </c>
      <c r="P106" s="72" t="s">
        <v>2235</v>
      </c>
      <c r="Q106" s="72" t="s">
        <v>2235</v>
      </c>
      <c r="R106" s="487" t="s">
        <v>2235</v>
      </c>
      <c r="S106" s="1086"/>
      <c r="V106" s="71" t="s">
        <v>206</v>
      </c>
      <c r="W106" s="72" t="s">
        <v>2363</v>
      </c>
      <c r="X106" s="421"/>
    </row>
    <row r="107" spans="11:24" ht="19.899999999999999" customHeight="1">
      <c r="K107" s="71" t="s">
        <v>2332</v>
      </c>
      <c r="L107" s="71" t="str">
        <f t="shared" si="20"/>
        <v>2C4R</v>
      </c>
      <c r="M107" s="72">
        <v>5.6</v>
      </c>
      <c r="N107" s="72">
        <v>5.6</v>
      </c>
      <c r="O107" s="72">
        <v>5.6</v>
      </c>
      <c r="P107" s="72" t="s">
        <v>2235</v>
      </c>
      <c r="Q107" s="72" t="s">
        <v>2235</v>
      </c>
      <c r="R107" s="487" t="s">
        <v>2235</v>
      </c>
      <c r="S107" s="1086"/>
      <c r="V107" s="71" t="s">
        <v>2332</v>
      </c>
      <c r="W107" s="72" t="s">
        <v>2363</v>
      </c>
      <c r="X107" s="421"/>
    </row>
    <row r="108" spans="11:24" ht="19.899999999999999" customHeight="1">
      <c r="K108" s="5" t="s">
        <v>2333</v>
      </c>
      <c r="L108" s="5" t="str">
        <f t="shared" si="20"/>
        <v>2C7R</v>
      </c>
      <c r="M108" s="11" t="s">
        <v>2235</v>
      </c>
      <c r="N108" s="11" t="s">
        <v>2235</v>
      </c>
      <c r="O108" s="11" t="s">
        <v>2235</v>
      </c>
      <c r="P108" s="11" t="s">
        <v>2235</v>
      </c>
      <c r="Q108" s="11" t="s">
        <v>2235</v>
      </c>
      <c r="R108" s="486" t="s">
        <v>2235</v>
      </c>
      <c r="S108" s="1086"/>
      <c r="V108" s="5" t="s">
        <v>2333</v>
      </c>
      <c r="W108" s="11" t="s">
        <v>2370</v>
      </c>
      <c r="X108" s="421"/>
    </row>
    <row r="109" spans="11:24" ht="19.899999999999999" customHeight="1">
      <c r="K109" s="71" t="s">
        <v>2056</v>
      </c>
      <c r="L109" s="71" t="str">
        <f t="shared" si="20"/>
        <v>2C4FR</v>
      </c>
      <c r="M109" s="72" t="s">
        <v>2235</v>
      </c>
      <c r="N109" s="72" t="s">
        <v>2235</v>
      </c>
      <c r="O109" s="72" t="s">
        <v>2235</v>
      </c>
      <c r="P109" s="72" t="s">
        <v>2235</v>
      </c>
      <c r="Q109" s="72" t="s">
        <v>2235</v>
      </c>
      <c r="R109" s="487" t="s">
        <v>2235</v>
      </c>
      <c r="S109" s="1086"/>
      <c r="V109" s="71" t="s">
        <v>2056</v>
      </c>
      <c r="W109" s="72" t="s">
        <v>2371</v>
      </c>
      <c r="X109" s="421"/>
    </row>
    <row r="110" spans="11:24" ht="19.899999999999999" customHeight="1">
      <c r="K110" s="5" t="s">
        <v>2057</v>
      </c>
      <c r="L110" s="5" t="str">
        <f t="shared" si="20"/>
        <v>C12FR</v>
      </c>
      <c r="M110" s="11" t="s">
        <v>2235</v>
      </c>
      <c r="N110" s="11" t="s">
        <v>2235</v>
      </c>
      <c r="O110" s="11" t="s">
        <v>2235</v>
      </c>
      <c r="P110" s="11" t="s">
        <v>2235</v>
      </c>
      <c r="Q110" s="11" t="s">
        <v>2235</v>
      </c>
      <c r="R110" s="486" t="s">
        <v>2235</v>
      </c>
      <c r="S110" s="1086"/>
      <c r="V110" s="5" t="s">
        <v>2057</v>
      </c>
      <c r="W110" s="11" t="s">
        <v>2372</v>
      </c>
      <c r="X110" s="421"/>
    </row>
    <row r="111" spans="11:24" ht="19.899999999999999" customHeight="1">
      <c r="K111" s="5" t="s">
        <v>128</v>
      </c>
      <c r="L111" s="633" t="s">
        <v>2373</v>
      </c>
      <c r="M111" s="11">
        <v>1.2</v>
      </c>
      <c r="N111" s="11">
        <v>1.2</v>
      </c>
      <c r="O111" s="11">
        <v>1.2</v>
      </c>
      <c r="P111" s="11">
        <v>1.2</v>
      </c>
      <c r="Q111" s="11"/>
      <c r="R111" s="486"/>
      <c r="S111" s="1086"/>
      <c r="V111" s="5" t="s">
        <v>128</v>
      </c>
      <c r="W111" s="11" t="s">
        <v>2373</v>
      </c>
      <c r="X111" s="421"/>
    </row>
    <row r="112" spans="11:24" ht="19.899999999999999" customHeight="1">
      <c r="K112" s="72" t="s">
        <v>117</v>
      </c>
      <c r="L112" s="72" t="str">
        <f>VLOOKUP(K112,$V$79:$W$114,2,FALSE)</f>
        <v>AnMC-R</v>
      </c>
      <c r="M112" s="72">
        <v>3.9</v>
      </c>
      <c r="N112" s="72">
        <v>3.9</v>
      </c>
      <c r="O112" s="72">
        <v>3.9</v>
      </c>
      <c r="P112" s="72" t="s">
        <v>2235</v>
      </c>
      <c r="Q112" s="72" t="s">
        <v>2235</v>
      </c>
      <c r="R112" s="487" t="s">
        <v>2235</v>
      </c>
      <c r="S112" s="1086"/>
      <c r="V112" s="72" t="s">
        <v>117</v>
      </c>
      <c r="W112" s="72" t="s">
        <v>117</v>
      </c>
      <c r="X112" s="421"/>
    </row>
    <row r="113" spans="11:24" ht="19.899999999999999" customHeight="1">
      <c r="K113" s="72" t="s">
        <v>166</v>
      </c>
      <c r="L113" s="72" t="str">
        <f>VLOOKUP(K113,$V$79:$W$114,2,FALSE)</f>
        <v>AnM-R</v>
      </c>
      <c r="M113" s="72">
        <v>2.8</v>
      </c>
      <c r="N113" s="72">
        <v>2.8</v>
      </c>
      <c r="O113" s="72">
        <v>2.8</v>
      </c>
      <c r="P113" s="72" t="s">
        <v>2235</v>
      </c>
      <c r="Q113" s="72" t="s">
        <v>2235</v>
      </c>
      <c r="R113" s="487" t="s">
        <v>2235</v>
      </c>
      <c r="S113" s="1086"/>
      <c r="V113" s="72" t="s">
        <v>166</v>
      </c>
      <c r="W113" s="72" t="s">
        <v>166</v>
      </c>
      <c r="X113" s="421"/>
    </row>
    <row r="114" spans="11:24" ht="19.899999999999999" customHeight="1">
      <c r="K114" s="14"/>
      <c r="L114" s="1082" t="s">
        <v>2374</v>
      </c>
      <c r="M114" s="1083"/>
      <c r="N114" s="1083"/>
      <c r="O114" s="1083"/>
      <c r="P114" s="1083"/>
      <c r="Q114" s="1083"/>
      <c r="R114" s="1083"/>
      <c r="S114" s="1086"/>
      <c r="V114" s="1084" t="s">
        <v>2374</v>
      </c>
      <c r="W114" s="1084"/>
      <c r="X114" s="1084"/>
    </row>
    <row r="115" spans="11:24" ht="19.899999999999999" customHeight="1">
      <c r="K115" s="422" t="s">
        <v>2278</v>
      </c>
      <c r="L115" s="422"/>
      <c r="M115" s="423" t="s">
        <v>2291</v>
      </c>
      <c r="N115" s="423" t="s">
        <v>2291</v>
      </c>
      <c r="O115" s="423" t="s">
        <v>2291</v>
      </c>
      <c r="P115" s="423" t="s">
        <v>2280</v>
      </c>
      <c r="Q115" s="423" t="s">
        <v>2281</v>
      </c>
      <c r="R115" s="490" t="s">
        <v>2282</v>
      </c>
      <c r="S115" s="1086"/>
      <c r="V115" s="422" t="s">
        <v>2278</v>
      </c>
      <c r="W115" s="153"/>
      <c r="X115" s="153" t="s">
        <v>2294</v>
      </c>
    </row>
    <row r="116" spans="11:24" ht="19.899999999999999" customHeight="1">
      <c r="K116" s="1080"/>
      <c r="L116" s="1081"/>
      <c r="M116" s="1081"/>
      <c r="N116" s="1081"/>
      <c r="O116" s="1081"/>
      <c r="P116" s="1081"/>
      <c r="Q116" s="1081"/>
      <c r="R116" s="1081"/>
      <c r="S116" s="1086"/>
      <c r="V116" s="1080"/>
      <c r="W116" s="1081"/>
      <c r="X116" s="1085"/>
    </row>
    <row r="117" spans="11:24" ht="19.899999999999999" customHeight="1">
      <c r="K117" s="5" t="s">
        <v>153</v>
      </c>
      <c r="L117" s="5" t="str">
        <f t="shared" ref="L117:L148" si="29">VLOOKUP(K117,$V$117:$X$155,3,FALSE)</f>
        <v>C3RT</v>
      </c>
      <c r="M117" s="11">
        <v>4</v>
      </c>
      <c r="N117" s="11">
        <v>4</v>
      </c>
      <c r="O117" s="11">
        <v>4</v>
      </c>
      <c r="P117" s="11" t="s">
        <v>2235</v>
      </c>
      <c r="Q117" s="11" t="s">
        <v>2235</v>
      </c>
      <c r="R117" s="486" t="s">
        <v>2235</v>
      </c>
      <c r="S117" s="1086"/>
      <c r="V117" s="5" t="s">
        <v>153</v>
      </c>
      <c r="W117" s="11"/>
      <c r="X117" s="5" t="s">
        <v>2375</v>
      </c>
    </row>
    <row r="118" spans="11:24" ht="19.899999999999999" customHeight="1">
      <c r="K118" s="71" t="s">
        <v>158</v>
      </c>
      <c r="L118" s="71" t="str">
        <f t="shared" si="29"/>
        <v>C4RT</v>
      </c>
      <c r="M118" s="72">
        <v>4.2</v>
      </c>
      <c r="N118" s="72">
        <v>4.2</v>
      </c>
      <c r="O118" s="72">
        <v>4.2</v>
      </c>
      <c r="P118" s="72" t="s">
        <v>2235</v>
      </c>
      <c r="Q118" s="72" t="s">
        <v>2235</v>
      </c>
      <c r="R118" s="487" t="s">
        <v>2235</v>
      </c>
      <c r="S118" s="1086"/>
      <c r="V118" s="71" t="s">
        <v>158</v>
      </c>
      <c r="W118" s="72"/>
      <c r="X118" s="71" t="s">
        <v>2376</v>
      </c>
    </row>
    <row r="119" spans="11:24" ht="19.899999999999999" customHeight="1">
      <c r="K119" s="73" t="s">
        <v>151</v>
      </c>
      <c r="L119" s="73" t="str">
        <f t="shared" si="29"/>
        <v>C4RT</v>
      </c>
      <c r="M119" s="74">
        <f>M118</f>
        <v>4.2</v>
      </c>
      <c r="N119" s="74">
        <f>N118</f>
        <v>4.2</v>
      </c>
      <c r="O119" s="74">
        <f t="shared" ref="O119:R119" si="30">O118</f>
        <v>4.2</v>
      </c>
      <c r="P119" s="74" t="str">
        <f t="shared" si="30"/>
        <v>N.D.</v>
      </c>
      <c r="Q119" s="74" t="str">
        <f t="shared" si="30"/>
        <v>N.D.</v>
      </c>
      <c r="R119" s="488" t="str">
        <f t="shared" si="30"/>
        <v>N.D.</v>
      </c>
      <c r="S119" s="1086"/>
      <c r="V119" s="73" t="s">
        <v>151</v>
      </c>
      <c r="W119" s="74"/>
      <c r="X119" s="73" t="s">
        <v>2376</v>
      </c>
    </row>
    <row r="120" spans="11:24" ht="19.899999999999999" customHeight="1">
      <c r="K120" s="71" t="s">
        <v>148</v>
      </c>
      <c r="L120" s="71" t="str">
        <f t="shared" si="29"/>
        <v>C4RT</v>
      </c>
      <c r="M120" s="72">
        <v>4.7</v>
      </c>
      <c r="N120" s="72">
        <v>4.7</v>
      </c>
      <c r="O120" s="72">
        <v>4.7</v>
      </c>
      <c r="P120" s="72" t="s">
        <v>2235</v>
      </c>
      <c r="Q120" s="72" t="s">
        <v>2235</v>
      </c>
      <c r="R120" s="487" t="s">
        <v>2235</v>
      </c>
      <c r="S120" s="1086"/>
      <c r="V120" s="71" t="s">
        <v>148</v>
      </c>
      <c r="W120" s="74"/>
      <c r="X120" s="71" t="s">
        <v>2376</v>
      </c>
    </row>
    <row r="121" spans="11:24" ht="19.899999999999999" customHeight="1">
      <c r="K121" s="5" t="s">
        <v>398</v>
      </c>
      <c r="L121" s="5" t="str">
        <f t="shared" si="29"/>
        <v>C5RT</v>
      </c>
      <c r="M121" s="11">
        <v>4</v>
      </c>
      <c r="N121" s="11">
        <v>4</v>
      </c>
      <c r="O121" s="11">
        <v>4</v>
      </c>
      <c r="P121" s="11" t="s">
        <v>2235</v>
      </c>
      <c r="Q121" s="11" t="s">
        <v>2235</v>
      </c>
      <c r="R121" s="486" t="s">
        <v>2235</v>
      </c>
      <c r="S121" s="1086"/>
      <c r="V121" s="5" t="s">
        <v>398</v>
      </c>
      <c r="W121" s="11"/>
      <c r="X121" s="5" t="s">
        <v>2352</v>
      </c>
    </row>
    <row r="122" spans="11:24" ht="19.899999999999999" customHeight="1">
      <c r="K122" s="75" t="s">
        <v>181</v>
      </c>
      <c r="L122" s="75" t="str">
        <f t="shared" si="29"/>
        <v>C5RT</v>
      </c>
      <c r="M122" s="65">
        <f t="shared" ref="M122" si="31">M121</f>
        <v>4</v>
      </c>
      <c r="N122" s="65">
        <f t="shared" ref="N122:R122" si="32">N121</f>
        <v>4</v>
      </c>
      <c r="O122" s="65">
        <f t="shared" si="32"/>
        <v>4</v>
      </c>
      <c r="P122" s="65" t="str">
        <f t="shared" si="32"/>
        <v>N.D.</v>
      </c>
      <c r="Q122" s="65" t="str">
        <f t="shared" si="32"/>
        <v>N.D.</v>
      </c>
      <c r="R122" s="489" t="str">
        <f t="shared" si="32"/>
        <v>N.D.</v>
      </c>
      <c r="S122" s="1086"/>
      <c r="V122" s="75" t="s">
        <v>181</v>
      </c>
      <c r="W122" s="65"/>
      <c r="X122" s="75" t="s">
        <v>2352</v>
      </c>
    </row>
    <row r="123" spans="11:24" ht="19.899999999999999" customHeight="1">
      <c r="K123" s="5" t="s">
        <v>232</v>
      </c>
      <c r="L123" s="5" t="str">
        <f t="shared" si="29"/>
        <v>C5RT</v>
      </c>
      <c r="M123" s="11">
        <v>4.2</v>
      </c>
      <c r="N123" s="11">
        <v>4.2</v>
      </c>
      <c r="O123" s="11">
        <v>4.2</v>
      </c>
      <c r="P123" s="11" t="s">
        <v>2235</v>
      </c>
      <c r="Q123" s="11" t="s">
        <v>2235</v>
      </c>
      <c r="R123" s="486" t="s">
        <v>2235</v>
      </c>
      <c r="S123" s="1086"/>
      <c r="V123" s="5" t="s">
        <v>232</v>
      </c>
      <c r="W123" s="11"/>
      <c r="X123" s="5" t="s">
        <v>2352</v>
      </c>
    </row>
    <row r="124" spans="11:24" ht="19.899999999999999" customHeight="1">
      <c r="K124" s="71" t="s">
        <v>1714</v>
      </c>
      <c r="L124" s="71" t="str">
        <f t="shared" si="29"/>
        <v>C7RT</v>
      </c>
      <c r="M124" s="72">
        <v>4.5</v>
      </c>
      <c r="N124" s="72">
        <v>4.5</v>
      </c>
      <c r="O124" s="72">
        <v>4.5</v>
      </c>
      <c r="P124" s="72" t="s">
        <v>2235</v>
      </c>
      <c r="Q124" s="72" t="s">
        <v>2235</v>
      </c>
      <c r="R124" s="487" t="s">
        <v>2235</v>
      </c>
      <c r="S124" s="1086"/>
      <c r="V124" s="71" t="s">
        <v>1714</v>
      </c>
      <c r="W124" s="72"/>
      <c r="X124" s="71" t="s">
        <v>2377</v>
      </c>
    </row>
    <row r="125" spans="11:24" ht="19.899999999999999" customHeight="1">
      <c r="K125" s="73" t="s">
        <v>2299</v>
      </c>
      <c r="L125" s="73" t="str">
        <f t="shared" si="29"/>
        <v>C7RT</v>
      </c>
      <c r="M125" s="74">
        <f t="shared" ref="M125" si="33">M124</f>
        <v>4.5</v>
      </c>
      <c r="N125" s="74">
        <f t="shared" ref="N125:R125" si="34">N124</f>
        <v>4.5</v>
      </c>
      <c r="O125" s="74">
        <f t="shared" si="34"/>
        <v>4.5</v>
      </c>
      <c r="P125" s="74" t="str">
        <f t="shared" si="34"/>
        <v>N.D.</v>
      </c>
      <c r="Q125" s="74" t="str">
        <f t="shared" si="34"/>
        <v>N.D.</v>
      </c>
      <c r="R125" s="488" t="str">
        <f t="shared" si="34"/>
        <v>N.D.</v>
      </c>
      <c r="S125" s="1086"/>
      <c r="V125" s="73" t="s">
        <v>2299</v>
      </c>
      <c r="W125" s="74"/>
      <c r="X125" s="73" t="s">
        <v>2377</v>
      </c>
    </row>
    <row r="126" spans="11:24" ht="19.899999999999999" customHeight="1">
      <c r="K126" s="71" t="s">
        <v>562</v>
      </c>
      <c r="L126" s="71" t="str">
        <f t="shared" si="29"/>
        <v>C7RT</v>
      </c>
      <c r="M126" s="72">
        <v>4.4000000000000004</v>
      </c>
      <c r="N126" s="72">
        <v>4.4000000000000004</v>
      </c>
      <c r="O126" s="72">
        <v>4.4000000000000004</v>
      </c>
      <c r="P126" s="72" t="s">
        <v>2235</v>
      </c>
      <c r="Q126" s="72" t="s">
        <v>2235</v>
      </c>
      <c r="R126" s="487" t="s">
        <v>2235</v>
      </c>
      <c r="S126" s="1086"/>
      <c r="V126" s="71" t="s">
        <v>562</v>
      </c>
      <c r="W126" s="72"/>
      <c r="X126" s="71" t="s">
        <v>2377</v>
      </c>
    </row>
    <row r="127" spans="11:24" ht="19.899999999999999" customHeight="1">
      <c r="K127" s="71" t="s">
        <v>123</v>
      </c>
      <c r="L127" s="71" t="str">
        <f t="shared" si="29"/>
        <v>C9RT</v>
      </c>
      <c r="M127" s="72">
        <v>5</v>
      </c>
      <c r="N127" s="72">
        <v>5</v>
      </c>
      <c r="O127" s="72">
        <v>5</v>
      </c>
      <c r="P127" s="72" t="s">
        <v>2235</v>
      </c>
      <c r="Q127" s="72" t="s">
        <v>2235</v>
      </c>
      <c r="R127" s="487" t="s">
        <v>2235</v>
      </c>
      <c r="S127" s="1086"/>
      <c r="V127" s="71" t="s">
        <v>123</v>
      </c>
      <c r="W127" s="72"/>
      <c r="X127" s="71" t="s">
        <v>2378</v>
      </c>
    </row>
    <row r="128" spans="11:24" ht="19.899999999999999" customHeight="1">
      <c r="K128" s="71" t="s">
        <v>268</v>
      </c>
      <c r="L128" s="71" t="str">
        <f t="shared" si="29"/>
        <v>C7RT</v>
      </c>
      <c r="M128" s="72">
        <v>5</v>
      </c>
      <c r="N128" s="72">
        <v>5</v>
      </c>
      <c r="O128" s="72">
        <v>5</v>
      </c>
      <c r="P128" s="72" t="s">
        <v>2235</v>
      </c>
      <c r="Q128" s="72" t="s">
        <v>2235</v>
      </c>
      <c r="R128" s="487" t="s">
        <v>2235</v>
      </c>
      <c r="S128" s="1086"/>
      <c r="V128" s="71" t="s">
        <v>268</v>
      </c>
      <c r="W128" s="72"/>
      <c r="X128" s="71" t="s">
        <v>2377</v>
      </c>
    </row>
    <row r="129" spans="11:24" ht="19.899999999999999" customHeight="1">
      <c r="K129" s="71" t="s">
        <v>250</v>
      </c>
      <c r="L129" s="71" t="str">
        <f t="shared" si="29"/>
        <v>2C4RT</v>
      </c>
      <c r="M129" s="72">
        <v>7.4</v>
      </c>
      <c r="N129" s="72">
        <v>7.4</v>
      </c>
      <c r="O129" s="72">
        <v>7.4</v>
      </c>
      <c r="P129" s="72" t="s">
        <v>2235</v>
      </c>
      <c r="Q129" s="72" t="s">
        <v>2235</v>
      </c>
      <c r="R129" s="487" t="s">
        <v>2235</v>
      </c>
      <c r="S129" s="1086"/>
      <c r="V129" s="71" t="s">
        <v>250</v>
      </c>
      <c r="W129" s="74"/>
      <c r="X129" s="71" t="s">
        <v>2379</v>
      </c>
    </row>
    <row r="130" spans="11:24" ht="19.899999999999999" customHeight="1">
      <c r="K130" s="5" t="s">
        <v>1862</v>
      </c>
      <c r="L130" s="5" t="str">
        <f t="shared" si="29"/>
        <v>C8RT</v>
      </c>
      <c r="M130" s="11">
        <v>6</v>
      </c>
      <c r="N130" s="11">
        <v>6</v>
      </c>
      <c r="O130" s="11">
        <v>6</v>
      </c>
      <c r="P130" s="11" t="s">
        <v>2235</v>
      </c>
      <c r="Q130" s="11" t="s">
        <v>2235</v>
      </c>
      <c r="R130" s="486" t="s">
        <v>2235</v>
      </c>
      <c r="S130" s="1086"/>
      <c r="V130" s="5" t="s">
        <v>1862</v>
      </c>
      <c r="W130" s="11"/>
      <c r="X130" s="5" t="s">
        <v>2380</v>
      </c>
    </row>
    <row r="131" spans="11:24" ht="19.899999999999999" customHeight="1">
      <c r="K131" s="75" t="s">
        <v>1610</v>
      </c>
      <c r="L131" s="75" t="str">
        <f t="shared" si="29"/>
        <v>C8RT</v>
      </c>
      <c r="M131" s="65">
        <f t="shared" ref="M131" si="35">M130</f>
        <v>6</v>
      </c>
      <c r="N131" s="65">
        <f t="shared" ref="N131:R131" si="36">N130</f>
        <v>6</v>
      </c>
      <c r="O131" s="65">
        <f t="shared" si="36"/>
        <v>6</v>
      </c>
      <c r="P131" s="65" t="str">
        <f t="shared" si="36"/>
        <v>N.D.</v>
      </c>
      <c r="Q131" s="65" t="str">
        <f t="shared" si="36"/>
        <v>N.D.</v>
      </c>
      <c r="R131" s="489" t="str">
        <f t="shared" si="36"/>
        <v>N.D.</v>
      </c>
      <c r="S131" s="1086"/>
      <c r="V131" s="75" t="s">
        <v>1610</v>
      </c>
      <c r="W131" s="65"/>
      <c r="X131" s="75" t="s">
        <v>2380</v>
      </c>
    </row>
    <row r="132" spans="11:24" ht="19.899999999999999" customHeight="1">
      <c r="K132" s="5" t="s">
        <v>2311</v>
      </c>
      <c r="L132" s="5" t="str">
        <f t="shared" si="29"/>
        <v>C8RT</v>
      </c>
      <c r="M132" s="11" t="s">
        <v>2235</v>
      </c>
      <c r="N132" s="11" t="s">
        <v>2235</v>
      </c>
      <c r="O132" s="11" t="s">
        <v>2235</v>
      </c>
      <c r="P132" s="11" t="s">
        <v>2235</v>
      </c>
      <c r="Q132" s="11" t="s">
        <v>2235</v>
      </c>
      <c r="R132" s="486" t="s">
        <v>2235</v>
      </c>
      <c r="S132" s="1086"/>
      <c r="V132" s="5" t="s">
        <v>2311</v>
      </c>
      <c r="W132" s="65"/>
      <c r="X132" s="5" t="s">
        <v>2380</v>
      </c>
    </row>
    <row r="133" spans="11:24" ht="19.899999999999999" customHeight="1">
      <c r="K133" s="71" t="s">
        <v>2039</v>
      </c>
      <c r="L133" s="71" t="str">
        <f t="shared" si="29"/>
        <v>C9RT</v>
      </c>
      <c r="M133" s="72">
        <v>5</v>
      </c>
      <c r="N133" s="72">
        <v>5</v>
      </c>
      <c r="O133" s="72">
        <v>5</v>
      </c>
      <c r="P133" s="72" t="s">
        <v>2235</v>
      </c>
      <c r="Q133" s="72" t="s">
        <v>2235</v>
      </c>
      <c r="R133" s="487" t="s">
        <v>2235</v>
      </c>
      <c r="S133" s="1086"/>
      <c r="V133" s="71" t="s">
        <v>2039</v>
      </c>
      <c r="W133" s="72"/>
      <c r="X133" s="71" t="s">
        <v>2378</v>
      </c>
    </row>
    <row r="134" spans="11:24" ht="19.899999999999999" customHeight="1">
      <c r="K134" s="71" t="s">
        <v>2009</v>
      </c>
      <c r="L134" s="71" t="str">
        <f t="shared" si="29"/>
        <v>C5RT</v>
      </c>
      <c r="M134" s="72">
        <v>4.5999999999999996</v>
      </c>
      <c r="N134" s="72">
        <v>4.5999999999999996</v>
      </c>
      <c r="O134" s="72">
        <v>4.5999999999999996</v>
      </c>
      <c r="P134" s="72" t="s">
        <v>2235</v>
      </c>
      <c r="Q134" s="72" t="s">
        <v>2235</v>
      </c>
      <c r="R134" s="487" t="s">
        <v>2235</v>
      </c>
      <c r="S134" s="1086"/>
      <c r="V134" s="71" t="s">
        <v>2009</v>
      </c>
      <c r="W134" s="72"/>
      <c r="X134" s="71" t="s">
        <v>2352</v>
      </c>
    </row>
    <row r="135" spans="11:24" ht="19.899999999999999" customHeight="1">
      <c r="K135" s="71" t="s">
        <v>142</v>
      </c>
      <c r="L135" s="71" t="str">
        <f t="shared" si="29"/>
        <v>C9RT</v>
      </c>
      <c r="M135" s="72">
        <v>5</v>
      </c>
      <c r="N135" s="72">
        <v>5</v>
      </c>
      <c r="O135" s="72">
        <v>5</v>
      </c>
      <c r="P135" s="72" t="s">
        <v>2235</v>
      </c>
      <c r="Q135" s="72" t="s">
        <v>2235</v>
      </c>
      <c r="R135" s="487" t="s">
        <v>2235</v>
      </c>
      <c r="S135" s="1086"/>
      <c r="V135" s="71" t="s">
        <v>142</v>
      </c>
      <c r="W135" s="72"/>
      <c r="X135" s="71" t="s">
        <v>2378</v>
      </c>
    </row>
    <row r="136" spans="11:24" ht="19.899999999999999" customHeight="1">
      <c r="K136" s="71" t="s">
        <v>568</v>
      </c>
      <c r="L136" s="71" t="str">
        <f t="shared" si="29"/>
        <v>C9RT</v>
      </c>
      <c r="M136" s="72">
        <v>5.4</v>
      </c>
      <c r="N136" s="72">
        <v>5.4</v>
      </c>
      <c r="O136" s="72">
        <v>5.4</v>
      </c>
      <c r="P136" s="72" t="s">
        <v>2235</v>
      </c>
      <c r="Q136" s="72" t="s">
        <v>2235</v>
      </c>
      <c r="R136" s="487" t="s">
        <v>2235</v>
      </c>
      <c r="S136" s="1086"/>
      <c r="V136" s="71" t="s">
        <v>568</v>
      </c>
      <c r="W136" s="72"/>
      <c r="X136" s="71" t="s">
        <v>2378</v>
      </c>
    </row>
    <row r="137" spans="11:24" ht="19.899999999999999" customHeight="1">
      <c r="K137" s="5" t="s">
        <v>1740</v>
      </c>
      <c r="L137" s="5" t="str">
        <f t="shared" si="29"/>
        <v>C10RT</v>
      </c>
      <c r="M137" s="11" t="s">
        <v>2235</v>
      </c>
      <c r="N137" s="11" t="s">
        <v>2235</v>
      </c>
      <c r="O137" s="11" t="s">
        <v>2235</v>
      </c>
      <c r="P137" s="11" t="s">
        <v>2235</v>
      </c>
      <c r="Q137" s="11" t="s">
        <v>2235</v>
      </c>
      <c r="R137" s="486" t="s">
        <v>2235</v>
      </c>
      <c r="S137" s="1086"/>
      <c r="V137" s="5" t="s">
        <v>1740</v>
      </c>
      <c r="W137" s="11"/>
      <c r="X137" s="5" t="s">
        <v>2381</v>
      </c>
    </row>
    <row r="138" spans="11:24" ht="19.899999999999999" customHeight="1">
      <c r="K138" s="71" t="s">
        <v>1408</v>
      </c>
      <c r="L138" s="71" t="str">
        <f t="shared" si="29"/>
        <v>C11RT</v>
      </c>
      <c r="M138" s="72" t="s">
        <v>2235</v>
      </c>
      <c r="N138" s="72" t="s">
        <v>2235</v>
      </c>
      <c r="O138" s="72" t="s">
        <v>2235</v>
      </c>
      <c r="P138" s="72" t="s">
        <v>2235</v>
      </c>
      <c r="Q138" s="72" t="s">
        <v>2235</v>
      </c>
      <c r="R138" s="487" t="s">
        <v>2235</v>
      </c>
      <c r="S138" s="1086"/>
      <c r="V138" s="71" t="s">
        <v>1408</v>
      </c>
      <c r="W138" s="72"/>
      <c r="X138" s="71" t="s">
        <v>2382</v>
      </c>
    </row>
    <row r="139" spans="11:24" ht="19.899999999999999" customHeight="1">
      <c r="K139" s="71" t="s">
        <v>455</v>
      </c>
      <c r="L139" s="71" t="str">
        <f t="shared" si="29"/>
        <v>C11RT</v>
      </c>
      <c r="M139" s="72">
        <v>6</v>
      </c>
      <c r="N139" s="72">
        <v>6</v>
      </c>
      <c r="O139" s="72">
        <v>6</v>
      </c>
      <c r="P139" s="72" t="s">
        <v>2235</v>
      </c>
      <c r="Q139" s="72" t="s">
        <v>2235</v>
      </c>
      <c r="R139" s="487" t="s">
        <v>2235</v>
      </c>
      <c r="S139" s="1086"/>
      <c r="V139" s="71" t="s">
        <v>455</v>
      </c>
      <c r="W139" s="72"/>
      <c r="X139" s="71" t="s">
        <v>2382</v>
      </c>
    </row>
    <row r="140" spans="11:24" ht="19.899999999999999" customHeight="1">
      <c r="K140" s="5" t="s">
        <v>247</v>
      </c>
      <c r="L140" s="5" t="str">
        <f t="shared" si="29"/>
        <v>C12RT</v>
      </c>
      <c r="M140" s="11">
        <v>8.5</v>
      </c>
      <c r="N140" s="11">
        <v>8.5</v>
      </c>
      <c r="O140" s="11">
        <v>8.5</v>
      </c>
      <c r="P140" s="11" t="s">
        <v>2235</v>
      </c>
      <c r="Q140" s="11" t="s">
        <v>2235</v>
      </c>
      <c r="R140" s="486" t="s">
        <v>2235</v>
      </c>
      <c r="S140" s="1086"/>
      <c r="V140" s="5" t="s">
        <v>247</v>
      </c>
      <c r="W140" s="11"/>
      <c r="X140" s="5" t="s">
        <v>2383</v>
      </c>
    </row>
    <row r="141" spans="11:24" ht="19.899999999999999" customHeight="1">
      <c r="K141" s="71" t="s">
        <v>2048</v>
      </c>
      <c r="L141" s="71" t="str">
        <f t="shared" si="29"/>
        <v>C13RT</v>
      </c>
      <c r="M141" s="72" t="s">
        <v>2235</v>
      </c>
      <c r="N141" s="72" t="s">
        <v>2235</v>
      </c>
      <c r="O141" s="72" t="s">
        <v>2235</v>
      </c>
      <c r="P141" s="72" t="s">
        <v>2235</v>
      </c>
      <c r="Q141" s="72" t="s">
        <v>2235</v>
      </c>
      <c r="R141" s="487" t="s">
        <v>2235</v>
      </c>
      <c r="S141" s="1086"/>
      <c r="V141" s="71" t="s">
        <v>2048</v>
      </c>
      <c r="W141" s="72"/>
      <c r="X141" s="71" t="s">
        <v>2384</v>
      </c>
    </row>
    <row r="142" spans="11:24" ht="19.899999999999999" customHeight="1">
      <c r="K142" s="5" t="s">
        <v>183</v>
      </c>
      <c r="L142" s="5" t="str">
        <f t="shared" si="29"/>
        <v>2C3RT</v>
      </c>
      <c r="M142" s="11">
        <v>4.5</v>
      </c>
      <c r="N142" s="11">
        <v>4.5</v>
      </c>
      <c r="O142" s="11">
        <v>4.5</v>
      </c>
      <c r="P142" s="11" t="s">
        <v>2235</v>
      </c>
      <c r="Q142" s="11" t="s">
        <v>2235</v>
      </c>
      <c r="R142" s="486" t="s">
        <v>2235</v>
      </c>
      <c r="S142" s="1086"/>
      <c r="V142" s="5" t="s">
        <v>183</v>
      </c>
      <c r="W142" s="11"/>
      <c r="X142" s="5" t="s">
        <v>2385</v>
      </c>
    </row>
    <row r="143" spans="11:24" ht="19.899999999999999" customHeight="1">
      <c r="K143" s="5" t="s">
        <v>298</v>
      </c>
      <c r="L143" s="5" t="str">
        <f t="shared" si="29"/>
        <v>2C3RT</v>
      </c>
      <c r="M143" s="11">
        <v>5</v>
      </c>
      <c r="N143" s="11">
        <v>5</v>
      </c>
      <c r="O143" s="11">
        <v>5</v>
      </c>
      <c r="P143" s="11" t="s">
        <v>2235</v>
      </c>
      <c r="Q143" s="11" t="s">
        <v>2235</v>
      </c>
      <c r="R143" s="486" t="s">
        <v>2235</v>
      </c>
      <c r="S143" s="1086"/>
      <c r="V143" s="5" t="s">
        <v>298</v>
      </c>
      <c r="W143" s="65"/>
      <c r="X143" s="5" t="s">
        <v>2385</v>
      </c>
    </row>
    <row r="144" spans="11:24" ht="19.899999999999999" customHeight="1">
      <c r="K144" s="71" t="s">
        <v>206</v>
      </c>
      <c r="L144" s="71" t="str">
        <f t="shared" si="29"/>
        <v>2C4RT</v>
      </c>
      <c r="M144" s="72">
        <v>4.5</v>
      </c>
      <c r="N144" s="72">
        <v>4.5</v>
      </c>
      <c r="O144" s="72">
        <v>4.5</v>
      </c>
      <c r="P144" s="72" t="str">
        <f t="shared" ref="P144:R144" si="37">P143</f>
        <v>N.D.</v>
      </c>
      <c r="Q144" s="72" t="str">
        <f t="shared" si="37"/>
        <v>N.D.</v>
      </c>
      <c r="R144" s="487" t="str">
        <f t="shared" si="37"/>
        <v>N.D.</v>
      </c>
      <c r="S144" s="1086"/>
      <c r="V144" s="71" t="s">
        <v>206</v>
      </c>
      <c r="W144" s="72"/>
      <c r="X144" s="71" t="s">
        <v>2379</v>
      </c>
    </row>
    <row r="145" spans="2:24" ht="19.899999999999999" customHeight="1">
      <c r="K145" s="71" t="s">
        <v>2332</v>
      </c>
      <c r="L145" s="71" t="str">
        <f t="shared" si="29"/>
        <v>2C4RT</v>
      </c>
      <c r="M145" s="72">
        <v>7.4</v>
      </c>
      <c r="N145" s="72">
        <v>7.4</v>
      </c>
      <c r="O145" s="72">
        <v>7.4</v>
      </c>
      <c r="P145" s="72" t="str">
        <f t="shared" ref="P145:R145" si="38">P144</f>
        <v>N.D.</v>
      </c>
      <c r="Q145" s="72" t="str">
        <f t="shared" si="38"/>
        <v>N.D.</v>
      </c>
      <c r="R145" s="487" t="str">
        <f t="shared" si="38"/>
        <v>N.D.</v>
      </c>
      <c r="S145" s="1086"/>
      <c r="V145" s="71" t="s">
        <v>2332</v>
      </c>
      <c r="W145" s="72"/>
      <c r="X145" s="71" t="s">
        <v>2379</v>
      </c>
    </row>
    <row r="146" spans="2:24" ht="19.899999999999999" customHeight="1">
      <c r="K146" s="5" t="s">
        <v>2333</v>
      </c>
      <c r="L146" s="5" t="str">
        <f t="shared" si="29"/>
        <v>2C7RT</v>
      </c>
      <c r="M146" s="11" t="s">
        <v>2235</v>
      </c>
      <c r="N146" s="11" t="s">
        <v>2235</v>
      </c>
      <c r="O146" s="11" t="s">
        <v>2235</v>
      </c>
      <c r="P146" s="11" t="s">
        <v>2235</v>
      </c>
      <c r="Q146" s="11" t="s">
        <v>2235</v>
      </c>
      <c r="R146" s="486" t="s">
        <v>2235</v>
      </c>
      <c r="S146" s="1086"/>
      <c r="V146" s="5" t="s">
        <v>2333</v>
      </c>
      <c r="W146" s="11"/>
      <c r="X146" s="5" t="s">
        <v>2386</v>
      </c>
    </row>
    <row r="147" spans="2:24" ht="19.899999999999999" customHeight="1">
      <c r="K147" s="71" t="s">
        <v>2056</v>
      </c>
      <c r="L147" s="71" t="str">
        <f t="shared" si="29"/>
        <v>2C4FRT</v>
      </c>
      <c r="M147" s="72" t="s">
        <v>2235</v>
      </c>
      <c r="N147" s="72" t="s">
        <v>2235</v>
      </c>
      <c r="O147" s="72" t="s">
        <v>2235</v>
      </c>
      <c r="P147" s="72" t="s">
        <v>2235</v>
      </c>
      <c r="Q147" s="72" t="s">
        <v>2235</v>
      </c>
      <c r="R147" s="487" t="s">
        <v>2235</v>
      </c>
      <c r="S147" s="1086"/>
      <c r="V147" s="71" t="s">
        <v>2056</v>
      </c>
      <c r="W147" s="72"/>
      <c r="X147" s="71" t="s">
        <v>2387</v>
      </c>
    </row>
    <row r="148" spans="2:24" ht="19.899999999999999" customHeight="1">
      <c r="K148" s="5" t="s">
        <v>2057</v>
      </c>
      <c r="L148" s="5" t="str">
        <f t="shared" si="29"/>
        <v>C12FRT</v>
      </c>
      <c r="M148" s="11" t="s">
        <v>2235</v>
      </c>
      <c r="N148" s="11" t="s">
        <v>2235</v>
      </c>
      <c r="O148" s="11" t="s">
        <v>2235</v>
      </c>
      <c r="P148" s="11" t="s">
        <v>2235</v>
      </c>
      <c r="Q148" s="11" t="s">
        <v>2235</v>
      </c>
      <c r="R148" s="486" t="s">
        <v>2235</v>
      </c>
      <c r="S148" s="1086"/>
      <c r="V148" s="5" t="s">
        <v>2057</v>
      </c>
      <c r="W148" s="11"/>
      <c r="X148" s="5" t="s">
        <v>2388</v>
      </c>
    </row>
    <row r="149" spans="2:24" ht="19.899999999999999" customHeight="1">
      <c r="K149" s="5" t="s">
        <v>128</v>
      </c>
      <c r="L149" s="633" t="s">
        <v>2373</v>
      </c>
      <c r="M149" s="11">
        <v>1.2</v>
      </c>
      <c r="N149" s="11">
        <v>1.2</v>
      </c>
      <c r="O149" s="11">
        <v>1.2</v>
      </c>
      <c r="P149" s="11" t="s">
        <v>2235</v>
      </c>
      <c r="Q149" s="11"/>
      <c r="R149" s="486"/>
      <c r="S149" s="1086"/>
      <c r="V149" s="5" t="s">
        <v>128</v>
      </c>
      <c r="W149" s="11"/>
      <c r="X149" s="5" t="s">
        <v>2373</v>
      </c>
    </row>
    <row r="150" spans="2:24" ht="19.899999999999999" customHeight="1">
      <c r="K150" s="72" t="s">
        <v>315</v>
      </c>
      <c r="L150" s="72" t="str">
        <f>VLOOKUP(K150,$V$117:$X$155,3,FALSE)</f>
        <v>AnMC-RT</v>
      </c>
      <c r="M150" s="72">
        <v>3.9</v>
      </c>
      <c r="N150" s="72">
        <v>3.9</v>
      </c>
      <c r="O150" s="72">
        <v>3.9</v>
      </c>
      <c r="P150" s="72" t="s">
        <v>2235</v>
      </c>
      <c r="Q150" s="72" t="s">
        <v>2235</v>
      </c>
      <c r="R150" s="487" t="s">
        <v>2235</v>
      </c>
      <c r="S150" s="1086"/>
      <c r="V150" s="72" t="s">
        <v>315</v>
      </c>
      <c r="W150" s="72"/>
      <c r="X150" s="72" t="s">
        <v>315</v>
      </c>
    </row>
    <row r="151" spans="2:24" ht="19.899999999999999" customHeight="1">
      <c r="K151" s="72" t="s">
        <v>324</v>
      </c>
      <c r="L151" s="72" t="str">
        <f>VLOOKUP(K151,$V$117:$X$155,3,FALSE)</f>
        <v>AnM-RT</v>
      </c>
      <c r="M151" s="72">
        <v>2.8</v>
      </c>
      <c r="N151" s="72">
        <v>2.8</v>
      </c>
      <c r="O151" s="72">
        <v>2.8</v>
      </c>
      <c r="P151" s="72" t="s">
        <v>2235</v>
      </c>
      <c r="Q151" s="72" t="s">
        <v>2235</v>
      </c>
      <c r="R151" s="487" t="s">
        <v>2235</v>
      </c>
      <c r="S151" s="1086"/>
      <c r="V151" s="72" t="s">
        <v>324</v>
      </c>
      <c r="W151" s="72"/>
      <c r="X151" s="72" t="s">
        <v>324</v>
      </c>
    </row>
    <row r="152" spans="2:24" ht="19.899999999999999" customHeight="1"/>
    <row r="153" spans="2:24" ht="19.899999999999999" customHeight="1"/>
    <row r="154" spans="2:24" ht="19.899999999999999" customHeight="1"/>
    <row r="155" spans="2:24" ht="19.899999999999999" customHeight="1"/>
    <row r="156" spans="2:24" ht="19.899999999999999" customHeight="1"/>
    <row r="157" spans="2:24" ht="49.9" customHeight="1">
      <c r="B157" s="1101" t="s">
        <v>2389</v>
      </c>
      <c r="C157" s="1101"/>
      <c r="D157" s="1101"/>
      <c r="E157" s="1100" t="s">
        <v>2390</v>
      </c>
      <c r="F157" s="1100"/>
      <c r="G157" s="1100"/>
      <c r="H157" s="1100"/>
      <c r="I157" s="1100"/>
      <c r="J157" s="1100"/>
      <c r="K157" s="1100"/>
      <c r="L157" s="1100"/>
      <c r="M157" s="1100"/>
      <c r="N157" s="1100"/>
      <c r="O157" s="1100"/>
      <c r="P157" s="1100"/>
      <c r="Q157" s="1100"/>
      <c r="R157" s="1100"/>
      <c r="S157" s="1100"/>
    </row>
    <row r="158" spans="2:24" ht="49.9" customHeight="1">
      <c r="B158" s="1101" t="s">
        <v>2391</v>
      </c>
      <c r="C158" s="1101"/>
      <c r="D158" s="1101"/>
      <c r="E158" s="1100" t="s">
        <v>2392</v>
      </c>
      <c r="F158" s="1100"/>
      <c r="G158" s="1100"/>
      <c r="H158" s="1100"/>
      <c r="I158" s="1100"/>
      <c r="J158" s="1100"/>
      <c r="K158" s="1100"/>
      <c r="L158" s="1100"/>
      <c r="M158" s="1100"/>
      <c r="N158" s="1100"/>
      <c r="O158" s="1100"/>
      <c r="P158" s="1100"/>
      <c r="Q158" s="1100"/>
      <c r="R158" s="1100"/>
      <c r="S158" s="1100"/>
    </row>
    <row r="159" spans="2:24" ht="10.15" customHeight="1"/>
    <row r="160" spans="2:24" ht="49.9" customHeight="1">
      <c r="B160" s="1101" t="s">
        <v>2393</v>
      </c>
      <c r="C160" s="1101"/>
      <c r="D160" s="1101"/>
      <c r="E160" s="1100" t="s">
        <v>2394</v>
      </c>
      <c r="F160" s="1100"/>
      <c r="G160" s="1100"/>
      <c r="H160" s="1100"/>
      <c r="I160" s="1100"/>
      <c r="J160" s="1100"/>
      <c r="K160" s="1100"/>
      <c r="L160" s="1100"/>
      <c r="M160" s="1100"/>
      <c r="N160" s="1100"/>
      <c r="O160" s="1100"/>
      <c r="P160" s="1100"/>
      <c r="Q160" s="1100"/>
      <c r="R160" s="1100"/>
      <c r="S160" s="1100"/>
    </row>
    <row r="161" spans="2:19" ht="49.9" customHeight="1">
      <c r="B161" s="1101" t="s">
        <v>2395</v>
      </c>
      <c r="C161" s="1101"/>
      <c r="D161" s="1101"/>
      <c r="E161" s="1100" t="s">
        <v>2396</v>
      </c>
      <c r="F161" s="1100"/>
      <c r="G161" s="1100"/>
      <c r="H161" s="1100"/>
      <c r="I161" s="1100"/>
      <c r="J161" s="1100"/>
      <c r="K161" s="1100"/>
      <c r="L161" s="1100"/>
      <c r="M161" s="1100"/>
      <c r="N161" s="1100"/>
      <c r="O161" s="1100"/>
      <c r="P161" s="1100"/>
      <c r="Q161" s="1100"/>
      <c r="R161" s="1100"/>
      <c r="S161" s="1100"/>
    </row>
    <row r="162" spans="2:19" ht="10.15" customHeight="1">
      <c r="E162" s="564"/>
      <c r="F162" s="564"/>
      <c r="G162" s="564"/>
      <c r="H162" s="564"/>
      <c r="I162" s="564"/>
      <c r="J162" s="564"/>
      <c r="K162" s="564"/>
      <c r="L162" s="564"/>
      <c r="M162" s="564"/>
      <c r="N162" s="564"/>
      <c r="O162" s="564"/>
      <c r="P162" s="564"/>
      <c r="Q162" s="564"/>
      <c r="R162" s="564"/>
      <c r="S162" s="564"/>
    </row>
    <row r="163" spans="2:19" ht="49.9" customHeight="1">
      <c r="B163" s="1101" t="s">
        <v>2397</v>
      </c>
      <c r="C163" s="1101"/>
      <c r="D163" s="1101"/>
      <c r="E163" s="1100" t="s">
        <v>2398</v>
      </c>
      <c r="F163" s="1100"/>
      <c r="G163" s="1100"/>
      <c r="H163" s="1100"/>
      <c r="I163" s="1100"/>
      <c r="J163" s="1100"/>
      <c r="K163" s="1100"/>
      <c r="L163" s="1100"/>
      <c r="M163" s="1100"/>
      <c r="N163" s="1100"/>
      <c r="O163" s="1100"/>
      <c r="P163" s="1100"/>
      <c r="Q163" s="1100"/>
      <c r="R163" s="1100"/>
      <c r="S163" s="1100"/>
    </row>
    <row r="164" spans="2:19" ht="49.9" customHeight="1">
      <c r="B164" s="1101" t="s">
        <v>2399</v>
      </c>
      <c r="C164" s="1101"/>
      <c r="D164" s="1101"/>
      <c r="E164" s="1100" t="s">
        <v>2400</v>
      </c>
      <c r="F164" s="1100"/>
      <c r="G164" s="1100"/>
      <c r="H164" s="1100"/>
      <c r="I164" s="1100"/>
      <c r="J164" s="1100"/>
      <c r="K164" s="1100"/>
      <c r="L164" s="1100"/>
      <c r="M164" s="1100"/>
      <c r="N164" s="1100"/>
      <c r="O164" s="1100"/>
      <c r="P164" s="1100"/>
      <c r="Q164" s="1100"/>
      <c r="R164" s="1100"/>
      <c r="S164" s="1100"/>
    </row>
    <row r="165" spans="2:19" ht="49.9" customHeight="1">
      <c r="E165" s="564"/>
      <c r="F165" s="564"/>
      <c r="G165" s="564"/>
      <c r="H165" s="564"/>
      <c r="I165" s="564"/>
      <c r="J165" s="564"/>
      <c r="K165" s="564"/>
      <c r="L165" s="564"/>
      <c r="M165" s="564"/>
      <c r="N165" s="564"/>
      <c r="O165" s="564"/>
      <c r="P165" s="564"/>
      <c r="Q165" s="564"/>
      <c r="R165" s="564"/>
      <c r="S165" s="564"/>
    </row>
    <row r="166" spans="2:19" ht="49.9" customHeight="1">
      <c r="B166" s="1101" t="s">
        <v>71</v>
      </c>
      <c r="C166" s="1101"/>
      <c r="D166" s="1101"/>
      <c r="E166" s="1100" t="s">
        <v>2401</v>
      </c>
      <c r="F166" s="1100"/>
      <c r="G166" s="1100"/>
      <c r="H166" s="1100"/>
      <c r="I166" s="1100"/>
      <c r="J166" s="1100"/>
      <c r="K166" s="1100"/>
      <c r="L166" s="1100"/>
      <c r="M166" s="1100"/>
      <c r="N166" s="1100"/>
      <c r="O166" s="1100"/>
      <c r="P166" s="1100"/>
      <c r="Q166" s="1100"/>
      <c r="R166" s="1100"/>
      <c r="S166" s="1100"/>
    </row>
    <row r="167" spans="2:19" ht="45" customHeight="1"/>
    <row r="168" spans="2:19" ht="45" customHeight="1"/>
    <row r="169" spans="2:19" ht="45" customHeight="1"/>
    <row r="170" spans="2:19" ht="45" customHeight="1"/>
    <row r="171" spans="2:19" ht="19.899999999999999" customHeight="1"/>
    <row r="172" spans="2:19" ht="19.899999999999999" customHeight="1"/>
    <row r="173" spans="2:19" ht="19.899999999999999" customHeight="1"/>
    <row r="174" spans="2:19" ht="19.899999999999999" customHeight="1"/>
    <row r="175" spans="2:19" ht="19.899999999999999" customHeight="1"/>
    <row r="176" spans="2:19" ht="19.899999999999999" customHeight="1"/>
    <row r="177" ht="19.899999999999999" customHeight="1"/>
    <row r="178" ht="19.899999999999999" customHeight="1"/>
    <row r="179" ht="19.899999999999999" customHeight="1"/>
    <row r="180" ht="19.899999999999999" customHeight="1"/>
    <row r="181" ht="19.899999999999999" customHeight="1"/>
    <row r="182" ht="19.899999999999999" customHeight="1"/>
    <row r="183" ht="19.899999999999999" customHeight="1"/>
    <row r="184" ht="19.899999999999999" customHeight="1"/>
    <row r="185" ht="19.899999999999999" customHeight="1"/>
    <row r="186" ht="19.899999999999999" customHeight="1"/>
    <row r="187" ht="19.899999999999999" customHeight="1"/>
    <row r="188" ht="19.899999999999999" customHeight="1"/>
    <row r="189" ht="19.899999999999999" customHeight="1"/>
    <row r="190" ht="19.899999999999999" customHeight="1"/>
    <row r="191" ht="19.899999999999999" customHeight="1"/>
    <row r="192" ht="19.899999999999999" customHeight="1"/>
    <row r="193" ht="19.899999999999999" customHeight="1"/>
    <row r="194" ht="19.899999999999999" customHeight="1"/>
    <row r="195" ht="19.899999999999999" customHeight="1"/>
    <row r="196" ht="19.899999999999999" customHeight="1"/>
    <row r="197" ht="19.899999999999999" customHeight="1"/>
    <row r="198" ht="19.899999999999999" customHeight="1"/>
    <row r="199" ht="19.899999999999999" customHeight="1"/>
    <row r="200" ht="19.899999999999999" customHeight="1"/>
    <row r="201" ht="19.899999999999999" customHeight="1"/>
    <row r="202" ht="19.899999999999999" customHeight="1"/>
    <row r="203" ht="19.899999999999999" customHeight="1"/>
    <row r="204" ht="19.899999999999999" customHeight="1"/>
    <row r="205" ht="19.899999999999999" customHeight="1"/>
    <row r="206" ht="19.899999999999999" customHeight="1"/>
    <row r="207" ht="19.899999999999999" customHeight="1"/>
    <row r="208" ht="19.899999999999999" customHeight="1"/>
    <row r="209" ht="19.899999999999999" customHeight="1"/>
    <row r="210" ht="19.899999999999999" customHeight="1"/>
    <row r="211" ht="19.899999999999999" customHeight="1"/>
    <row r="212" ht="19.899999999999999" customHeight="1"/>
    <row r="213" ht="19.899999999999999" customHeight="1"/>
    <row r="214" ht="19.899999999999999" customHeight="1"/>
    <row r="215" ht="19.899999999999999" customHeight="1"/>
    <row r="216" ht="19.899999999999999" customHeight="1"/>
    <row r="217" ht="19.899999999999999" customHeight="1"/>
    <row r="218" ht="19.899999999999999" customHeight="1"/>
    <row r="219" ht="19.899999999999999" customHeight="1"/>
    <row r="220" ht="19.899999999999999" customHeight="1"/>
    <row r="221" ht="19.899999999999999" customHeight="1"/>
    <row r="222" ht="19.899999999999999" customHeight="1"/>
    <row r="223" ht="19.899999999999999" customHeight="1"/>
    <row r="224" ht="19.899999999999999" customHeight="1"/>
    <row r="225" ht="19.899999999999999" customHeight="1"/>
    <row r="226" ht="19.899999999999999" customHeight="1"/>
    <row r="227" ht="19.899999999999999" customHeight="1"/>
    <row r="228" ht="19.899999999999999" customHeight="1"/>
    <row r="229" ht="19.899999999999999" customHeight="1"/>
    <row r="230" ht="19.899999999999999" customHeight="1"/>
    <row r="231" ht="19.899999999999999" customHeight="1"/>
    <row r="232" ht="19.899999999999999" customHeight="1"/>
    <row r="233" ht="19.899999999999999" customHeight="1"/>
    <row r="234" ht="19.899999999999999" customHeight="1"/>
    <row r="235" ht="19.899999999999999" customHeight="1"/>
    <row r="236" ht="19.899999999999999" customHeight="1"/>
    <row r="237" ht="19.899999999999999" customHeight="1"/>
    <row r="238" ht="19.899999999999999" customHeight="1"/>
    <row r="239" ht="19.899999999999999" customHeight="1"/>
    <row r="240" ht="19.899999999999999" customHeight="1"/>
    <row r="241" ht="19.899999999999999" customHeight="1"/>
    <row r="242" ht="19.899999999999999" customHeight="1"/>
    <row r="243" ht="19.899999999999999" customHeight="1"/>
    <row r="244" ht="19.899999999999999" customHeight="1"/>
    <row r="245" ht="19.899999999999999" customHeight="1"/>
    <row r="246" ht="19.899999999999999" customHeight="1"/>
    <row r="247" ht="19.899999999999999" customHeight="1"/>
    <row r="248" ht="19.899999999999999" customHeight="1"/>
    <row r="249" ht="19.899999999999999" customHeight="1"/>
    <row r="250" ht="19.899999999999999" customHeight="1"/>
    <row r="251" ht="19.899999999999999" customHeight="1"/>
    <row r="252" ht="19.899999999999999" customHeight="1"/>
    <row r="253" ht="19.899999999999999" customHeight="1"/>
    <row r="254" ht="19.899999999999999" customHeight="1"/>
    <row r="255" ht="19.899999999999999" customHeight="1"/>
    <row r="256" ht="19.899999999999999" customHeight="1"/>
    <row r="257" ht="19.899999999999999" customHeight="1"/>
    <row r="258" ht="19.899999999999999" customHeight="1"/>
    <row r="259" ht="19.899999999999999" customHeight="1"/>
    <row r="260" ht="19.899999999999999" customHeight="1"/>
    <row r="261" ht="19.899999999999999" customHeight="1"/>
    <row r="262" ht="19.899999999999999" customHeight="1"/>
    <row r="263" ht="19.899999999999999" customHeight="1"/>
    <row r="264" ht="19.899999999999999" customHeight="1"/>
    <row r="265" ht="19.899999999999999" customHeight="1"/>
    <row r="266" ht="19.899999999999999" customHeight="1"/>
    <row r="267" ht="19.899999999999999" customHeight="1"/>
    <row r="268" ht="19.899999999999999" customHeight="1"/>
    <row r="269" ht="19.899999999999999" customHeight="1"/>
    <row r="270" ht="19.899999999999999" customHeight="1"/>
    <row r="271" ht="19.899999999999999" customHeight="1"/>
    <row r="272" ht="19.899999999999999" customHeight="1"/>
    <row r="273" ht="19.899999999999999" customHeight="1"/>
    <row r="274" ht="19.899999999999999" customHeight="1"/>
    <row r="275" ht="19.899999999999999" customHeight="1"/>
    <row r="276" ht="19.899999999999999" customHeight="1"/>
    <row r="277" ht="19.899999999999999" customHeight="1"/>
    <row r="278" ht="19.899999999999999" customHeight="1"/>
    <row r="279" ht="19.899999999999999" customHeight="1"/>
    <row r="280" ht="19.899999999999999" customHeight="1"/>
    <row r="281" ht="19.899999999999999" customHeight="1"/>
    <row r="282" ht="19.899999999999999" customHeight="1"/>
    <row r="283" ht="19.899999999999999" customHeight="1"/>
    <row r="284" ht="19.899999999999999" customHeight="1"/>
    <row r="285" ht="19.899999999999999" customHeight="1"/>
    <row r="286" ht="19.899999999999999" customHeight="1"/>
    <row r="287" ht="19.899999999999999" customHeight="1"/>
    <row r="288" ht="19.899999999999999" customHeight="1"/>
    <row r="289" ht="19.899999999999999" customHeight="1"/>
    <row r="290" ht="19.899999999999999" customHeight="1"/>
    <row r="291" ht="19.899999999999999" customHeight="1"/>
    <row r="292" ht="19.899999999999999" customHeight="1"/>
    <row r="293" ht="19.899999999999999" customHeight="1"/>
    <row r="294" ht="19.899999999999999" customHeight="1"/>
    <row r="295" ht="19.899999999999999" customHeight="1"/>
    <row r="296" ht="19.899999999999999" customHeight="1"/>
    <row r="297" ht="19.899999999999999" customHeight="1"/>
    <row r="298" ht="19.899999999999999" customHeight="1"/>
    <row r="299" ht="19.899999999999999" customHeight="1"/>
    <row r="300" ht="19.899999999999999" customHeight="1"/>
    <row r="301" ht="19.899999999999999" customHeight="1"/>
    <row r="302" ht="19.899999999999999" customHeight="1"/>
    <row r="303" ht="19.899999999999999" customHeight="1"/>
    <row r="304" ht="19.899999999999999" customHeight="1"/>
    <row r="305" ht="19.899999999999999" customHeight="1"/>
    <row r="306" ht="19.899999999999999" customHeight="1"/>
    <row r="307" ht="19.899999999999999" customHeight="1"/>
    <row r="308" ht="19.899999999999999" customHeight="1"/>
    <row r="309" ht="19.899999999999999" customHeight="1"/>
    <row r="310" ht="19.899999999999999" customHeight="1"/>
    <row r="311" ht="19.899999999999999" customHeight="1"/>
    <row r="312" ht="19.899999999999999" customHeight="1"/>
    <row r="313" ht="19.899999999999999" customHeight="1"/>
    <row r="314" ht="19.899999999999999" customHeight="1"/>
    <row r="315" ht="19.899999999999999" customHeight="1"/>
    <row r="316" ht="19.899999999999999" customHeight="1"/>
    <row r="317" ht="19.899999999999999" customHeight="1"/>
    <row r="318" ht="19.899999999999999" customHeight="1"/>
    <row r="319" ht="19.899999999999999" customHeight="1"/>
    <row r="320" ht="19.899999999999999" customHeight="1"/>
    <row r="321" ht="19.899999999999999" customHeight="1"/>
    <row r="322" ht="19.899999999999999" customHeight="1"/>
    <row r="323" ht="19.899999999999999" customHeight="1"/>
    <row r="324" ht="19.899999999999999" customHeight="1"/>
    <row r="325" ht="19.899999999999999" customHeight="1"/>
    <row r="326" ht="19.899999999999999" customHeight="1"/>
    <row r="327" ht="19.899999999999999" customHeight="1"/>
    <row r="328" ht="19.899999999999999" customHeight="1"/>
    <row r="329" ht="19.899999999999999" customHeight="1"/>
    <row r="330" ht="19.899999999999999" customHeight="1"/>
    <row r="331" ht="19.899999999999999" customHeight="1"/>
    <row r="332" ht="19.899999999999999" customHeight="1"/>
    <row r="333" ht="19.899999999999999" customHeight="1"/>
    <row r="334" ht="19.899999999999999" customHeight="1"/>
    <row r="335" ht="19.899999999999999" customHeight="1"/>
    <row r="336" ht="19.899999999999999" customHeight="1"/>
    <row r="337" ht="19.899999999999999" customHeight="1"/>
    <row r="338" ht="19.899999999999999" customHeight="1"/>
    <row r="339" ht="19.899999999999999" customHeight="1"/>
    <row r="340" ht="19.899999999999999" customHeight="1"/>
    <row r="341" ht="19.899999999999999" customHeight="1"/>
    <row r="342" ht="19.899999999999999" customHeight="1"/>
    <row r="343" ht="19.899999999999999" customHeight="1"/>
    <row r="344" ht="19.899999999999999" customHeight="1"/>
    <row r="345" ht="19.899999999999999" customHeight="1"/>
    <row r="346" ht="19.899999999999999" customHeight="1"/>
    <row r="347" ht="19.899999999999999" customHeight="1"/>
    <row r="348" ht="19.899999999999999" customHeight="1"/>
    <row r="349" ht="19.899999999999999" customHeight="1"/>
    <row r="350" ht="19.899999999999999" customHeight="1"/>
    <row r="351" ht="19.899999999999999" customHeight="1"/>
    <row r="352" ht="19.899999999999999" customHeight="1"/>
    <row r="353" ht="19.899999999999999" customHeight="1"/>
    <row r="354" ht="19.899999999999999" customHeight="1"/>
    <row r="355" ht="19.899999999999999" customHeight="1"/>
    <row r="356" ht="19.899999999999999" customHeight="1"/>
    <row r="357" ht="19.899999999999999" customHeight="1"/>
    <row r="358" ht="19.899999999999999" customHeight="1"/>
    <row r="359" ht="19.899999999999999" customHeight="1"/>
    <row r="360" ht="19.899999999999999" customHeight="1"/>
    <row r="361" ht="19.899999999999999" customHeight="1"/>
    <row r="362" ht="19.899999999999999" customHeight="1"/>
    <row r="363" ht="19.899999999999999" customHeight="1"/>
    <row r="364" ht="19.899999999999999" customHeight="1"/>
    <row r="365" ht="19.899999999999999" customHeight="1"/>
    <row r="366" ht="19.899999999999999" customHeight="1"/>
    <row r="367" ht="19.899999999999999" customHeight="1"/>
    <row r="368" ht="19.899999999999999" customHeight="1"/>
    <row r="369" ht="19.899999999999999" customHeight="1"/>
    <row r="370" ht="19.899999999999999" customHeight="1"/>
    <row r="371" ht="19.899999999999999" customHeight="1"/>
    <row r="372" ht="19.899999999999999" customHeight="1"/>
    <row r="373" ht="19.899999999999999" customHeight="1"/>
    <row r="374" ht="19.899999999999999" customHeight="1"/>
    <row r="375" ht="19.899999999999999" customHeight="1"/>
    <row r="376" ht="19.899999999999999" customHeight="1"/>
    <row r="377" ht="19.899999999999999" customHeight="1"/>
    <row r="378" ht="19.899999999999999" customHeight="1"/>
    <row r="379" ht="19.899999999999999" customHeight="1"/>
    <row r="380" ht="19.899999999999999" customHeight="1"/>
    <row r="381" ht="19.899999999999999" customHeight="1"/>
    <row r="382" ht="19.899999999999999" customHeight="1"/>
    <row r="383" ht="19.899999999999999" customHeight="1"/>
    <row r="384" ht="19.899999999999999" customHeight="1"/>
    <row r="385" ht="19.899999999999999" customHeight="1"/>
    <row r="386" ht="19.899999999999999" customHeight="1"/>
    <row r="387" ht="19.899999999999999" customHeight="1"/>
    <row r="388" ht="19.899999999999999" customHeight="1"/>
    <row r="389" ht="19.899999999999999" customHeight="1"/>
    <row r="390" ht="19.899999999999999" customHeight="1"/>
    <row r="391" ht="19.899999999999999" customHeight="1"/>
    <row r="392" ht="19.899999999999999" customHeight="1"/>
    <row r="393" ht="19.899999999999999" customHeight="1"/>
    <row r="394" ht="19.899999999999999" customHeight="1"/>
    <row r="395" ht="19.899999999999999" customHeight="1"/>
    <row r="396" ht="19.899999999999999" customHeight="1"/>
    <row r="397" ht="19.899999999999999" customHeight="1"/>
    <row r="398" ht="19.899999999999999" customHeight="1"/>
    <row r="399" ht="19.899999999999999" customHeight="1"/>
    <row r="400" ht="19.899999999999999" customHeight="1"/>
    <row r="401" ht="19.899999999999999" customHeight="1"/>
    <row r="402" ht="19.899999999999999" customHeight="1"/>
    <row r="403" ht="19.899999999999999" customHeight="1"/>
    <row r="404" ht="19.899999999999999" customHeight="1"/>
    <row r="405" ht="19.899999999999999" customHeight="1"/>
    <row r="406" ht="19.899999999999999" customHeight="1"/>
    <row r="407" ht="19.899999999999999" customHeight="1"/>
    <row r="408" ht="19.899999999999999" customHeight="1"/>
    <row r="409" ht="19.899999999999999" customHeight="1"/>
    <row r="410" ht="19.899999999999999" customHeight="1"/>
    <row r="411" ht="19.899999999999999" customHeight="1"/>
    <row r="412" ht="19.899999999999999" customHeight="1"/>
    <row r="413" ht="19.899999999999999" customHeight="1"/>
    <row r="414" ht="19.899999999999999" customHeight="1"/>
    <row r="415" ht="19.899999999999999" customHeight="1"/>
    <row r="416" ht="19.899999999999999" customHeight="1"/>
    <row r="417" ht="19.899999999999999" customHeight="1"/>
    <row r="418" ht="19.899999999999999" customHeight="1"/>
    <row r="419" ht="19.899999999999999" customHeight="1"/>
    <row r="420" ht="19.899999999999999" customHeight="1"/>
    <row r="421" ht="19.899999999999999" customHeight="1"/>
    <row r="422" ht="19.899999999999999" customHeight="1"/>
    <row r="423" ht="19.899999999999999" customHeight="1"/>
    <row r="424" ht="19.899999999999999" customHeight="1"/>
    <row r="425" ht="19.899999999999999" customHeight="1"/>
    <row r="426" ht="19.899999999999999" customHeight="1"/>
    <row r="427" ht="19.899999999999999" customHeight="1"/>
    <row r="428" ht="19.899999999999999" customHeight="1"/>
    <row r="429" ht="19.899999999999999" customHeight="1"/>
    <row r="430" ht="19.899999999999999" customHeight="1"/>
    <row r="431" ht="19.899999999999999" customHeight="1"/>
    <row r="432" ht="19.899999999999999" customHeight="1"/>
    <row r="433" ht="19.899999999999999" customHeight="1"/>
    <row r="434" ht="19.899999999999999" customHeight="1"/>
    <row r="435" ht="19.899999999999999" customHeight="1"/>
    <row r="436" ht="19.899999999999999" customHeight="1"/>
    <row r="437" ht="19.899999999999999" customHeight="1"/>
    <row r="438" ht="19.899999999999999" customHeight="1"/>
    <row r="439" ht="19.899999999999999" customHeight="1"/>
    <row r="440" ht="19.899999999999999" customHeight="1"/>
    <row r="441" ht="19.899999999999999" customHeight="1"/>
    <row r="442" ht="19.899999999999999" customHeight="1"/>
    <row r="443" ht="19.899999999999999" customHeight="1"/>
    <row r="444" ht="19.899999999999999" customHeight="1"/>
    <row r="445" ht="19.899999999999999" customHeight="1"/>
    <row r="446" ht="19.899999999999999" customHeight="1"/>
    <row r="447" ht="19.899999999999999" customHeight="1"/>
    <row r="448" ht="19.899999999999999" customHeight="1"/>
    <row r="449" ht="19.899999999999999" customHeight="1"/>
    <row r="450" ht="19.899999999999999" customHeight="1"/>
    <row r="451" ht="19.899999999999999" customHeight="1"/>
    <row r="452" ht="19.899999999999999" customHeight="1"/>
    <row r="453" ht="19.899999999999999" customHeight="1"/>
    <row r="454" ht="19.899999999999999" customHeight="1"/>
    <row r="455" ht="19.899999999999999" customHeight="1"/>
    <row r="456" ht="19.899999999999999" customHeight="1"/>
    <row r="457" ht="19.899999999999999" customHeight="1"/>
    <row r="458" ht="19.899999999999999" customHeight="1"/>
    <row r="459" ht="19.899999999999999" customHeight="1"/>
    <row r="460" ht="19.899999999999999" customHeight="1"/>
    <row r="461" ht="19.899999999999999" customHeight="1"/>
    <row r="462" ht="19.899999999999999" customHeight="1"/>
    <row r="463" ht="19.899999999999999" customHeight="1"/>
    <row r="464" ht="19.899999999999999" customHeight="1"/>
    <row r="465" ht="19.899999999999999" customHeight="1"/>
    <row r="466" ht="19.899999999999999" customHeight="1"/>
    <row r="467" ht="19.899999999999999" customHeight="1"/>
    <row r="468" ht="19.899999999999999" customHeight="1"/>
    <row r="469" ht="19.899999999999999" customHeight="1"/>
    <row r="470" ht="19.899999999999999" customHeight="1"/>
    <row r="471" ht="19.899999999999999" customHeight="1"/>
    <row r="472" ht="19.899999999999999" customHeight="1"/>
    <row r="473" ht="19.899999999999999" customHeight="1"/>
    <row r="474" ht="19.899999999999999" customHeight="1"/>
    <row r="475" ht="19.899999999999999" customHeight="1"/>
    <row r="476" ht="19.899999999999999" customHeight="1"/>
    <row r="477" ht="19.899999999999999" customHeight="1"/>
    <row r="478" ht="19.899999999999999" customHeight="1"/>
    <row r="479" ht="19.899999999999999" customHeight="1"/>
    <row r="480" ht="19.899999999999999" customHeight="1"/>
    <row r="481" ht="19.899999999999999" customHeight="1"/>
    <row r="482" ht="19.899999999999999" customHeight="1"/>
    <row r="483" ht="19.899999999999999" customHeight="1"/>
    <row r="484" ht="19.899999999999999" customHeight="1"/>
    <row r="485" ht="19.899999999999999" customHeight="1"/>
    <row r="486" ht="19.899999999999999" customHeight="1"/>
    <row r="487" ht="19.899999999999999" customHeight="1"/>
    <row r="488" ht="19.899999999999999" customHeight="1"/>
    <row r="489" ht="19.899999999999999" customHeight="1"/>
    <row r="490" ht="19.899999999999999" customHeight="1"/>
    <row r="491" ht="19.899999999999999" customHeight="1"/>
    <row r="492" ht="19.899999999999999" customHeight="1"/>
    <row r="493" ht="19.899999999999999" customHeight="1"/>
    <row r="494" ht="19.899999999999999" customHeight="1"/>
    <row r="495" ht="19.899999999999999" customHeight="1"/>
    <row r="496" ht="19.899999999999999" customHeight="1"/>
    <row r="497" ht="19.899999999999999" customHeight="1"/>
    <row r="498" ht="19.899999999999999" customHeight="1"/>
    <row r="499" ht="19.899999999999999" customHeight="1"/>
    <row r="500" ht="19.899999999999999" customHeight="1"/>
    <row r="501" ht="19.899999999999999" customHeight="1"/>
    <row r="502" ht="19.899999999999999" customHeight="1"/>
    <row r="503" ht="19.899999999999999" customHeight="1"/>
    <row r="504" ht="19.899999999999999" customHeight="1"/>
    <row r="505" ht="19.899999999999999" customHeight="1"/>
    <row r="506" ht="19.899999999999999" customHeight="1"/>
    <row r="507" ht="19.899999999999999" customHeight="1"/>
    <row r="508" ht="19.899999999999999" customHeight="1"/>
    <row r="509" ht="19.899999999999999" customHeight="1"/>
    <row r="510" ht="19.899999999999999" customHeight="1"/>
    <row r="511" ht="19.899999999999999" customHeight="1"/>
    <row r="512" ht="19.899999999999999" customHeight="1"/>
    <row r="513" ht="19.899999999999999" customHeight="1"/>
    <row r="514" ht="19.899999999999999" customHeight="1"/>
    <row r="515" ht="19.899999999999999" customHeight="1"/>
    <row r="516" ht="19.899999999999999" customHeight="1"/>
    <row r="517" ht="19.899999999999999" customHeight="1"/>
    <row r="518" ht="19.899999999999999" customHeight="1"/>
    <row r="519" ht="19.899999999999999" customHeight="1"/>
    <row r="520" ht="19.899999999999999" customHeight="1"/>
    <row r="521" ht="19.899999999999999" customHeight="1"/>
    <row r="522" ht="19.899999999999999" customHeight="1"/>
    <row r="523" ht="19.899999999999999" customHeight="1"/>
    <row r="524" ht="19.899999999999999" customHeight="1"/>
    <row r="525" ht="19.899999999999999" customHeight="1"/>
    <row r="526" ht="19.899999999999999" customHeight="1"/>
    <row r="527" ht="19.899999999999999" customHeight="1"/>
    <row r="528" ht="19.899999999999999" customHeight="1"/>
    <row r="529" ht="19.899999999999999" customHeight="1"/>
    <row r="530" ht="19.899999999999999" customHeight="1"/>
    <row r="531" ht="19.899999999999999" customHeight="1"/>
    <row r="532" ht="19.899999999999999" customHeight="1"/>
    <row r="533" ht="19.899999999999999" customHeight="1"/>
    <row r="534" ht="19.899999999999999" customHeight="1"/>
    <row r="535" ht="19.899999999999999" customHeight="1"/>
    <row r="536" ht="19.899999999999999" customHeight="1"/>
    <row r="537" ht="19.899999999999999" customHeight="1"/>
    <row r="538" ht="19.899999999999999" customHeight="1"/>
    <row r="539" ht="19.899999999999999" customHeight="1"/>
    <row r="540" ht="19.899999999999999" customHeight="1"/>
    <row r="541" ht="19.899999999999999" customHeight="1"/>
    <row r="542" ht="19.899999999999999" customHeight="1"/>
    <row r="543" ht="19.899999999999999" customHeight="1"/>
    <row r="544" ht="19.899999999999999" customHeight="1"/>
    <row r="545" ht="19.899999999999999" customHeight="1"/>
    <row r="546" ht="19.899999999999999" customHeight="1"/>
    <row r="547" ht="19.899999999999999" customHeight="1"/>
    <row r="548" ht="19.899999999999999" customHeight="1"/>
    <row r="549" ht="19.899999999999999" customHeight="1"/>
    <row r="550" ht="19.899999999999999" customHeight="1"/>
    <row r="551" ht="19.899999999999999" customHeight="1"/>
    <row r="552" ht="19.899999999999999" customHeight="1"/>
    <row r="553" ht="19.899999999999999" customHeight="1"/>
    <row r="554" ht="19.899999999999999" customHeight="1"/>
    <row r="555" ht="19.899999999999999" customHeight="1"/>
    <row r="556" ht="19.899999999999999" customHeight="1"/>
    <row r="557" ht="19.899999999999999" customHeight="1"/>
    <row r="558" ht="19.899999999999999" customHeight="1"/>
    <row r="559" ht="19.899999999999999" customHeight="1"/>
    <row r="560" ht="19.899999999999999" customHeight="1"/>
    <row r="561" ht="19.899999999999999" customHeight="1"/>
    <row r="562" ht="19.899999999999999" customHeight="1"/>
    <row r="563" ht="19.899999999999999" customHeight="1"/>
    <row r="564" ht="19.899999999999999" customHeight="1"/>
    <row r="565" ht="19.899999999999999" customHeight="1"/>
    <row r="566" ht="19.899999999999999" customHeight="1"/>
    <row r="567" ht="19.899999999999999" customHeight="1"/>
    <row r="568" ht="19.899999999999999" customHeight="1"/>
    <row r="569" ht="19.899999999999999" customHeight="1"/>
    <row r="570" ht="19.899999999999999" customHeight="1"/>
    <row r="571" ht="19.899999999999999" customHeight="1"/>
    <row r="572" ht="19.899999999999999" customHeight="1"/>
    <row r="573" ht="19.899999999999999" customHeight="1"/>
    <row r="574" ht="19.899999999999999" customHeight="1"/>
    <row r="575" ht="19.899999999999999" customHeight="1"/>
    <row r="576" ht="19.899999999999999" customHeight="1"/>
    <row r="577" ht="19.899999999999999" customHeight="1"/>
    <row r="578" ht="19.899999999999999" customHeight="1"/>
    <row r="579" ht="19.899999999999999" customHeight="1"/>
    <row r="580" ht="19.899999999999999" customHeight="1"/>
    <row r="581" ht="19.899999999999999" customHeight="1"/>
    <row r="582" ht="19.899999999999999" customHeight="1"/>
    <row r="583" ht="19.899999999999999" customHeight="1"/>
    <row r="584" ht="19.899999999999999" customHeight="1"/>
    <row r="585" ht="19.899999999999999" customHeight="1"/>
    <row r="586" ht="19.899999999999999" customHeight="1"/>
    <row r="587" ht="19.899999999999999" customHeight="1"/>
    <row r="588" ht="19.899999999999999" customHeight="1"/>
    <row r="589" ht="19.899999999999999" customHeight="1"/>
    <row r="590" ht="19.899999999999999" customHeight="1"/>
    <row r="591" ht="19.899999999999999" customHeight="1"/>
    <row r="592" ht="19.899999999999999" customHeight="1"/>
    <row r="593" ht="19.899999999999999" customHeight="1"/>
    <row r="594" ht="19.899999999999999" customHeight="1"/>
    <row r="595" ht="19.899999999999999" customHeight="1"/>
    <row r="596" ht="19.899999999999999" customHeight="1"/>
    <row r="597" ht="19.899999999999999" customHeight="1"/>
    <row r="598" ht="19.899999999999999" customHeight="1"/>
    <row r="599" ht="19.899999999999999" customHeight="1"/>
    <row r="600" ht="19.899999999999999" customHeight="1"/>
    <row r="601" ht="19.899999999999999" customHeight="1"/>
    <row r="602" ht="19.899999999999999" customHeight="1"/>
    <row r="603" ht="19.899999999999999" customHeight="1"/>
    <row r="604" ht="19.899999999999999" customHeight="1"/>
    <row r="605" ht="19.899999999999999" customHeight="1"/>
    <row r="606" ht="19.899999999999999" customHeight="1"/>
    <row r="607" ht="19.899999999999999" customHeight="1"/>
    <row r="608" ht="19.899999999999999" customHeight="1"/>
    <row r="609" ht="19.899999999999999" customHeight="1"/>
    <row r="610" ht="19.899999999999999" customHeight="1"/>
    <row r="611" ht="19.899999999999999" customHeight="1"/>
    <row r="612" ht="19.899999999999999" customHeight="1"/>
    <row r="613" ht="19.899999999999999" customHeight="1"/>
    <row r="614" ht="19.899999999999999" customHeight="1"/>
    <row r="615" ht="19.899999999999999" customHeight="1"/>
    <row r="616" ht="19.899999999999999" customHeight="1"/>
    <row r="617" ht="19.899999999999999" customHeight="1"/>
    <row r="618" ht="19.899999999999999" customHeight="1"/>
    <row r="619" ht="19.899999999999999" customHeight="1"/>
    <row r="620" ht="19.899999999999999" customHeight="1"/>
    <row r="621" ht="19.899999999999999" customHeight="1"/>
    <row r="622" ht="19.899999999999999" customHeight="1"/>
    <row r="623" ht="19.899999999999999" customHeight="1"/>
    <row r="624" ht="19.899999999999999" customHeight="1"/>
    <row r="625" ht="19.899999999999999" customHeight="1"/>
    <row r="626" ht="19.899999999999999" customHeight="1"/>
    <row r="627" ht="19.899999999999999" customHeight="1"/>
    <row r="628" ht="19.899999999999999" customHeight="1"/>
    <row r="629" ht="19.899999999999999" customHeight="1"/>
    <row r="630" ht="19.899999999999999" customHeight="1"/>
    <row r="631" ht="19.899999999999999" customHeight="1"/>
    <row r="632" ht="19.899999999999999" customHeight="1"/>
    <row r="633" ht="19.899999999999999" customHeight="1"/>
    <row r="634" ht="19.899999999999999" customHeight="1"/>
    <row r="635" ht="19.899999999999999" customHeight="1"/>
    <row r="636" ht="19.899999999999999" customHeight="1"/>
    <row r="637" ht="19.899999999999999" customHeight="1"/>
    <row r="638" ht="19.899999999999999" customHeight="1"/>
    <row r="639" ht="19.899999999999999" customHeight="1"/>
    <row r="640" ht="19.899999999999999" customHeight="1"/>
    <row r="641" ht="19.899999999999999" customHeight="1"/>
    <row r="642" ht="19.899999999999999" customHeight="1"/>
    <row r="643" ht="19.899999999999999" customHeight="1"/>
    <row r="644" ht="19.899999999999999" customHeight="1"/>
    <row r="645" ht="19.899999999999999" customHeight="1"/>
    <row r="646" ht="19.899999999999999" customHeight="1"/>
    <row r="647" ht="19.899999999999999" customHeight="1"/>
    <row r="648" ht="19.899999999999999" customHeight="1"/>
    <row r="649" ht="19.899999999999999" customHeight="1"/>
    <row r="650" ht="19.899999999999999" customHeight="1"/>
    <row r="651" ht="19.899999999999999" customHeight="1"/>
    <row r="652" ht="19.899999999999999" customHeight="1"/>
    <row r="653" ht="19.899999999999999" customHeight="1"/>
    <row r="654" ht="19.899999999999999" customHeight="1"/>
    <row r="655" ht="19.899999999999999" customHeight="1"/>
    <row r="656" ht="19.899999999999999" customHeight="1"/>
    <row r="657" ht="19.899999999999999" customHeight="1"/>
    <row r="658" ht="19.899999999999999" customHeight="1"/>
    <row r="659" ht="19.899999999999999" customHeight="1"/>
    <row r="660" ht="19.899999999999999" customHeight="1"/>
    <row r="661" ht="19.899999999999999" customHeight="1"/>
    <row r="662" ht="19.899999999999999" customHeight="1"/>
    <row r="663" ht="19.899999999999999" customHeight="1"/>
    <row r="664" ht="19.899999999999999" customHeight="1"/>
    <row r="665" ht="19.899999999999999" customHeight="1"/>
    <row r="666" ht="19.899999999999999" customHeight="1"/>
    <row r="667" ht="19.899999999999999" customHeight="1"/>
    <row r="668" ht="19.899999999999999" customHeight="1"/>
    <row r="669" ht="19.899999999999999" customHeight="1"/>
    <row r="670" ht="19.899999999999999" customHeight="1"/>
    <row r="671" ht="19.899999999999999" customHeight="1"/>
    <row r="672" ht="19.899999999999999" customHeight="1"/>
    <row r="673" ht="19.899999999999999" customHeight="1"/>
    <row r="674" ht="19.899999999999999" customHeight="1"/>
    <row r="675" ht="19.899999999999999" customHeight="1"/>
    <row r="676" ht="19.899999999999999" customHeight="1"/>
    <row r="677" ht="19.899999999999999" customHeight="1"/>
    <row r="678" ht="19.899999999999999" customHeight="1"/>
    <row r="679" ht="19.899999999999999" customHeight="1"/>
    <row r="680" ht="19.899999999999999" customHeight="1"/>
    <row r="681" ht="19.899999999999999" customHeight="1"/>
    <row r="682" ht="19.899999999999999" customHeight="1"/>
    <row r="683" ht="19.899999999999999" customHeight="1"/>
    <row r="684" ht="19.899999999999999" customHeight="1"/>
    <row r="685" ht="19.899999999999999" customHeight="1"/>
    <row r="686" ht="19.899999999999999" customHeight="1"/>
    <row r="687" ht="19.899999999999999" customHeight="1"/>
    <row r="688" ht="19.899999999999999" customHeight="1"/>
    <row r="689" ht="19.899999999999999" customHeight="1"/>
    <row r="690" ht="19.899999999999999" customHeight="1"/>
    <row r="691" ht="19.899999999999999" customHeight="1"/>
    <row r="692" ht="19.899999999999999" customHeight="1"/>
    <row r="693" ht="19.899999999999999" customHeight="1"/>
    <row r="694" ht="19.899999999999999" customHeight="1"/>
    <row r="695" ht="19.899999999999999" customHeight="1"/>
    <row r="696" ht="19.899999999999999" customHeight="1"/>
    <row r="697" ht="19.899999999999999" customHeight="1"/>
    <row r="698" ht="19.899999999999999" customHeight="1"/>
    <row r="699" ht="19.899999999999999" customHeight="1"/>
    <row r="700" ht="19.899999999999999" customHeight="1"/>
    <row r="701" ht="19.899999999999999" customHeight="1"/>
    <row r="702" ht="19.899999999999999" customHeight="1"/>
    <row r="703" ht="19.899999999999999" customHeight="1"/>
    <row r="704" ht="19.899999999999999" customHeight="1"/>
    <row r="705" ht="19.899999999999999" customHeight="1"/>
    <row r="706" ht="19.899999999999999" customHeight="1"/>
    <row r="707" ht="19.899999999999999" customHeight="1"/>
    <row r="708" ht="19.899999999999999" customHeight="1"/>
    <row r="709" ht="19.899999999999999" customHeight="1"/>
    <row r="710" ht="19.899999999999999" customHeight="1"/>
    <row r="711" ht="19.899999999999999" customHeight="1"/>
    <row r="712" ht="19.899999999999999" customHeight="1"/>
    <row r="713" ht="19.899999999999999" customHeight="1"/>
    <row r="714" ht="19.899999999999999" customHeight="1"/>
    <row r="715" ht="19.899999999999999" customHeight="1"/>
    <row r="716" ht="19.899999999999999" customHeight="1"/>
    <row r="717" ht="19.899999999999999" customHeight="1"/>
    <row r="718" ht="19.899999999999999" customHeight="1"/>
    <row r="719" ht="19.899999999999999" customHeight="1"/>
    <row r="720" ht="19.899999999999999" customHeight="1"/>
    <row r="721" ht="19.899999999999999" customHeight="1"/>
    <row r="722" ht="19.899999999999999" customHeight="1"/>
    <row r="723" ht="19.899999999999999" customHeight="1"/>
    <row r="724" ht="19.899999999999999" customHeight="1"/>
    <row r="725" ht="19.899999999999999" customHeight="1"/>
    <row r="726" ht="19.899999999999999" customHeight="1"/>
    <row r="727" ht="19.899999999999999" customHeight="1"/>
    <row r="728" ht="19.899999999999999" customHeight="1"/>
    <row r="729" ht="19.899999999999999" customHeight="1"/>
    <row r="730" ht="19.899999999999999" customHeight="1"/>
    <row r="731" ht="19.899999999999999" customHeight="1"/>
    <row r="732" ht="19.899999999999999" customHeight="1"/>
    <row r="733" ht="19.899999999999999" customHeight="1"/>
    <row r="734" ht="19.899999999999999" customHeight="1"/>
    <row r="735" ht="19.899999999999999" customHeight="1"/>
    <row r="736" ht="19.899999999999999" customHeight="1"/>
    <row r="737" ht="19.899999999999999" customHeight="1"/>
    <row r="738" ht="19.899999999999999" customHeight="1"/>
    <row r="739" ht="19.899999999999999" customHeight="1"/>
    <row r="740" ht="19.899999999999999" customHeight="1"/>
    <row r="741" ht="19.899999999999999" customHeight="1"/>
    <row r="742" ht="19.899999999999999" customHeight="1"/>
    <row r="743" ht="19.899999999999999" customHeight="1"/>
    <row r="744" ht="19.899999999999999" customHeight="1"/>
    <row r="745" ht="19.899999999999999" customHeight="1"/>
    <row r="746" ht="19.899999999999999" customHeight="1"/>
    <row r="747" ht="19.899999999999999" customHeight="1"/>
    <row r="748" ht="19.899999999999999" customHeight="1"/>
    <row r="749" ht="19.899999999999999" customHeight="1"/>
    <row r="750" ht="19.899999999999999" customHeight="1"/>
    <row r="751" ht="19.899999999999999" customHeight="1"/>
    <row r="752" ht="19.899999999999999" customHeight="1"/>
    <row r="753" ht="19.899999999999999" customHeight="1"/>
    <row r="754" ht="19.899999999999999" customHeight="1"/>
    <row r="755" ht="19.899999999999999" customHeight="1"/>
    <row r="756" ht="19.899999999999999" customHeight="1"/>
    <row r="757" ht="19.899999999999999" customHeight="1"/>
    <row r="758" ht="19.899999999999999" customHeight="1"/>
    <row r="759" ht="19.899999999999999" customHeight="1"/>
    <row r="760" ht="19.899999999999999" customHeight="1"/>
    <row r="761" ht="19.899999999999999" customHeight="1"/>
    <row r="762" ht="19.899999999999999" customHeight="1"/>
    <row r="763" ht="19.899999999999999" customHeight="1"/>
    <row r="764" ht="19.899999999999999" customHeight="1"/>
    <row r="765" ht="19.899999999999999" customHeight="1"/>
    <row r="766" ht="19.899999999999999" customHeight="1"/>
    <row r="767" ht="19.899999999999999" customHeight="1"/>
    <row r="768" ht="19.899999999999999" customHeight="1"/>
    <row r="769" ht="19.899999999999999" customHeight="1"/>
    <row r="770" ht="19.899999999999999" customHeight="1"/>
    <row r="771" ht="19.899999999999999" customHeight="1"/>
    <row r="772" ht="19.899999999999999" customHeight="1"/>
    <row r="773" ht="19.899999999999999" customHeight="1"/>
    <row r="774" ht="19.899999999999999" customHeight="1"/>
    <row r="775" ht="19.899999999999999" customHeight="1"/>
    <row r="776" ht="19.899999999999999" customHeight="1"/>
    <row r="777" ht="19.899999999999999" customHeight="1"/>
    <row r="778" ht="19.899999999999999" customHeight="1"/>
    <row r="779" ht="19.899999999999999" customHeight="1"/>
    <row r="780" ht="19.899999999999999" customHeight="1"/>
    <row r="781" ht="19.899999999999999" customHeight="1"/>
    <row r="782" ht="19.899999999999999" customHeight="1"/>
    <row r="783" ht="19.899999999999999" customHeight="1"/>
    <row r="784" ht="19.899999999999999" customHeight="1"/>
    <row r="785" ht="19.899999999999999" customHeight="1"/>
    <row r="786" ht="19.899999999999999" customHeight="1"/>
    <row r="787" ht="19.899999999999999" customHeight="1"/>
    <row r="788" ht="19.899999999999999" customHeight="1"/>
    <row r="789" ht="19.899999999999999" customHeight="1"/>
    <row r="790" ht="19.899999999999999" customHeight="1"/>
    <row r="791" ht="19.899999999999999" customHeight="1"/>
    <row r="792" ht="19.899999999999999" customHeight="1"/>
    <row r="793" ht="19.899999999999999" customHeight="1"/>
    <row r="794" ht="19.899999999999999" customHeight="1"/>
    <row r="795" ht="19.899999999999999" customHeight="1"/>
    <row r="796" ht="19.899999999999999" customHeight="1"/>
    <row r="797" ht="19.899999999999999" customHeight="1"/>
    <row r="798" ht="19.899999999999999" customHeight="1"/>
    <row r="799" ht="19.899999999999999" customHeight="1"/>
    <row r="800" ht="19.899999999999999" customHeight="1"/>
    <row r="801" ht="19.899999999999999" customHeight="1"/>
    <row r="802" ht="19.899999999999999" customHeight="1"/>
    <row r="803" ht="19.899999999999999" customHeight="1"/>
    <row r="804" ht="19.899999999999999" customHeight="1"/>
    <row r="805" ht="19.899999999999999" customHeight="1"/>
    <row r="806" ht="19.899999999999999" customHeight="1"/>
    <row r="807" ht="19.899999999999999" customHeight="1"/>
    <row r="808" ht="19.899999999999999" customHeight="1"/>
    <row r="809" ht="19.899999999999999" customHeight="1"/>
    <row r="810" ht="19.899999999999999" customHeight="1"/>
    <row r="811" ht="19.899999999999999" customHeight="1"/>
    <row r="812" ht="19.899999999999999" customHeight="1"/>
    <row r="813" ht="19.899999999999999" customHeight="1"/>
    <row r="814" ht="19.899999999999999" customHeight="1"/>
    <row r="815" ht="19.899999999999999" customHeight="1"/>
    <row r="816" ht="19.899999999999999" customHeight="1"/>
    <row r="817" ht="19.899999999999999" customHeight="1"/>
    <row r="818" ht="19.899999999999999" customHeight="1"/>
    <row r="819" ht="19.899999999999999" customHeight="1"/>
    <row r="820" ht="19.899999999999999" customHeight="1"/>
    <row r="821" ht="19.899999999999999" customHeight="1"/>
    <row r="822" ht="19.899999999999999" customHeight="1"/>
    <row r="823" ht="19.899999999999999" customHeight="1"/>
    <row r="824" ht="19.899999999999999" customHeight="1"/>
    <row r="825" ht="19.899999999999999" customHeight="1"/>
    <row r="826" ht="19.899999999999999" customHeight="1"/>
    <row r="827" ht="19.899999999999999" customHeight="1"/>
    <row r="828" ht="19.899999999999999" customHeight="1"/>
    <row r="829" ht="19.899999999999999" customHeight="1"/>
    <row r="830" ht="19.899999999999999" customHeight="1"/>
    <row r="831" ht="19.899999999999999" customHeight="1"/>
    <row r="832" ht="19.899999999999999" customHeight="1"/>
    <row r="833" ht="19.899999999999999" customHeight="1"/>
    <row r="834" ht="19.899999999999999" customHeight="1"/>
    <row r="835" ht="19.899999999999999" customHeight="1"/>
    <row r="836" ht="19.899999999999999" customHeight="1"/>
    <row r="837" ht="19.899999999999999" customHeight="1"/>
    <row r="838" ht="19.899999999999999" customHeight="1"/>
    <row r="839" ht="19.899999999999999" customHeight="1"/>
    <row r="840" ht="19.899999999999999" customHeight="1"/>
    <row r="841" ht="19.899999999999999" customHeight="1"/>
    <row r="842" ht="19.899999999999999" customHeight="1"/>
    <row r="843" ht="19.899999999999999" customHeight="1"/>
    <row r="844" ht="19.899999999999999" customHeight="1"/>
    <row r="845" ht="19.899999999999999" customHeight="1"/>
    <row r="846" ht="19.899999999999999" customHeight="1"/>
    <row r="847" ht="19.899999999999999" customHeight="1"/>
    <row r="848" ht="19.899999999999999" customHeight="1"/>
    <row r="849" ht="19.899999999999999" customHeight="1"/>
    <row r="850" ht="19.899999999999999" customHeight="1"/>
    <row r="851" ht="19.899999999999999" customHeight="1"/>
    <row r="852" ht="19.899999999999999" customHeight="1"/>
    <row r="853" ht="19.899999999999999" customHeight="1"/>
    <row r="854" ht="19.899999999999999" customHeight="1"/>
    <row r="855" ht="19.899999999999999" customHeight="1"/>
    <row r="856" ht="19.899999999999999" customHeight="1"/>
    <row r="857" ht="19.899999999999999" customHeight="1"/>
    <row r="858" ht="19.899999999999999" customHeight="1"/>
    <row r="859" ht="19.899999999999999" customHeight="1"/>
    <row r="860" ht="19.899999999999999" customHeight="1"/>
    <row r="861" ht="19.899999999999999" customHeight="1"/>
    <row r="862" ht="19.899999999999999" customHeight="1"/>
    <row r="863" ht="19.899999999999999" customHeight="1"/>
    <row r="864" ht="19.899999999999999" customHeight="1"/>
    <row r="865" ht="19.899999999999999" customHeight="1"/>
    <row r="866" ht="19.899999999999999" customHeight="1"/>
    <row r="867" ht="19.899999999999999" customHeight="1"/>
    <row r="868" ht="19.899999999999999" customHeight="1"/>
    <row r="869" ht="19.899999999999999" customHeight="1"/>
    <row r="870" ht="19.899999999999999" customHeight="1"/>
    <row r="871" ht="19.899999999999999" customHeight="1"/>
    <row r="872" ht="19.899999999999999" customHeight="1"/>
    <row r="873" ht="19.899999999999999" customHeight="1"/>
    <row r="874" ht="19.899999999999999" customHeight="1"/>
    <row r="875" ht="19.899999999999999" customHeight="1"/>
    <row r="876" ht="19.899999999999999" customHeight="1"/>
    <row r="877" ht="19.899999999999999" customHeight="1"/>
    <row r="878" ht="19.899999999999999" customHeight="1"/>
    <row r="879" ht="19.899999999999999" customHeight="1"/>
    <row r="880" ht="19.899999999999999" customHeight="1"/>
    <row r="881" ht="19.899999999999999" customHeight="1"/>
    <row r="882" ht="19.899999999999999" customHeight="1"/>
    <row r="883" ht="19.899999999999999" customHeight="1"/>
    <row r="884" ht="19.899999999999999" customHeight="1"/>
    <row r="885" ht="19.899999999999999" customHeight="1"/>
    <row r="886" ht="19.899999999999999" customHeight="1"/>
    <row r="887" ht="19.899999999999999" customHeight="1"/>
    <row r="888" ht="19.899999999999999" customHeight="1"/>
    <row r="889" ht="19.899999999999999" customHeight="1"/>
    <row r="890" ht="19.899999999999999" customHeight="1"/>
    <row r="891" ht="19.899999999999999" customHeight="1"/>
    <row r="892" ht="19.899999999999999" customHeight="1"/>
    <row r="893" ht="19.899999999999999" customHeight="1"/>
    <row r="894" ht="19.899999999999999" customHeight="1"/>
    <row r="895" ht="19.899999999999999" customHeight="1"/>
    <row r="896" ht="19.899999999999999" customHeight="1"/>
    <row r="897" ht="19.899999999999999" customHeight="1"/>
    <row r="898" ht="19.899999999999999" customHeight="1"/>
    <row r="899" ht="19.899999999999999" customHeight="1"/>
    <row r="900" ht="19.899999999999999" customHeight="1"/>
    <row r="901" ht="19.899999999999999" customHeight="1"/>
    <row r="902" ht="19.899999999999999" customHeight="1"/>
    <row r="903" ht="19.899999999999999" customHeight="1"/>
    <row r="904" ht="19.899999999999999" customHeight="1"/>
    <row r="905" ht="19.899999999999999" customHeight="1"/>
    <row r="906" ht="19.899999999999999" customHeight="1"/>
    <row r="907" ht="19.899999999999999" customHeight="1"/>
    <row r="908" ht="19.899999999999999" customHeight="1"/>
    <row r="909" ht="19.899999999999999" customHeight="1"/>
    <row r="910" ht="19.899999999999999" customHeight="1"/>
    <row r="911" ht="19.899999999999999" customHeight="1"/>
    <row r="912" ht="19.899999999999999" customHeight="1"/>
    <row r="913" ht="19.899999999999999" customHeight="1"/>
    <row r="914" ht="19.899999999999999" customHeight="1"/>
    <row r="915" ht="19.899999999999999" customHeight="1"/>
    <row r="916" ht="19.899999999999999" customHeight="1"/>
    <row r="917" ht="19.899999999999999" customHeight="1"/>
    <row r="918" ht="19.899999999999999" customHeight="1"/>
    <row r="919" ht="19.899999999999999" customHeight="1"/>
    <row r="920" ht="19.899999999999999" customHeight="1"/>
    <row r="921" ht="19.899999999999999" customHeight="1"/>
    <row r="922" ht="19.899999999999999" customHeight="1"/>
    <row r="923" ht="19.899999999999999" customHeight="1"/>
    <row r="924" ht="19.899999999999999" customHeight="1"/>
    <row r="925" ht="19.899999999999999" customHeight="1"/>
    <row r="926" ht="19.899999999999999" customHeight="1"/>
    <row r="927" ht="19.899999999999999" customHeight="1"/>
    <row r="928" ht="19.899999999999999" customHeight="1"/>
    <row r="929" ht="19.899999999999999" customHeight="1"/>
    <row r="930" ht="19.899999999999999" customHeight="1"/>
    <row r="931" ht="19.899999999999999" customHeight="1"/>
    <row r="932" ht="19.899999999999999" customHeight="1"/>
    <row r="933" ht="19.899999999999999" customHeight="1"/>
    <row r="934" ht="19.899999999999999" customHeight="1"/>
    <row r="935" ht="19.899999999999999" customHeight="1"/>
    <row r="936" ht="19.899999999999999" customHeight="1"/>
    <row r="937" ht="19.899999999999999" customHeight="1"/>
    <row r="938" ht="19.899999999999999" customHeight="1"/>
    <row r="939" ht="19.899999999999999" customHeight="1"/>
    <row r="940" ht="19.899999999999999" customHeight="1"/>
    <row r="941" ht="19.899999999999999" customHeight="1"/>
    <row r="942" ht="19.899999999999999" customHeight="1"/>
    <row r="943" ht="19.899999999999999" customHeight="1"/>
    <row r="944" ht="19.899999999999999" customHeight="1"/>
    <row r="945" ht="19.899999999999999" customHeight="1"/>
    <row r="946" ht="19.899999999999999" customHeight="1"/>
    <row r="947" ht="19.899999999999999" customHeight="1"/>
    <row r="948" ht="19.899999999999999" customHeight="1"/>
    <row r="949" ht="19.899999999999999" customHeight="1"/>
    <row r="950" ht="19.899999999999999" customHeight="1"/>
    <row r="951" ht="19.899999999999999" customHeight="1"/>
    <row r="952" ht="19.899999999999999" customHeight="1"/>
    <row r="953" ht="19.899999999999999" customHeight="1"/>
    <row r="954" ht="19.899999999999999" customHeight="1"/>
    <row r="955" ht="19.899999999999999" customHeight="1"/>
    <row r="956" ht="19.899999999999999" customHeight="1"/>
    <row r="957" ht="19.899999999999999" customHeight="1"/>
    <row r="958" ht="19.899999999999999" customHeight="1"/>
    <row r="959" ht="19.899999999999999" customHeight="1"/>
    <row r="960" ht="19.899999999999999" customHeight="1"/>
    <row r="961" ht="19.899999999999999" customHeight="1"/>
    <row r="962" ht="19.899999999999999" customHeight="1"/>
    <row r="963" ht="19.899999999999999" customHeight="1"/>
    <row r="964" ht="19.899999999999999" customHeight="1"/>
    <row r="965" ht="19.899999999999999" customHeight="1"/>
    <row r="966" ht="19.899999999999999" customHeight="1"/>
    <row r="967" ht="19.899999999999999" customHeight="1"/>
    <row r="968" ht="19.899999999999999" customHeight="1"/>
    <row r="969" ht="19.899999999999999" customHeight="1"/>
    <row r="970" ht="19.899999999999999" customHeight="1"/>
    <row r="971" ht="19.899999999999999" customHeight="1"/>
    <row r="972" ht="19.899999999999999" customHeight="1"/>
    <row r="973" ht="19.899999999999999" customHeight="1"/>
    <row r="974" ht="19.899999999999999" customHeight="1"/>
    <row r="975" ht="19.899999999999999" customHeight="1"/>
    <row r="976" ht="19.899999999999999" customHeight="1"/>
    <row r="977" ht="19.899999999999999" customHeight="1"/>
    <row r="978" ht="19.899999999999999" customHeight="1"/>
    <row r="979" ht="19.899999999999999" customHeight="1"/>
    <row r="980" ht="19.899999999999999" customHeight="1"/>
    <row r="981" ht="19.899999999999999" customHeight="1"/>
    <row r="982" ht="19.899999999999999" customHeight="1"/>
    <row r="983" ht="19.899999999999999" customHeight="1"/>
    <row r="984" ht="19.899999999999999" customHeight="1"/>
    <row r="985" ht="19.899999999999999" customHeight="1"/>
    <row r="986" ht="19.899999999999999" customHeight="1"/>
    <row r="987" ht="19.899999999999999" customHeight="1"/>
    <row r="988" ht="19.899999999999999" customHeight="1"/>
    <row r="989" ht="19.899999999999999" customHeight="1"/>
    <row r="990" ht="19.899999999999999" customHeight="1"/>
    <row r="991" ht="19.899999999999999" customHeight="1"/>
    <row r="992" ht="19.899999999999999" customHeight="1"/>
    <row r="993" ht="19.899999999999999" customHeight="1"/>
    <row r="994" ht="19.899999999999999" customHeight="1"/>
    <row r="995" ht="19.899999999999999" customHeight="1"/>
    <row r="996" ht="19.899999999999999" customHeight="1"/>
    <row r="997" ht="19.899999999999999" customHeight="1"/>
    <row r="998" ht="19.899999999999999" customHeight="1"/>
    <row r="999" ht="19.899999999999999" customHeight="1"/>
    <row r="1000" ht="19.899999999999999" customHeight="1"/>
    <row r="1001" ht="19.899999999999999" customHeight="1"/>
    <row r="1002" ht="19.899999999999999" customHeight="1"/>
    <row r="1003" ht="19.899999999999999" customHeight="1"/>
    <row r="1004" ht="19.899999999999999" customHeight="1"/>
    <row r="1005" ht="19.899999999999999" customHeight="1"/>
    <row r="1006" ht="19.899999999999999" customHeight="1"/>
    <row r="1007" ht="19.899999999999999" customHeight="1"/>
    <row r="1008" ht="19.899999999999999" customHeight="1"/>
    <row r="1009" ht="19.899999999999999" customHeight="1"/>
    <row r="1010" ht="19.899999999999999" customHeight="1"/>
    <row r="1011" ht="19.899999999999999" customHeight="1"/>
    <row r="1012" ht="19.899999999999999" customHeight="1"/>
    <row r="1013" ht="19.899999999999999" customHeight="1"/>
    <row r="1014" ht="19.899999999999999" customHeight="1"/>
    <row r="1015" ht="19.899999999999999" customHeight="1"/>
    <row r="1016" ht="19.899999999999999" customHeight="1"/>
    <row r="1017" ht="19.899999999999999" customHeight="1"/>
    <row r="1018" ht="19.899999999999999" customHeight="1"/>
    <row r="1019" ht="19.899999999999999" customHeight="1"/>
    <row r="1020" ht="19.899999999999999" customHeight="1"/>
    <row r="1021" ht="19.899999999999999" customHeight="1"/>
    <row r="1022" ht="19.899999999999999" customHeight="1"/>
    <row r="1023" ht="19.899999999999999" customHeight="1"/>
    <row r="1024" ht="19.899999999999999" customHeight="1"/>
    <row r="1025" ht="19.899999999999999" customHeight="1"/>
    <row r="1026" ht="19.899999999999999" customHeight="1"/>
    <row r="1027" ht="19.899999999999999" customHeight="1"/>
    <row r="1028" ht="19.899999999999999" customHeight="1"/>
    <row r="1029" ht="19.899999999999999" customHeight="1"/>
    <row r="1030" ht="19.899999999999999" customHeight="1"/>
    <row r="1031" ht="19.899999999999999" customHeight="1"/>
    <row r="1032" ht="19.899999999999999" customHeight="1"/>
    <row r="1033" ht="19.899999999999999" customHeight="1"/>
    <row r="1034" ht="19.899999999999999" customHeight="1"/>
    <row r="1035" ht="19.899999999999999" customHeight="1"/>
    <row r="1036" ht="19.899999999999999" customHeight="1"/>
    <row r="1037" ht="19.899999999999999" customHeight="1"/>
    <row r="1038" ht="19.899999999999999" customHeight="1"/>
    <row r="1039" ht="19.899999999999999" customHeight="1"/>
    <row r="1040" ht="19.899999999999999" customHeight="1"/>
    <row r="1041" ht="19.899999999999999" customHeight="1"/>
    <row r="1042" ht="19.899999999999999" customHeight="1"/>
    <row r="1043" ht="19.899999999999999" customHeight="1"/>
    <row r="1044" ht="19.899999999999999" customHeight="1"/>
    <row r="1045" ht="19.899999999999999" customHeight="1"/>
    <row r="1046" ht="19.899999999999999" customHeight="1"/>
    <row r="1047" ht="19.899999999999999" customHeight="1"/>
    <row r="1048" ht="19.899999999999999" customHeight="1"/>
    <row r="1049" ht="19.899999999999999" customHeight="1"/>
    <row r="1050" ht="19.899999999999999" customHeight="1"/>
    <row r="1051" ht="19.899999999999999" customHeight="1"/>
    <row r="1052" ht="19.899999999999999" customHeight="1"/>
    <row r="1053" ht="19.899999999999999" customHeight="1"/>
    <row r="1054" ht="19.899999999999999" customHeight="1"/>
    <row r="1055" ht="19.899999999999999" customHeight="1"/>
    <row r="1056" ht="19.899999999999999" customHeight="1"/>
    <row r="1057" ht="19.899999999999999" customHeight="1"/>
    <row r="1058" ht="19.899999999999999" customHeight="1"/>
    <row r="1059" ht="19.899999999999999" customHeight="1"/>
    <row r="1060" ht="19.899999999999999" customHeight="1"/>
    <row r="1061" ht="19.899999999999999" customHeight="1"/>
    <row r="1062" ht="19.899999999999999" customHeight="1"/>
    <row r="1063" ht="19.899999999999999" customHeight="1"/>
    <row r="1064" ht="19.899999999999999" customHeight="1"/>
    <row r="1065" ht="19.899999999999999" customHeight="1"/>
    <row r="1066" ht="19.899999999999999" customHeight="1"/>
    <row r="1067" ht="19.899999999999999" customHeight="1"/>
    <row r="1068" ht="19.899999999999999" customHeight="1"/>
    <row r="1069" ht="19.899999999999999" customHeight="1"/>
    <row r="1070" ht="19.899999999999999" customHeight="1"/>
    <row r="1071" ht="19.899999999999999" customHeight="1"/>
    <row r="1072" ht="19.899999999999999" customHeight="1"/>
    <row r="1073" ht="19.899999999999999" customHeight="1"/>
    <row r="1074" ht="19.899999999999999" customHeight="1"/>
    <row r="1075" ht="19.899999999999999" customHeight="1"/>
    <row r="1076" ht="19.899999999999999" customHeight="1"/>
    <row r="1077" ht="19.899999999999999" customHeight="1"/>
    <row r="1078" ht="19.899999999999999" customHeight="1"/>
    <row r="1079" ht="19.899999999999999" customHeight="1"/>
    <row r="1080" ht="19.899999999999999" customHeight="1"/>
    <row r="1081" ht="19.899999999999999" customHeight="1"/>
    <row r="1082" ht="19.899999999999999" customHeight="1"/>
    <row r="1083" ht="19.899999999999999" customHeight="1"/>
    <row r="1084" ht="19.899999999999999" customHeight="1"/>
    <row r="1085" ht="19.899999999999999" customHeight="1"/>
    <row r="1086" ht="19.899999999999999" customHeight="1"/>
    <row r="1087" ht="19.899999999999999" customHeight="1"/>
    <row r="1088" ht="19.899999999999999" customHeight="1"/>
    <row r="1089" ht="19.899999999999999" customHeight="1"/>
    <row r="1090" ht="19.899999999999999" customHeight="1"/>
    <row r="1091" ht="19.899999999999999" customHeight="1"/>
    <row r="1092" ht="19.899999999999999" customHeight="1"/>
    <row r="1093" ht="19.899999999999999" customHeight="1"/>
    <row r="1094" ht="19.899999999999999" customHeight="1"/>
    <row r="1095" ht="19.899999999999999" customHeight="1"/>
    <row r="1096" ht="19.899999999999999" customHeight="1"/>
    <row r="1097" ht="19.899999999999999" customHeight="1"/>
    <row r="1098" ht="19.899999999999999" customHeight="1"/>
    <row r="1099" ht="19.899999999999999" customHeight="1"/>
    <row r="1100" ht="19.899999999999999" customHeight="1"/>
    <row r="1101" ht="19.899999999999999" customHeight="1"/>
    <row r="1102" ht="19.899999999999999" customHeight="1"/>
    <row r="1103" ht="19.899999999999999" customHeight="1"/>
    <row r="1104" ht="19.899999999999999" customHeight="1"/>
    <row r="1105" ht="19.899999999999999" customHeight="1"/>
    <row r="1106" ht="19.899999999999999" customHeight="1"/>
    <row r="1107" ht="19.899999999999999" customHeight="1"/>
    <row r="1108" ht="19.899999999999999" customHeight="1"/>
    <row r="1109" ht="19.899999999999999" customHeight="1"/>
    <row r="1110" ht="19.899999999999999" customHeight="1"/>
    <row r="1111" ht="19.899999999999999" customHeight="1"/>
    <row r="1112" ht="19.899999999999999" customHeight="1"/>
    <row r="1113" ht="19.899999999999999" customHeight="1"/>
    <row r="1114" ht="19.899999999999999" customHeight="1"/>
    <row r="1115" ht="19.899999999999999" customHeight="1"/>
    <row r="1116" ht="19.899999999999999" customHeight="1"/>
    <row r="1117" ht="19.899999999999999" customHeight="1"/>
    <row r="1118" ht="19.899999999999999" customHeight="1"/>
    <row r="1119" ht="19.899999999999999" customHeight="1"/>
    <row r="1120" ht="19.899999999999999" customHeight="1"/>
    <row r="1121" ht="19.899999999999999" customHeight="1"/>
    <row r="1122" ht="19.899999999999999" customHeight="1"/>
    <row r="1123" ht="19.899999999999999" customHeight="1"/>
    <row r="1124" ht="19.899999999999999" customHeight="1"/>
    <row r="1125" ht="19.899999999999999" customHeight="1"/>
    <row r="1126" ht="19.899999999999999" customHeight="1"/>
    <row r="1127" ht="19.899999999999999" customHeight="1"/>
    <row r="1128" ht="19.899999999999999" customHeight="1"/>
    <row r="1129" ht="19.899999999999999" customHeight="1"/>
    <row r="1130" ht="19.899999999999999" customHeight="1"/>
    <row r="1131" ht="19.899999999999999" customHeight="1"/>
    <row r="1132" ht="19.899999999999999" customHeight="1"/>
    <row r="1133" ht="19.899999999999999" customHeight="1"/>
    <row r="1134" ht="19.899999999999999" customHeight="1"/>
    <row r="1135" ht="19.899999999999999" customHeight="1"/>
    <row r="1136" ht="19.899999999999999" customHeight="1"/>
    <row r="1137" ht="19.899999999999999" customHeight="1"/>
    <row r="1138" ht="19.899999999999999" customHeight="1"/>
    <row r="1139" ht="19.899999999999999" customHeight="1"/>
    <row r="1140" ht="19.899999999999999" customHeight="1"/>
    <row r="1141" ht="19.899999999999999" customHeight="1"/>
    <row r="1142" ht="19.899999999999999" customHeight="1"/>
    <row r="1143" ht="19.899999999999999" customHeight="1"/>
    <row r="1144" ht="19.899999999999999" customHeight="1"/>
    <row r="1145" ht="19.899999999999999" customHeight="1"/>
    <row r="1146" ht="19.899999999999999" customHeight="1"/>
    <row r="1147" ht="19.899999999999999" customHeight="1"/>
    <row r="1148" ht="19.899999999999999" customHeight="1"/>
    <row r="1149" ht="19.899999999999999" customHeight="1"/>
    <row r="1150" ht="19.899999999999999" customHeight="1"/>
    <row r="1151" ht="19.899999999999999" customHeight="1"/>
    <row r="1152" ht="19.899999999999999" customHeight="1"/>
    <row r="1153" ht="19.899999999999999" customHeight="1"/>
  </sheetData>
  <mergeCells count="36">
    <mergeCell ref="E158:S158"/>
    <mergeCell ref="E157:S157"/>
    <mergeCell ref="B157:D157"/>
    <mergeCell ref="E166:S166"/>
    <mergeCell ref="B166:D166"/>
    <mergeCell ref="E160:S160"/>
    <mergeCell ref="E161:S161"/>
    <mergeCell ref="B160:D160"/>
    <mergeCell ref="B161:D161"/>
    <mergeCell ref="E163:S163"/>
    <mergeCell ref="B163:D163"/>
    <mergeCell ref="B164:D164"/>
    <mergeCell ref="E164:S164"/>
    <mergeCell ref="B158:D158"/>
    <mergeCell ref="A1:C1"/>
    <mergeCell ref="E1:G1"/>
    <mergeCell ref="L1:R1"/>
    <mergeCell ref="V1:X1"/>
    <mergeCell ref="L38:R38"/>
    <mergeCell ref="V38:X38"/>
    <mergeCell ref="K3:R3"/>
    <mergeCell ref="V3:AE3"/>
    <mergeCell ref="I2:J2"/>
    <mergeCell ref="I10:J10"/>
    <mergeCell ref="D35:D65"/>
    <mergeCell ref="D3:D33"/>
    <mergeCell ref="L76:R76"/>
    <mergeCell ref="K78:R78"/>
    <mergeCell ref="L114:R114"/>
    <mergeCell ref="K116:R116"/>
    <mergeCell ref="V76:X76"/>
    <mergeCell ref="V114:X114"/>
    <mergeCell ref="V116:X116"/>
    <mergeCell ref="S4:S151"/>
    <mergeCell ref="V40:X40"/>
    <mergeCell ref="K40:R40"/>
  </mergeCells>
  <conditionalFormatting sqref="N43:R43 O42:R42 N74:R74 O73:R73 N45:R72 N5:R24">
    <cfRule type="containsText" dxfId="630" priority="549" operator="containsText" text="N.D.">
      <formula>NOT(ISERROR(SEARCH("N.D.",N5)))</formula>
    </cfRule>
  </conditionalFormatting>
  <conditionalFormatting sqref="N26:R37">
    <cfRule type="containsText" dxfId="629" priority="548" operator="containsText" text="N.D.">
      <formula>NOT(ISERROR(SEARCH("N.D.",N26)))</formula>
    </cfRule>
  </conditionalFormatting>
  <conditionalFormatting sqref="C3">
    <cfRule type="containsText" dxfId="628" priority="547" operator="containsText" text="N.D.">
      <formula>NOT(ISERROR(SEARCH("N.D.",C3)))</formula>
    </cfRule>
  </conditionalFormatting>
  <conditionalFormatting sqref="C4:C33">
    <cfRule type="containsText" dxfId="627" priority="544" operator="containsText" text="N.D.">
      <formula>NOT(ISERROR(SEARCH("N.D.",C4)))</formula>
    </cfRule>
  </conditionalFormatting>
  <conditionalFormatting sqref="A3:B19 E3:F19">
    <cfRule type="expression" dxfId="626" priority="541">
      <formula>$M3="NON DEFINED"</formula>
    </cfRule>
    <cfRule type="expression" dxfId="625" priority="542">
      <formula>$AZ3="N.D."</formula>
    </cfRule>
    <cfRule type="expression" dxfId="624" priority="543">
      <formula>$AY3="N.D."</formula>
    </cfRule>
  </conditionalFormatting>
  <conditionalFormatting sqref="G3">
    <cfRule type="containsText" dxfId="623" priority="540" operator="containsText" text="N.D.">
      <formula>NOT(ISERROR(SEARCH("N.D.",G3)))</formula>
    </cfRule>
  </conditionalFormatting>
  <conditionalFormatting sqref="G4:G33">
    <cfRule type="containsText" dxfId="622" priority="539" operator="containsText" text="N.D.">
      <formula>NOT(ISERROR(SEARCH("N.D.",G4)))</formula>
    </cfRule>
  </conditionalFormatting>
  <conditionalFormatting sqref="C34:C87">
    <cfRule type="containsText" dxfId="621" priority="538" operator="containsText" text="N.D.">
      <formula>NOT(ISERROR(SEARCH("N.D.",C34)))</formula>
    </cfRule>
  </conditionalFormatting>
  <conditionalFormatting sqref="G34:G87">
    <cfRule type="containsText" dxfId="620" priority="534" operator="containsText" text="N.D.">
      <formula>NOT(ISERROR(SEARCH("N.D.",G34)))</formula>
    </cfRule>
  </conditionalFormatting>
  <conditionalFormatting sqref="AD22">
    <cfRule type="containsText" dxfId="619" priority="347" operator="containsText" text="Ø8@200">
      <formula>NOT(ISERROR(SEARCH("Ø8@200",AD22)))</formula>
    </cfRule>
    <cfRule type="containsText" dxfId="618" priority="348" operator="containsText" text="Ø12@200">
      <formula>NOT(ISERROR(SEARCH("Ø12@200",AD22)))</formula>
    </cfRule>
    <cfRule type="containsText" dxfId="617" priority="349" operator="containsText" text="Ø8@250">
      <formula>NOT(ISERROR(SEARCH("Ø8@250",AD22)))</formula>
    </cfRule>
  </conditionalFormatting>
  <conditionalFormatting sqref="Y22">
    <cfRule type="cellIs" dxfId="616" priority="367" operator="equal">
      <formula>0.75</formula>
    </cfRule>
    <cfRule type="cellIs" dxfId="615" priority="368" operator="equal">
      <formula>1.2</formula>
    </cfRule>
    <cfRule type="cellIs" dxfId="614" priority="369" operator="equal">
      <formula>1</formula>
    </cfRule>
  </conditionalFormatting>
  <conditionalFormatting sqref="Z22">
    <cfRule type="cellIs" dxfId="613" priority="363" operator="equal">
      <formula>40</formula>
    </cfRule>
    <cfRule type="cellIs" dxfId="612" priority="364" operator="equal">
      <formula>32</formula>
    </cfRule>
    <cfRule type="cellIs" dxfId="611" priority="365" operator="equal">
      <formula>25</formula>
    </cfRule>
    <cfRule type="cellIs" dxfId="610" priority="366" operator="equal">
      <formula>16</formula>
    </cfRule>
  </conditionalFormatting>
  <conditionalFormatting sqref="AB22">
    <cfRule type="containsText" dxfId="609" priority="354" operator="containsText" text="200*200*200/300*300">
      <formula>NOT(ISERROR(SEARCH("200*200*200/300*300",AB22)))</formula>
    </cfRule>
    <cfRule type="containsText" dxfId="608" priority="355" operator="containsText" text="200/300">
      <formula>NOT(ISERROR(SEARCH("200/300",AB22)))</formula>
    </cfRule>
    <cfRule type="containsText" dxfId="607" priority="356" operator="containsText" text="200*200*200/520">
      <formula>NOT(ISERROR(SEARCH("200*200*200/520",AB22)))</formula>
    </cfRule>
    <cfRule type="containsText" dxfId="606" priority="357" operator="containsText" text="250*250/500">
      <formula>NOT(ISERROR(SEARCH("250*250/500",AB22)))</formula>
    </cfRule>
    <cfRule type="containsText" dxfId="605" priority="358" operator="containsText" text="200*200/500">
      <formula>NOT(ISERROR(SEARCH("200*200/500",AB22)))</formula>
    </cfRule>
    <cfRule type="containsText" dxfId="604" priority="359" operator="containsText" text="200*200*200/560">
      <formula>NOT(ISERROR(SEARCH("200*200*200/560",AB22)))</formula>
    </cfRule>
    <cfRule type="containsText" dxfId="603" priority="360" operator="containsText" text="600/300">
      <formula>NOT(ISERROR(SEARCH("600/300",AB22)))</formula>
    </cfRule>
    <cfRule type="containsText" dxfId="602" priority="361" operator="containsText" text="500/250">
      <formula>NOT(ISERROR(SEARCH("500/250",AB22)))</formula>
    </cfRule>
    <cfRule type="containsText" dxfId="601" priority="362" operator="containsText" text="500/200">
      <formula>NOT(ISERROR(SEARCH("500/200",AB22)))</formula>
    </cfRule>
  </conditionalFormatting>
  <conditionalFormatting sqref="AC22">
    <cfRule type="containsText" dxfId="600" priority="350" operator="containsText" text="13Ø25">
      <formula>NOT(ISERROR(SEARCH("13Ø25",AC22)))</formula>
    </cfRule>
    <cfRule type="containsText" dxfId="599" priority="351" operator="containsText" text="12Ø25">
      <formula>NOT(ISERROR(SEARCH("12Ø25",AC22)))</formula>
    </cfRule>
    <cfRule type="containsText" dxfId="598" priority="352" operator="containsText" text="10Ø20">
      <formula>NOT(ISERROR(SEARCH("10Ø20",AC22)))</formula>
    </cfRule>
    <cfRule type="containsText" dxfId="597" priority="353" operator="containsText" text="8Ø18">
      <formula>NOT(ISERROR(SEARCH("8Ø18",AC22)))</formula>
    </cfRule>
  </conditionalFormatting>
  <conditionalFormatting sqref="Y4:Y13 Y17:Y20 Y23 Y15">
    <cfRule type="cellIs" dxfId="596" priority="420" operator="equal">
      <formula>0.75</formula>
    </cfRule>
    <cfRule type="cellIs" dxfId="595" priority="421" operator="equal">
      <formula>1.2</formula>
    </cfRule>
    <cfRule type="cellIs" dxfId="594" priority="422" operator="equal">
      <formula>1</formula>
    </cfRule>
  </conditionalFormatting>
  <conditionalFormatting sqref="Z4:Z13 Z17:Z20 Z23 Z15">
    <cfRule type="cellIs" dxfId="593" priority="416" operator="equal">
      <formula>40</formula>
    </cfRule>
    <cfRule type="cellIs" dxfId="592" priority="417" operator="equal">
      <formula>32</formula>
    </cfRule>
    <cfRule type="cellIs" dxfId="591" priority="418" operator="equal">
      <formula>25</formula>
    </cfRule>
    <cfRule type="cellIs" dxfId="590" priority="419" operator="equal">
      <formula>16</formula>
    </cfRule>
  </conditionalFormatting>
  <conditionalFormatting sqref="AB4:AB13 AB17:AB20 AB23 AB15">
    <cfRule type="containsText" dxfId="589" priority="407" operator="containsText" text="200*200*200/300*300">
      <formula>NOT(ISERROR(SEARCH("200*200*200/300*300",AB4)))</formula>
    </cfRule>
    <cfRule type="containsText" dxfId="588" priority="408" operator="containsText" text="200/300">
      <formula>NOT(ISERROR(SEARCH("200/300",AB4)))</formula>
    </cfRule>
    <cfRule type="containsText" dxfId="587" priority="409" operator="containsText" text="200*200*200/520">
      <formula>NOT(ISERROR(SEARCH("200*200*200/520",AB4)))</formula>
    </cfRule>
    <cfRule type="containsText" dxfId="586" priority="410" operator="containsText" text="250*250/500">
      <formula>NOT(ISERROR(SEARCH("250*250/500",AB4)))</formula>
    </cfRule>
    <cfRule type="containsText" dxfId="585" priority="411" operator="containsText" text="200*200/500">
      <formula>NOT(ISERROR(SEARCH("200*200/500",AB4)))</formula>
    </cfRule>
    <cfRule type="containsText" dxfId="584" priority="412" operator="containsText" text="200*200*200/560">
      <formula>NOT(ISERROR(SEARCH("200*200*200/560",AB4)))</formula>
    </cfRule>
    <cfRule type="containsText" dxfId="583" priority="413" operator="containsText" text="600/300">
      <formula>NOT(ISERROR(SEARCH("600/300",AB4)))</formula>
    </cfRule>
    <cfRule type="containsText" dxfId="582" priority="414" operator="containsText" text="500/250">
      <formula>NOT(ISERROR(SEARCH("500/250",AB4)))</formula>
    </cfRule>
    <cfRule type="containsText" dxfId="581" priority="415" operator="containsText" text="500/200">
      <formula>NOT(ISERROR(SEARCH("500/200",AB4)))</formula>
    </cfRule>
  </conditionalFormatting>
  <conditionalFormatting sqref="AC4:AC13 AC17:AC20 AC23 AC15">
    <cfRule type="containsText" dxfId="580" priority="403" operator="containsText" text="13Ø25">
      <formula>NOT(ISERROR(SEARCH("13Ø25",AC4)))</formula>
    </cfRule>
    <cfRule type="containsText" dxfId="579" priority="404" operator="containsText" text="12Ø25">
      <formula>NOT(ISERROR(SEARCH("12Ø25",AC4)))</formula>
    </cfRule>
    <cfRule type="containsText" dxfId="578" priority="405" operator="containsText" text="10Ø20">
      <formula>NOT(ISERROR(SEARCH("10Ø20",AC4)))</formula>
    </cfRule>
    <cfRule type="containsText" dxfId="577" priority="406" operator="containsText" text="8Ø18">
      <formula>NOT(ISERROR(SEARCH("8Ø18",AC4)))</formula>
    </cfRule>
  </conditionalFormatting>
  <conditionalFormatting sqref="AD4:AD13 AD17:AD20 AD23 AD15">
    <cfRule type="containsText" dxfId="576" priority="400" operator="containsText" text="Ø8@200">
      <formula>NOT(ISERROR(SEARCH("Ø8@200",AD4)))</formula>
    </cfRule>
    <cfRule type="containsText" dxfId="575" priority="401" operator="containsText" text="Ø12@200">
      <formula>NOT(ISERROR(SEARCH("Ø12@200",AD4)))</formula>
    </cfRule>
    <cfRule type="containsText" dxfId="574" priority="402" operator="containsText" text="Ø8@250">
      <formula>NOT(ISERROR(SEARCH("Ø8@250",AD4)))</formula>
    </cfRule>
  </conditionalFormatting>
  <conditionalFormatting sqref="Y29:Y37 Y23:Y24">
    <cfRule type="cellIs" dxfId="573" priority="344" operator="equal">
      <formula>0.75</formula>
    </cfRule>
    <cfRule type="cellIs" dxfId="572" priority="345" operator="equal">
      <formula>1.2</formula>
    </cfRule>
    <cfRule type="cellIs" dxfId="571" priority="346" operator="equal">
      <formula>1</formula>
    </cfRule>
  </conditionalFormatting>
  <conditionalFormatting sqref="Z29:Z37 Z23:Z24">
    <cfRule type="cellIs" dxfId="570" priority="340" operator="equal">
      <formula>40</formula>
    </cfRule>
    <cfRule type="cellIs" dxfId="569" priority="341" operator="equal">
      <formula>32</formula>
    </cfRule>
    <cfRule type="cellIs" dxfId="568" priority="342" operator="equal">
      <formula>25</formula>
    </cfRule>
    <cfRule type="cellIs" dxfId="567" priority="343" operator="equal">
      <formula>16</formula>
    </cfRule>
  </conditionalFormatting>
  <conditionalFormatting sqref="AB29:AB37 AB23:AB24">
    <cfRule type="containsText" dxfId="566" priority="331" operator="containsText" text="200*200*200/300*300">
      <formula>NOT(ISERROR(SEARCH("200*200*200/300*300",AB23)))</formula>
    </cfRule>
    <cfRule type="containsText" dxfId="565" priority="332" operator="containsText" text="200/300">
      <formula>NOT(ISERROR(SEARCH("200/300",AB23)))</formula>
    </cfRule>
    <cfRule type="containsText" dxfId="564" priority="333" operator="containsText" text="200*200*200/520">
      <formula>NOT(ISERROR(SEARCH("200*200*200/520",AB23)))</formula>
    </cfRule>
    <cfRule type="containsText" dxfId="563" priority="334" operator="containsText" text="250*250/500">
      <formula>NOT(ISERROR(SEARCH("250*250/500",AB23)))</formula>
    </cfRule>
    <cfRule type="containsText" dxfId="562" priority="335" operator="containsText" text="200*200/500">
      <formula>NOT(ISERROR(SEARCH("200*200/500",AB23)))</formula>
    </cfRule>
    <cfRule type="containsText" dxfId="561" priority="336" operator="containsText" text="200*200*200/560">
      <formula>NOT(ISERROR(SEARCH("200*200*200/560",AB23)))</formula>
    </cfRule>
    <cfRule type="containsText" dxfId="560" priority="337" operator="containsText" text="600/300">
      <formula>NOT(ISERROR(SEARCH("600/300",AB23)))</formula>
    </cfRule>
    <cfRule type="containsText" dxfId="559" priority="338" operator="containsText" text="500/250">
      <formula>NOT(ISERROR(SEARCH("500/250",AB23)))</formula>
    </cfRule>
    <cfRule type="containsText" dxfId="558" priority="339" operator="containsText" text="500/200">
      <formula>NOT(ISERROR(SEARCH("500/200",AB23)))</formula>
    </cfRule>
  </conditionalFormatting>
  <conditionalFormatting sqref="AC29:AC32 AC34:AC37 AC23:AC24">
    <cfRule type="containsText" dxfId="557" priority="327" operator="containsText" text="13Ø25">
      <formula>NOT(ISERROR(SEARCH("13Ø25",AC23)))</formula>
    </cfRule>
    <cfRule type="containsText" dxfId="556" priority="328" operator="containsText" text="12Ø25">
      <formula>NOT(ISERROR(SEARCH("12Ø25",AC23)))</formula>
    </cfRule>
    <cfRule type="containsText" dxfId="555" priority="329" operator="containsText" text="10Ø20">
      <formula>NOT(ISERROR(SEARCH("10Ø20",AC23)))</formula>
    </cfRule>
    <cfRule type="containsText" dxfId="554" priority="330" operator="containsText" text="8Ø18">
      <formula>NOT(ISERROR(SEARCH("8Ø18",AC23)))</formula>
    </cfRule>
  </conditionalFormatting>
  <conditionalFormatting sqref="AD29:AD32 AD34:AD37 AD23:AD24">
    <cfRule type="containsText" dxfId="553" priority="324" operator="containsText" text="Ø8@200">
      <formula>NOT(ISERROR(SEARCH("Ø8@200",AD23)))</formula>
    </cfRule>
    <cfRule type="containsText" dxfId="552" priority="325" operator="containsText" text="Ø12@200">
      <formula>NOT(ISERROR(SEARCH("Ø12@200",AD23)))</formula>
    </cfRule>
    <cfRule type="containsText" dxfId="551" priority="326" operator="containsText" text="Ø8@250">
      <formula>NOT(ISERROR(SEARCH("Ø8@250",AD23)))</formula>
    </cfRule>
  </conditionalFormatting>
  <conditionalFormatting sqref="Z28">
    <cfRule type="cellIs" dxfId="550" priority="301" operator="equal">
      <formula>40</formula>
    </cfRule>
    <cfRule type="cellIs" dxfId="549" priority="302" operator="equal">
      <formula>32</formula>
    </cfRule>
    <cfRule type="cellIs" dxfId="548" priority="303" operator="equal">
      <formula>25</formula>
    </cfRule>
    <cfRule type="cellIs" dxfId="547" priority="304" operator="equal">
      <formula>16</formula>
    </cfRule>
  </conditionalFormatting>
  <conditionalFormatting sqref="AB28">
    <cfRule type="containsText" dxfId="546" priority="292" operator="containsText" text="200*200*200/300*300">
      <formula>NOT(ISERROR(SEARCH("200*200*200/300*300",AB28)))</formula>
    </cfRule>
    <cfRule type="containsText" dxfId="545" priority="293" operator="containsText" text="200/300">
      <formula>NOT(ISERROR(SEARCH("200/300",AB28)))</formula>
    </cfRule>
    <cfRule type="containsText" dxfId="544" priority="294" operator="containsText" text="200*200*200/520">
      <formula>NOT(ISERROR(SEARCH("200*200*200/520",AB28)))</formula>
    </cfRule>
    <cfRule type="containsText" dxfId="543" priority="295" operator="containsText" text="250*250/500">
      <formula>NOT(ISERROR(SEARCH("250*250/500",AB28)))</formula>
    </cfRule>
    <cfRule type="containsText" dxfId="542" priority="296" operator="containsText" text="200*200/500">
      <formula>NOT(ISERROR(SEARCH("200*200/500",AB28)))</formula>
    </cfRule>
    <cfRule type="containsText" dxfId="541" priority="297" operator="containsText" text="200*200*200/560">
      <formula>NOT(ISERROR(SEARCH("200*200*200/560",AB28)))</formula>
    </cfRule>
    <cfRule type="containsText" dxfId="540" priority="298" operator="containsText" text="600/300">
      <formula>NOT(ISERROR(SEARCH("600/300",AB28)))</formula>
    </cfRule>
    <cfRule type="containsText" dxfId="539" priority="299" operator="containsText" text="500/250">
      <formula>NOT(ISERROR(SEARCH("500/250",AB28)))</formula>
    </cfRule>
    <cfRule type="containsText" dxfId="538" priority="300" operator="containsText" text="500/200">
      <formula>NOT(ISERROR(SEARCH("500/200",AB28)))</formula>
    </cfRule>
  </conditionalFormatting>
  <conditionalFormatting sqref="AC33">
    <cfRule type="containsText" dxfId="537" priority="288" operator="containsText" text="13Ø25">
      <formula>NOT(ISERROR(SEARCH("13Ø25",AC33)))</formula>
    </cfRule>
    <cfRule type="containsText" dxfId="536" priority="289" operator="containsText" text="12Ø25">
      <formula>NOT(ISERROR(SEARCH("12Ø25",AC33)))</formula>
    </cfRule>
    <cfRule type="containsText" dxfId="535" priority="290" operator="containsText" text="10Ø20">
      <formula>NOT(ISERROR(SEARCH("10Ø20",AC33)))</formula>
    </cfRule>
    <cfRule type="containsText" dxfId="534" priority="291" operator="containsText" text="8Ø18">
      <formula>NOT(ISERROR(SEARCH("8Ø18",AC33)))</formula>
    </cfRule>
  </conditionalFormatting>
  <conditionalFormatting sqref="AD33">
    <cfRule type="containsText" dxfId="533" priority="285" operator="containsText" text="Ø8@200">
      <formula>NOT(ISERROR(SEARCH("Ø8@200",AD33)))</formula>
    </cfRule>
    <cfRule type="containsText" dxfId="532" priority="286" operator="containsText" text="Ø12@200">
      <formula>NOT(ISERROR(SEARCH("Ø12@200",AD33)))</formula>
    </cfRule>
    <cfRule type="containsText" dxfId="531" priority="287" operator="containsText" text="Ø8@250">
      <formula>NOT(ISERROR(SEARCH("Ø8@250",AD33)))</formula>
    </cfRule>
  </conditionalFormatting>
  <conditionalFormatting sqref="Z27">
    <cfRule type="cellIs" dxfId="530" priority="278" operator="equal">
      <formula>40</formula>
    </cfRule>
    <cfRule type="cellIs" dxfId="529" priority="279" operator="equal">
      <formula>32</formula>
    </cfRule>
    <cfRule type="cellIs" dxfId="528" priority="280" operator="equal">
      <formula>25</formula>
    </cfRule>
    <cfRule type="cellIs" dxfId="527" priority="281" operator="equal">
      <formula>16</formula>
    </cfRule>
  </conditionalFormatting>
  <conditionalFormatting sqref="AB27">
    <cfRule type="containsText" dxfId="526" priority="269" operator="containsText" text="200*200*200/300*300">
      <formula>NOT(ISERROR(SEARCH("200*200*200/300*300",AB27)))</formula>
    </cfRule>
    <cfRule type="containsText" dxfId="525" priority="270" operator="containsText" text="200/300">
      <formula>NOT(ISERROR(SEARCH("200/300",AB27)))</formula>
    </cfRule>
    <cfRule type="containsText" dxfId="524" priority="271" operator="containsText" text="200*200*200/520">
      <formula>NOT(ISERROR(SEARCH("200*200*200/520",AB27)))</formula>
    </cfRule>
    <cfRule type="containsText" dxfId="523" priority="272" operator="containsText" text="250*250/500">
      <formula>NOT(ISERROR(SEARCH("250*250/500",AB27)))</formula>
    </cfRule>
    <cfRule type="containsText" dxfId="522" priority="273" operator="containsText" text="200*200/500">
      <formula>NOT(ISERROR(SEARCH("200*200/500",AB27)))</formula>
    </cfRule>
    <cfRule type="containsText" dxfId="521" priority="274" operator="containsText" text="200*200*200/560">
      <formula>NOT(ISERROR(SEARCH("200*200*200/560",AB27)))</formula>
    </cfRule>
    <cfRule type="containsText" dxfId="520" priority="275" operator="containsText" text="600/300">
      <formula>NOT(ISERROR(SEARCH("600/300",AB27)))</formula>
    </cfRule>
    <cfRule type="containsText" dxfId="519" priority="276" operator="containsText" text="500/250">
      <formula>NOT(ISERROR(SEARCH("500/250",AB27)))</formula>
    </cfRule>
    <cfRule type="containsText" dxfId="518" priority="277" operator="containsText" text="500/200">
      <formula>NOT(ISERROR(SEARCH("500/200",AB27)))</formula>
    </cfRule>
  </conditionalFormatting>
  <conditionalFormatting sqref="Y22">
    <cfRule type="cellIs" dxfId="517" priority="266" operator="equal">
      <formula>0.75</formula>
    </cfRule>
    <cfRule type="cellIs" dxfId="516" priority="267" operator="equal">
      <formula>1.2</formula>
    </cfRule>
    <cfRule type="cellIs" dxfId="515" priority="268" operator="equal">
      <formula>1</formula>
    </cfRule>
  </conditionalFormatting>
  <conditionalFormatting sqref="Z22">
    <cfRule type="cellIs" dxfId="514" priority="262" operator="equal">
      <formula>40</formula>
    </cfRule>
    <cfRule type="cellIs" dxfId="513" priority="263" operator="equal">
      <formula>32</formula>
    </cfRule>
    <cfRule type="cellIs" dxfId="512" priority="264" operator="equal">
      <formula>25</formula>
    </cfRule>
    <cfRule type="cellIs" dxfId="511" priority="265" operator="equal">
      <formula>16</formula>
    </cfRule>
  </conditionalFormatting>
  <conditionalFormatting sqref="AB22">
    <cfRule type="containsText" dxfId="510" priority="253" operator="containsText" text="200*200*200/300*300">
      <formula>NOT(ISERROR(SEARCH("200*200*200/300*300",AB22)))</formula>
    </cfRule>
    <cfRule type="containsText" dxfId="509" priority="254" operator="containsText" text="200/300">
      <formula>NOT(ISERROR(SEARCH("200/300",AB22)))</formula>
    </cfRule>
    <cfRule type="containsText" dxfId="508" priority="255" operator="containsText" text="200*200*200/520">
      <formula>NOT(ISERROR(SEARCH("200*200*200/520",AB22)))</formula>
    </cfRule>
    <cfRule type="containsText" dxfId="507" priority="256" operator="containsText" text="250*250/500">
      <formula>NOT(ISERROR(SEARCH("250*250/500",AB22)))</formula>
    </cfRule>
    <cfRule type="containsText" dxfId="506" priority="257" operator="containsText" text="200*200/500">
      <formula>NOT(ISERROR(SEARCH("200*200/500",AB22)))</formula>
    </cfRule>
    <cfRule type="containsText" dxfId="505" priority="258" operator="containsText" text="200*200*200/560">
      <formula>NOT(ISERROR(SEARCH("200*200*200/560",AB22)))</formula>
    </cfRule>
    <cfRule type="containsText" dxfId="504" priority="259" operator="containsText" text="600/300">
      <formula>NOT(ISERROR(SEARCH("600/300",AB22)))</formula>
    </cfRule>
    <cfRule type="containsText" dxfId="503" priority="260" operator="containsText" text="500/250">
      <formula>NOT(ISERROR(SEARCH("500/250",AB22)))</formula>
    </cfRule>
    <cfRule type="containsText" dxfId="502" priority="261" operator="containsText" text="500/200">
      <formula>NOT(ISERROR(SEARCH("500/200",AB22)))</formula>
    </cfRule>
  </conditionalFormatting>
  <conditionalFormatting sqref="AC22">
    <cfRule type="containsText" dxfId="501" priority="249" operator="containsText" text="13Ø25">
      <formula>NOT(ISERROR(SEARCH("13Ø25",AC22)))</formula>
    </cfRule>
    <cfRule type="containsText" dxfId="500" priority="250" operator="containsText" text="12Ø25">
      <formula>NOT(ISERROR(SEARCH("12Ø25",AC22)))</formula>
    </cfRule>
    <cfRule type="containsText" dxfId="499" priority="251" operator="containsText" text="10Ø20">
      <formula>NOT(ISERROR(SEARCH("10Ø20",AC22)))</formula>
    </cfRule>
    <cfRule type="containsText" dxfId="498" priority="252" operator="containsText" text="8Ø18">
      <formula>NOT(ISERROR(SEARCH("8Ø18",AC22)))</formula>
    </cfRule>
  </conditionalFormatting>
  <conditionalFormatting sqref="AD22">
    <cfRule type="containsText" dxfId="497" priority="246" operator="containsText" text="Ø8@200">
      <formula>NOT(ISERROR(SEARCH("Ø8@200",AD22)))</formula>
    </cfRule>
    <cfRule type="containsText" dxfId="496" priority="247" operator="containsText" text="Ø12@200">
      <formula>NOT(ISERROR(SEARCH("Ø12@200",AD22)))</formula>
    </cfRule>
    <cfRule type="containsText" dxfId="495" priority="248" operator="containsText" text="Ø8@250">
      <formula>NOT(ISERROR(SEARCH("Ø8@250",AD22)))</formula>
    </cfRule>
  </conditionalFormatting>
  <conditionalFormatting sqref="N25:R25">
    <cfRule type="containsText" dxfId="494" priority="199" operator="containsText" text="N.D.">
      <formula>NOT(ISERROR(SEARCH("N.D.",N25)))</formula>
    </cfRule>
  </conditionalFormatting>
  <conditionalFormatting sqref="Y16">
    <cfRule type="cellIs" dxfId="493" priority="196" operator="equal">
      <formula>0.75</formula>
    </cfRule>
    <cfRule type="cellIs" dxfId="492" priority="197" operator="equal">
      <formula>1.2</formula>
    </cfRule>
    <cfRule type="cellIs" dxfId="491" priority="198" operator="equal">
      <formula>1</formula>
    </cfRule>
  </conditionalFormatting>
  <conditionalFormatting sqref="Z16">
    <cfRule type="cellIs" dxfId="490" priority="192" operator="equal">
      <formula>40</formula>
    </cfRule>
    <cfRule type="cellIs" dxfId="489" priority="193" operator="equal">
      <formula>32</formula>
    </cfRule>
    <cfRule type="cellIs" dxfId="488" priority="194" operator="equal">
      <formula>25</formula>
    </cfRule>
    <cfRule type="cellIs" dxfId="487" priority="195" operator="equal">
      <formula>16</formula>
    </cfRule>
  </conditionalFormatting>
  <conditionalFormatting sqref="AB16">
    <cfRule type="containsText" dxfId="486" priority="183" operator="containsText" text="200*200*200/300*300">
      <formula>NOT(ISERROR(SEARCH("200*200*200/300*300",AB16)))</formula>
    </cfRule>
    <cfRule type="containsText" dxfId="485" priority="184" operator="containsText" text="200/300">
      <formula>NOT(ISERROR(SEARCH("200/300",AB16)))</formula>
    </cfRule>
    <cfRule type="containsText" dxfId="484" priority="185" operator="containsText" text="200*200*200/520">
      <formula>NOT(ISERROR(SEARCH("200*200*200/520",AB16)))</formula>
    </cfRule>
    <cfRule type="containsText" dxfId="483" priority="186" operator="containsText" text="250*250/500">
      <formula>NOT(ISERROR(SEARCH("250*250/500",AB16)))</formula>
    </cfRule>
    <cfRule type="containsText" dxfId="482" priority="187" operator="containsText" text="200*200/500">
      <formula>NOT(ISERROR(SEARCH("200*200/500",AB16)))</formula>
    </cfRule>
    <cfRule type="containsText" dxfId="481" priority="188" operator="containsText" text="200*200*200/560">
      <formula>NOT(ISERROR(SEARCH("200*200*200/560",AB16)))</formula>
    </cfRule>
    <cfRule type="containsText" dxfId="480" priority="189" operator="containsText" text="600/300">
      <formula>NOT(ISERROR(SEARCH("600/300",AB16)))</formula>
    </cfRule>
    <cfRule type="containsText" dxfId="479" priority="190" operator="containsText" text="500/250">
      <formula>NOT(ISERROR(SEARCH("500/250",AB16)))</formula>
    </cfRule>
    <cfRule type="containsText" dxfId="478" priority="191" operator="containsText" text="500/200">
      <formula>NOT(ISERROR(SEARCH("500/200",AB16)))</formula>
    </cfRule>
  </conditionalFormatting>
  <conditionalFormatting sqref="AC16">
    <cfRule type="containsText" dxfId="477" priority="179" operator="containsText" text="13Ø25">
      <formula>NOT(ISERROR(SEARCH("13Ø25",AC16)))</formula>
    </cfRule>
    <cfRule type="containsText" dxfId="476" priority="180" operator="containsText" text="12Ø25">
      <formula>NOT(ISERROR(SEARCH("12Ø25",AC16)))</formula>
    </cfRule>
    <cfRule type="containsText" dxfId="475" priority="181" operator="containsText" text="10Ø20">
      <formula>NOT(ISERROR(SEARCH("10Ø20",AC16)))</formula>
    </cfRule>
    <cfRule type="containsText" dxfId="474" priority="182" operator="containsText" text="8Ø18">
      <formula>NOT(ISERROR(SEARCH("8Ø18",AC16)))</formula>
    </cfRule>
  </conditionalFormatting>
  <conditionalFormatting sqref="AD16">
    <cfRule type="containsText" dxfId="473" priority="176" operator="containsText" text="Ø8@200">
      <formula>NOT(ISERROR(SEARCH("Ø8@200",AD16)))</formula>
    </cfRule>
    <cfRule type="containsText" dxfId="472" priority="177" operator="containsText" text="Ø12@200">
      <formula>NOT(ISERROR(SEARCH("Ø12@200",AD16)))</formula>
    </cfRule>
    <cfRule type="containsText" dxfId="471" priority="178" operator="containsText" text="Ø8@250">
      <formula>NOT(ISERROR(SEARCH("Ø8@250",AD16)))</formula>
    </cfRule>
  </conditionalFormatting>
  <conditionalFormatting sqref="Z26">
    <cfRule type="cellIs" dxfId="470" priority="172" operator="equal">
      <formula>40</formula>
    </cfRule>
    <cfRule type="cellIs" dxfId="469" priority="173" operator="equal">
      <formula>32</formula>
    </cfRule>
    <cfRule type="cellIs" dxfId="468" priority="174" operator="equal">
      <formula>25</formula>
    </cfRule>
    <cfRule type="cellIs" dxfId="467" priority="175" operator="equal">
      <formula>16</formula>
    </cfRule>
  </conditionalFormatting>
  <conditionalFormatting sqref="AB26">
    <cfRule type="containsText" dxfId="466" priority="163" operator="containsText" text="200*200*200/300*300">
      <formula>NOT(ISERROR(SEARCH("200*200*200/300*300",AB26)))</formula>
    </cfRule>
    <cfRule type="containsText" dxfId="465" priority="164" operator="containsText" text="200/300">
      <formula>NOT(ISERROR(SEARCH("200/300",AB26)))</formula>
    </cfRule>
    <cfRule type="containsText" dxfId="464" priority="165" operator="containsText" text="200*200*200/520">
      <formula>NOT(ISERROR(SEARCH("200*200*200/520",AB26)))</formula>
    </cfRule>
    <cfRule type="containsText" dxfId="463" priority="166" operator="containsText" text="250*250/500">
      <formula>NOT(ISERROR(SEARCH("250*250/500",AB26)))</formula>
    </cfRule>
    <cfRule type="containsText" dxfId="462" priority="167" operator="containsText" text="200*200/500">
      <formula>NOT(ISERROR(SEARCH("200*200/500",AB26)))</formula>
    </cfRule>
    <cfRule type="containsText" dxfId="461" priority="168" operator="containsText" text="200*200*200/560">
      <formula>NOT(ISERROR(SEARCH("200*200*200/560",AB26)))</formula>
    </cfRule>
    <cfRule type="containsText" dxfId="460" priority="169" operator="containsText" text="600/300">
      <formula>NOT(ISERROR(SEARCH("600/300",AB26)))</formula>
    </cfRule>
    <cfRule type="containsText" dxfId="459" priority="170" operator="containsText" text="500/250">
      <formula>NOT(ISERROR(SEARCH("500/250",AB26)))</formula>
    </cfRule>
    <cfRule type="containsText" dxfId="458" priority="171" operator="containsText" text="500/200">
      <formula>NOT(ISERROR(SEARCH("500/200",AB26)))</formula>
    </cfRule>
  </conditionalFormatting>
  <conditionalFormatting sqref="Z25">
    <cfRule type="cellIs" dxfId="457" priority="159" operator="equal">
      <formula>40</formula>
    </cfRule>
    <cfRule type="cellIs" dxfId="456" priority="160" operator="equal">
      <formula>32</formula>
    </cfRule>
    <cfRule type="cellIs" dxfId="455" priority="161" operator="equal">
      <formula>25</formula>
    </cfRule>
    <cfRule type="cellIs" dxfId="454" priority="162" operator="equal">
      <formula>16</formula>
    </cfRule>
  </conditionalFormatting>
  <conditionalFormatting sqref="AB25">
    <cfRule type="containsText" dxfId="453" priority="150" operator="containsText" text="200*200*200/300*300">
      <formula>NOT(ISERROR(SEARCH("200*200*200/300*300",AB25)))</formula>
    </cfRule>
    <cfRule type="containsText" dxfId="452" priority="151" operator="containsText" text="200/300">
      <formula>NOT(ISERROR(SEARCH("200/300",AB25)))</formula>
    </cfRule>
    <cfRule type="containsText" dxfId="451" priority="152" operator="containsText" text="200*200*200/520">
      <formula>NOT(ISERROR(SEARCH("200*200*200/520",AB25)))</formula>
    </cfRule>
    <cfRule type="containsText" dxfId="450" priority="153" operator="containsText" text="250*250/500">
      <formula>NOT(ISERROR(SEARCH("250*250/500",AB25)))</formula>
    </cfRule>
    <cfRule type="containsText" dxfId="449" priority="154" operator="containsText" text="200*200/500">
      <formula>NOT(ISERROR(SEARCH("200*200/500",AB25)))</formula>
    </cfRule>
    <cfRule type="containsText" dxfId="448" priority="155" operator="containsText" text="200*200*200/560">
      <formula>NOT(ISERROR(SEARCH("200*200*200/560",AB25)))</formula>
    </cfRule>
    <cfRule type="containsText" dxfId="447" priority="156" operator="containsText" text="600/300">
      <formula>NOT(ISERROR(SEARCH("600/300",AB25)))</formula>
    </cfRule>
    <cfRule type="containsText" dxfId="446" priority="157" operator="containsText" text="500/250">
      <formula>NOT(ISERROR(SEARCH("500/250",AB25)))</formula>
    </cfRule>
    <cfRule type="containsText" dxfId="445" priority="158" operator="containsText" text="500/200">
      <formula>NOT(ISERROR(SEARCH("500/200",AB25)))</formula>
    </cfRule>
  </conditionalFormatting>
  <conditionalFormatting sqref="AD25">
    <cfRule type="containsText" dxfId="444" priority="147" operator="containsText" text="Ø8@200">
      <formula>NOT(ISERROR(SEARCH("Ø8@200",AD25)))</formula>
    </cfRule>
    <cfRule type="containsText" dxfId="443" priority="148" operator="containsText" text="Ø12@200">
      <formula>NOT(ISERROR(SEARCH("Ø12@200",AD25)))</formula>
    </cfRule>
    <cfRule type="containsText" dxfId="442" priority="149" operator="containsText" text="Ø8@250">
      <formula>NOT(ISERROR(SEARCH("Ø8@250",AD25)))</formula>
    </cfRule>
  </conditionalFormatting>
  <conditionalFormatting sqref="AC25">
    <cfRule type="containsText" dxfId="441" priority="143" operator="containsText" text="13Ø25">
      <formula>NOT(ISERROR(SEARCH("13Ø25",AC25)))</formula>
    </cfRule>
    <cfRule type="containsText" dxfId="440" priority="144" operator="containsText" text="12Ø25">
      <formula>NOT(ISERROR(SEARCH("12Ø25",AC25)))</formula>
    </cfRule>
    <cfRule type="containsText" dxfId="439" priority="145" operator="containsText" text="10Ø20">
      <formula>NOT(ISERROR(SEARCH("10Ø20",AC25)))</formula>
    </cfRule>
    <cfRule type="containsText" dxfId="438" priority="146" operator="containsText" text="8Ø18">
      <formula>NOT(ISERROR(SEARCH("8Ø18",AC25)))</formula>
    </cfRule>
  </conditionalFormatting>
  <conditionalFormatting sqref="AD26">
    <cfRule type="containsText" dxfId="437" priority="140" operator="containsText" text="Ø8@200">
      <formula>NOT(ISERROR(SEARCH("Ø8@200",AD26)))</formula>
    </cfRule>
    <cfRule type="containsText" dxfId="436" priority="141" operator="containsText" text="Ø12@200">
      <formula>NOT(ISERROR(SEARCH("Ø12@200",AD26)))</formula>
    </cfRule>
    <cfRule type="containsText" dxfId="435" priority="142" operator="containsText" text="Ø8@250">
      <formula>NOT(ISERROR(SEARCH("Ø8@250",AD26)))</formula>
    </cfRule>
  </conditionalFormatting>
  <conditionalFormatting sqref="AC26">
    <cfRule type="containsText" dxfId="434" priority="136" operator="containsText" text="13Ø25">
      <formula>NOT(ISERROR(SEARCH("13Ø25",AC26)))</formula>
    </cfRule>
    <cfRule type="containsText" dxfId="433" priority="137" operator="containsText" text="12Ø25">
      <formula>NOT(ISERROR(SEARCH("12Ø25",AC26)))</formula>
    </cfRule>
    <cfRule type="containsText" dxfId="432" priority="138" operator="containsText" text="10Ø20">
      <formula>NOT(ISERROR(SEARCH("10Ø20",AC26)))</formula>
    </cfRule>
    <cfRule type="containsText" dxfId="431" priority="139" operator="containsText" text="8Ø18">
      <formula>NOT(ISERROR(SEARCH("8Ø18",AC26)))</formula>
    </cfRule>
  </conditionalFormatting>
  <conditionalFormatting sqref="Y25">
    <cfRule type="cellIs" dxfId="430" priority="133" operator="equal">
      <formula>0.75</formula>
    </cfRule>
    <cfRule type="cellIs" dxfId="429" priority="134" operator="equal">
      <formula>1.2</formula>
    </cfRule>
    <cfRule type="cellIs" dxfId="428" priority="135" operator="equal">
      <formula>1</formula>
    </cfRule>
  </conditionalFormatting>
  <conditionalFormatting sqref="Y26">
    <cfRule type="cellIs" dxfId="427" priority="130" operator="equal">
      <formula>0.75</formula>
    </cfRule>
    <cfRule type="cellIs" dxfId="426" priority="131" operator="equal">
      <formula>1.2</formula>
    </cfRule>
    <cfRule type="cellIs" dxfId="425" priority="132" operator="equal">
      <formula>1</formula>
    </cfRule>
  </conditionalFormatting>
  <conditionalFormatting sqref="Y27:Y28">
    <cfRule type="cellIs" dxfId="424" priority="127" operator="equal">
      <formula>0.75</formula>
    </cfRule>
    <cfRule type="cellIs" dxfId="423" priority="128" operator="equal">
      <formula>1.2</formula>
    </cfRule>
    <cfRule type="cellIs" dxfId="422" priority="129" operator="equal">
      <formula>1</formula>
    </cfRule>
  </conditionalFormatting>
  <conditionalFormatting sqref="M41:R41">
    <cfRule type="containsText" dxfId="421" priority="125" operator="containsText" text="N.D.">
      <formula>NOT(ISERROR(SEARCH("N.D.",M41)))</formula>
    </cfRule>
  </conditionalFormatting>
  <conditionalFormatting sqref="N42">
    <cfRule type="containsText" dxfId="420" priority="124" operator="containsText" text="N.D.">
      <formula>NOT(ISERROR(SEARCH("N.D.",N42)))</formula>
    </cfRule>
  </conditionalFormatting>
  <conditionalFormatting sqref="N73">
    <cfRule type="containsText" dxfId="419" priority="123" operator="containsText" text="N.D.">
      <formula>NOT(ISERROR(SEARCH("N.D.",N73)))</formula>
    </cfRule>
  </conditionalFormatting>
  <conditionalFormatting sqref="O44:R44">
    <cfRule type="containsText" dxfId="418" priority="122" operator="containsText" text="N.D.">
      <formula>NOT(ISERROR(SEARCH("N.D.",O44)))</formula>
    </cfRule>
  </conditionalFormatting>
  <conditionalFormatting sqref="N44">
    <cfRule type="containsText" dxfId="417" priority="121" operator="containsText" text="N.D.">
      <formula>NOT(ISERROR(SEARCH("N.D.",N44)))</formula>
    </cfRule>
  </conditionalFormatting>
  <conditionalFormatting sqref="AD27">
    <cfRule type="containsText" dxfId="416" priority="118" operator="containsText" text="Ø8@200">
      <formula>NOT(ISERROR(SEARCH("Ø8@200",AD27)))</formula>
    </cfRule>
    <cfRule type="containsText" dxfId="415" priority="119" operator="containsText" text="Ø12@200">
      <formula>NOT(ISERROR(SEARCH("Ø12@200",AD27)))</formula>
    </cfRule>
    <cfRule type="containsText" dxfId="414" priority="120" operator="containsText" text="Ø8@250">
      <formula>NOT(ISERROR(SEARCH("Ø8@250",AD27)))</formula>
    </cfRule>
  </conditionalFormatting>
  <conditionalFormatting sqref="AC27">
    <cfRule type="containsText" dxfId="413" priority="114" operator="containsText" text="13Ø25">
      <formula>NOT(ISERROR(SEARCH("13Ø25",AC27)))</formula>
    </cfRule>
    <cfRule type="containsText" dxfId="412" priority="115" operator="containsText" text="12Ø25">
      <formula>NOT(ISERROR(SEARCH("12Ø25",AC27)))</formula>
    </cfRule>
    <cfRule type="containsText" dxfId="411" priority="116" operator="containsText" text="10Ø20">
      <formula>NOT(ISERROR(SEARCH("10Ø20",AC27)))</formula>
    </cfRule>
    <cfRule type="containsText" dxfId="410" priority="117" operator="containsText" text="8Ø18">
      <formula>NOT(ISERROR(SEARCH("8Ø18",AC27)))</formula>
    </cfRule>
  </conditionalFormatting>
  <conditionalFormatting sqref="AD28">
    <cfRule type="containsText" dxfId="409" priority="111" operator="containsText" text="Ø8@200">
      <formula>NOT(ISERROR(SEARCH("Ø8@200",AD28)))</formula>
    </cfRule>
    <cfRule type="containsText" dxfId="408" priority="112" operator="containsText" text="Ø12@200">
      <formula>NOT(ISERROR(SEARCH("Ø12@200",AD28)))</formula>
    </cfRule>
    <cfRule type="containsText" dxfId="407" priority="113" operator="containsText" text="Ø8@250">
      <formula>NOT(ISERROR(SEARCH("Ø8@250",AD28)))</formula>
    </cfRule>
  </conditionalFormatting>
  <conditionalFormatting sqref="AC28">
    <cfRule type="containsText" dxfId="406" priority="107" operator="containsText" text="13Ø25">
      <formula>NOT(ISERROR(SEARCH("13Ø25",AC28)))</formula>
    </cfRule>
    <cfRule type="containsText" dxfId="405" priority="108" operator="containsText" text="12Ø25">
      <formula>NOT(ISERROR(SEARCH("12Ø25",AC28)))</formula>
    </cfRule>
    <cfRule type="containsText" dxfId="404" priority="109" operator="containsText" text="10Ø20">
      <formula>NOT(ISERROR(SEARCH("10Ø20",AC28)))</formula>
    </cfRule>
    <cfRule type="containsText" dxfId="403" priority="110" operator="containsText" text="8Ø18">
      <formula>NOT(ISERROR(SEARCH("8Ø18",AC28)))</formula>
    </cfRule>
  </conditionalFormatting>
  <conditionalFormatting sqref="A25:B56 E25:F56">
    <cfRule type="expression" dxfId="402" priority="2527">
      <formula>$M26="NON DEFINED"</formula>
    </cfRule>
    <cfRule type="expression" dxfId="401" priority="2528">
      <formula>$AZ25="N.D."</formula>
    </cfRule>
    <cfRule type="expression" dxfId="400" priority="2529">
      <formula>$AY25="N.D."</formula>
    </cfRule>
  </conditionalFormatting>
  <conditionalFormatting sqref="A57:B87 E57:F87">
    <cfRule type="expression" dxfId="399" priority="2535">
      <formula>$M59="NON DEFINED"</formula>
    </cfRule>
    <cfRule type="expression" dxfId="398" priority="2536">
      <formula>$AZ57="N.D."</formula>
    </cfRule>
    <cfRule type="expression" dxfId="397" priority="2537">
      <formula>$AY57="N.D."</formula>
    </cfRule>
  </conditionalFormatting>
  <conditionalFormatting sqref="Y21">
    <cfRule type="cellIs" dxfId="396" priority="104" operator="equal">
      <formula>0.75</formula>
    </cfRule>
    <cfRule type="cellIs" dxfId="395" priority="105" operator="equal">
      <formula>1.2</formula>
    </cfRule>
    <cfRule type="cellIs" dxfId="394" priority="106" operator="equal">
      <formula>1</formula>
    </cfRule>
  </conditionalFormatting>
  <conditionalFormatting sqref="Z21">
    <cfRule type="cellIs" dxfId="393" priority="100" operator="equal">
      <formula>40</formula>
    </cfRule>
    <cfRule type="cellIs" dxfId="392" priority="101" operator="equal">
      <formula>32</formula>
    </cfRule>
    <cfRule type="cellIs" dxfId="391" priority="102" operator="equal">
      <formula>25</formula>
    </cfRule>
    <cfRule type="cellIs" dxfId="390" priority="103" operator="equal">
      <formula>16</formula>
    </cfRule>
  </conditionalFormatting>
  <conditionalFormatting sqref="AB21">
    <cfRule type="containsText" dxfId="389" priority="91" operator="containsText" text="200*200*200/300*300">
      <formula>NOT(ISERROR(SEARCH("200*200*200/300*300",AB21)))</formula>
    </cfRule>
    <cfRule type="containsText" dxfId="388" priority="92" operator="containsText" text="200/300">
      <formula>NOT(ISERROR(SEARCH("200/300",AB21)))</formula>
    </cfRule>
    <cfRule type="containsText" dxfId="387" priority="93" operator="containsText" text="200*200*200/520">
      <formula>NOT(ISERROR(SEARCH("200*200*200/520",AB21)))</formula>
    </cfRule>
    <cfRule type="containsText" dxfId="386" priority="94" operator="containsText" text="250*250/500">
      <formula>NOT(ISERROR(SEARCH("250*250/500",AB21)))</formula>
    </cfRule>
    <cfRule type="containsText" dxfId="385" priority="95" operator="containsText" text="200*200/500">
      <formula>NOT(ISERROR(SEARCH("200*200/500",AB21)))</formula>
    </cfRule>
    <cfRule type="containsText" dxfId="384" priority="96" operator="containsText" text="200*200*200/560">
      <formula>NOT(ISERROR(SEARCH("200*200*200/560",AB21)))</formula>
    </cfRule>
    <cfRule type="containsText" dxfId="383" priority="97" operator="containsText" text="600/300">
      <formula>NOT(ISERROR(SEARCH("600/300",AB21)))</formula>
    </cfRule>
    <cfRule type="containsText" dxfId="382" priority="98" operator="containsText" text="500/250">
      <formula>NOT(ISERROR(SEARCH("500/250",AB21)))</formula>
    </cfRule>
    <cfRule type="containsText" dxfId="381" priority="99" operator="containsText" text="500/200">
      <formula>NOT(ISERROR(SEARCH("500/200",AB21)))</formula>
    </cfRule>
  </conditionalFormatting>
  <conditionalFormatting sqref="AC21">
    <cfRule type="containsText" dxfId="380" priority="87" operator="containsText" text="13Ø25">
      <formula>NOT(ISERROR(SEARCH("13Ø25",AC21)))</formula>
    </cfRule>
    <cfRule type="containsText" dxfId="379" priority="88" operator="containsText" text="12Ø25">
      <formula>NOT(ISERROR(SEARCH("12Ø25",AC21)))</formula>
    </cfRule>
    <cfRule type="containsText" dxfId="378" priority="89" operator="containsText" text="10Ø20">
      <formula>NOT(ISERROR(SEARCH("10Ø20",AC21)))</formula>
    </cfRule>
    <cfRule type="containsText" dxfId="377" priority="90" operator="containsText" text="8Ø18">
      <formula>NOT(ISERROR(SEARCH("8Ø18",AC21)))</formula>
    </cfRule>
  </conditionalFormatting>
  <conditionalFormatting sqref="AD21">
    <cfRule type="containsText" dxfId="376" priority="84" operator="containsText" text="Ø8@200">
      <formula>NOT(ISERROR(SEARCH("Ø8@200",AD21)))</formula>
    </cfRule>
    <cfRule type="containsText" dxfId="375" priority="85" operator="containsText" text="Ø12@200">
      <formula>NOT(ISERROR(SEARCH("Ø12@200",AD21)))</formula>
    </cfRule>
    <cfRule type="containsText" dxfId="374" priority="86" operator="containsText" text="Ø8@250">
      <formula>NOT(ISERROR(SEARCH("Ø8@250",AD21)))</formula>
    </cfRule>
  </conditionalFormatting>
  <conditionalFormatting sqref="N119:R119 O118:R118 N151:R151 O150:R150 N79:R99 N121:R143 N146:R149 P144:R145">
    <cfRule type="containsText" dxfId="373" priority="83" operator="containsText" text="N.D.">
      <formula>NOT(ISERROR(SEARCH("N.D.",N79)))</formula>
    </cfRule>
  </conditionalFormatting>
  <conditionalFormatting sqref="N101:R113">
    <cfRule type="containsText" dxfId="372" priority="82" operator="containsText" text="N.D.">
      <formula>NOT(ISERROR(SEARCH("N.D.",N101)))</formula>
    </cfRule>
  </conditionalFormatting>
  <conditionalFormatting sqref="N100:R100">
    <cfRule type="containsText" dxfId="371" priority="81" operator="containsText" text="N.D.">
      <formula>NOT(ISERROR(SEARCH("N.D.",N100)))</formula>
    </cfRule>
  </conditionalFormatting>
  <conditionalFormatting sqref="N117:R117">
    <cfRule type="containsText" dxfId="370" priority="80" operator="containsText" text="N.D.">
      <formula>NOT(ISERROR(SEARCH("N.D.",N117)))</formula>
    </cfRule>
  </conditionalFormatting>
  <conditionalFormatting sqref="N118">
    <cfRule type="containsText" dxfId="369" priority="79" operator="containsText" text="N.D.">
      <formula>NOT(ISERROR(SEARCH("N.D.",N118)))</formula>
    </cfRule>
  </conditionalFormatting>
  <conditionalFormatting sqref="N150">
    <cfRule type="containsText" dxfId="368" priority="78" operator="containsText" text="N.D.">
      <formula>NOT(ISERROR(SEARCH("N.D.",N150)))</formula>
    </cfRule>
  </conditionalFormatting>
  <conditionalFormatting sqref="O120:R120">
    <cfRule type="containsText" dxfId="367" priority="77" operator="containsText" text="N.D.">
      <formula>NOT(ISERROR(SEARCH("N.D.",O120)))</formula>
    </cfRule>
  </conditionalFormatting>
  <conditionalFormatting sqref="N120">
    <cfRule type="containsText" dxfId="366" priority="76" operator="containsText" text="N.D.">
      <formula>NOT(ISERROR(SEARCH("N.D.",N120)))</formula>
    </cfRule>
  </conditionalFormatting>
  <conditionalFormatting sqref="A20:B24">
    <cfRule type="expression" dxfId="365" priority="73">
      <formula>$M20="NON DEFINED"</formula>
    </cfRule>
    <cfRule type="expression" dxfId="364" priority="74">
      <formula>$AZ20="N.D."</formula>
    </cfRule>
    <cfRule type="expression" dxfId="363" priority="75">
      <formula>$AY20="N.D."</formula>
    </cfRule>
  </conditionalFormatting>
  <conditionalFormatting sqref="E20:F24">
    <cfRule type="expression" dxfId="362" priority="70">
      <formula>$M20="NON DEFINED"</formula>
    </cfRule>
    <cfRule type="expression" dxfId="361" priority="71">
      <formula>$AZ20="N.D."</formula>
    </cfRule>
    <cfRule type="expression" dxfId="360" priority="72">
      <formula>$AY20="N.D."</formula>
    </cfRule>
  </conditionalFormatting>
  <conditionalFormatting sqref="AD14">
    <cfRule type="containsText" dxfId="359" priority="47" operator="containsText" text="Ø8@200">
      <formula>NOT(ISERROR(SEARCH("Ø8@200",AD14)))</formula>
    </cfRule>
    <cfRule type="containsText" dxfId="358" priority="48" operator="containsText" text="Ø12@200">
      <formula>NOT(ISERROR(SEARCH("Ø12@200",AD14)))</formula>
    </cfRule>
    <cfRule type="containsText" dxfId="357" priority="49" operator="containsText" text="Ø8@250">
      <formula>NOT(ISERROR(SEARCH("Ø8@250",AD14)))</formula>
    </cfRule>
  </conditionalFormatting>
  <conditionalFormatting sqref="Y14">
    <cfRule type="cellIs" dxfId="356" priority="67" operator="equal">
      <formula>0.75</formula>
    </cfRule>
    <cfRule type="cellIs" dxfId="355" priority="68" operator="equal">
      <formula>1.2</formula>
    </cfRule>
    <cfRule type="cellIs" dxfId="354" priority="69" operator="equal">
      <formula>1</formula>
    </cfRule>
  </conditionalFormatting>
  <conditionalFormatting sqref="Z14">
    <cfRule type="cellIs" dxfId="353" priority="63" operator="equal">
      <formula>40</formula>
    </cfRule>
    <cfRule type="cellIs" dxfId="352" priority="64" operator="equal">
      <formula>32</formula>
    </cfRule>
    <cfRule type="cellIs" dxfId="351" priority="65" operator="equal">
      <formula>25</formula>
    </cfRule>
    <cfRule type="cellIs" dxfId="350" priority="66" operator="equal">
      <formula>16</formula>
    </cfRule>
  </conditionalFormatting>
  <conditionalFormatting sqref="AB14">
    <cfRule type="containsText" dxfId="349" priority="54" operator="containsText" text="200*200*200/300*300">
      <formula>NOT(ISERROR(SEARCH("200*200*200/300*300",AB14)))</formula>
    </cfRule>
    <cfRule type="containsText" dxfId="348" priority="55" operator="containsText" text="200/300">
      <formula>NOT(ISERROR(SEARCH("200/300",AB14)))</formula>
    </cfRule>
    <cfRule type="containsText" dxfId="347" priority="56" operator="containsText" text="200*200*200/520">
      <formula>NOT(ISERROR(SEARCH("200*200*200/520",AB14)))</formula>
    </cfRule>
    <cfRule type="containsText" dxfId="346" priority="57" operator="containsText" text="250*250/500">
      <formula>NOT(ISERROR(SEARCH("250*250/500",AB14)))</formula>
    </cfRule>
    <cfRule type="containsText" dxfId="345" priority="58" operator="containsText" text="200*200/500">
      <formula>NOT(ISERROR(SEARCH("200*200/500",AB14)))</formula>
    </cfRule>
    <cfRule type="containsText" dxfId="344" priority="59" operator="containsText" text="200*200*200/560">
      <formula>NOT(ISERROR(SEARCH("200*200*200/560",AB14)))</formula>
    </cfRule>
    <cfRule type="containsText" dxfId="343" priority="60" operator="containsText" text="600/300">
      <formula>NOT(ISERROR(SEARCH("600/300",AB14)))</formula>
    </cfRule>
    <cfRule type="containsText" dxfId="342" priority="61" operator="containsText" text="500/250">
      <formula>NOT(ISERROR(SEARCH("500/250",AB14)))</formula>
    </cfRule>
    <cfRule type="containsText" dxfId="341" priority="62" operator="containsText" text="500/200">
      <formula>NOT(ISERROR(SEARCH("500/200",AB14)))</formula>
    </cfRule>
  </conditionalFormatting>
  <conditionalFormatting sqref="AC14">
    <cfRule type="containsText" dxfId="340" priority="50" operator="containsText" text="13Ø25">
      <formula>NOT(ISERROR(SEARCH("13Ø25",AC14)))</formula>
    </cfRule>
    <cfRule type="containsText" dxfId="339" priority="51" operator="containsText" text="12Ø25">
      <formula>NOT(ISERROR(SEARCH("12Ø25",AC14)))</formula>
    </cfRule>
    <cfRule type="containsText" dxfId="338" priority="52" operator="containsText" text="10Ø20">
      <formula>NOT(ISERROR(SEARCH("10Ø20",AC14)))</formula>
    </cfRule>
    <cfRule type="containsText" dxfId="337" priority="53" operator="containsText" text="8Ø18">
      <formula>NOT(ISERROR(SEARCH("8Ø18",AC14)))</formula>
    </cfRule>
  </conditionalFormatting>
  <conditionalFormatting sqref="Y14">
    <cfRule type="cellIs" dxfId="336" priority="44" operator="equal">
      <formula>0.75</formula>
    </cfRule>
    <cfRule type="cellIs" dxfId="335" priority="45" operator="equal">
      <formula>1.2</formula>
    </cfRule>
    <cfRule type="cellIs" dxfId="334" priority="46" operator="equal">
      <formula>1</formula>
    </cfRule>
  </conditionalFormatting>
  <conditionalFormatting sqref="Z14">
    <cfRule type="cellIs" dxfId="333" priority="40" operator="equal">
      <formula>40</formula>
    </cfRule>
    <cfRule type="cellIs" dxfId="332" priority="41" operator="equal">
      <formula>32</formula>
    </cfRule>
    <cfRule type="cellIs" dxfId="331" priority="42" operator="equal">
      <formula>25</formula>
    </cfRule>
    <cfRule type="cellIs" dxfId="330" priority="43" operator="equal">
      <formula>16</formula>
    </cfRule>
  </conditionalFormatting>
  <conditionalFormatting sqref="AB14">
    <cfRule type="containsText" dxfId="329" priority="31" operator="containsText" text="200*200*200/300*300">
      <formula>NOT(ISERROR(SEARCH("200*200*200/300*300",AB14)))</formula>
    </cfRule>
    <cfRule type="containsText" dxfId="328" priority="32" operator="containsText" text="200/300">
      <formula>NOT(ISERROR(SEARCH("200/300",AB14)))</formula>
    </cfRule>
    <cfRule type="containsText" dxfId="327" priority="33" operator="containsText" text="200*200*200/520">
      <formula>NOT(ISERROR(SEARCH("200*200*200/520",AB14)))</formula>
    </cfRule>
    <cfRule type="containsText" dxfId="326" priority="34" operator="containsText" text="250*250/500">
      <formula>NOT(ISERROR(SEARCH("250*250/500",AB14)))</formula>
    </cfRule>
    <cfRule type="containsText" dxfId="325" priority="35" operator="containsText" text="200*200/500">
      <formula>NOT(ISERROR(SEARCH("200*200/500",AB14)))</formula>
    </cfRule>
    <cfRule type="containsText" dxfId="324" priority="36" operator="containsText" text="200*200*200/560">
      <formula>NOT(ISERROR(SEARCH("200*200*200/560",AB14)))</formula>
    </cfRule>
    <cfRule type="containsText" dxfId="323" priority="37" operator="containsText" text="600/300">
      <formula>NOT(ISERROR(SEARCH("600/300",AB14)))</formula>
    </cfRule>
    <cfRule type="containsText" dxfId="322" priority="38" operator="containsText" text="500/250">
      <formula>NOT(ISERROR(SEARCH("500/250",AB14)))</formula>
    </cfRule>
    <cfRule type="containsText" dxfId="321" priority="39" operator="containsText" text="500/200">
      <formula>NOT(ISERROR(SEARCH("500/200",AB14)))</formula>
    </cfRule>
  </conditionalFormatting>
  <conditionalFormatting sqref="AC14">
    <cfRule type="containsText" dxfId="320" priority="27" operator="containsText" text="13Ø25">
      <formula>NOT(ISERROR(SEARCH("13Ø25",AC14)))</formula>
    </cfRule>
    <cfRule type="containsText" dxfId="319" priority="28" operator="containsText" text="12Ø25">
      <formula>NOT(ISERROR(SEARCH("12Ø25",AC14)))</formula>
    </cfRule>
    <cfRule type="containsText" dxfId="318" priority="29" operator="containsText" text="10Ø20">
      <formula>NOT(ISERROR(SEARCH("10Ø20",AC14)))</formula>
    </cfRule>
    <cfRule type="containsText" dxfId="317" priority="30" operator="containsText" text="8Ø18">
      <formula>NOT(ISERROR(SEARCH("8Ø18",AC14)))</formula>
    </cfRule>
  </conditionalFormatting>
  <conditionalFormatting sqref="AD14">
    <cfRule type="containsText" dxfId="316" priority="24" operator="containsText" text="Ø8@200">
      <formula>NOT(ISERROR(SEARCH("Ø8@200",AD14)))</formula>
    </cfRule>
    <cfRule type="containsText" dxfId="315" priority="25" operator="containsText" text="Ø12@200">
      <formula>NOT(ISERROR(SEARCH("Ø12@200",AD14)))</formula>
    </cfRule>
    <cfRule type="containsText" dxfId="314" priority="26" operator="containsText" text="Ø8@250">
      <formula>NOT(ISERROR(SEARCH("Ø8@250",AD14)))</formula>
    </cfRule>
  </conditionalFormatting>
  <conditionalFormatting sqref="M5:M24">
    <cfRule type="containsText" dxfId="313" priority="23" operator="containsText" text="N.D.">
      <formula>NOT(ISERROR(SEARCH("N.D.",M5)))</formula>
    </cfRule>
  </conditionalFormatting>
  <conditionalFormatting sqref="M26:M37">
    <cfRule type="containsText" dxfId="312" priority="22" operator="containsText" text="N.D.">
      <formula>NOT(ISERROR(SEARCH("N.D.",M26)))</formula>
    </cfRule>
  </conditionalFormatting>
  <conditionalFormatting sqref="M25">
    <cfRule type="containsText" dxfId="311" priority="21" operator="containsText" text="N.D.">
      <formula>NOT(ISERROR(SEARCH("N.D.",M25)))</formula>
    </cfRule>
  </conditionalFormatting>
  <conditionalFormatting sqref="M43 M74 M45:M72">
    <cfRule type="containsText" dxfId="310" priority="20" operator="containsText" text="N.D.">
      <formula>NOT(ISERROR(SEARCH("N.D.",M43)))</formula>
    </cfRule>
  </conditionalFormatting>
  <conditionalFormatting sqref="M42">
    <cfRule type="containsText" dxfId="309" priority="19" operator="containsText" text="N.D.">
      <formula>NOT(ISERROR(SEARCH("N.D.",M42)))</formula>
    </cfRule>
  </conditionalFormatting>
  <conditionalFormatting sqref="M73">
    <cfRule type="containsText" dxfId="308" priority="18" operator="containsText" text="N.D.">
      <formula>NOT(ISERROR(SEARCH("N.D.",M73)))</formula>
    </cfRule>
  </conditionalFormatting>
  <conditionalFormatting sqref="M44">
    <cfRule type="containsText" dxfId="307" priority="17" operator="containsText" text="N.D.">
      <formula>NOT(ISERROR(SEARCH("N.D.",M44)))</formula>
    </cfRule>
  </conditionalFormatting>
  <conditionalFormatting sqref="M120">
    <cfRule type="containsText" dxfId="306" priority="9" operator="containsText" text="N.D.">
      <formula>NOT(ISERROR(SEARCH("N.D.",M120)))</formula>
    </cfRule>
  </conditionalFormatting>
  <conditionalFormatting sqref="M79:M99">
    <cfRule type="containsText" dxfId="305" priority="16" operator="containsText" text="N.D.">
      <formula>NOT(ISERROR(SEARCH("N.D.",M79)))</formula>
    </cfRule>
  </conditionalFormatting>
  <conditionalFormatting sqref="M101:M113">
    <cfRule type="containsText" dxfId="304" priority="15" operator="containsText" text="N.D.">
      <formula>NOT(ISERROR(SEARCH("N.D.",M101)))</formula>
    </cfRule>
  </conditionalFormatting>
  <conditionalFormatting sqref="M100">
    <cfRule type="containsText" dxfId="303" priority="14" operator="containsText" text="N.D.">
      <formula>NOT(ISERROR(SEARCH("N.D.",M100)))</formula>
    </cfRule>
  </conditionalFormatting>
  <conditionalFormatting sqref="M119 M151 M121:M143 M146:M149">
    <cfRule type="containsText" dxfId="302" priority="13" operator="containsText" text="N.D.">
      <formula>NOT(ISERROR(SEARCH("N.D.",M119)))</formula>
    </cfRule>
  </conditionalFormatting>
  <conditionalFormatting sqref="M117">
    <cfRule type="containsText" dxfId="301" priority="12" operator="containsText" text="N.D.">
      <formula>NOT(ISERROR(SEARCH("N.D.",M117)))</formula>
    </cfRule>
  </conditionalFormatting>
  <conditionalFormatting sqref="M118">
    <cfRule type="containsText" dxfId="300" priority="11" operator="containsText" text="N.D.">
      <formula>NOT(ISERROR(SEARCH("N.D.",M118)))</formula>
    </cfRule>
  </conditionalFormatting>
  <conditionalFormatting sqref="M150">
    <cfRule type="containsText" dxfId="299" priority="10" operator="containsText" text="N.D.">
      <formula>NOT(ISERROR(SEARCH("N.D.",M150)))</formula>
    </cfRule>
  </conditionalFormatting>
  <conditionalFormatting sqref="N4:P4">
    <cfRule type="containsText" dxfId="298" priority="8" operator="containsText" text="N.D.">
      <formula>NOT(ISERROR(SEARCH("N.D.",N4)))</formula>
    </cfRule>
  </conditionalFormatting>
  <conditionalFormatting sqref="M4">
    <cfRule type="containsText" dxfId="297" priority="7" operator="containsText" text="N.D.">
      <formula>NOT(ISERROR(SEARCH("N.D.",M4)))</formula>
    </cfRule>
  </conditionalFormatting>
  <conditionalFormatting sqref="Q4">
    <cfRule type="containsText" dxfId="296" priority="6" operator="containsText" text="N.D.">
      <formula>NOT(ISERROR(SEARCH("N.D.",Q4)))</formula>
    </cfRule>
  </conditionalFormatting>
  <conditionalFormatting sqref="R4">
    <cfRule type="containsText" dxfId="295" priority="5" operator="containsText" text="N.D.">
      <formula>NOT(ISERROR(SEARCH("N.D.",R4)))</formula>
    </cfRule>
  </conditionalFormatting>
  <conditionalFormatting sqref="N144:O144">
    <cfRule type="containsText" dxfId="294" priority="4" operator="containsText" text="N.D.">
      <formula>NOT(ISERROR(SEARCH("N.D.",N144)))</formula>
    </cfRule>
  </conditionalFormatting>
  <conditionalFormatting sqref="M144">
    <cfRule type="containsText" dxfId="293" priority="3" operator="containsText" text="N.D.">
      <formula>NOT(ISERROR(SEARCH("N.D.",M144)))</formula>
    </cfRule>
  </conditionalFormatting>
  <conditionalFormatting sqref="N145:O145">
    <cfRule type="containsText" dxfId="292" priority="2" operator="containsText" text="N.D.">
      <formula>NOT(ISERROR(SEARCH("N.D.",N145)))</formula>
    </cfRule>
  </conditionalFormatting>
  <conditionalFormatting sqref="M145">
    <cfRule type="containsText" dxfId="291" priority="1" operator="containsText" text="N.D.">
      <formula>NOT(ISERROR(SEARCH("N.D.",M145)))</formula>
    </cfRule>
  </conditionalFormatting>
  <dataValidations count="2">
    <dataValidation type="list" allowBlank="1" showInputMessage="1" showErrorMessage="1" sqref="C3:C87" xr:uid="{00000000-0002-0000-0900-000000000000}">
      <formula1>$I$3:$I$9</formula1>
    </dataValidation>
    <dataValidation type="list" allowBlank="1" showInputMessage="1" showErrorMessage="1" sqref="G3:G87" xr:uid="{00000000-0002-0000-0900-000001000000}">
      <formula1>$I$11:$I$13</formula1>
    </dataValidation>
  </dataValidations>
  <pageMargins left="0.7" right="0.7" top="0.75" bottom="0.75" header="0.3" footer="0.3"/>
  <pageSetup paperSize="9" scale="24"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
    <tabColor theme="8" tint="0.59999389629810485"/>
    <pageSetUpPr fitToPage="1"/>
  </sheetPr>
  <dimension ref="A1:L349"/>
  <sheetViews>
    <sheetView zoomScale="80" zoomScaleNormal="80" workbookViewId="0">
      <pane ySplit="1" topLeftCell="A2" activePane="bottomLeft" state="frozen"/>
      <selection pane="bottomLeft" activeCell="E3" sqref="E3"/>
      <selection activeCell="A4" sqref="A4"/>
    </sheetView>
  </sheetViews>
  <sheetFormatPr defaultColWidth="11.42578125" defaultRowHeight="13.15"/>
  <cols>
    <col min="1" max="1" width="13.5703125" style="127" bestFit="1" customWidth="1"/>
    <col min="2" max="3" width="13.5703125" style="127" customWidth="1"/>
    <col min="4" max="5" width="11.42578125" style="127"/>
    <col min="6" max="11" width="20.7109375" style="127" customWidth="1"/>
    <col min="12" max="12" width="39.140625" style="127" customWidth="1"/>
    <col min="13" max="16384" width="11.42578125" style="127"/>
  </cols>
  <sheetData>
    <row r="1" spans="1:12" ht="30.75" customHeight="1" thickBot="1">
      <c r="A1" s="309" t="s">
        <v>63</v>
      </c>
      <c r="B1" s="309" t="s">
        <v>2402</v>
      </c>
      <c r="C1" s="309" t="s">
        <v>2403</v>
      </c>
      <c r="D1" s="310" t="s">
        <v>2404</v>
      </c>
      <c r="E1" s="309" t="s">
        <v>2405</v>
      </c>
      <c r="F1" s="310" t="str">
        <f>'HR Track 1'!A1</f>
        <v>TRACK 1</v>
      </c>
      <c r="G1" s="310" t="str">
        <f>'HR Track 2'!A1</f>
        <v>TRACK 2</v>
      </c>
      <c r="H1" s="310" t="str">
        <f>'HR Track 3 ZIC'!A1</f>
        <v>TRACK 3 ZIC</v>
      </c>
      <c r="I1" s="310" t="str">
        <f>'HR Track 4 ZIC'!A1</f>
        <v>TRACK 4 ZIC</v>
      </c>
      <c r="J1" s="310" t="str">
        <f>'HR Track 4 BIN'!A1</f>
        <v>TRACK 4 BIN</v>
      </c>
      <c r="K1" s="310" t="str">
        <f>'HR Track 5 BIN'!A1</f>
        <v>TRACK 5 BIN</v>
      </c>
      <c r="L1" s="475" t="s">
        <v>2406</v>
      </c>
    </row>
    <row r="2" spans="1:12" ht="19.899999999999999" customHeight="1">
      <c r="A2" s="1114" t="s">
        <v>643</v>
      </c>
      <c r="B2" s="1116" t="s">
        <v>153</v>
      </c>
      <c r="C2" s="311" t="s">
        <v>2407</v>
      </c>
      <c r="D2" s="312" t="str">
        <f>VLOOKUP(B2,Foundation_Calc!$K$4:$R$37,3,FALSE)</f>
        <v>N.D.</v>
      </c>
      <c r="E2" s="313">
        <f>SUM(F2:K2)</f>
        <v>0</v>
      </c>
      <c r="F2" s="313">
        <f>COUNTIFS('HR Track 1'!$M$5:$M$407,$A$2,'HR Track 1'!$AW$5:$AW$407,$C2,'HR Track 1'!$AY$5:$AY$407,$D2)</f>
        <v>0</v>
      </c>
      <c r="G2" s="313">
        <f>COUNTIFS('HR Track 2'!$M$5:$M$405,$A$2,'HR Track 2'!$AW$5:$AW$405,$C2,'HR Track 2'!$AY$5:$AY$405,$D2)</f>
        <v>0</v>
      </c>
      <c r="H2" s="313">
        <f>COUNTIFS('HR Track 3 ZIC'!$M$5:$M$74,$A$2,'HR Track 3 ZIC'!$AW$5:$AW$74,$C2,'HR Track 3 ZIC'!$AY$5:$AY$74,$D2)</f>
        <v>0</v>
      </c>
      <c r="I2" s="313">
        <f>COUNTIFS('HR Track 4 ZIC'!$M$5:$M$45,$A$2,'HR Track 4 ZIC'!$AW$5:$AW$45,$C2,'HR Track 4 ZIC'!$AY$5:$AY$45,$D2)</f>
        <v>0</v>
      </c>
      <c r="J2" s="313">
        <f>COUNTIFS('HR Track 4 BIN'!$M$5:$M$45,$A$2,'HR Track 4 BIN'!$AW$5:$AW$45,$C2,'HR Track 4 BIN'!$AY$5:$AY$45,$D2)</f>
        <v>0</v>
      </c>
      <c r="K2" s="314">
        <f>COUNTIFS('HR Track 5 BIN'!$M$5:$M$39,$A$2,'HR Track 5 BIN'!$AW$5:$AW$39,$C2,'HR Track 5 BIN'!$AY$5:$AY$39,$D2)</f>
        <v>0</v>
      </c>
    </row>
    <row r="3" spans="1:12" ht="19.899999999999999" customHeight="1">
      <c r="A3" s="1024"/>
      <c r="B3" s="1013"/>
      <c r="C3" s="153" t="s">
        <v>2408</v>
      </c>
      <c r="D3" s="11" t="str">
        <f>VLOOKUP(B2,Foundation_Calc!$K$4:$R$37,4,FALSE)</f>
        <v>N.D.</v>
      </c>
      <c r="E3" s="7">
        <f t="shared" ref="E3:E7" si="0">SUM(F3:K3)</f>
        <v>0</v>
      </c>
      <c r="F3" s="7">
        <f>COUNTIFS('HR Track 1'!$M$5:$M$407,$A$2,'HR Track 1'!$AW$5:$AW$407,$C3,'HR Track 1'!$AY$5:$AY$407,$D3)</f>
        <v>0</v>
      </c>
      <c r="G3" s="7">
        <f>COUNTIFS('HR Track 2'!$M$5:$M$405,$A$2,'HR Track 2'!$AW$5:$AW$405,$C3,'HR Track 2'!$AY$5:$AY$405,$D3)</f>
        <v>0</v>
      </c>
      <c r="H3" s="7">
        <f>COUNTIFS('HR Track 3 ZIC'!$M$5:$M$74,$A$2,'HR Track 3 ZIC'!$AW$5:$AW$74,$C3,'HR Track 3 ZIC'!$AY$5:$AY$74,$D3)</f>
        <v>0</v>
      </c>
      <c r="I3" s="7">
        <f>COUNTIFS('HR Track 4 ZIC'!$M$5:$M$45,$A$2,'HR Track 4 ZIC'!$AW$5:$AW$45,$C3,'HR Track 4 ZIC'!$AY$5:$AY$45,$D3)</f>
        <v>0</v>
      </c>
      <c r="J3" s="7">
        <f>COUNTIFS('HR Track 4 BIN'!$M$5:$M$45,$A$2,'HR Track 4 BIN'!$AW$5:$AW$45,$C3,'HR Track 4 BIN'!$AY$5:$AY$45,$D3)</f>
        <v>0</v>
      </c>
      <c r="K3" s="315">
        <f>COUNTIFS('HR Track 5 BIN'!$M$5:$M$39,$A$2,'HR Track 5 BIN'!$AW$5:$AW$39,$C3,'HR Track 5 BIN'!$AY$5:$AY$39,$D3)</f>
        <v>0</v>
      </c>
    </row>
    <row r="4" spans="1:12" ht="19.899999999999999" customHeight="1">
      <c r="A4" s="1024"/>
      <c r="B4" s="1013"/>
      <c r="C4" s="153" t="s">
        <v>2409</v>
      </c>
      <c r="D4" s="11" t="str">
        <f>VLOOKUP(B2,Foundation_Calc!$K$4:$R$37,5,FALSE)</f>
        <v>N.D.</v>
      </c>
      <c r="E4" s="7">
        <f t="shared" si="0"/>
        <v>0</v>
      </c>
      <c r="F4" s="7">
        <f>COUNTIFS('HR Track 1'!$M$5:$M$407,$A$2,'HR Track 1'!$AW$5:$AW$407,$C4,'HR Track 1'!$AY$5:$AY$407,$D4)</f>
        <v>0</v>
      </c>
      <c r="G4" s="7">
        <f>COUNTIFS('HR Track 2'!$M$5:$M$405,$A$2,'HR Track 2'!$AW$5:$AW$405,$C4,'HR Track 2'!$AY$5:$AY$405,$D4)</f>
        <v>0</v>
      </c>
      <c r="H4" s="7">
        <f>COUNTIFS('HR Track 3 ZIC'!$M$5:$M$74,$A$2,'HR Track 3 ZIC'!$AW$5:$AW$74,$C4,'HR Track 3 ZIC'!$AY$5:$AY$74,$D4)</f>
        <v>0</v>
      </c>
      <c r="I4" s="7">
        <f>COUNTIFS('HR Track 4 ZIC'!$M$5:$M$45,$A$2,'HR Track 4 ZIC'!$AW$5:$AW$45,$C4,'HR Track 4 ZIC'!$AY$5:$AY$45,$D4)</f>
        <v>0</v>
      </c>
      <c r="J4" s="7">
        <f>COUNTIFS('HR Track 4 BIN'!$M$5:$M$45,$A$2,'HR Track 4 BIN'!$AW$5:$AW$45,$C4,'HR Track 4 BIN'!$AY$5:$AY$45,$D4)</f>
        <v>0</v>
      </c>
      <c r="K4" s="315">
        <f>COUNTIFS('HR Track 5 BIN'!$M$5:$M$39,$A$2,'HR Track 5 BIN'!$AW$5:$AW$39,$C4,'HR Track 5 BIN'!$AY$5:$AY$39,$D4)</f>
        <v>0</v>
      </c>
    </row>
    <row r="5" spans="1:12" ht="19.899999999999999" customHeight="1">
      <c r="A5" s="1024"/>
      <c r="B5" s="1013"/>
      <c r="C5" s="153" t="s">
        <v>2280</v>
      </c>
      <c r="D5" s="11" t="str">
        <f>VLOOKUP(B2,Foundation_Calc!$K$4:$R$37,6,FALSE)</f>
        <v>N.D.</v>
      </c>
      <c r="E5" s="7">
        <f t="shared" si="0"/>
        <v>0</v>
      </c>
      <c r="F5" s="7">
        <f>COUNTIFS('HR Track 1'!$M$5:$M$407,$A$2,'HR Track 1'!$AW$5:$AW$407,$C5,'HR Track 1'!$AY$5:$AY$407,$D5)</f>
        <v>0</v>
      </c>
      <c r="G5" s="7">
        <f>COUNTIFS('HR Track 2'!$M$5:$M$405,$A$2,'HR Track 2'!$AW$5:$AW$405,$C5,'HR Track 2'!$AY$5:$AY$405,$D5)</f>
        <v>0</v>
      </c>
      <c r="H5" s="7">
        <f>COUNTIFS('HR Track 3 ZIC'!$M$5:$M$74,$A$2,'HR Track 3 ZIC'!$AW$5:$AW$74,$C5,'HR Track 3 ZIC'!$AY$5:$AY$74,$D5)</f>
        <v>0</v>
      </c>
      <c r="I5" s="7">
        <f>COUNTIFS('HR Track 4 ZIC'!$M$5:$M$45,$A$2,'HR Track 4 ZIC'!$AW$5:$AW$45,$C5,'HR Track 4 ZIC'!$AY$5:$AY$45,$D5)</f>
        <v>0</v>
      </c>
      <c r="J5" s="7">
        <f>COUNTIFS('HR Track 4 BIN'!$M$5:$M$45,$A$2,'HR Track 4 BIN'!$AW$5:$AW$45,$C5,'HR Track 4 BIN'!$AY$5:$AY$45,$D5)</f>
        <v>0</v>
      </c>
      <c r="K5" s="315">
        <f>COUNTIFS('HR Track 5 BIN'!$M$5:$M$39,$A$2,'HR Track 5 BIN'!$AW$5:$AW$39,$C5,'HR Track 5 BIN'!$AY$5:$AY$39,$D5)</f>
        <v>0</v>
      </c>
    </row>
    <row r="6" spans="1:12" ht="19.899999999999999" customHeight="1">
      <c r="A6" s="1024"/>
      <c r="B6" s="1013"/>
      <c r="C6" s="153" t="s">
        <v>2281</v>
      </c>
      <c r="D6" s="11" t="str">
        <f>VLOOKUP(B2,Foundation_Calc!$K$4:$R$37,7,FALSE)</f>
        <v>N.D.</v>
      </c>
      <c r="E6" s="7">
        <f t="shared" si="0"/>
        <v>0</v>
      </c>
      <c r="F6" s="7">
        <f>COUNTIFS('HR Track 1'!$M$5:$M$407,$A$2,'HR Track 1'!$AW$5:$AW$407,$C6,'HR Track 1'!$AY$5:$AY$407,$D6)</f>
        <v>0</v>
      </c>
      <c r="G6" s="7">
        <f>COUNTIFS('HR Track 2'!$M$5:$M$405,$A$2,'HR Track 2'!$AW$5:$AW$405,$C6,'HR Track 2'!$AY$5:$AY$405,$D6)</f>
        <v>0</v>
      </c>
      <c r="H6" s="7">
        <f>COUNTIFS('HR Track 3 ZIC'!$M$5:$M$74,$A$2,'HR Track 3 ZIC'!$AW$5:$AW$74,$C6,'HR Track 3 ZIC'!$AY$5:$AY$74,$D6)</f>
        <v>0</v>
      </c>
      <c r="I6" s="7">
        <f>COUNTIFS('HR Track 4 ZIC'!$M$5:$M$45,$A$2,'HR Track 4 ZIC'!$AW$5:$AW$45,$C6,'HR Track 4 ZIC'!$AY$5:$AY$45,$D6)</f>
        <v>0</v>
      </c>
      <c r="J6" s="7">
        <f>COUNTIFS('HR Track 4 BIN'!$M$5:$M$45,$A$2,'HR Track 4 BIN'!$AW$5:$AW$45,$C6,'HR Track 4 BIN'!$AY$5:$AY$45,$D6)</f>
        <v>0</v>
      </c>
      <c r="K6" s="315">
        <f>COUNTIFS('HR Track 5 BIN'!$M$5:$M$39,$A$2,'HR Track 5 BIN'!$AW$5:$AW$39,$C6,'HR Track 5 BIN'!$AY$5:$AY$39,$D6)</f>
        <v>0</v>
      </c>
    </row>
    <row r="7" spans="1:12" ht="19.899999999999999" customHeight="1" thickBot="1">
      <c r="A7" s="1025"/>
      <c r="B7" s="1014"/>
      <c r="C7" s="316" t="s">
        <v>2282</v>
      </c>
      <c r="D7" s="317" t="str">
        <f>VLOOKUP(B2,Foundation_Calc!$K$4:$R$37,8,FALSE)</f>
        <v>N.D.</v>
      </c>
      <c r="E7" s="318">
        <f t="shared" si="0"/>
        <v>0</v>
      </c>
      <c r="F7" s="318">
        <f>COUNTIFS('HR Track 1'!$M$5:$M$407,$A$2,'HR Track 1'!$AW$5:$AW$407,$C7,'HR Track 1'!$AY$5:$AY$407,$D7)</f>
        <v>0</v>
      </c>
      <c r="G7" s="318">
        <f>COUNTIFS('HR Track 2'!$M$5:$M$405,$A$2,'HR Track 2'!$AW$5:$AW$405,$C7,'HR Track 2'!$AY$5:$AY$405,$D7)</f>
        <v>0</v>
      </c>
      <c r="H7" s="318">
        <f>COUNTIFS('HR Track 3 ZIC'!$M$5:$M$74,$A$2,'HR Track 3 ZIC'!$AW$5:$AW$74,$C7,'HR Track 3 ZIC'!$AY$5:$AY$74,$D7)</f>
        <v>0</v>
      </c>
      <c r="I7" s="318">
        <f>COUNTIFS('HR Track 4 ZIC'!$M$5:$M$45,$A$2,'HR Track 4 ZIC'!$AW$5:$AW$45,$C7,'HR Track 4 ZIC'!$AY$5:$AY$45,$D7)</f>
        <v>0</v>
      </c>
      <c r="J7" s="318">
        <f>COUNTIFS('HR Track 4 BIN'!$M$5:$M$45,$A$2,'HR Track 4 BIN'!$AW$5:$AW$45,$C7,'HR Track 4 BIN'!$AY$5:$AY$45,$D7)</f>
        <v>0</v>
      </c>
      <c r="K7" s="319">
        <f>COUNTIFS('HR Track 5 BIN'!$M$5:$M$39,$A$2,'HR Track 5 BIN'!$AW$5:$AW$39,$C7,'HR Track 5 BIN'!$AY$5:$AY$39,$D7)</f>
        <v>0</v>
      </c>
    </row>
    <row r="8" spans="1:12" ht="19.899999999999999" customHeight="1">
      <c r="A8" s="1108" t="s">
        <v>2375</v>
      </c>
      <c r="B8" s="1117" t="s">
        <v>153</v>
      </c>
      <c r="C8" s="311" t="s">
        <v>2407</v>
      </c>
      <c r="D8" s="320" t="str">
        <f>VLOOKUP(B8,Foundation_Calc!$K$41:$R$74,3,FALSE)</f>
        <v>N.D.</v>
      </c>
      <c r="E8" s="313">
        <f t="shared" ref="E8:E66" si="1">SUM(F8:K8)</f>
        <v>0</v>
      </c>
      <c r="F8" s="313">
        <f>COUNTIFS('HR Track 1'!$M$5:$M$407,$A$8,'HR Track 1'!$AW$5:$AW$407,$C8,'HR Track 1'!$AY$5:$AY$407,$D8)</f>
        <v>0</v>
      </c>
      <c r="G8" s="313">
        <f>COUNTIFS('HR Track 2'!$M$5:$M$405,$A$8,'HR Track 2'!$AW$5:$AW$405,$C8,'HR Track 2'!$AY$5:$AY$405,$D8)</f>
        <v>0</v>
      </c>
      <c r="H8" s="313">
        <f>COUNTIFS('HR Track 3 ZIC'!$M$5:$M$74,$A$8,'HR Track 3 ZIC'!$AW$5:$AW$74,$C8,'HR Track 3 ZIC'!$AY$5:$AY$74,$D8)</f>
        <v>0</v>
      </c>
      <c r="I8" s="313">
        <f>COUNTIFS('HR Track 4 ZIC'!$M$5:$M$45,$A$8,'HR Track 4 ZIC'!$AW$5:$AW$45,$C8,'HR Track 4 ZIC'!$AY$5:$AY$45,$D8)</f>
        <v>0</v>
      </c>
      <c r="J8" s="313">
        <f>COUNTIFS('HR Track 4 BIN'!$M$5:$M$45,$A$8,'HR Track 4 BIN'!$AW$5:$AW$45,$C8,'HR Track 4 BIN'!$AY$5:$AY$45,$D8)</f>
        <v>0</v>
      </c>
      <c r="K8" s="314">
        <f>COUNTIFS('HR Track 5 BIN'!$M$5:$M$39,$A$8,'HR Track 5 BIN'!$AW$5:$AW$39,$C8,'HR Track 5 BIN'!$AY$5:$AY$39,$D8)</f>
        <v>0</v>
      </c>
    </row>
    <row r="9" spans="1:12" ht="19.899999999999999" customHeight="1">
      <c r="A9" s="1109"/>
      <c r="B9" s="1112"/>
      <c r="C9" s="153" t="s">
        <v>2408</v>
      </c>
      <c r="D9" s="291" t="str">
        <f>VLOOKUP(B8,Foundation_Calc!$K$41:$R$74,4,FALSE)</f>
        <v>N.D.</v>
      </c>
      <c r="E9" s="7">
        <f t="shared" si="1"/>
        <v>0</v>
      </c>
      <c r="F9" s="7">
        <f>COUNTIFS('HR Track 1'!$M$5:$M$407,$A$8,'HR Track 1'!$AW$5:$AW$407,$C9,'HR Track 1'!$AY$5:$AY$407,$D9)</f>
        <v>0</v>
      </c>
      <c r="G9" s="7">
        <f>COUNTIFS('HR Track 2'!$M$5:$M$405,$A$8,'HR Track 2'!$AW$5:$AW$405,$C9,'HR Track 2'!$AY$5:$AY$405,$D9)</f>
        <v>0</v>
      </c>
      <c r="H9" s="7">
        <f>COUNTIFS('HR Track 3 ZIC'!$M$5:$M$74,$A$8,'HR Track 3 ZIC'!$AW$5:$AW$74,$C9,'HR Track 3 ZIC'!$AY$5:$AY$74,$D9)</f>
        <v>0</v>
      </c>
      <c r="I9" s="7">
        <f>COUNTIFS('HR Track 4 ZIC'!$M$5:$M$45,$A$8,'HR Track 4 ZIC'!$AW$5:$AW$45,$C9,'HR Track 4 ZIC'!$AY$5:$AY$45,$D9)</f>
        <v>0</v>
      </c>
      <c r="J9" s="7">
        <f>COUNTIFS('HR Track 4 BIN'!$M$5:$M$45,$A$8,'HR Track 4 BIN'!$AW$5:$AW$45,$C9,'HR Track 4 BIN'!$AY$5:$AY$45,$D9)</f>
        <v>0</v>
      </c>
      <c r="K9" s="315">
        <f>COUNTIFS('HR Track 5 BIN'!$M$5:$M$39,$A$8,'HR Track 5 BIN'!$AW$5:$AW$39,$C9,'HR Track 5 BIN'!$AY$5:$AY$39,$D9)</f>
        <v>0</v>
      </c>
    </row>
    <row r="10" spans="1:12" ht="19.899999999999999" customHeight="1">
      <c r="A10" s="1109"/>
      <c r="B10" s="1112"/>
      <c r="C10" s="153" t="s">
        <v>2409</v>
      </c>
      <c r="D10" s="291" t="str">
        <f>VLOOKUP(B8,Foundation_Calc!$K$41:$R$74,5,FALSE)</f>
        <v>N.D.</v>
      </c>
      <c r="E10" s="7">
        <f t="shared" si="1"/>
        <v>0</v>
      </c>
      <c r="F10" s="7">
        <f>COUNTIFS('HR Track 1'!$M$5:$M$407,$A$8,'HR Track 1'!$AW$5:$AW$407,$C10,'HR Track 1'!$AY$5:$AY$407,$D10)</f>
        <v>0</v>
      </c>
      <c r="G10" s="7">
        <f>COUNTIFS('HR Track 2'!$M$5:$M$405,$A$8,'HR Track 2'!$AW$5:$AW$405,$C10,'HR Track 2'!$AY$5:$AY$405,$D10)</f>
        <v>0</v>
      </c>
      <c r="H10" s="7">
        <f>COUNTIFS('HR Track 3 ZIC'!$M$5:$M$74,$A$8,'HR Track 3 ZIC'!$AW$5:$AW$74,$C10,'HR Track 3 ZIC'!$AY$5:$AY$74,$D10)</f>
        <v>0</v>
      </c>
      <c r="I10" s="7">
        <f>COUNTIFS('HR Track 4 ZIC'!$M$5:$M$45,$A$8,'HR Track 4 ZIC'!$AW$5:$AW$45,$C10,'HR Track 4 ZIC'!$AY$5:$AY$45,$D10)</f>
        <v>0</v>
      </c>
      <c r="J10" s="7">
        <f>COUNTIFS('HR Track 4 BIN'!$M$5:$M$45,$A$8,'HR Track 4 BIN'!$AW$5:$AW$45,$C10,'HR Track 4 BIN'!$AY$5:$AY$45,$D10)</f>
        <v>0</v>
      </c>
      <c r="K10" s="315">
        <f>COUNTIFS('HR Track 5 BIN'!$M$5:$M$39,$A$8,'HR Track 5 BIN'!$AW$5:$AW$39,$C10,'HR Track 5 BIN'!$AY$5:$AY$39,$D10)</f>
        <v>0</v>
      </c>
    </row>
    <row r="11" spans="1:12" ht="19.899999999999999" customHeight="1">
      <c r="A11" s="1109"/>
      <c r="B11" s="1112"/>
      <c r="C11" s="153" t="s">
        <v>2280</v>
      </c>
      <c r="D11" s="291" t="str">
        <f>VLOOKUP(B8,Foundation_Calc!$K$41:$R$74,6,FALSE)</f>
        <v>N.D.</v>
      </c>
      <c r="E11" s="7">
        <f t="shared" si="1"/>
        <v>0</v>
      </c>
      <c r="F11" s="7">
        <f>COUNTIFS('HR Track 1'!$M$5:$M$407,$A$8,'HR Track 1'!$AW$5:$AW$407,$C11,'HR Track 1'!$AY$5:$AY$407,$D11)</f>
        <v>0</v>
      </c>
      <c r="G11" s="7">
        <f>COUNTIFS('HR Track 2'!$M$5:$M$405,$A$8,'HR Track 2'!$AW$5:$AW$405,$C11,'HR Track 2'!$AY$5:$AY$405,$D11)</f>
        <v>0</v>
      </c>
      <c r="H11" s="7">
        <f>COUNTIFS('HR Track 3 ZIC'!$M$5:$M$74,$A$8,'HR Track 3 ZIC'!$AW$5:$AW$74,$C11,'HR Track 3 ZIC'!$AY$5:$AY$74,$D11)</f>
        <v>0</v>
      </c>
      <c r="I11" s="7">
        <f>COUNTIFS('HR Track 4 ZIC'!$M$5:$M$45,$A$8,'HR Track 4 ZIC'!$AW$5:$AW$45,$C11,'HR Track 4 ZIC'!$AY$5:$AY$45,$D11)</f>
        <v>0</v>
      </c>
      <c r="J11" s="7">
        <f>COUNTIFS('HR Track 4 BIN'!$M$5:$M$45,$A$8,'HR Track 4 BIN'!$AW$5:$AW$45,$C11,'HR Track 4 BIN'!$AY$5:$AY$45,$D11)</f>
        <v>0</v>
      </c>
      <c r="K11" s="315">
        <f>COUNTIFS('HR Track 5 BIN'!$M$5:$M$39,$A$8,'HR Track 5 BIN'!$AW$5:$AW$39,$C11,'HR Track 5 BIN'!$AY$5:$AY$39,$D11)</f>
        <v>0</v>
      </c>
    </row>
    <row r="12" spans="1:12" ht="19.899999999999999" customHeight="1">
      <c r="A12" s="1109"/>
      <c r="B12" s="1112"/>
      <c r="C12" s="153" t="s">
        <v>2281</v>
      </c>
      <c r="D12" s="291" t="str">
        <f>VLOOKUP(B8,Foundation_Calc!$K$41:$R$74,7,FALSE)</f>
        <v>N.D.</v>
      </c>
      <c r="E12" s="7">
        <f t="shared" si="1"/>
        <v>0</v>
      </c>
      <c r="F12" s="7">
        <f>COUNTIFS('HR Track 1'!$M$5:$M$407,$A$8,'HR Track 1'!$AW$5:$AW$407,$C12,'HR Track 1'!$AY$5:$AY$407,$D12)</f>
        <v>0</v>
      </c>
      <c r="G12" s="7">
        <f>COUNTIFS('HR Track 2'!$M$5:$M$405,$A$8,'HR Track 2'!$AW$5:$AW$405,$C12,'HR Track 2'!$AY$5:$AY$405,$D12)</f>
        <v>0</v>
      </c>
      <c r="H12" s="7">
        <f>COUNTIFS('HR Track 3 ZIC'!$M$5:$M$74,$A$8,'HR Track 3 ZIC'!$AW$5:$AW$74,$C12,'HR Track 3 ZIC'!$AY$5:$AY$74,$D12)</f>
        <v>0</v>
      </c>
      <c r="I12" s="7">
        <f>COUNTIFS('HR Track 4 ZIC'!$M$5:$M$45,$A$8,'HR Track 4 ZIC'!$AW$5:$AW$45,$C12,'HR Track 4 ZIC'!$AY$5:$AY$45,$D12)</f>
        <v>0</v>
      </c>
      <c r="J12" s="7">
        <f>COUNTIFS('HR Track 4 BIN'!$M$5:$M$45,$A$8,'HR Track 4 BIN'!$AW$5:$AW$45,$C12,'HR Track 4 BIN'!$AY$5:$AY$45,$D12)</f>
        <v>0</v>
      </c>
      <c r="K12" s="315">
        <f>COUNTIFS('HR Track 5 BIN'!$M$5:$M$39,$A$8,'HR Track 5 BIN'!$AW$5:$AW$39,$C12,'HR Track 5 BIN'!$AY$5:$AY$39,$D12)</f>
        <v>0</v>
      </c>
    </row>
    <row r="13" spans="1:12" ht="19.899999999999999" customHeight="1" thickBot="1">
      <c r="A13" s="1110"/>
      <c r="B13" s="1113"/>
      <c r="C13" s="316" t="s">
        <v>2282</v>
      </c>
      <c r="D13" s="321" t="str">
        <f>VLOOKUP(B8,Foundation_Calc!$K$41:$R$74,8,FALSE)</f>
        <v>N.D.</v>
      </c>
      <c r="E13" s="318">
        <f t="shared" si="1"/>
        <v>0</v>
      </c>
      <c r="F13" s="318">
        <f>COUNTIFS('HR Track 1'!$M$5:$M$407,$A$8,'HR Track 1'!$AW$5:$AW$407,$C13,'HR Track 1'!$AY$5:$AY$407,$D13)</f>
        <v>0</v>
      </c>
      <c r="G13" s="318">
        <f>COUNTIFS('HR Track 2'!$M$5:$M$405,$A$8,'HR Track 2'!$AW$5:$AW$405,$C13,'HR Track 2'!$AY$5:$AY$405,$D13)</f>
        <v>0</v>
      </c>
      <c r="H13" s="318">
        <f>COUNTIFS('HR Track 3 ZIC'!$M$5:$M$74,$A$8,'HR Track 3 ZIC'!$AW$5:$AW$74,$C13,'HR Track 3 ZIC'!$AY$5:$AY$74,$D13)</f>
        <v>0</v>
      </c>
      <c r="I13" s="318">
        <f>COUNTIFS('HR Track 4 ZIC'!$M$5:$M$45,$A$8,'HR Track 4 ZIC'!$AW$5:$AW$45,$C13,'HR Track 4 ZIC'!$AY$5:$AY$45,$D13)</f>
        <v>0</v>
      </c>
      <c r="J13" s="318">
        <f>COUNTIFS('HR Track 4 BIN'!$M$5:$M$45,$A$8,'HR Track 4 BIN'!$AW$5:$AW$45,$C13,'HR Track 4 BIN'!$AY$5:$AY$45,$D13)</f>
        <v>0</v>
      </c>
      <c r="K13" s="319">
        <f>COUNTIFS('HR Track 5 BIN'!$M$5:$M$39,$A$8,'HR Track 5 BIN'!$AW$5:$AW$39,$C13,'HR Track 5 BIN'!$AY$5:$AY$39,$D13)</f>
        <v>0</v>
      </c>
    </row>
    <row r="14" spans="1:12" ht="19.899999999999999" customHeight="1">
      <c r="A14" s="1114" t="s">
        <v>646</v>
      </c>
      <c r="B14" s="1115" t="s">
        <v>158</v>
      </c>
      <c r="C14" s="311" t="s">
        <v>2407</v>
      </c>
      <c r="D14" s="312" t="str">
        <f>VLOOKUP(B14,Foundation_Calc!$K$4:$R$37,3,FALSE)</f>
        <v>N.D.</v>
      </c>
      <c r="E14" s="313">
        <f t="shared" si="1"/>
        <v>0</v>
      </c>
      <c r="F14" s="313">
        <f>COUNTIFS('HR Track 1'!$M$5:$M$407,$A$14,'HR Track 1'!$AW$5:$AW$407,$C14,'HR Track 1'!$AY$5:$AY$407,$D14)</f>
        <v>0</v>
      </c>
      <c r="G14" s="313">
        <f>COUNTIFS('HR Track 2'!$M$5:$M$405,$A$14,'HR Track 2'!$AW$5:$AW$405,$C14,'HR Track 2'!$AY$5:$AY$405,$D14)</f>
        <v>0</v>
      </c>
      <c r="H14" s="313">
        <f>COUNTIFS('HR Track 3 ZIC'!$M$5:$M$74,$A$14,'HR Track 3 ZIC'!$AW$5:$AW$74,$C14,'HR Track 3 ZIC'!$AY$5:$AY$74,$D14)</f>
        <v>0</v>
      </c>
      <c r="I14" s="313">
        <f>COUNTIFS('HR Track 4 ZIC'!$M$5:$M$45,$A$14,'HR Track 4 ZIC'!$AW$5:$AW$45,$C14,'HR Track 4 ZIC'!$AY$5:$AY$45,$D14)</f>
        <v>0</v>
      </c>
      <c r="J14" s="313">
        <f>COUNTIFS('HR Track 4 BIN'!$M$5:$M$45,$A$14,'HR Track 4 BIN'!$AW$5:$AW$45,$C14,'HR Track 4 BIN'!$AY$5:$AY$45,$D14)</f>
        <v>0</v>
      </c>
      <c r="K14" s="314">
        <f>COUNTIFS('HR Track 5 BIN'!$M$5:$M$39,$A$14,'HR Track 5 BIN'!$AW$5:$AW$39,$C14,'HR Track 5 BIN'!$AY$5:$AY$39,$D14)</f>
        <v>0</v>
      </c>
      <c r="L14" s="1102" t="s">
        <v>151</v>
      </c>
    </row>
    <row r="15" spans="1:12" ht="19.899999999999999" customHeight="1">
      <c r="A15" s="1024"/>
      <c r="B15" s="1013"/>
      <c r="C15" s="153" t="s">
        <v>2408</v>
      </c>
      <c r="D15" s="11" t="str">
        <f>VLOOKUP(B14,Foundation_Calc!$K$4:$R$37,4,FALSE)</f>
        <v>N.D.</v>
      </c>
      <c r="E15" s="7">
        <f t="shared" si="1"/>
        <v>0</v>
      </c>
      <c r="F15" s="7">
        <f>COUNTIFS('HR Track 1'!$M$5:$M$407,$A$14,'HR Track 1'!$AW$5:$AW$407,$C15,'HR Track 1'!$AY$5:$AY$407,$D15)</f>
        <v>0</v>
      </c>
      <c r="G15" s="7">
        <f>COUNTIFS('HR Track 2'!$M$5:$M$405,$A$14,'HR Track 2'!$AW$5:$AW$405,$C15,'HR Track 2'!$AY$5:$AY$405,$D15)</f>
        <v>0</v>
      </c>
      <c r="H15" s="7">
        <f>COUNTIFS('HR Track 3 ZIC'!$M$5:$M$74,$A$14,'HR Track 3 ZIC'!$AW$5:$AW$74,$C15,'HR Track 3 ZIC'!$AY$5:$AY$74,$D15)</f>
        <v>0</v>
      </c>
      <c r="I15" s="7">
        <f>COUNTIFS('HR Track 4 ZIC'!$M$5:$M$45,$A$14,'HR Track 4 ZIC'!$AW$5:$AW$45,$C15,'HR Track 4 ZIC'!$AY$5:$AY$45,$D15)</f>
        <v>0</v>
      </c>
      <c r="J15" s="7">
        <f>COUNTIFS('HR Track 4 BIN'!$M$5:$M$45,$A$14,'HR Track 4 BIN'!$AW$5:$AW$45,$C15,'HR Track 4 BIN'!$AY$5:$AY$45,$D15)</f>
        <v>0</v>
      </c>
      <c r="K15" s="315">
        <f>COUNTIFS('HR Track 5 BIN'!$M$5:$M$39,$A$14,'HR Track 5 BIN'!$AW$5:$AW$39,$C15,'HR Track 5 BIN'!$AY$5:$AY$39,$D15)</f>
        <v>0</v>
      </c>
      <c r="L15" s="1103"/>
    </row>
    <row r="16" spans="1:12" ht="19.899999999999999" customHeight="1">
      <c r="A16" s="1024"/>
      <c r="B16" s="1013"/>
      <c r="C16" s="153" t="s">
        <v>2409</v>
      </c>
      <c r="D16" s="11" t="str">
        <f>VLOOKUP(B14,Foundation_Calc!$K$4:$R$37,5,FALSE)</f>
        <v>N.D.</v>
      </c>
      <c r="E16" s="7">
        <f t="shared" si="1"/>
        <v>0</v>
      </c>
      <c r="F16" s="7">
        <f>COUNTIFS('HR Track 1'!$M$5:$M$407,$A$14,'HR Track 1'!$AW$5:$AW$407,$C16,'HR Track 1'!$AY$5:$AY$407,$D16)</f>
        <v>0</v>
      </c>
      <c r="G16" s="7">
        <f>COUNTIFS('HR Track 2'!$M$5:$M$405,$A$14,'HR Track 2'!$AW$5:$AW$405,$C16,'HR Track 2'!$AY$5:$AY$405,$D16)</f>
        <v>0</v>
      </c>
      <c r="H16" s="7">
        <f>COUNTIFS('HR Track 3 ZIC'!$M$5:$M$74,$A$14,'HR Track 3 ZIC'!$AW$5:$AW$74,$C16,'HR Track 3 ZIC'!$AY$5:$AY$74,$D16)</f>
        <v>0</v>
      </c>
      <c r="I16" s="7">
        <f>COUNTIFS('HR Track 4 ZIC'!$M$5:$M$45,$A$14,'HR Track 4 ZIC'!$AW$5:$AW$45,$C16,'HR Track 4 ZIC'!$AY$5:$AY$45,$D16)</f>
        <v>0</v>
      </c>
      <c r="J16" s="7">
        <f>COUNTIFS('HR Track 4 BIN'!$M$5:$M$45,$A$14,'HR Track 4 BIN'!$AW$5:$AW$45,$C16,'HR Track 4 BIN'!$AY$5:$AY$45,$D16)</f>
        <v>0</v>
      </c>
      <c r="K16" s="315">
        <f>COUNTIFS('HR Track 5 BIN'!$M$5:$M$39,$A$14,'HR Track 5 BIN'!$AW$5:$AW$39,$C16,'HR Track 5 BIN'!$AY$5:$AY$39,$D16)</f>
        <v>0</v>
      </c>
      <c r="L16" s="1103"/>
    </row>
    <row r="17" spans="1:12" ht="19.899999999999999" customHeight="1">
      <c r="A17" s="1024"/>
      <c r="B17" s="1013"/>
      <c r="C17" s="153" t="s">
        <v>2280</v>
      </c>
      <c r="D17" s="11" t="str">
        <f>VLOOKUP(B14,Foundation_Calc!$K$4:$R$37,6,FALSE)</f>
        <v>N.D.</v>
      </c>
      <c r="E17" s="7">
        <f t="shared" si="1"/>
        <v>0</v>
      </c>
      <c r="F17" s="7">
        <f>COUNTIFS('HR Track 1'!$M$5:$M$407,$A$14,'HR Track 1'!$AW$5:$AW$407,$C17,'HR Track 1'!$AY$5:$AY$407,$D17)</f>
        <v>0</v>
      </c>
      <c r="G17" s="7">
        <f>COUNTIFS('HR Track 2'!$M$5:$M$405,$A$14,'HR Track 2'!$AW$5:$AW$405,$C17,'HR Track 2'!$AY$5:$AY$405,$D17)</f>
        <v>0</v>
      </c>
      <c r="H17" s="7">
        <f>COUNTIFS('HR Track 3 ZIC'!$M$5:$M$74,$A$14,'HR Track 3 ZIC'!$AW$5:$AW$74,$C17,'HR Track 3 ZIC'!$AY$5:$AY$74,$D17)</f>
        <v>0</v>
      </c>
      <c r="I17" s="7">
        <f>COUNTIFS('HR Track 4 ZIC'!$M$5:$M$45,$A$14,'HR Track 4 ZIC'!$AW$5:$AW$45,$C17,'HR Track 4 ZIC'!$AY$5:$AY$45,$D17)</f>
        <v>0</v>
      </c>
      <c r="J17" s="7">
        <f>COUNTIFS('HR Track 4 BIN'!$M$5:$M$45,$A$14,'HR Track 4 BIN'!$AW$5:$AW$45,$C17,'HR Track 4 BIN'!$AY$5:$AY$45,$D17)</f>
        <v>0</v>
      </c>
      <c r="K17" s="315">
        <f>COUNTIFS('HR Track 5 BIN'!$M$5:$M$39,$A$14,'HR Track 5 BIN'!$AW$5:$AW$39,$C17,'HR Track 5 BIN'!$AY$5:$AY$39,$D17)</f>
        <v>0</v>
      </c>
      <c r="L17" s="1103"/>
    </row>
    <row r="18" spans="1:12" ht="19.899999999999999" customHeight="1">
      <c r="A18" s="1024"/>
      <c r="B18" s="1013"/>
      <c r="C18" s="153" t="s">
        <v>2281</v>
      </c>
      <c r="D18" s="11" t="str">
        <f>VLOOKUP(B14,Foundation_Calc!$K$4:$R$37,7,FALSE)</f>
        <v>N.D.</v>
      </c>
      <c r="E18" s="7">
        <f t="shared" si="1"/>
        <v>0</v>
      </c>
      <c r="F18" s="7">
        <f>COUNTIFS('HR Track 1'!$M$5:$M$407,$A$14,'HR Track 1'!$AW$5:$AW$407,$C18,'HR Track 1'!$AY$5:$AY$407,$D18)</f>
        <v>0</v>
      </c>
      <c r="G18" s="7">
        <f>COUNTIFS('HR Track 2'!$M$5:$M$405,$A$14,'HR Track 2'!$AW$5:$AW$405,$C18,'HR Track 2'!$AY$5:$AY$405,$D18)</f>
        <v>0</v>
      </c>
      <c r="H18" s="7">
        <f>COUNTIFS('HR Track 3 ZIC'!$M$5:$M$74,$A$14,'HR Track 3 ZIC'!$AW$5:$AW$74,$C18,'HR Track 3 ZIC'!$AY$5:$AY$74,$D18)</f>
        <v>0</v>
      </c>
      <c r="I18" s="7">
        <f>COUNTIFS('HR Track 4 ZIC'!$M$5:$M$45,$A$14,'HR Track 4 ZIC'!$AW$5:$AW$45,$C18,'HR Track 4 ZIC'!$AY$5:$AY$45,$D18)</f>
        <v>0</v>
      </c>
      <c r="J18" s="7">
        <f>COUNTIFS('HR Track 4 BIN'!$M$5:$M$45,$A$14,'HR Track 4 BIN'!$AW$5:$AW$45,$C18,'HR Track 4 BIN'!$AY$5:$AY$45,$D18)</f>
        <v>0</v>
      </c>
      <c r="K18" s="315">
        <f>COUNTIFS('HR Track 5 BIN'!$M$5:$M$39,$A$14,'HR Track 5 BIN'!$AW$5:$AW$39,$C18,'HR Track 5 BIN'!$AY$5:$AY$39,$D18)</f>
        <v>0</v>
      </c>
      <c r="L18" s="1103"/>
    </row>
    <row r="19" spans="1:12" ht="19.899999999999999" customHeight="1" thickBot="1">
      <c r="A19" s="1025"/>
      <c r="B19" s="1014"/>
      <c r="C19" s="316" t="s">
        <v>2282</v>
      </c>
      <c r="D19" s="317" t="str">
        <f>VLOOKUP(B14,Foundation_Calc!$K$4:$R$37,8,FALSE)</f>
        <v>N.D.</v>
      </c>
      <c r="E19" s="318">
        <f t="shared" si="1"/>
        <v>0</v>
      </c>
      <c r="F19" s="318">
        <f>COUNTIFS('HR Track 1'!$M$5:$M$407,$A$14,'HR Track 1'!$AW$5:$AW$407,$C19,'HR Track 1'!$AY$5:$AY$407,$D19)</f>
        <v>0</v>
      </c>
      <c r="G19" s="318">
        <f>COUNTIFS('HR Track 2'!$M$5:$M$405,$A$14,'HR Track 2'!$AW$5:$AW$405,$C19,'HR Track 2'!$AY$5:$AY$405,$D19)</f>
        <v>0</v>
      </c>
      <c r="H19" s="318">
        <f>COUNTIFS('HR Track 3 ZIC'!$M$5:$M$74,$A$14,'HR Track 3 ZIC'!$AW$5:$AW$74,$C19,'HR Track 3 ZIC'!$AY$5:$AY$74,$D19)</f>
        <v>0</v>
      </c>
      <c r="I19" s="318">
        <f>COUNTIFS('HR Track 4 ZIC'!$M$5:$M$45,$A$14,'HR Track 4 ZIC'!$AW$5:$AW$45,$C19,'HR Track 4 ZIC'!$AY$5:$AY$45,$D19)</f>
        <v>0</v>
      </c>
      <c r="J19" s="318">
        <f>COUNTIFS('HR Track 4 BIN'!$M$5:$M$45,$A$14,'HR Track 4 BIN'!$AW$5:$AW$45,$C19,'HR Track 4 BIN'!$AY$5:$AY$45,$D19)</f>
        <v>0</v>
      </c>
      <c r="K19" s="319">
        <f>COUNTIFS('HR Track 5 BIN'!$M$5:$M$39,$A$14,'HR Track 5 BIN'!$AW$5:$AW$39,$C19,'HR Track 5 BIN'!$AY$5:$AY$39,$D19)</f>
        <v>0</v>
      </c>
      <c r="L19" s="1104"/>
    </row>
    <row r="20" spans="1:12" ht="19.899999999999999" customHeight="1">
      <c r="A20" s="1108" t="s">
        <v>2376</v>
      </c>
      <c r="B20" s="1111" t="s">
        <v>158</v>
      </c>
      <c r="C20" s="311" t="s">
        <v>2407</v>
      </c>
      <c r="D20" s="320" t="str">
        <f>VLOOKUP(B20,Foundation_Calc!$K$41:$R$74,3,FALSE)</f>
        <v>N.D.</v>
      </c>
      <c r="E20" s="313">
        <f t="shared" si="1"/>
        <v>0</v>
      </c>
      <c r="F20" s="313">
        <f>COUNTIFS('HR Track 1'!$M$5:$M$407,$A$20,'HR Track 1'!$AW$5:$AW$407,$C20,'HR Track 1'!$AY$5:$AY$407,$D20)</f>
        <v>0</v>
      </c>
      <c r="G20" s="313">
        <f>COUNTIFS('HR Track 2'!$M$5:$M$405,$A$20,'HR Track 2'!$AW$5:$AW$405,$C20,'HR Track 2'!$AY$5:$AY$405,$D20)</f>
        <v>0</v>
      </c>
      <c r="H20" s="313">
        <f>COUNTIFS('HR Track 3 ZIC'!$M$5:$M$74,$A$20,'HR Track 3 ZIC'!$AW$5:$AW$74,$C20,'HR Track 3 ZIC'!$AY$5:$AY$74,$D20)</f>
        <v>0</v>
      </c>
      <c r="I20" s="313">
        <f>COUNTIFS('HR Track 4 ZIC'!$M$5:$M$45,$A$20,'HR Track 4 ZIC'!$AW$5:$AW$45,$C20,'HR Track 4 ZIC'!$AY$5:$AY$45,$D20)</f>
        <v>0</v>
      </c>
      <c r="J20" s="313">
        <f>COUNTIFS('HR Track 4 BIN'!$M$5:$M$45,$A$20,'HR Track 4 BIN'!$AW$5:$AW$45,$C20,'HR Track 4 BIN'!$AY$5:$AY$45,$D20)</f>
        <v>0</v>
      </c>
      <c r="K20" s="314">
        <f>COUNTIFS('HR Track 5 BIN'!$M$5:$M$39,$A$20,'HR Track 5 BIN'!$AW$5:$AW$39,$C20,'HR Track 5 BIN'!$AY$5:$AY$39,$D20)</f>
        <v>0</v>
      </c>
      <c r="L20" s="1105" t="s">
        <v>151</v>
      </c>
    </row>
    <row r="21" spans="1:12" ht="19.899999999999999" customHeight="1">
      <c r="A21" s="1109"/>
      <c r="B21" s="1112"/>
      <c r="C21" s="153" t="s">
        <v>2408</v>
      </c>
      <c r="D21" s="291" t="str">
        <f>VLOOKUP(B20,Foundation_Calc!$K$41:$R$74,4,FALSE)</f>
        <v>N.D.</v>
      </c>
      <c r="E21" s="7">
        <f t="shared" si="1"/>
        <v>0</v>
      </c>
      <c r="F21" s="7">
        <f>COUNTIFS('HR Track 1'!$M$5:$M$407,$A$20,'HR Track 1'!$AW$5:$AW$407,$C21,'HR Track 1'!$AY$5:$AY$407,$D21)</f>
        <v>0</v>
      </c>
      <c r="G21" s="7">
        <f>COUNTIFS('HR Track 2'!$M$5:$M$405,$A$20,'HR Track 2'!$AW$5:$AW$405,$C21,'HR Track 2'!$AY$5:$AY$405,$D21)</f>
        <v>0</v>
      </c>
      <c r="H21" s="7">
        <f>COUNTIFS('HR Track 3 ZIC'!$M$5:$M$74,$A$20,'HR Track 3 ZIC'!$AW$5:$AW$74,$C21,'HR Track 3 ZIC'!$AY$5:$AY$74,$D21)</f>
        <v>0</v>
      </c>
      <c r="I21" s="7">
        <f>COUNTIFS('HR Track 4 ZIC'!$M$5:$M$45,$A$20,'HR Track 4 ZIC'!$AW$5:$AW$45,$C21,'HR Track 4 ZIC'!$AY$5:$AY$45,$D21)</f>
        <v>0</v>
      </c>
      <c r="J21" s="7">
        <f>COUNTIFS('HR Track 4 BIN'!$M$5:$M$45,$A$20,'HR Track 4 BIN'!$AW$5:$AW$45,$C21,'HR Track 4 BIN'!$AY$5:$AY$45,$D21)</f>
        <v>0</v>
      </c>
      <c r="K21" s="315">
        <f>COUNTIFS('HR Track 5 BIN'!$M$5:$M$39,$A$20,'HR Track 5 BIN'!$AW$5:$AW$39,$C21,'HR Track 5 BIN'!$AY$5:$AY$39,$D21)</f>
        <v>0</v>
      </c>
      <c r="L21" s="1106"/>
    </row>
    <row r="22" spans="1:12" ht="19.899999999999999" customHeight="1">
      <c r="A22" s="1109"/>
      <c r="B22" s="1112"/>
      <c r="C22" s="153" t="s">
        <v>2409</v>
      </c>
      <c r="D22" s="291" t="str">
        <f>VLOOKUP(B20,Foundation_Calc!$K$41:$R$74,5,FALSE)</f>
        <v>N.D.</v>
      </c>
      <c r="E22" s="7">
        <f t="shared" si="1"/>
        <v>0</v>
      </c>
      <c r="F22" s="7">
        <f>COUNTIFS('HR Track 1'!$M$5:$M$407,$A$20,'HR Track 1'!$AW$5:$AW$407,$C22,'HR Track 1'!$AY$5:$AY$407,$D22)</f>
        <v>0</v>
      </c>
      <c r="G22" s="7">
        <f>COUNTIFS('HR Track 2'!$M$5:$M$405,$A$20,'HR Track 2'!$AW$5:$AW$405,$C22,'HR Track 2'!$AY$5:$AY$405,$D22)</f>
        <v>0</v>
      </c>
      <c r="H22" s="7">
        <f>COUNTIFS('HR Track 3 ZIC'!$M$5:$M$74,$A$20,'HR Track 3 ZIC'!$AW$5:$AW$74,$C22,'HR Track 3 ZIC'!$AY$5:$AY$74,$D22)</f>
        <v>0</v>
      </c>
      <c r="I22" s="7">
        <f>COUNTIFS('HR Track 4 ZIC'!$M$5:$M$45,$A$20,'HR Track 4 ZIC'!$AW$5:$AW$45,$C22,'HR Track 4 ZIC'!$AY$5:$AY$45,$D22)</f>
        <v>0</v>
      </c>
      <c r="J22" s="7">
        <f>COUNTIFS('HR Track 4 BIN'!$M$5:$M$45,$A$20,'HR Track 4 BIN'!$AW$5:$AW$45,$C22,'HR Track 4 BIN'!$AY$5:$AY$45,$D22)</f>
        <v>0</v>
      </c>
      <c r="K22" s="315">
        <f>COUNTIFS('HR Track 5 BIN'!$M$5:$M$39,$A$20,'HR Track 5 BIN'!$AW$5:$AW$39,$C22,'HR Track 5 BIN'!$AY$5:$AY$39,$D22)</f>
        <v>0</v>
      </c>
      <c r="L22" s="1106"/>
    </row>
    <row r="23" spans="1:12" ht="19.899999999999999" customHeight="1">
      <c r="A23" s="1109"/>
      <c r="B23" s="1112"/>
      <c r="C23" s="153" t="s">
        <v>2280</v>
      </c>
      <c r="D23" s="291" t="str">
        <f>VLOOKUP(B20,Foundation_Calc!$K$41:$R$74,6,FALSE)</f>
        <v>N.D.</v>
      </c>
      <c r="E23" s="7">
        <f t="shared" si="1"/>
        <v>0</v>
      </c>
      <c r="F23" s="7">
        <f>COUNTIFS('HR Track 1'!$M$5:$M$407,$A$20,'HR Track 1'!$AW$5:$AW$407,$C23,'HR Track 1'!$AY$5:$AY$407,$D23)</f>
        <v>0</v>
      </c>
      <c r="G23" s="7">
        <f>COUNTIFS('HR Track 2'!$M$5:$M$405,$A$20,'HR Track 2'!$AW$5:$AW$405,$C23,'HR Track 2'!$AY$5:$AY$405,$D23)</f>
        <v>0</v>
      </c>
      <c r="H23" s="7">
        <f>COUNTIFS('HR Track 3 ZIC'!$M$5:$M$74,$A$20,'HR Track 3 ZIC'!$AW$5:$AW$74,$C23,'HR Track 3 ZIC'!$AY$5:$AY$74,$D23)</f>
        <v>0</v>
      </c>
      <c r="I23" s="7">
        <f>COUNTIFS('HR Track 4 ZIC'!$M$5:$M$45,$A$20,'HR Track 4 ZIC'!$AW$5:$AW$45,$C23,'HR Track 4 ZIC'!$AY$5:$AY$45,$D23)</f>
        <v>0</v>
      </c>
      <c r="J23" s="7">
        <f>COUNTIFS('HR Track 4 BIN'!$M$5:$M$45,$A$20,'HR Track 4 BIN'!$AW$5:$AW$45,$C23,'HR Track 4 BIN'!$AY$5:$AY$45,$D23)</f>
        <v>0</v>
      </c>
      <c r="K23" s="315">
        <f>COUNTIFS('HR Track 5 BIN'!$M$5:$M$39,$A$20,'HR Track 5 BIN'!$AW$5:$AW$39,$C23,'HR Track 5 BIN'!$AY$5:$AY$39,$D23)</f>
        <v>0</v>
      </c>
      <c r="L23" s="1106"/>
    </row>
    <row r="24" spans="1:12" ht="19.899999999999999" customHeight="1">
      <c r="A24" s="1109"/>
      <c r="B24" s="1112"/>
      <c r="C24" s="153" t="s">
        <v>2281</v>
      </c>
      <c r="D24" s="291" t="str">
        <f>VLOOKUP(B20,Foundation_Calc!$K$41:$R$74,7,FALSE)</f>
        <v>N.D.</v>
      </c>
      <c r="E24" s="7">
        <f t="shared" si="1"/>
        <v>0</v>
      </c>
      <c r="F24" s="7">
        <f>COUNTIFS('HR Track 1'!$M$5:$M$407,$A$20,'HR Track 1'!$AW$5:$AW$407,$C24,'HR Track 1'!$AY$5:$AY$407,$D24)</f>
        <v>0</v>
      </c>
      <c r="G24" s="7">
        <f>COUNTIFS('HR Track 2'!$M$5:$M$405,$A$20,'HR Track 2'!$AW$5:$AW$405,$C24,'HR Track 2'!$AY$5:$AY$405,$D24)</f>
        <v>0</v>
      </c>
      <c r="H24" s="7">
        <f>COUNTIFS('HR Track 3 ZIC'!$M$5:$M$74,$A$20,'HR Track 3 ZIC'!$AW$5:$AW$74,$C24,'HR Track 3 ZIC'!$AY$5:$AY$74,$D24)</f>
        <v>0</v>
      </c>
      <c r="I24" s="7">
        <f>COUNTIFS('HR Track 4 ZIC'!$M$5:$M$45,$A$20,'HR Track 4 ZIC'!$AW$5:$AW$45,$C24,'HR Track 4 ZIC'!$AY$5:$AY$45,$D24)</f>
        <v>0</v>
      </c>
      <c r="J24" s="7">
        <f>COUNTIFS('HR Track 4 BIN'!$M$5:$M$45,$A$20,'HR Track 4 BIN'!$AW$5:$AW$45,$C24,'HR Track 4 BIN'!$AY$5:$AY$45,$D24)</f>
        <v>0</v>
      </c>
      <c r="K24" s="315">
        <f>COUNTIFS('HR Track 5 BIN'!$M$5:$M$39,$A$20,'HR Track 5 BIN'!$AW$5:$AW$39,$C24,'HR Track 5 BIN'!$AY$5:$AY$39,$D24)</f>
        <v>0</v>
      </c>
      <c r="L24" s="1106"/>
    </row>
    <row r="25" spans="1:12" ht="19.899999999999999" customHeight="1" thickBot="1">
      <c r="A25" s="1110"/>
      <c r="B25" s="1113"/>
      <c r="C25" s="316" t="s">
        <v>2282</v>
      </c>
      <c r="D25" s="321" t="str">
        <f>VLOOKUP(B20,Foundation_Calc!$K$41:$R$74,8,FALSE)</f>
        <v>N.D.</v>
      </c>
      <c r="E25" s="318">
        <f t="shared" si="1"/>
        <v>0</v>
      </c>
      <c r="F25" s="318">
        <f>COUNTIFS('HR Track 1'!$M$5:$M$407,$A$20,'HR Track 1'!$AW$5:$AW$407,$C25,'HR Track 1'!$AY$5:$AY$407,$D25)</f>
        <v>0</v>
      </c>
      <c r="G25" s="318">
        <f>COUNTIFS('HR Track 2'!$M$5:$M$405,$A$20,'HR Track 2'!$AW$5:$AW$405,$C25,'HR Track 2'!$AY$5:$AY$405,$D25)</f>
        <v>0</v>
      </c>
      <c r="H25" s="318">
        <f>COUNTIFS('HR Track 3 ZIC'!$M$5:$M$74,$A$20,'HR Track 3 ZIC'!$AW$5:$AW$74,$C25,'HR Track 3 ZIC'!$AY$5:$AY$74,$D25)</f>
        <v>0</v>
      </c>
      <c r="I25" s="318">
        <f>COUNTIFS('HR Track 4 ZIC'!$M$5:$M$45,$A$20,'HR Track 4 ZIC'!$AW$5:$AW$45,$C25,'HR Track 4 ZIC'!$AY$5:$AY$45,$D25)</f>
        <v>0</v>
      </c>
      <c r="J25" s="318">
        <f>COUNTIFS('HR Track 4 BIN'!$M$5:$M$45,$A$20,'HR Track 4 BIN'!$AW$5:$AW$45,$C25,'HR Track 4 BIN'!$AY$5:$AY$45,$D25)</f>
        <v>0</v>
      </c>
      <c r="K25" s="319">
        <f>COUNTIFS('HR Track 5 BIN'!$M$5:$M$39,$A$20,'HR Track 5 BIN'!$AW$5:$AW$39,$C25,'HR Track 5 BIN'!$AY$5:$AY$39,$D25)</f>
        <v>0</v>
      </c>
      <c r="L25" s="1107"/>
    </row>
    <row r="26" spans="1:12" ht="19.899999999999999" customHeight="1">
      <c r="A26" s="1114" t="s">
        <v>646</v>
      </c>
      <c r="B26" s="1115" t="s">
        <v>148</v>
      </c>
      <c r="C26" s="311" t="s">
        <v>2407</v>
      </c>
      <c r="D26" s="312" t="str">
        <f>VLOOKUP(B26,Foundation_Calc!$K$4:$R$37,3,FALSE)</f>
        <v>N.D.</v>
      </c>
      <c r="E26" s="313">
        <f t="shared" si="1"/>
        <v>0</v>
      </c>
      <c r="F26" s="313">
        <f>COUNTIFS('HR Track 1'!$M$5:$M$407,$A$26,'HR Track 1'!$AW$5:$AW$407,$C26,'HR Track 1'!$AY$5:$AY$407,$D26)</f>
        <v>0</v>
      </c>
      <c r="G26" s="313">
        <f>COUNTIFS('HR Track 2'!$M$5:$M$405,$A$26,'HR Track 2'!$AW$5:$AW$405,$C26,'HR Track 2'!$AY$5:$AY$405,$D26)</f>
        <v>0</v>
      </c>
      <c r="H26" s="313">
        <f>COUNTIFS('HR Track 3 ZIC'!$M$5:$M$74,$A$26,'HR Track 3 ZIC'!$AW$5:$AW$74,$C26,'HR Track 3 ZIC'!$AY$5:$AY$74,$D26)</f>
        <v>0</v>
      </c>
      <c r="I26" s="313">
        <f>COUNTIFS('HR Track 4 ZIC'!$M$5:$M$45,$A$26,'HR Track 4 ZIC'!$AW$5:$AW$45,$C26,'HR Track 4 ZIC'!$AY$5:$AY$45,$D26)</f>
        <v>0</v>
      </c>
      <c r="J26" s="313">
        <f>COUNTIFS('HR Track 4 BIN'!$M$5:$M$45,$A$26,'HR Track 4 BIN'!$AW$5:$AW$45,$C26,'HR Track 4 BIN'!$AY$5:$AY$45,$D26)</f>
        <v>0</v>
      </c>
      <c r="K26" s="314">
        <f>COUNTIFS('HR Track 5 BIN'!$M$5:$M$39,$A$26,'HR Track 5 BIN'!$AW$5:$AW$39,$C26,'HR Track 5 BIN'!$AY$5:$AY$39,$D26)</f>
        <v>0</v>
      </c>
    </row>
    <row r="27" spans="1:12" ht="19.899999999999999" customHeight="1">
      <c r="A27" s="1024"/>
      <c r="B27" s="1013"/>
      <c r="C27" s="153" t="s">
        <v>2408</v>
      </c>
      <c r="D27" s="11" t="str">
        <f>VLOOKUP(B26,Foundation_Calc!$K$4:$R$37,4,FALSE)</f>
        <v>N.D.</v>
      </c>
      <c r="E27" s="7">
        <f t="shared" si="1"/>
        <v>0</v>
      </c>
      <c r="F27" s="7">
        <f>COUNTIFS('HR Track 1'!$M$5:$M$407,$A$26,'HR Track 1'!$AW$5:$AW$407,$C27,'HR Track 1'!$AY$5:$AY$407,$D27)</f>
        <v>0</v>
      </c>
      <c r="G27" s="7">
        <f>COUNTIFS('HR Track 2'!$M$5:$M$405,$A$26,'HR Track 2'!$AW$5:$AW$405,$C27,'HR Track 2'!$AY$5:$AY$405,$D27)</f>
        <v>0</v>
      </c>
      <c r="H27" s="7">
        <f>COUNTIFS('HR Track 3 ZIC'!$M$5:$M$74,$A$26,'HR Track 3 ZIC'!$AW$5:$AW$74,$C27,'HR Track 3 ZIC'!$AY$5:$AY$74,$D27)</f>
        <v>0</v>
      </c>
      <c r="I27" s="7">
        <f>COUNTIFS('HR Track 4 ZIC'!$M$5:$M$45,$A$26,'HR Track 4 ZIC'!$AW$5:$AW$45,$C27,'HR Track 4 ZIC'!$AY$5:$AY$45,$D27)</f>
        <v>0</v>
      </c>
      <c r="J27" s="7">
        <f>COUNTIFS('HR Track 4 BIN'!$M$5:$M$45,$A$26,'HR Track 4 BIN'!$AW$5:$AW$45,$C27,'HR Track 4 BIN'!$AY$5:$AY$45,$D27)</f>
        <v>0</v>
      </c>
      <c r="K27" s="315">
        <f>COUNTIFS('HR Track 5 BIN'!$M$5:$M$39,$A$26,'HR Track 5 BIN'!$AW$5:$AW$39,$C27,'HR Track 5 BIN'!$AY$5:$AY$39,$D27)</f>
        <v>0</v>
      </c>
    </row>
    <row r="28" spans="1:12" ht="19.899999999999999" customHeight="1">
      <c r="A28" s="1024"/>
      <c r="B28" s="1013"/>
      <c r="C28" s="153" t="s">
        <v>2409</v>
      </c>
      <c r="D28" s="11" t="str">
        <f>VLOOKUP(B26,Foundation_Calc!$K$4:$R$37,5,FALSE)</f>
        <v>N.D.</v>
      </c>
      <c r="E28" s="7">
        <f t="shared" si="1"/>
        <v>0</v>
      </c>
      <c r="F28" s="7">
        <f>COUNTIFS('HR Track 1'!$M$5:$M$407,$A$26,'HR Track 1'!$AW$5:$AW$407,$C28,'HR Track 1'!$AY$5:$AY$407,$D28)</f>
        <v>0</v>
      </c>
      <c r="G28" s="7">
        <f>COUNTIFS('HR Track 2'!$M$5:$M$405,$A$26,'HR Track 2'!$AW$5:$AW$405,$C28,'HR Track 2'!$AY$5:$AY$405,$D28)</f>
        <v>0</v>
      </c>
      <c r="H28" s="7">
        <f>COUNTIFS('HR Track 3 ZIC'!$M$5:$M$74,$A$26,'HR Track 3 ZIC'!$AW$5:$AW$74,$C28,'HR Track 3 ZIC'!$AY$5:$AY$74,$D28)</f>
        <v>0</v>
      </c>
      <c r="I28" s="7">
        <f>COUNTIFS('HR Track 4 ZIC'!$M$5:$M$45,$A$26,'HR Track 4 ZIC'!$AW$5:$AW$45,$C28,'HR Track 4 ZIC'!$AY$5:$AY$45,$D28)</f>
        <v>0</v>
      </c>
      <c r="J28" s="7">
        <f>COUNTIFS('HR Track 4 BIN'!$M$5:$M$45,$A$26,'HR Track 4 BIN'!$AW$5:$AW$45,$C28,'HR Track 4 BIN'!$AY$5:$AY$45,$D28)</f>
        <v>0</v>
      </c>
      <c r="K28" s="315">
        <f>COUNTIFS('HR Track 5 BIN'!$M$5:$M$39,$A$26,'HR Track 5 BIN'!$AW$5:$AW$39,$C28,'HR Track 5 BIN'!$AY$5:$AY$39,$D28)</f>
        <v>0</v>
      </c>
    </row>
    <row r="29" spans="1:12" ht="19.899999999999999" customHeight="1">
      <c r="A29" s="1024"/>
      <c r="B29" s="1013"/>
      <c r="C29" s="153" t="s">
        <v>2280</v>
      </c>
      <c r="D29" s="11" t="str">
        <f>VLOOKUP(B26,Foundation_Calc!$K$4:$R$37,6,FALSE)</f>
        <v>N.D.</v>
      </c>
      <c r="E29" s="7">
        <f t="shared" si="1"/>
        <v>0</v>
      </c>
      <c r="F29" s="7">
        <f>COUNTIFS('HR Track 1'!$M$5:$M$407,$A$26,'HR Track 1'!$AW$5:$AW$407,$C29,'HR Track 1'!$AY$5:$AY$407,$D29)</f>
        <v>0</v>
      </c>
      <c r="G29" s="7">
        <f>COUNTIFS('HR Track 2'!$M$5:$M$405,$A$26,'HR Track 2'!$AW$5:$AW$405,$C29,'HR Track 2'!$AY$5:$AY$405,$D29)</f>
        <v>0</v>
      </c>
      <c r="H29" s="7">
        <f>COUNTIFS('HR Track 3 ZIC'!$M$5:$M$74,$A$26,'HR Track 3 ZIC'!$AW$5:$AW$74,$C29,'HR Track 3 ZIC'!$AY$5:$AY$74,$D29)</f>
        <v>0</v>
      </c>
      <c r="I29" s="7">
        <f>COUNTIFS('HR Track 4 ZIC'!$M$5:$M$45,$A$26,'HR Track 4 ZIC'!$AW$5:$AW$45,$C29,'HR Track 4 ZIC'!$AY$5:$AY$45,$D29)</f>
        <v>0</v>
      </c>
      <c r="J29" s="7">
        <f>COUNTIFS('HR Track 4 BIN'!$M$5:$M$45,$A$26,'HR Track 4 BIN'!$AW$5:$AW$45,$C29,'HR Track 4 BIN'!$AY$5:$AY$45,$D29)</f>
        <v>0</v>
      </c>
      <c r="K29" s="315">
        <f>COUNTIFS('HR Track 5 BIN'!$M$5:$M$39,$A$26,'HR Track 5 BIN'!$AW$5:$AW$39,$C29,'HR Track 5 BIN'!$AY$5:$AY$39,$D29)</f>
        <v>0</v>
      </c>
    </row>
    <row r="30" spans="1:12" ht="19.899999999999999" customHeight="1">
      <c r="A30" s="1024"/>
      <c r="B30" s="1013"/>
      <c r="C30" s="153" t="s">
        <v>2281</v>
      </c>
      <c r="D30" s="11" t="str">
        <f>VLOOKUP(B26,Foundation_Calc!$K$4:$R$37,7,FALSE)</f>
        <v>N.D.</v>
      </c>
      <c r="E30" s="7">
        <f t="shared" si="1"/>
        <v>0</v>
      </c>
      <c r="F30" s="7">
        <f>COUNTIFS('HR Track 1'!$M$5:$M$407,$A$26,'HR Track 1'!$AW$5:$AW$407,$C30,'HR Track 1'!$AY$5:$AY$407,$D30)</f>
        <v>0</v>
      </c>
      <c r="G30" s="7">
        <f>COUNTIFS('HR Track 2'!$M$5:$M$405,$A$26,'HR Track 2'!$AW$5:$AW$405,$C30,'HR Track 2'!$AY$5:$AY$405,$D30)</f>
        <v>0</v>
      </c>
      <c r="H30" s="7">
        <f>COUNTIFS('HR Track 3 ZIC'!$M$5:$M$74,$A$26,'HR Track 3 ZIC'!$AW$5:$AW$74,$C30,'HR Track 3 ZIC'!$AY$5:$AY$74,$D30)</f>
        <v>0</v>
      </c>
      <c r="I30" s="7">
        <f>COUNTIFS('HR Track 4 ZIC'!$M$5:$M$45,$A$26,'HR Track 4 ZIC'!$AW$5:$AW$45,$C30,'HR Track 4 ZIC'!$AY$5:$AY$45,$D30)</f>
        <v>0</v>
      </c>
      <c r="J30" s="7">
        <f>COUNTIFS('HR Track 4 BIN'!$M$5:$M$45,$A$26,'HR Track 4 BIN'!$AW$5:$AW$45,$C30,'HR Track 4 BIN'!$AY$5:$AY$45,$D30)</f>
        <v>0</v>
      </c>
      <c r="K30" s="315">
        <f>COUNTIFS('HR Track 5 BIN'!$M$5:$M$39,$A$26,'HR Track 5 BIN'!$AW$5:$AW$39,$C30,'HR Track 5 BIN'!$AY$5:$AY$39,$D30)</f>
        <v>0</v>
      </c>
    </row>
    <row r="31" spans="1:12" ht="19.899999999999999" customHeight="1" thickBot="1">
      <c r="A31" s="1025"/>
      <c r="B31" s="1014"/>
      <c r="C31" s="316" t="s">
        <v>2282</v>
      </c>
      <c r="D31" s="317" t="str">
        <f>VLOOKUP(B26,Foundation_Calc!$K$4:$R$37,8,FALSE)</f>
        <v>N.D.</v>
      </c>
      <c r="E31" s="318">
        <f t="shared" si="1"/>
        <v>0</v>
      </c>
      <c r="F31" s="318">
        <f>COUNTIFS('HR Track 1'!$M$5:$M$407,$A$26,'HR Track 1'!$AW$5:$AW$407,$C31,'HR Track 1'!$AY$5:$AY$407,$D31)</f>
        <v>0</v>
      </c>
      <c r="G31" s="318">
        <f>COUNTIFS('HR Track 2'!$M$5:$M$405,$A$26,'HR Track 2'!$AW$5:$AW$405,$C31,'HR Track 2'!$AY$5:$AY$405,$D31)</f>
        <v>0</v>
      </c>
      <c r="H31" s="318">
        <f>COUNTIFS('HR Track 3 ZIC'!$M$5:$M$74,$A$26,'HR Track 3 ZIC'!$AW$5:$AW$74,$C31,'HR Track 3 ZIC'!$AY$5:$AY$74,$D31)</f>
        <v>0</v>
      </c>
      <c r="I31" s="318">
        <f>COUNTIFS('HR Track 4 ZIC'!$M$5:$M$45,$A$26,'HR Track 4 ZIC'!$AW$5:$AW$45,$C31,'HR Track 4 ZIC'!$AY$5:$AY$45,$D31)</f>
        <v>0</v>
      </c>
      <c r="J31" s="318">
        <f>COUNTIFS('HR Track 4 BIN'!$M$5:$M$45,$A$26,'HR Track 4 BIN'!$AW$5:$AW$45,$C31,'HR Track 4 BIN'!$AY$5:$AY$45,$D31)</f>
        <v>0</v>
      </c>
      <c r="K31" s="319">
        <f>COUNTIFS('HR Track 5 BIN'!$M$5:$M$39,$A$26,'HR Track 5 BIN'!$AW$5:$AW$39,$C31,'HR Track 5 BIN'!$AY$5:$AY$39,$D31)</f>
        <v>0</v>
      </c>
    </row>
    <row r="32" spans="1:12" ht="19.899999999999999" customHeight="1">
      <c r="A32" s="1108" t="s">
        <v>2376</v>
      </c>
      <c r="B32" s="1111" t="s">
        <v>148</v>
      </c>
      <c r="C32" s="311" t="s">
        <v>2407</v>
      </c>
      <c r="D32" s="320" t="str">
        <f>VLOOKUP(B32,Foundation_Calc!$K$41:$R$74,3,FALSE)</f>
        <v>N.D.</v>
      </c>
      <c r="E32" s="313">
        <f t="shared" si="1"/>
        <v>0</v>
      </c>
      <c r="F32" s="313">
        <f>COUNTIFS('HR Track 1'!$M$5:$M$407,$A$32,'HR Track 1'!$AW$5:$AW$407,$C32,'HR Track 1'!$AY$5:$AY$407,$D32)</f>
        <v>0</v>
      </c>
      <c r="G32" s="313">
        <f>COUNTIFS('HR Track 2'!$M$5:$M$405,$A$32,'HR Track 2'!$AW$5:$AW$405,$C32,'HR Track 2'!$AY$5:$AY$405,$D32)</f>
        <v>0</v>
      </c>
      <c r="H32" s="313">
        <f>COUNTIFS('HR Track 3 ZIC'!$M$5:$M$74,$A$32,'HR Track 3 ZIC'!$AW$5:$AW$74,$C32,'HR Track 3 ZIC'!$AY$5:$AY$74,$D32)</f>
        <v>0</v>
      </c>
      <c r="I32" s="313">
        <f>COUNTIFS('HR Track 4 ZIC'!$M$5:$M$45,$A$32,'HR Track 4 ZIC'!$AW$5:$AW$45,$C32,'HR Track 4 ZIC'!$AY$5:$AY$45,$D32)</f>
        <v>0</v>
      </c>
      <c r="J32" s="313">
        <f>COUNTIFS('HR Track 4 BIN'!$M$5:$M$45,$A$32,'HR Track 4 BIN'!$AW$5:$AW$45,$C32,'HR Track 4 BIN'!$AY$5:$AY$45,$D32)</f>
        <v>0</v>
      </c>
      <c r="K32" s="314">
        <f>COUNTIFS('HR Track 5 BIN'!$M$5:$M$39,$A$32,'HR Track 5 BIN'!$AW$5:$AW$39,$C32,'HR Track 5 BIN'!$AY$5:$AY$39,$D32)</f>
        <v>0</v>
      </c>
    </row>
    <row r="33" spans="1:12" ht="19.899999999999999" customHeight="1">
      <c r="A33" s="1109"/>
      <c r="B33" s="1112"/>
      <c r="C33" s="153" t="s">
        <v>2408</v>
      </c>
      <c r="D33" s="291" t="str">
        <f>VLOOKUP(B32,Foundation_Calc!$K$41:$R$74,4,FALSE)</f>
        <v>N.D.</v>
      </c>
      <c r="E33" s="7">
        <f t="shared" si="1"/>
        <v>0</v>
      </c>
      <c r="F33" s="7">
        <f>COUNTIFS('HR Track 1'!$M$5:$M$407,$A$32,'HR Track 1'!$AW$5:$AW$407,$C33,'HR Track 1'!$AY$5:$AY$407,$D33)</f>
        <v>0</v>
      </c>
      <c r="G33" s="7">
        <f>COUNTIFS('HR Track 2'!$M$5:$M$405,$A$32,'HR Track 2'!$AW$5:$AW$405,$C33,'HR Track 2'!$AY$5:$AY$405,$D33)</f>
        <v>0</v>
      </c>
      <c r="H33" s="7">
        <f>COUNTIFS('HR Track 3 ZIC'!$M$5:$M$74,$A$32,'HR Track 3 ZIC'!$AW$5:$AW$74,$C33,'HR Track 3 ZIC'!$AY$5:$AY$74,$D33)</f>
        <v>0</v>
      </c>
      <c r="I33" s="7">
        <f>COUNTIFS('HR Track 4 ZIC'!$M$5:$M$45,$A$32,'HR Track 4 ZIC'!$AW$5:$AW$45,$C33,'HR Track 4 ZIC'!$AY$5:$AY$45,$D33)</f>
        <v>0</v>
      </c>
      <c r="J33" s="7">
        <f>COUNTIFS('HR Track 4 BIN'!$M$5:$M$45,$A$32,'HR Track 4 BIN'!$AW$5:$AW$45,$C33,'HR Track 4 BIN'!$AY$5:$AY$45,$D33)</f>
        <v>0</v>
      </c>
      <c r="K33" s="315">
        <f>COUNTIFS('HR Track 5 BIN'!$M$5:$M$39,$A$32,'HR Track 5 BIN'!$AW$5:$AW$39,$C33,'HR Track 5 BIN'!$AY$5:$AY$39,$D33)</f>
        <v>0</v>
      </c>
    </row>
    <row r="34" spans="1:12" ht="19.899999999999999" customHeight="1">
      <c r="A34" s="1109"/>
      <c r="B34" s="1112"/>
      <c r="C34" s="153" t="s">
        <v>2409</v>
      </c>
      <c r="D34" s="291" t="str">
        <f>VLOOKUP(B32,Foundation_Calc!$K$41:$R$74,5,FALSE)</f>
        <v>N.D.</v>
      </c>
      <c r="E34" s="7">
        <f t="shared" si="1"/>
        <v>0</v>
      </c>
      <c r="F34" s="7">
        <f>COUNTIFS('HR Track 1'!$M$5:$M$407,$A$32,'HR Track 1'!$AW$5:$AW$407,$C34,'HR Track 1'!$AY$5:$AY$407,$D34)</f>
        <v>0</v>
      </c>
      <c r="G34" s="7">
        <f>COUNTIFS('HR Track 2'!$M$5:$M$405,$A$32,'HR Track 2'!$AW$5:$AW$405,$C34,'HR Track 2'!$AY$5:$AY$405,$D34)</f>
        <v>0</v>
      </c>
      <c r="H34" s="7">
        <f>COUNTIFS('HR Track 3 ZIC'!$M$5:$M$74,$A$32,'HR Track 3 ZIC'!$AW$5:$AW$74,$C34,'HR Track 3 ZIC'!$AY$5:$AY$74,$D34)</f>
        <v>0</v>
      </c>
      <c r="I34" s="7">
        <f>COUNTIFS('HR Track 4 ZIC'!$M$5:$M$45,$A$32,'HR Track 4 ZIC'!$AW$5:$AW$45,$C34,'HR Track 4 ZIC'!$AY$5:$AY$45,$D34)</f>
        <v>0</v>
      </c>
      <c r="J34" s="7">
        <f>COUNTIFS('HR Track 4 BIN'!$M$5:$M$45,$A$32,'HR Track 4 BIN'!$AW$5:$AW$45,$C34,'HR Track 4 BIN'!$AY$5:$AY$45,$D34)</f>
        <v>0</v>
      </c>
      <c r="K34" s="315">
        <f>COUNTIFS('HR Track 5 BIN'!$M$5:$M$39,$A$32,'HR Track 5 BIN'!$AW$5:$AW$39,$C34,'HR Track 5 BIN'!$AY$5:$AY$39,$D34)</f>
        <v>0</v>
      </c>
    </row>
    <row r="35" spans="1:12" ht="19.899999999999999" customHeight="1">
      <c r="A35" s="1109"/>
      <c r="B35" s="1112"/>
      <c r="C35" s="153" t="s">
        <v>2280</v>
      </c>
      <c r="D35" s="291" t="str">
        <f>VLOOKUP(B32,Foundation_Calc!$K$41:$R$74,6,FALSE)</f>
        <v>N.D.</v>
      </c>
      <c r="E35" s="7">
        <f t="shared" si="1"/>
        <v>0</v>
      </c>
      <c r="F35" s="7">
        <f>COUNTIFS('HR Track 1'!$M$5:$M$407,$A$32,'HR Track 1'!$AW$5:$AW$407,$C35,'HR Track 1'!$AY$5:$AY$407,$D35)</f>
        <v>0</v>
      </c>
      <c r="G35" s="7">
        <f>COUNTIFS('HR Track 2'!$M$5:$M$405,$A$32,'HR Track 2'!$AW$5:$AW$405,$C35,'HR Track 2'!$AY$5:$AY$405,$D35)</f>
        <v>0</v>
      </c>
      <c r="H35" s="7">
        <f>COUNTIFS('HR Track 3 ZIC'!$M$5:$M$74,$A$32,'HR Track 3 ZIC'!$AW$5:$AW$74,$C35,'HR Track 3 ZIC'!$AY$5:$AY$74,$D35)</f>
        <v>0</v>
      </c>
      <c r="I35" s="7">
        <f>COUNTIFS('HR Track 4 ZIC'!$M$5:$M$45,$A$32,'HR Track 4 ZIC'!$AW$5:$AW$45,$C35,'HR Track 4 ZIC'!$AY$5:$AY$45,$D35)</f>
        <v>0</v>
      </c>
      <c r="J35" s="7">
        <f>COUNTIFS('HR Track 4 BIN'!$M$5:$M$45,$A$32,'HR Track 4 BIN'!$AW$5:$AW$45,$C35,'HR Track 4 BIN'!$AY$5:$AY$45,$D35)</f>
        <v>0</v>
      </c>
      <c r="K35" s="315">
        <f>COUNTIFS('HR Track 5 BIN'!$M$5:$M$39,$A$32,'HR Track 5 BIN'!$AW$5:$AW$39,$C35,'HR Track 5 BIN'!$AY$5:$AY$39,$D35)</f>
        <v>0</v>
      </c>
    </row>
    <row r="36" spans="1:12" ht="19.899999999999999" customHeight="1">
      <c r="A36" s="1109"/>
      <c r="B36" s="1112"/>
      <c r="C36" s="153" t="s">
        <v>2281</v>
      </c>
      <c r="D36" s="291" t="str">
        <f>VLOOKUP(B32,Foundation_Calc!$K$41:$R$74,7,FALSE)</f>
        <v>N.D.</v>
      </c>
      <c r="E36" s="7">
        <f t="shared" si="1"/>
        <v>0</v>
      </c>
      <c r="F36" s="7">
        <f>COUNTIFS('HR Track 1'!$M$5:$M$407,$A$32,'HR Track 1'!$AW$5:$AW$407,$C36,'HR Track 1'!$AY$5:$AY$407,$D36)</f>
        <v>0</v>
      </c>
      <c r="G36" s="7">
        <f>COUNTIFS('HR Track 2'!$M$5:$M$405,$A$32,'HR Track 2'!$AW$5:$AW$405,$C36,'HR Track 2'!$AY$5:$AY$405,$D36)</f>
        <v>0</v>
      </c>
      <c r="H36" s="7">
        <f>COUNTIFS('HR Track 3 ZIC'!$M$5:$M$74,$A$32,'HR Track 3 ZIC'!$AW$5:$AW$74,$C36,'HR Track 3 ZIC'!$AY$5:$AY$74,$D36)</f>
        <v>0</v>
      </c>
      <c r="I36" s="7">
        <f>COUNTIFS('HR Track 4 ZIC'!$M$5:$M$45,$A$32,'HR Track 4 ZIC'!$AW$5:$AW$45,$C36,'HR Track 4 ZIC'!$AY$5:$AY$45,$D36)</f>
        <v>0</v>
      </c>
      <c r="J36" s="7">
        <f>COUNTIFS('HR Track 4 BIN'!$M$5:$M$45,$A$32,'HR Track 4 BIN'!$AW$5:$AW$45,$C36,'HR Track 4 BIN'!$AY$5:$AY$45,$D36)</f>
        <v>0</v>
      </c>
      <c r="K36" s="315">
        <f>COUNTIFS('HR Track 5 BIN'!$M$5:$M$39,$A$32,'HR Track 5 BIN'!$AW$5:$AW$39,$C36,'HR Track 5 BIN'!$AY$5:$AY$39,$D36)</f>
        <v>0</v>
      </c>
    </row>
    <row r="37" spans="1:12" ht="19.899999999999999" customHeight="1" thickBot="1">
      <c r="A37" s="1110"/>
      <c r="B37" s="1113"/>
      <c r="C37" s="316" t="s">
        <v>2282</v>
      </c>
      <c r="D37" s="321" t="str">
        <f>VLOOKUP(B32,Foundation_Calc!$K$41:$R$74,8,FALSE)</f>
        <v>N.D.</v>
      </c>
      <c r="E37" s="318">
        <f t="shared" si="1"/>
        <v>0</v>
      </c>
      <c r="F37" s="318">
        <f>COUNTIFS('HR Track 1'!$M$5:$M$407,$A$32,'HR Track 1'!$AW$5:$AW$407,$C37,'HR Track 1'!$AY$5:$AY$407,$D37)</f>
        <v>0</v>
      </c>
      <c r="G37" s="318">
        <f>COUNTIFS('HR Track 2'!$M$5:$M$405,$A$32,'HR Track 2'!$AW$5:$AW$405,$C37,'HR Track 2'!$AY$5:$AY$405,$D37)</f>
        <v>0</v>
      </c>
      <c r="H37" s="318">
        <f>COUNTIFS('HR Track 3 ZIC'!$M$5:$M$74,$A$32,'HR Track 3 ZIC'!$AW$5:$AW$74,$C37,'HR Track 3 ZIC'!$AY$5:$AY$74,$D37)</f>
        <v>0</v>
      </c>
      <c r="I37" s="318">
        <f>COUNTIFS('HR Track 4 ZIC'!$M$5:$M$45,$A$32,'HR Track 4 ZIC'!$AW$5:$AW$45,$C37,'HR Track 4 ZIC'!$AY$5:$AY$45,$D37)</f>
        <v>0</v>
      </c>
      <c r="J37" s="318">
        <f>COUNTIFS('HR Track 4 BIN'!$M$5:$M$45,$A$32,'HR Track 4 BIN'!$AW$5:$AW$45,$C37,'HR Track 4 BIN'!$AY$5:$AY$45,$D37)</f>
        <v>0</v>
      </c>
      <c r="K37" s="319">
        <f>COUNTIFS('HR Track 5 BIN'!$M$5:$M$39,$A$32,'HR Track 5 BIN'!$AW$5:$AW$39,$C37,'HR Track 5 BIN'!$AY$5:$AY$39,$D37)</f>
        <v>0</v>
      </c>
    </row>
    <row r="38" spans="1:12" ht="19.899999999999999" customHeight="1">
      <c r="A38" s="1114" t="s">
        <v>2313</v>
      </c>
      <c r="B38" s="1115" t="s">
        <v>398</v>
      </c>
      <c r="C38" s="311" t="s">
        <v>2407</v>
      </c>
      <c r="D38" s="312" t="str">
        <f>VLOOKUP(B38,Foundation_Calc!$K$4:$R$37,3,FALSE)</f>
        <v>N.D.</v>
      </c>
      <c r="E38" s="313">
        <f t="shared" si="1"/>
        <v>0</v>
      </c>
      <c r="F38" s="313">
        <f>COUNTIFS('HR Track 1'!$M$5:$M$407,$A$38,'HR Track 1'!$AW$5:$AW$407,$C38,'HR Track 1'!$AY$5:$AY$407,$D38)</f>
        <v>0</v>
      </c>
      <c r="G38" s="313">
        <f>COUNTIFS('HR Track 2'!$M$5:$M$405,$A$38,'HR Track 2'!$AW$5:$AW$405,$C38,'HR Track 2'!$AY$5:$AY$405,$D38)</f>
        <v>0</v>
      </c>
      <c r="H38" s="313">
        <f>COUNTIFS('HR Track 3 ZIC'!$M$5:$M$74,$A$38,'HR Track 3 ZIC'!$AW$5:$AW$74,$C38,'HR Track 3 ZIC'!$AY$5:$AY$74,$D38)</f>
        <v>0</v>
      </c>
      <c r="I38" s="313">
        <f>COUNTIFS('HR Track 4 ZIC'!$M$5:$M$45,$A$38,'HR Track 4 ZIC'!$AW$5:$AW$45,$C38,'HR Track 4 ZIC'!$AY$5:$AY$45,$D38)</f>
        <v>0</v>
      </c>
      <c r="J38" s="313">
        <f>COUNTIFS('HR Track 4 BIN'!$M$5:$M$45,$A$38,'HR Track 4 BIN'!$AW$5:$AW$45,$C38,'HR Track 4 BIN'!$AY$5:$AY$45,$D38)</f>
        <v>0</v>
      </c>
      <c r="K38" s="314">
        <f>COUNTIFS('HR Track 5 BIN'!$M$5:$M$39,$A$38,'HR Track 5 BIN'!$AW$5:$AW$39,$C38,'HR Track 5 BIN'!$AY$5:$AY$39,$D38)</f>
        <v>0</v>
      </c>
      <c r="L38" s="1102" t="s">
        <v>181</v>
      </c>
    </row>
    <row r="39" spans="1:12" ht="19.899999999999999" customHeight="1">
      <c r="A39" s="1024"/>
      <c r="B39" s="1013"/>
      <c r="C39" s="153" t="s">
        <v>2408</v>
      </c>
      <c r="D39" s="11" t="str">
        <f>VLOOKUP(B38,Foundation_Calc!$K$4:$R$37,4,FALSE)</f>
        <v>N.D.</v>
      </c>
      <c r="E39" s="7">
        <f t="shared" si="1"/>
        <v>0</v>
      </c>
      <c r="F39" s="7">
        <f>COUNTIFS('HR Track 1'!$M$5:$M$407,$A$38,'HR Track 1'!$AW$5:$AW$407,$C39,'HR Track 1'!$AY$5:$AY$407,$D39)</f>
        <v>0</v>
      </c>
      <c r="G39" s="7">
        <f>COUNTIFS('HR Track 2'!$M$5:$M$405,$A$38,'HR Track 2'!$AW$5:$AW$405,$C39,'HR Track 2'!$AY$5:$AY$405,$D39)</f>
        <v>0</v>
      </c>
      <c r="H39" s="7">
        <f>COUNTIFS('HR Track 3 ZIC'!$M$5:$M$74,$A$38,'HR Track 3 ZIC'!$AW$5:$AW$74,$C39,'HR Track 3 ZIC'!$AY$5:$AY$74,$D39)</f>
        <v>0</v>
      </c>
      <c r="I39" s="7">
        <f>COUNTIFS('HR Track 4 ZIC'!$M$5:$M$45,$A$38,'HR Track 4 ZIC'!$AW$5:$AW$45,$C39,'HR Track 4 ZIC'!$AY$5:$AY$45,$D39)</f>
        <v>0</v>
      </c>
      <c r="J39" s="7">
        <f>COUNTIFS('HR Track 4 BIN'!$M$5:$M$45,$A$38,'HR Track 4 BIN'!$AW$5:$AW$45,$C39,'HR Track 4 BIN'!$AY$5:$AY$45,$D39)</f>
        <v>0</v>
      </c>
      <c r="K39" s="315">
        <f>COUNTIFS('HR Track 5 BIN'!$M$5:$M$39,$A$38,'HR Track 5 BIN'!$AW$5:$AW$39,$C39,'HR Track 5 BIN'!$AY$5:$AY$39,$D39)</f>
        <v>0</v>
      </c>
      <c r="L39" s="1103"/>
    </row>
    <row r="40" spans="1:12" ht="19.899999999999999" customHeight="1">
      <c r="A40" s="1024"/>
      <c r="B40" s="1013"/>
      <c r="C40" s="153" t="s">
        <v>2409</v>
      </c>
      <c r="D40" s="11" t="str">
        <f>VLOOKUP(B38,Foundation_Calc!$K$4:$R$37,5,FALSE)</f>
        <v>N.D.</v>
      </c>
      <c r="E40" s="7">
        <f t="shared" si="1"/>
        <v>0</v>
      </c>
      <c r="F40" s="7">
        <f>COUNTIFS('HR Track 1'!$M$5:$M$407,$A$38,'HR Track 1'!$AW$5:$AW$407,$C40,'HR Track 1'!$AY$5:$AY$407,$D40)</f>
        <v>0</v>
      </c>
      <c r="G40" s="7">
        <f>COUNTIFS('HR Track 2'!$M$5:$M$405,$A$38,'HR Track 2'!$AW$5:$AW$405,$C40,'HR Track 2'!$AY$5:$AY$405,$D40)</f>
        <v>0</v>
      </c>
      <c r="H40" s="7">
        <f>COUNTIFS('HR Track 3 ZIC'!$M$5:$M$74,$A$38,'HR Track 3 ZIC'!$AW$5:$AW$74,$C40,'HR Track 3 ZIC'!$AY$5:$AY$74,$D40)</f>
        <v>0</v>
      </c>
      <c r="I40" s="7">
        <f>COUNTIFS('HR Track 4 ZIC'!$M$5:$M$45,$A$38,'HR Track 4 ZIC'!$AW$5:$AW$45,$C40,'HR Track 4 ZIC'!$AY$5:$AY$45,$D40)</f>
        <v>0</v>
      </c>
      <c r="J40" s="7">
        <f>COUNTIFS('HR Track 4 BIN'!$M$5:$M$45,$A$38,'HR Track 4 BIN'!$AW$5:$AW$45,$C40,'HR Track 4 BIN'!$AY$5:$AY$45,$D40)</f>
        <v>0</v>
      </c>
      <c r="K40" s="315">
        <f>COUNTIFS('HR Track 5 BIN'!$M$5:$M$39,$A$38,'HR Track 5 BIN'!$AW$5:$AW$39,$C40,'HR Track 5 BIN'!$AY$5:$AY$39,$D40)</f>
        <v>0</v>
      </c>
      <c r="L40" s="1103"/>
    </row>
    <row r="41" spans="1:12" ht="19.899999999999999" customHeight="1">
      <c r="A41" s="1024"/>
      <c r="B41" s="1013"/>
      <c r="C41" s="153" t="s">
        <v>2280</v>
      </c>
      <c r="D41" s="11" t="str">
        <f>VLOOKUP(B38,Foundation_Calc!$K$4:$R$37,6,FALSE)</f>
        <v>N.D.</v>
      </c>
      <c r="E41" s="7">
        <f t="shared" si="1"/>
        <v>0</v>
      </c>
      <c r="F41" s="7">
        <f>COUNTIFS('HR Track 1'!$M$5:$M$407,$A$38,'HR Track 1'!$AW$5:$AW$407,$C41,'HR Track 1'!$AY$5:$AY$407,$D41)</f>
        <v>0</v>
      </c>
      <c r="G41" s="7">
        <f>COUNTIFS('HR Track 2'!$M$5:$M$405,$A$38,'HR Track 2'!$AW$5:$AW$405,$C41,'HR Track 2'!$AY$5:$AY$405,$D41)</f>
        <v>0</v>
      </c>
      <c r="H41" s="7">
        <f>COUNTIFS('HR Track 3 ZIC'!$M$5:$M$74,$A$38,'HR Track 3 ZIC'!$AW$5:$AW$74,$C41,'HR Track 3 ZIC'!$AY$5:$AY$74,$D41)</f>
        <v>0</v>
      </c>
      <c r="I41" s="7">
        <f>COUNTIFS('HR Track 4 ZIC'!$M$5:$M$45,$A$38,'HR Track 4 ZIC'!$AW$5:$AW$45,$C41,'HR Track 4 ZIC'!$AY$5:$AY$45,$D41)</f>
        <v>0</v>
      </c>
      <c r="J41" s="7">
        <f>COUNTIFS('HR Track 4 BIN'!$M$5:$M$45,$A$38,'HR Track 4 BIN'!$AW$5:$AW$45,$C41,'HR Track 4 BIN'!$AY$5:$AY$45,$D41)</f>
        <v>0</v>
      </c>
      <c r="K41" s="315">
        <f>COUNTIFS('HR Track 5 BIN'!$M$5:$M$39,$A$38,'HR Track 5 BIN'!$AW$5:$AW$39,$C41,'HR Track 5 BIN'!$AY$5:$AY$39,$D41)</f>
        <v>0</v>
      </c>
      <c r="L41" s="1103"/>
    </row>
    <row r="42" spans="1:12" ht="19.899999999999999" customHeight="1">
      <c r="A42" s="1024"/>
      <c r="B42" s="1013"/>
      <c r="C42" s="153" t="s">
        <v>2281</v>
      </c>
      <c r="D42" s="11" t="str">
        <f>VLOOKUP(B38,Foundation_Calc!$K$4:$R$37,7,FALSE)</f>
        <v>N.D.</v>
      </c>
      <c r="E42" s="7">
        <f t="shared" si="1"/>
        <v>0</v>
      </c>
      <c r="F42" s="7">
        <f>COUNTIFS('HR Track 1'!$M$5:$M$407,$A$38,'HR Track 1'!$AW$5:$AW$407,$C42,'HR Track 1'!$AY$5:$AY$407,$D42)</f>
        <v>0</v>
      </c>
      <c r="G42" s="7">
        <f>COUNTIFS('HR Track 2'!$M$5:$M$405,$A$38,'HR Track 2'!$AW$5:$AW$405,$C42,'HR Track 2'!$AY$5:$AY$405,$D42)</f>
        <v>0</v>
      </c>
      <c r="H42" s="7">
        <f>COUNTIFS('HR Track 3 ZIC'!$M$5:$M$74,$A$38,'HR Track 3 ZIC'!$AW$5:$AW$74,$C42,'HR Track 3 ZIC'!$AY$5:$AY$74,$D42)</f>
        <v>0</v>
      </c>
      <c r="I42" s="7">
        <f>COUNTIFS('HR Track 4 ZIC'!$M$5:$M$45,$A$38,'HR Track 4 ZIC'!$AW$5:$AW$45,$C42,'HR Track 4 ZIC'!$AY$5:$AY$45,$D42)</f>
        <v>0</v>
      </c>
      <c r="J42" s="7">
        <f>COUNTIFS('HR Track 4 BIN'!$M$5:$M$45,$A$38,'HR Track 4 BIN'!$AW$5:$AW$45,$C42,'HR Track 4 BIN'!$AY$5:$AY$45,$D42)</f>
        <v>0</v>
      </c>
      <c r="K42" s="315">
        <f>COUNTIFS('HR Track 5 BIN'!$M$5:$M$39,$A$38,'HR Track 5 BIN'!$AW$5:$AW$39,$C42,'HR Track 5 BIN'!$AY$5:$AY$39,$D42)</f>
        <v>0</v>
      </c>
      <c r="L42" s="1103"/>
    </row>
    <row r="43" spans="1:12" ht="19.899999999999999" customHeight="1" thickBot="1">
      <c r="A43" s="1025"/>
      <c r="B43" s="1014"/>
      <c r="C43" s="316" t="s">
        <v>2282</v>
      </c>
      <c r="D43" s="317" t="str">
        <f>VLOOKUP(B38,Foundation_Calc!$K$4:$R$37,8,FALSE)</f>
        <v>N.D.</v>
      </c>
      <c r="E43" s="318">
        <f t="shared" si="1"/>
        <v>0</v>
      </c>
      <c r="F43" s="318">
        <f>COUNTIFS('HR Track 1'!$M$5:$M$407,$A$38,'HR Track 1'!$AW$5:$AW$407,$C43,'HR Track 1'!$AY$5:$AY$407,$D43)</f>
        <v>0</v>
      </c>
      <c r="G43" s="318">
        <f>COUNTIFS('HR Track 2'!$M$5:$M$405,$A$38,'HR Track 2'!$AW$5:$AW$405,$C43,'HR Track 2'!$AY$5:$AY$405,$D43)</f>
        <v>0</v>
      </c>
      <c r="H43" s="318">
        <f>COUNTIFS('HR Track 3 ZIC'!$M$5:$M$74,$A$38,'HR Track 3 ZIC'!$AW$5:$AW$74,$C43,'HR Track 3 ZIC'!$AY$5:$AY$74,$D43)</f>
        <v>0</v>
      </c>
      <c r="I43" s="318">
        <f>COUNTIFS('HR Track 4 ZIC'!$M$5:$M$45,$A$38,'HR Track 4 ZIC'!$AW$5:$AW$45,$C43,'HR Track 4 ZIC'!$AY$5:$AY$45,$D43)</f>
        <v>0</v>
      </c>
      <c r="J43" s="318">
        <f>COUNTIFS('HR Track 4 BIN'!$M$5:$M$45,$A$38,'HR Track 4 BIN'!$AW$5:$AW$45,$C43,'HR Track 4 BIN'!$AY$5:$AY$45,$D43)</f>
        <v>0</v>
      </c>
      <c r="K43" s="319">
        <f>COUNTIFS('HR Track 5 BIN'!$M$5:$M$39,$A$38,'HR Track 5 BIN'!$AW$5:$AW$39,$C43,'HR Track 5 BIN'!$AY$5:$AY$39,$D43)</f>
        <v>0</v>
      </c>
      <c r="L43" s="1104"/>
    </row>
    <row r="44" spans="1:12" ht="19.899999999999999" customHeight="1">
      <c r="A44" s="1108" t="s">
        <v>2352</v>
      </c>
      <c r="B44" s="1111" t="s">
        <v>398</v>
      </c>
      <c r="C44" s="311" t="s">
        <v>2407</v>
      </c>
      <c r="D44" s="320" t="str">
        <f>VLOOKUP(B44,Foundation_Calc!$K$41:$R$74,3,FALSE)</f>
        <v>N.D.</v>
      </c>
      <c r="E44" s="313">
        <f t="shared" si="1"/>
        <v>0</v>
      </c>
      <c r="F44" s="313">
        <f>COUNTIFS('HR Track 1'!$M$5:$M$407,$A$44,'HR Track 1'!$AW$5:$AW$407,$C44,'HR Track 1'!$AY$5:$AY$407,$D44)</f>
        <v>0</v>
      </c>
      <c r="G44" s="313">
        <f>COUNTIFS('HR Track 2'!$M$5:$M$405,$A$44,'HR Track 2'!$AW$5:$AW$405,$C44,'HR Track 2'!$AY$5:$AY$405,$D44)</f>
        <v>0</v>
      </c>
      <c r="H44" s="313">
        <f>COUNTIFS('HR Track 3 ZIC'!$M$5:$M$74,$A$44,'HR Track 3 ZIC'!$AW$5:$AW$74,$C44,'HR Track 3 ZIC'!$AY$5:$AY$74,$D44)</f>
        <v>0</v>
      </c>
      <c r="I44" s="313">
        <f>COUNTIFS('HR Track 4 ZIC'!$M$5:$M$45,$A$44,'HR Track 4 ZIC'!$AW$5:$AW$45,$C44,'HR Track 4 ZIC'!$AY$5:$AY$45,$D44)</f>
        <v>0</v>
      </c>
      <c r="J44" s="313">
        <f>COUNTIFS('HR Track 4 BIN'!$M$5:$M$45,$A$44,'HR Track 4 BIN'!$AW$5:$AW$45,$C44,'HR Track 4 BIN'!$AY$5:$AY$45,$D44)</f>
        <v>0</v>
      </c>
      <c r="K44" s="314">
        <f>COUNTIFS('HR Track 5 BIN'!$M$5:$M$39,$A$44,'HR Track 5 BIN'!$AW$5:$AW$39,$C44,'HR Track 5 BIN'!$AY$5:$AY$39,$D44)</f>
        <v>0</v>
      </c>
      <c r="L44" s="1105" t="s">
        <v>181</v>
      </c>
    </row>
    <row r="45" spans="1:12" ht="19.899999999999999" customHeight="1">
      <c r="A45" s="1109"/>
      <c r="B45" s="1112"/>
      <c r="C45" s="153" t="s">
        <v>2408</v>
      </c>
      <c r="D45" s="291" t="str">
        <f>VLOOKUP(B44,Foundation_Calc!$K$41:$R$74,4,FALSE)</f>
        <v>N.D.</v>
      </c>
      <c r="E45" s="7">
        <f t="shared" si="1"/>
        <v>0</v>
      </c>
      <c r="F45" s="7">
        <f>COUNTIFS('HR Track 1'!$M$5:$M$407,$A$44,'HR Track 1'!$AW$5:$AW$407,$C45,'HR Track 1'!$AY$5:$AY$407,$D45)</f>
        <v>0</v>
      </c>
      <c r="G45" s="7">
        <f>COUNTIFS('HR Track 2'!$M$5:$M$405,$A$44,'HR Track 2'!$AW$5:$AW$405,$C45,'HR Track 2'!$AY$5:$AY$405,$D45)</f>
        <v>0</v>
      </c>
      <c r="H45" s="7">
        <f>COUNTIFS('HR Track 3 ZIC'!$M$5:$M$74,$A$44,'HR Track 3 ZIC'!$AW$5:$AW$74,$C45,'HR Track 3 ZIC'!$AY$5:$AY$74,$D45)</f>
        <v>0</v>
      </c>
      <c r="I45" s="7">
        <f>COUNTIFS('HR Track 4 ZIC'!$M$5:$M$45,$A$44,'HR Track 4 ZIC'!$AW$5:$AW$45,$C45,'HR Track 4 ZIC'!$AY$5:$AY$45,$D45)</f>
        <v>0</v>
      </c>
      <c r="J45" s="7">
        <f>COUNTIFS('HR Track 4 BIN'!$M$5:$M$45,$A$44,'HR Track 4 BIN'!$AW$5:$AW$45,$C45,'HR Track 4 BIN'!$AY$5:$AY$45,$D45)</f>
        <v>0</v>
      </c>
      <c r="K45" s="315">
        <f>COUNTIFS('HR Track 5 BIN'!$M$5:$M$39,$A$44,'HR Track 5 BIN'!$AW$5:$AW$39,$C45,'HR Track 5 BIN'!$AY$5:$AY$39,$D45)</f>
        <v>0</v>
      </c>
      <c r="L45" s="1106"/>
    </row>
    <row r="46" spans="1:12" ht="19.899999999999999" customHeight="1">
      <c r="A46" s="1109"/>
      <c r="B46" s="1112"/>
      <c r="C46" s="153" t="s">
        <v>2409</v>
      </c>
      <c r="D46" s="291" t="str">
        <f>VLOOKUP(B44,Foundation_Calc!$K$41:$R$74,5,FALSE)</f>
        <v>N.D.</v>
      </c>
      <c r="E46" s="7">
        <f t="shared" si="1"/>
        <v>0</v>
      </c>
      <c r="F46" s="7">
        <f>COUNTIFS('HR Track 1'!$M$5:$M$407,$A$44,'HR Track 1'!$AW$5:$AW$407,$C46,'HR Track 1'!$AY$5:$AY$407,$D46)</f>
        <v>0</v>
      </c>
      <c r="G46" s="7">
        <f>COUNTIFS('HR Track 2'!$M$5:$M$405,$A$44,'HR Track 2'!$AW$5:$AW$405,$C46,'HR Track 2'!$AY$5:$AY$405,$D46)</f>
        <v>0</v>
      </c>
      <c r="H46" s="7">
        <f>COUNTIFS('HR Track 3 ZIC'!$M$5:$M$74,$A$44,'HR Track 3 ZIC'!$AW$5:$AW$74,$C46,'HR Track 3 ZIC'!$AY$5:$AY$74,$D46)</f>
        <v>0</v>
      </c>
      <c r="I46" s="7">
        <f>COUNTIFS('HR Track 4 ZIC'!$M$5:$M$45,$A$44,'HR Track 4 ZIC'!$AW$5:$AW$45,$C46,'HR Track 4 ZIC'!$AY$5:$AY$45,$D46)</f>
        <v>0</v>
      </c>
      <c r="J46" s="7">
        <f>COUNTIFS('HR Track 4 BIN'!$M$5:$M$45,$A$44,'HR Track 4 BIN'!$AW$5:$AW$45,$C46,'HR Track 4 BIN'!$AY$5:$AY$45,$D46)</f>
        <v>0</v>
      </c>
      <c r="K46" s="315">
        <f>COUNTIFS('HR Track 5 BIN'!$M$5:$M$39,$A$44,'HR Track 5 BIN'!$AW$5:$AW$39,$C46,'HR Track 5 BIN'!$AY$5:$AY$39,$D46)</f>
        <v>0</v>
      </c>
      <c r="L46" s="1106"/>
    </row>
    <row r="47" spans="1:12" ht="19.899999999999999" customHeight="1">
      <c r="A47" s="1109"/>
      <c r="B47" s="1112"/>
      <c r="C47" s="153" t="s">
        <v>2280</v>
      </c>
      <c r="D47" s="291" t="str">
        <f>VLOOKUP(B44,Foundation_Calc!$K$41:$R$74,6,FALSE)</f>
        <v>N.D.</v>
      </c>
      <c r="E47" s="7">
        <f t="shared" si="1"/>
        <v>0</v>
      </c>
      <c r="F47" s="7">
        <f>COUNTIFS('HR Track 1'!$M$5:$M$407,$A$44,'HR Track 1'!$AW$5:$AW$407,$C47,'HR Track 1'!$AY$5:$AY$407,$D47)</f>
        <v>0</v>
      </c>
      <c r="G47" s="7">
        <f>COUNTIFS('HR Track 2'!$M$5:$M$405,$A$44,'HR Track 2'!$AW$5:$AW$405,$C47,'HR Track 2'!$AY$5:$AY$405,$D47)</f>
        <v>0</v>
      </c>
      <c r="H47" s="7">
        <f>COUNTIFS('HR Track 3 ZIC'!$M$5:$M$74,$A$44,'HR Track 3 ZIC'!$AW$5:$AW$74,$C47,'HR Track 3 ZIC'!$AY$5:$AY$74,$D47)</f>
        <v>0</v>
      </c>
      <c r="I47" s="7">
        <f>COUNTIFS('HR Track 4 ZIC'!$M$5:$M$45,$A$44,'HR Track 4 ZIC'!$AW$5:$AW$45,$C47,'HR Track 4 ZIC'!$AY$5:$AY$45,$D47)</f>
        <v>0</v>
      </c>
      <c r="J47" s="7">
        <f>COUNTIFS('HR Track 4 BIN'!$M$5:$M$45,$A$44,'HR Track 4 BIN'!$AW$5:$AW$45,$C47,'HR Track 4 BIN'!$AY$5:$AY$45,$D47)</f>
        <v>0</v>
      </c>
      <c r="K47" s="315">
        <f>COUNTIFS('HR Track 5 BIN'!$M$5:$M$39,$A$44,'HR Track 5 BIN'!$AW$5:$AW$39,$C47,'HR Track 5 BIN'!$AY$5:$AY$39,$D47)</f>
        <v>0</v>
      </c>
      <c r="L47" s="1106"/>
    </row>
    <row r="48" spans="1:12" ht="19.899999999999999" customHeight="1">
      <c r="A48" s="1109"/>
      <c r="B48" s="1112"/>
      <c r="C48" s="153" t="s">
        <v>2281</v>
      </c>
      <c r="D48" s="291" t="str">
        <f>VLOOKUP(B44,Foundation_Calc!$K$41:$R$74,7,FALSE)</f>
        <v>N.D.</v>
      </c>
      <c r="E48" s="7">
        <f t="shared" si="1"/>
        <v>0</v>
      </c>
      <c r="F48" s="7">
        <f>COUNTIFS('HR Track 1'!$M$5:$M$407,$A$44,'HR Track 1'!$AW$5:$AW$407,$C48,'HR Track 1'!$AY$5:$AY$407,$D48)</f>
        <v>0</v>
      </c>
      <c r="G48" s="7">
        <f>COUNTIFS('HR Track 2'!$M$5:$M$405,$A$44,'HR Track 2'!$AW$5:$AW$405,$C48,'HR Track 2'!$AY$5:$AY$405,$D48)</f>
        <v>0</v>
      </c>
      <c r="H48" s="7">
        <f>COUNTIFS('HR Track 3 ZIC'!$M$5:$M$74,$A$44,'HR Track 3 ZIC'!$AW$5:$AW$74,$C48,'HR Track 3 ZIC'!$AY$5:$AY$74,$D48)</f>
        <v>0</v>
      </c>
      <c r="I48" s="7">
        <f>COUNTIFS('HR Track 4 ZIC'!$M$5:$M$45,$A$44,'HR Track 4 ZIC'!$AW$5:$AW$45,$C48,'HR Track 4 ZIC'!$AY$5:$AY$45,$D48)</f>
        <v>0</v>
      </c>
      <c r="J48" s="7">
        <f>COUNTIFS('HR Track 4 BIN'!$M$5:$M$45,$A$44,'HR Track 4 BIN'!$AW$5:$AW$45,$C48,'HR Track 4 BIN'!$AY$5:$AY$45,$D48)</f>
        <v>0</v>
      </c>
      <c r="K48" s="315">
        <f>COUNTIFS('HR Track 5 BIN'!$M$5:$M$39,$A$44,'HR Track 5 BIN'!$AW$5:$AW$39,$C48,'HR Track 5 BIN'!$AY$5:$AY$39,$D48)</f>
        <v>0</v>
      </c>
      <c r="L48" s="1106"/>
    </row>
    <row r="49" spans="1:12" ht="19.899999999999999" customHeight="1" thickBot="1">
      <c r="A49" s="1110"/>
      <c r="B49" s="1113"/>
      <c r="C49" s="316" t="s">
        <v>2282</v>
      </c>
      <c r="D49" s="321" t="str">
        <f>VLOOKUP(B44,Foundation_Calc!$K$41:$R$74,8,FALSE)</f>
        <v>N.D.</v>
      </c>
      <c r="E49" s="318">
        <f t="shared" si="1"/>
        <v>0</v>
      </c>
      <c r="F49" s="318">
        <f>COUNTIFS('HR Track 1'!$M$5:$M$407,$A$44,'HR Track 1'!$AW$5:$AW$407,$C49,'HR Track 1'!$AY$5:$AY$407,$D49)</f>
        <v>0</v>
      </c>
      <c r="G49" s="318">
        <f>COUNTIFS('HR Track 2'!$M$5:$M$405,$A$44,'HR Track 2'!$AW$5:$AW$405,$C49,'HR Track 2'!$AY$5:$AY$405,$D49)</f>
        <v>0</v>
      </c>
      <c r="H49" s="318">
        <f>COUNTIFS('HR Track 3 ZIC'!$M$5:$M$74,$A$44,'HR Track 3 ZIC'!$AW$5:$AW$74,$C49,'HR Track 3 ZIC'!$AY$5:$AY$74,$D49)</f>
        <v>0</v>
      </c>
      <c r="I49" s="318">
        <f>COUNTIFS('HR Track 4 ZIC'!$M$5:$M$45,$A$44,'HR Track 4 ZIC'!$AW$5:$AW$45,$C49,'HR Track 4 ZIC'!$AY$5:$AY$45,$D49)</f>
        <v>0</v>
      </c>
      <c r="J49" s="318">
        <f>COUNTIFS('HR Track 4 BIN'!$M$5:$M$45,$A$44,'HR Track 4 BIN'!$AW$5:$AW$45,$C49,'HR Track 4 BIN'!$AY$5:$AY$45,$D49)</f>
        <v>0</v>
      </c>
      <c r="K49" s="319">
        <f>COUNTIFS('HR Track 5 BIN'!$M$5:$M$39,$A$44,'HR Track 5 BIN'!$AW$5:$AW$39,$C49,'HR Track 5 BIN'!$AY$5:$AY$39,$D49)</f>
        <v>0</v>
      </c>
      <c r="L49" s="1107"/>
    </row>
    <row r="50" spans="1:12" ht="19.899999999999999" customHeight="1">
      <c r="A50" s="1114" t="s">
        <v>2313</v>
      </c>
      <c r="B50" s="1115" t="s">
        <v>232</v>
      </c>
      <c r="C50" s="311" t="s">
        <v>2407</v>
      </c>
      <c r="D50" s="312" t="str">
        <f>VLOOKUP(B50,Foundation_Calc!$K$4:$R$37,3,FALSE)</f>
        <v>N.D.</v>
      </c>
      <c r="E50" s="313">
        <f t="shared" si="1"/>
        <v>0</v>
      </c>
      <c r="F50" s="313">
        <f>COUNTIFS('HR Track 1'!$M$5:$M$407,$A$50,'HR Track 1'!$AW$5:$AW$407,$C50,'HR Track 1'!$AY$5:$AY$407,$D50)</f>
        <v>0</v>
      </c>
      <c r="G50" s="313">
        <f>COUNTIFS('HR Track 2'!$M$5:$M$405,$A$50,'HR Track 2'!$AW$5:$AW$405,$C50,'HR Track 2'!$AY$5:$AY$405,$D50)</f>
        <v>0</v>
      </c>
      <c r="H50" s="313">
        <f>COUNTIFS('HR Track 3 ZIC'!$M$5:$M$74,$A$50,'HR Track 3 ZIC'!$AW$5:$AW$74,$C50,'HR Track 3 ZIC'!$AY$5:$AY$74,$D50)</f>
        <v>0</v>
      </c>
      <c r="I50" s="313">
        <f>COUNTIFS('HR Track 4 ZIC'!$M$5:$M$45,$A$50,'HR Track 4 ZIC'!$AW$5:$AW$45,$C50,'HR Track 4 ZIC'!$AY$5:$AY$45,$D50)</f>
        <v>0</v>
      </c>
      <c r="J50" s="313">
        <f>COUNTIFS('HR Track 4 BIN'!$M$5:$M$45,$A$50,'HR Track 4 BIN'!$AW$5:$AW$45,$C50,'HR Track 4 BIN'!$AY$5:$AY$45,$D50)</f>
        <v>0</v>
      </c>
      <c r="K50" s="314">
        <f>COUNTIFS('HR Track 5 BIN'!$M$5:$M$39,$A$50,'HR Track 5 BIN'!$AW$5:$AW$39,$C50,'HR Track 5 BIN'!$AY$5:$AY$39,$D50)</f>
        <v>0</v>
      </c>
    </row>
    <row r="51" spans="1:12" ht="19.899999999999999" customHeight="1">
      <c r="A51" s="1024"/>
      <c r="B51" s="1013"/>
      <c r="C51" s="153" t="s">
        <v>2408</v>
      </c>
      <c r="D51" s="11" t="str">
        <f>VLOOKUP(B50,Foundation_Calc!$K$4:$R$37,4,FALSE)</f>
        <v>N.D.</v>
      </c>
      <c r="E51" s="7">
        <f t="shared" si="1"/>
        <v>0</v>
      </c>
      <c r="F51" s="7">
        <f>COUNTIFS('HR Track 1'!$M$5:$M$407,$A$50,'HR Track 1'!$AW$5:$AW$407,$C51,'HR Track 1'!$AY$5:$AY$407,$D51)</f>
        <v>0</v>
      </c>
      <c r="G51" s="7">
        <f>COUNTIFS('HR Track 2'!$M$5:$M$405,$A$50,'HR Track 2'!$AW$5:$AW$405,$C51,'HR Track 2'!$AY$5:$AY$405,$D51)</f>
        <v>0</v>
      </c>
      <c r="H51" s="7">
        <f>COUNTIFS('HR Track 3 ZIC'!$M$5:$M$74,$A$50,'HR Track 3 ZIC'!$AW$5:$AW$74,$C51,'HR Track 3 ZIC'!$AY$5:$AY$74,$D51)</f>
        <v>0</v>
      </c>
      <c r="I51" s="7">
        <f>COUNTIFS('HR Track 4 ZIC'!$M$5:$M$45,$A$50,'HR Track 4 ZIC'!$AW$5:$AW$45,$C51,'HR Track 4 ZIC'!$AY$5:$AY$45,$D51)</f>
        <v>0</v>
      </c>
      <c r="J51" s="7">
        <f>COUNTIFS('HR Track 4 BIN'!$M$5:$M$45,$A$50,'HR Track 4 BIN'!$AW$5:$AW$45,$C51,'HR Track 4 BIN'!$AY$5:$AY$45,$D51)</f>
        <v>0</v>
      </c>
      <c r="K51" s="315">
        <f>COUNTIFS('HR Track 5 BIN'!$M$5:$M$39,$A$50,'HR Track 5 BIN'!$AW$5:$AW$39,$C51,'HR Track 5 BIN'!$AY$5:$AY$39,$D51)</f>
        <v>0</v>
      </c>
    </row>
    <row r="52" spans="1:12" ht="19.899999999999999" customHeight="1">
      <c r="A52" s="1024"/>
      <c r="B52" s="1013"/>
      <c r="C52" s="153" t="s">
        <v>2409</v>
      </c>
      <c r="D52" s="11" t="str">
        <f>VLOOKUP(B50,Foundation_Calc!$K$4:$R$37,5,FALSE)</f>
        <v>N.D.</v>
      </c>
      <c r="E52" s="7">
        <f t="shared" si="1"/>
        <v>0</v>
      </c>
      <c r="F52" s="7">
        <f>COUNTIFS('HR Track 1'!$M$5:$M$407,$A$50,'HR Track 1'!$AW$5:$AW$407,$C52,'HR Track 1'!$AY$5:$AY$407,$D52)</f>
        <v>0</v>
      </c>
      <c r="G52" s="7">
        <f>COUNTIFS('HR Track 2'!$M$5:$M$405,$A$50,'HR Track 2'!$AW$5:$AW$405,$C52,'HR Track 2'!$AY$5:$AY$405,$D52)</f>
        <v>0</v>
      </c>
      <c r="H52" s="7">
        <f>COUNTIFS('HR Track 3 ZIC'!$M$5:$M$74,$A$50,'HR Track 3 ZIC'!$AW$5:$AW$74,$C52,'HR Track 3 ZIC'!$AY$5:$AY$74,$D52)</f>
        <v>0</v>
      </c>
      <c r="I52" s="7">
        <f>COUNTIFS('HR Track 4 ZIC'!$M$5:$M$45,$A$50,'HR Track 4 ZIC'!$AW$5:$AW$45,$C52,'HR Track 4 ZIC'!$AY$5:$AY$45,$D52)</f>
        <v>0</v>
      </c>
      <c r="J52" s="7">
        <f>COUNTIFS('HR Track 4 BIN'!$M$5:$M$45,$A$50,'HR Track 4 BIN'!$AW$5:$AW$45,$C52,'HR Track 4 BIN'!$AY$5:$AY$45,$D52)</f>
        <v>0</v>
      </c>
      <c r="K52" s="315">
        <f>COUNTIFS('HR Track 5 BIN'!$M$5:$M$39,$A$50,'HR Track 5 BIN'!$AW$5:$AW$39,$C52,'HR Track 5 BIN'!$AY$5:$AY$39,$D52)</f>
        <v>0</v>
      </c>
    </row>
    <row r="53" spans="1:12" ht="19.899999999999999" customHeight="1">
      <c r="A53" s="1024"/>
      <c r="B53" s="1013"/>
      <c r="C53" s="153" t="s">
        <v>2280</v>
      </c>
      <c r="D53" s="11" t="str">
        <f>VLOOKUP(B50,Foundation_Calc!$K$4:$R$37,6,FALSE)</f>
        <v>N.D.</v>
      </c>
      <c r="E53" s="7">
        <f t="shared" si="1"/>
        <v>0</v>
      </c>
      <c r="F53" s="7">
        <f>COUNTIFS('HR Track 1'!$M$5:$M$407,$A$50,'HR Track 1'!$AW$5:$AW$407,$C53,'HR Track 1'!$AY$5:$AY$407,$D53)</f>
        <v>0</v>
      </c>
      <c r="G53" s="7">
        <f>COUNTIFS('HR Track 2'!$M$5:$M$405,$A$50,'HR Track 2'!$AW$5:$AW$405,$C53,'HR Track 2'!$AY$5:$AY$405,$D53)</f>
        <v>0</v>
      </c>
      <c r="H53" s="7">
        <f>COUNTIFS('HR Track 3 ZIC'!$M$5:$M$74,$A$50,'HR Track 3 ZIC'!$AW$5:$AW$74,$C53,'HR Track 3 ZIC'!$AY$5:$AY$74,$D53)</f>
        <v>0</v>
      </c>
      <c r="I53" s="7">
        <f>COUNTIFS('HR Track 4 ZIC'!$M$5:$M$45,$A$50,'HR Track 4 ZIC'!$AW$5:$AW$45,$C53,'HR Track 4 ZIC'!$AY$5:$AY$45,$D53)</f>
        <v>0</v>
      </c>
      <c r="J53" s="7">
        <f>COUNTIFS('HR Track 4 BIN'!$M$5:$M$45,$A$50,'HR Track 4 BIN'!$AW$5:$AW$45,$C53,'HR Track 4 BIN'!$AY$5:$AY$45,$D53)</f>
        <v>0</v>
      </c>
      <c r="K53" s="315">
        <f>COUNTIFS('HR Track 5 BIN'!$M$5:$M$39,$A$50,'HR Track 5 BIN'!$AW$5:$AW$39,$C53,'HR Track 5 BIN'!$AY$5:$AY$39,$D53)</f>
        <v>0</v>
      </c>
    </row>
    <row r="54" spans="1:12" ht="19.899999999999999" customHeight="1">
      <c r="A54" s="1024"/>
      <c r="B54" s="1013"/>
      <c r="C54" s="153" t="s">
        <v>2281</v>
      </c>
      <c r="D54" s="11" t="str">
        <f>VLOOKUP(B50,Foundation_Calc!$K$4:$R$37,7,FALSE)</f>
        <v>N.D.</v>
      </c>
      <c r="E54" s="7">
        <f t="shared" si="1"/>
        <v>0</v>
      </c>
      <c r="F54" s="7">
        <f>COUNTIFS('HR Track 1'!$M$5:$M$407,$A$50,'HR Track 1'!$AW$5:$AW$407,$C54,'HR Track 1'!$AY$5:$AY$407,$D54)</f>
        <v>0</v>
      </c>
      <c r="G54" s="7">
        <f>COUNTIFS('HR Track 2'!$M$5:$M$405,$A$50,'HR Track 2'!$AW$5:$AW$405,$C54,'HR Track 2'!$AY$5:$AY$405,$D54)</f>
        <v>0</v>
      </c>
      <c r="H54" s="7">
        <f>COUNTIFS('HR Track 3 ZIC'!$M$5:$M$74,$A$50,'HR Track 3 ZIC'!$AW$5:$AW$74,$C54,'HR Track 3 ZIC'!$AY$5:$AY$74,$D54)</f>
        <v>0</v>
      </c>
      <c r="I54" s="7">
        <f>COUNTIFS('HR Track 4 ZIC'!$M$5:$M$45,$A$50,'HR Track 4 ZIC'!$AW$5:$AW$45,$C54,'HR Track 4 ZIC'!$AY$5:$AY$45,$D54)</f>
        <v>0</v>
      </c>
      <c r="J54" s="7">
        <f>COUNTIFS('HR Track 4 BIN'!$M$5:$M$45,$A$50,'HR Track 4 BIN'!$AW$5:$AW$45,$C54,'HR Track 4 BIN'!$AY$5:$AY$45,$D54)</f>
        <v>0</v>
      </c>
      <c r="K54" s="315">
        <f>COUNTIFS('HR Track 5 BIN'!$M$5:$M$39,$A$50,'HR Track 5 BIN'!$AW$5:$AW$39,$C54,'HR Track 5 BIN'!$AY$5:$AY$39,$D54)</f>
        <v>0</v>
      </c>
    </row>
    <row r="55" spans="1:12" ht="19.899999999999999" customHeight="1" thickBot="1">
      <c r="A55" s="1025"/>
      <c r="B55" s="1014"/>
      <c r="C55" s="316" t="s">
        <v>2282</v>
      </c>
      <c r="D55" s="317" t="str">
        <f>VLOOKUP(B50,Foundation_Calc!$K$4:$R$37,8,FALSE)</f>
        <v>N.D.</v>
      </c>
      <c r="E55" s="318">
        <f t="shared" si="1"/>
        <v>0</v>
      </c>
      <c r="F55" s="318">
        <f>COUNTIFS('HR Track 1'!$M$5:$M$407,$A$50,'HR Track 1'!$AW$5:$AW$407,$C55,'HR Track 1'!$AY$5:$AY$407,$D55)</f>
        <v>0</v>
      </c>
      <c r="G55" s="318">
        <f>COUNTIFS('HR Track 2'!$M$5:$M$405,$A$50,'HR Track 2'!$AW$5:$AW$405,$C55,'HR Track 2'!$AY$5:$AY$405,$D55)</f>
        <v>0</v>
      </c>
      <c r="H55" s="318">
        <f>COUNTIFS('HR Track 3 ZIC'!$M$5:$M$74,$A$50,'HR Track 3 ZIC'!$AW$5:$AW$74,$C55,'HR Track 3 ZIC'!$AY$5:$AY$74,$D55)</f>
        <v>0</v>
      </c>
      <c r="I55" s="318">
        <f>COUNTIFS('HR Track 4 ZIC'!$M$5:$M$45,$A$50,'HR Track 4 ZIC'!$AW$5:$AW$45,$C55,'HR Track 4 ZIC'!$AY$5:$AY$45,$D55)</f>
        <v>0</v>
      </c>
      <c r="J55" s="318">
        <f>COUNTIFS('HR Track 4 BIN'!$M$5:$M$45,$A$50,'HR Track 4 BIN'!$AW$5:$AW$45,$C55,'HR Track 4 BIN'!$AY$5:$AY$45,$D55)</f>
        <v>0</v>
      </c>
      <c r="K55" s="319">
        <f>COUNTIFS('HR Track 5 BIN'!$M$5:$M$39,$A$50,'HR Track 5 BIN'!$AW$5:$AW$39,$C55,'HR Track 5 BIN'!$AY$5:$AY$39,$D55)</f>
        <v>0</v>
      </c>
    </row>
    <row r="56" spans="1:12" ht="19.899999999999999" customHeight="1">
      <c r="A56" s="1108" t="s">
        <v>2352</v>
      </c>
      <c r="B56" s="1111" t="s">
        <v>232</v>
      </c>
      <c r="C56" s="311" t="s">
        <v>2407</v>
      </c>
      <c r="D56" s="320" t="str">
        <f>VLOOKUP(B56,Foundation_Calc!$K$41:$R$74,3,FALSE)</f>
        <v>N.D.</v>
      </c>
      <c r="E56" s="313">
        <f t="shared" si="1"/>
        <v>0</v>
      </c>
      <c r="F56" s="313">
        <f>COUNTIFS('HR Track 1'!$M$5:$M$407,$A$56,'HR Track 1'!$AW$5:$AW$407,$C56,'HR Track 1'!$AY$5:$AY$407,$D56)</f>
        <v>0</v>
      </c>
      <c r="G56" s="313">
        <f>COUNTIFS('HR Track 2'!$M$5:$M$405,$A$56,'HR Track 2'!$AW$5:$AW$405,$C56,'HR Track 2'!$AY$5:$AY$405,$D56)</f>
        <v>0</v>
      </c>
      <c r="H56" s="313">
        <f>COUNTIFS('HR Track 3 ZIC'!$M$5:$M$74,$A$56,'HR Track 3 ZIC'!$AW$5:$AW$74,$C56,'HR Track 3 ZIC'!$AY$5:$AY$74,$D56)</f>
        <v>0</v>
      </c>
      <c r="I56" s="313">
        <f>COUNTIFS('HR Track 4 ZIC'!$M$5:$M$45,$A$56,'HR Track 4 ZIC'!$AW$5:$AW$45,$C56,'HR Track 4 ZIC'!$AY$5:$AY$45,$D56)</f>
        <v>0</v>
      </c>
      <c r="J56" s="313">
        <f>COUNTIFS('HR Track 4 BIN'!$M$5:$M$45,$A$56,'HR Track 4 BIN'!$AW$5:$AW$45,$C56,'HR Track 4 BIN'!$AY$5:$AY$45,$D56)</f>
        <v>0</v>
      </c>
      <c r="K56" s="314">
        <f>COUNTIFS('HR Track 5 BIN'!$M$5:$M$39,$A$56,'HR Track 5 BIN'!$AW$5:$AW$39,$C56,'HR Track 5 BIN'!$AY$5:$AY$39,$D56)</f>
        <v>0</v>
      </c>
    </row>
    <row r="57" spans="1:12" ht="19.899999999999999" customHeight="1">
      <c r="A57" s="1109"/>
      <c r="B57" s="1112"/>
      <c r="C57" s="153" t="s">
        <v>2408</v>
      </c>
      <c r="D57" s="291" t="str">
        <f>VLOOKUP(B56,Foundation_Calc!$K$41:$R$74,4,FALSE)</f>
        <v>N.D.</v>
      </c>
      <c r="E57" s="7">
        <f t="shared" si="1"/>
        <v>0</v>
      </c>
      <c r="F57" s="7">
        <f>COUNTIFS('HR Track 1'!$M$5:$M$407,$A$56,'HR Track 1'!$AW$5:$AW$407,$C57,'HR Track 1'!$AY$5:$AY$407,$D57)</f>
        <v>0</v>
      </c>
      <c r="G57" s="7">
        <f>COUNTIFS('HR Track 2'!$M$5:$M$405,$A$56,'HR Track 2'!$AW$5:$AW$405,$C57,'HR Track 2'!$AY$5:$AY$405,$D57)</f>
        <v>0</v>
      </c>
      <c r="H57" s="7">
        <f>COUNTIFS('HR Track 3 ZIC'!$M$5:$M$74,$A$56,'HR Track 3 ZIC'!$AW$5:$AW$74,$C57,'HR Track 3 ZIC'!$AY$5:$AY$74,$D57)</f>
        <v>0</v>
      </c>
      <c r="I57" s="7">
        <f>COUNTIFS('HR Track 4 ZIC'!$M$5:$M$45,$A$56,'HR Track 4 ZIC'!$AW$5:$AW$45,$C57,'HR Track 4 ZIC'!$AY$5:$AY$45,$D57)</f>
        <v>0</v>
      </c>
      <c r="J57" s="7">
        <f>COUNTIFS('HR Track 4 BIN'!$M$5:$M$45,$A$56,'HR Track 4 BIN'!$AW$5:$AW$45,$C57,'HR Track 4 BIN'!$AY$5:$AY$45,$D57)</f>
        <v>0</v>
      </c>
      <c r="K57" s="315">
        <f>COUNTIFS('HR Track 5 BIN'!$M$5:$M$39,$A$56,'HR Track 5 BIN'!$AW$5:$AW$39,$C57,'HR Track 5 BIN'!$AY$5:$AY$39,$D57)</f>
        <v>0</v>
      </c>
    </row>
    <row r="58" spans="1:12" ht="19.899999999999999" customHeight="1">
      <c r="A58" s="1109"/>
      <c r="B58" s="1112"/>
      <c r="C58" s="153" t="s">
        <v>2409</v>
      </c>
      <c r="D58" s="291" t="str">
        <f>VLOOKUP(B56,Foundation_Calc!$K$41:$R$74,5,FALSE)</f>
        <v>N.D.</v>
      </c>
      <c r="E58" s="7">
        <f t="shared" si="1"/>
        <v>0</v>
      </c>
      <c r="F58" s="7">
        <f>COUNTIFS('HR Track 1'!$M$5:$M$407,$A$56,'HR Track 1'!$AW$5:$AW$407,$C58,'HR Track 1'!$AY$5:$AY$407,$D58)</f>
        <v>0</v>
      </c>
      <c r="G58" s="7">
        <f>COUNTIFS('HR Track 2'!$M$5:$M$405,$A$56,'HR Track 2'!$AW$5:$AW$405,$C58,'HR Track 2'!$AY$5:$AY$405,$D58)</f>
        <v>0</v>
      </c>
      <c r="H58" s="7">
        <f>COUNTIFS('HR Track 3 ZIC'!$M$5:$M$74,$A$56,'HR Track 3 ZIC'!$AW$5:$AW$74,$C58,'HR Track 3 ZIC'!$AY$5:$AY$74,$D58)</f>
        <v>0</v>
      </c>
      <c r="I58" s="7">
        <f>COUNTIFS('HR Track 4 ZIC'!$M$5:$M$45,$A$56,'HR Track 4 ZIC'!$AW$5:$AW$45,$C58,'HR Track 4 ZIC'!$AY$5:$AY$45,$D58)</f>
        <v>0</v>
      </c>
      <c r="J58" s="7">
        <f>COUNTIFS('HR Track 4 BIN'!$M$5:$M$45,$A$56,'HR Track 4 BIN'!$AW$5:$AW$45,$C58,'HR Track 4 BIN'!$AY$5:$AY$45,$D58)</f>
        <v>0</v>
      </c>
      <c r="K58" s="315">
        <f>COUNTIFS('HR Track 5 BIN'!$M$5:$M$39,$A$56,'HR Track 5 BIN'!$AW$5:$AW$39,$C58,'HR Track 5 BIN'!$AY$5:$AY$39,$D58)</f>
        <v>0</v>
      </c>
    </row>
    <row r="59" spans="1:12" ht="19.899999999999999" customHeight="1">
      <c r="A59" s="1109"/>
      <c r="B59" s="1112"/>
      <c r="C59" s="153" t="s">
        <v>2280</v>
      </c>
      <c r="D59" s="291" t="str">
        <f>VLOOKUP(B56,Foundation_Calc!$K$41:$R$74,6,FALSE)</f>
        <v>N.D.</v>
      </c>
      <c r="E59" s="7">
        <f t="shared" si="1"/>
        <v>0</v>
      </c>
      <c r="F59" s="7">
        <f>COUNTIFS('HR Track 1'!$M$5:$M$407,$A$56,'HR Track 1'!$AW$5:$AW$407,$C59,'HR Track 1'!$AY$5:$AY$407,$D59)</f>
        <v>0</v>
      </c>
      <c r="G59" s="7">
        <f>COUNTIFS('HR Track 2'!$M$5:$M$405,$A$56,'HR Track 2'!$AW$5:$AW$405,$C59,'HR Track 2'!$AY$5:$AY$405,$D59)</f>
        <v>0</v>
      </c>
      <c r="H59" s="7">
        <f>COUNTIFS('HR Track 3 ZIC'!$M$5:$M$74,$A$56,'HR Track 3 ZIC'!$AW$5:$AW$74,$C59,'HR Track 3 ZIC'!$AY$5:$AY$74,$D59)</f>
        <v>0</v>
      </c>
      <c r="I59" s="7">
        <f>COUNTIFS('HR Track 4 ZIC'!$M$5:$M$45,$A$56,'HR Track 4 ZIC'!$AW$5:$AW$45,$C59,'HR Track 4 ZIC'!$AY$5:$AY$45,$D59)</f>
        <v>0</v>
      </c>
      <c r="J59" s="7">
        <f>COUNTIFS('HR Track 4 BIN'!$M$5:$M$45,$A$56,'HR Track 4 BIN'!$AW$5:$AW$45,$C59,'HR Track 4 BIN'!$AY$5:$AY$45,$D59)</f>
        <v>0</v>
      </c>
      <c r="K59" s="315">
        <f>COUNTIFS('HR Track 5 BIN'!$M$5:$M$39,$A$56,'HR Track 5 BIN'!$AW$5:$AW$39,$C59,'HR Track 5 BIN'!$AY$5:$AY$39,$D59)</f>
        <v>0</v>
      </c>
    </row>
    <row r="60" spans="1:12" ht="19.899999999999999" customHeight="1">
      <c r="A60" s="1109"/>
      <c r="B60" s="1112"/>
      <c r="C60" s="153" t="s">
        <v>2281</v>
      </c>
      <c r="D60" s="291" t="str">
        <f>VLOOKUP(B56,Foundation_Calc!$K$41:$R$74,7,FALSE)</f>
        <v>N.D.</v>
      </c>
      <c r="E60" s="7">
        <f t="shared" si="1"/>
        <v>0</v>
      </c>
      <c r="F60" s="7">
        <f>COUNTIFS('HR Track 1'!$M$5:$M$407,$A$56,'HR Track 1'!$AW$5:$AW$407,$C60,'HR Track 1'!$AY$5:$AY$407,$D60)</f>
        <v>0</v>
      </c>
      <c r="G60" s="7">
        <f>COUNTIFS('HR Track 2'!$M$5:$M$405,$A$56,'HR Track 2'!$AW$5:$AW$405,$C60,'HR Track 2'!$AY$5:$AY$405,$D60)</f>
        <v>0</v>
      </c>
      <c r="H60" s="7">
        <f>COUNTIFS('HR Track 3 ZIC'!$M$5:$M$74,$A$56,'HR Track 3 ZIC'!$AW$5:$AW$74,$C60,'HR Track 3 ZIC'!$AY$5:$AY$74,$D60)</f>
        <v>0</v>
      </c>
      <c r="I60" s="7">
        <f>COUNTIFS('HR Track 4 ZIC'!$M$5:$M$45,$A$56,'HR Track 4 ZIC'!$AW$5:$AW$45,$C60,'HR Track 4 ZIC'!$AY$5:$AY$45,$D60)</f>
        <v>0</v>
      </c>
      <c r="J60" s="7">
        <f>COUNTIFS('HR Track 4 BIN'!$M$5:$M$45,$A$56,'HR Track 4 BIN'!$AW$5:$AW$45,$C60,'HR Track 4 BIN'!$AY$5:$AY$45,$D60)</f>
        <v>0</v>
      </c>
      <c r="K60" s="315">
        <f>COUNTIFS('HR Track 5 BIN'!$M$5:$M$39,$A$56,'HR Track 5 BIN'!$AW$5:$AW$39,$C60,'HR Track 5 BIN'!$AY$5:$AY$39,$D60)</f>
        <v>0</v>
      </c>
    </row>
    <row r="61" spans="1:12" ht="19.899999999999999" customHeight="1" thickBot="1">
      <c r="A61" s="1110"/>
      <c r="B61" s="1113"/>
      <c r="C61" s="316" t="s">
        <v>2282</v>
      </c>
      <c r="D61" s="321" t="str">
        <f>VLOOKUP(B56,Foundation_Calc!$K$41:$R$74,8,FALSE)</f>
        <v>N.D.</v>
      </c>
      <c r="E61" s="318">
        <f t="shared" si="1"/>
        <v>0</v>
      </c>
      <c r="F61" s="318">
        <f>COUNTIFS('HR Track 1'!$M$5:$M$407,$A$56,'HR Track 1'!$AW$5:$AW$407,$C61,'HR Track 1'!$AY$5:$AY$407,$D61)</f>
        <v>0</v>
      </c>
      <c r="G61" s="318">
        <f>COUNTIFS('HR Track 2'!$M$5:$M$405,$A$56,'HR Track 2'!$AW$5:$AW$405,$C61,'HR Track 2'!$AY$5:$AY$405,$D61)</f>
        <v>0</v>
      </c>
      <c r="H61" s="318">
        <f>COUNTIFS('HR Track 3 ZIC'!$M$5:$M$74,$A$56,'HR Track 3 ZIC'!$AW$5:$AW$74,$C61,'HR Track 3 ZIC'!$AY$5:$AY$74,$D61)</f>
        <v>0</v>
      </c>
      <c r="I61" s="318">
        <f>COUNTIFS('HR Track 4 ZIC'!$M$5:$M$45,$A$56,'HR Track 4 ZIC'!$AW$5:$AW$45,$C61,'HR Track 4 ZIC'!$AY$5:$AY$45,$D61)</f>
        <v>0</v>
      </c>
      <c r="J61" s="318">
        <f>COUNTIFS('HR Track 4 BIN'!$M$5:$M$45,$A$56,'HR Track 4 BIN'!$AW$5:$AW$45,$C61,'HR Track 4 BIN'!$AY$5:$AY$45,$D61)</f>
        <v>0</v>
      </c>
      <c r="K61" s="319">
        <f>COUNTIFS('HR Track 5 BIN'!$M$5:$M$39,$A$56,'HR Track 5 BIN'!$AW$5:$AW$39,$C61,'HR Track 5 BIN'!$AY$5:$AY$39,$D61)</f>
        <v>0</v>
      </c>
    </row>
    <row r="62" spans="1:12" ht="19.899999999999999" customHeight="1">
      <c r="A62" s="1114" t="s">
        <v>2362</v>
      </c>
      <c r="B62" s="1115" t="s">
        <v>1714</v>
      </c>
      <c r="C62" s="311" t="s">
        <v>2407</v>
      </c>
      <c r="D62" s="312" t="str">
        <f>VLOOKUP(B62,Foundation_Calc!$K$4:$R$37,3,FALSE)</f>
        <v>N.D.</v>
      </c>
      <c r="E62" s="313">
        <f t="shared" si="1"/>
        <v>0</v>
      </c>
      <c r="F62" s="313">
        <f>COUNTIFS('HR Track 1'!$M$5:$M$407,$A$62,'HR Track 1'!$AW$5:$AW$407,$C62,'HR Track 1'!$AY$5:$AY$407,$D62)</f>
        <v>0</v>
      </c>
      <c r="G62" s="313">
        <f>COUNTIFS('HR Track 2'!$M$5:$M$405,$A$62,'HR Track 2'!$AW$5:$AW$405,$C62,'HR Track 2'!$AY$5:$AY$405,$D62)</f>
        <v>0</v>
      </c>
      <c r="H62" s="313">
        <f>COUNTIFS('HR Track 3 ZIC'!$M$5:$M$74,$A$62,'HR Track 3 ZIC'!$AW$5:$AW$74,$C62,'HR Track 3 ZIC'!$AY$5:$AY$74,$D62)</f>
        <v>0</v>
      </c>
      <c r="I62" s="313">
        <f>COUNTIFS('HR Track 4 ZIC'!$M$5:$M$45,$A$62,'HR Track 4 ZIC'!$AW$5:$AW$45,$C62,'HR Track 4 ZIC'!$AY$5:$AY$45,$D62)</f>
        <v>0</v>
      </c>
      <c r="J62" s="313">
        <f>COUNTIFS('HR Track 4 BIN'!$M$5:$M$45,$A$62,'HR Track 4 BIN'!$AW$5:$AW$45,$C62,'HR Track 4 BIN'!$AY$5:$AY$45,$D62)</f>
        <v>0</v>
      </c>
      <c r="K62" s="314">
        <f>COUNTIFS('HR Track 5 BIN'!$M$5:$M$39,$A$62,'HR Track 5 BIN'!$AW$5:$AW$39,$C62,'HR Track 5 BIN'!$AY$5:$AY$39,$D62)</f>
        <v>0</v>
      </c>
      <c r="L62" s="1102" t="s">
        <v>2299</v>
      </c>
    </row>
    <row r="63" spans="1:12" ht="19.899999999999999" customHeight="1">
      <c r="A63" s="1024"/>
      <c r="B63" s="1013"/>
      <c r="C63" s="153" t="s">
        <v>2408</v>
      </c>
      <c r="D63" s="11" t="str">
        <f>VLOOKUP(B62,Foundation_Calc!$K$4:$R$37,4,FALSE)</f>
        <v>N.D.</v>
      </c>
      <c r="E63" s="7">
        <f t="shared" si="1"/>
        <v>0</v>
      </c>
      <c r="F63" s="7">
        <f>COUNTIFS('HR Track 1'!$M$5:$M$407,$A$62,'HR Track 1'!$AW$5:$AW$407,$C63,'HR Track 1'!$AY$5:$AY$407,$D63)</f>
        <v>0</v>
      </c>
      <c r="G63" s="7">
        <f>COUNTIFS('HR Track 2'!$M$5:$M$405,$A$62,'HR Track 2'!$AW$5:$AW$405,$C63,'HR Track 2'!$AY$5:$AY$405,$D63)</f>
        <v>0</v>
      </c>
      <c r="H63" s="7">
        <f>COUNTIFS('HR Track 3 ZIC'!$M$5:$M$74,$A$62,'HR Track 3 ZIC'!$AW$5:$AW$74,$C63,'HR Track 3 ZIC'!$AY$5:$AY$74,$D63)</f>
        <v>0</v>
      </c>
      <c r="I63" s="7">
        <f>COUNTIFS('HR Track 4 ZIC'!$M$5:$M$45,$A$62,'HR Track 4 ZIC'!$AW$5:$AW$45,$C63,'HR Track 4 ZIC'!$AY$5:$AY$45,$D63)</f>
        <v>0</v>
      </c>
      <c r="J63" s="7">
        <f>COUNTIFS('HR Track 4 BIN'!$M$5:$M$45,$A$62,'HR Track 4 BIN'!$AW$5:$AW$45,$C63,'HR Track 4 BIN'!$AY$5:$AY$45,$D63)</f>
        <v>0</v>
      </c>
      <c r="K63" s="315">
        <f>COUNTIFS('HR Track 5 BIN'!$M$5:$M$39,$A$62,'HR Track 5 BIN'!$AW$5:$AW$39,$C63,'HR Track 5 BIN'!$AY$5:$AY$39,$D63)</f>
        <v>0</v>
      </c>
      <c r="L63" s="1103"/>
    </row>
    <row r="64" spans="1:12" ht="19.899999999999999" customHeight="1">
      <c r="A64" s="1024"/>
      <c r="B64" s="1013"/>
      <c r="C64" s="153" t="s">
        <v>2409</v>
      </c>
      <c r="D64" s="11" t="str">
        <f>VLOOKUP(B62,Foundation_Calc!$K$4:$R$37,5,FALSE)</f>
        <v>N.D.</v>
      </c>
      <c r="E64" s="7">
        <f t="shared" si="1"/>
        <v>0</v>
      </c>
      <c r="F64" s="7">
        <f>COUNTIFS('HR Track 1'!$M$5:$M$407,$A$62,'HR Track 1'!$AW$5:$AW$407,$C64,'HR Track 1'!$AY$5:$AY$407,$D64)</f>
        <v>0</v>
      </c>
      <c r="G64" s="7">
        <f>COUNTIFS('HR Track 2'!$M$5:$M$405,$A$62,'HR Track 2'!$AW$5:$AW$405,$C64,'HR Track 2'!$AY$5:$AY$405,$D64)</f>
        <v>0</v>
      </c>
      <c r="H64" s="7">
        <f>COUNTIFS('HR Track 3 ZIC'!$M$5:$M$74,$A$62,'HR Track 3 ZIC'!$AW$5:$AW$74,$C64,'HR Track 3 ZIC'!$AY$5:$AY$74,$D64)</f>
        <v>0</v>
      </c>
      <c r="I64" s="7">
        <f>COUNTIFS('HR Track 4 ZIC'!$M$5:$M$45,$A$62,'HR Track 4 ZIC'!$AW$5:$AW$45,$C64,'HR Track 4 ZIC'!$AY$5:$AY$45,$D64)</f>
        <v>0</v>
      </c>
      <c r="J64" s="7">
        <f>COUNTIFS('HR Track 4 BIN'!$M$5:$M$45,$A$62,'HR Track 4 BIN'!$AW$5:$AW$45,$C64,'HR Track 4 BIN'!$AY$5:$AY$45,$D64)</f>
        <v>0</v>
      </c>
      <c r="K64" s="315">
        <f>COUNTIFS('HR Track 5 BIN'!$M$5:$M$39,$A$62,'HR Track 5 BIN'!$AW$5:$AW$39,$C64,'HR Track 5 BIN'!$AY$5:$AY$39,$D64)</f>
        <v>0</v>
      </c>
      <c r="L64" s="1103"/>
    </row>
    <row r="65" spans="1:12" ht="19.899999999999999" customHeight="1">
      <c r="A65" s="1024"/>
      <c r="B65" s="1013"/>
      <c r="C65" s="153" t="s">
        <v>2280</v>
      </c>
      <c r="D65" s="11" t="str">
        <f>VLOOKUP(B62,Foundation_Calc!$K$4:$R$37,6,FALSE)</f>
        <v>N.D.</v>
      </c>
      <c r="E65" s="7">
        <f t="shared" si="1"/>
        <v>0</v>
      </c>
      <c r="F65" s="7">
        <f>COUNTIFS('HR Track 1'!$M$5:$M$407,$A$62,'HR Track 1'!$AW$5:$AW$407,$C65,'HR Track 1'!$AY$5:$AY$407,$D65)</f>
        <v>0</v>
      </c>
      <c r="G65" s="7">
        <f>COUNTIFS('HR Track 2'!$M$5:$M$405,$A$62,'HR Track 2'!$AW$5:$AW$405,$C65,'HR Track 2'!$AY$5:$AY$405,$D65)</f>
        <v>0</v>
      </c>
      <c r="H65" s="7">
        <f>COUNTIFS('HR Track 3 ZIC'!$M$5:$M$74,$A$62,'HR Track 3 ZIC'!$AW$5:$AW$74,$C65,'HR Track 3 ZIC'!$AY$5:$AY$74,$D65)</f>
        <v>0</v>
      </c>
      <c r="I65" s="7">
        <f>COUNTIFS('HR Track 4 ZIC'!$M$5:$M$45,$A$62,'HR Track 4 ZIC'!$AW$5:$AW$45,$C65,'HR Track 4 ZIC'!$AY$5:$AY$45,$D65)</f>
        <v>0</v>
      </c>
      <c r="J65" s="7">
        <f>COUNTIFS('HR Track 4 BIN'!$M$5:$M$45,$A$62,'HR Track 4 BIN'!$AW$5:$AW$45,$C65,'HR Track 4 BIN'!$AY$5:$AY$45,$D65)</f>
        <v>0</v>
      </c>
      <c r="K65" s="315">
        <f>COUNTIFS('HR Track 5 BIN'!$M$5:$M$39,$A$62,'HR Track 5 BIN'!$AW$5:$AW$39,$C65,'HR Track 5 BIN'!$AY$5:$AY$39,$D65)</f>
        <v>0</v>
      </c>
      <c r="L65" s="1103"/>
    </row>
    <row r="66" spans="1:12" ht="19.899999999999999" customHeight="1">
      <c r="A66" s="1024"/>
      <c r="B66" s="1013"/>
      <c r="C66" s="153" t="s">
        <v>2281</v>
      </c>
      <c r="D66" s="11" t="str">
        <f>VLOOKUP(B62,Foundation_Calc!$K$4:$R$37,7,FALSE)</f>
        <v>N.D.</v>
      </c>
      <c r="E66" s="7">
        <f t="shared" si="1"/>
        <v>0</v>
      </c>
      <c r="F66" s="7">
        <f>COUNTIFS('HR Track 1'!$M$5:$M$407,$A$62,'HR Track 1'!$AW$5:$AW$407,$C66,'HR Track 1'!$AY$5:$AY$407,$D66)</f>
        <v>0</v>
      </c>
      <c r="G66" s="7">
        <f>COUNTIFS('HR Track 2'!$M$5:$M$405,$A$62,'HR Track 2'!$AW$5:$AW$405,$C66,'HR Track 2'!$AY$5:$AY$405,$D66)</f>
        <v>0</v>
      </c>
      <c r="H66" s="7">
        <f>COUNTIFS('HR Track 3 ZIC'!$M$5:$M$74,$A$62,'HR Track 3 ZIC'!$AW$5:$AW$74,$C66,'HR Track 3 ZIC'!$AY$5:$AY$74,$D66)</f>
        <v>0</v>
      </c>
      <c r="I66" s="7">
        <f>COUNTIFS('HR Track 4 ZIC'!$M$5:$M$45,$A$62,'HR Track 4 ZIC'!$AW$5:$AW$45,$C66,'HR Track 4 ZIC'!$AY$5:$AY$45,$D66)</f>
        <v>0</v>
      </c>
      <c r="J66" s="7">
        <f>COUNTIFS('HR Track 4 BIN'!$M$5:$M$45,$A$62,'HR Track 4 BIN'!$AW$5:$AW$45,$C66,'HR Track 4 BIN'!$AY$5:$AY$45,$D66)</f>
        <v>0</v>
      </c>
      <c r="K66" s="315">
        <f>COUNTIFS('HR Track 5 BIN'!$M$5:$M$39,$A$62,'HR Track 5 BIN'!$AW$5:$AW$39,$C66,'HR Track 5 BIN'!$AY$5:$AY$39,$D66)</f>
        <v>0</v>
      </c>
      <c r="L66" s="1103"/>
    </row>
    <row r="67" spans="1:12" ht="19.899999999999999" customHeight="1" thickBot="1">
      <c r="A67" s="1025"/>
      <c r="B67" s="1014"/>
      <c r="C67" s="316" t="s">
        <v>2282</v>
      </c>
      <c r="D67" s="317" t="str">
        <f>VLOOKUP(B62,Foundation_Calc!$K$4:$R$37,8,FALSE)</f>
        <v>N.D.</v>
      </c>
      <c r="E67" s="318">
        <f t="shared" ref="E67:E130" si="2">SUM(F67:K67)</f>
        <v>0</v>
      </c>
      <c r="F67" s="318">
        <f>COUNTIFS('HR Track 1'!$M$5:$M$407,$A$62,'HR Track 1'!$AW$5:$AW$407,$C67,'HR Track 1'!$AY$5:$AY$407,$D67)</f>
        <v>0</v>
      </c>
      <c r="G67" s="318">
        <f>COUNTIFS('HR Track 2'!$M$5:$M$405,$A$62,'HR Track 2'!$AW$5:$AW$405,$C67,'HR Track 2'!$AY$5:$AY$405,$D67)</f>
        <v>0</v>
      </c>
      <c r="H67" s="318">
        <f>COUNTIFS('HR Track 3 ZIC'!$M$5:$M$74,$A$62,'HR Track 3 ZIC'!$AW$5:$AW$74,$C67,'HR Track 3 ZIC'!$AY$5:$AY$74,$D67)</f>
        <v>0</v>
      </c>
      <c r="I67" s="318">
        <f>COUNTIFS('HR Track 4 ZIC'!$M$5:$M$45,$A$62,'HR Track 4 ZIC'!$AW$5:$AW$45,$C67,'HR Track 4 ZIC'!$AY$5:$AY$45,$D67)</f>
        <v>0</v>
      </c>
      <c r="J67" s="318">
        <f>COUNTIFS('HR Track 4 BIN'!$M$5:$M$45,$A$62,'HR Track 4 BIN'!$AW$5:$AW$45,$C67,'HR Track 4 BIN'!$AY$5:$AY$45,$D67)</f>
        <v>0</v>
      </c>
      <c r="K67" s="319">
        <f>COUNTIFS('HR Track 5 BIN'!$M$5:$M$39,$A$62,'HR Track 5 BIN'!$AW$5:$AW$39,$C67,'HR Track 5 BIN'!$AY$5:$AY$39,$D67)</f>
        <v>0</v>
      </c>
      <c r="L67" s="1104"/>
    </row>
    <row r="68" spans="1:12" ht="19.899999999999999" customHeight="1">
      <c r="A68" s="1108" t="s">
        <v>2377</v>
      </c>
      <c r="B68" s="1111" t="s">
        <v>1714</v>
      </c>
      <c r="C68" s="311" t="s">
        <v>2407</v>
      </c>
      <c r="D68" s="320" t="str">
        <f>VLOOKUP(B68,Foundation_Calc!$K$41:$R$74,3,FALSE)</f>
        <v>N.D.</v>
      </c>
      <c r="E68" s="313">
        <f t="shared" si="2"/>
        <v>0</v>
      </c>
      <c r="F68" s="313">
        <f>COUNTIFS('HR Track 1'!$M$5:$M$407,$A$68,'HR Track 1'!$AW$5:$AW$407,$C68,'HR Track 1'!$AY$5:$AY$407,$D68)</f>
        <v>0</v>
      </c>
      <c r="G68" s="313">
        <f>COUNTIFS('HR Track 2'!$M$5:$M$405,$A$68,'HR Track 2'!$AW$5:$AW$405,$C68,'HR Track 2'!$AY$5:$AY$405,$D68)</f>
        <v>0</v>
      </c>
      <c r="H68" s="313">
        <f>COUNTIFS('HR Track 3 ZIC'!$M$5:$M$74,$A$68,'HR Track 3 ZIC'!$AW$5:$AW$74,$C68,'HR Track 3 ZIC'!$AY$5:$AY$74,$D68)</f>
        <v>0</v>
      </c>
      <c r="I68" s="313">
        <f>COUNTIFS('HR Track 4 ZIC'!$M$5:$M$45,$A$68,'HR Track 4 ZIC'!$AW$5:$AW$45,$C68,'HR Track 4 ZIC'!$AY$5:$AY$45,$D68)</f>
        <v>0</v>
      </c>
      <c r="J68" s="313">
        <f>COUNTIFS('HR Track 4 BIN'!$M$5:$M$45,$A$68,'HR Track 4 BIN'!$AW$5:$AW$45,$C68,'HR Track 4 BIN'!$AY$5:$AY$45,$D68)</f>
        <v>0</v>
      </c>
      <c r="K68" s="314">
        <f>COUNTIFS('HR Track 5 BIN'!$M$5:$M$39,$A$68,'HR Track 5 BIN'!$AW$5:$AW$39,$C68,'HR Track 5 BIN'!$AY$5:$AY$39,$D68)</f>
        <v>0</v>
      </c>
      <c r="L68" s="1105" t="s">
        <v>2299</v>
      </c>
    </row>
    <row r="69" spans="1:12" ht="19.899999999999999" customHeight="1">
      <c r="A69" s="1109"/>
      <c r="B69" s="1112"/>
      <c r="C69" s="153" t="s">
        <v>2408</v>
      </c>
      <c r="D69" s="291" t="str">
        <f>VLOOKUP(B68,Foundation_Calc!$K$41:$R$74,4,FALSE)</f>
        <v>N.D.</v>
      </c>
      <c r="E69" s="7">
        <f t="shared" si="2"/>
        <v>0</v>
      </c>
      <c r="F69" s="7">
        <f>COUNTIFS('HR Track 1'!$M$5:$M$407,$A$68,'HR Track 1'!$AW$5:$AW$407,$C69,'HR Track 1'!$AY$5:$AY$407,$D69)</f>
        <v>0</v>
      </c>
      <c r="G69" s="7">
        <f>COUNTIFS('HR Track 2'!$M$5:$M$405,$A$68,'HR Track 2'!$AW$5:$AW$405,$C69,'HR Track 2'!$AY$5:$AY$405,$D69)</f>
        <v>0</v>
      </c>
      <c r="H69" s="7">
        <f>COUNTIFS('HR Track 3 ZIC'!$M$5:$M$74,$A$68,'HR Track 3 ZIC'!$AW$5:$AW$74,$C69,'HR Track 3 ZIC'!$AY$5:$AY$74,$D69)</f>
        <v>0</v>
      </c>
      <c r="I69" s="7">
        <f>COUNTIFS('HR Track 4 ZIC'!$M$5:$M$45,$A$68,'HR Track 4 ZIC'!$AW$5:$AW$45,$C69,'HR Track 4 ZIC'!$AY$5:$AY$45,$D69)</f>
        <v>0</v>
      </c>
      <c r="J69" s="7">
        <f>COUNTIFS('HR Track 4 BIN'!$M$5:$M$45,$A$68,'HR Track 4 BIN'!$AW$5:$AW$45,$C69,'HR Track 4 BIN'!$AY$5:$AY$45,$D69)</f>
        <v>0</v>
      </c>
      <c r="K69" s="315">
        <f>COUNTIFS('HR Track 5 BIN'!$M$5:$M$39,$A$68,'HR Track 5 BIN'!$AW$5:$AW$39,$C69,'HR Track 5 BIN'!$AY$5:$AY$39,$D69)</f>
        <v>0</v>
      </c>
      <c r="L69" s="1106"/>
    </row>
    <row r="70" spans="1:12" ht="19.899999999999999" customHeight="1">
      <c r="A70" s="1109"/>
      <c r="B70" s="1112"/>
      <c r="C70" s="153" t="s">
        <v>2409</v>
      </c>
      <c r="D70" s="291" t="str">
        <f>VLOOKUP(B68,Foundation_Calc!$K$41:$R$74,5,FALSE)</f>
        <v>N.D.</v>
      </c>
      <c r="E70" s="7">
        <f t="shared" si="2"/>
        <v>0</v>
      </c>
      <c r="F70" s="7">
        <f>COUNTIFS('HR Track 1'!$M$5:$M$407,$A$68,'HR Track 1'!$AW$5:$AW$407,$C70,'HR Track 1'!$AY$5:$AY$407,$D70)</f>
        <v>0</v>
      </c>
      <c r="G70" s="7">
        <f>COUNTIFS('HR Track 2'!$M$5:$M$405,$A$68,'HR Track 2'!$AW$5:$AW$405,$C70,'HR Track 2'!$AY$5:$AY$405,$D70)</f>
        <v>0</v>
      </c>
      <c r="H70" s="7">
        <f>COUNTIFS('HR Track 3 ZIC'!$M$5:$M$74,$A$68,'HR Track 3 ZIC'!$AW$5:$AW$74,$C70,'HR Track 3 ZIC'!$AY$5:$AY$74,$D70)</f>
        <v>0</v>
      </c>
      <c r="I70" s="7">
        <f>COUNTIFS('HR Track 4 ZIC'!$M$5:$M$45,$A$68,'HR Track 4 ZIC'!$AW$5:$AW$45,$C70,'HR Track 4 ZIC'!$AY$5:$AY$45,$D70)</f>
        <v>0</v>
      </c>
      <c r="J70" s="7">
        <f>COUNTIFS('HR Track 4 BIN'!$M$5:$M$45,$A$68,'HR Track 4 BIN'!$AW$5:$AW$45,$C70,'HR Track 4 BIN'!$AY$5:$AY$45,$D70)</f>
        <v>0</v>
      </c>
      <c r="K70" s="315">
        <f>COUNTIFS('HR Track 5 BIN'!$M$5:$M$39,$A$68,'HR Track 5 BIN'!$AW$5:$AW$39,$C70,'HR Track 5 BIN'!$AY$5:$AY$39,$D70)</f>
        <v>0</v>
      </c>
      <c r="L70" s="1106"/>
    </row>
    <row r="71" spans="1:12" ht="19.899999999999999" customHeight="1">
      <c r="A71" s="1109"/>
      <c r="B71" s="1112"/>
      <c r="C71" s="153" t="s">
        <v>2280</v>
      </c>
      <c r="D71" s="291" t="str">
        <f>VLOOKUP(B68,Foundation_Calc!$K$41:$R$74,6,FALSE)</f>
        <v>N.D.</v>
      </c>
      <c r="E71" s="7">
        <f t="shared" si="2"/>
        <v>0</v>
      </c>
      <c r="F71" s="7">
        <f>COUNTIFS('HR Track 1'!$M$5:$M$407,$A$68,'HR Track 1'!$AW$5:$AW$407,$C71,'HR Track 1'!$AY$5:$AY$407,$D71)</f>
        <v>0</v>
      </c>
      <c r="G71" s="7">
        <f>COUNTIFS('HR Track 2'!$M$5:$M$405,$A$68,'HR Track 2'!$AW$5:$AW$405,$C71,'HR Track 2'!$AY$5:$AY$405,$D71)</f>
        <v>0</v>
      </c>
      <c r="H71" s="7">
        <f>COUNTIFS('HR Track 3 ZIC'!$M$5:$M$74,$A$68,'HR Track 3 ZIC'!$AW$5:$AW$74,$C71,'HR Track 3 ZIC'!$AY$5:$AY$74,$D71)</f>
        <v>0</v>
      </c>
      <c r="I71" s="7">
        <f>COUNTIFS('HR Track 4 ZIC'!$M$5:$M$45,$A$68,'HR Track 4 ZIC'!$AW$5:$AW$45,$C71,'HR Track 4 ZIC'!$AY$5:$AY$45,$D71)</f>
        <v>0</v>
      </c>
      <c r="J71" s="7">
        <f>COUNTIFS('HR Track 4 BIN'!$M$5:$M$45,$A$68,'HR Track 4 BIN'!$AW$5:$AW$45,$C71,'HR Track 4 BIN'!$AY$5:$AY$45,$D71)</f>
        <v>0</v>
      </c>
      <c r="K71" s="315">
        <f>COUNTIFS('HR Track 5 BIN'!$M$5:$M$39,$A$68,'HR Track 5 BIN'!$AW$5:$AW$39,$C71,'HR Track 5 BIN'!$AY$5:$AY$39,$D71)</f>
        <v>0</v>
      </c>
      <c r="L71" s="1106"/>
    </row>
    <row r="72" spans="1:12" ht="19.899999999999999" customHeight="1">
      <c r="A72" s="1109"/>
      <c r="B72" s="1112"/>
      <c r="C72" s="153" t="s">
        <v>2281</v>
      </c>
      <c r="D72" s="291" t="str">
        <f>VLOOKUP(B68,Foundation_Calc!$K$41:$R$74,7,FALSE)</f>
        <v>N.D.</v>
      </c>
      <c r="E72" s="7">
        <f t="shared" si="2"/>
        <v>0</v>
      </c>
      <c r="F72" s="7">
        <f>COUNTIFS('HR Track 1'!$M$5:$M$407,$A$68,'HR Track 1'!$AW$5:$AW$407,$C72,'HR Track 1'!$AY$5:$AY$407,$D72)</f>
        <v>0</v>
      </c>
      <c r="G72" s="7">
        <f>COUNTIFS('HR Track 2'!$M$5:$M$405,$A$68,'HR Track 2'!$AW$5:$AW$405,$C72,'HR Track 2'!$AY$5:$AY$405,$D72)</f>
        <v>0</v>
      </c>
      <c r="H72" s="7">
        <f>COUNTIFS('HR Track 3 ZIC'!$M$5:$M$74,$A$68,'HR Track 3 ZIC'!$AW$5:$AW$74,$C72,'HR Track 3 ZIC'!$AY$5:$AY$74,$D72)</f>
        <v>0</v>
      </c>
      <c r="I72" s="7">
        <f>COUNTIFS('HR Track 4 ZIC'!$M$5:$M$45,$A$68,'HR Track 4 ZIC'!$AW$5:$AW$45,$C72,'HR Track 4 ZIC'!$AY$5:$AY$45,$D72)</f>
        <v>0</v>
      </c>
      <c r="J72" s="7">
        <f>COUNTIFS('HR Track 4 BIN'!$M$5:$M$45,$A$68,'HR Track 4 BIN'!$AW$5:$AW$45,$C72,'HR Track 4 BIN'!$AY$5:$AY$45,$D72)</f>
        <v>0</v>
      </c>
      <c r="K72" s="315">
        <f>COUNTIFS('HR Track 5 BIN'!$M$5:$M$39,$A$68,'HR Track 5 BIN'!$AW$5:$AW$39,$C72,'HR Track 5 BIN'!$AY$5:$AY$39,$D72)</f>
        <v>0</v>
      </c>
      <c r="L72" s="1106"/>
    </row>
    <row r="73" spans="1:12" ht="19.899999999999999" customHeight="1" thickBot="1">
      <c r="A73" s="1110"/>
      <c r="B73" s="1113"/>
      <c r="C73" s="316" t="s">
        <v>2282</v>
      </c>
      <c r="D73" s="321" t="str">
        <f>VLOOKUP(B68,Foundation_Calc!$K$41:$R$74,8,FALSE)</f>
        <v>N.D.</v>
      </c>
      <c r="E73" s="318">
        <f t="shared" si="2"/>
        <v>0</v>
      </c>
      <c r="F73" s="318">
        <f>COUNTIFS('HR Track 1'!$M$5:$M$407,$A$68,'HR Track 1'!$AW$5:$AW$407,$C73,'HR Track 1'!$AY$5:$AY$407,$D73)</f>
        <v>0</v>
      </c>
      <c r="G73" s="318">
        <f>COUNTIFS('HR Track 2'!$M$5:$M$405,$A$68,'HR Track 2'!$AW$5:$AW$405,$C73,'HR Track 2'!$AY$5:$AY$405,$D73)</f>
        <v>0</v>
      </c>
      <c r="H73" s="318">
        <f>COUNTIFS('HR Track 3 ZIC'!$M$5:$M$74,$A$68,'HR Track 3 ZIC'!$AW$5:$AW$74,$C73,'HR Track 3 ZIC'!$AY$5:$AY$74,$D73)</f>
        <v>0</v>
      </c>
      <c r="I73" s="318">
        <f>COUNTIFS('HR Track 4 ZIC'!$M$5:$M$45,$A$68,'HR Track 4 ZIC'!$AW$5:$AW$45,$C73,'HR Track 4 ZIC'!$AY$5:$AY$45,$D73)</f>
        <v>0</v>
      </c>
      <c r="J73" s="318">
        <f>COUNTIFS('HR Track 4 BIN'!$M$5:$M$45,$A$68,'HR Track 4 BIN'!$AW$5:$AW$45,$C73,'HR Track 4 BIN'!$AY$5:$AY$45,$D73)</f>
        <v>0</v>
      </c>
      <c r="K73" s="319">
        <f>COUNTIFS('HR Track 5 BIN'!$M$5:$M$39,$A$68,'HR Track 5 BIN'!$AW$5:$AW$39,$C73,'HR Track 5 BIN'!$AY$5:$AY$39,$D73)</f>
        <v>0</v>
      </c>
      <c r="L73" s="1107"/>
    </row>
    <row r="74" spans="1:12" ht="19.899999999999999" customHeight="1">
      <c r="A74" s="1114" t="s">
        <v>2362</v>
      </c>
      <c r="B74" s="1115" t="s">
        <v>562</v>
      </c>
      <c r="C74" s="311" t="s">
        <v>2407</v>
      </c>
      <c r="D74" s="312" t="str">
        <f>VLOOKUP(B74,Foundation_Calc!$K$4:$R$37,3,FALSE)</f>
        <v>N.D.</v>
      </c>
      <c r="E74" s="313">
        <f t="shared" si="2"/>
        <v>0</v>
      </c>
      <c r="F74" s="313">
        <f>COUNTIFS('HR Track 1'!$M$5:$M$407,$A$74,'HR Track 1'!$AW$5:$AW$407,$C74,'HR Track 1'!$AY$5:$AY$407,$D74)</f>
        <v>0</v>
      </c>
      <c r="G74" s="313">
        <f>COUNTIFS('HR Track 2'!$M$5:$M$405,$A$74,'HR Track 2'!$AW$5:$AW$405,$C74,'HR Track 2'!$AY$5:$AY$405,$D74)</f>
        <v>0</v>
      </c>
      <c r="H74" s="313">
        <f>COUNTIFS('HR Track 3 ZIC'!$M$5:$M$74,$A$74,'HR Track 3 ZIC'!$AW$5:$AW$74,$C74,'HR Track 3 ZIC'!$AY$5:$AY$74,$D74)</f>
        <v>0</v>
      </c>
      <c r="I74" s="313">
        <f>COUNTIFS('HR Track 4 ZIC'!$M$5:$M$45,$A$74,'HR Track 4 ZIC'!$AW$5:$AW$45,$C74,'HR Track 4 ZIC'!$AY$5:$AY$45,$D74)</f>
        <v>0</v>
      </c>
      <c r="J74" s="313">
        <f>COUNTIFS('HR Track 4 BIN'!$M$5:$M$45,$A$74,'HR Track 4 BIN'!$AW$5:$AW$45,$C74,'HR Track 4 BIN'!$AY$5:$AY$45,$D74)</f>
        <v>0</v>
      </c>
      <c r="K74" s="314">
        <f>COUNTIFS('HR Track 5 BIN'!$M$5:$M$39,$A$74,'HR Track 5 BIN'!$AW$5:$AW$39,$C74,'HR Track 5 BIN'!$AY$5:$AY$39,$D74)</f>
        <v>0</v>
      </c>
    </row>
    <row r="75" spans="1:12" ht="19.899999999999999" customHeight="1">
      <c r="A75" s="1024"/>
      <c r="B75" s="1013"/>
      <c r="C75" s="153" t="s">
        <v>2408</v>
      </c>
      <c r="D75" s="11" t="str">
        <f>VLOOKUP(B74,Foundation_Calc!$K$4:$R$37,4,FALSE)</f>
        <v>N.D.</v>
      </c>
      <c r="E75" s="7">
        <f t="shared" si="2"/>
        <v>0</v>
      </c>
      <c r="F75" s="7">
        <f>COUNTIFS('HR Track 1'!$M$5:$M$407,$A$74,'HR Track 1'!$AW$5:$AW$407,$C75,'HR Track 1'!$AY$5:$AY$407,$D75)</f>
        <v>0</v>
      </c>
      <c r="G75" s="7">
        <f>COUNTIFS('HR Track 2'!$M$5:$M$405,$A$74,'HR Track 2'!$AW$5:$AW$405,$C75,'HR Track 2'!$AY$5:$AY$405,$D75)</f>
        <v>0</v>
      </c>
      <c r="H75" s="7">
        <f>COUNTIFS('HR Track 3 ZIC'!$M$5:$M$74,$A$74,'HR Track 3 ZIC'!$AW$5:$AW$74,$C75,'HR Track 3 ZIC'!$AY$5:$AY$74,$D75)</f>
        <v>0</v>
      </c>
      <c r="I75" s="7">
        <f>COUNTIFS('HR Track 4 ZIC'!$M$5:$M$45,$A$74,'HR Track 4 ZIC'!$AW$5:$AW$45,$C75,'HR Track 4 ZIC'!$AY$5:$AY$45,$D75)</f>
        <v>0</v>
      </c>
      <c r="J75" s="7">
        <f>COUNTIFS('HR Track 4 BIN'!$M$5:$M$45,$A$74,'HR Track 4 BIN'!$AW$5:$AW$45,$C75,'HR Track 4 BIN'!$AY$5:$AY$45,$D75)</f>
        <v>0</v>
      </c>
      <c r="K75" s="315">
        <f>COUNTIFS('HR Track 5 BIN'!$M$5:$M$39,$A$74,'HR Track 5 BIN'!$AW$5:$AW$39,$C75,'HR Track 5 BIN'!$AY$5:$AY$39,$D75)</f>
        <v>0</v>
      </c>
    </row>
    <row r="76" spans="1:12" ht="19.899999999999999" customHeight="1">
      <c r="A76" s="1024"/>
      <c r="B76" s="1013"/>
      <c r="C76" s="153" t="s">
        <v>2409</v>
      </c>
      <c r="D76" s="11" t="str">
        <f>VLOOKUP(B74,Foundation_Calc!$K$4:$R$37,5,FALSE)</f>
        <v>N.D.</v>
      </c>
      <c r="E76" s="7">
        <f t="shared" si="2"/>
        <v>0</v>
      </c>
      <c r="F76" s="7">
        <f>COUNTIFS('HR Track 1'!$M$5:$M$407,$A$74,'HR Track 1'!$AW$5:$AW$407,$C76,'HR Track 1'!$AY$5:$AY$407,$D76)</f>
        <v>0</v>
      </c>
      <c r="G76" s="7">
        <f>COUNTIFS('HR Track 2'!$M$5:$M$405,$A$74,'HR Track 2'!$AW$5:$AW$405,$C76,'HR Track 2'!$AY$5:$AY$405,$D76)</f>
        <v>0</v>
      </c>
      <c r="H76" s="7">
        <f>COUNTIFS('HR Track 3 ZIC'!$M$5:$M$74,$A$74,'HR Track 3 ZIC'!$AW$5:$AW$74,$C76,'HR Track 3 ZIC'!$AY$5:$AY$74,$D76)</f>
        <v>0</v>
      </c>
      <c r="I76" s="7">
        <f>COUNTIFS('HR Track 4 ZIC'!$M$5:$M$45,$A$74,'HR Track 4 ZIC'!$AW$5:$AW$45,$C76,'HR Track 4 ZIC'!$AY$5:$AY$45,$D76)</f>
        <v>0</v>
      </c>
      <c r="J76" s="7">
        <f>COUNTIFS('HR Track 4 BIN'!$M$5:$M$45,$A$74,'HR Track 4 BIN'!$AW$5:$AW$45,$C76,'HR Track 4 BIN'!$AY$5:$AY$45,$D76)</f>
        <v>0</v>
      </c>
      <c r="K76" s="315">
        <f>COUNTIFS('HR Track 5 BIN'!$M$5:$M$39,$A$74,'HR Track 5 BIN'!$AW$5:$AW$39,$C76,'HR Track 5 BIN'!$AY$5:$AY$39,$D76)</f>
        <v>0</v>
      </c>
    </row>
    <row r="77" spans="1:12" ht="19.899999999999999" customHeight="1">
      <c r="A77" s="1024"/>
      <c r="B77" s="1013"/>
      <c r="C77" s="153" t="s">
        <v>2280</v>
      </c>
      <c r="D77" s="11" t="str">
        <f>VLOOKUP(B74,Foundation_Calc!$K$4:$R$37,6,FALSE)</f>
        <v>N.D.</v>
      </c>
      <c r="E77" s="7">
        <f t="shared" si="2"/>
        <v>0</v>
      </c>
      <c r="F77" s="7">
        <f>COUNTIFS('HR Track 1'!$M$5:$M$407,$A$74,'HR Track 1'!$AW$5:$AW$407,$C77,'HR Track 1'!$AY$5:$AY$407,$D77)</f>
        <v>0</v>
      </c>
      <c r="G77" s="7">
        <f>COUNTIFS('HR Track 2'!$M$5:$M$405,$A$74,'HR Track 2'!$AW$5:$AW$405,$C77,'HR Track 2'!$AY$5:$AY$405,$D77)</f>
        <v>0</v>
      </c>
      <c r="H77" s="7">
        <f>COUNTIFS('HR Track 3 ZIC'!$M$5:$M$74,$A$74,'HR Track 3 ZIC'!$AW$5:$AW$74,$C77,'HR Track 3 ZIC'!$AY$5:$AY$74,$D77)</f>
        <v>0</v>
      </c>
      <c r="I77" s="7">
        <f>COUNTIFS('HR Track 4 ZIC'!$M$5:$M$45,$A$74,'HR Track 4 ZIC'!$AW$5:$AW$45,$C77,'HR Track 4 ZIC'!$AY$5:$AY$45,$D77)</f>
        <v>0</v>
      </c>
      <c r="J77" s="7">
        <f>COUNTIFS('HR Track 4 BIN'!$M$5:$M$45,$A$74,'HR Track 4 BIN'!$AW$5:$AW$45,$C77,'HR Track 4 BIN'!$AY$5:$AY$45,$D77)</f>
        <v>0</v>
      </c>
      <c r="K77" s="315">
        <f>COUNTIFS('HR Track 5 BIN'!$M$5:$M$39,$A$74,'HR Track 5 BIN'!$AW$5:$AW$39,$C77,'HR Track 5 BIN'!$AY$5:$AY$39,$D77)</f>
        <v>0</v>
      </c>
    </row>
    <row r="78" spans="1:12" ht="19.899999999999999" customHeight="1">
      <c r="A78" s="1024"/>
      <c r="B78" s="1013"/>
      <c r="C78" s="153" t="s">
        <v>2281</v>
      </c>
      <c r="D78" s="11" t="str">
        <f>VLOOKUP(B74,Foundation_Calc!$K$4:$R$37,7,FALSE)</f>
        <v>N.D.</v>
      </c>
      <c r="E78" s="7">
        <f t="shared" si="2"/>
        <v>0</v>
      </c>
      <c r="F78" s="7">
        <f>COUNTIFS('HR Track 1'!$M$5:$M$407,$A$74,'HR Track 1'!$AW$5:$AW$407,$C78,'HR Track 1'!$AY$5:$AY$407,$D78)</f>
        <v>0</v>
      </c>
      <c r="G78" s="7">
        <f>COUNTIFS('HR Track 2'!$M$5:$M$405,$A$74,'HR Track 2'!$AW$5:$AW$405,$C78,'HR Track 2'!$AY$5:$AY$405,$D78)</f>
        <v>0</v>
      </c>
      <c r="H78" s="7">
        <f>COUNTIFS('HR Track 3 ZIC'!$M$5:$M$74,$A$74,'HR Track 3 ZIC'!$AW$5:$AW$74,$C78,'HR Track 3 ZIC'!$AY$5:$AY$74,$D78)</f>
        <v>0</v>
      </c>
      <c r="I78" s="7">
        <f>COUNTIFS('HR Track 4 ZIC'!$M$5:$M$45,$A$74,'HR Track 4 ZIC'!$AW$5:$AW$45,$C78,'HR Track 4 ZIC'!$AY$5:$AY$45,$D78)</f>
        <v>0</v>
      </c>
      <c r="J78" s="7">
        <f>COUNTIFS('HR Track 4 BIN'!$M$5:$M$45,$A$74,'HR Track 4 BIN'!$AW$5:$AW$45,$C78,'HR Track 4 BIN'!$AY$5:$AY$45,$D78)</f>
        <v>0</v>
      </c>
      <c r="K78" s="315">
        <f>COUNTIFS('HR Track 5 BIN'!$M$5:$M$39,$A$74,'HR Track 5 BIN'!$AW$5:$AW$39,$C78,'HR Track 5 BIN'!$AY$5:$AY$39,$D78)</f>
        <v>0</v>
      </c>
    </row>
    <row r="79" spans="1:12" ht="19.899999999999999" customHeight="1" thickBot="1">
      <c r="A79" s="1025"/>
      <c r="B79" s="1014"/>
      <c r="C79" s="316" t="s">
        <v>2282</v>
      </c>
      <c r="D79" s="317" t="str">
        <f>VLOOKUP(B74,Foundation_Calc!$K$4:$R$37,8,FALSE)</f>
        <v>N.D.</v>
      </c>
      <c r="E79" s="318">
        <f t="shared" si="2"/>
        <v>0</v>
      </c>
      <c r="F79" s="318">
        <f>COUNTIFS('HR Track 1'!$M$5:$M$407,$A$74,'HR Track 1'!$AW$5:$AW$407,$C79,'HR Track 1'!$AY$5:$AY$407,$D79)</f>
        <v>0</v>
      </c>
      <c r="G79" s="318">
        <f>COUNTIFS('HR Track 2'!$M$5:$M$405,$A$74,'HR Track 2'!$AW$5:$AW$405,$C79,'HR Track 2'!$AY$5:$AY$405,$D79)</f>
        <v>0</v>
      </c>
      <c r="H79" s="318">
        <f>COUNTIFS('HR Track 3 ZIC'!$M$5:$M$74,$A$74,'HR Track 3 ZIC'!$AW$5:$AW$74,$C79,'HR Track 3 ZIC'!$AY$5:$AY$74,$D79)</f>
        <v>0</v>
      </c>
      <c r="I79" s="318">
        <f>COUNTIFS('HR Track 4 ZIC'!$M$5:$M$45,$A$74,'HR Track 4 ZIC'!$AW$5:$AW$45,$C79,'HR Track 4 ZIC'!$AY$5:$AY$45,$D79)</f>
        <v>0</v>
      </c>
      <c r="J79" s="318">
        <f>COUNTIFS('HR Track 4 BIN'!$M$5:$M$45,$A$74,'HR Track 4 BIN'!$AW$5:$AW$45,$C79,'HR Track 4 BIN'!$AY$5:$AY$45,$D79)</f>
        <v>0</v>
      </c>
      <c r="K79" s="319">
        <f>COUNTIFS('HR Track 5 BIN'!$M$5:$M$39,$A$74,'HR Track 5 BIN'!$AW$5:$AW$39,$C79,'HR Track 5 BIN'!$AY$5:$AY$39,$D79)</f>
        <v>0</v>
      </c>
    </row>
    <row r="80" spans="1:12" ht="19.899999999999999" customHeight="1">
      <c r="A80" s="1108" t="s">
        <v>2377</v>
      </c>
      <c r="B80" s="1111" t="s">
        <v>562</v>
      </c>
      <c r="C80" s="311" t="s">
        <v>2407</v>
      </c>
      <c r="D80" s="320" t="str">
        <f>VLOOKUP(B80,Foundation_Calc!$K$41:$R$74,3,FALSE)</f>
        <v>N.D.</v>
      </c>
      <c r="E80" s="313">
        <f t="shared" si="2"/>
        <v>0</v>
      </c>
      <c r="F80" s="313">
        <f>COUNTIFS('HR Track 1'!$M$5:$M$407,$A$80,'HR Track 1'!$AW$5:$AW$407,$C80,'HR Track 1'!$AY$5:$AY$407,$D80)</f>
        <v>0</v>
      </c>
      <c r="G80" s="313">
        <f>COUNTIFS('HR Track 2'!$M$5:$M$405,$A$80,'HR Track 2'!$AW$5:$AW$405,$C80,'HR Track 2'!$AY$5:$AY$405,$D80)</f>
        <v>0</v>
      </c>
      <c r="H80" s="313">
        <f>COUNTIFS('HR Track 3 ZIC'!$M$5:$M$74,$A$80,'HR Track 3 ZIC'!$AW$5:$AW$74,$C80,'HR Track 3 ZIC'!$AY$5:$AY$74,$D80)</f>
        <v>0</v>
      </c>
      <c r="I80" s="313">
        <f>COUNTIFS('HR Track 4 ZIC'!$M$5:$M$45,$A$80,'HR Track 4 ZIC'!$AW$5:$AW$45,$C80,'HR Track 4 ZIC'!$AY$5:$AY$45,$D80)</f>
        <v>0</v>
      </c>
      <c r="J80" s="313">
        <f>COUNTIFS('HR Track 4 BIN'!$M$5:$M$45,$A$80,'HR Track 4 BIN'!$AW$5:$AW$45,$C80,'HR Track 4 BIN'!$AY$5:$AY$45,$D80)</f>
        <v>0</v>
      </c>
      <c r="K80" s="314">
        <f>COUNTIFS('HR Track 5 BIN'!$M$5:$M$39,$A$80,'HR Track 5 BIN'!$AW$5:$AW$39,$C80,'HR Track 5 BIN'!$AY$5:$AY$39,$D80)</f>
        <v>0</v>
      </c>
    </row>
    <row r="81" spans="1:11" ht="19.899999999999999" customHeight="1">
      <c r="A81" s="1109"/>
      <c r="B81" s="1112"/>
      <c r="C81" s="153" t="s">
        <v>2408</v>
      </c>
      <c r="D81" s="291" t="str">
        <f>VLOOKUP(B80,Foundation_Calc!$K$41:$R$74,4,FALSE)</f>
        <v>N.D.</v>
      </c>
      <c r="E81" s="7">
        <f t="shared" si="2"/>
        <v>0</v>
      </c>
      <c r="F81" s="7">
        <f>COUNTIFS('HR Track 1'!$M$5:$M$407,$A$80,'HR Track 1'!$AW$5:$AW$407,$C81,'HR Track 1'!$AY$5:$AY$407,$D81)</f>
        <v>0</v>
      </c>
      <c r="G81" s="7">
        <f>COUNTIFS('HR Track 2'!$M$5:$M$405,$A$80,'HR Track 2'!$AW$5:$AW$405,$C81,'HR Track 2'!$AY$5:$AY$405,$D81)</f>
        <v>0</v>
      </c>
      <c r="H81" s="7">
        <f>COUNTIFS('HR Track 3 ZIC'!$M$5:$M$74,$A$80,'HR Track 3 ZIC'!$AW$5:$AW$74,$C81,'HR Track 3 ZIC'!$AY$5:$AY$74,$D81)</f>
        <v>0</v>
      </c>
      <c r="I81" s="7">
        <f>COUNTIFS('HR Track 4 ZIC'!$M$5:$M$45,$A$80,'HR Track 4 ZIC'!$AW$5:$AW$45,$C81,'HR Track 4 ZIC'!$AY$5:$AY$45,$D81)</f>
        <v>0</v>
      </c>
      <c r="J81" s="7">
        <f>COUNTIFS('HR Track 4 BIN'!$M$5:$M$45,$A$80,'HR Track 4 BIN'!$AW$5:$AW$45,$C81,'HR Track 4 BIN'!$AY$5:$AY$45,$D81)</f>
        <v>0</v>
      </c>
      <c r="K81" s="315">
        <f>COUNTIFS('HR Track 5 BIN'!$M$5:$M$39,$A$80,'HR Track 5 BIN'!$AW$5:$AW$39,$C81,'HR Track 5 BIN'!$AY$5:$AY$39,$D81)</f>
        <v>0</v>
      </c>
    </row>
    <row r="82" spans="1:11" ht="19.899999999999999" customHeight="1">
      <c r="A82" s="1109"/>
      <c r="B82" s="1112"/>
      <c r="C82" s="153" t="s">
        <v>2409</v>
      </c>
      <c r="D82" s="291" t="str">
        <f>VLOOKUP(B80,Foundation_Calc!$K$41:$R$74,5,FALSE)</f>
        <v>N.D.</v>
      </c>
      <c r="E82" s="7">
        <f t="shared" si="2"/>
        <v>0</v>
      </c>
      <c r="F82" s="7">
        <f>COUNTIFS('HR Track 1'!$M$5:$M$407,$A$80,'HR Track 1'!$AW$5:$AW$407,$C82,'HR Track 1'!$AY$5:$AY$407,$D82)</f>
        <v>0</v>
      </c>
      <c r="G82" s="7">
        <f>COUNTIFS('HR Track 2'!$M$5:$M$405,$A$80,'HR Track 2'!$AW$5:$AW$405,$C82,'HR Track 2'!$AY$5:$AY$405,$D82)</f>
        <v>0</v>
      </c>
      <c r="H82" s="7">
        <f>COUNTIFS('HR Track 3 ZIC'!$M$5:$M$74,$A$80,'HR Track 3 ZIC'!$AW$5:$AW$74,$C82,'HR Track 3 ZIC'!$AY$5:$AY$74,$D82)</f>
        <v>0</v>
      </c>
      <c r="I82" s="7">
        <f>COUNTIFS('HR Track 4 ZIC'!$M$5:$M$45,$A$80,'HR Track 4 ZIC'!$AW$5:$AW$45,$C82,'HR Track 4 ZIC'!$AY$5:$AY$45,$D82)</f>
        <v>0</v>
      </c>
      <c r="J82" s="7">
        <f>COUNTIFS('HR Track 4 BIN'!$M$5:$M$45,$A$80,'HR Track 4 BIN'!$AW$5:$AW$45,$C82,'HR Track 4 BIN'!$AY$5:$AY$45,$D82)</f>
        <v>0</v>
      </c>
      <c r="K82" s="315">
        <f>COUNTIFS('HR Track 5 BIN'!$M$5:$M$39,$A$80,'HR Track 5 BIN'!$AW$5:$AW$39,$C82,'HR Track 5 BIN'!$AY$5:$AY$39,$D82)</f>
        <v>0</v>
      </c>
    </row>
    <row r="83" spans="1:11" ht="19.899999999999999" customHeight="1">
      <c r="A83" s="1109"/>
      <c r="B83" s="1112"/>
      <c r="C83" s="153" t="s">
        <v>2280</v>
      </c>
      <c r="D83" s="291" t="str">
        <f>VLOOKUP(B80,Foundation_Calc!$K$41:$R$74,6,FALSE)</f>
        <v>N.D.</v>
      </c>
      <c r="E83" s="7">
        <f t="shared" si="2"/>
        <v>0</v>
      </c>
      <c r="F83" s="7">
        <f>COUNTIFS('HR Track 1'!$M$5:$M$407,$A$80,'HR Track 1'!$AW$5:$AW$407,$C83,'HR Track 1'!$AY$5:$AY$407,$D83)</f>
        <v>0</v>
      </c>
      <c r="G83" s="7">
        <f>COUNTIFS('HR Track 2'!$M$5:$M$405,$A$80,'HR Track 2'!$AW$5:$AW$405,$C83,'HR Track 2'!$AY$5:$AY$405,$D83)</f>
        <v>0</v>
      </c>
      <c r="H83" s="7">
        <f>COUNTIFS('HR Track 3 ZIC'!$M$5:$M$74,$A$80,'HR Track 3 ZIC'!$AW$5:$AW$74,$C83,'HR Track 3 ZIC'!$AY$5:$AY$74,$D83)</f>
        <v>0</v>
      </c>
      <c r="I83" s="7">
        <f>COUNTIFS('HR Track 4 ZIC'!$M$5:$M$45,$A$80,'HR Track 4 ZIC'!$AW$5:$AW$45,$C83,'HR Track 4 ZIC'!$AY$5:$AY$45,$D83)</f>
        <v>0</v>
      </c>
      <c r="J83" s="7">
        <f>COUNTIFS('HR Track 4 BIN'!$M$5:$M$45,$A$80,'HR Track 4 BIN'!$AW$5:$AW$45,$C83,'HR Track 4 BIN'!$AY$5:$AY$45,$D83)</f>
        <v>0</v>
      </c>
      <c r="K83" s="315">
        <f>COUNTIFS('HR Track 5 BIN'!$M$5:$M$39,$A$80,'HR Track 5 BIN'!$AW$5:$AW$39,$C83,'HR Track 5 BIN'!$AY$5:$AY$39,$D83)</f>
        <v>0</v>
      </c>
    </row>
    <row r="84" spans="1:11" ht="19.899999999999999" customHeight="1">
      <c r="A84" s="1109"/>
      <c r="B84" s="1112"/>
      <c r="C84" s="153" t="s">
        <v>2281</v>
      </c>
      <c r="D84" s="291" t="str">
        <f>VLOOKUP(B80,Foundation_Calc!$K$41:$R$74,7,FALSE)</f>
        <v>N.D.</v>
      </c>
      <c r="E84" s="7">
        <f t="shared" si="2"/>
        <v>0</v>
      </c>
      <c r="F84" s="7">
        <f>COUNTIFS('HR Track 1'!$M$5:$M$407,$A$80,'HR Track 1'!$AW$5:$AW$407,$C84,'HR Track 1'!$AY$5:$AY$407,$D84)</f>
        <v>0</v>
      </c>
      <c r="G84" s="7">
        <f>COUNTIFS('HR Track 2'!$M$5:$M$405,$A$80,'HR Track 2'!$AW$5:$AW$405,$C84,'HR Track 2'!$AY$5:$AY$405,$D84)</f>
        <v>0</v>
      </c>
      <c r="H84" s="7">
        <f>COUNTIFS('HR Track 3 ZIC'!$M$5:$M$74,$A$80,'HR Track 3 ZIC'!$AW$5:$AW$74,$C84,'HR Track 3 ZIC'!$AY$5:$AY$74,$D84)</f>
        <v>0</v>
      </c>
      <c r="I84" s="7">
        <f>COUNTIFS('HR Track 4 ZIC'!$M$5:$M$45,$A$80,'HR Track 4 ZIC'!$AW$5:$AW$45,$C84,'HR Track 4 ZIC'!$AY$5:$AY$45,$D84)</f>
        <v>0</v>
      </c>
      <c r="J84" s="7">
        <f>COUNTIFS('HR Track 4 BIN'!$M$5:$M$45,$A$80,'HR Track 4 BIN'!$AW$5:$AW$45,$C84,'HR Track 4 BIN'!$AY$5:$AY$45,$D84)</f>
        <v>0</v>
      </c>
      <c r="K84" s="315">
        <f>COUNTIFS('HR Track 5 BIN'!$M$5:$M$39,$A$80,'HR Track 5 BIN'!$AW$5:$AW$39,$C84,'HR Track 5 BIN'!$AY$5:$AY$39,$D84)</f>
        <v>0</v>
      </c>
    </row>
    <row r="85" spans="1:11" ht="19.899999999999999" customHeight="1" thickBot="1">
      <c r="A85" s="1110"/>
      <c r="B85" s="1113"/>
      <c r="C85" s="316" t="s">
        <v>2282</v>
      </c>
      <c r="D85" s="321" t="str">
        <f>VLOOKUP(B80,Foundation_Calc!$K$41:$R$74,8,FALSE)</f>
        <v>N.D.</v>
      </c>
      <c r="E85" s="318">
        <f t="shared" si="2"/>
        <v>0</v>
      </c>
      <c r="F85" s="318">
        <f>COUNTIFS('HR Track 1'!$M$5:$M$407,$A$80,'HR Track 1'!$AW$5:$AW$407,$C85,'HR Track 1'!$AY$5:$AY$407,$D85)</f>
        <v>0</v>
      </c>
      <c r="G85" s="318">
        <f>COUNTIFS('HR Track 2'!$M$5:$M$405,$A$80,'HR Track 2'!$AW$5:$AW$405,$C85,'HR Track 2'!$AY$5:$AY$405,$D85)</f>
        <v>0</v>
      </c>
      <c r="H85" s="318">
        <f>COUNTIFS('HR Track 3 ZIC'!$M$5:$M$74,$A$80,'HR Track 3 ZIC'!$AW$5:$AW$74,$C85,'HR Track 3 ZIC'!$AY$5:$AY$74,$D85)</f>
        <v>0</v>
      </c>
      <c r="I85" s="318">
        <f>COUNTIFS('HR Track 4 ZIC'!$M$5:$M$45,$A$80,'HR Track 4 ZIC'!$AW$5:$AW$45,$C85,'HR Track 4 ZIC'!$AY$5:$AY$45,$D85)</f>
        <v>0</v>
      </c>
      <c r="J85" s="318">
        <f>COUNTIFS('HR Track 4 BIN'!$M$5:$M$45,$A$80,'HR Track 4 BIN'!$AW$5:$AW$45,$C85,'HR Track 4 BIN'!$AY$5:$AY$45,$D85)</f>
        <v>0</v>
      </c>
      <c r="K85" s="319">
        <f>COUNTIFS('HR Track 5 BIN'!$M$5:$M$39,$A$80,'HR Track 5 BIN'!$AW$5:$AW$39,$C85,'HR Track 5 BIN'!$AY$5:$AY$39,$D85)</f>
        <v>0</v>
      </c>
    </row>
    <row r="86" spans="1:11" ht="19.899999999999999" customHeight="1">
      <c r="A86" s="1114" t="s">
        <v>2362</v>
      </c>
      <c r="B86" s="1115" t="s">
        <v>123</v>
      </c>
      <c r="C86" s="311" t="s">
        <v>2407</v>
      </c>
      <c r="D86" s="312" t="str">
        <f>VLOOKUP(B86,Foundation_Calc!$K$4:$R$37,3,FALSE)</f>
        <v>N.D.</v>
      </c>
      <c r="E86" s="313">
        <f t="shared" si="2"/>
        <v>0</v>
      </c>
      <c r="F86" s="313">
        <f>COUNTIFS('HR Track 1'!$M$5:$M$407,$A$86,'HR Track 1'!$AW$5:$AW$407,$C86,'HR Track 1'!$AY$5:$AY$407,$D86)</f>
        <v>0</v>
      </c>
      <c r="G86" s="313">
        <f>COUNTIFS('HR Track 2'!$M$5:$M$405,$A$86,'HR Track 2'!$AW$5:$AW$405,$C86,'HR Track 2'!$AY$5:$AY$405,$D86)</f>
        <v>0</v>
      </c>
      <c r="H86" s="313">
        <f>COUNTIFS('HR Track 3 ZIC'!$M$5:$M$74,$A$86,'HR Track 3 ZIC'!$AW$5:$AW$74,$C86,'HR Track 3 ZIC'!$AY$5:$AY$74,$D86)</f>
        <v>0</v>
      </c>
      <c r="I86" s="313">
        <f>COUNTIFS('HR Track 4 ZIC'!$M$5:$M$45,$A$86,'HR Track 4 ZIC'!$AW$5:$AW$45,$C86,'HR Track 4 ZIC'!$AY$5:$AY$45,$D86)</f>
        <v>0</v>
      </c>
      <c r="J86" s="313">
        <f>COUNTIFS('HR Track 4 BIN'!$M$5:$M$45,$A$86,'HR Track 4 BIN'!$AW$5:$AW$45,$C86,'HR Track 4 BIN'!$AY$5:$AY$45,$D86)</f>
        <v>0</v>
      </c>
      <c r="K86" s="314">
        <f>COUNTIFS('HR Track 5 BIN'!$M$5:$M$39,$A$86,'HR Track 5 BIN'!$AW$5:$AW$39,$C86,'HR Track 5 BIN'!$AY$5:$AY$39,$D86)</f>
        <v>0</v>
      </c>
    </row>
    <row r="87" spans="1:11" ht="19.899999999999999" customHeight="1">
      <c r="A87" s="1024"/>
      <c r="B87" s="1013"/>
      <c r="C87" s="153" t="s">
        <v>2408</v>
      </c>
      <c r="D87" s="11" t="str">
        <f>VLOOKUP(B86,Foundation_Calc!$K$4:$R$37,4,FALSE)</f>
        <v>N.D.</v>
      </c>
      <c r="E87" s="7">
        <f t="shared" si="2"/>
        <v>0</v>
      </c>
      <c r="F87" s="7">
        <f>COUNTIFS('HR Track 1'!$M$5:$M$407,$A$86,'HR Track 1'!$AW$5:$AW$407,$C87,'HR Track 1'!$AY$5:$AY$407,$D87)</f>
        <v>0</v>
      </c>
      <c r="G87" s="7">
        <f>COUNTIFS('HR Track 2'!$M$5:$M$405,$A$86,'HR Track 2'!$AW$5:$AW$405,$C87,'HR Track 2'!$AY$5:$AY$405,$D87)</f>
        <v>0</v>
      </c>
      <c r="H87" s="7">
        <f>COUNTIFS('HR Track 3 ZIC'!$M$5:$M$74,$A$86,'HR Track 3 ZIC'!$AW$5:$AW$74,$C87,'HR Track 3 ZIC'!$AY$5:$AY$74,$D87)</f>
        <v>0</v>
      </c>
      <c r="I87" s="7">
        <f>COUNTIFS('HR Track 4 ZIC'!$M$5:$M$45,$A$86,'HR Track 4 ZIC'!$AW$5:$AW$45,$C87,'HR Track 4 ZIC'!$AY$5:$AY$45,$D87)</f>
        <v>0</v>
      </c>
      <c r="J87" s="7">
        <f>COUNTIFS('HR Track 4 BIN'!$M$5:$M$45,$A$86,'HR Track 4 BIN'!$AW$5:$AW$45,$C87,'HR Track 4 BIN'!$AY$5:$AY$45,$D87)</f>
        <v>0</v>
      </c>
      <c r="K87" s="315">
        <f>COUNTIFS('HR Track 5 BIN'!$M$5:$M$39,$A$86,'HR Track 5 BIN'!$AW$5:$AW$39,$C87,'HR Track 5 BIN'!$AY$5:$AY$39,$D87)</f>
        <v>0</v>
      </c>
    </row>
    <row r="88" spans="1:11" ht="19.899999999999999" customHeight="1">
      <c r="A88" s="1024"/>
      <c r="B88" s="1013"/>
      <c r="C88" s="153" t="s">
        <v>2409</v>
      </c>
      <c r="D88" s="11" t="str">
        <f>VLOOKUP(B86,Foundation_Calc!$K$4:$R$37,5,FALSE)</f>
        <v>N.D.</v>
      </c>
      <c r="E88" s="7">
        <f t="shared" si="2"/>
        <v>0</v>
      </c>
      <c r="F88" s="7">
        <f>COUNTIFS('HR Track 1'!$M$5:$M$407,$A$86,'HR Track 1'!$AW$5:$AW$407,$C88,'HR Track 1'!$AY$5:$AY$407,$D88)</f>
        <v>0</v>
      </c>
      <c r="G88" s="7">
        <f>COUNTIFS('HR Track 2'!$M$5:$M$405,$A$86,'HR Track 2'!$AW$5:$AW$405,$C88,'HR Track 2'!$AY$5:$AY$405,$D88)</f>
        <v>0</v>
      </c>
      <c r="H88" s="7">
        <f>COUNTIFS('HR Track 3 ZIC'!$M$5:$M$74,$A$86,'HR Track 3 ZIC'!$AW$5:$AW$74,$C88,'HR Track 3 ZIC'!$AY$5:$AY$74,$D88)</f>
        <v>0</v>
      </c>
      <c r="I88" s="7">
        <f>COUNTIFS('HR Track 4 ZIC'!$M$5:$M$45,$A$86,'HR Track 4 ZIC'!$AW$5:$AW$45,$C88,'HR Track 4 ZIC'!$AY$5:$AY$45,$D88)</f>
        <v>0</v>
      </c>
      <c r="J88" s="7">
        <f>COUNTIFS('HR Track 4 BIN'!$M$5:$M$45,$A$86,'HR Track 4 BIN'!$AW$5:$AW$45,$C88,'HR Track 4 BIN'!$AY$5:$AY$45,$D88)</f>
        <v>0</v>
      </c>
      <c r="K88" s="315">
        <f>COUNTIFS('HR Track 5 BIN'!$M$5:$M$39,$A$86,'HR Track 5 BIN'!$AW$5:$AW$39,$C88,'HR Track 5 BIN'!$AY$5:$AY$39,$D88)</f>
        <v>0</v>
      </c>
    </row>
    <row r="89" spans="1:11" ht="19.899999999999999" customHeight="1">
      <c r="A89" s="1024"/>
      <c r="B89" s="1013"/>
      <c r="C89" s="153" t="s">
        <v>2280</v>
      </c>
      <c r="D89" s="11" t="str">
        <f>VLOOKUP(B86,Foundation_Calc!$K$4:$R$37,6,FALSE)</f>
        <v>N.D.</v>
      </c>
      <c r="E89" s="7">
        <f t="shared" si="2"/>
        <v>0</v>
      </c>
      <c r="F89" s="7">
        <f>COUNTIFS('HR Track 1'!$M$5:$M$407,$A$86,'HR Track 1'!$AW$5:$AW$407,$C89,'HR Track 1'!$AY$5:$AY$407,$D89)</f>
        <v>0</v>
      </c>
      <c r="G89" s="7">
        <f>COUNTIFS('HR Track 2'!$M$5:$M$405,$A$86,'HR Track 2'!$AW$5:$AW$405,$C89,'HR Track 2'!$AY$5:$AY$405,$D89)</f>
        <v>0</v>
      </c>
      <c r="H89" s="7">
        <f>COUNTIFS('HR Track 3 ZIC'!$M$5:$M$74,$A$86,'HR Track 3 ZIC'!$AW$5:$AW$74,$C89,'HR Track 3 ZIC'!$AY$5:$AY$74,$D89)</f>
        <v>0</v>
      </c>
      <c r="I89" s="7">
        <f>COUNTIFS('HR Track 4 ZIC'!$M$5:$M$45,$A$86,'HR Track 4 ZIC'!$AW$5:$AW$45,$C89,'HR Track 4 ZIC'!$AY$5:$AY$45,$D89)</f>
        <v>0</v>
      </c>
      <c r="J89" s="7">
        <f>COUNTIFS('HR Track 4 BIN'!$M$5:$M$45,$A$86,'HR Track 4 BIN'!$AW$5:$AW$45,$C89,'HR Track 4 BIN'!$AY$5:$AY$45,$D89)</f>
        <v>0</v>
      </c>
      <c r="K89" s="315">
        <f>COUNTIFS('HR Track 5 BIN'!$M$5:$M$39,$A$86,'HR Track 5 BIN'!$AW$5:$AW$39,$C89,'HR Track 5 BIN'!$AY$5:$AY$39,$D89)</f>
        <v>0</v>
      </c>
    </row>
    <row r="90" spans="1:11" ht="19.899999999999999" customHeight="1">
      <c r="A90" s="1024"/>
      <c r="B90" s="1013"/>
      <c r="C90" s="153" t="s">
        <v>2281</v>
      </c>
      <c r="D90" s="11" t="str">
        <f>VLOOKUP(B86,Foundation_Calc!$K$4:$R$37,7,FALSE)</f>
        <v>N.D.</v>
      </c>
      <c r="E90" s="7">
        <f t="shared" si="2"/>
        <v>0</v>
      </c>
      <c r="F90" s="7">
        <f>COUNTIFS('HR Track 1'!$M$5:$M$407,$A$86,'HR Track 1'!$AW$5:$AW$407,$C90,'HR Track 1'!$AY$5:$AY$407,$D90)</f>
        <v>0</v>
      </c>
      <c r="G90" s="7">
        <f>COUNTIFS('HR Track 2'!$M$5:$M$405,$A$86,'HR Track 2'!$AW$5:$AW$405,$C90,'HR Track 2'!$AY$5:$AY$405,$D90)</f>
        <v>0</v>
      </c>
      <c r="H90" s="7">
        <f>COUNTIFS('HR Track 3 ZIC'!$M$5:$M$74,$A$86,'HR Track 3 ZIC'!$AW$5:$AW$74,$C90,'HR Track 3 ZIC'!$AY$5:$AY$74,$D90)</f>
        <v>0</v>
      </c>
      <c r="I90" s="7">
        <f>COUNTIFS('HR Track 4 ZIC'!$M$5:$M$45,$A$86,'HR Track 4 ZIC'!$AW$5:$AW$45,$C90,'HR Track 4 ZIC'!$AY$5:$AY$45,$D90)</f>
        <v>0</v>
      </c>
      <c r="J90" s="7">
        <f>COUNTIFS('HR Track 4 BIN'!$M$5:$M$45,$A$86,'HR Track 4 BIN'!$AW$5:$AW$45,$C90,'HR Track 4 BIN'!$AY$5:$AY$45,$D90)</f>
        <v>0</v>
      </c>
      <c r="K90" s="315">
        <f>COUNTIFS('HR Track 5 BIN'!$M$5:$M$39,$A$86,'HR Track 5 BIN'!$AW$5:$AW$39,$C90,'HR Track 5 BIN'!$AY$5:$AY$39,$D90)</f>
        <v>0</v>
      </c>
    </row>
    <row r="91" spans="1:11" ht="19.899999999999999" customHeight="1" thickBot="1">
      <c r="A91" s="1025"/>
      <c r="B91" s="1014"/>
      <c r="C91" s="316" t="s">
        <v>2282</v>
      </c>
      <c r="D91" s="317" t="str">
        <f>VLOOKUP(B86,Foundation_Calc!$K$4:$R$37,8,FALSE)</f>
        <v>N.D.</v>
      </c>
      <c r="E91" s="318">
        <f t="shared" si="2"/>
        <v>0</v>
      </c>
      <c r="F91" s="318">
        <f>COUNTIFS('HR Track 1'!$M$5:$M$407,$A$86,'HR Track 1'!$AW$5:$AW$407,$C91,'HR Track 1'!$AY$5:$AY$407,$D91)</f>
        <v>0</v>
      </c>
      <c r="G91" s="318">
        <f>COUNTIFS('HR Track 2'!$M$5:$M$405,$A$86,'HR Track 2'!$AW$5:$AW$405,$C91,'HR Track 2'!$AY$5:$AY$405,$D91)</f>
        <v>0</v>
      </c>
      <c r="H91" s="318">
        <f>COUNTIFS('HR Track 3 ZIC'!$M$5:$M$74,$A$86,'HR Track 3 ZIC'!$AW$5:$AW$74,$C91,'HR Track 3 ZIC'!$AY$5:$AY$74,$D91)</f>
        <v>0</v>
      </c>
      <c r="I91" s="318">
        <f>COUNTIFS('HR Track 4 ZIC'!$M$5:$M$45,$A$86,'HR Track 4 ZIC'!$AW$5:$AW$45,$C91,'HR Track 4 ZIC'!$AY$5:$AY$45,$D91)</f>
        <v>0</v>
      </c>
      <c r="J91" s="318">
        <f>COUNTIFS('HR Track 4 BIN'!$M$5:$M$45,$A$86,'HR Track 4 BIN'!$AW$5:$AW$45,$C91,'HR Track 4 BIN'!$AY$5:$AY$45,$D91)</f>
        <v>0</v>
      </c>
      <c r="K91" s="319">
        <f>COUNTIFS('HR Track 5 BIN'!$M$5:$M$39,$A$86,'HR Track 5 BIN'!$AW$5:$AW$39,$C91,'HR Track 5 BIN'!$AY$5:$AY$39,$D91)</f>
        <v>0</v>
      </c>
    </row>
    <row r="92" spans="1:11" ht="19.899999999999999" customHeight="1">
      <c r="A92" s="1108" t="s">
        <v>2377</v>
      </c>
      <c r="B92" s="1111" t="s">
        <v>123</v>
      </c>
      <c r="C92" s="311" t="s">
        <v>2407</v>
      </c>
      <c r="D92" s="320" t="str">
        <f>VLOOKUP(B92,Foundation_Calc!$K$41:$R$74,3,FALSE)</f>
        <v>N.D.</v>
      </c>
      <c r="E92" s="313">
        <f t="shared" si="2"/>
        <v>0</v>
      </c>
      <c r="F92" s="313">
        <f>COUNTIFS('HR Track 1'!$M$5:$M$407,$A$92,'HR Track 1'!$AW$5:$AW$407,$C92,'HR Track 1'!$AY$5:$AY$407,$D92)</f>
        <v>0</v>
      </c>
      <c r="G92" s="313">
        <f>COUNTIFS('HR Track 2'!$M$5:$M$405,$A$92,'HR Track 2'!$AW$5:$AW$405,$C92,'HR Track 2'!$AY$5:$AY$405,$D92)</f>
        <v>0</v>
      </c>
      <c r="H92" s="313">
        <f>COUNTIFS('HR Track 3 ZIC'!$M$5:$M$74,$A$92,'HR Track 3 ZIC'!$AW$5:$AW$74,$C92,'HR Track 3 ZIC'!$AY$5:$AY$74,$D92)</f>
        <v>0</v>
      </c>
      <c r="I92" s="313">
        <f>COUNTIFS('HR Track 4 ZIC'!$M$5:$M$45,$A$92,'HR Track 4 ZIC'!$AW$5:$AW$45,$C92,'HR Track 4 ZIC'!$AY$5:$AY$45,$D92)</f>
        <v>0</v>
      </c>
      <c r="J92" s="313">
        <f>COUNTIFS('HR Track 4 BIN'!$M$5:$M$45,$A$92,'HR Track 4 BIN'!$AW$5:$AW$45,$C92,'HR Track 4 BIN'!$AY$5:$AY$45,$D92)</f>
        <v>0</v>
      </c>
      <c r="K92" s="314">
        <f>COUNTIFS('HR Track 5 BIN'!$M$5:$M$39,$A$92,'HR Track 5 BIN'!$AW$5:$AW$39,$C92,'HR Track 5 BIN'!$AY$5:$AY$39,$D92)</f>
        <v>0</v>
      </c>
    </row>
    <row r="93" spans="1:11" ht="19.899999999999999" customHeight="1">
      <c r="A93" s="1109"/>
      <c r="B93" s="1112"/>
      <c r="C93" s="153" t="s">
        <v>2408</v>
      </c>
      <c r="D93" s="291" t="str">
        <f>VLOOKUP(B92,Foundation_Calc!$K$41:$R$74,4,FALSE)</f>
        <v>N.D.</v>
      </c>
      <c r="E93" s="7">
        <f t="shared" si="2"/>
        <v>0</v>
      </c>
      <c r="F93" s="7">
        <f>COUNTIFS('HR Track 1'!$M$5:$M$407,$A$92,'HR Track 1'!$AW$5:$AW$407,$C93,'HR Track 1'!$AY$5:$AY$407,$D93)</f>
        <v>0</v>
      </c>
      <c r="G93" s="7">
        <f>COUNTIFS('HR Track 2'!$M$5:$M$405,$A$92,'HR Track 2'!$AW$5:$AW$405,$C93,'HR Track 2'!$AY$5:$AY$405,$D93)</f>
        <v>0</v>
      </c>
      <c r="H93" s="7">
        <f>COUNTIFS('HR Track 3 ZIC'!$M$5:$M$74,$A$92,'HR Track 3 ZIC'!$AW$5:$AW$74,$C93,'HR Track 3 ZIC'!$AY$5:$AY$74,$D93)</f>
        <v>0</v>
      </c>
      <c r="I93" s="7">
        <f>COUNTIFS('HR Track 4 ZIC'!$M$5:$M$45,$A$92,'HR Track 4 ZIC'!$AW$5:$AW$45,$C93,'HR Track 4 ZIC'!$AY$5:$AY$45,$D93)</f>
        <v>0</v>
      </c>
      <c r="J93" s="7">
        <f>COUNTIFS('HR Track 4 BIN'!$M$5:$M$45,$A$92,'HR Track 4 BIN'!$AW$5:$AW$45,$C93,'HR Track 4 BIN'!$AY$5:$AY$45,$D93)</f>
        <v>0</v>
      </c>
      <c r="K93" s="315">
        <f>COUNTIFS('HR Track 5 BIN'!$M$5:$M$39,$A$92,'HR Track 5 BIN'!$AW$5:$AW$39,$C93,'HR Track 5 BIN'!$AY$5:$AY$39,$D93)</f>
        <v>0</v>
      </c>
    </row>
    <row r="94" spans="1:11" ht="19.899999999999999" customHeight="1">
      <c r="A94" s="1109"/>
      <c r="B94" s="1112"/>
      <c r="C94" s="153" t="s">
        <v>2409</v>
      </c>
      <c r="D94" s="291" t="str">
        <f>VLOOKUP(B92,Foundation_Calc!$K$41:$R$74,5,FALSE)</f>
        <v>N.D.</v>
      </c>
      <c r="E94" s="7">
        <f t="shared" si="2"/>
        <v>0</v>
      </c>
      <c r="F94" s="7">
        <f>COUNTIFS('HR Track 1'!$M$5:$M$407,$A$92,'HR Track 1'!$AW$5:$AW$407,$C94,'HR Track 1'!$AY$5:$AY$407,$D94)</f>
        <v>0</v>
      </c>
      <c r="G94" s="7">
        <f>COUNTIFS('HR Track 2'!$M$5:$M$405,$A$92,'HR Track 2'!$AW$5:$AW$405,$C94,'HR Track 2'!$AY$5:$AY$405,$D94)</f>
        <v>0</v>
      </c>
      <c r="H94" s="7">
        <f>COUNTIFS('HR Track 3 ZIC'!$M$5:$M$74,$A$92,'HR Track 3 ZIC'!$AW$5:$AW$74,$C94,'HR Track 3 ZIC'!$AY$5:$AY$74,$D94)</f>
        <v>0</v>
      </c>
      <c r="I94" s="7">
        <f>COUNTIFS('HR Track 4 ZIC'!$M$5:$M$45,$A$92,'HR Track 4 ZIC'!$AW$5:$AW$45,$C94,'HR Track 4 ZIC'!$AY$5:$AY$45,$D94)</f>
        <v>0</v>
      </c>
      <c r="J94" s="7">
        <f>COUNTIFS('HR Track 4 BIN'!$M$5:$M$45,$A$92,'HR Track 4 BIN'!$AW$5:$AW$45,$C94,'HR Track 4 BIN'!$AY$5:$AY$45,$D94)</f>
        <v>0</v>
      </c>
      <c r="K94" s="315">
        <f>COUNTIFS('HR Track 5 BIN'!$M$5:$M$39,$A$92,'HR Track 5 BIN'!$AW$5:$AW$39,$C94,'HR Track 5 BIN'!$AY$5:$AY$39,$D94)</f>
        <v>0</v>
      </c>
    </row>
    <row r="95" spans="1:11" ht="19.899999999999999" customHeight="1">
      <c r="A95" s="1109"/>
      <c r="B95" s="1112"/>
      <c r="C95" s="153" t="s">
        <v>2280</v>
      </c>
      <c r="D95" s="291" t="str">
        <f>VLOOKUP(B92,Foundation_Calc!$K$41:$R$74,6,FALSE)</f>
        <v>N.D.</v>
      </c>
      <c r="E95" s="7">
        <f t="shared" si="2"/>
        <v>0</v>
      </c>
      <c r="F95" s="7">
        <f>COUNTIFS('HR Track 1'!$M$5:$M$407,$A$92,'HR Track 1'!$AW$5:$AW$407,$C95,'HR Track 1'!$AY$5:$AY$407,$D95)</f>
        <v>0</v>
      </c>
      <c r="G95" s="7">
        <f>COUNTIFS('HR Track 2'!$M$5:$M$405,$A$92,'HR Track 2'!$AW$5:$AW$405,$C95,'HR Track 2'!$AY$5:$AY$405,$D95)</f>
        <v>0</v>
      </c>
      <c r="H95" s="7">
        <f>COUNTIFS('HR Track 3 ZIC'!$M$5:$M$74,$A$92,'HR Track 3 ZIC'!$AW$5:$AW$74,$C95,'HR Track 3 ZIC'!$AY$5:$AY$74,$D95)</f>
        <v>0</v>
      </c>
      <c r="I95" s="7">
        <f>COUNTIFS('HR Track 4 ZIC'!$M$5:$M$45,$A$92,'HR Track 4 ZIC'!$AW$5:$AW$45,$C95,'HR Track 4 ZIC'!$AY$5:$AY$45,$D95)</f>
        <v>0</v>
      </c>
      <c r="J95" s="7">
        <f>COUNTIFS('HR Track 4 BIN'!$M$5:$M$45,$A$92,'HR Track 4 BIN'!$AW$5:$AW$45,$C95,'HR Track 4 BIN'!$AY$5:$AY$45,$D95)</f>
        <v>0</v>
      </c>
      <c r="K95" s="315">
        <f>COUNTIFS('HR Track 5 BIN'!$M$5:$M$39,$A$92,'HR Track 5 BIN'!$AW$5:$AW$39,$C95,'HR Track 5 BIN'!$AY$5:$AY$39,$D95)</f>
        <v>0</v>
      </c>
    </row>
    <row r="96" spans="1:11" ht="19.899999999999999" customHeight="1">
      <c r="A96" s="1109"/>
      <c r="B96" s="1112"/>
      <c r="C96" s="153" t="s">
        <v>2281</v>
      </c>
      <c r="D96" s="291" t="str">
        <f>VLOOKUP(B92,Foundation_Calc!$K$41:$R$74,7,FALSE)</f>
        <v>N.D.</v>
      </c>
      <c r="E96" s="7">
        <f t="shared" si="2"/>
        <v>0</v>
      </c>
      <c r="F96" s="7">
        <f>COUNTIFS('HR Track 1'!$M$5:$M$407,$A$92,'HR Track 1'!$AW$5:$AW$407,$C96,'HR Track 1'!$AY$5:$AY$407,$D96)</f>
        <v>0</v>
      </c>
      <c r="G96" s="7">
        <f>COUNTIFS('HR Track 2'!$M$5:$M$405,$A$92,'HR Track 2'!$AW$5:$AW$405,$C96,'HR Track 2'!$AY$5:$AY$405,$D96)</f>
        <v>0</v>
      </c>
      <c r="H96" s="7">
        <f>COUNTIFS('HR Track 3 ZIC'!$M$5:$M$74,$A$92,'HR Track 3 ZIC'!$AW$5:$AW$74,$C96,'HR Track 3 ZIC'!$AY$5:$AY$74,$D96)</f>
        <v>0</v>
      </c>
      <c r="I96" s="7">
        <f>COUNTIFS('HR Track 4 ZIC'!$M$5:$M$45,$A$92,'HR Track 4 ZIC'!$AW$5:$AW$45,$C96,'HR Track 4 ZIC'!$AY$5:$AY$45,$D96)</f>
        <v>0</v>
      </c>
      <c r="J96" s="7">
        <f>COUNTIFS('HR Track 4 BIN'!$M$5:$M$45,$A$92,'HR Track 4 BIN'!$AW$5:$AW$45,$C96,'HR Track 4 BIN'!$AY$5:$AY$45,$D96)</f>
        <v>0</v>
      </c>
      <c r="K96" s="315">
        <f>COUNTIFS('HR Track 5 BIN'!$M$5:$M$39,$A$92,'HR Track 5 BIN'!$AW$5:$AW$39,$C96,'HR Track 5 BIN'!$AY$5:$AY$39,$D96)</f>
        <v>0</v>
      </c>
    </row>
    <row r="97" spans="1:12" ht="19.899999999999999" customHeight="1" thickBot="1">
      <c r="A97" s="1110"/>
      <c r="B97" s="1113"/>
      <c r="C97" s="316" t="s">
        <v>2282</v>
      </c>
      <c r="D97" s="321" t="str">
        <f>VLOOKUP(B92,Foundation_Calc!$K$41:$R$74,8,FALSE)</f>
        <v>N.D.</v>
      </c>
      <c r="E97" s="318">
        <f t="shared" si="2"/>
        <v>0</v>
      </c>
      <c r="F97" s="318">
        <f>COUNTIFS('HR Track 1'!$M$5:$M$407,$A$92,'HR Track 1'!$AW$5:$AW$407,$C97,'HR Track 1'!$AY$5:$AY$407,$D97)</f>
        <v>0</v>
      </c>
      <c r="G97" s="318">
        <f>COUNTIFS('HR Track 2'!$M$5:$M$405,$A$92,'HR Track 2'!$AW$5:$AW$405,$C97,'HR Track 2'!$AY$5:$AY$405,$D97)</f>
        <v>0</v>
      </c>
      <c r="H97" s="318">
        <f>COUNTIFS('HR Track 3 ZIC'!$M$5:$M$74,$A$92,'HR Track 3 ZIC'!$AW$5:$AW$74,$C97,'HR Track 3 ZIC'!$AY$5:$AY$74,$D97)</f>
        <v>0</v>
      </c>
      <c r="I97" s="318">
        <f>COUNTIFS('HR Track 4 ZIC'!$M$5:$M$45,$A$92,'HR Track 4 ZIC'!$AW$5:$AW$45,$C97,'HR Track 4 ZIC'!$AY$5:$AY$45,$D97)</f>
        <v>0</v>
      </c>
      <c r="J97" s="318">
        <f>COUNTIFS('HR Track 4 BIN'!$M$5:$M$45,$A$92,'HR Track 4 BIN'!$AW$5:$AW$45,$C97,'HR Track 4 BIN'!$AY$5:$AY$45,$D97)</f>
        <v>0</v>
      </c>
      <c r="K97" s="319">
        <f>COUNTIFS('HR Track 5 BIN'!$M$5:$M$39,$A$92,'HR Track 5 BIN'!$AW$5:$AW$39,$C97,'HR Track 5 BIN'!$AY$5:$AY$39,$D97)</f>
        <v>0</v>
      </c>
    </row>
    <row r="98" spans="1:12" ht="19.899999999999999" customHeight="1">
      <c r="A98" s="1114" t="s">
        <v>2362</v>
      </c>
      <c r="B98" s="1115" t="s">
        <v>268</v>
      </c>
      <c r="C98" s="311" t="s">
        <v>2407</v>
      </c>
      <c r="D98" s="312" t="str">
        <f>VLOOKUP(B98,Foundation_Calc!$K$4:$R$37,3,FALSE)</f>
        <v>N.D.</v>
      </c>
      <c r="E98" s="313">
        <f t="shared" si="2"/>
        <v>0</v>
      </c>
      <c r="F98" s="313">
        <f>COUNTIFS('HR Track 1'!$M$5:$M$407,$A$98,'HR Track 1'!$AW$5:$AW$407,$C98,'HR Track 1'!$AY$5:$AY$407,$D98)</f>
        <v>0</v>
      </c>
      <c r="G98" s="313">
        <f>COUNTIFS('HR Track 2'!$M$5:$M$405,$A$98,'HR Track 2'!$AW$5:$AW$405,$C98,'HR Track 2'!$AY$5:$AY$405,$D98)</f>
        <v>0</v>
      </c>
      <c r="H98" s="313">
        <f>COUNTIFS('HR Track 3 ZIC'!$M$5:$M$74,$A$98,'HR Track 3 ZIC'!$AW$5:$AW$74,$C98,'HR Track 3 ZIC'!$AY$5:$AY$74,$D98)</f>
        <v>0</v>
      </c>
      <c r="I98" s="313">
        <f>COUNTIFS('HR Track 4 ZIC'!$M$5:$M$45,$A$98,'HR Track 4 ZIC'!$AW$5:$AW$45,$C98,'HR Track 4 ZIC'!$AY$5:$AY$45,$D98)</f>
        <v>0</v>
      </c>
      <c r="J98" s="313">
        <f>COUNTIFS('HR Track 4 BIN'!$M$5:$M$45,$A$98,'HR Track 4 BIN'!$AW$5:$AW$45,$C98,'HR Track 4 BIN'!$AY$5:$AY$45,$D98)</f>
        <v>0</v>
      </c>
      <c r="K98" s="314">
        <f>COUNTIFS('HR Track 5 BIN'!$M$5:$M$39,$A$98,'HR Track 5 BIN'!$AW$5:$AW$39,$C98,'HR Track 5 BIN'!$AY$5:$AY$39,$D98)</f>
        <v>0</v>
      </c>
    </row>
    <row r="99" spans="1:12" ht="19.899999999999999" customHeight="1">
      <c r="A99" s="1024"/>
      <c r="B99" s="1013"/>
      <c r="C99" s="153" t="s">
        <v>2408</v>
      </c>
      <c r="D99" s="11" t="str">
        <f>VLOOKUP(B98,Foundation_Calc!$K$4:$R$37,4,FALSE)</f>
        <v>N.D.</v>
      </c>
      <c r="E99" s="7">
        <f t="shared" si="2"/>
        <v>0</v>
      </c>
      <c r="F99" s="7">
        <f>COUNTIFS('HR Track 1'!$M$5:$M$407,$A$98,'HR Track 1'!$AW$5:$AW$407,$C99,'HR Track 1'!$AY$5:$AY$407,$D99)</f>
        <v>0</v>
      </c>
      <c r="G99" s="7">
        <f>COUNTIFS('HR Track 2'!$M$5:$M$405,$A$98,'HR Track 2'!$AW$5:$AW$405,$C99,'HR Track 2'!$AY$5:$AY$405,$D99)</f>
        <v>0</v>
      </c>
      <c r="H99" s="7">
        <f>COUNTIFS('HR Track 3 ZIC'!$M$5:$M$74,$A$98,'HR Track 3 ZIC'!$AW$5:$AW$74,$C99,'HR Track 3 ZIC'!$AY$5:$AY$74,$D99)</f>
        <v>0</v>
      </c>
      <c r="I99" s="7">
        <f>COUNTIFS('HR Track 4 ZIC'!$M$5:$M$45,$A$98,'HR Track 4 ZIC'!$AW$5:$AW$45,$C99,'HR Track 4 ZIC'!$AY$5:$AY$45,$D99)</f>
        <v>0</v>
      </c>
      <c r="J99" s="7">
        <f>COUNTIFS('HR Track 4 BIN'!$M$5:$M$45,$A$98,'HR Track 4 BIN'!$AW$5:$AW$45,$C99,'HR Track 4 BIN'!$AY$5:$AY$45,$D99)</f>
        <v>0</v>
      </c>
      <c r="K99" s="315">
        <f>COUNTIFS('HR Track 5 BIN'!$M$5:$M$39,$A$98,'HR Track 5 BIN'!$AW$5:$AW$39,$C99,'HR Track 5 BIN'!$AY$5:$AY$39,$D99)</f>
        <v>0</v>
      </c>
    </row>
    <row r="100" spans="1:12" ht="19.899999999999999" customHeight="1">
      <c r="A100" s="1024"/>
      <c r="B100" s="1013"/>
      <c r="C100" s="153" t="s">
        <v>2409</v>
      </c>
      <c r="D100" s="11" t="str">
        <f>VLOOKUP(B98,Foundation_Calc!$K$4:$R$37,5,FALSE)</f>
        <v>N.D.</v>
      </c>
      <c r="E100" s="7">
        <f t="shared" si="2"/>
        <v>0</v>
      </c>
      <c r="F100" s="7">
        <f>COUNTIFS('HR Track 1'!$M$5:$M$407,$A$98,'HR Track 1'!$AW$5:$AW$407,$C100,'HR Track 1'!$AY$5:$AY$407,$D100)</f>
        <v>0</v>
      </c>
      <c r="G100" s="7">
        <f>COUNTIFS('HR Track 2'!$M$5:$M$405,$A$98,'HR Track 2'!$AW$5:$AW$405,$C100,'HR Track 2'!$AY$5:$AY$405,$D100)</f>
        <v>0</v>
      </c>
      <c r="H100" s="7">
        <f>COUNTIFS('HR Track 3 ZIC'!$M$5:$M$74,$A$98,'HR Track 3 ZIC'!$AW$5:$AW$74,$C100,'HR Track 3 ZIC'!$AY$5:$AY$74,$D100)</f>
        <v>0</v>
      </c>
      <c r="I100" s="7">
        <f>COUNTIFS('HR Track 4 ZIC'!$M$5:$M$45,$A$98,'HR Track 4 ZIC'!$AW$5:$AW$45,$C100,'HR Track 4 ZIC'!$AY$5:$AY$45,$D100)</f>
        <v>0</v>
      </c>
      <c r="J100" s="7">
        <f>COUNTIFS('HR Track 4 BIN'!$M$5:$M$45,$A$98,'HR Track 4 BIN'!$AW$5:$AW$45,$C100,'HR Track 4 BIN'!$AY$5:$AY$45,$D100)</f>
        <v>0</v>
      </c>
      <c r="K100" s="315">
        <f>COUNTIFS('HR Track 5 BIN'!$M$5:$M$39,$A$98,'HR Track 5 BIN'!$AW$5:$AW$39,$C100,'HR Track 5 BIN'!$AY$5:$AY$39,$D100)</f>
        <v>0</v>
      </c>
    </row>
    <row r="101" spans="1:12" ht="19.899999999999999" customHeight="1">
      <c r="A101" s="1024"/>
      <c r="B101" s="1013"/>
      <c r="C101" s="153" t="s">
        <v>2280</v>
      </c>
      <c r="D101" s="11" t="str">
        <f>VLOOKUP(B98,Foundation_Calc!$K$4:$R$37,6,FALSE)</f>
        <v>N.D.</v>
      </c>
      <c r="E101" s="7">
        <f t="shared" si="2"/>
        <v>0</v>
      </c>
      <c r="F101" s="7">
        <f>COUNTIFS('HR Track 1'!$M$5:$M$407,$A$98,'HR Track 1'!$AW$5:$AW$407,$C101,'HR Track 1'!$AY$5:$AY$407,$D101)</f>
        <v>0</v>
      </c>
      <c r="G101" s="7">
        <f>COUNTIFS('HR Track 2'!$M$5:$M$405,$A$98,'HR Track 2'!$AW$5:$AW$405,$C101,'HR Track 2'!$AY$5:$AY$405,$D101)</f>
        <v>0</v>
      </c>
      <c r="H101" s="7">
        <f>COUNTIFS('HR Track 3 ZIC'!$M$5:$M$74,$A$98,'HR Track 3 ZIC'!$AW$5:$AW$74,$C101,'HR Track 3 ZIC'!$AY$5:$AY$74,$D101)</f>
        <v>0</v>
      </c>
      <c r="I101" s="7">
        <f>COUNTIFS('HR Track 4 ZIC'!$M$5:$M$45,$A$98,'HR Track 4 ZIC'!$AW$5:$AW$45,$C101,'HR Track 4 ZIC'!$AY$5:$AY$45,$D101)</f>
        <v>0</v>
      </c>
      <c r="J101" s="7">
        <f>COUNTIFS('HR Track 4 BIN'!$M$5:$M$45,$A$98,'HR Track 4 BIN'!$AW$5:$AW$45,$C101,'HR Track 4 BIN'!$AY$5:$AY$45,$D101)</f>
        <v>0</v>
      </c>
      <c r="K101" s="315">
        <f>COUNTIFS('HR Track 5 BIN'!$M$5:$M$39,$A$98,'HR Track 5 BIN'!$AW$5:$AW$39,$C101,'HR Track 5 BIN'!$AY$5:$AY$39,$D101)</f>
        <v>0</v>
      </c>
    </row>
    <row r="102" spans="1:12" ht="19.899999999999999" customHeight="1">
      <c r="A102" s="1024"/>
      <c r="B102" s="1013"/>
      <c r="C102" s="153" t="s">
        <v>2281</v>
      </c>
      <c r="D102" s="11" t="str">
        <f>VLOOKUP(B98,Foundation_Calc!$K$4:$R$37,7,FALSE)</f>
        <v>N.D.</v>
      </c>
      <c r="E102" s="7">
        <f t="shared" si="2"/>
        <v>0</v>
      </c>
      <c r="F102" s="7">
        <f>COUNTIFS('HR Track 1'!$M$5:$M$407,$A$98,'HR Track 1'!$AW$5:$AW$407,$C102,'HR Track 1'!$AY$5:$AY$407,$D102)</f>
        <v>0</v>
      </c>
      <c r="G102" s="7">
        <f>COUNTIFS('HR Track 2'!$M$5:$M$405,$A$98,'HR Track 2'!$AW$5:$AW$405,$C102,'HR Track 2'!$AY$5:$AY$405,$D102)</f>
        <v>0</v>
      </c>
      <c r="H102" s="7">
        <f>COUNTIFS('HR Track 3 ZIC'!$M$5:$M$74,$A$98,'HR Track 3 ZIC'!$AW$5:$AW$74,$C102,'HR Track 3 ZIC'!$AY$5:$AY$74,$D102)</f>
        <v>0</v>
      </c>
      <c r="I102" s="7">
        <f>COUNTIFS('HR Track 4 ZIC'!$M$5:$M$45,$A$98,'HR Track 4 ZIC'!$AW$5:$AW$45,$C102,'HR Track 4 ZIC'!$AY$5:$AY$45,$D102)</f>
        <v>0</v>
      </c>
      <c r="J102" s="7">
        <f>COUNTIFS('HR Track 4 BIN'!$M$5:$M$45,$A$98,'HR Track 4 BIN'!$AW$5:$AW$45,$C102,'HR Track 4 BIN'!$AY$5:$AY$45,$D102)</f>
        <v>0</v>
      </c>
      <c r="K102" s="315">
        <f>COUNTIFS('HR Track 5 BIN'!$M$5:$M$39,$A$98,'HR Track 5 BIN'!$AW$5:$AW$39,$C102,'HR Track 5 BIN'!$AY$5:$AY$39,$D102)</f>
        <v>0</v>
      </c>
    </row>
    <row r="103" spans="1:12" ht="19.899999999999999" customHeight="1" thickBot="1">
      <c r="A103" s="1025"/>
      <c r="B103" s="1014"/>
      <c r="C103" s="316" t="s">
        <v>2282</v>
      </c>
      <c r="D103" s="317" t="str">
        <f>VLOOKUP(B98,Foundation_Calc!$K$4:$R$37,8,FALSE)</f>
        <v>N.D.</v>
      </c>
      <c r="E103" s="318">
        <f t="shared" si="2"/>
        <v>0</v>
      </c>
      <c r="F103" s="318">
        <f>COUNTIFS('HR Track 1'!$M$5:$M$407,$A$98,'HR Track 1'!$AW$5:$AW$407,$C103,'HR Track 1'!$AY$5:$AY$407,$D103)</f>
        <v>0</v>
      </c>
      <c r="G103" s="318">
        <f>COUNTIFS('HR Track 2'!$M$5:$M$405,$A$98,'HR Track 2'!$AW$5:$AW$405,$C103,'HR Track 2'!$AY$5:$AY$405,$D103)</f>
        <v>0</v>
      </c>
      <c r="H103" s="318">
        <f>COUNTIFS('HR Track 3 ZIC'!$M$5:$M$74,$A$98,'HR Track 3 ZIC'!$AW$5:$AW$74,$C103,'HR Track 3 ZIC'!$AY$5:$AY$74,$D103)</f>
        <v>0</v>
      </c>
      <c r="I103" s="318">
        <f>COUNTIFS('HR Track 4 ZIC'!$M$5:$M$45,$A$98,'HR Track 4 ZIC'!$AW$5:$AW$45,$C103,'HR Track 4 ZIC'!$AY$5:$AY$45,$D103)</f>
        <v>0</v>
      </c>
      <c r="J103" s="318">
        <f>COUNTIFS('HR Track 4 BIN'!$M$5:$M$45,$A$98,'HR Track 4 BIN'!$AW$5:$AW$45,$C103,'HR Track 4 BIN'!$AY$5:$AY$45,$D103)</f>
        <v>0</v>
      </c>
      <c r="K103" s="319">
        <f>COUNTIFS('HR Track 5 BIN'!$M$5:$M$39,$A$98,'HR Track 5 BIN'!$AW$5:$AW$39,$C103,'HR Track 5 BIN'!$AY$5:$AY$39,$D103)</f>
        <v>0</v>
      </c>
    </row>
    <row r="104" spans="1:12" ht="19.899999999999999" customHeight="1">
      <c r="A104" s="1108" t="s">
        <v>2377</v>
      </c>
      <c r="B104" s="1111" t="s">
        <v>268</v>
      </c>
      <c r="C104" s="311" t="s">
        <v>2407</v>
      </c>
      <c r="D104" s="320" t="str">
        <f>VLOOKUP(B104,Foundation_Calc!$K$41:$R$74,3,FALSE)</f>
        <v>N.D.</v>
      </c>
      <c r="E104" s="313">
        <f t="shared" si="2"/>
        <v>0</v>
      </c>
      <c r="F104" s="313">
        <f>COUNTIFS('HR Track 1'!$M$5:$M$407,$A$104,'HR Track 1'!$AW$5:$AW$407,$C104,'HR Track 1'!$AY$5:$AY$407,$D104)</f>
        <v>0</v>
      </c>
      <c r="G104" s="313">
        <f>COUNTIFS('HR Track 2'!$M$5:$M$405,$A$104,'HR Track 2'!$AW$5:$AW$405,$C104,'HR Track 2'!$AY$5:$AY$405,$D104)</f>
        <v>0</v>
      </c>
      <c r="H104" s="313">
        <f>COUNTIFS('HR Track 3 ZIC'!$M$5:$M$74,$A$104,'HR Track 3 ZIC'!$AW$5:$AW$74,$C104,'HR Track 3 ZIC'!$AY$5:$AY$74,$D104)</f>
        <v>0</v>
      </c>
      <c r="I104" s="313">
        <f>COUNTIFS('HR Track 4 ZIC'!$M$5:$M$45,$A$104,'HR Track 4 ZIC'!$AW$5:$AW$45,$C104,'HR Track 4 ZIC'!$AY$5:$AY$45,$D104)</f>
        <v>0</v>
      </c>
      <c r="J104" s="313">
        <f>COUNTIFS('HR Track 4 BIN'!$M$5:$M$45,$A$104,'HR Track 4 BIN'!$AW$5:$AW$45,$C104,'HR Track 4 BIN'!$AY$5:$AY$45,$D104)</f>
        <v>0</v>
      </c>
      <c r="K104" s="314">
        <f>COUNTIFS('HR Track 5 BIN'!$M$5:$M$39,$A$104,'HR Track 5 BIN'!$AW$5:$AW$39,$C104,'HR Track 5 BIN'!$AY$5:$AY$39,$D104)</f>
        <v>0</v>
      </c>
    </row>
    <row r="105" spans="1:12" ht="19.899999999999999" customHeight="1">
      <c r="A105" s="1109"/>
      <c r="B105" s="1112"/>
      <c r="C105" s="153" t="s">
        <v>2408</v>
      </c>
      <c r="D105" s="291" t="str">
        <f>VLOOKUP(B104,Foundation_Calc!$K$41:$R$74,4,FALSE)</f>
        <v>N.D.</v>
      </c>
      <c r="E105" s="7">
        <f t="shared" si="2"/>
        <v>0</v>
      </c>
      <c r="F105" s="7">
        <f>COUNTIFS('HR Track 1'!$M$5:$M$407,$A$104,'HR Track 1'!$AW$5:$AW$407,$C105,'HR Track 1'!$AY$5:$AY$407,$D105)</f>
        <v>0</v>
      </c>
      <c r="G105" s="7">
        <f>COUNTIFS('HR Track 2'!$M$5:$M$405,$A$104,'HR Track 2'!$AW$5:$AW$405,$C105,'HR Track 2'!$AY$5:$AY$405,$D105)</f>
        <v>0</v>
      </c>
      <c r="H105" s="7">
        <f>COUNTIFS('HR Track 3 ZIC'!$M$5:$M$74,$A$104,'HR Track 3 ZIC'!$AW$5:$AW$74,$C105,'HR Track 3 ZIC'!$AY$5:$AY$74,$D105)</f>
        <v>0</v>
      </c>
      <c r="I105" s="7">
        <f>COUNTIFS('HR Track 4 ZIC'!$M$5:$M$45,$A$104,'HR Track 4 ZIC'!$AW$5:$AW$45,$C105,'HR Track 4 ZIC'!$AY$5:$AY$45,$D105)</f>
        <v>0</v>
      </c>
      <c r="J105" s="7">
        <f>COUNTIFS('HR Track 4 BIN'!$M$5:$M$45,$A$104,'HR Track 4 BIN'!$AW$5:$AW$45,$C105,'HR Track 4 BIN'!$AY$5:$AY$45,$D105)</f>
        <v>0</v>
      </c>
      <c r="K105" s="315">
        <f>COUNTIFS('HR Track 5 BIN'!$M$5:$M$39,$A$104,'HR Track 5 BIN'!$AW$5:$AW$39,$C105,'HR Track 5 BIN'!$AY$5:$AY$39,$D105)</f>
        <v>0</v>
      </c>
    </row>
    <row r="106" spans="1:12" ht="19.899999999999999" customHeight="1">
      <c r="A106" s="1109"/>
      <c r="B106" s="1112"/>
      <c r="C106" s="153" t="s">
        <v>2409</v>
      </c>
      <c r="D106" s="291" t="str">
        <f>VLOOKUP(B104,Foundation_Calc!$K$41:$R$74,5,FALSE)</f>
        <v>N.D.</v>
      </c>
      <c r="E106" s="7">
        <f t="shared" si="2"/>
        <v>0</v>
      </c>
      <c r="F106" s="7">
        <f>COUNTIFS('HR Track 1'!$M$5:$M$407,$A$104,'HR Track 1'!$AW$5:$AW$407,$C106,'HR Track 1'!$AY$5:$AY$407,$D106)</f>
        <v>0</v>
      </c>
      <c r="G106" s="7">
        <f>COUNTIFS('HR Track 2'!$M$5:$M$405,$A$104,'HR Track 2'!$AW$5:$AW$405,$C106,'HR Track 2'!$AY$5:$AY$405,$D106)</f>
        <v>0</v>
      </c>
      <c r="H106" s="7">
        <f>COUNTIFS('HR Track 3 ZIC'!$M$5:$M$74,$A$104,'HR Track 3 ZIC'!$AW$5:$AW$74,$C106,'HR Track 3 ZIC'!$AY$5:$AY$74,$D106)</f>
        <v>0</v>
      </c>
      <c r="I106" s="7">
        <f>COUNTIFS('HR Track 4 ZIC'!$M$5:$M$45,$A$104,'HR Track 4 ZIC'!$AW$5:$AW$45,$C106,'HR Track 4 ZIC'!$AY$5:$AY$45,$D106)</f>
        <v>0</v>
      </c>
      <c r="J106" s="7">
        <f>COUNTIFS('HR Track 4 BIN'!$M$5:$M$45,$A$104,'HR Track 4 BIN'!$AW$5:$AW$45,$C106,'HR Track 4 BIN'!$AY$5:$AY$45,$D106)</f>
        <v>0</v>
      </c>
      <c r="K106" s="315">
        <f>COUNTIFS('HR Track 5 BIN'!$M$5:$M$39,$A$104,'HR Track 5 BIN'!$AW$5:$AW$39,$C106,'HR Track 5 BIN'!$AY$5:$AY$39,$D106)</f>
        <v>0</v>
      </c>
    </row>
    <row r="107" spans="1:12" ht="19.899999999999999" customHeight="1">
      <c r="A107" s="1109"/>
      <c r="B107" s="1112"/>
      <c r="C107" s="153" t="s">
        <v>2280</v>
      </c>
      <c r="D107" s="291" t="str">
        <f>VLOOKUP(B104,Foundation_Calc!$K$41:$R$74,6,FALSE)</f>
        <v>N.D.</v>
      </c>
      <c r="E107" s="7">
        <f t="shared" si="2"/>
        <v>0</v>
      </c>
      <c r="F107" s="7">
        <f>COUNTIFS('HR Track 1'!$M$5:$M$407,$A$104,'HR Track 1'!$AW$5:$AW$407,$C107,'HR Track 1'!$AY$5:$AY$407,$D107)</f>
        <v>0</v>
      </c>
      <c r="G107" s="7">
        <f>COUNTIFS('HR Track 2'!$M$5:$M$405,$A$104,'HR Track 2'!$AW$5:$AW$405,$C107,'HR Track 2'!$AY$5:$AY$405,$D107)</f>
        <v>0</v>
      </c>
      <c r="H107" s="7">
        <f>COUNTIFS('HR Track 3 ZIC'!$M$5:$M$74,$A$104,'HR Track 3 ZIC'!$AW$5:$AW$74,$C107,'HR Track 3 ZIC'!$AY$5:$AY$74,$D107)</f>
        <v>0</v>
      </c>
      <c r="I107" s="7">
        <f>COUNTIFS('HR Track 4 ZIC'!$M$5:$M$45,$A$104,'HR Track 4 ZIC'!$AW$5:$AW$45,$C107,'HR Track 4 ZIC'!$AY$5:$AY$45,$D107)</f>
        <v>0</v>
      </c>
      <c r="J107" s="7">
        <f>COUNTIFS('HR Track 4 BIN'!$M$5:$M$45,$A$104,'HR Track 4 BIN'!$AW$5:$AW$45,$C107,'HR Track 4 BIN'!$AY$5:$AY$45,$D107)</f>
        <v>0</v>
      </c>
      <c r="K107" s="315">
        <f>COUNTIFS('HR Track 5 BIN'!$M$5:$M$39,$A$104,'HR Track 5 BIN'!$AW$5:$AW$39,$C107,'HR Track 5 BIN'!$AY$5:$AY$39,$D107)</f>
        <v>0</v>
      </c>
    </row>
    <row r="108" spans="1:12" ht="19.899999999999999" customHeight="1">
      <c r="A108" s="1109"/>
      <c r="B108" s="1112"/>
      <c r="C108" s="153" t="s">
        <v>2281</v>
      </c>
      <c r="D108" s="291" t="str">
        <f>VLOOKUP(B104,Foundation_Calc!$K$41:$R$74,7,FALSE)</f>
        <v>N.D.</v>
      </c>
      <c r="E108" s="7">
        <f t="shared" si="2"/>
        <v>0</v>
      </c>
      <c r="F108" s="7">
        <f>COUNTIFS('HR Track 1'!$M$5:$M$407,$A$104,'HR Track 1'!$AW$5:$AW$407,$C108,'HR Track 1'!$AY$5:$AY$407,$D108)</f>
        <v>0</v>
      </c>
      <c r="G108" s="7">
        <f>COUNTIFS('HR Track 2'!$M$5:$M$405,$A$104,'HR Track 2'!$AW$5:$AW$405,$C108,'HR Track 2'!$AY$5:$AY$405,$D108)</f>
        <v>0</v>
      </c>
      <c r="H108" s="7">
        <f>COUNTIFS('HR Track 3 ZIC'!$M$5:$M$74,$A$104,'HR Track 3 ZIC'!$AW$5:$AW$74,$C108,'HR Track 3 ZIC'!$AY$5:$AY$74,$D108)</f>
        <v>0</v>
      </c>
      <c r="I108" s="7">
        <f>COUNTIFS('HR Track 4 ZIC'!$M$5:$M$45,$A$104,'HR Track 4 ZIC'!$AW$5:$AW$45,$C108,'HR Track 4 ZIC'!$AY$5:$AY$45,$D108)</f>
        <v>0</v>
      </c>
      <c r="J108" s="7">
        <f>COUNTIFS('HR Track 4 BIN'!$M$5:$M$45,$A$104,'HR Track 4 BIN'!$AW$5:$AW$45,$C108,'HR Track 4 BIN'!$AY$5:$AY$45,$D108)</f>
        <v>0</v>
      </c>
      <c r="K108" s="315">
        <f>COUNTIFS('HR Track 5 BIN'!$M$5:$M$39,$A$104,'HR Track 5 BIN'!$AW$5:$AW$39,$C108,'HR Track 5 BIN'!$AY$5:$AY$39,$D108)</f>
        <v>0</v>
      </c>
    </row>
    <row r="109" spans="1:12" ht="19.899999999999999" customHeight="1" thickBot="1">
      <c r="A109" s="1110"/>
      <c r="B109" s="1113"/>
      <c r="C109" s="316" t="s">
        <v>2282</v>
      </c>
      <c r="D109" s="321" t="str">
        <f>VLOOKUP(B104,Foundation_Calc!$K$41:$R$74,8,FALSE)</f>
        <v>N.D.</v>
      </c>
      <c r="E109" s="318">
        <f t="shared" si="2"/>
        <v>0</v>
      </c>
      <c r="F109" s="318">
        <f>COUNTIFS('HR Track 1'!$M$5:$M$407,$A$104,'HR Track 1'!$AW$5:$AW$407,$C109,'HR Track 1'!$AY$5:$AY$407,$D109)</f>
        <v>0</v>
      </c>
      <c r="G109" s="318">
        <f>COUNTIFS('HR Track 2'!$M$5:$M$405,$A$104,'HR Track 2'!$AW$5:$AW$405,$C109,'HR Track 2'!$AY$5:$AY$405,$D109)</f>
        <v>0</v>
      </c>
      <c r="H109" s="318">
        <f>COUNTIFS('HR Track 3 ZIC'!$M$5:$M$74,$A$104,'HR Track 3 ZIC'!$AW$5:$AW$74,$C109,'HR Track 3 ZIC'!$AY$5:$AY$74,$D109)</f>
        <v>0</v>
      </c>
      <c r="I109" s="318">
        <f>COUNTIFS('HR Track 4 ZIC'!$M$5:$M$45,$A$104,'HR Track 4 ZIC'!$AW$5:$AW$45,$C109,'HR Track 4 ZIC'!$AY$5:$AY$45,$D109)</f>
        <v>0</v>
      </c>
      <c r="J109" s="318">
        <f>COUNTIFS('HR Track 4 BIN'!$M$5:$M$45,$A$104,'HR Track 4 BIN'!$AW$5:$AW$45,$C109,'HR Track 4 BIN'!$AY$5:$AY$45,$D109)</f>
        <v>0</v>
      </c>
      <c r="K109" s="319">
        <f>COUNTIFS('HR Track 5 BIN'!$M$5:$M$39,$A$104,'HR Track 5 BIN'!$AW$5:$AW$39,$C109,'HR Track 5 BIN'!$AY$5:$AY$39,$D109)</f>
        <v>0</v>
      </c>
    </row>
    <row r="110" spans="1:12" ht="19.899999999999999" customHeight="1">
      <c r="A110" s="1114" t="s">
        <v>2364</v>
      </c>
      <c r="B110" s="1115" t="s">
        <v>1862</v>
      </c>
      <c r="C110" s="311" t="s">
        <v>2407</v>
      </c>
      <c r="D110" s="312" t="str">
        <f>VLOOKUP(B110,Foundation_Calc!$K$4:$R$37,3,FALSE)</f>
        <v>N.D.</v>
      </c>
      <c r="E110" s="313">
        <f t="shared" si="2"/>
        <v>0</v>
      </c>
      <c r="F110" s="313">
        <f>COUNTIFS('HR Track 1'!$M$5:$M$407,$A$110,'HR Track 1'!$AW$5:$AW$407,$C110,'HR Track 1'!$AY$5:$AY$407,$D110)</f>
        <v>0</v>
      </c>
      <c r="G110" s="313">
        <f>COUNTIFS('HR Track 2'!$M$5:$M$405,$A$110,'HR Track 2'!$AW$5:$AW$405,$C110,'HR Track 2'!$AY$5:$AY$405,$D110)</f>
        <v>0</v>
      </c>
      <c r="H110" s="313">
        <f>COUNTIFS('HR Track 3 ZIC'!$M$5:$M$74,$A$110,'HR Track 3 ZIC'!$AW$5:$AW$74,$C110,'HR Track 3 ZIC'!$AY$5:$AY$74,$D110)</f>
        <v>0</v>
      </c>
      <c r="I110" s="313">
        <f>COUNTIFS('HR Track 4 ZIC'!$M$5:$M$45,$A$110,'HR Track 4 ZIC'!$AW$5:$AW$45,$C110,'HR Track 4 ZIC'!$AY$5:$AY$45,$D110)</f>
        <v>0</v>
      </c>
      <c r="J110" s="313">
        <f>COUNTIFS('HR Track 4 BIN'!$M$5:$M$45,$A$110,'HR Track 4 BIN'!$AW$5:$AW$45,$C110,'HR Track 4 BIN'!$AY$5:$AY$45,$D110)</f>
        <v>0</v>
      </c>
      <c r="K110" s="314">
        <f>COUNTIFS('HR Track 5 BIN'!$M$5:$M$39,$A$110,'HR Track 5 BIN'!$AW$5:$AW$39,$C110,'HR Track 5 BIN'!$AY$5:$AY$39,$D110)</f>
        <v>0</v>
      </c>
      <c r="L110" s="1102" t="s">
        <v>1610</v>
      </c>
    </row>
    <row r="111" spans="1:12" ht="19.899999999999999" customHeight="1">
      <c r="A111" s="1024"/>
      <c r="B111" s="1013"/>
      <c r="C111" s="153" t="s">
        <v>2408</v>
      </c>
      <c r="D111" s="11" t="str">
        <f>VLOOKUP(B110,Foundation_Calc!$K$4:$R$37,4,FALSE)</f>
        <v>N.D.</v>
      </c>
      <c r="E111" s="7">
        <f t="shared" si="2"/>
        <v>0</v>
      </c>
      <c r="F111" s="7">
        <f>COUNTIFS('HR Track 1'!$M$5:$M$407,$A$110,'HR Track 1'!$AW$5:$AW$407,$C111,'HR Track 1'!$AY$5:$AY$407,$D111)</f>
        <v>0</v>
      </c>
      <c r="G111" s="7">
        <f>COUNTIFS('HR Track 2'!$M$5:$M$405,$A$110,'HR Track 2'!$AW$5:$AW$405,$C111,'HR Track 2'!$AY$5:$AY$405,$D111)</f>
        <v>0</v>
      </c>
      <c r="H111" s="7">
        <f>COUNTIFS('HR Track 3 ZIC'!$M$5:$M$74,$A$110,'HR Track 3 ZIC'!$AW$5:$AW$74,$C111,'HR Track 3 ZIC'!$AY$5:$AY$74,$D111)</f>
        <v>0</v>
      </c>
      <c r="I111" s="7">
        <f>COUNTIFS('HR Track 4 ZIC'!$M$5:$M$45,$A$110,'HR Track 4 ZIC'!$AW$5:$AW$45,$C111,'HR Track 4 ZIC'!$AY$5:$AY$45,$D111)</f>
        <v>0</v>
      </c>
      <c r="J111" s="7">
        <f>COUNTIFS('HR Track 4 BIN'!$M$5:$M$45,$A$110,'HR Track 4 BIN'!$AW$5:$AW$45,$C111,'HR Track 4 BIN'!$AY$5:$AY$45,$D111)</f>
        <v>0</v>
      </c>
      <c r="K111" s="315">
        <f>COUNTIFS('HR Track 5 BIN'!$M$5:$M$39,$A$110,'HR Track 5 BIN'!$AW$5:$AW$39,$C111,'HR Track 5 BIN'!$AY$5:$AY$39,$D111)</f>
        <v>0</v>
      </c>
      <c r="L111" s="1103"/>
    </row>
    <row r="112" spans="1:12" ht="19.899999999999999" customHeight="1">
      <c r="A112" s="1024"/>
      <c r="B112" s="1013"/>
      <c r="C112" s="153" t="s">
        <v>2409</v>
      </c>
      <c r="D112" s="11" t="str">
        <f>VLOOKUP(B110,Foundation_Calc!$K$4:$R$37,5,FALSE)</f>
        <v>N.D.</v>
      </c>
      <c r="E112" s="7">
        <f t="shared" si="2"/>
        <v>0</v>
      </c>
      <c r="F112" s="7">
        <f>COUNTIFS('HR Track 1'!$M$5:$M$407,$A$110,'HR Track 1'!$AW$5:$AW$407,$C112,'HR Track 1'!$AY$5:$AY$407,$D112)</f>
        <v>0</v>
      </c>
      <c r="G112" s="7">
        <f>COUNTIFS('HR Track 2'!$M$5:$M$405,$A$110,'HR Track 2'!$AW$5:$AW$405,$C112,'HR Track 2'!$AY$5:$AY$405,$D112)</f>
        <v>0</v>
      </c>
      <c r="H112" s="7">
        <f>COUNTIFS('HR Track 3 ZIC'!$M$5:$M$74,$A$110,'HR Track 3 ZIC'!$AW$5:$AW$74,$C112,'HR Track 3 ZIC'!$AY$5:$AY$74,$D112)</f>
        <v>0</v>
      </c>
      <c r="I112" s="7">
        <f>COUNTIFS('HR Track 4 ZIC'!$M$5:$M$45,$A$110,'HR Track 4 ZIC'!$AW$5:$AW$45,$C112,'HR Track 4 ZIC'!$AY$5:$AY$45,$D112)</f>
        <v>0</v>
      </c>
      <c r="J112" s="7">
        <f>COUNTIFS('HR Track 4 BIN'!$M$5:$M$45,$A$110,'HR Track 4 BIN'!$AW$5:$AW$45,$C112,'HR Track 4 BIN'!$AY$5:$AY$45,$D112)</f>
        <v>0</v>
      </c>
      <c r="K112" s="315">
        <f>COUNTIFS('HR Track 5 BIN'!$M$5:$M$39,$A$110,'HR Track 5 BIN'!$AW$5:$AW$39,$C112,'HR Track 5 BIN'!$AY$5:$AY$39,$D112)</f>
        <v>0</v>
      </c>
      <c r="L112" s="1103"/>
    </row>
    <row r="113" spans="1:12" ht="19.899999999999999" customHeight="1">
      <c r="A113" s="1024"/>
      <c r="B113" s="1013"/>
      <c r="C113" s="153" t="s">
        <v>2280</v>
      </c>
      <c r="D113" s="11" t="str">
        <f>VLOOKUP(B110,Foundation_Calc!$K$4:$R$37,6,FALSE)</f>
        <v>N.D.</v>
      </c>
      <c r="E113" s="7">
        <f t="shared" si="2"/>
        <v>0</v>
      </c>
      <c r="F113" s="7">
        <f>COUNTIFS('HR Track 1'!$M$5:$M$407,$A$110,'HR Track 1'!$AW$5:$AW$407,$C113,'HR Track 1'!$AY$5:$AY$407,$D113)</f>
        <v>0</v>
      </c>
      <c r="G113" s="7">
        <f>COUNTIFS('HR Track 2'!$M$5:$M$405,$A$110,'HR Track 2'!$AW$5:$AW$405,$C113,'HR Track 2'!$AY$5:$AY$405,$D113)</f>
        <v>0</v>
      </c>
      <c r="H113" s="7">
        <f>COUNTIFS('HR Track 3 ZIC'!$M$5:$M$74,$A$110,'HR Track 3 ZIC'!$AW$5:$AW$74,$C113,'HR Track 3 ZIC'!$AY$5:$AY$74,$D113)</f>
        <v>0</v>
      </c>
      <c r="I113" s="7">
        <f>COUNTIFS('HR Track 4 ZIC'!$M$5:$M$45,$A$110,'HR Track 4 ZIC'!$AW$5:$AW$45,$C113,'HR Track 4 ZIC'!$AY$5:$AY$45,$D113)</f>
        <v>0</v>
      </c>
      <c r="J113" s="7">
        <f>COUNTIFS('HR Track 4 BIN'!$M$5:$M$45,$A$110,'HR Track 4 BIN'!$AW$5:$AW$45,$C113,'HR Track 4 BIN'!$AY$5:$AY$45,$D113)</f>
        <v>0</v>
      </c>
      <c r="K113" s="315">
        <f>COUNTIFS('HR Track 5 BIN'!$M$5:$M$39,$A$110,'HR Track 5 BIN'!$AW$5:$AW$39,$C113,'HR Track 5 BIN'!$AY$5:$AY$39,$D113)</f>
        <v>0</v>
      </c>
      <c r="L113" s="1103"/>
    </row>
    <row r="114" spans="1:12" ht="19.899999999999999" customHeight="1">
      <c r="A114" s="1024"/>
      <c r="B114" s="1013"/>
      <c r="C114" s="153" t="s">
        <v>2281</v>
      </c>
      <c r="D114" s="11" t="str">
        <f>VLOOKUP(B110,Foundation_Calc!$K$4:$R$37,7,FALSE)</f>
        <v>N.D.</v>
      </c>
      <c r="E114" s="7">
        <f t="shared" si="2"/>
        <v>0</v>
      </c>
      <c r="F114" s="7">
        <f>COUNTIFS('HR Track 1'!$M$5:$M$407,$A$110,'HR Track 1'!$AW$5:$AW$407,$C114,'HR Track 1'!$AY$5:$AY$407,$D114)</f>
        <v>0</v>
      </c>
      <c r="G114" s="7">
        <f>COUNTIFS('HR Track 2'!$M$5:$M$405,$A$110,'HR Track 2'!$AW$5:$AW$405,$C114,'HR Track 2'!$AY$5:$AY$405,$D114)</f>
        <v>0</v>
      </c>
      <c r="H114" s="7">
        <f>COUNTIFS('HR Track 3 ZIC'!$M$5:$M$74,$A$110,'HR Track 3 ZIC'!$AW$5:$AW$74,$C114,'HR Track 3 ZIC'!$AY$5:$AY$74,$D114)</f>
        <v>0</v>
      </c>
      <c r="I114" s="7">
        <f>COUNTIFS('HR Track 4 ZIC'!$M$5:$M$45,$A$110,'HR Track 4 ZIC'!$AW$5:$AW$45,$C114,'HR Track 4 ZIC'!$AY$5:$AY$45,$D114)</f>
        <v>0</v>
      </c>
      <c r="J114" s="7">
        <f>COUNTIFS('HR Track 4 BIN'!$M$5:$M$45,$A$110,'HR Track 4 BIN'!$AW$5:$AW$45,$C114,'HR Track 4 BIN'!$AY$5:$AY$45,$D114)</f>
        <v>0</v>
      </c>
      <c r="K114" s="315">
        <f>COUNTIFS('HR Track 5 BIN'!$M$5:$M$39,$A$110,'HR Track 5 BIN'!$AW$5:$AW$39,$C114,'HR Track 5 BIN'!$AY$5:$AY$39,$D114)</f>
        <v>0</v>
      </c>
      <c r="L114" s="1103"/>
    </row>
    <row r="115" spans="1:12" ht="19.899999999999999" customHeight="1" thickBot="1">
      <c r="A115" s="1025"/>
      <c r="B115" s="1014"/>
      <c r="C115" s="316" t="s">
        <v>2282</v>
      </c>
      <c r="D115" s="317" t="str">
        <f>VLOOKUP(B110,Foundation_Calc!$K$4:$R$37,8,FALSE)</f>
        <v>N.D.</v>
      </c>
      <c r="E115" s="318">
        <f t="shared" si="2"/>
        <v>0</v>
      </c>
      <c r="F115" s="318">
        <f>COUNTIFS('HR Track 1'!$M$5:$M$407,$A$110,'HR Track 1'!$AW$5:$AW$407,$C115,'HR Track 1'!$AY$5:$AY$407,$D115)</f>
        <v>0</v>
      </c>
      <c r="G115" s="318">
        <f>COUNTIFS('HR Track 2'!$M$5:$M$405,$A$110,'HR Track 2'!$AW$5:$AW$405,$C115,'HR Track 2'!$AY$5:$AY$405,$D115)</f>
        <v>0</v>
      </c>
      <c r="H115" s="318">
        <f>COUNTIFS('HR Track 3 ZIC'!$M$5:$M$74,$A$110,'HR Track 3 ZIC'!$AW$5:$AW$74,$C115,'HR Track 3 ZIC'!$AY$5:$AY$74,$D115)</f>
        <v>0</v>
      </c>
      <c r="I115" s="318">
        <f>COUNTIFS('HR Track 4 ZIC'!$M$5:$M$45,$A$110,'HR Track 4 ZIC'!$AW$5:$AW$45,$C115,'HR Track 4 ZIC'!$AY$5:$AY$45,$D115)</f>
        <v>0</v>
      </c>
      <c r="J115" s="318">
        <f>COUNTIFS('HR Track 4 BIN'!$M$5:$M$45,$A$110,'HR Track 4 BIN'!$AW$5:$AW$45,$C115,'HR Track 4 BIN'!$AY$5:$AY$45,$D115)</f>
        <v>0</v>
      </c>
      <c r="K115" s="319">
        <f>COUNTIFS('HR Track 5 BIN'!$M$5:$M$39,$A$110,'HR Track 5 BIN'!$AW$5:$AW$39,$C115,'HR Track 5 BIN'!$AY$5:$AY$39,$D115)</f>
        <v>0</v>
      </c>
      <c r="L115" s="1104"/>
    </row>
    <row r="116" spans="1:12" ht="19.899999999999999" customHeight="1">
      <c r="A116" s="1108" t="s">
        <v>2380</v>
      </c>
      <c r="B116" s="1111" t="s">
        <v>1862</v>
      </c>
      <c r="C116" s="311" t="s">
        <v>2407</v>
      </c>
      <c r="D116" s="320" t="str">
        <f>VLOOKUP(B116,Foundation_Calc!$K$41:$R$74,3,FALSE)</f>
        <v>N.D.</v>
      </c>
      <c r="E116" s="313">
        <f t="shared" si="2"/>
        <v>0</v>
      </c>
      <c r="F116" s="313">
        <f>COUNTIFS('HR Track 1'!$M$5:$M$407,$A$116,'HR Track 1'!$AW$5:$AW$407,$C116,'HR Track 1'!$AY$5:$AY$407,$D116)</f>
        <v>0</v>
      </c>
      <c r="G116" s="313">
        <f>COUNTIFS('HR Track 2'!$M$5:$M$405,$A$116,'HR Track 2'!$AW$5:$AW$405,$C116,'HR Track 2'!$AY$5:$AY$405,$D116)</f>
        <v>0</v>
      </c>
      <c r="H116" s="313">
        <f>COUNTIFS('HR Track 3 ZIC'!$M$5:$M$74,$A$116,'HR Track 3 ZIC'!$AW$5:$AW$74,$C116,'HR Track 3 ZIC'!$AY$5:$AY$74,$D116)</f>
        <v>0</v>
      </c>
      <c r="I116" s="313">
        <f>COUNTIFS('HR Track 4 ZIC'!$M$5:$M$45,$A$116,'HR Track 4 ZIC'!$AW$5:$AW$45,$C116,'HR Track 4 ZIC'!$AY$5:$AY$45,$D116)</f>
        <v>0</v>
      </c>
      <c r="J116" s="313">
        <f>COUNTIFS('HR Track 4 BIN'!$M$5:$M$45,$A$116,'HR Track 4 BIN'!$AW$5:$AW$45,$C116,'HR Track 4 BIN'!$AY$5:$AY$45,$D116)</f>
        <v>0</v>
      </c>
      <c r="K116" s="314">
        <f>COUNTIFS('HR Track 5 BIN'!$M$5:$M$39,$A$116,'HR Track 5 BIN'!$AW$5:$AW$39,$C116,'HR Track 5 BIN'!$AY$5:$AY$39,$D116)</f>
        <v>0</v>
      </c>
      <c r="L116" s="1105" t="s">
        <v>1610</v>
      </c>
    </row>
    <row r="117" spans="1:12" ht="19.899999999999999" customHeight="1">
      <c r="A117" s="1109"/>
      <c r="B117" s="1112"/>
      <c r="C117" s="153" t="s">
        <v>2408</v>
      </c>
      <c r="D117" s="291" t="str">
        <f>VLOOKUP(B116,Foundation_Calc!$K$41:$R$74,4,FALSE)</f>
        <v>N.D.</v>
      </c>
      <c r="E117" s="7">
        <f t="shared" si="2"/>
        <v>0</v>
      </c>
      <c r="F117" s="7">
        <f>COUNTIFS('HR Track 1'!$M$5:$M$407,$A$116,'HR Track 1'!$AW$5:$AW$407,$C117,'HR Track 1'!$AY$5:$AY$407,$D117)</f>
        <v>0</v>
      </c>
      <c r="G117" s="7">
        <f>COUNTIFS('HR Track 2'!$M$5:$M$405,$A$116,'HR Track 2'!$AW$5:$AW$405,$C117,'HR Track 2'!$AY$5:$AY$405,$D117)</f>
        <v>0</v>
      </c>
      <c r="H117" s="7">
        <f>COUNTIFS('HR Track 3 ZIC'!$M$5:$M$74,$A$116,'HR Track 3 ZIC'!$AW$5:$AW$74,$C117,'HR Track 3 ZIC'!$AY$5:$AY$74,$D117)</f>
        <v>0</v>
      </c>
      <c r="I117" s="7">
        <f>COUNTIFS('HR Track 4 ZIC'!$M$5:$M$45,$A$116,'HR Track 4 ZIC'!$AW$5:$AW$45,$C117,'HR Track 4 ZIC'!$AY$5:$AY$45,$D117)</f>
        <v>0</v>
      </c>
      <c r="J117" s="7">
        <f>COUNTIFS('HR Track 4 BIN'!$M$5:$M$45,$A$116,'HR Track 4 BIN'!$AW$5:$AW$45,$C117,'HR Track 4 BIN'!$AY$5:$AY$45,$D117)</f>
        <v>0</v>
      </c>
      <c r="K117" s="315">
        <f>COUNTIFS('HR Track 5 BIN'!$M$5:$M$39,$A$116,'HR Track 5 BIN'!$AW$5:$AW$39,$C117,'HR Track 5 BIN'!$AY$5:$AY$39,$D117)</f>
        <v>0</v>
      </c>
      <c r="L117" s="1106"/>
    </row>
    <row r="118" spans="1:12" ht="19.899999999999999" customHeight="1">
      <c r="A118" s="1109"/>
      <c r="B118" s="1112"/>
      <c r="C118" s="153" t="s">
        <v>2409</v>
      </c>
      <c r="D118" s="291" t="str">
        <f>VLOOKUP(B116,Foundation_Calc!$K$41:$R$74,5,FALSE)</f>
        <v>N.D.</v>
      </c>
      <c r="E118" s="7">
        <f t="shared" si="2"/>
        <v>0</v>
      </c>
      <c r="F118" s="7">
        <f>COUNTIFS('HR Track 1'!$M$5:$M$407,$A$116,'HR Track 1'!$AW$5:$AW$407,$C118,'HR Track 1'!$AY$5:$AY$407,$D118)</f>
        <v>0</v>
      </c>
      <c r="G118" s="7">
        <f>COUNTIFS('HR Track 2'!$M$5:$M$405,$A$116,'HR Track 2'!$AW$5:$AW$405,$C118,'HR Track 2'!$AY$5:$AY$405,$D118)</f>
        <v>0</v>
      </c>
      <c r="H118" s="7">
        <f>COUNTIFS('HR Track 3 ZIC'!$M$5:$M$74,$A$116,'HR Track 3 ZIC'!$AW$5:$AW$74,$C118,'HR Track 3 ZIC'!$AY$5:$AY$74,$D118)</f>
        <v>0</v>
      </c>
      <c r="I118" s="7">
        <f>COUNTIFS('HR Track 4 ZIC'!$M$5:$M$45,$A$116,'HR Track 4 ZIC'!$AW$5:$AW$45,$C118,'HR Track 4 ZIC'!$AY$5:$AY$45,$D118)</f>
        <v>0</v>
      </c>
      <c r="J118" s="7">
        <f>COUNTIFS('HR Track 4 BIN'!$M$5:$M$45,$A$116,'HR Track 4 BIN'!$AW$5:$AW$45,$C118,'HR Track 4 BIN'!$AY$5:$AY$45,$D118)</f>
        <v>0</v>
      </c>
      <c r="K118" s="315">
        <f>COUNTIFS('HR Track 5 BIN'!$M$5:$M$39,$A$116,'HR Track 5 BIN'!$AW$5:$AW$39,$C118,'HR Track 5 BIN'!$AY$5:$AY$39,$D118)</f>
        <v>0</v>
      </c>
      <c r="L118" s="1106"/>
    </row>
    <row r="119" spans="1:12" ht="19.899999999999999" customHeight="1">
      <c r="A119" s="1109"/>
      <c r="B119" s="1112"/>
      <c r="C119" s="153" t="s">
        <v>2280</v>
      </c>
      <c r="D119" s="291" t="str">
        <f>VLOOKUP(B116,Foundation_Calc!$K$41:$R$74,6,FALSE)</f>
        <v>N.D.</v>
      </c>
      <c r="E119" s="7">
        <f t="shared" si="2"/>
        <v>0</v>
      </c>
      <c r="F119" s="7">
        <f>COUNTIFS('HR Track 1'!$M$5:$M$407,$A$116,'HR Track 1'!$AW$5:$AW$407,$C119,'HR Track 1'!$AY$5:$AY$407,$D119)</f>
        <v>0</v>
      </c>
      <c r="G119" s="7">
        <f>COUNTIFS('HR Track 2'!$M$5:$M$405,$A$116,'HR Track 2'!$AW$5:$AW$405,$C119,'HR Track 2'!$AY$5:$AY$405,$D119)</f>
        <v>0</v>
      </c>
      <c r="H119" s="7">
        <f>COUNTIFS('HR Track 3 ZIC'!$M$5:$M$74,$A$116,'HR Track 3 ZIC'!$AW$5:$AW$74,$C119,'HR Track 3 ZIC'!$AY$5:$AY$74,$D119)</f>
        <v>0</v>
      </c>
      <c r="I119" s="7">
        <f>COUNTIFS('HR Track 4 ZIC'!$M$5:$M$45,$A$116,'HR Track 4 ZIC'!$AW$5:$AW$45,$C119,'HR Track 4 ZIC'!$AY$5:$AY$45,$D119)</f>
        <v>0</v>
      </c>
      <c r="J119" s="7">
        <f>COUNTIFS('HR Track 4 BIN'!$M$5:$M$45,$A$116,'HR Track 4 BIN'!$AW$5:$AW$45,$C119,'HR Track 4 BIN'!$AY$5:$AY$45,$D119)</f>
        <v>0</v>
      </c>
      <c r="K119" s="315">
        <f>COUNTIFS('HR Track 5 BIN'!$M$5:$M$39,$A$116,'HR Track 5 BIN'!$AW$5:$AW$39,$C119,'HR Track 5 BIN'!$AY$5:$AY$39,$D119)</f>
        <v>0</v>
      </c>
      <c r="L119" s="1106"/>
    </row>
    <row r="120" spans="1:12" ht="19.899999999999999" customHeight="1">
      <c r="A120" s="1109"/>
      <c r="B120" s="1112"/>
      <c r="C120" s="153" t="s">
        <v>2281</v>
      </c>
      <c r="D120" s="291" t="str">
        <f>VLOOKUP(B116,Foundation_Calc!$K$41:$R$74,7,FALSE)</f>
        <v>N.D.</v>
      </c>
      <c r="E120" s="7">
        <f t="shared" si="2"/>
        <v>0</v>
      </c>
      <c r="F120" s="7">
        <f>COUNTIFS('HR Track 1'!$M$5:$M$407,$A$116,'HR Track 1'!$AW$5:$AW$407,$C120,'HR Track 1'!$AY$5:$AY$407,$D120)</f>
        <v>0</v>
      </c>
      <c r="G120" s="7">
        <f>COUNTIFS('HR Track 2'!$M$5:$M$405,$A$116,'HR Track 2'!$AW$5:$AW$405,$C120,'HR Track 2'!$AY$5:$AY$405,$D120)</f>
        <v>0</v>
      </c>
      <c r="H120" s="7">
        <f>COUNTIFS('HR Track 3 ZIC'!$M$5:$M$74,$A$116,'HR Track 3 ZIC'!$AW$5:$AW$74,$C120,'HR Track 3 ZIC'!$AY$5:$AY$74,$D120)</f>
        <v>0</v>
      </c>
      <c r="I120" s="7">
        <f>COUNTIFS('HR Track 4 ZIC'!$M$5:$M$45,$A$116,'HR Track 4 ZIC'!$AW$5:$AW$45,$C120,'HR Track 4 ZIC'!$AY$5:$AY$45,$D120)</f>
        <v>0</v>
      </c>
      <c r="J120" s="7">
        <f>COUNTIFS('HR Track 4 BIN'!$M$5:$M$45,$A$116,'HR Track 4 BIN'!$AW$5:$AW$45,$C120,'HR Track 4 BIN'!$AY$5:$AY$45,$D120)</f>
        <v>0</v>
      </c>
      <c r="K120" s="315">
        <f>COUNTIFS('HR Track 5 BIN'!$M$5:$M$39,$A$116,'HR Track 5 BIN'!$AW$5:$AW$39,$C120,'HR Track 5 BIN'!$AY$5:$AY$39,$D120)</f>
        <v>0</v>
      </c>
      <c r="L120" s="1106"/>
    </row>
    <row r="121" spans="1:12" ht="19.899999999999999" customHeight="1" thickBot="1">
      <c r="A121" s="1110"/>
      <c r="B121" s="1113"/>
      <c r="C121" s="316" t="s">
        <v>2282</v>
      </c>
      <c r="D121" s="321" t="str">
        <f>VLOOKUP(B116,Foundation_Calc!$K$41:$R$74,8,FALSE)</f>
        <v>N.D.</v>
      </c>
      <c r="E121" s="318">
        <f t="shared" si="2"/>
        <v>0</v>
      </c>
      <c r="F121" s="318">
        <f>COUNTIFS('HR Track 1'!$M$5:$M$407,$A$116,'HR Track 1'!$AW$5:$AW$407,$C121,'HR Track 1'!$AY$5:$AY$407,$D121)</f>
        <v>0</v>
      </c>
      <c r="G121" s="318">
        <f>COUNTIFS('HR Track 2'!$M$5:$M$405,$A$116,'HR Track 2'!$AW$5:$AW$405,$C121,'HR Track 2'!$AY$5:$AY$405,$D121)</f>
        <v>0</v>
      </c>
      <c r="H121" s="318">
        <f>COUNTIFS('HR Track 3 ZIC'!$M$5:$M$74,$A$116,'HR Track 3 ZIC'!$AW$5:$AW$74,$C121,'HR Track 3 ZIC'!$AY$5:$AY$74,$D121)</f>
        <v>0</v>
      </c>
      <c r="I121" s="318">
        <f>COUNTIFS('HR Track 4 ZIC'!$M$5:$M$45,$A$116,'HR Track 4 ZIC'!$AW$5:$AW$45,$C121,'HR Track 4 ZIC'!$AY$5:$AY$45,$D121)</f>
        <v>0</v>
      </c>
      <c r="J121" s="318">
        <f>COUNTIFS('HR Track 4 BIN'!$M$5:$M$45,$A$116,'HR Track 4 BIN'!$AW$5:$AW$45,$C121,'HR Track 4 BIN'!$AY$5:$AY$45,$D121)</f>
        <v>0</v>
      </c>
      <c r="K121" s="319">
        <f>COUNTIFS('HR Track 5 BIN'!$M$5:$M$39,$A$116,'HR Track 5 BIN'!$AW$5:$AW$39,$C121,'HR Track 5 BIN'!$AY$5:$AY$39,$D121)</f>
        <v>0</v>
      </c>
      <c r="L121" s="1107"/>
    </row>
    <row r="122" spans="1:12" ht="19.899999999999999" customHeight="1">
      <c r="A122" s="1114" t="s">
        <v>2364</v>
      </c>
      <c r="B122" s="1115" t="s">
        <v>2311</v>
      </c>
      <c r="C122" s="311" t="s">
        <v>2407</v>
      </c>
      <c r="D122" s="312" t="str">
        <f>VLOOKUP(B122,Foundation_Calc!$K$4:$R$37,3,FALSE)</f>
        <v>N.D.</v>
      </c>
      <c r="E122" s="313">
        <f t="shared" si="2"/>
        <v>0</v>
      </c>
      <c r="F122" s="313">
        <f>COUNTIFS('HR Track 1'!$M$5:$M$407,$A$122,'HR Track 1'!$AW$5:$AW$407,$C122,'HR Track 1'!$AY$5:$AY$407,$D122)</f>
        <v>0</v>
      </c>
      <c r="G122" s="313">
        <f>COUNTIFS('HR Track 2'!$M$5:$M$405,$A$122,'HR Track 2'!$AW$5:$AW$405,$C122,'HR Track 2'!$AY$5:$AY$405,$D122)</f>
        <v>0</v>
      </c>
      <c r="H122" s="313">
        <f>COUNTIFS('HR Track 3 ZIC'!$M$5:$M$74,$A$122,'HR Track 3 ZIC'!$AW$5:$AW$74,$C122,'HR Track 3 ZIC'!$AY$5:$AY$74,$D122)</f>
        <v>0</v>
      </c>
      <c r="I122" s="313">
        <f>COUNTIFS('HR Track 4 ZIC'!$M$5:$M$45,$A$122,'HR Track 4 ZIC'!$AW$5:$AW$45,$C122,'HR Track 4 ZIC'!$AY$5:$AY$45,$D122)</f>
        <v>0</v>
      </c>
      <c r="J122" s="313">
        <f>COUNTIFS('HR Track 4 BIN'!$M$5:$M$45,$A$122,'HR Track 4 BIN'!$AW$5:$AW$45,$C122,'HR Track 4 BIN'!$AY$5:$AY$45,$D122)</f>
        <v>0</v>
      </c>
      <c r="K122" s="314">
        <f>COUNTIFS('HR Track 5 BIN'!$M$5:$M$39,$A$122,'HR Track 5 BIN'!$AW$5:$AW$39,$C122,'HR Track 5 BIN'!$AY$5:$AY$39,$D122)</f>
        <v>0</v>
      </c>
    </row>
    <row r="123" spans="1:12" ht="19.899999999999999" customHeight="1">
      <c r="A123" s="1024"/>
      <c r="B123" s="1013"/>
      <c r="C123" s="153" t="s">
        <v>2408</v>
      </c>
      <c r="D123" s="11" t="str">
        <f>VLOOKUP(B122,Foundation_Calc!$K$4:$R$37,4,FALSE)</f>
        <v>N.D.</v>
      </c>
      <c r="E123" s="7">
        <f t="shared" si="2"/>
        <v>0</v>
      </c>
      <c r="F123" s="7">
        <f>COUNTIFS('HR Track 1'!$M$5:$M$407,$A$122,'HR Track 1'!$AW$5:$AW$407,$C123,'HR Track 1'!$AY$5:$AY$407,$D123)</f>
        <v>0</v>
      </c>
      <c r="G123" s="7">
        <f>COUNTIFS('HR Track 2'!$M$5:$M$405,$A$122,'HR Track 2'!$AW$5:$AW$405,$C123,'HR Track 2'!$AY$5:$AY$405,$D123)</f>
        <v>0</v>
      </c>
      <c r="H123" s="7">
        <f>COUNTIFS('HR Track 3 ZIC'!$M$5:$M$74,$A$122,'HR Track 3 ZIC'!$AW$5:$AW$74,$C123,'HR Track 3 ZIC'!$AY$5:$AY$74,$D123)</f>
        <v>0</v>
      </c>
      <c r="I123" s="7">
        <f>COUNTIFS('HR Track 4 ZIC'!$M$5:$M$45,$A$122,'HR Track 4 ZIC'!$AW$5:$AW$45,$C123,'HR Track 4 ZIC'!$AY$5:$AY$45,$D123)</f>
        <v>0</v>
      </c>
      <c r="J123" s="7">
        <f>COUNTIFS('HR Track 4 BIN'!$M$5:$M$45,$A$122,'HR Track 4 BIN'!$AW$5:$AW$45,$C123,'HR Track 4 BIN'!$AY$5:$AY$45,$D123)</f>
        <v>0</v>
      </c>
      <c r="K123" s="315">
        <f>COUNTIFS('HR Track 5 BIN'!$M$5:$M$39,$A$122,'HR Track 5 BIN'!$AW$5:$AW$39,$C123,'HR Track 5 BIN'!$AY$5:$AY$39,$D123)</f>
        <v>0</v>
      </c>
    </row>
    <row r="124" spans="1:12" ht="19.899999999999999" customHeight="1">
      <c r="A124" s="1024"/>
      <c r="B124" s="1013"/>
      <c r="C124" s="153" t="s">
        <v>2409</v>
      </c>
      <c r="D124" s="11" t="str">
        <f>VLOOKUP(B122,Foundation_Calc!$K$4:$R$37,5,FALSE)</f>
        <v>N.D.</v>
      </c>
      <c r="E124" s="7">
        <f t="shared" si="2"/>
        <v>0</v>
      </c>
      <c r="F124" s="7">
        <f>COUNTIFS('HR Track 1'!$M$5:$M$407,$A$122,'HR Track 1'!$AW$5:$AW$407,$C124,'HR Track 1'!$AY$5:$AY$407,$D124)</f>
        <v>0</v>
      </c>
      <c r="G124" s="7">
        <f>COUNTIFS('HR Track 2'!$M$5:$M$405,$A$122,'HR Track 2'!$AW$5:$AW$405,$C124,'HR Track 2'!$AY$5:$AY$405,$D124)</f>
        <v>0</v>
      </c>
      <c r="H124" s="7">
        <f>COUNTIFS('HR Track 3 ZIC'!$M$5:$M$74,$A$122,'HR Track 3 ZIC'!$AW$5:$AW$74,$C124,'HR Track 3 ZIC'!$AY$5:$AY$74,$D124)</f>
        <v>0</v>
      </c>
      <c r="I124" s="7">
        <f>COUNTIFS('HR Track 4 ZIC'!$M$5:$M$45,$A$122,'HR Track 4 ZIC'!$AW$5:$AW$45,$C124,'HR Track 4 ZIC'!$AY$5:$AY$45,$D124)</f>
        <v>0</v>
      </c>
      <c r="J124" s="7">
        <f>COUNTIFS('HR Track 4 BIN'!$M$5:$M$45,$A$122,'HR Track 4 BIN'!$AW$5:$AW$45,$C124,'HR Track 4 BIN'!$AY$5:$AY$45,$D124)</f>
        <v>0</v>
      </c>
      <c r="K124" s="315">
        <f>COUNTIFS('HR Track 5 BIN'!$M$5:$M$39,$A$122,'HR Track 5 BIN'!$AW$5:$AW$39,$C124,'HR Track 5 BIN'!$AY$5:$AY$39,$D124)</f>
        <v>0</v>
      </c>
    </row>
    <row r="125" spans="1:12" ht="19.899999999999999" customHeight="1">
      <c r="A125" s="1024"/>
      <c r="B125" s="1013"/>
      <c r="C125" s="153" t="s">
        <v>2280</v>
      </c>
      <c r="D125" s="11" t="str">
        <f>VLOOKUP(B122,Foundation_Calc!$K$4:$R$37,6,FALSE)</f>
        <v>N.D.</v>
      </c>
      <c r="E125" s="7">
        <f t="shared" si="2"/>
        <v>0</v>
      </c>
      <c r="F125" s="7">
        <f>COUNTIFS('HR Track 1'!$M$5:$M$407,$A$122,'HR Track 1'!$AW$5:$AW$407,$C125,'HR Track 1'!$AY$5:$AY$407,$D125)</f>
        <v>0</v>
      </c>
      <c r="G125" s="7">
        <f>COUNTIFS('HR Track 2'!$M$5:$M$405,$A$122,'HR Track 2'!$AW$5:$AW$405,$C125,'HR Track 2'!$AY$5:$AY$405,$D125)</f>
        <v>0</v>
      </c>
      <c r="H125" s="7">
        <f>COUNTIFS('HR Track 3 ZIC'!$M$5:$M$74,$A$122,'HR Track 3 ZIC'!$AW$5:$AW$74,$C125,'HR Track 3 ZIC'!$AY$5:$AY$74,$D125)</f>
        <v>0</v>
      </c>
      <c r="I125" s="7">
        <f>COUNTIFS('HR Track 4 ZIC'!$M$5:$M$45,$A$122,'HR Track 4 ZIC'!$AW$5:$AW$45,$C125,'HR Track 4 ZIC'!$AY$5:$AY$45,$D125)</f>
        <v>0</v>
      </c>
      <c r="J125" s="7">
        <f>COUNTIFS('HR Track 4 BIN'!$M$5:$M$45,$A$122,'HR Track 4 BIN'!$AW$5:$AW$45,$C125,'HR Track 4 BIN'!$AY$5:$AY$45,$D125)</f>
        <v>0</v>
      </c>
      <c r="K125" s="315">
        <f>COUNTIFS('HR Track 5 BIN'!$M$5:$M$39,$A$122,'HR Track 5 BIN'!$AW$5:$AW$39,$C125,'HR Track 5 BIN'!$AY$5:$AY$39,$D125)</f>
        <v>0</v>
      </c>
    </row>
    <row r="126" spans="1:12" ht="19.899999999999999" customHeight="1">
      <c r="A126" s="1024"/>
      <c r="B126" s="1013"/>
      <c r="C126" s="153" t="s">
        <v>2281</v>
      </c>
      <c r="D126" s="11" t="str">
        <f>VLOOKUP(B122,Foundation_Calc!$K$4:$R$37,7,FALSE)</f>
        <v>N.D.</v>
      </c>
      <c r="E126" s="7">
        <f t="shared" si="2"/>
        <v>0</v>
      </c>
      <c r="F126" s="7">
        <f>COUNTIFS('HR Track 1'!$M$5:$M$407,$A$122,'HR Track 1'!$AW$5:$AW$407,$C126,'HR Track 1'!$AY$5:$AY$407,$D126)</f>
        <v>0</v>
      </c>
      <c r="G126" s="7">
        <f>COUNTIFS('HR Track 2'!$M$5:$M$405,$A$122,'HR Track 2'!$AW$5:$AW$405,$C126,'HR Track 2'!$AY$5:$AY$405,$D126)</f>
        <v>0</v>
      </c>
      <c r="H126" s="7">
        <f>COUNTIFS('HR Track 3 ZIC'!$M$5:$M$74,$A$122,'HR Track 3 ZIC'!$AW$5:$AW$74,$C126,'HR Track 3 ZIC'!$AY$5:$AY$74,$D126)</f>
        <v>0</v>
      </c>
      <c r="I126" s="7">
        <f>COUNTIFS('HR Track 4 ZIC'!$M$5:$M$45,$A$122,'HR Track 4 ZIC'!$AW$5:$AW$45,$C126,'HR Track 4 ZIC'!$AY$5:$AY$45,$D126)</f>
        <v>0</v>
      </c>
      <c r="J126" s="7">
        <f>COUNTIFS('HR Track 4 BIN'!$M$5:$M$45,$A$122,'HR Track 4 BIN'!$AW$5:$AW$45,$C126,'HR Track 4 BIN'!$AY$5:$AY$45,$D126)</f>
        <v>0</v>
      </c>
      <c r="K126" s="315">
        <f>COUNTIFS('HR Track 5 BIN'!$M$5:$M$39,$A$122,'HR Track 5 BIN'!$AW$5:$AW$39,$C126,'HR Track 5 BIN'!$AY$5:$AY$39,$D126)</f>
        <v>0</v>
      </c>
    </row>
    <row r="127" spans="1:12" ht="19.899999999999999" customHeight="1" thickBot="1">
      <c r="A127" s="1025"/>
      <c r="B127" s="1014"/>
      <c r="C127" s="316" t="s">
        <v>2282</v>
      </c>
      <c r="D127" s="317" t="str">
        <f>VLOOKUP(B122,Foundation_Calc!$K$4:$R$37,8,FALSE)</f>
        <v>N.D.</v>
      </c>
      <c r="E127" s="318">
        <f t="shared" si="2"/>
        <v>0</v>
      </c>
      <c r="F127" s="318">
        <f>COUNTIFS('HR Track 1'!$M$5:$M$407,$A$122,'HR Track 1'!$AW$5:$AW$407,$C127,'HR Track 1'!$AY$5:$AY$407,$D127)</f>
        <v>0</v>
      </c>
      <c r="G127" s="318">
        <f>COUNTIFS('HR Track 2'!$M$5:$M$405,$A$122,'HR Track 2'!$AW$5:$AW$405,$C127,'HR Track 2'!$AY$5:$AY$405,$D127)</f>
        <v>0</v>
      </c>
      <c r="H127" s="318">
        <f>COUNTIFS('HR Track 3 ZIC'!$M$5:$M$74,$A$122,'HR Track 3 ZIC'!$AW$5:$AW$74,$C127,'HR Track 3 ZIC'!$AY$5:$AY$74,$D127)</f>
        <v>0</v>
      </c>
      <c r="I127" s="318">
        <f>COUNTIFS('HR Track 4 ZIC'!$M$5:$M$45,$A$122,'HR Track 4 ZIC'!$AW$5:$AW$45,$C127,'HR Track 4 ZIC'!$AY$5:$AY$45,$D127)</f>
        <v>0</v>
      </c>
      <c r="J127" s="318">
        <f>COUNTIFS('HR Track 4 BIN'!$M$5:$M$45,$A$122,'HR Track 4 BIN'!$AW$5:$AW$45,$C127,'HR Track 4 BIN'!$AY$5:$AY$45,$D127)</f>
        <v>0</v>
      </c>
      <c r="K127" s="319">
        <f>COUNTIFS('HR Track 5 BIN'!$M$5:$M$39,$A$122,'HR Track 5 BIN'!$AW$5:$AW$39,$C127,'HR Track 5 BIN'!$AY$5:$AY$39,$D127)</f>
        <v>0</v>
      </c>
    </row>
    <row r="128" spans="1:12" ht="19.899999999999999" customHeight="1">
      <c r="A128" s="1108" t="s">
        <v>2380</v>
      </c>
      <c r="B128" s="1111" t="s">
        <v>2311</v>
      </c>
      <c r="C128" s="311" t="s">
        <v>2407</v>
      </c>
      <c r="D128" s="320" t="str">
        <f>VLOOKUP(B128,Foundation_Calc!$K$41:$R$74,3,FALSE)</f>
        <v>N.D.</v>
      </c>
      <c r="E128" s="313">
        <f t="shared" si="2"/>
        <v>0</v>
      </c>
      <c r="F128" s="313">
        <f>COUNTIFS('HR Track 1'!$M$5:$M$407,$A$128,'HR Track 1'!$AW$5:$AW$407,$C128,'HR Track 1'!$AY$5:$AY$407,$D128)</f>
        <v>0</v>
      </c>
      <c r="G128" s="313">
        <f>COUNTIFS('HR Track 2'!$M$5:$M$405,$A$128,'HR Track 2'!$AW$5:$AW$405,$C128,'HR Track 2'!$AY$5:$AY$405,$D128)</f>
        <v>0</v>
      </c>
      <c r="H128" s="313">
        <f>COUNTIFS('HR Track 3 ZIC'!$M$5:$M$74,$A$128,'HR Track 3 ZIC'!$AW$5:$AW$74,$C128,'HR Track 3 ZIC'!$AY$5:$AY$74,$D128)</f>
        <v>0</v>
      </c>
      <c r="I128" s="313">
        <f>COUNTIFS('HR Track 4 ZIC'!$M$5:$M$45,$A$128,'HR Track 4 ZIC'!$AW$5:$AW$45,$C128,'HR Track 4 ZIC'!$AY$5:$AY$45,$D128)</f>
        <v>0</v>
      </c>
      <c r="J128" s="313">
        <f>COUNTIFS('HR Track 4 BIN'!$M$5:$M$45,$A$128,'HR Track 4 BIN'!$AW$5:$AW$45,$C128,'HR Track 4 BIN'!$AY$5:$AY$45,$D128)</f>
        <v>0</v>
      </c>
      <c r="K128" s="314">
        <f>COUNTIFS('HR Track 5 BIN'!$M$5:$M$39,$A$128,'HR Track 5 BIN'!$AW$5:$AW$39,$C128,'HR Track 5 BIN'!$AY$5:$AY$39,$D128)</f>
        <v>0</v>
      </c>
    </row>
    <row r="129" spans="1:11" ht="19.899999999999999" customHeight="1">
      <c r="A129" s="1109"/>
      <c r="B129" s="1112"/>
      <c r="C129" s="153" t="s">
        <v>2408</v>
      </c>
      <c r="D129" s="291" t="str">
        <f>VLOOKUP(B128,Foundation_Calc!$K$41:$R$74,4,FALSE)</f>
        <v>N.D.</v>
      </c>
      <c r="E129" s="7">
        <f t="shared" si="2"/>
        <v>0</v>
      </c>
      <c r="F129" s="7">
        <f>COUNTIFS('HR Track 1'!$M$5:$M$407,$A$128,'HR Track 1'!$AW$5:$AW$407,$C129,'HR Track 1'!$AY$5:$AY$407,$D129)</f>
        <v>0</v>
      </c>
      <c r="G129" s="7">
        <f>COUNTIFS('HR Track 2'!$M$5:$M$405,$A$128,'HR Track 2'!$AW$5:$AW$405,$C129,'HR Track 2'!$AY$5:$AY$405,$D129)</f>
        <v>0</v>
      </c>
      <c r="H129" s="7">
        <f>COUNTIFS('HR Track 3 ZIC'!$M$5:$M$74,$A$128,'HR Track 3 ZIC'!$AW$5:$AW$74,$C129,'HR Track 3 ZIC'!$AY$5:$AY$74,$D129)</f>
        <v>0</v>
      </c>
      <c r="I129" s="7">
        <f>COUNTIFS('HR Track 4 ZIC'!$M$5:$M$45,$A$128,'HR Track 4 ZIC'!$AW$5:$AW$45,$C129,'HR Track 4 ZIC'!$AY$5:$AY$45,$D129)</f>
        <v>0</v>
      </c>
      <c r="J129" s="7">
        <f>COUNTIFS('HR Track 4 BIN'!$M$5:$M$45,$A$128,'HR Track 4 BIN'!$AW$5:$AW$45,$C129,'HR Track 4 BIN'!$AY$5:$AY$45,$D129)</f>
        <v>0</v>
      </c>
      <c r="K129" s="315">
        <f>COUNTIFS('HR Track 5 BIN'!$M$5:$M$39,$A$128,'HR Track 5 BIN'!$AW$5:$AW$39,$C129,'HR Track 5 BIN'!$AY$5:$AY$39,$D129)</f>
        <v>0</v>
      </c>
    </row>
    <row r="130" spans="1:11" ht="19.899999999999999" customHeight="1">
      <c r="A130" s="1109"/>
      <c r="B130" s="1112"/>
      <c r="C130" s="153" t="s">
        <v>2409</v>
      </c>
      <c r="D130" s="291" t="str">
        <f>VLOOKUP(B128,Foundation_Calc!$K$41:$R$74,5,FALSE)</f>
        <v>N.D.</v>
      </c>
      <c r="E130" s="7">
        <f t="shared" si="2"/>
        <v>0</v>
      </c>
      <c r="F130" s="7">
        <f>COUNTIFS('HR Track 1'!$M$5:$M$407,$A$128,'HR Track 1'!$AW$5:$AW$407,$C130,'HR Track 1'!$AY$5:$AY$407,$D130)</f>
        <v>0</v>
      </c>
      <c r="G130" s="7">
        <f>COUNTIFS('HR Track 2'!$M$5:$M$405,$A$128,'HR Track 2'!$AW$5:$AW$405,$C130,'HR Track 2'!$AY$5:$AY$405,$D130)</f>
        <v>0</v>
      </c>
      <c r="H130" s="7">
        <f>COUNTIFS('HR Track 3 ZIC'!$M$5:$M$74,$A$128,'HR Track 3 ZIC'!$AW$5:$AW$74,$C130,'HR Track 3 ZIC'!$AY$5:$AY$74,$D130)</f>
        <v>0</v>
      </c>
      <c r="I130" s="7">
        <f>COUNTIFS('HR Track 4 ZIC'!$M$5:$M$45,$A$128,'HR Track 4 ZIC'!$AW$5:$AW$45,$C130,'HR Track 4 ZIC'!$AY$5:$AY$45,$D130)</f>
        <v>0</v>
      </c>
      <c r="J130" s="7">
        <f>COUNTIFS('HR Track 4 BIN'!$M$5:$M$45,$A$128,'HR Track 4 BIN'!$AW$5:$AW$45,$C130,'HR Track 4 BIN'!$AY$5:$AY$45,$D130)</f>
        <v>0</v>
      </c>
      <c r="K130" s="315">
        <f>COUNTIFS('HR Track 5 BIN'!$M$5:$M$39,$A$128,'HR Track 5 BIN'!$AW$5:$AW$39,$C130,'HR Track 5 BIN'!$AY$5:$AY$39,$D130)</f>
        <v>0</v>
      </c>
    </row>
    <row r="131" spans="1:11" ht="19.899999999999999" customHeight="1">
      <c r="A131" s="1109"/>
      <c r="B131" s="1112"/>
      <c r="C131" s="153" t="s">
        <v>2280</v>
      </c>
      <c r="D131" s="291" t="str">
        <f>VLOOKUP(B128,Foundation_Calc!$K$41:$R$74,6,FALSE)</f>
        <v>N.D.</v>
      </c>
      <c r="E131" s="7">
        <f t="shared" ref="E131:E194" si="3">SUM(F131:K131)</f>
        <v>0</v>
      </c>
      <c r="F131" s="7">
        <f>COUNTIFS('HR Track 1'!$M$5:$M$407,$A$128,'HR Track 1'!$AW$5:$AW$407,$C131,'HR Track 1'!$AY$5:$AY$407,$D131)</f>
        <v>0</v>
      </c>
      <c r="G131" s="7">
        <f>COUNTIFS('HR Track 2'!$M$5:$M$405,$A$128,'HR Track 2'!$AW$5:$AW$405,$C131,'HR Track 2'!$AY$5:$AY$405,$D131)</f>
        <v>0</v>
      </c>
      <c r="H131" s="7">
        <f>COUNTIFS('HR Track 3 ZIC'!$M$5:$M$74,$A$128,'HR Track 3 ZIC'!$AW$5:$AW$74,$C131,'HR Track 3 ZIC'!$AY$5:$AY$74,$D131)</f>
        <v>0</v>
      </c>
      <c r="I131" s="7">
        <f>COUNTIFS('HR Track 4 ZIC'!$M$5:$M$45,$A$128,'HR Track 4 ZIC'!$AW$5:$AW$45,$C131,'HR Track 4 ZIC'!$AY$5:$AY$45,$D131)</f>
        <v>0</v>
      </c>
      <c r="J131" s="7">
        <f>COUNTIFS('HR Track 4 BIN'!$M$5:$M$45,$A$128,'HR Track 4 BIN'!$AW$5:$AW$45,$C131,'HR Track 4 BIN'!$AY$5:$AY$45,$D131)</f>
        <v>0</v>
      </c>
      <c r="K131" s="315">
        <f>COUNTIFS('HR Track 5 BIN'!$M$5:$M$39,$A$128,'HR Track 5 BIN'!$AW$5:$AW$39,$C131,'HR Track 5 BIN'!$AY$5:$AY$39,$D131)</f>
        <v>0</v>
      </c>
    </row>
    <row r="132" spans="1:11" ht="19.899999999999999" customHeight="1">
      <c r="A132" s="1109"/>
      <c r="B132" s="1112"/>
      <c r="C132" s="153" t="s">
        <v>2281</v>
      </c>
      <c r="D132" s="291" t="str">
        <f>VLOOKUP(B128,Foundation_Calc!$K$41:$R$74,7,FALSE)</f>
        <v>N.D.</v>
      </c>
      <c r="E132" s="7">
        <f t="shared" si="3"/>
        <v>0</v>
      </c>
      <c r="F132" s="7">
        <f>COUNTIFS('HR Track 1'!$M$5:$M$407,$A$128,'HR Track 1'!$AW$5:$AW$407,$C132,'HR Track 1'!$AY$5:$AY$407,$D132)</f>
        <v>0</v>
      </c>
      <c r="G132" s="7">
        <f>COUNTIFS('HR Track 2'!$M$5:$M$405,$A$128,'HR Track 2'!$AW$5:$AW$405,$C132,'HR Track 2'!$AY$5:$AY$405,$D132)</f>
        <v>0</v>
      </c>
      <c r="H132" s="7">
        <f>COUNTIFS('HR Track 3 ZIC'!$M$5:$M$74,$A$128,'HR Track 3 ZIC'!$AW$5:$AW$74,$C132,'HR Track 3 ZIC'!$AY$5:$AY$74,$D132)</f>
        <v>0</v>
      </c>
      <c r="I132" s="7">
        <f>COUNTIFS('HR Track 4 ZIC'!$M$5:$M$45,$A$128,'HR Track 4 ZIC'!$AW$5:$AW$45,$C132,'HR Track 4 ZIC'!$AY$5:$AY$45,$D132)</f>
        <v>0</v>
      </c>
      <c r="J132" s="7">
        <f>COUNTIFS('HR Track 4 BIN'!$M$5:$M$45,$A$128,'HR Track 4 BIN'!$AW$5:$AW$45,$C132,'HR Track 4 BIN'!$AY$5:$AY$45,$D132)</f>
        <v>0</v>
      </c>
      <c r="K132" s="315">
        <f>COUNTIFS('HR Track 5 BIN'!$M$5:$M$39,$A$128,'HR Track 5 BIN'!$AW$5:$AW$39,$C132,'HR Track 5 BIN'!$AY$5:$AY$39,$D132)</f>
        <v>0</v>
      </c>
    </row>
    <row r="133" spans="1:11" ht="19.899999999999999" customHeight="1" thickBot="1">
      <c r="A133" s="1110"/>
      <c r="B133" s="1113"/>
      <c r="C133" s="316" t="s">
        <v>2282</v>
      </c>
      <c r="D133" s="321" t="str">
        <f>VLOOKUP(B128,Foundation_Calc!$K$41:$R$74,8,FALSE)</f>
        <v>N.D.</v>
      </c>
      <c r="E133" s="318">
        <f t="shared" si="3"/>
        <v>0</v>
      </c>
      <c r="F133" s="318">
        <f>COUNTIFS('HR Track 1'!$M$5:$M$407,$A$128,'HR Track 1'!$AW$5:$AW$407,$C133,'HR Track 1'!$AY$5:$AY$407,$D133)</f>
        <v>0</v>
      </c>
      <c r="G133" s="318">
        <f>COUNTIFS('HR Track 2'!$M$5:$M$405,$A$128,'HR Track 2'!$AW$5:$AW$405,$C133,'HR Track 2'!$AY$5:$AY$405,$D133)</f>
        <v>0</v>
      </c>
      <c r="H133" s="318">
        <f>COUNTIFS('HR Track 3 ZIC'!$M$5:$M$74,$A$128,'HR Track 3 ZIC'!$AW$5:$AW$74,$C133,'HR Track 3 ZIC'!$AY$5:$AY$74,$D133)</f>
        <v>0</v>
      </c>
      <c r="I133" s="318">
        <f>COUNTIFS('HR Track 4 ZIC'!$M$5:$M$45,$A$128,'HR Track 4 ZIC'!$AW$5:$AW$45,$C133,'HR Track 4 ZIC'!$AY$5:$AY$45,$D133)</f>
        <v>0</v>
      </c>
      <c r="J133" s="318">
        <f>COUNTIFS('HR Track 4 BIN'!$M$5:$M$45,$A$128,'HR Track 4 BIN'!$AW$5:$AW$45,$C133,'HR Track 4 BIN'!$AY$5:$AY$45,$D133)</f>
        <v>0</v>
      </c>
      <c r="K133" s="319">
        <f>COUNTIFS('HR Track 5 BIN'!$M$5:$M$39,$A$128,'HR Track 5 BIN'!$AW$5:$AW$39,$C133,'HR Track 5 BIN'!$AY$5:$AY$39,$D133)</f>
        <v>0</v>
      </c>
    </row>
    <row r="134" spans="1:11" ht="19.899999999999999" customHeight="1">
      <c r="A134" s="1114" t="s">
        <v>929</v>
      </c>
      <c r="B134" s="1115" t="s">
        <v>2039</v>
      </c>
      <c r="C134" s="311" t="s">
        <v>2407</v>
      </c>
      <c r="D134" s="312" t="str">
        <f>VLOOKUP(B134,Foundation_Calc!$K$4:$R$37,3,FALSE)</f>
        <v>N.D.</v>
      </c>
      <c r="E134" s="313">
        <f t="shared" si="3"/>
        <v>0</v>
      </c>
      <c r="F134" s="313">
        <f>COUNTIFS('HR Track 1'!$M$5:$M$407,$A$134,'HR Track 1'!$AW$5:$AW$407,$C134,'HR Track 1'!$AY$5:$AY$407,$D134)</f>
        <v>0</v>
      </c>
      <c r="G134" s="313">
        <f>COUNTIFS('HR Track 2'!$M$5:$M$405,$A$134,'HR Track 2'!$AW$5:$AW$405,$C134,'HR Track 2'!$AY$5:$AY$405,$D134)</f>
        <v>0</v>
      </c>
      <c r="H134" s="313">
        <f>COUNTIFS('HR Track 3 ZIC'!$M$5:$M$74,$A$134,'HR Track 3 ZIC'!$AW$5:$AW$74,$C134,'HR Track 3 ZIC'!$AY$5:$AY$74,$D134)</f>
        <v>0</v>
      </c>
      <c r="I134" s="313">
        <f>COUNTIFS('HR Track 4 ZIC'!$M$5:$M$45,$A$134,'HR Track 4 ZIC'!$AW$5:$AW$45,$C134,'HR Track 4 ZIC'!$AY$5:$AY$45,$D134)</f>
        <v>0</v>
      </c>
      <c r="J134" s="313">
        <f>COUNTIFS('HR Track 4 BIN'!$M$5:$M$45,$A$134,'HR Track 4 BIN'!$AW$5:$AW$45,$C134,'HR Track 4 BIN'!$AY$5:$AY$45,$D134)</f>
        <v>0</v>
      </c>
      <c r="K134" s="314">
        <f>COUNTIFS('HR Track 5 BIN'!$M$5:$M$39,$A$134,'HR Track 5 BIN'!$AW$5:$AW$39,$C134,'HR Track 5 BIN'!$AY$5:$AY$39,$D134)</f>
        <v>0</v>
      </c>
    </row>
    <row r="135" spans="1:11" ht="19.899999999999999" customHeight="1">
      <c r="A135" s="1024"/>
      <c r="B135" s="1013"/>
      <c r="C135" s="153" t="s">
        <v>2408</v>
      </c>
      <c r="D135" s="11" t="str">
        <f>VLOOKUP(B134,Foundation_Calc!$K$4:$R$37,4,FALSE)</f>
        <v>N.D.</v>
      </c>
      <c r="E135" s="7">
        <f t="shared" si="3"/>
        <v>0</v>
      </c>
      <c r="F135" s="7">
        <f>COUNTIFS('HR Track 1'!$M$5:$M$407,$A$134,'HR Track 1'!$AW$5:$AW$407,$C135,'HR Track 1'!$AY$5:$AY$407,$D135)</f>
        <v>0</v>
      </c>
      <c r="G135" s="7">
        <f>COUNTIFS('HR Track 2'!$M$5:$M$405,$A$134,'HR Track 2'!$AW$5:$AW$405,$C135,'HR Track 2'!$AY$5:$AY$405,$D135)</f>
        <v>0</v>
      </c>
      <c r="H135" s="7">
        <f>COUNTIFS('HR Track 3 ZIC'!$M$5:$M$74,$A$134,'HR Track 3 ZIC'!$AW$5:$AW$74,$C135,'HR Track 3 ZIC'!$AY$5:$AY$74,$D135)</f>
        <v>0</v>
      </c>
      <c r="I135" s="7">
        <f>COUNTIFS('HR Track 4 ZIC'!$M$5:$M$45,$A$134,'HR Track 4 ZIC'!$AW$5:$AW$45,$C135,'HR Track 4 ZIC'!$AY$5:$AY$45,$D135)</f>
        <v>0</v>
      </c>
      <c r="J135" s="7">
        <f>COUNTIFS('HR Track 4 BIN'!$M$5:$M$45,$A$134,'HR Track 4 BIN'!$AW$5:$AW$45,$C135,'HR Track 4 BIN'!$AY$5:$AY$45,$D135)</f>
        <v>0</v>
      </c>
      <c r="K135" s="315">
        <f>COUNTIFS('HR Track 5 BIN'!$M$5:$M$39,$A$134,'HR Track 5 BIN'!$AW$5:$AW$39,$C135,'HR Track 5 BIN'!$AY$5:$AY$39,$D135)</f>
        <v>0</v>
      </c>
    </row>
    <row r="136" spans="1:11" ht="19.899999999999999" customHeight="1">
      <c r="A136" s="1024"/>
      <c r="B136" s="1013"/>
      <c r="C136" s="153" t="s">
        <v>2409</v>
      </c>
      <c r="D136" s="11" t="str">
        <f>VLOOKUP(B134,Foundation_Calc!$K$4:$R$37,5,FALSE)</f>
        <v>N.D.</v>
      </c>
      <c r="E136" s="7">
        <f t="shared" si="3"/>
        <v>0</v>
      </c>
      <c r="F136" s="7">
        <f>COUNTIFS('HR Track 1'!$M$5:$M$407,$A$134,'HR Track 1'!$AW$5:$AW$407,$C136,'HR Track 1'!$AY$5:$AY$407,$D136)</f>
        <v>0</v>
      </c>
      <c r="G136" s="7">
        <f>COUNTIFS('HR Track 2'!$M$5:$M$405,$A$134,'HR Track 2'!$AW$5:$AW$405,$C136,'HR Track 2'!$AY$5:$AY$405,$D136)</f>
        <v>0</v>
      </c>
      <c r="H136" s="7">
        <f>COUNTIFS('HR Track 3 ZIC'!$M$5:$M$74,$A$134,'HR Track 3 ZIC'!$AW$5:$AW$74,$C136,'HR Track 3 ZIC'!$AY$5:$AY$74,$D136)</f>
        <v>0</v>
      </c>
      <c r="I136" s="7">
        <f>COUNTIFS('HR Track 4 ZIC'!$M$5:$M$45,$A$134,'HR Track 4 ZIC'!$AW$5:$AW$45,$C136,'HR Track 4 ZIC'!$AY$5:$AY$45,$D136)</f>
        <v>0</v>
      </c>
      <c r="J136" s="7">
        <f>COUNTIFS('HR Track 4 BIN'!$M$5:$M$45,$A$134,'HR Track 4 BIN'!$AW$5:$AW$45,$C136,'HR Track 4 BIN'!$AY$5:$AY$45,$D136)</f>
        <v>0</v>
      </c>
      <c r="K136" s="315">
        <f>COUNTIFS('HR Track 5 BIN'!$M$5:$M$39,$A$134,'HR Track 5 BIN'!$AW$5:$AW$39,$C136,'HR Track 5 BIN'!$AY$5:$AY$39,$D136)</f>
        <v>0</v>
      </c>
    </row>
    <row r="137" spans="1:11" ht="19.899999999999999" customHeight="1">
      <c r="A137" s="1024"/>
      <c r="B137" s="1013"/>
      <c r="C137" s="153" t="s">
        <v>2280</v>
      </c>
      <c r="D137" s="11" t="str">
        <f>VLOOKUP(B134,Foundation_Calc!$K$4:$R$37,6,FALSE)</f>
        <v>N.D.</v>
      </c>
      <c r="E137" s="7">
        <f t="shared" si="3"/>
        <v>0</v>
      </c>
      <c r="F137" s="7">
        <f>COUNTIFS('HR Track 1'!$M$5:$M$407,$A$134,'HR Track 1'!$AW$5:$AW$407,$C137,'HR Track 1'!$AY$5:$AY$407,$D137)</f>
        <v>0</v>
      </c>
      <c r="G137" s="7">
        <f>COUNTIFS('HR Track 2'!$M$5:$M$405,$A$134,'HR Track 2'!$AW$5:$AW$405,$C137,'HR Track 2'!$AY$5:$AY$405,$D137)</f>
        <v>0</v>
      </c>
      <c r="H137" s="7">
        <f>COUNTIFS('HR Track 3 ZIC'!$M$5:$M$74,$A$134,'HR Track 3 ZIC'!$AW$5:$AW$74,$C137,'HR Track 3 ZIC'!$AY$5:$AY$74,$D137)</f>
        <v>0</v>
      </c>
      <c r="I137" s="7">
        <f>COUNTIFS('HR Track 4 ZIC'!$M$5:$M$45,$A$134,'HR Track 4 ZIC'!$AW$5:$AW$45,$C137,'HR Track 4 ZIC'!$AY$5:$AY$45,$D137)</f>
        <v>0</v>
      </c>
      <c r="J137" s="7">
        <f>COUNTIFS('HR Track 4 BIN'!$M$5:$M$45,$A$134,'HR Track 4 BIN'!$AW$5:$AW$45,$C137,'HR Track 4 BIN'!$AY$5:$AY$45,$D137)</f>
        <v>0</v>
      </c>
      <c r="K137" s="315">
        <f>COUNTIFS('HR Track 5 BIN'!$M$5:$M$39,$A$134,'HR Track 5 BIN'!$AW$5:$AW$39,$C137,'HR Track 5 BIN'!$AY$5:$AY$39,$D137)</f>
        <v>0</v>
      </c>
    </row>
    <row r="138" spans="1:11" ht="19.899999999999999" customHeight="1">
      <c r="A138" s="1024"/>
      <c r="B138" s="1013"/>
      <c r="C138" s="153" t="s">
        <v>2281</v>
      </c>
      <c r="D138" s="11" t="str">
        <f>VLOOKUP(B134,Foundation_Calc!$K$4:$R$37,7,FALSE)</f>
        <v>N.D.</v>
      </c>
      <c r="E138" s="7">
        <f t="shared" si="3"/>
        <v>0</v>
      </c>
      <c r="F138" s="7">
        <f>COUNTIFS('HR Track 1'!$M$5:$M$407,$A$134,'HR Track 1'!$AW$5:$AW$407,$C138,'HR Track 1'!$AY$5:$AY$407,$D138)</f>
        <v>0</v>
      </c>
      <c r="G138" s="7">
        <f>COUNTIFS('HR Track 2'!$M$5:$M$405,$A$134,'HR Track 2'!$AW$5:$AW$405,$C138,'HR Track 2'!$AY$5:$AY$405,$D138)</f>
        <v>0</v>
      </c>
      <c r="H138" s="7">
        <f>COUNTIFS('HR Track 3 ZIC'!$M$5:$M$74,$A$134,'HR Track 3 ZIC'!$AW$5:$AW$74,$C138,'HR Track 3 ZIC'!$AY$5:$AY$74,$D138)</f>
        <v>0</v>
      </c>
      <c r="I138" s="7">
        <f>COUNTIFS('HR Track 4 ZIC'!$M$5:$M$45,$A$134,'HR Track 4 ZIC'!$AW$5:$AW$45,$C138,'HR Track 4 ZIC'!$AY$5:$AY$45,$D138)</f>
        <v>0</v>
      </c>
      <c r="J138" s="7">
        <f>COUNTIFS('HR Track 4 BIN'!$M$5:$M$45,$A$134,'HR Track 4 BIN'!$AW$5:$AW$45,$C138,'HR Track 4 BIN'!$AY$5:$AY$45,$D138)</f>
        <v>0</v>
      </c>
      <c r="K138" s="315">
        <f>COUNTIFS('HR Track 5 BIN'!$M$5:$M$39,$A$134,'HR Track 5 BIN'!$AW$5:$AW$39,$C138,'HR Track 5 BIN'!$AY$5:$AY$39,$D138)</f>
        <v>0</v>
      </c>
    </row>
    <row r="139" spans="1:11" ht="19.899999999999999" customHeight="1" thickBot="1">
      <c r="A139" s="1025"/>
      <c r="B139" s="1014"/>
      <c r="C139" s="316" t="s">
        <v>2282</v>
      </c>
      <c r="D139" s="317" t="str">
        <f>VLOOKUP(B134,Foundation_Calc!$K$4:$R$37,8,FALSE)</f>
        <v>N.D.</v>
      </c>
      <c r="E139" s="318">
        <f t="shared" si="3"/>
        <v>0</v>
      </c>
      <c r="F139" s="318">
        <f>COUNTIFS('HR Track 1'!$M$5:$M$407,$A$134,'HR Track 1'!$AW$5:$AW$407,$C139,'HR Track 1'!$AY$5:$AY$407,$D139)</f>
        <v>0</v>
      </c>
      <c r="G139" s="318">
        <f>COUNTIFS('HR Track 2'!$M$5:$M$405,$A$134,'HR Track 2'!$AW$5:$AW$405,$C139,'HR Track 2'!$AY$5:$AY$405,$D139)</f>
        <v>0</v>
      </c>
      <c r="H139" s="318">
        <f>COUNTIFS('HR Track 3 ZIC'!$M$5:$M$74,$A$134,'HR Track 3 ZIC'!$AW$5:$AW$74,$C139,'HR Track 3 ZIC'!$AY$5:$AY$74,$D139)</f>
        <v>0</v>
      </c>
      <c r="I139" s="318">
        <f>COUNTIFS('HR Track 4 ZIC'!$M$5:$M$45,$A$134,'HR Track 4 ZIC'!$AW$5:$AW$45,$C139,'HR Track 4 ZIC'!$AY$5:$AY$45,$D139)</f>
        <v>0</v>
      </c>
      <c r="J139" s="318">
        <f>COUNTIFS('HR Track 4 BIN'!$M$5:$M$45,$A$134,'HR Track 4 BIN'!$AW$5:$AW$45,$C139,'HR Track 4 BIN'!$AY$5:$AY$45,$D139)</f>
        <v>0</v>
      </c>
      <c r="K139" s="319">
        <f>COUNTIFS('HR Track 5 BIN'!$M$5:$M$39,$A$134,'HR Track 5 BIN'!$AW$5:$AW$39,$C139,'HR Track 5 BIN'!$AY$5:$AY$39,$D139)</f>
        <v>0</v>
      </c>
    </row>
    <row r="140" spans="1:11" ht="19.899999999999999" customHeight="1">
      <c r="A140" s="1108" t="s">
        <v>2378</v>
      </c>
      <c r="B140" s="1111" t="s">
        <v>2039</v>
      </c>
      <c r="C140" s="311" t="s">
        <v>2407</v>
      </c>
      <c r="D140" s="320" t="str">
        <f>VLOOKUP(B140,Foundation_Calc!$K$41:$R$74,3,FALSE)</f>
        <v>N.D.</v>
      </c>
      <c r="E140" s="313">
        <f t="shared" si="3"/>
        <v>0</v>
      </c>
      <c r="F140" s="313">
        <f>COUNTIFS('HR Track 1'!$M$5:$M$407,$A$140,'HR Track 1'!$AW$5:$AW$407,$C140,'HR Track 1'!$AY$5:$AY$407,$D140)</f>
        <v>0</v>
      </c>
      <c r="G140" s="313">
        <f>COUNTIFS('HR Track 2'!$M$5:$M$405,$A$140,'HR Track 2'!$AW$5:$AW$405,$C140,'HR Track 2'!$AY$5:$AY$405,$D140)</f>
        <v>0</v>
      </c>
      <c r="H140" s="313">
        <f>COUNTIFS('HR Track 3 ZIC'!$M$5:$M$74,$A$140,'HR Track 3 ZIC'!$AW$5:$AW$74,$C140,'HR Track 3 ZIC'!$AY$5:$AY$74,$D140)</f>
        <v>0</v>
      </c>
      <c r="I140" s="313">
        <f>COUNTIFS('HR Track 4 ZIC'!$M$5:$M$45,$A$140,'HR Track 4 ZIC'!$AW$5:$AW$45,$C140,'HR Track 4 ZIC'!$AY$5:$AY$45,$D140)</f>
        <v>0</v>
      </c>
      <c r="J140" s="313">
        <f>COUNTIFS('HR Track 4 BIN'!$M$5:$M$45,$A$140,'HR Track 4 BIN'!$AW$5:$AW$45,$C140,'HR Track 4 BIN'!$AY$5:$AY$45,$D140)</f>
        <v>0</v>
      </c>
      <c r="K140" s="314">
        <f>COUNTIFS('HR Track 5 BIN'!$M$5:$M$39,$A$140,'HR Track 5 BIN'!$AW$5:$AW$39,$C140,'HR Track 5 BIN'!$AY$5:$AY$39,$D140)</f>
        <v>0</v>
      </c>
    </row>
    <row r="141" spans="1:11" ht="19.899999999999999" customHeight="1">
      <c r="A141" s="1109"/>
      <c r="B141" s="1112"/>
      <c r="C141" s="153" t="s">
        <v>2408</v>
      </c>
      <c r="D141" s="291" t="str">
        <f>VLOOKUP(B140,Foundation_Calc!$K$41:$R$74,4,FALSE)</f>
        <v>N.D.</v>
      </c>
      <c r="E141" s="7">
        <f t="shared" si="3"/>
        <v>0</v>
      </c>
      <c r="F141" s="7">
        <f>COUNTIFS('HR Track 1'!$M$5:$M$407,$A$140,'HR Track 1'!$AW$5:$AW$407,$C141,'HR Track 1'!$AY$5:$AY$407,$D141)</f>
        <v>0</v>
      </c>
      <c r="G141" s="7">
        <f>COUNTIFS('HR Track 2'!$M$5:$M$405,$A$140,'HR Track 2'!$AW$5:$AW$405,$C141,'HR Track 2'!$AY$5:$AY$405,$D141)</f>
        <v>0</v>
      </c>
      <c r="H141" s="7">
        <f>COUNTIFS('HR Track 3 ZIC'!$M$5:$M$74,$A$140,'HR Track 3 ZIC'!$AW$5:$AW$74,$C141,'HR Track 3 ZIC'!$AY$5:$AY$74,$D141)</f>
        <v>0</v>
      </c>
      <c r="I141" s="7">
        <f>COUNTIFS('HR Track 4 ZIC'!$M$5:$M$45,$A$140,'HR Track 4 ZIC'!$AW$5:$AW$45,$C141,'HR Track 4 ZIC'!$AY$5:$AY$45,$D141)</f>
        <v>0</v>
      </c>
      <c r="J141" s="7">
        <f>COUNTIFS('HR Track 4 BIN'!$M$5:$M$45,$A$140,'HR Track 4 BIN'!$AW$5:$AW$45,$C141,'HR Track 4 BIN'!$AY$5:$AY$45,$D141)</f>
        <v>0</v>
      </c>
      <c r="K141" s="315">
        <f>COUNTIFS('HR Track 5 BIN'!$M$5:$M$39,$A$140,'HR Track 5 BIN'!$AW$5:$AW$39,$C141,'HR Track 5 BIN'!$AY$5:$AY$39,$D141)</f>
        <v>0</v>
      </c>
    </row>
    <row r="142" spans="1:11" ht="19.899999999999999" customHeight="1">
      <c r="A142" s="1109"/>
      <c r="B142" s="1112"/>
      <c r="C142" s="153" t="s">
        <v>2409</v>
      </c>
      <c r="D142" s="291" t="str">
        <f>VLOOKUP(B140,Foundation_Calc!$K$41:$R$74,5,FALSE)</f>
        <v>N.D.</v>
      </c>
      <c r="E142" s="7">
        <f t="shared" si="3"/>
        <v>0</v>
      </c>
      <c r="F142" s="7">
        <f>COUNTIFS('HR Track 1'!$M$5:$M$407,$A$140,'HR Track 1'!$AW$5:$AW$407,$C142,'HR Track 1'!$AY$5:$AY$407,$D142)</f>
        <v>0</v>
      </c>
      <c r="G142" s="7">
        <f>COUNTIFS('HR Track 2'!$M$5:$M$405,$A$140,'HR Track 2'!$AW$5:$AW$405,$C142,'HR Track 2'!$AY$5:$AY$405,$D142)</f>
        <v>0</v>
      </c>
      <c r="H142" s="7">
        <f>COUNTIFS('HR Track 3 ZIC'!$M$5:$M$74,$A$140,'HR Track 3 ZIC'!$AW$5:$AW$74,$C142,'HR Track 3 ZIC'!$AY$5:$AY$74,$D142)</f>
        <v>0</v>
      </c>
      <c r="I142" s="7">
        <f>COUNTIFS('HR Track 4 ZIC'!$M$5:$M$45,$A$140,'HR Track 4 ZIC'!$AW$5:$AW$45,$C142,'HR Track 4 ZIC'!$AY$5:$AY$45,$D142)</f>
        <v>0</v>
      </c>
      <c r="J142" s="7">
        <f>COUNTIFS('HR Track 4 BIN'!$M$5:$M$45,$A$140,'HR Track 4 BIN'!$AW$5:$AW$45,$C142,'HR Track 4 BIN'!$AY$5:$AY$45,$D142)</f>
        <v>0</v>
      </c>
      <c r="K142" s="315">
        <f>COUNTIFS('HR Track 5 BIN'!$M$5:$M$39,$A$140,'HR Track 5 BIN'!$AW$5:$AW$39,$C142,'HR Track 5 BIN'!$AY$5:$AY$39,$D142)</f>
        <v>0</v>
      </c>
    </row>
    <row r="143" spans="1:11" ht="19.899999999999999" customHeight="1">
      <c r="A143" s="1109"/>
      <c r="B143" s="1112"/>
      <c r="C143" s="153" t="s">
        <v>2280</v>
      </c>
      <c r="D143" s="291" t="str">
        <f>VLOOKUP(B140,Foundation_Calc!$K$41:$R$74,6,FALSE)</f>
        <v>N.D.</v>
      </c>
      <c r="E143" s="7">
        <f t="shared" si="3"/>
        <v>0</v>
      </c>
      <c r="F143" s="7">
        <f>COUNTIFS('HR Track 1'!$M$5:$M$407,$A$140,'HR Track 1'!$AW$5:$AW$407,$C143,'HR Track 1'!$AY$5:$AY$407,$D143)</f>
        <v>0</v>
      </c>
      <c r="G143" s="7">
        <f>COUNTIFS('HR Track 2'!$M$5:$M$405,$A$140,'HR Track 2'!$AW$5:$AW$405,$C143,'HR Track 2'!$AY$5:$AY$405,$D143)</f>
        <v>0</v>
      </c>
      <c r="H143" s="7">
        <f>COUNTIFS('HR Track 3 ZIC'!$M$5:$M$74,$A$140,'HR Track 3 ZIC'!$AW$5:$AW$74,$C143,'HR Track 3 ZIC'!$AY$5:$AY$74,$D143)</f>
        <v>0</v>
      </c>
      <c r="I143" s="7">
        <f>COUNTIFS('HR Track 4 ZIC'!$M$5:$M$45,$A$140,'HR Track 4 ZIC'!$AW$5:$AW$45,$C143,'HR Track 4 ZIC'!$AY$5:$AY$45,$D143)</f>
        <v>0</v>
      </c>
      <c r="J143" s="7">
        <f>COUNTIFS('HR Track 4 BIN'!$M$5:$M$45,$A$140,'HR Track 4 BIN'!$AW$5:$AW$45,$C143,'HR Track 4 BIN'!$AY$5:$AY$45,$D143)</f>
        <v>0</v>
      </c>
      <c r="K143" s="315">
        <f>COUNTIFS('HR Track 5 BIN'!$M$5:$M$39,$A$140,'HR Track 5 BIN'!$AW$5:$AW$39,$C143,'HR Track 5 BIN'!$AY$5:$AY$39,$D143)</f>
        <v>0</v>
      </c>
    </row>
    <row r="144" spans="1:11" ht="19.899999999999999" customHeight="1">
      <c r="A144" s="1109"/>
      <c r="B144" s="1112"/>
      <c r="C144" s="153" t="s">
        <v>2281</v>
      </c>
      <c r="D144" s="291" t="str">
        <f>VLOOKUP(B140,Foundation_Calc!$K$41:$R$74,7,FALSE)</f>
        <v>N.D.</v>
      </c>
      <c r="E144" s="7">
        <f t="shared" si="3"/>
        <v>0</v>
      </c>
      <c r="F144" s="7">
        <f>COUNTIFS('HR Track 1'!$M$5:$M$407,$A$140,'HR Track 1'!$AW$5:$AW$407,$C144,'HR Track 1'!$AY$5:$AY$407,$D144)</f>
        <v>0</v>
      </c>
      <c r="G144" s="7">
        <f>COUNTIFS('HR Track 2'!$M$5:$M$405,$A$140,'HR Track 2'!$AW$5:$AW$405,$C144,'HR Track 2'!$AY$5:$AY$405,$D144)</f>
        <v>0</v>
      </c>
      <c r="H144" s="7">
        <f>COUNTIFS('HR Track 3 ZIC'!$M$5:$M$74,$A$140,'HR Track 3 ZIC'!$AW$5:$AW$74,$C144,'HR Track 3 ZIC'!$AY$5:$AY$74,$D144)</f>
        <v>0</v>
      </c>
      <c r="I144" s="7">
        <f>COUNTIFS('HR Track 4 ZIC'!$M$5:$M$45,$A$140,'HR Track 4 ZIC'!$AW$5:$AW$45,$C144,'HR Track 4 ZIC'!$AY$5:$AY$45,$D144)</f>
        <v>0</v>
      </c>
      <c r="J144" s="7">
        <f>COUNTIFS('HR Track 4 BIN'!$M$5:$M$45,$A$140,'HR Track 4 BIN'!$AW$5:$AW$45,$C144,'HR Track 4 BIN'!$AY$5:$AY$45,$D144)</f>
        <v>0</v>
      </c>
      <c r="K144" s="315">
        <f>COUNTIFS('HR Track 5 BIN'!$M$5:$M$39,$A$140,'HR Track 5 BIN'!$AW$5:$AW$39,$C144,'HR Track 5 BIN'!$AY$5:$AY$39,$D144)</f>
        <v>0</v>
      </c>
    </row>
    <row r="145" spans="1:11" ht="19.899999999999999" customHeight="1" thickBot="1">
      <c r="A145" s="1110"/>
      <c r="B145" s="1113"/>
      <c r="C145" s="316" t="s">
        <v>2282</v>
      </c>
      <c r="D145" s="321" t="str">
        <f>VLOOKUP(B140,Foundation_Calc!$K$41:$R$74,8,FALSE)</f>
        <v>N.D.</v>
      </c>
      <c r="E145" s="318">
        <f t="shared" si="3"/>
        <v>0</v>
      </c>
      <c r="F145" s="318">
        <f>COUNTIFS('HR Track 1'!$M$5:$M$407,$A$140,'HR Track 1'!$AW$5:$AW$407,$C145,'HR Track 1'!$AY$5:$AY$407,$D145)</f>
        <v>0</v>
      </c>
      <c r="G145" s="318">
        <f>COUNTIFS('HR Track 2'!$M$5:$M$405,$A$140,'HR Track 2'!$AW$5:$AW$405,$C145,'HR Track 2'!$AY$5:$AY$405,$D145)</f>
        <v>0</v>
      </c>
      <c r="H145" s="318">
        <f>COUNTIFS('HR Track 3 ZIC'!$M$5:$M$74,$A$140,'HR Track 3 ZIC'!$AW$5:$AW$74,$C145,'HR Track 3 ZIC'!$AY$5:$AY$74,$D145)</f>
        <v>0</v>
      </c>
      <c r="I145" s="318">
        <f>COUNTIFS('HR Track 4 ZIC'!$M$5:$M$45,$A$140,'HR Track 4 ZIC'!$AW$5:$AW$45,$C145,'HR Track 4 ZIC'!$AY$5:$AY$45,$D145)</f>
        <v>0</v>
      </c>
      <c r="J145" s="318">
        <f>COUNTIFS('HR Track 4 BIN'!$M$5:$M$45,$A$140,'HR Track 4 BIN'!$AW$5:$AW$45,$C145,'HR Track 4 BIN'!$AY$5:$AY$45,$D145)</f>
        <v>0</v>
      </c>
      <c r="K145" s="319">
        <f>COUNTIFS('HR Track 5 BIN'!$M$5:$M$39,$A$140,'HR Track 5 BIN'!$AW$5:$AW$39,$C145,'HR Track 5 BIN'!$AY$5:$AY$39,$D145)</f>
        <v>0</v>
      </c>
    </row>
    <row r="146" spans="1:11" ht="19.899999999999999" customHeight="1">
      <c r="A146" s="1114" t="s">
        <v>929</v>
      </c>
      <c r="B146" s="1115" t="s">
        <v>568</v>
      </c>
      <c r="C146" s="311" t="s">
        <v>2407</v>
      </c>
      <c r="D146" s="312" t="str">
        <f>VLOOKUP(B146,Foundation_Calc!$K$4:$R$37,3,FALSE)</f>
        <v>N.D.</v>
      </c>
      <c r="E146" s="313">
        <f t="shared" si="3"/>
        <v>0</v>
      </c>
      <c r="F146" s="313">
        <f>COUNTIFS('HR Track 1'!$M$5:$M$407,$A$146,'HR Track 1'!$AW$5:$AW$407,$C146,'HR Track 1'!$AY$5:$AY$407,$D146)</f>
        <v>0</v>
      </c>
      <c r="G146" s="313">
        <f>COUNTIFS('HR Track 2'!$M$5:$M$405,$A$146,'HR Track 2'!$AW$5:$AW$405,$C146,'HR Track 2'!$AY$5:$AY$405,$D146)</f>
        <v>0</v>
      </c>
      <c r="H146" s="313">
        <f>COUNTIFS('HR Track 3 ZIC'!$M$5:$M$74,$A$146,'HR Track 3 ZIC'!$AW$5:$AW$74,$C146,'HR Track 3 ZIC'!$AY$5:$AY$74,$D146)</f>
        <v>0</v>
      </c>
      <c r="I146" s="313">
        <f>COUNTIFS('HR Track 4 ZIC'!$M$5:$M$45,$A$146,'HR Track 4 ZIC'!$AW$5:$AW$45,$C146,'HR Track 4 ZIC'!$AY$5:$AY$45,$D146)</f>
        <v>0</v>
      </c>
      <c r="J146" s="313">
        <f>COUNTIFS('HR Track 4 BIN'!$M$5:$M$45,$A$146,'HR Track 4 BIN'!$AW$5:$AW$45,$C146,'HR Track 4 BIN'!$AY$5:$AY$45,$D146)</f>
        <v>0</v>
      </c>
      <c r="K146" s="314">
        <f>COUNTIFS('HR Track 5 BIN'!$M$5:$M$39,$A$146,'HR Track 5 BIN'!$AW$5:$AW$39,$C146,'HR Track 5 BIN'!$AY$5:$AY$39,$D146)</f>
        <v>0</v>
      </c>
    </row>
    <row r="147" spans="1:11" ht="19.899999999999999" customHeight="1">
      <c r="A147" s="1024"/>
      <c r="B147" s="1013"/>
      <c r="C147" s="153" t="s">
        <v>2408</v>
      </c>
      <c r="D147" s="11" t="str">
        <f>VLOOKUP(B146,Foundation_Calc!$K$4:$R$37,4,FALSE)</f>
        <v>N.D.</v>
      </c>
      <c r="E147" s="7">
        <f t="shared" si="3"/>
        <v>0</v>
      </c>
      <c r="F147" s="7">
        <f>COUNTIFS('HR Track 1'!$M$5:$M$407,$A$146,'HR Track 1'!$AW$5:$AW$407,$C147,'HR Track 1'!$AY$5:$AY$407,$D147)</f>
        <v>0</v>
      </c>
      <c r="G147" s="7">
        <f>COUNTIFS('HR Track 2'!$M$5:$M$405,$A$146,'HR Track 2'!$AW$5:$AW$405,$C147,'HR Track 2'!$AY$5:$AY$405,$D147)</f>
        <v>0</v>
      </c>
      <c r="H147" s="7">
        <f>COUNTIFS('HR Track 3 ZIC'!$M$5:$M$74,$A$146,'HR Track 3 ZIC'!$AW$5:$AW$74,$C147,'HR Track 3 ZIC'!$AY$5:$AY$74,$D147)</f>
        <v>0</v>
      </c>
      <c r="I147" s="7">
        <f>COUNTIFS('HR Track 4 ZIC'!$M$5:$M$45,$A$146,'HR Track 4 ZIC'!$AW$5:$AW$45,$C147,'HR Track 4 ZIC'!$AY$5:$AY$45,$D147)</f>
        <v>0</v>
      </c>
      <c r="J147" s="7">
        <f>COUNTIFS('HR Track 4 BIN'!$M$5:$M$45,$A$146,'HR Track 4 BIN'!$AW$5:$AW$45,$C147,'HR Track 4 BIN'!$AY$5:$AY$45,$D147)</f>
        <v>0</v>
      </c>
      <c r="K147" s="315">
        <f>COUNTIFS('HR Track 5 BIN'!$M$5:$M$39,$A$146,'HR Track 5 BIN'!$AW$5:$AW$39,$C147,'HR Track 5 BIN'!$AY$5:$AY$39,$D147)</f>
        <v>0</v>
      </c>
    </row>
    <row r="148" spans="1:11" ht="19.899999999999999" customHeight="1">
      <c r="A148" s="1024"/>
      <c r="B148" s="1013"/>
      <c r="C148" s="153" t="s">
        <v>2409</v>
      </c>
      <c r="D148" s="11" t="str">
        <f>VLOOKUP(B146,Foundation_Calc!$K$4:$R$37,5,FALSE)</f>
        <v>N.D.</v>
      </c>
      <c r="E148" s="7">
        <f t="shared" si="3"/>
        <v>0</v>
      </c>
      <c r="F148" s="7">
        <f>COUNTIFS('HR Track 1'!$M$5:$M$407,$A$146,'HR Track 1'!$AW$5:$AW$407,$C148,'HR Track 1'!$AY$5:$AY$407,$D148)</f>
        <v>0</v>
      </c>
      <c r="G148" s="7">
        <f>COUNTIFS('HR Track 2'!$M$5:$M$405,$A$146,'HR Track 2'!$AW$5:$AW$405,$C148,'HR Track 2'!$AY$5:$AY$405,$D148)</f>
        <v>0</v>
      </c>
      <c r="H148" s="7">
        <f>COUNTIFS('HR Track 3 ZIC'!$M$5:$M$74,$A$146,'HR Track 3 ZIC'!$AW$5:$AW$74,$C148,'HR Track 3 ZIC'!$AY$5:$AY$74,$D148)</f>
        <v>0</v>
      </c>
      <c r="I148" s="7">
        <f>COUNTIFS('HR Track 4 ZIC'!$M$5:$M$45,$A$146,'HR Track 4 ZIC'!$AW$5:$AW$45,$C148,'HR Track 4 ZIC'!$AY$5:$AY$45,$D148)</f>
        <v>0</v>
      </c>
      <c r="J148" s="7">
        <f>COUNTIFS('HR Track 4 BIN'!$M$5:$M$45,$A$146,'HR Track 4 BIN'!$AW$5:$AW$45,$C148,'HR Track 4 BIN'!$AY$5:$AY$45,$D148)</f>
        <v>0</v>
      </c>
      <c r="K148" s="315">
        <f>COUNTIFS('HR Track 5 BIN'!$M$5:$M$39,$A$146,'HR Track 5 BIN'!$AW$5:$AW$39,$C148,'HR Track 5 BIN'!$AY$5:$AY$39,$D148)</f>
        <v>0</v>
      </c>
    </row>
    <row r="149" spans="1:11" ht="19.899999999999999" customHeight="1">
      <c r="A149" s="1024"/>
      <c r="B149" s="1013"/>
      <c r="C149" s="153" t="s">
        <v>2280</v>
      </c>
      <c r="D149" s="11" t="str">
        <f>VLOOKUP(B146,Foundation_Calc!$K$4:$R$37,6,FALSE)</f>
        <v>N.D.</v>
      </c>
      <c r="E149" s="7">
        <f t="shared" si="3"/>
        <v>0</v>
      </c>
      <c r="F149" s="7">
        <f>COUNTIFS('HR Track 1'!$M$5:$M$407,$A$146,'HR Track 1'!$AW$5:$AW$407,$C149,'HR Track 1'!$AY$5:$AY$407,$D149)</f>
        <v>0</v>
      </c>
      <c r="G149" s="7">
        <f>COUNTIFS('HR Track 2'!$M$5:$M$405,$A$146,'HR Track 2'!$AW$5:$AW$405,$C149,'HR Track 2'!$AY$5:$AY$405,$D149)</f>
        <v>0</v>
      </c>
      <c r="H149" s="7">
        <f>COUNTIFS('HR Track 3 ZIC'!$M$5:$M$74,$A$146,'HR Track 3 ZIC'!$AW$5:$AW$74,$C149,'HR Track 3 ZIC'!$AY$5:$AY$74,$D149)</f>
        <v>0</v>
      </c>
      <c r="I149" s="7">
        <f>COUNTIFS('HR Track 4 ZIC'!$M$5:$M$45,$A$146,'HR Track 4 ZIC'!$AW$5:$AW$45,$C149,'HR Track 4 ZIC'!$AY$5:$AY$45,$D149)</f>
        <v>0</v>
      </c>
      <c r="J149" s="7">
        <f>COUNTIFS('HR Track 4 BIN'!$M$5:$M$45,$A$146,'HR Track 4 BIN'!$AW$5:$AW$45,$C149,'HR Track 4 BIN'!$AY$5:$AY$45,$D149)</f>
        <v>0</v>
      </c>
      <c r="K149" s="315">
        <f>COUNTIFS('HR Track 5 BIN'!$M$5:$M$39,$A$146,'HR Track 5 BIN'!$AW$5:$AW$39,$C149,'HR Track 5 BIN'!$AY$5:$AY$39,$D149)</f>
        <v>0</v>
      </c>
    </row>
    <row r="150" spans="1:11" ht="19.899999999999999" customHeight="1">
      <c r="A150" s="1024"/>
      <c r="B150" s="1013"/>
      <c r="C150" s="153" t="s">
        <v>2281</v>
      </c>
      <c r="D150" s="11" t="str">
        <f>VLOOKUP(B146,Foundation_Calc!$K$4:$R$37,7,FALSE)</f>
        <v>N.D.</v>
      </c>
      <c r="E150" s="7">
        <f t="shared" si="3"/>
        <v>0</v>
      </c>
      <c r="F150" s="7">
        <f>COUNTIFS('HR Track 1'!$M$5:$M$407,$A$146,'HR Track 1'!$AW$5:$AW$407,$C150,'HR Track 1'!$AY$5:$AY$407,$D150)</f>
        <v>0</v>
      </c>
      <c r="G150" s="7">
        <f>COUNTIFS('HR Track 2'!$M$5:$M$405,$A$146,'HR Track 2'!$AW$5:$AW$405,$C150,'HR Track 2'!$AY$5:$AY$405,$D150)</f>
        <v>0</v>
      </c>
      <c r="H150" s="7">
        <f>COUNTIFS('HR Track 3 ZIC'!$M$5:$M$74,$A$146,'HR Track 3 ZIC'!$AW$5:$AW$74,$C150,'HR Track 3 ZIC'!$AY$5:$AY$74,$D150)</f>
        <v>0</v>
      </c>
      <c r="I150" s="7">
        <f>COUNTIFS('HR Track 4 ZIC'!$M$5:$M$45,$A$146,'HR Track 4 ZIC'!$AW$5:$AW$45,$C150,'HR Track 4 ZIC'!$AY$5:$AY$45,$D150)</f>
        <v>0</v>
      </c>
      <c r="J150" s="7">
        <f>COUNTIFS('HR Track 4 BIN'!$M$5:$M$45,$A$146,'HR Track 4 BIN'!$AW$5:$AW$45,$C150,'HR Track 4 BIN'!$AY$5:$AY$45,$D150)</f>
        <v>0</v>
      </c>
      <c r="K150" s="315">
        <f>COUNTIFS('HR Track 5 BIN'!$M$5:$M$39,$A$146,'HR Track 5 BIN'!$AW$5:$AW$39,$C150,'HR Track 5 BIN'!$AY$5:$AY$39,$D150)</f>
        <v>0</v>
      </c>
    </row>
    <row r="151" spans="1:11" ht="19.899999999999999" customHeight="1" thickBot="1">
      <c r="A151" s="1025"/>
      <c r="B151" s="1014"/>
      <c r="C151" s="316" t="s">
        <v>2282</v>
      </c>
      <c r="D151" s="317" t="str">
        <f>VLOOKUP(B146,Foundation_Calc!$K$4:$R$37,8,FALSE)</f>
        <v>N.D.</v>
      </c>
      <c r="E151" s="318">
        <f t="shared" si="3"/>
        <v>0</v>
      </c>
      <c r="F151" s="318">
        <f>COUNTIFS('HR Track 1'!$M$5:$M$407,$A$146,'HR Track 1'!$AW$5:$AW$407,$C151,'HR Track 1'!$AY$5:$AY$407,$D151)</f>
        <v>0</v>
      </c>
      <c r="G151" s="318">
        <f>COUNTIFS('HR Track 2'!$M$5:$M$405,$A$146,'HR Track 2'!$AW$5:$AW$405,$C151,'HR Track 2'!$AY$5:$AY$405,$D151)</f>
        <v>0</v>
      </c>
      <c r="H151" s="318">
        <f>COUNTIFS('HR Track 3 ZIC'!$M$5:$M$74,$A$146,'HR Track 3 ZIC'!$AW$5:$AW$74,$C151,'HR Track 3 ZIC'!$AY$5:$AY$74,$D151)</f>
        <v>0</v>
      </c>
      <c r="I151" s="318">
        <f>COUNTIFS('HR Track 4 ZIC'!$M$5:$M$45,$A$146,'HR Track 4 ZIC'!$AW$5:$AW$45,$C151,'HR Track 4 ZIC'!$AY$5:$AY$45,$D151)</f>
        <v>0</v>
      </c>
      <c r="J151" s="318">
        <f>COUNTIFS('HR Track 4 BIN'!$M$5:$M$45,$A$146,'HR Track 4 BIN'!$AW$5:$AW$45,$C151,'HR Track 4 BIN'!$AY$5:$AY$45,$D151)</f>
        <v>0</v>
      </c>
      <c r="K151" s="319">
        <f>COUNTIFS('HR Track 5 BIN'!$M$5:$M$39,$A$146,'HR Track 5 BIN'!$AW$5:$AW$39,$C151,'HR Track 5 BIN'!$AY$5:$AY$39,$D151)</f>
        <v>0</v>
      </c>
    </row>
    <row r="152" spans="1:11" ht="19.899999999999999" customHeight="1">
      <c r="A152" s="1108" t="s">
        <v>2378</v>
      </c>
      <c r="B152" s="1111" t="s">
        <v>568</v>
      </c>
      <c r="C152" s="311" t="s">
        <v>2407</v>
      </c>
      <c r="D152" s="320" t="str">
        <f>VLOOKUP(B152,Foundation_Calc!$K$41:$R$74,3,FALSE)</f>
        <v>N.D.</v>
      </c>
      <c r="E152" s="313">
        <f t="shared" si="3"/>
        <v>0</v>
      </c>
      <c r="F152" s="313">
        <f>COUNTIFS('HR Track 1'!$M$5:$M$407,$A$152,'HR Track 1'!$AW$5:$AW$407,$C152,'HR Track 1'!$AY$5:$AY$407,$D152)</f>
        <v>0</v>
      </c>
      <c r="G152" s="313">
        <f>COUNTIFS('HR Track 2'!$M$5:$M$405,$A$152,'HR Track 2'!$AW$5:$AW$405,$C152,'HR Track 2'!$AY$5:$AY$405,$D152)</f>
        <v>0</v>
      </c>
      <c r="H152" s="313">
        <f>COUNTIFS('HR Track 3 ZIC'!$M$5:$M$74,$A$152,'HR Track 3 ZIC'!$AW$5:$AW$74,$C152,'HR Track 3 ZIC'!$AY$5:$AY$74,$D152)</f>
        <v>0</v>
      </c>
      <c r="I152" s="313">
        <f>COUNTIFS('HR Track 4 ZIC'!$M$5:$M$45,$A$152,'HR Track 4 ZIC'!$AW$5:$AW$45,$C152,'HR Track 4 ZIC'!$AY$5:$AY$45,$D152)</f>
        <v>0</v>
      </c>
      <c r="J152" s="313">
        <f>COUNTIFS('HR Track 4 BIN'!$M$5:$M$45,$A$152,'HR Track 4 BIN'!$AW$5:$AW$45,$C152,'HR Track 4 BIN'!$AY$5:$AY$45,$D152)</f>
        <v>0</v>
      </c>
      <c r="K152" s="314">
        <f>COUNTIFS('HR Track 5 BIN'!$M$5:$M$39,$A$152,'HR Track 5 BIN'!$AW$5:$AW$39,$C152,'HR Track 5 BIN'!$AY$5:$AY$39,$D152)</f>
        <v>0</v>
      </c>
    </row>
    <row r="153" spans="1:11" ht="19.899999999999999" customHeight="1">
      <c r="A153" s="1109"/>
      <c r="B153" s="1112"/>
      <c r="C153" s="153" t="s">
        <v>2408</v>
      </c>
      <c r="D153" s="291" t="str">
        <f>VLOOKUP(B152,Foundation_Calc!$K$41:$R$74,4,FALSE)</f>
        <v>N.D.</v>
      </c>
      <c r="E153" s="7">
        <f t="shared" si="3"/>
        <v>0</v>
      </c>
      <c r="F153" s="7">
        <f>COUNTIFS('HR Track 1'!$M$5:$M$407,$A$152,'HR Track 1'!$AW$5:$AW$407,$C153,'HR Track 1'!$AY$5:$AY$407,$D153)</f>
        <v>0</v>
      </c>
      <c r="G153" s="7">
        <f>COUNTIFS('HR Track 2'!$M$5:$M$405,$A$152,'HR Track 2'!$AW$5:$AW$405,$C153,'HR Track 2'!$AY$5:$AY$405,$D153)</f>
        <v>0</v>
      </c>
      <c r="H153" s="7">
        <f>COUNTIFS('HR Track 3 ZIC'!$M$5:$M$74,$A$152,'HR Track 3 ZIC'!$AW$5:$AW$74,$C153,'HR Track 3 ZIC'!$AY$5:$AY$74,$D153)</f>
        <v>0</v>
      </c>
      <c r="I153" s="7">
        <f>COUNTIFS('HR Track 4 ZIC'!$M$5:$M$45,$A$152,'HR Track 4 ZIC'!$AW$5:$AW$45,$C153,'HR Track 4 ZIC'!$AY$5:$AY$45,$D153)</f>
        <v>0</v>
      </c>
      <c r="J153" s="7">
        <f>COUNTIFS('HR Track 4 BIN'!$M$5:$M$45,$A$152,'HR Track 4 BIN'!$AW$5:$AW$45,$C153,'HR Track 4 BIN'!$AY$5:$AY$45,$D153)</f>
        <v>0</v>
      </c>
      <c r="K153" s="315">
        <f>COUNTIFS('HR Track 5 BIN'!$M$5:$M$39,$A$152,'HR Track 5 BIN'!$AW$5:$AW$39,$C153,'HR Track 5 BIN'!$AY$5:$AY$39,$D153)</f>
        <v>0</v>
      </c>
    </row>
    <row r="154" spans="1:11" ht="19.899999999999999" customHeight="1">
      <c r="A154" s="1109"/>
      <c r="B154" s="1112"/>
      <c r="C154" s="153" t="s">
        <v>2409</v>
      </c>
      <c r="D154" s="291" t="str">
        <f>VLOOKUP(B152,Foundation_Calc!$K$41:$R$74,5,FALSE)</f>
        <v>N.D.</v>
      </c>
      <c r="E154" s="7">
        <f t="shared" si="3"/>
        <v>0</v>
      </c>
      <c r="F154" s="7">
        <f>COUNTIFS('HR Track 1'!$M$5:$M$407,$A$152,'HR Track 1'!$AW$5:$AW$407,$C154,'HR Track 1'!$AY$5:$AY$407,$D154)</f>
        <v>0</v>
      </c>
      <c r="G154" s="7">
        <f>COUNTIFS('HR Track 2'!$M$5:$M$405,$A$152,'HR Track 2'!$AW$5:$AW$405,$C154,'HR Track 2'!$AY$5:$AY$405,$D154)</f>
        <v>0</v>
      </c>
      <c r="H154" s="7">
        <f>COUNTIFS('HR Track 3 ZIC'!$M$5:$M$74,$A$152,'HR Track 3 ZIC'!$AW$5:$AW$74,$C154,'HR Track 3 ZIC'!$AY$5:$AY$74,$D154)</f>
        <v>0</v>
      </c>
      <c r="I154" s="7">
        <f>COUNTIFS('HR Track 4 ZIC'!$M$5:$M$45,$A$152,'HR Track 4 ZIC'!$AW$5:$AW$45,$C154,'HR Track 4 ZIC'!$AY$5:$AY$45,$D154)</f>
        <v>0</v>
      </c>
      <c r="J154" s="7">
        <f>COUNTIFS('HR Track 4 BIN'!$M$5:$M$45,$A$152,'HR Track 4 BIN'!$AW$5:$AW$45,$C154,'HR Track 4 BIN'!$AY$5:$AY$45,$D154)</f>
        <v>0</v>
      </c>
      <c r="K154" s="315">
        <f>COUNTIFS('HR Track 5 BIN'!$M$5:$M$39,$A$152,'HR Track 5 BIN'!$AW$5:$AW$39,$C154,'HR Track 5 BIN'!$AY$5:$AY$39,$D154)</f>
        <v>0</v>
      </c>
    </row>
    <row r="155" spans="1:11" ht="19.899999999999999" customHeight="1">
      <c r="A155" s="1109"/>
      <c r="B155" s="1112"/>
      <c r="C155" s="153" t="s">
        <v>2280</v>
      </c>
      <c r="D155" s="291" t="str">
        <f>VLOOKUP(B152,Foundation_Calc!$K$41:$R$74,6,FALSE)</f>
        <v>N.D.</v>
      </c>
      <c r="E155" s="7">
        <f t="shared" si="3"/>
        <v>0</v>
      </c>
      <c r="F155" s="7">
        <f>COUNTIFS('HR Track 1'!$M$5:$M$407,$A$152,'HR Track 1'!$AW$5:$AW$407,$C155,'HR Track 1'!$AY$5:$AY$407,$D155)</f>
        <v>0</v>
      </c>
      <c r="G155" s="7">
        <f>COUNTIFS('HR Track 2'!$M$5:$M$405,$A$152,'HR Track 2'!$AW$5:$AW$405,$C155,'HR Track 2'!$AY$5:$AY$405,$D155)</f>
        <v>0</v>
      </c>
      <c r="H155" s="7">
        <f>COUNTIFS('HR Track 3 ZIC'!$M$5:$M$74,$A$152,'HR Track 3 ZIC'!$AW$5:$AW$74,$C155,'HR Track 3 ZIC'!$AY$5:$AY$74,$D155)</f>
        <v>0</v>
      </c>
      <c r="I155" s="7">
        <f>COUNTIFS('HR Track 4 ZIC'!$M$5:$M$45,$A$152,'HR Track 4 ZIC'!$AW$5:$AW$45,$C155,'HR Track 4 ZIC'!$AY$5:$AY$45,$D155)</f>
        <v>0</v>
      </c>
      <c r="J155" s="7">
        <f>COUNTIFS('HR Track 4 BIN'!$M$5:$M$45,$A$152,'HR Track 4 BIN'!$AW$5:$AW$45,$C155,'HR Track 4 BIN'!$AY$5:$AY$45,$D155)</f>
        <v>0</v>
      </c>
      <c r="K155" s="315">
        <f>COUNTIFS('HR Track 5 BIN'!$M$5:$M$39,$A$152,'HR Track 5 BIN'!$AW$5:$AW$39,$C155,'HR Track 5 BIN'!$AY$5:$AY$39,$D155)</f>
        <v>0</v>
      </c>
    </row>
    <row r="156" spans="1:11" ht="19.899999999999999" customHeight="1">
      <c r="A156" s="1109"/>
      <c r="B156" s="1112"/>
      <c r="C156" s="153" t="s">
        <v>2281</v>
      </c>
      <c r="D156" s="291" t="str">
        <f>VLOOKUP(B152,Foundation_Calc!$K$41:$R$74,7,FALSE)</f>
        <v>N.D.</v>
      </c>
      <c r="E156" s="7">
        <f t="shared" si="3"/>
        <v>0</v>
      </c>
      <c r="F156" s="7">
        <f>COUNTIFS('HR Track 1'!$M$5:$M$407,$A$152,'HR Track 1'!$AW$5:$AW$407,$C156,'HR Track 1'!$AY$5:$AY$407,$D156)</f>
        <v>0</v>
      </c>
      <c r="G156" s="7">
        <f>COUNTIFS('HR Track 2'!$M$5:$M$405,$A$152,'HR Track 2'!$AW$5:$AW$405,$C156,'HR Track 2'!$AY$5:$AY$405,$D156)</f>
        <v>0</v>
      </c>
      <c r="H156" s="7">
        <f>COUNTIFS('HR Track 3 ZIC'!$M$5:$M$74,$A$152,'HR Track 3 ZIC'!$AW$5:$AW$74,$C156,'HR Track 3 ZIC'!$AY$5:$AY$74,$D156)</f>
        <v>0</v>
      </c>
      <c r="I156" s="7">
        <f>COUNTIFS('HR Track 4 ZIC'!$M$5:$M$45,$A$152,'HR Track 4 ZIC'!$AW$5:$AW$45,$C156,'HR Track 4 ZIC'!$AY$5:$AY$45,$D156)</f>
        <v>0</v>
      </c>
      <c r="J156" s="7">
        <f>COUNTIFS('HR Track 4 BIN'!$M$5:$M$45,$A$152,'HR Track 4 BIN'!$AW$5:$AW$45,$C156,'HR Track 4 BIN'!$AY$5:$AY$45,$D156)</f>
        <v>0</v>
      </c>
      <c r="K156" s="315">
        <f>COUNTIFS('HR Track 5 BIN'!$M$5:$M$39,$A$152,'HR Track 5 BIN'!$AW$5:$AW$39,$C156,'HR Track 5 BIN'!$AY$5:$AY$39,$D156)</f>
        <v>0</v>
      </c>
    </row>
    <row r="157" spans="1:11" ht="19.899999999999999" customHeight="1" thickBot="1">
      <c r="A157" s="1110"/>
      <c r="B157" s="1113"/>
      <c r="C157" s="316" t="s">
        <v>2282</v>
      </c>
      <c r="D157" s="321" t="str">
        <f>VLOOKUP(B152,Foundation_Calc!$K$41:$R$74,8,FALSE)</f>
        <v>N.D.</v>
      </c>
      <c r="E157" s="318">
        <f t="shared" si="3"/>
        <v>0</v>
      </c>
      <c r="F157" s="318">
        <f>COUNTIFS('HR Track 1'!$M$5:$M$407,$A$152,'HR Track 1'!$AW$5:$AW$407,$C157,'HR Track 1'!$AY$5:$AY$407,$D157)</f>
        <v>0</v>
      </c>
      <c r="G157" s="318">
        <f>COUNTIFS('HR Track 2'!$M$5:$M$405,$A$152,'HR Track 2'!$AW$5:$AW$405,$C157,'HR Track 2'!$AY$5:$AY$405,$D157)</f>
        <v>0</v>
      </c>
      <c r="H157" s="318">
        <f>COUNTIFS('HR Track 3 ZIC'!$M$5:$M$74,$A$152,'HR Track 3 ZIC'!$AW$5:$AW$74,$C157,'HR Track 3 ZIC'!$AY$5:$AY$74,$D157)</f>
        <v>0</v>
      </c>
      <c r="I157" s="318">
        <f>COUNTIFS('HR Track 4 ZIC'!$M$5:$M$45,$A$152,'HR Track 4 ZIC'!$AW$5:$AW$45,$C157,'HR Track 4 ZIC'!$AY$5:$AY$45,$D157)</f>
        <v>0</v>
      </c>
      <c r="J157" s="318">
        <f>COUNTIFS('HR Track 4 BIN'!$M$5:$M$45,$A$152,'HR Track 4 BIN'!$AW$5:$AW$45,$C157,'HR Track 4 BIN'!$AY$5:$AY$45,$D157)</f>
        <v>0</v>
      </c>
      <c r="K157" s="319">
        <f>COUNTIFS('HR Track 5 BIN'!$M$5:$M$39,$A$152,'HR Track 5 BIN'!$AW$5:$AW$39,$C157,'HR Track 5 BIN'!$AY$5:$AY$39,$D157)</f>
        <v>0</v>
      </c>
    </row>
    <row r="158" spans="1:11" ht="19.899999999999999" customHeight="1">
      <c r="A158" s="1114" t="s">
        <v>929</v>
      </c>
      <c r="B158" s="1115" t="s">
        <v>142</v>
      </c>
      <c r="C158" s="311" t="s">
        <v>2407</v>
      </c>
      <c r="D158" s="312" t="str">
        <f>VLOOKUP(B158,Foundation_Calc!$K$4:$R$37,3,FALSE)</f>
        <v>N.D.</v>
      </c>
      <c r="E158" s="313">
        <f t="shared" si="3"/>
        <v>0</v>
      </c>
      <c r="F158" s="313">
        <f>COUNTIFS('HR Track 1'!$M$5:$M$407,$A$158,'HR Track 1'!$AW$5:$AW$407,$C158,'HR Track 1'!$AY$5:$AY$407,$D158)</f>
        <v>0</v>
      </c>
      <c r="G158" s="313">
        <f>COUNTIFS('HR Track 2'!$M$5:$M$405,$A$158,'HR Track 2'!$AW$5:$AW$405,$C158,'HR Track 2'!$AY$5:$AY$405,$D158)</f>
        <v>0</v>
      </c>
      <c r="H158" s="313">
        <f>COUNTIFS('HR Track 3 ZIC'!$M$5:$M$74,$A$158,'HR Track 3 ZIC'!$AW$5:$AW$74,$C158,'HR Track 3 ZIC'!$AY$5:$AY$74,$D158)</f>
        <v>0</v>
      </c>
      <c r="I158" s="313">
        <f>COUNTIFS('HR Track 4 ZIC'!$M$5:$M$45,$A$158,'HR Track 4 ZIC'!$AW$5:$AW$45,$C158,'HR Track 4 ZIC'!$AY$5:$AY$45,$D158)</f>
        <v>0</v>
      </c>
      <c r="J158" s="313">
        <f>COUNTIFS('HR Track 4 BIN'!$M$5:$M$45,$A$158,'HR Track 4 BIN'!$AW$5:$AW$45,$C158,'HR Track 4 BIN'!$AY$5:$AY$45,$D158)</f>
        <v>0</v>
      </c>
      <c r="K158" s="314">
        <f>COUNTIFS('HR Track 5 BIN'!$M$5:$M$39,$A$158,'HR Track 5 BIN'!$AW$5:$AW$39,$C158,'HR Track 5 BIN'!$AY$5:$AY$39,$D158)</f>
        <v>0</v>
      </c>
    </row>
    <row r="159" spans="1:11" ht="19.899999999999999" customHeight="1">
      <c r="A159" s="1024"/>
      <c r="B159" s="1013"/>
      <c r="C159" s="153" t="s">
        <v>2408</v>
      </c>
      <c r="D159" s="11" t="str">
        <f>VLOOKUP(B158,Foundation_Calc!$K$4:$R$37,4,FALSE)</f>
        <v>N.D.</v>
      </c>
      <c r="E159" s="7">
        <f t="shared" si="3"/>
        <v>0</v>
      </c>
      <c r="F159" s="7">
        <f>COUNTIFS('HR Track 1'!$M$5:$M$407,$A$158,'HR Track 1'!$AW$5:$AW$407,$C159,'HR Track 1'!$AY$5:$AY$407,$D159)</f>
        <v>0</v>
      </c>
      <c r="G159" s="7">
        <f>COUNTIFS('HR Track 2'!$M$5:$M$405,$A$158,'HR Track 2'!$AW$5:$AW$405,$C159,'HR Track 2'!$AY$5:$AY$405,$D159)</f>
        <v>0</v>
      </c>
      <c r="H159" s="7">
        <f>COUNTIFS('HR Track 3 ZIC'!$M$5:$M$74,$A$158,'HR Track 3 ZIC'!$AW$5:$AW$74,$C159,'HR Track 3 ZIC'!$AY$5:$AY$74,$D159)</f>
        <v>0</v>
      </c>
      <c r="I159" s="7">
        <f>COUNTIFS('HR Track 4 ZIC'!$M$5:$M$45,$A$158,'HR Track 4 ZIC'!$AW$5:$AW$45,$C159,'HR Track 4 ZIC'!$AY$5:$AY$45,$D159)</f>
        <v>0</v>
      </c>
      <c r="J159" s="7">
        <f>COUNTIFS('HR Track 4 BIN'!$M$5:$M$45,$A$158,'HR Track 4 BIN'!$AW$5:$AW$45,$C159,'HR Track 4 BIN'!$AY$5:$AY$45,$D159)</f>
        <v>0</v>
      </c>
      <c r="K159" s="315">
        <f>COUNTIFS('HR Track 5 BIN'!$M$5:$M$39,$A$158,'HR Track 5 BIN'!$AW$5:$AW$39,$C159,'HR Track 5 BIN'!$AY$5:$AY$39,$D159)</f>
        <v>0</v>
      </c>
    </row>
    <row r="160" spans="1:11" ht="19.899999999999999" customHeight="1">
      <c r="A160" s="1024"/>
      <c r="B160" s="1013"/>
      <c r="C160" s="153" t="s">
        <v>2409</v>
      </c>
      <c r="D160" s="11" t="str">
        <f>VLOOKUP(B158,Foundation_Calc!$K$4:$R$37,5,FALSE)</f>
        <v>N.D.</v>
      </c>
      <c r="E160" s="7">
        <f t="shared" si="3"/>
        <v>0</v>
      </c>
      <c r="F160" s="7">
        <f>COUNTIFS('HR Track 1'!$M$5:$M$407,$A$158,'HR Track 1'!$AW$5:$AW$407,$C160,'HR Track 1'!$AY$5:$AY$407,$D160)</f>
        <v>0</v>
      </c>
      <c r="G160" s="7">
        <f>COUNTIFS('HR Track 2'!$M$5:$M$405,$A$158,'HR Track 2'!$AW$5:$AW$405,$C160,'HR Track 2'!$AY$5:$AY$405,$D160)</f>
        <v>0</v>
      </c>
      <c r="H160" s="7">
        <f>COUNTIFS('HR Track 3 ZIC'!$M$5:$M$74,$A$158,'HR Track 3 ZIC'!$AW$5:$AW$74,$C160,'HR Track 3 ZIC'!$AY$5:$AY$74,$D160)</f>
        <v>0</v>
      </c>
      <c r="I160" s="7">
        <f>COUNTIFS('HR Track 4 ZIC'!$M$5:$M$45,$A$158,'HR Track 4 ZIC'!$AW$5:$AW$45,$C160,'HR Track 4 ZIC'!$AY$5:$AY$45,$D160)</f>
        <v>0</v>
      </c>
      <c r="J160" s="7">
        <f>COUNTIFS('HR Track 4 BIN'!$M$5:$M$45,$A$158,'HR Track 4 BIN'!$AW$5:$AW$45,$C160,'HR Track 4 BIN'!$AY$5:$AY$45,$D160)</f>
        <v>0</v>
      </c>
      <c r="K160" s="315">
        <f>COUNTIFS('HR Track 5 BIN'!$M$5:$M$39,$A$158,'HR Track 5 BIN'!$AW$5:$AW$39,$C160,'HR Track 5 BIN'!$AY$5:$AY$39,$D160)</f>
        <v>0</v>
      </c>
    </row>
    <row r="161" spans="1:11" ht="19.899999999999999" customHeight="1">
      <c r="A161" s="1024"/>
      <c r="B161" s="1013"/>
      <c r="C161" s="153" t="s">
        <v>2280</v>
      </c>
      <c r="D161" s="11" t="str">
        <f>VLOOKUP(B158,Foundation_Calc!$K$4:$R$37,6,FALSE)</f>
        <v>N.D.</v>
      </c>
      <c r="E161" s="7">
        <f t="shared" si="3"/>
        <v>0</v>
      </c>
      <c r="F161" s="7">
        <f>COUNTIFS('HR Track 1'!$M$5:$M$407,$A$158,'HR Track 1'!$AW$5:$AW$407,$C161,'HR Track 1'!$AY$5:$AY$407,$D161)</f>
        <v>0</v>
      </c>
      <c r="G161" s="7">
        <f>COUNTIFS('HR Track 2'!$M$5:$M$405,$A$158,'HR Track 2'!$AW$5:$AW$405,$C161,'HR Track 2'!$AY$5:$AY$405,$D161)</f>
        <v>0</v>
      </c>
      <c r="H161" s="7">
        <f>COUNTIFS('HR Track 3 ZIC'!$M$5:$M$74,$A$158,'HR Track 3 ZIC'!$AW$5:$AW$74,$C161,'HR Track 3 ZIC'!$AY$5:$AY$74,$D161)</f>
        <v>0</v>
      </c>
      <c r="I161" s="7">
        <f>COUNTIFS('HR Track 4 ZIC'!$M$5:$M$45,$A$158,'HR Track 4 ZIC'!$AW$5:$AW$45,$C161,'HR Track 4 ZIC'!$AY$5:$AY$45,$D161)</f>
        <v>0</v>
      </c>
      <c r="J161" s="7">
        <f>COUNTIFS('HR Track 4 BIN'!$M$5:$M$45,$A$158,'HR Track 4 BIN'!$AW$5:$AW$45,$C161,'HR Track 4 BIN'!$AY$5:$AY$45,$D161)</f>
        <v>0</v>
      </c>
      <c r="K161" s="315">
        <f>COUNTIFS('HR Track 5 BIN'!$M$5:$M$39,$A$158,'HR Track 5 BIN'!$AW$5:$AW$39,$C161,'HR Track 5 BIN'!$AY$5:$AY$39,$D161)</f>
        <v>0</v>
      </c>
    </row>
    <row r="162" spans="1:11" ht="19.899999999999999" customHeight="1">
      <c r="A162" s="1024"/>
      <c r="B162" s="1013"/>
      <c r="C162" s="153" t="s">
        <v>2281</v>
      </c>
      <c r="D162" s="11" t="str">
        <f>VLOOKUP(B158,Foundation_Calc!$K$4:$R$37,7,FALSE)</f>
        <v>N.D.</v>
      </c>
      <c r="E162" s="7">
        <f t="shared" si="3"/>
        <v>0</v>
      </c>
      <c r="F162" s="7">
        <f>COUNTIFS('HR Track 1'!$M$5:$M$407,$A$158,'HR Track 1'!$AW$5:$AW$407,$C162,'HR Track 1'!$AY$5:$AY$407,$D162)</f>
        <v>0</v>
      </c>
      <c r="G162" s="7">
        <f>COUNTIFS('HR Track 2'!$M$5:$M$405,$A$158,'HR Track 2'!$AW$5:$AW$405,$C162,'HR Track 2'!$AY$5:$AY$405,$D162)</f>
        <v>0</v>
      </c>
      <c r="H162" s="7">
        <f>COUNTIFS('HR Track 3 ZIC'!$M$5:$M$74,$A$158,'HR Track 3 ZIC'!$AW$5:$AW$74,$C162,'HR Track 3 ZIC'!$AY$5:$AY$74,$D162)</f>
        <v>0</v>
      </c>
      <c r="I162" s="7">
        <f>COUNTIFS('HR Track 4 ZIC'!$M$5:$M$45,$A$158,'HR Track 4 ZIC'!$AW$5:$AW$45,$C162,'HR Track 4 ZIC'!$AY$5:$AY$45,$D162)</f>
        <v>0</v>
      </c>
      <c r="J162" s="7">
        <f>COUNTIFS('HR Track 4 BIN'!$M$5:$M$45,$A$158,'HR Track 4 BIN'!$AW$5:$AW$45,$C162,'HR Track 4 BIN'!$AY$5:$AY$45,$D162)</f>
        <v>0</v>
      </c>
      <c r="K162" s="315">
        <f>COUNTIFS('HR Track 5 BIN'!$M$5:$M$39,$A$158,'HR Track 5 BIN'!$AW$5:$AW$39,$C162,'HR Track 5 BIN'!$AY$5:$AY$39,$D162)</f>
        <v>0</v>
      </c>
    </row>
    <row r="163" spans="1:11" ht="19.899999999999999" customHeight="1" thickBot="1">
      <c r="A163" s="1025"/>
      <c r="B163" s="1014"/>
      <c r="C163" s="316" t="s">
        <v>2282</v>
      </c>
      <c r="D163" s="317" t="str">
        <f>VLOOKUP(B158,Foundation_Calc!$K$4:$R$37,8,FALSE)</f>
        <v>N.D.</v>
      </c>
      <c r="E163" s="318">
        <f t="shared" si="3"/>
        <v>0</v>
      </c>
      <c r="F163" s="318">
        <f>COUNTIFS('HR Track 1'!$M$5:$M$407,$A$158,'HR Track 1'!$AW$5:$AW$407,$C163,'HR Track 1'!$AY$5:$AY$407,$D163)</f>
        <v>0</v>
      </c>
      <c r="G163" s="318">
        <f>COUNTIFS('HR Track 2'!$M$5:$M$405,$A$158,'HR Track 2'!$AW$5:$AW$405,$C163,'HR Track 2'!$AY$5:$AY$405,$D163)</f>
        <v>0</v>
      </c>
      <c r="H163" s="318">
        <f>COUNTIFS('HR Track 3 ZIC'!$M$5:$M$74,$A$158,'HR Track 3 ZIC'!$AW$5:$AW$74,$C163,'HR Track 3 ZIC'!$AY$5:$AY$74,$D163)</f>
        <v>0</v>
      </c>
      <c r="I163" s="318">
        <f>COUNTIFS('HR Track 4 ZIC'!$M$5:$M$45,$A$158,'HR Track 4 ZIC'!$AW$5:$AW$45,$C163,'HR Track 4 ZIC'!$AY$5:$AY$45,$D163)</f>
        <v>0</v>
      </c>
      <c r="J163" s="318">
        <f>COUNTIFS('HR Track 4 BIN'!$M$5:$M$45,$A$158,'HR Track 4 BIN'!$AW$5:$AW$45,$C163,'HR Track 4 BIN'!$AY$5:$AY$45,$D163)</f>
        <v>0</v>
      </c>
      <c r="K163" s="319">
        <f>COUNTIFS('HR Track 5 BIN'!$M$5:$M$39,$A$158,'HR Track 5 BIN'!$AW$5:$AW$39,$C163,'HR Track 5 BIN'!$AY$5:$AY$39,$D163)</f>
        <v>0</v>
      </c>
    </row>
    <row r="164" spans="1:11" ht="19.899999999999999" customHeight="1">
      <c r="A164" s="1108" t="s">
        <v>2378</v>
      </c>
      <c r="B164" s="1111" t="s">
        <v>142</v>
      </c>
      <c r="C164" s="311" t="s">
        <v>2407</v>
      </c>
      <c r="D164" s="320" t="str">
        <f>VLOOKUP(B164,Foundation_Calc!$K$41:$R$74,3,FALSE)</f>
        <v>N.D.</v>
      </c>
      <c r="E164" s="313">
        <f t="shared" si="3"/>
        <v>0</v>
      </c>
      <c r="F164" s="313">
        <f>COUNTIFS('HR Track 1'!$M$5:$M$407,$A$164,'HR Track 1'!$AW$5:$AW$407,$C164,'HR Track 1'!$AY$5:$AY$407,$D164)</f>
        <v>0</v>
      </c>
      <c r="G164" s="313">
        <f>COUNTIFS('HR Track 2'!$M$5:$M$405,$A$164,'HR Track 2'!$AW$5:$AW$405,$C164,'HR Track 2'!$AY$5:$AY$405,$D164)</f>
        <v>0</v>
      </c>
      <c r="H164" s="313">
        <f>COUNTIFS('HR Track 3 ZIC'!$M$5:$M$74,$A$164,'HR Track 3 ZIC'!$AW$5:$AW$74,$C164,'HR Track 3 ZIC'!$AY$5:$AY$74,$D164)</f>
        <v>0</v>
      </c>
      <c r="I164" s="313">
        <f>COUNTIFS('HR Track 4 ZIC'!$M$5:$M$45,$A$164,'HR Track 4 ZIC'!$AW$5:$AW$45,$C164,'HR Track 4 ZIC'!$AY$5:$AY$45,$D164)</f>
        <v>0</v>
      </c>
      <c r="J164" s="313">
        <f>COUNTIFS('HR Track 4 BIN'!$M$5:$M$45,$A$164,'HR Track 4 BIN'!$AW$5:$AW$45,$C164,'HR Track 4 BIN'!$AY$5:$AY$45,$D164)</f>
        <v>0</v>
      </c>
      <c r="K164" s="314">
        <f>COUNTIFS('HR Track 5 BIN'!$M$5:$M$39,$A$164,'HR Track 5 BIN'!$AW$5:$AW$39,$C164,'HR Track 5 BIN'!$AY$5:$AY$39,$D164)</f>
        <v>0</v>
      </c>
    </row>
    <row r="165" spans="1:11" ht="19.899999999999999" customHeight="1">
      <c r="A165" s="1109"/>
      <c r="B165" s="1112"/>
      <c r="C165" s="153" t="s">
        <v>2408</v>
      </c>
      <c r="D165" s="291" t="str">
        <f>VLOOKUP(B164,Foundation_Calc!$K$41:$R$74,4,FALSE)</f>
        <v>N.D.</v>
      </c>
      <c r="E165" s="7">
        <f t="shared" si="3"/>
        <v>0</v>
      </c>
      <c r="F165" s="7">
        <f>COUNTIFS('HR Track 1'!$M$5:$M$407,$A$164,'HR Track 1'!$AW$5:$AW$407,$C165,'HR Track 1'!$AY$5:$AY$407,$D165)</f>
        <v>0</v>
      </c>
      <c r="G165" s="7">
        <f>COUNTIFS('HR Track 2'!$M$5:$M$405,$A$164,'HR Track 2'!$AW$5:$AW$405,$C165,'HR Track 2'!$AY$5:$AY$405,$D165)</f>
        <v>0</v>
      </c>
      <c r="H165" s="7">
        <f>COUNTIFS('HR Track 3 ZIC'!$M$5:$M$74,$A$164,'HR Track 3 ZIC'!$AW$5:$AW$74,$C165,'HR Track 3 ZIC'!$AY$5:$AY$74,$D165)</f>
        <v>0</v>
      </c>
      <c r="I165" s="7">
        <f>COUNTIFS('HR Track 4 ZIC'!$M$5:$M$45,$A$164,'HR Track 4 ZIC'!$AW$5:$AW$45,$C165,'HR Track 4 ZIC'!$AY$5:$AY$45,$D165)</f>
        <v>0</v>
      </c>
      <c r="J165" s="7">
        <f>COUNTIFS('HR Track 4 BIN'!$M$5:$M$45,$A$164,'HR Track 4 BIN'!$AW$5:$AW$45,$C165,'HR Track 4 BIN'!$AY$5:$AY$45,$D165)</f>
        <v>0</v>
      </c>
      <c r="K165" s="315">
        <f>COUNTIFS('HR Track 5 BIN'!$M$5:$M$39,$A$164,'HR Track 5 BIN'!$AW$5:$AW$39,$C165,'HR Track 5 BIN'!$AY$5:$AY$39,$D165)</f>
        <v>0</v>
      </c>
    </row>
    <row r="166" spans="1:11" ht="19.899999999999999" customHeight="1">
      <c r="A166" s="1109"/>
      <c r="B166" s="1112"/>
      <c r="C166" s="153" t="s">
        <v>2409</v>
      </c>
      <c r="D166" s="291" t="str">
        <f>VLOOKUP(B164,Foundation_Calc!$K$41:$R$74,5,FALSE)</f>
        <v>N.D.</v>
      </c>
      <c r="E166" s="7">
        <f t="shared" si="3"/>
        <v>0</v>
      </c>
      <c r="F166" s="7">
        <f>COUNTIFS('HR Track 1'!$M$5:$M$407,$A$164,'HR Track 1'!$AW$5:$AW$407,$C166,'HR Track 1'!$AY$5:$AY$407,$D166)</f>
        <v>0</v>
      </c>
      <c r="G166" s="7">
        <f>COUNTIFS('HR Track 2'!$M$5:$M$405,$A$164,'HR Track 2'!$AW$5:$AW$405,$C166,'HR Track 2'!$AY$5:$AY$405,$D166)</f>
        <v>0</v>
      </c>
      <c r="H166" s="7">
        <f>COUNTIFS('HR Track 3 ZIC'!$M$5:$M$74,$A$164,'HR Track 3 ZIC'!$AW$5:$AW$74,$C166,'HR Track 3 ZIC'!$AY$5:$AY$74,$D166)</f>
        <v>0</v>
      </c>
      <c r="I166" s="7">
        <f>COUNTIFS('HR Track 4 ZIC'!$M$5:$M$45,$A$164,'HR Track 4 ZIC'!$AW$5:$AW$45,$C166,'HR Track 4 ZIC'!$AY$5:$AY$45,$D166)</f>
        <v>0</v>
      </c>
      <c r="J166" s="7">
        <f>COUNTIFS('HR Track 4 BIN'!$M$5:$M$45,$A$164,'HR Track 4 BIN'!$AW$5:$AW$45,$C166,'HR Track 4 BIN'!$AY$5:$AY$45,$D166)</f>
        <v>0</v>
      </c>
      <c r="K166" s="315">
        <f>COUNTIFS('HR Track 5 BIN'!$M$5:$M$39,$A$164,'HR Track 5 BIN'!$AW$5:$AW$39,$C166,'HR Track 5 BIN'!$AY$5:$AY$39,$D166)</f>
        <v>0</v>
      </c>
    </row>
    <row r="167" spans="1:11" ht="19.899999999999999" customHeight="1">
      <c r="A167" s="1109"/>
      <c r="B167" s="1112"/>
      <c r="C167" s="153" t="s">
        <v>2280</v>
      </c>
      <c r="D167" s="291" t="str">
        <f>VLOOKUP(B164,Foundation_Calc!$K$41:$R$74,6,FALSE)</f>
        <v>N.D.</v>
      </c>
      <c r="E167" s="7">
        <f t="shared" si="3"/>
        <v>0</v>
      </c>
      <c r="F167" s="7">
        <f>COUNTIFS('HR Track 1'!$M$5:$M$407,$A$164,'HR Track 1'!$AW$5:$AW$407,$C167,'HR Track 1'!$AY$5:$AY$407,$D167)</f>
        <v>0</v>
      </c>
      <c r="G167" s="7">
        <f>COUNTIFS('HR Track 2'!$M$5:$M$405,$A$164,'HR Track 2'!$AW$5:$AW$405,$C167,'HR Track 2'!$AY$5:$AY$405,$D167)</f>
        <v>0</v>
      </c>
      <c r="H167" s="7">
        <f>COUNTIFS('HR Track 3 ZIC'!$M$5:$M$74,$A$164,'HR Track 3 ZIC'!$AW$5:$AW$74,$C167,'HR Track 3 ZIC'!$AY$5:$AY$74,$D167)</f>
        <v>0</v>
      </c>
      <c r="I167" s="7">
        <f>COUNTIFS('HR Track 4 ZIC'!$M$5:$M$45,$A$164,'HR Track 4 ZIC'!$AW$5:$AW$45,$C167,'HR Track 4 ZIC'!$AY$5:$AY$45,$D167)</f>
        <v>0</v>
      </c>
      <c r="J167" s="7">
        <f>COUNTIFS('HR Track 4 BIN'!$M$5:$M$45,$A$164,'HR Track 4 BIN'!$AW$5:$AW$45,$C167,'HR Track 4 BIN'!$AY$5:$AY$45,$D167)</f>
        <v>0</v>
      </c>
      <c r="K167" s="315">
        <f>COUNTIFS('HR Track 5 BIN'!$M$5:$M$39,$A$164,'HR Track 5 BIN'!$AW$5:$AW$39,$C167,'HR Track 5 BIN'!$AY$5:$AY$39,$D167)</f>
        <v>0</v>
      </c>
    </row>
    <row r="168" spans="1:11" ht="19.899999999999999" customHeight="1">
      <c r="A168" s="1109"/>
      <c r="B168" s="1112"/>
      <c r="C168" s="153" t="s">
        <v>2281</v>
      </c>
      <c r="D168" s="291" t="str">
        <f>VLOOKUP(B164,Foundation_Calc!$K$41:$R$74,7,FALSE)</f>
        <v>N.D.</v>
      </c>
      <c r="E168" s="7">
        <f t="shared" si="3"/>
        <v>0</v>
      </c>
      <c r="F168" s="7">
        <f>COUNTIFS('HR Track 1'!$M$5:$M$407,$A$164,'HR Track 1'!$AW$5:$AW$407,$C168,'HR Track 1'!$AY$5:$AY$407,$D168)</f>
        <v>0</v>
      </c>
      <c r="G168" s="7">
        <f>COUNTIFS('HR Track 2'!$M$5:$M$405,$A$164,'HR Track 2'!$AW$5:$AW$405,$C168,'HR Track 2'!$AY$5:$AY$405,$D168)</f>
        <v>0</v>
      </c>
      <c r="H168" s="7">
        <f>COUNTIFS('HR Track 3 ZIC'!$M$5:$M$74,$A$164,'HR Track 3 ZIC'!$AW$5:$AW$74,$C168,'HR Track 3 ZIC'!$AY$5:$AY$74,$D168)</f>
        <v>0</v>
      </c>
      <c r="I168" s="7">
        <f>COUNTIFS('HR Track 4 ZIC'!$M$5:$M$45,$A$164,'HR Track 4 ZIC'!$AW$5:$AW$45,$C168,'HR Track 4 ZIC'!$AY$5:$AY$45,$D168)</f>
        <v>0</v>
      </c>
      <c r="J168" s="7">
        <f>COUNTIFS('HR Track 4 BIN'!$M$5:$M$45,$A$164,'HR Track 4 BIN'!$AW$5:$AW$45,$C168,'HR Track 4 BIN'!$AY$5:$AY$45,$D168)</f>
        <v>0</v>
      </c>
      <c r="K168" s="315">
        <f>COUNTIFS('HR Track 5 BIN'!$M$5:$M$39,$A$164,'HR Track 5 BIN'!$AW$5:$AW$39,$C168,'HR Track 5 BIN'!$AY$5:$AY$39,$D168)</f>
        <v>0</v>
      </c>
    </row>
    <row r="169" spans="1:11" ht="19.899999999999999" customHeight="1" thickBot="1">
      <c r="A169" s="1110"/>
      <c r="B169" s="1113"/>
      <c r="C169" s="316" t="s">
        <v>2282</v>
      </c>
      <c r="D169" s="321" t="str">
        <f>VLOOKUP(B164,Foundation_Calc!$K$41:$R$74,8,FALSE)</f>
        <v>N.D.</v>
      </c>
      <c r="E169" s="318">
        <f t="shared" si="3"/>
        <v>0</v>
      </c>
      <c r="F169" s="318">
        <f>COUNTIFS('HR Track 1'!$M$5:$M$407,$A$164,'HR Track 1'!$AW$5:$AW$407,$C169,'HR Track 1'!$AY$5:$AY$407,$D169)</f>
        <v>0</v>
      </c>
      <c r="G169" s="318">
        <f>COUNTIFS('HR Track 2'!$M$5:$M$405,$A$164,'HR Track 2'!$AW$5:$AW$405,$C169,'HR Track 2'!$AY$5:$AY$405,$D169)</f>
        <v>0</v>
      </c>
      <c r="H169" s="318">
        <f>COUNTIFS('HR Track 3 ZIC'!$M$5:$M$74,$A$164,'HR Track 3 ZIC'!$AW$5:$AW$74,$C169,'HR Track 3 ZIC'!$AY$5:$AY$74,$D169)</f>
        <v>0</v>
      </c>
      <c r="I169" s="318">
        <f>COUNTIFS('HR Track 4 ZIC'!$M$5:$M$45,$A$164,'HR Track 4 ZIC'!$AW$5:$AW$45,$C169,'HR Track 4 ZIC'!$AY$5:$AY$45,$D169)</f>
        <v>0</v>
      </c>
      <c r="J169" s="318">
        <f>COUNTIFS('HR Track 4 BIN'!$M$5:$M$45,$A$164,'HR Track 4 BIN'!$AW$5:$AW$45,$C169,'HR Track 4 BIN'!$AY$5:$AY$45,$D169)</f>
        <v>0</v>
      </c>
      <c r="K169" s="319">
        <f>COUNTIFS('HR Track 5 BIN'!$M$5:$M$39,$A$164,'HR Track 5 BIN'!$AW$5:$AW$39,$C169,'HR Track 5 BIN'!$AY$5:$AY$39,$D169)</f>
        <v>0</v>
      </c>
    </row>
    <row r="170" spans="1:11" ht="19.899999999999999" customHeight="1">
      <c r="A170" s="1114" t="s">
        <v>2365</v>
      </c>
      <c r="B170" s="1115" t="s">
        <v>1740</v>
      </c>
      <c r="C170" s="311" t="s">
        <v>2407</v>
      </c>
      <c r="D170" s="312" t="str">
        <f>VLOOKUP(B170,Foundation_Calc!$K$4:$R$37,3,FALSE)</f>
        <v>N.D.</v>
      </c>
      <c r="E170" s="313">
        <f t="shared" si="3"/>
        <v>0</v>
      </c>
      <c r="F170" s="313">
        <f>COUNTIFS('HR Track 1'!$M$5:$M$407,$A$170,'HR Track 1'!$AW$5:$AW$407,$C170,'HR Track 1'!$AY$5:$AY$407,$D170)</f>
        <v>0</v>
      </c>
      <c r="G170" s="313">
        <f>COUNTIFS('HR Track 2'!$M$5:$M$405,$A$170,'HR Track 2'!$AW$5:$AW$405,$C170,'HR Track 2'!$AY$5:$AY$405,$D170)</f>
        <v>0</v>
      </c>
      <c r="H170" s="313">
        <f>COUNTIFS('HR Track 3 ZIC'!$M$5:$M$74,$A$170,'HR Track 3 ZIC'!$AW$5:$AW$74,$C170,'HR Track 3 ZIC'!$AY$5:$AY$74,$D170)</f>
        <v>0</v>
      </c>
      <c r="I170" s="313">
        <f>COUNTIFS('HR Track 4 ZIC'!$M$5:$M$45,$A$170,'HR Track 4 ZIC'!$AW$5:$AW$45,$C170,'HR Track 4 ZIC'!$AY$5:$AY$45,$D170)</f>
        <v>0</v>
      </c>
      <c r="J170" s="313">
        <f>COUNTIFS('HR Track 4 BIN'!$M$5:$M$45,$A$170,'HR Track 4 BIN'!$AW$5:$AW$45,$C170,'HR Track 4 BIN'!$AY$5:$AY$45,$D170)</f>
        <v>0</v>
      </c>
      <c r="K170" s="314">
        <f>COUNTIFS('HR Track 5 BIN'!$M$5:$M$39,$A$170,'HR Track 5 BIN'!$AW$5:$AW$39,$C170,'HR Track 5 BIN'!$AY$5:$AY$39,$D170)</f>
        <v>0</v>
      </c>
    </row>
    <row r="171" spans="1:11" ht="19.899999999999999" customHeight="1">
      <c r="A171" s="1024"/>
      <c r="B171" s="1013"/>
      <c r="C171" s="153" t="s">
        <v>2408</v>
      </c>
      <c r="D171" s="11" t="str">
        <f>VLOOKUP(B170,Foundation_Calc!$K$4:$R$37,4,FALSE)</f>
        <v>N.D.</v>
      </c>
      <c r="E171" s="7">
        <f t="shared" si="3"/>
        <v>0</v>
      </c>
      <c r="F171" s="7">
        <f>COUNTIFS('HR Track 1'!$M$5:$M$407,$A$170,'HR Track 1'!$AW$5:$AW$407,$C171,'HR Track 1'!$AY$5:$AY$407,$D171)</f>
        <v>0</v>
      </c>
      <c r="G171" s="7">
        <f>COUNTIFS('HR Track 2'!$M$5:$M$405,$A$170,'HR Track 2'!$AW$5:$AW$405,$C171,'HR Track 2'!$AY$5:$AY$405,$D171)</f>
        <v>0</v>
      </c>
      <c r="H171" s="7">
        <f>COUNTIFS('HR Track 3 ZIC'!$M$5:$M$74,$A$170,'HR Track 3 ZIC'!$AW$5:$AW$74,$C171,'HR Track 3 ZIC'!$AY$5:$AY$74,$D171)</f>
        <v>0</v>
      </c>
      <c r="I171" s="7">
        <f>COUNTIFS('HR Track 4 ZIC'!$M$5:$M$45,$A$170,'HR Track 4 ZIC'!$AW$5:$AW$45,$C171,'HR Track 4 ZIC'!$AY$5:$AY$45,$D171)</f>
        <v>0</v>
      </c>
      <c r="J171" s="7">
        <f>COUNTIFS('HR Track 4 BIN'!$M$5:$M$45,$A$170,'HR Track 4 BIN'!$AW$5:$AW$45,$C171,'HR Track 4 BIN'!$AY$5:$AY$45,$D171)</f>
        <v>0</v>
      </c>
      <c r="K171" s="315">
        <f>COUNTIFS('HR Track 5 BIN'!$M$5:$M$39,$A$170,'HR Track 5 BIN'!$AW$5:$AW$39,$C171,'HR Track 5 BIN'!$AY$5:$AY$39,$D171)</f>
        <v>0</v>
      </c>
    </row>
    <row r="172" spans="1:11" ht="19.899999999999999" customHeight="1">
      <c r="A172" s="1024"/>
      <c r="B172" s="1013"/>
      <c r="C172" s="153" t="s">
        <v>2409</v>
      </c>
      <c r="D172" s="11" t="str">
        <f>VLOOKUP(B170,Foundation_Calc!$K$4:$R$37,5,FALSE)</f>
        <v>N.D.</v>
      </c>
      <c r="E172" s="7">
        <f t="shared" si="3"/>
        <v>0</v>
      </c>
      <c r="F172" s="7">
        <f>COUNTIFS('HR Track 1'!$M$5:$M$407,$A$170,'HR Track 1'!$AW$5:$AW$407,$C172,'HR Track 1'!$AY$5:$AY$407,$D172)</f>
        <v>0</v>
      </c>
      <c r="G172" s="7">
        <f>COUNTIFS('HR Track 2'!$M$5:$M$405,$A$170,'HR Track 2'!$AW$5:$AW$405,$C172,'HR Track 2'!$AY$5:$AY$405,$D172)</f>
        <v>0</v>
      </c>
      <c r="H172" s="7">
        <f>COUNTIFS('HR Track 3 ZIC'!$M$5:$M$74,$A$170,'HR Track 3 ZIC'!$AW$5:$AW$74,$C172,'HR Track 3 ZIC'!$AY$5:$AY$74,$D172)</f>
        <v>0</v>
      </c>
      <c r="I172" s="7">
        <f>COUNTIFS('HR Track 4 ZIC'!$M$5:$M$45,$A$170,'HR Track 4 ZIC'!$AW$5:$AW$45,$C172,'HR Track 4 ZIC'!$AY$5:$AY$45,$D172)</f>
        <v>0</v>
      </c>
      <c r="J172" s="7">
        <f>COUNTIFS('HR Track 4 BIN'!$M$5:$M$45,$A$170,'HR Track 4 BIN'!$AW$5:$AW$45,$C172,'HR Track 4 BIN'!$AY$5:$AY$45,$D172)</f>
        <v>0</v>
      </c>
      <c r="K172" s="315">
        <f>COUNTIFS('HR Track 5 BIN'!$M$5:$M$39,$A$170,'HR Track 5 BIN'!$AW$5:$AW$39,$C172,'HR Track 5 BIN'!$AY$5:$AY$39,$D172)</f>
        <v>0</v>
      </c>
    </row>
    <row r="173" spans="1:11" ht="19.899999999999999" customHeight="1">
      <c r="A173" s="1024"/>
      <c r="B173" s="1013"/>
      <c r="C173" s="153" t="s">
        <v>2280</v>
      </c>
      <c r="D173" s="11" t="str">
        <f>VLOOKUP(B170,Foundation_Calc!$K$4:$R$37,6,FALSE)</f>
        <v>N.D.</v>
      </c>
      <c r="E173" s="7">
        <f t="shared" si="3"/>
        <v>0</v>
      </c>
      <c r="F173" s="7">
        <f>COUNTIFS('HR Track 1'!$M$5:$M$407,$A$170,'HR Track 1'!$AW$5:$AW$407,$C173,'HR Track 1'!$AY$5:$AY$407,$D173)</f>
        <v>0</v>
      </c>
      <c r="G173" s="7">
        <f>COUNTIFS('HR Track 2'!$M$5:$M$405,$A$170,'HR Track 2'!$AW$5:$AW$405,$C173,'HR Track 2'!$AY$5:$AY$405,$D173)</f>
        <v>0</v>
      </c>
      <c r="H173" s="7">
        <f>COUNTIFS('HR Track 3 ZIC'!$M$5:$M$74,$A$170,'HR Track 3 ZIC'!$AW$5:$AW$74,$C173,'HR Track 3 ZIC'!$AY$5:$AY$74,$D173)</f>
        <v>0</v>
      </c>
      <c r="I173" s="7">
        <f>COUNTIFS('HR Track 4 ZIC'!$M$5:$M$45,$A$170,'HR Track 4 ZIC'!$AW$5:$AW$45,$C173,'HR Track 4 ZIC'!$AY$5:$AY$45,$D173)</f>
        <v>0</v>
      </c>
      <c r="J173" s="7">
        <f>COUNTIFS('HR Track 4 BIN'!$M$5:$M$45,$A$170,'HR Track 4 BIN'!$AW$5:$AW$45,$C173,'HR Track 4 BIN'!$AY$5:$AY$45,$D173)</f>
        <v>0</v>
      </c>
      <c r="K173" s="315">
        <f>COUNTIFS('HR Track 5 BIN'!$M$5:$M$39,$A$170,'HR Track 5 BIN'!$AW$5:$AW$39,$C173,'HR Track 5 BIN'!$AY$5:$AY$39,$D173)</f>
        <v>0</v>
      </c>
    </row>
    <row r="174" spans="1:11" ht="19.899999999999999" customHeight="1">
      <c r="A174" s="1024"/>
      <c r="B174" s="1013"/>
      <c r="C174" s="153" t="s">
        <v>2281</v>
      </c>
      <c r="D174" s="11" t="str">
        <f>VLOOKUP(B170,Foundation_Calc!$K$4:$R$37,7,FALSE)</f>
        <v>N.D.</v>
      </c>
      <c r="E174" s="7">
        <f t="shared" si="3"/>
        <v>0</v>
      </c>
      <c r="F174" s="7">
        <f>COUNTIFS('HR Track 1'!$M$5:$M$407,$A$170,'HR Track 1'!$AW$5:$AW$407,$C174,'HR Track 1'!$AY$5:$AY$407,$D174)</f>
        <v>0</v>
      </c>
      <c r="G174" s="7">
        <f>COUNTIFS('HR Track 2'!$M$5:$M$405,$A$170,'HR Track 2'!$AW$5:$AW$405,$C174,'HR Track 2'!$AY$5:$AY$405,$D174)</f>
        <v>0</v>
      </c>
      <c r="H174" s="7">
        <f>COUNTIFS('HR Track 3 ZIC'!$M$5:$M$74,$A$170,'HR Track 3 ZIC'!$AW$5:$AW$74,$C174,'HR Track 3 ZIC'!$AY$5:$AY$74,$D174)</f>
        <v>0</v>
      </c>
      <c r="I174" s="7">
        <f>COUNTIFS('HR Track 4 ZIC'!$M$5:$M$45,$A$170,'HR Track 4 ZIC'!$AW$5:$AW$45,$C174,'HR Track 4 ZIC'!$AY$5:$AY$45,$D174)</f>
        <v>0</v>
      </c>
      <c r="J174" s="7">
        <f>COUNTIFS('HR Track 4 BIN'!$M$5:$M$45,$A$170,'HR Track 4 BIN'!$AW$5:$AW$45,$C174,'HR Track 4 BIN'!$AY$5:$AY$45,$D174)</f>
        <v>0</v>
      </c>
      <c r="K174" s="315">
        <f>COUNTIFS('HR Track 5 BIN'!$M$5:$M$39,$A$170,'HR Track 5 BIN'!$AW$5:$AW$39,$C174,'HR Track 5 BIN'!$AY$5:$AY$39,$D174)</f>
        <v>0</v>
      </c>
    </row>
    <row r="175" spans="1:11" ht="19.899999999999999" customHeight="1" thickBot="1">
      <c r="A175" s="1025"/>
      <c r="B175" s="1014"/>
      <c r="C175" s="316" t="s">
        <v>2282</v>
      </c>
      <c r="D175" s="317" t="str">
        <f>VLOOKUP(B170,Foundation_Calc!$K$4:$R$37,8,FALSE)</f>
        <v>N.D.</v>
      </c>
      <c r="E175" s="318">
        <f t="shared" si="3"/>
        <v>0</v>
      </c>
      <c r="F175" s="318">
        <f>COUNTIFS('HR Track 1'!$M$5:$M$407,$A$170,'HR Track 1'!$AW$5:$AW$407,$C175,'HR Track 1'!$AY$5:$AY$407,$D175)</f>
        <v>0</v>
      </c>
      <c r="G175" s="318">
        <f>COUNTIFS('HR Track 2'!$M$5:$M$405,$A$170,'HR Track 2'!$AW$5:$AW$405,$C175,'HR Track 2'!$AY$5:$AY$405,$D175)</f>
        <v>0</v>
      </c>
      <c r="H175" s="318">
        <f>COUNTIFS('HR Track 3 ZIC'!$M$5:$M$74,$A$170,'HR Track 3 ZIC'!$AW$5:$AW$74,$C175,'HR Track 3 ZIC'!$AY$5:$AY$74,$D175)</f>
        <v>0</v>
      </c>
      <c r="I175" s="318">
        <f>COUNTIFS('HR Track 4 ZIC'!$M$5:$M$45,$A$170,'HR Track 4 ZIC'!$AW$5:$AW$45,$C175,'HR Track 4 ZIC'!$AY$5:$AY$45,$D175)</f>
        <v>0</v>
      </c>
      <c r="J175" s="318">
        <f>COUNTIFS('HR Track 4 BIN'!$M$5:$M$45,$A$170,'HR Track 4 BIN'!$AW$5:$AW$45,$C175,'HR Track 4 BIN'!$AY$5:$AY$45,$D175)</f>
        <v>0</v>
      </c>
      <c r="K175" s="319">
        <f>COUNTIFS('HR Track 5 BIN'!$M$5:$M$39,$A$170,'HR Track 5 BIN'!$AW$5:$AW$39,$C175,'HR Track 5 BIN'!$AY$5:$AY$39,$D175)</f>
        <v>0</v>
      </c>
    </row>
    <row r="176" spans="1:11" ht="19.899999999999999" customHeight="1">
      <c r="A176" s="1108" t="s">
        <v>2381</v>
      </c>
      <c r="B176" s="1111" t="s">
        <v>1740</v>
      </c>
      <c r="C176" s="311" t="s">
        <v>2407</v>
      </c>
      <c r="D176" s="320" t="str">
        <f>VLOOKUP(B176,Foundation_Calc!$K$41:$R$74,3,FALSE)</f>
        <v>N.D.</v>
      </c>
      <c r="E176" s="313">
        <f t="shared" si="3"/>
        <v>0</v>
      </c>
      <c r="F176" s="313">
        <f>COUNTIFS('HR Track 1'!$M$5:$M$407,$A$176,'HR Track 1'!$AW$5:$AW$407,$C176,'HR Track 1'!$AY$5:$AY$407,$D176)</f>
        <v>0</v>
      </c>
      <c r="G176" s="313">
        <f>COUNTIFS('HR Track 2'!$M$5:$M$405,$A$176,'HR Track 2'!$AW$5:$AW$405,$C176,'HR Track 2'!$AY$5:$AY$405,$D176)</f>
        <v>0</v>
      </c>
      <c r="H176" s="313">
        <f>COUNTIFS('HR Track 3 ZIC'!$M$5:$M$74,$A$176,'HR Track 3 ZIC'!$AW$5:$AW$74,$C176,'HR Track 3 ZIC'!$AY$5:$AY$74,$D176)</f>
        <v>0</v>
      </c>
      <c r="I176" s="313">
        <f>COUNTIFS('HR Track 4 ZIC'!$M$5:$M$45,$A$176,'HR Track 4 ZIC'!$AW$5:$AW$45,$C176,'HR Track 4 ZIC'!$AY$5:$AY$45,$D176)</f>
        <v>0</v>
      </c>
      <c r="J176" s="313">
        <f>COUNTIFS('HR Track 4 BIN'!$M$5:$M$45,$A$176,'HR Track 4 BIN'!$AW$5:$AW$45,$C176,'HR Track 4 BIN'!$AY$5:$AY$45,$D176)</f>
        <v>0</v>
      </c>
      <c r="K176" s="314">
        <f>COUNTIFS('HR Track 5 BIN'!$M$5:$M$39,$A$176,'HR Track 5 BIN'!$AW$5:$AW$39,$C176,'HR Track 5 BIN'!$AY$5:$AY$39,$D176)</f>
        <v>0</v>
      </c>
    </row>
    <row r="177" spans="1:11" ht="19.899999999999999" customHeight="1">
      <c r="A177" s="1109"/>
      <c r="B177" s="1112"/>
      <c r="C177" s="153" t="s">
        <v>2408</v>
      </c>
      <c r="D177" s="291" t="str">
        <f>VLOOKUP(B176,Foundation_Calc!$K$41:$R$74,4,FALSE)</f>
        <v>N.D.</v>
      </c>
      <c r="E177" s="7">
        <f t="shared" si="3"/>
        <v>0</v>
      </c>
      <c r="F177" s="7">
        <f>COUNTIFS('HR Track 1'!$M$5:$M$407,$A$176,'HR Track 1'!$AW$5:$AW$407,$C177,'HR Track 1'!$AY$5:$AY$407,$D177)</f>
        <v>0</v>
      </c>
      <c r="G177" s="7">
        <f>COUNTIFS('HR Track 2'!$M$5:$M$405,$A$176,'HR Track 2'!$AW$5:$AW$405,$C177,'HR Track 2'!$AY$5:$AY$405,$D177)</f>
        <v>0</v>
      </c>
      <c r="H177" s="7">
        <f>COUNTIFS('HR Track 3 ZIC'!$M$5:$M$74,$A$176,'HR Track 3 ZIC'!$AW$5:$AW$74,$C177,'HR Track 3 ZIC'!$AY$5:$AY$74,$D177)</f>
        <v>0</v>
      </c>
      <c r="I177" s="7">
        <f>COUNTIFS('HR Track 4 ZIC'!$M$5:$M$45,$A$176,'HR Track 4 ZIC'!$AW$5:$AW$45,$C177,'HR Track 4 ZIC'!$AY$5:$AY$45,$D177)</f>
        <v>0</v>
      </c>
      <c r="J177" s="7">
        <f>COUNTIFS('HR Track 4 BIN'!$M$5:$M$45,$A$176,'HR Track 4 BIN'!$AW$5:$AW$45,$C177,'HR Track 4 BIN'!$AY$5:$AY$45,$D177)</f>
        <v>0</v>
      </c>
      <c r="K177" s="315">
        <f>COUNTIFS('HR Track 5 BIN'!$M$5:$M$39,$A$176,'HR Track 5 BIN'!$AW$5:$AW$39,$C177,'HR Track 5 BIN'!$AY$5:$AY$39,$D177)</f>
        <v>0</v>
      </c>
    </row>
    <row r="178" spans="1:11" ht="19.899999999999999" customHeight="1">
      <c r="A178" s="1109"/>
      <c r="B178" s="1112"/>
      <c r="C178" s="153" t="s">
        <v>2409</v>
      </c>
      <c r="D178" s="291" t="str">
        <f>VLOOKUP(B176,Foundation_Calc!$K$41:$R$74,5,FALSE)</f>
        <v>N.D.</v>
      </c>
      <c r="E178" s="7">
        <f t="shared" si="3"/>
        <v>0</v>
      </c>
      <c r="F178" s="7">
        <f>COUNTIFS('HR Track 1'!$M$5:$M$407,$A$176,'HR Track 1'!$AW$5:$AW$407,$C178,'HR Track 1'!$AY$5:$AY$407,$D178)</f>
        <v>0</v>
      </c>
      <c r="G178" s="7">
        <f>COUNTIFS('HR Track 2'!$M$5:$M$405,$A$176,'HR Track 2'!$AW$5:$AW$405,$C178,'HR Track 2'!$AY$5:$AY$405,$D178)</f>
        <v>0</v>
      </c>
      <c r="H178" s="7">
        <f>COUNTIFS('HR Track 3 ZIC'!$M$5:$M$74,$A$176,'HR Track 3 ZIC'!$AW$5:$AW$74,$C178,'HR Track 3 ZIC'!$AY$5:$AY$74,$D178)</f>
        <v>0</v>
      </c>
      <c r="I178" s="7">
        <f>COUNTIFS('HR Track 4 ZIC'!$M$5:$M$45,$A$176,'HR Track 4 ZIC'!$AW$5:$AW$45,$C178,'HR Track 4 ZIC'!$AY$5:$AY$45,$D178)</f>
        <v>0</v>
      </c>
      <c r="J178" s="7">
        <f>COUNTIFS('HR Track 4 BIN'!$M$5:$M$45,$A$176,'HR Track 4 BIN'!$AW$5:$AW$45,$C178,'HR Track 4 BIN'!$AY$5:$AY$45,$D178)</f>
        <v>0</v>
      </c>
      <c r="K178" s="315">
        <f>COUNTIFS('HR Track 5 BIN'!$M$5:$M$39,$A$176,'HR Track 5 BIN'!$AW$5:$AW$39,$C178,'HR Track 5 BIN'!$AY$5:$AY$39,$D178)</f>
        <v>0</v>
      </c>
    </row>
    <row r="179" spans="1:11" ht="19.899999999999999" customHeight="1">
      <c r="A179" s="1109"/>
      <c r="B179" s="1112"/>
      <c r="C179" s="153" t="s">
        <v>2280</v>
      </c>
      <c r="D179" s="291" t="str">
        <f>VLOOKUP(B176,Foundation_Calc!$K$41:$R$74,6,FALSE)</f>
        <v>N.D.</v>
      </c>
      <c r="E179" s="7">
        <f t="shared" si="3"/>
        <v>0</v>
      </c>
      <c r="F179" s="7">
        <f>COUNTIFS('HR Track 1'!$M$5:$M$407,$A$176,'HR Track 1'!$AW$5:$AW$407,$C179,'HR Track 1'!$AY$5:$AY$407,$D179)</f>
        <v>0</v>
      </c>
      <c r="G179" s="7">
        <f>COUNTIFS('HR Track 2'!$M$5:$M$405,$A$176,'HR Track 2'!$AW$5:$AW$405,$C179,'HR Track 2'!$AY$5:$AY$405,$D179)</f>
        <v>0</v>
      </c>
      <c r="H179" s="7">
        <f>COUNTIFS('HR Track 3 ZIC'!$M$5:$M$74,$A$176,'HR Track 3 ZIC'!$AW$5:$AW$74,$C179,'HR Track 3 ZIC'!$AY$5:$AY$74,$D179)</f>
        <v>0</v>
      </c>
      <c r="I179" s="7">
        <f>COUNTIFS('HR Track 4 ZIC'!$M$5:$M$45,$A$176,'HR Track 4 ZIC'!$AW$5:$AW$45,$C179,'HR Track 4 ZIC'!$AY$5:$AY$45,$D179)</f>
        <v>0</v>
      </c>
      <c r="J179" s="7">
        <f>COUNTIFS('HR Track 4 BIN'!$M$5:$M$45,$A$176,'HR Track 4 BIN'!$AW$5:$AW$45,$C179,'HR Track 4 BIN'!$AY$5:$AY$45,$D179)</f>
        <v>0</v>
      </c>
      <c r="K179" s="315">
        <f>COUNTIFS('HR Track 5 BIN'!$M$5:$M$39,$A$176,'HR Track 5 BIN'!$AW$5:$AW$39,$C179,'HR Track 5 BIN'!$AY$5:$AY$39,$D179)</f>
        <v>0</v>
      </c>
    </row>
    <row r="180" spans="1:11" ht="19.899999999999999" customHeight="1">
      <c r="A180" s="1109"/>
      <c r="B180" s="1112"/>
      <c r="C180" s="153" t="s">
        <v>2281</v>
      </c>
      <c r="D180" s="291" t="str">
        <f>VLOOKUP(B176,Foundation_Calc!$K$41:$R$74,7,FALSE)</f>
        <v>N.D.</v>
      </c>
      <c r="E180" s="7">
        <f t="shared" si="3"/>
        <v>0</v>
      </c>
      <c r="F180" s="7">
        <f>COUNTIFS('HR Track 1'!$M$5:$M$407,$A$176,'HR Track 1'!$AW$5:$AW$407,$C180,'HR Track 1'!$AY$5:$AY$407,$D180)</f>
        <v>0</v>
      </c>
      <c r="G180" s="7">
        <f>COUNTIFS('HR Track 2'!$M$5:$M$405,$A$176,'HR Track 2'!$AW$5:$AW$405,$C180,'HR Track 2'!$AY$5:$AY$405,$D180)</f>
        <v>0</v>
      </c>
      <c r="H180" s="7">
        <f>COUNTIFS('HR Track 3 ZIC'!$M$5:$M$74,$A$176,'HR Track 3 ZIC'!$AW$5:$AW$74,$C180,'HR Track 3 ZIC'!$AY$5:$AY$74,$D180)</f>
        <v>0</v>
      </c>
      <c r="I180" s="7">
        <f>COUNTIFS('HR Track 4 ZIC'!$M$5:$M$45,$A$176,'HR Track 4 ZIC'!$AW$5:$AW$45,$C180,'HR Track 4 ZIC'!$AY$5:$AY$45,$D180)</f>
        <v>0</v>
      </c>
      <c r="J180" s="7">
        <f>COUNTIFS('HR Track 4 BIN'!$M$5:$M$45,$A$176,'HR Track 4 BIN'!$AW$5:$AW$45,$C180,'HR Track 4 BIN'!$AY$5:$AY$45,$D180)</f>
        <v>0</v>
      </c>
      <c r="K180" s="315">
        <f>COUNTIFS('HR Track 5 BIN'!$M$5:$M$39,$A$176,'HR Track 5 BIN'!$AW$5:$AW$39,$C180,'HR Track 5 BIN'!$AY$5:$AY$39,$D180)</f>
        <v>0</v>
      </c>
    </row>
    <row r="181" spans="1:11" ht="19.899999999999999" customHeight="1" thickBot="1">
      <c r="A181" s="1110"/>
      <c r="B181" s="1113"/>
      <c r="C181" s="316" t="s">
        <v>2282</v>
      </c>
      <c r="D181" s="321" t="str">
        <f>VLOOKUP(B176,Foundation_Calc!$K$41:$R$74,8,FALSE)</f>
        <v>N.D.</v>
      </c>
      <c r="E181" s="318">
        <f t="shared" si="3"/>
        <v>0</v>
      </c>
      <c r="F181" s="318">
        <f>COUNTIFS('HR Track 1'!$M$5:$M$407,$A$176,'HR Track 1'!$AW$5:$AW$407,$C181,'HR Track 1'!$AY$5:$AY$407,$D181)</f>
        <v>0</v>
      </c>
      <c r="G181" s="318">
        <f>COUNTIFS('HR Track 2'!$M$5:$M$405,$A$176,'HR Track 2'!$AW$5:$AW$405,$C181,'HR Track 2'!$AY$5:$AY$405,$D181)</f>
        <v>0</v>
      </c>
      <c r="H181" s="318">
        <f>COUNTIFS('HR Track 3 ZIC'!$M$5:$M$74,$A$176,'HR Track 3 ZIC'!$AW$5:$AW$74,$C181,'HR Track 3 ZIC'!$AY$5:$AY$74,$D181)</f>
        <v>0</v>
      </c>
      <c r="I181" s="318">
        <f>COUNTIFS('HR Track 4 ZIC'!$M$5:$M$45,$A$176,'HR Track 4 ZIC'!$AW$5:$AW$45,$C181,'HR Track 4 ZIC'!$AY$5:$AY$45,$D181)</f>
        <v>0</v>
      </c>
      <c r="J181" s="318">
        <f>COUNTIFS('HR Track 4 BIN'!$M$5:$M$45,$A$176,'HR Track 4 BIN'!$AW$5:$AW$45,$C181,'HR Track 4 BIN'!$AY$5:$AY$45,$D181)</f>
        <v>0</v>
      </c>
      <c r="K181" s="319">
        <f>COUNTIFS('HR Track 5 BIN'!$M$5:$M$39,$A$176,'HR Track 5 BIN'!$AW$5:$AW$39,$C181,'HR Track 5 BIN'!$AY$5:$AY$39,$D181)</f>
        <v>0</v>
      </c>
    </row>
    <row r="182" spans="1:11" ht="19.899999999999999" customHeight="1">
      <c r="A182" s="1114" t="s">
        <v>2366</v>
      </c>
      <c r="B182" s="1115" t="s">
        <v>1408</v>
      </c>
      <c r="C182" s="311" t="s">
        <v>2407</v>
      </c>
      <c r="D182" s="312" t="str">
        <f>VLOOKUP(B182,Foundation_Calc!$K$4:$R$37,3,FALSE)</f>
        <v>N.D.</v>
      </c>
      <c r="E182" s="313">
        <f t="shared" si="3"/>
        <v>0</v>
      </c>
      <c r="F182" s="313">
        <f>COUNTIFS('HR Track 1'!$M$5:$M$407,$A$182,'HR Track 1'!$AW$5:$AW$407,$C182,'HR Track 1'!$AY$5:$AY$407,$D182)</f>
        <v>0</v>
      </c>
      <c r="G182" s="313">
        <f>COUNTIFS('HR Track 2'!$M$5:$M$405,$A$182,'HR Track 2'!$AW$5:$AW$405,$C182,'HR Track 2'!$AY$5:$AY$405,$D182)</f>
        <v>0</v>
      </c>
      <c r="H182" s="313">
        <f>COUNTIFS('HR Track 3 ZIC'!$M$5:$M$74,$A$182,'HR Track 3 ZIC'!$AW$5:$AW$74,$C182,'HR Track 3 ZIC'!$AY$5:$AY$74,$D182)</f>
        <v>0</v>
      </c>
      <c r="I182" s="313">
        <f>COUNTIFS('HR Track 4 ZIC'!$M$5:$M$45,$A$182,'HR Track 4 ZIC'!$AW$5:$AW$45,$C182,'HR Track 4 ZIC'!$AY$5:$AY$45,$D182)</f>
        <v>0</v>
      </c>
      <c r="J182" s="313">
        <f>COUNTIFS('HR Track 4 BIN'!$M$5:$M$45,$A$182,'HR Track 4 BIN'!$AW$5:$AW$45,$C182,'HR Track 4 BIN'!$AY$5:$AY$45,$D182)</f>
        <v>0</v>
      </c>
      <c r="K182" s="314">
        <f>COUNTIFS('HR Track 5 BIN'!$M$5:$M$39,$A$182,'HR Track 5 BIN'!$AW$5:$AW$39,$C182,'HR Track 5 BIN'!$AY$5:$AY$39,$D182)</f>
        <v>0</v>
      </c>
    </row>
    <row r="183" spans="1:11" ht="19.899999999999999" customHeight="1">
      <c r="A183" s="1024"/>
      <c r="B183" s="1013"/>
      <c r="C183" s="153" t="s">
        <v>2408</v>
      </c>
      <c r="D183" s="11" t="str">
        <f>VLOOKUP(B182,Foundation_Calc!$K$4:$R$37,4,FALSE)</f>
        <v>N.D.</v>
      </c>
      <c r="E183" s="7">
        <f t="shared" si="3"/>
        <v>0</v>
      </c>
      <c r="F183" s="7">
        <f>COUNTIFS('HR Track 1'!$M$5:$M$407,$A$182,'HR Track 1'!$AW$5:$AW$407,$C183,'HR Track 1'!$AY$5:$AY$407,$D183)</f>
        <v>0</v>
      </c>
      <c r="G183" s="7">
        <f>COUNTIFS('HR Track 2'!$M$5:$M$405,$A$182,'HR Track 2'!$AW$5:$AW$405,$C183,'HR Track 2'!$AY$5:$AY$405,$D183)</f>
        <v>0</v>
      </c>
      <c r="H183" s="7">
        <f>COUNTIFS('HR Track 3 ZIC'!$M$5:$M$74,$A$182,'HR Track 3 ZIC'!$AW$5:$AW$74,$C183,'HR Track 3 ZIC'!$AY$5:$AY$74,$D183)</f>
        <v>0</v>
      </c>
      <c r="I183" s="7">
        <f>COUNTIFS('HR Track 4 ZIC'!$M$5:$M$45,$A$182,'HR Track 4 ZIC'!$AW$5:$AW$45,$C183,'HR Track 4 ZIC'!$AY$5:$AY$45,$D183)</f>
        <v>0</v>
      </c>
      <c r="J183" s="7">
        <f>COUNTIFS('HR Track 4 BIN'!$M$5:$M$45,$A$182,'HR Track 4 BIN'!$AW$5:$AW$45,$C183,'HR Track 4 BIN'!$AY$5:$AY$45,$D183)</f>
        <v>0</v>
      </c>
      <c r="K183" s="315">
        <f>COUNTIFS('HR Track 5 BIN'!$M$5:$M$39,$A$182,'HR Track 5 BIN'!$AW$5:$AW$39,$C183,'HR Track 5 BIN'!$AY$5:$AY$39,$D183)</f>
        <v>0</v>
      </c>
    </row>
    <row r="184" spans="1:11" ht="19.899999999999999" customHeight="1">
      <c r="A184" s="1024"/>
      <c r="B184" s="1013"/>
      <c r="C184" s="153" t="s">
        <v>2409</v>
      </c>
      <c r="D184" s="11" t="str">
        <f>VLOOKUP(B182,Foundation_Calc!$K$4:$R$37,5,FALSE)</f>
        <v>N.D.</v>
      </c>
      <c r="E184" s="7">
        <f t="shared" si="3"/>
        <v>0</v>
      </c>
      <c r="F184" s="7">
        <f>COUNTIFS('HR Track 1'!$M$5:$M$407,$A$182,'HR Track 1'!$AW$5:$AW$407,$C184,'HR Track 1'!$AY$5:$AY$407,$D184)</f>
        <v>0</v>
      </c>
      <c r="G184" s="7">
        <f>COUNTIFS('HR Track 2'!$M$5:$M$405,$A$182,'HR Track 2'!$AW$5:$AW$405,$C184,'HR Track 2'!$AY$5:$AY$405,$D184)</f>
        <v>0</v>
      </c>
      <c r="H184" s="7">
        <f>COUNTIFS('HR Track 3 ZIC'!$M$5:$M$74,$A$182,'HR Track 3 ZIC'!$AW$5:$AW$74,$C184,'HR Track 3 ZIC'!$AY$5:$AY$74,$D184)</f>
        <v>0</v>
      </c>
      <c r="I184" s="7">
        <f>COUNTIFS('HR Track 4 ZIC'!$M$5:$M$45,$A$182,'HR Track 4 ZIC'!$AW$5:$AW$45,$C184,'HR Track 4 ZIC'!$AY$5:$AY$45,$D184)</f>
        <v>0</v>
      </c>
      <c r="J184" s="7">
        <f>COUNTIFS('HR Track 4 BIN'!$M$5:$M$45,$A$182,'HR Track 4 BIN'!$AW$5:$AW$45,$C184,'HR Track 4 BIN'!$AY$5:$AY$45,$D184)</f>
        <v>0</v>
      </c>
      <c r="K184" s="315">
        <f>COUNTIFS('HR Track 5 BIN'!$M$5:$M$39,$A$182,'HR Track 5 BIN'!$AW$5:$AW$39,$C184,'HR Track 5 BIN'!$AY$5:$AY$39,$D184)</f>
        <v>0</v>
      </c>
    </row>
    <row r="185" spans="1:11" ht="19.899999999999999" customHeight="1">
      <c r="A185" s="1024"/>
      <c r="B185" s="1013"/>
      <c r="C185" s="153" t="s">
        <v>2280</v>
      </c>
      <c r="D185" s="11" t="str">
        <f>VLOOKUP(B182,Foundation_Calc!$K$4:$R$37,6,FALSE)</f>
        <v>N.D.</v>
      </c>
      <c r="E185" s="7">
        <f t="shared" si="3"/>
        <v>0</v>
      </c>
      <c r="F185" s="7">
        <f>COUNTIFS('HR Track 1'!$M$5:$M$407,$A$182,'HR Track 1'!$AW$5:$AW$407,$C185,'HR Track 1'!$AY$5:$AY$407,$D185)</f>
        <v>0</v>
      </c>
      <c r="G185" s="7">
        <f>COUNTIFS('HR Track 2'!$M$5:$M$405,$A$182,'HR Track 2'!$AW$5:$AW$405,$C185,'HR Track 2'!$AY$5:$AY$405,$D185)</f>
        <v>0</v>
      </c>
      <c r="H185" s="7">
        <f>COUNTIFS('HR Track 3 ZIC'!$M$5:$M$74,$A$182,'HR Track 3 ZIC'!$AW$5:$AW$74,$C185,'HR Track 3 ZIC'!$AY$5:$AY$74,$D185)</f>
        <v>0</v>
      </c>
      <c r="I185" s="7">
        <f>COUNTIFS('HR Track 4 ZIC'!$M$5:$M$45,$A$182,'HR Track 4 ZIC'!$AW$5:$AW$45,$C185,'HR Track 4 ZIC'!$AY$5:$AY$45,$D185)</f>
        <v>0</v>
      </c>
      <c r="J185" s="7">
        <f>COUNTIFS('HR Track 4 BIN'!$M$5:$M$45,$A$182,'HR Track 4 BIN'!$AW$5:$AW$45,$C185,'HR Track 4 BIN'!$AY$5:$AY$45,$D185)</f>
        <v>0</v>
      </c>
      <c r="K185" s="315">
        <f>COUNTIFS('HR Track 5 BIN'!$M$5:$M$39,$A$182,'HR Track 5 BIN'!$AW$5:$AW$39,$C185,'HR Track 5 BIN'!$AY$5:$AY$39,$D185)</f>
        <v>0</v>
      </c>
    </row>
    <row r="186" spans="1:11" ht="19.899999999999999" customHeight="1">
      <c r="A186" s="1024"/>
      <c r="B186" s="1013"/>
      <c r="C186" s="153" t="s">
        <v>2281</v>
      </c>
      <c r="D186" s="11" t="str">
        <f>VLOOKUP(B182,Foundation_Calc!$K$4:$R$37,7,FALSE)</f>
        <v>N.D.</v>
      </c>
      <c r="E186" s="7">
        <f t="shared" si="3"/>
        <v>0</v>
      </c>
      <c r="F186" s="7">
        <f>COUNTIFS('HR Track 1'!$M$5:$M$407,$A$182,'HR Track 1'!$AW$5:$AW$407,$C186,'HR Track 1'!$AY$5:$AY$407,$D186)</f>
        <v>0</v>
      </c>
      <c r="G186" s="7">
        <f>COUNTIFS('HR Track 2'!$M$5:$M$405,$A$182,'HR Track 2'!$AW$5:$AW$405,$C186,'HR Track 2'!$AY$5:$AY$405,$D186)</f>
        <v>0</v>
      </c>
      <c r="H186" s="7">
        <f>COUNTIFS('HR Track 3 ZIC'!$M$5:$M$74,$A$182,'HR Track 3 ZIC'!$AW$5:$AW$74,$C186,'HR Track 3 ZIC'!$AY$5:$AY$74,$D186)</f>
        <v>0</v>
      </c>
      <c r="I186" s="7">
        <f>COUNTIFS('HR Track 4 ZIC'!$M$5:$M$45,$A$182,'HR Track 4 ZIC'!$AW$5:$AW$45,$C186,'HR Track 4 ZIC'!$AY$5:$AY$45,$D186)</f>
        <v>0</v>
      </c>
      <c r="J186" s="7">
        <f>COUNTIFS('HR Track 4 BIN'!$M$5:$M$45,$A$182,'HR Track 4 BIN'!$AW$5:$AW$45,$C186,'HR Track 4 BIN'!$AY$5:$AY$45,$D186)</f>
        <v>0</v>
      </c>
      <c r="K186" s="315">
        <f>COUNTIFS('HR Track 5 BIN'!$M$5:$M$39,$A$182,'HR Track 5 BIN'!$AW$5:$AW$39,$C186,'HR Track 5 BIN'!$AY$5:$AY$39,$D186)</f>
        <v>0</v>
      </c>
    </row>
    <row r="187" spans="1:11" ht="19.899999999999999" customHeight="1" thickBot="1">
      <c r="A187" s="1025"/>
      <c r="B187" s="1014"/>
      <c r="C187" s="316" t="s">
        <v>2282</v>
      </c>
      <c r="D187" s="317" t="str">
        <f>VLOOKUP(B182,Foundation_Calc!$K$4:$R$37,8,FALSE)</f>
        <v>N.D.</v>
      </c>
      <c r="E187" s="318">
        <f t="shared" si="3"/>
        <v>0</v>
      </c>
      <c r="F187" s="318">
        <f>COUNTIFS('HR Track 1'!$M$5:$M$407,$A$182,'HR Track 1'!$AW$5:$AW$407,$C187,'HR Track 1'!$AY$5:$AY$407,$D187)</f>
        <v>0</v>
      </c>
      <c r="G187" s="318">
        <f>COUNTIFS('HR Track 2'!$M$5:$M$405,$A$182,'HR Track 2'!$AW$5:$AW$405,$C187,'HR Track 2'!$AY$5:$AY$405,$D187)</f>
        <v>0</v>
      </c>
      <c r="H187" s="318">
        <f>COUNTIFS('HR Track 3 ZIC'!$M$5:$M$74,$A$182,'HR Track 3 ZIC'!$AW$5:$AW$74,$C187,'HR Track 3 ZIC'!$AY$5:$AY$74,$D187)</f>
        <v>0</v>
      </c>
      <c r="I187" s="318">
        <f>COUNTIFS('HR Track 4 ZIC'!$M$5:$M$45,$A$182,'HR Track 4 ZIC'!$AW$5:$AW$45,$C187,'HR Track 4 ZIC'!$AY$5:$AY$45,$D187)</f>
        <v>0</v>
      </c>
      <c r="J187" s="318">
        <f>COUNTIFS('HR Track 4 BIN'!$M$5:$M$45,$A$182,'HR Track 4 BIN'!$AW$5:$AW$45,$C187,'HR Track 4 BIN'!$AY$5:$AY$45,$D187)</f>
        <v>0</v>
      </c>
      <c r="K187" s="319">
        <f>COUNTIFS('HR Track 5 BIN'!$M$5:$M$39,$A$182,'HR Track 5 BIN'!$AW$5:$AW$39,$C187,'HR Track 5 BIN'!$AY$5:$AY$39,$D187)</f>
        <v>0</v>
      </c>
    </row>
    <row r="188" spans="1:11" ht="19.899999999999999" customHeight="1">
      <c r="A188" s="1108" t="s">
        <v>2382</v>
      </c>
      <c r="B188" s="1111" t="s">
        <v>1408</v>
      </c>
      <c r="C188" s="311" t="s">
        <v>2407</v>
      </c>
      <c r="D188" s="320" t="str">
        <f>VLOOKUP(B188,Foundation_Calc!$K$41:$R$74,3,FALSE)</f>
        <v>N.D.</v>
      </c>
      <c r="E188" s="313">
        <f t="shared" si="3"/>
        <v>0</v>
      </c>
      <c r="F188" s="313">
        <f>COUNTIFS('HR Track 1'!$M$5:$M$407,$A$188,'HR Track 1'!$AW$5:$AW$407,$C188,'HR Track 1'!$AY$5:$AY$407,$D188)</f>
        <v>0</v>
      </c>
      <c r="G188" s="313">
        <f>COUNTIFS('HR Track 2'!$M$5:$M$405,$A$188,'HR Track 2'!$AW$5:$AW$405,$C188,'HR Track 2'!$AY$5:$AY$405,$D188)</f>
        <v>0</v>
      </c>
      <c r="H188" s="313">
        <f>COUNTIFS('HR Track 3 ZIC'!$M$5:$M$74,$A$188,'HR Track 3 ZIC'!$AW$5:$AW$74,$C188,'HR Track 3 ZIC'!$AY$5:$AY$74,$D188)</f>
        <v>0</v>
      </c>
      <c r="I188" s="313">
        <f>COUNTIFS('HR Track 4 ZIC'!$M$5:$M$45,$A$188,'HR Track 4 ZIC'!$AW$5:$AW$45,$C188,'HR Track 4 ZIC'!$AY$5:$AY$45,$D188)</f>
        <v>0</v>
      </c>
      <c r="J188" s="313">
        <f>COUNTIFS('HR Track 4 BIN'!$M$5:$M$45,$A$188,'HR Track 4 BIN'!$AW$5:$AW$45,$C188,'HR Track 4 BIN'!$AY$5:$AY$45,$D188)</f>
        <v>0</v>
      </c>
      <c r="K188" s="314">
        <f>COUNTIFS('HR Track 5 BIN'!$M$5:$M$39,$A$188,'HR Track 5 BIN'!$AW$5:$AW$39,$C188,'HR Track 5 BIN'!$AY$5:$AY$39,$D188)</f>
        <v>0</v>
      </c>
    </row>
    <row r="189" spans="1:11" ht="19.899999999999999" customHeight="1">
      <c r="A189" s="1109"/>
      <c r="B189" s="1112"/>
      <c r="C189" s="153" t="s">
        <v>2408</v>
      </c>
      <c r="D189" s="291" t="str">
        <f>VLOOKUP(B188,Foundation_Calc!$K$41:$R$74,4,FALSE)</f>
        <v>N.D.</v>
      </c>
      <c r="E189" s="7">
        <f t="shared" si="3"/>
        <v>0</v>
      </c>
      <c r="F189" s="7">
        <f>COUNTIFS('HR Track 1'!$M$5:$M$407,$A$188,'HR Track 1'!$AW$5:$AW$407,$C189,'HR Track 1'!$AY$5:$AY$407,$D189)</f>
        <v>0</v>
      </c>
      <c r="G189" s="7">
        <f>COUNTIFS('HR Track 2'!$M$5:$M$405,$A$188,'HR Track 2'!$AW$5:$AW$405,$C189,'HR Track 2'!$AY$5:$AY$405,$D189)</f>
        <v>0</v>
      </c>
      <c r="H189" s="7">
        <f>COUNTIFS('HR Track 3 ZIC'!$M$5:$M$74,$A$188,'HR Track 3 ZIC'!$AW$5:$AW$74,$C189,'HR Track 3 ZIC'!$AY$5:$AY$74,$D189)</f>
        <v>0</v>
      </c>
      <c r="I189" s="7">
        <f>COUNTIFS('HR Track 4 ZIC'!$M$5:$M$45,$A$188,'HR Track 4 ZIC'!$AW$5:$AW$45,$C189,'HR Track 4 ZIC'!$AY$5:$AY$45,$D189)</f>
        <v>0</v>
      </c>
      <c r="J189" s="7">
        <f>COUNTIFS('HR Track 4 BIN'!$M$5:$M$45,$A$188,'HR Track 4 BIN'!$AW$5:$AW$45,$C189,'HR Track 4 BIN'!$AY$5:$AY$45,$D189)</f>
        <v>0</v>
      </c>
      <c r="K189" s="315">
        <f>COUNTIFS('HR Track 5 BIN'!$M$5:$M$39,$A$188,'HR Track 5 BIN'!$AW$5:$AW$39,$C189,'HR Track 5 BIN'!$AY$5:$AY$39,$D189)</f>
        <v>0</v>
      </c>
    </row>
    <row r="190" spans="1:11" ht="19.899999999999999" customHeight="1">
      <c r="A190" s="1109"/>
      <c r="B190" s="1112"/>
      <c r="C190" s="153" t="s">
        <v>2409</v>
      </c>
      <c r="D190" s="291" t="str">
        <f>VLOOKUP(B188,Foundation_Calc!$K$41:$R$74,5,FALSE)</f>
        <v>N.D.</v>
      </c>
      <c r="E190" s="7">
        <f t="shared" si="3"/>
        <v>0</v>
      </c>
      <c r="F190" s="7">
        <f>COUNTIFS('HR Track 1'!$M$5:$M$407,$A$188,'HR Track 1'!$AW$5:$AW$407,$C190,'HR Track 1'!$AY$5:$AY$407,$D190)</f>
        <v>0</v>
      </c>
      <c r="G190" s="7">
        <f>COUNTIFS('HR Track 2'!$M$5:$M$405,$A$188,'HR Track 2'!$AW$5:$AW$405,$C190,'HR Track 2'!$AY$5:$AY$405,$D190)</f>
        <v>0</v>
      </c>
      <c r="H190" s="7">
        <f>COUNTIFS('HR Track 3 ZIC'!$M$5:$M$74,$A$188,'HR Track 3 ZIC'!$AW$5:$AW$74,$C190,'HR Track 3 ZIC'!$AY$5:$AY$74,$D190)</f>
        <v>0</v>
      </c>
      <c r="I190" s="7">
        <f>COUNTIFS('HR Track 4 ZIC'!$M$5:$M$45,$A$188,'HR Track 4 ZIC'!$AW$5:$AW$45,$C190,'HR Track 4 ZIC'!$AY$5:$AY$45,$D190)</f>
        <v>0</v>
      </c>
      <c r="J190" s="7">
        <f>COUNTIFS('HR Track 4 BIN'!$M$5:$M$45,$A$188,'HR Track 4 BIN'!$AW$5:$AW$45,$C190,'HR Track 4 BIN'!$AY$5:$AY$45,$D190)</f>
        <v>0</v>
      </c>
      <c r="K190" s="315">
        <f>COUNTIFS('HR Track 5 BIN'!$M$5:$M$39,$A$188,'HR Track 5 BIN'!$AW$5:$AW$39,$C190,'HR Track 5 BIN'!$AY$5:$AY$39,$D190)</f>
        <v>0</v>
      </c>
    </row>
    <row r="191" spans="1:11" ht="19.899999999999999" customHeight="1">
      <c r="A191" s="1109"/>
      <c r="B191" s="1112"/>
      <c r="C191" s="153" t="s">
        <v>2280</v>
      </c>
      <c r="D191" s="291" t="str">
        <f>VLOOKUP(B188,Foundation_Calc!$K$41:$R$74,6,FALSE)</f>
        <v>N.D.</v>
      </c>
      <c r="E191" s="7">
        <f t="shared" si="3"/>
        <v>0</v>
      </c>
      <c r="F191" s="7">
        <f>COUNTIFS('HR Track 1'!$M$5:$M$407,$A$188,'HR Track 1'!$AW$5:$AW$407,$C191,'HR Track 1'!$AY$5:$AY$407,$D191)</f>
        <v>0</v>
      </c>
      <c r="G191" s="7">
        <f>COUNTIFS('HR Track 2'!$M$5:$M$405,$A$188,'HR Track 2'!$AW$5:$AW$405,$C191,'HR Track 2'!$AY$5:$AY$405,$D191)</f>
        <v>0</v>
      </c>
      <c r="H191" s="7">
        <f>COUNTIFS('HR Track 3 ZIC'!$M$5:$M$74,$A$188,'HR Track 3 ZIC'!$AW$5:$AW$74,$C191,'HR Track 3 ZIC'!$AY$5:$AY$74,$D191)</f>
        <v>0</v>
      </c>
      <c r="I191" s="7">
        <f>COUNTIFS('HR Track 4 ZIC'!$M$5:$M$45,$A$188,'HR Track 4 ZIC'!$AW$5:$AW$45,$C191,'HR Track 4 ZIC'!$AY$5:$AY$45,$D191)</f>
        <v>0</v>
      </c>
      <c r="J191" s="7">
        <f>COUNTIFS('HR Track 4 BIN'!$M$5:$M$45,$A$188,'HR Track 4 BIN'!$AW$5:$AW$45,$C191,'HR Track 4 BIN'!$AY$5:$AY$45,$D191)</f>
        <v>0</v>
      </c>
      <c r="K191" s="315">
        <f>COUNTIFS('HR Track 5 BIN'!$M$5:$M$39,$A$188,'HR Track 5 BIN'!$AW$5:$AW$39,$C191,'HR Track 5 BIN'!$AY$5:$AY$39,$D191)</f>
        <v>0</v>
      </c>
    </row>
    <row r="192" spans="1:11" ht="19.899999999999999" customHeight="1">
      <c r="A192" s="1109"/>
      <c r="B192" s="1112"/>
      <c r="C192" s="153" t="s">
        <v>2281</v>
      </c>
      <c r="D192" s="291" t="str">
        <f>VLOOKUP(B188,Foundation_Calc!$K$41:$R$74,7,FALSE)</f>
        <v>N.D.</v>
      </c>
      <c r="E192" s="7">
        <f t="shared" si="3"/>
        <v>0</v>
      </c>
      <c r="F192" s="7">
        <f>COUNTIFS('HR Track 1'!$M$5:$M$407,$A$188,'HR Track 1'!$AW$5:$AW$407,$C192,'HR Track 1'!$AY$5:$AY$407,$D192)</f>
        <v>0</v>
      </c>
      <c r="G192" s="7">
        <f>COUNTIFS('HR Track 2'!$M$5:$M$405,$A$188,'HR Track 2'!$AW$5:$AW$405,$C192,'HR Track 2'!$AY$5:$AY$405,$D192)</f>
        <v>0</v>
      </c>
      <c r="H192" s="7">
        <f>COUNTIFS('HR Track 3 ZIC'!$M$5:$M$74,$A$188,'HR Track 3 ZIC'!$AW$5:$AW$74,$C192,'HR Track 3 ZIC'!$AY$5:$AY$74,$D192)</f>
        <v>0</v>
      </c>
      <c r="I192" s="7">
        <f>COUNTIFS('HR Track 4 ZIC'!$M$5:$M$45,$A$188,'HR Track 4 ZIC'!$AW$5:$AW$45,$C192,'HR Track 4 ZIC'!$AY$5:$AY$45,$D192)</f>
        <v>0</v>
      </c>
      <c r="J192" s="7">
        <f>COUNTIFS('HR Track 4 BIN'!$M$5:$M$45,$A$188,'HR Track 4 BIN'!$AW$5:$AW$45,$C192,'HR Track 4 BIN'!$AY$5:$AY$45,$D192)</f>
        <v>0</v>
      </c>
      <c r="K192" s="315">
        <f>COUNTIFS('HR Track 5 BIN'!$M$5:$M$39,$A$188,'HR Track 5 BIN'!$AW$5:$AW$39,$C192,'HR Track 5 BIN'!$AY$5:$AY$39,$D192)</f>
        <v>0</v>
      </c>
    </row>
    <row r="193" spans="1:11" ht="19.899999999999999" customHeight="1" thickBot="1">
      <c r="A193" s="1110"/>
      <c r="B193" s="1113"/>
      <c r="C193" s="316" t="s">
        <v>2282</v>
      </c>
      <c r="D193" s="321" t="str">
        <f>VLOOKUP(B188,Foundation_Calc!$K$41:$R$74,8,FALSE)</f>
        <v>N.D.</v>
      </c>
      <c r="E193" s="318">
        <f t="shared" si="3"/>
        <v>0</v>
      </c>
      <c r="F193" s="318">
        <f>COUNTIFS('HR Track 1'!$M$5:$M$407,$A$188,'HR Track 1'!$AW$5:$AW$407,$C193,'HR Track 1'!$AY$5:$AY$407,$D193)</f>
        <v>0</v>
      </c>
      <c r="G193" s="318">
        <f>COUNTIFS('HR Track 2'!$M$5:$M$405,$A$188,'HR Track 2'!$AW$5:$AW$405,$C193,'HR Track 2'!$AY$5:$AY$405,$D193)</f>
        <v>0</v>
      </c>
      <c r="H193" s="318">
        <f>COUNTIFS('HR Track 3 ZIC'!$M$5:$M$74,$A$188,'HR Track 3 ZIC'!$AW$5:$AW$74,$C193,'HR Track 3 ZIC'!$AY$5:$AY$74,$D193)</f>
        <v>0</v>
      </c>
      <c r="I193" s="318">
        <f>COUNTIFS('HR Track 4 ZIC'!$M$5:$M$45,$A$188,'HR Track 4 ZIC'!$AW$5:$AW$45,$C193,'HR Track 4 ZIC'!$AY$5:$AY$45,$D193)</f>
        <v>0</v>
      </c>
      <c r="J193" s="318">
        <f>COUNTIFS('HR Track 4 BIN'!$M$5:$M$45,$A$188,'HR Track 4 BIN'!$AW$5:$AW$45,$C193,'HR Track 4 BIN'!$AY$5:$AY$45,$D193)</f>
        <v>0</v>
      </c>
      <c r="K193" s="319">
        <f>COUNTIFS('HR Track 5 BIN'!$M$5:$M$39,$A$188,'HR Track 5 BIN'!$AW$5:$AW$39,$C193,'HR Track 5 BIN'!$AY$5:$AY$39,$D193)</f>
        <v>0</v>
      </c>
    </row>
    <row r="194" spans="1:11" ht="19.899999999999999" customHeight="1">
      <c r="A194" s="1114" t="s">
        <v>2366</v>
      </c>
      <c r="B194" s="1115" t="s">
        <v>455</v>
      </c>
      <c r="C194" s="311" t="s">
        <v>2407</v>
      </c>
      <c r="D194" s="312" t="str">
        <f>VLOOKUP(B194,Foundation_Calc!$K$4:$R$37,3,FALSE)</f>
        <v>N.D.</v>
      </c>
      <c r="E194" s="313">
        <f t="shared" si="3"/>
        <v>0</v>
      </c>
      <c r="F194" s="313">
        <f>COUNTIFS('HR Track 1'!$M$5:$M$407,$A$194,'HR Track 1'!$AW$5:$AW$407,$C194,'HR Track 1'!$AY$5:$AY$407,$D194)</f>
        <v>0</v>
      </c>
      <c r="G194" s="313">
        <f>COUNTIFS('HR Track 2'!$M$5:$M$405,$A$194,'HR Track 2'!$AW$5:$AW$405,$C194,'HR Track 2'!$AY$5:$AY$405,$D194)</f>
        <v>0</v>
      </c>
      <c r="H194" s="313">
        <f>COUNTIFS('HR Track 3 ZIC'!$M$5:$M$74,$A$194,'HR Track 3 ZIC'!$AW$5:$AW$74,$C194,'HR Track 3 ZIC'!$AY$5:$AY$74,$D194)</f>
        <v>0</v>
      </c>
      <c r="I194" s="313">
        <f>COUNTIFS('HR Track 4 ZIC'!$M$5:$M$45,$A$194,'HR Track 4 ZIC'!$AW$5:$AW$45,$C194,'HR Track 4 ZIC'!$AY$5:$AY$45,$D194)</f>
        <v>0</v>
      </c>
      <c r="J194" s="313">
        <f>COUNTIFS('HR Track 4 BIN'!$M$5:$M$45,$A$194,'HR Track 4 BIN'!$AW$5:$AW$45,$C194,'HR Track 4 BIN'!$AY$5:$AY$45,$D194)</f>
        <v>0</v>
      </c>
      <c r="K194" s="314">
        <f>COUNTIFS('HR Track 5 BIN'!$M$5:$M$39,$A$194,'HR Track 5 BIN'!$AW$5:$AW$39,$C194,'HR Track 5 BIN'!$AY$5:$AY$39,$D194)</f>
        <v>0</v>
      </c>
    </row>
    <row r="195" spans="1:11" ht="19.899999999999999" customHeight="1">
      <c r="A195" s="1024"/>
      <c r="B195" s="1013"/>
      <c r="C195" s="153" t="s">
        <v>2408</v>
      </c>
      <c r="D195" s="11" t="str">
        <f>VLOOKUP(B194,Foundation_Calc!$K$4:$R$37,4,FALSE)</f>
        <v>N.D.</v>
      </c>
      <c r="E195" s="7">
        <f t="shared" ref="E195:E258" si="4">SUM(F195:K195)</f>
        <v>0</v>
      </c>
      <c r="F195" s="7">
        <f>COUNTIFS('HR Track 1'!$M$5:$M$407,$A$194,'HR Track 1'!$AW$5:$AW$407,$C195,'HR Track 1'!$AY$5:$AY$407,$D195)</f>
        <v>0</v>
      </c>
      <c r="G195" s="7">
        <f>COUNTIFS('HR Track 2'!$M$5:$M$405,$A$194,'HR Track 2'!$AW$5:$AW$405,$C195,'HR Track 2'!$AY$5:$AY$405,$D195)</f>
        <v>0</v>
      </c>
      <c r="H195" s="7">
        <f>COUNTIFS('HR Track 3 ZIC'!$M$5:$M$74,$A$194,'HR Track 3 ZIC'!$AW$5:$AW$74,$C195,'HR Track 3 ZIC'!$AY$5:$AY$74,$D195)</f>
        <v>0</v>
      </c>
      <c r="I195" s="7">
        <f>COUNTIFS('HR Track 4 ZIC'!$M$5:$M$45,$A$194,'HR Track 4 ZIC'!$AW$5:$AW$45,$C195,'HR Track 4 ZIC'!$AY$5:$AY$45,$D195)</f>
        <v>0</v>
      </c>
      <c r="J195" s="7">
        <f>COUNTIFS('HR Track 4 BIN'!$M$5:$M$45,$A$194,'HR Track 4 BIN'!$AW$5:$AW$45,$C195,'HR Track 4 BIN'!$AY$5:$AY$45,$D195)</f>
        <v>0</v>
      </c>
      <c r="K195" s="315">
        <f>COUNTIFS('HR Track 5 BIN'!$M$5:$M$39,$A$194,'HR Track 5 BIN'!$AW$5:$AW$39,$C195,'HR Track 5 BIN'!$AY$5:$AY$39,$D195)</f>
        <v>0</v>
      </c>
    </row>
    <row r="196" spans="1:11" ht="19.899999999999999" customHeight="1">
      <c r="A196" s="1024"/>
      <c r="B196" s="1013"/>
      <c r="C196" s="153" t="s">
        <v>2409</v>
      </c>
      <c r="D196" s="11" t="str">
        <f>VLOOKUP(B194,Foundation_Calc!$K$4:$R$37,5,FALSE)</f>
        <v>N.D.</v>
      </c>
      <c r="E196" s="7">
        <f t="shared" si="4"/>
        <v>0</v>
      </c>
      <c r="F196" s="7">
        <f>COUNTIFS('HR Track 1'!$M$5:$M$407,$A$194,'HR Track 1'!$AW$5:$AW$407,$C196,'HR Track 1'!$AY$5:$AY$407,$D196)</f>
        <v>0</v>
      </c>
      <c r="G196" s="7">
        <f>COUNTIFS('HR Track 2'!$M$5:$M$405,$A$194,'HR Track 2'!$AW$5:$AW$405,$C196,'HR Track 2'!$AY$5:$AY$405,$D196)</f>
        <v>0</v>
      </c>
      <c r="H196" s="7">
        <f>COUNTIFS('HR Track 3 ZIC'!$M$5:$M$74,$A$194,'HR Track 3 ZIC'!$AW$5:$AW$74,$C196,'HR Track 3 ZIC'!$AY$5:$AY$74,$D196)</f>
        <v>0</v>
      </c>
      <c r="I196" s="7">
        <f>COUNTIFS('HR Track 4 ZIC'!$M$5:$M$45,$A$194,'HR Track 4 ZIC'!$AW$5:$AW$45,$C196,'HR Track 4 ZIC'!$AY$5:$AY$45,$D196)</f>
        <v>0</v>
      </c>
      <c r="J196" s="7">
        <f>COUNTIFS('HR Track 4 BIN'!$M$5:$M$45,$A$194,'HR Track 4 BIN'!$AW$5:$AW$45,$C196,'HR Track 4 BIN'!$AY$5:$AY$45,$D196)</f>
        <v>0</v>
      </c>
      <c r="K196" s="315">
        <f>COUNTIFS('HR Track 5 BIN'!$M$5:$M$39,$A$194,'HR Track 5 BIN'!$AW$5:$AW$39,$C196,'HR Track 5 BIN'!$AY$5:$AY$39,$D196)</f>
        <v>0</v>
      </c>
    </row>
    <row r="197" spans="1:11" ht="19.899999999999999" customHeight="1">
      <c r="A197" s="1024"/>
      <c r="B197" s="1013"/>
      <c r="C197" s="153" t="s">
        <v>2280</v>
      </c>
      <c r="D197" s="11" t="str">
        <f>VLOOKUP(B194,Foundation_Calc!$K$4:$R$37,6,FALSE)</f>
        <v>N.D.</v>
      </c>
      <c r="E197" s="7">
        <f t="shared" si="4"/>
        <v>0</v>
      </c>
      <c r="F197" s="7">
        <f>COUNTIFS('HR Track 1'!$M$5:$M$407,$A$194,'HR Track 1'!$AW$5:$AW$407,$C197,'HR Track 1'!$AY$5:$AY$407,$D197)</f>
        <v>0</v>
      </c>
      <c r="G197" s="7">
        <f>COUNTIFS('HR Track 2'!$M$5:$M$405,$A$194,'HR Track 2'!$AW$5:$AW$405,$C197,'HR Track 2'!$AY$5:$AY$405,$D197)</f>
        <v>0</v>
      </c>
      <c r="H197" s="7">
        <f>COUNTIFS('HR Track 3 ZIC'!$M$5:$M$74,$A$194,'HR Track 3 ZIC'!$AW$5:$AW$74,$C197,'HR Track 3 ZIC'!$AY$5:$AY$74,$D197)</f>
        <v>0</v>
      </c>
      <c r="I197" s="7">
        <f>COUNTIFS('HR Track 4 ZIC'!$M$5:$M$45,$A$194,'HR Track 4 ZIC'!$AW$5:$AW$45,$C197,'HR Track 4 ZIC'!$AY$5:$AY$45,$D197)</f>
        <v>0</v>
      </c>
      <c r="J197" s="7">
        <f>COUNTIFS('HR Track 4 BIN'!$M$5:$M$45,$A$194,'HR Track 4 BIN'!$AW$5:$AW$45,$C197,'HR Track 4 BIN'!$AY$5:$AY$45,$D197)</f>
        <v>0</v>
      </c>
      <c r="K197" s="315">
        <f>COUNTIFS('HR Track 5 BIN'!$M$5:$M$39,$A$194,'HR Track 5 BIN'!$AW$5:$AW$39,$C197,'HR Track 5 BIN'!$AY$5:$AY$39,$D197)</f>
        <v>0</v>
      </c>
    </row>
    <row r="198" spans="1:11" ht="19.899999999999999" customHeight="1">
      <c r="A198" s="1024"/>
      <c r="B198" s="1013"/>
      <c r="C198" s="153" t="s">
        <v>2281</v>
      </c>
      <c r="D198" s="11" t="str">
        <f>VLOOKUP(B194,Foundation_Calc!$K$4:$R$37,7,FALSE)</f>
        <v>N.D.</v>
      </c>
      <c r="E198" s="7">
        <f t="shared" si="4"/>
        <v>0</v>
      </c>
      <c r="F198" s="7">
        <f>COUNTIFS('HR Track 1'!$M$5:$M$407,$A$194,'HR Track 1'!$AW$5:$AW$407,$C198,'HR Track 1'!$AY$5:$AY$407,$D198)</f>
        <v>0</v>
      </c>
      <c r="G198" s="7">
        <f>COUNTIFS('HR Track 2'!$M$5:$M$405,$A$194,'HR Track 2'!$AW$5:$AW$405,$C198,'HR Track 2'!$AY$5:$AY$405,$D198)</f>
        <v>0</v>
      </c>
      <c r="H198" s="7">
        <f>COUNTIFS('HR Track 3 ZIC'!$M$5:$M$74,$A$194,'HR Track 3 ZIC'!$AW$5:$AW$74,$C198,'HR Track 3 ZIC'!$AY$5:$AY$74,$D198)</f>
        <v>0</v>
      </c>
      <c r="I198" s="7">
        <f>COUNTIFS('HR Track 4 ZIC'!$M$5:$M$45,$A$194,'HR Track 4 ZIC'!$AW$5:$AW$45,$C198,'HR Track 4 ZIC'!$AY$5:$AY$45,$D198)</f>
        <v>0</v>
      </c>
      <c r="J198" s="7">
        <f>COUNTIFS('HR Track 4 BIN'!$M$5:$M$45,$A$194,'HR Track 4 BIN'!$AW$5:$AW$45,$C198,'HR Track 4 BIN'!$AY$5:$AY$45,$D198)</f>
        <v>0</v>
      </c>
      <c r="K198" s="315">
        <f>COUNTIFS('HR Track 5 BIN'!$M$5:$M$39,$A$194,'HR Track 5 BIN'!$AW$5:$AW$39,$C198,'HR Track 5 BIN'!$AY$5:$AY$39,$D198)</f>
        <v>0</v>
      </c>
    </row>
    <row r="199" spans="1:11" ht="19.899999999999999" customHeight="1" thickBot="1">
      <c r="A199" s="1025"/>
      <c r="B199" s="1014"/>
      <c r="C199" s="316" t="s">
        <v>2282</v>
      </c>
      <c r="D199" s="317" t="str">
        <f>VLOOKUP(B194,Foundation_Calc!$K$4:$R$37,8,FALSE)</f>
        <v>N.D.</v>
      </c>
      <c r="E199" s="318">
        <f t="shared" si="4"/>
        <v>0</v>
      </c>
      <c r="F199" s="318">
        <f>COUNTIFS('HR Track 1'!$M$5:$M$407,$A$194,'HR Track 1'!$AW$5:$AW$407,$C199,'HR Track 1'!$AY$5:$AY$407,$D199)</f>
        <v>0</v>
      </c>
      <c r="G199" s="318">
        <f>COUNTIFS('HR Track 2'!$M$5:$M$405,$A$194,'HR Track 2'!$AW$5:$AW$405,$C199,'HR Track 2'!$AY$5:$AY$405,$D199)</f>
        <v>0</v>
      </c>
      <c r="H199" s="318">
        <f>COUNTIFS('HR Track 3 ZIC'!$M$5:$M$74,$A$194,'HR Track 3 ZIC'!$AW$5:$AW$74,$C199,'HR Track 3 ZIC'!$AY$5:$AY$74,$D199)</f>
        <v>0</v>
      </c>
      <c r="I199" s="318">
        <f>COUNTIFS('HR Track 4 ZIC'!$M$5:$M$45,$A$194,'HR Track 4 ZIC'!$AW$5:$AW$45,$C199,'HR Track 4 ZIC'!$AY$5:$AY$45,$D199)</f>
        <v>0</v>
      </c>
      <c r="J199" s="318">
        <f>COUNTIFS('HR Track 4 BIN'!$M$5:$M$45,$A$194,'HR Track 4 BIN'!$AW$5:$AW$45,$C199,'HR Track 4 BIN'!$AY$5:$AY$45,$D199)</f>
        <v>0</v>
      </c>
      <c r="K199" s="319">
        <f>COUNTIFS('HR Track 5 BIN'!$M$5:$M$39,$A$194,'HR Track 5 BIN'!$AW$5:$AW$39,$C199,'HR Track 5 BIN'!$AY$5:$AY$39,$D199)</f>
        <v>0</v>
      </c>
    </row>
    <row r="200" spans="1:11" ht="19.899999999999999" customHeight="1">
      <c r="A200" s="1108" t="s">
        <v>2382</v>
      </c>
      <c r="B200" s="1111" t="s">
        <v>455</v>
      </c>
      <c r="C200" s="311" t="s">
        <v>2407</v>
      </c>
      <c r="D200" s="320" t="str">
        <f>VLOOKUP(B200,Foundation_Calc!$K$41:$R$74,3,FALSE)</f>
        <v>N.D.</v>
      </c>
      <c r="E200" s="313">
        <f t="shared" si="4"/>
        <v>0</v>
      </c>
      <c r="F200" s="313">
        <f>COUNTIFS('HR Track 1'!$M$5:$M$407,$A$200,'HR Track 1'!$AW$5:$AW$407,$C200,'HR Track 1'!$AY$5:$AY$407,$D200)</f>
        <v>0</v>
      </c>
      <c r="G200" s="313">
        <f>COUNTIFS('HR Track 2'!$M$5:$M$405,$A$200,'HR Track 2'!$AW$5:$AW$405,$C200,'HR Track 2'!$AY$5:$AY$405,$D200)</f>
        <v>0</v>
      </c>
      <c r="H200" s="313">
        <f>COUNTIFS('HR Track 3 ZIC'!$M$5:$M$74,$A$200,'HR Track 3 ZIC'!$AW$5:$AW$74,$C200,'HR Track 3 ZIC'!$AY$5:$AY$74,$D200)</f>
        <v>0</v>
      </c>
      <c r="I200" s="313">
        <f>COUNTIFS('HR Track 4 ZIC'!$M$5:$M$45,$A$200,'HR Track 4 ZIC'!$AW$5:$AW$45,$C200,'HR Track 4 ZIC'!$AY$5:$AY$45,$D200)</f>
        <v>0</v>
      </c>
      <c r="J200" s="313">
        <f>COUNTIFS('HR Track 4 BIN'!$M$5:$M$45,$A$200,'HR Track 4 BIN'!$AW$5:$AW$45,$C200,'HR Track 4 BIN'!$AY$5:$AY$45,$D200)</f>
        <v>0</v>
      </c>
      <c r="K200" s="314">
        <f>COUNTIFS('HR Track 5 BIN'!$M$5:$M$39,$A$200,'HR Track 5 BIN'!$AW$5:$AW$39,$C200,'HR Track 5 BIN'!$AY$5:$AY$39,$D200)</f>
        <v>0</v>
      </c>
    </row>
    <row r="201" spans="1:11" ht="19.899999999999999" customHeight="1">
      <c r="A201" s="1109"/>
      <c r="B201" s="1112"/>
      <c r="C201" s="153" t="s">
        <v>2408</v>
      </c>
      <c r="D201" s="291" t="str">
        <f>VLOOKUP(B200,Foundation_Calc!$K$41:$R$74,4,FALSE)</f>
        <v>N.D.</v>
      </c>
      <c r="E201" s="7">
        <f t="shared" si="4"/>
        <v>0</v>
      </c>
      <c r="F201" s="7">
        <f>COUNTIFS('HR Track 1'!$M$5:$M$407,$A$200,'HR Track 1'!$AW$5:$AW$407,$C201,'HR Track 1'!$AY$5:$AY$407,$D201)</f>
        <v>0</v>
      </c>
      <c r="G201" s="7">
        <f>COUNTIFS('HR Track 2'!$M$5:$M$405,$A$200,'HR Track 2'!$AW$5:$AW$405,$C201,'HR Track 2'!$AY$5:$AY$405,$D201)</f>
        <v>0</v>
      </c>
      <c r="H201" s="7">
        <f>COUNTIFS('HR Track 3 ZIC'!$M$5:$M$74,$A$200,'HR Track 3 ZIC'!$AW$5:$AW$74,$C201,'HR Track 3 ZIC'!$AY$5:$AY$74,$D201)</f>
        <v>0</v>
      </c>
      <c r="I201" s="7">
        <f>COUNTIFS('HR Track 4 ZIC'!$M$5:$M$45,$A$200,'HR Track 4 ZIC'!$AW$5:$AW$45,$C201,'HR Track 4 ZIC'!$AY$5:$AY$45,$D201)</f>
        <v>0</v>
      </c>
      <c r="J201" s="7">
        <f>COUNTIFS('HR Track 4 BIN'!$M$5:$M$45,$A$200,'HR Track 4 BIN'!$AW$5:$AW$45,$C201,'HR Track 4 BIN'!$AY$5:$AY$45,$D201)</f>
        <v>0</v>
      </c>
      <c r="K201" s="315">
        <f>COUNTIFS('HR Track 5 BIN'!$M$5:$M$39,$A$200,'HR Track 5 BIN'!$AW$5:$AW$39,$C201,'HR Track 5 BIN'!$AY$5:$AY$39,$D201)</f>
        <v>0</v>
      </c>
    </row>
    <row r="202" spans="1:11" ht="19.899999999999999" customHeight="1">
      <c r="A202" s="1109"/>
      <c r="B202" s="1112"/>
      <c r="C202" s="153" t="s">
        <v>2409</v>
      </c>
      <c r="D202" s="291" t="str">
        <f>VLOOKUP(B200,Foundation_Calc!$K$41:$R$74,5,FALSE)</f>
        <v>N.D.</v>
      </c>
      <c r="E202" s="7">
        <f t="shared" si="4"/>
        <v>0</v>
      </c>
      <c r="F202" s="7">
        <f>COUNTIFS('HR Track 1'!$M$5:$M$407,$A$200,'HR Track 1'!$AW$5:$AW$407,$C202,'HR Track 1'!$AY$5:$AY$407,$D202)</f>
        <v>0</v>
      </c>
      <c r="G202" s="7">
        <f>COUNTIFS('HR Track 2'!$M$5:$M$405,$A$200,'HR Track 2'!$AW$5:$AW$405,$C202,'HR Track 2'!$AY$5:$AY$405,$D202)</f>
        <v>0</v>
      </c>
      <c r="H202" s="7">
        <f>COUNTIFS('HR Track 3 ZIC'!$M$5:$M$74,$A$200,'HR Track 3 ZIC'!$AW$5:$AW$74,$C202,'HR Track 3 ZIC'!$AY$5:$AY$74,$D202)</f>
        <v>0</v>
      </c>
      <c r="I202" s="7">
        <f>COUNTIFS('HR Track 4 ZIC'!$M$5:$M$45,$A$200,'HR Track 4 ZIC'!$AW$5:$AW$45,$C202,'HR Track 4 ZIC'!$AY$5:$AY$45,$D202)</f>
        <v>0</v>
      </c>
      <c r="J202" s="7">
        <f>COUNTIFS('HR Track 4 BIN'!$M$5:$M$45,$A$200,'HR Track 4 BIN'!$AW$5:$AW$45,$C202,'HR Track 4 BIN'!$AY$5:$AY$45,$D202)</f>
        <v>0</v>
      </c>
      <c r="K202" s="315">
        <f>COUNTIFS('HR Track 5 BIN'!$M$5:$M$39,$A$200,'HR Track 5 BIN'!$AW$5:$AW$39,$C202,'HR Track 5 BIN'!$AY$5:$AY$39,$D202)</f>
        <v>0</v>
      </c>
    </row>
    <row r="203" spans="1:11" ht="19.899999999999999" customHeight="1">
      <c r="A203" s="1109"/>
      <c r="B203" s="1112"/>
      <c r="C203" s="153" t="s">
        <v>2280</v>
      </c>
      <c r="D203" s="291" t="str">
        <f>VLOOKUP(B200,Foundation_Calc!$K$41:$R$74,6,FALSE)</f>
        <v>N.D.</v>
      </c>
      <c r="E203" s="7">
        <f t="shared" si="4"/>
        <v>0</v>
      </c>
      <c r="F203" s="7">
        <f>COUNTIFS('HR Track 1'!$M$5:$M$407,$A$200,'HR Track 1'!$AW$5:$AW$407,$C203,'HR Track 1'!$AY$5:$AY$407,$D203)</f>
        <v>0</v>
      </c>
      <c r="G203" s="7">
        <f>COUNTIFS('HR Track 2'!$M$5:$M$405,$A$200,'HR Track 2'!$AW$5:$AW$405,$C203,'HR Track 2'!$AY$5:$AY$405,$D203)</f>
        <v>0</v>
      </c>
      <c r="H203" s="7">
        <f>COUNTIFS('HR Track 3 ZIC'!$M$5:$M$74,$A$200,'HR Track 3 ZIC'!$AW$5:$AW$74,$C203,'HR Track 3 ZIC'!$AY$5:$AY$74,$D203)</f>
        <v>0</v>
      </c>
      <c r="I203" s="7">
        <f>COUNTIFS('HR Track 4 ZIC'!$M$5:$M$45,$A$200,'HR Track 4 ZIC'!$AW$5:$AW$45,$C203,'HR Track 4 ZIC'!$AY$5:$AY$45,$D203)</f>
        <v>0</v>
      </c>
      <c r="J203" s="7">
        <f>COUNTIFS('HR Track 4 BIN'!$M$5:$M$45,$A$200,'HR Track 4 BIN'!$AW$5:$AW$45,$C203,'HR Track 4 BIN'!$AY$5:$AY$45,$D203)</f>
        <v>0</v>
      </c>
      <c r="K203" s="315">
        <f>COUNTIFS('HR Track 5 BIN'!$M$5:$M$39,$A$200,'HR Track 5 BIN'!$AW$5:$AW$39,$C203,'HR Track 5 BIN'!$AY$5:$AY$39,$D203)</f>
        <v>0</v>
      </c>
    </row>
    <row r="204" spans="1:11" ht="19.899999999999999" customHeight="1">
      <c r="A204" s="1109"/>
      <c r="B204" s="1112"/>
      <c r="C204" s="153" t="s">
        <v>2281</v>
      </c>
      <c r="D204" s="291" t="str">
        <f>VLOOKUP(B200,Foundation_Calc!$K$41:$R$74,7,FALSE)</f>
        <v>N.D.</v>
      </c>
      <c r="E204" s="7">
        <f t="shared" si="4"/>
        <v>0</v>
      </c>
      <c r="F204" s="7">
        <f>COUNTIFS('HR Track 1'!$M$5:$M$407,$A$200,'HR Track 1'!$AW$5:$AW$407,$C204,'HR Track 1'!$AY$5:$AY$407,$D204)</f>
        <v>0</v>
      </c>
      <c r="G204" s="7">
        <f>COUNTIFS('HR Track 2'!$M$5:$M$405,$A$200,'HR Track 2'!$AW$5:$AW$405,$C204,'HR Track 2'!$AY$5:$AY$405,$D204)</f>
        <v>0</v>
      </c>
      <c r="H204" s="7">
        <f>COUNTIFS('HR Track 3 ZIC'!$M$5:$M$74,$A$200,'HR Track 3 ZIC'!$AW$5:$AW$74,$C204,'HR Track 3 ZIC'!$AY$5:$AY$74,$D204)</f>
        <v>0</v>
      </c>
      <c r="I204" s="7">
        <f>COUNTIFS('HR Track 4 ZIC'!$M$5:$M$45,$A$200,'HR Track 4 ZIC'!$AW$5:$AW$45,$C204,'HR Track 4 ZIC'!$AY$5:$AY$45,$D204)</f>
        <v>0</v>
      </c>
      <c r="J204" s="7">
        <f>COUNTIFS('HR Track 4 BIN'!$M$5:$M$45,$A$200,'HR Track 4 BIN'!$AW$5:$AW$45,$C204,'HR Track 4 BIN'!$AY$5:$AY$45,$D204)</f>
        <v>0</v>
      </c>
      <c r="K204" s="315">
        <f>COUNTIFS('HR Track 5 BIN'!$M$5:$M$39,$A$200,'HR Track 5 BIN'!$AW$5:$AW$39,$C204,'HR Track 5 BIN'!$AY$5:$AY$39,$D204)</f>
        <v>0</v>
      </c>
    </row>
    <row r="205" spans="1:11" ht="19.899999999999999" customHeight="1" thickBot="1">
      <c r="A205" s="1110"/>
      <c r="B205" s="1113"/>
      <c r="C205" s="316" t="s">
        <v>2282</v>
      </c>
      <c r="D205" s="321" t="str">
        <f>VLOOKUP(B200,Foundation_Calc!$K$41:$R$74,8,FALSE)</f>
        <v>N.D.</v>
      </c>
      <c r="E205" s="318">
        <f t="shared" si="4"/>
        <v>0</v>
      </c>
      <c r="F205" s="318">
        <f>COUNTIFS('HR Track 1'!$M$5:$M$407,$A$200,'HR Track 1'!$AW$5:$AW$407,$C205,'HR Track 1'!$AY$5:$AY$407,$D205)</f>
        <v>0</v>
      </c>
      <c r="G205" s="318">
        <f>COUNTIFS('HR Track 2'!$M$5:$M$405,$A$200,'HR Track 2'!$AW$5:$AW$405,$C205,'HR Track 2'!$AY$5:$AY$405,$D205)</f>
        <v>0</v>
      </c>
      <c r="H205" s="318">
        <f>COUNTIFS('HR Track 3 ZIC'!$M$5:$M$74,$A$200,'HR Track 3 ZIC'!$AW$5:$AW$74,$C205,'HR Track 3 ZIC'!$AY$5:$AY$74,$D205)</f>
        <v>0</v>
      </c>
      <c r="I205" s="318">
        <f>COUNTIFS('HR Track 4 ZIC'!$M$5:$M$45,$A$200,'HR Track 4 ZIC'!$AW$5:$AW$45,$C205,'HR Track 4 ZIC'!$AY$5:$AY$45,$D205)</f>
        <v>0</v>
      </c>
      <c r="J205" s="318">
        <f>COUNTIFS('HR Track 4 BIN'!$M$5:$M$45,$A$200,'HR Track 4 BIN'!$AW$5:$AW$45,$C205,'HR Track 4 BIN'!$AY$5:$AY$45,$D205)</f>
        <v>0</v>
      </c>
      <c r="K205" s="319">
        <f>COUNTIFS('HR Track 5 BIN'!$M$5:$M$39,$A$200,'HR Track 5 BIN'!$AW$5:$AW$39,$C205,'HR Track 5 BIN'!$AY$5:$AY$39,$D205)</f>
        <v>0</v>
      </c>
    </row>
    <row r="206" spans="1:11" ht="19.899999999999999" customHeight="1">
      <c r="A206" s="1114" t="s">
        <v>2367</v>
      </c>
      <c r="B206" s="1115" t="s">
        <v>247</v>
      </c>
      <c r="C206" s="311" t="s">
        <v>2407</v>
      </c>
      <c r="D206" s="312" t="str">
        <f>VLOOKUP(B206,Foundation_Calc!$K$4:$R$37,3,FALSE)</f>
        <v>N.D.</v>
      </c>
      <c r="E206" s="313">
        <f t="shared" si="4"/>
        <v>0</v>
      </c>
      <c r="F206" s="313">
        <f>COUNTIFS('HR Track 1'!$M$5:$M$407,$A$206,'HR Track 1'!$AW$5:$AW$407,$C206,'HR Track 1'!$AY$5:$AY$407,$D206)</f>
        <v>0</v>
      </c>
      <c r="G206" s="313">
        <f>COUNTIFS('HR Track 2'!$M$5:$M$405,$A$206,'HR Track 2'!$AW$5:$AW$405,$C206,'HR Track 2'!$AY$5:$AY$405,$D206)</f>
        <v>0</v>
      </c>
      <c r="H206" s="313">
        <f>COUNTIFS('HR Track 3 ZIC'!$M$5:$M$74,$A$206,'HR Track 3 ZIC'!$AW$5:$AW$74,$C206,'HR Track 3 ZIC'!$AY$5:$AY$74,$D206)</f>
        <v>0</v>
      </c>
      <c r="I206" s="313">
        <f>COUNTIFS('HR Track 4 ZIC'!$M$5:$M$45,$A$206,'HR Track 4 ZIC'!$AW$5:$AW$45,$C206,'HR Track 4 ZIC'!$AY$5:$AY$45,$D206)</f>
        <v>0</v>
      </c>
      <c r="J206" s="313">
        <f>COUNTIFS('HR Track 4 BIN'!$M$5:$M$45,$A$206,'HR Track 4 BIN'!$AW$5:$AW$45,$C206,'HR Track 4 BIN'!$AY$5:$AY$45,$D206)</f>
        <v>0</v>
      </c>
      <c r="K206" s="314">
        <f>COUNTIFS('HR Track 5 BIN'!$M$5:$M$39,$A$206,'HR Track 5 BIN'!$AW$5:$AW$39,$C206,'HR Track 5 BIN'!$AY$5:$AY$39,$D206)</f>
        <v>0</v>
      </c>
    </row>
    <row r="207" spans="1:11" ht="19.899999999999999" customHeight="1">
      <c r="A207" s="1024"/>
      <c r="B207" s="1013"/>
      <c r="C207" s="153" t="s">
        <v>2408</v>
      </c>
      <c r="D207" s="11" t="str">
        <f>VLOOKUP(B206,Foundation_Calc!$K$4:$R$37,4,FALSE)</f>
        <v>N.D.</v>
      </c>
      <c r="E207" s="7">
        <f t="shared" si="4"/>
        <v>0</v>
      </c>
      <c r="F207" s="7">
        <f>COUNTIFS('HR Track 1'!$M$5:$M$407,$A$206,'HR Track 1'!$AW$5:$AW$407,$C207,'HR Track 1'!$AY$5:$AY$407,$D207)</f>
        <v>0</v>
      </c>
      <c r="G207" s="7">
        <f>COUNTIFS('HR Track 2'!$M$5:$M$405,$A$206,'HR Track 2'!$AW$5:$AW$405,$C207,'HR Track 2'!$AY$5:$AY$405,$D207)</f>
        <v>0</v>
      </c>
      <c r="H207" s="7">
        <f>COUNTIFS('HR Track 3 ZIC'!$M$5:$M$74,$A$206,'HR Track 3 ZIC'!$AW$5:$AW$74,$C207,'HR Track 3 ZIC'!$AY$5:$AY$74,$D207)</f>
        <v>0</v>
      </c>
      <c r="I207" s="7">
        <f>COUNTIFS('HR Track 4 ZIC'!$M$5:$M$45,$A$206,'HR Track 4 ZIC'!$AW$5:$AW$45,$C207,'HR Track 4 ZIC'!$AY$5:$AY$45,$D207)</f>
        <v>0</v>
      </c>
      <c r="J207" s="7">
        <f>COUNTIFS('HR Track 4 BIN'!$M$5:$M$45,$A$206,'HR Track 4 BIN'!$AW$5:$AW$45,$C207,'HR Track 4 BIN'!$AY$5:$AY$45,$D207)</f>
        <v>0</v>
      </c>
      <c r="K207" s="315">
        <f>COUNTIFS('HR Track 5 BIN'!$M$5:$M$39,$A$206,'HR Track 5 BIN'!$AW$5:$AW$39,$C207,'HR Track 5 BIN'!$AY$5:$AY$39,$D207)</f>
        <v>0</v>
      </c>
    </row>
    <row r="208" spans="1:11" ht="19.899999999999999" customHeight="1">
      <c r="A208" s="1024"/>
      <c r="B208" s="1013"/>
      <c r="C208" s="153" t="s">
        <v>2409</v>
      </c>
      <c r="D208" s="11" t="str">
        <f>VLOOKUP(B206,Foundation_Calc!$K$4:$R$37,5,FALSE)</f>
        <v>N.D.</v>
      </c>
      <c r="E208" s="7">
        <f t="shared" si="4"/>
        <v>0</v>
      </c>
      <c r="F208" s="7">
        <f>COUNTIFS('HR Track 1'!$M$5:$M$407,$A$206,'HR Track 1'!$AW$5:$AW$407,$C208,'HR Track 1'!$AY$5:$AY$407,$D208)</f>
        <v>0</v>
      </c>
      <c r="G208" s="7">
        <f>COUNTIFS('HR Track 2'!$M$5:$M$405,$A$206,'HR Track 2'!$AW$5:$AW$405,$C208,'HR Track 2'!$AY$5:$AY$405,$D208)</f>
        <v>0</v>
      </c>
      <c r="H208" s="7">
        <f>COUNTIFS('HR Track 3 ZIC'!$M$5:$M$74,$A$206,'HR Track 3 ZIC'!$AW$5:$AW$74,$C208,'HR Track 3 ZIC'!$AY$5:$AY$74,$D208)</f>
        <v>0</v>
      </c>
      <c r="I208" s="7">
        <f>COUNTIFS('HR Track 4 ZIC'!$M$5:$M$45,$A$206,'HR Track 4 ZIC'!$AW$5:$AW$45,$C208,'HR Track 4 ZIC'!$AY$5:$AY$45,$D208)</f>
        <v>0</v>
      </c>
      <c r="J208" s="7">
        <f>COUNTIFS('HR Track 4 BIN'!$M$5:$M$45,$A$206,'HR Track 4 BIN'!$AW$5:$AW$45,$C208,'HR Track 4 BIN'!$AY$5:$AY$45,$D208)</f>
        <v>0</v>
      </c>
      <c r="K208" s="315">
        <f>COUNTIFS('HR Track 5 BIN'!$M$5:$M$39,$A$206,'HR Track 5 BIN'!$AW$5:$AW$39,$C208,'HR Track 5 BIN'!$AY$5:$AY$39,$D208)</f>
        <v>0</v>
      </c>
    </row>
    <row r="209" spans="1:11" ht="19.899999999999999" customHeight="1">
      <c r="A209" s="1024"/>
      <c r="B209" s="1013"/>
      <c r="C209" s="153" t="s">
        <v>2280</v>
      </c>
      <c r="D209" s="11" t="str">
        <f>VLOOKUP(B206,Foundation_Calc!$K$4:$R$37,6,FALSE)</f>
        <v>N.D.</v>
      </c>
      <c r="E209" s="7">
        <f t="shared" si="4"/>
        <v>0</v>
      </c>
      <c r="F209" s="7">
        <f>COUNTIFS('HR Track 1'!$M$5:$M$407,$A$206,'HR Track 1'!$AW$5:$AW$407,$C209,'HR Track 1'!$AY$5:$AY$407,$D209)</f>
        <v>0</v>
      </c>
      <c r="G209" s="7">
        <f>COUNTIFS('HR Track 2'!$M$5:$M$405,$A$206,'HR Track 2'!$AW$5:$AW$405,$C209,'HR Track 2'!$AY$5:$AY$405,$D209)</f>
        <v>0</v>
      </c>
      <c r="H209" s="7">
        <f>COUNTIFS('HR Track 3 ZIC'!$M$5:$M$74,$A$206,'HR Track 3 ZIC'!$AW$5:$AW$74,$C209,'HR Track 3 ZIC'!$AY$5:$AY$74,$D209)</f>
        <v>0</v>
      </c>
      <c r="I209" s="7">
        <f>COUNTIFS('HR Track 4 ZIC'!$M$5:$M$45,$A$206,'HR Track 4 ZIC'!$AW$5:$AW$45,$C209,'HR Track 4 ZIC'!$AY$5:$AY$45,$D209)</f>
        <v>0</v>
      </c>
      <c r="J209" s="7">
        <f>COUNTIFS('HR Track 4 BIN'!$M$5:$M$45,$A$206,'HR Track 4 BIN'!$AW$5:$AW$45,$C209,'HR Track 4 BIN'!$AY$5:$AY$45,$D209)</f>
        <v>0</v>
      </c>
      <c r="K209" s="315">
        <f>COUNTIFS('HR Track 5 BIN'!$M$5:$M$39,$A$206,'HR Track 5 BIN'!$AW$5:$AW$39,$C209,'HR Track 5 BIN'!$AY$5:$AY$39,$D209)</f>
        <v>0</v>
      </c>
    </row>
    <row r="210" spans="1:11" ht="19.899999999999999" customHeight="1">
      <c r="A210" s="1024"/>
      <c r="B210" s="1013"/>
      <c r="C210" s="153" t="s">
        <v>2281</v>
      </c>
      <c r="D210" s="11" t="str">
        <f>VLOOKUP(B206,Foundation_Calc!$K$4:$R$37,7,FALSE)</f>
        <v>N.D.</v>
      </c>
      <c r="E210" s="7">
        <f t="shared" si="4"/>
        <v>0</v>
      </c>
      <c r="F210" s="7">
        <f>COUNTIFS('HR Track 1'!$M$5:$M$407,$A$206,'HR Track 1'!$AW$5:$AW$407,$C210,'HR Track 1'!$AY$5:$AY$407,$D210)</f>
        <v>0</v>
      </c>
      <c r="G210" s="7">
        <f>COUNTIFS('HR Track 2'!$M$5:$M$405,$A$206,'HR Track 2'!$AW$5:$AW$405,$C210,'HR Track 2'!$AY$5:$AY$405,$D210)</f>
        <v>0</v>
      </c>
      <c r="H210" s="7">
        <f>COUNTIFS('HR Track 3 ZIC'!$M$5:$M$74,$A$206,'HR Track 3 ZIC'!$AW$5:$AW$74,$C210,'HR Track 3 ZIC'!$AY$5:$AY$74,$D210)</f>
        <v>0</v>
      </c>
      <c r="I210" s="7">
        <f>COUNTIFS('HR Track 4 ZIC'!$M$5:$M$45,$A$206,'HR Track 4 ZIC'!$AW$5:$AW$45,$C210,'HR Track 4 ZIC'!$AY$5:$AY$45,$D210)</f>
        <v>0</v>
      </c>
      <c r="J210" s="7">
        <f>COUNTIFS('HR Track 4 BIN'!$M$5:$M$45,$A$206,'HR Track 4 BIN'!$AW$5:$AW$45,$C210,'HR Track 4 BIN'!$AY$5:$AY$45,$D210)</f>
        <v>0</v>
      </c>
      <c r="K210" s="315">
        <f>COUNTIFS('HR Track 5 BIN'!$M$5:$M$39,$A$206,'HR Track 5 BIN'!$AW$5:$AW$39,$C210,'HR Track 5 BIN'!$AY$5:$AY$39,$D210)</f>
        <v>0</v>
      </c>
    </row>
    <row r="211" spans="1:11" ht="19.899999999999999" customHeight="1" thickBot="1">
      <c r="A211" s="1025"/>
      <c r="B211" s="1014"/>
      <c r="C211" s="316" t="s">
        <v>2282</v>
      </c>
      <c r="D211" s="317" t="str">
        <f>VLOOKUP(B206,Foundation_Calc!$K$4:$R$37,8,FALSE)</f>
        <v>N.D.</v>
      </c>
      <c r="E211" s="318">
        <f t="shared" si="4"/>
        <v>0</v>
      </c>
      <c r="F211" s="318">
        <f>COUNTIFS('HR Track 1'!$M$5:$M$407,$A$206,'HR Track 1'!$AW$5:$AW$407,$C211,'HR Track 1'!$AY$5:$AY$407,$D211)</f>
        <v>0</v>
      </c>
      <c r="G211" s="318">
        <f>COUNTIFS('HR Track 2'!$M$5:$M$405,$A$206,'HR Track 2'!$AW$5:$AW$405,$C211,'HR Track 2'!$AY$5:$AY$405,$D211)</f>
        <v>0</v>
      </c>
      <c r="H211" s="318">
        <f>COUNTIFS('HR Track 3 ZIC'!$M$5:$M$74,$A$206,'HR Track 3 ZIC'!$AW$5:$AW$74,$C211,'HR Track 3 ZIC'!$AY$5:$AY$74,$D211)</f>
        <v>0</v>
      </c>
      <c r="I211" s="318">
        <f>COUNTIFS('HR Track 4 ZIC'!$M$5:$M$45,$A$206,'HR Track 4 ZIC'!$AW$5:$AW$45,$C211,'HR Track 4 ZIC'!$AY$5:$AY$45,$D211)</f>
        <v>0</v>
      </c>
      <c r="J211" s="318">
        <f>COUNTIFS('HR Track 4 BIN'!$M$5:$M$45,$A$206,'HR Track 4 BIN'!$AW$5:$AW$45,$C211,'HR Track 4 BIN'!$AY$5:$AY$45,$D211)</f>
        <v>0</v>
      </c>
      <c r="K211" s="319">
        <f>COUNTIFS('HR Track 5 BIN'!$M$5:$M$39,$A$206,'HR Track 5 BIN'!$AW$5:$AW$39,$C211,'HR Track 5 BIN'!$AY$5:$AY$39,$D211)</f>
        <v>0</v>
      </c>
    </row>
    <row r="212" spans="1:11" ht="19.899999999999999" customHeight="1">
      <c r="A212" s="1108" t="s">
        <v>2383</v>
      </c>
      <c r="B212" s="1111" t="s">
        <v>247</v>
      </c>
      <c r="C212" s="311" t="s">
        <v>2407</v>
      </c>
      <c r="D212" s="320" t="str">
        <f>VLOOKUP(B212,Foundation_Calc!$K$41:$R$74,3,FALSE)</f>
        <v>N.D.</v>
      </c>
      <c r="E212" s="313">
        <f t="shared" si="4"/>
        <v>0</v>
      </c>
      <c r="F212" s="313">
        <f>COUNTIFS('HR Track 1'!$M$5:$M$407,$A$212,'HR Track 1'!$AW$5:$AW$407,$C212,'HR Track 1'!$AY$5:$AY$407,$D212)</f>
        <v>0</v>
      </c>
      <c r="G212" s="313">
        <f>COUNTIFS('HR Track 2'!$M$5:$M$405,$A$212,'HR Track 2'!$AW$5:$AW$405,$C212,'HR Track 2'!$AY$5:$AY$405,$D212)</f>
        <v>0</v>
      </c>
      <c r="H212" s="313">
        <f>COUNTIFS('HR Track 3 ZIC'!$M$5:$M$74,$A$212,'HR Track 3 ZIC'!$AW$5:$AW$74,$C212,'HR Track 3 ZIC'!$AY$5:$AY$74,$D212)</f>
        <v>0</v>
      </c>
      <c r="I212" s="313">
        <f>COUNTIFS('HR Track 4 ZIC'!$M$5:$M$45,$A$212,'HR Track 4 ZIC'!$AW$5:$AW$45,$C212,'HR Track 4 ZIC'!$AY$5:$AY$45,$D212)</f>
        <v>0</v>
      </c>
      <c r="J212" s="313">
        <f>COUNTIFS('HR Track 4 BIN'!$M$5:$M$45,$A$212,'HR Track 4 BIN'!$AW$5:$AW$45,$C212,'HR Track 4 BIN'!$AY$5:$AY$45,$D212)</f>
        <v>0</v>
      </c>
      <c r="K212" s="314">
        <f>COUNTIFS('HR Track 5 BIN'!$M$5:$M$39,$A$212,'HR Track 5 BIN'!$AW$5:$AW$39,$C212,'HR Track 5 BIN'!$AY$5:$AY$39,$D212)</f>
        <v>0</v>
      </c>
    </row>
    <row r="213" spans="1:11" ht="19.899999999999999" customHeight="1">
      <c r="A213" s="1109"/>
      <c r="B213" s="1112"/>
      <c r="C213" s="153" t="s">
        <v>2408</v>
      </c>
      <c r="D213" s="291" t="str">
        <f>VLOOKUP(B212,Foundation_Calc!$K$41:$R$74,4,FALSE)</f>
        <v>N.D.</v>
      </c>
      <c r="E213" s="7">
        <f t="shared" si="4"/>
        <v>0</v>
      </c>
      <c r="F213" s="7">
        <f>COUNTIFS('HR Track 1'!$M$5:$M$407,$A$212,'HR Track 1'!$AW$5:$AW$407,$C213,'HR Track 1'!$AY$5:$AY$407,$D213)</f>
        <v>0</v>
      </c>
      <c r="G213" s="7">
        <f>COUNTIFS('HR Track 2'!$M$5:$M$405,$A$212,'HR Track 2'!$AW$5:$AW$405,$C213,'HR Track 2'!$AY$5:$AY$405,$D213)</f>
        <v>0</v>
      </c>
      <c r="H213" s="7">
        <f>COUNTIFS('HR Track 3 ZIC'!$M$5:$M$74,$A$212,'HR Track 3 ZIC'!$AW$5:$AW$74,$C213,'HR Track 3 ZIC'!$AY$5:$AY$74,$D213)</f>
        <v>0</v>
      </c>
      <c r="I213" s="7">
        <f>COUNTIFS('HR Track 4 ZIC'!$M$5:$M$45,$A$212,'HR Track 4 ZIC'!$AW$5:$AW$45,$C213,'HR Track 4 ZIC'!$AY$5:$AY$45,$D213)</f>
        <v>0</v>
      </c>
      <c r="J213" s="7">
        <f>COUNTIFS('HR Track 4 BIN'!$M$5:$M$45,$A$212,'HR Track 4 BIN'!$AW$5:$AW$45,$C213,'HR Track 4 BIN'!$AY$5:$AY$45,$D213)</f>
        <v>0</v>
      </c>
      <c r="K213" s="315">
        <f>COUNTIFS('HR Track 5 BIN'!$M$5:$M$39,$A$212,'HR Track 5 BIN'!$AW$5:$AW$39,$C213,'HR Track 5 BIN'!$AY$5:$AY$39,$D213)</f>
        <v>0</v>
      </c>
    </row>
    <row r="214" spans="1:11" ht="19.899999999999999" customHeight="1">
      <c r="A214" s="1109"/>
      <c r="B214" s="1112"/>
      <c r="C214" s="153" t="s">
        <v>2409</v>
      </c>
      <c r="D214" s="291" t="str">
        <f>VLOOKUP(B212,Foundation_Calc!$K$41:$R$74,5,FALSE)</f>
        <v>N.D.</v>
      </c>
      <c r="E214" s="7">
        <f t="shared" si="4"/>
        <v>0</v>
      </c>
      <c r="F214" s="7">
        <f>COUNTIFS('HR Track 1'!$M$5:$M$407,$A$212,'HR Track 1'!$AW$5:$AW$407,$C214,'HR Track 1'!$AY$5:$AY$407,$D214)</f>
        <v>0</v>
      </c>
      <c r="G214" s="7">
        <f>COUNTIFS('HR Track 2'!$M$5:$M$405,$A$212,'HR Track 2'!$AW$5:$AW$405,$C214,'HR Track 2'!$AY$5:$AY$405,$D214)</f>
        <v>0</v>
      </c>
      <c r="H214" s="7">
        <f>COUNTIFS('HR Track 3 ZIC'!$M$5:$M$74,$A$212,'HR Track 3 ZIC'!$AW$5:$AW$74,$C214,'HR Track 3 ZIC'!$AY$5:$AY$74,$D214)</f>
        <v>0</v>
      </c>
      <c r="I214" s="7">
        <f>COUNTIFS('HR Track 4 ZIC'!$M$5:$M$45,$A$212,'HR Track 4 ZIC'!$AW$5:$AW$45,$C214,'HR Track 4 ZIC'!$AY$5:$AY$45,$D214)</f>
        <v>0</v>
      </c>
      <c r="J214" s="7">
        <f>COUNTIFS('HR Track 4 BIN'!$M$5:$M$45,$A$212,'HR Track 4 BIN'!$AW$5:$AW$45,$C214,'HR Track 4 BIN'!$AY$5:$AY$45,$D214)</f>
        <v>0</v>
      </c>
      <c r="K214" s="315">
        <f>COUNTIFS('HR Track 5 BIN'!$M$5:$M$39,$A$212,'HR Track 5 BIN'!$AW$5:$AW$39,$C214,'HR Track 5 BIN'!$AY$5:$AY$39,$D214)</f>
        <v>0</v>
      </c>
    </row>
    <row r="215" spans="1:11" ht="19.899999999999999" customHeight="1">
      <c r="A215" s="1109"/>
      <c r="B215" s="1112"/>
      <c r="C215" s="153" t="s">
        <v>2280</v>
      </c>
      <c r="D215" s="291" t="str">
        <f>VLOOKUP(B212,Foundation_Calc!$K$41:$R$74,6,FALSE)</f>
        <v>N.D.</v>
      </c>
      <c r="E215" s="7">
        <f t="shared" si="4"/>
        <v>0</v>
      </c>
      <c r="F215" s="7">
        <f>COUNTIFS('HR Track 1'!$M$5:$M$407,$A$212,'HR Track 1'!$AW$5:$AW$407,$C215,'HR Track 1'!$AY$5:$AY$407,$D215)</f>
        <v>0</v>
      </c>
      <c r="G215" s="7">
        <f>COUNTIFS('HR Track 2'!$M$5:$M$405,$A$212,'HR Track 2'!$AW$5:$AW$405,$C215,'HR Track 2'!$AY$5:$AY$405,$D215)</f>
        <v>0</v>
      </c>
      <c r="H215" s="7">
        <f>COUNTIFS('HR Track 3 ZIC'!$M$5:$M$74,$A$212,'HR Track 3 ZIC'!$AW$5:$AW$74,$C215,'HR Track 3 ZIC'!$AY$5:$AY$74,$D215)</f>
        <v>0</v>
      </c>
      <c r="I215" s="7">
        <f>COUNTIFS('HR Track 4 ZIC'!$M$5:$M$45,$A$212,'HR Track 4 ZIC'!$AW$5:$AW$45,$C215,'HR Track 4 ZIC'!$AY$5:$AY$45,$D215)</f>
        <v>0</v>
      </c>
      <c r="J215" s="7">
        <f>COUNTIFS('HR Track 4 BIN'!$M$5:$M$45,$A$212,'HR Track 4 BIN'!$AW$5:$AW$45,$C215,'HR Track 4 BIN'!$AY$5:$AY$45,$D215)</f>
        <v>0</v>
      </c>
      <c r="K215" s="315">
        <f>COUNTIFS('HR Track 5 BIN'!$M$5:$M$39,$A$212,'HR Track 5 BIN'!$AW$5:$AW$39,$C215,'HR Track 5 BIN'!$AY$5:$AY$39,$D215)</f>
        <v>0</v>
      </c>
    </row>
    <row r="216" spans="1:11" ht="19.899999999999999" customHeight="1">
      <c r="A216" s="1109"/>
      <c r="B216" s="1112"/>
      <c r="C216" s="153" t="s">
        <v>2281</v>
      </c>
      <c r="D216" s="291" t="str">
        <f>VLOOKUP(B212,Foundation_Calc!$K$41:$R$74,7,FALSE)</f>
        <v>N.D.</v>
      </c>
      <c r="E216" s="7">
        <f t="shared" si="4"/>
        <v>0</v>
      </c>
      <c r="F216" s="7">
        <f>COUNTIFS('HR Track 1'!$M$5:$M$407,$A$212,'HR Track 1'!$AW$5:$AW$407,$C216,'HR Track 1'!$AY$5:$AY$407,$D216)</f>
        <v>0</v>
      </c>
      <c r="G216" s="7">
        <f>COUNTIFS('HR Track 2'!$M$5:$M$405,$A$212,'HR Track 2'!$AW$5:$AW$405,$C216,'HR Track 2'!$AY$5:$AY$405,$D216)</f>
        <v>0</v>
      </c>
      <c r="H216" s="7">
        <f>COUNTIFS('HR Track 3 ZIC'!$M$5:$M$74,$A$212,'HR Track 3 ZIC'!$AW$5:$AW$74,$C216,'HR Track 3 ZIC'!$AY$5:$AY$74,$D216)</f>
        <v>0</v>
      </c>
      <c r="I216" s="7">
        <f>COUNTIFS('HR Track 4 ZIC'!$M$5:$M$45,$A$212,'HR Track 4 ZIC'!$AW$5:$AW$45,$C216,'HR Track 4 ZIC'!$AY$5:$AY$45,$D216)</f>
        <v>0</v>
      </c>
      <c r="J216" s="7">
        <f>COUNTIFS('HR Track 4 BIN'!$M$5:$M$45,$A$212,'HR Track 4 BIN'!$AW$5:$AW$45,$C216,'HR Track 4 BIN'!$AY$5:$AY$45,$D216)</f>
        <v>0</v>
      </c>
      <c r="K216" s="315">
        <f>COUNTIFS('HR Track 5 BIN'!$M$5:$M$39,$A$212,'HR Track 5 BIN'!$AW$5:$AW$39,$C216,'HR Track 5 BIN'!$AY$5:$AY$39,$D216)</f>
        <v>0</v>
      </c>
    </row>
    <row r="217" spans="1:11" ht="19.899999999999999" customHeight="1" thickBot="1">
      <c r="A217" s="1110"/>
      <c r="B217" s="1113"/>
      <c r="C217" s="316" t="s">
        <v>2282</v>
      </c>
      <c r="D217" s="321" t="str">
        <f>VLOOKUP(B212,Foundation_Calc!$K$41:$R$74,8,FALSE)</f>
        <v>N.D.</v>
      </c>
      <c r="E217" s="318">
        <f t="shared" si="4"/>
        <v>0</v>
      </c>
      <c r="F217" s="318">
        <f>COUNTIFS('HR Track 1'!$M$5:$M$407,$A$212,'HR Track 1'!$AW$5:$AW$407,$C217,'HR Track 1'!$AY$5:$AY$407,$D217)</f>
        <v>0</v>
      </c>
      <c r="G217" s="318">
        <f>COUNTIFS('HR Track 2'!$M$5:$M$405,$A$212,'HR Track 2'!$AW$5:$AW$405,$C217,'HR Track 2'!$AY$5:$AY$405,$D217)</f>
        <v>0</v>
      </c>
      <c r="H217" s="318">
        <f>COUNTIFS('HR Track 3 ZIC'!$M$5:$M$74,$A$212,'HR Track 3 ZIC'!$AW$5:$AW$74,$C217,'HR Track 3 ZIC'!$AY$5:$AY$74,$D217)</f>
        <v>0</v>
      </c>
      <c r="I217" s="318">
        <f>COUNTIFS('HR Track 4 ZIC'!$M$5:$M$45,$A$212,'HR Track 4 ZIC'!$AW$5:$AW$45,$C217,'HR Track 4 ZIC'!$AY$5:$AY$45,$D217)</f>
        <v>0</v>
      </c>
      <c r="J217" s="318">
        <f>COUNTIFS('HR Track 4 BIN'!$M$5:$M$45,$A$212,'HR Track 4 BIN'!$AW$5:$AW$45,$C217,'HR Track 4 BIN'!$AY$5:$AY$45,$D217)</f>
        <v>0</v>
      </c>
      <c r="K217" s="319">
        <f>COUNTIFS('HR Track 5 BIN'!$M$5:$M$39,$A$212,'HR Track 5 BIN'!$AW$5:$AW$39,$C217,'HR Track 5 BIN'!$AY$5:$AY$39,$D217)</f>
        <v>0</v>
      </c>
    </row>
    <row r="218" spans="1:11" ht="19.899999999999999" customHeight="1">
      <c r="A218" s="1114" t="s">
        <v>2368</v>
      </c>
      <c r="B218" s="1115" t="s">
        <v>2048</v>
      </c>
      <c r="C218" s="311" t="s">
        <v>2407</v>
      </c>
      <c r="D218" s="312" t="str">
        <f>VLOOKUP(B218,Foundation_Calc!$K$4:$R$37,3,FALSE)</f>
        <v>N.D.</v>
      </c>
      <c r="E218" s="313">
        <f t="shared" si="4"/>
        <v>0</v>
      </c>
      <c r="F218" s="313">
        <f>COUNTIFS('HR Track 1'!$M$5:$M$407,$A$218,'HR Track 1'!$AW$5:$AW$407,$C218,'HR Track 1'!$AY$5:$AY$407,$D218)</f>
        <v>0</v>
      </c>
      <c r="G218" s="313">
        <f>COUNTIFS('HR Track 2'!$M$5:$M$405,$A$218,'HR Track 2'!$AW$5:$AW$405,$C218,'HR Track 2'!$AY$5:$AY$405,$D218)</f>
        <v>0</v>
      </c>
      <c r="H218" s="313">
        <f>COUNTIFS('HR Track 3 ZIC'!$M$5:$M$74,$A$218,'HR Track 3 ZIC'!$AW$5:$AW$74,$C218,'HR Track 3 ZIC'!$AY$5:$AY$74,$D218)</f>
        <v>0</v>
      </c>
      <c r="I218" s="313">
        <f>COUNTIFS('HR Track 4 ZIC'!$M$5:$M$45,$A$218,'HR Track 4 ZIC'!$AW$5:$AW$45,$C218,'HR Track 4 ZIC'!$AY$5:$AY$45,$D218)</f>
        <v>0</v>
      </c>
      <c r="J218" s="313">
        <f>COUNTIFS('HR Track 4 BIN'!$M$5:$M$45,$A$218,'HR Track 4 BIN'!$AW$5:$AW$45,$C218,'HR Track 4 BIN'!$AY$5:$AY$45,$D218)</f>
        <v>0</v>
      </c>
      <c r="K218" s="314">
        <f>COUNTIFS('HR Track 5 BIN'!$M$5:$M$39,$A$218,'HR Track 5 BIN'!$AW$5:$AW$39,$C218,'HR Track 5 BIN'!$AY$5:$AY$39,$D218)</f>
        <v>0</v>
      </c>
    </row>
    <row r="219" spans="1:11" ht="19.899999999999999" customHeight="1">
      <c r="A219" s="1024"/>
      <c r="B219" s="1013"/>
      <c r="C219" s="153" t="s">
        <v>2408</v>
      </c>
      <c r="D219" s="11" t="str">
        <f>VLOOKUP(B218,Foundation_Calc!$K$4:$R$37,4,FALSE)</f>
        <v>N.D.</v>
      </c>
      <c r="E219" s="7">
        <f t="shared" si="4"/>
        <v>0</v>
      </c>
      <c r="F219" s="7">
        <f>COUNTIFS('HR Track 1'!$M$5:$M$407,$A$218,'HR Track 1'!$AW$5:$AW$407,$C219,'HR Track 1'!$AY$5:$AY$407,$D219)</f>
        <v>0</v>
      </c>
      <c r="G219" s="7">
        <f>COUNTIFS('HR Track 2'!$M$5:$M$405,$A$218,'HR Track 2'!$AW$5:$AW$405,$C219,'HR Track 2'!$AY$5:$AY$405,$D219)</f>
        <v>0</v>
      </c>
      <c r="H219" s="7">
        <f>COUNTIFS('HR Track 3 ZIC'!$M$5:$M$74,$A$218,'HR Track 3 ZIC'!$AW$5:$AW$74,$C219,'HR Track 3 ZIC'!$AY$5:$AY$74,$D219)</f>
        <v>0</v>
      </c>
      <c r="I219" s="7">
        <f>COUNTIFS('HR Track 4 ZIC'!$M$5:$M$45,$A$218,'HR Track 4 ZIC'!$AW$5:$AW$45,$C219,'HR Track 4 ZIC'!$AY$5:$AY$45,$D219)</f>
        <v>0</v>
      </c>
      <c r="J219" s="7">
        <f>COUNTIFS('HR Track 4 BIN'!$M$5:$M$45,$A$218,'HR Track 4 BIN'!$AW$5:$AW$45,$C219,'HR Track 4 BIN'!$AY$5:$AY$45,$D219)</f>
        <v>0</v>
      </c>
      <c r="K219" s="315">
        <f>COUNTIFS('HR Track 5 BIN'!$M$5:$M$39,$A$218,'HR Track 5 BIN'!$AW$5:$AW$39,$C219,'HR Track 5 BIN'!$AY$5:$AY$39,$D219)</f>
        <v>0</v>
      </c>
    </row>
    <row r="220" spans="1:11" ht="19.899999999999999" customHeight="1">
      <c r="A220" s="1024"/>
      <c r="B220" s="1013"/>
      <c r="C220" s="153" t="s">
        <v>2409</v>
      </c>
      <c r="D220" s="11" t="str">
        <f>VLOOKUP(B218,Foundation_Calc!$K$4:$R$37,5,FALSE)</f>
        <v>N.D.</v>
      </c>
      <c r="E220" s="7">
        <f t="shared" si="4"/>
        <v>0</v>
      </c>
      <c r="F220" s="7">
        <f>COUNTIFS('HR Track 1'!$M$5:$M$407,$A$218,'HR Track 1'!$AW$5:$AW$407,$C220,'HR Track 1'!$AY$5:$AY$407,$D220)</f>
        <v>0</v>
      </c>
      <c r="G220" s="7">
        <f>COUNTIFS('HR Track 2'!$M$5:$M$405,$A$218,'HR Track 2'!$AW$5:$AW$405,$C220,'HR Track 2'!$AY$5:$AY$405,$D220)</f>
        <v>0</v>
      </c>
      <c r="H220" s="7">
        <f>COUNTIFS('HR Track 3 ZIC'!$M$5:$M$74,$A$218,'HR Track 3 ZIC'!$AW$5:$AW$74,$C220,'HR Track 3 ZIC'!$AY$5:$AY$74,$D220)</f>
        <v>0</v>
      </c>
      <c r="I220" s="7">
        <f>COUNTIFS('HR Track 4 ZIC'!$M$5:$M$45,$A$218,'HR Track 4 ZIC'!$AW$5:$AW$45,$C220,'HR Track 4 ZIC'!$AY$5:$AY$45,$D220)</f>
        <v>0</v>
      </c>
      <c r="J220" s="7">
        <f>COUNTIFS('HR Track 4 BIN'!$M$5:$M$45,$A$218,'HR Track 4 BIN'!$AW$5:$AW$45,$C220,'HR Track 4 BIN'!$AY$5:$AY$45,$D220)</f>
        <v>0</v>
      </c>
      <c r="K220" s="315">
        <f>COUNTIFS('HR Track 5 BIN'!$M$5:$M$39,$A$218,'HR Track 5 BIN'!$AW$5:$AW$39,$C220,'HR Track 5 BIN'!$AY$5:$AY$39,$D220)</f>
        <v>0</v>
      </c>
    </row>
    <row r="221" spans="1:11" ht="19.899999999999999" customHeight="1">
      <c r="A221" s="1024"/>
      <c r="B221" s="1013"/>
      <c r="C221" s="153" t="s">
        <v>2280</v>
      </c>
      <c r="D221" s="11" t="str">
        <f>VLOOKUP(B218,Foundation_Calc!$K$4:$R$37,6,FALSE)</f>
        <v>N.D.</v>
      </c>
      <c r="E221" s="7">
        <f t="shared" si="4"/>
        <v>0</v>
      </c>
      <c r="F221" s="7">
        <f>COUNTIFS('HR Track 1'!$M$5:$M$407,$A$218,'HR Track 1'!$AW$5:$AW$407,$C221,'HR Track 1'!$AY$5:$AY$407,$D221)</f>
        <v>0</v>
      </c>
      <c r="G221" s="7">
        <f>COUNTIFS('HR Track 2'!$M$5:$M$405,$A$218,'HR Track 2'!$AW$5:$AW$405,$C221,'HR Track 2'!$AY$5:$AY$405,$D221)</f>
        <v>0</v>
      </c>
      <c r="H221" s="7">
        <f>COUNTIFS('HR Track 3 ZIC'!$M$5:$M$74,$A$218,'HR Track 3 ZIC'!$AW$5:$AW$74,$C221,'HR Track 3 ZIC'!$AY$5:$AY$74,$D221)</f>
        <v>0</v>
      </c>
      <c r="I221" s="7">
        <f>COUNTIFS('HR Track 4 ZIC'!$M$5:$M$45,$A$218,'HR Track 4 ZIC'!$AW$5:$AW$45,$C221,'HR Track 4 ZIC'!$AY$5:$AY$45,$D221)</f>
        <v>0</v>
      </c>
      <c r="J221" s="7">
        <f>COUNTIFS('HR Track 4 BIN'!$M$5:$M$45,$A$218,'HR Track 4 BIN'!$AW$5:$AW$45,$C221,'HR Track 4 BIN'!$AY$5:$AY$45,$D221)</f>
        <v>0</v>
      </c>
      <c r="K221" s="315">
        <f>COUNTIFS('HR Track 5 BIN'!$M$5:$M$39,$A$218,'HR Track 5 BIN'!$AW$5:$AW$39,$C221,'HR Track 5 BIN'!$AY$5:$AY$39,$D221)</f>
        <v>0</v>
      </c>
    </row>
    <row r="222" spans="1:11" ht="19.899999999999999" customHeight="1">
      <c r="A222" s="1024"/>
      <c r="B222" s="1013"/>
      <c r="C222" s="153" t="s">
        <v>2281</v>
      </c>
      <c r="D222" s="11" t="str">
        <f>VLOOKUP(B218,Foundation_Calc!$K$4:$R$37,7,FALSE)</f>
        <v>N.D.</v>
      </c>
      <c r="E222" s="7">
        <f t="shared" si="4"/>
        <v>0</v>
      </c>
      <c r="F222" s="7">
        <f>COUNTIFS('HR Track 1'!$M$5:$M$407,$A$218,'HR Track 1'!$AW$5:$AW$407,$C222,'HR Track 1'!$AY$5:$AY$407,$D222)</f>
        <v>0</v>
      </c>
      <c r="G222" s="7">
        <f>COUNTIFS('HR Track 2'!$M$5:$M$405,$A$218,'HR Track 2'!$AW$5:$AW$405,$C222,'HR Track 2'!$AY$5:$AY$405,$D222)</f>
        <v>0</v>
      </c>
      <c r="H222" s="7">
        <f>COUNTIFS('HR Track 3 ZIC'!$M$5:$M$74,$A$218,'HR Track 3 ZIC'!$AW$5:$AW$74,$C222,'HR Track 3 ZIC'!$AY$5:$AY$74,$D222)</f>
        <v>0</v>
      </c>
      <c r="I222" s="7">
        <f>COUNTIFS('HR Track 4 ZIC'!$M$5:$M$45,$A$218,'HR Track 4 ZIC'!$AW$5:$AW$45,$C222,'HR Track 4 ZIC'!$AY$5:$AY$45,$D222)</f>
        <v>0</v>
      </c>
      <c r="J222" s="7">
        <f>COUNTIFS('HR Track 4 BIN'!$M$5:$M$45,$A$218,'HR Track 4 BIN'!$AW$5:$AW$45,$C222,'HR Track 4 BIN'!$AY$5:$AY$45,$D222)</f>
        <v>0</v>
      </c>
      <c r="K222" s="315">
        <f>COUNTIFS('HR Track 5 BIN'!$M$5:$M$39,$A$218,'HR Track 5 BIN'!$AW$5:$AW$39,$C222,'HR Track 5 BIN'!$AY$5:$AY$39,$D222)</f>
        <v>0</v>
      </c>
    </row>
    <row r="223" spans="1:11" ht="19.899999999999999" customHeight="1" thickBot="1">
      <c r="A223" s="1025"/>
      <c r="B223" s="1014"/>
      <c r="C223" s="316" t="s">
        <v>2282</v>
      </c>
      <c r="D223" s="317" t="str">
        <f>VLOOKUP(B218,Foundation_Calc!$K$4:$R$37,8,FALSE)</f>
        <v>N.D.</v>
      </c>
      <c r="E223" s="318">
        <f t="shared" si="4"/>
        <v>0</v>
      </c>
      <c r="F223" s="318">
        <f>COUNTIFS('HR Track 1'!$M$5:$M$407,$A$218,'HR Track 1'!$AW$5:$AW$407,$C223,'HR Track 1'!$AY$5:$AY$407,$D223)</f>
        <v>0</v>
      </c>
      <c r="G223" s="318">
        <f>COUNTIFS('HR Track 2'!$M$5:$M$405,$A$218,'HR Track 2'!$AW$5:$AW$405,$C223,'HR Track 2'!$AY$5:$AY$405,$D223)</f>
        <v>0</v>
      </c>
      <c r="H223" s="318">
        <f>COUNTIFS('HR Track 3 ZIC'!$M$5:$M$74,$A$218,'HR Track 3 ZIC'!$AW$5:$AW$74,$C223,'HR Track 3 ZIC'!$AY$5:$AY$74,$D223)</f>
        <v>0</v>
      </c>
      <c r="I223" s="318">
        <f>COUNTIFS('HR Track 4 ZIC'!$M$5:$M$45,$A$218,'HR Track 4 ZIC'!$AW$5:$AW$45,$C223,'HR Track 4 ZIC'!$AY$5:$AY$45,$D223)</f>
        <v>0</v>
      </c>
      <c r="J223" s="318">
        <f>COUNTIFS('HR Track 4 BIN'!$M$5:$M$45,$A$218,'HR Track 4 BIN'!$AW$5:$AW$45,$C223,'HR Track 4 BIN'!$AY$5:$AY$45,$D223)</f>
        <v>0</v>
      </c>
      <c r="K223" s="319">
        <f>COUNTIFS('HR Track 5 BIN'!$M$5:$M$39,$A$218,'HR Track 5 BIN'!$AW$5:$AW$39,$C223,'HR Track 5 BIN'!$AY$5:$AY$39,$D223)</f>
        <v>0</v>
      </c>
    </row>
    <row r="224" spans="1:11" ht="19.899999999999999" customHeight="1">
      <c r="A224" s="1108" t="s">
        <v>2384</v>
      </c>
      <c r="B224" s="1111" t="s">
        <v>2048</v>
      </c>
      <c r="C224" s="311" t="s">
        <v>2407</v>
      </c>
      <c r="D224" s="320" t="str">
        <f>VLOOKUP(B224,Foundation_Calc!$K$41:$R$74,3,FALSE)</f>
        <v>N.D.</v>
      </c>
      <c r="E224" s="313">
        <f t="shared" si="4"/>
        <v>0</v>
      </c>
      <c r="F224" s="313">
        <f>COUNTIFS('HR Track 1'!$M$5:$M$407,$A$224,'HR Track 1'!$AW$5:$AW$407,$C224,'HR Track 1'!$AY$5:$AY$407,$D224)</f>
        <v>0</v>
      </c>
      <c r="G224" s="313">
        <f>COUNTIFS('HR Track 2'!$M$5:$M$405,$A$224,'HR Track 2'!$AW$5:$AW$405,$C224,'HR Track 2'!$AY$5:$AY$405,$D224)</f>
        <v>0</v>
      </c>
      <c r="H224" s="313">
        <f>COUNTIFS('HR Track 3 ZIC'!$M$5:$M$74,$A$224,'HR Track 3 ZIC'!$AW$5:$AW$74,$C224,'HR Track 3 ZIC'!$AY$5:$AY$74,$D224)</f>
        <v>0</v>
      </c>
      <c r="I224" s="313">
        <f>COUNTIFS('HR Track 4 ZIC'!$M$5:$M$45,$A$224,'HR Track 4 ZIC'!$AW$5:$AW$45,$C224,'HR Track 4 ZIC'!$AY$5:$AY$45,$D224)</f>
        <v>0</v>
      </c>
      <c r="J224" s="313">
        <f>COUNTIFS('HR Track 4 BIN'!$M$5:$M$45,$A$224,'HR Track 4 BIN'!$AW$5:$AW$45,$C224,'HR Track 4 BIN'!$AY$5:$AY$45,$D224)</f>
        <v>0</v>
      </c>
      <c r="K224" s="314">
        <f>COUNTIFS('HR Track 5 BIN'!$M$5:$M$39,$A$224,'HR Track 5 BIN'!$AW$5:$AW$39,$C224,'HR Track 5 BIN'!$AY$5:$AY$39,$D224)</f>
        <v>0</v>
      </c>
    </row>
    <row r="225" spans="1:11" ht="19.899999999999999" customHeight="1">
      <c r="A225" s="1109"/>
      <c r="B225" s="1112"/>
      <c r="C225" s="153" t="s">
        <v>2408</v>
      </c>
      <c r="D225" s="291" t="str">
        <f>VLOOKUP(B224,Foundation_Calc!$K$41:$R$74,4,FALSE)</f>
        <v>N.D.</v>
      </c>
      <c r="E225" s="7">
        <f t="shared" si="4"/>
        <v>0</v>
      </c>
      <c r="F225" s="7">
        <f>COUNTIFS('HR Track 1'!$M$5:$M$407,$A$224,'HR Track 1'!$AW$5:$AW$407,$C225,'HR Track 1'!$AY$5:$AY$407,$D225)</f>
        <v>0</v>
      </c>
      <c r="G225" s="7">
        <f>COUNTIFS('HR Track 2'!$M$5:$M$405,$A$224,'HR Track 2'!$AW$5:$AW$405,$C225,'HR Track 2'!$AY$5:$AY$405,$D225)</f>
        <v>0</v>
      </c>
      <c r="H225" s="7">
        <f>COUNTIFS('HR Track 3 ZIC'!$M$5:$M$74,$A$224,'HR Track 3 ZIC'!$AW$5:$AW$74,$C225,'HR Track 3 ZIC'!$AY$5:$AY$74,$D225)</f>
        <v>0</v>
      </c>
      <c r="I225" s="7">
        <f>COUNTIFS('HR Track 4 ZIC'!$M$5:$M$45,$A$224,'HR Track 4 ZIC'!$AW$5:$AW$45,$C225,'HR Track 4 ZIC'!$AY$5:$AY$45,$D225)</f>
        <v>0</v>
      </c>
      <c r="J225" s="7">
        <f>COUNTIFS('HR Track 4 BIN'!$M$5:$M$45,$A$224,'HR Track 4 BIN'!$AW$5:$AW$45,$C225,'HR Track 4 BIN'!$AY$5:$AY$45,$D225)</f>
        <v>0</v>
      </c>
      <c r="K225" s="315">
        <f>COUNTIFS('HR Track 5 BIN'!$M$5:$M$39,$A$224,'HR Track 5 BIN'!$AW$5:$AW$39,$C225,'HR Track 5 BIN'!$AY$5:$AY$39,$D225)</f>
        <v>0</v>
      </c>
    </row>
    <row r="226" spans="1:11" ht="19.899999999999999" customHeight="1">
      <c r="A226" s="1109"/>
      <c r="B226" s="1112"/>
      <c r="C226" s="153" t="s">
        <v>2409</v>
      </c>
      <c r="D226" s="291" t="str">
        <f>VLOOKUP(B224,Foundation_Calc!$K$41:$R$74,5,FALSE)</f>
        <v>N.D.</v>
      </c>
      <c r="E226" s="7">
        <f t="shared" si="4"/>
        <v>0</v>
      </c>
      <c r="F226" s="7">
        <f>COUNTIFS('HR Track 1'!$M$5:$M$407,$A$224,'HR Track 1'!$AW$5:$AW$407,$C226,'HR Track 1'!$AY$5:$AY$407,$D226)</f>
        <v>0</v>
      </c>
      <c r="G226" s="7">
        <f>COUNTIFS('HR Track 2'!$M$5:$M$405,$A$224,'HR Track 2'!$AW$5:$AW$405,$C226,'HR Track 2'!$AY$5:$AY$405,$D226)</f>
        <v>0</v>
      </c>
      <c r="H226" s="7">
        <f>COUNTIFS('HR Track 3 ZIC'!$M$5:$M$74,$A$224,'HR Track 3 ZIC'!$AW$5:$AW$74,$C226,'HR Track 3 ZIC'!$AY$5:$AY$74,$D226)</f>
        <v>0</v>
      </c>
      <c r="I226" s="7">
        <f>COUNTIFS('HR Track 4 ZIC'!$M$5:$M$45,$A$224,'HR Track 4 ZIC'!$AW$5:$AW$45,$C226,'HR Track 4 ZIC'!$AY$5:$AY$45,$D226)</f>
        <v>0</v>
      </c>
      <c r="J226" s="7">
        <f>COUNTIFS('HR Track 4 BIN'!$M$5:$M$45,$A$224,'HR Track 4 BIN'!$AW$5:$AW$45,$C226,'HR Track 4 BIN'!$AY$5:$AY$45,$D226)</f>
        <v>0</v>
      </c>
      <c r="K226" s="315">
        <f>COUNTIFS('HR Track 5 BIN'!$M$5:$M$39,$A$224,'HR Track 5 BIN'!$AW$5:$AW$39,$C226,'HR Track 5 BIN'!$AY$5:$AY$39,$D226)</f>
        <v>0</v>
      </c>
    </row>
    <row r="227" spans="1:11" ht="19.899999999999999" customHeight="1">
      <c r="A227" s="1109"/>
      <c r="B227" s="1112"/>
      <c r="C227" s="153" t="s">
        <v>2280</v>
      </c>
      <c r="D227" s="291" t="str">
        <f>VLOOKUP(B224,Foundation_Calc!$K$41:$R$74,6,FALSE)</f>
        <v>N.D.</v>
      </c>
      <c r="E227" s="7">
        <f t="shared" si="4"/>
        <v>0</v>
      </c>
      <c r="F227" s="7">
        <f>COUNTIFS('HR Track 1'!$M$5:$M$407,$A$224,'HR Track 1'!$AW$5:$AW$407,$C227,'HR Track 1'!$AY$5:$AY$407,$D227)</f>
        <v>0</v>
      </c>
      <c r="G227" s="7">
        <f>COUNTIFS('HR Track 2'!$M$5:$M$405,$A$224,'HR Track 2'!$AW$5:$AW$405,$C227,'HR Track 2'!$AY$5:$AY$405,$D227)</f>
        <v>0</v>
      </c>
      <c r="H227" s="7">
        <f>COUNTIFS('HR Track 3 ZIC'!$M$5:$M$74,$A$224,'HR Track 3 ZIC'!$AW$5:$AW$74,$C227,'HR Track 3 ZIC'!$AY$5:$AY$74,$D227)</f>
        <v>0</v>
      </c>
      <c r="I227" s="7">
        <f>COUNTIFS('HR Track 4 ZIC'!$M$5:$M$45,$A$224,'HR Track 4 ZIC'!$AW$5:$AW$45,$C227,'HR Track 4 ZIC'!$AY$5:$AY$45,$D227)</f>
        <v>0</v>
      </c>
      <c r="J227" s="7">
        <f>COUNTIFS('HR Track 4 BIN'!$M$5:$M$45,$A$224,'HR Track 4 BIN'!$AW$5:$AW$45,$C227,'HR Track 4 BIN'!$AY$5:$AY$45,$D227)</f>
        <v>0</v>
      </c>
      <c r="K227" s="315">
        <f>COUNTIFS('HR Track 5 BIN'!$M$5:$M$39,$A$224,'HR Track 5 BIN'!$AW$5:$AW$39,$C227,'HR Track 5 BIN'!$AY$5:$AY$39,$D227)</f>
        <v>0</v>
      </c>
    </row>
    <row r="228" spans="1:11" ht="19.899999999999999" customHeight="1">
      <c r="A228" s="1109"/>
      <c r="B228" s="1112"/>
      <c r="C228" s="153" t="s">
        <v>2281</v>
      </c>
      <c r="D228" s="291" t="str">
        <f>VLOOKUP(B224,Foundation_Calc!$K$41:$R$74,7,FALSE)</f>
        <v>N.D.</v>
      </c>
      <c r="E228" s="7">
        <f t="shared" si="4"/>
        <v>0</v>
      </c>
      <c r="F228" s="7">
        <f>COUNTIFS('HR Track 1'!$M$5:$M$407,$A$224,'HR Track 1'!$AW$5:$AW$407,$C228,'HR Track 1'!$AY$5:$AY$407,$D228)</f>
        <v>0</v>
      </c>
      <c r="G228" s="7">
        <f>COUNTIFS('HR Track 2'!$M$5:$M$405,$A$224,'HR Track 2'!$AW$5:$AW$405,$C228,'HR Track 2'!$AY$5:$AY$405,$D228)</f>
        <v>0</v>
      </c>
      <c r="H228" s="7">
        <f>COUNTIFS('HR Track 3 ZIC'!$M$5:$M$74,$A$224,'HR Track 3 ZIC'!$AW$5:$AW$74,$C228,'HR Track 3 ZIC'!$AY$5:$AY$74,$D228)</f>
        <v>0</v>
      </c>
      <c r="I228" s="7">
        <f>COUNTIFS('HR Track 4 ZIC'!$M$5:$M$45,$A$224,'HR Track 4 ZIC'!$AW$5:$AW$45,$C228,'HR Track 4 ZIC'!$AY$5:$AY$45,$D228)</f>
        <v>0</v>
      </c>
      <c r="J228" s="7">
        <f>COUNTIFS('HR Track 4 BIN'!$M$5:$M$45,$A$224,'HR Track 4 BIN'!$AW$5:$AW$45,$C228,'HR Track 4 BIN'!$AY$5:$AY$45,$D228)</f>
        <v>0</v>
      </c>
      <c r="K228" s="315">
        <f>COUNTIFS('HR Track 5 BIN'!$M$5:$M$39,$A$224,'HR Track 5 BIN'!$AW$5:$AW$39,$C228,'HR Track 5 BIN'!$AY$5:$AY$39,$D228)</f>
        <v>0</v>
      </c>
    </row>
    <row r="229" spans="1:11" ht="19.899999999999999" customHeight="1" thickBot="1">
      <c r="A229" s="1110"/>
      <c r="B229" s="1113"/>
      <c r="C229" s="316" t="s">
        <v>2282</v>
      </c>
      <c r="D229" s="321" t="str">
        <f>VLOOKUP(B224,Foundation_Calc!$K$41:$R$74,8,FALSE)</f>
        <v>N.D.</v>
      </c>
      <c r="E229" s="318">
        <f t="shared" si="4"/>
        <v>0</v>
      </c>
      <c r="F229" s="318">
        <f>COUNTIFS('HR Track 1'!$M$5:$M$407,$A$224,'HR Track 1'!$AW$5:$AW$407,$C229,'HR Track 1'!$AY$5:$AY$407,$D229)</f>
        <v>0</v>
      </c>
      <c r="G229" s="318">
        <f>COUNTIFS('HR Track 2'!$M$5:$M$405,$A$224,'HR Track 2'!$AW$5:$AW$405,$C229,'HR Track 2'!$AY$5:$AY$405,$D229)</f>
        <v>0</v>
      </c>
      <c r="H229" s="318">
        <f>COUNTIFS('HR Track 3 ZIC'!$M$5:$M$74,$A$224,'HR Track 3 ZIC'!$AW$5:$AW$74,$C229,'HR Track 3 ZIC'!$AY$5:$AY$74,$D229)</f>
        <v>0</v>
      </c>
      <c r="I229" s="318">
        <f>COUNTIFS('HR Track 4 ZIC'!$M$5:$M$45,$A$224,'HR Track 4 ZIC'!$AW$5:$AW$45,$C229,'HR Track 4 ZIC'!$AY$5:$AY$45,$D229)</f>
        <v>0</v>
      </c>
      <c r="J229" s="318">
        <f>COUNTIFS('HR Track 4 BIN'!$M$5:$M$45,$A$224,'HR Track 4 BIN'!$AW$5:$AW$45,$C229,'HR Track 4 BIN'!$AY$5:$AY$45,$D229)</f>
        <v>0</v>
      </c>
      <c r="K229" s="319">
        <f>COUNTIFS('HR Track 5 BIN'!$M$5:$M$39,$A$224,'HR Track 5 BIN'!$AW$5:$AW$39,$C229,'HR Track 5 BIN'!$AY$5:$AY$39,$D229)</f>
        <v>0</v>
      </c>
    </row>
    <row r="230" spans="1:11" ht="19.899999999999999" customHeight="1">
      <c r="A230" s="1114" t="s">
        <v>2369</v>
      </c>
      <c r="B230" s="1115" t="s">
        <v>183</v>
      </c>
      <c r="C230" s="311" t="s">
        <v>2407</v>
      </c>
      <c r="D230" s="312" t="str">
        <f>VLOOKUP(B230,Foundation_Calc!$K$4:$R$37,3,FALSE)</f>
        <v>N.D.</v>
      </c>
      <c r="E230" s="313">
        <f t="shared" si="4"/>
        <v>0</v>
      </c>
      <c r="F230" s="313">
        <f>COUNTIFS('HR Track 1'!$M$5:$M$407,$A$230,'HR Track 1'!$AW$5:$AW$407,$C230,'HR Track 1'!$AY$5:$AY$407,$D230)</f>
        <v>0</v>
      </c>
      <c r="G230" s="313">
        <f>COUNTIFS('HR Track 2'!$M$5:$M$405,$A$230,'HR Track 2'!$AW$5:$AW$405,$C230,'HR Track 2'!$AY$5:$AY$405,$D230)</f>
        <v>0</v>
      </c>
      <c r="H230" s="313">
        <f>COUNTIFS('HR Track 3 ZIC'!$M$5:$M$74,$A$230,'HR Track 3 ZIC'!$AW$5:$AW$74,$C230,'HR Track 3 ZIC'!$AY$5:$AY$74,$D230)</f>
        <v>0</v>
      </c>
      <c r="I230" s="313">
        <f>COUNTIFS('HR Track 4 ZIC'!$M$5:$M$45,$A$230,'HR Track 4 ZIC'!$AW$5:$AW$45,$C230,'HR Track 4 ZIC'!$AY$5:$AY$45,$D230)</f>
        <v>0</v>
      </c>
      <c r="J230" s="313">
        <f>COUNTIFS('HR Track 4 BIN'!$M$5:$M$45,$A$230,'HR Track 4 BIN'!$AW$5:$AW$45,$C230,'HR Track 4 BIN'!$AY$5:$AY$45,$D230)</f>
        <v>0</v>
      </c>
      <c r="K230" s="314">
        <f>COUNTIFS('HR Track 5 BIN'!$M$5:$M$39,$A$230,'HR Track 5 BIN'!$AW$5:$AW$39,$C230,'HR Track 5 BIN'!$AY$5:$AY$39,$D230)</f>
        <v>0</v>
      </c>
    </row>
    <row r="231" spans="1:11" ht="19.899999999999999" customHeight="1">
      <c r="A231" s="1024"/>
      <c r="B231" s="1013"/>
      <c r="C231" s="153" t="s">
        <v>2408</v>
      </c>
      <c r="D231" s="11" t="str">
        <f>VLOOKUP(B230,Foundation_Calc!$K$4:$R$37,4,FALSE)</f>
        <v>N.D.</v>
      </c>
      <c r="E231" s="7">
        <f t="shared" si="4"/>
        <v>0</v>
      </c>
      <c r="F231" s="7">
        <f>COUNTIFS('HR Track 1'!$M$5:$M$407,$A$230,'HR Track 1'!$AW$5:$AW$407,$C231,'HR Track 1'!$AY$5:$AY$407,$D231)</f>
        <v>0</v>
      </c>
      <c r="G231" s="7">
        <f>COUNTIFS('HR Track 2'!$M$5:$M$405,$A$230,'HR Track 2'!$AW$5:$AW$405,$C231,'HR Track 2'!$AY$5:$AY$405,$D231)</f>
        <v>0</v>
      </c>
      <c r="H231" s="7">
        <f>COUNTIFS('HR Track 3 ZIC'!$M$5:$M$74,$A$230,'HR Track 3 ZIC'!$AW$5:$AW$74,$C231,'HR Track 3 ZIC'!$AY$5:$AY$74,$D231)</f>
        <v>0</v>
      </c>
      <c r="I231" s="7">
        <f>COUNTIFS('HR Track 4 ZIC'!$M$5:$M$45,$A$230,'HR Track 4 ZIC'!$AW$5:$AW$45,$C231,'HR Track 4 ZIC'!$AY$5:$AY$45,$D231)</f>
        <v>0</v>
      </c>
      <c r="J231" s="7">
        <f>COUNTIFS('HR Track 4 BIN'!$M$5:$M$45,$A$230,'HR Track 4 BIN'!$AW$5:$AW$45,$C231,'HR Track 4 BIN'!$AY$5:$AY$45,$D231)</f>
        <v>0</v>
      </c>
      <c r="K231" s="315">
        <f>COUNTIFS('HR Track 5 BIN'!$M$5:$M$39,$A$230,'HR Track 5 BIN'!$AW$5:$AW$39,$C231,'HR Track 5 BIN'!$AY$5:$AY$39,$D231)</f>
        <v>0</v>
      </c>
    </row>
    <row r="232" spans="1:11" ht="19.899999999999999" customHeight="1">
      <c r="A232" s="1024"/>
      <c r="B232" s="1013"/>
      <c r="C232" s="153" t="s">
        <v>2409</v>
      </c>
      <c r="D232" s="11" t="str">
        <f>VLOOKUP(B230,Foundation_Calc!$K$4:$R$37,5,FALSE)</f>
        <v>N.D.</v>
      </c>
      <c r="E232" s="7">
        <f t="shared" si="4"/>
        <v>0</v>
      </c>
      <c r="F232" s="7">
        <f>COUNTIFS('HR Track 1'!$M$5:$M$407,$A$230,'HR Track 1'!$AW$5:$AW$407,$C232,'HR Track 1'!$AY$5:$AY$407,$D232)</f>
        <v>0</v>
      </c>
      <c r="G232" s="7">
        <f>COUNTIFS('HR Track 2'!$M$5:$M$405,$A$230,'HR Track 2'!$AW$5:$AW$405,$C232,'HR Track 2'!$AY$5:$AY$405,$D232)</f>
        <v>0</v>
      </c>
      <c r="H232" s="7">
        <f>COUNTIFS('HR Track 3 ZIC'!$M$5:$M$74,$A$230,'HR Track 3 ZIC'!$AW$5:$AW$74,$C232,'HR Track 3 ZIC'!$AY$5:$AY$74,$D232)</f>
        <v>0</v>
      </c>
      <c r="I232" s="7">
        <f>COUNTIFS('HR Track 4 ZIC'!$M$5:$M$45,$A$230,'HR Track 4 ZIC'!$AW$5:$AW$45,$C232,'HR Track 4 ZIC'!$AY$5:$AY$45,$D232)</f>
        <v>0</v>
      </c>
      <c r="J232" s="7">
        <f>COUNTIFS('HR Track 4 BIN'!$M$5:$M$45,$A$230,'HR Track 4 BIN'!$AW$5:$AW$45,$C232,'HR Track 4 BIN'!$AY$5:$AY$45,$D232)</f>
        <v>0</v>
      </c>
      <c r="K232" s="315">
        <f>COUNTIFS('HR Track 5 BIN'!$M$5:$M$39,$A$230,'HR Track 5 BIN'!$AW$5:$AW$39,$C232,'HR Track 5 BIN'!$AY$5:$AY$39,$D232)</f>
        <v>0</v>
      </c>
    </row>
    <row r="233" spans="1:11" ht="19.899999999999999" customHeight="1">
      <c r="A233" s="1024"/>
      <c r="B233" s="1013"/>
      <c r="C233" s="153" t="s">
        <v>2280</v>
      </c>
      <c r="D233" s="11" t="str">
        <f>VLOOKUP(B230,Foundation_Calc!$K$4:$R$37,6,FALSE)</f>
        <v>N.D.</v>
      </c>
      <c r="E233" s="7">
        <f t="shared" si="4"/>
        <v>0</v>
      </c>
      <c r="F233" s="7">
        <f>COUNTIFS('HR Track 1'!$M$5:$M$407,$A$230,'HR Track 1'!$AW$5:$AW$407,$C233,'HR Track 1'!$AY$5:$AY$407,$D233)</f>
        <v>0</v>
      </c>
      <c r="G233" s="7">
        <f>COUNTIFS('HR Track 2'!$M$5:$M$405,$A$230,'HR Track 2'!$AW$5:$AW$405,$C233,'HR Track 2'!$AY$5:$AY$405,$D233)</f>
        <v>0</v>
      </c>
      <c r="H233" s="7">
        <f>COUNTIFS('HR Track 3 ZIC'!$M$5:$M$74,$A$230,'HR Track 3 ZIC'!$AW$5:$AW$74,$C233,'HR Track 3 ZIC'!$AY$5:$AY$74,$D233)</f>
        <v>0</v>
      </c>
      <c r="I233" s="7">
        <f>COUNTIFS('HR Track 4 ZIC'!$M$5:$M$45,$A$230,'HR Track 4 ZIC'!$AW$5:$AW$45,$C233,'HR Track 4 ZIC'!$AY$5:$AY$45,$D233)</f>
        <v>0</v>
      </c>
      <c r="J233" s="7">
        <f>COUNTIFS('HR Track 4 BIN'!$M$5:$M$45,$A$230,'HR Track 4 BIN'!$AW$5:$AW$45,$C233,'HR Track 4 BIN'!$AY$5:$AY$45,$D233)</f>
        <v>0</v>
      </c>
      <c r="K233" s="315">
        <f>COUNTIFS('HR Track 5 BIN'!$M$5:$M$39,$A$230,'HR Track 5 BIN'!$AW$5:$AW$39,$C233,'HR Track 5 BIN'!$AY$5:$AY$39,$D233)</f>
        <v>0</v>
      </c>
    </row>
    <row r="234" spans="1:11" ht="19.899999999999999" customHeight="1">
      <c r="A234" s="1024"/>
      <c r="B234" s="1013"/>
      <c r="C234" s="153" t="s">
        <v>2281</v>
      </c>
      <c r="D234" s="11" t="str">
        <f>VLOOKUP(B230,Foundation_Calc!$K$4:$R$37,7,FALSE)</f>
        <v>N.D.</v>
      </c>
      <c r="E234" s="7">
        <f t="shared" si="4"/>
        <v>0</v>
      </c>
      <c r="F234" s="7">
        <f>COUNTIFS('HR Track 1'!$M$5:$M$407,$A$230,'HR Track 1'!$AW$5:$AW$407,$C234,'HR Track 1'!$AY$5:$AY$407,$D234)</f>
        <v>0</v>
      </c>
      <c r="G234" s="7">
        <f>COUNTIFS('HR Track 2'!$M$5:$M$405,$A$230,'HR Track 2'!$AW$5:$AW$405,$C234,'HR Track 2'!$AY$5:$AY$405,$D234)</f>
        <v>0</v>
      </c>
      <c r="H234" s="7">
        <f>COUNTIFS('HR Track 3 ZIC'!$M$5:$M$74,$A$230,'HR Track 3 ZIC'!$AW$5:$AW$74,$C234,'HR Track 3 ZIC'!$AY$5:$AY$74,$D234)</f>
        <v>0</v>
      </c>
      <c r="I234" s="7">
        <f>COUNTIFS('HR Track 4 ZIC'!$M$5:$M$45,$A$230,'HR Track 4 ZIC'!$AW$5:$AW$45,$C234,'HR Track 4 ZIC'!$AY$5:$AY$45,$D234)</f>
        <v>0</v>
      </c>
      <c r="J234" s="7">
        <f>COUNTIFS('HR Track 4 BIN'!$M$5:$M$45,$A$230,'HR Track 4 BIN'!$AW$5:$AW$45,$C234,'HR Track 4 BIN'!$AY$5:$AY$45,$D234)</f>
        <v>0</v>
      </c>
      <c r="K234" s="315">
        <f>COUNTIFS('HR Track 5 BIN'!$M$5:$M$39,$A$230,'HR Track 5 BIN'!$AW$5:$AW$39,$C234,'HR Track 5 BIN'!$AY$5:$AY$39,$D234)</f>
        <v>0</v>
      </c>
    </row>
    <row r="235" spans="1:11" ht="19.899999999999999" customHeight="1" thickBot="1">
      <c r="A235" s="1025"/>
      <c r="B235" s="1014"/>
      <c r="C235" s="316" t="s">
        <v>2282</v>
      </c>
      <c r="D235" s="317" t="str">
        <f>VLOOKUP(B230,Foundation_Calc!$K$4:$R$37,8,FALSE)</f>
        <v>N.D.</v>
      </c>
      <c r="E235" s="318">
        <f t="shared" si="4"/>
        <v>0</v>
      </c>
      <c r="F235" s="318">
        <f>COUNTIFS('HR Track 1'!$M$5:$M$407,$A$230,'HR Track 1'!$AW$5:$AW$407,$C235,'HR Track 1'!$AY$5:$AY$407,$D235)</f>
        <v>0</v>
      </c>
      <c r="G235" s="318">
        <f>COUNTIFS('HR Track 2'!$M$5:$M$405,$A$230,'HR Track 2'!$AW$5:$AW$405,$C235,'HR Track 2'!$AY$5:$AY$405,$D235)</f>
        <v>0</v>
      </c>
      <c r="H235" s="318">
        <f>COUNTIFS('HR Track 3 ZIC'!$M$5:$M$74,$A$230,'HR Track 3 ZIC'!$AW$5:$AW$74,$C235,'HR Track 3 ZIC'!$AY$5:$AY$74,$D235)</f>
        <v>0</v>
      </c>
      <c r="I235" s="318">
        <f>COUNTIFS('HR Track 4 ZIC'!$M$5:$M$45,$A$230,'HR Track 4 ZIC'!$AW$5:$AW$45,$C235,'HR Track 4 ZIC'!$AY$5:$AY$45,$D235)</f>
        <v>0</v>
      </c>
      <c r="J235" s="318">
        <f>COUNTIFS('HR Track 4 BIN'!$M$5:$M$45,$A$230,'HR Track 4 BIN'!$AW$5:$AW$45,$C235,'HR Track 4 BIN'!$AY$5:$AY$45,$D235)</f>
        <v>0</v>
      </c>
      <c r="K235" s="319">
        <f>COUNTIFS('HR Track 5 BIN'!$M$5:$M$39,$A$230,'HR Track 5 BIN'!$AW$5:$AW$39,$C235,'HR Track 5 BIN'!$AY$5:$AY$39,$D235)</f>
        <v>0</v>
      </c>
    </row>
    <row r="236" spans="1:11" ht="19.899999999999999" customHeight="1">
      <c r="A236" s="1108" t="s">
        <v>2385</v>
      </c>
      <c r="B236" s="1111" t="s">
        <v>183</v>
      </c>
      <c r="C236" s="311" t="s">
        <v>2407</v>
      </c>
      <c r="D236" s="320" t="str">
        <f>VLOOKUP(B236,Foundation_Calc!$K$41:$R$74,3,FALSE)</f>
        <v>N.D.</v>
      </c>
      <c r="E236" s="313">
        <f t="shared" si="4"/>
        <v>0</v>
      </c>
      <c r="F236" s="313">
        <f>COUNTIFS('HR Track 1'!$M$5:$M$407,$A$236,'HR Track 1'!$AW$5:$AW$407,$C236,'HR Track 1'!$AY$5:$AY$407,$D236)</f>
        <v>0</v>
      </c>
      <c r="G236" s="313">
        <f>COUNTIFS('HR Track 2'!$M$5:$M$405,$A$236,'HR Track 2'!$AW$5:$AW$405,$C236,'HR Track 2'!$AY$5:$AY$405,$D236)</f>
        <v>0</v>
      </c>
      <c r="H236" s="313">
        <f>COUNTIFS('HR Track 3 ZIC'!$M$5:$M$74,$A$236,'HR Track 3 ZIC'!$AW$5:$AW$74,$C236,'HR Track 3 ZIC'!$AY$5:$AY$74,$D236)</f>
        <v>0</v>
      </c>
      <c r="I236" s="313">
        <f>COUNTIFS('HR Track 4 ZIC'!$M$5:$M$45,$A$236,'HR Track 4 ZIC'!$AW$5:$AW$45,$C236,'HR Track 4 ZIC'!$AY$5:$AY$45,$D236)</f>
        <v>0</v>
      </c>
      <c r="J236" s="313">
        <f>COUNTIFS('HR Track 4 BIN'!$M$5:$M$45,$A$236,'HR Track 4 BIN'!$AW$5:$AW$45,$C236,'HR Track 4 BIN'!$AY$5:$AY$45,$D236)</f>
        <v>0</v>
      </c>
      <c r="K236" s="314">
        <f>COUNTIFS('HR Track 5 BIN'!$M$5:$M$39,$A$236,'HR Track 5 BIN'!$AW$5:$AW$39,$C236,'HR Track 5 BIN'!$AY$5:$AY$39,$D236)</f>
        <v>0</v>
      </c>
    </row>
    <row r="237" spans="1:11" ht="19.899999999999999" customHeight="1">
      <c r="A237" s="1109"/>
      <c r="B237" s="1112"/>
      <c r="C237" s="153" t="s">
        <v>2408</v>
      </c>
      <c r="D237" s="291" t="str">
        <f>VLOOKUP(B236,Foundation_Calc!$K$41:$R$74,4,FALSE)</f>
        <v>N.D.</v>
      </c>
      <c r="E237" s="7">
        <f t="shared" si="4"/>
        <v>0</v>
      </c>
      <c r="F237" s="7">
        <f>COUNTIFS('HR Track 1'!$M$5:$M$407,$A$236,'HR Track 1'!$AW$5:$AW$407,$C237,'HR Track 1'!$AY$5:$AY$407,$D237)</f>
        <v>0</v>
      </c>
      <c r="G237" s="7">
        <f>COUNTIFS('HR Track 2'!$M$5:$M$405,$A$236,'HR Track 2'!$AW$5:$AW$405,$C237,'HR Track 2'!$AY$5:$AY$405,$D237)</f>
        <v>0</v>
      </c>
      <c r="H237" s="7">
        <f>COUNTIFS('HR Track 3 ZIC'!$M$5:$M$74,$A$236,'HR Track 3 ZIC'!$AW$5:$AW$74,$C237,'HR Track 3 ZIC'!$AY$5:$AY$74,$D237)</f>
        <v>0</v>
      </c>
      <c r="I237" s="7">
        <f>COUNTIFS('HR Track 4 ZIC'!$M$5:$M$45,$A$236,'HR Track 4 ZIC'!$AW$5:$AW$45,$C237,'HR Track 4 ZIC'!$AY$5:$AY$45,$D237)</f>
        <v>0</v>
      </c>
      <c r="J237" s="7">
        <f>COUNTIFS('HR Track 4 BIN'!$M$5:$M$45,$A$236,'HR Track 4 BIN'!$AW$5:$AW$45,$C237,'HR Track 4 BIN'!$AY$5:$AY$45,$D237)</f>
        <v>0</v>
      </c>
      <c r="K237" s="315">
        <f>COUNTIFS('HR Track 5 BIN'!$M$5:$M$39,$A$236,'HR Track 5 BIN'!$AW$5:$AW$39,$C237,'HR Track 5 BIN'!$AY$5:$AY$39,$D237)</f>
        <v>0</v>
      </c>
    </row>
    <row r="238" spans="1:11" ht="19.899999999999999" customHeight="1">
      <c r="A238" s="1109"/>
      <c r="B238" s="1112"/>
      <c r="C238" s="153" t="s">
        <v>2409</v>
      </c>
      <c r="D238" s="291" t="str">
        <f>VLOOKUP(B236,Foundation_Calc!$K$41:$R$74,5,FALSE)</f>
        <v>N.D.</v>
      </c>
      <c r="E238" s="7">
        <f t="shared" si="4"/>
        <v>0</v>
      </c>
      <c r="F238" s="7">
        <f>COUNTIFS('HR Track 1'!$M$5:$M$407,$A$236,'HR Track 1'!$AW$5:$AW$407,$C238,'HR Track 1'!$AY$5:$AY$407,$D238)</f>
        <v>0</v>
      </c>
      <c r="G238" s="7">
        <f>COUNTIFS('HR Track 2'!$M$5:$M$405,$A$236,'HR Track 2'!$AW$5:$AW$405,$C238,'HR Track 2'!$AY$5:$AY$405,$D238)</f>
        <v>0</v>
      </c>
      <c r="H238" s="7">
        <f>COUNTIFS('HR Track 3 ZIC'!$M$5:$M$74,$A$236,'HR Track 3 ZIC'!$AW$5:$AW$74,$C238,'HR Track 3 ZIC'!$AY$5:$AY$74,$D238)</f>
        <v>0</v>
      </c>
      <c r="I238" s="7">
        <f>COUNTIFS('HR Track 4 ZIC'!$M$5:$M$45,$A$236,'HR Track 4 ZIC'!$AW$5:$AW$45,$C238,'HR Track 4 ZIC'!$AY$5:$AY$45,$D238)</f>
        <v>0</v>
      </c>
      <c r="J238" s="7">
        <f>COUNTIFS('HR Track 4 BIN'!$M$5:$M$45,$A$236,'HR Track 4 BIN'!$AW$5:$AW$45,$C238,'HR Track 4 BIN'!$AY$5:$AY$45,$D238)</f>
        <v>0</v>
      </c>
      <c r="K238" s="315">
        <f>COUNTIFS('HR Track 5 BIN'!$M$5:$M$39,$A$236,'HR Track 5 BIN'!$AW$5:$AW$39,$C238,'HR Track 5 BIN'!$AY$5:$AY$39,$D238)</f>
        <v>0</v>
      </c>
    </row>
    <row r="239" spans="1:11" ht="19.899999999999999" customHeight="1">
      <c r="A239" s="1109"/>
      <c r="B239" s="1112"/>
      <c r="C239" s="153" t="s">
        <v>2280</v>
      </c>
      <c r="D239" s="291" t="str">
        <f>VLOOKUP(B236,Foundation_Calc!$K$41:$R$74,6,FALSE)</f>
        <v>N.D.</v>
      </c>
      <c r="E239" s="7">
        <f t="shared" si="4"/>
        <v>0</v>
      </c>
      <c r="F239" s="7">
        <f>COUNTIFS('HR Track 1'!$M$5:$M$407,$A$236,'HR Track 1'!$AW$5:$AW$407,$C239,'HR Track 1'!$AY$5:$AY$407,$D239)</f>
        <v>0</v>
      </c>
      <c r="G239" s="7">
        <f>COUNTIFS('HR Track 2'!$M$5:$M$405,$A$236,'HR Track 2'!$AW$5:$AW$405,$C239,'HR Track 2'!$AY$5:$AY$405,$D239)</f>
        <v>0</v>
      </c>
      <c r="H239" s="7">
        <f>COUNTIFS('HR Track 3 ZIC'!$M$5:$M$74,$A$236,'HR Track 3 ZIC'!$AW$5:$AW$74,$C239,'HR Track 3 ZIC'!$AY$5:$AY$74,$D239)</f>
        <v>0</v>
      </c>
      <c r="I239" s="7">
        <f>COUNTIFS('HR Track 4 ZIC'!$M$5:$M$45,$A$236,'HR Track 4 ZIC'!$AW$5:$AW$45,$C239,'HR Track 4 ZIC'!$AY$5:$AY$45,$D239)</f>
        <v>0</v>
      </c>
      <c r="J239" s="7">
        <f>COUNTIFS('HR Track 4 BIN'!$M$5:$M$45,$A$236,'HR Track 4 BIN'!$AW$5:$AW$45,$C239,'HR Track 4 BIN'!$AY$5:$AY$45,$D239)</f>
        <v>0</v>
      </c>
      <c r="K239" s="315">
        <f>COUNTIFS('HR Track 5 BIN'!$M$5:$M$39,$A$236,'HR Track 5 BIN'!$AW$5:$AW$39,$C239,'HR Track 5 BIN'!$AY$5:$AY$39,$D239)</f>
        <v>0</v>
      </c>
    </row>
    <row r="240" spans="1:11" ht="19.899999999999999" customHeight="1">
      <c r="A240" s="1109"/>
      <c r="B240" s="1112"/>
      <c r="C240" s="153" t="s">
        <v>2281</v>
      </c>
      <c r="D240" s="291" t="str">
        <f>VLOOKUP(B236,Foundation_Calc!$K$41:$R$74,7,FALSE)</f>
        <v>N.D.</v>
      </c>
      <c r="E240" s="7">
        <f t="shared" si="4"/>
        <v>0</v>
      </c>
      <c r="F240" s="7">
        <f>COUNTIFS('HR Track 1'!$M$5:$M$407,$A$236,'HR Track 1'!$AW$5:$AW$407,$C240,'HR Track 1'!$AY$5:$AY$407,$D240)</f>
        <v>0</v>
      </c>
      <c r="G240" s="7">
        <f>COUNTIFS('HR Track 2'!$M$5:$M$405,$A$236,'HR Track 2'!$AW$5:$AW$405,$C240,'HR Track 2'!$AY$5:$AY$405,$D240)</f>
        <v>0</v>
      </c>
      <c r="H240" s="7">
        <f>COUNTIFS('HR Track 3 ZIC'!$M$5:$M$74,$A$236,'HR Track 3 ZIC'!$AW$5:$AW$74,$C240,'HR Track 3 ZIC'!$AY$5:$AY$74,$D240)</f>
        <v>0</v>
      </c>
      <c r="I240" s="7">
        <f>COUNTIFS('HR Track 4 ZIC'!$M$5:$M$45,$A$236,'HR Track 4 ZIC'!$AW$5:$AW$45,$C240,'HR Track 4 ZIC'!$AY$5:$AY$45,$D240)</f>
        <v>0</v>
      </c>
      <c r="J240" s="7">
        <f>COUNTIFS('HR Track 4 BIN'!$M$5:$M$45,$A$236,'HR Track 4 BIN'!$AW$5:$AW$45,$C240,'HR Track 4 BIN'!$AY$5:$AY$45,$D240)</f>
        <v>0</v>
      </c>
      <c r="K240" s="315">
        <f>COUNTIFS('HR Track 5 BIN'!$M$5:$M$39,$A$236,'HR Track 5 BIN'!$AW$5:$AW$39,$C240,'HR Track 5 BIN'!$AY$5:$AY$39,$D240)</f>
        <v>0</v>
      </c>
    </row>
    <row r="241" spans="1:11" ht="19.899999999999999" customHeight="1" thickBot="1">
      <c r="A241" s="1110"/>
      <c r="B241" s="1113"/>
      <c r="C241" s="316" t="s">
        <v>2282</v>
      </c>
      <c r="D241" s="321" t="str">
        <f>VLOOKUP(B236,Foundation_Calc!$K$41:$R$74,8,FALSE)</f>
        <v>N.D.</v>
      </c>
      <c r="E241" s="318">
        <f t="shared" si="4"/>
        <v>0</v>
      </c>
      <c r="F241" s="318">
        <f>COUNTIFS('HR Track 1'!$M$5:$M$407,$A$236,'HR Track 1'!$AW$5:$AW$407,$C241,'HR Track 1'!$AY$5:$AY$407,$D241)</f>
        <v>0</v>
      </c>
      <c r="G241" s="318">
        <f>COUNTIFS('HR Track 2'!$M$5:$M$405,$A$236,'HR Track 2'!$AW$5:$AW$405,$C241,'HR Track 2'!$AY$5:$AY$405,$D241)</f>
        <v>0</v>
      </c>
      <c r="H241" s="318">
        <f>COUNTIFS('HR Track 3 ZIC'!$M$5:$M$74,$A$236,'HR Track 3 ZIC'!$AW$5:$AW$74,$C241,'HR Track 3 ZIC'!$AY$5:$AY$74,$D241)</f>
        <v>0</v>
      </c>
      <c r="I241" s="318">
        <f>COUNTIFS('HR Track 4 ZIC'!$M$5:$M$45,$A$236,'HR Track 4 ZIC'!$AW$5:$AW$45,$C241,'HR Track 4 ZIC'!$AY$5:$AY$45,$D241)</f>
        <v>0</v>
      </c>
      <c r="J241" s="318">
        <f>COUNTIFS('HR Track 4 BIN'!$M$5:$M$45,$A$236,'HR Track 4 BIN'!$AW$5:$AW$45,$C241,'HR Track 4 BIN'!$AY$5:$AY$45,$D241)</f>
        <v>0</v>
      </c>
      <c r="K241" s="319">
        <f>COUNTIFS('HR Track 5 BIN'!$M$5:$M$39,$A$236,'HR Track 5 BIN'!$AW$5:$AW$39,$C241,'HR Track 5 BIN'!$AY$5:$AY$39,$D241)</f>
        <v>0</v>
      </c>
    </row>
    <row r="242" spans="1:11" ht="19.899999999999999" customHeight="1">
      <c r="A242" s="1114" t="s">
        <v>2369</v>
      </c>
      <c r="B242" s="1115" t="s">
        <v>298</v>
      </c>
      <c r="C242" s="311" t="s">
        <v>2407</v>
      </c>
      <c r="D242" s="312" t="str">
        <f>VLOOKUP(B242,Foundation_Calc!$K$4:$R$37,3,FALSE)</f>
        <v>N.D.</v>
      </c>
      <c r="E242" s="313">
        <f t="shared" si="4"/>
        <v>0</v>
      </c>
      <c r="F242" s="313">
        <f>COUNTIFS('HR Track 1'!$M$5:$M$407,$A$242,'HR Track 1'!$AW$5:$AW$407,$C242,'HR Track 1'!$AY$5:$AY$407,$D242)</f>
        <v>0</v>
      </c>
      <c r="G242" s="313">
        <f>COUNTIFS('HR Track 2'!$M$5:$M$405,$A$242,'HR Track 2'!$AW$5:$AW$405,$C242,'HR Track 2'!$AY$5:$AY$405,$D242)</f>
        <v>0</v>
      </c>
      <c r="H242" s="313">
        <f>COUNTIFS('HR Track 3 ZIC'!$M$5:$M$74,$A$242,'HR Track 3 ZIC'!$AW$5:$AW$74,$C242,'HR Track 3 ZIC'!$AY$5:$AY$74,$D242)</f>
        <v>0</v>
      </c>
      <c r="I242" s="313">
        <f>COUNTIFS('HR Track 4 ZIC'!$M$5:$M$45,$A$242,'HR Track 4 ZIC'!$AW$5:$AW$45,$C242,'HR Track 4 ZIC'!$AY$5:$AY$45,$D242)</f>
        <v>0</v>
      </c>
      <c r="J242" s="313">
        <f>COUNTIFS('HR Track 4 BIN'!$M$5:$M$45,$A$242,'HR Track 4 BIN'!$AW$5:$AW$45,$C242,'HR Track 4 BIN'!$AY$5:$AY$45,$D242)</f>
        <v>0</v>
      </c>
      <c r="K242" s="314">
        <f>COUNTIFS('HR Track 5 BIN'!$M$5:$M$39,$A$242,'HR Track 5 BIN'!$AW$5:$AW$39,$C242,'HR Track 5 BIN'!$AY$5:$AY$39,$D242)</f>
        <v>0</v>
      </c>
    </row>
    <row r="243" spans="1:11" ht="19.899999999999999" customHeight="1">
      <c r="A243" s="1024"/>
      <c r="B243" s="1013"/>
      <c r="C243" s="153" t="s">
        <v>2408</v>
      </c>
      <c r="D243" s="11" t="str">
        <f>VLOOKUP(B242,Foundation_Calc!$K$4:$R$37,4,FALSE)</f>
        <v>N.D.</v>
      </c>
      <c r="E243" s="7">
        <f t="shared" si="4"/>
        <v>0</v>
      </c>
      <c r="F243" s="7">
        <f>COUNTIFS('HR Track 1'!$M$5:$M$407,$A$242,'HR Track 1'!$AW$5:$AW$407,$C243,'HR Track 1'!$AY$5:$AY$407,$D243)</f>
        <v>0</v>
      </c>
      <c r="G243" s="7">
        <f>COUNTIFS('HR Track 2'!$M$5:$M$405,$A$242,'HR Track 2'!$AW$5:$AW$405,$C243,'HR Track 2'!$AY$5:$AY$405,$D243)</f>
        <v>0</v>
      </c>
      <c r="H243" s="7">
        <f>COUNTIFS('HR Track 3 ZIC'!$M$5:$M$74,$A$242,'HR Track 3 ZIC'!$AW$5:$AW$74,$C243,'HR Track 3 ZIC'!$AY$5:$AY$74,$D243)</f>
        <v>0</v>
      </c>
      <c r="I243" s="7">
        <f>COUNTIFS('HR Track 4 ZIC'!$M$5:$M$45,$A$242,'HR Track 4 ZIC'!$AW$5:$AW$45,$C243,'HR Track 4 ZIC'!$AY$5:$AY$45,$D243)</f>
        <v>0</v>
      </c>
      <c r="J243" s="7">
        <f>COUNTIFS('HR Track 4 BIN'!$M$5:$M$45,$A$242,'HR Track 4 BIN'!$AW$5:$AW$45,$C243,'HR Track 4 BIN'!$AY$5:$AY$45,$D243)</f>
        <v>0</v>
      </c>
      <c r="K243" s="315">
        <f>COUNTIFS('HR Track 5 BIN'!$M$5:$M$39,$A$242,'HR Track 5 BIN'!$AW$5:$AW$39,$C243,'HR Track 5 BIN'!$AY$5:$AY$39,$D243)</f>
        <v>0</v>
      </c>
    </row>
    <row r="244" spans="1:11" ht="19.899999999999999" customHeight="1">
      <c r="A244" s="1024"/>
      <c r="B244" s="1013"/>
      <c r="C244" s="153" t="s">
        <v>2409</v>
      </c>
      <c r="D244" s="11" t="str">
        <f>VLOOKUP(B242,Foundation_Calc!$K$4:$R$37,5,FALSE)</f>
        <v>N.D.</v>
      </c>
      <c r="E244" s="7">
        <f t="shared" si="4"/>
        <v>0</v>
      </c>
      <c r="F244" s="7">
        <f>COUNTIFS('HR Track 1'!$M$5:$M$407,$A$242,'HR Track 1'!$AW$5:$AW$407,$C244,'HR Track 1'!$AY$5:$AY$407,$D244)</f>
        <v>0</v>
      </c>
      <c r="G244" s="7">
        <f>COUNTIFS('HR Track 2'!$M$5:$M$405,$A$242,'HR Track 2'!$AW$5:$AW$405,$C244,'HR Track 2'!$AY$5:$AY$405,$D244)</f>
        <v>0</v>
      </c>
      <c r="H244" s="7">
        <f>COUNTIFS('HR Track 3 ZIC'!$M$5:$M$74,$A$242,'HR Track 3 ZIC'!$AW$5:$AW$74,$C244,'HR Track 3 ZIC'!$AY$5:$AY$74,$D244)</f>
        <v>0</v>
      </c>
      <c r="I244" s="7">
        <f>COUNTIFS('HR Track 4 ZIC'!$M$5:$M$45,$A$242,'HR Track 4 ZIC'!$AW$5:$AW$45,$C244,'HR Track 4 ZIC'!$AY$5:$AY$45,$D244)</f>
        <v>0</v>
      </c>
      <c r="J244" s="7">
        <f>COUNTIFS('HR Track 4 BIN'!$M$5:$M$45,$A$242,'HR Track 4 BIN'!$AW$5:$AW$45,$C244,'HR Track 4 BIN'!$AY$5:$AY$45,$D244)</f>
        <v>0</v>
      </c>
      <c r="K244" s="315">
        <f>COUNTIFS('HR Track 5 BIN'!$M$5:$M$39,$A$242,'HR Track 5 BIN'!$AW$5:$AW$39,$C244,'HR Track 5 BIN'!$AY$5:$AY$39,$D244)</f>
        <v>0</v>
      </c>
    </row>
    <row r="245" spans="1:11" ht="19.899999999999999" customHeight="1">
      <c r="A245" s="1024"/>
      <c r="B245" s="1013"/>
      <c r="C245" s="153" t="s">
        <v>2280</v>
      </c>
      <c r="D245" s="11" t="str">
        <f>VLOOKUP(B242,Foundation_Calc!$K$4:$R$37,6,FALSE)</f>
        <v>N.D.</v>
      </c>
      <c r="E245" s="7">
        <f t="shared" si="4"/>
        <v>0</v>
      </c>
      <c r="F245" s="7">
        <f>COUNTIFS('HR Track 1'!$M$5:$M$407,$A$242,'HR Track 1'!$AW$5:$AW$407,$C245,'HR Track 1'!$AY$5:$AY$407,$D245)</f>
        <v>0</v>
      </c>
      <c r="G245" s="7">
        <f>COUNTIFS('HR Track 2'!$M$5:$M$405,$A$242,'HR Track 2'!$AW$5:$AW$405,$C245,'HR Track 2'!$AY$5:$AY$405,$D245)</f>
        <v>0</v>
      </c>
      <c r="H245" s="7">
        <f>COUNTIFS('HR Track 3 ZIC'!$M$5:$M$74,$A$242,'HR Track 3 ZIC'!$AW$5:$AW$74,$C245,'HR Track 3 ZIC'!$AY$5:$AY$74,$D245)</f>
        <v>0</v>
      </c>
      <c r="I245" s="7">
        <f>COUNTIFS('HR Track 4 ZIC'!$M$5:$M$45,$A$242,'HR Track 4 ZIC'!$AW$5:$AW$45,$C245,'HR Track 4 ZIC'!$AY$5:$AY$45,$D245)</f>
        <v>0</v>
      </c>
      <c r="J245" s="7">
        <f>COUNTIFS('HR Track 4 BIN'!$M$5:$M$45,$A$242,'HR Track 4 BIN'!$AW$5:$AW$45,$C245,'HR Track 4 BIN'!$AY$5:$AY$45,$D245)</f>
        <v>0</v>
      </c>
      <c r="K245" s="315">
        <f>COUNTIFS('HR Track 5 BIN'!$M$5:$M$39,$A$242,'HR Track 5 BIN'!$AW$5:$AW$39,$C245,'HR Track 5 BIN'!$AY$5:$AY$39,$D245)</f>
        <v>0</v>
      </c>
    </row>
    <row r="246" spans="1:11" ht="19.899999999999999" customHeight="1">
      <c r="A246" s="1024"/>
      <c r="B246" s="1013"/>
      <c r="C246" s="153" t="s">
        <v>2281</v>
      </c>
      <c r="D246" s="11" t="str">
        <f>VLOOKUP(B242,Foundation_Calc!$K$4:$R$37,7,FALSE)</f>
        <v>N.D.</v>
      </c>
      <c r="E246" s="7">
        <f t="shared" si="4"/>
        <v>0</v>
      </c>
      <c r="F246" s="7">
        <f>COUNTIFS('HR Track 1'!$M$5:$M$407,$A$242,'HR Track 1'!$AW$5:$AW$407,$C246,'HR Track 1'!$AY$5:$AY$407,$D246)</f>
        <v>0</v>
      </c>
      <c r="G246" s="7">
        <f>COUNTIFS('HR Track 2'!$M$5:$M$405,$A$242,'HR Track 2'!$AW$5:$AW$405,$C246,'HR Track 2'!$AY$5:$AY$405,$D246)</f>
        <v>0</v>
      </c>
      <c r="H246" s="7">
        <f>COUNTIFS('HR Track 3 ZIC'!$M$5:$M$74,$A$242,'HR Track 3 ZIC'!$AW$5:$AW$74,$C246,'HR Track 3 ZIC'!$AY$5:$AY$74,$D246)</f>
        <v>0</v>
      </c>
      <c r="I246" s="7">
        <f>COUNTIFS('HR Track 4 ZIC'!$M$5:$M$45,$A$242,'HR Track 4 ZIC'!$AW$5:$AW$45,$C246,'HR Track 4 ZIC'!$AY$5:$AY$45,$D246)</f>
        <v>0</v>
      </c>
      <c r="J246" s="7">
        <f>COUNTIFS('HR Track 4 BIN'!$M$5:$M$45,$A$242,'HR Track 4 BIN'!$AW$5:$AW$45,$C246,'HR Track 4 BIN'!$AY$5:$AY$45,$D246)</f>
        <v>0</v>
      </c>
      <c r="K246" s="315">
        <f>COUNTIFS('HR Track 5 BIN'!$M$5:$M$39,$A$242,'HR Track 5 BIN'!$AW$5:$AW$39,$C246,'HR Track 5 BIN'!$AY$5:$AY$39,$D246)</f>
        <v>0</v>
      </c>
    </row>
    <row r="247" spans="1:11" ht="19.899999999999999" customHeight="1" thickBot="1">
      <c r="A247" s="1025"/>
      <c r="B247" s="1014"/>
      <c r="C247" s="316" t="s">
        <v>2282</v>
      </c>
      <c r="D247" s="317" t="str">
        <f>VLOOKUP(B242,Foundation_Calc!$K$4:$R$37,8,FALSE)</f>
        <v>N.D.</v>
      </c>
      <c r="E247" s="318">
        <f t="shared" si="4"/>
        <v>0</v>
      </c>
      <c r="F247" s="318">
        <f>COUNTIFS('HR Track 1'!$M$5:$M$407,$A$242,'HR Track 1'!$AW$5:$AW$407,$C247,'HR Track 1'!$AY$5:$AY$407,$D247)</f>
        <v>0</v>
      </c>
      <c r="G247" s="318">
        <f>COUNTIFS('HR Track 2'!$M$5:$M$405,$A$242,'HR Track 2'!$AW$5:$AW$405,$C247,'HR Track 2'!$AY$5:$AY$405,$D247)</f>
        <v>0</v>
      </c>
      <c r="H247" s="318">
        <f>COUNTIFS('HR Track 3 ZIC'!$M$5:$M$74,$A$242,'HR Track 3 ZIC'!$AW$5:$AW$74,$C247,'HR Track 3 ZIC'!$AY$5:$AY$74,$D247)</f>
        <v>0</v>
      </c>
      <c r="I247" s="318">
        <f>COUNTIFS('HR Track 4 ZIC'!$M$5:$M$45,$A$242,'HR Track 4 ZIC'!$AW$5:$AW$45,$C247,'HR Track 4 ZIC'!$AY$5:$AY$45,$D247)</f>
        <v>0</v>
      </c>
      <c r="J247" s="318">
        <f>COUNTIFS('HR Track 4 BIN'!$M$5:$M$45,$A$242,'HR Track 4 BIN'!$AW$5:$AW$45,$C247,'HR Track 4 BIN'!$AY$5:$AY$45,$D247)</f>
        <v>0</v>
      </c>
      <c r="K247" s="319">
        <f>COUNTIFS('HR Track 5 BIN'!$M$5:$M$39,$A$242,'HR Track 5 BIN'!$AW$5:$AW$39,$C247,'HR Track 5 BIN'!$AY$5:$AY$39,$D247)</f>
        <v>0</v>
      </c>
    </row>
    <row r="248" spans="1:11" ht="19.899999999999999" customHeight="1">
      <c r="A248" s="1108" t="s">
        <v>2385</v>
      </c>
      <c r="B248" s="1111" t="s">
        <v>298</v>
      </c>
      <c r="C248" s="311" t="s">
        <v>2407</v>
      </c>
      <c r="D248" s="320" t="str">
        <f>VLOOKUP(B248,Foundation_Calc!$K$41:$R$74,3,FALSE)</f>
        <v>N.D.</v>
      </c>
      <c r="E248" s="313">
        <f t="shared" si="4"/>
        <v>0</v>
      </c>
      <c r="F248" s="313">
        <f>COUNTIFS('HR Track 1'!$M$5:$M$407,$A$248,'HR Track 1'!$AW$5:$AW$407,$C248,'HR Track 1'!$AY$5:$AY$407,$D248)</f>
        <v>0</v>
      </c>
      <c r="G248" s="313">
        <f>COUNTIFS('HR Track 2'!$M$5:$M$405,$A$248,'HR Track 2'!$AW$5:$AW$405,$C248,'HR Track 2'!$AY$5:$AY$405,$D248)</f>
        <v>0</v>
      </c>
      <c r="H248" s="313">
        <f>COUNTIFS('HR Track 3 ZIC'!$M$5:$M$74,$A$248,'HR Track 3 ZIC'!$AW$5:$AW$74,$C248,'HR Track 3 ZIC'!$AY$5:$AY$74,$D248)</f>
        <v>0</v>
      </c>
      <c r="I248" s="313">
        <f>COUNTIFS('HR Track 4 ZIC'!$M$5:$M$45,$A$248,'HR Track 4 ZIC'!$AW$5:$AW$45,$C248,'HR Track 4 ZIC'!$AY$5:$AY$45,$D248)</f>
        <v>0</v>
      </c>
      <c r="J248" s="313">
        <f>COUNTIFS('HR Track 4 BIN'!$M$5:$M$45,$A$248,'HR Track 4 BIN'!$AW$5:$AW$45,$C248,'HR Track 4 BIN'!$AY$5:$AY$45,$D248)</f>
        <v>0</v>
      </c>
      <c r="K248" s="314">
        <f>COUNTIFS('HR Track 5 BIN'!$M$5:$M$39,$A$248,'HR Track 5 BIN'!$AW$5:$AW$39,$C248,'HR Track 5 BIN'!$AY$5:$AY$39,$D248)</f>
        <v>0</v>
      </c>
    </row>
    <row r="249" spans="1:11" ht="19.899999999999999" customHeight="1">
      <c r="A249" s="1109"/>
      <c r="B249" s="1112"/>
      <c r="C249" s="153" t="s">
        <v>2408</v>
      </c>
      <c r="D249" s="291" t="str">
        <f>VLOOKUP(B248,Foundation_Calc!$K$41:$R$74,4,FALSE)</f>
        <v>N.D.</v>
      </c>
      <c r="E249" s="7">
        <f t="shared" si="4"/>
        <v>0</v>
      </c>
      <c r="F249" s="7">
        <f>COUNTIFS('HR Track 1'!$M$5:$M$407,$A$248,'HR Track 1'!$AW$5:$AW$407,$C249,'HR Track 1'!$AY$5:$AY$407,$D249)</f>
        <v>0</v>
      </c>
      <c r="G249" s="7">
        <f>COUNTIFS('HR Track 2'!$M$5:$M$405,$A$248,'HR Track 2'!$AW$5:$AW$405,$C249,'HR Track 2'!$AY$5:$AY$405,$D249)</f>
        <v>0</v>
      </c>
      <c r="H249" s="7">
        <f>COUNTIFS('HR Track 3 ZIC'!$M$5:$M$74,$A$248,'HR Track 3 ZIC'!$AW$5:$AW$74,$C249,'HR Track 3 ZIC'!$AY$5:$AY$74,$D249)</f>
        <v>0</v>
      </c>
      <c r="I249" s="7">
        <f>COUNTIFS('HR Track 4 ZIC'!$M$5:$M$45,$A$248,'HR Track 4 ZIC'!$AW$5:$AW$45,$C249,'HR Track 4 ZIC'!$AY$5:$AY$45,$D249)</f>
        <v>0</v>
      </c>
      <c r="J249" s="7">
        <f>COUNTIFS('HR Track 4 BIN'!$M$5:$M$45,$A$248,'HR Track 4 BIN'!$AW$5:$AW$45,$C249,'HR Track 4 BIN'!$AY$5:$AY$45,$D249)</f>
        <v>0</v>
      </c>
      <c r="K249" s="315">
        <f>COUNTIFS('HR Track 5 BIN'!$M$5:$M$39,$A$248,'HR Track 5 BIN'!$AW$5:$AW$39,$C249,'HR Track 5 BIN'!$AY$5:$AY$39,$D249)</f>
        <v>0</v>
      </c>
    </row>
    <row r="250" spans="1:11" ht="19.899999999999999" customHeight="1">
      <c r="A250" s="1109"/>
      <c r="B250" s="1112"/>
      <c r="C250" s="153" t="s">
        <v>2409</v>
      </c>
      <c r="D250" s="291" t="str">
        <f>VLOOKUP(B248,Foundation_Calc!$K$41:$R$74,5,FALSE)</f>
        <v>N.D.</v>
      </c>
      <c r="E250" s="7">
        <f t="shared" si="4"/>
        <v>0</v>
      </c>
      <c r="F250" s="7">
        <f>COUNTIFS('HR Track 1'!$M$5:$M$407,$A$248,'HR Track 1'!$AW$5:$AW$407,$C250,'HR Track 1'!$AY$5:$AY$407,$D250)</f>
        <v>0</v>
      </c>
      <c r="G250" s="7">
        <f>COUNTIFS('HR Track 2'!$M$5:$M$405,$A$248,'HR Track 2'!$AW$5:$AW$405,$C250,'HR Track 2'!$AY$5:$AY$405,$D250)</f>
        <v>0</v>
      </c>
      <c r="H250" s="7">
        <f>COUNTIFS('HR Track 3 ZIC'!$M$5:$M$74,$A$248,'HR Track 3 ZIC'!$AW$5:$AW$74,$C250,'HR Track 3 ZIC'!$AY$5:$AY$74,$D250)</f>
        <v>0</v>
      </c>
      <c r="I250" s="7">
        <f>COUNTIFS('HR Track 4 ZIC'!$M$5:$M$45,$A$248,'HR Track 4 ZIC'!$AW$5:$AW$45,$C250,'HR Track 4 ZIC'!$AY$5:$AY$45,$D250)</f>
        <v>0</v>
      </c>
      <c r="J250" s="7">
        <f>COUNTIFS('HR Track 4 BIN'!$M$5:$M$45,$A$248,'HR Track 4 BIN'!$AW$5:$AW$45,$C250,'HR Track 4 BIN'!$AY$5:$AY$45,$D250)</f>
        <v>0</v>
      </c>
      <c r="K250" s="315">
        <f>COUNTIFS('HR Track 5 BIN'!$M$5:$M$39,$A$248,'HR Track 5 BIN'!$AW$5:$AW$39,$C250,'HR Track 5 BIN'!$AY$5:$AY$39,$D250)</f>
        <v>0</v>
      </c>
    </row>
    <row r="251" spans="1:11" ht="19.899999999999999" customHeight="1">
      <c r="A251" s="1109"/>
      <c r="B251" s="1112"/>
      <c r="C251" s="153" t="s">
        <v>2280</v>
      </c>
      <c r="D251" s="291" t="str">
        <f>VLOOKUP(B248,Foundation_Calc!$K$41:$R$74,6,FALSE)</f>
        <v>N.D.</v>
      </c>
      <c r="E251" s="7">
        <f t="shared" si="4"/>
        <v>0</v>
      </c>
      <c r="F251" s="7">
        <f>COUNTIFS('HR Track 1'!$M$5:$M$407,$A$248,'HR Track 1'!$AW$5:$AW$407,$C251,'HR Track 1'!$AY$5:$AY$407,$D251)</f>
        <v>0</v>
      </c>
      <c r="G251" s="7">
        <f>COUNTIFS('HR Track 2'!$M$5:$M$405,$A$248,'HR Track 2'!$AW$5:$AW$405,$C251,'HR Track 2'!$AY$5:$AY$405,$D251)</f>
        <v>0</v>
      </c>
      <c r="H251" s="7">
        <f>COUNTIFS('HR Track 3 ZIC'!$M$5:$M$74,$A$248,'HR Track 3 ZIC'!$AW$5:$AW$74,$C251,'HR Track 3 ZIC'!$AY$5:$AY$74,$D251)</f>
        <v>0</v>
      </c>
      <c r="I251" s="7">
        <f>COUNTIFS('HR Track 4 ZIC'!$M$5:$M$45,$A$248,'HR Track 4 ZIC'!$AW$5:$AW$45,$C251,'HR Track 4 ZIC'!$AY$5:$AY$45,$D251)</f>
        <v>0</v>
      </c>
      <c r="J251" s="7">
        <f>COUNTIFS('HR Track 4 BIN'!$M$5:$M$45,$A$248,'HR Track 4 BIN'!$AW$5:$AW$45,$C251,'HR Track 4 BIN'!$AY$5:$AY$45,$D251)</f>
        <v>0</v>
      </c>
      <c r="K251" s="315">
        <f>COUNTIFS('HR Track 5 BIN'!$M$5:$M$39,$A$248,'HR Track 5 BIN'!$AW$5:$AW$39,$C251,'HR Track 5 BIN'!$AY$5:$AY$39,$D251)</f>
        <v>0</v>
      </c>
    </row>
    <row r="252" spans="1:11" ht="19.899999999999999" customHeight="1">
      <c r="A252" s="1109"/>
      <c r="B252" s="1112"/>
      <c r="C252" s="153" t="s">
        <v>2281</v>
      </c>
      <c r="D252" s="291" t="str">
        <f>VLOOKUP(B248,Foundation_Calc!$K$41:$R$74,7,FALSE)</f>
        <v>N.D.</v>
      </c>
      <c r="E252" s="7">
        <f t="shared" si="4"/>
        <v>0</v>
      </c>
      <c r="F252" s="7">
        <f>COUNTIFS('HR Track 1'!$M$5:$M$407,$A$248,'HR Track 1'!$AW$5:$AW$407,$C252,'HR Track 1'!$AY$5:$AY$407,$D252)</f>
        <v>0</v>
      </c>
      <c r="G252" s="7">
        <f>COUNTIFS('HR Track 2'!$M$5:$M$405,$A$248,'HR Track 2'!$AW$5:$AW$405,$C252,'HR Track 2'!$AY$5:$AY$405,$D252)</f>
        <v>0</v>
      </c>
      <c r="H252" s="7">
        <f>COUNTIFS('HR Track 3 ZIC'!$M$5:$M$74,$A$248,'HR Track 3 ZIC'!$AW$5:$AW$74,$C252,'HR Track 3 ZIC'!$AY$5:$AY$74,$D252)</f>
        <v>0</v>
      </c>
      <c r="I252" s="7">
        <f>COUNTIFS('HR Track 4 ZIC'!$M$5:$M$45,$A$248,'HR Track 4 ZIC'!$AW$5:$AW$45,$C252,'HR Track 4 ZIC'!$AY$5:$AY$45,$D252)</f>
        <v>0</v>
      </c>
      <c r="J252" s="7">
        <f>COUNTIFS('HR Track 4 BIN'!$M$5:$M$45,$A$248,'HR Track 4 BIN'!$AW$5:$AW$45,$C252,'HR Track 4 BIN'!$AY$5:$AY$45,$D252)</f>
        <v>0</v>
      </c>
      <c r="K252" s="315">
        <f>COUNTIFS('HR Track 5 BIN'!$M$5:$M$39,$A$248,'HR Track 5 BIN'!$AW$5:$AW$39,$C252,'HR Track 5 BIN'!$AY$5:$AY$39,$D252)</f>
        <v>0</v>
      </c>
    </row>
    <row r="253" spans="1:11" ht="19.899999999999999" customHeight="1" thickBot="1">
      <c r="A253" s="1110"/>
      <c r="B253" s="1113"/>
      <c r="C253" s="316" t="s">
        <v>2282</v>
      </c>
      <c r="D253" s="321" t="str">
        <f>VLOOKUP(B248,Foundation_Calc!$K$41:$R$74,8,FALSE)</f>
        <v>N.D.</v>
      </c>
      <c r="E253" s="318">
        <f t="shared" si="4"/>
        <v>0</v>
      </c>
      <c r="F253" s="318">
        <f>COUNTIFS('HR Track 1'!$M$5:$M$407,$A$248,'HR Track 1'!$AW$5:$AW$407,$C253,'HR Track 1'!$AY$5:$AY$407,$D253)</f>
        <v>0</v>
      </c>
      <c r="G253" s="318">
        <f>COUNTIFS('HR Track 2'!$M$5:$M$405,$A$248,'HR Track 2'!$AW$5:$AW$405,$C253,'HR Track 2'!$AY$5:$AY$405,$D253)</f>
        <v>0</v>
      </c>
      <c r="H253" s="318">
        <f>COUNTIFS('HR Track 3 ZIC'!$M$5:$M$74,$A$248,'HR Track 3 ZIC'!$AW$5:$AW$74,$C253,'HR Track 3 ZIC'!$AY$5:$AY$74,$D253)</f>
        <v>0</v>
      </c>
      <c r="I253" s="318">
        <f>COUNTIFS('HR Track 4 ZIC'!$M$5:$M$45,$A$248,'HR Track 4 ZIC'!$AW$5:$AW$45,$C253,'HR Track 4 ZIC'!$AY$5:$AY$45,$D253)</f>
        <v>0</v>
      </c>
      <c r="J253" s="318">
        <f>COUNTIFS('HR Track 4 BIN'!$M$5:$M$45,$A$248,'HR Track 4 BIN'!$AW$5:$AW$45,$C253,'HR Track 4 BIN'!$AY$5:$AY$45,$D253)</f>
        <v>0</v>
      </c>
      <c r="K253" s="319">
        <f>COUNTIFS('HR Track 5 BIN'!$M$5:$M$39,$A$248,'HR Track 5 BIN'!$AW$5:$AW$39,$C253,'HR Track 5 BIN'!$AY$5:$AY$39,$D253)</f>
        <v>0</v>
      </c>
    </row>
    <row r="254" spans="1:11" ht="19.899999999999999" customHeight="1">
      <c r="A254" s="1114" t="s">
        <v>2363</v>
      </c>
      <c r="B254" s="1115" t="s">
        <v>250</v>
      </c>
      <c r="C254" s="311" t="s">
        <v>2407</v>
      </c>
      <c r="D254" s="312" t="str">
        <f>VLOOKUP(B254,Foundation_Calc!$K$4:$R$37,3,FALSE)</f>
        <v>N.D.</v>
      </c>
      <c r="E254" s="313">
        <f t="shared" si="4"/>
        <v>0</v>
      </c>
      <c r="F254" s="313">
        <f>COUNTIFS('HR Track 1'!$M$5:$M$407,$A$254,'HR Track 1'!$AW$5:$AW$407,$C254,'HR Track 1'!$AY$5:$AY$407,$D254)</f>
        <v>0</v>
      </c>
      <c r="G254" s="313">
        <f>COUNTIFS('HR Track 2'!$M$5:$M$405,$A$254,'HR Track 2'!$AW$5:$AW$405,$C254,'HR Track 2'!$AY$5:$AY$405,$D254)</f>
        <v>0</v>
      </c>
      <c r="H254" s="313">
        <f>COUNTIFS('HR Track 3 ZIC'!$M$5:$M$74,$A$254,'HR Track 3 ZIC'!$AW$5:$AW$74,$C254,'HR Track 3 ZIC'!$AY$5:$AY$74,$D254)</f>
        <v>0</v>
      </c>
      <c r="I254" s="313">
        <f>COUNTIFS('HR Track 4 ZIC'!$M$5:$M$45,$A$254,'HR Track 4 ZIC'!$AW$5:$AW$45,$C254,'HR Track 4 ZIC'!$AY$5:$AY$45,$D254)</f>
        <v>0</v>
      </c>
      <c r="J254" s="313">
        <f>COUNTIFS('HR Track 4 BIN'!$M$5:$M$45,$A$254,'HR Track 4 BIN'!$AW$5:$AW$45,$C254,'HR Track 4 BIN'!$AY$5:$AY$45,$D254)</f>
        <v>0</v>
      </c>
      <c r="K254" s="314">
        <f>COUNTIFS('HR Track 5 BIN'!$M$5:$M$39,$A$254,'HR Track 5 BIN'!$AW$5:$AW$39,$C254,'HR Track 5 BIN'!$AY$5:$AY$39,$D254)</f>
        <v>0</v>
      </c>
    </row>
    <row r="255" spans="1:11" ht="19.899999999999999" customHeight="1">
      <c r="A255" s="1024"/>
      <c r="B255" s="1013"/>
      <c r="C255" s="153" t="s">
        <v>2408</v>
      </c>
      <c r="D255" s="11" t="str">
        <f>VLOOKUP(B254,Foundation_Calc!$K$4:$R$37,4,FALSE)</f>
        <v>N.D.</v>
      </c>
      <c r="E255" s="7">
        <f t="shared" si="4"/>
        <v>0</v>
      </c>
      <c r="F255" s="7">
        <f>COUNTIFS('HR Track 1'!$M$5:$M$407,$A$254,'HR Track 1'!$AW$5:$AW$407,$C255,'HR Track 1'!$AY$5:$AY$407,$D255)</f>
        <v>0</v>
      </c>
      <c r="G255" s="7">
        <f>COUNTIFS('HR Track 2'!$M$5:$M$405,$A$254,'HR Track 2'!$AW$5:$AW$405,$C255,'HR Track 2'!$AY$5:$AY$405,$D255)</f>
        <v>0</v>
      </c>
      <c r="H255" s="7">
        <f>COUNTIFS('HR Track 3 ZIC'!$M$5:$M$74,$A$254,'HR Track 3 ZIC'!$AW$5:$AW$74,$C255,'HR Track 3 ZIC'!$AY$5:$AY$74,$D255)</f>
        <v>0</v>
      </c>
      <c r="I255" s="7">
        <f>COUNTIFS('HR Track 4 ZIC'!$M$5:$M$45,$A$254,'HR Track 4 ZIC'!$AW$5:$AW$45,$C255,'HR Track 4 ZIC'!$AY$5:$AY$45,$D255)</f>
        <v>0</v>
      </c>
      <c r="J255" s="7">
        <f>COUNTIFS('HR Track 4 BIN'!$M$5:$M$45,$A$254,'HR Track 4 BIN'!$AW$5:$AW$45,$C255,'HR Track 4 BIN'!$AY$5:$AY$45,$D255)</f>
        <v>0</v>
      </c>
      <c r="K255" s="315">
        <f>COUNTIFS('HR Track 5 BIN'!$M$5:$M$39,$A$254,'HR Track 5 BIN'!$AW$5:$AW$39,$C255,'HR Track 5 BIN'!$AY$5:$AY$39,$D255)</f>
        <v>0</v>
      </c>
    </row>
    <row r="256" spans="1:11" ht="19.899999999999999" customHeight="1">
      <c r="A256" s="1024"/>
      <c r="B256" s="1013"/>
      <c r="C256" s="153" t="s">
        <v>2409</v>
      </c>
      <c r="D256" s="11" t="str">
        <f>VLOOKUP(B254,Foundation_Calc!$K$4:$R$37,5,FALSE)</f>
        <v>N.D.</v>
      </c>
      <c r="E256" s="7">
        <f t="shared" si="4"/>
        <v>0</v>
      </c>
      <c r="F256" s="7">
        <f>COUNTIFS('HR Track 1'!$M$5:$M$407,$A$254,'HR Track 1'!$AW$5:$AW$407,$C256,'HR Track 1'!$AY$5:$AY$407,$D256)</f>
        <v>0</v>
      </c>
      <c r="G256" s="7">
        <f>COUNTIFS('HR Track 2'!$M$5:$M$405,$A$254,'HR Track 2'!$AW$5:$AW$405,$C256,'HR Track 2'!$AY$5:$AY$405,$D256)</f>
        <v>0</v>
      </c>
      <c r="H256" s="7">
        <f>COUNTIFS('HR Track 3 ZIC'!$M$5:$M$74,$A$254,'HR Track 3 ZIC'!$AW$5:$AW$74,$C256,'HR Track 3 ZIC'!$AY$5:$AY$74,$D256)</f>
        <v>0</v>
      </c>
      <c r="I256" s="7">
        <f>COUNTIFS('HR Track 4 ZIC'!$M$5:$M$45,$A$254,'HR Track 4 ZIC'!$AW$5:$AW$45,$C256,'HR Track 4 ZIC'!$AY$5:$AY$45,$D256)</f>
        <v>0</v>
      </c>
      <c r="J256" s="7">
        <f>COUNTIFS('HR Track 4 BIN'!$M$5:$M$45,$A$254,'HR Track 4 BIN'!$AW$5:$AW$45,$C256,'HR Track 4 BIN'!$AY$5:$AY$45,$D256)</f>
        <v>0</v>
      </c>
      <c r="K256" s="315">
        <f>COUNTIFS('HR Track 5 BIN'!$M$5:$M$39,$A$254,'HR Track 5 BIN'!$AW$5:$AW$39,$C256,'HR Track 5 BIN'!$AY$5:$AY$39,$D256)</f>
        <v>0</v>
      </c>
    </row>
    <row r="257" spans="1:11" ht="19.899999999999999" customHeight="1">
      <c r="A257" s="1024"/>
      <c r="B257" s="1013"/>
      <c r="C257" s="153" t="s">
        <v>2280</v>
      </c>
      <c r="D257" s="11" t="str">
        <f>VLOOKUP(B254,Foundation_Calc!$K$4:$R$37,6,FALSE)</f>
        <v>N.D.</v>
      </c>
      <c r="E257" s="7">
        <f t="shared" si="4"/>
        <v>0</v>
      </c>
      <c r="F257" s="7">
        <f>COUNTIFS('HR Track 1'!$M$5:$M$407,$A$254,'HR Track 1'!$AW$5:$AW$407,$C257,'HR Track 1'!$AY$5:$AY$407,$D257)</f>
        <v>0</v>
      </c>
      <c r="G257" s="7">
        <f>COUNTIFS('HR Track 2'!$M$5:$M$405,$A$254,'HR Track 2'!$AW$5:$AW$405,$C257,'HR Track 2'!$AY$5:$AY$405,$D257)</f>
        <v>0</v>
      </c>
      <c r="H257" s="7">
        <f>COUNTIFS('HR Track 3 ZIC'!$M$5:$M$74,$A$254,'HR Track 3 ZIC'!$AW$5:$AW$74,$C257,'HR Track 3 ZIC'!$AY$5:$AY$74,$D257)</f>
        <v>0</v>
      </c>
      <c r="I257" s="7">
        <f>COUNTIFS('HR Track 4 ZIC'!$M$5:$M$45,$A$254,'HR Track 4 ZIC'!$AW$5:$AW$45,$C257,'HR Track 4 ZIC'!$AY$5:$AY$45,$D257)</f>
        <v>0</v>
      </c>
      <c r="J257" s="7">
        <f>COUNTIFS('HR Track 4 BIN'!$M$5:$M$45,$A$254,'HR Track 4 BIN'!$AW$5:$AW$45,$C257,'HR Track 4 BIN'!$AY$5:$AY$45,$D257)</f>
        <v>0</v>
      </c>
      <c r="K257" s="315">
        <f>COUNTIFS('HR Track 5 BIN'!$M$5:$M$39,$A$254,'HR Track 5 BIN'!$AW$5:$AW$39,$C257,'HR Track 5 BIN'!$AY$5:$AY$39,$D257)</f>
        <v>0</v>
      </c>
    </row>
    <row r="258" spans="1:11" ht="19.899999999999999" customHeight="1">
      <c r="A258" s="1024"/>
      <c r="B258" s="1013"/>
      <c r="C258" s="153" t="s">
        <v>2281</v>
      </c>
      <c r="D258" s="11" t="str">
        <f>VLOOKUP(B254,Foundation_Calc!$K$4:$R$37,7,FALSE)</f>
        <v>N.D.</v>
      </c>
      <c r="E258" s="7">
        <f t="shared" si="4"/>
        <v>0</v>
      </c>
      <c r="F258" s="7">
        <f>COUNTIFS('HR Track 1'!$M$5:$M$407,$A$254,'HR Track 1'!$AW$5:$AW$407,$C258,'HR Track 1'!$AY$5:$AY$407,$D258)</f>
        <v>0</v>
      </c>
      <c r="G258" s="7">
        <f>COUNTIFS('HR Track 2'!$M$5:$M$405,$A$254,'HR Track 2'!$AW$5:$AW$405,$C258,'HR Track 2'!$AY$5:$AY$405,$D258)</f>
        <v>0</v>
      </c>
      <c r="H258" s="7">
        <f>COUNTIFS('HR Track 3 ZIC'!$M$5:$M$74,$A$254,'HR Track 3 ZIC'!$AW$5:$AW$74,$C258,'HR Track 3 ZIC'!$AY$5:$AY$74,$D258)</f>
        <v>0</v>
      </c>
      <c r="I258" s="7">
        <f>COUNTIFS('HR Track 4 ZIC'!$M$5:$M$45,$A$254,'HR Track 4 ZIC'!$AW$5:$AW$45,$C258,'HR Track 4 ZIC'!$AY$5:$AY$45,$D258)</f>
        <v>0</v>
      </c>
      <c r="J258" s="7">
        <f>COUNTIFS('HR Track 4 BIN'!$M$5:$M$45,$A$254,'HR Track 4 BIN'!$AW$5:$AW$45,$C258,'HR Track 4 BIN'!$AY$5:$AY$45,$D258)</f>
        <v>0</v>
      </c>
      <c r="K258" s="315">
        <f>COUNTIFS('HR Track 5 BIN'!$M$5:$M$39,$A$254,'HR Track 5 BIN'!$AW$5:$AW$39,$C258,'HR Track 5 BIN'!$AY$5:$AY$39,$D258)</f>
        <v>0</v>
      </c>
    </row>
    <row r="259" spans="1:11" ht="19.899999999999999" customHeight="1" thickBot="1">
      <c r="A259" s="1025"/>
      <c r="B259" s="1014"/>
      <c r="C259" s="316" t="s">
        <v>2282</v>
      </c>
      <c r="D259" s="317" t="str">
        <f>VLOOKUP(B254,Foundation_Calc!$K$4:$R$37,8,FALSE)</f>
        <v>N.D.</v>
      </c>
      <c r="E259" s="318">
        <f t="shared" ref="E259:E322" si="5">SUM(F259:K259)</f>
        <v>0</v>
      </c>
      <c r="F259" s="318">
        <f>COUNTIFS('HR Track 1'!$M$5:$M$407,$A$254,'HR Track 1'!$AW$5:$AW$407,$C259,'HR Track 1'!$AY$5:$AY$407,$D259)</f>
        <v>0</v>
      </c>
      <c r="G259" s="318">
        <f>COUNTIFS('HR Track 2'!$M$5:$M$405,$A$254,'HR Track 2'!$AW$5:$AW$405,$C259,'HR Track 2'!$AY$5:$AY$405,$D259)</f>
        <v>0</v>
      </c>
      <c r="H259" s="318">
        <f>COUNTIFS('HR Track 3 ZIC'!$M$5:$M$74,$A$254,'HR Track 3 ZIC'!$AW$5:$AW$74,$C259,'HR Track 3 ZIC'!$AY$5:$AY$74,$D259)</f>
        <v>0</v>
      </c>
      <c r="I259" s="318">
        <f>COUNTIFS('HR Track 4 ZIC'!$M$5:$M$45,$A$254,'HR Track 4 ZIC'!$AW$5:$AW$45,$C259,'HR Track 4 ZIC'!$AY$5:$AY$45,$D259)</f>
        <v>0</v>
      </c>
      <c r="J259" s="318">
        <f>COUNTIFS('HR Track 4 BIN'!$M$5:$M$45,$A$254,'HR Track 4 BIN'!$AW$5:$AW$45,$C259,'HR Track 4 BIN'!$AY$5:$AY$45,$D259)</f>
        <v>0</v>
      </c>
      <c r="K259" s="319">
        <f>COUNTIFS('HR Track 5 BIN'!$M$5:$M$39,$A$254,'HR Track 5 BIN'!$AW$5:$AW$39,$C259,'HR Track 5 BIN'!$AY$5:$AY$39,$D259)</f>
        <v>0</v>
      </c>
    </row>
    <row r="260" spans="1:11" ht="19.899999999999999" customHeight="1">
      <c r="A260" s="1108" t="s">
        <v>2379</v>
      </c>
      <c r="B260" s="1111" t="s">
        <v>250</v>
      </c>
      <c r="C260" s="311" t="s">
        <v>2407</v>
      </c>
      <c r="D260" s="320" t="str">
        <f>VLOOKUP(B260,Foundation_Calc!$K$41:$R$74,3,FALSE)</f>
        <v>N.D.</v>
      </c>
      <c r="E260" s="313">
        <f t="shared" si="5"/>
        <v>0</v>
      </c>
      <c r="F260" s="313">
        <f>COUNTIFS('HR Track 1'!$M$5:$M$407,$A$260,'HR Track 1'!$AW$5:$AW$407,$C260,'HR Track 1'!$AY$5:$AY$407,$D260)</f>
        <v>0</v>
      </c>
      <c r="G260" s="313">
        <f>COUNTIFS('HR Track 2'!$M$5:$M$405,$A$260,'HR Track 2'!$AW$5:$AW$405,$C260,'HR Track 2'!$AY$5:$AY$405,$D260)</f>
        <v>0</v>
      </c>
      <c r="H260" s="313">
        <f>COUNTIFS('HR Track 3 ZIC'!$M$5:$M$74,$A$260,'HR Track 3 ZIC'!$AW$5:$AW$74,$C260,'HR Track 3 ZIC'!$AY$5:$AY$74,$D260)</f>
        <v>0</v>
      </c>
      <c r="I260" s="313">
        <f>COUNTIFS('HR Track 4 ZIC'!$M$5:$M$45,$A$260,'HR Track 4 ZIC'!$AW$5:$AW$45,$C260,'HR Track 4 ZIC'!$AY$5:$AY$45,$D260)</f>
        <v>0</v>
      </c>
      <c r="J260" s="313">
        <f>COUNTIFS('HR Track 4 BIN'!$M$5:$M$45,$A$260,'HR Track 4 BIN'!$AW$5:$AW$45,$C260,'HR Track 4 BIN'!$AY$5:$AY$45,$D260)</f>
        <v>0</v>
      </c>
      <c r="K260" s="314">
        <f>COUNTIFS('HR Track 5 BIN'!$M$5:$M$39,$A$260,'HR Track 5 BIN'!$AW$5:$AW$39,$C260,'HR Track 5 BIN'!$AY$5:$AY$39,$D260)</f>
        <v>0</v>
      </c>
    </row>
    <row r="261" spans="1:11" ht="19.899999999999999" customHeight="1">
      <c r="A261" s="1109"/>
      <c r="B261" s="1112"/>
      <c r="C261" s="153" t="s">
        <v>2408</v>
      </c>
      <c r="D261" s="291" t="str">
        <f>VLOOKUP(B260,Foundation_Calc!$K$41:$R$74,4,FALSE)</f>
        <v>N.D.</v>
      </c>
      <c r="E261" s="7">
        <f t="shared" si="5"/>
        <v>0</v>
      </c>
      <c r="F261" s="7">
        <f>COUNTIFS('HR Track 1'!$M$5:$M$407,$A$260,'HR Track 1'!$AW$5:$AW$407,$C261,'HR Track 1'!$AY$5:$AY$407,$D261)</f>
        <v>0</v>
      </c>
      <c r="G261" s="7">
        <f>COUNTIFS('HR Track 2'!$M$5:$M$405,$A$260,'HR Track 2'!$AW$5:$AW$405,$C261,'HR Track 2'!$AY$5:$AY$405,$D261)</f>
        <v>0</v>
      </c>
      <c r="H261" s="7">
        <f>COUNTIFS('HR Track 3 ZIC'!$M$5:$M$74,$A$260,'HR Track 3 ZIC'!$AW$5:$AW$74,$C261,'HR Track 3 ZIC'!$AY$5:$AY$74,$D261)</f>
        <v>0</v>
      </c>
      <c r="I261" s="7">
        <f>COUNTIFS('HR Track 4 ZIC'!$M$5:$M$45,$A$260,'HR Track 4 ZIC'!$AW$5:$AW$45,$C261,'HR Track 4 ZIC'!$AY$5:$AY$45,$D261)</f>
        <v>0</v>
      </c>
      <c r="J261" s="7">
        <f>COUNTIFS('HR Track 4 BIN'!$M$5:$M$45,$A$260,'HR Track 4 BIN'!$AW$5:$AW$45,$C261,'HR Track 4 BIN'!$AY$5:$AY$45,$D261)</f>
        <v>0</v>
      </c>
      <c r="K261" s="315">
        <f>COUNTIFS('HR Track 5 BIN'!$M$5:$M$39,$A$260,'HR Track 5 BIN'!$AW$5:$AW$39,$C261,'HR Track 5 BIN'!$AY$5:$AY$39,$D261)</f>
        <v>0</v>
      </c>
    </row>
    <row r="262" spans="1:11" ht="19.899999999999999" customHeight="1">
      <c r="A262" s="1109"/>
      <c r="B262" s="1112"/>
      <c r="C262" s="153" t="s">
        <v>2409</v>
      </c>
      <c r="D262" s="291" t="str">
        <f>VLOOKUP(B260,Foundation_Calc!$K$41:$R$74,5,FALSE)</f>
        <v>N.D.</v>
      </c>
      <c r="E262" s="7">
        <f t="shared" si="5"/>
        <v>0</v>
      </c>
      <c r="F262" s="7">
        <f>COUNTIFS('HR Track 1'!$M$5:$M$407,$A$260,'HR Track 1'!$AW$5:$AW$407,$C262,'HR Track 1'!$AY$5:$AY$407,$D262)</f>
        <v>0</v>
      </c>
      <c r="G262" s="7">
        <f>COUNTIFS('HR Track 2'!$M$5:$M$405,$A$260,'HR Track 2'!$AW$5:$AW$405,$C262,'HR Track 2'!$AY$5:$AY$405,$D262)</f>
        <v>0</v>
      </c>
      <c r="H262" s="7">
        <f>COUNTIFS('HR Track 3 ZIC'!$M$5:$M$74,$A$260,'HR Track 3 ZIC'!$AW$5:$AW$74,$C262,'HR Track 3 ZIC'!$AY$5:$AY$74,$D262)</f>
        <v>0</v>
      </c>
      <c r="I262" s="7">
        <f>COUNTIFS('HR Track 4 ZIC'!$M$5:$M$45,$A$260,'HR Track 4 ZIC'!$AW$5:$AW$45,$C262,'HR Track 4 ZIC'!$AY$5:$AY$45,$D262)</f>
        <v>0</v>
      </c>
      <c r="J262" s="7">
        <f>COUNTIFS('HR Track 4 BIN'!$M$5:$M$45,$A$260,'HR Track 4 BIN'!$AW$5:$AW$45,$C262,'HR Track 4 BIN'!$AY$5:$AY$45,$D262)</f>
        <v>0</v>
      </c>
      <c r="K262" s="315">
        <f>COUNTIFS('HR Track 5 BIN'!$M$5:$M$39,$A$260,'HR Track 5 BIN'!$AW$5:$AW$39,$C262,'HR Track 5 BIN'!$AY$5:$AY$39,$D262)</f>
        <v>0</v>
      </c>
    </row>
    <row r="263" spans="1:11" ht="19.899999999999999" customHeight="1">
      <c r="A263" s="1109"/>
      <c r="B263" s="1112"/>
      <c r="C263" s="153" t="s">
        <v>2280</v>
      </c>
      <c r="D263" s="291" t="str">
        <f>VLOOKUP(B260,Foundation_Calc!$K$41:$R$74,6,FALSE)</f>
        <v>N.D.</v>
      </c>
      <c r="E263" s="7">
        <f t="shared" si="5"/>
        <v>0</v>
      </c>
      <c r="F263" s="7">
        <f>COUNTIFS('HR Track 1'!$M$5:$M$407,$A$260,'HR Track 1'!$AW$5:$AW$407,$C263,'HR Track 1'!$AY$5:$AY$407,$D263)</f>
        <v>0</v>
      </c>
      <c r="G263" s="7">
        <f>COUNTIFS('HR Track 2'!$M$5:$M$405,$A$260,'HR Track 2'!$AW$5:$AW$405,$C263,'HR Track 2'!$AY$5:$AY$405,$D263)</f>
        <v>0</v>
      </c>
      <c r="H263" s="7">
        <f>COUNTIFS('HR Track 3 ZIC'!$M$5:$M$74,$A$260,'HR Track 3 ZIC'!$AW$5:$AW$74,$C263,'HR Track 3 ZIC'!$AY$5:$AY$74,$D263)</f>
        <v>0</v>
      </c>
      <c r="I263" s="7">
        <f>COUNTIFS('HR Track 4 ZIC'!$M$5:$M$45,$A$260,'HR Track 4 ZIC'!$AW$5:$AW$45,$C263,'HR Track 4 ZIC'!$AY$5:$AY$45,$D263)</f>
        <v>0</v>
      </c>
      <c r="J263" s="7">
        <f>COUNTIFS('HR Track 4 BIN'!$M$5:$M$45,$A$260,'HR Track 4 BIN'!$AW$5:$AW$45,$C263,'HR Track 4 BIN'!$AY$5:$AY$45,$D263)</f>
        <v>0</v>
      </c>
      <c r="K263" s="315">
        <f>COUNTIFS('HR Track 5 BIN'!$M$5:$M$39,$A$260,'HR Track 5 BIN'!$AW$5:$AW$39,$C263,'HR Track 5 BIN'!$AY$5:$AY$39,$D263)</f>
        <v>0</v>
      </c>
    </row>
    <row r="264" spans="1:11" ht="19.899999999999999" customHeight="1">
      <c r="A264" s="1109"/>
      <c r="B264" s="1112"/>
      <c r="C264" s="153" t="s">
        <v>2281</v>
      </c>
      <c r="D264" s="291" t="str">
        <f>VLOOKUP(B260,Foundation_Calc!$K$41:$R$74,7,FALSE)</f>
        <v>N.D.</v>
      </c>
      <c r="E264" s="7">
        <f t="shared" si="5"/>
        <v>0</v>
      </c>
      <c r="F264" s="7">
        <f>COUNTIFS('HR Track 1'!$M$5:$M$407,$A$260,'HR Track 1'!$AW$5:$AW$407,$C264,'HR Track 1'!$AY$5:$AY$407,$D264)</f>
        <v>0</v>
      </c>
      <c r="G264" s="7">
        <f>COUNTIFS('HR Track 2'!$M$5:$M$405,$A$260,'HR Track 2'!$AW$5:$AW$405,$C264,'HR Track 2'!$AY$5:$AY$405,$D264)</f>
        <v>0</v>
      </c>
      <c r="H264" s="7">
        <f>COUNTIFS('HR Track 3 ZIC'!$M$5:$M$74,$A$260,'HR Track 3 ZIC'!$AW$5:$AW$74,$C264,'HR Track 3 ZIC'!$AY$5:$AY$74,$D264)</f>
        <v>0</v>
      </c>
      <c r="I264" s="7">
        <f>COUNTIFS('HR Track 4 ZIC'!$M$5:$M$45,$A$260,'HR Track 4 ZIC'!$AW$5:$AW$45,$C264,'HR Track 4 ZIC'!$AY$5:$AY$45,$D264)</f>
        <v>0</v>
      </c>
      <c r="J264" s="7">
        <f>COUNTIFS('HR Track 4 BIN'!$M$5:$M$45,$A$260,'HR Track 4 BIN'!$AW$5:$AW$45,$C264,'HR Track 4 BIN'!$AY$5:$AY$45,$D264)</f>
        <v>0</v>
      </c>
      <c r="K264" s="315">
        <f>COUNTIFS('HR Track 5 BIN'!$M$5:$M$39,$A$260,'HR Track 5 BIN'!$AW$5:$AW$39,$C264,'HR Track 5 BIN'!$AY$5:$AY$39,$D264)</f>
        <v>0</v>
      </c>
    </row>
    <row r="265" spans="1:11" ht="19.899999999999999" customHeight="1" thickBot="1">
      <c r="A265" s="1110"/>
      <c r="B265" s="1113"/>
      <c r="C265" s="316" t="s">
        <v>2282</v>
      </c>
      <c r="D265" s="321" t="str">
        <f>VLOOKUP(B260,Foundation_Calc!$K$41:$R$74,8,FALSE)</f>
        <v>N.D.</v>
      </c>
      <c r="E265" s="318">
        <f t="shared" si="5"/>
        <v>0</v>
      </c>
      <c r="F265" s="318">
        <f>COUNTIFS('HR Track 1'!$M$5:$M$407,$A$260,'HR Track 1'!$AW$5:$AW$407,$C265,'HR Track 1'!$AY$5:$AY$407,$D265)</f>
        <v>0</v>
      </c>
      <c r="G265" s="318">
        <f>COUNTIFS('HR Track 2'!$M$5:$M$405,$A$260,'HR Track 2'!$AW$5:$AW$405,$C265,'HR Track 2'!$AY$5:$AY$405,$D265)</f>
        <v>0</v>
      </c>
      <c r="H265" s="318">
        <f>COUNTIFS('HR Track 3 ZIC'!$M$5:$M$74,$A$260,'HR Track 3 ZIC'!$AW$5:$AW$74,$C265,'HR Track 3 ZIC'!$AY$5:$AY$74,$D265)</f>
        <v>0</v>
      </c>
      <c r="I265" s="318">
        <f>COUNTIFS('HR Track 4 ZIC'!$M$5:$M$45,$A$260,'HR Track 4 ZIC'!$AW$5:$AW$45,$C265,'HR Track 4 ZIC'!$AY$5:$AY$45,$D265)</f>
        <v>0</v>
      </c>
      <c r="J265" s="318">
        <f>COUNTIFS('HR Track 4 BIN'!$M$5:$M$45,$A$260,'HR Track 4 BIN'!$AW$5:$AW$45,$C265,'HR Track 4 BIN'!$AY$5:$AY$45,$D265)</f>
        <v>0</v>
      </c>
      <c r="K265" s="319">
        <f>COUNTIFS('HR Track 5 BIN'!$M$5:$M$39,$A$260,'HR Track 5 BIN'!$AW$5:$AW$39,$C265,'HR Track 5 BIN'!$AY$5:$AY$39,$D265)</f>
        <v>0</v>
      </c>
    </row>
    <row r="266" spans="1:11" ht="19.899999999999999" customHeight="1">
      <c r="A266" s="1114" t="s">
        <v>2363</v>
      </c>
      <c r="B266" s="1115" t="s">
        <v>206</v>
      </c>
      <c r="C266" s="311" t="s">
        <v>2407</v>
      </c>
      <c r="D266" s="312" t="str">
        <f>VLOOKUP(B266,Foundation_Calc!$K$4:$R$37,3,FALSE)</f>
        <v>N.D.</v>
      </c>
      <c r="E266" s="313">
        <f t="shared" si="5"/>
        <v>0</v>
      </c>
      <c r="F266" s="313">
        <f>COUNTIFS('HR Track 1'!$M$5:$M$407,$A$266,'HR Track 1'!$AW$5:$AW$407,$C266,'HR Track 1'!$AY$5:$AY$407,$D266)</f>
        <v>0</v>
      </c>
      <c r="G266" s="313">
        <f>COUNTIFS('HR Track 2'!$M$5:$M$405,$A$266,'HR Track 2'!$AW$5:$AW$405,$C266,'HR Track 2'!$AY$5:$AY$405,$D266)</f>
        <v>0</v>
      </c>
      <c r="H266" s="313">
        <f>COUNTIFS('HR Track 3 ZIC'!$M$5:$M$74,$A$266,'HR Track 3 ZIC'!$AW$5:$AW$74,$C266,'HR Track 3 ZIC'!$AY$5:$AY$74,$D266)</f>
        <v>0</v>
      </c>
      <c r="I266" s="313">
        <f>COUNTIFS('HR Track 4 ZIC'!$M$5:$M$45,$A$266,'HR Track 4 ZIC'!$AW$5:$AW$45,$C266,'HR Track 4 ZIC'!$AY$5:$AY$45,$D266)</f>
        <v>0</v>
      </c>
      <c r="J266" s="313">
        <f>COUNTIFS('HR Track 4 BIN'!$M$5:$M$45,$A$266,'HR Track 4 BIN'!$AW$5:$AW$45,$C266,'HR Track 4 BIN'!$AY$5:$AY$45,$D266)</f>
        <v>0</v>
      </c>
      <c r="K266" s="314">
        <f>COUNTIFS('HR Track 5 BIN'!$M$5:$M$39,$A$266,'HR Track 5 BIN'!$AW$5:$AW$39,$C266,'HR Track 5 BIN'!$AY$5:$AY$39,$D266)</f>
        <v>0</v>
      </c>
    </row>
    <row r="267" spans="1:11" ht="19.899999999999999" customHeight="1">
      <c r="A267" s="1024"/>
      <c r="B267" s="1013"/>
      <c r="C267" s="153" t="s">
        <v>2408</v>
      </c>
      <c r="D267" s="11" t="str">
        <f>VLOOKUP(B266,Foundation_Calc!$K$4:$R$37,4,FALSE)</f>
        <v>N.D.</v>
      </c>
      <c r="E267" s="7">
        <f t="shared" si="5"/>
        <v>0</v>
      </c>
      <c r="F267" s="7">
        <f>COUNTIFS('HR Track 1'!$M$5:$M$407,$A$266,'HR Track 1'!$AW$5:$AW$407,$C267,'HR Track 1'!$AY$5:$AY$407,$D267)</f>
        <v>0</v>
      </c>
      <c r="G267" s="7">
        <f>COUNTIFS('HR Track 2'!$M$5:$M$405,$A$266,'HR Track 2'!$AW$5:$AW$405,$C267,'HR Track 2'!$AY$5:$AY$405,$D267)</f>
        <v>0</v>
      </c>
      <c r="H267" s="7">
        <f>COUNTIFS('HR Track 3 ZIC'!$M$5:$M$74,$A$266,'HR Track 3 ZIC'!$AW$5:$AW$74,$C267,'HR Track 3 ZIC'!$AY$5:$AY$74,$D267)</f>
        <v>0</v>
      </c>
      <c r="I267" s="7">
        <f>COUNTIFS('HR Track 4 ZIC'!$M$5:$M$45,$A$266,'HR Track 4 ZIC'!$AW$5:$AW$45,$C267,'HR Track 4 ZIC'!$AY$5:$AY$45,$D267)</f>
        <v>0</v>
      </c>
      <c r="J267" s="7">
        <f>COUNTIFS('HR Track 4 BIN'!$M$5:$M$45,$A$266,'HR Track 4 BIN'!$AW$5:$AW$45,$C267,'HR Track 4 BIN'!$AY$5:$AY$45,$D267)</f>
        <v>0</v>
      </c>
      <c r="K267" s="315">
        <f>COUNTIFS('HR Track 5 BIN'!$M$5:$M$39,$A$266,'HR Track 5 BIN'!$AW$5:$AW$39,$C267,'HR Track 5 BIN'!$AY$5:$AY$39,$D267)</f>
        <v>0</v>
      </c>
    </row>
    <row r="268" spans="1:11" ht="19.899999999999999" customHeight="1">
      <c r="A268" s="1024"/>
      <c r="B268" s="1013"/>
      <c r="C268" s="153" t="s">
        <v>2409</v>
      </c>
      <c r="D268" s="11" t="str">
        <f>VLOOKUP(B266,Foundation_Calc!$K$4:$R$37,5,FALSE)</f>
        <v>N.D.</v>
      </c>
      <c r="E268" s="7">
        <f t="shared" si="5"/>
        <v>0</v>
      </c>
      <c r="F268" s="7">
        <f>COUNTIFS('HR Track 1'!$M$5:$M$407,$A$266,'HR Track 1'!$AW$5:$AW$407,$C268,'HR Track 1'!$AY$5:$AY$407,$D268)</f>
        <v>0</v>
      </c>
      <c r="G268" s="7">
        <f>COUNTIFS('HR Track 2'!$M$5:$M$405,$A$266,'HR Track 2'!$AW$5:$AW$405,$C268,'HR Track 2'!$AY$5:$AY$405,$D268)</f>
        <v>0</v>
      </c>
      <c r="H268" s="7">
        <f>COUNTIFS('HR Track 3 ZIC'!$M$5:$M$74,$A$266,'HR Track 3 ZIC'!$AW$5:$AW$74,$C268,'HR Track 3 ZIC'!$AY$5:$AY$74,$D268)</f>
        <v>0</v>
      </c>
      <c r="I268" s="7">
        <f>COUNTIFS('HR Track 4 ZIC'!$M$5:$M$45,$A$266,'HR Track 4 ZIC'!$AW$5:$AW$45,$C268,'HR Track 4 ZIC'!$AY$5:$AY$45,$D268)</f>
        <v>0</v>
      </c>
      <c r="J268" s="7">
        <f>COUNTIFS('HR Track 4 BIN'!$M$5:$M$45,$A$266,'HR Track 4 BIN'!$AW$5:$AW$45,$C268,'HR Track 4 BIN'!$AY$5:$AY$45,$D268)</f>
        <v>0</v>
      </c>
      <c r="K268" s="315">
        <f>COUNTIFS('HR Track 5 BIN'!$M$5:$M$39,$A$266,'HR Track 5 BIN'!$AW$5:$AW$39,$C268,'HR Track 5 BIN'!$AY$5:$AY$39,$D268)</f>
        <v>0</v>
      </c>
    </row>
    <row r="269" spans="1:11" ht="19.899999999999999" customHeight="1">
      <c r="A269" s="1024"/>
      <c r="B269" s="1013"/>
      <c r="C269" s="153" t="s">
        <v>2280</v>
      </c>
      <c r="D269" s="11" t="str">
        <f>VLOOKUP(B266,Foundation_Calc!$K$4:$R$37,6,FALSE)</f>
        <v>N.D.</v>
      </c>
      <c r="E269" s="7">
        <f t="shared" si="5"/>
        <v>0</v>
      </c>
      <c r="F269" s="7">
        <f>COUNTIFS('HR Track 1'!$M$5:$M$407,$A$266,'HR Track 1'!$AW$5:$AW$407,$C269,'HR Track 1'!$AY$5:$AY$407,$D269)</f>
        <v>0</v>
      </c>
      <c r="G269" s="7">
        <f>COUNTIFS('HR Track 2'!$M$5:$M$405,$A$266,'HR Track 2'!$AW$5:$AW$405,$C269,'HR Track 2'!$AY$5:$AY$405,$D269)</f>
        <v>0</v>
      </c>
      <c r="H269" s="7">
        <f>COUNTIFS('HR Track 3 ZIC'!$M$5:$M$74,$A$266,'HR Track 3 ZIC'!$AW$5:$AW$74,$C269,'HR Track 3 ZIC'!$AY$5:$AY$74,$D269)</f>
        <v>0</v>
      </c>
      <c r="I269" s="7">
        <f>COUNTIFS('HR Track 4 ZIC'!$M$5:$M$45,$A$266,'HR Track 4 ZIC'!$AW$5:$AW$45,$C269,'HR Track 4 ZIC'!$AY$5:$AY$45,$D269)</f>
        <v>0</v>
      </c>
      <c r="J269" s="7">
        <f>COUNTIFS('HR Track 4 BIN'!$M$5:$M$45,$A$266,'HR Track 4 BIN'!$AW$5:$AW$45,$C269,'HR Track 4 BIN'!$AY$5:$AY$45,$D269)</f>
        <v>0</v>
      </c>
      <c r="K269" s="315">
        <f>COUNTIFS('HR Track 5 BIN'!$M$5:$M$39,$A$266,'HR Track 5 BIN'!$AW$5:$AW$39,$C269,'HR Track 5 BIN'!$AY$5:$AY$39,$D269)</f>
        <v>0</v>
      </c>
    </row>
    <row r="270" spans="1:11" ht="19.899999999999999" customHeight="1">
      <c r="A270" s="1024"/>
      <c r="B270" s="1013"/>
      <c r="C270" s="153" t="s">
        <v>2281</v>
      </c>
      <c r="D270" s="11" t="str">
        <f>VLOOKUP(B266,Foundation_Calc!$K$4:$R$37,7,FALSE)</f>
        <v>N.D.</v>
      </c>
      <c r="E270" s="7">
        <f t="shared" si="5"/>
        <v>0</v>
      </c>
      <c r="F270" s="7">
        <f>COUNTIFS('HR Track 1'!$M$5:$M$407,$A$266,'HR Track 1'!$AW$5:$AW$407,$C270,'HR Track 1'!$AY$5:$AY$407,$D270)</f>
        <v>0</v>
      </c>
      <c r="G270" s="7">
        <f>COUNTIFS('HR Track 2'!$M$5:$M$405,$A$266,'HR Track 2'!$AW$5:$AW$405,$C270,'HR Track 2'!$AY$5:$AY$405,$D270)</f>
        <v>0</v>
      </c>
      <c r="H270" s="7">
        <f>COUNTIFS('HR Track 3 ZIC'!$M$5:$M$74,$A$266,'HR Track 3 ZIC'!$AW$5:$AW$74,$C270,'HR Track 3 ZIC'!$AY$5:$AY$74,$D270)</f>
        <v>0</v>
      </c>
      <c r="I270" s="7">
        <f>COUNTIFS('HR Track 4 ZIC'!$M$5:$M$45,$A$266,'HR Track 4 ZIC'!$AW$5:$AW$45,$C270,'HR Track 4 ZIC'!$AY$5:$AY$45,$D270)</f>
        <v>0</v>
      </c>
      <c r="J270" s="7">
        <f>COUNTIFS('HR Track 4 BIN'!$M$5:$M$45,$A$266,'HR Track 4 BIN'!$AW$5:$AW$45,$C270,'HR Track 4 BIN'!$AY$5:$AY$45,$D270)</f>
        <v>0</v>
      </c>
      <c r="K270" s="315">
        <f>COUNTIFS('HR Track 5 BIN'!$M$5:$M$39,$A$266,'HR Track 5 BIN'!$AW$5:$AW$39,$C270,'HR Track 5 BIN'!$AY$5:$AY$39,$D270)</f>
        <v>0</v>
      </c>
    </row>
    <row r="271" spans="1:11" ht="19.899999999999999" customHeight="1" thickBot="1">
      <c r="A271" s="1025"/>
      <c r="B271" s="1014"/>
      <c r="C271" s="316" t="s">
        <v>2282</v>
      </c>
      <c r="D271" s="317" t="str">
        <f>VLOOKUP(B266,Foundation_Calc!$K$4:$R$37,8,FALSE)</f>
        <v>N.D.</v>
      </c>
      <c r="E271" s="318">
        <f t="shared" si="5"/>
        <v>0</v>
      </c>
      <c r="F271" s="318">
        <f>COUNTIFS('HR Track 1'!$M$5:$M$407,$A$266,'HR Track 1'!$AW$5:$AW$407,$C271,'HR Track 1'!$AY$5:$AY$407,$D271)</f>
        <v>0</v>
      </c>
      <c r="G271" s="318">
        <f>COUNTIFS('HR Track 2'!$M$5:$M$405,$A$266,'HR Track 2'!$AW$5:$AW$405,$C271,'HR Track 2'!$AY$5:$AY$405,$D271)</f>
        <v>0</v>
      </c>
      <c r="H271" s="318">
        <f>COUNTIFS('HR Track 3 ZIC'!$M$5:$M$74,$A$266,'HR Track 3 ZIC'!$AW$5:$AW$74,$C271,'HR Track 3 ZIC'!$AY$5:$AY$74,$D271)</f>
        <v>0</v>
      </c>
      <c r="I271" s="318">
        <f>COUNTIFS('HR Track 4 ZIC'!$M$5:$M$45,$A$266,'HR Track 4 ZIC'!$AW$5:$AW$45,$C271,'HR Track 4 ZIC'!$AY$5:$AY$45,$D271)</f>
        <v>0</v>
      </c>
      <c r="J271" s="318">
        <f>COUNTIFS('HR Track 4 BIN'!$M$5:$M$45,$A$266,'HR Track 4 BIN'!$AW$5:$AW$45,$C271,'HR Track 4 BIN'!$AY$5:$AY$45,$D271)</f>
        <v>0</v>
      </c>
      <c r="K271" s="319">
        <f>COUNTIFS('HR Track 5 BIN'!$M$5:$M$39,$A$266,'HR Track 5 BIN'!$AW$5:$AW$39,$C271,'HR Track 5 BIN'!$AY$5:$AY$39,$D271)</f>
        <v>0</v>
      </c>
    </row>
    <row r="272" spans="1:11" ht="19.899999999999999" customHeight="1">
      <c r="A272" s="1108" t="s">
        <v>2379</v>
      </c>
      <c r="B272" s="1111" t="s">
        <v>206</v>
      </c>
      <c r="C272" s="311" t="s">
        <v>2407</v>
      </c>
      <c r="D272" s="320" t="str">
        <f>VLOOKUP(B272,Foundation_Calc!$K$41:$R$74,3,FALSE)</f>
        <v>N.D.</v>
      </c>
      <c r="E272" s="313">
        <f t="shared" si="5"/>
        <v>0</v>
      </c>
      <c r="F272" s="313">
        <f>COUNTIFS('HR Track 1'!$M$5:$M$407,$A$272,'HR Track 1'!$AW$5:$AW$407,$C272,'HR Track 1'!$AY$5:$AY$407,$D272)</f>
        <v>0</v>
      </c>
      <c r="G272" s="313">
        <f>COUNTIFS('HR Track 2'!$M$5:$M$405,$A$272,'HR Track 2'!$AW$5:$AW$405,$C272,'HR Track 2'!$AY$5:$AY$405,$D272)</f>
        <v>0</v>
      </c>
      <c r="H272" s="313">
        <f>COUNTIFS('HR Track 3 ZIC'!$M$5:$M$74,$A$272,'HR Track 3 ZIC'!$AW$5:$AW$74,$C272,'HR Track 3 ZIC'!$AY$5:$AY$74,$D272)</f>
        <v>0</v>
      </c>
      <c r="I272" s="313">
        <f>COUNTIFS('HR Track 4 ZIC'!$M$5:$M$45,$A$272,'HR Track 4 ZIC'!$AW$5:$AW$45,$C272,'HR Track 4 ZIC'!$AY$5:$AY$45,$D272)</f>
        <v>0</v>
      </c>
      <c r="J272" s="313">
        <f>COUNTIFS('HR Track 4 BIN'!$M$5:$M$45,$A$272,'HR Track 4 BIN'!$AW$5:$AW$45,$C272,'HR Track 4 BIN'!$AY$5:$AY$45,$D272)</f>
        <v>0</v>
      </c>
      <c r="K272" s="314">
        <f>COUNTIFS('HR Track 5 BIN'!$M$5:$M$39,$A$272,'HR Track 5 BIN'!$AW$5:$AW$39,$C272,'HR Track 5 BIN'!$AY$5:$AY$39,$D272)</f>
        <v>0</v>
      </c>
    </row>
    <row r="273" spans="1:11" ht="19.899999999999999" customHeight="1">
      <c r="A273" s="1109"/>
      <c r="B273" s="1112"/>
      <c r="C273" s="153" t="s">
        <v>2408</v>
      </c>
      <c r="D273" s="291" t="str">
        <f>VLOOKUP(B272,Foundation_Calc!$K$41:$R$74,4,FALSE)</f>
        <v>N.D.</v>
      </c>
      <c r="E273" s="7">
        <f t="shared" si="5"/>
        <v>0</v>
      </c>
      <c r="F273" s="7">
        <f>COUNTIFS('HR Track 1'!$M$5:$M$407,$A$272,'HR Track 1'!$AW$5:$AW$407,$C273,'HR Track 1'!$AY$5:$AY$407,$D273)</f>
        <v>0</v>
      </c>
      <c r="G273" s="7">
        <f>COUNTIFS('HR Track 2'!$M$5:$M$405,$A$272,'HR Track 2'!$AW$5:$AW$405,$C273,'HR Track 2'!$AY$5:$AY$405,$D273)</f>
        <v>0</v>
      </c>
      <c r="H273" s="7">
        <f>COUNTIFS('HR Track 3 ZIC'!$M$5:$M$74,$A$272,'HR Track 3 ZIC'!$AW$5:$AW$74,$C273,'HR Track 3 ZIC'!$AY$5:$AY$74,$D273)</f>
        <v>0</v>
      </c>
      <c r="I273" s="7">
        <f>COUNTIFS('HR Track 4 ZIC'!$M$5:$M$45,$A$272,'HR Track 4 ZIC'!$AW$5:$AW$45,$C273,'HR Track 4 ZIC'!$AY$5:$AY$45,$D273)</f>
        <v>0</v>
      </c>
      <c r="J273" s="7">
        <f>COUNTIFS('HR Track 4 BIN'!$M$5:$M$45,$A$272,'HR Track 4 BIN'!$AW$5:$AW$45,$C273,'HR Track 4 BIN'!$AY$5:$AY$45,$D273)</f>
        <v>0</v>
      </c>
      <c r="K273" s="315">
        <f>COUNTIFS('HR Track 5 BIN'!$M$5:$M$39,$A$272,'HR Track 5 BIN'!$AW$5:$AW$39,$C273,'HR Track 5 BIN'!$AY$5:$AY$39,$D273)</f>
        <v>0</v>
      </c>
    </row>
    <row r="274" spans="1:11" ht="19.899999999999999" customHeight="1">
      <c r="A274" s="1109"/>
      <c r="B274" s="1112"/>
      <c r="C274" s="153" t="s">
        <v>2409</v>
      </c>
      <c r="D274" s="291" t="str">
        <f>VLOOKUP(B272,Foundation_Calc!$K$41:$R$74,5,FALSE)</f>
        <v>N.D.</v>
      </c>
      <c r="E274" s="7">
        <f t="shared" si="5"/>
        <v>0</v>
      </c>
      <c r="F274" s="7">
        <f>COUNTIFS('HR Track 1'!$M$5:$M$407,$A$272,'HR Track 1'!$AW$5:$AW$407,$C274,'HR Track 1'!$AY$5:$AY$407,$D274)</f>
        <v>0</v>
      </c>
      <c r="G274" s="7">
        <f>COUNTIFS('HR Track 2'!$M$5:$M$405,$A$272,'HR Track 2'!$AW$5:$AW$405,$C274,'HR Track 2'!$AY$5:$AY$405,$D274)</f>
        <v>0</v>
      </c>
      <c r="H274" s="7">
        <f>COUNTIFS('HR Track 3 ZIC'!$M$5:$M$74,$A$272,'HR Track 3 ZIC'!$AW$5:$AW$74,$C274,'HR Track 3 ZIC'!$AY$5:$AY$74,$D274)</f>
        <v>0</v>
      </c>
      <c r="I274" s="7">
        <f>COUNTIFS('HR Track 4 ZIC'!$M$5:$M$45,$A$272,'HR Track 4 ZIC'!$AW$5:$AW$45,$C274,'HR Track 4 ZIC'!$AY$5:$AY$45,$D274)</f>
        <v>0</v>
      </c>
      <c r="J274" s="7">
        <f>COUNTIFS('HR Track 4 BIN'!$M$5:$M$45,$A$272,'HR Track 4 BIN'!$AW$5:$AW$45,$C274,'HR Track 4 BIN'!$AY$5:$AY$45,$D274)</f>
        <v>0</v>
      </c>
      <c r="K274" s="315">
        <f>COUNTIFS('HR Track 5 BIN'!$M$5:$M$39,$A$272,'HR Track 5 BIN'!$AW$5:$AW$39,$C274,'HR Track 5 BIN'!$AY$5:$AY$39,$D274)</f>
        <v>0</v>
      </c>
    </row>
    <row r="275" spans="1:11" ht="19.899999999999999" customHeight="1">
      <c r="A275" s="1109"/>
      <c r="B275" s="1112"/>
      <c r="C275" s="153" t="s">
        <v>2280</v>
      </c>
      <c r="D275" s="291" t="str">
        <f>VLOOKUP(B272,Foundation_Calc!$K$41:$R$74,6,FALSE)</f>
        <v>N.D.</v>
      </c>
      <c r="E275" s="7">
        <f t="shared" si="5"/>
        <v>0</v>
      </c>
      <c r="F275" s="7">
        <f>COUNTIFS('HR Track 1'!$M$5:$M$407,$A$272,'HR Track 1'!$AW$5:$AW$407,$C275,'HR Track 1'!$AY$5:$AY$407,$D275)</f>
        <v>0</v>
      </c>
      <c r="G275" s="7">
        <f>COUNTIFS('HR Track 2'!$M$5:$M$405,$A$272,'HR Track 2'!$AW$5:$AW$405,$C275,'HR Track 2'!$AY$5:$AY$405,$D275)</f>
        <v>0</v>
      </c>
      <c r="H275" s="7">
        <f>COUNTIFS('HR Track 3 ZIC'!$M$5:$M$74,$A$272,'HR Track 3 ZIC'!$AW$5:$AW$74,$C275,'HR Track 3 ZIC'!$AY$5:$AY$74,$D275)</f>
        <v>0</v>
      </c>
      <c r="I275" s="7">
        <f>COUNTIFS('HR Track 4 ZIC'!$M$5:$M$45,$A$272,'HR Track 4 ZIC'!$AW$5:$AW$45,$C275,'HR Track 4 ZIC'!$AY$5:$AY$45,$D275)</f>
        <v>0</v>
      </c>
      <c r="J275" s="7">
        <f>COUNTIFS('HR Track 4 BIN'!$M$5:$M$45,$A$272,'HR Track 4 BIN'!$AW$5:$AW$45,$C275,'HR Track 4 BIN'!$AY$5:$AY$45,$D275)</f>
        <v>0</v>
      </c>
      <c r="K275" s="315">
        <f>COUNTIFS('HR Track 5 BIN'!$M$5:$M$39,$A$272,'HR Track 5 BIN'!$AW$5:$AW$39,$C275,'HR Track 5 BIN'!$AY$5:$AY$39,$D275)</f>
        <v>0</v>
      </c>
    </row>
    <row r="276" spans="1:11" ht="19.899999999999999" customHeight="1">
      <c r="A276" s="1109"/>
      <c r="B276" s="1112"/>
      <c r="C276" s="153" t="s">
        <v>2281</v>
      </c>
      <c r="D276" s="291" t="str">
        <f>VLOOKUP(B272,Foundation_Calc!$K$41:$R$74,7,FALSE)</f>
        <v>N.D.</v>
      </c>
      <c r="E276" s="7">
        <f t="shared" si="5"/>
        <v>0</v>
      </c>
      <c r="F276" s="7">
        <f>COUNTIFS('HR Track 1'!$M$5:$M$407,$A$272,'HR Track 1'!$AW$5:$AW$407,$C276,'HR Track 1'!$AY$5:$AY$407,$D276)</f>
        <v>0</v>
      </c>
      <c r="G276" s="7">
        <f>COUNTIFS('HR Track 2'!$M$5:$M$405,$A$272,'HR Track 2'!$AW$5:$AW$405,$C276,'HR Track 2'!$AY$5:$AY$405,$D276)</f>
        <v>0</v>
      </c>
      <c r="H276" s="7">
        <f>COUNTIFS('HR Track 3 ZIC'!$M$5:$M$74,$A$272,'HR Track 3 ZIC'!$AW$5:$AW$74,$C276,'HR Track 3 ZIC'!$AY$5:$AY$74,$D276)</f>
        <v>0</v>
      </c>
      <c r="I276" s="7">
        <f>COUNTIFS('HR Track 4 ZIC'!$M$5:$M$45,$A$272,'HR Track 4 ZIC'!$AW$5:$AW$45,$C276,'HR Track 4 ZIC'!$AY$5:$AY$45,$D276)</f>
        <v>0</v>
      </c>
      <c r="J276" s="7">
        <f>COUNTIFS('HR Track 4 BIN'!$M$5:$M$45,$A$272,'HR Track 4 BIN'!$AW$5:$AW$45,$C276,'HR Track 4 BIN'!$AY$5:$AY$45,$D276)</f>
        <v>0</v>
      </c>
      <c r="K276" s="315">
        <f>COUNTIFS('HR Track 5 BIN'!$M$5:$M$39,$A$272,'HR Track 5 BIN'!$AW$5:$AW$39,$C276,'HR Track 5 BIN'!$AY$5:$AY$39,$D276)</f>
        <v>0</v>
      </c>
    </row>
    <row r="277" spans="1:11" ht="19.899999999999999" customHeight="1" thickBot="1">
      <c r="A277" s="1110"/>
      <c r="B277" s="1113"/>
      <c r="C277" s="316" t="s">
        <v>2282</v>
      </c>
      <c r="D277" s="321" t="str">
        <f>VLOOKUP(B272,Foundation_Calc!$K$41:$R$74,8,FALSE)</f>
        <v>N.D.</v>
      </c>
      <c r="E277" s="318">
        <f t="shared" si="5"/>
        <v>0</v>
      </c>
      <c r="F277" s="318">
        <f>COUNTIFS('HR Track 1'!$M$5:$M$407,$A$272,'HR Track 1'!$AW$5:$AW$407,$C277,'HR Track 1'!$AY$5:$AY$407,$D277)</f>
        <v>0</v>
      </c>
      <c r="G277" s="318">
        <f>COUNTIFS('HR Track 2'!$M$5:$M$405,$A$272,'HR Track 2'!$AW$5:$AW$405,$C277,'HR Track 2'!$AY$5:$AY$405,$D277)</f>
        <v>0</v>
      </c>
      <c r="H277" s="318">
        <f>COUNTIFS('HR Track 3 ZIC'!$M$5:$M$74,$A$272,'HR Track 3 ZIC'!$AW$5:$AW$74,$C277,'HR Track 3 ZIC'!$AY$5:$AY$74,$D277)</f>
        <v>0</v>
      </c>
      <c r="I277" s="318">
        <f>COUNTIFS('HR Track 4 ZIC'!$M$5:$M$45,$A$272,'HR Track 4 ZIC'!$AW$5:$AW$45,$C277,'HR Track 4 ZIC'!$AY$5:$AY$45,$D277)</f>
        <v>0</v>
      </c>
      <c r="J277" s="318">
        <f>COUNTIFS('HR Track 4 BIN'!$M$5:$M$45,$A$272,'HR Track 4 BIN'!$AW$5:$AW$45,$C277,'HR Track 4 BIN'!$AY$5:$AY$45,$D277)</f>
        <v>0</v>
      </c>
      <c r="K277" s="319">
        <f>COUNTIFS('HR Track 5 BIN'!$M$5:$M$39,$A$272,'HR Track 5 BIN'!$AW$5:$AW$39,$C277,'HR Track 5 BIN'!$AY$5:$AY$39,$D277)</f>
        <v>0</v>
      </c>
    </row>
    <row r="278" spans="1:11" ht="19.899999999999999" customHeight="1">
      <c r="A278" s="1114" t="s">
        <v>2363</v>
      </c>
      <c r="B278" s="1115" t="s">
        <v>2332</v>
      </c>
      <c r="C278" s="311" t="s">
        <v>2407</v>
      </c>
      <c r="D278" s="312" t="str">
        <f>VLOOKUP(B278,Foundation_Calc!$K$4:$R$37,3,FALSE)</f>
        <v>N.D.</v>
      </c>
      <c r="E278" s="313">
        <f t="shared" si="5"/>
        <v>0</v>
      </c>
      <c r="F278" s="313">
        <f>COUNTIFS('HR Track 1'!$M$5:$M$407,$A$278,'HR Track 1'!$AW$5:$AW$407,$C278,'HR Track 1'!$AY$5:$AY$407,$D278)</f>
        <v>0</v>
      </c>
      <c r="G278" s="313">
        <f>COUNTIFS('HR Track 2'!$M$5:$M$405,$A$278,'HR Track 2'!$AW$5:$AW$405,$C278,'HR Track 2'!$AY$5:$AY$405,$D278)</f>
        <v>0</v>
      </c>
      <c r="H278" s="313">
        <f>COUNTIFS('HR Track 3 ZIC'!$M$5:$M$74,$A$278,'HR Track 3 ZIC'!$AW$5:$AW$74,$C278,'HR Track 3 ZIC'!$AY$5:$AY$74,$D278)</f>
        <v>0</v>
      </c>
      <c r="I278" s="313">
        <f>COUNTIFS('HR Track 4 ZIC'!$M$5:$M$45,$A$278,'HR Track 4 ZIC'!$AW$5:$AW$45,$C278,'HR Track 4 ZIC'!$AY$5:$AY$45,$D278)</f>
        <v>0</v>
      </c>
      <c r="J278" s="313">
        <f>COUNTIFS('HR Track 4 BIN'!$M$5:$M$45,$A$278,'HR Track 4 BIN'!$AW$5:$AW$45,$C278,'HR Track 4 BIN'!$AY$5:$AY$45,$D278)</f>
        <v>0</v>
      </c>
      <c r="K278" s="314">
        <f>COUNTIFS('HR Track 5 BIN'!$M$5:$M$39,$A$278,'HR Track 5 BIN'!$AW$5:$AW$39,$C278,'HR Track 5 BIN'!$AY$5:$AY$39,$D278)</f>
        <v>0</v>
      </c>
    </row>
    <row r="279" spans="1:11" ht="19.899999999999999" customHeight="1">
      <c r="A279" s="1024"/>
      <c r="B279" s="1013"/>
      <c r="C279" s="153" t="s">
        <v>2408</v>
      </c>
      <c r="D279" s="11" t="str">
        <f>VLOOKUP(B278,Foundation_Calc!$K$4:$R$37,4,FALSE)</f>
        <v>N.D.</v>
      </c>
      <c r="E279" s="7">
        <f t="shared" si="5"/>
        <v>0</v>
      </c>
      <c r="F279" s="7">
        <f>COUNTIFS('HR Track 1'!$M$5:$M$407,$A$278,'HR Track 1'!$AW$5:$AW$407,$C279,'HR Track 1'!$AY$5:$AY$407,$D279)</f>
        <v>0</v>
      </c>
      <c r="G279" s="7">
        <f>COUNTIFS('HR Track 2'!$M$5:$M$405,$A$278,'HR Track 2'!$AW$5:$AW$405,$C279,'HR Track 2'!$AY$5:$AY$405,$D279)</f>
        <v>0</v>
      </c>
      <c r="H279" s="7">
        <f>COUNTIFS('HR Track 3 ZIC'!$M$5:$M$74,$A$278,'HR Track 3 ZIC'!$AW$5:$AW$74,$C279,'HR Track 3 ZIC'!$AY$5:$AY$74,$D279)</f>
        <v>0</v>
      </c>
      <c r="I279" s="7">
        <f>COUNTIFS('HR Track 4 ZIC'!$M$5:$M$45,$A$278,'HR Track 4 ZIC'!$AW$5:$AW$45,$C279,'HR Track 4 ZIC'!$AY$5:$AY$45,$D279)</f>
        <v>0</v>
      </c>
      <c r="J279" s="7">
        <f>COUNTIFS('HR Track 4 BIN'!$M$5:$M$45,$A$278,'HR Track 4 BIN'!$AW$5:$AW$45,$C279,'HR Track 4 BIN'!$AY$5:$AY$45,$D279)</f>
        <v>0</v>
      </c>
      <c r="K279" s="315">
        <f>COUNTIFS('HR Track 5 BIN'!$M$5:$M$39,$A$278,'HR Track 5 BIN'!$AW$5:$AW$39,$C279,'HR Track 5 BIN'!$AY$5:$AY$39,$D279)</f>
        <v>0</v>
      </c>
    </row>
    <row r="280" spans="1:11" ht="19.899999999999999" customHeight="1">
      <c r="A280" s="1024"/>
      <c r="B280" s="1013"/>
      <c r="C280" s="153" t="s">
        <v>2409</v>
      </c>
      <c r="D280" s="11" t="str">
        <f>VLOOKUP(B278,Foundation_Calc!$K$4:$R$37,5,FALSE)</f>
        <v>N.D.</v>
      </c>
      <c r="E280" s="7">
        <f t="shared" si="5"/>
        <v>0</v>
      </c>
      <c r="F280" s="7">
        <f>COUNTIFS('HR Track 1'!$M$5:$M$407,$A$278,'HR Track 1'!$AW$5:$AW$407,$C280,'HR Track 1'!$AY$5:$AY$407,$D280)</f>
        <v>0</v>
      </c>
      <c r="G280" s="7">
        <f>COUNTIFS('HR Track 2'!$M$5:$M$405,$A$278,'HR Track 2'!$AW$5:$AW$405,$C280,'HR Track 2'!$AY$5:$AY$405,$D280)</f>
        <v>0</v>
      </c>
      <c r="H280" s="7">
        <f>COUNTIFS('HR Track 3 ZIC'!$M$5:$M$74,$A$278,'HR Track 3 ZIC'!$AW$5:$AW$74,$C280,'HR Track 3 ZIC'!$AY$5:$AY$74,$D280)</f>
        <v>0</v>
      </c>
      <c r="I280" s="7">
        <f>COUNTIFS('HR Track 4 ZIC'!$M$5:$M$45,$A$278,'HR Track 4 ZIC'!$AW$5:$AW$45,$C280,'HR Track 4 ZIC'!$AY$5:$AY$45,$D280)</f>
        <v>0</v>
      </c>
      <c r="J280" s="7">
        <f>COUNTIFS('HR Track 4 BIN'!$M$5:$M$45,$A$278,'HR Track 4 BIN'!$AW$5:$AW$45,$C280,'HR Track 4 BIN'!$AY$5:$AY$45,$D280)</f>
        <v>0</v>
      </c>
      <c r="K280" s="315">
        <f>COUNTIFS('HR Track 5 BIN'!$M$5:$M$39,$A$278,'HR Track 5 BIN'!$AW$5:$AW$39,$C280,'HR Track 5 BIN'!$AY$5:$AY$39,$D280)</f>
        <v>0</v>
      </c>
    </row>
    <row r="281" spans="1:11" ht="19.899999999999999" customHeight="1">
      <c r="A281" s="1024"/>
      <c r="B281" s="1013"/>
      <c r="C281" s="153" t="s">
        <v>2280</v>
      </c>
      <c r="D281" s="11" t="str">
        <f>VLOOKUP(B278,Foundation_Calc!$K$4:$R$37,6,FALSE)</f>
        <v>N.D.</v>
      </c>
      <c r="E281" s="7">
        <f t="shared" si="5"/>
        <v>0</v>
      </c>
      <c r="F281" s="7">
        <f>COUNTIFS('HR Track 1'!$M$5:$M$407,$A$278,'HR Track 1'!$AW$5:$AW$407,$C281,'HR Track 1'!$AY$5:$AY$407,$D281)</f>
        <v>0</v>
      </c>
      <c r="G281" s="7">
        <f>COUNTIFS('HR Track 2'!$M$5:$M$405,$A$278,'HR Track 2'!$AW$5:$AW$405,$C281,'HR Track 2'!$AY$5:$AY$405,$D281)</f>
        <v>0</v>
      </c>
      <c r="H281" s="7">
        <f>COUNTIFS('HR Track 3 ZIC'!$M$5:$M$74,$A$278,'HR Track 3 ZIC'!$AW$5:$AW$74,$C281,'HR Track 3 ZIC'!$AY$5:$AY$74,$D281)</f>
        <v>0</v>
      </c>
      <c r="I281" s="7">
        <f>COUNTIFS('HR Track 4 ZIC'!$M$5:$M$45,$A$278,'HR Track 4 ZIC'!$AW$5:$AW$45,$C281,'HR Track 4 ZIC'!$AY$5:$AY$45,$D281)</f>
        <v>0</v>
      </c>
      <c r="J281" s="7">
        <f>COUNTIFS('HR Track 4 BIN'!$M$5:$M$45,$A$278,'HR Track 4 BIN'!$AW$5:$AW$45,$C281,'HR Track 4 BIN'!$AY$5:$AY$45,$D281)</f>
        <v>0</v>
      </c>
      <c r="K281" s="315">
        <f>COUNTIFS('HR Track 5 BIN'!$M$5:$M$39,$A$278,'HR Track 5 BIN'!$AW$5:$AW$39,$C281,'HR Track 5 BIN'!$AY$5:$AY$39,$D281)</f>
        <v>0</v>
      </c>
    </row>
    <row r="282" spans="1:11" ht="19.899999999999999" customHeight="1">
      <c r="A282" s="1024"/>
      <c r="B282" s="1013"/>
      <c r="C282" s="153" t="s">
        <v>2281</v>
      </c>
      <c r="D282" s="11" t="str">
        <f>VLOOKUP(B278,Foundation_Calc!$K$4:$R$37,7,FALSE)</f>
        <v>N.D.</v>
      </c>
      <c r="E282" s="7">
        <f t="shared" si="5"/>
        <v>0</v>
      </c>
      <c r="F282" s="7">
        <f>COUNTIFS('HR Track 1'!$M$5:$M$407,$A$278,'HR Track 1'!$AW$5:$AW$407,$C282,'HR Track 1'!$AY$5:$AY$407,$D282)</f>
        <v>0</v>
      </c>
      <c r="G282" s="7">
        <f>COUNTIFS('HR Track 2'!$M$5:$M$405,$A$278,'HR Track 2'!$AW$5:$AW$405,$C282,'HR Track 2'!$AY$5:$AY$405,$D282)</f>
        <v>0</v>
      </c>
      <c r="H282" s="7">
        <f>COUNTIFS('HR Track 3 ZIC'!$M$5:$M$74,$A$278,'HR Track 3 ZIC'!$AW$5:$AW$74,$C282,'HR Track 3 ZIC'!$AY$5:$AY$74,$D282)</f>
        <v>0</v>
      </c>
      <c r="I282" s="7">
        <f>COUNTIFS('HR Track 4 ZIC'!$M$5:$M$45,$A$278,'HR Track 4 ZIC'!$AW$5:$AW$45,$C282,'HR Track 4 ZIC'!$AY$5:$AY$45,$D282)</f>
        <v>0</v>
      </c>
      <c r="J282" s="7">
        <f>COUNTIFS('HR Track 4 BIN'!$M$5:$M$45,$A$278,'HR Track 4 BIN'!$AW$5:$AW$45,$C282,'HR Track 4 BIN'!$AY$5:$AY$45,$D282)</f>
        <v>0</v>
      </c>
      <c r="K282" s="315">
        <f>COUNTIFS('HR Track 5 BIN'!$M$5:$M$39,$A$278,'HR Track 5 BIN'!$AW$5:$AW$39,$C282,'HR Track 5 BIN'!$AY$5:$AY$39,$D282)</f>
        <v>0</v>
      </c>
    </row>
    <row r="283" spans="1:11" ht="19.899999999999999" customHeight="1" thickBot="1">
      <c r="A283" s="1025"/>
      <c r="B283" s="1014"/>
      <c r="C283" s="316" t="s">
        <v>2282</v>
      </c>
      <c r="D283" s="317" t="str">
        <f>VLOOKUP(B278,Foundation_Calc!$K$4:$R$37,8,FALSE)</f>
        <v>N.D.</v>
      </c>
      <c r="E283" s="318">
        <f t="shared" si="5"/>
        <v>0</v>
      </c>
      <c r="F283" s="318">
        <f>COUNTIFS('HR Track 1'!$M$5:$M$407,$A$278,'HR Track 1'!$AW$5:$AW$407,$C283,'HR Track 1'!$AY$5:$AY$407,$D283)</f>
        <v>0</v>
      </c>
      <c r="G283" s="318">
        <f>COUNTIFS('HR Track 2'!$M$5:$M$405,$A$278,'HR Track 2'!$AW$5:$AW$405,$C283,'HR Track 2'!$AY$5:$AY$405,$D283)</f>
        <v>0</v>
      </c>
      <c r="H283" s="318">
        <f>COUNTIFS('HR Track 3 ZIC'!$M$5:$M$74,$A$278,'HR Track 3 ZIC'!$AW$5:$AW$74,$C283,'HR Track 3 ZIC'!$AY$5:$AY$74,$D283)</f>
        <v>0</v>
      </c>
      <c r="I283" s="318">
        <f>COUNTIFS('HR Track 4 ZIC'!$M$5:$M$45,$A$278,'HR Track 4 ZIC'!$AW$5:$AW$45,$C283,'HR Track 4 ZIC'!$AY$5:$AY$45,$D283)</f>
        <v>0</v>
      </c>
      <c r="J283" s="318">
        <f>COUNTIFS('HR Track 4 BIN'!$M$5:$M$45,$A$278,'HR Track 4 BIN'!$AW$5:$AW$45,$C283,'HR Track 4 BIN'!$AY$5:$AY$45,$D283)</f>
        <v>0</v>
      </c>
      <c r="K283" s="319">
        <f>COUNTIFS('HR Track 5 BIN'!$M$5:$M$39,$A$278,'HR Track 5 BIN'!$AW$5:$AW$39,$C283,'HR Track 5 BIN'!$AY$5:$AY$39,$D283)</f>
        <v>0</v>
      </c>
    </row>
    <row r="284" spans="1:11" ht="19.899999999999999" customHeight="1">
      <c r="A284" s="1108" t="s">
        <v>2379</v>
      </c>
      <c r="B284" s="1111" t="s">
        <v>2332</v>
      </c>
      <c r="C284" s="311" t="s">
        <v>2407</v>
      </c>
      <c r="D284" s="320" t="str">
        <f>VLOOKUP(B284,Foundation_Calc!$K$41:$R$74,3,FALSE)</f>
        <v>N.D.</v>
      </c>
      <c r="E284" s="313">
        <f t="shared" si="5"/>
        <v>0</v>
      </c>
      <c r="F284" s="313">
        <f>COUNTIFS('HR Track 1'!$M$5:$M$407,$A$284,'HR Track 1'!$AW$5:$AW$407,$C284,'HR Track 1'!$AY$5:$AY$407,$D284)</f>
        <v>0</v>
      </c>
      <c r="G284" s="313">
        <f>COUNTIFS('HR Track 2'!$M$5:$M$405,$A$284,'HR Track 2'!$AW$5:$AW$405,$C284,'HR Track 2'!$AY$5:$AY$405,$D284)</f>
        <v>0</v>
      </c>
      <c r="H284" s="313">
        <f>COUNTIFS('HR Track 3 ZIC'!$M$5:$M$74,$A$284,'HR Track 3 ZIC'!$AW$5:$AW$74,$C284,'HR Track 3 ZIC'!$AY$5:$AY$74,$D284)</f>
        <v>0</v>
      </c>
      <c r="I284" s="313">
        <f>COUNTIFS('HR Track 4 ZIC'!$M$5:$M$45,$A$284,'HR Track 4 ZIC'!$AW$5:$AW$45,$C284,'HR Track 4 ZIC'!$AY$5:$AY$45,$D284)</f>
        <v>0</v>
      </c>
      <c r="J284" s="313">
        <f>COUNTIFS('HR Track 4 BIN'!$M$5:$M$45,$A$284,'HR Track 4 BIN'!$AW$5:$AW$45,$C284,'HR Track 4 BIN'!$AY$5:$AY$45,$D284)</f>
        <v>0</v>
      </c>
      <c r="K284" s="314">
        <f>COUNTIFS('HR Track 5 BIN'!$M$5:$M$39,$A$284,'HR Track 5 BIN'!$AW$5:$AW$39,$C284,'HR Track 5 BIN'!$AY$5:$AY$39,$D284)</f>
        <v>0</v>
      </c>
    </row>
    <row r="285" spans="1:11" ht="19.899999999999999" customHeight="1">
      <c r="A285" s="1109"/>
      <c r="B285" s="1112"/>
      <c r="C285" s="153" t="s">
        <v>2408</v>
      </c>
      <c r="D285" s="291" t="str">
        <f>VLOOKUP(B284,Foundation_Calc!$K$41:$R$74,4,FALSE)</f>
        <v>N.D.</v>
      </c>
      <c r="E285" s="7">
        <f t="shared" si="5"/>
        <v>0</v>
      </c>
      <c r="F285" s="7">
        <f>COUNTIFS('HR Track 1'!$M$5:$M$407,$A$284,'HR Track 1'!$AW$5:$AW$407,$C285,'HR Track 1'!$AY$5:$AY$407,$D285)</f>
        <v>0</v>
      </c>
      <c r="G285" s="7">
        <f>COUNTIFS('HR Track 2'!$M$5:$M$405,$A$284,'HR Track 2'!$AW$5:$AW$405,$C285,'HR Track 2'!$AY$5:$AY$405,$D285)</f>
        <v>0</v>
      </c>
      <c r="H285" s="7">
        <f>COUNTIFS('HR Track 3 ZIC'!$M$5:$M$74,$A$284,'HR Track 3 ZIC'!$AW$5:$AW$74,$C285,'HR Track 3 ZIC'!$AY$5:$AY$74,$D285)</f>
        <v>0</v>
      </c>
      <c r="I285" s="7">
        <f>COUNTIFS('HR Track 4 ZIC'!$M$5:$M$45,$A$284,'HR Track 4 ZIC'!$AW$5:$AW$45,$C285,'HR Track 4 ZIC'!$AY$5:$AY$45,$D285)</f>
        <v>0</v>
      </c>
      <c r="J285" s="7">
        <f>COUNTIFS('HR Track 4 BIN'!$M$5:$M$45,$A$284,'HR Track 4 BIN'!$AW$5:$AW$45,$C285,'HR Track 4 BIN'!$AY$5:$AY$45,$D285)</f>
        <v>0</v>
      </c>
      <c r="K285" s="315">
        <f>COUNTIFS('HR Track 5 BIN'!$M$5:$M$39,$A$284,'HR Track 5 BIN'!$AW$5:$AW$39,$C285,'HR Track 5 BIN'!$AY$5:$AY$39,$D285)</f>
        <v>0</v>
      </c>
    </row>
    <row r="286" spans="1:11" ht="19.899999999999999" customHeight="1">
      <c r="A286" s="1109"/>
      <c r="B286" s="1112"/>
      <c r="C286" s="153" t="s">
        <v>2409</v>
      </c>
      <c r="D286" s="291" t="str">
        <f>VLOOKUP(B284,Foundation_Calc!$K$41:$R$74,5,FALSE)</f>
        <v>N.D.</v>
      </c>
      <c r="E286" s="7">
        <f t="shared" si="5"/>
        <v>0</v>
      </c>
      <c r="F286" s="7">
        <f>COUNTIFS('HR Track 1'!$M$5:$M$407,$A$284,'HR Track 1'!$AW$5:$AW$407,$C286,'HR Track 1'!$AY$5:$AY$407,$D286)</f>
        <v>0</v>
      </c>
      <c r="G286" s="7">
        <f>COUNTIFS('HR Track 2'!$M$5:$M$405,$A$284,'HR Track 2'!$AW$5:$AW$405,$C286,'HR Track 2'!$AY$5:$AY$405,$D286)</f>
        <v>0</v>
      </c>
      <c r="H286" s="7">
        <f>COUNTIFS('HR Track 3 ZIC'!$M$5:$M$74,$A$284,'HR Track 3 ZIC'!$AW$5:$AW$74,$C286,'HR Track 3 ZIC'!$AY$5:$AY$74,$D286)</f>
        <v>0</v>
      </c>
      <c r="I286" s="7">
        <f>COUNTIFS('HR Track 4 ZIC'!$M$5:$M$45,$A$284,'HR Track 4 ZIC'!$AW$5:$AW$45,$C286,'HR Track 4 ZIC'!$AY$5:$AY$45,$D286)</f>
        <v>0</v>
      </c>
      <c r="J286" s="7">
        <f>COUNTIFS('HR Track 4 BIN'!$M$5:$M$45,$A$284,'HR Track 4 BIN'!$AW$5:$AW$45,$C286,'HR Track 4 BIN'!$AY$5:$AY$45,$D286)</f>
        <v>0</v>
      </c>
      <c r="K286" s="315">
        <f>COUNTIFS('HR Track 5 BIN'!$M$5:$M$39,$A$284,'HR Track 5 BIN'!$AW$5:$AW$39,$C286,'HR Track 5 BIN'!$AY$5:$AY$39,$D286)</f>
        <v>0</v>
      </c>
    </row>
    <row r="287" spans="1:11" ht="19.899999999999999" customHeight="1">
      <c r="A287" s="1109"/>
      <c r="B287" s="1112"/>
      <c r="C287" s="153" t="s">
        <v>2280</v>
      </c>
      <c r="D287" s="291" t="str">
        <f>VLOOKUP(B284,Foundation_Calc!$K$41:$R$74,6,FALSE)</f>
        <v>N.D.</v>
      </c>
      <c r="E287" s="7">
        <f t="shared" si="5"/>
        <v>0</v>
      </c>
      <c r="F287" s="7">
        <f>COUNTIFS('HR Track 1'!$M$5:$M$407,$A$284,'HR Track 1'!$AW$5:$AW$407,$C287,'HR Track 1'!$AY$5:$AY$407,$D287)</f>
        <v>0</v>
      </c>
      <c r="G287" s="7">
        <f>COUNTIFS('HR Track 2'!$M$5:$M$405,$A$284,'HR Track 2'!$AW$5:$AW$405,$C287,'HR Track 2'!$AY$5:$AY$405,$D287)</f>
        <v>0</v>
      </c>
      <c r="H287" s="7">
        <f>COUNTIFS('HR Track 3 ZIC'!$M$5:$M$74,$A$284,'HR Track 3 ZIC'!$AW$5:$AW$74,$C287,'HR Track 3 ZIC'!$AY$5:$AY$74,$D287)</f>
        <v>0</v>
      </c>
      <c r="I287" s="7">
        <f>COUNTIFS('HR Track 4 ZIC'!$M$5:$M$45,$A$284,'HR Track 4 ZIC'!$AW$5:$AW$45,$C287,'HR Track 4 ZIC'!$AY$5:$AY$45,$D287)</f>
        <v>0</v>
      </c>
      <c r="J287" s="7">
        <f>COUNTIFS('HR Track 4 BIN'!$M$5:$M$45,$A$284,'HR Track 4 BIN'!$AW$5:$AW$45,$C287,'HR Track 4 BIN'!$AY$5:$AY$45,$D287)</f>
        <v>0</v>
      </c>
      <c r="K287" s="315">
        <f>COUNTIFS('HR Track 5 BIN'!$M$5:$M$39,$A$284,'HR Track 5 BIN'!$AW$5:$AW$39,$C287,'HR Track 5 BIN'!$AY$5:$AY$39,$D287)</f>
        <v>0</v>
      </c>
    </row>
    <row r="288" spans="1:11" ht="19.899999999999999" customHeight="1">
      <c r="A288" s="1109"/>
      <c r="B288" s="1112"/>
      <c r="C288" s="153" t="s">
        <v>2281</v>
      </c>
      <c r="D288" s="291" t="str">
        <f>VLOOKUP(B284,Foundation_Calc!$K$41:$R$74,7,FALSE)</f>
        <v>N.D.</v>
      </c>
      <c r="E288" s="7">
        <f t="shared" si="5"/>
        <v>0</v>
      </c>
      <c r="F288" s="7">
        <f>COUNTIFS('HR Track 1'!$M$5:$M$407,$A$284,'HR Track 1'!$AW$5:$AW$407,$C288,'HR Track 1'!$AY$5:$AY$407,$D288)</f>
        <v>0</v>
      </c>
      <c r="G288" s="7">
        <f>COUNTIFS('HR Track 2'!$M$5:$M$405,$A$284,'HR Track 2'!$AW$5:$AW$405,$C288,'HR Track 2'!$AY$5:$AY$405,$D288)</f>
        <v>0</v>
      </c>
      <c r="H288" s="7">
        <f>COUNTIFS('HR Track 3 ZIC'!$M$5:$M$74,$A$284,'HR Track 3 ZIC'!$AW$5:$AW$74,$C288,'HR Track 3 ZIC'!$AY$5:$AY$74,$D288)</f>
        <v>0</v>
      </c>
      <c r="I288" s="7">
        <f>COUNTIFS('HR Track 4 ZIC'!$M$5:$M$45,$A$284,'HR Track 4 ZIC'!$AW$5:$AW$45,$C288,'HR Track 4 ZIC'!$AY$5:$AY$45,$D288)</f>
        <v>0</v>
      </c>
      <c r="J288" s="7">
        <f>COUNTIFS('HR Track 4 BIN'!$M$5:$M$45,$A$284,'HR Track 4 BIN'!$AW$5:$AW$45,$C288,'HR Track 4 BIN'!$AY$5:$AY$45,$D288)</f>
        <v>0</v>
      </c>
      <c r="K288" s="315">
        <f>COUNTIFS('HR Track 5 BIN'!$M$5:$M$39,$A$284,'HR Track 5 BIN'!$AW$5:$AW$39,$C288,'HR Track 5 BIN'!$AY$5:$AY$39,$D288)</f>
        <v>0</v>
      </c>
    </row>
    <row r="289" spans="1:11" ht="19.899999999999999" customHeight="1" thickBot="1">
      <c r="A289" s="1110"/>
      <c r="B289" s="1113"/>
      <c r="C289" s="316" t="s">
        <v>2282</v>
      </c>
      <c r="D289" s="321" t="str">
        <f>VLOOKUP(B284,Foundation_Calc!$K$41:$R$74,8,FALSE)</f>
        <v>N.D.</v>
      </c>
      <c r="E289" s="318">
        <f t="shared" si="5"/>
        <v>0</v>
      </c>
      <c r="F289" s="318">
        <f>COUNTIFS('HR Track 1'!$M$5:$M$407,$A$284,'HR Track 1'!$AW$5:$AW$407,$C289,'HR Track 1'!$AY$5:$AY$407,$D289)</f>
        <v>0</v>
      </c>
      <c r="G289" s="318">
        <f>COUNTIFS('HR Track 2'!$M$5:$M$405,$A$284,'HR Track 2'!$AW$5:$AW$405,$C289,'HR Track 2'!$AY$5:$AY$405,$D289)</f>
        <v>0</v>
      </c>
      <c r="H289" s="318">
        <f>COUNTIFS('HR Track 3 ZIC'!$M$5:$M$74,$A$284,'HR Track 3 ZIC'!$AW$5:$AW$74,$C289,'HR Track 3 ZIC'!$AY$5:$AY$74,$D289)</f>
        <v>0</v>
      </c>
      <c r="I289" s="318">
        <f>COUNTIFS('HR Track 4 ZIC'!$M$5:$M$45,$A$284,'HR Track 4 ZIC'!$AW$5:$AW$45,$C289,'HR Track 4 ZIC'!$AY$5:$AY$45,$D289)</f>
        <v>0</v>
      </c>
      <c r="J289" s="318">
        <f>COUNTIFS('HR Track 4 BIN'!$M$5:$M$45,$A$284,'HR Track 4 BIN'!$AW$5:$AW$45,$C289,'HR Track 4 BIN'!$AY$5:$AY$45,$D289)</f>
        <v>0</v>
      </c>
      <c r="K289" s="319">
        <f>COUNTIFS('HR Track 5 BIN'!$M$5:$M$39,$A$284,'HR Track 5 BIN'!$AW$5:$AW$39,$C289,'HR Track 5 BIN'!$AY$5:$AY$39,$D289)</f>
        <v>0</v>
      </c>
    </row>
    <row r="290" spans="1:11" ht="19.899999999999999" customHeight="1">
      <c r="A290" s="1114" t="s">
        <v>2370</v>
      </c>
      <c r="B290" s="1115" t="s">
        <v>2333</v>
      </c>
      <c r="C290" s="311" t="s">
        <v>2407</v>
      </c>
      <c r="D290" s="312" t="str">
        <f>VLOOKUP(B290,Foundation_Calc!$K$4:$R$37,3,FALSE)</f>
        <v>N.D.</v>
      </c>
      <c r="E290" s="313">
        <f t="shared" si="5"/>
        <v>0</v>
      </c>
      <c r="F290" s="313">
        <f>COUNTIFS('HR Track 1'!$M$5:$M$407,$A$290,'HR Track 1'!$AW$5:$AW$407,$C290,'HR Track 1'!$AY$5:$AY$407,$D290)</f>
        <v>0</v>
      </c>
      <c r="G290" s="313">
        <f>COUNTIFS('HR Track 2'!$M$5:$M$405,$A$290,'HR Track 2'!$AW$5:$AW$405,$C290,'HR Track 2'!$AY$5:$AY$405,$D290)</f>
        <v>0</v>
      </c>
      <c r="H290" s="313">
        <f>COUNTIFS('HR Track 3 ZIC'!$M$5:$M$74,$A$290,'HR Track 3 ZIC'!$AW$5:$AW$74,$C290,'HR Track 3 ZIC'!$AY$5:$AY$74,$D290)</f>
        <v>0</v>
      </c>
      <c r="I290" s="313">
        <f>COUNTIFS('HR Track 4 ZIC'!$M$5:$M$45,$A$290,'HR Track 4 ZIC'!$AW$5:$AW$45,$C290,'HR Track 4 ZIC'!$AY$5:$AY$45,$D290)</f>
        <v>0</v>
      </c>
      <c r="J290" s="313">
        <f>COUNTIFS('HR Track 4 BIN'!$M$5:$M$45,$A$290,'HR Track 4 BIN'!$AW$5:$AW$45,$C290,'HR Track 4 BIN'!$AY$5:$AY$45,$D290)</f>
        <v>0</v>
      </c>
      <c r="K290" s="314">
        <f>COUNTIFS('HR Track 5 BIN'!$M$5:$M$39,$A$290,'HR Track 5 BIN'!$AW$5:$AW$39,$C290,'HR Track 5 BIN'!$AY$5:$AY$39,$D290)</f>
        <v>0</v>
      </c>
    </row>
    <row r="291" spans="1:11" ht="19.899999999999999" customHeight="1">
      <c r="A291" s="1024"/>
      <c r="B291" s="1013"/>
      <c r="C291" s="153" t="s">
        <v>2408</v>
      </c>
      <c r="D291" s="11" t="str">
        <f>VLOOKUP(B290,Foundation_Calc!$K$4:$R$37,4,FALSE)</f>
        <v>N.D.</v>
      </c>
      <c r="E291" s="7">
        <f t="shared" si="5"/>
        <v>0</v>
      </c>
      <c r="F291" s="7">
        <f>COUNTIFS('HR Track 1'!$M$5:$M$407,$A$290,'HR Track 1'!$AW$5:$AW$407,$C291,'HR Track 1'!$AY$5:$AY$407,$D291)</f>
        <v>0</v>
      </c>
      <c r="G291" s="7">
        <f>COUNTIFS('HR Track 2'!$M$5:$M$405,$A$290,'HR Track 2'!$AW$5:$AW$405,$C291,'HR Track 2'!$AY$5:$AY$405,$D291)</f>
        <v>0</v>
      </c>
      <c r="H291" s="7">
        <f>COUNTIFS('HR Track 3 ZIC'!$M$5:$M$74,$A$290,'HR Track 3 ZIC'!$AW$5:$AW$74,$C291,'HR Track 3 ZIC'!$AY$5:$AY$74,$D291)</f>
        <v>0</v>
      </c>
      <c r="I291" s="7">
        <f>COUNTIFS('HR Track 4 ZIC'!$M$5:$M$45,$A$290,'HR Track 4 ZIC'!$AW$5:$AW$45,$C291,'HR Track 4 ZIC'!$AY$5:$AY$45,$D291)</f>
        <v>0</v>
      </c>
      <c r="J291" s="7">
        <f>COUNTIFS('HR Track 4 BIN'!$M$5:$M$45,$A$290,'HR Track 4 BIN'!$AW$5:$AW$45,$C291,'HR Track 4 BIN'!$AY$5:$AY$45,$D291)</f>
        <v>0</v>
      </c>
      <c r="K291" s="315">
        <f>COUNTIFS('HR Track 5 BIN'!$M$5:$M$39,$A$290,'HR Track 5 BIN'!$AW$5:$AW$39,$C291,'HR Track 5 BIN'!$AY$5:$AY$39,$D291)</f>
        <v>0</v>
      </c>
    </row>
    <row r="292" spans="1:11" ht="19.899999999999999" customHeight="1">
      <c r="A292" s="1024"/>
      <c r="B292" s="1013"/>
      <c r="C292" s="153" t="s">
        <v>2409</v>
      </c>
      <c r="D292" s="11" t="str">
        <f>VLOOKUP(B290,Foundation_Calc!$K$4:$R$37,5,FALSE)</f>
        <v>N.D.</v>
      </c>
      <c r="E292" s="7">
        <f t="shared" si="5"/>
        <v>0</v>
      </c>
      <c r="F292" s="7">
        <f>COUNTIFS('HR Track 1'!$M$5:$M$407,$A$290,'HR Track 1'!$AW$5:$AW$407,$C292,'HR Track 1'!$AY$5:$AY$407,$D292)</f>
        <v>0</v>
      </c>
      <c r="G292" s="7">
        <f>COUNTIFS('HR Track 2'!$M$5:$M$405,$A$290,'HR Track 2'!$AW$5:$AW$405,$C292,'HR Track 2'!$AY$5:$AY$405,$D292)</f>
        <v>0</v>
      </c>
      <c r="H292" s="7">
        <f>COUNTIFS('HR Track 3 ZIC'!$M$5:$M$74,$A$290,'HR Track 3 ZIC'!$AW$5:$AW$74,$C292,'HR Track 3 ZIC'!$AY$5:$AY$74,$D292)</f>
        <v>0</v>
      </c>
      <c r="I292" s="7">
        <f>COUNTIFS('HR Track 4 ZIC'!$M$5:$M$45,$A$290,'HR Track 4 ZIC'!$AW$5:$AW$45,$C292,'HR Track 4 ZIC'!$AY$5:$AY$45,$D292)</f>
        <v>0</v>
      </c>
      <c r="J292" s="7">
        <f>COUNTIFS('HR Track 4 BIN'!$M$5:$M$45,$A$290,'HR Track 4 BIN'!$AW$5:$AW$45,$C292,'HR Track 4 BIN'!$AY$5:$AY$45,$D292)</f>
        <v>0</v>
      </c>
      <c r="K292" s="315">
        <f>COUNTIFS('HR Track 5 BIN'!$M$5:$M$39,$A$290,'HR Track 5 BIN'!$AW$5:$AW$39,$C292,'HR Track 5 BIN'!$AY$5:$AY$39,$D292)</f>
        <v>0</v>
      </c>
    </row>
    <row r="293" spans="1:11" ht="19.899999999999999" customHeight="1">
      <c r="A293" s="1024"/>
      <c r="B293" s="1013"/>
      <c r="C293" s="153" t="s">
        <v>2280</v>
      </c>
      <c r="D293" s="11" t="str">
        <f>VLOOKUP(B290,Foundation_Calc!$K$4:$R$37,6,FALSE)</f>
        <v>N.D.</v>
      </c>
      <c r="E293" s="7">
        <f t="shared" si="5"/>
        <v>0</v>
      </c>
      <c r="F293" s="7">
        <f>COUNTIFS('HR Track 1'!$M$5:$M$407,$A$290,'HR Track 1'!$AW$5:$AW$407,$C293,'HR Track 1'!$AY$5:$AY$407,$D293)</f>
        <v>0</v>
      </c>
      <c r="G293" s="7">
        <f>COUNTIFS('HR Track 2'!$M$5:$M$405,$A$290,'HR Track 2'!$AW$5:$AW$405,$C293,'HR Track 2'!$AY$5:$AY$405,$D293)</f>
        <v>0</v>
      </c>
      <c r="H293" s="7">
        <f>COUNTIFS('HR Track 3 ZIC'!$M$5:$M$74,$A$290,'HR Track 3 ZIC'!$AW$5:$AW$74,$C293,'HR Track 3 ZIC'!$AY$5:$AY$74,$D293)</f>
        <v>0</v>
      </c>
      <c r="I293" s="7">
        <f>COUNTIFS('HR Track 4 ZIC'!$M$5:$M$45,$A$290,'HR Track 4 ZIC'!$AW$5:$AW$45,$C293,'HR Track 4 ZIC'!$AY$5:$AY$45,$D293)</f>
        <v>0</v>
      </c>
      <c r="J293" s="7">
        <f>COUNTIFS('HR Track 4 BIN'!$M$5:$M$45,$A$290,'HR Track 4 BIN'!$AW$5:$AW$45,$C293,'HR Track 4 BIN'!$AY$5:$AY$45,$D293)</f>
        <v>0</v>
      </c>
      <c r="K293" s="315">
        <f>COUNTIFS('HR Track 5 BIN'!$M$5:$M$39,$A$290,'HR Track 5 BIN'!$AW$5:$AW$39,$C293,'HR Track 5 BIN'!$AY$5:$AY$39,$D293)</f>
        <v>0</v>
      </c>
    </row>
    <row r="294" spans="1:11" ht="19.899999999999999" customHeight="1">
      <c r="A294" s="1024"/>
      <c r="B294" s="1013"/>
      <c r="C294" s="153" t="s">
        <v>2281</v>
      </c>
      <c r="D294" s="11" t="str">
        <f>VLOOKUP(B290,Foundation_Calc!$K$4:$R$37,7,FALSE)</f>
        <v>N.D.</v>
      </c>
      <c r="E294" s="7">
        <f t="shared" si="5"/>
        <v>0</v>
      </c>
      <c r="F294" s="7">
        <f>COUNTIFS('HR Track 1'!$M$5:$M$407,$A$290,'HR Track 1'!$AW$5:$AW$407,$C294,'HR Track 1'!$AY$5:$AY$407,$D294)</f>
        <v>0</v>
      </c>
      <c r="G294" s="7">
        <f>COUNTIFS('HR Track 2'!$M$5:$M$405,$A$290,'HR Track 2'!$AW$5:$AW$405,$C294,'HR Track 2'!$AY$5:$AY$405,$D294)</f>
        <v>0</v>
      </c>
      <c r="H294" s="7">
        <f>COUNTIFS('HR Track 3 ZIC'!$M$5:$M$74,$A$290,'HR Track 3 ZIC'!$AW$5:$AW$74,$C294,'HR Track 3 ZIC'!$AY$5:$AY$74,$D294)</f>
        <v>0</v>
      </c>
      <c r="I294" s="7">
        <f>COUNTIFS('HR Track 4 ZIC'!$M$5:$M$45,$A$290,'HR Track 4 ZIC'!$AW$5:$AW$45,$C294,'HR Track 4 ZIC'!$AY$5:$AY$45,$D294)</f>
        <v>0</v>
      </c>
      <c r="J294" s="7">
        <f>COUNTIFS('HR Track 4 BIN'!$M$5:$M$45,$A$290,'HR Track 4 BIN'!$AW$5:$AW$45,$C294,'HR Track 4 BIN'!$AY$5:$AY$45,$D294)</f>
        <v>0</v>
      </c>
      <c r="K294" s="315">
        <f>COUNTIFS('HR Track 5 BIN'!$M$5:$M$39,$A$290,'HR Track 5 BIN'!$AW$5:$AW$39,$C294,'HR Track 5 BIN'!$AY$5:$AY$39,$D294)</f>
        <v>0</v>
      </c>
    </row>
    <row r="295" spans="1:11" ht="19.899999999999999" customHeight="1" thickBot="1">
      <c r="A295" s="1025"/>
      <c r="B295" s="1014"/>
      <c r="C295" s="316" t="s">
        <v>2282</v>
      </c>
      <c r="D295" s="317" t="str">
        <f>VLOOKUP(B290,Foundation_Calc!$K$4:$R$37,8,FALSE)</f>
        <v>N.D.</v>
      </c>
      <c r="E295" s="318">
        <f t="shared" si="5"/>
        <v>0</v>
      </c>
      <c r="F295" s="318">
        <f>COUNTIFS('HR Track 1'!$M$5:$M$407,$A$290,'HR Track 1'!$AW$5:$AW$407,$C295,'HR Track 1'!$AY$5:$AY$407,$D295)</f>
        <v>0</v>
      </c>
      <c r="G295" s="318">
        <f>COUNTIFS('HR Track 2'!$M$5:$M$405,$A$290,'HR Track 2'!$AW$5:$AW$405,$C295,'HR Track 2'!$AY$5:$AY$405,$D295)</f>
        <v>0</v>
      </c>
      <c r="H295" s="318">
        <f>COUNTIFS('HR Track 3 ZIC'!$M$5:$M$74,$A$290,'HR Track 3 ZIC'!$AW$5:$AW$74,$C295,'HR Track 3 ZIC'!$AY$5:$AY$74,$D295)</f>
        <v>0</v>
      </c>
      <c r="I295" s="318">
        <f>COUNTIFS('HR Track 4 ZIC'!$M$5:$M$45,$A$290,'HR Track 4 ZIC'!$AW$5:$AW$45,$C295,'HR Track 4 ZIC'!$AY$5:$AY$45,$D295)</f>
        <v>0</v>
      </c>
      <c r="J295" s="318">
        <f>COUNTIFS('HR Track 4 BIN'!$M$5:$M$45,$A$290,'HR Track 4 BIN'!$AW$5:$AW$45,$C295,'HR Track 4 BIN'!$AY$5:$AY$45,$D295)</f>
        <v>0</v>
      </c>
      <c r="K295" s="319">
        <f>COUNTIFS('HR Track 5 BIN'!$M$5:$M$39,$A$290,'HR Track 5 BIN'!$AW$5:$AW$39,$C295,'HR Track 5 BIN'!$AY$5:$AY$39,$D295)</f>
        <v>0</v>
      </c>
    </row>
    <row r="296" spans="1:11" ht="19.899999999999999" customHeight="1">
      <c r="A296" s="1108" t="s">
        <v>2386</v>
      </c>
      <c r="B296" s="1111" t="s">
        <v>2333</v>
      </c>
      <c r="C296" s="311" t="s">
        <v>2407</v>
      </c>
      <c r="D296" s="320" t="str">
        <f>VLOOKUP(B296,Foundation_Calc!$K$41:$R$74,3,FALSE)</f>
        <v>N.D.</v>
      </c>
      <c r="E296" s="313">
        <f t="shared" si="5"/>
        <v>0</v>
      </c>
      <c r="F296" s="313">
        <f>COUNTIFS('HR Track 1'!$M$5:$M$407,$A$296,'HR Track 1'!$AW$5:$AW$407,$C296,'HR Track 1'!$AY$5:$AY$407,$D296)</f>
        <v>0</v>
      </c>
      <c r="G296" s="313">
        <f>COUNTIFS('HR Track 2'!$M$5:$M$405,$A$296,'HR Track 2'!$AW$5:$AW$405,$C296,'HR Track 2'!$AY$5:$AY$405,$D296)</f>
        <v>0</v>
      </c>
      <c r="H296" s="313">
        <f>COUNTIFS('HR Track 3 ZIC'!$M$5:$M$74,$A$296,'HR Track 3 ZIC'!$AW$5:$AW$74,$C296,'HR Track 3 ZIC'!$AY$5:$AY$74,$D296)</f>
        <v>0</v>
      </c>
      <c r="I296" s="313">
        <f>COUNTIFS('HR Track 4 ZIC'!$M$5:$M$45,$A$296,'HR Track 4 ZIC'!$AW$5:$AW$45,$C296,'HR Track 4 ZIC'!$AY$5:$AY$45,$D296)</f>
        <v>0</v>
      </c>
      <c r="J296" s="313">
        <f>COUNTIFS('HR Track 4 BIN'!$M$5:$M$45,$A$296,'HR Track 4 BIN'!$AW$5:$AW$45,$C296,'HR Track 4 BIN'!$AY$5:$AY$45,$D296)</f>
        <v>0</v>
      </c>
      <c r="K296" s="314">
        <f>COUNTIFS('HR Track 5 BIN'!$M$5:$M$39,$A$296,'HR Track 5 BIN'!$AW$5:$AW$39,$C296,'HR Track 5 BIN'!$AY$5:$AY$39,$D296)</f>
        <v>0</v>
      </c>
    </row>
    <row r="297" spans="1:11" ht="19.899999999999999" customHeight="1">
      <c r="A297" s="1109"/>
      <c r="B297" s="1112"/>
      <c r="C297" s="153" t="s">
        <v>2408</v>
      </c>
      <c r="D297" s="291" t="str">
        <f>VLOOKUP(B296,Foundation_Calc!$K$41:$R$74,4,FALSE)</f>
        <v>N.D.</v>
      </c>
      <c r="E297" s="7">
        <f t="shared" si="5"/>
        <v>0</v>
      </c>
      <c r="F297" s="7">
        <f>COUNTIFS('HR Track 1'!$M$5:$M$407,$A$296,'HR Track 1'!$AW$5:$AW$407,$C297,'HR Track 1'!$AY$5:$AY$407,$D297)</f>
        <v>0</v>
      </c>
      <c r="G297" s="7">
        <f>COUNTIFS('HR Track 2'!$M$5:$M$405,$A$296,'HR Track 2'!$AW$5:$AW$405,$C297,'HR Track 2'!$AY$5:$AY$405,$D297)</f>
        <v>0</v>
      </c>
      <c r="H297" s="7">
        <f>COUNTIFS('HR Track 3 ZIC'!$M$5:$M$74,$A$296,'HR Track 3 ZIC'!$AW$5:$AW$74,$C297,'HR Track 3 ZIC'!$AY$5:$AY$74,$D297)</f>
        <v>0</v>
      </c>
      <c r="I297" s="7">
        <f>COUNTIFS('HR Track 4 ZIC'!$M$5:$M$45,$A$296,'HR Track 4 ZIC'!$AW$5:$AW$45,$C297,'HR Track 4 ZIC'!$AY$5:$AY$45,$D297)</f>
        <v>0</v>
      </c>
      <c r="J297" s="7">
        <f>COUNTIFS('HR Track 4 BIN'!$M$5:$M$45,$A$296,'HR Track 4 BIN'!$AW$5:$AW$45,$C297,'HR Track 4 BIN'!$AY$5:$AY$45,$D297)</f>
        <v>0</v>
      </c>
      <c r="K297" s="315">
        <f>COUNTIFS('HR Track 5 BIN'!$M$5:$M$39,$A$296,'HR Track 5 BIN'!$AW$5:$AW$39,$C297,'HR Track 5 BIN'!$AY$5:$AY$39,$D297)</f>
        <v>0</v>
      </c>
    </row>
    <row r="298" spans="1:11" ht="19.899999999999999" customHeight="1">
      <c r="A298" s="1109"/>
      <c r="B298" s="1112"/>
      <c r="C298" s="153" t="s">
        <v>2409</v>
      </c>
      <c r="D298" s="291" t="str">
        <f>VLOOKUP(B296,Foundation_Calc!$K$41:$R$74,5,FALSE)</f>
        <v>N.D.</v>
      </c>
      <c r="E298" s="7">
        <f t="shared" si="5"/>
        <v>0</v>
      </c>
      <c r="F298" s="7">
        <f>COUNTIFS('HR Track 1'!$M$5:$M$407,$A$296,'HR Track 1'!$AW$5:$AW$407,$C298,'HR Track 1'!$AY$5:$AY$407,$D298)</f>
        <v>0</v>
      </c>
      <c r="G298" s="7">
        <f>COUNTIFS('HR Track 2'!$M$5:$M$405,$A$296,'HR Track 2'!$AW$5:$AW$405,$C298,'HR Track 2'!$AY$5:$AY$405,$D298)</f>
        <v>0</v>
      </c>
      <c r="H298" s="7">
        <f>COUNTIFS('HR Track 3 ZIC'!$M$5:$M$74,$A$296,'HR Track 3 ZIC'!$AW$5:$AW$74,$C298,'HR Track 3 ZIC'!$AY$5:$AY$74,$D298)</f>
        <v>0</v>
      </c>
      <c r="I298" s="7">
        <f>COUNTIFS('HR Track 4 ZIC'!$M$5:$M$45,$A$296,'HR Track 4 ZIC'!$AW$5:$AW$45,$C298,'HR Track 4 ZIC'!$AY$5:$AY$45,$D298)</f>
        <v>0</v>
      </c>
      <c r="J298" s="7">
        <f>COUNTIFS('HR Track 4 BIN'!$M$5:$M$45,$A$296,'HR Track 4 BIN'!$AW$5:$AW$45,$C298,'HR Track 4 BIN'!$AY$5:$AY$45,$D298)</f>
        <v>0</v>
      </c>
      <c r="K298" s="315">
        <f>COUNTIFS('HR Track 5 BIN'!$M$5:$M$39,$A$296,'HR Track 5 BIN'!$AW$5:$AW$39,$C298,'HR Track 5 BIN'!$AY$5:$AY$39,$D298)</f>
        <v>0</v>
      </c>
    </row>
    <row r="299" spans="1:11" ht="19.899999999999999" customHeight="1">
      <c r="A299" s="1109"/>
      <c r="B299" s="1112"/>
      <c r="C299" s="153" t="s">
        <v>2280</v>
      </c>
      <c r="D299" s="291" t="str">
        <f>VLOOKUP(B296,Foundation_Calc!$K$41:$R$74,6,FALSE)</f>
        <v>N.D.</v>
      </c>
      <c r="E299" s="7">
        <f t="shared" si="5"/>
        <v>0</v>
      </c>
      <c r="F299" s="7">
        <f>COUNTIFS('HR Track 1'!$M$5:$M$407,$A$296,'HR Track 1'!$AW$5:$AW$407,$C299,'HR Track 1'!$AY$5:$AY$407,$D299)</f>
        <v>0</v>
      </c>
      <c r="G299" s="7">
        <f>COUNTIFS('HR Track 2'!$M$5:$M$405,$A$296,'HR Track 2'!$AW$5:$AW$405,$C299,'HR Track 2'!$AY$5:$AY$405,$D299)</f>
        <v>0</v>
      </c>
      <c r="H299" s="7">
        <f>COUNTIFS('HR Track 3 ZIC'!$M$5:$M$74,$A$296,'HR Track 3 ZIC'!$AW$5:$AW$74,$C299,'HR Track 3 ZIC'!$AY$5:$AY$74,$D299)</f>
        <v>0</v>
      </c>
      <c r="I299" s="7">
        <f>COUNTIFS('HR Track 4 ZIC'!$M$5:$M$45,$A$296,'HR Track 4 ZIC'!$AW$5:$AW$45,$C299,'HR Track 4 ZIC'!$AY$5:$AY$45,$D299)</f>
        <v>0</v>
      </c>
      <c r="J299" s="7">
        <f>COUNTIFS('HR Track 4 BIN'!$M$5:$M$45,$A$296,'HR Track 4 BIN'!$AW$5:$AW$45,$C299,'HR Track 4 BIN'!$AY$5:$AY$45,$D299)</f>
        <v>0</v>
      </c>
      <c r="K299" s="315">
        <f>COUNTIFS('HR Track 5 BIN'!$M$5:$M$39,$A$296,'HR Track 5 BIN'!$AW$5:$AW$39,$C299,'HR Track 5 BIN'!$AY$5:$AY$39,$D299)</f>
        <v>0</v>
      </c>
    </row>
    <row r="300" spans="1:11" ht="19.899999999999999" customHeight="1">
      <c r="A300" s="1109"/>
      <c r="B300" s="1112"/>
      <c r="C300" s="153" t="s">
        <v>2281</v>
      </c>
      <c r="D300" s="291" t="str">
        <f>VLOOKUP(B296,Foundation_Calc!$K$41:$R$74,7,FALSE)</f>
        <v>N.D.</v>
      </c>
      <c r="E300" s="7">
        <f t="shared" si="5"/>
        <v>0</v>
      </c>
      <c r="F300" s="7">
        <f>COUNTIFS('HR Track 1'!$M$5:$M$407,$A$296,'HR Track 1'!$AW$5:$AW$407,$C300,'HR Track 1'!$AY$5:$AY$407,$D300)</f>
        <v>0</v>
      </c>
      <c r="G300" s="7">
        <f>COUNTIFS('HR Track 2'!$M$5:$M$405,$A$296,'HR Track 2'!$AW$5:$AW$405,$C300,'HR Track 2'!$AY$5:$AY$405,$D300)</f>
        <v>0</v>
      </c>
      <c r="H300" s="7">
        <f>COUNTIFS('HR Track 3 ZIC'!$M$5:$M$74,$A$296,'HR Track 3 ZIC'!$AW$5:$AW$74,$C300,'HR Track 3 ZIC'!$AY$5:$AY$74,$D300)</f>
        <v>0</v>
      </c>
      <c r="I300" s="7">
        <f>COUNTIFS('HR Track 4 ZIC'!$M$5:$M$45,$A$296,'HR Track 4 ZIC'!$AW$5:$AW$45,$C300,'HR Track 4 ZIC'!$AY$5:$AY$45,$D300)</f>
        <v>0</v>
      </c>
      <c r="J300" s="7">
        <f>COUNTIFS('HR Track 4 BIN'!$M$5:$M$45,$A$296,'HR Track 4 BIN'!$AW$5:$AW$45,$C300,'HR Track 4 BIN'!$AY$5:$AY$45,$D300)</f>
        <v>0</v>
      </c>
      <c r="K300" s="315">
        <f>COUNTIFS('HR Track 5 BIN'!$M$5:$M$39,$A$296,'HR Track 5 BIN'!$AW$5:$AW$39,$C300,'HR Track 5 BIN'!$AY$5:$AY$39,$D300)</f>
        <v>0</v>
      </c>
    </row>
    <row r="301" spans="1:11" ht="19.899999999999999" customHeight="1" thickBot="1">
      <c r="A301" s="1110"/>
      <c r="B301" s="1113"/>
      <c r="C301" s="316" t="s">
        <v>2282</v>
      </c>
      <c r="D301" s="321" t="str">
        <f>VLOOKUP(B296,Foundation_Calc!$K$41:$R$74,8,FALSE)</f>
        <v>N.D.</v>
      </c>
      <c r="E301" s="318">
        <f t="shared" si="5"/>
        <v>0</v>
      </c>
      <c r="F301" s="318">
        <f>COUNTIFS('HR Track 1'!$M$5:$M$407,$A$296,'HR Track 1'!$AW$5:$AW$407,$C301,'HR Track 1'!$AY$5:$AY$407,$D301)</f>
        <v>0</v>
      </c>
      <c r="G301" s="318">
        <f>COUNTIFS('HR Track 2'!$M$5:$M$405,$A$296,'HR Track 2'!$AW$5:$AW$405,$C301,'HR Track 2'!$AY$5:$AY$405,$D301)</f>
        <v>0</v>
      </c>
      <c r="H301" s="318">
        <f>COUNTIFS('HR Track 3 ZIC'!$M$5:$M$74,$A$296,'HR Track 3 ZIC'!$AW$5:$AW$74,$C301,'HR Track 3 ZIC'!$AY$5:$AY$74,$D301)</f>
        <v>0</v>
      </c>
      <c r="I301" s="318">
        <f>COUNTIFS('HR Track 4 ZIC'!$M$5:$M$45,$A$296,'HR Track 4 ZIC'!$AW$5:$AW$45,$C301,'HR Track 4 ZIC'!$AY$5:$AY$45,$D301)</f>
        <v>0</v>
      </c>
      <c r="J301" s="318">
        <f>COUNTIFS('HR Track 4 BIN'!$M$5:$M$45,$A$296,'HR Track 4 BIN'!$AW$5:$AW$45,$C301,'HR Track 4 BIN'!$AY$5:$AY$45,$D301)</f>
        <v>0</v>
      </c>
      <c r="K301" s="319">
        <f>COUNTIFS('HR Track 5 BIN'!$M$5:$M$39,$A$296,'HR Track 5 BIN'!$AW$5:$AW$39,$C301,'HR Track 5 BIN'!$AY$5:$AY$39,$D301)</f>
        <v>0</v>
      </c>
    </row>
    <row r="302" spans="1:11" ht="19.899999999999999" customHeight="1">
      <c r="A302" s="1114" t="s">
        <v>2371</v>
      </c>
      <c r="B302" s="1115" t="s">
        <v>2056</v>
      </c>
      <c r="C302" s="311" t="s">
        <v>2407</v>
      </c>
      <c r="D302" s="312" t="str">
        <f>VLOOKUP(B302,Foundation_Calc!$K$4:$R$37,3,FALSE)</f>
        <v>N.D.</v>
      </c>
      <c r="E302" s="313">
        <f t="shared" si="5"/>
        <v>0</v>
      </c>
      <c r="F302" s="313">
        <f>COUNTIFS('HR Track 1'!$M$5:$M$407,$A$302,'HR Track 1'!$AW$5:$AW$407,$C302,'HR Track 1'!$AY$5:$AY$407,$D302)</f>
        <v>0</v>
      </c>
      <c r="G302" s="313">
        <f>COUNTIFS('HR Track 2'!$M$5:$M$405,$A$302,'HR Track 2'!$AW$5:$AW$405,$C302,'HR Track 2'!$AY$5:$AY$405,$D302)</f>
        <v>0</v>
      </c>
      <c r="H302" s="313">
        <f>COUNTIFS('HR Track 3 ZIC'!$M$5:$M$74,$A$302,'HR Track 3 ZIC'!$AW$5:$AW$74,$C302,'HR Track 3 ZIC'!$AY$5:$AY$74,$D302)</f>
        <v>0</v>
      </c>
      <c r="I302" s="313">
        <f>COUNTIFS('HR Track 4 ZIC'!$M$5:$M$45,$A$302,'HR Track 4 ZIC'!$AW$5:$AW$45,$C302,'HR Track 4 ZIC'!$AY$5:$AY$45,$D302)</f>
        <v>0</v>
      </c>
      <c r="J302" s="313">
        <f>COUNTIFS('HR Track 4 BIN'!$M$5:$M$45,$A$302,'HR Track 4 BIN'!$AW$5:$AW$45,$C302,'HR Track 4 BIN'!$AY$5:$AY$45,$D302)</f>
        <v>0</v>
      </c>
      <c r="K302" s="314">
        <f>COUNTIFS('HR Track 5 BIN'!$M$5:$M$39,$A$302,'HR Track 5 BIN'!$AW$5:$AW$39,$C302,'HR Track 5 BIN'!$AY$5:$AY$39,$D302)</f>
        <v>0</v>
      </c>
    </row>
    <row r="303" spans="1:11" ht="19.899999999999999" customHeight="1">
      <c r="A303" s="1024"/>
      <c r="B303" s="1013"/>
      <c r="C303" s="153" t="s">
        <v>2408</v>
      </c>
      <c r="D303" s="11" t="str">
        <f>VLOOKUP(B302,Foundation_Calc!$K$4:$R$37,4,FALSE)</f>
        <v>N.D.</v>
      </c>
      <c r="E303" s="7">
        <f t="shared" si="5"/>
        <v>0</v>
      </c>
      <c r="F303" s="7">
        <f>COUNTIFS('HR Track 1'!$M$5:$M$407,$A$302,'HR Track 1'!$AW$5:$AW$407,$C303,'HR Track 1'!$AY$5:$AY$407,$D303)</f>
        <v>0</v>
      </c>
      <c r="G303" s="7">
        <f>COUNTIFS('HR Track 2'!$M$5:$M$405,$A$302,'HR Track 2'!$AW$5:$AW$405,$C303,'HR Track 2'!$AY$5:$AY$405,$D303)</f>
        <v>0</v>
      </c>
      <c r="H303" s="7">
        <f>COUNTIFS('HR Track 3 ZIC'!$M$5:$M$74,$A$302,'HR Track 3 ZIC'!$AW$5:$AW$74,$C303,'HR Track 3 ZIC'!$AY$5:$AY$74,$D303)</f>
        <v>0</v>
      </c>
      <c r="I303" s="7">
        <f>COUNTIFS('HR Track 4 ZIC'!$M$5:$M$45,$A$302,'HR Track 4 ZIC'!$AW$5:$AW$45,$C303,'HR Track 4 ZIC'!$AY$5:$AY$45,$D303)</f>
        <v>0</v>
      </c>
      <c r="J303" s="7">
        <f>COUNTIFS('HR Track 4 BIN'!$M$5:$M$45,$A$302,'HR Track 4 BIN'!$AW$5:$AW$45,$C303,'HR Track 4 BIN'!$AY$5:$AY$45,$D303)</f>
        <v>0</v>
      </c>
      <c r="K303" s="315">
        <f>COUNTIFS('HR Track 5 BIN'!$M$5:$M$39,$A$302,'HR Track 5 BIN'!$AW$5:$AW$39,$C303,'HR Track 5 BIN'!$AY$5:$AY$39,$D303)</f>
        <v>0</v>
      </c>
    </row>
    <row r="304" spans="1:11" ht="19.899999999999999" customHeight="1">
      <c r="A304" s="1024"/>
      <c r="B304" s="1013"/>
      <c r="C304" s="153" t="s">
        <v>2409</v>
      </c>
      <c r="D304" s="11" t="str">
        <f>VLOOKUP(B302,Foundation_Calc!$K$4:$R$37,5,FALSE)</f>
        <v>N.D.</v>
      </c>
      <c r="E304" s="7">
        <f t="shared" si="5"/>
        <v>0</v>
      </c>
      <c r="F304" s="7">
        <f>COUNTIFS('HR Track 1'!$M$5:$M$407,$A$302,'HR Track 1'!$AW$5:$AW$407,$C304,'HR Track 1'!$AY$5:$AY$407,$D304)</f>
        <v>0</v>
      </c>
      <c r="G304" s="7">
        <f>COUNTIFS('HR Track 2'!$M$5:$M$405,$A$302,'HR Track 2'!$AW$5:$AW$405,$C304,'HR Track 2'!$AY$5:$AY$405,$D304)</f>
        <v>0</v>
      </c>
      <c r="H304" s="7">
        <f>COUNTIFS('HR Track 3 ZIC'!$M$5:$M$74,$A$302,'HR Track 3 ZIC'!$AW$5:$AW$74,$C304,'HR Track 3 ZIC'!$AY$5:$AY$74,$D304)</f>
        <v>0</v>
      </c>
      <c r="I304" s="7">
        <f>COUNTIFS('HR Track 4 ZIC'!$M$5:$M$45,$A$302,'HR Track 4 ZIC'!$AW$5:$AW$45,$C304,'HR Track 4 ZIC'!$AY$5:$AY$45,$D304)</f>
        <v>0</v>
      </c>
      <c r="J304" s="7">
        <f>COUNTIFS('HR Track 4 BIN'!$M$5:$M$45,$A$302,'HR Track 4 BIN'!$AW$5:$AW$45,$C304,'HR Track 4 BIN'!$AY$5:$AY$45,$D304)</f>
        <v>0</v>
      </c>
      <c r="K304" s="315">
        <f>COUNTIFS('HR Track 5 BIN'!$M$5:$M$39,$A$302,'HR Track 5 BIN'!$AW$5:$AW$39,$C304,'HR Track 5 BIN'!$AY$5:$AY$39,$D304)</f>
        <v>0</v>
      </c>
    </row>
    <row r="305" spans="1:11" ht="19.899999999999999" customHeight="1">
      <c r="A305" s="1024"/>
      <c r="B305" s="1013"/>
      <c r="C305" s="153" t="s">
        <v>2280</v>
      </c>
      <c r="D305" s="11" t="str">
        <f>VLOOKUP(B302,Foundation_Calc!$K$4:$R$37,6,FALSE)</f>
        <v>N.D.</v>
      </c>
      <c r="E305" s="7">
        <f t="shared" si="5"/>
        <v>0</v>
      </c>
      <c r="F305" s="7">
        <f>COUNTIFS('HR Track 1'!$M$5:$M$407,$A$302,'HR Track 1'!$AW$5:$AW$407,$C305,'HR Track 1'!$AY$5:$AY$407,$D305)</f>
        <v>0</v>
      </c>
      <c r="G305" s="7">
        <f>COUNTIFS('HR Track 2'!$M$5:$M$405,$A$302,'HR Track 2'!$AW$5:$AW$405,$C305,'HR Track 2'!$AY$5:$AY$405,$D305)</f>
        <v>0</v>
      </c>
      <c r="H305" s="7">
        <f>COUNTIFS('HR Track 3 ZIC'!$M$5:$M$74,$A$302,'HR Track 3 ZIC'!$AW$5:$AW$74,$C305,'HR Track 3 ZIC'!$AY$5:$AY$74,$D305)</f>
        <v>0</v>
      </c>
      <c r="I305" s="7">
        <f>COUNTIFS('HR Track 4 ZIC'!$M$5:$M$45,$A$302,'HR Track 4 ZIC'!$AW$5:$AW$45,$C305,'HR Track 4 ZIC'!$AY$5:$AY$45,$D305)</f>
        <v>0</v>
      </c>
      <c r="J305" s="7">
        <f>COUNTIFS('HR Track 4 BIN'!$M$5:$M$45,$A$302,'HR Track 4 BIN'!$AW$5:$AW$45,$C305,'HR Track 4 BIN'!$AY$5:$AY$45,$D305)</f>
        <v>0</v>
      </c>
      <c r="K305" s="315">
        <f>COUNTIFS('HR Track 5 BIN'!$M$5:$M$39,$A$302,'HR Track 5 BIN'!$AW$5:$AW$39,$C305,'HR Track 5 BIN'!$AY$5:$AY$39,$D305)</f>
        <v>0</v>
      </c>
    </row>
    <row r="306" spans="1:11" ht="19.899999999999999" customHeight="1">
      <c r="A306" s="1024"/>
      <c r="B306" s="1013"/>
      <c r="C306" s="153" t="s">
        <v>2281</v>
      </c>
      <c r="D306" s="11" t="str">
        <f>VLOOKUP(B302,Foundation_Calc!$K$4:$R$37,7,FALSE)</f>
        <v>N.D.</v>
      </c>
      <c r="E306" s="7">
        <f t="shared" si="5"/>
        <v>0</v>
      </c>
      <c r="F306" s="7">
        <f>COUNTIFS('HR Track 1'!$M$5:$M$407,$A$302,'HR Track 1'!$AW$5:$AW$407,$C306,'HR Track 1'!$AY$5:$AY$407,$D306)</f>
        <v>0</v>
      </c>
      <c r="G306" s="7">
        <f>COUNTIFS('HR Track 2'!$M$5:$M$405,$A$302,'HR Track 2'!$AW$5:$AW$405,$C306,'HR Track 2'!$AY$5:$AY$405,$D306)</f>
        <v>0</v>
      </c>
      <c r="H306" s="7">
        <f>COUNTIFS('HR Track 3 ZIC'!$M$5:$M$74,$A$302,'HR Track 3 ZIC'!$AW$5:$AW$74,$C306,'HR Track 3 ZIC'!$AY$5:$AY$74,$D306)</f>
        <v>0</v>
      </c>
      <c r="I306" s="7">
        <f>COUNTIFS('HR Track 4 ZIC'!$M$5:$M$45,$A$302,'HR Track 4 ZIC'!$AW$5:$AW$45,$C306,'HR Track 4 ZIC'!$AY$5:$AY$45,$D306)</f>
        <v>0</v>
      </c>
      <c r="J306" s="7">
        <f>COUNTIFS('HR Track 4 BIN'!$M$5:$M$45,$A$302,'HR Track 4 BIN'!$AW$5:$AW$45,$C306,'HR Track 4 BIN'!$AY$5:$AY$45,$D306)</f>
        <v>0</v>
      </c>
      <c r="K306" s="315">
        <f>COUNTIFS('HR Track 5 BIN'!$M$5:$M$39,$A$302,'HR Track 5 BIN'!$AW$5:$AW$39,$C306,'HR Track 5 BIN'!$AY$5:$AY$39,$D306)</f>
        <v>0</v>
      </c>
    </row>
    <row r="307" spans="1:11" ht="19.899999999999999" customHeight="1" thickBot="1">
      <c r="A307" s="1025"/>
      <c r="B307" s="1014"/>
      <c r="C307" s="316" t="s">
        <v>2282</v>
      </c>
      <c r="D307" s="317" t="str">
        <f>VLOOKUP(B302,Foundation_Calc!$K$4:$R$37,8,FALSE)</f>
        <v>N.D.</v>
      </c>
      <c r="E307" s="318">
        <f t="shared" si="5"/>
        <v>0</v>
      </c>
      <c r="F307" s="318">
        <f>COUNTIFS('HR Track 1'!$M$5:$M$407,$A$302,'HR Track 1'!$AW$5:$AW$407,$C307,'HR Track 1'!$AY$5:$AY$407,$D307)</f>
        <v>0</v>
      </c>
      <c r="G307" s="318">
        <f>COUNTIFS('HR Track 2'!$M$5:$M$405,$A$302,'HR Track 2'!$AW$5:$AW$405,$C307,'HR Track 2'!$AY$5:$AY$405,$D307)</f>
        <v>0</v>
      </c>
      <c r="H307" s="318">
        <f>COUNTIFS('HR Track 3 ZIC'!$M$5:$M$74,$A$302,'HR Track 3 ZIC'!$AW$5:$AW$74,$C307,'HR Track 3 ZIC'!$AY$5:$AY$74,$D307)</f>
        <v>0</v>
      </c>
      <c r="I307" s="318">
        <f>COUNTIFS('HR Track 4 ZIC'!$M$5:$M$45,$A$302,'HR Track 4 ZIC'!$AW$5:$AW$45,$C307,'HR Track 4 ZIC'!$AY$5:$AY$45,$D307)</f>
        <v>0</v>
      </c>
      <c r="J307" s="318">
        <f>COUNTIFS('HR Track 4 BIN'!$M$5:$M$45,$A$302,'HR Track 4 BIN'!$AW$5:$AW$45,$C307,'HR Track 4 BIN'!$AY$5:$AY$45,$D307)</f>
        <v>0</v>
      </c>
      <c r="K307" s="319">
        <f>COUNTIFS('HR Track 5 BIN'!$M$5:$M$39,$A$302,'HR Track 5 BIN'!$AW$5:$AW$39,$C307,'HR Track 5 BIN'!$AY$5:$AY$39,$D307)</f>
        <v>0</v>
      </c>
    </row>
    <row r="308" spans="1:11" ht="19.899999999999999" customHeight="1">
      <c r="A308" s="1108" t="s">
        <v>2387</v>
      </c>
      <c r="B308" s="1111" t="s">
        <v>2056</v>
      </c>
      <c r="C308" s="311" t="s">
        <v>2407</v>
      </c>
      <c r="D308" s="320" t="str">
        <f>VLOOKUP(B308,Foundation_Calc!$K$41:$R$74,3,FALSE)</f>
        <v>N.D.</v>
      </c>
      <c r="E308" s="313">
        <f t="shared" si="5"/>
        <v>0</v>
      </c>
      <c r="F308" s="313">
        <f>COUNTIFS('HR Track 1'!$M$5:$M$407,$A$308,'HR Track 1'!$AW$5:$AW$407,$C308,'HR Track 1'!$AY$5:$AY$407,$D308)</f>
        <v>0</v>
      </c>
      <c r="G308" s="313">
        <f>COUNTIFS('HR Track 2'!$M$5:$M$405,$A$308,'HR Track 2'!$AW$5:$AW$405,$C308,'HR Track 2'!$AY$5:$AY$405,$D308)</f>
        <v>0</v>
      </c>
      <c r="H308" s="313">
        <f>COUNTIFS('HR Track 3 ZIC'!$M$5:$M$74,$A$308,'HR Track 3 ZIC'!$AW$5:$AW$74,$C308,'HR Track 3 ZIC'!$AY$5:$AY$74,$D308)</f>
        <v>0</v>
      </c>
      <c r="I308" s="313">
        <f>COUNTIFS('HR Track 4 ZIC'!$M$5:$M$45,$A$308,'HR Track 4 ZIC'!$AW$5:$AW$45,$C308,'HR Track 4 ZIC'!$AY$5:$AY$45,$D308)</f>
        <v>0</v>
      </c>
      <c r="J308" s="313">
        <f>COUNTIFS('HR Track 4 BIN'!$M$5:$M$45,$A$308,'HR Track 4 BIN'!$AW$5:$AW$45,$C308,'HR Track 4 BIN'!$AY$5:$AY$45,$D308)</f>
        <v>0</v>
      </c>
      <c r="K308" s="314">
        <f>COUNTIFS('HR Track 5 BIN'!$M$5:$M$39,$A$308,'HR Track 5 BIN'!$AW$5:$AW$39,$C308,'HR Track 5 BIN'!$AY$5:$AY$39,$D308)</f>
        <v>0</v>
      </c>
    </row>
    <row r="309" spans="1:11" ht="19.899999999999999" customHeight="1">
      <c r="A309" s="1109"/>
      <c r="B309" s="1112"/>
      <c r="C309" s="153" t="s">
        <v>2408</v>
      </c>
      <c r="D309" s="291" t="str">
        <f>VLOOKUP(B308,Foundation_Calc!$K$41:$R$74,4,FALSE)</f>
        <v>N.D.</v>
      </c>
      <c r="E309" s="7">
        <f t="shared" si="5"/>
        <v>0</v>
      </c>
      <c r="F309" s="7">
        <f>COUNTIFS('HR Track 1'!$M$5:$M$407,$A$308,'HR Track 1'!$AW$5:$AW$407,$C309,'HR Track 1'!$AY$5:$AY$407,$D309)</f>
        <v>0</v>
      </c>
      <c r="G309" s="7">
        <f>COUNTIFS('HR Track 2'!$M$5:$M$405,$A$308,'HR Track 2'!$AW$5:$AW$405,$C309,'HR Track 2'!$AY$5:$AY$405,$D309)</f>
        <v>0</v>
      </c>
      <c r="H309" s="7">
        <f>COUNTIFS('HR Track 3 ZIC'!$M$5:$M$74,$A$308,'HR Track 3 ZIC'!$AW$5:$AW$74,$C309,'HR Track 3 ZIC'!$AY$5:$AY$74,$D309)</f>
        <v>0</v>
      </c>
      <c r="I309" s="7">
        <f>COUNTIFS('HR Track 4 ZIC'!$M$5:$M$45,$A$308,'HR Track 4 ZIC'!$AW$5:$AW$45,$C309,'HR Track 4 ZIC'!$AY$5:$AY$45,$D309)</f>
        <v>0</v>
      </c>
      <c r="J309" s="7">
        <f>COUNTIFS('HR Track 4 BIN'!$M$5:$M$45,$A$308,'HR Track 4 BIN'!$AW$5:$AW$45,$C309,'HR Track 4 BIN'!$AY$5:$AY$45,$D309)</f>
        <v>0</v>
      </c>
      <c r="K309" s="315">
        <f>COUNTIFS('HR Track 5 BIN'!$M$5:$M$39,$A$308,'HR Track 5 BIN'!$AW$5:$AW$39,$C309,'HR Track 5 BIN'!$AY$5:$AY$39,$D309)</f>
        <v>0</v>
      </c>
    </row>
    <row r="310" spans="1:11" ht="19.899999999999999" customHeight="1">
      <c r="A310" s="1109"/>
      <c r="B310" s="1112"/>
      <c r="C310" s="153" t="s">
        <v>2409</v>
      </c>
      <c r="D310" s="291" t="str">
        <f>VLOOKUP(B308,Foundation_Calc!$K$41:$R$74,5,FALSE)</f>
        <v>N.D.</v>
      </c>
      <c r="E310" s="7">
        <f t="shared" si="5"/>
        <v>0</v>
      </c>
      <c r="F310" s="7">
        <f>COUNTIFS('HR Track 1'!$M$5:$M$407,$A$308,'HR Track 1'!$AW$5:$AW$407,$C310,'HR Track 1'!$AY$5:$AY$407,$D310)</f>
        <v>0</v>
      </c>
      <c r="G310" s="7">
        <f>COUNTIFS('HR Track 2'!$M$5:$M$405,$A$308,'HR Track 2'!$AW$5:$AW$405,$C310,'HR Track 2'!$AY$5:$AY$405,$D310)</f>
        <v>0</v>
      </c>
      <c r="H310" s="7">
        <f>COUNTIFS('HR Track 3 ZIC'!$M$5:$M$74,$A$308,'HR Track 3 ZIC'!$AW$5:$AW$74,$C310,'HR Track 3 ZIC'!$AY$5:$AY$74,$D310)</f>
        <v>0</v>
      </c>
      <c r="I310" s="7">
        <f>COUNTIFS('HR Track 4 ZIC'!$M$5:$M$45,$A$308,'HR Track 4 ZIC'!$AW$5:$AW$45,$C310,'HR Track 4 ZIC'!$AY$5:$AY$45,$D310)</f>
        <v>0</v>
      </c>
      <c r="J310" s="7">
        <f>COUNTIFS('HR Track 4 BIN'!$M$5:$M$45,$A$308,'HR Track 4 BIN'!$AW$5:$AW$45,$C310,'HR Track 4 BIN'!$AY$5:$AY$45,$D310)</f>
        <v>0</v>
      </c>
      <c r="K310" s="315">
        <f>COUNTIFS('HR Track 5 BIN'!$M$5:$M$39,$A$308,'HR Track 5 BIN'!$AW$5:$AW$39,$C310,'HR Track 5 BIN'!$AY$5:$AY$39,$D310)</f>
        <v>0</v>
      </c>
    </row>
    <row r="311" spans="1:11" ht="19.899999999999999" customHeight="1">
      <c r="A311" s="1109"/>
      <c r="B311" s="1112"/>
      <c r="C311" s="153" t="s">
        <v>2280</v>
      </c>
      <c r="D311" s="291" t="str">
        <f>VLOOKUP(B308,Foundation_Calc!$K$41:$R$74,6,FALSE)</f>
        <v>N.D.</v>
      </c>
      <c r="E311" s="7">
        <f t="shared" si="5"/>
        <v>0</v>
      </c>
      <c r="F311" s="7">
        <f>COUNTIFS('HR Track 1'!$M$5:$M$407,$A$308,'HR Track 1'!$AW$5:$AW$407,$C311,'HR Track 1'!$AY$5:$AY$407,$D311)</f>
        <v>0</v>
      </c>
      <c r="G311" s="7">
        <f>COUNTIFS('HR Track 2'!$M$5:$M$405,$A$308,'HR Track 2'!$AW$5:$AW$405,$C311,'HR Track 2'!$AY$5:$AY$405,$D311)</f>
        <v>0</v>
      </c>
      <c r="H311" s="7">
        <f>COUNTIFS('HR Track 3 ZIC'!$M$5:$M$74,$A$308,'HR Track 3 ZIC'!$AW$5:$AW$74,$C311,'HR Track 3 ZIC'!$AY$5:$AY$74,$D311)</f>
        <v>0</v>
      </c>
      <c r="I311" s="7">
        <f>COUNTIFS('HR Track 4 ZIC'!$M$5:$M$45,$A$308,'HR Track 4 ZIC'!$AW$5:$AW$45,$C311,'HR Track 4 ZIC'!$AY$5:$AY$45,$D311)</f>
        <v>0</v>
      </c>
      <c r="J311" s="7">
        <f>COUNTIFS('HR Track 4 BIN'!$M$5:$M$45,$A$308,'HR Track 4 BIN'!$AW$5:$AW$45,$C311,'HR Track 4 BIN'!$AY$5:$AY$45,$D311)</f>
        <v>0</v>
      </c>
      <c r="K311" s="315">
        <f>COUNTIFS('HR Track 5 BIN'!$M$5:$M$39,$A$308,'HR Track 5 BIN'!$AW$5:$AW$39,$C311,'HR Track 5 BIN'!$AY$5:$AY$39,$D311)</f>
        <v>0</v>
      </c>
    </row>
    <row r="312" spans="1:11" ht="19.899999999999999" customHeight="1">
      <c r="A312" s="1109"/>
      <c r="B312" s="1112"/>
      <c r="C312" s="153" t="s">
        <v>2281</v>
      </c>
      <c r="D312" s="291" t="str">
        <f>VLOOKUP(B308,Foundation_Calc!$K$41:$R$74,7,FALSE)</f>
        <v>N.D.</v>
      </c>
      <c r="E312" s="7">
        <f t="shared" si="5"/>
        <v>0</v>
      </c>
      <c r="F312" s="7">
        <f>COUNTIFS('HR Track 1'!$M$5:$M$407,$A$308,'HR Track 1'!$AW$5:$AW$407,$C312,'HR Track 1'!$AY$5:$AY$407,$D312)</f>
        <v>0</v>
      </c>
      <c r="G312" s="7">
        <f>COUNTIFS('HR Track 2'!$M$5:$M$405,$A$308,'HR Track 2'!$AW$5:$AW$405,$C312,'HR Track 2'!$AY$5:$AY$405,$D312)</f>
        <v>0</v>
      </c>
      <c r="H312" s="7">
        <f>COUNTIFS('HR Track 3 ZIC'!$M$5:$M$74,$A$308,'HR Track 3 ZIC'!$AW$5:$AW$74,$C312,'HR Track 3 ZIC'!$AY$5:$AY$74,$D312)</f>
        <v>0</v>
      </c>
      <c r="I312" s="7">
        <f>COUNTIFS('HR Track 4 ZIC'!$M$5:$M$45,$A$308,'HR Track 4 ZIC'!$AW$5:$AW$45,$C312,'HR Track 4 ZIC'!$AY$5:$AY$45,$D312)</f>
        <v>0</v>
      </c>
      <c r="J312" s="7">
        <f>COUNTIFS('HR Track 4 BIN'!$M$5:$M$45,$A$308,'HR Track 4 BIN'!$AW$5:$AW$45,$C312,'HR Track 4 BIN'!$AY$5:$AY$45,$D312)</f>
        <v>0</v>
      </c>
      <c r="K312" s="315">
        <f>COUNTIFS('HR Track 5 BIN'!$M$5:$M$39,$A$308,'HR Track 5 BIN'!$AW$5:$AW$39,$C312,'HR Track 5 BIN'!$AY$5:$AY$39,$D312)</f>
        <v>0</v>
      </c>
    </row>
    <row r="313" spans="1:11" ht="19.899999999999999" customHeight="1" thickBot="1">
      <c r="A313" s="1110"/>
      <c r="B313" s="1113"/>
      <c r="C313" s="316" t="s">
        <v>2282</v>
      </c>
      <c r="D313" s="321" t="str">
        <f>VLOOKUP(B308,Foundation_Calc!$K$41:$R$74,8,FALSE)</f>
        <v>N.D.</v>
      </c>
      <c r="E313" s="318">
        <f t="shared" si="5"/>
        <v>0</v>
      </c>
      <c r="F313" s="318">
        <f>COUNTIFS('HR Track 1'!$M$5:$M$407,$A$308,'HR Track 1'!$AW$5:$AW$407,$C313,'HR Track 1'!$AY$5:$AY$407,$D313)</f>
        <v>0</v>
      </c>
      <c r="G313" s="318">
        <f>COUNTIFS('HR Track 2'!$M$5:$M$405,$A$308,'HR Track 2'!$AW$5:$AW$405,$C313,'HR Track 2'!$AY$5:$AY$405,$D313)</f>
        <v>0</v>
      </c>
      <c r="H313" s="318">
        <f>COUNTIFS('HR Track 3 ZIC'!$M$5:$M$74,$A$308,'HR Track 3 ZIC'!$AW$5:$AW$74,$C313,'HR Track 3 ZIC'!$AY$5:$AY$74,$D313)</f>
        <v>0</v>
      </c>
      <c r="I313" s="318">
        <f>COUNTIFS('HR Track 4 ZIC'!$M$5:$M$45,$A$308,'HR Track 4 ZIC'!$AW$5:$AW$45,$C313,'HR Track 4 ZIC'!$AY$5:$AY$45,$D313)</f>
        <v>0</v>
      </c>
      <c r="J313" s="318">
        <f>COUNTIFS('HR Track 4 BIN'!$M$5:$M$45,$A$308,'HR Track 4 BIN'!$AW$5:$AW$45,$C313,'HR Track 4 BIN'!$AY$5:$AY$45,$D313)</f>
        <v>0</v>
      </c>
      <c r="K313" s="319">
        <f>COUNTIFS('HR Track 5 BIN'!$M$5:$M$39,$A$308,'HR Track 5 BIN'!$AW$5:$AW$39,$C313,'HR Track 5 BIN'!$AY$5:$AY$39,$D313)</f>
        <v>0</v>
      </c>
    </row>
    <row r="314" spans="1:11" ht="19.899999999999999" customHeight="1">
      <c r="A314" s="1114" t="s">
        <v>2372</v>
      </c>
      <c r="B314" s="1115" t="s">
        <v>2057</v>
      </c>
      <c r="C314" s="311" t="s">
        <v>2407</v>
      </c>
      <c r="D314" s="312" t="str">
        <f>VLOOKUP(B314,Foundation_Calc!$K$4:$R$37,3,FALSE)</f>
        <v>N.D.</v>
      </c>
      <c r="E314" s="313">
        <f t="shared" si="5"/>
        <v>0</v>
      </c>
      <c r="F314" s="313">
        <f>COUNTIFS('HR Track 1'!$M$5:$M$407,$A$314,'HR Track 1'!$AW$5:$AW$407,$C314,'HR Track 1'!$AY$5:$AY$407,$D314)</f>
        <v>0</v>
      </c>
      <c r="G314" s="313">
        <f>COUNTIFS('HR Track 2'!$M$5:$M$405,$A$314,'HR Track 2'!$AW$5:$AW$405,$C314,'HR Track 2'!$AY$5:$AY$405,$D314)</f>
        <v>0</v>
      </c>
      <c r="H314" s="313">
        <f>COUNTIFS('HR Track 3 ZIC'!$M$5:$M$74,$A$314,'HR Track 3 ZIC'!$AW$5:$AW$74,$C314,'HR Track 3 ZIC'!$AY$5:$AY$74,$D314)</f>
        <v>0</v>
      </c>
      <c r="I314" s="313">
        <f>COUNTIFS('HR Track 4 ZIC'!$M$5:$M$45,$A$314,'HR Track 4 ZIC'!$AW$5:$AW$45,$C314,'HR Track 4 ZIC'!$AY$5:$AY$45,$D314)</f>
        <v>0</v>
      </c>
      <c r="J314" s="313">
        <f>COUNTIFS('HR Track 4 BIN'!$M$5:$M$45,$A$314,'HR Track 4 BIN'!$AW$5:$AW$45,$C314,'HR Track 4 BIN'!$AY$5:$AY$45,$D314)</f>
        <v>0</v>
      </c>
      <c r="K314" s="314">
        <f>COUNTIFS('HR Track 5 BIN'!$M$5:$M$39,$A$314,'HR Track 5 BIN'!$AW$5:$AW$39,$C314,'HR Track 5 BIN'!$AY$5:$AY$39,$D314)</f>
        <v>0</v>
      </c>
    </row>
    <row r="315" spans="1:11" ht="19.899999999999999" customHeight="1">
      <c r="A315" s="1024"/>
      <c r="B315" s="1013"/>
      <c r="C315" s="153" t="s">
        <v>2408</v>
      </c>
      <c r="D315" s="11" t="str">
        <f>VLOOKUP(B314,Foundation_Calc!$K$4:$R$37,4,FALSE)</f>
        <v>N.D.</v>
      </c>
      <c r="E315" s="7">
        <f t="shared" si="5"/>
        <v>0</v>
      </c>
      <c r="F315" s="7">
        <f>COUNTIFS('HR Track 1'!$M$5:$M$407,$A$314,'HR Track 1'!$AW$5:$AW$407,$C315,'HR Track 1'!$AY$5:$AY$407,$D315)</f>
        <v>0</v>
      </c>
      <c r="G315" s="7">
        <f>COUNTIFS('HR Track 2'!$M$5:$M$405,$A$314,'HR Track 2'!$AW$5:$AW$405,$C315,'HR Track 2'!$AY$5:$AY$405,$D315)</f>
        <v>0</v>
      </c>
      <c r="H315" s="7">
        <f>COUNTIFS('HR Track 3 ZIC'!$M$5:$M$74,$A$314,'HR Track 3 ZIC'!$AW$5:$AW$74,$C315,'HR Track 3 ZIC'!$AY$5:$AY$74,$D315)</f>
        <v>0</v>
      </c>
      <c r="I315" s="7">
        <f>COUNTIFS('HR Track 4 ZIC'!$M$5:$M$45,$A$314,'HR Track 4 ZIC'!$AW$5:$AW$45,$C315,'HR Track 4 ZIC'!$AY$5:$AY$45,$D315)</f>
        <v>0</v>
      </c>
      <c r="J315" s="7">
        <f>COUNTIFS('HR Track 4 BIN'!$M$5:$M$45,$A$314,'HR Track 4 BIN'!$AW$5:$AW$45,$C315,'HR Track 4 BIN'!$AY$5:$AY$45,$D315)</f>
        <v>0</v>
      </c>
      <c r="K315" s="315">
        <f>COUNTIFS('HR Track 5 BIN'!$M$5:$M$39,$A$314,'HR Track 5 BIN'!$AW$5:$AW$39,$C315,'HR Track 5 BIN'!$AY$5:$AY$39,$D315)</f>
        <v>0</v>
      </c>
    </row>
    <row r="316" spans="1:11" ht="19.899999999999999" customHeight="1">
      <c r="A316" s="1024"/>
      <c r="B316" s="1013"/>
      <c r="C316" s="153" t="s">
        <v>2409</v>
      </c>
      <c r="D316" s="11" t="str">
        <f>VLOOKUP(B314,Foundation_Calc!$K$4:$R$37,5,FALSE)</f>
        <v>N.D.</v>
      </c>
      <c r="E316" s="7">
        <f t="shared" si="5"/>
        <v>0</v>
      </c>
      <c r="F316" s="7">
        <f>COUNTIFS('HR Track 1'!$M$5:$M$407,$A$314,'HR Track 1'!$AW$5:$AW$407,$C316,'HR Track 1'!$AY$5:$AY$407,$D316)</f>
        <v>0</v>
      </c>
      <c r="G316" s="7">
        <f>COUNTIFS('HR Track 2'!$M$5:$M$405,$A$314,'HR Track 2'!$AW$5:$AW$405,$C316,'HR Track 2'!$AY$5:$AY$405,$D316)</f>
        <v>0</v>
      </c>
      <c r="H316" s="7">
        <f>COUNTIFS('HR Track 3 ZIC'!$M$5:$M$74,$A$314,'HR Track 3 ZIC'!$AW$5:$AW$74,$C316,'HR Track 3 ZIC'!$AY$5:$AY$74,$D316)</f>
        <v>0</v>
      </c>
      <c r="I316" s="7">
        <f>COUNTIFS('HR Track 4 ZIC'!$M$5:$M$45,$A$314,'HR Track 4 ZIC'!$AW$5:$AW$45,$C316,'HR Track 4 ZIC'!$AY$5:$AY$45,$D316)</f>
        <v>0</v>
      </c>
      <c r="J316" s="7">
        <f>COUNTIFS('HR Track 4 BIN'!$M$5:$M$45,$A$314,'HR Track 4 BIN'!$AW$5:$AW$45,$C316,'HR Track 4 BIN'!$AY$5:$AY$45,$D316)</f>
        <v>0</v>
      </c>
      <c r="K316" s="315">
        <f>COUNTIFS('HR Track 5 BIN'!$M$5:$M$39,$A$314,'HR Track 5 BIN'!$AW$5:$AW$39,$C316,'HR Track 5 BIN'!$AY$5:$AY$39,$D316)</f>
        <v>0</v>
      </c>
    </row>
    <row r="317" spans="1:11" ht="19.899999999999999" customHeight="1">
      <c r="A317" s="1024"/>
      <c r="B317" s="1013"/>
      <c r="C317" s="153" t="s">
        <v>2280</v>
      </c>
      <c r="D317" s="11" t="str">
        <f>VLOOKUP(B314,Foundation_Calc!$K$4:$R$37,6,FALSE)</f>
        <v>N.D.</v>
      </c>
      <c r="E317" s="7">
        <f t="shared" si="5"/>
        <v>0</v>
      </c>
      <c r="F317" s="7">
        <f>COUNTIFS('HR Track 1'!$M$5:$M$407,$A$314,'HR Track 1'!$AW$5:$AW$407,$C317,'HR Track 1'!$AY$5:$AY$407,$D317)</f>
        <v>0</v>
      </c>
      <c r="G317" s="7">
        <f>COUNTIFS('HR Track 2'!$M$5:$M$405,$A$314,'HR Track 2'!$AW$5:$AW$405,$C317,'HR Track 2'!$AY$5:$AY$405,$D317)</f>
        <v>0</v>
      </c>
      <c r="H317" s="7">
        <f>COUNTIFS('HR Track 3 ZIC'!$M$5:$M$74,$A$314,'HR Track 3 ZIC'!$AW$5:$AW$74,$C317,'HR Track 3 ZIC'!$AY$5:$AY$74,$D317)</f>
        <v>0</v>
      </c>
      <c r="I317" s="7">
        <f>COUNTIFS('HR Track 4 ZIC'!$M$5:$M$45,$A$314,'HR Track 4 ZIC'!$AW$5:$AW$45,$C317,'HR Track 4 ZIC'!$AY$5:$AY$45,$D317)</f>
        <v>0</v>
      </c>
      <c r="J317" s="7">
        <f>COUNTIFS('HR Track 4 BIN'!$M$5:$M$45,$A$314,'HR Track 4 BIN'!$AW$5:$AW$45,$C317,'HR Track 4 BIN'!$AY$5:$AY$45,$D317)</f>
        <v>0</v>
      </c>
      <c r="K317" s="315">
        <f>COUNTIFS('HR Track 5 BIN'!$M$5:$M$39,$A$314,'HR Track 5 BIN'!$AW$5:$AW$39,$C317,'HR Track 5 BIN'!$AY$5:$AY$39,$D317)</f>
        <v>0</v>
      </c>
    </row>
    <row r="318" spans="1:11" ht="19.899999999999999" customHeight="1">
      <c r="A318" s="1024"/>
      <c r="B318" s="1013"/>
      <c r="C318" s="153" t="s">
        <v>2281</v>
      </c>
      <c r="D318" s="11" t="str">
        <f>VLOOKUP(B314,Foundation_Calc!$K$4:$R$37,7,FALSE)</f>
        <v>N.D.</v>
      </c>
      <c r="E318" s="7">
        <f t="shared" si="5"/>
        <v>0</v>
      </c>
      <c r="F318" s="7">
        <f>COUNTIFS('HR Track 1'!$M$5:$M$407,$A$314,'HR Track 1'!$AW$5:$AW$407,$C318,'HR Track 1'!$AY$5:$AY$407,$D318)</f>
        <v>0</v>
      </c>
      <c r="G318" s="7">
        <f>COUNTIFS('HR Track 2'!$M$5:$M$405,$A$314,'HR Track 2'!$AW$5:$AW$405,$C318,'HR Track 2'!$AY$5:$AY$405,$D318)</f>
        <v>0</v>
      </c>
      <c r="H318" s="7">
        <f>COUNTIFS('HR Track 3 ZIC'!$M$5:$M$74,$A$314,'HR Track 3 ZIC'!$AW$5:$AW$74,$C318,'HR Track 3 ZIC'!$AY$5:$AY$74,$D318)</f>
        <v>0</v>
      </c>
      <c r="I318" s="7">
        <f>COUNTIFS('HR Track 4 ZIC'!$M$5:$M$45,$A$314,'HR Track 4 ZIC'!$AW$5:$AW$45,$C318,'HR Track 4 ZIC'!$AY$5:$AY$45,$D318)</f>
        <v>0</v>
      </c>
      <c r="J318" s="7">
        <f>COUNTIFS('HR Track 4 BIN'!$M$5:$M$45,$A$314,'HR Track 4 BIN'!$AW$5:$AW$45,$C318,'HR Track 4 BIN'!$AY$5:$AY$45,$D318)</f>
        <v>0</v>
      </c>
      <c r="K318" s="315">
        <f>COUNTIFS('HR Track 5 BIN'!$M$5:$M$39,$A$314,'HR Track 5 BIN'!$AW$5:$AW$39,$C318,'HR Track 5 BIN'!$AY$5:$AY$39,$D318)</f>
        <v>0</v>
      </c>
    </row>
    <row r="319" spans="1:11" ht="19.899999999999999" customHeight="1" thickBot="1">
      <c r="A319" s="1025"/>
      <c r="B319" s="1014"/>
      <c r="C319" s="316" t="s">
        <v>2282</v>
      </c>
      <c r="D319" s="317" t="str">
        <f>VLOOKUP(B314,Foundation_Calc!$K$4:$R$37,8,FALSE)</f>
        <v>N.D.</v>
      </c>
      <c r="E319" s="318">
        <f t="shared" si="5"/>
        <v>0</v>
      </c>
      <c r="F319" s="318">
        <f>COUNTIFS('HR Track 1'!$M$5:$M$407,$A$314,'HR Track 1'!$AW$5:$AW$407,$C319,'HR Track 1'!$AY$5:$AY$407,$D319)</f>
        <v>0</v>
      </c>
      <c r="G319" s="318">
        <f>COUNTIFS('HR Track 2'!$M$5:$M$405,$A$314,'HR Track 2'!$AW$5:$AW$405,$C319,'HR Track 2'!$AY$5:$AY$405,$D319)</f>
        <v>0</v>
      </c>
      <c r="H319" s="318">
        <f>COUNTIFS('HR Track 3 ZIC'!$M$5:$M$74,$A$314,'HR Track 3 ZIC'!$AW$5:$AW$74,$C319,'HR Track 3 ZIC'!$AY$5:$AY$74,$D319)</f>
        <v>0</v>
      </c>
      <c r="I319" s="318">
        <f>COUNTIFS('HR Track 4 ZIC'!$M$5:$M$45,$A$314,'HR Track 4 ZIC'!$AW$5:$AW$45,$C319,'HR Track 4 ZIC'!$AY$5:$AY$45,$D319)</f>
        <v>0</v>
      </c>
      <c r="J319" s="318">
        <f>COUNTIFS('HR Track 4 BIN'!$M$5:$M$45,$A$314,'HR Track 4 BIN'!$AW$5:$AW$45,$C319,'HR Track 4 BIN'!$AY$5:$AY$45,$D319)</f>
        <v>0</v>
      </c>
      <c r="K319" s="319">
        <f>COUNTIFS('HR Track 5 BIN'!$M$5:$M$39,$A$314,'HR Track 5 BIN'!$AW$5:$AW$39,$C319,'HR Track 5 BIN'!$AY$5:$AY$39,$D319)</f>
        <v>0</v>
      </c>
    </row>
    <row r="320" spans="1:11" ht="19.899999999999999" customHeight="1">
      <c r="A320" s="1108" t="s">
        <v>2388</v>
      </c>
      <c r="B320" s="1111" t="s">
        <v>2057</v>
      </c>
      <c r="C320" s="311" t="s">
        <v>2407</v>
      </c>
      <c r="D320" s="320" t="str">
        <f>VLOOKUP(B320,Foundation_Calc!$K$41:$R$74,3,FALSE)</f>
        <v>N.D.</v>
      </c>
      <c r="E320" s="313">
        <f t="shared" si="5"/>
        <v>0</v>
      </c>
      <c r="F320" s="313">
        <f>COUNTIFS('HR Track 1'!$M$5:$M$407,$A$320,'HR Track 1'!$AW$5:$AW$407,$C320,'HR Track 1'!$AY$5:$AY$407,$D320)</f>
        <v>0</v>
      </c>
      <c r="G320" s="313">
        <f>COUNTIFS('HR Track 2'!$M$5:$M$405,$A$320,'HR Track 2'!$AW$5:$AW$405,$C320,'HR Track 2'!$AY$5:$AY$405,$D320)</f>
        <v>0</v>
      </c>
      <c r="H320" s="313">
        <f>COUNTIFS('HR Track 3 ZIC'!$M$5:$M$74,$A$320,'HR Track 3 ZIC'!$AW$5:$AW$74,$C320,'HR Track 3 ZIC'!$AY$5:$AY$74,$D320)</f>
        <v>0</v>
      </c>
      <c r="I320" s="313">
        <f>COUNTIFS('HR Track 4 ZIC'!$M$5:$M$45,$A$320,'HR Track 4 ZIC'!$AW$5:$AW$45,$C320,'HR Track 4 ZIC'!$AY$5:$AY$45,$D320)</f>
        <v>0</v>
      </c>
      <c r="J320" s="313">
        <f>COUNTIFS('HR Track 4 BIN'!$M$5:$M$45,$A$320,'HR Track 4 BIN'!$AW$5:$AW$45,$C320,'HR Track 4 BIN'!$AY$5:$AY$45,$D320)</f>
        <v>0</v>
      </c>
      <c r="K320" s="314">
        <f>COUNTIFS('HR Track 5 BIN'!$M$5:$M$39,$A$320,'HR Track 5 BIN'!$AW$5:$AW$39,$C320,'HR Track 5 BIN'!$AY$5:$AY$39,$D320)</f>
        <v>0</v>
      </c>
    </row>
    <row r="321" spans="1:11" ht="19.899999999999999" customHeight="1">
      <c r="A321" s="1109"/>
      <c r="B321" s="1112"/>
      <c r="C321" s="153" t="s">
        <v>2408</v>
      </c>
      <c r="D321" s="291" t="str">
        <f>VLOOKUP(B320,Foundation_Calc!$K$41:$R$74,4,FALSE)</f>
        <v>N.D.</v>
      </c>
      <c r="E321" s="7">
        <f t="shared" si="5"/>
        <v>0</v>
      </c>
      <c r="F321" s="7">
        <f>COUNTIFS('HR Track 1'!$M$5:$M$407,$A$320,'HR Track 1'!$AW$5:$AW$407,$C321,'HR Track 1'!$AY$5:$AY$407,$D321)</f>
        <v>0</v>
      </c>
      <c r="G321" s="7">
        <f>COUNTIFS('HR Track 2'!$M$5:$M$405,$A$320,'HR Track 2'!$AW$5:$AW$405,$C321,'HR Track 2'!$AY$5:$AY$405,$D321)</f>
        <v>0</v>
      </c>
      <c r="H321" s="7">
        <f>COUNTIFS('HR Track 3 ZIC'!$M$5:$M$74,$A$320,'HR Track 3 ZIC'!$AW$5:$AW$74,$C321,'HR Track 3 ZIC'!$AY$5:$AY$74,$D321)</f>
        <v>0</v>
      </c>
      <c r="I321" s="7">
        <f>COUNTIFS('HR Track 4 ZIC'!$M$5:$M$45,$A$320,'HR Track 4 ZIC'!$AW$5:$AW$45,$C321,'HR Track 4 ZIC'!$AY$5:$AY$45,$D321)</f>
        <v>0</v>
      </c>
      <c r="J321" s="7">
        <f>COUNTIFS('HR Track 4 BIN'!$M$5:$M$45,$A$320,'HR Track 4 BIN'!$AW$5:$AW$45,$C321,'HR Track 4 BIN'!$AY$5:$AY$45,$D321)</f>
        <v>0</v>
      </c>
      <c r="K321" s="315">
        <f>COUNTIFS('HR Track 5 BIN'!$M$5:$M$39,$A$320,'HR Track 5 BIN'!$AW$5:$AW$39,$C321,'HR Track 5 BIN'!$AY$5:$AY$39,$D321)</f>
        <v>0</v>
      </c>
    </row>
    <row r="322" spans="1:11" ht="19.899999999999999" customHeight="1">
      <c r="A322" s="1109"/>
      <c r="B322" s="1112"/>
      <c r="C322" s="153" t="s">
        <v>2409</v>
      </c>
      <c r="D322" s="291" t="str">
        <f>VLOOKUP(B320,Foundation_Calc!$K$41:$R$74,5,FALSE)</f>
        <v>N.D.</v>
      </c>
      <c r="E322" s="7">
        <f t="shared" si="5"/>
        <v>0</v>
      </c>
      <c r="F322" s="7">
        <f>COUNTIFS('HR Track 1'!$M$5:$M$407,$A$320,'HR Track 1'!$AW$5:$AW$407,$C322,'HR Track 1'!$AY$5:$AY$407,$D322)</f>
        <v>0</v>
      </c>
      <c r="G322" s="7">
        <f>COUNTIFS('HR Track 2'!$M$5:$M$405,$A$320,'HR Track 2'!$AW$5:$AW$405,$C322,'HR Track 2'!$AY$5:$AY$405,$D322)</f>
        <v>0</v>
      </c>
      <c r="H322" s="7">
        <f>COUNTIFS('HR Track 3 ZIC'!$M$5:$M$74,$A$320,'HR Track 3 ZIC'!$AW$5:$AW$74,$C322,'HR Track 3 ZIC'!$AY$5:$AY$74,$D322)</f>
        <v>0</v>
      </c>
      <c r="I322" s="7">
        <f>COUNTIFS('HR Track 4 ZIC'!$M$5:$M$45,$A$320,'HR Track 4 ZIC'!$AW$5:$AW$45,$C322,'HR Track 4 ZIC'!$AY$5:$AY$45,$D322)</f>
        <v>0</v>
      </c>
      <c r="J322" s="7">
        <f>COUNTIFS('HR Track 4 BIN'!$M$5:$M$45,$A$320,'HR Track 4 BIN'!$AW$5:$AW$45,$C322,'HR Track 4 BIN'!$AY$5:$AY$45,$D322)</f>
        <v>0</v>
      </c>
      <c r="K322" s="315">
        <f>COUNTIFS('HR Track 5 BIN'!$M$5:$M$39,$A$320,'HR Track 5 BIN'!$AW$5:$AW$39,$C322,'HR Track 5 BIN'!$AY$5:$AY$39,$D322)</f>
        <v>0</v>
      </c>
    </row>
    <row r="323" spans="1:11" ht="19.899999999999999" customHeight="1">
      <c r="A323" s="1109"/>
      <c r="B323" s="1112"/>
      <c r="C323" s="153" t="s">
        <v>2280</v>
      </c>
      <c r="D323" s="291" t="str">
        <f>VLOOKUP(B320,Foundation_Calc!$K$41:$R$74,6,FALSE)</f>
        <v>N.D.</v>
      </c>
      <c r="E323" s="7">
        <f t="shared" ref="E323:E349" si="6">SUM(F323:K323)</f>
        <v>0</v>
      </c>
      <c r="F323" s="7">
        <f>COUNTIFS('HR Track 1'!$M$5:$M$407,$A$320,'HR Track 1'!$AW$5:$AW$407,$C323,'HR Track 1'!$AY$5:$AY$407,$D323)</f>
        <v>0</v>
      </c>
      <c r="G323" s="7">
        <f>COUNTIFS('HR Track 2'!$M$5:$M$405,$A$320,'HR Track 2'!$AW$5:$AW$405,$C323,'HR Track 2'!$AY$5:$AY$405,$D323)</f>
        <v>0</v>
      </c>
      <c r="H323" s="7">
        <f>COUNTIFS('HR Track 3 ZIC'!$M$5:$M$74,$A$320,'HR Track 3 ZIC'!$AW$5:$AW$74,$C323,'HR Track 3 ZIC'!$AY$5:$AY$74,$D323)</f>
        <v>0</v>
      </c>
      <c r="I323" s="7">
        <f>COUNTIFS('HR Track 4 ZIC'!$M$5:$M$45,$A$320,'HR Track 4 ZIC'!$AW$5:$AW$45,$C323,'HR Track 4 ZIC'!$AY$5:$AY$45,$D323)</f>
        <v>0</v>
      </c>
      <c r="J323" s="7">
        <f>COUNTIFS('HR Track 4 BIN'!$M$5:$M$45,$A$320,'HR Track 4 BIN'!$AW$5:$AW$45,$C323,'HR Track 4 BIN'!$AY$5:$AY$45,$D323)</f>
        <v>0</v>
      </c>
      <c r="K323" s="315">
        <f>COUNTIFS('HR Track 5 BIN'!$M$5:$M$39,$A$320,'HR Track 5 BIN'!$AW$5:$AW$39,$C323,'HR Track 5 BIN'!$AY$5:$AY$39,$D323)</f>
        <v>0</v>
      </c>
    </row>
    <row r="324" spans="1:11" ht="19.899999999999999" customHeight="1">
      <c r="A324" s="1109"/>
      <c r="B324" s="1112"/>
      <c r="C324" s="153" t="s">
        <v>2281</v>
      </c>
      <c r="D324" s="291" t="str">
        <f>VLOOKUP(B320,Foundation_Calc!$K$41:$R$74,7,FALSE)</f>
        <v>N.D.</v>
      </c>
      <c r="E324" s="7">
        <f t="shared" si="6"/>
        <v>0</v>
      </c>
      <c r="F324" s="7">
        <f>COUNTIFS('HR Track 1'!$M$5:$M$407,$A$320,'HR Track 1'!$AW$5:$AW$407,$C324,'HR Track 1'!$AY$5:$AY$407,$D324)</f>
        <v>0</v>
      </c>
      <c r="G324" s="7">
        <f>COUNTIFS('HR Track 2'!$M$5:$M$405,$A$320,'HR Track 2'!$AW$5:$AW$405,$C324,'HR Track 2'!$AY$5:$AY$405,$D324)</f>
        <v>0</v>
      </c>
      <c r="H324" s="7">
        <f>COUNTIFS('HR Track 3 ZIC'!$M$5:$M$74,$A$320,'HR Track 3 ZIC'!$AW$5:$AW$74,$C324,'HR Track 3 ZIC'!$AY$5:$AY$74,$D324)</f>
        <v>0</v>
      </c>
      <c r="I324" s="7">
        <f>COUNTIFS('HR Track 4 ZIC'!$M$5:$M$45,$A$320,'HR Track 4 ZIC'!$AW$5:$AW$45,$C324,'HR Track 4 ZIC'!$AY$5:$AY$45,$D324)</f>
        <v>0</v>
      </c>
      <c r="J324" s="7">
        <f>COUNTIFS('HR Track 4 BIN'!$M$5:$M$45,$A$320,'HR Track 4 BIN'!$AW$5:$AW$45,$C324,'HR Track 4 BIN'!$AY$5:$AY$45,$D324)</f>
        <v>0</v>
      </c>
      <c r="K324" s="315">
        <f>COUNTIFS('HR Track 5 BIN'!$M$5:$M$39,$A$320,'HR Track 5 BIN'!$AW$5:$AW$39,$C324,'HR Track 5 BIN'!$AY$5:$AY$39,$D324)</f>
        <v>0</v>
      </c>
    </row>
    <row r="325" spans="1:11" ht="19.899999999999999" customHeight="1" thickBot="1">
      <c r="A325" s="1110"/>
      <c r="B325" s="1113"/>
      <c r="C325" s="316" t="s">
        <v>2282</v>
      </c>
      <c r="D325" s="321" t="str">
        <f>VLOOKUP(B320,Foundation_Calc!$K$41:$R$74,8,FALSE)</f>
        <v>N.D.</v>
      </c>
      <c r="E325" s="318">
        <f t="shared" si="6"/>
        <v>0</v>
      </c>
      <c r="F325" s="318">
        <f>COUNTIFS('HR Track 1'!$M$5:$M$407,$A$320,'HR Track 1'!$AW$5:$AW$407,$C325,'HR Track 1'!$AY$5:$AY$407,$D325)</f>
        <v>0</v>
      </c>
      <c r="G325" s="318">
        <f>COUNTIFS('HR Track 2'!$M$5:$M$405,$A$320,'HR Track 2'!$AW$5:$AW$405,$C325,'HR Track 2'!$AY$5:$AY$405,$D325)</f>
        <v>0</v>
      </c>
      <c r="H325" s="318">
        <f>COUNTIFS('HR Track 3 ZIC'!$M$5:$M$74,$A$320,'HR Track 3 ZIC'!$AW$5:$AW$74,$C325,'HR Track 3 ZIC'!$AY$5:$AY$74,$D325)</f>
        <v>0</v>
      </c>
      <c r="I325" s="318">
        <f>COUNTIFS('HR Track 4 ZIC'!$M$5:$M$45,$A$320,'HR Track 4 ZIC'!$AW$5:$AW$45,$C325,'HR Track 4 ZIC'!$AY$5:$AY$45,$D325)</f>
        <v>0</v>
      </c>
      <c r="J325" s="318">
        <f>COUNTIFS('HR Track 4 BIN'!$M$5:$M$45,$A$320,'HR Track 4 BIN'!$AW$5:$AW$45,$C325,'HR Track 4 BIN'!$AY$5:$AY$45,$D325)</f>
        <v>0</v>
      </c>
      <c r="K325" s="319">
        <f>COUNTIFS('HR Track 5 BIN'!$M$5:$M$39,$A$320,'HR Track 5 BIN'!$AW$5:$AW$39,$C325,'HR Track 5 BIN'!$AY$5:$AY$39,$D325)</f>
        <v>0</v>
      </c>
    </row>
    <row r="326" spans="1:11" ht="19.899999999999999" customHeight="1">
      <c r="A326" s="1114" t="s">
        <v>166</v>
      </c>
      <c r="B326" s="1115"/>
      <c r="C326" s="311" t="s">
        <v>2407</v>
      </c>
      <c r="D326" s="312" t="str">
        <f>VLOOKUP(A326,Foundation_Calc!$K$4:$R$37,3,FALSE)</f>
        <v>N.D.</v>
      </c>
      <c r="E326" s="313">
        <f t="shared" si="6"/>
        <v>0</v>
      </c>
      <c r="F326" s="313">
        <f>COUNTIFS('HR Track 1'!$K$5:$K$407,$A$326,'HR Track 1'!$AW$5:$AW$407,$C326,'HR Track 1'!$AZ$5:$AZ$407,$D326)</f>
        <v>0</v>
      </c>
      <c r="G326" s="313">
        <f>COUNTIFS('HR Track 2'!$K$5:$K$405,$A$326,'HR Track 2'!$AW$5:$AW$405,$C326,'HR Track 2'!$AZ$5:$AZ$405,$D326)</f>
        <v>0</v>
      </c>
      <c r="H326" s="313">
        <f>COUNTIFS('HR Track 3 ZIC'!$K$5:$K$74,$A$326,'HR Track 3 ZIC'!$AW$5:$AW$74,$C326,'HR Track 3 ZIC'!$AZ$5:$AZ$74,$D326)</f>
        <v>0</v>
      </c>
      <c r="I326" s="313">
        <f>COUNTIFS('HR Track 4 ZIC'!$K$5:$K$45,$A$326,'HR Track 4 ZIC'!$AW$5:$AW$45,$C326,'HR Track 4 ZIC'!$AZ$5:$AZ$45,$D326)</f>
        <v>0</v>
      </c>
      <c r="J326" s="313">
        <f>COUNTIFS('HR Track 4 BIN'!$K$5:$K$45,$A$326,'HR Track 4 BIN'!$AW$5:$AW$45,$C326,'HR Track 4 BIN'!$AZ$5:$AZ$45,$D326)</f>
        <v>0</v>
      </c>
      <c r="K326" s="314">
        <f>COUNTIFS('HR Track 5 BIN'!$K$5:$K$39,$A$326,'HR Track 5 BIN'!$AW$5:$AW$39,$C326,'HR Track 5 BIN'!$AZ$5:$AZ$39,$D326)</f>
        <v>0</v>
      </c>
    </row>
    <row r="327" spans="1:11" ht="19.899999999999999" customHeight="1">
      <c r="A327" s="1024"/>
      <c r="B327" s="1013"/>
      <c r="C327" s="153" t="s">
        <v>2408</v>
      </c>
      <c r="D327" s="11" t="str">
        <f>VLOOKUP(A326,Foundation_Calc!$K$4:$R$37,4,FALSE)</f>
        <v>N.D.</v>
      </c>
      <c r="E327" s="7">
        <f t="shared" si="6"/>
        <v>0</v>
      </c>
      <c r="F327" s="7">
        <f>COUNTIFS('HR Track 1'!$K$5:$K$407,$A$326,'HR Track 1'!$AW$5:$AW$407,$C327,'HR Track 1'!$AZ$5:$AZ$407,$D327)</f>
        <v>0</v>
      </c>
      <c r="G327" s="7">
        <f>COUNTIFS('HR Track 2'!$K$5:$K$405,$A$326,'HR Track 2'!$AW$5:$AW$405,$C327,'HR Track 2'!$AZ$5:$AZ$405,$D327)</f>
        <v>0</v>
      </c>
      <c r="H327" s="7">
        <f>COUNTIFS('HR Track 3 ZIC'!$K$5:$K$74,$A$326,'HR Track 3 ZIC'!$AW$5:$AW$74,$C327,'HR Track 3 ZIC'!$AZ$5:$AZ$74,$D327)</f>
        <v>0</v>
      </c>
      <c r="I327" s="7">
        <f>COUNTIFS('HR Track 4 ZIC'!$K$5:$K$45,$A$326,'HR Track 4 ZIC'!$AW$5:$AW$45,$C327,'HR Track 4 ZIC'!$AZ$5:$AZ$45,$D327)</f>
        <v>0</v>
      </c>
      <c r="J327" s="7">
        <f>COUNTIFS('HR Track 4 BIN'!$K$5:$K$45,$A$326,'HR Track 4 BIN'!$AW$5:$AW$45,$C327,'HR Track 4 BIN'!$AZ$5:$AZ$45,$D327)</f>
        <v>0</v>
      </c>
      <c r="K327" s="315">
        <f>COUNTIFS('HR Track 5 BIN'!$K$5:$K$39,$A$326,'HR Track 5 BIN'!$AW$5:$AW$39,$C327,'HR Track 5 BIN'!$AZ$5:$AZ$39,$D327)</f>
        <v>0</v>
      </c>
    </row>
    <row r="328" spans="1:11" ht="19.899999999999999" customHeight="1">
      <c r="A328" s="1024"/>
      <c r="B328" s="1013"/>
      <c r="C328" s="153" t="s">
        <v>2409</v>
      </c>
      <c r="D328" s="11" t="str">
        <f>VLOOKUP(A326,Foundation_Calc!$K$4:$R$37,5,FALSE)</f>
        <v>N.D.</v>
      </c>
      <c r="E328" s="7">
        <f t="shared" si="6"/>
        <v>0</v>
      </c>
      <c r="F328" s="7">
        <f>COUNTIFS('HR Track 1'!$K$5:$K$407,$A$326,'HR Track 1'!$AW$5:$AW$407,$C328,'HR Track 1'!$AZ$5:$AZ$407,$D328)</f>
        <v>0</v>
      </c>
      <c r="G328" s="7">
        <f>COUNTIFS('HR Track 2'!$K$5:$K$405,$A$326,'HR Track 2'!$AW$5:$AW$405,$C328,'HR Track 2'!$AZ$5:$AZ$405,$D328)</f>
        <v>0</v>
      </c>
      <c r="H328" s="7">
        <f>COUNTIFS('HR Track 3 ZIC'!$K$5:$K$74,$A$326,'HR Track 3 ZIC'!$AW$5:$AW$74,$C328,'HR Track 3 ZIC'!$AZ$5:$AZ$74,$D328)</f>
        <v>0</v>
      </c>
      <c r="I328" s="7">
        <f>COUNTIFS('HR Track 4 ZIC'!$K$5:$K$45,$A$326,'HR Track 4 ZIC'!$AW$5:$AW$45,$C328,'HR Track 4 ZIC'!$AZ$5:$AZ$45,$D328)</f>
        <v>0</v>
      </c>
      <c r="J328" s="7">
        <f>COUNTIFS('HR Track 4 BIN'!$K$5:$K$45,$A$326,'HR Track 4 BIN'!$AW$5:$AW$45,$C328,'HR Track 4 BIN'!$AZ$5:$AZ$45,$D328)</f>
        <v>0</v>
      </c>
      <c r="K328" s="315">
        <f>COUNTIFS('HR Track 5 BIN'!$K$5:$K$39,$A$326,'HR Track 5 BIN'!$AW$5:$AW$39,$C328,'HR Track 5 BIN'!$AZ$5:$AZ$39,$D328)</f>
        <v>0</v>
      </c>
    </row>
    <row r="329" spans="1:11" ht="19.899999999999999" customHeight="1">
      <c r="A329" s="1024"/>
      <c r="B329" s="1013"/>
      <c r="C329" s="153" t="s">
        <v>2280</v>
      </c>
      <c r="D329" s="11" t="str">
        <f>VLOOKUP(A326,Foundation_Calc!$K$4:$R$37,6,FALSE)</f>
        <v>N.D.</v>
      </c>
      <c r="E329" s="7">
        <f t="shared" si="6"/>
        <v>0</v>
      </c>
      <c r="F329" s="7">
        <f>COUNTIFS('HR Track 1'!$K$5:$K$407,$A$326,'HR Track 1'!$AW$5:$AW$407,$C329,'HR Track 1'!$AZ$5:$AZ$407,$D329)</f>
        <v>0</v>
      </c>
      <c r="G329" s="7">
        <f>COUNTIFS('HR Track 2'!$K$5:$K$405,$A$326,'HR Track 2'!$AW$5:$AW$405,$C329,'HR Track 2'!$AZ$5:$AZ$405,$D329)</f>
        <v>0</v>
      </c>
      <c r="H329" s="7">
        <f>COUNTIFS('HR Track 3 ZIC'!$K$5:$K$74,$A$326,'HR Track 3 ZIC'!$AW$5:$AW$74,$C329,'HR Track 3 ZIC'!$AZ$5:$AZ$74,$D329)</f>
        <v>0</v>
      </c>
      <c r="I329" s="7">
        <f>COUNTIFS('HR Track 4 ZIC'!$K$5:$K$45,$A$326,'HR Track 4 ZIC'!$AW$5:$AW$45,$C329,'HR Track 4 ZIC'!$AZ$5:$AZ$45,$D329)</f>
        <v>0</v>
      </c>
      <c r="J329" s="7">
        <f>COUNTIFS('HR Track 4 BIN'!$K$5:$K$45,$A$326,'HR Track 4 BIN'!$AW$5:$AW$45,$C329,'HR Track 4 BIN'!$AZ$5:$AZ$45,$D329)</f>
        <v>0</v>
      </c>
      <c r="K329" s="315">
        <f>COUNTIFS('HR Track 5 BIN'!$K$5:$K$39,$A$326,'HR Track 5 BIN'!$AW$5:$AW$39,$C329,'HR Track 5 BIN'!$AZ$5:$AZ$39,$D329)</f>
        <v>0</v>
      </c>
    </row>
    <row r="330" spans="1:11" ht="19.899999999999999" customHeight="1">
      <c r="A330" s="1024"/>
      <c r="B330" s="1013"/>
      <c r="C330" s="153" t="s">
        <v>2281</v>
      </c>
      <c r="D330" s="11" t="str">
        <f>VLOOKUP(A326,Foundation_Calc!$K$4:$R$37,7,FALSE)</f>
        <v>N.D.</v>
      </c>
      <c r="E330" s="7">
        <f t="shared" si="6"/>
        <v>0</v>
      </c>
      <c r="F330" s="7">
        <f>COUNTIFS('HR Track 1'!$K$5:$K$407,$A$326,'HR Track 1'!$AW$5:$AW$407,$C330,'HR Track 1'!$AZ$5:$AZ$407,$D330)</f>
        <v>0</v>
      </c>
      <c r="G330" s="7">
        <f>COUNTIFS('HR Track 2'!$K$5:$K$405,$A$326,'HR Track 2'!$AW$5:$AW$405,$C330,'HR Track 2'!$AZ$5:$AZ$405,$D330)</f>
        <v>0</v>
      </c>
      <c r="H330" s="7">
        <f>COUNTIFS('HR Track 3 ZIC'!$K$5:$K$74,$A$326,'HR Track 3 ZIC'!$AW$5:$AW$74,$C330,'HR Track 3 ZIC'!$AZ$5:$AZ$74,$D330)</f>
        <v>0</v>
      </c>
      <c r="I330" s="7">
        <f>COUNTIFS('HR Track 4 ZIC'!$K$5:$K$45,$A$326,'HR Track 4 ZIC'!$AW$5:$AW$45,$C330,'HR Track 4 ZIC'!$AZ$5:$AZ$45,$D330)</f>
        <v>0</v>
      </c>
      <c r="J330" s="7">
        <f>COUNTIFS('HR Track 4 BIN'!$K$5:$K$45,$A$326,'HR Track 4 BIN'!$AW$5:$AW$45,$C330,'HR Track 4 BIN'!$AZ$5:$AZ$45,$D330)</f>
        <v>0</v>
      </c>
      <c r="K330" s="315">
        <f>COUNTIFS('HR Track 5 BIN'!$K$5:$K$39,$A$326,'HR Track 5 BIN'!$AW$5:$AW$39,$C330,'HR Track 5 BIN'!$AZ$5:$AZ$39,$D330)</f>
        <v>0</v>
      </c>
    </row>
    <row r="331" spans="1:11" ht="19.899999999999999" customHeight="1" thickBot="1">
      <c r="A331" s="1025"/>
      <c r="B331" s="1014"/>
      <c r="C331" s="316" t="s">
        <v>2282</v>
      </c>
      <c r="D331" s="317" t="str">
        <f>VLOOKUP(A326,Foundation_Calc!$K$4:$R$37,8,FALSE)</f>
        <v>N.D.</v>
      </c>
      <c r="E331" s="318">
        <f t="shared" si="6"/>
        <v>0</v>
      </c>
      <c r="F331" s="318">
        <f>COUNTIFS('HR Track 1'!$K$5:$K$407,$A$326,'HR Track 1'!$AW$5:$AW$407,$C331,'HR Track 1'!$AZ$5:$AZ$407,$D331)</f>
        <v>0</v>
      </c>
      <c r="G331" s="318">
        <f>COUNTIFS('HR Track 2'!$K$5:$K$405,$A$326,'HR Track 2'!$AW$5:$AW$405,$C331,'HR Track 2'!$AZ$5:$AZ$405,$D331)</f>
        <v>0</v>
      </c>
      <c r="H331" s="318">
        <f>COUNTIFS('HR Track 3 ZIC'!$K$5:$K$74,$A$326,'HR Track 3 ZIC'!$AW$5:$AW$74,$C331,'HR Track 3 ZIC'!$AZ$5:$AZ$74,$D331)</f>
        <v>0</v>
      </c>
      <c r="I331" s="318">
        <f>COUNTIFS('HR Track 4 ZIC'!$K$5:$K$45,$A$326,'HR Track 4 ZIC'!$AW$5:$AW$45,$C331,'HR Track 4 ZIC'!$AZ$5:$AZ$45,$D331)</f>
        <v>0</v>
      </c>
      <c r="J331" s="318">
        <f>COUNTIFS('HR Track 4 BIN'!$K$5:$K$45,$A$326,'HR Track 4 BIN'!$AW$5:$AW$45,$C331,'HR Track 4 BIN'!$AZ$5:$AZ$45,$D331)</f>
        <v>0</v>
      </c>
      <c r="K331" s="319">
        <f>COUNTIFS('HR Track 5 BIN'!$K$5:$K$39,$A$326,'HR Track 5 BIN'!$AW$5:$AW$39,$C331,'HR Track 5 BIN'!$AZ$5:$AZ$39,$D331)</f>
        <v>0</v>
      </c>
    </row>
    <row r="332" spans="1:11" ht="19.899999999999999" customHeight="1">
      <c r="A332" s="1108" t="s">
        <v>324</v>
      </c>
      <c r="B332" s="1111"/>
      <c r="C332" s="311" t="s">
        <v>2407</v>
      </c>
      <c r="D332" s="320" t="str">
        <f>VLOOKUP(A332,Foundation_Calc!$K$41:$R$74,3,FALSE)</f>
        <v>N.D.</v>
      </c>
      <c r="E332" s="313">
        <f t="shared" si="6"/>
        <v>0</v>
      </c>
      <c r="F332" s="313">
        <f>COUNTIFS('HR Track 1'!$K$5:$K$407,$A$332,'HR Track 1'!$AW$5:$AW$407,$C332,'HR Track 1'!$AZ$5:$AZ$407,$D332)</f>
        <v>0</v>
      </c>
      <c r="G332" s="313">
        <f>COUNTIFS('HR Track 2'!$K$5:$K$405,$A$332,'HR Track 2'!$AW$5:$AW$405,$C332,'HR Track 2'!$AZ$5:$AZ$405,$D332)</f>
        <v>0</v>
      </c>
      <c r="H332" s="313">
        <f>COUNTIFS('HR Track 3 ZIC'!$K$5:$K$74,$A$332,'HR Track 3 ZIC'!$AW$5:$AW$74,$C332,'HR Track 3 ZIC'!$AZ$5:$AZ$74,$D332)</f>
        <v>0</v>
      </c>
      <c r="I332" s="313">
        <f>COUNTIFS('HR Track 4 ZIC'!$K$5:$K$45,$A$332,'HR Track 4 ZIC'!$AW$5:$AW$45,$C332,'HR Track 4 ZIC'!$AZ$5:$AZ$45,$D332)</f>
        <v>0</v>
      </c>
      <c r="J332" s="313">
        <f>COUNTIFS('HR Track 4 BIN'!$K$5:$K$45,$A$332,'HR Track 4 BIN'!$AW$5:$AW$45,$C332,'HR Track 4 BIN'!$AZ$5:$AZ$45,$D332)</f>
        <v>0</v>
      </c>
      <c r="K332" s="314">
        <f>COUNTIFS('HR Track 5 BIN'!$K$5:$K$39,$A$332,'HR Track 5 BIN'!$AW$5:$AW$39,$C332,'HR Track 5 BIN'!$AZ$5:$AZ$39,$D332)</f>
        <v>0</v>
      </c>
    </row>
    <row r="333" spans="1:11" ht="19.899999999999999" customHeight="1">
      <c r="A333" s="1109"/>
      <c r="B333" s="1112"/>
      <c r="C333" s="153" t="s">
        <v>2408</v>
      </c>
      <c r="D333" s="291" t="str">
        <f>VLOOKUP(A332,Foundation_Calc!$K$41:$R$74,4,FALSE)</f>
        <v>N.D.</v>
      </c>
      <c r="E333" s="7">
        <f t="shared" si="6"/>
        <v>0</v>
      </c>
      <c r="F333" s="7">
        <f>COUNTIFS('HR Track 1'!$K$5:$K$407,$A$332,'HR Track 1'!$AW$5:$AW$407,$C333,'HR Track 1'!$AZ$5:$AZ$407,$D333)</f>
        <v>0</v>
      </c>
      <c r="G333" s="7">
        <f>COUNTIFS('HR Track 2'!$K$5:$K$405,$A$332,'HR Track 2'!$AW$5:$AW$405,$C333,'HR Track 2'!$AZ$5:$AZ$405,$D333)</f>
        <v>0</v>
      </c>
      <c r="H333" s="7">
        <f>COUNTIFS('HR Track 3 ZIC'!$K$5:$K$74,$A$332,'HR Track 3 ZIC'!$AW$5:$AW$74,$C333,'HR Track 3 ZIC'!$AZ$5:$AZ$74,$D333)</f>
        <v>0</v>
      </c>
      <c r="I333" s="7">
        <f>COUNTIFS('HR Track 4 ZIC'!$K$5:$K$45,$A$332,'HR Track 4 ZIC'!$AW$5:$AW$45,$C333,'HR Track 4 ZIC'!$AZ$5:$AZ$45,$D333)</f>
        <v>0</v>
      </c>
      <c r="J333" s="7">
        <f>COUNTIFS('HR Track 4 BIN'!$K$5:$K$45,$A$332,'HR Track 4 BIN'!$AW$5:$AW$45,$C333,'HR Track 4 BIN'!$AZ$5:$AZ$45,$D333)</f>
        <v>0</v>
      </c>
      <c r="K333" s="315">
        <f>COUNTIFS('HR Track 5 BIN'!$K$5:$K$39,$A$332,'HR Track 5 BIN'!$AW$5:$AW$39,$C333,'HR Track 5 BIN'!$AZ$5:$AZ$39,$D333)</f>
        <v>0</v>
      </c>
    </row>
    <row r="334" spans="1:11" ht="19.899999999999999" customHeight="1">
      <c r="A334" s="1109"/>
      <c r="B334" s="1112"/>
      <c r="C334" s="153" t="s">
        <v>2409</v>
      </c>
      <c r="D334" s="291" t="str">
        <f>VLOOKUP(A332,Foundation_Calc!$K$41:$R$74,5,FALSE)</f>
        <v>N.D.</v>
      </c>
      <c r="E334" s="7">
        <f t="shared" si="6"/>
        <v>0</v>
      </c>
      <c r="F334" s="7">
        <f>COUNTIFS('HR Track 1'!$K$5:$K$407,$A$332,'HR Track 1'!$AW$5:$AW$407,$C334,'HR Track 1'!$AZ$5:$AZ$407,$D334)</f>
        <v>0</v>
      </c>
      <c r="G334" s="7">
        <f>COUNTIFS('HR Track 2'!$K$5:$K$405,$A$332,'HR Track 2'!$AW$5:$AW$405,$C334,'HR Track 2'!$AZ$5:$AZ$405,$D334)</f>
        <v>0</v>
      </c>
      <c r="H334" s="7">
        <f>COUNTIFS('HR Track 3 ZIC'!$K$5:$K$74,$A$332,'HR Track 3 ZIC'!$AW$5:$AW$74,$C334,'HR Track 3 ZIC'!$AZ$5:$AZ$74,$D334)</f>
        <v>0</v>
      </c>
      <c r="I334" s="7">
        <f>COUNTIFS('HR Track 4 ZIC'!$K$5:$K$45,$A$332,'HR Track 4 ZIC'!$AW$5:$AW$45,$C334,'HR Track 4 ZIC'!$AZ$5:$AZ$45,$D334)</f>
        <v>0</v>
      </c>
      <c r="J334" s="7">
        <f>COUNTIFS('HR Track 4 BIN'!$K$5:$K$45,$A$332,'HR Track 4 BIN'!$AW$5:$AW$45,$C334,'HR Track 4 BIN'!$AZ$5:$AZ$45,$D334)</f>
        <v>0</v>
      </c>
      <c r="K334" s="315">
        <f>COUNTIFS('HR Track 5 BIN'!$K$5:$K$39,$A$332,'HR Track 5 BIN'!$AW$5:$AW$39,$C334,'HR Track 5 BIN'!$AZ$5:$AZ$39,$D334)</f>
        <v>0</v>
      </c>
    </row>
    <row r="335" spans="1:11" ht="19.899999999999999" customHeight="1">
      <c r="A335" s="1109"/>
      <c r="B335" s="1112"/>
      <c r="C335" s="153" t="s">
        <v>2280</v>
      </c>
      <c r="D335" s="291" t="str">
        <f>VLOOKUP(A332,Foundation_Calc!$K$41:$R$74,6,FALSE)</f>
        <v>N.D.</v>
      </c>
      <c r="E335" s="7">
        <f t="shared" si="6"/>
        <v>0</v>
      </c>
      <c r="F335" s="7">
        <f>COUNTIFS('HR Track 1'!$K$5:$K$407,$A$332,'HR Track 1'!$AW$5:$AW$407,$C335,'HR Track 1'!$AZ$5:$AZ$407,$D335)</f>
        <v>0</v>
      </c>
      <c r="G335" s="7">
        <f>COUNTIFS('HR Track 2'!$K$5:$K$405,$A$332,'HR Track 2'!$AW$5:$AW$405,$C335,'HR Track 2'!$AZ$5:$AZ$405,$D335)</f>
        <v>0</v>
      </c>
      <c r="H335" s="7">
        <f>COUNTIFS('HR Track 3 ZIC'!$K$5:$K$74,$A$332,'HR Track 3 ZIC'!$AW$5:$AW$74,$C335,'HR Track 3 ZIC'!$AZ$5:$AZ$74,$D335)</f>
        <v>0</v>
      </c>
      <c r="I335" s="7">
        <f>COUNTIFS('HR Track 4 ZIC'!$K$5:$K$45,$A$332,'HR Track 4 ZIC'!$AW$5:$AW$45,$C335,'HR Track 4 ZIC'!$AZ$5:$AZ$45,$D335)</f>
        <v>0</v>
      </c>
      <c r="J335" s="7">
        <f>COUNTIFS('HR Track 4 BIN'!$K$5:$K$45,$A$332,'HR Track 4 BIN'!$AW$5:$AW$45,$C335,'HR Track 4 BIN'!$AZ$5:$AZ$45,$D335)</f>
        <v>0</v>
      </c>
      <c r="K335" s="315">
        <f>COUNTIFS('HR Track 5 BIN'!$K$5:$K$39,$A$332,'HR Track 5 BIN'!$AW$5:$AW$39,$C335,'HR Track 5 BIN'!$AZ$5:$AZ$39,$D335)</f>
        <v>0</v>
      </c>
    </row>
    <row r="336" spans="1:11" ht="19.899999999999999" customHeight="1">
      <c r="A336" s="1109"/>
      <c r="B336" s="1112"/>
      <c r="C336" s="153" t="s">
        <v>2281</v>
      </c>
      <c r="D336" s="291" t="str">
        <f>VLOOKUP(A332,Foundation_Calc!$K$41:$R$74,7,FALSE)</f>
        <v>N.D.</v>
      </c>
      <c r="E336" s="7">
        <f t="shared" si="6"/>
        <v>0</v>
      </c>
      <c r="F336" s="7">
        <f>COUNTIFS('HR Track 1'!$K$5:$K$407,$A$332,'HR Track 1'!$AW$5:$AW$407,$C336,'HR Track 1'!$AZ$5:$AZ$407,$D336)</f>
        <v>0</v>
      </c>
      <c r="G336" s="7">
        <f>COUNTIFS('HR Track 2'!$K$5:$K$405,$A$332,'HR Track 2'!$AW$5:$AW$405,$C336,'HR Track 2'!$AZ$5:$AZ$405,$D336)</f>
        <v>0</v>
      </c>
      <c r="H336" s="7">
        <f>COUNTIFS('HR Track 3 ZIC'!$K$5:$K$74,$A$332,'HR Track 3 ZIC'!$AW$5:$AW$74,$C336,'HR Track 3 ZIC'!$AZ$5:$AZ$74,$D336)</f>
        <v>0</v>
      </c>
      <c r="I336" s="7">
        <f>COUNTIFS('HR Track 4 ZIC'!$K$5:$K$45,$A$332,'HR Track 4 ZIC'!$AW$5:$AW$45,$C336,'HR Track 4 ZIC'!$AZ$5:$AZ$45,$D336)</f>
        <v>0</v>
      </c>
      <c r="J336" s="7">
        <f>COUNTIFS('HR Track 4 BIN'!$K$5:$K$45,$A$332,'HR Track 4 BIN'!$AW$5:$AW$45,$C336,'HR Track 4 BIN'!$AZ$5:$AZ$45,$D336)</f>
        <v>0</v>
      </c>
      <c r="K336" s="315">
        <f>COUNTIFS('HR Track 5 BIN'!$K$5:$K$39,$A$332,'HR Track 5 BIN'!$AW$5:$AW$39,$C336,'HR Track 5 BIN'!$AZ$5:$AZ$39,$D336)</f>
        <v>0</v>
      </c>
    </row>
    <row r="337" spans="1:11" ht="19.899999999999999" customHeight="1" thickBot="1">
      <c r="A337" s="1110"/>
      <c r="B337" s="1113"/>
      <c r="C337" s="316" t="s">
        <v>2282</v>
      </c>
      <c r="D337" s="321" t="str">
        <f>VLOOKUP(A332,Foundation_Calc!$K$41:$R$74,8,FALSE)</f>
        <v>N.D.</v>
      </c>
      <c r="E337" s="318">
        <f t="shared" si="6"/>
        <v>0</v>
      </c>
      <c r="F337" s="318">
        <f>COUNTIFS('HR Track 1'!$K$5:$K$407,$A$332,'HR Track 1'!$AW$5:$AW$407,$C337,'HR Track 1'!$AZ$5:$AZ$407,$D337)</f>
        <v>0</v>
      </c>
      <c r="G337" s="318">
        <f>COUNTIFS('HR Track 2'!$K$5:$K$405,$A$332,'HR Track 2'!$AW$5:$AW$405,$C337,'HR Track 2'!$AZ$5:$AZ$405,$D337)</f>
        <v>0</v>
      </c>
      <c r="H337" s="318">
        <f>COUNTIFS('HR Track 3 ZIC'!$K$5:$K$74,$A$332,'HR Track 3 ZIC'!$AW$5:$AW$74,$C337,'HR Track 3 ZIC'!$AZ$5:$AZ$74,$D337)</f>
        <v>0</v>
      </c>
      <c r="I337" s="318">
        <f>COUNTIFS('HR Track 4 ZIC'!$K$5:$K$45,$A$332,'HR Track 4 ZIC'!$AW$5:$AW$45,$C337,'HR Track 4 ZIC'!$AZ$5:$AZ$45,$D337)</f>
        <v>0</v>
      </c>
      <c r="J337" s="318">
        <f>COUNTIFS('HR Track 4 BIN'!$K$5:$K$45,$A$332,'HR Track 4 BIN'!$AW$5:$AW$45,$C337,'HR Track 4 BIN'!$AZ$5:$AZ$45,$D337)</f>
        <v>0</v>
      </c>
      <c r="K337" s="319">
        <f>COUNTIFS('HR Track 5 BIN'!$K$5:$K$39,$A$332,'HR Track 5 BIN'!$AW$5:$AW$39,$C337,'HR Track 5 BIN'!$AZ$5:$AZ$39,$D337)</f>
        <v>0</v>
      </c>
    </row>
    <row r="338" spans="1:11" ht="19.899999999999999" customHeight="1">
      <c r="A338" s="1114" t="s">
        <v>117</v>
      </c>
      <c r="B338" s="1115"/>
      <c r="C338" s="311" t="s">
        <v>2407</v>
      </c>
      <c r="D338" s="312" t="str">
        <f>VLOOKUP(A338,Foundation_Calc!$K$4:$R$37,3,FALSE)</f>
        <v>N.D.</v>
      </c>
      <c r="E338" s="313">
        <f t="shared" si="6"/>
        <v>0</v>
      </c>
      <c r="F338" s="313">
        <f>COUNTIFS('HR Track 1'!$K$5:$K$407,$A$338,'HR Track 1'!$AW$5:$AW$407,$C338,'HR Track 1'!$AZ$5:$AZ$407,$D338)</f>
        <v>0</v>
      </c>
      <c r="G338" s="313">
        <f>COUNTIFS('HR Track 2'!$K$5:$K$405,$A$338,'HR Track 2'!$AW$5:$AW$405,$C338,'HR Track 2'!$AZ$5:$AZ$405,$D338)</f>
        <v>0</v>
      </c>
      <c r="H338" s="313">
        <f>COUNTIFS('HR Track 3 ZIC'!$K$5:$K$74,$A$338,'HR Track 3 ZIC'!$AW$5:$AW$74,$C338,'HR Track 3 ZIC'!$AZ$5:$AZ$74,$D338)</f>
        <v>0</v>
      </c>
      <c r="I338" s="313">
        <f>COUNTIFS('HR Track 4 ZIC'!$K$5:$K$45,$A$338,'HR Track 4 ZIC'!$AW$5:$AW$45,$C338,'HR Track 4 ZIC'!$AZ$5:$AZ$45,$D338)</f>
        <v>0</v>
      </c>
      <c r="J338" s="313">
        <f>COUNTIFS('HR Track 4 BIN'!$K$5:$K$45,$A$338,'HR Track 4 BIN'!$AW$5:$AW$45,$C338,'HR Track 4 BIN'!$AZ$5:$AZ$45,$D338)</f>
        <v>0</v>
      </c>
      <c r="K338" s="314">
        <f>COUNTIFS('HR Track 5 BIN'!$K$5:$K$39,$A$338,'HR Track 5 BIN'!$AW$5:$AW$39,$C338,'HR Track 5 BIN'!$AZ$5:$AZ$39,$D338)</f>
        <v>0</v>
      </c>
    </row>
    <row r="339" spans="1:11" ht="19.899999999999999" customHeight="1">
      <c r="A339" s="1024"/>
      <c r="B339" s="1013"/>
      <c r="C339" s="153" t="s">
        <v>2408</v>
      </c>
      <c r="D339" s="11" t="str">
        <f>VLOOKUP(A338,Foundation_Calc!$K$4:$R$37,4,FALSE)</f>
        <v>N.D.</v>
      </c>
      <c r="E339" s="7">
        <f t="shared" si="6"/>
        <v>0</v>
      </c>
      <c r="F339" s="7">
        <f>COUNTIFS('HR Track 1'!$K$5:$K$407,$A$338,'HR Track 1'!$AW$5:$AW$407,$C339,'HR Track 1'!$AZ$5:$AZ$407,$D339)</f>
        <v>0</v>
      </c>
      <c r="G339" s="7">
        <f>COUNTIFS('HR Track 2'!$K$5:$K$405,$A$338,'HR Track 2'!$AW$5:$AW$405,$C339,'HR Track 2'!$AZ$5:$AZ$405,$D339)</f>
        <v>0</v>
      </c>
      <c r="H339" s="7">
        <f>COUNTIFS('HR Track 3 ZIC'!$K$5:$K$74,$A$338,'HR Track 3 ZIC'!$AW$5:$AW$74,$C339,'HR Track 3 ZIC'!$AZ$5:$AZ$74,$D339)</f>
        <v>0</v>
      </c>
      <c r="I339" s="7">
        <f>COUNTIFS('HR Track 4 ZIC'!$K$5:$K$45,$A$338,'HR Track 4 ZIC'!$AW$5:$AW$45,$C339,'HR Track 4 ZIC'!$AZ$5:$AZ$45,$D339)</f>
        <v>0</v>
      </c>
      <c r="J339" s="7">
        <f>COUNTIFS('HR Track 4 BIN'!$K$5:$K$45,$A$338,'HR Track 4 BIN'!$AW$5:$AW$45,$C339,'HR Track 4 BIN'!$AZ$5:$AZ$45,$D339)</f>
        <v>0</v>
      </c>
      <c r="K339" s="315">
        <f>COUNTIFS('HR Track 5 BIN'!$K$5:$K$39,$A$338,'HR Track 5 BIN'!$AW$5:$AW$39,$C339,'HR Track 5 BIN'!$AZ$5:$AZ$39,$D339)</f>
        <v>0</v>
      </c>
    </row>
    <row r="340" spans="1:11" ht="19.899999999999999" customHeight="1">
      <c r="A340" s="1024"/>
      <c r="B340" s="1013"/>
      <c r="C340" s="153" t="s">
        <v>2409</v>
      </c>
      <c r="D340" s="11" t="str">
        <f>VLOOKUP(A338,Foundation_Calc!$K$4:$R$37,5,FALSE)</f>
        <v>N.D.</v>
      </c>
      <c r="E340" s="7">
        <f t="shared" si="6"/>
        <v>0</v>
      </c>
      <c r="F340" s="7">
        <f>COUNTIFS('HR Track 1'!$K$5:$K$407,$A$338,'HR Track 1'!$AW$5:$AW$407,$C340,'HR Track 1'!$AZ$5:$AZ$407,$D340)</f>
        <v>0</v>
      </c>
      <c r="G340" s="7">
        <f>COUNTIFS('HR Track 2'!$K$5:$K$405,$A$338,'HR Track 2'!$AW$5:$AW$405,$C340,'HR Track 2'!$AZ$5:$AZ$405,$D340)</f>
        <v>0</v>
      </c>
      <c r="H340" s="7">
        <f>COUNTIFS('HR Track 3 ZIC'!$K$5:$K$74,$A$338,'HR Track 3 ZIC'!$AW$5:$AW$74,$C340,'HR Track 3 ZIC'!$AZ$5:$AZ$74,$D340)</f>
        <v>0</v>
      </c>
      <c r="I340" s="7">
        <f>COUNTIFS('HR Track 4 ZIC'!$K$5:$K$45,$A$338,'HR Track 4 ZIC'!$AW$5:$AW$45,$C340,'HR Track 4 ZIC'!$AZ$5:$AZ$45,$D340)</f>
        <v>0</v>
      </c>
      <c r="J340" s="7">
        <f>COUNTIFS('HR Track 4 BIN'!$K$5:$K$45,$A$338,'HR Track 4 BIN'!$AW$5:$AW$45,$C340,'HR Track 4 BIN'!$AZ$5:$AZ$45,$D340)</f>
        <v>0</v>
      </c>
      <c r="K340" s="315">
        <f>COUNTIFS('HR Track 5 BIN'!$K$5:$K$39,$A$338,'HR Track 5 BIN'!$AW$5:$AW$39,$C340,'HR Track 5 BIN'!$AZ$5:$AZ$39,$D340)</f>
        <v>0</v>
      </c>
    </row>
    <row r="341" spans="1:11" ht="19.899999999999999" customHeight="1">
      <c r="A341" s="1024"/>
      <c r="B341" s="1013"/>
      <c r="C341" s="153" t="s">
        <v>2280</v>
      </c>
      <c r="D341" s="11" t="str">
        <f>VLOOKUP(A338,Foundation_Calc!$K$4:$R$37,6,FALSE)</f>
        <v>N.D.</v>
      </c>
      <c r="E341" s="7">
        <f t="shared" si="6"/>
        <v>0</v>
      </c>
      <c r="F341" s="7">
        <f>COUNTIFS('HR Track 1'!$K$5:$K$407,$A$338,'HR Track 1'!$AW$5:$AW$407,$C341,'HR Track 1'!$AZ$5:$AZ$407,$D341)</f>
        <v>0</v>
      </c>
      <c r="G341" s="7">
        <f>COUNTIFS('HR Track 2'!$K$5:$K$405,$A$338,'HR Track 2'!$AW$5:$AW$405,$C341,'HR Track 2'!$AZ$5:$AZ$405,$D341)</f>
        <v>0</v>
      </c>
      <c r="H341" s="7">
        <f>COUNTIFS('HR Track 3 ZIC'!$K$5:$K$74,$A$338,'HR Track 3 ZIC'!$AW$5:$AW$74,$C341,'HR Track 3 ZIC'!$AZ$5:$AZ$74,$D341)</f>
        <v>0</v>
      </c>
      <c r="I341" s="7">
        <f>COUNTIFS('HR Track 4 ZIC'!$K$5:$K$45,$A$338,'HR Track 4 ZIC'!$AW$5:$AW$45,$C341,'HR Track 4 ZIC'!$AZ$5:$AZ$45,$D341)</f>
        <v>0</v>
      </c>
      <c r="J341" s="7">
        <f>COUNTIFS('HR Track 4 BIN'!$K$5:$K$45,$A$338,'HR Track 4 BIN'!$AW$5:$AW$45,$C341,'HR Track 4 BIN'!$AZ$5:$AZ$45,$D341)</f>
        <v>0</v>
      </c>
      <c r="K341" s="315">
        <f>COUNTIFS('HR Track 5 BIN'!$K$5:$K$39,$A$338,'HR Track 5 BIN'!$AW$5:$AW$39,$C341,'HR Track 5 BIN'!$AZ$5:$AZ$39,$D341)</f>
        <v>0</v>
      </c>
    </row>
    <row r="342" spans="1:11" ht="19.899999999999999" customHeight="1">
      <c r="A342" s="1024"/>
      <c r="B342" s="1013"/>
      <c r="C342" s="153" t="s">
        <v>2281</v>
      </c>
      <c r="D342" s="11" t="str">
        <f>VLOOKUP(A338,Foundation_Calc!$K$4:$R$37,7,FALSE)</f>
        <v>N.D.</v>
      </c>
      <c r="E342" s="7">
        <f t="shared" si="6"/>
        <v>0</v>
      </c>
      <c r="F342" s="7">
        <f>COUNTIFS('HR Track 1'!$K$5:$K$407,$A$338,'HR Track 1'!$AW$5:$AW$407,$C342,'HR Track 1'!$AZ$5:$AZ$407,$D342)</f>
        <v>0</v>
      </c>
      <c r="G342" s="7">
        <f>COUNTIFS('HR Track 2'!$K$5:$K$405,$A$338,'HR Track 2'!$AW$5:$AW$405,$C342,'HR Track 2'!$AZ$5:$AZ$405,$D342)</f>
        <v>0</v>
      </c>
      <c r="H342" s="7">
        <f>COUNTIFS('HR Track 3 ZIC'!$K$5:$K$74,$A$338,'HR Track 3 ZIC'!$AW$5:$AW$74,$C342,'HR Track 3 ZIC'!$AZ$5:$AZ$74,$D342)</f>
        <v>0</v>
      </c>
      <c r="I342" s="7">
        <f>COUNTIFS('HR Track 4 ZIC'!$K$5:$K$45,$A$338,'HR Track 4 ZIC'!$AW$5:$AW$45,$C342,'HR Track 4 ZIC'!$AZ$5:$AZ$45,$D342)</f>
        <v>0</v>
      </c>
      <c r="J342" s="7">
        <f>COUNTIFS('HR Track 4 BIN'!$K$5:$K$45,$A$338,'HR Track 4 BIN'!$AW$5:$AW$45,$C342,'HR Track 4 BIN'!$AZ$5:$AZ$45,$D342)</f>
        <v>0</v>
      </c>
      <c r="K342" s="315">
        <f>COUNTIFS('HR Track 5 BIN'!$K$5:$K$39,$A$338,'HR Track 5 BIN'!$AW$5:$AW$39,$C342,'HR Track 5 BIN'!$AZ$5:$AZ$39,$D342)</f>
        <v>0</v>
      </c>
    </row>
    <row r="343" spans="1:11" ht="19.899999999999999" customHeight="1" thickBot="1">
      <c r="A343" s="1025"/>
      <c r="B343" s="1014"/>
      <c r="C343" s="316" t="s">
        <v>2282</v>
      </c>
      <c r="D343" s="317" t="str">
        <f>VLOOKUP(A338,Foundation_Calc!$K$4:$R$37,8,FALSE)</f>
        <v>N.D.</v>
      </c>
      <c r="E343" s="318">
        <f t="shared" si="6"/>
        <v>0</v>
      </c>
      <c r="F343" s="318">
        <f>COUNTIFS('HR Track 1'!$K$5:$K$407,$A$338,'HR Track 1'!$AW$5:$AW$407,$C343,'HR Track 1'!$AZ$5:$AZ$407,$D343)</f>
        <v>0</v>
      </c>
      <c r="G343" s="318">
        <f>COUNTIFS('HR Track 2'!$K$5:$K$405,$A$338,'HR Track 2'!$AW$5:$AW$405,$C343,'HR Track 2'!$AZ$5:$AZ$405,$D343)</f>
        <v>0</v>
      </c>
      <c r="H343" s="318">
        <f>COUNTIFS('HR Track 3 ZIC'!$K$5:$K$74,$A$338,'HR Track 3 ZIC'!$AW$5:$AW$74,$C343,'HR Track 3 ZIC'!$AZ$5:$AZ$74,$D343)</f>
        <v>0</v>
      </c>
      <c r="I343" s="318">
        <f>COUNTIFS('HR Track 4 ZIC'!$K$5:$K$45,$A$338,'HR Track 4 ZIC'!$AW$5:$AW$45,$C343,'HR Track 4 ZIC'!$AZ$5:$AZ$45,$D343)</f>
        <v>0</v>
      </c>
      <c r="J343" s="318">
        <f>COUNTIFS('HR Track 4 BIN'!$K$5:$K$45,$A$338,'HR Track 4 BIN'!$AW$5:$AW$45,$C343,'HR Track 4 BIN'!$AZ$5:$AZ$45,$D343)</f>
        <v>0</v>
      </c>
      <c r="K343" s="319">
        <f>COUNTIFS('HR Track 5 BIN'!$K$5:$K$39,$A$338,'HR Track 5 BIN'!$AW$5:$AW$39,$C343,'HR Track 5 BIN'!$AZ$5:$AZ$39,$D343)</f>
        <v>0</v>
      </c>
    </row>
    <row r="344" spans="1:11" ht="19.899999999999999" customHeight="1">
      <c r="A344" s="1108" t="s">
        <v>315</v>
      </c>
      <c r="B344" s="1111"/>
      <c r="C344" s="311" t="s">
        <v>2407</v>
      </c>
      <c r="D344" s="320" t="str">
        <f>VLOOKUP(A344,Foundation_Calc!$K$41:$R$74,3,FALSE)</f>
        <v>N.D.</v>
      </c>
      <c r="E344" s="313">
        <f t="shared" si="6"/>
        <v>0</v>
      </c>
      <c r="F344" s="313">
        <f>COUNTIFS('HR Track 1'!$K$5:$K$407,$A$344,'HR Track 1'!$AW$5:$AW$407,$C344,'HR Track 1'!$AZ$5:$AZ$407,$D344)</f>
        <v>0</v>
      </c>
      <c r="G344" s="313">
        <f>COUNTIFS('HR Track 2'!$K$5:$K$405,$A$344,'HR Track 2'!$AW$5:$AW$405,$C344,'HR Track 2'!$AZ$5:$AZ$405,$D344)</f>
        <v>0</v>
      </c>
      <c r="H344" s="313">
        <f>COUNTIFS('HR Track 3 ZIC'!$K$5:$K$74,$A$344,'HR Track 3 ZIC'!$AW$5:$AW$74,$C344,'HR Track 3 ZIC'!$AZ$5:$AZ$74,$D344)</f>
        <v>0</v>
      </c>
      <c r="I344" s="313">
        <f>COUNTIFS('HR Track 4 ZIC'!$K$5:$K$45,$A$344,'HR Track 4 ZIC'!$AW$5:$AW$45,$C344,'HR Track 4 ZIC'!$AZ$5:$AZ$45,$D344)</f>
        <v>0</v>
      </c>
      <c r="J344" s="313">
        <f>COUNTIFS('HR Track 4 BIN'!$K$5:$K$45,$A$344,'HR Track 4 BIN'!$AW$5:$AW$45,$C344,'HR Track 4 BIN'!$AZ$5:$AZ$45,$D344)</f>
        <v>0</v>
      </c>
      <c r="K344" s="314">
        <f>COUNTIFS('HR Track 5 BIN'!$K$5:$K$39,$A$344,'HR Track 5 BIN'!$AW$5:$AW$39,$C344,'HR Track 5 BIN'!$AZ$5:$AZ$39,$D344)</f>
        <v>0</v>
      </c>
    </row>
    <row r="345" spans="1:11" ht="19.899999999999999" customHeight="1">
      <c r="A345" s="1109"/>
      <c r="B345" s="1112"/>
      <c r="C345" s="153" t="s">
        <v>2408</v>
      </c>
      <c r="D345" s="291" t="str">
        <f>VLOOKUP(A344,Foundation_Calc!$K$41:$R$74,4,FALSE)</f>
        <v>N.D.</v>
      </c>
      <c r="E345" s="7">
        <f t="shared" si="6"/>
        <v>0</v>
      </c>
      <c r="F345" s="7">
        <f>COUNTIFS('HR Track 1'!$K$5:$K$407,$A$344,'HR Track 1'!$AW$5:$AW$407,$C345,'HR Track 1'!$AZ$5:$AZ$407,$D345)</f>
        <v>0</v>
      </c>
      <c r="G345" s="7">
        <f>COUNTIFS('HR Track 2'!$K$5:$K$405,$A$344,'HR Track 2'!$AW$5:$AW$405,$C345,'HR Track 2'!$AZ$5:$AZ$405,$D345)</f>
        <v>0</v>
      </c>
      <c r="H345" s="7">
        <f>COUNTIFS('HR Track 3 ZIC'!$K$5:$K$74,$A$344,'HR Track 3 ZIC'!$AW$5:$AW$74,$C345,'HR Track 3 ZIC'!$AZ$5:$AZ$74,$D345)</f>
        <v>0</v>
      </c>
      <c r="I345" s="7">
        <f>COUNTIFS('HR Track 4 ZIC'!$K$5:$K$45,$A$344,'HR Track 4 ZIC'!$AW$5:$AW$45,$C345,'HR Track 4 ZIC'!$AZ$5:$AZ$45,$D345)</f>
        <v>0</v>
      </c>
      <c r="J345" s="7">
        <f>COUNTIFS('HR Track 4 BIN'!$K$5:$K$45,$A$344,'HR Track 4 BIN'!$AW$5:$AW$45,$C345,'HR Track 4 BIN'!$AZ$5:$AZ$45,$D345)</f>
        <v>0</v>
      </c>
      <c r="K345" s="315">
        <f>COUNTIFS('HR Track 5 BIN'!$K$5:$K$39,$A$344,'HR Track 5 BIN'!$AW$5:$AW$39,$C345,'HR Track 5 BIN'!$AZ$5:$AZ$39,$D345)</f>
        <v>0</v>
      </c>
    </row>
    <row r="346" spans="1:11" ht="19.899999999999999" customHeight="1">
      <c r="A346" s="1109"/>
      <c r="B346" s="1112"/>
      <c r="C346" s="153" t="s">
        <v>2409</v>
      </c>
      <c r="D346" s="291" t="str">
        <f>VLOOKUP(A344,Foundation_Calc!$K$41:$R$74,5,FALSE)</f>
        <v>N.D.</v>
      </c>
      <c r="E346" s="7">
        <f t="shared" si="6"/>
        <v>0</v>
      </c>
      <c r="F346" s="7">
        <f>COUNTIFS('HR Track 1'!$K$5:$K$407,$A$344,'HR Track 1'!$AW$5:$AW$407,$C346,'HR Track 1'!$AZ$5:$AZ$407,$D346)</f>
        <v>0</v>
      </c>
      <c r="G346" s="7">
        <f>COUNTIFS('HR Track 2'!$K$5:$K$405,$A$344,'HR Track 2'!$AW$5:$AW$405,$C346,'HR Track 2'!$AZ$5:$AZ$405,$D346)</f>
        <v>0</v>
      </c>
      <c r="H346" s="7">
        <f>COUNTIFS('HR Track 3 ZIC'!$K$5:$K$74,$A$344,'HR Track 3 ZIC'!$AW$5:$AW$74,$C346,'HR Track 3 ZIC'!$AZ$5:$AZ$74,$D346)</f>
        <v>0</v>
      </c>
      <c r="I346" s="7">
        <f>COUNTIFS('HR Track 4 ZIC'!$K$5:$K$45,$A$344,'HR Track 4 ZIC'!$AW$5:$AW$45,$C346,'HR Track 4 ZIC'!$AZ$5:$AZ$45,$D346)</f>
        <v>0</v>
      </c>
      <c r="J346" s="7">
        <f>COUNTIFS('HR Track 4 BIN'!$K$5:$K$45,$A$344,'HR Track 4 BIN'!$AW$5:$AW$45,$C346,'HR Track 4 BIN'!$AZ$5:$AZ$45,$D346)</f>
        <v>0</v>
      </c>
      <c r="K346" s="315">
        <f>COUNTIFS('HR Track 5 BIN'!$K$5:$K$39,$A$344,'HR Track 5 BIN'!$AW$5:$AW$39,$C346,'HR Track 5 BIN'!$AZ$5:$AZ$39,$D346)</f>
        <v>0</v>
      </c>
    </row>
    <row r="347" spans="1:11" ht="19.899999999999999" customHeight="1">
      <c r="A347" s="1109"/>
      <c r="B347" s="1112"/>
      <c r="C347" s="153" t="s">
        <v>2280</v>
      </c>
      <c r="D347" s="291" t="str">
        <f>VLOOKUP(A344,Foundation_Calc!$K$41:$R$74,6,FALSE)</f>
        <v>N.D.</v>
      </c>
      <c r="E347" s="7">
        <f t="shared" si="6"/>
        <v>0</v>
      </c>
      <c r="F347" s="7">
        <f>COUNTIFS('HR Track 1'!$K$5:$K$407,$A$344,'HR Track 1'!$AW$5:$AW$407,$C347,'HR Track 1'!$AZ$5:$AZ$407,$D347)</f>
        <v>0</v>
      </c>
      <c r="G347" s="7">
        <f>COUNTIFS('HR Track 2'!$K$5:$K$405,$A$344,'HR Track 2'!$AW$5:$AW$405,$C347,'HR Track 2'!$AZ$5:$AZ$405,$D347)</f>
        <v>0</v>
      </c>
      <c r="H347" s="7">
        <f>COUNTIFS('HR Track 3 ZIC'!$K$5:$K$74,$A$344,'HR Track 3 ZIC'!$AW$5:$AW$74,$C347,'HR Track 3 ZIC'!$AZ$5:$AZ$74,$D347)</f>
        <v>0</v>
      </c>
      <c r="I347" s="7">
        <f>COUNTIFS('HR Track 4 ZIC'!$K$5:$K$45,$A$344,'HR Track 4 ZIC'!$AW$5:$AW$45,$C347,'HR Track 4 ZIC'!$AZ$5:$AZ$45,$D347)</f>
        <v>0</v>
      </c>
      <c r="J347" s="7">
        <f>COUNTIFS('HR Track 4 BIN'!$K$5:$K$45,$A$344,'HR Track 4 BIN'!$AW$5:$AW$45,$C347,'HR Track 4 BIN'!$AZ$5:$AZ$45,$D347)</f>
        <v>0</v>
      </c>
      <c r="K347" s="315">
        <f>COUNTIFS('HR Track 5 BIN'!$K$5:$K$39,$A$344,'HR Track 5 BIN'!$AW$5:$AW$39,$C347,'HR Track 5 BIN'!$AZ$5:$AZ$39,$D347)</f>
        <v>0</v>
      </c>
    </row>
    <row r="348" spans="1:11" ht="19.899999999999999" customHeight="1">
      <c r="A348" s="1109"/>
      <c r="B348" s="1112"/>
      <c r="C348" s="153" t="s">
        <v>2281</v>
      </c>
      <c r="D348" s="291" t="str">
        <f>VLOOKUP(A344,Foundation_Calc!$K$41:$R$74,7,FALSE)</f>
        <v>N.D.</v>
      </c>
      <c r="E348" s="7">
        <f t="shared" si="6"/>
        <v>0</v>
      </c>
      <c r="F348" s="7">
        <f>COUNTIFS('HR Track 1'!$K$5:$K$407,$A$344,'HR Track 1'!$AW$5:$AW$407,$C348,'HR Track 1'!$AZ$5:$AZ$407,$D348)</f>
        <v>0</v>
      </c>
      <c r="G348" s="7">
        <f>COUNTIFS('HR Track 2'!$K$5:$K$405,$A$344,'HR Track 2'!$AW$5:$AW$405,$C348,'HR Track 2'!$AZ$5:$AZ$405,$D348)</f>
        <v>0</v>
      </c>
      <c r="H348" s="7">
        <f>COUNTIFS('HR Track 3 ZIC'!$K$5:$K$74,$A$344,'HR Track 3 ZIC'!$AW$5:$AW$74,$C348,'HR Track 3 ZIC'!$AZ$5:$AZ$74,$D348)</f>
        <v>0</v>
      </c>
      <c r="I348" s="7">
        <f>COUNTIFS('HR Track 4 ZIC'!$K$5:$K$45,$A$344,'HR Track 4 ZIC'!$AW$5:$AW$45,$C348,'HR Track 4 ZIC'!$AZ$5:$AZ$45,$D348)</f>
        <v>0</v>
      </c>
      <c r="J348" s="7">
        <f>COUNTIFS('HR Track 4 BIN'!$K$5:$K$45,$A$344,'HR Track 4 BIN'!$AW$5:$AW$45,$C348,'HR Track 4 BIN'!$AZ$5:$AZ$45,$D348)</f>
        <v>0</v>
      </c>
      <c r="K348" s="315">
        <f>COUNTIFS('HR Track 5 BIN'!$K$5:$K$39,$A$344,'HR Track 5 BIN'!$AW$5:$AW$39,$C348,'HR Track 5 BIN'!$AZ$5:$AZ$39,$D348)</f>
        <v>0</v>
      </c>
    </row>
    <row r="349" spans="1:11" ht="19.899999999999999" customHeight="1" thickBot="1">
      <c r="A349" s="1110"/>
      <c r="B349" s="1113"/>
      <c r="C349" s="316" t="s">
        <v>2282</v>
      </c>
      <c r="D349" s="321" t="str">
        <f>VLOOKUP(A344,Foundation_Calc!$K$41:$R$74,8,FALSE)</f>
        <v>N.D.</v>
      </c>
      <c r="E349" s="318">
        <f t="shared" si="6"/>
        <v>0</v>
      </c>
      <c r="F349" s="318">
        <f>COUNTIFS('HR Track 1'!$K$5:$K$407,$A$344,'HR Track 1'!$AW$5:$AW$407,$C349,'HR Track 1'!$AZ$5:$AZ$407,$D349)</f>
        <v>0</v>
      </c>
      <c r="G349" s="318">
        <f>COUNTIFS('HR Track 2'!$K$5:$K$405,$A$344,'HR Track 2'!$AW$5:$AW$405,$C349,'HR Track 2'!$AZ$5:$AZ$405,$D349)</f>
        <v>0</v>
      </c>
      <c r="H349" s="318">
        <f>COUNTIFS('HR Track 3 ZIC'!$K$5:$K$74,$A$344,'HR Track 3 ZIC'!$AW$5:$AW$74,$C349,'HR Track 3 ZIC'!$AZ$5:$AZ$74,$D349)</f>
        <v>0</v>
      </c>
      <c r="I349" s="318">
        <f>COUNTIFS('HR Track 4 ZIC'!$K$5:$K$45,$A$344,'HR Track 4 ZIC'!$AW$5:$AW$45,$C349,'HR Track 4 ZIC'!$AZ$5:$AZ$45,$D349)</f>
        <v>0</v>
      </c>
      <c r="J349" s="318">
        <f>COUNTIFS('HR Track 4 BIN'!$K$5:$K$45,$A$344,'HR Track 4 BIN'!$AW$5:$AW$45,$C349,'HR Track 4 BIN'!$AZ$5:$AZ$45,$D349)</f>
        <v>0</v>
      </c>
      <c r="K349" s="319">
        <f>COUNTIFS('HR Track 5 BIN'!$K$5:$K$39,$A$344,'HR Track 5 BIN'!$AW$5:$AW$39,$C349,'HR Track 5 BIN'!$AZ$5:$AZ$39,$D349)</f>
        <v>0</v>
      </c>
    </row>
  </sheetData>
  <mergeCells count="124">
    <mergeCell ref="A32:A37"/>
    <mergeCell ref="B32:B37"/>
    <mergeCell ref="A56:A61"/>
    <mergeCell ref="B56:B61"/>
    <mergeCell ref="A38:A43"/>
    <mergeCell ref="B38:B43"/>
    <mergeCell ref="A44:A49"/>
    <mergeCell ref="B44:B49"/>
    <mergeCell ref="A50:A55"/>
    <mergeCell ref="B50:B55"/>
    <mergeCell ref="A2:A7"/>
    <mergeCell ref="A8:A13"/>
    <mergeCell ref="B2:B7"/>
    <mergeCell ref="B8:B13"/>
    <mergeCell ref="A14:A19"/>
    <mergeCell ref="B14:B19"/>
    <mergeCell ref="A20:A25"/>
    <mergeCell ref="B20:B25"/>
    <mergeCell ref="A26:A31"/>
    <mergeCell ref="B26:B31"/>
    <mergeCell ref="A80:A85"/>
    <mergeCell ref="B80:B85"/>
    <mergeCell ref="A86:A91"/>
    <mergeCell ref="B86:B91"/>
    <mergeCell ref="A92:A97"/>
    <mergeCell ref="B92:B97"/>
    <mergeCell ref="A62:A67"/>
    <mergeCell ref="B62:B67"/>
    <mergeCell ref="A68:A73"/>
    <mergeCell ref="B68:B73"/>
    <mergeCell ref="A74:A79"/>
    <mergeCell ref="B74:B79"/>
    <mergeCell ref="A116:A121"/>
    <mergeCell ref="B116:B121"/>
    <mergeCell ref="A122:A127"/>
    <mergeCell ref="B122:B127"/>
    <mergeCell ref="A128:A133"/>
    <mergeCell ref="B128:B133"/>
    <mergeCell ref="A98:A103"/>
    <mergeCell ref="B98:B103"/>
    <mergeCell ref="A104:A109"/>
    <mergeCell ref="B104:B109"/>
    <mergeCell ref="A110:A115"/>
    <mergeCell ref="B110:B115"/>
    <mergeCell ref="A152:A157"/>
    <mergeCell ref="B152:B157"/>
    <mergeCell ref="A158:A163"/>
    <mergeCell ref="B158:B163"/>
    <mergeCell ref="A164:A169"/>
    <mergeCell ref="B164:B169"/>
    <mergeCell ref="A134:A139"/>
    <mergeCell ref="B134:B139"/>
    <mergeCell ref="A140:A145"/>
    <mergeCell ref="B140:B145"/>
    <mergeCell ref="A146:A151"/>
    <mergeCell ref="B146:B151"/>
    <mergeCell ref="A188:A193"/>
    <mergeCell ref="B188:B193"/>
    <mergeCell ref="A194:A199"/>
    <mergeCell ref="B194:B199"/>
    <mergeCell ref="A200:A205"/>
    <mergeCell ref="B200:B205"/>
    <mergeCell ref="A170:A175"/>
    <mergeCell ref="B170:B175"/>
    <mergeCell ref="A176:A181"/>
    <mergeCell ref="B176:B181"/>
    <mergeCell ref="A182:A187"/>
    <mergeCell ref="B182:B187"/>
    <mergeCell ref="A224:A229"/>
    <mergeCell ref="B224:B229"/>
    <mergeCell ref="A230:A235"/>
    <mergeCell ref="B230:B235"/>
    <mergeCell ref="A236:A241"/>
    <mergeCell ref="B236:B241"/>
    <mergeCell ref="A206:A211"/>
    <mergeCell ref="B206:B211"/>
    <mergeCell ref="A212:A217"/>
    <mergeCell ref="B212:B217"/>
    <mergeCell ref="A218:A223"/>
    <mergeCell ref="B218:B223"/>
    <mergeCell ref="A266:A271"/>
    <mergeCell ref="B266:B271"/>
    <mergeCell ref="A272:A277"/>
    <mergeCell ref="B272:B277"/>
    <mergeCell ref="A242:A247"/>
    <mergeCell ref="B242:B247"/>
    <mergeCell ref="A248:A253"/>
    <mergeCell ref="B248:B253"/>
    <mergeCell ref="A254:A259"/>
    <mergeCell ref="B254:B259"/>
    <mergeCell ref="A338:A343"/>
    <mergeCell ref="B338:B343"/>
    <mergeCell ref="A344:A349"/>
    <mergeCell ref="B344:B349"/>
    <mergeCell ref="A314:A319"/>
    <mergeCell ref="B314:B319"/>
    <mergeCell ref="A320:A325"/>
    <mergeCell ref="B320:B325"/>
    <mergeCell ref="A326:A331"/>
    <mergeCell ref="B326:B331"/>
    <mergeCell ref="L14:L19"/>
    <mergeCell ref="L20:L25"/>
    <mergeCell ref="L38:L43"/>
    <mergeCell ref="L44:L49"/>
    <mergeCell ref="L62:L67"/>
    <mergeCell ref="L68:L73"/>
    <mergeCell ref="L110:L115"/>
    <mergeCell ref="L116:L121"/>
    <mergeCell ref="A332:A337"/>
    <mergeCell ref="B332:B337"/>
    <mergeCell ref="A296:A301"/>
    <mergeCell ref="B296:B301"/>
    <mergeCell ref="A302:A307"/>
    <mergeCell ref="B302:B307"/>
    <mergeCell ref="A308:A313"/>
    <mergeCell ref="B308:B313"/>
    <mergeCell ref="A278:A283"/>
    <mergeCell ref="B278:B283"/>
    <mergeCell ref="A284:A289"/>
    <mergeCell ref="B284:B289"/>
    <mergeCell ref="A290:A295"/>
    <mergeCell ref="B290:B295"/>
    <mergeCell ref="A260:A265"/>
    <mergeCell ref="B260:B265"/>
  </mergeCells>
  <conditionalFormatting sqref="D2:K2 F3:K7">
    <cfRule type="containsText" dxfId="290" priority="510" operator="containsText" text="N.D.">
      <formula>NOT(ISERROR(SEARCH("N.D.",D2)))</formula>
    </cfRule>
  </conditionalFormatting>
  <conditionalFormatting sqref="D3:E7">
    <cfRule type="containsText" dxfId="289" priority="291" operator="containsText" text="N.D.">
      <formula>NOT(ISERROR(SEARCH("N.D.",D3)))</formula>
    </cfRule>
  </conditionalFormatting>
  <conditionalFormatting sqref="D8:J8">
    <cfRule type="containsText" dxfId="288" priority="290" operator="containsText" text="N.D.">
      <formula>NOT(ISERROR(SEARCH("N.D.",D8)))</formula>
    </cfRule>
  </conditionalFormatting>
  <conditionalFormatting sqref="K8">
    <cfRule type="containsText" dxfId="287" priority="289" operator="containsText" text="N.D.">
      <formula>NOT(ISERROR(SEARCH("N.D.",K8)))</formula>
    </cfRule>
  </conditionalFormatting>
  <conditionalFormatting sqref="F9:J13">
    <cfRule type="containsText" dxfId="286" priority="288" operator="containsText" text="N.D.">
      <formula>NOT(ISERROR(SEARCH("N.D.",F9)))</formula>
    </cfRule>
  </conditionalFormatting>
  <conditionalFormatting sqref="K9:K13">
    <cfRule type="containsText" dxfId="285" priority="287" operator="containsText" text="N.D.">
      <formula>NOT(ISERROR(SEARCH("N.D.",K9)))</formula>
    </cfRule>
  </conditionalFormatting>
  <conditionalFormatting sqref="D9:E13">
    <cfRule type="containsText" dxfId="284" priority="286" operator="containsText" text="N.D.">
      <formula>NOT(ISERROR(SEARCH("N.D.",D9)))</formula>
    </cfRule>
  </conditionalFormatting>
  <conditionalFormatting sqref="F14:J14">
    <cfRule type="containsText" dxfId="283" priority="284" operator="containsText" text="N.D.">
      <formula>NOT(ISERROR(SEARCH("N.D.",F14)))</formula>
    </cfRule>
  </conditionalFormatting>
  <conditionalFormatting sqref="K14">
    <cfRule type="containsText" dxfId="282" priority="283" operator="containsText" text="N.D.">
      <formula>NOT(ISERROR(SEARCH("N.D.",K14)))</formula>
    </cfRule>
  </conditionalFormatting>
  <conditionalFormatting sqref="F15:J19">
    <cfRule type="containsText" dxfId="281" priority="282" operator="containsText" text="N.D.">
      <formula>NOT(ISERROR(SEARCH("N.D.",F15)))</formula>
    </cfRule>
  </conditionalFormatting>
  <conditionalFormatting sqref="K15:K19">
    <cfRule type="containsText" dxfId="280" priority="281" operator="containsText" text="N.D.">
      <formula>NOT(ISERROR(SEARCH("N.D.",K15)))</formula>
    </cfRule>
  </conditionalFormatting>
  <conditionalFormatting sqref="D15:E19">
    <cfRule type="containsText" dxfId="279" priority="280" operator="containsText" text="N.D.">
      <formula>NOT(ISERROR(SEARCH("N.D.",D15)))</formula>
    </cfRule>
  </conditionalFormatting>
  <conditionalFormatting sqref="D20:J20">
    <cfRule type="containsText" dxfId="278" priority="279" operator="containsText" text="N.D.">
      <formula>NOT(ISERROR(SEARCH("N.D.",D20)))</formula>
    </cfRule>
  </conditionalFormatting>
  <conditionalFormatting sqref="K20">
    <cfRule type="containsText" dxfId="277" priority="278" operator="containsText" text="N.D.">
      <formula>NOT(ISERROR(SEARCH("N.D.",K20)))</formula>
    </cfRule>
  </conditionalFormatting>
  <conditionalFormatting sqref="F21:J25">
    <cfRule type="containsText" dxfId="276" priority="277" operator="containsText" text="N.D.">
      <formula>NOT(ISERROR(SEARCH("N.D.",F21)))</formula>
    </cfRule>
  </conditionalFormatting>
  <conditionalFormatting sqref="K21:K25">
    <cfRule type="containsText" dxfId="275" priority="276" operator="containsText" text="N.D.">
      <formula>NOT(ISERROR(SEARCH("N.D.",K21)))</formula>
    </cfRule>
  </conditionalFormatting>
  <conditionalFormatting sqref="D21:E25">
    <cfRule type="containsText" dxfId="274" priority="275" operator="containsText" text="N.D.">
      <formula>NOT(ISERROR(SEARCH("N.D.",D21)))</formula>
    </cfRule>
  </conditionalFormatting>
  <conditionalFormatting sqref="D26:J26">
    <cfRule type="containsText" dxfId="273" priority="274" operator="containsText" text="N.D.">
      <formula>NOT(ISERROR(SEARCH("N.D.",D26)))</formula>
    </cfRule>
  </conditionalFormatting>
  <conditionalFormatting sqref="K26">
    <cfRule type="containsText" dxfId="272" priority="273" operator="containsText" text="N.D.">
      <formula>NOT(ISERROR(SEARCH("N.D.",K26)))</formula>
    </cfRule>
  </conditionalFormatting>
  <conditionalFormatting sqref="F27:J31">
    <cfRule type="containsText" dxfId="271" priority="272" operator="containsText" text="N.D.">
      <formula>NOT(ISERROR(SEARCH("N.D.",F27)))</formula>
    </cfRule>
  </conditionalFormatting>
  <conditionalFormatting sqref="K27:K31">
    <cfRule type="containsText" dxfId="270" priority="271" operator="containsText" text="N.D.">
      <formula>NOT(ISERROR(SEARCH("N.D.",K27)))</formula>
    </cfRule>
  </conditionalFormatting>
  <conditionalFormatting sqref="D27:E31">
    <cfRule type="containsText" dxfId="269" priority="270" operator="containsText" text="N.D.">
      <formula>NOT(ISERROR(SEARCH("N.D.",D27)))</formula>
    </cfRule>
  </conditionalFormatting>
  <conditionalFormatting sqref="D32:J32">
    <cfRule type="containsText" dxfId="268" priority="269" operator="containsText" text="N.D.">
      <formula>NOT(ISERROR(SEARCH("N.D.",D32)))</formula>
    </cfRule>
  </conditionalFormatting>
  <conditionalFormatting sqref="K32">
    <cfRule type="containsText" dxfId="267" priority="268" operator="containsText" text="N.D.">
      <formula>NOT(ISERROR(SEARCH("N.D.",K32)))</formula>
    </cfRule>
  </conditionalFormatting>
  <conditionalFormatting sqref="F33:J37">
    <cfRule type="containsText" dxfId="266" priority="267" operator="containsText" text="N.D.">
      <formula>NOT(ISERROR(SEARCH("N.D.",F33)))</formula>
    </cfRule>
  </conditionalFormatting>
  <conditionalFormatting sqref="K33:K37">
    <cfRule type="containsText" dxfId="265" priority="266" operator="containsText" text="N.D.">
      <formula>NOT(ISERROR(SEARCH("N.D.",K33)))</formula>
    </cfRule>
  </conditionalFormatting>
  <conditionalFormatting sqref="D33:E37">
    <cfRule type="containsText" dxfId="264" priority="265" operator="containsText" text="N.D.">
      <formula>NOT(ISERROR(SEARCH("N.D.",D33)))</formula>
    </cfRule>
  </conditionalFormatting>
  <conditionalFormatting sqref="D38:J38">
    <cfRule type="containsText" dxfId="263" priority="264" operator="containsText" text="N.D.">
      <formula>NOT(ISERROR(SEARCH("N.D.",D38)))</formula>
    </cfRule>
  </conditionalFormatting>
  <conditionalFormatting sqref="K38">
    <cfRule type="containsText" dxfId="262" priority="263" operator="containsText" text="N.D.">
      <formula>NOT(ISERROR(SEARCH("N.D.",K38)))</formula>
    </cfRule>
  </conditionalFormatting>
  <conditionalFormatting sqref="F39:J43">
    <cfRule type="containsText" dxfId="261" priority="262" operator="containsText" text="N.D.">
      <formula>NOT(ISERROR(SEARCH("N.D.",F39)))</formula>
    </cfRule>
  </conditionalFormatting>
  <conditionalFormatting sqref="K39:K43">
    <cfRule type="containsText" dxfId="260" priority="261" operator="containsText" text="N.D.">
      <formula>NOT(ISERROR(SEARCH("N.D.",K39)))</formula>
    </cfRule>
  </conditionalFormatting>
  <conditionalFormatting sqref="D39:E43">
    <cfRule type="containsText" dxfId="259" priority="260" operator="containsText" text="N.D.">
      <formula>NOT(ISERROR(SEARCH("N.D.",D39)))</formula>
    </cfRule>
  </conditionalFormatting>
  <conditionalFormatting sqref="D44:J44">
    <cfRule type="containsText" dxfId="258" priority="259" operator="containsText" text="N.D.">
      <formula>NOT(ISERROR(SEARCH("N.D.",D44)))</formula>
    </cfRule>
  </conditionalFormatting>
  <conditionalFormatting sqref="K44">
    <cfRule type="containsText" dxfId="257" priority="258" operator="containsText" text="N.D.">
      <formula>NOT(ISERROR(SEARCH("N.D.",K44)))</formula>
    </cfRule>
  </conditionalFormatting>
  <conditionalFormatting sqref="F45:J49">
    <cfRule type="containsText" dxfId="256" priority="257" operator="containsText" text="N.D.">
      <formula>NOT(ISERROR(SEARCH("N.D.",F45)))</formula>
    </cfRule>
  </conditionalFormatting>
  <conditionalFormatting sqref="K45:K49">
    <cfRule type="containsText" dxfId="255" priority="256" operator="containsText" text="N.D.">
      <formula>NOT(ISERROR(SEARCH("N.D.",K45)))</formula>
    </cfRule>
  </conditionalFormatting>
  <conditionalFormatting sqref="D45:E49">
    <cfRule type="containsText" dxfId="254" priority="255" operator="containsText" text="N.D.">
      <formula>NOT(ISERROR(SEARCH("N.D.",D45)))</formula>
    </cfRule>
  </conditionalFormatting>
  <conditionalFormatting sqref="D50:J50">
    <cfRule type="containsText" dxfId="253" priority="254" operator="containsText" text="N.D.">
      <formula>NOT(ISERROR(SEARCH("N.D.",D50)))</formula>
    </cfRule>
  </conditionalFormatting>
  <conditionalFormatting sqref="K50">
    <cfRule type="containsText" dxfId="252" priority="253" operator="containsText" text="N.D.">
      <formula>NOT(ISERROR(SEARCH("N.D.",K50)))</formula>
    </cfRule>
  </conditionalFormatting>
  <conditionalFormatting sqref="F51:J55">
    <cfRule type="containsText" dxfId="251" priority="252" operator="containsText" text="N.D.">
      <formula>NOT(ISERROR(SEARCH("N.D.",F51)))</formula>
    </cfRule>
  </conditionalFormatting>
  <conditionalFormatting sqref="K51:K55">
    <cfRule type="containsText" dxfId="250" priority="251" operator="containsText" text="N.D.">
      <formula>NOT(ISERROR(SEARCH("N.D.",K51)))</formula>
    </cfRule>
  </conditionalFormatting>
  <conditionalFormatting sqref="D51:E55">
    <cfRule type="containsText" dxfId="249" priority="250" operator="containsText" text="N.D.">
      <formula>NOT(ISERROR(SEARCH("N.D.",D51)))</formula>
    </cfRule>
  </conditionalFormatting>
  <conditionalFormatting sqref="D56:J56">
    <cfRule type="containsText" dxfId="248" priority="249" operator="containsText" text="N.D.">
      <formula>NOT(ISERROR(SEARCH("N.D.",D56)))</formula>
    </cfRule>
  </conditionalFormatting>
  <conditionalFormatting sqref="K56">
    <cfRule type="containsText" dxfId="247" priority="248" operator="containsText" text="N.D.">
      <formula>NOT(ISERROR(SEARCH("N.D.",K56)))</formula>
    </cfRule>
  </conditionalFormatting>
  <conditionalFormatting sqref="F57:J61">
    <cfRule type="containsText" dxfId="246" priority="247" operator="containsText" text="N.D.">
      <formula>NOT(ISERROR(SEARCH("N.D.",F57)))</formula>
    </cfRule>
  </conditionalFormatting>
  <conditionalFormatting sqref="K57:K61">
    <cfRule type="containsText" dxfId="245" priority="246" operator="containsText" text="N.D.">
      <formula>NOT(ISERROR(SEARCH("N.D.",K57)))</formula>
    </cfRule>
  </conditionalFormatting>
  <conditionalFormatting sqref="D57:E61">
    <cfRule type="containsText" dxfId="244" priority="245" operator="containsText" text="N.D.">
      <formula>NOT(ISERROR(SEARCH("N.D.",D57)))</formula>
    </cfRule>
  </conditionalFormatting>
  <conditionalFormatting sqref="D62:J62">
    <cfRule type="containsText" dxfId="243" priority="244" operator="containsText" text="N.D.">
      <formula>NOT(ISERROR(SEARCH("N.D.",D62)))</formula>
    </cfRule>
  </conditionalFormatting>
  <conditionalFormatting sqref="K62">
    <cfRule type="containsText" dxfId="242" priority="243" operator="containsText" text="N.D.">
      <formula>NOT(ISERROR(SEARCH("N.D.",K62)))</formula>
    </cfRule>
  </conditionalFormatting>
  <conditionalFormatting sqref="F63:J67">
    <cfRule type="containsText" dxfId="241" priority="242" operator="containsText" text="N.D.">
      <formula>NOT(ISERROR(SEARCH("N.D.",F63)))</formula>
    </cfRule>
  </conditionalFormatting>
  <conditionalFormatting sqref="K63:K67">
    <cfRule type="containsText" dxfId="240" priority="241" operator="containsText" text="N.D.">
      <formula>NOT(ISERROR(SEARCH("N.D.",K63)))</formula>
    </cfRule>
  </conditionalFormatting>
  <conditionalFormatting sqref="D63:E67">
    <cfRule type="containsText" dxfId="239" priority="240" operator="containsText" text="N.D.">
      <formula>NOT(ISERROR(SEARCH("N.D.",D63)))</formula>
    </cfRule>
  </conditionalFormatting>
  <conditionalFormatting sqref="D68:J68">
    <cfRule type="containsText" dxfId="238" priority="239" operator="containsText" text="N.D.">
      <formula>NOT(ISERROR(SEARCH("N.D.",D68)))</formula>
    </cfRule>
  </conditionalFormatting>
  <conditionalFormatting sqref="K68">
    <cfRule type="containsText" dxfId="237" priority="238" operator="containsText" text="N.D.">
      <formula>NOT(ISERROR(SEARCH("N.D.",K68)))</formula>
    </cfRule>
  </conditionalFormatting>
  <conditionalFormatting sqref="F69:J73">
    <cfRule type="containsText" dxfId="236" priority="237" operator="containsText" text="N.D.">
      <formula>NOT(ISERROR(SEARCH("N.D.",F69)))</formula>
    </cfRule>
  </conditionalFormatting>
  <conditionalFormatting sqref="K69:K73">
    <cfRule type="containsText" dxfId="235" priority="236" operator="containsText" text="N.D.">
      <formula>NOT(ISERROR(SEARCH("N.D.",K69)))</formula>
    </cfRule>
  </conditionalFormatting>
  <conditionalFormatting sqref="D69:E73">
    <cfRule type="containsText" dxfId="234" priority="235" operator="containsText" text="N.D.">
      <formula>NOT(ISERROR(SEARCH("N.D.",D69)))</formula>
    </cfRule>
  </conditionalFormatting>
  <conditionalFormatting sqref="D74:J74">
    <cfRule type="containsText" dxfId="233" priority="234" operator="containsText" text="N.D.">
      <formula>NOT(ISERROR(SEARCH("N.D.",D74)))</formula>
    </cfRule>
  </conditionalFormatting>
  <conditionalFormatting sqref="K74">
    <cfRule type="containsText" dxfId="232" priority="233" operator="containsText" text="N.D.">
      <formula>NOT(ISERROR(SEARCH("N.D.",K74)))</formula>
    </cfRule>
  </conditionalFormatting>
  <conditionalFormatting sqref="F75:J79">
    <cfRule type="containsText" dxfId="231" priority="232" operator="containsText" text="N.D.">
      <formula>NOT(ISERROR(SEARCH("N.D.",F75)))</formula>
    </cfRule>
  </conditionalFormatting>
  <conditionalFormatting sqref="K75:K79">
    <cfRule type="containsText" dxfId="230" priority="231" operator="containsText" text="N.D.">
      <formula>NOT(ISERROR(SEARCH("N.D.",K75)))</formula>
    </cfRule>
  </conditionalFormatting>
  <conditionalFormatting sqref="D75:E79">
    <cfRule type="containsText" dxfId="229" priority="230" operator="containsText" text="N.D.">
      <formula>NOT(ISERROR(SEARCH("N.D.",D75)))</formula>
    </cfRule>
  </conditionalFormatting>
  <conditionalFormatting sqref="D80:J80">
    <cfRule type="containsText" dxfId="228" priority="229" operator="containsText" text="N.D.">
      <formula>NOT(ISERROR(SEARCH("N.D.",D80)))</formula>
    </cfRule>
  </conditionalFormatting>
  <conditionalFormatting sqref="K80">
    <cfRule type="containsText" dxfId="227" priority="228" operator="containsText" text="N.D.">
      <formula>NOT(ISERROR(SEARCH("N.D.",K80)))</formula>
    </cfRule>
  </conditionalFormatting>
  <conditionalFormatting sqref="F81:J85">
    <cfRule type="containsText" dxfId="226" priority="227" operator="containsText" text="N.D.">
      <formula>NOT(ISERROR(SEARCH("N.D.",F81)))</formula>
    </cfRule>
  </conditionalFormatting>
  <conditionalFormatting sqref="K81:K85">
    <cfRule type="containsText" dxfId="225" priority="226" operator="containsText" text="N.D.">
      <formula>NOT(ISERROR(SEARCH("N.D.",K81)))</formula>
    </cfRule>
  </conditionalFormatting>
  <conditionalFormatting sqref="D81:E85">
    <cfRule type="containsText" dxfId="224" priority="225" operator="containsText" text="N.D.">
      <formula>NOT(ISERROR(SEARCH("N.D.",D81)))</formula>
    </cfRule>
  </conditionalFormatting>
  <conditionalFormatting sqref="D86:J86">
    <cfRule type="containsText" dxfId="223" priority="224" operator="containsText" text="N.D.">
      <formula>NOT(ISERROR(SEARCH("N.D.",D86)))</formula>
    </cfRule>
  </conditionalFormatting>
  <conditionalFormatting sqref="K86">
    <cfRule type="containsText" dxfId="222" priority="223" operator="containsText" text="N.D.">
      <formula>NOT(ISERROR(SEARCH("N.D.",K86)))</formula>
    </cfRule>
  </conditionalFormatting>
  <conditionalFormatting sqref="F87:J91">
    <cfRule type="containsText" dxfId="221" priority="222" operator="containsText" text="N.D.">
      <formula>NOT(ISERROR(SEARCH("N.D.",F87)))</formula>
    </cfRule>
  </conditionalFormatting>
  <conditionalFormatting sqref="K87:K91">
    <cfRule type="containsText" dxfId="220" priority="221" operator="containsText" text="N.D.">
      <formula>NOT(ISERROR(SEARCH("N.D.",K87)))</formula>
    </cfRule>
  </conditionalFormatting>
  <conditionalFormatting sqref="D87:E91">
    <cfRule type="containsText" dxfId="219" priority="220" operator="containsText" text="N.D.">
      <formula>NOT(ISERROR(SEARCH("N.D.",D87)))</formula>
    </cfRule>
  </conditionalFormatting>
  <conditionalFormatting sqref="D92:J92">
    <cfRule type="containsText" dxfId="218" priority="219" operator="containsText" text="N.D.">
      <formula>NOT(ISERROR(SEARCH("N.D.",D92)))</formula>
    </cfRule>
  </conditionalFormatting>
  <conditionalFormatting sqref="K92">
    <cfRule type="containsText" dxfId="217" priority="218" operator="containsText" text="N.D.">
      <formula>NOT(ISERROR(SEARCH("N.D.",K92)))</formula>
    </cfRule>
  </conditionalFormatting>
  <conditionalFormatting sqref="F93:J97">
    <cfRule type="containsText" dxfId="216" priority="217" operator="containsText" text="N.D.">
      <formula>NOT(ISERROR(SEARCH("N.D.",F93)))</formula>
    </cfRule>
  </conditionalFormatting>
  <conditionalFormatting sqref="K93:K97">
    <cfRule type="containsText" dxfId="215" priority="216" operator="containsText" text="N.D.">
      <formula>NOT(ISERROR(SEARCH("N.D.",K93)))</formula>
    </cfRule>
  </conditionalFormatting>
  <conditionalFormatting sqref="D93:E97">
    <cfRule type="containsText" dxfId="214" priority="215" operator="containsText" text="N.D.">
      <formula>NOT(ISERROR(SEARCH("N.D.",D93)))</formula>
    </cfRule>
  </conditionalFormatting>
  <conditionalFormatting sqref="D98:J98">
    <cfRule type="containsText" dxfId="213" priority="214" operator="containsText" text="N.D.">
      <formula>NOT(ISERROR(SEARCH("N.D.",D98)))</formula>
    </cfRule>
  </conditionalFormatting>
  <conditionalFormatting sqref="K98">
    <cfRule type="containsText" dxfId="212" priority="213" operator="containsText" text="N.D.">
      <formula>NOT(ISERROR(SEARCH("N.D.",K98)))</formula>
    </cfRule>
  </conditionalFormatting>
  <conditionalFormatting sqref="F99:J103">
    <cfRule type="containsText" dxfId="211" priority="212" operator="containsText" text="N.D.">
      <formula>NOT(ISERROR(SEARCH("N.D.",F99)))</formula>
    </cfRule>
  </conditionalFormatting>
  <conditionalFormatting sqref="K99:K103">
    <cfRule type="containsText" dxfId="210" priority="211" operator="containsText" text="N.D.">
      <formula>NOT(ISERROR(SEARCH("N.D.",K99)))</formula>
    </cfRule>
  </conditionalFormatting>
  <conditionalFormatting sqref="D99:E103">
    <cfRule type="containsText" dxfId="209" priority="210" operator="containsText" text="N.D.">
      <formula>NOT(ISERROR(SEARCH("N.D.",D99)))</formula>
    </cfRule>
  </conditionalFormatting>
  <conditionalFormatting sqref="D104:J104">
    <cfRule type="containsText" dxfId="208" priority="209" operator="containsText" text="N.D.">
      <formula>NOT(ISERROR(SEARCH("N.D.",D104)))</formula>
    </cfRule>
  </conditionalFormatting>
  <conditionalFormatting sqref="K104">
    <cfRule type="containsText" dxfId="207" priority="208" operator="containsText" text="N.D.">
      <formula>NOT(ISERROR(SEARCH("N.D.",K104)))</formula>
    </cfRule>
  </conditionalFormatting>
  <conditionalFormatting sqref="F105:J109">
    <cfRule type="containsText" dxfId="206" priority="207" operator="containsText" text="N.D.">
      <formula>NOT(ISERROR(SEARCH("N.D.",F105)))</formula>
    </cfRule>
  </conditionalFormatting>
  <conditionalFormatting sqref="K105:K109">
    <cfRule type="containsText" dxfId="205" priority="206" operator="containsText" text="N.D.">
      <formula>NOT(ISERROR(SEARCH("N.D.",K105)))</formula>
    </cfRule>
  </conditionalFormatting>
  <conditionalFormatting sqref="D105:E109">
    <cfRule type="containsText" dxfId="204" priority="205" operator="containsText" text="N.D.">
      <formula>NOT(ISERROR(SEARCH("N.D.",D105)))</formula>
    </cfRule>
  </conditionalFormatting>
  <conditionalFormatting sqref="D110:J110">
    <cfRule type="containsText" dxfId="203" priority="204" operator="containsText" text="N.D.">
      <formula>NOT(ISERROR(SEARCH("N.D.",D110)))</formula>
    </cfRule>
  </conditionalFormatting>
  <conditionalFormatting sqref="K110">
    <cfRule type="containsText" dxfId="202" priority="203" operator="containsText" text="N.D.">
      <formula>NOT(ISERROR(SEARCH("N.D.",K110)))</formula>
    </cfRule>
  </conditionalFormatting>
  <conditionalFormatting sqref="F111:J115">
    <cfRule type="containsText" dxfId="201" priority="202" operator="containsText" text="N.D.">
      <formula>NOT(ISERROR(SEARCH("N.D.",F111)))</formula>
    </cfRule>
  </conditionalFormatting>
  <conditionalFormatting sqref="K111:K115">
    <cfRule type="containsText" dxfId="200" priority="201" operator="containsText" text="N.D.">
      <formula>NOT(ISERROR(SEARCH("N.D.",K111)))</formula>
    </cfRule>
  </conditionalFormatting>
  <conditionalFormatting sqref="D111:E115">
    <cfRule type="containsText" dxfId="199" priority="200" operator="containsText" text="N.D.">
      <formula>NOT(ISERROR(SEARCH("N.D.",D111)))</formula>
    </cfRule>
  </conditionalFormatting>
  <conditionalFormatting sqref="D116:J116">
    <cfRule type="containsText" dxfId="198" priority="199" operator="containsText" text="N.D.">
      <formula>NOT(ISERROR(SEARCH("N.D.",D116)))</formula>
    </cfRule>
  </conditionalFormatting>
  <conditionalFormatting sqref="K116">
    <cfRule type="containsText" dxfId="197" priority="198" operator="containsText" text="N.D.">
      <formula>NOT(ISERROR(SEARCH("N.D.",K116)))</formula>
    </cfRule>
  </conditionalFormatting>
  <conditionalFormatting sqref="F117:J121">
    <cfRule type="containsText" dxfId="196" priority="197" operator="containsText" text="N.D.">
      <formula>NOT(ISERROR(SEARCH("N.D.",F117)))</formula>
    </cfRule>
  </conditionalFormatting>
  <conditionalFormatting sqref="K117:K121">
    <cfRule type="containsText" dxfId="195" priority="196" operator="containsText" text="N.D.">
      <formula>NOT(ISERROR(SEARCH("N.D.",K117)))</formula>
    </cfRule>
  </conditionalFormatting>
  <conditionalFormatting sqref="D117:E121">
    <cfRule type="containsText" dxfId="194" priority="195" operator="containsText" text="N.D.">
      <formula>NOT(ISERROR(SEARCH("N.D.",D117)))</formula>
    </cfRule>
  </conditionalFormatting>
  <conditionalFormatting sqref="D122:J122">
    <cfRule type="containsText" dxfId="193" priority="194" operator="containsText" text="N.D.">
      <formula>NOT(ISERROR(SEARCH("N.D.",D122)))</formula>
    </cfRule>
  </conditionalFormatting>
  <conditionalFormatting sqref="K122">
    <cfRule type="containsText" dxfId="192" priority="193" operator="containsText" text="N.D.">
      <formula>NOT(ISERROR(SEARCH("N.D.",K122)))</formula>
    </cfRule>
  </conditionalFormatting>
  <conditionalFormatting sqref="F123:J127">
    <cfRule type="containsText" dxfId="191" priority="192" operator="containsText" text="N.D.">
      <formula>NOT(ISERROR(SEARCH("N.D.",F123)))</formula>
    </cfRule>
  </conditionalFormatting>
  <conditionalFormatting sqref="K123:K127">
    <cfRule type="containsText" dxfId="190" priority="191" operator="containsText" text="N.D.">
      <formula>NOT(ISERROR(SEARCH("N.D.",K123)))</formula>
    </cfRule>
  </conditionalFormatting>
  <conditionalFormatting sqref="D123:E127">
    <cfRule type="containsText" dxfId="189" priority="190" operator="containsText" text="N.D.">
      <formula>NOT(ISERROR(SEARCH("N.D.",D123)))</formula>
    </cfRule>
  </conditionalFormatting>
  <conditionalFormatting sqref="D128:J128">
    <cfRule type="containsText" dxfId="188" priority="189" operator="containsText" text="N.D.">
      <formula>NOT(ISERROR(SEARCH("N.D.",D128)))</formula>
    </cfRule>
  </conditionalFormatting>
  <conditionalFormatting sqref="K128">
    <cfRule type="containsText" dxfId="187" priority="188" operator="containsText" text="N.D.">
      <formula>NOT(ISERROR(SEARCH("N.D.",K128)))</formula>
    </cfRule>
  </conditionalFormatting>
  <conditionalFormatting sqref="F129:J133">
    <cfRule type="containsText" dxfId="186" priority="187" operator="containsText" text="N.D.">
      <formula>NOT(ISERROR(SEARCH("N.D.",F129)))</formula>
    </cfRule>
  </conditionalFormatting>
  <conditionalFormatting sqref="K129:K133">
    <cfRule type="containsText" dxfId="185" priority="186" operator="containsText" text="N.D.">
      <formula>NOT(ISERROR(SEARCH("N.D.",K129)))</formula>
    </cfRule>
  </conditionalFormatting>
  <conditionalFormatting sqref="D129:E133">
    <cfRule type="containsText" dxfId="184" priority="185" operator="containsText" text="N.D.">
      <formula>NOT(ISERROR(SEARCH("N.D.",D129)))</formula>
    </cfRule>
  </conditionalFormatting>
  <conditionalFormatting sqref="D134:J134">
    <cfRule type="containsText" dxfId="183" priority="184" operator="containsText" text="N.D.">
      <formula>NOT(ISERROR(SEARCH("N.D.",D134)))</formula>
    </cfRule>
  </conditionalFormatting>
  <conditionalFormatting sqref="K134">
    <cfRule type="containsText" dxfId="182" priority="183" operator="containsText" text="N.D.">
      <formula>NOT(ISERROR(SEARCH("N.D.",K134)))</formula>
    </cfRule>
  </conditionalFormatting>
  <conditionalFormatting sqref="F135:J139">
    <cfRule type="containsText" dxfId="181" priority="182" operator="containsText" text="N.D.">
      <formula>NOT(ISERROR(SEARCH("N.D.",F135)))</formula>
    </cfRule>
  </conditionalFormatting>
  <conditionalFormatting sqref="K135:K139">
    <cfRule type="containsText" dxfId="180" priority="181" operator="containsText" text="N.D.">
      <formula>NOT(ISERROR(SEARCH("N.D.",K135)))</formula>
    </cfRule>
  </conditionalFormatting>
  <conditionalFormatting sqref="D135:E139">
    <cfRule type="containsText" dxfId="179" priority="180" operator="containsText" text="N.D.">
      <formula>NOT(ISERROR(SEARCH("N.D.",D135)))</formula>
    </cfRule>
  </conditionalFormatting>
  <conditionalFormatting sqref="D140:J140">
    <cfRule type="containsText" dxfId="178" priority="179" operator="containsText" text="N.D.">
      <formula>NOT(ISERROR(SEARCH("N.D.",D140)))</formula>
    </cfRule>
  </conditionalFormatting>
  <conditionalFormatting sqref="K140">
    <cfRule type="containsText" dxfId="177" priority="178" operator="containsText" text="N.D.">
      <formula>NOT(ISERROR(SEARCH("N.D.",K140)))</formula>
    </cfRule>
  </conditionalFormatting>
  <conditionalFormatting sqref="F141:J145">
    <cfRule type="containsText" dxfId="176" priority="177" operator="containsText" text="N.D.">
      <formula>NOT(ISERROR(SEARCH("N.D.",F141)))</formula>
    </cfRule>
  </conditionalFormatting>
  <conditionalFormatting sqref="K141:K145">
    <cfRule type="containsText" dxfId="175" priority="176" operator="containsText" text="N.D.">
      <formula>NOT(ISERROR(SEARCH("N.D.",K141)))</formula>
    </cfRule>
  </conditionalFormatting>
  <conditionalFormatting sqref="D141:E145">
    <cfRule type="containsText" dxfId="174" priority="175" operator="containsText" text="N.D.">
      <formula>NOT(ISERROR(SEARCH("N.D.",D141)))</formula>
    </cfRule>
  </conditionalFormatting>
  <conditionalFormatting sqref="D146:J146">
    <cfRule type="containsText" dxfId="173" priority="174" operator="containsText" text="N.D.">
      <formula>NOT(ISERROR(SEARCH("N.D.",D146)))</formula>
    </cfRule>
  </conditionalFormatting>
  <conditionalFormatting sqref="K146">
    <cfRule type="containsText" dxfId="172" priority="173" operator="containsText" text="N.D.">
      <formula>NOT(ISERROR(SEARCH("N.D.",K146)))</formula>
    </cfRule>
  </conditionalFormatting>
  <conditionalFormatting sqref="F147:J151">
    <cfRule type="containsText" dxfId="171" priority="172" operator="containsText" text="N.D.">
      <formula>NOT(ISERROR(SEARCH("N.D.",F147)))</formula>
    </cfRule>
  </conditionalFormatting>
  <conditionalFormatting sqref="K147:K151">
    <cfRule type="containsText" dxfId="170" priority="171" operator="containsText" text="N.D.">
      <formula>NOT(ISERROR(SEARCH("N.D.",K147)))</formula>
    </cfRule>
  </conditionalFormatting>
  <conditionalFormatting sqref="D147:E151">
    <cfRule type="containsText" dxfId="169" priority="170" operator="containsText" text="N.D.">
      <formula>NOT(ISERROR(SEARCH("N.D.",D147)))</formula>
    </cfRule>
  </conditionalFormatting>
  <conditionalFormatting sqref="D152:J152">
    <cfRule type="containsText" dxfId="168" priority="169" operator="containsText" text="N.D.">
      <formula>NOT(ISERROR(SEARCH("N.D.",D152)))</formula>
    </cfRule>
  </conditionalFormatting>
  <conditionalFormatting sqref="K152">
    <cfRule type="containsText" dxfId="167" priority="168" operator="containsText" text="N.D.">
      <formula>NOT(ISERROR(SEARCH("N.D.",K152)))</formula>
    </cfRule>
  </conditionalFormatting>
  <conditionalFormatting sqref="F153:J157">
    <cfRule type="containsText" dxfId="166" priority="167" operator="containsText" text="N.D.">
      <formula>NOT(ISERROR(SEARCH("N.D.",F153)))</formula>
    </cfRule>
  </conditionalFormatting>
  <conditionalFormatting sqref="K153:K157">
    <cfRule type="containsText" dxfId="165" priority="166" operator="containsText" text="N.D.">
      <formula>NOT(ISERROR(SEARCH("N.D.",K153)))</formula>
    </cfRule>
  </conditionalFormatting>
  <conditionalFormatting sqref="D153:E157">
    <cfRule type="containsText" dxfId="164" priority="165" operator="containsText" text="N.D.">
      <formula>NOT(ISERROR(SEARCH("N.D.",D153)))</formula>
    </cfRule>
  </conditionalFormatting>
  <conditionalFormatting sqref="D158:J158">
    <cfRule type="containsText" dxfId="163" priority="164" operator="containsText" text="N.D.">
      <formula>NOT(ISERROR(SEARCH("N.D.",D158)))</formula>
    </cfRule>
  </conditionalFormatting>
  <conditionalFormatting sqref="K158">
    <cfRule type="containsText" dxfId="162" priority="163" operator="containsText" text="N.D.">
      <formula>NOT(ISERROR(SEARCH("N.D.",K158)))</formula>
    </cfRule>
  </conditionalFormatting>
  <conditionalFormatting sqref="F159:J163">
    <cfRule type="containsText" dxfId="161" priority="162" operator="containsText" text="N.D.">
      <formula>NOT(ISERROR(SEARCH("N.D.",F159)))</formula>
    </cfRule>
  </conditionalFormatting>
  <conditionalFormatting sqref="K159:K163">
    <cfRule type="containsText" dxfId="160" priority="161" operator="containsText" text="N.D.">
      <formula>NOT(ISERROR(SEARCH("N.D.",K159)))</formula>
    </cfRule>
  </conditionalFormatting>
  <conditionalFormatting sqref="D159:E163">
    <cfRule type="containsText" dxfId="159" priority="160" operator="containsText" text="N.D.">
      <formula>NOT(ISERROR(SEARCH("N.D.",D159)))</formula>
    </cfRule>
  </conditionalFormatting>
  <conditionalFormatting sqref="D164:J164">
    <cfRule type="containsText" dxfId="158" priority="159" operator="containsText" text="N.D.">
      <formula>NOT(ISERROR(SEARCH("N.D.",D164)))</formula>
    </cfRule>
  </conditionalFormatting>
  <conditionalFormatting sqref="K164">
    <cfRule type="containsText" dxfId="157" priority="158" operator="containsText" text="N.D.">
      <formula>NOT(ISERROR(SEARCH("N.D.",K164)))</formula>
    </cfRule>
  </conditionalFormatting>
  <conditionalFormatting sqref="F165:J169">
    <cfRule type="containsText" dxfId="156" priority="157" operator="containsText" text="N.D.">
      <formula>NOT(ISERROR(SEARCH("N.D.",F165)))</formula>
    </cfRule>
  </conditionalFormatting>
  <conditionalFormatting sqref="K165:K169">
    <cfRule type="containsText" dxfId="155" priority="156" operator="containsText" text="N.D.">
      <formula>NOT(ISERROR(SEARCH("N.D.",K165)))</formula>
    </cfRule>
  </conditionalFormatting>
  <conditionalFormatting sqref="D165:E169">
    <cfRule type="containsText" dxfId="154" priority="155" operator="containsText" text="N.D.">
      <formula>NOT(ISERROR(SEARCH("N.D.",D165)))</formula>
    </cfRule>
  </conditionalFormatting>
  <conditionalFormatting sqref="D170:J170">
    <cfRule type="containsText" dxfId="153" priority="154" operator="containsText" text="N.D.">
      <formula>NOT(ISERROR(SEARCH("N.D.",D170)))</formula>
    </cfRule>
  </conditionalFormatting>
  <conditionalFormatting sqref="K170">
    <cfRule type="containsText" dxfId="152" priority="153" operator="containsText" text="N.D.">
      <formula>NOT(ISERROR(SEARCH("N.D.",K170)))</formula>
    </cfRule>
  </conditionalFormatting>
  <conditionalFormatting sqref="F171:J175">
    <cfRule type="containsText" dxfId="151" priority="152" operator="containsText" text="N.D.">
      <formula>NOT(ISERROR(SEARCH("N.D.",F171)))</formula>
    </cfRule>
  </conditionalFormatting>
  <conditionalFormatting sqref="K171:K175">
    <cfRule type="containsText" dxfId="150" priority="151" operator="containsText" text="N.D.">
      <formula>NOT(ISERROR(SEARCH("N.D.",K171)))</formula>
    </cfRule>
  </conditionalFormatting>
  <conditionalFormatting sqref="D171:E175">
    <cfRule type="containsText" dxfId="149" priority="150" operator="containsText" text="N.D.">
      <formula>NOT(ISERROR(SEARCH("N.D.",D171)))</formula>
    </cfRule>
  </conditionalFormatting>
  <conditionalFormatting sqref="D176:J176">
    <cfRule type="containsText" dxfId="148" priority="149" operator="containsText" text="N.D.">
      <formula>NOT(ISERROR(SEARCH("N.D.",D176)))</formula>
    </cfRule>
  </conditionalFormatting>
  <conditionalFormatting sqref="K176">
    <cfRule type="containsText" dxfId="147" priority="148" operator="containsText" text="N.D.">
      <formula>NOT(ISERROR(SEARCH("N.D.",K176)))</formula>
    </cfRule>
  </conditionalFormatting>
  <conditionalFormatting sqref="F177:J181">
    <cfRule type="containsText" dxfId="146" priority="147" operator="containsText" text="N.D.">
      <formula>NOT(ISERROR(SEARCH("N.D.",F177)))</formula>
    </cfRule>
  </conditionalFormatting>
  <conditionalFormatting sqref="K177:K181">
    <cfRule type="containsText" dxfId="145" priority="146" operator="containsText" text="N.D.">
      <formula>NOT(ISERROR(SEARCH("N.D.",K177)))</formula>
    </cfRule>
  </conditionalFormatting>
  <conditionalFormatting sqref="D177:E181">
    <cfRule type="containsText" dxfId="144" priority="145" operator="containsText" text="N.D.">
      <formula>NOT(ISERROR(SEARCH("N.D.",D177)))</formula>
    </cfRule>
  </conditionalFormatting>
  <conditionalFormatting sqref="D182:J182">
    <cfRule type="containsText" dxfId="143" priority="144" operator="containsText" text="N.D.">
      <formula>NOT(ISERROR(SEARCH("N.D.",D182)))</formula>
    </cfRule>
  </conditionalFormatting>
  <conditionalFormatting sqref="K182">
    <cfRule type="containsText" dxfId="142" priority="143" operator="containsText" text="N.D.">
      <formula>NOT(ISERROR(SEARCH("N.D.",K182)))</formula>
    </cfRule>
  </conditionalFormatting>
  <conditionalFormatting sqref="F183:J187">
    <cfRule type="containsText" dxfId="141" priority="142" operator="containsText" text="N.D.">
      <formula>NOT(ISERROR(SEARCH("N.D.",F183)))</formula>
    </cfRule>
  </conditionalFormatting>
  <conditionalFormatting sqref="K183:K187">
    <cfRule type="containsText" dxfId="140" priority="141" operator="containsText" text="N.D.">
      <formula>NOT(ISERROR(SEARCH("N.D.",K183)))</formula>
    </cfRule>
  </conditionalFormatting>
  <conditionalFormatting sqref="D183:E187">
    <cfRule type="containsText" dxfId="139" priority="140" operator="containsText" text="N.D.">
      <formula>NOT(ISERROR(SEARCH("N.D.",D183)))</formula>
    </cfRule>
  </conditionalFormatting>
  <conditionalFormatting sqref="D188:J188">
    <cfRule type="containsText" dxfId="138" priority="139" operator="containsText" text="N.D.">
      <formula>NOT(ISERROR(SEARCH("N.D.",D188)))</formula>
    </cfRule>
  </conditionalFormatting>
  <conditionalFormatting sqref="K188">
    <cfRule type="containsText" dxfId="137" priority="138" operator="containsText" text="N.D.">
      <formula>NOT(ISERROR(SEARCH("N.D.",K188)))</formula>
    </cfRule>
  </conditionalFormatting>
  <conditionalFormatting sqref="F189:J193">
    <cfRule type="containsText" dxfId="136" priority="137" operator="containsText" text="N.D.">
      <formula>NOT(ISERROR(SEARCH("N.D.",F189)))</formula>
    </cfRule>
  </conditionalFormatting>
  <conditionalFormatting sqref="K189:K193">
    <cfRule type="containsText" dxfId="135" priority="136" operator="containsText" text="N.D.">
      <formula>NOT(ISERROR(SEARCH("N.D.",K189)))</formula>
    </cfRule>
  </conditionalFormatting>
  <conditionalFormatting sqref="D189:E193">
    <cfRule type="containsText" dxfId="134" priority="135" operator="containsText" text="N.D.">
      <formula>NOT(ISERROR(SEARCH("N.D.",D189)))</formula>
    </cfRule>
  </conditionalFormatting>
  <conditionalFormatting sqref="D194:J194">
    <cfRule type="containsText" dxfId="133" priority="134" operator="containsText" text="N.D.">
      <formula>NOT(ISERROR(SEARCH("N.D.",D194)))</formula>
    </cfRule>
  </conditionalFormatting>
  <conditionalFormatting sqref="K194">
    <cfRule type="containsText" dxfId="132" priority="133" operator="containsText" text="N.D.">
      <formula>NOT(ISERROR(SEARCH("N.D.",K194)))</formula>
    </cfRule>
  </conditionalFormatting>
  <conditionalFormatting sqref="F195:J199">
    <cfRule type="containsText" dxfId="131" priority="132" operator="containsText" text="N.D.">
      <formula>NOT(ISERROR(SEARCH("N.D.",F195)))</formula>
    </cfRule>
  </conditionalFormatting>
  <conditionalFormatting sqref="K195:K199">
    <cfRule type="containsText" dxfId="130" priority="131" operator="containsText" text="N.D.">
      <formula>NOT(ISERROR(SEARCH("N.D.",K195)))</formula>
    </cfRule>
  </conditionalFormatting>
  <conditionalFormatting sqref="D195:E199">
    <cfRule type="containsText" dxfId="129" priority="130" operator="containsText" text="N.D.">
      <formula>NOT(ISERROR(SEARCH("N.D.",D195)))</formula>
    </cfRule>
  </conditionalFormatting>
  <conditionalFormatting sqref="D200:J200">
    <cfRule type="containsText" dxfId="128" priority="129" operator="containsText" text="N.D.">
      <formula>NOT(ISERROR(SEARCH("N.D.",D200)))</formula>
    </cfRule>
  </conditionalFormatting>
  <conditionalFormatting sqref="K200">
    <cfRule type="containsText" dxfId="127" priority="128" operator="containsText" text="N.D.">
      <formula>NOT(ISERROR(SEARCH("N.D.",K200)))</formula>
    </cfRule>
  </conditionalFormatting>
  <conditionalFormatting sqref="F201:J205">
    <cfRule type="containsText" dxfId="126" priority="127" operator="containsText" text="N.D.">
      <formula>NOT(ISERROR(SEARCH("N.D.",F201)))</formula>
    </cfRule>
  </conditionalFormatting>
  <conditionalFormatting sqref="K201:K205">
    <cfRule type="containsText" dxfId="125" priority="126" operator="containsText" text="N.D.">
      <formula>NOT(ISERROR(SEARCH("N.D.",K201)))</formula>
    </cfRule>
  </conditionalFormatting>
  <conditionalFormatting sqref="D201:E205">
    <cfRule type="containsText" dxfId="124" priority="125" operator="containsText" text="N.D.">
      <formula>NOT(ISERROR(SEARCH("N.D.",D201)))</formula>
    </cfRule>
  </conditionalFormatting>
  <conditionalFormatting sqref="D206:J206">
    <cfRule type="containsText" dxfId="123" priority="124" operator="containsText" text="N.D.">
      <formula>NOT(ISERROR(SEARCH("N.D.",D206)))</formula>
    </cfRule>
  </conditionalFormatting>
  <conditionalFormatting sqref="K206">
    <cfRule type="containsText" dxfId="122" priority="123" operator="containsText" text="N.D.">
      <formula>NOT(ISERROR(SEARCH("N.D.",K206)))</formula>
    </cfRule>
  </conditionalFormatting>
  <conditionalFormatting sqref="F207:J211">
    <cfRule type="containsText" dxfId="121" priority="122" operator="containsText" text="N.D.">
      <formula>NOT(ISERROR(SEARCH("N.D.",F207)))</formula>
    </cfRule>
  </conditionalFormatting>
  <conditionalFormatting sqref="K207:K211">
    <cfRule type="containsText" dxfId="120" priority="121" operator="containsText" text="N.D.">
      <formula>NOT(ISERROR(SEARCH("N.D.",K207)))</formula>
    </cfRule>
  </conditionalFormatting>
  <conditionalFormatting sqref="D207:E211">
    <cfRule type="containsText" dxfId="119" priority="120" operator="containsText" text="N.D.">
      <formula>NOT(ISERROR(SEARCH("N.D.",D207)))</formula>
    </cfRule>
  </conditionalFormatting>
  <conditionalFormatting sqref="D212:J212">
    <cfRule type="containsText" dxfId="118" priority="119" operator="containsText" text="N.D.">
      <formula>NOT(ISERROR(SEARCH("N.D.",D212)))</formula>
    </cfRule>
  </conditionalFormatting>
  <conditionalFormatting sqref="K212">
    <cfRule type="containsText" dxfId="117" priority="118" operator="containsText" text="N.D.">
      <formula>NOT(ISERROR(SEARCH("N.D.",K212)))</formula>
    </cfRule>
  </conditionalFormatting>
  <conditionalFormatting sqref="F213:J217">
    <cfRule type="containsText" dxfId="116" priority="117" operator="containsText" text="N.D.">
      <formula>NOT(ISERROR(SEARCH("N.D.",F213)))</formula>
    </cfRule>
  </conditionalFormatting>
  <conditionalFormatting sqref="K213:K217">
    <cfRule type="containsText" dxfId="115" priority="116" operator="containsText" text="N.D.">
      <formula>NOT(ISERROR(SEARCH("N.D.",K213)))</formula>
    </cfRule>
  </conditionalFormatting>
  <conditionalFormatting sqref="D213:E217">
    <cfRule type="containsText" dxfId="114" priority="115" operator="containsText" text="N.D.">
      <formula>NOT(ISERROR(SEARCH("N.D.",D213)))</formula>
    </cfRule>
  </conditionalFormatting>
  <conditionalFormatting sqref="D218:J218">
    <cfRule type="containsText" dxfId="113" priority="114" operator="containsText" text="N.D.">
      <formula>NOT(ISERROR(SEARCH("N.D.",D218)))</formula>
    </cfRule>
  </conditionalFormatting>
  <conditionalFormatting sqref="K218">
    <cfRule type="containsText" dxfId="112" priority="113" operator="containsText" text="N.D.">
      <formula>NOT(ISERROR(SEARCH("N.D.",K218)))</formula>
    </cfRule>
  </conditionalFormatting>
  <conditionalFormatting sqref="F219:J223">
    <cfRule type="containsText" dxfId="111" priority="112" operator="containsText" text="N.D.">
      <formula>NOT(ISERROR(SEARCH("N.D.",F219)))</formula>
    </cfRule>
  </conditionalFormatting>
  <conditionalFormatting sqref="K219:K223">
    <cfRule type="containsText" dxfId="110" priority="111" operator="containsText" text="N.D.">
      <formula>NOT(ISERROR(SEARCH("N.D.",K219)))</formula>
    </cfRule>
  </conditionalFormatting>
  <conditionalFormatting sqref="D219:E223">
    <cfRule type="containsText" dxfId="109" priority="110" operator="containsText" text="N.D.">
      <formula>NOT(ISERROR(SEARCH("N.D.",D219)))</formula>
    </cfRule>
  </conditionalFormatting>
  <conditionalFormatting sqref="D224:J224">
    <cfRule type="containsText" dxfId="108" priority="109" operator="containsText" text="N.D.">
      <formula>NOT(ISERROR(SEARCH("N.D.",D224)))</formula>
    </cfRule>
  </conditionalFormatting>
  <conditionalFormatting sqref="K224">
    <cfRule type="containsText" dxfId="107" priority="108" operator="containsText" text="N.D.">
      <formula>NOT(ISERROR(SEARCH("N.D.",K224)))</formula>
    </cfRule>
  </conditionalFormatting>
  <conditionalFormatting sqref="F225:J229">
    <cfRule type="containsText" dxfId="106" priority="107" operator="containsText" text="N.D.">
      <formula>NOT(ISERROR(SEARCH("N.D.",F225)))</formula>
    </cfRule>
  </conditionalFormatting>
  <conditionalFormatting sqref="K225:K229">
    <cfRule type="containsText" dxfId="105" priority="106" operator="containsText" text="N.D.">
      <formula>NOT(ISERROR(SEARCH("N.D.",K225)))</formula>
    </cfRule>
  </conditionalFormatting>
  <conditionalFormatting sqref="D225:E229">
    <cfRule type="containsText" dxfId="104" priority="105" operator="containsText" text="N.D.">
      <formula>NOT(ISERROR(SEARCH("N.D.",D225)))</formula>
    </cfRule>
  </conditionalFormatting>
  <conditionalFormatting sqref="D230:J230">
    <cfRule type="containsText" dxfId="103" priority="104" operator="containsText" text="N.D.">
      <formula>NOT(ISERROR(SEARCH("N.D.",D230)))</formula>
    </cfRule>
  </conditionalFormatting>
  <conditionalFormatting sqref="K230">
    <cfRule type="containsText" dxfId="102" priority="103" operator="containsText" text="N.D.">
      <formula>NOT(ISERROR(SEARCH("N.D.",K230)))</formula>
    </cfRule>
  </conditionalFormatting>
  <conditionalFormatting sqref="F231:J235">
    <cfRule type="containsText" dxfId="101" priority="102" operator="containsText" text="N.D.">
      <formula>NOT(ISERROR(SEARCH("N.D.",F231)))</formula>
    </cfRule>
  </conditionalFormatting>
  <conditionalFormatting sqref="K231:K235">
    <cfRule type="containsText" dxfId="100" priority="101" operator="containsText" text="N.D.">
      <formula>NOT(ISERROR(SEARCH("N.D.",K231)))</formula>
    </cfRule>
  </conditionalFormatting>
  <conditionalFormatting sqref="D231:E235">
    <cfRule type="containsText" dxfId="99" priority="100" operator="containsText" text="N.D.">
      <formula>NOT(ISERROR(SEARCH("N.D.",D231)))</formula>
    </cfRule>
  </conditionalFormatting>
  <conditionalFormatting sqref="D236:J236">
    <cfRule type="containsText" dxfId="98" priority="99" operator="containsText" text="N.D.">
      <formula>NOT(ISERROR(SEARCH("N.D.",D236)))</formula>
    </cfRule>
  </conditionalFormatting>
  <conditionalFormatting sqref="K236">
    <cfRule type="containsText" dxfId="97" priority="98" operator="containsText" text="N.D.">
      <formula>NOT(ISERROR(SEARCH("N.D.",K236)))</formula>
    </cfRule>
  </conditionalFormatting>
  <conditionalFormatting sqref="F237:J241">
    <cfRule type="containsText" dxfId="96" priority="97" operator="containsText" text="N.D.">
      <formula>NOT(ISERROR(SEARCH("N.D.",F237)))</formula>
    </cfRule>
  </conditionalFormatting>
  <conditionalFormatting sqref="K237:K241">
    <cfRule type="containsText" dxfId="95" priority="96" operator="containsText" text="N.D.">
      <formula>NOT(ISERROR(SEARCH("N.D.",K237)))</formula>
    </cfRule>
  </conditionalFormatting>
  <conditionalFormatting sqref="D237:E241">
    <cfRule type="containsText" dxfId="94" priority="95" operator="containsText" text="N.D.">
      <formula>NOT(ISERROR(SEARCH("N.D.",D237)))</formula>
    </cfRule>
  </conditionalFormatting>
  <conditionalFormatting sqref="D242:J242">
    <cfRule type="containsText" dxfId="93" priority="94" operator="containsText" text="N.D.">
      <formula>NOT(ISERROR(SEARCH("N.D.",D242)))</formula>
    </cfRule>
  </conditionalFormatting>
  <conditionalFormatting sqref="K242">
    <cfRule type="containsText" dxfId="92" priority="93" operator="containsText" text="N.D.">
      <formula>NOT(ISERROR(SEARCH("N.D.",K242)))</formula>
    </cfRule>
  </conditionalFormatting>
  <conditionalFormatting sqref="F243:J247">
    <cfRule type="containsText" dxfId="91" priority="92" operator="containsText" text="N.D.">
      <formula>NOT(ISERROR(SEARCH("N.D.",F243)))</formula>
    </cfRule>
  </conditionalFormatting>
  <conditionalFormatting sqref="K243:K247">
    <cfRule type="containsText" dxfId="90" priority="91" operator="containsText" text="N.D.">
      <formula>NOT(ISERROR(SEARCH("N.D.",K243)))</formula>
    </cfRule>
  </conditionalFormatting>
  <conditionalFormatting sqref="D243:E247">
    <cfRule type="containsText" dxfId="89" priority="90" operator="containsText" text="N.D.">
      <formula>NOT(ISERROR(SEARCH("N.D.",D243)))</formula>
    </cfRule>
  </conditionalFormatting>
  <conditionalFormatting sqref="D248:J248">
    <cfRule type="containsText" dxfId="88" priority="89" operator="containsText" text="N.D.">
      <formula>NOT(ISERROR(SEARCH("N.D.",D248)))</formula>
    </cfRule>
  </conditionalFormatting>
  <conditionalFormatting sqref="K248">
    <cfRule type="containsText" dxfId="87" priority="88" operator="containsText" text="N.D.">
      <formula>NOT(ISERROR(SEARCH("N.D.",K248)))</formula>
    </cfRule>
  </conditionalFormatting>
  <conditionalFormatting sqref="F249:J253">
    <cfRule type="containsText" dxfId="86" priority="87" operator="containsText" text="N.D.">
      <formula>NOT(ISERROR(SEARCH("N.D.",F249)))</formula>
    </cfRule>
  </conditionalFormatting>
  <conditionalFormatting sqref="K249:K253">
    <cfRule type="containsText" dxfId="85" priority="86" operator="containsText" text="N.D.">
      <formula>NOT(ISERROR(SEARCH("N.D.",K249)))</formula>
    </cfRule>
  </conditionalFormatting>
  <conditionalFormatting sqref="D249:E253">
    <cfRule type="containsText" dxfId="84" priority="85" operator="containsText" text="N.D.">
      <formula>NOT(ISERROR(SEARCH("N.D.",D249)))</formula>
    </cfRule>
  </conditionalFormatting>
  <conditionalFormatting sqref="D254:J254">
    <cfRule type="containsText" dxfId="83" priority="84" operator="containsText" text="N.D.">
      <formula>NOT(ISERROR(SEARCH("N.D.",D254)))</formula>
    </cfRule>
  </conditionalFormatting>
  <conditionalFormatting sqref="K254">
    <cfRule type="containsText" dxfId="82" priority="83" operator="containsText" text="N.D.">
      <formula>NOT(ISERROR(SEARCH("N.D.",K254)))</formula>
    </cfRule>
  </conditionalFormatting>
  <conditionalFormatting sqref="F255:J259">
    <cfRule type="containsText" dxfId="81" priority="82" operator="containsText" text="N.D.">
      <formula>NOT(ISERROR(SEARCH("N.D.",F255)))</formula>
    </cfRule>
  </conditionalFormatting>
  <conditionalFormatting sqref="K255:K259">
    <cfRule type="containsText" dxfId="80" priority="81" operator="containsText" text="N.D.">
      <formula>NOT(ISERROR(SEARCH("N.D.",K255)))</formula>
    </cfRule>
  </conditionalFormatting>
  <conditionalFormatting sqref="D255:E259">
    <cfRule type="containsText" dxfId="79" priority="80" operator="containsText" text="N.D.">
      <formula>NOT(ISERROR(SEARCH("N.D.",D255)))</formula>
    </cfRule>
  </conditionalFormatting>
  <conditionalFormatting sqref="D260:J260">
    <cfRule type="containsText" dxfId="78" priority="79" operator="containsText" text="N.D.">
      <formula>NOT(ISERROR(SEARCH("N.D.",D260)))</formula>
    </cfRule>
  </conditionalFormatting>
  <conditionalFormatting sqref="K260">
    <cfRule type="containsText" dxfId="77" priority="78" operator="containsText" text="N.D.">
      <formula>NOT(ISERROR(SEARCH("N.D.",K260)))</formula>
    </cfRule>
  </conditionalFormatting>
  <conditionalFormatting sqref="F261:J265">
    <cfRule type="containsText" dxfId="76" priority="77" operator="containsText" text="N.D.">
      <formula>NOT(ISERROR(SEARCH("N.D.",F261)))</formula>
    </cfRule>
  </conditionalFormatting>
  <conditionalFormatting sqref="K261:K265">
    <cfRule type="containsText" dxfId="75" priority="76" operator="containsText" text="N.D.">
      <formula>NOT(ISERROR(SEARCH("N.D.",K261)))</formula>
    </cfRule>
  </conditionalFormatting>
  <conditionalFormatting sqref="D261:E265">
    <cfRule type="containsText" dxfId="74" priority="75" operator="containsText" text="N.D.">
      <formula>NOT(ISERROR(SEARCH("N.D.",D261)))</formula>
    </cfRule>
  </conditionalFormatting>
  <conditionalFormatting sqref="D266:J266">
    <cfRule type="containsText" dxfId="73" priority="74" operator="containsText" text="N.D.">
      <formula>NOT(ISERROR(SEARCH("N.D.",D266)))</formula>
    </cfRule>
  </conditionalFormatting>
  <conditionalFormatting sqref="K266">
    <cfRule type="containsText" dxfId="72" priority="73" operator="containsText" text="N.D.">
      <formula>NOT(ISERROR(SEARCH("N.D.",K266)))</formula>
    </cfRule>
  </conditionalFormatting>
  <conditionalFormatting sqref="F267:J271">
    <cfRule type="containsText" dxfId="71" priority="72" operator="containsText" text="N.D.">
      <formula>NOT(ISERROR(SEARCH("N.D.",F267)))</formula>
    </cfRule>
  </conditionalFormatting>
  <conditionalFormatting sqref="K267:K271">
    <cfRule type="containsText" dxfId="70" priority="71" operator="containsText" text="N.D.">
      <formula>NOT(ISERROR(SEARCH("N.D.",K267)))</formula>
    </cfRule>
  </conditionalFormatting>
  <conditionalFormatting sqref="D267:E271">
    <cfRule type="containsText" dxfId="69" priority="70" operator="containsText" text="N.D.">
      <formula>NOT(ISERROR(SEARCH("N.D.",D267)))</formula>
    </cfRule>
  </conditionalFormatting>
  <conditionalFormatting sqref="D272:J272">
    <cfRule type="containsText" dxfId="68" priority="69" operator="containsText" text="N.D.">
      <formula>NOT(ISERROR(SEARCH("N.D.",D272)))</formula>
    </cfRule>
  </conditionalFormatting>
  <conditionalFormatting sqref="K272">
    <cfRule type="containsText" dxfId="67" priority="68" operator="containsText" text="N.D.">
      <formula>NOT(ISERROR(SEARCH("N.D.",K272)))</formula>
    </cfRule>
  </conditionalFormatting>
  <conditionalFormatting sqref="F273:J277">
    <cfRule type="containsText" dxfId="66" priority="67" operator="containsText" text="N.D.">
      <formula>NOT(ISERROR(SEARCH("N.D.",F273)))</formula>
    </cfRule>
  </conditionalFormatting>
  <conditionalFormatting sqref="K273:K277">
    <cfRule type="containsText" dxfId="65" priority="66" operator="containsText" text="N.D.">
      <formula>NOT(ISERROR(SEARCH("N.D.",K273)))</formula>
    </cfRule>
  </conditionalFormatting>
  <conditionalFormatting sqref="D273:E277">
    <cfRule type="containsText" dxfId="64" priority="65" operator="containsText" text="N.D.">
      <formula>NOT(ISERROR(SEARCH("N.D.",D273)))</formula>
    </cfRule>
  </conditionalFormatting>
  <conditionalFormatting sqref="D278:J278">
    <cfRule type="containsText" dxfId="63" priority="64" operator="containsText" text="N.D.">
      <formula>NOT(ISERROR(SEARCH("N.D.",D278)))</formula>
    </cfRule>
  </conditionalFormatting>
  <conditionalFormatting sqref="K278">
    <cfRule type="containsText" dxfId="62" priority="63" operator="containsText" text="N.D.">
      <formula>NOT(ISERROR(SEARCH("N.D.",K278)))</formula>
    </cfRule>
  </conditionalFormatting>
  <conditionalFormatting sqref="F279:J283">
    <cfRule type="containsText" dxfId="61" priority="62" operator="containsText" text="N.D.">
      <formula>NOT(ISERROR(SEARCH("N.D.",F279)))</formula>
    </cfRule>
  </conditionalFormatting>
  <conditionalFormatting sqref="K279:K283">
    <cfRule type="containsText" dxfId="60" priority="61" operator="containsText" text="N.D.">
      <formula>NOT(ISERROR(SEARCH("N.D.",K279)))</formula>
    </cfRule>
  </conditionalFormatting>
  <conditionalFormatting sqref="D279:E283">
    <cfRule type="containsText" dxfId="59" priority="60" operator="containsText" text="N.D.">
      <formula>NOT(ISERROR(SEARCH("N.D.",D279)))</formula>
    </cfRule>
  </conditionalFormatting>
  <conditionalFormatting sqref="D284:J284">
    <cfRule type="containsText" dxfId="58" priority="59" operator="containsText" text="N.D.">
      <formula>NOT(ISERROR(SEARCH("N.D.",D284)))</formula>
    </cfRule>
  </conditionalFormatting>
  <conditionalFormatting sqref="K284">
    <cfRule type="containsText" dxfId="57" priority="58" operator="containsText" text="N.D.">
      <formula>NOT(ISERROR(SEARCH("N.D.",K284)))</formula>
    </cfRule>
  </conditionalFormatting>
  <conditionalFormatting sqref="F285:J289">
    <cfRule type="containsText" dxfId="56" priority="57" operator="containsText" text="N.D.">
      <formula>NOT(ISERROR(SEARCH("N.D.",F285)))</formula>
    </cfRule>
  </conditionalFormatting>
  <conditionalFormatting sqref="K285:K289">
    <cfRule type="containsText" dxfId="55" priority="56" operator="containsText" text="N.D.">
      <formula>NOT(ISERROR(SEARCH("N.D.",K285)))</formula>
    </cfRule>
  </conditionalFormatting>
  <conditionalFormatting sqref="D285:E289">
    <cfRule type="containsText" dxfId="54" priority="55" operator="containsText" text="N.D.">
      <formula>NOT(ISERROR(SEARCH("N.D.",D285)))</formula>
    </cfRule>
  </conditionalFormatting>
  <conditionalFormatting sqref="D290:J290">
    <cfRule type="containsText" dxfId="53" priority="54" operator="containsText" text="N.D.">
      <formula>NOT(ISERROR(SEARCH("N.D.",D290)))</formula>
    </cfRule>
  </conditionalFormatting>
  <conditionalFormatting sqref="K290">
    <cfRule type="containsText" dxfId="52" priority="53" operator="containsText" text="N.D.">
      <formula>NOT(ISERROR(SEARCH("N.D.",K290)))</formula>
    </cfRule>
  </conditionalFormatting>
  <conditionalFormatting sqref="F291:J295">
    <cfRule type="containsText" dxfId="51" priority="52" operator="containsText" text="N.D.">
      <formula>NOT(ISERROR(SEARCH("N.D.",F291)))</formula>
    </cfRule>
  </conditionalFormatting>
  <conditionalFormatting sqref="K291:K295">
    <cfRule type="containsText" dxfId="50" priority="51" operator="containsText" text="N.D.">
      <formula>NOT(ISERROR(SEARCH("N.D.",K291)))</formula>
    </cfRule>
  </conditionalFormatting>
  <conditionalFormatting sqref="D291:E295">
    <cfRule type="containsText" dxfId="49" priority="50" operator="containsText" text="N.D.">
      <formula>NOT(ISERROR(SEARCH("N.D.",D291)))</formula>
    </cfRule>
  </conditionalFormatting>
  <conditionalFormatting sqref="D296:J296">
    <cfRule type="containsText" dxfId="48" priority="49" operator="containsText" text="N.D.">
      <formula>NOT(ISERROR(SEARCH("N.D.",D296)))</formula>
    </cfRule>
  </conditionalFormatting>
  <conditionalFormatting sqref="K296">
    <cfRule type="containsText" dxfId="47" priority="48" operator="containsText" text="N.D.">
      <formula>NOT(ISERROR(SEARCH("N.D.",K296)))</formula>
    </cfRule>
  </conditionalFormatting>
  <conditionalFormatting sqref="F297:J301">
    <cfRule type="containsText" dxfId="46" priority="47" operator="containsText" text="N.D.">
      <formula>NOT(ISERROR(SEARCH("N.D.",F297)))</formula>
    </cfRule>
  </conditionalFormatting>
  <conditionalFormatting sqref="K297:K301">
    <cfRule type="containsText" dxfId="45" priority="46" operator="containsText" text="N.D.">
      <formula>NOT(ISERROR(SEARCH("N.D.",K297)))</formula>
    </cfRule>
  </conditionalFormatting>
  <conditionalFormatting sqref="D297:E301">
    <cfRule type="containsText" dxfId="44" priority="45" operator="containsText" text="N.D.">
      <formula>NOT(ISERROR(SEARCH("N.D.",D297)))</formula>
    </cfRule>
  </conditionalFormatting>
  <conditionalFormatting sqref="D302:J302">
    <cfRule type="containsText" dxfId="43" priority="44" operator="containsText" text="N.D.">
      <formula>NOT(ISERROR(SEARCH("N.D.",D302)))</formula>
    </cfRule>
  </conditionalFormatting>
  <conditionalFormatting sqref="K302">
    <cfRule type="containsText" dxfId="42" priority="43" operator="containsText" text="N.D.">
      <formula>NOT(ISERROR(SEARCH("N.D.",K302)))</formula>
    </cfRule>
  </conditionalFormatting>
  <conditionalFormatting sqref="F303:J307">
    <cfRule type="containsText" dxfId="41" priority="42" operator="containsText" text="N.D.">
      <formula>NOT(ISERROR(SEARCH("N.D.",F303)))</formula>
    </cfRule>
  </conditionalFormatting>
  <conditionalFormatting sqref="K303:K307">
    <cfRule type="containsText" dxfId="40" priority="41" operator="containsText" text="N.D.">
      <formula>NOT(ISERROR(SEARCH("N.D.",K303)))</formula>
    </cfRule>
  </conditionalFormatting>
  <conditionalFormatting sqref="D303:E307">
    <cfRule type="containsText" dxfId="39" priority="40" operator="containsText" text="N.D.">
      <formula>NOT(ISERROR(SEARCH("N.D.",D303)))</formula>
    </cfRule>
  </conditionalFormatting>
  <conditionalFormatting sqref="D308:J308">
    <cfRule type="containsText" dxfId="38" priority="39" operator="containsText" text="N.D.">
      <formula>NOT(ISERROR(SEARCH("N.D.",D308)))</formula>
    </cfRule>
  </conditionalFormatting>
  <conditionalFormatting sqref="K308">
    <cfRule type="containsText" dxfId="37" priority="38" operator="containsText" text="N.D.">
      <formula>NOT(ISERROR(SEARCH("N.D.",K308)))</formula>
    </cfRule>
  </conditionalFormatting>
  <conditionalFormatting sqref="F309:J313">
    <cfRule type="containsText" dxfId="36" priority="37" operator="containsText" text="N.D.">
      <formula>NOT(ISERROR(SEARCH("N.D.",F309)))</formula>
    </cfRule>
  </conditionalFormatting>
  <conditionalFormatting sqref="K309:K313">
    <cfRule type="containsText" dxfId="35" priority="36" operator="containsText" text="N.D.">
      <formula>NOT(ISERROR(SEARCH("N.D.",K309)))</formula>
    </cfRule>
  </conditionalFormatting>
  <conditionalFormatting sqref="D309:E313">
    <cfRule type="containsText" dxfId="34" priority="35" operator="containsText" text="N.D.">
      <formula>NOT(ISERROR(SEARCH("N.D.",D309)))</formula>
    </cfRule>
  </conditionalFormatting>
  <conditionalFormatting sqref="D314:J314">
    <cfRule type="containsText" dxfId="33" priority="34" operator="containsText" text="N.D.">
      <formula>NOT(ISERROR(SEARCH("N.D.",D314)))</formula>
    </cfRule>
  </conditionalFormatting>
  <conditionalFormatting sqref="K314">
    <cfRule type="containsText" dxfId="32" priority="33" operator="containsText" text="N.D.">
      <formula>NOT(ISERROR(SEARCH("N.D.",K314)))</formula>
    </cfRule>
  </conditionalFormatting>
  <conditionalFormatting sqref="F315:J319">
    <cfRule type="containsText" dxfId="31" priority="32" operator="containsText" text="N.D.">
      <formula>NOT(ISERROR(SEARCH("N.D.",F315)))</formula>
    </cfRule>
  </conditionalFormatting>
  <conditionalFormatting sqref="K315:K319">
    <cfRule type="containsText" dxfId="30" priority="31" operator="containsText" text="N.D.">
      <formula>NOT(ISERROR(SEARCH("N.D.",K315)))</formula>
    </cfRule>
  </conditionalFormatting>
  <conditionalFormatting sqref="D315:E319">
    <cfRule type="containsText" dxfId="29" priority="30" operator="containsText" text="N.D.">
      <formula>NOT(ISERROR(SEARCH("N.D.",D315)))</formula>
    </cfRule>
  </conditionalFormatting>
  <conditionalFormatting sqref="D320:J320">
    <cfRule type="containsText" dxfId="28" priority="29" operator="containsText" text="N.D.">
      <formula>NOT(ISERROR(SEARCH("N.D.",D320)))</formula>
    </cfRule>
  </conditionalFormatting>
  <conditionalFormatting sqref="K320">
    <cfRule type="containsText" dxfId="27" priority="28" operator="containsText" text="N.D.">
      <formula>NOT(ISERROR(SEARCH("N.D.",K320)))</formula>
    </cfRule>
  </conditionalFormatting>
  <conditionalFormatting sqref="F321:J325">
    <cfRule type="containsText" dxfId="26" priority="27" operator="containsText" text="N.D.">
      <formula>NOT(ISERROR(SEARCH("N.D.",F321)))</formula>
    </cfRule>
  </conditionalFormatting>
  <conditionalFormatting sqref="K321:K325">
    <cfRule type="containsText" dxfId="25" priority="26" operator="containsText" text="N.D.">
      <formula>NOT(ISERROR(SEARCH("N.D.",K321)))</formula>
    </cfRule>
  </conditionalFormatting>
  <conditionalFormatting sqref="D321:E325">
    <cfRule type="containsText" dxfId="24" priority="25" operator="containsText" text="N.D.">
      <formula>NOT(ISERROR(SEARCH("N.D.",D321)))</formula>
    </cfRule>
  </conditionalFormatting>
  <conditionalFormatting sqref="D326:J326">
    <cfRule type="containsText" dxfId="23" priority="24" operator="containsText" text="N.D.">
      <formula>NOT(ISERROR(SEARCH("N.D.",D326)))</formula>
    </cfRule>
  </conditionalFormatting>
  <conditionalFormatting sqref="K326">
    <cfRule type="containsText" dxfId="22" priority="23" operator="containsText" text="N.D.">
      <formula>NOT(ISERROR(SEARCH("N.D.",K326)))</formula>
    </cfRule>
  </conditionalFormatting>
  <conditionalFormatting sqref="F327:J331">
    <cfRule type="containsText" dxfId="21" priority="22" operator="containsText" text="N.D.">
      <formula>NOT(ISERROR(SEARCH("N.D.",F327)))</formula>
    </cfRule>
  </conditionalFormatting>
  <conditionalFormatting sqref="K327:K331">
    <cfRule type="containsText" dxfId="20" priority="21" operator="containsText" text="N.D.">
      <formula>NOT(ISERROR(SEARCH("N.D.",K327)))</formula>
    </cfRule>
  </conditionalFormatting>
  <conditionalFormatting sqref="D327:E331">
    <cfRule type="containsText" dxfId="19" priority="20" operator="containsText" text="N.D.">
      <formula>NOT(ISERROR(SEARCH("N.D.",D327)))</formula>
    </cfRule>
  </conditionalFormatting>
  <conditionalFormatting sqref="D332:J332">
    <cfRule type="containsText" dxfId="18" priority="19" operator="containsText" text="N.D.">
      <formula>NOT(ISERROR(SEARCH("N.D.",D332)))</formula>
    </cfRule>
  </conditionalFormatting>
  <conditionalFormatting sqref="K332">
    <cfRule type="containsText" dxfId="17" priority="18" operator="containsText" text="N.D.">
      <formula>NOT(ISERROR(SEARCH("N.D.",K332)))</formula>
    </cfRule>
  </conditionalFormatting>
  <conditionalFormatting sqref="F333:J337">
    <cfRule type="containsText" dxfId="16" priority="17" operator="containsText" text="N.D.">
      <formula>NOT(ISERROR(SEARCH("N.D.",F333)))</formula>
    </cfRule>
  </conditionalFormatting>
  <conditionalFormatting sqref="K333:K337">
    <cfRule type="containsText" dxfId="15" priority="16" operator="containsText" text="N.D.">
      <formula>NOT(ISERROR(SEARCH("N.D.",K333)))</formula>
    </cfRule>
  </conditionalFormatting>
  <conditionalFormatting sqref="D333:E337">
    <cfRule type="containsText" dxfId="14" priority="15" operator="containsText" text="N.D.">
      <formula>NOT(ISERROR(SEARCH("N.D.",D333)))</formula>
    </cfRule>
  </conditionalFormatting>
  <conditionalFormatting sqref="D338:J338">
    <cfRule type="containsText" dxfId="13" priority="14" operator="containsText" text="N.D.">
      <formula>NOT(ISERROR(SEARCH("N.D.",D338)))</formula>
    </cfRule>
  </conditionalFormatting>
  <conditionalFormatting sqref="K338">
    <cfRule type="containsText" dxfId="12" priority="13" operator="containsText" text="N.D.">
      <formula>NOT(ISERROR(SEARCH("N.D.",K338)))</formula>
    </cfRule>
  </conditionalFormatting>
  <conditionalFormatting sqref="F339:J343">
    <cfRule type="containsText" dxfId="11" priority="12" operator="containsText" text="N.D.">
      <formula>NOT(ISERROR(SEARCH("N.D.",F339)))</formula>
    </cfRule>
  </conditionalFormatting>
  <conditionalFormatting sqref="K339:K343">
    <cfRule type="containsText" dxfId="10" priority="11" operator="containsText" text="N.D.">
      <formula>NOT(ISERROR(SEARCH("N.D.",K339)))</formula>
    </cfRule>
  </conditionalFormatting>
  <conditionalFormatting sqref="D339:E343">
    <cfRule type="containsText" dxfId="9" priority="10" operator="containsText" text="N.D.">
      <formula>NOT(ISERROR(SEARCH("N.D.",D339)))</formula>
    </cfRule>
  </conditionalFormatting>
  <conditionalFormatting sqref="D344:J344">
    <cfRule type="containsText" dxfId="8" priority="9" operator="containsText" text="N.D.">
      <formula>NOT(ISERROR(SEARCH("N.D.",D344)))</formula>
    </cfRule>
  </conditionalFormatting>
  <conditionalFormatting sqref="K344">
    <cfRule type="containsText" dxfId="7" priority="8" operator="containsText" text="N.D.">
      <formula>NOT(ISERROR(SEARCH("N.D.",K344)))</formula>
    </cfRule>
  </conditionalFormatting>
  <conditionalFormatting sqref="F345:J349">
    <cfRule type="containsText" dxfId="6" priority="7" operator="containsText" text="N.D.">
      <formula>NOT(ISERROR(SEARCH("N.D.",F345)))</formula>
    </cfRule>
  </conditionalFormatting>
  <conditionalFormatting sqref="K345:K349">
    <cfRule type="containsText" dxfId="5" priority="6" operator="containsText" text="N.D.">
      <formula>NOT(ISERROR(SEARCH("N.D.",K345)))</formula>
    </cfRule>
  </conditionalFormatting>
  <conditionalFormatting sqref="D345:E349">
    <cfRule type="containsText" dxfId="4" priority="5" operator="containsText" text="N.D.">
      <formula>NOT(ISERROR(SEARCH("N.D.",D345)))</formula>
    </cfRule>
  </conditionalFormatting>
  <conditionalFormatting sqref="F2:K349">
    <cfRule type="cellIs" dxfId="3" priority="2" operator="equal">
      <formula>0</formula>
    </cfRule>
    <cfRule type="expression" dxfId="2" priority="4">
      <formula>$D2="N.D."</formula>
    </cfRule>
  </conditionalFormatting>
  <conditionalFormatting sqref="D14:E14">
    <cfRule type="containsText" dxfId="1" priority="3" operator="containsText" text="N.D.">
      <formula>NOT(ISERROR(SEARCH("N.D.",D14)))</formula>
    </cfRule>
  </conditionalFormatting>
  <conditionalFormatting sqref="E2:E349">
    <cfRule type="cellIs" dxfId="0" priority="1" operator="equal">
      <formula>0</formula>
    </cfRule>
  </conditionalFormatting>
  <printOptions horizontalCentered="1" gridLines="1"/>
  <pageMargins left="0.39370078740157483" right="0.39370078740157483" top="0.98425196850393704" bottom="0.59055118110236227" header="0.31496062992125984" footer="0.31496062992125984"/>
  <pageSetup paperSize="9" scale="80" fitToHeight="0" orientation="portrait" r:id="rId1"/>
  <headerFooter alignWithMargins="0">
    <oddHeader>&amp;L&amp;G&amp;C
LAYOUT AND EQUIPMENT
EP XX BOQ FOUNDATIONS
KP XX-XXX to XX+XXX&amp;R&amp;G</oddHeader>
    <oddFooter>&amp;L&amp;F&amp;C&amp;D&amp;RPag &amp;P of &amp;N</oddFooter>
  </headerFooter>
  <rowBreaks count="8" manualBreakCount="8">
    <brk id="43" max="9" man="1"/>
    <brk id="85" max="9" man="1"/>
    <brk id="127" max="9" man="1"/>
    <brk id="169" max="9" man="1"/>
    <brk id="211" max="9" man="1"/>
    <brk id="253" max="9" man="1"/>
    <brk id="295" max="9" man="1"/>
    <brk id="337" max="9" man="1"/>
  </row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6">
    <tabColor theme="9" tint="0.39997558519241921"/>
    <pageSetUpPr fitToPage="1"/>
  </sheetPr>
  <dimension ref="A1:R1140"/>
  <sheetViews>
    <sheetView showZeros="0" tabSelected="1" zoomScale="55" zoomScaleNormal="55" workbookViewId="0">
      <pane ySplit="2" topLeftCell="A212" activePane="bottomLeft" state="frozen"/>
      <selection pane="bottomLeft" activeCell="E228" sqref="E228"/>
      <selection sqref="A1:A1048576"/>
    </sheetView>
  </sheetViews>
  <sheetFormatPr defaultColWidth="11.42578125" defaultRowHeight="18"/>
  <cols>
    <col min="1" max="1" width="9.7109375" style="133" customWidth="1"/>
    <col min="2" max="2" width="8.28515625" style="161" customWidth="1"/>
    <col min="3" max="3" width="40.7109375" style="146" bestFit="1" customWidth="1"/>
    <col min="4" max="4" width="16.85546875" style="133" customWidth="1"/>
    <col min="5" max="5" width="73.5703125" style="147" customWidth="1"/>
    <col min="6" max="6" width="12.85546875" style="133" customWidth="1"/>
    <col min="7" max="7" width="15.28515625" style="143" bestFit="1" customWidth="1"/>
    <col min="8" max="9" width="18.7109375" style="133" customWidth="1"/>
    <col min="10" max="10" width="18.7109375" style="130" customWidth="1"/>
    <col min="11" max="12" width="18.7109375" style="133" customWidth="1"/>
    <col min="13" max="17" width="18.7109375" style="130" customWidth="1"/>
    <col min="18" max="18" width="130.7109375" style="146" hidden="1" customWidth="1"/>
    <col min="19" max="16384" width="11.42578125" style="130"/>
  </cols>
  <sheetData>
    <row r="1" spans="1:18" ht="24" customHeight="1">
      <c r="A1" s="158"/>
      <c r="B1" s="162" t="s">
        <v>2410</v>
      </c>
      <c r="C1" s="144"/>
      <c r="E1" s="144"/>
      <c r="F1" s="156"/>
      <c r="R1" s="144"/>
    </row>
    <row r="2" spans="1:18" s="143" customFormat="1" ht="19.899999999999999" customHeight="1">
      <c r="A2" s="19" t="s">
        <v>2411</v>
      </c>
      <c r="B2" s="19" t="s">
        <v>2412</v>
      </c>
      <c r="C2" s="19" t="s">
        <v>2413</v>
      </c>
      <c r="D2" s="19" t="s">
        <v>2414</v>
      </c>
      <c r="E2" s="19" t="s">
        <v>2415</v>
      </c>
      <c r="F2" s="19" t="s">
        <v>2416</v>
      </c>
      <c r="G2" s="19" t="s">
        <v>2417</v>
      </c>
      <c r="H2" s="57" t="str">
        <f>'HR Track 1'!A1</f>
        <v>TRACK 1</v>
      </c>
      <c r="I2" s="58" t="str">
        <f>'HR Track 2'!A1</f>
        <v>TRACK 2</v>
      </c>
      <c r="J2" s="59" t="str">
        <f>'HR Track 3 ZIC'!A1</f>
        <v>TRACK 3 ZIC</v>
      </c>
      <c r="K2" s="60" t="str">
        <f>'HR Track 4 ZIC'!A1</f>
        <v>TRACK 4 ZIC</v>
      </c>
      <c r="L2" s="608" t="str">
        <f>'HR Track 3 BIN'!A1</f>
        <v>TRACK 3 BIN</v>
      </c>
      <c r="M2" s="61" t="str">
        <f>'HR Track 4 BIN'!A1</f>
        <v>TRACK 4 BIN</v>
      </c>
      <c r="N2" s="62" t="str">
        <f>'HR Track 5 BIN'!A1</f>
        <v>TRACK 5 BIN</v>
      </c>
      <c r="O2" s="608" t="str">
        <f>'HR TRACK 3 HAD'!A1</f>
        <v>TRACK 3 HAD</v>
      </c>
      <c r="P2" s="608" t="str">
        <f>'HR TRACK 3 KFA'!A1</f>
        <v>TRACK 3 KFA</v>
      </c>
      <c r="Q2" s="608" t="str">
        <f>'HR TRACK 4 KFA'!A1</f>
        <v>TRACK 04 KFA</v>
      </c>
      <c r="R2" s="831" t="s">
        <v>2415</v>
      </c>
    </row>
    <row r="3" spans="1:18" s="131" customFormat="1" ht="32.1" customHeight="1">
      <c r="A3" s="1121" t="s">
        <v>2418</v>
      </c>
      <c r="B3" s="1118" t="s">
        <v>2419</v>
      </c>
      <c r="C3" s="21" t="s">
        <v>643</v>
      </c>
      <c r="D3" s="24" t="s">
        <v>643</v>
      </c>
      <c r="E3" s="21" t="s">
        <v>2420</v>
      </c>
      <c r="F3" s="24" t="str">
        <f>F33</f>
        <v>DW6901</v>
      </c>
      <c r="G3" s="179">
        <f t="shared" ref="G3:G34" si="0">SUM(H3:Q3)</f>
        <v>262</v>
      </c>
      <c r="H3" s="166">
        <f t="shared" ref="H3:H63" si="1">COUNTIF(Area_v1,$C3)</f>
        <v>135</v>
      </c>
      <c r="I3" s="805">
        <f t="shared" ref="I3:I63" si="2">COUNTIF(Area_v2,$C3)</f>
        <v>119</v>
      </c>
      <c r="J3" s="166">
        <f t="shared" ref="J3:J63" si="3">COUNTIF(Area_v3ZIC,$C3)</f>
        <v>0</v>
      </c>
      <c r="K3" s="168">
        <f t="shared" ref="K3:K63" si="4">COUNTIF(Area_v4ZIC,$C3)</f>
        <v>0</v>
      </c>
      <c r="L3" s="166">
        <f t="shared" ref="L3:L34" si="5">COUNTIF(Area_v3BIN,$C3)</f>
        <v>0</v>
      </c>
      <c r="M3" s="167">
        <f t="shared" ref="M3:M63" si="6">COUNTIF(Area_v4BIN,$C3)</f>
        <v>0</v>
      </c>
      <c r="N3" s="168">
        <f t="shared" ref="N3:N63" si="7">COUNTIF(Area_v5BIN,$C3)</f>
        <v>4</v>
      </c>
      <c r="O3" s="166">
        <f t="shared" ref="O3:O34" si="8">COUNTIF(Area_v3HAD,$C3)</f>
        <v>3</v>
      </c>
      <c r="P3" s="167">
        <f t="shared" ref="P3:P34" si="9">COUNTIF(Area_v3KFA,$C3)</f>
        <v>0</v>
      </c>
      <c r="Q3" s="855">
        <f t="shared" ref="Q3:Q34" si="10">COUNTIF(Area_v4KFA,$C3)</f>
        <v>1</v>
      </c>
      <c r="R3" s="64" t="s">
        <v>2421</v>
      </c>
    </row>
    <row r="4" spans="1:18" ht="32.1" customHeight="1">
      <c r="A4" s="1122"/>
      <c r="B4" s="1119"/>
      <c r="C4" s="21" t="s">
        <v>2375</v>
      </c>
      <c r="D4" s="24" t="s">
        <v>2375</v>
      </c>
      <c r="E4" s="21" t="s">
        <v>2422</v>
      </c>
      <c r="F4" s="24" t="str">
        <f>F34</f>
        <v>DW6901</v>
      </c>
      <c r="G4" s="179">
        <f t="shared" si="0"/>
        <v>87</v>
      </c>
      <c r="H4" s="169">
        <f t="shared" si="1"/>
        <v>32</v>
      </c>
      <c r="I4" s="806">
        <f t="shared" si="2"/>
        <v>55</v>
      </c>
      <c r="J4" s="169">
        <f t="shared" si="3"/>
        <v>0</v>
      </c>
      <c r="K4" s="171">
        <f t="shared" si="4"/>
        <v>0</v>
      </c>
      <c r="L4" s="169">
        <f t="shared" si="5"/>
        <v>0</v>
      </c>
      <c r="M4" s="170">
        <f t="shared" si="6"/>
        <v>0</v>
      </c>
      <c r="N4" s="171">
        <f t="shared" si="7"/>
        <v>0</v>
      </c>
      <c r="O4" s="169">
        <f t="shared" si="8"/>
        <v>0</v>
      </c>
      <c r="P4" s="170">
        <f t="shared" si="9"/>
        <v>0</v>
      </c>
      <c r="Q4" s="856">
        <f t="shared" si="10"/>
        <v>0</v>
      </c>
      <c r="R4" s="64" t="s">
        <v>2423</v>
      </c>
    </row>
    <row r="5" spans="1:18" ht="32.1" customHeight="1">
      <c r="A5" s="1122"/>
      <c r="B5" s="1119"/>
      <c r="C5" s="21" t="s">
        <v>646</v>
      </c>
      <c r="D5" s="24" t="s">
        <v>646</v>
      </c>
      <c r="E5" s="21" t="s">
        <v>2424</v>
      </c>
      <c r="F5" s="24" t="str">
        <f t="shared" ref="F5:F32" si="11">F35</f>
        <v>DW6901</v>
      </c>
      <c r="G5" s="179">
        <f t="shared" si="0"/>
        <v>366</v>
      </c>
      <c r="H5" s="169">
        <f t="shared" si="1"/>
        <v>189</v>
      </c>
      <c r="I5" s="806">
        <f t="shared" si="2"/>
        <v>166</v>
      </c>
      <c r="J5" s="169">
        <f t="shared" si="3"/>
        <v>0</v>
      </c>
      <c r="K5" s="171">
        <f t="shared" si="4"/>
        <v>0</v>
      </c>
      <c r="L5" s="169">
        <f t="shared" si="5"/>
        <v>0</v>
      </c>
      <c r="M5" s="170">
        <f t="shared" si="6"/>
        <v>0</v>
      </c>
      <c r="N5" s="171">
        <f t="shared" si="7"/>
        <v>4</v>
      </c>
      <c r="O5" s="169">
        <f t="shared" si="8"/>
        <v>5</v>
      </c>
      <c r="P5" s="170">
        <f t="shared" si="9"/>
        <v>1</v>
      </c>
      <c r="Q5" s="856">
        <f t="shared" si="10"/>
        <v>1</v>
      </c>
      <c r="R5" s="64" t="s">
        <v>2425</v>
      </c>
    </row>
    <row r="6" spans="1:18" ht="32.1" customHeight="1">
      <c r="A6" s="1122"/>
      <c r="B6" s="1119"/>
      <c r="C6" s="21" t="s">
        <v>2376</v>
      </c>
      <c r="D6" s="24" t="s">
        <v>2376</v>
      </c>
      <c r="E6" s="21" t="s">
        <v>2426</v>
      </c>
      <c r="F6" s="24" t="str">
        <f t="shared" si="11"/>
        <v>DW6901</v>
      </c>
      <c r="G6" s="179">
        <f t="shared" si="0"/>
        <v>82</v>
      </c>
      <c r="H6" s="169">
        <f t="shared" si="1"/>
        <v>32</v>
      </c>
      <c r="I6" s="806">
        <f t="shared" si="2"/>
        <v>50</v>
      </c>
      <c r="J6" s="169">
        <f t="shared" si="3"/>
        <v>0</v>
      </c>
      <c r="K6" s="171">
        <f t="shared" si="4"/>
        <v>0</v>
      </c>
      <c r="L6" s="169">
        <f t="shared" si="5"/>
        <v>0</v>
      </c>
      <c r="M6" s="170">
        <f t="shared" si="6"/>
        <v>0</v>
      </c>
      <c r="N6" s="171">
        <f t="shared" si="7"/>
        <v>0</v>
      </c>
      <c r="O6" s="169">
        <f t="shared" si="8"/>
        <v>0</v>
      </c>
      <c r="P6" s="170">
        <f t="shared" si="9"/>
        <v>0</v>
      </c>
      <c r="Q6" s="856">
        <f t="shared" si="10"/>
        <v>0</v>
      </c>
      <c r="R6" s="64" t="s">
        <v>2427</v>
      </c>
    </row>
    <row r="7" spans="1:18" ht="32.1" customHeight="1">
      <c r="A7" s="1122"/>
      <c r="B7" s="1119"/>
      <c r="C7" s="21" t="s">
        <v>2313</v>
      </c>
      <c r="D7" s="24" t="s">
        <v>2313</v>
      </c>
      <c r="E7" s="21" t="s">
        <v>2428</v>
      </c>
      <c r="F7" s="24" t="str">
        <f t="shared" si="11"/>
        <v>DW6901</v>
      </c>
      <c r="G7" s="179">
        <f t="shared" si="0"/>
        <v>130</v>
      </c>
      <c r="H7" s="169">
        <f t="shared" si="1"/>
        <v>62</v>
      </c>
      <c r="I7" s="806">
        <f t="shared" si="2"/>
        <v>22</v>
      </c>
      <c r="J7" s="169">
        <f t="shared" si="3"/>
        <v>19</v>
      </c>
      <c r="K7" s="171">
        <f t="shared" si="4"/>
        <v>3</v>
      </c>
      <c r="L7" s="169">
        <f t="shared" si="5"/>
        <v>10</v>
      </c>
      <c r="M7" s="170">
        <f t="shared" si="6"/>
        <v>1</v>
      </c>
      <c r="N7" s="171">
        <f t="shared" si="7"/>
        <v>0</v>
      </c>
      <c r="O7" s="169">
        <f t="shared" si="8"/>
        <v>6</v>
      </c>
      <c r="P7" s="170">
        <f t="shared" si="9"/>
        <v>4</v>
      </c>
      <c r="Q7" s="856">
        <f t="shared" si="10"/>
        <v>3</v>
      </c>
      <c r="R7" s="64" t="s">
        <v>2429</v>
      </c>
    </row>
    <row r="8" spans="1:18" ht="32.1" customHeight="1">
      <c r="A8" s="1122"/>
      <c r="B8" s="1119"/>
      <c r="C8" s="21" t="s">
        <v>2352</v>
      </c>
      <c r="D8" s="24" t="s">
        <v>2352</v>
      </c>
      <c r="E8" s="21" t="s">
        <v>2430</v>
      </c>
      <c r="F8" s="24" t="str">
        <f t="shared" si="11"/>
        <v>DW6901</v>
      </c>
      <c r="G8" s="179">
        <f t="shared" si="0"/>
        <v>7</v>
      </c>
      <c r="H8" s="169">
        <f t="shared" si="1"/>
        <v>2</v>
      </c>
      <c r="I8" s="806">
        <f t="shared" si="2"/>
        <v>5</v>
      </c>
      <c r="J8" s="169">
        <f t="shared" si="3"/>
        <v>0</v>
      </c>
      <c r="K8" s="171">
        <f t="shared" si="4"/>
        <v>0</v>
      </c>
      <c r="L8" s="169">
        <f t="shared" si="5"/>
        <v>0</v>
      </c>
      <c r="M8" s="170">
        <f t="shared" si="6"/>
        <v>0</v>
      </c>
      <c r="N8" s="171">
        <f t="shared" si="7"/>
        <v>0</v>
      </c>
      <c r="O8" s="169">
        <f t="shared" si="8"/>
        <v>0</v>
      </c>
      <c r="P8" s="170">
        <f t="shared" si="9"/>
        <v>0</v>
      </c>
      <c r="Q8" s="856">
        <f t="shared" si="10"/>
        <v>0</v>
      </c>
      <c r="R8" s="64" t="s">
        <v>2431</v>
      </c>
    </row>
    <row r="9" spans="1:18" ht="32.1" customHeight="1">
      <c r="A9" s="1122"/>
      <c r="B9" s="1119"/>
      <c r="C9" s="21" t="s">
        <v>2362</v>
      </c>
      <c r="D9" s="24" t="s">
        <v>2362</v>
      </c>
      <c r="E9" s="21" t="s">
        <v>2432</v>
      </c>
      <c r="F9" s="24" t="str">
        <f t="shared" si="11"/>
        <v>DW6901</v>
      </c>
      <c r="G9" s="179">
        <f t="shared" si="0"/>
        <v>45</v>
      </c>
      <c r="H9" s="169">
        <f t="shared" si="1"/>
        <v>6</v>
      </c>
      <c r="I9" s="806">
        <f t="shared" si="2"/>
        <v>8</v>
      </c>
      <c r="J9" s="169">
        <f t="shared" si="3"/>
        <v>0</v>
      </c>
      <c r="K9" s="171">
        <f t="shared" si="4"/>
        <v>1</v>
      </c>
      <c r="L9" s="169">
        <f t="shared" si="5"/>
        <v>1</v>
      </c>
      <c r="M9" s="170">
        <f t="shared" si="6"/>
        <v>0</v>
      </c>
      <c r="N9" s="171">
        <f t="shared" si="7"/>
        <v>3</v>
      </c>
      <c r="O9" s="169">
        <f t="shared" si="8"/>
        <v>1</v>
      </c>
      <c r="P9" s="170">
        <f t="shared" si="9"/>
        <v>13</v>
      </c>
      <c r="Q9" s="856">
        <f t="shared" si="10"/>
        <v>12</v>
      </c>
      <c r="R9" s="64" t="s">
        <v>2433</v>
      </c>
    </row>
    <row r="10" spans="1:18" ht="32.1" customHeight="1">
      <c r="A10" s="1122"/>
      <c r="B10" s="1119"/>
      <c r="C10" s="21" t="s">
        <v>2377</v>
      </c>
      <c r="D10" s="24" t="s">
        <v>2377</v>
      </c>
      <c r="E10" s="21" t="s">
        <v>2434</v>
      </c>
      <c r="F10" s="24" t="str">
        <f t="shared" si="11"/>
        <v>DW6901</v>
      </c>
      <c r="G10" s="179">
        <f t="shared" si="0"/>
        <v>0</v>
      </c>
      <c r="H10" s="169">
        <f t="shared" si="1"/>
        <v>0</v>
      </c>
      <c r="I10" s="806">
        <f t="shared" si="2"/>
        <v>0</v>
      </c>
      <c r="J10" s="169">
        <f t="shared" si="3"/>
        <v>0</v>
      </c>
      <c r="K10" s="171">
        <f t="shared" si="4"/>
        <v>0</v>
      </c>
      <c r="L10" s="169">
        <f t="shared" si="5"/>
        <v>0</v>
      </c>
      <c r="M10" s="170">
        <f t="shared" si="6"/>
        <v>0</v>
      </c>
      <c r="N10" s="171">
        <f t="shared" si="7"/>
        <v>0</v>
      </c>
      <c r="O10" s="169">
        <f t="shared" si="8"/>
        <v>0</v>
      </c>
      <c r="P10" s="170">
        <f t="shared" si="9"/>
        <v>0</v>
      </c>
      <c r="Q10" s="856">
        <f t="shared" si="10"/>
        <v>0</v>
      </c>
      <c r="R10" s="64" t="s">
        <v>2435</v>
      </c>
    </row>
    <row r="11" spans="1:18" ht="32.1" customHeight="1">
      <c r="A11" s="1122"/>
      <c r="B11" s="1119"/>
      <c r="C11" s="21" t="s">
        <v>2364</v>
      </c>
      <c r="D11" s="24" t="s">
        <v>2364</v>
      </c>
      <c r="E11" s="21" t="s">
        <v>2436</v>
      </c>
      <c r="F11" s="24" t="str">
        <f t="shared" si="11"/>
        <v>DW6910</v>
      </c>
      <c r="G11" s="179">
        <f t="shared" si="0"/>
        <v>6</v>
      </c>
      <c r="H11" s="169">
        <f t="shared" si="1"/>
        <v>0</v>
      </c>
      <c r="I11" s="806">
        <f t="shared" si="2"/>
        <v>0</v>
      </c>
      <c r="J11" s="169">
        <f t="shared" si="3"/>
        <v>2</v>
      </c>
      <c r="K11" s="171">
        <f t="shared" si="4"/>
        <v>0</v>
      </c>
      <c r="L11" s="169">
        <f t="shared" si="5"/>
        <v>1</v>
      </c>
      <c r="M11" s="170">
        <f t="shared" si="6"/>
        <v>0</v>
      </c>
      <c r="N11" s="171">
        <f t="shared" si="7"/>
        <v>0</v>
      </c>
      <c r="O11" s="169">
        <f t="shared" si="8"/>
        <v>1</v>
      </c>
      <c r="P11" s="170">
        <f t="shared" si="9"/>
        <v>1</v>
      </c>
      <c r="Q11" s="856">
        <f t="shared" si="10"/>
        <v>1</v>
      </c>
      <c r="R11" s="64" t="s">
        <v>2437</v>
      </c>
    </row>
    <row r="12" spans="1:18" ht="32.1" customHeight="1">
      <c r="A12" s="1122"/>
      <c r="B12" s="1119"/>
      <c r="C12" s="21" t="s">
        <v>2380</v>
      </c>
      <c r="D12" s="24" t="s">
        <v>2380</v>
      </c>
      <c r="E12" s="21" t="s">
        <v>2438</v>
      </c>
      <c r="F12" s="24" t="str">
        <f t="shared" si="11"/>
        <v>DW6910</v>
      </c>
      <c r="G12" s="179">
        <f t="shared" si="0"/>
        <v>0</v>
      </c>
      <c r="H12" s="169">
        <f t="shared" si="1"/>
        <v>0</v>
      </c>
      <c r="I12" s="806">
        <f t="shared" si="2"/>
        <v>0</v>
      </c>
      <c r="J12" s="169">
        <f t="shared" si="3"/>
        <v>0</v>
      </c>
      <c r="K12" s="171">
        <f t="shared" si="4"/>
        <v>0</v>
      </c>
      <c r="L12" s="169">
        <f t="shared" si="5"/>
        <v>0</v>
      </c>
      <c r="M12" s="170">
        <f t="shared" si="6"/>
        <v>0</v>
      </c>
      <c r="N12" s="171">
        <f t="shared" si="7"/>
        <v>0</v>
      </c>
      <c r="O12" s="169">
        <f t="shared" si="8"/>
        <v>0</v>
      </c>
      <c r="P12" s="170">
        <f t="shared" si="9"/>
        <v>0</v>
      </c>
      <c r="Q12" s="856">
        <f t="shared" si="10"/>
        <v>0</v>
      </c>
      <c r="R12" s="64" t="s">
        <v>2439</v>
      </c>
    </row>
    <row r="13" spans="1:18" ht="32.1" customHeight="1">
      <c r="A13" s="1122"/>
      <c r="B13" s="1119"/>
      <c r="C13" s="21" t="s">
        <v>929</v>
      </c>
      <c r="D13" s="24" t="s">
        <v>929</v>
      </c>
      <c r="E13" s="21" t="s">
        <v>2440</v>
      </c>
      <c r="F13" s="24" t="str">
        <f t="shared" si="11"/>
        <v>DW6912</v>
      </c>
      <c r="G13" s="179">
        <f t="shared" si="0"/>
        <v>31</v>
      </c>
      <c r="H13" s="169">
        <f t="shared" si="1"/>
        <v>15</v>
      </c>
      <c r="I13" s="806">
        <f t="shared" si="2"/>
        <v>15</v>
      </c>
      <c r="J13" s="169">
        <f t="shared" si="3"/>
        <v>0</v>
      </c>
      <c r="K13" s="171">
        <f t="shared" si="4"/>
        <v>0</v>
      </c>
      <c r="L13" s="169">
        <f t="shared" si="5"/>
        <v>0</v>
      </c>
      <c r="M13" s="170">
        <f t="shared" si="6"/>
        <v>0</v>
      </c>
      <c r="N13" s="171">
        <f t="shared" si="7"/>
        <v>1</v>
      </c>
      <c r="O13" s="169">
        <f t="shared" si="8"/>
        <v>0</v>
      </c>
      <c r="P13" s="170">
        <f t="shared" si="9"/>
        <v>0</v>
      </c>
      <c r="Q13" s="856">
        <f t="shared" si="10"/>
        <v>0</v>
      </c>
      <c r="R13" s="64" t="s">
        <v>2441</v>
      </c>
    </row>
    <row r="14" spans="1:18" ht="32.1" customHeight="1">
      <c r="A14" s="1122"/>
      <c r="B14" s="1119"/>
      <c r="C14" s="21" t="s">
        <v>2378</v>
      </c>
      <c r="D14" s="24" t="s">
        <v>2378</v>
      </c>
      <c r="E14" s="21" t="s">
        <v>2442</v>
      </c>
      <c r="F14" s="24" t="str">
        <f t="shared" si="11"/>
        <v>DW6912</v>
      </c>
      <c r="G14" s="179">
        <f t="shared" si="0"/>
        <v>0</v>
      </c>
      <c r="H14" s="169">
        <f t="shared" si="1"/>
        <v>0</v>
      </c>
      <c r="I14" s="806">
        <f t="shared" si="2"/>
        <v>0</v>
      </c>
      <c r="J14" s="169">
        <f t="shared" si="3"/>
        <v>0</v>
      </c>
      <c r="K14" s="171">
        <f t="shared" si="4"/>
        <v>0</v>
      </c>
      <c r="L14" s="169">
        <f t="shared" si="5"/>
        <v>0</v>
      </c>
      <c r="M14" s="170">
        <f t="shared" si="6"/>
        <v>0</v>
      </c>
      <c r="N14" s="171">
        <f t="shared" si="7"/>
        <v>0</v>
      </c>
      <c r="O14" s="169">
        <f t="shared" si="8"/>
        <v>0</v>
      </c>
      <c r="P14" s="170">
        <f t="shared" si="9"/>
        <v>0</v>
      </c>
      <c r="Q14" s="856">
        <f t="shared" si="10"/>
        <v>0</v>
      </c>
      <c r="R14" s="64" t="s">
        <v>2443</v>
      </c>
    </row>
    <row r="15" spans="1:18" ht="32.1" customHeight="1">
      <c r="A15" s="1122"/>
      <c r="B15" s="1119"/>
      <c r="C15" s="31" t="s">
        <v>2365</v>
      </c>
      <c r="D15" s="32" t="s">
        <v>2365</v>
      </c>
      <c r="E15" s="31" t="s">
        <v>2444</v>
      </c>
      <c r="F15" s="24" t="str">
        <f t="shared" si="11"/>
        <v>DW6965</v>
      </c>
      <c r="G15" s="179">
        <f t="shared" si="0"/>
        <v>3</v>
      </c>
      <c r="H15" s="169">
        <f t="shared" si="1"/>
        <v>0</v>
      </c>
      <c r="I15" s="806">
        <f t="shared" si="2"/>
        <v>0</v>
      </c>
      <c r="J15" s="169">
        <f t="shared" si="3"/>
        <v>0</v>
      </c>
      <c r="K15" s="171">
        <f t="shared" si="4"/>
        <v>0</v>
      </c>
      <c r="L15" s="169">
        <f t="shared" si="5"/>
        <v>0</v>
      </c>
      <c r="M15" s="170">
        <f t="shared" si="6"/>
        <v>0</v>
      </c>
      <c r="N15" s="171">
        <f t="shared" si="7"/>
        <v>0</v>
      </c>
      <c r="O15" s="169">
        <f t="shared" si="8"/>
        <v>3</v>
      </c>
      <c r="P15" s="170">
        <f t="shared" si="9"/>
        <v>0</v>
      </c>
      <c r="Q15" s="857">
        <f t="shared" si="10"/>
        <v>0</v>
      </c>
      <c r="R15" s="134" t="s">
        <v>2445</v>
      </c>
    </row>
    <row r="16" spans="1:18" ht="32.1" customHeight="1">
      <c r="A16" s="1122"/>
      <c r="B16" s="1119"/>
      <c r="C16" s="31" t="s">
        <v>2381</v>
      </c>
      <c r="D16" s="32" t="s">
        <v>2381</v>
      </c>
      <c r="E16" s="31" t="s">
        <v>2446</v>
      </c>
      <c r="F16" s="24" t="str">
        <f t="shared" si="11"/>
        <v>DW6965</v>
      </c>
      <c r="G16" s="179">
        <f t="shared" si="0"/>
        <v>0</v>
      </c>
      <c r="H16" s="169">
        <f t="shared" si="1"/>
        <v>0</v>
      </c>
      <c r="I16" s="806">
        <f t="shared" si="2"/>
        <v>0</v>
      </c>
      <c r="J16" s="169">
        <f t="shared" si="3"/>
        <v>0</v>
      </c>
      <c r="K16" s="171">
        <f t="shared" si="4"/>
        <v>0</v>
      </c>
      <c r="L16" s="169">
        <f t="shared" si="5"/>
        <v>0</v>
      </c>
      <c r="M16" s="170">
        <f t="shared" si="6"/>
        <v>0</v>
      </c>
      <c r="N16" s="171">
        <f t="shared" si="7"/>
        <v>0</v>
      </c>
      <c r="O16" s="169">
        <f t="shared" si="8"/>
        <v>0</v>
      </c>
      <c r="P16" s="170">
        <f t="shared" si="9"/>
        <v>0</v>
      </c>
      <c r="Q16" s="857">
        <f t="shared" si="10"/>
        <v>0</v>
      </c>
      <c r="R16" s="134" t="s">
        <v>2447</v>
      </c>
    </row>
    <row r="17" spans="1:18" ht="32.1" customHeight="1">
      <c r="A17" s="1122"/>
      <c r="B17" s="1119"/>
      <c r="C17" s="31" t="s">
        <v>2366</v>
      </c>
      <c r="D17" s="32" t="s">
        <v>2366</v>
      </c>
      <c r="E17" s="31" t="s">
        <v>2448</v>
      </c>
      <c r="F17" s="24" t="str">
        <f t="shared" si="11"/>
        <v>DW6929</v>
      </c>
      <c r="G17" s="179">
        <f t="shared" si="0"/>
        <v>9</v>
      </c>
      <c r="H17" s="169">
        <f t="shared" si="1"/>
        <v>0</v>
      </c>
      <c r="I17" s="806">
        <f t="shared" si="2"/>
        <v>1</v>
      </c>
      <c r="J17" s="169">
        <f t="shared" si="3"/>
        <v>0</v>
      </c>
      <c r="K17" s="171">
        <f t="shared" si="4"/>
        <v>0</v>
      </c>
      <c r="L17" s="169">
        <f t="shared" si="5"/>
        <v>0</v>
      </c>
      <c r="M17" s="170">
        <f t="shared" si="6"/>
        <v>6</v>
      </c>
      <c r="N17" s="171">
        <f t="shared" si="7"/>
        <v>1</v>
      </c>
      <c r="O17" s="169">
        <f t="shared" si="8"/>
        <v>1</v>
      </c>
      <c r="P17" s="170">
        <f t="shared" si="9"/>
        <v>0</v>
      </c>
      <c r="Q17" s="857">
        <f t="shared" si="10"/>
        <v>0</v>
      </c>
      <c r="R17" s="134" t="s">
        <v>2449</v>
      </c>
    </row>
    <row r="18" spans="1:18" ht="32.1" customHeight="1">
      <c r="A18" s="1122"/>
      <c r="B18" s="1119"/>
      <c r="C18" s="31" t="s">
        <v>2382</v>
      </c>
      <c r="D18" s="32" t="s">
        <v>2382</v>
      </c>
      <c r="E18" s="31" t="s">
        <v>2450</v>
      </c>
      <c r="F18" s="24" t="str">
        <f t="shared" si="11"/>
        <v>DW6929</v>
      </c>
      <c r="G18" s="179">
        <f t="shared" si="0"/>
        <v>0</v>
      </c>
      <c r="H18" s="169">
        <f t="shared" si="1"/>
        <v>0</v>
      </c>
      <c r="I18" s="806">
        <f t="shared" si="2"/>
        <v>0</v>
      </c>
      <c r="J18" s="169">
        <f t="shared" si="3"/>
        <v>0</v>
      </c>
      <c r="K18" s="171">
        <f t="shared" si="4"/>
        <v>0</v>
      </c>
      <c r="L18" s="169">
        <f t="shared" si="5"/>
        <v>0</v>
      </c>
      <c r="M18" s="170">
        <f t="shared" si="6"/>
        <v>0</v>
      </c>
      <c r="N18" s="171">
        <f t="shared" si="7"/>
        <v>0</v>
      </c>
      <c r="O18" s="169">
        <f t="shared" si="8"/>
        <v>0</v>
      </c>
      <c r="P18" s="170">
        <f t="shared" si="9"/>
        <v>0</v>
      </c>
      <c r="Q18" s="857">
        <f t="shared" si="10"/>
        <v>0</v>
      </c>
      <c r="R18" s="134" t="s">
        <v>2451</v>
      </c>
    </row>
    <row r="19" spans="1:18" ht="32.1" customHeight="1">
      <c r="A19" s="1122"/>
      <c r="B19" s="1119"/>
      <c r="C19" s="31" t="s">
        <v>2367</v>
      </c>
      <c r="D19" s="32" t="s">
        <v>2367</v>
      </c>
      <c r="E19" s="31" t="s">
        <v>2452</v>
      </c>
      <c r="F19" s="24" t="str">
        <f t="shared" si="11"/>
        <v>DW6963</v>
      </c>
      <c r="G19" s="179">
        <f t="shared" si="0"/>
        <v>11</v>
      </c>
      <c r="H19" s="169">
        <f t="shared" si="1"/>
        <v>5</v>
      </c>
      <c r="I19" s="806">
        <f t="shared" si="2"/>
        <v>0</v>
      </c>
      <c r="J19" s="169">
        <f t="shared" si="3"/>
        <v>0</v>
      </c>
      <c r="K19" s="171">
        <f t="shared" si="4"/>
        <v>0</v>
      </c>
      <c r="L19" s="169">
        <f t="shared" si="5"/>
        <v>2</v>
      </c>
      <c r="M19" s="170">
        <f t="shared" si="6"/>
        <v>0</v>
      </c>
      <c r="N19" s="171">
        <f t="shared" si="7"/>
        <v>0</v>
      </c>
      <c r="O19" s="169">
        <f t="shared" si="8"/>
        <v>4</v>
      </c>
      <c r="P19" s="170">
        <f t="shared" si="9"/>
        <v>0</v>
      </c>
      <c r="Q19" s="857">
        <f t="shared" si="10"/>
        <v>0</v>
      </c>
      <c r="R19" s="134" t="s">
        <v>2453</v>
      </c>
    </row>
    <row r="20" spans="1:18" ht="32.1" customHeight="1">
      <c r="A20" s="1122"/>
      <c r="B20" s="1119"/>
      <c r="C20" s="31" t="s">
        <v>2383</v>
      </c>
      <c r="D20" s="32" t="s">
        <v>2383</v>
      </c>
      <c r="E20" s="31" t="s">
        <v>2452</v>
      </c>
      <c r="F20" s="24" t="str">
        <f t="shared" si="11"/>
        <v>DW6963</v>
      </c>
      <c r="G20" s="179">
        <f t="shared" si="0"/>
        <v>0</v>
      </c>
      <c r="H20" s="169">
        <f t="shared" si="1"/>
        <v>0</v>
      </c>
      <c r="I20" s="806">
        <f t="shared" si="2"/>
        <v>0</v>
      </c>
      <c r="J20" s="169">
        <f t="shared" si="3"/>
        <v>0</v>
      </c>
      <c r="K20" s="171">
        <f t="shared" si="4"/>
        <v>0</v>
      </c>
      <c r="L20" s="169">
        <f t="shared" si="5"/>
        <v>0</v>
      </c>
      <c r="M20" s="170">
        <f t="shared" si="6"/>
        <v>0</v>
      </c>
      <c r="N20" s="171">
        <f t="shared" si="7"/>
        <v>0</v>
      </c>
      <c r="O20" s="169">
        <f t="shared" si="8"/>
        <v>0</v>
      </c>
      <c r="P20" s="170">
        <f t="shared" si="9"/>
        <v>0</v>
      </c>
      <c r="Q20" s="857">
        <f t="shared" si="10"/>
        <v>0</v>
      </c>
      <c r="R20" s="134" t="s">
        <v>2453</v>
      </c>
    </row>
    <row r="21" spans="1:18" ht="32.1" customHeight="1">
      <c r="A21" s="1122"/>
      <c r="B21" s="1119"/>
      <c r="C21" s="31" t="s">
        <v>2368</v>
      </c>
      <c r="D21" s="32" t="s">
        <v>2368</v>
      </c>
      <c r="E21" s="31" t="s">
        <v>2454</v>
      </c>
      <c r="F21" s="24" t="str">
        <f t="shared" si="11"/>
        <v>DW6964</v>
      </c>
      <c r="G21" s="179">
        <f t="shared" si="0"/>
        <v>0</v>
      </c>
      <c r="H21" s="169">
        <f t="shared" si="1"/>
        <v>0</v>
      </c>
      <c r="I21" s="806">
        <f t="shared" si="2"/>
        <v>0</v>
      </c>
      <c r="J21" s="169">
        <f t="shared" si="3"/>
        <v>0</v>
      </c>
      <c r="K21" s="171">
        <f t="shared" si="4"/>
        <v>0</v>
      </c>
      <c r="L21" s="169">
        <f t="shared" si="5"/>
        <v>0</v>
      </c>
      <c r="M21" s="170">
        <f t="shared" si="6"/>
        <v>0</v>
      </c>
      <c r="N21" s="171">
        <f t="shared" si="7"/>
        <v>0</v>
      </c>
      <c r="O21" s="169">
        <f t="shared" si="8"/>
        <v>0</v>
      </c>
      <c r="P21" s="170">
        <f t="shared" si="9"/>
        <v>0</v>
      </c>
      <c r="Q21" s="857">
        <f t="shared" si="10"/>
        <v>0</v>
      </c>
      <c r="R21" s="134" t="s">
        <v>2455</v>
      </c>
    </row>
    <row r="22" spans="1:18" ht="32.1" customHeight="1">
      <c r="A22" s="1122"/>
      <c r="B22" s="1119"/>
      <c r="C22" s="31" t="s">
        <v>2384</v>
      </c>
      <c r="D22" s="32" t="s">
        <v>2384</v>
      </c>
      <c r="E22" s="31" t="s">
        <v>2454</v>
      </c>
      <c r="F22" s="32" t="str">
        <f t="shared" si="11"/>
        <v>DW6964</v>
      </c>
      <c r="G22" s="278">
        <f t="shared" si="0"/>
        <v>0</v>
      </c>
      <c r="H22" s="172">
        <f t="shared" si="1"/>
        <v>0</v>
      </c>
      <c r="I22" s="807">
        <f t="shared" si="2"/>
        <v>0</v>
      </c>
      <c r="J22" s="172">
        <f t="shared" si="3"/>
        <v>0</v>
      </c>
      <c r="K22" s="174">
        <f t="shared" si="4"/>
        <v>0</v>
      </c>
      <c r="L22" s="172">
        <f t="shared" si="5"/>
        <v>0</v>
      </c>
      <c r="M22" s="173">
        <f t="shared" si="6"/>
        <v>0</v>
      </c>
      <c r="N22" s="174">
        <f t="shared" si="7"/>
        <v>0</v>
      </c>
      <c r="O22" s="172">
        <f t="shared" si="8"/>
        <v>0</v>
      </c>
      <c r="P22" s="173">
        <f t="shared" si="9"/>
        <v>0</v>
      </c>
      <c r="Q22" s="857">
        <f t="shared" si="10"/>
        <v>0</v>
      </c>
      <c r="R22" s="134" t="s">
        <v>2455</v>
      </c>
    </row>
    <row r="23" spans="1:18" ht="32.1" customHeight="1">
      <c r="A23" s="1122"/>
      <c r="B23" s="1119"/>
      <c r="C23" s="21" t="s">
        <v>2369</v>
      </c>
      <c r="D23" s="24" t="s">
        <v>2369</v>
      </c>
      <c r="E23" s="21" t="s">
        <v>2456</v>
      </c>
      <c r="F23" s="32" t="str">
        <f t="shared" si="11"/>
        <v>DW6902</v>
      </c>
      <c r="G23" s="278">
        <f t="shared" si="0"/>
        <v>84</v>
      </c>
      <c r="H23" s="172">
        <f t="shared" si="1"/>
        <v>45</v>
      </c>
      <c r="I23" s="807">
        <f t="shared" si="2"/>
        <v>36</v>
      </c>
      <c r="J23" s="172">
        <f t="shared" si="3"/>
        <v>0</v>
      </c>
      <c r="K23" s="174">
        <f t="shared" si="4"/>
        <v>0</v>
      </c>
      <c r="L23" s="172">
        <f t="shared" si="5"/>
        <v>0</v>
      </c>
      <c r="M23" s="173">
        <f t="shared" si="6"/>
        <v>0</v>
      </c>
      <c r="N23" s="174">
        <f t="shared" si="7"/>
        <v>0</v>
      </c>
      <c r="O23" s="172">
        <f t="shared" si="8"/>
        <v>1</v>
      </c>
      <c r="P23" s="173">
        <f t="shared" si="9"/>
        <v>1</v>
      </c>
      <c r="Q23" s="857">
        <f t="shared" si="10"/>
        <v>1</v>
      </c>
      <c r="R23" s="64" t="s">
        <v>2457</v>
      </c>
    </row>
    <row r="24" spans="1:18" ht="32.1" customHeight="1">
      <c r="A24" s="1122"/>
      <c r="B24" s="1119"/>
      <c r="C24" s="21" t="s">
        <v>2385</v>
      </c>
      <c r="D24" s="24" t="s">
        <v>2385</v>
      </c>
      <c r="E24" s="21" t="s">
        <v>2458</v>
      </c>
      <c r="F24" s="32" t="str">
        <f t="shared" si="11"/>
        <v>DW6902</v>
      </c>
      <c r="G24" s="278">
        <f t="shared" si="0"/>
        <v>16</v>
      </c>
      <c r="H24" s="172">
        <f t="shared" si="1"/>
        <v>8</v>
      </c>
      <c r="I24" s="807">
        <f t="shared" si="2"/>
        <v>8</v>
      </c>
      <c r="J24" s="172">
        <f t="shared" si="3"/>
        <v>0</v>
      </c>
      <c r="K24" s="174">
        <f t="shared" si="4"/>
        <v>0</v>
      </c>
      <c r="L24" s="172">
        <f t="shared" si="5"/>
        <v>0</v>
      </c>
      <c r="M24" s="173">
        <f t="shared" si="6"/>
        <v>0</v>
      </c>
      <c r="N24" s="174">
        <f t="shared" si="7"/>
        <v>0</v>
      </c>
      <c r="O24" s="172">
        <f t="shared" si="8"/>
        <v>0</v>
      </c>
      <c r="P24" s="173">
        <f t="shared" si="9"/>
        <v>0</v>
      </c>
      <c r="Q24" s="857">
        <f t="shared" si="10"/>
        <v>0</v>
      </c>
      <c r="R24" s="64" t="s">
        <v>2459</v>
      </c>
    </row>
    <row r="25" spans="1:18" ht="32.1" customHeight="1">
      <c r="A25" s="1122"/>
      <c r="B25" s="1119"/>
      <c r="C25" s="21" t="s">
        <v>2363</v>
      </c>
      <c r="D25" s="24" t="s">
        <v>2363</v>
      </c>
      <c r="E25" s="21" t="s">
        <v>2460</v>
      </c>
      <c r="F25" s="32" t="str">
        <f t="shared" si="11"/>
        <v>DW6915</v>
      </c>
      <c r="G25" s="278">
        <f t="shared" si="0"/>
        <v>72</v>
      </c>
      <c r="H25" s="172">
        <f t="shared" si="1"/>
        <v>27</v>
      </c>
      <c r="I25" s="807">
        <f t="shared" si="2"/>
        <v>13</v>
      </c>
      <c r="J25" s="172">
        <f t="shared" si="3"/>
        <v>0</v>
      </c>
      <c r="K25" s="174">
        <f t="shared" si="4"/>
        <v>13</v>
      </c>
      <c r="L25" s="172">
        <f t="shared" si="5"/>
        <v>1</v>
      </c>
      <c r="M25" s="173">
        <f t="shared" si="6"/>
        <v>2</v>
      </c>
      <c r="N25" s="174">
        <f t="shared" si="7"/>
        <v>0</v>
      </c>
      <c r="O25" s="172">
        <f t="shared" si="8"/>
        <v>4</v>
      </c>
      <c r="P25" s="173">
        <f t="shared" si="9"/>
        <v>6</v>
      </c>
      <c r="Q25" s="857">
        <f t="shared" si="10"/>
        <v>6</v>
      </c>
      <c r="R25" s="64" t="s">
        <v>2461</v>
      </c>
    </row>
    <row r="26" spans="1:18" ht="32.1" customHeight="1">
      <c r="A26" s="1122"/>
      <c r="B26" s="1119"/>
      <c r="C26" s="21" t="s">
        <v>2379</v>
      </c>
      <c r="D26" s="24" t="s">
        <v>2379</v>
      </c>
      <c r="E26" s="21" t="s">
        <v>2462</v>
      </c>
      <c r="F26" s="32" t="str">
        <f t="shared" si="11"/>
        <v>DW6915</v>
      </c>
      <c r="G26" s="278">
        <f t="shared" si="0"/>
        <v>1</v>
      </c>
      <c r="H26" s="172">
        <f t="shared" si="1"/>
        <v>1</v>
      </c>
      <c r="I26" s="807">
        <f t="shared" si="2"/>
        <v>0</v>
      </c>
      <c r="J26" s="172">
        <f t="shared" si="3"/>
        <v>0</v>
      </c>
      <c r="K26" s="174">
        <f t="shared" si="4"/>
        <v>0</v>
      </c>
      <c r="L26" s="172">
        <f t="shared" si="5"/>
        <v>0</v>
      </c>
      <c r="M26" s="173">
        <f t="shared" si="6"/>
        <v>0</v>
      </c>
      <c r="N26" s="174">
        <f t="shared" si="7"/>
        <v>0</v>
      </c>
      <c r="O26" s="172">
        <f t="shared" si="8"/>
        <v>0</v>
      </c>
      <c r="P26" s="173">
        <f t="shared" si="9"/>
        <v>0</v>
      </c>
      <c r="Q26" s="857">
        <f t="shared" si="10"/>
        <v>0</v>
      </c>
      <c r="R26" s="64" t="s">
        <v>2463</v>
      </c>
    </row>
    <row r="27" spans="1:18" ht="32.1" customHeight="1">
      <c r="A27" s="1122"/>
      <c r="B27" s="1119"/>
      <c r="C27" s="21" t="s">
        <v>2370</v>
      </c>
      <c r="D27" s="24" t="s">
        <v>2370</v>
      </c>
      <c r="E27" s="21" t="s">
        <v>2464</v>
      </c>
      <c r="F27" s="32" t="str">
        <f t="shared" si="11"/>
        <v>NEW</v>
      </c>
      <c r="G27" s="278">
        <f t="shared" si="0"/>
        <v>0</v>
      </c>
      <c r="H27" s="172">
        <f t="shared" si="1"/>
        <v>0</v>
      </c>
      <c r="I27" s="807">
        <f t="shared" si="2"/>
        <v>0</v>
      </c>
      <c r="J27" s="172">
        <f t="shared" si="3"/>
        <v>0</v>
      </c>
      <c r="K27" s="174">
        <f t="shared" si="4"/>
        <v>0</v>
      </c>
      <c r="L27" s="172">
        <f t="shared" si="5"/>
        <v>0</v>
      </c>
      <c r="M27" s="173">
        <f t="shared" si="6"/>
        <v>0</v>
      </c>
      <c r="N27" s="174">
        <f t="shared" si="7"/>
        <v>0</v>
      </c>
      <c r="O27" s="172">
        <f t="shared" si="8"/>
        <v>0</v>
      </c>
      <c r="P27" s="173">
        <f t="shared" si="9"/>
        <v>0</v>
      </c>
      <c r="Q27" s="857">
        <f t="shared" si="10"/>
        <v>0</v>
      </c>
      <c r="R27" s="64" t="s">
        <v>2464</v>
      </c>
    </row>
    <row r="28" spans="1:18" ht="32.1" customHeight="1">
      <c r="A28" s="1122"/>
      <c r="B28" s="1119"/>
      <c r="C28" s="21" t="s">
        <v>2386</v>
      </c>
      <c r="D28" s="24" t="s">
        <v>2386</v>
      </c>
      <c r="E28" s="21" t="s">
        <v>2465</v>
      </c>
      <c r="F28" s="32" t="str">
        <f t="shared" si="11"/>
        <v>NEW</v>
      </c>
      <c r="G28" s="278">
        <f t="shared" si="0"/>
        <v>0</v>
      </c>
      <c r="H28" s="172">
        <f t="shared" si="1"/>
        <v>0</v>
      </c>
      <c r="I28" s="807">
        <f t="shared" si="2"/>
        <v>0</v>
      </c>
      <c r="J28" s="172">
        <f t="shared" si="3"/>
        <v>0</v>
      </c>
      <c r="K28" s="174">
        <f t="shared" si="4"/>
        <v>0</v>
      </c>
      <c r="L28" s="172">
        <f t="shared" si="5"/>
        <v>0</v>
      </c>
      <c r="M28" s="173">
        <f t="shared" si="6"/>
        <v>0</v>
      </c>
      <c r="N28" s="174">
        <f t="shared" si="7"/>
        <v>0</v>
      </c>
      <c r="O28" s="172">
        <f t="shared" si="8"/>
        <v>0</v>
      </c>
      <c r="P28" s="173">
        <f t="shared" si="9"/>
        <v>0</v>
      </c>
      <c r="Q28" s="857">
        <f t="shared" si="10"/>
        <v>0</v>
      </c>
      <c r="R28" s="64" t="s">
        <v>2465</v>
      </c>
    </row>
    <row r="29" spans="1:18" ht="32.1" customHeight="1">
      <c r="A29" s="1122"/>
      <c r="B29" s="1119"/>
      <c r="C29" s="31" t="s">
        <v>2371</v>
      </c>
      <c r="D29" s="32" t="s">
        <v>2371</v>
      </c>
      <c r="E29" s="31" t="s">
        <v>2466</v>
      </c>
      <c r="F29" s="32" t="str">
        <f t="shared" si="11"/>
        <v>DW6905</v>
      </c>
      <c r="G29" s="278">
        <f t="shared" si="0"/>
        <v>0</v>
      </c>
      <c r="H29" s="172">
        <f t="shared" si="1"/>
        <v>0</v>
      </c>
      <c r="I29" s="807">
        <f t="shared" si="2"/>
        <v>0</v>
      </c>
      <c r="J29" s="172">
        <f t="shared" si="3"/>
        <v>0</v>
      </c>
      <c r="K29" s="174">
        <f t="shared" si="4"/>
        <v>0</v>
      </c>
      <c r="L29" s="172">
        <f t="shared" si="5"/>
        <v>0</v>
      </c>
      <c r="M29" s="173">
        <f t="shared" si="6"/>
        <v>0</v>
      </c>
      <c r="N29" s="174">
        <f t="shared" si="7"/>
        <v>0</v>
      </c>
      <c r="O29" s="172">
        <f t="shared" si="8"/>
        <v>0</v>
      </c>
      <c r="P29" s="173">
        <f t="shared" si="9"/>
        <v>0</v>
      </c>
      <c r="Q29" s="857">
        <f t="shared" si="10"/>
        <v>0</v>
      </c>
      <c r="R29" s="134" t="s">
        <v>2467</v>
      </c>
    </row>
    <row r="30" spans="1:18" ht="32.1" customHeight="1">
      <c r="A30" s="1122"/>
      <c r="B30" s="1119"/>
      <c r="C30" s="31" t="s">
        <v>2387</v>
      </c>
      <c r="D30" s="32" t="s">
        <v>2387</v>
      </c>
      <c r="E30" s="31" t="s">
        <v>2468</v>
      </c>
      <c r="F30" s="32" t="str">
        <f t="shared" si="11"/>
        <v>DW6905</v>
      </c>
      <c r="G30" s="278">
        <f t="shared" si="0"/>
        <v>0</v>
      </c>
      <c r="H30" s="172">
        <f t="shared" si="1"/>
        <v>0</v>
      </c>
      <c r="I30" s="807">
        <f t="shared" si="2"/>
        <v>0</v>
      </c>
      <c r="J30" s="172">
        <f t="shared" si="3"/>
        <v>0</v>
      </c>
      <c r="K30" s="174">
        <f t="shared" si="4"/>
        <v>0</v>
      </c>
      <c r="L30" s="172">
        <f t="shared" si="5"/>
        <v>0</v>
      </c>
      <c r="M30" s="173">
        <f t="shared" si="6"/>
        <v>0</v>
      </c>
      <c r="N30" s="174">
        <f t="shared" si="7"/>
        <v>0</v>
      </c>
      <c r="O30" s="172">
        <f t="shared" si="8"/>
        <v>0</v>
      </c>
      <c r="P30" s="173">
        <f t="shared" si="9"/>
        <v>0</v>
      </c>
      <c r="Q30" s="857">
        <f t="shared" si="10"/>
        <v>0</v>
      </c>
      <c r="R30" s="134" t="s">
        <v>2469</v>
      </c>
    </row>
    <row r="31" spans="1:18" ht="32.1" customHeight="1">
      <c r="A31" s="1122"/>
      <c r="B31" s="1119"/>
      <c r="C31" s="31" t="s">
        <v>2372</v>
      </c>
      <c r="D31" s="32" t="s">
        <v>2372</v>
      </c>
      <c r="E31" s="31" t="s">
        <v>2470</v>
      </c>
      <c r="F31" s="32" t="str">
        <f t="shared" si="11"/>
        <v>DW6906</v>
      </c>
      <c r="G31" s="278">
        <f t="shared" si="0"/>
        <v>0</v>
      </c>
      <c r="H31" s="172">
        <f t="shared" si="1"/>
        <v>0</v>
      </c>
      <c r="I31" s="807">
        <f t="shared" si="2"/>
        <v>0</v>
      </c>
      <c r="J31" s="172">
        <f t="shared" si="3"/>
        <v>0</v>
      </c>
      <c r="K31" s="174">
        <f t="shared" si="4"/>
        <v>0</v>
      </c>
      <c r="L31" s="172">
        <f t="shared" si="5"/>
        <v>0</v>
      </c>
      <c r="M31" s="173">
        <f t="shared" si="6"/>
        <v>0</v>
      </c>
      <c r="N31" s="174">
        <f t="shared" si="7"/>
        <v>0</v>
      </c>
      <c r="O31" s="172">
        <f t="shared" si="8"/>
        <v>0</v>
      </c>
      <c r="P31" s="173">
        <f t="shared" si="9"/>
        <v>0</v>
      </c>
      <c r="Q31" s="857">
        <f t="shared" si="10"/>
        <v>0</v>
      </c>
      <c r="R31" s="134" t="s">
        <v>2471</v>
      </c>
    </row>
    <row r="32" spans="1:18" ht="32.1" customHeight="1">
      <c r="A32" s="1122"/>
      <c r="B32" s="1120"/>
      <c r="C32" s="22" t="s">
        <v>2388</v>
      </c>
      <c r="D32" s="25" t="s">
        <v>2388</v>
      </c>
      <c r="E32" s="22" t="s">
        <v>2472</v>
      </c>
      <c r="F32" s="25" t="str">
        <f t="shared" si="11"/>
        <v>DW6906</v>
      </c>
      <c r="G32" s="180">
        <f t="shared" si="0"/>
        <v>0</v>
      </c>
      <c r="H32" s="175">
        <f t="shared" si="1"/>
        <v>0</v>
      </c>
      <c r="I32" s="808">
        <f t="shared" si="2"/>
        <v>0</v>
      </c>
      <c r="J32" s="175">
        <f t="shared" si="3"/>
        <v>0</v>
      </c>
      <c r="K32" s="177">
        <f t="shared" si="4"/>
        <v>0</v>
      </c>
      <c r="L32" s="175">
        <f t="shared" si="5"/>
        <v>0</v>
      </c>
      <c r="M32" s="176">
        <f t="shared" si="6"/>
        <v>0</v>
      </c>
      <c r="N32" s="177">
        <f t="shared" si="7"/>
        <v>0</v>
      </c>
      <c r="O32" s="175">
        <f t="shared" si="8"/>
        <v>0</v>
      </c>
      <c r="P32" s="176">
        <f t="shared" si="9"/>
        <v>0</v>
      </c>
      <c r="Q32" s="858">
        <f t="shared" si="10"/>
        <v>0</v>
      </c>
      <c r="R32" s="157" t="s">
        <v>2473</v>
      </c>
    </row>
    <row r="33" spans="1:18" s="131" customFormat="1" ht="32.1" customHeight="1">
      <c r="A33" s="1122"/>
      <c r="B33" s="1118" t="s">
        <v>2474</v>
      </c>
      <c r="C33" s="30" t="s">
        <v>2286</v>
      </c>
      <c r="D33" s="33" t="s">
        <v>643</v>
      </c>
      <c r="E33" s="30" t="s">
        <v>2420</v>
      </c>
      <c r="F33" s="33" t="str">
        <f>VLOOKUP(C33,Foundation_Calc!$W$4:$AE$37,9,FALSE)</f>
        <v>DW6901</v>
      </c>
      <c r="G33" s="279">
        <f t="shared" si="0"/>
        <v>0</v>
      </c>
      <c r="H33" s="181">
        <f t="shared" si="1"/>
        <v>0</v>
      </c>
      <c r="I33" s="809">
        <f t="shared" si="2"/>
        <v>0</v>
      </c>
      <c r="J33" s="181">
        <f t="shared" si="3"/>
        <v>0</v>
      </c>
      <c r="K33" s="183">
        <f t="shared" si="4"/>
        <v>0</v>
      </c>
      <c r="L33" s="181">
        <f t="shared" si="5"/>
        <v>0</v>
      </c>
      <c r="M33" s="182">
        <f t="shared" si="6"/>
        <v>0</v>
      </c>
      <c r="N33" s="183">
        <f t="shared" si="7"/>
        <v>0</v>
      </c>
      <c r="O33" s="181">
        <f t="shared" si="8"/>
        <v>0</v>
      </c>
      <c r="P33" s="182">
        <f t="shared" si="9"/>
        <v>0</v>
      </c>
      <c r="Q33" s="855">
        <f t="shared" si="10"/>
        <v>0</v>
      </c>
      <c r="R33" s="832" t="s">
        <v>2475</v>
      </c>
    </row>
    <row r="34" spans="1:18" ht="32.1" customHeight="1">
      <c r="A34" s="1122"/>
      <c r="B34" s="1119"/>
      <c r="C34" s="21" t="s">
        <v>2476</v>
      </c>
      <c r="D34" s="24" t="s">
        <v>2375</v>
      </c>
      <c r="E34" s="21" t="s">
        <v>2422</v>
      </c>
      <c r="F34" s="24" t="str">
        <f>F33</f>
        <v>DW6901</v>
      </c>
      <c r="G34" s="179">
        <f t="shared" si="0"/>
        <v>0</v>
      </c>
      <c r="H34" s="169">
        <f t="shared" si="1"/>
        <v>0</v>
      </c>
      <c r="I34" s="806">
        <f t="shared" si="2"/>
        <v>0</v>
      </c>
      <c r="J34" s="169">
        <f t="shared" si="3"/>
        <v>0</v>
      </c>
      <c r="K34" s="171">
        <f t="shared" si="4"/>
        <v>0</v>
      </c>
      <c r="L34" s="169">
        <f t="shared" si="5"/>
        <v>0</v>
      </c>
      <c r="M34" s="170">
        <f t="shared" si="6"/>
        <v>0</v>
      </c>
      <c r="N34" s="171">
        <f t="shared" si="7"/>
        <v>0</v>
      </c>
      <c r="O34" s="169">
        <f t="shared" si="8"/>
        <v>0</v>
      </c>
      <c r="P34" s="170">
        <f t="shared" si="9"/>
        <v>0</v>
      </c>
      <c r="Q34" s="856">
        <f t="shared" si="10"/>
        <v>0</v>
      </c>
      <c r="R34" s="64" t="s">
        <v>2477</v>
      </c>
    </row>
    <row r="35" spans="1:18" ht="32.1" customHeight="1">
      <c r="A35" s="1122"/>
      <c r="B35" s="1119"/>
      <c r="C35" s="21" t="s">
        <v>2292</v>
      </c>
      <c r="D35" s="24" t="s">
        <v>646</v>
      </c>
      <c r="E35" s="21" t="s">
        <v>2424</v>
      </c>
      <c r="F35" s="24" t="str">
        <f>VLOOKUP(C35,Foundation_Calc!$W$4:$AE$37,9,FALSE)</f>
        <v>DW6901</v>
      </c>
      <c r="G35" s="179">
        <f t="shared" ref="G35:G66" si="12">SUM(H35:Q35)</f>
        <v>0</v>
      </c>
      <c r="H35" s="169">
        <f t="shared" si="1"/>
        <v>0</v>
      </c>
      <c r="I35" s="806">
        <f t="shared" si="2"/>
        <v>0</v>
      </c>
      <c r="J35" s="169">
        <f t="shared" si="3"/>
        <v>0</v>
      </c>
      <c r="K35" s="171">
        <f t="shared" si="4"/>
        <v>0</v>
      </c>
      <c r="L35" s="169">
        <f t="shared" ref="L35:L63" si="13">COUNTIF(Area_v3BIN,$C35)</f>
        <v>0</v>
      </c>
      <c r="M35" s="170">
        <f t="shared" si="6"/>
        <v>0</v>
      </c>
      <c r="N35" s="171">
        <f t="shared" si="7"/>
        <v>0</v>
      </c>
      <c r="O35" s="169">
        <f t="shared" ref="O35:O63" si="14">COUNTIF(Area_v3HAD,$C35)</f>
        <v>0</v>
      </c>
      <c r="P35" s="170">
        <f t="shared" ref="P35:P63" si="15">COUNTIF(Area_v3KFA,$C35)</f>
        <v>0</v>
      </c>
      <c r="Q35" s="856">
        <f t="shared" ref="Q35:Q63" si="16">COUNTIF(Area_v4KFA,$C35)</f>
        <v>0</v>
      </c>
      <c r="R35" s="64" t="s">
        <v>2478</v>
      </c>
    </row>
    <row r="36" spans="1:18" ht="32.1" customHeight="1">
      <c r="A36" s="1122"/>
      <c r="B36" s="1119"/>
      <c r="C36" s="21" t="s">
        <v>2346</v>
      </c>
      <c r="D36" s="24" t="s">
        <v>2376</v>
      </c>
      <c r="E36" s="21" t="s">
        <v>2426</v>
      </c>
      <c r="F36" s="24" t="str">
        <f t="shared" ref="F36" si="17">F35</f>
        <v>DW6901</v>
      </c>
      <c r="G36" s="179">
        <f t="shared" si="12"/>
        <v>0</v>
      </c>
      <c r="H36" s="169">
        <f t="shared" si="1"/>
        <v>0</v>
      </c>
      <c r="I36" s="806">
        <f t="shared" si="2"/>
        <v>0</v>
      </c>
      <c r="J36" s="169">
        <f t="shared" si="3"/>
        <v>0</v>
      </c>
      <c r="K36" s="171">
        <f t="shared" si="4"/>
        <v>0</v>
      </c>
      <c r="L36" s="169">
        <f t="shared" si="13"/>
        <v>0</v>
      </c>
      <c r="M36" s="170">
        <f t="shared" si="6"/>
        <v>0</v>
      </c>
      <c r="N36" s="171">
        <f t="shared" si="7"/>
        <v>0</v>
      </c>
      <c r="O36" s="169">
        <f t="shared" si="14"/>
        <v>0</v>
      </c>
      <c r="P36" s="170">
        <f t="shared" si="15"/>
        <v>0</v>
      </c>
      <c r="Q36" s="856">
        <f t="shared" si="16"/>
        <v>0</v>
      </c>
      <c r="R36" s="64" t="s">
        <v>2479</v>
      </c>
    </row>
    <row r="37" spans="1:18" ht="32.1" customHeight="1">
      <c r="A37" s="1122"/>
      <c r="B37" s="1119"/>
      <c r="C37" s="21" t="s">
        <v>2295</v>
      </c>
      <c r="D37" s="24" t="s">
        <v>2313</v>
      </c>
      <c r="E37" s="21" t="s">
        <v>2428</v>
      </c>
      <c r="F37" s="24" t="str">
        <f>VLOOKUP(C37,Foundation_Calc!$W$4:$AE$37,9,FALSE)</f>
        <v>DW6901</v>
      </c>
      <c r="G37" s="179">
        <f t="shared" si="12"/>
        <v>0</v>
      </c>
      <c r="H37" s="169">
        <f t="shared" si="1"/>
        <v>0</v>
      </c>
      <c r="I37" s="806">
        <f t="shared" si="2"/>
        <v>0</v>
      </c>
      <c r="J37" s="169">
        <f t="shared" si="3"/>
        <v>0</v>
      </c>
      <c r="K37" s="171">
        <f t="shared" si="4"/>
        <v>0</v>
      </c>
      <c r="L37" s="169">
        <f t="shared" si="13"/>
        <v>0</v>
      </c>
      <c r="M37" s="170">
        <f t="shared" si="6"/>
        <v>0</v>
      </c>
      <c r="N37" s="171">
        <f t="shared" si="7"/>
        <v>0</v>
      </c>
      <c r="O37" s="169">
        <f t="shared" si="14"/>
        <v>0</v>
      </c>
      <c r="P37" s="170">
        <f t="shared" si="15"/>
        <v>0</v>
      </c>
      <c r="Q37" s="856">
        <f t="shared" si="16"/>
        <v>0</v>
      </c>
      <c r="R37" s="64" t="s">
        <v>2480</v>
      </c>
    </row>
    <row r="38" spans="1:18" ht="32.1" customHeight="1">
      <c r="A38" s="1122"/>
      <c r="B38" s="1119"/>
      <c r="C38" s="21" t="s">
        <v>2347</v>
      </c>
      <c r="D38" s="24" t="s">
        <v>2352</v>
      </c>
      <c r="E38" s="21" t="s">
        <v>2430</v>
      </c>
      <c r="F38" s="24" t="str">
        <f t="shared" ref="F38" si="18">F37</f>
        <v>DW6901</v>
      </c>
      <c r="G38" s="179">
        <f t="shared" si="12"/>
        <v>0</v>
      </c>
      <c r="H38" s="169">
        <f t="shared" si="1"/>
        <v>0</v>
      </c>
      <c r="I38" s="806">
        <f t="shared" si="2"/>
        <v>0</v>
      </c>
      <c r="J38" s="169">
        <f t="shared" si="3"/>
        <v>0</v>
      </c>
      <c r="K38" s="171">
        <f t="shared" si="4"/>
        <v>0</v>
      </c>
      <c r="L38" s="169">
        <f t="shared" si="13"/>
        <v>0</v>
      </c>
      <c r="M38" s="170">
        <f t="shared" si="6"/>
        <v>0</v>
      </c>
      <c r="N38" s="171">
        <f t="shared" si="7"/>
        <v>0</v>
      </c>
      <c r="O38" s="169">
        <f t="shared" si="14"/>
        <v>0</v>
      </c>
      <c r="P38" s="170">
        <f t="shared" si="15"/>
        <v>0</v>
      </c>
      <c r="Q38" s="856">
        <f t="shared" si="16"/>
        <v>0</v>
      </c>
      <c r="R38" s="64" t="s">
        <v>2481</v>
      </c>
    </row>
    <row r="39" spans="1:18" ht="32.1" customHeight="1">
      <c r="A39" s="1122"/>
      <c r="B39" s="1119"/>
      <c r="C39" s="21" t="s">
        <v>2298</v>
      </c>
      <c r="D39" s="24" t="s">
        <v>2362</v>
      </c>
      <c r="E39" s="21" t="s">
        <v>2432</v>
      </c>
      <c r="F39" s="24" t="str">
        <f>VLOOKUP(C39,Foundation_Calc!$W$4:$AE$37,9,FALSE)</f>
        <v>DW6901</v>
      </c>
      <c r="G39" s="179">
        <f t="shared" si="12"/>
        <v>0</v>
      </c>
      <c r="H39" s="169">
        <f t="shared" si="1"/>
        <v>0</v>
      </c>
      <c r="I39" s="806">
        <f t="shared" si="2"/>
        <v>0</v>
      </c>
      <c r="J39" s="169">
        <f t="shared" si="3"/>
        <v>0</v>
      </c>
      <c r="K39" s="171">
        <f t="shared" si="4"/>
        <v>0</v>
      </c>
      <c r="L39" s="169">
        <f t="shared" si="13"/>
        <v>0</v>
      </c>
      <c r="M39" s="170">
        <f t="shared" si="6"/>
        <v>0</v>
      </c>
      <c r="N39" s="171">
        <f t="shared" si="7"/>
        <v>0</v>
      </c>
      <c r="O39" s="169">
        <f t="shared" si="14"/>
        <v>0</v>
      </c>
      <c r="P39" s="170">
        <f t="shared" si="15"/>
        <v>0</v>
      </c>
      <c r="Q39" s="856">
        <f t="shared" si="16"/>
        <v>0</v>
      </c>
      <c r="R39" s="64" t="s">
        <v>2482</v>
      </c>
    </row>
    <row r="40" spans="1:18" ht="32.1" customHeight="1">
      <c r="A40" s="1122"/>
      <c r="B40" s="1119"/>
      <c r="C40" s="21" t="s">
        <v>2348</v>
      </c>
      <c r="D40" s="24" t="s">
        <v>2377</v>
      </c>
      <c r="E40" s="21" t="s">
        <v>2434</v>
      </c>
      <c r="F40" s="24" t="str">
        <f t="shared" ref="F40" si="19">F39</f>
        <v>DW6901</v>
      </c>
      <c r="G40" s="179">
        <f t="shared" si="12"/>
        <v>0</v>
      </c>
      <c r="H40" s="169">
        <f t="shared" si="1"/>
        <v>0</v>
      </c>
      <c r="I40" s="806">
        <f t="shared" si="2"/>
        <v>0</v>
      </c>
      <c r="J40" s="169">
        <f t="shared" si="3"/>
        <v>0</v>
      </c>
      <c r="K40" s="171">
        <f t="shared" si="4"/>
        <v>0</v>
      </c>
      <c r="L40" s="169">
        <f t="shared" si="13"/>
        <v>0</v>
      </c>
      <c r="M40" s="170">
        <f t="shared" si="6"/>
        <v>0</v>
      </c>
      <c r="N40" s="171">
        <f t="shared" si="7"/>
        <v>0</v>
      </c>
      <c r="O40" s="169">
        <f t="shared" si="14"/>
        <v>0</v>
      </c>
      <c r="P40" s="170">
        <f t="shared" si="15"/>
        <v>0</v>
      </c>
      <c r="Q40" s="856">
        <f t="shared" si="16"/>
        <v>0</v>
      </c>
      <c r="R40" s="64" t="s">
        <v>2483</v>
      </c>
    </row>
    <row r="41" spans="1:18" ht="32.1" customHeight="1">
      <c r="A41" s="1122"/>
      <c r="B41" s="1119"/>
      <c r="C41" s="21" t="s">
        <v>2307</v>
      </c>
      <c r="D41" s="24" t="s">
        <v>2364</v>
      </c>
      <c r="E41" s="21" t="s">
        <v>2436</v>
      </c>
      <c r="F41" s="24" t="str">
        <f>VLOOKUP(C41,Foundation_Calc!$W$4:$AE$37,9,FALSE)</f>
        <v>DW6910</v>
      </c>
      <c r="G41" s="179">
        <f t="shared" si="12"/>
        <v>0</v>
      </c>
      <c r="H41" s="169">
        <f t="shared" si="1"/>
        <v>0</v>
      </c>
      <c r="I41" s="806">
        <f t="shared" si="2"/>
        <v>0</v>
      </c>
      <c r="J41" s="169">
        <f t="shared" si="3"/>
        <v>0</v>
      </c>
      <c r="K41" s="171">
        <f t="shared" si="4"/>
        <v>0</v>
      </c>
      <c r="L41" s="169">
        <f t="shared" si="13"/>
        <v>0</v>
      </c>
      <c r="M41" s="170">
        <f t="shared" si="6"/>
        <v>0</v>
      </c>
      <c r="N41" s="171">
        <f t="shared" si="7"/>
        <v>0</v>
      </c>
      <c r="O41" s="169">
        <f t="shared" si="14"/>
        <v>0</v>
      </c>
      <c r="P41" s="170">
        <f t="shared" si="15"/>
        <v>0</v>
      </c>
      <c r="Q41" s="856">
        <f t="shared" si="16"/>
        <v>0</v>
      </c>
      <c r="R41" s="64" t="s">
        <v>2484</v>
      </c>
    </row>
    <row r="42" spans="1:18" ht="32.1" customHeight="1">
      <c r="A42" s="1122"/>
      <c r="B42" s="1119"/>
      <c r="C42" s="21" t="s">
        <v>2351</v>
      </c>
      <c r="D42" s="24" t="s">
        <v>2380</v>
      </c>
      <c r="E42" s="21" t="s">
        <v>2438</v>
      </c>
      <c r="F42" s="24" t="str">
        <f t="shared" ref="F42" si="20">F41</f>
        <v>DW6910</v>
      </c>
      <c r="G42" s="179">
        <f t="shared" si="12"/>
        <v>0</v>
      </c>
      <c r="H42" s="169">
        <f t="shared" si="1"/>
        <v>0</v>
      </c>
      <c r="I42" s="806">
        <f t="shared" si="2"/>
        <v>0</v>
      </c>
      <c r="J42" s="169">
        <f t="shared" si="3"/>
        <v>0</v>
      </c>
      <c r="K42" s="171">
        <f t="shared" si="4"/>
        <v>0</v>
      </c>
      <c r="L42" s="169">
        <f t="shared" si="13"/>
        <v>0</v>
      </c>
      <c r="M42" s="170">
        <f t="shared" si="6"/>
        <v>0</v>
      </c>
      <c r="N42" s="171">
        <f t="shared" si="7"/>
        <v>0</v>
      </c>
      <c r="O42" s="169">
        <f t="shared" si="14"/>
        <v>0</v>
      </c>
      <c r="P42" s="170">
        <f t="shared" si="15"/>
        <v>0</v>
      </c>
      <c r="Q42" s="856">
        <f t="shared" si="16"/>
        <v>0</v>
      </c>
      <c r="R42" s="64" t="s">
        <v>2485</v>
      </c>
    </row>
    <row r="43" spans="1:18" ht="32.1" customHeight="1">
      <c r="A43" s="1122"/>
      <c r="B43" s="1119"/>
      <c r="C43" s="21" t="s">
        <v>2300</v>
      </c>
      <c r="D43" s="24" t="s">
        <v>929</v>
      </c>
      <c r="E43" s="21" t="s">
        <v>2440</v>
      </c>
      <c r="F43" s="24" t="str">
        <f>VLOOKUP(C43,Foundation_Calc!$W$4:$AE$37,9,FALSE)</f>
        <v>DW6912</v>
      </c>
      <c r="G43" s="179">
        <f t="shared" si="12"/>
        <v>0</v>
      </c>
      <c r="H43" s="169">
        <f t="shared" si="1"/>
        <v>0</v>
      </c>
      <c r="I43" s="806">
        <f t="shared" si="2"/>
        <v>0</v>
      </c>
      <c r="J43" s="169">
        <f t="shared" si="3"/>
        <v>0</v>
      </c>
      <c r="K43" s="171">
        <f t="shared" si="4"/>
        <v>0</v>
      </c>
      <c r="L43" s="169">
        <f t="shared" si="13"/>
        <v>0</v>
      </c>
      <c r="M43" s="170">
        <f t="shared" si="6"/>
        <v>0</v>
      </c>
      <c r="N43" s="171">
        <f t="shared" si="7"/>
        <v>0</v>
      </c>
      <c r="O43" s="169">
        <f t="shared" si="14"/>
        <v>0</v>
      </c>
      <c r="P43" s="170">
        <f t="shared" si="15"/>
        <v>0</v>
      </c>
      <c r="Q43" s="856">
        <f t="shared" si="16"/>
        <v>0</v>
      </c>
      <c r="R43" s="64" t="s">
        <v>2486</v>
      </c>
    </row>
    <row r="44" spans="1:18" ht="32.1" customHeight="1">
      <c r="A44" s="1122"/>
      <c r="B44" s="1119"/>
      <c r="C44" s="21" t="s">
        <v>2349</v>
      </c>
      <c r="D44" s="24" t="s">
        <v>2378</v>
      </c>
      <c r="E44" s="21" t="s">
        <v>2442</v>
      </c>
      <c r="F44" s="24" t="str">
        <f t="shared" ref="F44" si="21">F43</f>
        <v>DW6912</v>
      </c>
      <c r="G44" s="179">
        <f t="shared" si="12"/>
        <v>0</v>
      </c>
      <c r="H44" s="169">
        <f t="shared" si="1"/>
        <v>0</v>
      </c>
      <c r="I44" s="806">
        <f t="shared" si="2"/>
        <v>0</v>
      </c>
      <c r="J44" s="169">
        <f t="shared" si="3"/>
        <v>0</v>
      </c>
      <c r="K44" s="171">
        <f t="shared" si="4"/>
        <v>0</v>
      </c>
      <c r="L44" s="169">
        <f t="shared" si="13"/>
        <v>0</v>
      </c>
      <c r="M44" s="170">
        <f t="shared" si="6"/>
        <v>0</v>
      </c>
      <c r="N44" s="171">
        <f t="shared" si="7"/>
        <v>0</v>
      </c>
      <c r="O44" s="169">
        <f t="shared" si="14"/>
        <v>0</v>
      </c>
      <c r="P44" s="170">
        <f t="shared" si="15"/>
        <v>0</v>
      </c>
      <c r="Q44" s="856">
        <f t="shared" si="16"/>
        <v>0</v>
      </c>
      <c r="R44" s="64" t="s">
        <v>2487</v>
      </c>
    </row>
    <row r="45" spans="1:18" ht="32.1" customHeight="1">
      <c r="A45" s="1122"/>
      <c r="B45" s="1119"/>
      <c r="C45" s="31" t="s">
        <v>2317</v>
      </c>
      <c r="D45" s="32" t="s">
        <v>2365</v>
      </c>
      <c r="E45" s="31" t="s">
        <v>2444</v>
      </c>
      <c r="F45" s="24" t="str">
        <f>VLOOKUP(C45,Foundation_Calc!$W$4:$AE$37,9,FALSE)</f>
        <v>DW6965</v>
      </c>
      <c r="G45" s="179">
        <f t="shared" si="12"/>
        <v>0</v>
      </c>
      <c r="H45" s="169">
        <f t="shared" si="1"/>
        <v>0</v>
      </c>
      <c r="I45" s="806">
        <f t="shared" si="2"/>
        <v>0</v>
      </c>
      <c r="J45" s="169">
        <f t="shared" si="3"/>
        <v>0</v>
      </c>
      <c r="K45" s="171">
        <f t="shared" si="4"/>
        <v>0</v>
      </c>
      <c r="L45" s="169">
        <f t="shared" si="13"/>
        <v>0</v>
      </c>
      <c r="M45" s="170">
        <f t="shared" si="6"/>
        <v>0</v>
      </c>
      <c r="N45" s="171">
        <f t="shared" si="7"/>
        <v>0</v>
      </c>
      <c r="O45" s="169">
        <f t="shared" si="14"/>
        <v>0</v>
      </c>
      <c r="P45" s="170">
        <f t="shared" si="15"/>
        <v>0</v>
      </c>
      <c r="Q45" s="857">
        <f t="shared" si="16"/>
        <v>0</v>
      </c>
      <c r="R45" s="134" t="s">
        <v>2488</v>
      </c>
    </row>
    <row r="46" spans="1:18" ht="32.1" customHeight="1">
      <c r="A46" s="1122"/>
      <c r="B46" s="1119"/>
      <c r="C46" s="31" t="s">
        <v>2353</v>
      </c>
      <c r="D46" s="32" t="s">
        <v>2381</v>
      </c>
      <c r="E46" s="31" t="s">
        <v>2446</v>
      </c>
      <c r="F46" s="24" t="str">
        <f t="shared" ref="F46" si="22">F45</f>
        <v>DW6965</v>
      </c>
      <c r="G46" s="179">
        <f t="shared" si="12"/>
        <v>0</v>
      </c>
      <c r="H46" s="169">
        <f t="shared" si="1"/>
        <v>0</v>
      </c>
      <c r="I46" s="806">
        <f t="shared" si="2"/>
        <v>0</v>
      </c>
      <c r="J46" s="169">
        <f t="shared" si="3"/>
        <v>0</v>
      </c>
      <c r="K46" s="171">
        <f t="shared" si="4"/>
        <v>0</v>
      </c>
      <c r="L46" s="169">
        <f t="shared" si="13"/>
        <v>0</v>
      </c>
      <c r="M46" s="170">
        <f t="shared" si="6"/>
        <v>0</v>
      </c>
      <c r="N46" s="171">
        <f t="shared" si="7"/>
        <v>0</v>
      </c>
      <c r="O46" s="169">
        <f t="shared" si="14"/>
        <v>0</v>
      </c>
      <c r="P46" s="170">
        <f t="shared" si="15"/>
        <v>0</v>
      </c>
      <c r="Q46" s="857">
        <f t="shared" si="16"/>
        <v>0</v>
      </c>
      <c r="R46" s="134" t="s">
        <v>2489</v>
      </c>
    </row>
    <row r="47" spans="1:18" ht="32.1" customHeight="1">
      <c r="A47" s="1122"/>
      <c r="B47" s="1119"/>
      <c r="C47" s="31" t="s">
        <v>2319</v>
      </c>
      <c r="D47" s="32" t="s">
        <v>2366</v>
      </c>
      <c r="E47" s="31" t="s">
        <v>2448</v>
      </c>
      <c r="F47" s="24" t="str">
        <f>VLOOKUP(C47,Foundation_Calc!$W$4:$AE$37,9,FALSE)</f>
        <v>DW6929</v>
      </c>
      <c r="G47" s="179">
        <f t="shared" si="12"/>
        <v>0</v>
      </c>
      <c r="H47" s="169">
        <f t="shared" si="1"/>
        <v>0</v>
      </c>
      <c r="I47" s="806">
        <f t="shared" si="2"/>
        <v>0</v>
      </c>
      <c r="J47" s="169">
        <f t="shared" si="3"/>
        <v>0</v>
      </c>
      <c r="K47" s="171">
        <f t="shared" si="4"/>
        <v>0</v>
      </c>
      <c r="L47" s="169">
        <f t="shared" si="13"/>
        <v>0</v>
      </c>
      <c r="M47" s="170">
        <f t="shared" si="6"/>
        <v>0</v>
      </c>
      <c r="N47" s="171">
        <f t="shared" si="7"/>
        <v>0</v>
      </c>
      <c r="O47" s="169">
        <f t="shared" si="14"/>
        <v>0</v>
      </c>
      <c r="P47" s="170">
        <f t="shared" si="15"/>
        <v>0</v>
      </c>
      <c r="Q47" s="857">
        <f t="shared" si="16"/>
        <v>0</v>
      </c>
      <c r="R47" s="134" t="s">
        <v>2490</v>
      </c>
    </row>
    <row r="48" spans="1:18" ht="32.1" customHeight="1">
      <c r="A48" s="1122"/>
      <c r="B48" s="1119"/>
      <c r="C48" s="31" t="s">
        <v>2354</v>
      </c>
      <c r="D48" s="32" t="s">
        <v>2382</v>
      </c>
      <c r="E48" s="31" t="s">
        <v>2450</v>
      </c>
      <c r="F48" s="24" t="str">
        <f t="shared" ref="F48" si="23">F47</f>
        <v>DW6929</v>
      </c>
      <c r="G48" s="179">
        <f t="shared" si="12"/>
        <v>0</v>
      </c>
      <c r="H48" s="169">
        <f t="shared" si="1"/>
        <v>0</v>
      </c>
      <c r="I48" s="806">
        <f t="shared" si="2"/>
        <v>0</v>
      </c>
      <c r="J48" s="169">
        <f t="shared" si="3"/>
        <v>0</v>
      </c>
      <c r="K48" s="171">
        <f t="shared" si="4"/>
        <v>0</v>
      </c>
      <c r="L48" s="169">
        <f t="shared" si="13"/>
        <v>0</v>
      </c>
      <c r="M48" s="170">
        <f t="shared" si="6"/>
        <v>0</v>
      </c>
      <c r="N48" s="171">
        <f t="shared" si="7"/>
        <v>0</v>
      </c>
      <c r="O48" s="169">
        <f t="shared" si="14"/>
        <v>0</v>
      </c>
      <c r="P48" s="170">
        <f t="shared" si="15"/>
        <v>0</v>
      </c>
      <c r="Q48" s="857">
        <f t="shared" si="16"/>
        <v>0</v>
      </c>
      <c r="R48" s="134" t="s">
        <v>2491</v>
      </c>
    </row>
    <row r="49" spans="1:18" ht="32.1" customHeight="1">
      <c r="A49" s="1122"/>
      <c r="B49" s="1119"/>
      <c r="C49" s="31" t="s">
        <v>2322</v>
      </c>
      <c r="D49" s="32" t="s">
        <v>2367</v>
      </c>
      <c r="E49" s="31" t="s">
        <v>2452</v>
      </c>
      <c r="F49" s="24" t="str">
        <f>VLOOKUP(C49,Foundation_Calc!$W$4:$AE$37,9,FALSE)</f>
        <v>DW6963</v>
      </c>
      <c r="G49" s="179">
        <f t="shared" si="12"/>
        <v>0</v>
      </c>
      <c r="H49" s="169">
        <f t="shared" si="1"/>
        <v>0</v>
      </c>
      <c r="I49" s="806">
        <f t="shared" si="2"/>
        <v>0</v>
      </c>
      <c r="J49" s="169">
        <f t="shared" si="3"/>
        <v>0</v>
      </c>
      <c r="K49" s="171">
        <f t="shared" si="4"/>
        <v>0</v>
      </c>
      <c r="L49" s="169">
        <f t="shared" si="13"/>
        <v>0</v>
      </c>
      <c r="M49" s="170">
        <f t="shared" si="6"/>
        <v>0</v>
      </c>
      <c r="N49" s="171">
        <f t="shared" si="7"/>
        <v>0</v>
      </c>
      <c r="O49" s="169">
        <f t="shared" si="14"/>
        <v>0</v>
      </c>
      <c r="P49" s="170">
        <f t="shared" si="15"/>
        <v>0</v>
      </c>
      <c r="Q49" s="857">
        <f t="shared" si="16"/>
        <v>0</v>
      </c>
      <c r="R49" s="134" t="s">
        <v>2492</v>
      </c>
    </row>
    <row r="50" spans="1:18" ht="32.1" customHeight="1">
      <c r="A50" s="1122"/>
      <c r="B50" s="1119"/>
      <c r="C50" s="31" t="s">
        <v>2355</v>
      </c>
      <c r="D50" s="32" t="s">
        <v>2383</v>
      </c>
      <c r="E50" s="31" t="s">
        <v>2452</v>
      </c>
      <c r="F50" s="24" t="str">
        <f t="shared" ref="F50" si="24">F49</f>
        <v>DW6963</v>
      </c>
      <c r="G50" s="179">
        <f t="shared" si="12"/>
        <v>0</v>
      </c>
      <c r="H50" s="169">
        <f t="shared" si="1"/>
        <v>0</v>
      </c>
      <c r="I50" s="806">
        <f t="shared" si="2"/>
        <v>0</v>
      </c>
      <c r="J50" s="169">
        <f t="shared" si="3"/>
        <v>0</v>
      </c>
      <c r="K50" s="171">
        <f t="shared" si="4"/>
        <v>0</v>
      </c>
      <c r="L50" s="169">
        <f t="shared" si="13"/>
        <v>0</v>
      </c>
      <c r="M50" s="170">
        <f t="shared" si="6"/>
        <v>0</v>
      </c>
      <c r="N50" s="171">
        <f t="shared" si="7"/>
        <v>0</v>
      </c>
      <c r="O50" s="169">
        <f t="shared" si="14"/>
        <v>0</v>
      </c>
      <c r="P50" s="170">
        <f t="shared" si="15"/>
        <v>0</v>
      </c>
      <c r="Q50" s="857">
        <f t="shared" si="16"/>
        <v>0</v>
      </c>
      <c r="R50" s="134" t="s">
        <v>2492</v>
      </c>
    </row>
    <row r="51" spans="1:18" ht="32.1" customHeight="1">
      <c r="A51" s="1122"/>
      <c r="B51" s="1119"/>
      <c r="C51" s="31" t="s">
        <v>2325</v>
      </c>
      <c r="D51" s="32" t="s">
        <v>2368</v>
      </c>
      <c r="E51" s="31" t="s">
        <v>2454</v>
      </c>
      <c r="F51" s="24" t="str">
        <f>VLOOKUP(C51,Foundation_Calc!$W$4:$AE$37,9,FALSE)</f>
        <v>DW6964</v>
      </c>
      <c r="G51" s="179">
        <f t="shared" si="12"/>
        <v>0</v>
      </c>
      <c r="H51" s="169">
        <f t="shared" si="1"/>
        <v>0</v>
      </c>
      <c r="I51" s="806">
        <f t="shared" si="2"/>
        <v>0</v>
      </c>
      <c r="J51" s="169">
        <f t="shared" si="3"/>
        <v>0</v>
      </c>
      <c r="K51" s="171">
        <f t="shared" si="4"/>
        <v>0</v>
      </c>
      <c r="L51" s="169">
        <f t="shared" si="13"/>
        <v>0</v>
      </c>
      <c r="M51" s="170">
        <f t="shared" si="6"/>
        <v>0</v>
      </c>
      <c r="N51" s="171">
        <f t="shared" si="7"/>
        <v>0</v>
      </c>
      <c r="O51" s="169">
        <f t="shared" si="14"/>
        <v>0</v>
      </c>
      <c r="P51" s="170">
        <f t="shared" si="15"/>
        <v>0</v>
      </c>
      <c r="Q51" s="857">
        <f t="shared" si="16"/>
        <v>0</v>
      </c>
      <c r="R51" s="134" t="s">
        <v>2493</v>
      </c>
    </row>
    <row r="52" spans="1:18" ht="32.1" customHeight="1">
      <c r="A52" s="1122"/>
      <c r="B52" s="1119"/>
      <c r="C52" s="31" t="s">
        <v>2356</v>
      </c>
      <c r="D52" s="32" t="s">
        <v>2384</v>
      </c>
      <c r="E52" s="31" t="s">
        <v>2454</v>
      </c>
      <c r="F52" s="32" t="str">
        <f t="shared" ref="F52" si="25">F51</f>
        <v>DW6964</v>
      </c>
      <c r="G52" s="278">
        <f t="shared" si="12"/>
        <v>0</v>
      </c>
      <c r="H52" s="172">
        <f t="shared" si="1"/>
        <v>0</v>
      </c>
      <c r="I52" s="807">
        <f t="shared" si="2"/>
        <v>0</v>
      </c>
      <c r="J52" s="172">
        <f t="shared" si="3"/>
        <v>0</v>
      </c>
      <c r="K52" s="174">
        <f t="shared" si="4"/>
        <v>0</v>
      </c>
      <c r="L52" s="172">
        <f t="shared" si="13"/>
        <v>0</v>
      </c>
      <c r="M52" s="173">
        <f t="shared" si="6"/>
        <v>0</v>
      </c>
      <c r="N52" s="174">
        <f t="shared" si="7"/>
        <v>0</v>
      </c>
      <c r="O52" s="172">
        <f t="shared" si="14"/>
        <v>0</v>
      </c>
      <c r="P52" s="173">
        <f t="shared" si="15"/>
        <v>0</v>
      </c>
      <c r="Q52" s="857">
        <f t="shared" si="16"/>
        <v>0</v>
      </c>
      <c r="R52" s="134" t="s">
        <v>2493</v>
      </c>
    </row>
    <row r="53" spans="1:18" ht="32.1" customHeight="1">
      <c r="A53" s="1122"/>
      <c r="B53" s="1119"/>
      <c r="C53" s="21" t="s">
        <v>2328</v>
      </c>
      <c r="D53" s="24" t="s">
        <v>2369</v>
      </c>
      <c r="E53" s="21" t="s">
        <v>2456</v>
      </c>
      <c r="F53" s="32" t="str">
        <f>VLOOKUP(C53,Foundation_Calc!$W$4:$AE$37,9,FALSE)</f>
        <v>DW6902</v>
      </c>
      <c r="G53" s="278">
        <f t="shared" si="12"/>
        <v>0</v>
      </c>
      <c r="H53" s="172">
        <f t="shared" si="1"/>
        <v>0</v>
      </c>
      <c r="I53" s="807">
        <f t="shared" si="2"/>
        <v>0</v>
      </c>
      <c r="J53" s="172">
        <f t="shared" si="3"/>
        <v>0</v>
      </c>
      <c r="K53" s="174">
        <f t="shared" si="4"/>
        <v>0</v>
      </c>
      <c r="L53" s="172">
        <f t="shared" si="13"/>
        <v>0</v>
      </c>
      <c r="M53" s="173">
        <f t="shared" si="6"/>
        <v>0</v>
      </c>
      <c r="N53" s="174">
        <f t="shared" si="7"/>
        <v>0</v>
      </c>
      <c r="O53" s="172">
        <f t="shared" si="14"/>
        <v>0</v>
      </c>
      <c r="P53" s="173">
        <f t="shared" si="15"/>
        <v>0</v>
      </c>
      <c r="Q53" s="857">
        <f t="shared" si="16"/>
        <v>0</v>
      </c>
      <c r="R53" s="64" t="s">
        <v>2494</v>
      </c>
    </row>
    <row r="54" spans="1:18" ht="32.1" customHeight="1">
      <c r="A54" s="1122"/>
      <c r="B54" s="1119"/>
      <c r="C54" s="21" t="s">
        <v>2357</v>
      </c>
      <c r="D54" s="24" t="s">
        <v>2385</v>
      </c>
      <c r="E54" s="21" t="s">
        <v>2458</v>
      </c>
      <c r="F54" s="32" t="str">
        <f t="shared" ref="F54" si="26">F53</f>
        <v>DW6902</v>
      </c>
      <c r="G54" s="278">
        <f t="shared" si="12"/>
        <v>0</v>
      </c>
      <c r="H54" s="172">
        <f t="shared" si="1"/>
        <v>0</v>
      </c>
      <c r="I54" s="807">
        <f t="shared" si="2"/>
        <v>0</v>
      </c>
      <c r="J54" s="172">
        <f t="shared" si="3"/>
        <v>0</v>
      </c>
      <c r="K54" s="174">
        <f t="shared" si="4"/>
        <v>0</v>
      </c>
      <c r="L54" s="172">
        <f t="shared" si="13"/>
        <v>0</v>
      </c>
      <c r="M54" s="173">
        <f t="shared" si="6"/>
        <v>0</v>
      </c>
      <c r="N54" s="174">
        <f t="shared" si="7"/>
        <v>0</v>
      </c>
      <c r="O54" s="172">
        <f t="shared" si="14"/>
        <v>0</v>
      </c>
      <c r="P54" s="173">
        <f t="shared" si="15"/>
        <v>0</v>
      </c>
      <c r="Q54" s="857">
        <f t="shared" si="16"/>
        <v>0</v>
      </c>
      <c r="R54" s="64" t="s">
        <v>2495</v>
      </c>
    </row>
    <row r="55" spans="1:18" ht="32.1" customHeight="1">
      <c r="A55" s="1122"/>
      <c r="B55" s="1119"/>
      <c r="C55" s="21" t="s">
        <v>2304</v>
      </c>
      <c r="D55" s="24" t="s">
        <v>2363</v>
      </c>
      <c r="E55" s="21" t="s">
        <v>2460</v>
      </c>
      <c r="F55" s="32" t="str">
        <f>VLOOKUP(C55,Foundation_Calc!$W$4:$AE$37,9,FALSE)</f>
        <v>DW6915</v>
      </c>
      <c r="G55" s="278">
        <f t="shared" si="12"/>
        <v>0</v>
      </c>
      <c r="H55" s="172">
        <f t="shared" si="1"/>
        <v>0</v>
      </c>
      <c r="I55" s="807">
        <f t="shared" si="2"/>
        <v>0</v>
      </c>
      <c r="J55" s="172">
        <f t="shared" si="3"/>
        <v>0</v>
      </c>
      <c r="K55" s="174">
        <f t="shared" si="4"/>
        <v>0</v>
      </c>
      <c r="L55" s="172">
        <f t="shared" si="13"/>
        <v>0</v>
      </c>
      <c r="M55" s="173">
        <f t="shared" si="6"/>
        <v>0</v>
      </c>
      <c r="N55" s="174">
        <f t="shared" si="7"/>
        <v>0</v>
      </c>
      <c r="O55" s="172">
        <f t="shared" si="14"/>
        <v>0</v>
      </c>
      <c r="P55" s="173">
        <f t="shared" si="15"/>
        <v>0</v>
      </c>
      <c r="Q55" s="857">
        <f t="shared" si="16"/>
        <v>0</v>
      </c>
      <c r="R55" s="64" t="s">
        <v>2496</v>
      </c>
    </row>
    <row r="56" spans="1:18" ht="32.1" customHeight="1">
      <c r="A56" s="1122"/>
      <c r="B56" s="1119"/>
      <c r="C56" s="21" t="s">
        <v>2350</v>
      </c>
      <c r="D56" s="24" t="s">
        <v>2379</v>
      </c>
      <c r="E56" s="21" t="s">
        <v>2462</v>
      </c>
      <c r="F56" s="32" t="str">
        <f t="shared" ref="F56" si="27">F55</f>
        <v>DW6915</v>
      </c>
      <c r="G56" s="278">
        <f t="shared" si="12"/>
        <v>0</v>
      </c>
      <c r="H56" s="172">
        <f t="shared" si="1"/>
        <v>0</v>
      </c>
      <c r="I56" s="807">
        <f t="shared" si="2"/>
        <v>0</v>
      </c>
      <c r="J56" s="172">
        <f t="shared" si="3"/>
        <v>0</v>
      </c>
      <c r="K56" s="174">
        <f t="shared" si="4"/>
        <v>0</v>
      </c>
      <c r="L56" s="172">
        <f t="shared" si="13"/>
        <v>0</v>
      </c>
      <c r="M56" s="173">
        <f t="shared" si="6"/>
        <v>0</v>
      </c>
      <c r="N56" s="174">
        <f t="shared" si="7"/>
        <v>0</v>
      </c>
      <c r="O56" s="172">
        <f t="shared" si="14"/>
        <v>0</v>
      </c>
      <c r="P56" s="173">
        <f t="shared" si="15"/>
        <v>0</v>
      </c>
      <c r="Q56" s="857">
        <f t="shared" si="16"/>
        <v>0</v>
      </c>
      <c r="R56" s="64" t="s">
        <v>2497</v>
      </c>
    </row>
    <row r="57" spans="1:18" ht="32.1" customHeight="1">
      <c r="A57" s="1122"/>
      <c r="B57" s="1119"/>
      <c r="C57" s="21" t="s">
        <v>2334</v>
      </c>
      <c r="D57" s="24" t="s">
        <v>2370</v>
      </c>
      <c r="E57" s="21" t="s">
        <v>2464</v>
      </c>
      <c r="F57" s="32" t="str">
        <f>VLOOKUP(C57,Foundation_Calc!$W$4:$AE$37,9,FALSE)</f>
        <v>NEW</v>
      </c>
      <c r="G57" s="278">
        <f t="shared" si="12"/>
        <v>0</v>
      </c>
      <c r="H57" s="172">
        <f t="shared" si="1"/>
        <v>0</v>
      </c>
      <c r="I57" s="807">
        <f t="shared" si="2"/>
        <v>0</v>
      </c>
      <c r="J57" s="172">
        <f t="shared" si="3"/>
        <v>0</v>
      </c>
      <c r="K57" s="174">
        <f t="shared" si="4"/>
        <v>0</v>
      </c>
      <c r="L57" s="172">
        <f t="shared" si="13"/>
        <v>0</v>
      </c>
      <c r="M57" s="173">
        <f t="shared" si="6"/>
        <v>0</v>
      </c>
      <c r="N57" s="174">
        <f t="shared" si="7"/>
        <v>0</v>
      </c>
      <c r="O57" s="172">
        <f t="shared" si="14"/>
        <v>0</v>
      </c>
      <c r="P57" s="173">
        <f t="shared" si="15"/>
        <v>0</v>
      </c>
      <c r="Q57" s="857">
        <f t="shared" si="16"/>
        <v>0</v>
      </c>
      <c r="R57" s="64" t="s">
        <v>2498</v>
      </c>
    </row>
    <row r="58" spans="1:18" ht="32.1" customHeight="1">
      <c r="A58" s="1122"/>
      <c r="B58" s="1119"/>
      <c r="C58" s="21" t="s">
        <v>2358</v>
      </c>
      <c r="D58" s="24" t="s">
        <v>2386</v>
      </c>
      <c r="E58" s="21" t="s">
        <v>2465</v>
      </c>
      <c r="F58" s="32" t="str">
        <f t="shared" ref="F58" si="28">F57</f>
        <v>NEW</v>
      </c>
      <c r="G58" s="278">
        <f t="shared" si="12"/>
        <v>0</v>
      </c>
      <c r="H58" s="172">
        <f t="shared" si="1"/>
        <v>0</v>
      </c>
      <c r="I58" s="807">
        <f t="shared" si="2"/>
        <v>0</v>
      </c>
      <c r="J58" s="172">
        <f t="shared" si="3"/>
        <v>0</v>
      </c>
      <c r="K58" s="174">
        <f t="shared" si="4"/>
        <v>0</v>
      </c>
      <c r="L58" s="172">
        <f t="shared" si="13"/>
        <v>0</v>
      </c>
      <c r="M58" s="173">
        <f t="shared" si="6"/>
        <v>0</v>
      </c>
      <c r="N58" s="174">
        <f t="shared" si="7"/>
        <v>0</v>
      </c>
      <c r="O58" s="172">
        <f t="shared" si="14"/>
        <v>0</v>
      </c>
      <c r="P58" s="173">
        <f t="shared" si="15"/>
        <v>0</v>
      </c>
      <c r="Q58" s="857">
        <f t="shared" si="16"/>
        <v>0</v>
      </c>
      <c r="R58" s="64" t="s">
        <v>2499</v>
      </c>
    </row>
    <row r="59" spans="1:18" ht="32.1" customHeight="1">
      <c r="A59" s="1122"/>
      <c r="B59" s="1119"/>
      <c r="C59" s="31" t="s">
        <v>2336</v>
      </c>
      <c r="D59" s="32" t="s">
        <v>2371</v>
      </c>
      <c r="E59" s="31" t="s">
        <v>2466</v>
      </c>
      <c r="F59" s="32" t="str">
        <f>VLOOKUP(C59,Foundation_Calc!$W$4:$AE$37,9,FALSE)</f>
        <v>DW6905</v>
      </c>
      <c r="G59" s="278">
        <f t="shared" si="12"/>
        <v>0</v>
      </c>
      <c r="H59" s="172">
        <f t="shared" si="1"/>
        <v>0</v>
      </c>
      <c r="I59" s="807">
        <f t="shared" si="2"/>
        <v>0</v>
      </c>
      <c r="J59" s="172">
        <f t="shared" si="3"/>
        <v>0</v>
      </c>
      <c r="K59" s="174">
        <f t="shared" si="4"/>
        <v>0</v>
      </c>
      <c r="L59" s="172">
        <f t="shared" si="13"/>
        <v>0</v>
      </c>
      <c r="M59" s="173">
        <f t="shared" si="6"/>
        <v>0</v>
      </c>
      <c r="N59" s="174">
        <f t="shared" si="7"/>
        <v>0</v>
      </c>
      <c r="O59" s="172">
        <f t="shared" si="14"/>
        <v>0</v>
      </c>
      <c r="P59" s="173">
        <f t="shared" si="15"/>
        <v>0</v>
      </c>
      <c r="Q59" s="857">
        <f t="shared" si="16"/>
        <v>0</v>
      </c>
      <c r="R59" s="134" t="s">
        <v>2500</v>
      </c>
    </row>
    <row r="60" spans="1:18" ht="32.1" customHeight="1">
      <c r="A60" s="1122"/>
      <c r="B60" s="1119"/>
      <c r="C60" s="31" t="s">
        <v>2359</v>
      </c>
      <c r="D60" s="32" t="s">
        <v>2387</v>
      </c>
      <c r="E60" s="31" t="s">
        <v>2468</v>
      </c>
      <c r="F60" s="32" t="str">
        <f t="shared" ref="F60" si="29">F59</f>
        <v>DW6905</v>
      </c>
      <c r="G60" s="278">
        <f t="shared" si="12"/>
        <v>0</v>
      </c>
      <c r="H60" s="172">
        <f t="shared" si="1"/>
        <v>0</v>
      </c>
      <c r="I60" s="807">
        <f t="shared" si="2"/>
        <v>0</v>
      </c>
      <c r="J60" s="172">
        <f t="shared" si="3"/>
        <v>0</v>
      </c>
      <c r="K60" s="174">
        <f t="shared" si="4"/>
        <v>0</v>
      </c>
      <c r="L60" s="172">
        <f t="shared" si="13"/>
        <v>0</v>
      </c>
      <c r="M60" s="173">
        <f t="shared" si="6"/>
        <v>0</v>
      </c>
      <c r="N60" s="174">
        <f t="shared" si="7"/>
        <v>0</v>
      </c>
      <c r="O60" s="172">
        <f t="shared" si="14"/>
        <v>0</v>
      </c>
      <c r="P60" s="173">
        <f t="shared" si="15"/>
        <v>0</v>
      </c>
      <c r="Q60" s="857">
        <f t="shared" si="16"/>
        <v>0</v>
      </c>
      <c r="R60" s="134" t="s">
        <v>2501</v>
      </c>
    </row>
    <row r="61" spans="1:18" ht="32.1" customHeight="1">
      <c r="A61" s="1122"/>
      <c r="B61" s="1119"/>
      <c r="C61" s="31" t="s">
        <v>2340</v>
      </c>
      <c r="D61" s="32" t="s">
        <v>2372</v>
      </c>
      <c r="E61" s="31" t="s">
        <v>2470</v>
      </c>
      <c r="F61" s="32" t="str">
        <f>VLOOKUP(C61,Foundation_Calc!$W$4:$AE$37,9,FALSE)</f>
        <v>DW6906</v>
      </c>
      <c r="G61" s="278">
        <f t="shared" si="12"/>
        <v>0</v>
      </c>
      <c r="H61" s="172">
        <f t="shared" si="1"/>
        <v>0</v>
      </c>
      <c r="I61" s="807">
        <f t="shared" si="2"/>
        <v>0</v>
      </c>
      <c r="J61" s="172">
        <f t="shared" si="3"/>
        <v>0</v>
      </c>
      <c r="K61" s="174">
        <f t="shared" si="4"/>
        <v>0</v>
      </c>
      <c r="L61" s="172">
        <f t="shared" si="13"/>
        <v>0</v>
      </c>
      <c r="M61" s="173">
        <f t="shared" si="6"/>
        <v>0</v>
      </c>
      <c r="N61" s="174">
        <f t="shared" si="7"/>
        <v>0</v>
      </c>
      <c r="O61" s="172">
        <f t="shared" si="14"/>
        <v>0</v>
      </c>
      <c r="P61" s="173">
        <f t="shared" si="15"/>
        <v>0</v>
      </c>
      <c r="Q61" s="857">
        <f t="shared" si="16"/>
        <v>0</v>
      </c>
      <c r="R61" s="134" t="s">
        <v>2502</v>
      </c>
    </row>
    <row r="62" spans="1:18" ht="32.1" customHeight="1">
      <c r="A62" s="1122"/>
      <c r="B62" s="1119"/>
      <c r="C62" s="31" t="s">
        <v>2360</v>
      </c>
      <c r="D62" s="32" t="s">
        <v>2388</v>
      </c>
      <c r="E62" s="31" t="s">
        <v>2472</v>
      </c>
      <c r="F62" s="32" t="str">
        <f t="shared" ref="F62" si="30">F61</f>
        <v>DW6906</v>
      </c>
      <c r="G62" s="278">
        <f t="shared" si="12"/>
        <v>0</v>
      </c>
      <c r="H62" s="172">
        <f t="shared" si="1"/>
        <v>0</v>
      </c>
      <c r="I62" s="807">
        <f t="shared" si="2"/>
        <v>0</v>
      </c>
      <c r="J62" s="172">
        <f t="shared" si="3"/>
        <v>0</v>
      </c>
      <c r="K62" s="174">
        <f t="shared" si="4"/>
        <v>0</v>
      </c>
      <c r="L62" s="172">
        <f t="shared" si="13"/>
        <v>0</v>
      </c>
      <c r="M62" s="173">
        <f t="shared" si="6"/>
        <v>0</v>
      </c>
      <c r="N62" s="174">
        <f t="shared" si="7"/>
        <v>0</v>
      </c>
      <c r="O62" s="172">
        <f t="shared" si="14"/>
        <v>0</v>
      </c>
      <c r="P62" s="173">
        <f t="shared" si="15"/>
        <v>0</v>
      </c>
      <c r="Q62" s="857">
        <f t="shared" si="16"/>
        <v>0</v>
      </c>
      <c r="R62" s="134" t="s">
        <v>2503</v>
      </c>
    </row>
    <row r="63" spans="1:18" ht="32.1" customHeight="1">
      <c r="A63" s="1123"/>
      <c r="B63" s="1182"/>
      <c r="C63" s="22" t="s">
        <v>2504</v>
      </c>
      <c r="D63" s="25" t="s">
        <v>2504</v>
      </c>
      <c r="E63" s="22" t="s">
        <v>2505</v>
      </c>
      <c r="F63" s="25"/>
      <c r="G63" s="180">
        <f t="shared" si="12"/>
        <v>0</v>
      </c>
      <c r="H63" s="175">
        <f t="shared" si="1"/>
        <v>0</v>
      </c>
      <c r="I63" s="808">
        <f t="shared" si="2"/>
        <v>0</v>
      </c>
      <c r="J63" s="175">
        <f t="shared" si="3"/>
        <v>0</v>
      </c>
      <c r="K63" s="177">
        <f t="shared" si="4"/>
        <v>0</v>
      </c>
      <c r="L63" s="175">
        <f t="shared" si="13"/>
        <v>0</v>
      </c>
      <c r="M63" s="176">
        <f t="shared" si="6"/>
        <v>0</v>
      </c>
      <c r="N63" s="177">
        <f t="shared" si="7"/>
        <v>0</v>
      </c>
      <c r="O63" s="175">
        <f t="shared" si="14"/>
        <v>0</v>
      </c>
      <c r="P63" s="176">
        <f t="shared" si="15"/>
        <v>0</v>
      </c>
      <c r="Q63" s="858">
        <f t="shared" si="16"/>
        <v>0</v>
      </c>
      <c r="R63" s="157" t="s">
        <v>2506</v>
      </c>
    </row>
    <row r="64" spans="1:18" ht="32.1" customHeight="1">
      <c r="A64" s="1121" t="s">
        <v>2507</v>
      </c>
      <c r="B64" s="1138"/>
      <c r="C64" s="132" t="s">
        <v>117</v>
      </c>
      <c r="D64" s="23" t="s">
        <v>2508</v>
      </c>
      <c r="E64" s="20" t="s">
        <v>2509</v>
      </c>
      <c r="F64" s="23" t="str">
        <f>VLOOKUP(C64,Foundation_Calc!$W$4:$AE$37,9,FALSE)</f>
        <v>DW6903</v>
      </c>
      <c r="G64" s="178">
        <f t="shared" si="12"/>
        <v>154</v>
      </c>
      <c r="H64" s="166">
        <f>COUNTIF(Area_v1_AncFound,$C64)</f>
        <v>73</v>
      </c>
      <c r="I64" s="805">
        <f>COUNTIF(Area_v2_AncFound,$C64)</f>
        <v>59</v>
      </c>
      <c r="J64" s="166">
        <f>COUNTIF(Area_v3ZIC_AncFound,$C64)</f>
        <v>4</v>
      </c>
      <c r="K64" s="168">
        <f>COUNTIF(Area_v4ZIC_AncFound,$C64)</f>
        <v>2</v>
      </c>
      <c r="L64" s="166">
        <f>COUNTIF(Area_v3BIN_AncFound,$C64)</f>
        <v>4</v>
      </c>
      <c r="M64" s="167">
        <f>COUNTIF(Area_v4BIN_AncFound,$C64)</f>
        <v>3</v>
      </c>
      <c r="N64" s="168">
        <f>COUNTIF(Area_v5BIN_AncFound,$C64)</f>
        <v>1</v>
      </c>
      <c r="O64" s="166">
        <f>COUNTIF(Area_v3HAD_AncFound,$C64)</f>
        <v>3</v>
      </c>
      <c r="P64" s="167">
        <f>COUNTIF(Area_v3KFA_AncFound,$C64)</f>
        <v>2</v>
      </c>
      <c r="Q64" s="859">
        <f>COUNTIF(Area_v4KFA_AncFound,$C64)</f>
        <v>3</v>
      </c>
      <c r="R64" s="132" t="s">
        <v>2510</v>
      </c>
    </row>
    <row r="65" spans="1:18" ht="32.1" customHeight="1">
      <c r="A65" s="1122"/>
      <c r="B65" s="1141"/>
      <c r="C65" s="64" t="s">
        <v>315</v>
      </c>
      <c r="D65" s="24" t="s">
        <v>2508</v>
      </c>
      <c r="E65" s="21" t="s">
        <v>2511</v>
      </c>
      <c r="F65" s="24" t="str">
        <f t="shared" ref="F65:F67" si="31">F64</f>
        <v>DW6903</v>
      </c>
      <c r="G65" s="179">
        <f t="shared" si="12"/>
        <v>27</v>
      </c>
      <c r="H65" s="169">
        <f>COUNTIF(Area_v1_AncFound,$C65)</f>
        <v>12</v>
      </c>
      <c r="I65" s="806">
        <f>COUNTIF(Area_v2_AncFound,$C65)</f>
        <v>15</v>
      </c>
      <c r="J65" s="169">
        <f>COUNTIF(Area_v3ZIC_AncFound,$C65)</f>
        <v>0</v>
      </c>
      <c r="K65" s="171">
        <f>COUNTIF(Area_v4ZIC_AncFound,$C65)</f>
        <v>0</v>
      </c>
      <c r="L65" s="169">
        <f>COUNTIF(Area_v3BIN_AncFound,$C65)</f>
        <v>0</v>
      </c>
      <c r="M65" s="170">
        <f>COUNTIF(Area_v4BIN_AncFound,$C65)</f>
        <v>0</v>
      </c>
      <c r="N65" s="171">
        <f>COUNTIF(Area_v5BIN_AncFound,$C65)</f>
        <v>0</v>
      </c>
      <c r="O65" s="169">
        <f>COUNTIF(Area_v3HAD_AncFound,$C65)</f>
        <v>0</v>
      </c>
      <c r="P65" s="170">
        <f>COUNTIF(Area_v3KFA_AncFound,$C65)</f>
        <v>0</v>
      </c>
      <c r="Q65" s="856">
        <f>COUNTIF(Area_v4KFA_AncFound,$C65)</f>
        <v>0</v>
      </c>
      <c r="R65" s="64" t="s">
        <v>2512</v>
      </c>
    </row>
    <row r="66" spans="1:18" ht="32.1" customHeight="1">
      <c r="A66" s="1122"/>
      <c r="B66" s="1141"/>
      <c r="C66" s="64" t="s">
        <v>166</v>
      </c>
      <c r="D66" s="24" t="s">
        <v>2513</v>
      </c>
      <c r="E66" s="21" t="s">
        <v>2514</v>
      </c>
      <c r="F66" s="24" t="str">
        <f>VLOOKUP(C66,Foundation_Calc!$W$4:$AE$37,9,FALSE)</f>
        <v>DW6903</v>
      </c>
      <c r="G66" s="179">
        <f t="shared" si="12"/>
        <v>148</v>
      </c>
      <c r="H66" s="169">
        <f>COUNTIF(Area_v1_AncFound,$C66)</f>
        <v>70</v>
      </c>
      <c r="I66" s="806">
        <f>COUNTIF(Area_v2_AncFound,$C66)</f>
        <v>58</v>
      </c>
      <c r="J66" s="169">
        <f>COUNTIF(Area_v3ZIC_AncFound,$C66)</f>
        <v>0</v>
      </c>
      <c r="K66" s="171">
        <f>COUNTIF(Area_v4ZIC_AncFound,$C66)</f>
        <v>0</v>
      </c>
      <c r="L66" s="169">
        <f>COUNTIF(Area_v3BIN_AncFound,$C66)</f>
        <v>0</v>
      </c>
      <c r="M66" s="170">
        <f>COUNTIF(Area_v4BIN_AncFound,$C66)</f>
        <v>0</v>
      </c>
      <c r="N66" s="171">
        <f>COUNTIF(Area_v5BIN_AncFound,$C66)</f>
        <v>2</v>
      </c>
      <c r="O66" s="169">
        <f>COUNTIF(Area_v3HAD_AncFound,$C66)</f>
        <v>4</v>
      </c>
      <c r="P66" s="170">
        <f>COUNTIF(Area_v3KFA_AncFound,$C66)</f>
        <v>9</v>
      </c>
      <c r="Q66" s="856">
        <f>COUNTIF(Area_v4KFA_AncFound,$C66)</f>
        <v>5</v>
      </c>
      <c r="R66" s="64" t="s">
        <v>2515</v>
      </c>
    </row>
    <row r="67" spans="1:18" ht="32.1" customHeight="1">
      <c r="A67" s="1123"/>
      <c r="B67" s="1183"/>
      <c r="C67" s="157" t="s">
        <v>324</v>
      </c>
      <c r="D67" s="25" t="s">
        <v>2513</v>
      </c>
      <c r="E67" s="22" t="s">
        <v>2516</v>
      </c>
      <c r="F67" s="25" t="str">
        <f t="shared" si="31"/>
        <v>DW6903</v>
      </c>
      <c r="G67" s="180">
        <f t="shared" ref="G67:G98" si="32">SUM(H67:Q67)</f>
        <v>29</v>
      </c>
      <c r="H67" s="175">
        <f>COUNTIF(Area_v1_AncFound,$C67)</f>
        <v>11</v>
      </c>
      <c r="I67" s="808">
        <f>COUNTIF(Area_v2_AncFound,$C67)</f>
        <v>18</v>
      </c>
      <c r="J67" s="175">
        <f>COUNTIF(Area_v3ZIC_AncFound,$C67)</f>
        <v>0</v>
      </c>
      <c r="K67" s="177">
        <f>COUNTIF(Area_v4ZIC_AncFound,$C67)</f>
        <v>0</v>
      </c>
      <c r="L67" s="175">
        <f>COUNTIF(Area_v3BIN_AncFound,$C67)</f>
        <v>0</v>
      </c>
      <c r="M67" s="176">
        <f>COUNTIF(Area_v4BIN_AncFound,$C67)</f>
        <v>0</v>
      </c>
      <c r="N67" s="177">
        <f>COUNTIF(Area_v5BIN_AncFound,$C67)</f>
        <v>0</v>
      </c>
      <c r="O67" s="175">
        <f>COUNTIF(Area_v3HAD_AncFound,$C67)</f>
        <v>0</v>
      </c>
      <c r="P67" s="176">
        <f>COUNTIF(Area_v3KFA_AncFound,$C67)</f>
        <v>0</v>
      </c>
      <c r="Q67" s="858">
        <f>COUNTIF(Area_v4KFA_AncFound,$C67)</f>
        <v>0</v>
      </c>
      <c r="R67" s="157" t="s">
        <v>2517</v>
      </c>
    </row>
    <row r="68" spans="1:18" ht="32.1" customHeight="1">
      <c r="A68" s="1125" t="s">
        <v>2518</v>
      </c>
      <c r="B68" s="160"/>
      <c r="C68" s="30" t="s">
        <v>417</v>
      </c>
      <c r="D68" s="33" t="s">
        <v>417</v>
      </c>
      <c r="E68" s="30" t="s">
        <v>2519</v>
      </c>
      <c r="F68" s="33"/>
      <c r="G68" s="279">
        <f t="shared" si="32"/>
        <v>9</v>
      </c>
      <c r="H68" s="181">
        <f t="shared" ref="H68:H154" si="33">COUNTIF(Area_v1,$C68)</f>
        <v>5</v>
      </c>
      <c r="I68" s="809">
        <f t="shared" ref="I68:I154" si="34">COUNTIF(Area_v2,$C68)</f>
        <v>4</v>
      </c>
      <c r="J68" s="181">
        <f t="shared" ref="J68:J154" si="35">COUNTIF(Area_v3ZIC,$C68)</f>
        <v>0</v>
      </c>
      <c r="K68" s="183">
        <f t="shared" ref="K68:K154" si="36">COUNTIF(Area_v4ZIC,$C68)</f>
        <v>0</v>
      </c>
      <c r="L68" s="181">
        <f t="shared" ref="L68:L97" si="37">COUNTIF(Area_v3BIN,$C68)</f>
        <v>0</v>
      </c>
      <c r="M68" s="182">
        <f t="shared" ref="M68:M154" si="38">COUNTIF(Area_v4BIN,$C68)</f>
        <v>0</v>
      </c>
      <c r="N68" s="183">
        <f t="shared" ref="N68:N154" si="39">COUNTIF(Area_v5BIN,$C68)</f>
        <v>0</v>
      </c>
      <c r="O68" s="181">
        <f t="shared" ref="O68:O97" si="40">COUNTIF(Area_v3HAD,$C68)</f>
        <v>0</v>
      </c>
      <c r="P68" s="182">
        <f t="shared" ref="P68:P97" si="41">COUNTIF(Area_v3KFA,$C68)</f>
        <v>0</v>
      </c>
      <c r="Q68" s="855">
        <f t="shared" ref="Q68:Q97" si="42">COUNTIF(Area_v4KFA,$C68)</f>
        <v>0</v>
      </c>
      <c r="R68" s="832" t="s">
        <v>2520</v>
      </c>
    </row>
    <row r="69" spans="1:18" ht="32.1" customHeight="1">
      <c r="A69" s="1126"/>
      <c r="B69" s="160"/>
      <c r="C69" s="21" t="s">
        <v>2521</v>
      </c>
      <c r="D69" s="24" t="s">
        <v>2521</v>
      </c>
      <c r="E69" s="21" t="s">
        <v>2522</v>
      </c>
      <c r="F69" s="24"/>
      <c r="G69" s="179">
        <f t="shared" si="32"/>
        <v>0</v>
      </c>
      <c r="H69" s="169">
        <f t="shared" si="33"/>
        <v>0</v>
      </c>
      <c r="I69" s="806">
        <f t="shared" si="34"/>
        <v>0</v>
      </c>
      <c r="J69" s="169">
        <f t="shared" si="35"/>
        <v>0</v>
      </c>
      <c r="K69" s="171">
        <f t="shared" si="36"/>
        <v>0</v>
      </c>
      <c r="L69" s="169">
        <f t="shared" si="37"/>
        <v>0</v>
      </c>
      <c r="M69" s="170">
        <f t="shared" si="38"/>
        <v>0</v>
      </c>
      <c r="N69" s="171">
        <f t="shared" si="39"/>
        <v>0</v>
      </c>
      <c r="O69" s="169">
        <f t="shared" si="40"/>
        <v>0</v>
      </c>
      <c r="P69" s="170">
        <f t="shared" si="41"/>
        <v>0</v>
      </c>
      <c r="Q69" s="856">
        <f t="shared" si="42"/>
        <v>0</v>
      </c>
      <c r="R69" s="64" t="s">
        <v>2523</v>
      </c>
    </row>
    <row r="70" spans="1:18" ht="32.1" customHeight="1">
      <c r="A70" s="1126"/>
      <c r="B70" s="160"/>
      <c r="C70" s="21" t="s">
        <v>396</v>
      </c>
      <c r="D70" s="24" t="s">
        <v>396</v>
      </c>
      <c r="E70" s="21" t="s">
        <v>2524</v>
      </c>
      <c r="F70" s="24"/>
      <c r="G70" s="179">
        <f t="shared" si="32"/>
        <v>26</v>
      </c>
      <c r="H70" s="169">
        <f t="shared" si="33"/>
        <v>9</v>
      </c>
      <c r="I70" s="806">
        <f t="shared" si="34"/>
        <v>17</v>
      </c>
      <c r="J70" s="169">
        <f t="shared" si="35"/>
        <v>0</v>
      </c>
      <c r="K70" s="171">
        <f t="shared" si="36"/>
        <v>0</v>
      </c>
      <c r="L70" s="169">
        <f t="shared" si="37"/>
        <v>0</v>
      </c>
      <c r="M70" s="170">
        <f t="shared" si="38"/>
        <v>0</v>
      </c>
      <c r="N70" s="171">
        <f t="shared" si="39"/>
        <v>0</v>
      </c>
      <c r="O70" s="169">
        <f t="shared" si="40"/>
        <v>0</v>
      </c>
      <c r="P70" s="170">
        <f t="shared" si="41"/>
        <v>0</v>
      </c>
      <c r="Q70" s="856">
        <f t="shared" si="42"/>
        <v>0</v>
      </c>
      <c r="R70" s="64" t="s">
        <v>2525</v>
      </c>
    </row>
    <row r="71" spans="1:18" ht="32.1" customHeight="1">
      <c r="A71" s="1126"/>
      <c r="B71" s="160"/>
      <c r="C71" s="21" t="s">
        <v>2526</v>
      </c>
      <c r="D71" s="24" t="s">
        <v>2526</v>
      </c>
      <c r="E71" s="21" t="s">
        <v>2527</v>
      </c>
      <c r="F71" s="24"/>
      <c r="G71" s="179">
        <f t="shared" si="32"/>
        <v>0</v>
      </c>
      <c r="H71" s="169">
        <f t="shared" si="33"/>
        <v>0</v>
      </c>
      <c r="I71" s="806">
        <f t="shared" si="34"/>
        <v>0</v>
      </c>
      <c r="J71" s="169">
        <f t="shared" si="35"/>
        <v>0</v>
      </c>
      <c r="K71" s="171">
        <f t="shared" si="36"/>
        <v>0</v>
      </c>
      <c r="L71" s="169">
        <f t="shared" si="37"/>
        <v>0</v>
      </c>
      <c r="M71" s="170">
        <f t="shared" si="38"/>
        <v>0</v>
      </c>
      <c r="N71" s="171">
        <f t="shared" si="39"/>
        <v>0</v>
      </c>
      <c r="O71" s="169">
        <f t="shared" si="40"/>
        <v>0</v>
      </c>
      <c r="P71" s="170">
        <f t="shared" si="41"/>
        <v>0</v>
      </c>
      <c r="Q71" s="856">
        <f t="shared" si="42"/>
        <v>0</v>
      </c>
      <c r="R71" s="64" t="s">
        <v>2528</v>
      </c>
    </row>
    <row r="72" spans="1:18" ht="32.1" customHeight="1">
      <c r="A72" s="1126"/>
      <c r="B72" s="160"/>
      <c r="C72" s="21" t="s">
        <v>399</v>
      </c>
      <c r="D72" s="24" t="s">
        <v>399</v>
      </c>
      <c r="E72" s="21" t="s">
        <v>2529</v>
      </c>
      <c r="F72" s="24"/>
      <c r="G72" s="179">
        <f t="shared" si="32"/>
        <v>8</v>
      </c>
      <c r="H72" s="169">
        <f t="shared" si="33"/>
        <v>3</v>
      </c>
      <c r="I72" s="806">
        <f t="shared" si="34"/>
        <v>5</v>
      </c>
      <c r="J72" s="169">
        <f t="shared" si="35"/>
        <v>0</v>
      </c>
      <c r="K72" s="171">
        <f t="shared" si="36"/>
        <v>0</v>
      </c>
      <c r="L72" s="169">
        <f t="shared" si="37"/>
        <v>0</v>
      </c>
      <c r="M72" s="170">
        <f t="shared" si="38"/>
        <v>0</v>
      </c>
      <c r="N72" s="171">
        <f t="shared" si="39"/>
        <v>0</v>
      </c>
      <c r="O72" s="169">
        <f t="shared" si="40"/>
        <v>0</v>
      </c>
      <c r="P72" s="170">
        <f t="shared" si="41"/>
        <v>0</v>
      </c>
      <c r="Q72" s="856">
        <f t="shared" si="42"/>
        <v>0</v>
      </c>
      <c r="R72" s="64" t="s">
        <v>2530</v>
      </c>
    </row>
    <row r="73" spans="1:18" ht="32.1" customHeight="1">
      <c r="A73" s="1126"/>
      <c r="B73" s="160"/>
      <c r="C73" s="21" t="s">
        <v>2531</v>
      </c>
      <c r="D73" s="24" t="s">
        <v>2531</v>
      </c>
      <c r="E73" s="21" t="s">
        <v>2532</v>
      </c>
      <c r="F73" s="24"/>
      <c r="G73" s="179">
        <f t="shared" si="32"/>
        <v>0</v>
      </c>
      <c r="H73" s="169">
        <f t="shared" si="33"/>
        <v>0</v>
      </c>
      <c r="I73" s="806">
        <f t="shared" si="34"/>
        <v>0</v>
      </c>
      <c r="J73" s="169">
        <f t="shared" si="35"/>
        <v>0</v>
      </c>
      <c r="K73" s="171">
        <f t="shared" si="36"/>
        <v>0</v>
      </c>
      <c r="L73" s="169">
        <f t="shared" si="37"/>
        <v>0</v>
      </c>
      <c r="M73" s="170">
        <f t="shared" si="38"/>
        <v>0</v>
      </c>
      <c r="N73" s="171">
        <f t="shared" si="39"/>
        <v>0</v>
      </c>
      <c r="O73" s="169">
        <f t="shared" si="40"/>
        <v>0</v>
      </c>
      <c r="P73" s="170">
        <f t="shared" si="41"/>
        <v>0</v>
      </c>
      <c r="Q73" s="856">
        <f t="shared" si="42"/>
        <v>0</v>
      </c>
      <c r="R73" s="64" t="s">
        <v>2533</v>
      </c>
    </row>
    <row r="74" spans="1:18" ht="32.1" customHeight="1">
      <c r="A74" s="1126"/>
      <c r="B74" s="160"/>
      <c r="C74" s="21" t="s">
        <v>2534</v>
      </c>
      <c r="D74" s="24" t="s">
        <v>2534</v>
      </c>
      <c r="E74" s="21" t="s">
        <v>2535</v>
      </c>
      <c r="F74" s="24"/>
      <c r="G74" s="179">
        <f t="shared" si="32"/>
        <v>0</v>
      </c>
      <c r="H74" s="169">
        <f t="shared" si="33"/>
        <v>0</v>
      </c>
      <c r="I74" s="806">
        <f t="shared" si="34"/>
        <v>0</v>
      </c>
      <c r="J74" s="169">
        <f t="shared" si="35"/>
        <v>0</v>
      </c>
      <c r="K74" s="171">
        <f t="shared" si="36"/>
        <v>0</v>
      </c>
      <c r="L74" s="169">
        <f t="shared" si="37"/>
        <v>0</v>
      </c>
      <c r="M74" s="170">
        <f t="shared" si="38"/>
        <v>0</v>
      </c>
      <c r="N74" s="171">
        <f t="shared" si="39"/>
        <v>0</v>
      </c>
      <c r="O74" s="169">
        <f t="shared" si="40"/>
        <v>0</v>
      </c>
      <c r="P74" s="170">
        <f t="shared" si="41"/>
        <v>0</v>
      </c>
      <c r="Q74" s="856">
        <f t="shared" si="42"/>
        <v>0</v>
      </c>
      <c r="R74" s="64" t="s">
        <v>2536</v>
      </c>
    </row>
    <row r="75" spans="1:18" ht="32.1" customHeight="1">
      <c r="A75" s="1126"/>
      <c r="B75" s="160"/>
      <c r="C75" s="21" t="s">
        <v>2537</v>
      </c>
      <c r="D75" s="24" t="s">
        <v>2537</v>
      </c>
      <c r="E75" s="21" t="s">
        <v>2538</v>
      </c>
      <c r="F75" s="24"/>
      <c r="G75" s="179">
        <f t="shared" si="32"/>
        <v>0</v>
      </c>
      <c r="H75" s="169">
        <f t="shared" si="33"/>
        <v>0</v>
      </c>
      <c r="I75" s="806">
        <f t="shared" si="34"/>
        <v>0</v>
      </c>
      <c r="J75" s="169">
        <f t="shared" si="35"/>
        <v>0</v>
      </c>
      <c r="K75" s="171">
        <f t="shared" si="36"/>
        <v>0</v>
      </c>
      <c r="L75" s="169">
        <f t="shared" si="37"/>
        <v>0</v>
      </c>
      <c r="M75" s="170">
        <f t="shared" si="38"/>
        <v>0</v>
      </c>
      <c r="N75" s="171">
        <f t="shared" si="39"/>
        <v>0</v>
      </c>
      <c r="O75" s="169">
        <f t="shared" si="40"/>
        <v>0</v>
      </c>
      <c r="P75" s="170">
        <f t="shared" si="41"/>
        <v>0</v>
      </c>
      <c r="Q75" s="856">
        <f t="shared" si="42"/>
        <v>0</v>
      </c>
      <c r="R75" s="64" t="s">
        <v>2539</v>
      </c>
    </row>
    <row r="76" spans="1:18" ht="32.1" customHeight="1">
      <c r="A76" s="1126"/>
      <c r="B76" s="160"/>
      <c r="C76" s="21" t="s">
        <v>2540</v>
      </c>
      <c r="D76" s="24" t="s">
        <v>2540</v>
      </c>
      <c r="E76" s="21" t="s">
        <v>2541</v>
      </c>
      <c r="F76" s="24"/>
      <c r="G76" s="179">
        <f t="shared" si="32"/>
        <v>0</v>
      </c>
      <c r="H76" s="169">
        <f t="shared" si="33"/>
        <v>0</v>
      </c>
      <c r="I76" s="806">
        <f t="shared" si="34"/>
        <v>0</v>
      </c>
      <c r="J76" s="169">
        <f t="shared" si="35"/>
        <v>0</v>
      </c>
      <c r="K76" s="171">
        <f t="shared" si="36"/>
        <v>0</v>
      </c>
      <c r="L76" s="169">
        <f t="shared" si="37"/>
        <v>0</v>
      </c>
      <c r="M76" s="170">
        <f t="shared" si="38"/>
        <v>0</v>
      </c>
      <c r="N76" s="171">
        <f t="shared" si="39"/>
        <v>0</v>
      </c>
      <c r="O76" s="169">
        <f t="shared" si="40"/>
        <v>0</v>
      </c>
      <c r="P76" s="170">
        <f t="shared" si="41"/>
        <v>0</v>
      </c>
      <c r="Q76" s="856">
        <f t="shared" si="42"/>
        <v>0</v>
      </c>
      <c r="R76" s="64" t="s">
        <v>2542</v>
      </c>
    </row>
    <row r="77" spans="1:18" ht="32.1" customHeight="1">
      <c r="A77" s="1126"/>
      <c r="B77" s="160"/>
      <c r="C77" s="21" t="s">
        <v>2543</v>
      </c>
      <c r="D77" s="24" t="s">
        <v>2543</v>
      </c>
      <c r="E77" s="21" t="s">
        <v>2544</v>
      </c>
      <c r="F77" s="24"/>
      <c r="G77" s="179">
        <f t="shared" si="32"/>
        <v>0</v>
      </c>
      <c r="H77" s="169">
        <f t="shared" si="33"/>
        <v>0</v>
      </c>
      <c r="I77" s="806">
        <f t="shared" si="34"/>
        <v>0</v>
      </c>
      <c r="J77" s="169">
        <f t="shared" si="35"/>
        <v>0</v>
      </c>
      <c r="K77" s="171">
        <f t="shared" si="36"/>
        <v>0</v>
      </c>
      <c r="L77" s="169">
        <f t="shared" si="37"/>
        <v>0</v>
      </c>
      <c r="M77" s="170">
        <f t="shared" si="38"/>
        <v>0</v>
      </c>
      <c r="N77" s="171">
        <f t="shared" si="39"/>
        <v>0</v>
      </c>
      <c r="O77" s="169">
        <f t="shared" si="40"/>
        <v>0</v>
      </c>
      <c r="P77" s="170">
        <f t="shared" si="41"/>
        <v>0</v>
      </c>
      <c r="Q77" s="856">
        <f t="shared" si="42"/>
        <v>0</v>
      </c>
      <c r="R77" s="64" t="s">
        <v>2545</v>
      </c>
    </row>
    <row r="78" spans="1:18" ht="32.1" customHeight="1">
      <c r="A78" s="1126"/>
      <c r="B78" s="160"/>
      <c r="C78" s="21" t="s">
        <v>2546</v>
      </c>
      <c r="D78" s="24" t="s">
        <v>2546</v>
      </c>
      <c r="E78" s="21" t="s">
        <v>2547</v>
      </c>
      <c r="F78" s="24"/>
      <c r="G78" s="179">
        <f t="shared" si="32"/>
        <v>0</v>
      </c>
      <c r="H78" s="169">
        <f t="shared" si="33"/>
        <v>0</v>
      </c>
      <c r="I78" s="806">
        <f t="shared" si="34"/>
        <v>0</v>
      </c>
      <c r="J78" s="169">
        <f t="shared" si="35"/>
        <v>0</v>
      </c>
      <c r="K78" s="171">
        <f t="shared" si="36"/>
        <v>0</v>
      </c>
      <c r="L78" s="169">
        <f t="shared" si="37"/>
        <v>0</v>
      </c>
      <c r="M78" s="170">
        <f t="shared" si="38"/>
        <v>0</v>
      </c>
      <c r="N78" s="171">
        <f t="shared" si="39"/>
        <v>0</v>
      </c>
      <c r="O78" s="169">
        <f t="shared" si="40"/>
        <v>0</v>
      </c>
      <c r="P78" s="170">
        <f t="shared" si="41"/>
        <v>0</v>
      </c>
      <c r="Q78" s="856">
        <f t="shared" si="42"/>
        <v>0</v>
      </c>
      <c r="R78" s="64" t="s">
        <v>2548</v>
      </c>
    </row>
    <row r="79" spans="1:18" ht="32.1" customHeight="1">
      <c r="A79" s="1126"/>
      <c r="B79" s="160"/>
      <c r="C79" s="21" t="s">
        <v>2549</v>
      </c>
      <c r="D79" s="24" t="s">
        <v>2549</v>
      </c>
      <c r="E79" s="21" t="s">
        <v>2550</v>
      </c>
      <c r="F79" s="24"/>
      <c r="G79" s="179">
        <f t="shared" si="32"/>
        <v>0</v>
      </c>
      <c r="H79" s="169">
        <f t="shared" si="33"/>
        <v>0</v>
      </c>
      <c r="I79" s="806">
        <f t="shared" si="34"/>
        <v>0</v>
      </c>
      <c r="J79" s="169">
        <f t="shared" si="35"/>
        <v>0</v>
      </c>
      <c r="K79" s="171">
        <f t="shared" si="36"/>
        <v>0</v>
      </c>
      <c r="L79" s="169">
        <f t="shared" si="37"/>
        <v>0</v>
      </c>
      <c r="M79" s="170">
        <f t="shared" si="38"/>
        <v>0</v>
      </c>
      <c r="N79" s="171">
        <f t="shared" si="39"/>
        <v>0</v>
      </c>
      <c r="O79" s="169">
        <f t="shared" si="40"/>
        <v>0</v>
      </c>
      <c r="P79" s="170">
        <f t="shared" si="41"/>
        <v>0</v>
      </c>
      <c r="Q79" s="856">
        <f t="shared" si="42"/>
        <v>0</v>
      </c>
      <c r="R79" s="64" t="s">
        <v>2551</v>
      </c>
    </row>
    <row r="80" spans="1:18" ht="32.1" customHeight="1">
      <c r="A80" s="1126"/>
      <c r="B80" s="160"/>
      <c r="C80" s="21" t="s">
        <v>2552</v>
      </c>
      <c r="D80" s="24" t="s">
        <v>2552</v>
      </c>
      <c r="E80" s="21" t="s">
        <v>2553</v>
      </c>
      <c r="F80" s="24"/>
      <c r="G80" s="179">
        <f t="shared" si="32"/>
        <v>0</v>
      </c>
      <c r="H80" s="169">
        <f t="shared" si="33"/>
        <v>0</v>
      </c>
      <c r="I80" s="806">
        <f t="shared" si="34"/>
        <v>0</v>
      </c>
      <c r="J80" s="169">
        <f t="shared" si="35"/>
        <v>0</v>
      </c>
      <c r="K80" s="171">
        <f t="shared" si="36"/>
        <v>0</v>
      </c>
      <c r="L80" s="169">
        <f t="shared" si="37"/>
        <v>0</v>
      </c>
      <c r="M80" s="170">
        <f t="shared" si="38"/>
        <v>0</v>
      </c>
      <c r="N80" s="171">
        <f t="shared" si="39"/>
        <v>0</v>
      </c>
      <c r="O80" s="169">
        <f t="shared" si="40"/>
        <v>0</v>
      </c>
      <c r="P80" s="170">
        <f t="shared" si="41"/>
        <v>0</v>
      </c>
      <c r="Q80" s="856">
        <f t="shared" si="42"/>
        <v>0</v>
      </c>
      <c r="R80" s="64" t="s">
        <v>2554</v>
      </c>
    </row>
    <row r="81" spans="1:18" ht="32.1" customHeight="1">
      <c r="A81" s="1126"/>
      <c r="B81" s="160"/>
      <c r="C81" s="21" t="s">
        <v>2555</v>
      </c>
      <c r="D81" s="24" t="s">
        <v>2555</v>
      </c>
      <c r="E81" s="21" t="s">
        <v>2556</v>
      </c>
      <c r="F81" s="24"/>
      <c r="G81" s="179">
        <f t="shared" si="32"/>
        <v>0</v>
      </c>
      <c r="H81" s="169">
        <f t="shared" si="33"/>
        <v>0</v>
      </c>
      <c r="I81" s="806">
        <f t="shared" si="34"/>
        <v>0</v>
      </c>
      <c r="J81" s="169">
        <f t="shared" si="35"/>
        <v>0</v>
      </c>
      <c r="K81" s="171">
        <f t="shared" si="36"/>
        <v>0</v>
      </c>
      <c r="L81" s="169">
        <f t="shared" si="37"/>
        <v>0</v>
      </c>
      <c r="M81" s="170">
        <f t="shared" si="38"/>
        <v>0</v>
      </c>
      <c r="N81" s="171">
        <f t="shared" si="39"/>
        <v>0</v>
      </c>
      <c r="O81" s="169">
        <f t="shared" si="40"/>
        <v>0</v>
      </c>
      <c r="P81" s="170">
        <f t="shared" si="41"/>
        <v>0</v>
      </c>
      <c r="Q81" s="856">
        <f t="shared" si="42"/>
        <v>0</v>
      </c>
      <c r="R81" s="64" t="s">
        <v>2557</v>
      </c>
    </row>
    <row r="82" spans="1:18" ht="32.1" customHeight="1">
      <c r="A82" s="1126"/>
      <c r="B82" s="160"/>
      <c r="C82" s="21" t="s">
        <v>2558</v>
      </c>
      <c r="D82" s="24" t="s">
        <v>2558</v>
      </c>
      <c r="E82" s="21" t="s">
        <v>2559</v>
      </c>
      <c r="F82" s="24"/>
      <c r="G82" s="179">
        <f t="shared" si="32"/>
        <v>0</v>
      </c>
      <c r="H82" s="169">
        <f t="shared" si="33"/>
        <v>0</v>
      </c>
      <c r="I82" s="806">
        <f t="shared" si="34"/>
        <v>0</v>
      </c>
      <c r="J82" s="169">
        <f t="shared" si="35"/>
        <v>0</v>
      </c>
      <c r="K82" s="171">
        <f t="shared" si="36"/>
        <v>0</v>
      </c>
      <c r="L82" s="169">
        <f t="shared" si="37"/>
        <v>0</v>
      </c>
      <c r="M82" s="170">
        <f t="shared" si="38"/>
        <v>0</v>
      </c>
      <c r="N82" s="171">
        <f t="shared" si="39"/>
        <v>0</v>
      </c>
      <c r="O82" s="169">
        <f t="shared" si="40"/>
        <v>0</v>
      </c>
      <c r="P82" s="170">
        <f t="shared" si="41"/>
        <v>0</v>
      </c>
      <c r="Q82" s="856">
        <f t="shared" si="42"/>
        <v>0</v>
      </c>
      <c r="R82" s="64" t="s">
        <v>2560</v>
      </c>
    </row>
    <row r="83" spans="1:18" ht="32.1" customHeight="1">
      <c r="A83" s="1126"/>
      <c r="B83" s="160"/>
      <c r="C83" s="21" t="s">
        <v>2561</v>
      </c>
      <c r="D83" s="24" t="s">
        <v>2561</v>
      </c>
      <c r="E83" s="21" t="s">
        <v>2562</v>
      </c>
      <c r="F83" s="24"/>
      <c r="G83" s="179">
        <f t="shared" si="32"/>
        <v>0</v>
      </c>
      <c r="H83" s="169">
        <f t="shared" si="33"/>
        <v>0</v>
      </c>
      <c r="I83" s="806">
        <f t="shared" si="34"/>
        <v>0</v>
      </c>
      <c r="J83" s="169">
        <f t="shared" si="35"/>
        <v>0</v>
      </c>
      <c r="K83" s="171">
        <f t="shared" si="36"/>
        <v>0</v>
      </c>
      <c r="L83" s="169">
        <f t="shared" si="37"/>
        <v>0</v>
      </c>
      <c r="M83" s="170">
        <f t="shared" si="38"/>
        <v>0</v>
      </c>
      <c r="N83" s="171">
        <f t="shared" si="39"/>
        <v>0</v>
      </c>
      <c r="O83" s="169">
        <f t="shared" si="40"/>
        <v>0</v>
      </c>
      <c r="P83" s="170">
        <f t="shared" si="41"/>
        <v>0</v>
      </c>
      <c r="Q83" s="856">
        <f t="shared" si="42"/>
        <v>0</v>
      </c>
      <c r="R83" s="64" t="s">
        <v>2563</v>
      </c>
    </row>
    <row r="84" spans="1:18" ht="32.1" customHeight="1">
      <c r="A84" s="1126"/>
      <c r="B84" s="160"/>
      <c r="C84" s="21" t="s">
        <v>2564</v>
      </c>
      <c r="D84" s="24" t="s">
        <v>2564</v>
      </c>
      <c r="E84" s="21" t="s">
        <v>2565</v>
      </c>
      <c r="F84" s="24"/>
      <c r="G84" s="179">
        <f t="shared" si="32"/>
        <v>0</v>
      </c>
      <c r="H84" s="169">
        <f t="shared" si="33"/>
        <v>0</v>
      </c>
      <c r="I84" s="806">
        <f t="shared" si="34"/>
        <v>0</v>
      </c>
      <c r="J84" s="169">
        <f t="shared" si="35"/>
        <v>0</v>
      </c>
      <c r="K84" s="171">
        <f t="shared" si="36"/>
        <v>0</v>
      </c>
      <c r="L84" s="169">
        <f t="shared" si="37"/>
        <v>0</v>
      </c>
      <c r="M84" s="170">
        <f t="shared" si="38"/>
        <v>0</v>
      </c>
      <c r="N84" s="171">
        <f t="shared" si="39"/>
        <v>0</v>
      </c>
      <c r="O84" s="169">
        <f t="shared" si="40"/>
        <v>0</v>
      </c>
      <c r="P84" s="170">
        <f t="shared" si="41"/>
        <v>0</v>
      </c>
      <c r="Q84" s="856">
        <f t="shared" si="42"/>
        <v>0</v>
      </c>
      <c r="R84" s="64" t="s">
        <v>2566</v>
      </c>
    </row>
    <row r="85" spans="1:18" ht="32.1" customHeight="1">
      <c r="A85" s="1126"/>
      <c r="B85" s="160"/>
      <c r="C85" s="30" t="s">
        <v>2567</v>
      </c>
      <c r="D85" s="33" t="s">
        <v>2567</v>
      </c>
      <c r="E85" s="30" t="s">
        <v>2565</v>
      </c>
      <c r="F85" s="33"/>
      <c r="G85" s="279">
        <f t="shared" si="32"/>
        <v>0</v>
      </c>
      <c r="H85" s="181">
        <f t="shared" si="33"/>
        <v>0</v>
      </c>
      <c r="I85" s="809">
        <f t="shared" si="34"/>
        <v>0</v>
      </c>
      <c r="J85" s="181">
        <f t="shared" si="35"/>
        <v>0</v>
      </c>
      <c r="K85" s="183">
        <f t="shared" si="36"/>
        <v>0</v>
      </c>
      <c r="L85" s="181">
        <f t="shared" si="37"/>
        <v>0</v>
      </c>
      <c r="M85" s="182">
        <f t="shared" si="38"/>
        <v>0</v>
      </c>
      <c r="N85" s="183">
        <f t="shared" si="39"/>
        <v>0</v>
      </c>
      <c r="O85" s="181">
        <f t="shared" si="40"/>
        <v>0</v>
      </c>
      <c r="P85" s="182">
        <f t="shared" si="41"/>
        <v>0</v>
      </c>
      <c r="Q85" s="855">
        <f t="shared" si="42"/>
        <v>0</v>
      </c>
      <c r="R85" s="832" t="s">
        <v>2566</v>
      </c>
    </row>
    <row r="86" spans="1:18" ht="32.1" customHeight="1">
      <c r="A86" s="1126"/>
      <c r="B86" s="160"/>
      <c r="C86" s="21" t="s">
        <v>2568</v>
      </c>
      <c r="D86" s="24" t="s">
        <v>2568</v>
      </c>
      <c r="E86" s="21" t="s">
        <v>2569</v>
      </c>
      <c r="F86" s="33"/>
      <c r="G86" s="279">
        <f t="shared" si="32"/>
        <v>0</v>
      </c>
      <c r="H86" s="181">
        <f t="shared" si="33"/>
        <v>0</v>
      </c>
      <c r="I86" s="809">
        <f t="shared" si="34"/>
        <v>0</v>
      </c>
      <c r="J86" s="181">
        <f t="shared" si="35"/>
        <v>0</v>
      </c>
      <c r="K86" s="183">
        <f t="shared" si="36"/>
        <v>0</v>
      </c>
      <c r="L86" s="181">
        <f t="shared" si="37"/>
        <v>0</v>
      </c>
      <c r="M86" s="182">
        <f t="shared" si="38"/>
        <v>0</v>
      </c>
      <c r="N86" s="183">
        <f t="shared" si="39"/>
        <v>0</v>
      </c>
      <c r="O86" s="181">
        <f t="shared" si="40"/>
        <v>0</v>
      </c>
      <c r="P86" s="182">
        <f t="shared" si="41"/>
        <v>0</v>
      </c>
      <c r="Q86" s="855">
        <f t="shared" si="42"/>
        <v>0</v>
      </c>
      <c r="R86" s="64" t="s">
        <v>2570</v>
      </c>
    </row>
    <row r="87" spans="1:18" ht="32.1" customHeight="1">
      <c r="A87" s="1126"/>
      <c r="B87" s="160"/>
      <c r="C87" s="21" t="s">
        <v>2571</v>
      </c>
      <c r="D87" s="24" t="s">
        <v>2571</v>
      </c>
      <c r="E87" s="21" t="s">
        <v>2569</v>
      </c>
      <c r="F87" s="33"/>
      <c r="G87" s="279">
        <f t="shared" si="32"/>
        <v>0</v>
      </c>
      <c r="H87" s="181">
        <f t="shared" si="33"/>
        <v>0</v>
      </c>
      <c r="I87" s="809">
        <f t="shared" si="34"/>
        <v>0</v>
      </c>
      <c r="J87" s="181">
        <f t="shared" si="35"/>
        <v>0</v>
      </c>
      <c r="K87" s="183">
        <f t="shared" si="36"/>
        <v>0</v>
      </c>
      <c r="L87" s="181">
        <f t="shared" si="37"/>
        <v>0</v>
      </c>
      <c r="M87" s="182">
        <f t="shared" si="38"/>
        <v>0</v>
      </c>
      <c r="N87" s="183">
        <f t="shared" si="39"/>
        <v>0</v>
      </c>
      <c r="O87" s="181">
        <f t="shared" si="40"/>
        <v>0</v>
      </c>
      <c r="P87" s="182">
        <f t="shared" si="41"/>
        <v>0</v>
      </c>
      <c r="Q87" s="855">
        <f t="shared" si="42"/>
        <v>0</v>
      </c>
      <c r="R87" s="64" t="s">
        <v>2570</v>
      </c>
    </row>
    <row r="88" spans="1:18" ht="32.1" customHeight="1">
      <c r="A88" s="1126"/>
      <c r="B88" s="160"/>
      <c r="C88" s="30" t="s">
        <v>409</v>
      </c>
      <c r="D88" s="33" t="s">
        <v>409</v>
      </c>
      <c r="E88" s="30" t="s">
        <v>2572</v>
      </c>
      <c r="F88" s="33"/>
      <c r="G88" s="279">
        <f t="shared" si="32"/>
        <v>8</v>
      </c>
      <c r="H88" s="181">
        <f t="shared" si="33"/>
        <v>2</v>
      </c>
      <c r="I88" s="809">
        <f t="shared" si="34"/>
        <v>6</v>
      </c>
      <c r="J88" s="181">
        <f t="shared" si="35"/>
        <v>0</v>
      </c>
      <c r="K88" s="183">
        <f t="shared" si="36"/>
        <v>0</v>
      </c>
      <c r="L88" s="181">
        <f t="shared" si="37"/>
        <v>0</v>
      </c>
      <c r="M88" s="182">
        <f t="shared" si="38"/>
        <v>0</v>
      </c>
      <c r="N88" s="183">
        <f t="shared" si="39"/>
        <v>0</v>
      </c>
      <c r="O88" s="181">
        <f t="shared" si="40"/>
        <v>0</v>
      </c>
      <c r="P88" s="182">
        <f t="shared" si="41"/>
        <v>0</v>
      </c>
      <c r="Q88" s="855">
        <f t="shared" si="42"/>
        <v>0</v>
      </c>
      <c r="R88" s="832" t="s">
        <v>2573</v>
      </c>
    </row>
    <row r="89" spans="1:18" ht="32.1" customHeight="1">
      <c r="A89" s="1126"/>
      <c r="B89" s="160"/>
      <c r="C89" s="21" t="s">
        <v>2574</v>
      </c>
      <c r="D89" s="24" t="s">
        <v>2574</v>
      </c>
      <c r="E89" s="21" t="s">
        <v>2575</v>
      </c>
      <c r="F89" s="33"/>
      <c r="G89" s="279">
        <f t="shared" si="32"/>
        <v>0</v>
      </c>
      <c r="H89" s="181">
        <f t="shared" si="33"/>
        <v>0</v>
      </c>
      <c r="I89" s="809">
        <f t="shared" si="34"/>
        <v>0</v>
      </c>
      <c r="J89" s="181">
        <f t="shared" si="35"/>
        <v>0</v>
      </c>
      <c r="K89" s="183">
        <f t="shared" si="36"/>
        <v>0</v>
      </c>
      <c r="L89" s="181">
        <f t="shared" si="37"/>
        <v>0</v>
      </c>
      <c r="M89" s="182">
        <f t="shared" si="38"/>
        <v>0</v>
      </c>
      <c r="N89" s="183">
        <f t="shared" si="39"/>
        <v>0</v>
      </c>
      <c r="O89" s="181">
        <f t="shared" si="40"/>
        <v>0</v>
      </c>
      <c r="P89" s="182">
        <f t="shared" si="41"/>
        <v>0</v>
      </c>
      <c r="Q89" s="855">
        <f t="shared" si="42"/>
        <v>0</v>
      </c>
      <c r="R89" s="64" t="s">
        <v>2576</v>
      </c>
    </row>
    <row r="90" spans="1:18" ht="32.1" customHeight="1">
      <c r="A90" s="1126"/>
      <c r="B90" s="160"/>
      <c r="C90" s="21" t="s">
        <v>411</v>
      </c>
      <c r="D90" s="24" t="s">
        <v>411</v>
      </c>
      <c r="E90" s="21" t="s">
        <v>2577</v>
      </c>
      <c r="F90" s="33"/>
      <c r="G90" s="279">
        <f t="shared" si="32"/>
        <v>2</v>
      </c>
      <c r="H90" s="181">
        <f t="shared" si="33"/>
        <v>2</v>
      </c>
      <c r="I90" s="809">
        <f t="shared" si="34"/>
        <v>0</v>
      </c>
      <c r="J90" s="181">
        <f t="shared" si="35"/>
        <v>0</v>
      </c>
      <c r="K90" s="183">
        <f t="shared" si="36"/>
        <v>0</v>
      </c>
      <c r="L90" s="181">
        <f t="shared" si="37"/>
        <v>0</v>
      </c>
      <c r="M90" s="182">
        <f t="shared" si="38"/>
        <v>0</v>
      </c>
      <c r="N90" s="183">
        <f t="shared" si="39"/>
        <v>0</v>
      </c>
      <c r="O90" s="181">
        <f t="shared" si="40"/>
        <v>0</v>
      </c>
      <c r="P90" s="182">
        <f t="shared" si="41"/>
        <v>0</v>
      </c>
      <c r="Q90" s="855">
        <f t="shared" si="42"/>
        <v>0</v>
      </c>
      <c r="R90" s="64" t="s">
        <v>2578</v>
      </c>
    </row>
    <row r="91" spans="1:18" ht="32.1" customHeight="1">
      <c r="A91" s="1126"/>
      <c r="B91" s="160"/>
      <c r="C91" s="30" t="s">
        <v>2579</v>
      </c>
      <c r="D91" s="33" t="s">
        <v>2579</v>
      </c>
      <c r="E91" s="30" t="s">
        <v>2580</v>
      </c>
      <c r="F91" s="33"/>
      <c r="G91" s="279">
        <f t="shared" si="32"/>
        <v>0</v>
      </c>
      <c r="H91" s="181">
        <f t="shared" si="33"/>
        <v>0</v>
      </c>
      <c r="I91" s="809">
        <f t="shared" si="34"/>
        <v>0</v>
      </c>
      <c r="J91" s="181">
        <f t="shared" si="35"/>
        <v>0</v>
      </c>
      <c r="K91" s="183">
        <f t="shared" si="36"/>
        <v>0</v>
      </c>
      <c r="L91" s="181">
        <f t="shared" si="37"/>
        <v>0</v>
      </c>
      <c r="M91" s="182">
        <f t="shared" si="38"/>
        <v>0</v>
      </c>
      <c r="N91" s="183">
        <f t="shared" si="39"/>
        <v>0</v>
      </c>
      <c r="O91" s="181">
        <f t="shared" si="40"/>
        <v>0</v>
      </c>
      <c r="P91" s="182">
        <f t="shared" si="41"/>
        <v>0</v>
      </c>
      <c r="Q91" s="855">
        <f t="shared" si="42"/>
        <v>0</v>
      </c>
      <c r="R91" s="832" t="s">
        <v>2581</v>
      </c>
    </row>
    <row r="92" spans="1:18" ht="32.1" customHeight="1">
      <c r="A92" s="1126"/>
      <c r="B92" s="160"/>
      <c r="C92" s="21" t="s">
        <v>2582</v>
      </c>
      <c r="D92" s="24" t="s">
        <v>2582</v>
      </c>
      <c r="E92" s="21" t="s">
        <v>2583</v>
      </c>
      <c r="F92" s="33"/>
      <c r="G92" s="279">
        <f t="shared" si="32"/>
        <v>0</v>
      </c>
      <c r="H92" s="181">
        <f t="shared" si="33"/>
        <v>0</v>
      </c>
      <c r="I92" s="809">
        <f t="shared" si="34"/>
        <v>0</v>
      </c>
      <c r="J92" s="181">
        <f t="shared" si="35"/>
        <v>0</v>
      </c>
      <c r="K92" s="183">
        <f t="shared" si="36"/>
        <v>0</v>
      </c>
      <c r="L92" s="181">
        <f t="shared" si="37"/>
        <v>0</v>
      </c>
      <c r="M92" s="182">
        <f t="shared" si="38"/>
        <v>0</v>
      </c>
      <c r="N92" s="183">
        <f t="shared" si="39"/>
        <v>0</v>
      </c>
      <c r="O92" s="181">
        <f t="shared" si="40"/>
        <v>0</v>
      </c>
      <c r="P92" s="182">
        <f t="shared" si="41"/>
        <v>0</v>
      </c>
      <c r="Q92" s="855">
        <f t="shared" si="42"/>
        <v>0</v>
      </c>
      <c r="R92" s="64" t="s">
        <v>2584</v>
      </c>
    </row>
    <row r="93" spans="1:18" ht="32.1" customHeight="1">
      <c r="A93" s="1126"/>
      <c r="B93" s="160"/>
      <c r="C93" s="21" t="s">
        <v>2585</v>
      </c>
      <c r="D93" s="24" t="s">
        <v>2585</v>
      </c>
      <c r="E93" s="21" t="s">
        <v>2586</v>
      </c>
      <c r="F93" s="33"/>
      <c r="G93" s="279">
        <f t="shared" si="32"/>
        <v>0</v>
      </c>
      <c r="H93" s="181">
        <f t="shared" si="33"/>
        <v>0</v>
      </c>
      <c r="I93" s="809">
        <f t="shared" si="34"/>
        <v>0</v>
      </c>
      <c r="J93" s="181">
        <f t="shared" si="35"/>
        <v>0</v>
      </c>
      <c r="K93" s="183">
        <f t="shared" si="36"/>
        <v>0</v>
      </c>
      <c r="L93" s="181">
        <f t="shared" si="37"/>
        <v>0</v>
      </c>
      <c r="M93" s="182">
        <f t="shared" si="38"/>
        <v>0</v>
      </c>
      <c r="N93" s="183">
        <f t="shared" si="39"/>
        <v>0</v>
      </c>
      <c r="O93" s="181">
        <f t="shared" si="40"/>
        <v>0</v>
      </c>
      <c r="P93" s="182">
        <f t="shared" si="41"/>
        <v>0</v>
      </c>
      <c r="Q93" s="855">
        <f t="shared" si="42"/>
        <v>0</v>
      </c>
      <c r="R93" s="64" t="s">
        <v>2587</v>
      </c>
    </row>
    <row r="94" spans="1:18" ht="32.1" customHeight="1">
      <c r="A94" s="1126"/>
      <c r="B94" s="160"/>
      <c r="C94" s="30" t="s">
        <v>2588</v>
      </c>
      <c r="D94" s="33" t="s">
        <v>2588</v>
      </c>
      <c r="E94" s="30" t="s">
        <v>2589</v>
      </c>
      <c r="F94" s="33"/>
      <c r="G94" s="279">
        <f t="shared" si="32"/>
        <v>0</v>
      </c>
      <c r="H94" s="181">
        <f t="shared" si="33"/>
        <v>0</v>
      </c>
      <c r="I94" s="809">
        <f t="shared" si="34"/>
        <v>0</v>
      </c>
      <c r="J94" s="181">
        <f t="shared" si="35"/>
        <v>0</v>
      </c>
      <c r="K94" s="183">
        <f t="shared" si="36"/>
        <v>0</v>
      </c>
      <c r="L94" s="181">
        <f t="shared" si="37"/>
        <v>0</v>
      </c>
      <c r="M94" s="182">
        <f t="shared" si="38"/>
        <v>0</v>
      </c>
      <c r="N94" s="183">
        <f t="shared" si="39"/>
        <v>0</v>
      </c>
      <c r="O94" s="181">
        <f t="shared" si="40"/>
        <v>0</v>
      </c>
      <c r="P94" s="182">
        <f t="shared" si="41"/>
        <v>0</v>
      </c>
      <c r="Q94" s="855">
        <f t="shared" si="42"/>
        <v>0</v>
      </c>
      <c r="R94" s="832" t="s">
        <v>2590</v>
      </c>
    </row>
    <row r="95" spans="1:18" ht="32.1" customHeight="1">
      <c r="A95" s="1126"/>
      <c r="B95" s="160"/>
      <c r="C95" s="21" t="s">
        <v>2591</v>
      </c>
      <c r="D95" s="24" t="s">
        <v>2591</v>
      </c>
      <c r="E95" s="21" t="s">
        <v>2592</v>
      </c>
      <c r="F95" s="33"/>
      <c r="G95" s="279">
        <f t="shared" si="32"/>
        <v>0</v>
      </c>
      <c r="H95" s="181">
        <f t="shared" si="33"/>
        <v>0</v>
      </c>
      <c r="I95" s="809">
        <f t="shared" si="34"/>
        <v>0</v>
      </c>
      <c r="J95" s="181">
        <f t="shared" si="35"/>
        <v>0</v>
      </c>
      <c r="K95" s="183">
        <f t="shared" si="36"/>
        <v>0</v>
      </c>
      <c r="L95" s="181">
        <f t="shared" si="37"/>
        <v>0</v>
      </c>
      <c r="M95" s="182">
        <f t="shared" si="38"/>
        <v>0</v>
      </c>
      <c r="N95" s="183">
        <f t="shared" si="39"/>
        <v>0</v>
      </c>
      <c r="O95" s="181">
        <f t="shared" si="40"/>
        <v>0</v>
      </c>
      <c r="P95" s="182">
        <f t="shared" si="41"/>
        <v>0</v>
      </c>
      <c r="Q95" s="855">
        <f t="shared" si="42"/>
        <v>0</v>
      </c>
      <c r="R95" s="64" t="s">
        <v>2593</v>
      </c>
    </row>
    <row r="96" spans="1:18" ht="32.1" customHeight="1">
      <c r="A96" s="1126"/>
      <c r="B96" s="160"/>
      <c r="C96" s="21" t="s">
        <v>2594</v>
      </c>
      <c r="D96" s="24" t="s">
        <v>2594</v>
      </c>
      <c r="E96" s="21" t="s">
        <v>2595</v>
      </c>
      <c r="F96" s="33"/>
      <c r="G96" s="279">
        <f t="shared" si="32"/>
        <v>0</v>
      </c>
      <c r="H96" s="181">
        <f t="shared" si="33"/>
        <v>0</v>
      </c>
      <c r="I96" s="809">
        <f t="shared" si="34"/>
        <v>0</v>
      </c>
      <c r="J96" s="181">
        <f t="shared" si="35"/>
        <v>0</v>
      </c>
      <c r="K96" s="183">
        <f t="shared" si="36"/>
        <v>0</v>
      </c>
      <c r="L96" s="181">
        <f t="shared" si="37"/>
        <v>0</v>
      </c>
      <c r="M96" s="182">
        <f t="shared" si="38"/>
        <v>0</v>
      </c>
      <c r="N96" s="183">
        <f t="shared" si="39"/>
        <v>0</v>
      </c>
      <c r="O96" s="181">
        <f t="shared" si="40"/>
        <v>0</v>
      </c>
      <c r="P96" s="182">
        <f t="shared" si="41"/>
        <v>0</v>
      </c>
      <c r="Q96" s="855">
        <f t="shared" si="42"/>
        <v>0</v>
      </c>
      <c r="R96" s="64" t="s">
        <v>2596</v>
      </c>
    </row>
    <row r="97" spans="1:18" ht="32.1" customHeight="1">
      <c r="A97" s="1184"/>
      <c r="B97" s="1185"/>
      <c r="C97" s="1186" t="s">
        <v>2597</v>
      </c>
      <c r="D97" s="1187" t="s">
        <v>2597</v>
      </c>
      <c r="E97" s="1186" t="s">
        <v>2598</v>
      </c>
      <c r="F97" s="1187"/>
      <c r="G97" s="1188">
        <f t="shared" si="32"/>
        <v>0</v>
      </c>
      <c r="H97" s="184">
        <f t="shared" si="33"/>
        <v>0</v>
      </c>
      <c r="I97" s="810">
        <f t="shared" si="34"/>
        <v>0</v>
      </c>
      <c r="J97" s="184">
        <f t="shared" si="35"/>
        <v>0</v>
      </c>
      <c r="K97" s="186">
        <f t="shared" si="36"/>
        <v>0</v>
      </c>
      <c r="L97" s="184">
        <f t="shared" si="37"/>
        <v>0</v>
      </c>
      <c r="M97" s="185">
        <f t="shared" si="38"/>
        <v>0</v>
      </c>
      <c r="N97" s="186">
        <f t="shared" si="39"/>
        <v>0</v>
      </c>
      <c r="O97" s="184">
        <f t="shared" si="40"/>
        <v>0</v>
      </c>
      <c r="P97" s="185">
        <f t="shared" si="41"/>
        <v>0</v>
      </c>
      <c r="Q97" s="860">
        <f t="shared" si="42"/>
        <v>0</v>
      </c>
      <c r="R97" s="833" t="s">
        <v>2599</v>
      </c>
    </row>
    <row r="98" spans="1:18" ht="32.1" customHeight="1">
      <c r="A98" s="1125" t="s">
        <v>2600</v>
      </c>
      <c r="B98" s="160"/>
      <c r="C98" s="30" t="s">
        <v>2209</v>
      </c>
      <c r="D98" s="33" t="s">
        <v>2601</v>
      </c>
      <c r="E98" s="30" t="s">
        <v>2602</v>
      </c>
      <c r="F98" s="33"/>
      <c r="G98" s="279">
        <f t="shared" si="32"/>
        <v>0</v>
      </c>
      <c r="H98" s="181">
        <f>COUNTIF(Area_v1_AncFound,$C98)</f>
        <v>0</v>
      </c>
      <c r="I98" s="809">
        <f>COUNTIF(Area_v2_AncFound,$C98)</f>
        <v>0</v>
      </c>
      <c r="J98" s="181">
        <f>COUNTIF(Area_v3ZIC_AncFound,$C98)</f>
        <v>0</v>
      </c>
      <c r="K98" s="183">
        <f>COUNTIF(Area_v4ZIC_AncFound,$C98)</f>
        <v>0</v>
      </c>
      <c r="L98" s="181">
        <f>COUNTIF(Area_v3BIN_AncFound,$C98)</f>
        <v>0</v>
      </c>
      <c r="M98" s="182">
        <f>COUNTIF(Area_v4BIN_AncFound,$C98)</f>
        <v>0</v>
      </c>
      <c r="N98" s="183">
        <f>COUNTIF(Area_v5BIN_AncFound,$C98)</f>
        <v>0</v>
      </c>
      <c r="O98" s="181">
        <f>COUNTIF(Area_v3HAD_AncFound,$C98)</f>
        <v>0</v>
      </c>
      <c r="P98" s="182">
        <f>COUNTIF(Area_v3KFA_AncFound,$C98)</f>
        <v>0</v>
      </c>
      <c r="Q98" s="855">
        <f>COUNTIF(Area_v4KFA_AncFound,$C98)</f>
        <v>0</v>
      </c>
      <c r="R98" s="832"/>
    </row>
    <row r="99" spans="1:18" ht="32.1" customHeight="1">
      <c r="A99" s="1126"/>
      <c r="B99" s="160"/>
      <c r="C99" s="21" t="s">
        <v>2603</v>
      </c>
      <c r="D99" s="24" t="s">
        <v>2604</v>
      </c>
      <c r="E99" s="21" t="s">
        <v>2605</v>
      </c>
      <c r="F99" s="33"/>
      <c r="G99" s="279">
        <f t="shared" ref="G99:G130" si="43">SUM(H99:Q99)</f>
        <v>0</v>
      </c>
      <c r="H99" s="181">
        <f>COUNTIF(Area_v1_AncFound,$C99)</f>
        <v>0</v>
      </c>
      <c r="I99" s="809">
        <f>COUNTIF(Area_v2_AncFound,$C99)</f>
        <v>0</v>
      </c>
      <c r="J99" s="181">
        <f>COUNTIF(Area_v3ZIC_AncFound,$C99)</f>
        <v>0</v>
      </c>
      <c r="K99" s="183">
        <f>COUNTIF(Area_v4ZIC_AncFound,$C99)</f>
        <v>0</v>
      </c>
      <c r="L99" s="181">
        <f>COUNTIF(Area_v3BIN_AncFound,$C99)</f>
        <v>0</v>
      </c>
      <c r="M99" s="182">
        <f>COUNTIF(Area_v4BIN_AncFound,$C99)</f>
        <v>0</v>
      </c>
      <c r="N99" s="183">
        <f>COUNTIF(Area_v5BIN_AncFound,$C99)</f>
        <v>0</v>
      </c>
      <c r="O99" s="181">
        <f>COUNTIF(Area_v3HAD_AncFound,$C99)</f>
        <v>0</v>
      </c>
      <c r="P99" s="182">
        <f>COUNTIF(Area_v3KFA_AncFound,$C99)</f>
        <v>0</v>
      </c>
      <c r="Q99" s="855">
        <f>COUNTIF(Area_v4KFA_AncFound,$C99)</f>
        <v>0</v>
      </c>
      <c r="R99" s="64"/>
    </row>
    <row r="100" spans="1:18" ht="32.1" customHeight="1">
      <c r="A100" s="1126"/>
      <c r="B100" s="160"/>
      <c r="C100" s="21" t="s">
        <v>2207</v>
      </c>
      <c r="D100" s="24" t="s">
        <v>2606</v>
      </c>
      <c r="E100" s="21" t="s">
        <v>2607</v>
      </c>
      <c r="F100" s="33"/>
      <c r="G100" s="279">
        <f t="shared" si="43"/>
        <v>0</v>
      </c>
      <c r="H100" s="181">
        <f>COUNTIF(Area_v1_AncFound,$C100)</f>
        <v>0</v>
      </c>
      <c r="I100" s="809">
        <f>COUNTIF(Area_v2_AncFound,$C100)</f>
        <v>0</v>
      </c>
      <c r="J100" s="181">
        <f>COUNTIF(Area_v3ZIC_AncFound,$C100)</f>
        <v>0</v>
      </c>
      <c r="K100" s="183">
        <f>COUNTIF(Area_v4ZIC_AncFound,$C100)</f>
        <v>0</v>
      </c>
      <c r="L100" s="181">
        <f>COUNTIF(Area_v3BIN_AncFound,$C100)</f>
        <v>0</v>
      </c>
      <c r="M100" s="182">
        <f>COUNTIF(Area_v4BIN_AncFound,$C100)</f>
        <v>0</v>
      </c>
      <c r="N100" s="183">
        <f>COUNTIF(Area_v5BIN_AncFound,$C100)</f>
        <v>0</v>
      </c>
      <c r="O100" s="181">
        <f>COUNTIF(Area_v3HAD_AncFound,$C100)</f>
        <v>0</v>
      </c>
      <c r="P100" s="182">
        <f>COUNTIF(Area_v3KFA_AncFound,$C100)</f>
        <v>0</v>
      </c>
      <c r="Q100" s="855">
        <f>COUNTIF(Area_v4KFA_AncFound,$C100)</f>
        <v>0</v>
      </c>
      <c r="R100" s="64"/>
    </row>
    <row r="101" spans="1:18" ht="32.1" customHeight="1">
      <c r="A101" s="1184"/>
      <c r="B101" s="1185"/>
      <c r="C101" s="1186" t="s">
        <v>2608</v>
      </c>
      <c r="D101" s="1187" t="s">
        <v>2207</v>
      </c>
      <c r="E101" s="1186" t="s">
        <v>2609</v>
      </c>
      <c r="F101" s="1187"/>
      <c r="G101" s="1188">
        <f t="shared" si="43"/>
        <v>0</v>
      </c>
      <c r="H101" s="184">
        <f>COUNTIF(Area_v1_AncFound,$C101)</f>
        <v>0</v>
      </c>
      <c r="I101" s="810">
        <f>COUNTIF(Area_v2_AncFound,$C101)</f>
        <v>0</v>
      </c>
      <c r="J101" s="184">
        <f>COUNTIF(Area_v3ZIC_AncFound,$C101)</f>
        <v>0</v>
      </c>
      <c r="K101" s="186">
        <f>COUNTIF(Area_v4ZIC_AncFound,$C101)</f>
        <v>0</v>
      </c>
      <c r="L101" s="184">
        <f>COUNTIF(Area_v3BIN_AncFound,$C101)</f>
        <v>0</v>
      </c>
      <c r="M101" s="185">
        <f>COUNTIF(Area_v4BIN_AncFound,$C101)</f>
        <v>0</v>
      </c>
      <c r="N101" s="186">
        <f>COUNTIF(Area_v5BIN_AncFound,$C101)</f>
        <v>0</v>
      </c>
      <c r="O101" s="184">
        <f>COUNTIF(Area_v3HAD_AncFound,$C101)</f>
        <v>0</v>
      </c>
      <c r="P101" s="185">
        <f>COUNTIF(Area_v3KFA_AncFound,$C101)</f>
        <v>0</v>
      </c>
      <c r="Q101" s="860">
        <f>COUNTIF(Area_v4KFA_AncFound,$C101)</f>
        <v>0</v>
      </c>
      <c r="R101" s="833"/>
    </row>
    <row r="102" spans="1:18" ht="32.1" customHeight="1">
      <c r="A102" s="1125" t="s">
        <v>2610</v>
      </c>
      <c r="B102" s="160"/>
      <c r="C102" s="30" t="s">
        <v>109</v>
      </c>
      <c r="D102" s="33" t="s">
        <v>109</v>
      </c>
      <c r="E102" s="30" t="s">
        <v>2611</v>
      </c>
      <c r="F102" s="33"/>
      <c r="G102" s="279">
        <f t="shared" si="43"/>
        <v>0</v>
      </c>
      <c r="H102" s="181">
        <f t="shared" si="33"/>
        <v>0</v>
      </c>
      <c r="I102" s="809">
        <f t="shared" si="34"/>
        <v>0</v>
      </c>
      <c r="J102" s="181">
        <f t="shared" si="35"/>
        <v>0</v>
      </c>
      <c r="K102" s="183">
        <f t="shared" si="36"/>
        <v>0</v>
      </c>
      <c r="L102" s="181">
        <f t="shared" ref="L102:L136" si="44">COUNTIF(Area_v3BIN,$C102)</f>
        <v>0</v>
      </c>
      <c r="M102" s="182">
        <f t="shared" si="38"/>
        <v>0</v>
      </c>
      <c r="N102" s="183">
        <f t="shared" si="39"/>
        <v>0</v>
      </c>
      <c r="O102" s="181">
        <f t="shared" ref="O102:O136" si="45">COUNTIF(Area_v3HAD,$C102)</f>
        <v>0</v>
      </c>
      <c r="P102" s="182">
        <f t="shared" ref="P102:P136" si="46">COUNTIF(Area_v3KFA,$C102)</f>
        <v>0</v>
      </c>
      <c r="Q102" s="855">
        <f t="shared" ref="Q102:Q136" si="47">COUNTIF(Area_v4KFA,$C102)</f>
        <v>0</v>
      </c>
      <c r="R102" s="832"/>
    </row>
    <row r="103" spans="1:18" ht="32.1" customHeight="1">
      <c r="A103" s="1126"/>
      <c r="B103" s="160"/>
      <c r="C103" s="30" t="s">
        <v>2612</v>
      </c>
      <c r="D103" s="33" t="s">
        <v>2612</v>
      </c>
      <c r="E103" s="30" t="s">
        <v>2613</v>
      </c>
      <c r="F103" s="33"/>
      <c r="G103" s="279">
        <f t="shared" si="43"/>
        <v>0</v>
      </c>
      <c r="H103" s="169">
        <f t="shared" si="33"/>
        <v>0</v>
      </c>
      <c r="I103" s="806">
        <f t="shared" si="34"/>
        <v>0</v>
      </c>
      <c r="J103" s="169">
        <f t="shared" si="35"/>
        <v>0</v>
      </c>
      <c r="K103" s="171">
        <f t="shared" si="36"/>
        <v>0</v>
      </c>
      <c r="L103" s="169">
        <f t="shared" si="44"/>
        <v>0</v>
      </c>
      <c r="M103" s="170">
        <f t="shared" si="38"/>
        <v>0</v>
      </c>
      <c r="N103" s="171">
        <f t="shared" si="39"/>
        <v>0</v>
      </c>
      <c r="O103" s="169">
        <f t="shared" si="45"/>
        <v>0</v>
      </c>
      <c r="P103" s="170">
        <f t="shared" si="46"/>
        <v>0</v>
      </c>
      <c r="Q103" s="855">
        <f t="shared" si="47"/>
        <v>0</v>
      </c>
      <c r="R103" s="832"/>
    </row>
    <row r="104" spans="1:18" ht="32.1" customHeight="1">
      <c r="A104" s="1126"/>
      <c r="B104" s="160"/>
      <c r="C104" s="21" t="s">
        <v>2614</v>
      </c>
      <c r="D104" s="24" t="s">
        <v>2614</v>
      </c>
      <c r="E104" s="21" t="s">
        <v>2615</v>
      </c>
      <c r="F104" s="24"/>
      <c r="G104" s="179">
        <f t="shared" si="43"/>
        <v>0</v>
      </c>
      <c r="H104" s="169">
        <f t="shared" si="33"/>
        <v>0</v>
      </c>
      <c r="I104" s="806">
        <f t="shared" si="34"/>
        <v>0</v>
      </c>
      <c r="J104" s="169">
        <f t="shared" si="35"/>
        <v>0</v>
      </c>
      <c r="K104" s="171">
        <f t="shared" si="36"/>
        <v>0</v>
      </c>
      <c r="L104" s="169">
        <f t="shared" si="44"/>
        <v>0</v>
      </c>
      <c r="M104" s="170">
        <f t="shared" si="38"/>
        <v>0</v>
      </c>
      <c r="N104" s="171">
        <f t="shared" si="39"/>
        <v>0</v>
      </c>
      <c r="O104" s="169">
        <f t="shared" si="45"/>
        <v>0</v>
      </c>
      <c r="P104" s="170">
        <f t="shared" si="46"/>
        <v>0</v>
      </c>
      <c r="Q104" s="856">
        <f t="shared" si="47"/>
        <v>0</v>
      </c>
      <c r="R104" s="64"/>
    </row>
    <row r="105" spans="1:18" ht="32.1" customHeight="1">
      <c r="A105" s="1126"/>
      <c r="B105" s="160"/>
      <c r="C105" s="21" t="s">
        <v>2616</v>
      </c>
      <c r="D105" s="24" t="s">
        <v>2616</v>
      </c>
      <c r="E105" s="21" t="s">
        <v>2617</v>
      </c>
      <c r="F105" s="24"/>
      <c r="G105" s="179">
        <f t="shared" si="43"/>
        <v>0</v>
      </c>
      <c r="H105" s="169">
        <f t="shared" si="33"/>
        <v>0</v>
      </c>
      <c r="I105" s="806">
        <f t="shared" si="34"/>
        <v>0</v>
      </c>
      <c r="J105" s="169">
        <f t="shared" si="35"/>
        <v>0</v>
      </c>
      <c r="K105" s="171">
        <f t="shared" si="36"/>
        <v>0</v>
      </c>
      <c r="L105" s="169">
        <f t="shared" si="44"/>
        <v>0</v>
      </c>
      <c r="M105" s="170">
        <f t="shared" si="38"/>
        <v>0</v>
      </c>
      <c r="N105" s="171">
        <f t="shared" si="39"/>
        <v>0</v>
      </c>
      <c r="O105" s="169">
        <f t="shared" si="45"/>
        <v>0</v>
      </c>
      <c r="P105" s="170">
        <f t="shared" si="46"/>
        <v>0</v>
      </c>
      <c r="Q105" s="856">
        <f t="shared" si="47"/>
        <v>0</v>
      </c>
      <c r="R105" s="64"/>
    </row>
    <row r="106" spans="1:18" ht="32.1" customHeight="1">
      <c r="A106" s="1126"/>
      <c r="B106" s="160"/>
      <c r="C106" s="21" t="s">
        <v>2618</v>
      </c>
      <c r="D106" s="24" t="s">
        <v>2618</v>
      </c>
      <c r="E106" s="21" t="s">
        <v>2619</v>
      </c>
      <c r="F106" s="24"/>
      <c r="G106" s="179">
        <f t="shared" si="43"/>
        <v>0</v>
      </c>
      <c r="H106" s="169">
        <f t="shared" si="33"/>
        <v>0</v>
      </c>
      <c r="I106" s="806">
        <f t="shared" si="34"/>
        <v>0</v>
      </c>
      <c r="J106" s="169">
        <f t="shared" si="35"/>
        <v>0</v>
      </c>
      <c r="K106" s="171">
        <f t="shared" si="36"/>
        <v>0</v>
      </c>
      <c r="L106" s="169">
        <f t="shared" si="44"/>
        <v>0</v>
      </c>
      <c r="M106" s="170">
        <f t="shared" si="38"/>
        <v>0</v>
      </c>
      <c r="N106" s="171">
        <f t="shared" si="39"/>
        <v>0</v>
      </c>
      <c r="O106" s="169">
        <f t="shared" si="45"/>
        <v>0</v>
      </c>
      <c r="P106" s="170">
        <f t="shared" si="46"/>
        <v>0</v>
      </c>
      <c r="Q106" s="856">
        <f t="shared" si="47"/>
        <v>0</v>
      </c>
      <c r="R106" s="64"/>
    </row>
    <row r="107" spans="1:18" ht="32.1" customHeight="1">
      <c r="A107" s="1126"/>
      <c r="B107" s="160"/>
      <c r="C107" s="21" t="s">
        <v>2620</v>
      </c>
      <c r="D107" s="24" t="s">
        <v>2620</v>
      </c>
      <c r="E107" s="21" t="s">
        <v>2621</v>
      </c>
      <c r="F107" s="24"/>
      <c r="G107" s="179">
        <f t="shared" si="43"/>
        <v>0</v>
      </c>
      <c r="H107" s="169">
        <f t="shared" si="33"/>
        <v>0</v>
      </c>
      <c r="I107" s="806">
        <f t="shared" si="34"/>
        <v>0</v>
      </c>
      <c r="J107" s="169">
        <f t="shared" si="35"/>
        <v>0</v>
      </c>
      <c r="K107" s="171">
        <f t="shared" si="36"/>
        <v>0</v>
      </c>
      <c r="L107" s="169">
        <f t="shared" si="44"/>
        <v>0</v>
      </c>
      <c r="M107" s="170">
        <f t="shared" si="38"/>
        <v>0</v>
      </c>
      <c r="N107" s="171">
        <f t="shared" si="39"/>
        <v>0</v>
      </c>
      <c r="O107" s="169">
        <f t="shared" si="45"/>
        <v>0</v>
      </c>
      <c r="P107" s="170">
        <f t="shared" si="46"/>
        <v>0</v>
      </c>
      <c r="Q107" s="856">
        <f t="shared" si="47"/>
        <v>0</v>
      </c>
      <c r="R107" s="64"/>
    </row>
    <row r="108" spans="1:18" ht="32.1" customHeight="1">
      <c r="A108" s="1126"/>
      <c r="B108" s="160"/>
      <c r="C108" s="21" t="s">
        <v>2622</v>
      </c>
      <c r="D108" s="24" t="s">
        <v>2622</v>
      </c>
      <c r="E108" s="21" t="s">
        <v>2623</v>
      </c>
      <c r="F108" s="24"/>
      <c r="G108" s="179">
        <f t="shared" si="43"/>
        <v>0</v>
      </c>
      <c r="H108" s="169">
        <f t="shared" si="33"/>
        <v>0</v>
      </c>
      <c r="I108" s="806">
        <f t="shared" si="34"/>
        <v>0</v>
      </c>
      <c r="J108" s="169">
        <f t="shared" si="35"/>
        <v>0</v>
      </c>
      <c r="K108" s="171">
        <f t="shared" si="36"/>
        <v>0</v>
      </c>
      <c r="L108" s="169">
        <f t="shared" si="44"/>
        <v>0</v>
      </c>
      <c r="M108" s="170">
        <f t="shared" si="38"/>
        <v>0</v>
      </c>
      <c r="N108" s="171">
        <f t="shared" si="39"/>
        <v>0</v>
      </c>
      <c r="O108" s="169">
        <f t="shared" si="45"/>
        <v>0</v>
      </c>
      <c r="P108" s="170">
        <f t="shared" si="46"/>
        <v>0</v>
      </c>
      <c r="Q108" s="856">
        <f t="shared" si="47"/>
        <v>0</v>
      </c>
      <c r="R108" s="64"/>
    </row>
    <row r="109" spans="1:18" ht="32.1" customHeight="1">
      <c r="A109" s="1126"/>
      <c r="B109" s="160"/>
      <c r="C109" s="30" t="s">
        <v>2624</v>
      </c>
      <c r="D109" s="33" t="s">
        <v>2624</v>
      </c>
      <c r="E109" s="30" t="s">
        <v>2625</v>
      </c>
      <c r="F109" s="33">
        <v>6988</v>
      </c>
      <c r="G109" s="279">
        <f t="shared" si="43"/>
        <v>0</v>
      </c>
      <c r="H109" s="181">
        <f t="shared" si="33"/>
        <v>0</v>
      </c>
      <c r="I109" s="809">
        <f t="shared" si="34"/>
        <v>0</v>
      </c>
      <c r="J109" s="181">
        <f t="shared" si="35"/>
        <v>0</v>
      </c>
      <c r="K109" s="183">
        <f t="shared" si="36"/>
        <v>0</v>
      </c>
      <c r="L109" s="181">
        <f t="shared" si="44"/>
        <v>0</v>
      </c>
      <c r="M109" s="182">
        <f t="shared" si="38"/>
        <v>0</v>
      </c>
      <c r="N109" s="183">
        <f t="shared" si="39"/>
        <v>0</v>
      </c>
      <c r="O109" s="181">
        <f t="shared" si="45"/>
        <v>0</v>
      </c>
      <c r="P109" s="182">
        <f t="shared" si="46"/>
        <v>0</v>
      </c>
      <c r="Q109" s="855">
        <f t="shared" si="47"/>
        <v>0</v>
      </c>
      <c r="R109" s="832"/>
    </row>
    <row r="110" spans="1:18" ht="32.1" customHeight="1">
      <c r="A110" s="1126"/>
      <c r="B110" s="160"/>
      <c r="C110" s="30" t="s">
        <v>2626</v>
      </c>
      <c r="D110" s="33" t="s">
        <v>2626</v>
      </c>
      <c r="E110" s="30" t="s">
        <v>2627</v>
      </c>
      <c r="F110" s="33">
        <v>6987</v>
      </c>
      <c r="G110" s="279">
        <f t="shared" si="43"/>
        <v>0</v>
      </c>
      <c r="H110" s="181">
        <f t="shared" si="33"/>
        <v>0</v>
      </c>
      <c r="I110" s="809">
        <f t="shared" si="34"/>
        <v>0</v>
      </c>
      <c r="J110" s="181">
        <f t="shared" si="35"/>
        <v>0</v>
      </c>
      <c r="K110" s="183">
        <f t="shared" si="36"/>
        <v>0</v>
      </c>
      <c r="L110" s="181">
        <f t="shared" si="44"/>
        <v>0</v>
      </c>
      <c r="M110" s="182">
        <f t="shared" si="38"/>
        <v>0</v>
      </c>
      <c r="N110" s="183">
        <f t="shared" si="39"/>
        <v>0</v>
      </c>
      <c r="O110" s="181">
        <f t="shared" si="45"/>
        <v>0</v>
      </c>
      <c r="P110" s="182">
        <f t="shared" si="46"/>
        <v>0</v>
      </c>
      <c r="Q110" s="855">
        <f t="shared" si="47"/>
        <v>0</v>
      </c>
      <c r="R110" s="832"/>
    </row>
    <row r="111" spans="1:18" ht="32.1" customHeight="1">
      <c r="A111" s="1126"/>
      <c r="B111" s="160"/>
      <c r="C111" s="30" t="s">
        <v>2628</v>
      </c>
      <c r="D111" s="33" t="s">
        <v>2628</v>
      </c>
      <c r="E111" s="30" t="s">
        <v>2627</v>
      </c>
      <c r="F111" s="33">
        <v>6986</v>
      </c>
      <c r="G111" s="279">
        <f t="shared" si="43"/>
        <v>0</v>
      </c>
      <c r="H111" s="181">
        <f t="shared" si="33"/>
        <v>0</v>
      </c>
      <c r="I111" s="809">
        <f t="shared" si="34"/>
        <v>0</v>
      </c>
      <c r="J111" s="181">
        <f t="shared" si="35"/>
        <v>0</v>
      </c>
      <c r="K111" s="183">
        <f t="shared" si="36"/>
        <v>0</v>
      </c>
      <c r="L111" s="181">
        <f t="shared" si="44"/>
        <v>0</v>
      </c>
      <c r="M111" s="182">
        <f t="shared" si="38"/>
        <v>0</v>
      </c>
      <c r="N111" s="183">
        <f t="shared" si="39"/>
        <v>0</v>
      </c>
      <c r="O111" s="181">
        <f t="shared" si="45"/>
        <v>0</v>
      </c>
      <c r="P111" s="182">
        <f t="shared" si="46"/>
        <v>0</v>
      </c>
      <c r="Q111" s="855">
        <f t="shared" si="47"/>
        <v>0</v>
      </c>
      <c r="R111" s="832"/>
    </row>
    <row r="112" spans="1:18" ht="32.1" customHeight="1">
      <c r="A112" s="1126"/>
      <c r="B112" s="160"/>
      <c r="C112" s="30" t="s">
        <v>2629</v>
      </c>
      <c r="D112" s="33" t="s">
        <v>2629</v>
      </c>
      <c r="E112" s="30" t="s">
        <v>2630</v>
      </c>
      <c r="F112" s="33">
        <v>6973</v>
      </c>
      <c r="G112" s="279">
        <f t="shared" si="43"/>
        <v>0</v>
      </c>
      <c r="H112" s="181">
        <f t="shared" si="33"/>
        <v>0</v>
      </c>
      <c r="I112" s="809">
        <f t="shared" si="34"/>
        <v>0</v>
      </c>
      <c r="J112" s="181">
        <f t="shared" si="35"/>
        <v>0</v>
      </c>
      <c r="K112" s="183">
        <f t="shared" si="36"/>
        <v>0</v>
      </c>
      <c r="L112" s="181">
        <f t="shared" si="44"/>
        <v>0</v>
      </c>
      <c r="M112" s="182">
        <f t="shared" si="38"/>
        <v>0</v>
      </c>
      <c r="N112" s="183">
        <f t="shared" si="39"/>
        <v>0</v>
      </c>
      <c r="O112" s="181">
        <f t="shared" si="45"/>
        <v>0</v>
      </c>
      <c r="P112" s="182">
        <f t="shared" si="46"/>
        <v>0</v>
      </c>
      <c r="Q112" s="855">
        <f t="shared" si="47"/>
        <v>0</v>
      </c>
      <c r="R112" s="832"/>
    </row>
    <row r="113" spans="1:18" ht="32.1" customHeight="1">
      <c r="A113" s="1126"/>
      <c r="B113" s="160"/>
      <c r="C113" s="30" t="s">
        <v>2631</v>
      </c>
      <c r="D113" s="33" t="s">
        <v>2631</v>
      </c>
      <c r="E113" s="30" t="s">
        <v>2632</v>
      </c>
      <c r="F113" s="33">
        <v>6974</v>
      </c>
      <c r="G113" s="279">
        <f t="shared" si="43"/>
        <v>0</v>
      </c>
      <c r="H113" s="181">
        <f t="shared" si="33"/>
        <v>0</v>
      </c>
      <c r="I113" s="809">
        <f t="shared" si="34"/>
        <v>0</v>
      </c>
      <c r="J113" s="181">
        <f t="shared" si="35"/>
        <v>0</v>
      </c>
      <c r="K113" s="183">
        <f t="shared" si="36"/>
        <v>0</v>
      </c>
      <c r="L113" s="181">
        <f t="shared" si="44"/>
        <v>0</v>
      </c>
      <c r="M113" s="182">
        <f t="shared" si="38"/>
        <v>0</v>
      </c>
      <c r="N113" s="183">
        <f t="shared" si="39"/>
        <v>0</v>
      </c>
      <c r="O113" s="181">
        <f t="shared" si="45"/>
        <v>0</v>
      </c>
      <c r="P113" s="182">
        <f t="shared" si="46"/>
        <v>0</v>
      </c>
      <c r="Q113" s="855">
        <f t="shared" si="47"/>
        <v>0</v>
      </c>
      <c r="R113" s="832"/>
    </row>
    <row r="114" spans="1:18" ht="32.1" customHeight="1">
      <c r="A114" s="1126"/>
      <c r="B114" s="160"/>
      <c r="C114" s="30" t="s">
        <v>2633</v>
      </c>
      <c r="D114" s="33" t="s">
        <v>2633</v>
      </c>
      <c r="E114" s="30" t="s">
        <v>2634</v>
      </c>
      <c r="F114" s="33">
        <v>6976</v>
      </c>
      <c r="G114" s="279">
        <f t="shared" si="43"/>
        <v>0</v>
      </c>
      <c r="H114" s="181">
        <f t="shared" si="33"/>
        <v>0</v>
      </c>
      <c r="I114" s="809">
        <f t="shared" si="34"/>
        <v>0</v>
      </c>
      <c r="J114" s="181">
        <f t="shared" si="35"/>
        <v>0</v>
      </c>
      <c r="K114" s="183">
        <f t="shared" si="36"/>
        <v>0</v>
      </c>
      <c r="L114" s="181">
        <f t="shared" si="44"/>
        <v>0</v>
      </c>
      <c r="M114" s="182">
        <f t="shared" si="38"/>
        <v>0</v>
      </c>
      <c r="N114" s="183">
        <f t="shared" si="39"/>
        <v>0</v>
      </c>
      <c r="O114" s="181">
        <f t="shared" si="45"/>
        <v>0</v>
      </c>
      <c r="P114" s="182">
        <f t="shared" si="46"/>
        <v>0</v>
      </c>
      <c r="Q114" s="855">
        <f t="shared" si="47"/>
        <v>0</v>
      </c>
      <c r="R114" s="832"/>
    </row>
    <row r="115" spans="1:18" ht="32.1" customHeight="1">
      <c r="A115" s="1126"/>
      <c r="B115" s="160"/>
      <c r="C115" s="30" t="s">
        <v>2635</v>
      </c>
      <c r="D115" s="33" t="s">
        <v>2635</v>
      </c>
      <c r="E115" s="30" t="s">
        <v>2636</v>
      </c>
      <c r="F115" s="33">
        <v>6977</v>
      </c>
      <c r="G115" s="279">
        <f t="shared" si="43"/>
        <v>0</v>
      </c>
      <c r="H115" s="181">
        <f t="shared" si="33"/>
        <v>0</v>
      </c>
      <c r="I115" s="809">
        <f t="shared" si="34"/>
        <v>0</v>
      </c>
      <c r="J115" s="181">
        <f t="shared" si="35"/>
        <v>0</v>
      </c>
      <c r="K115" s="183">
        <f t="shared" si="36"/>
        <v>0</v>
      </c>
      <c r="L115" s="181">
        <f t="shared" si="44"/>
        <v>0</v>
      </c>
      <c r="M115" s="182">
        <f t="shared" si="38"/>
        <v>0</v>
      </c>
      <c r="N115" s="183">
        <f t="shared" si="39"/>
        <v>0</v>
      </c>
      <c r="O115" s="181">
        <f t="shared" si="45"/>
        <v>0</v>
      </c>
      <c r="P115" s="182">
        <f t="shared" si="46"/>
        <v>0</v>
      </c>
      <c r="Q115" s="855">
        <f t="shared" si="47"/>
        <v>0</v>
      </c>
      <c r="R115" s="832"/>
    </row>
    <row r="116" spans="1:18" ht="32.1" customHeight="1">
      <c r="A116" s="1184"/>
      <c r="B116" s="1185"/>
      <c r="C116" s="1186" t="s">
        <v>2637</v>
      </c>
      <c r="D116" s="1187" t="s">
        <v>2637</v>
      </c>
      <c r="E116" s="1186" t="s">
        <v>2638</v>
      </c>
      <c r="F116" s="1187">
        <v>6978</v>
      </c>
      <c r="G116" s="1188">
        <f t="shared" si="43"/>
        <v>0</v>
      </c>
      <c r="H116" s="184">
        <f t="shared" si="33"/>
        <v>0</v>
      </c>
      <c r="I116" s="810">
        <f t="shared" si="34"/>
        <v>0</v>
      </c>
      <c r="J116" s="184">
        <f t="shared" si="35"/>
        <v>0</v>
      </c>
      <c r="K116" s="186">
        <f t="shared" si="36"/>
        <v>0</v>
      </c>
      <c r="L116" s="184">
        <f t="shared" si="44"/>
        <v>0</v>
      </c>
      <c r="M116" s="185">
        <f t="shared" si="38"/>
        <v>0</v>
      </c>
      <c r="N116" s="186">
        <f t="shared" si="39"/>
        <v>0</v>
      </c>
      <c r="O116" s="184">
        <f t="shared" si="45"/>
        <v>0</v>
      </c>
      <c r="P116" s="185">
        <f t="shared" si="46"/>
        <v>0</v>
      </c>
      <c r="Q116" s="860">
        <f t="shared" si="47"/>
        <v>0</v>
      </c>
      <c r="R116" s="833"/>
    </row>
    <row r="117" spans="1:18" ht="32.1" customHeight="1">
      <c r="A117" s="1125" t="s">
        <v>2639</v>
      </c>
      <c r="B117" s="160"/>
      <c r="C117" s="30" t="s">
        <v>2222</v>
      </c>
      <c r="D117" s="33" t="s">
        <v>2222</v>
      </c>
      <c r="E117" s="30" t="s">
        <v>2640</v>
      </c>
      <c r="F117" s="33"/>
      <c r="G117" s="279">
        <f t="shared" si="43"/>
        <v>0</v>
      </c>
      <c r="H117" s="181">
        <f>COUNTIF(Area_v1,$C117)</f>
        <v>0</v>
      </c>
      <c r="I117" s="809">
        <f>COUNTIF(Area_v2,$C117)</f>
        <v>0</v>
      </c>
      <c r="J117" s="181">
        <f>COUNTIF(Area_v3ZIC,$C117)</f>
        <v>0</v>
      </c>
      <c r="K117" s="183">
        <f>COUNTIF(Area_v4ZIC,$C117)</f>
        <v>0</v>
      </c>
      <c r="L117" s="181">
        <f t="shared" si="44"/>
        <v>0</v>
      </c>
      <c r="M117" s="182">
        <f>COUNTIF(Area_v4BIN,$C117)</f>
        <v>0</v>
      </c>
      <c r="N117" s="183">
        <f>COUNTIF(Area_v5BIN,$C117)</f>
        <v>0</v>
      </c>
      <c r="O117" s="181">
        <f t="shared" si="45"/>
        <v>0</v>
      </c>
      <c r="P117" s="182">
        <f t="shared" si="46"/>
        <v>0</v>
      </c>
      <c r="Q117" s="855">
        <f t="shared" si="47"/>
        <v>0</v>
      </c>
      <c r="R117" s="832"/>
    </row>
    <row r="118" spans="1:18" ht="32.1" customHeight="1">
      <c r="A118" s="1126"/>
      <c r="B118" s="160"/>
      <c r="C118" s="30" t="s">
        <v>2218</v>
      </c>
      <c r="D118" s="33" t="s">
        <v>2218</v>
      </c>
      <c r="E118" s="30" t="s">
        <v>2640</v>
      </c>
      <c r="F118" s="33"/>
      <c r="G118" s="279">
        <f t="shared" si="43"/>
        <v>0</v>
      </c>
      <c r="H118" s="181">
        <f>COUNTIF(Area_v1,$C118)</f>
        <v>0</v>
      </c>
      <c r="I118" s="809">
        <f>COUNTIF(Area_v2,$C118)</f>
        <v>0</v>
      </c>
      <c r="J118" s="181">
        <f>COUNTIF(Area_v3ZIC,$C118)</f>
        <v>0</v>
      </c>
      <c r="K118" s="183">
        <f>COUNTIF(Area_v4ZIC,$C118)</f>
        <v>0</v>
      </c>
      <c r="L118" s="181">
        <f t="shared" si="44"/>
        <v>0</v>
      </c>
      <c r="M118" s="182">
        <f>COUNTIF(Area_v4BIN,$C118)</f>
        <v>0</v>
      </c>
      <c r="N118" s="183">
        <f>COUNTIF(Area_v5BIN,$C118)</f>
        <v>0</v>
      </c>
      <c r="O118" s="181">
        <f t="shared" si="45"/>
        <v>0</v>
      </c>
      <c r="P118" s="182">
        <f t="shared" si="46"/>
        <v>0</v>
      </c>
      <c r="Q118" s="855">
        <f t="shared" si="47"/>
        <v>0</v>
      </c>
      <c r="R118" s="832"/>
    </row>
    <row r="119" spans="1:18" ht="32.1" customHeight="1">
      <c r="A119" s="1184"/>
      <c r="B119" s="1185"/>
      <c r="C119" s="1186" t="s">
        <v>2641</v>
      </c>
      <c r="D119" s="1187" t="s">
        <v>2641</v>
      </c>
      <c r="E119" s="1186" t="s">
        <v>2642</v>
      </c>
      <c r="F119" s="1187"/>
      <c r="G119" s="1188">
        <f t="shared" si="43"/>
        <v>0</v>
      </c>
      <c r="H119" s="184">
        <f t="shared" si="33"/>
        <v>0</v>
      </c>
      <c r="I119" s="810">
        <f t="shared" si="34"/>
        <v>0</v>
      </c>
      <c r="J119" s="184">
        <f t="shared" si="35"/>
        <v>0</v>
      </c>
      <c r="K119" s="186">
        <f t="shared" si="36"/>
        <v>0</v>
      </c>
      <c r="L119" s="184">
        <f t="shared" si="44"/>
        <v>0</v>
      </c>
      <c r="M119" s="185">
        <f t="shared" si="38"/>
        <v>0</v>
      </c>
      <c r="N119" s="186">
        <f t="shared" si="39"/>
        <v>0</v>
      </c>
      <c r="O119" s="184">
        <f t="shared" si="45"/>
        <v>0</v>
      </c>
      <c r="P119" s="185">
        <f t="shared" si="46"/>
        <v>0</v>
      </c>
      <c r="Q119" s="860">
        <f t="shared" si="47"/>
        <v>0</v>
      </c>
      <c r="R119" s="833"/>
    </row>
    <row r="120" spans="1:18" ht="32.1" customHeight="1">
      <c r="A120" s="1125" t="s">
        <v>2643</v>
      </c>
      <c r="B120" s="160"/>
      <c r="C120" s="30" t="s">
        <v>2644</v>
      </c>
      <c r="D120" s="33" t="s">
        <v>2644</v>
      </c>
      <c r="E120" s="30" t="s">
        <v>2645</v>
      </c>
      <c r="F120" s="33"/>
      <c r="G120" s="279">
        <f t="shared" si="43"/>
        <v>0</v>
      </c>
      <c r="H120" s="181">
        <f t="shared" si="33"/>
        <v>0</v>
      </c>
      <c r="I120" s="809">
        <f t="shared" si="34"/>
        <v>0</v>
      </c>
      <c r="J120" s="181">
        <f t="shared" si="35"/>
        <v>0</v>
      </c>
      <c r="K120" s="183">
        <f t="shared" si="36"/>
        <v>0</v>
      </c>
      <c r="L120" s="181">
        <f t="shared" si="44"/>
        <v>0</v>
      </c>
      <c r="M120" s="182">
        <f t="shared" si="38"/>
        <v>0</v>
      </c>
      <c r="N120" s="183">
        <f t="shared" si="39"/>
        <v>0</v>
      </c>
      <c r="O120" s="181">
        <f t="shared" si="45"/>
        <v>0</v>
      </c>
      <c r="P120" s="182">
        <f t="shared" si="46"/>
        <v>0</v>
      </c>
      <c r="Q120" s="855">
        <f t="shared" si="47"/>
        <v>0</v>
      </c>
      <c r="R120" s="832"/>
    </row>
    <row r="121" spans="1:18" ht="32.1" customHeight="1">
      <c r="A121" s="1126"/>
      <c r="B121" s="160"/>
      <c r="C121" s="21" t="s">
        <v>2646</v>
      </c>
      <c r="D121" s="24" t="s">
        <v>2646</v>
      </c>
      <c r="E121" s="21" t="s">
        <v>2647</v>
      </c>
      <c r="F121" s="24"/>
      <c r="G121" s="179">
        <f t="shared" si="43"/>
        <v>0</v>
      </c>
      <c r="H121" s="169">
        <f t="shared" si="33"/>
        <v>0</v>
      </c>
      <c r="I121" s="806">
        <f t="shared" si="34"/>
        <v>0</v>
      </c>
      <c r="J121" s="169">
        <f t="shared" si="35"/>
        <v>0</v>
      </c>
      <c r="K121" s="171">
        <f t="shared" si="36"/>
        <v>0</v>
      </c>
      <c r="L121" s="169">
        <f t="shared" si="44"/>
        <v>0</v>
      </c>
      <c r="M121" s="170">
        <f t="shared" si="38"/>
        <v>0</v>
      </c>
      <c r="N121" s="171">
        <f t="shared" si="39"/>
        <v>0</v>
      </c>
      <c r="O121" s="169">
        <f t="shared" si="45"/>
        <v>0</v>
      </c>
      <c r="P121" s="170">
        <f t="shared" si="46"/>
        <v>0</v>
      </c>
      <c r="Q121" s="856">
        <f t="shared" si="47"/>
        <v>0</v>
      </c>
      <c r="R121" s="64"/>
    </row>
    <row r="122" spans="1:18" ht="32.1" customHeight="1">
      <c r="A122" s="1126"/>
      <c r="B122" s="160"/>
      <c r="C122" s="21" t="s">
        <v>2648</v>
      </c>
      <c r="D122" s="24" t="s">
        <v>2648</v>
      </c>
      <c r="E122" s="21" t="s">
        <v>2649</v>
      </c>
      <c r="F122" s="24"/>
      <c r="G122" s="179">
        <f t="shared" si="43"/>
        <v>0</v>
      </c>
      <c r="H122" s="169">
        <f t="shared" si="33"/>
        <v>0</v>
      </c>
      <c r="I122" s="806">
        <f t="shared" si="34"/>
        <v>0</v>
      </c>
      <c r="J122" s="169">
        <f t="shared" si="35"/>
        <v>0</v>
      </c>
      <c r="K122" s="171">
        <f t="shared" si="36"/>
        <v>0</v>
      </c>
      <c r="L122" s="169">
        <f t="shared" si="44"/>
        <v>0</v>
      </c>
      <c r="M122" s="170">
        <f t="shared" si="38"/>
        <v>0</v>
      </c>
      <c r="N122" s="171">
        <f t="shared" si="39"/>
        <v>0</v>
      </c>
      <c r="O122" s="169">
        <f t="shared" si="45"/>
        <v>0</v>
      </c>
      <c r="P122" s="170">
        <f t="shared" si="46"/>
        <v>0</v>
      </c>
      <c r="Q122" s="856">
        <f t="shared" si="47"/>
        <v>0</v>
      </c>
      <c r="R122" s="64"/>
    </row>
    <row r="123" spans="1:18" ht="32.1" customHeight="1">
      <c r="A123" s="1126"/>
      <c r="B123" s="160"/>
      <c r="C123" s="21" t="s">
        <v>2650</v>
      </c>
      <c r="D123" s="24" t="s">
        <v>2650</v>
      </c>
      <c r="E123" s="21" t="s">
        <v>2651</v>
      </c>
      <c r="F123" s="24"/>
      <c r="G123" s="179">
        <f t="shared" si="43"/>
        <v>0</v>
      </c>
      <c r="H123" s="169">
        <f t="shared" si="33"/>
        <v>0</v>
      </c>
      <c r="I123" s="806">
        <f t="shared" si="34"/>
        <v>0</v>
      </c>
      <c r="J123" s="169">
        <f t="shared" si="35"/>
        <v>0</v>
      </c>
      <c r="K123" s="171">
        <f t="shared" si="36"/>
        <v>0</v>
      </c>
      <c r="L123" s="169">
        <f t="shared" si="44"/>
        <v>0</v>
      </c>
      <c r="M123" s="170">
        <f t="shared" si="38"/>
        <v>0</v>
      </c>
      <c r="N123" s="171">
        <f t="shared" si="39"/>
        <v>0</v>
      </c>
      <c r="O123" s="169">
        <f t="shared" si="45"/>
        <v>0</v>
      </c>
      <c r="P123" s="170">
        <f t="shared" si="46"/>
        <v>0</v>
      </c>
      <c r="Q123" s="856">
        <f t="shared" si="47"/>
        <v>0</v>
      </c>
      <c r="R123" s="64"/>
    </row>
    <row r="124" spans="1:18" ht="32.1" customHeight="1">
      <c r="A124" s="1126"/>
      <c r="B124" s="160"/>
      <c r="C124" s="21" t="s">
        <v>2652</v>
      </c>
      <c r="D124" s="24" t="s">
        <v>2652</v>
      </c>
      <c r="E124" s="21" t="s">
        <v>2653</v>
      </c>
      <c r="F124" s="24"/>
      <c r="G124" s="179">
        <f t="shared" si="43"/>
        <v>0</v>
      </c>
      <c r="H124" s="169">
        <f t="shared" si="33"/>
        <v>0</v>
      </c>
      <c r="I124" s="806">
        <f t="shared" si="34"/>
        <v>0</v>
      </c>
      <c r="J124" s="169">
        <f t="shared" si="35"/>
        <v>0</v>
      </c>
      <c r="K124" s="171">
        <f t="shared" si="36"/>
        <v>0</v>
      </c>
      <c r="L124" s="169">
        <f t="shared" si="44"/>
        <v>0</v>
      </c>
      <c r="M124" s="170">
        <f t="shared" si="38"/>
        <v>0</v>
      </c>
      <c r="N124" s="171">
        <f t="shared" si="39"/>
        <v>0</v>
      </c>
      <c r="O124" s="169">
        <f t="shared" si="45"/>
        <v>0</v>
      </c>
      <c r="P124" s="170">
        <f t="shared" si="46"/>
        <v>0</v>
      </c>
      <c r="Q124" s="856">
        <f t="shared" si="47"/>
        <v>0</v>
      </c>
      <c r="R124" s="64"/>
    </row>
    <row r="125" spans="1:18" ht="32.1" customHeight="1">
      <c r="A125" s="1184"/>
      <c r="B125" s="1185"/>
      <c r="C125" s="22" t="s">
        <v>2654</v>
      </c>
      <c r="D125" s="25" t="s">
        <v>2654</v>
      </c>
      <c r="E125" s="22" t="s">
        <v>2655</v>
      </c>
      <c r="F125" s="25"/>
      <c r="G125" s="180">
        <f t="shared" si="43"/>
        <v>0</v>
      </c>
      <c r="H125" s="175">
        <f t="shared" si="33"/>
        <v>0</v>
      </c>
      <c r="I125" s="808">
        <f t="shared" si="34"/>
        <v>0</v>
      </c>
      <c r="J125" s="175">
        <f t="shared" si="35"/>
        <v>0</v>
      </c>
      <c r="K125" s="177">
        <f t="shared" si="36"/>
        <v>0</v>
      </c>
      <c r="L125" s="175">
        <f t="shared" si="44"/>
        <v>0</v>
      </c>
      <c r="M125" s="176">
        <f t="shared" si="38"/>
        <v>0</v>
      </c>
      <c r="N125" s="177">
        <f t="shared" si="39"/>
        <v>0</v>
      </c>
      <c r="O125" s="175">
        <f t="shared" si="45"/>
        <v>0</v>
      </c>
      <c r="P125" s="176">
        <f t="shared" si="46"/>
        <v>0</v>
      </c>
      <c r="Q125" s="858">
        <f t="shared" si="47"/>
        <v>0</v>
      </c>
      <c r="R125" s="157"/>
    </row>
    <row r="126" spans="1:18" ht="32.1" customHeight="1">
      <c r="A126" s="1129" t="s">
        <v>2656</v>
      </c>
      <c r="B126" s="160"/>
      <c r="C126" s="20" t="s">
        <v>2657</v>
      </c>
      <c r="D126" s="23" t="s">
        <v>2657</v>
      </c>
      <c r="E126" s="20" t="s">
        <v>2658</v>
      </c>
      <c r="F126" s="23"/>
      <c r="G126" s="178">
        <f t="shared" si="43"/>
        <v>0</v>
      </c>
      <c r="H126" s="166">
        <f>COUNTIF(Area_v1,$C126)</f>
        <v>0</v>
      </c>
      <c r="I126" s="805">
        <f>COUNTIF(Area_v2,$C126)</f>
        <v>0</v>
      </c>
      <c r="J126" s="166">
        <f>COUNTIF(Area_v3ZIC,$C126)</f>
        <v>0</v>
      </c>
      <c r="K126" s="168">
        <f>COUNTIF(Area_v4ZIC,$C126)</f>
        <v>0</v>
      </c>
      <c r="L126" s="166">
        <f t="shared" si="44"/>
        <v>0</v>
      </c>
      <c r="M126" s="167">
        <f>COUNTIF(Area_v4BIN,$C126)</f>
        <v>0</v>
      </c>
      <c r="N126" s="168">
        <f>COUNTIF(Area_v5BIN,$C126)</f>
        <v>0</v>
      </c>
      <c r="O126" s="166">
        <f t="shared" si="45"/>
        <v>0</v>
      </c>
      <c r="P126" s="167">
        <f t="shared" si="46"/>
        <v>0</v>
      </c>
      <c r="Q126" s="859">
        <f t="shared" si="47"/>
        <v>0</v>
      </c>
      <c r="R126" s="132"/>
    </row>
    <row r="127" spans="1:18" ht="32.1" customHeight="1">
      <c r="A127" s="1189"/>
      <c r="B127" s="1185"/>
      <c r="C127" s="1186" t="s">
        <v>2659</v>
      </c>
      <c r="D127" s="1187" t="s">
        <v>2659</v>
      </c>
      <c r="E127" s="1186" t="s">
        <v>2658</v>
      </c>
      <c r="F127" s="1187"/>
      <c r="G127" s="1188">
        <f t="shared" si="43"/>
        <v>0</v>
      </c>
      <c r="H127" s="184">
        <f>COUNTIF(Area_v1,$C127)</f>
        <v>0</v>
      </c>
      <c r="I127" s="810">
        <f>COUNTIF(Area_v2,$C127)</f>
        <v>0</v>
      </c>
      <c r="J127" s="184">
        <f>COUNTIF(Area_v3ZIC,$C127)</f>
        <v>0</v>
      </c>
      <c r="K127" s="186">
        <f>COUNTIF(Area_v4ZIC,$C127)</f>
        <v>0</v>
      </c>
      <c r="L127" s="184">
        <f t="shared" si="44"/>
        <v>0</v>
      </c>
      <c r="M127" s="185">
        <f>COUNTIF(Area_v4BIN,$C127)</f>
        <v>0</v>
      </c>
      <c r="N127" s="186">
        <f>COUNTIF(Area_v5BIN,$C127)</f>
        <v>0</v>
      </c>
      <c r="O127" s="184">
        <f t="shared" si="45"/>
        <v>0</v>
      </c>
      <c r="P127" s="185">
        <f t="shared" si="46"/>
        <v>0</v>
      </c>
      <c r="Q127" s="860">
        <f t="shared" si="47"/>
        <v>0</v>
      </c>
      <c r="R127" s="833"/>
    </row>
    <row r="128" spans="1:18" ht="32.1" customHeight="1">
      <c r="A128" s="1125" t="s">
        <v>2660</v>
      </c>
      <c r="B128" s="160"/>
      <c r="C128" s="30" t="s">
        <v>2661</v>
      </c>
      <c r="D128" s="33" t="s">
        <v>2661</v>
      </c>
      <c r="E128" s="30" t="s">
        <v>2662</v>
      </c>
      <c r="F128" s="33"/>
      <c r="G128" s="279">
        <f t="shared" si="43"/>
        <v>0</v>
      </c>
      <c r="H128" s="181">
        <f t="shared" si="33"/>
        <v>0</v>
      </c>
      <c r="I128" s="809">
        <f t="shared" si="34"/>
        <v>0</v>
      </c>
      <c r="J128" s="181">
        <f t="shared" si="35"/>
        <v>0</v>
      </c>
      <c r="K128" s="183">
        <f t="shared" si="36"/>
        <v>0</v>
      </c>
      <c r="L128" s="181">
        <f t="shared" si="44"/>
        <v>0</v>
      </c>
      <c r="M128" s="182">
        <f t="shared" si="38"/>
        <v>0</v>
      </c>
      <c r="N128" s="183">
        <f t="shared" si="39"/>
        <v>0</v>
      </c>
      <c r="O128" s="181">
        <f t="shared" si="45"/>
        <v>0</v>
      </c>
      <c r="P128" s="182">
        <f t="shared" si="46"/>
        <v>0</v>
      </c>
      <c r="Q128" s="855">
        <f t="shared" si="47"/>
        <v>0</v>
      </c>
      <c r="R128" s="832"/>
    </row>
    <row r="129" spans="1:18" ht="32.1" customHeight="1">
      <c r="A129" s="1126"/>
      <c r="B129" s="160"/>
      <c r="C129" s="30" t="s">
        <v>2663</v>
      </c>
      <c r="D129" s="33" t="s">
        <v>2663</v>
      </c>
      <c r="E129" s="30" t="s">
        <v>2664</v>
      </c>
      <c r="F129" s="33"/>
      <c r="G129" s="279">
        <f t="shared" si="43"/>
        <v>0</v>
      </c>
      <c r="H129" s="169">
        <f t="shared" si="33"/>
        <v>0</v>
      </c>
      <c r="I129" s="806">
        <f t="shared" si="34"/>
        <v>0</v>
      </c>
      <c r="J129" s="169">
        <f t="shared" si="35"/>
        <v>0</v>
      </c>
      <c r="K129" s="171">
        <f t="shared" si="36"/>
        <v>0</v>
      </c>
      <c r="L129" s="169">
        <f t="shared" si="44"/>
        <v>0</v>
      </c>
      <c r="M129" s="170">
        <f t="shared" si="38"/>
        <v>0</v>
      </c>
      <c r="N129" s="171">
        <f t="shared" si="39"/>
        <v>0</v>
      </c>
      <c r="O129" s="169">
        <f t="shared" si="45"/>
        <v>0</v>
      </c>
      <c r="P129" s="170">
        <f t="shared" si="46"/>
        <v>0</v>
      </c>
      <c r="Q129" s="855">
        <f t="shared" si="47"/>
        <v>0</v>
      </c>
      <c r="R129" s="832"/>
    </row>
    <row r="130" spans="1:18" ht="32.1" customHeight="1">
      <c r="A130" s="1126"/>
      <c r="B130" s="160"/>
      <c r="C130" s="21" t="s">
        <v>2665</v>
      </c>
      <c r="D130" s="24" t="s">
        <v>2665</v>
      </c>
      <c r="E130" s="21" t="s">
        <v>2666</v>
      </c>
      <c r="F130" s="24"/>
      <c r="G130" s="179">
        <f t="shared" si="43"/>
        <v>0</v>
      </c>
      <c r="H130" s="169">
        <f t="shared" si="33"/>
        <v>0</v>
      </c>
      <c r="I130" s="806">
        <f t="shared" si="34"/>
        <v>0</v>
      </c>
      <c r="J130" s="169">
        <f t="shared" si="35"/>
        <v>0</v>
      </c>
      <c r="K130" s="171">
        <f t="shared" si="36"/>
        <v>0</v>
      </c>
      <c r="L130" s="169">
        <f t="shared" si="44"/>
        <v>0</v>
      </c>
      <c r="M130" s="170">
        <f t="shared" si="38"/>
        <v>0</v>
      </c>
      <c r="N130" s="171">
        <f t="shared" si="39"/>
        <v>0</v>
      </c>
      <c r="O130" s="169">
        <f t="shared" si="45"/>
        <v>0</v>
      </c>
      <c r="P130" s="170">
        <f t="shared" si="46"/>
        <v>0</v>
      </c>
      <c r="Q130" s="856">
        <f t="shared" si="47"/>
        <v>0</v>
      </c>
      <c r="R130" s="64"/>
    </row>
    <row r="131" spans="1:18" ht="32.1" customHeight="1">
      <c r="A131" s="1126"/>
      <c r="B131" s="160"/>
      <c r="C131" s="21" t="s">
        <v>2667</v>
      </c>
      <c r="D131" s="24" t="s">
        <v>2667</v>
      </c>
      <c r="E131" s="21" t="s">
        <v>2668</v>
      </c>
      <c r="F131" s="24"/>
      <c r="G131" s="179">
        <f t="shared" ref="G131:G163" si="48">SUM(H131:Q131)</f>
        <v>0</v>
      </c>
      <c r="H131" s="169">
        <f t="shared" si="33"/>
        <v>0</v>
      </c>
      <c r="I131" s="806">
        <f t="shared" si="34"/>
        <v>0</v>
      </c>
      <c r="J131" s="169">
        <f t="shared" si="35"/>
        <v>0</v>
      </c>
      <c r="K131" s="171">
        <f t="shared" si="36"/>
        <v>0</v>
      </c>
      <c r="L131" s="169">
        <f t="shared" si="44"/>
        <v>0</v>
      </c>
      <c r="M131" s="170">
        <f t="shared" si="38"/>
        <v>0</v>
      </c>
      <c r="N131" s="171">
        <f t="shared" si="39"/>
        <v>0</v>
      </c>
      <c r="O131" s="169">
        <f t="shared" si="45"/>
        <v>0</v>
      </c>
      <c r="P131" s="170">
        <f t="shared" si="46"/>
        <v>0</v>
      </c>
      <c r="Q131" s="856">
        <f t="shared" si="47"/>
        <v>0</v>
      </c>
      <c r="R131" s="64"/>
    </row>
    <row r="132" spans="1:18" ht="32.1" customHeight="1">
      <c r="A132" s="1126"/>
      <c r="B132" s="160"/>
      <c r="C132" s="21" t="s">
        <v>2669</v>
      </c>
      <c r="D132" s="24" t="s">
        <v>2669</v>
      </c>
      <c r="E132" s="21" t="s">
        <v>2670</v>
      </c>
      <c r="F132" s="24"/>
      <c r="G132" s="179">
        <f t="shared" si="48"/>
        <v>0</v>
      </c>
      <c r="H132" s="169">
        <f t="shared" si="33"/>
        <v>0</v>
      </c>
      <c r="I132" s="806">
        <f t="shared" si="34"/>
        <v>0</v>
      </c>
      <c r="J132" s="169">
        <f t="shared" si="35"/>
        <v>0</v>
      </c>
      <c r="K132" s="171">
        <f t="shared" si="36"/>
        <v>0</v>
      </c>
      <c r="L132" s="169">
        <f t="shared" si="44"/>
        <v>0</v>
      </c>
      <c r="M132" s="170">
        <f t="shared" si="38"/>
        <v>0</v>
      </c>
      <c r="N132" s="171">
        <f t="shared" si="39"/>
        <v>0</v>
      </c>
      <c r="O132" s="169">
        <f t="shared" si="45"/>
        <v>0</v>
      </c>
      <c r="P132" s="170">
        <f t="shared" si="46"/>
        <v>0</v>
      </c>
      <c r="Q132" s="856">
        <f t="shared" si="47"/>
        <v>0</v>
      </c>
      <c r="R132" s="64"/>
    </row>
    <row r="133" spans="1:18" ht="32.1" customHeight="1">
      <c r="A133" s="1126"/>
      <c r="B133" s="160"/>
      <c r="C133" s="21" t="s">
        <v>2671</v>
      </c>
      <c r="D133" s="24" t="s">
        <v>2671</v>
      </c>
      <c r="E133" s="21" t="s">
        <v>2672</v>
      </c>
      <c r="F133" s="24"/>
      <c r="G133" s="179">
        <f t="shared" si="48"/>
        <v>0</v>
      </c>
      <c r="H133" s="169">
        <f t="shared" si="33"/>
        <v>0</v>
      </c>
      <c r="I133" s="806">
        <f t="shared" si="34"/>
        <v>0</v>
      </c>
      <c r="J133" s="169">
        <f t="shared" si="35"/>
        <v>0</v>
      </c>
      <c r="K133" s="171">
        <f t="shared" si="36"/>
        <v>0</v>
      </c>
      <c r="L133" s="169">
        <f t="shared" si="44"/>
        <v>0</v>
      </c>
      <c r="M133" s="170">
        <f t="shared" si="38"/>
        <v>0</v>
      </c>
      <c r="N133" s="171">
        <f t="shared" si="39"/>
        <v>0</v>
      </c>
      <c r="O133" s="169">
        <f t="shared" si="45"/>
        <v>0</v>
      </c>
      <c r="P133" s="170">
        <f t="shared" si="46"/>
        <v>0</v>
      </c>
      <c r="Q133" s="856">
        <f t="shared" si="47"/>
        <v>0</v>
      </c>
      <c r="R133" s="64"/>
    </row>
    <row r="134" spans="1:18" ht="32.1" customHeight="1">
      <c r="A134" s="1126"/>
      <c r="B134" s="160"/>
      <c r="C134" s="31" t="s">
        <v>2673</v>
      </c>
      <c r="D134" s="32" t="s">
        <v>2673</v>
      </c>
      <c r="E134" s="31" t="s">
        <v>2674</v>
      </c>
      <c r="F134" s="32"/>
      <c r="G134" s="278">
        <f t="shared" si="48"/>
        <v>0</v>
      </c>
      <c r="H134" s="172">
        <f t="shared" si="33"/>
        <v>0</v>
      </c>
      <c r="I134" s="807">
        <f t="shared" si="34"/>
        <v>0</v>
      </c>
      <c r="J134" s="172">
        <f t="shared" si="35"/>
        <v>0</v>
      </c>
      <c r="K134" s="174">
        <f t="shared" si="36"/>
        <v>0</v>
      </c>
      <c r="L134" s="172">
        <f t="shared" si="44"/>
        <v>0</v>
      </c>
      <c r="M134" s="173">
        <f t="shared" si="38"/>
        <v>0</v>
      </c>
      <c r="N134" s="174">
        <f t="shared" si="39"/>
        <v>0</v>
      </c>
      <c r="O134" s="172">
        <f t="shared" si="45"/>
        <v>0</v>
      </c>
      <c r="P134" s="173">
        <f t="shared" si="46"/>
        <v>0</v>
      </c>
      <c r="Q134" s="857">
        <f t="shared" si="47"/>
        <v>0</v>
      </c>
      <c r="R134" s="134"/>
    </row>
    <row r="135" spans="1:18" ht="32.1" customHeight="1">
      <c r="A135" s="1126"/>
      <c r="B135" s="160"/>
      <c r="C135" s="30" t="s">
        <v>2675</v>
      </c>
      <c r="D135" s="33" t="s">
        <v>2675</v>
      </c>
      <c r="E135" s="30" t="s">
        <v>2676</v>
      </c>
      <c r="F135" s="33"/>
      <c r="G135" s="279">
        <f t="shared" si="48"/>
        <v>0</v>
      </c>
      <c r="H135" s="181">
        <f>COUNTIF(Area_v1,$C135)</f>
        <v>0</v>
      </c>
      <c r="I135" s="809">
        <f>COUNTIF(Area_v2,$C135)</f>
        <v>0</v>
      </c>
      <c r="J135" s="181">
        <f>COUNTIF(Area_v3ZIC,$C135)</f>
        <v>0</v>
      </c>
      <c r="K135" s="183">
        <f>COUNTIF(Area_v4ZIC,$C135)</f>
        <v>0</v>
      </c>
      <c r="L135" s="181">
        <f t="shared" si="44"/>
        <v>0</v>
      </c>
      <c r="M135" s="182">
        <f>COUNTIF(Area_v4BIN,$C135)</f>
        <v>0</v>
      </c>
      <c r="N135" s="183">
        <f>COUNTIF(Area_v5BIN,$C135)</f>
        <v>0</v>
      </c>
      <c r="O135" s="181">
        <f t="shared" si="45"/>
        <v>0</v>
      </c>
      <c r="P135" s="182">
        <f t="shared" si="46"/>
        <v>0</v>
      </c>
      <c r="Q135" s="855">
        <f t="shared" si="47"/>
        <v>0</v>
      </c>
      <c r="R135" s="832"/>
    </row>
    <row r="136" spans="1:18" ht="32.1" customHeight="1">
      <c r="A136" s="1184"/>
      <c r="B136" s="1185"/>
      <c r="C136" s="22" t="s">
        <v>2677</v>
      </c>
      <c r="D136" s="25" t="s">
        <v>2677</v>
      </c>
      <c r="E136" s="22" t="s">
        <v>2676</v>
      </c>
      <c r="F136" s="25"/>
      <c r="G136" s="180">
        <f t="shared" si="48"/>
        <v>0</v>
      </c>
      <c r="H136" s="175">
        <f>COUNTIF(Area_v1,$C136)</f>
        <v>0</v>
      </c>
      <c r="I136" s="808">
        <f>COUNTIF(Area_v2,$C136)</f>
        <v>0</v>
      </c>
      <c r="J136" s="175">
        <f>COUNTIF(Area_v3ZIC,$C136)</f>
        <v>0</v>
      </c>
      <c r="K136" s="177">
        <f>COUNTIF(Area_v4ZIC,$C136)</f>
        <v>0</v>
      </c>
      <c r="L136" s="175">
        <f t="shared" si="44"/>
        <v>0</v>
      </c>
      <c r="M136" s="176">
        <f>COUNTIF(Area_v4BIN,$C136)</f>
        <v>0</v>
      </c>
      <c r="N136" s="177">
        <f>COUNTIF(Area_v5BIN,$C136)</f>
        <v>0</v>
      </c>
      <c r="O136" s="175">
        <f t="shared" si="45"/>
        <v>0</v>
      </c>
      <c r="P136" s="176">
        <f t="shared" si="46"/>
        <v>0</v>
      </c>
      <c r="Q136" s="858">
        <f t="shared" si="47"/>
        <v>0</v>
      </c>
      <c r="R136" s="157"/>
    </row>
    <row r="137" spans="1:18" ht="32.1" customHeight="1">
      <c r="A137" s="1127" t="s">
        <v>2678</v>
      </c>
      <c r="B137" s="1130" t="s">
        <v>2679</v>
      </c>
      <c r="C137" s="29" t="s">
        <v>2680</v>
      </c>
      <c r="D137" s="250" t="s">
        <v>2681</v>
      </c>
      <c r="E137" s="26" t="s">
        <v>2682</v>
      </c>
      <c r="F137" s="250"/>
      <c r="G137" s="187">
        <f t="shared" si="48"/>
        <v>0</v>
      </c>
      <c r="H137" s="188"/>
      <c r="I137" s="811"/>
      <c r="J137" s="188">
        <f>COUNTIF(Area_v3ZIC,"PL*")+COUNTIF(Area_v3ZIC,"M3*")+COUNTIF(Area_v3ZIC,"M5*")+COUNTIF(Area_v3ZIC,"M6*")-J138-J139</f>
        <v>0</v>
      </c>
      <c r="K137" s="190">
        <f>COUNTIF(Area_v4ZIC,"PL*")+COUNTIF(Area_v4ZIC,"M3")+COUNTIF(Area_v4ZIC,"M5")+COUNTIF(Area_v4ZIC,"M6")-K138-K139</f>
        <v>0</v>
      </c>
      <c r="L137" s="188">
        <f>COUNTIF(Area_v3BIN,"PL*")+COUNTIF(Area_v3BIN,"M3*")+COUNTIF(Area_v3BIN,"M5*")+COUNTIF(Area_v3BIN,"M6*")-L138-L139</f>
        <v>0</v>
      </c>
      <c r="M137" s="189">
        <f>COUNTIF(Area_v4BIN,"PL*")+COUNTIF(Area_v4BIN,"M3")+COUNTIF(Area_v4BIN,"M5")+COUNTIF(Area_v4BIN,"M6")-M138-M139</f>
        <v>0</v>
      </c>
      <c r="N137" s="190">
        <f>COUNTIF(Area_v5BIN,"PL*")+COUNTIF(Area_v5BIN,"M3")+COUNTIF(Area_v5BIN,"M5")+COUNTIF(Area_v5BIN,"M6")-N138-N139</f>
        <v>0</v>
      </c>
      <c r="O137" s="188">
        <f>COUNTIF(Area_v3HAD,"PL*")+COUNTIF(Area_v3HAD,"M3*")+COUNTIF(Area_v3HAD,"M5*")+COUNTIF(Area_v3HAD,"M6*")-O138-O139</f>
        <v>0</v>
      </c>
      <c r="P137" s="189">
        <f>COUNTIF(Area_v3KFA,"PL*")+COUNTIF(Area_v3KFA,"M3*")+COUNTIF(Area_v3KFA,"M5*")+COUNTIF(Area_v3KFA,"M6*")-P138-P139</f>
        <v>0</v>
      </c>
      <c r="Q137" s="861">
        <f>COUNTIF(Area_v4KFA,"PL*")+COUNTIF(Area_v4KFA,"M3*")+COUNTIF(Area_v4KFA,"M5*")+COUNTIF(Area_v4KFA,"M6*")-Q138-Q139</f>
        <v>0</v>
      </c>
      <c r="R137" s="834" t="s">
        <v>2683</v>
      </c>
    </row>
    <row r="138" spans="1:18" ht="32.1" customHeight="1">
      <c r="A138" s="1128"/>
      <c r="B138" s="1131"/>
      <c r="C138" s="29"/>
      <c r="D138" s="251" t="s">
        <v>2684</v>
      </c>
      <c r="E138" s="29" t="s">
        <v>2685</v>
      </c>
      <c r="F138" s="281"/>
      <c r="G138" s="191">
        <f t="shared" si="48"/>
        <v>0</v>
      </c>
      <c r="H138" s="192"/>
      <c r="I138" s="812"/>
      <c r="J138" s="192"/>
      <c r="K138" s="194"/>
      <c r="L138" s="192"/>
      <c r="M138" s="193"/>
      <c r="N138" s="194"/>
      <c r="O138" s="192"/>
      <c r="P138" s="193"/>
      <c r="Q138" s="862"/>
      <c r="R138" s="835" t="s">
        <v>2686</v>
      </c>
    </row>
    <row r="139" spans="1:18" ht="32.1" customHeight="1">
      <c r="A139" s="1128"/>
      <c r="B139" s="1190"/>
      <c r="C139" s="29"/>
      <c r="D139" s="251" t="s">
        <v>2687</v>
      </c>
      <c r="E139" s="29" t="s">
        <v>2688</v>
      </c>
      <c r="F139" s="251"/>
      <c r="G139" s="191">
        <f t="shared" si="48"/>
        <v>0</v>
      </c>
      <c r="H139" s="192"/>
      <c r="I139" s="812"/>
      <c r="J139" s="192"/>
      <c r="K139" s="194"/>
      <c r="L139" s="192"/>
      <c r="M139" s="193"/>
      <c r="N139" s="194"/>
      <c r="O139" s="192"/>
      <c r="P139" s="193"/>
      <c r="Q139" s="862"/>
      <c r="R139" s="836" t="s">
        <v>2689</v>
      </c>
    </row>
    <row r="140" spans="1:18" ht="32.1" customHeight="1">
      <c r="A140" s="1128"/>
      <c r="B140" s="293"/>
      <c r="C140" s="29" t="s">
        <v>2690</v>
      </c>
      <c r="D140" s="251" t="s">
        <v>2690</v>
      </c>
      <c r="E140" s="29" t="s">
        <v>2691</v>
      </c>
      <c r="F140" s="251"/>
      <c r="G140" s="191">
        <f t="shared" si="48"/>
        <v>0</v>
      </c>
      <c r="H140" s="192">
        <f t="shared" ref="H140:H148" si="49">COUNTIF(Area_v1,$C140)</f>
        <v>0</v>
      </c>
      <c r="I140" s="812">
        <f t="shared" ref="I140:I148" si="50">COUNTIF(Area_v2,$C140)</f>
        <v>0</v>
      </c>
      <c r="J140" s="192">
        <f t="shared" ref="J140:J148" si="51">COUNTIF(Area_v3ZIC,$C140)</f>
        <v>0</v>
      </c>
      <c r="K140" s="194">
        <f t="shared" ref="K140:K148" si="52">COUNTIF(Area_v4ZIC,$C140)</f>
        <v>0</v>
      </c>
      <c r="L140" s="192">
        <f t="shared" ref="L140:L172" si="53">COUNTIF(Area_v3BIN,$C140)</f>
        <v>0</v>
      </c>
      <c r="M140" s="193">
        <f t="shared" ref="M140:M148" si="54">COUNTIF(Area_v4BIN,$C140)</f>
        <v>0</v>
      </c>
      <c r="N140" s="194">
        <f t="shared" ref="N140:N148" si="55">COUNTIF(Area_v5BIN,$C140)</f>
        <v>0</v>
      </c>
      <c r="O140" s="192">
        <f t="shared" ref="O140:O172" si="56">COUNTIF(Area_v3HAD,$C140)</f>
        <v>0</v>
      </c>
      <c r="P140" s="193">
        <f t="shared" ref="P140:P172" si="57">COUNTIF(Area_v3KFA,$C140)</f>
        <v>0</v>
      </c>
      <c r="Q140" s="862">
        <f t="shared" ref="Q140:Q172" si="58">COUNTIF(Area_v4KFA,$C140)</f>
        <v>0</v>
      </c>
      <c r="R140" s="836"/>
    </row>
    <row r="141" spans="1:18" ht="32.1" customHeight="1">
      <c r="A141" s="1128"/>
      <c r="B141" s="293"/>
      <c r="C141" s="29" t="s">
        <v>2692</v>
      </c>
      <c r="D141" s="251" t="s">
        <v>2692</v>
      </c>
      <c r="E141" s="29" t="s">
        <v>2693</v>
      </c>
      <c r="F141" s="251"/>
      <c r="G141" s="191">
        <f t="shared" si="48"/>
        <v>0</v>
      </c>
      <c r="H141" s="192">
        <f t="shared" si="49"/>
        <v>0</v>
      </c>
      <c r="I141" s="812">
        <f t="shared" si="50"/>
        <v>0</v>
      </c>
      <c r="J141" s="192">
        <f t="shared" si="51"/>
        <v>0</v>
      </c>
      <c r="K141" s="194">
        <f t="shared" si="52"/>
        <v>0</v>
      </c>
      <c r="L141" s="192">
        <f t="shared" si="53"/>
        <v>0</v>
      </c>
      <c r="M141" s="193">
        <f t="shared" si="54"/>
        <v>0</v>
      </c>
      <c r="N141" s="194">
        <f t="shared" si="55"/>
        <v>0</v>
      </c>
      <c r="O141" s="192">
        <f t="shared" si="56"/>
        <v>0</v>
      </c>
      <c r="P141" s="193">
        <f t="shared" si="57"/>
        <v>0</v>
      </c>
      <c r="Q141" s="862">
        <f t="shared" si="58"/>
        <v>0</v>
      </c>
      <c r="R141" s="836"/>
    </row>
    <row r="142" spans="1:18" ht="32.1" customHeight="1">
      <c r="A142" s="1128"/>
      <c r="B142" s="293"/>
      <c r="C142" s="29" t="s">
        <v>2694</v>
      </c>
      <c r="D142" s="251" t="s">
        <v>2694</v>
      </c>
      <c r="E142" s="29" t="s">
        <v>2695</v>
      </c>
      <c r="F142" s="251"/>
      <c r="G142" s="191">
        <f t="shared" si="48"/>
        <v>0</v>
      </c>
      <c r="H142" s="192">
        <f t="shared" si="49"/>
        <v>0</v>
      </c>
      <c r="I142" s="812">
        <f t="shared" si="50"/>
        <v>0</v>
      </c>
      <c r="J142" s="192">
        <f t="shared" si="51"/>
        <v>0</v>
      </c>
      <c r="K142" s="194">
        <f t="shared" si="52"/>
        <v>0</v>
      </c>
      <c r="L142" s="192">
        <f t="shared" si="53"/>
        <v>0</v>
      </c>
      <c r="M142" s="193">
        <f t="shared" si="54"/>
        <v>0</v>
      </c>
      <c r="N142" s="194">
        <f t="shared" si="55"/>
        <v>0</v>
      </c>
      <c r="O142" s="192">
        <f t="shared" si="56"/>
        <v>0</v>
      </c>
      <c r="P142" s="193">
        <f t="shared" si="57"/>
        <v>0</v>
      </c>
      <c r="Q142" s="862">
        <f t="shared" si="58"/>
        <v>0</v>
      </c>
      <c r="R142" s="836"/>
    </row>
    <row r="143" spans="1:18" ht="32.1" customHeight="1">
      <c r="A143" s="1128"/>
      <c r="B143" s="293"/>
      <c r="C143" s="29" t="s">
        <v>2696</v>
      </c>
      <c r="D143" s="251" t="s">
        <v>2696</v>
      </c>
      <c r="E143" s="29" t="s">
        <v>2697</v>
      </c>
      <c r="F143" s="251"/>
      <c r="G143" s="191">
        <f t="shared" si="48"/>
        <v>0</v>
      </c>
      <c r="H143" s="192">
        <f t="shared" si="49"/>
        <v>0</v>
      </c>
      <c r="I143" s="812">
        <f t="shared" si="50"/>
        <v>0</v>
      </c>
      <c r="J143" s="192">
        <f t="shared" si="51"/>
        <v>0</v>
      </c>
      <c r="K143" s="194">
        <f t="shared" si="52"/>
        <v>0</v>
      </c>
      <c r="L143" s="192">
        <f t="shared" si="53"/>
        <v>0</v>
      </c>
      <c r="M143" s="193">
        <f t="shared" si="54"/>
        <v>0</v>
      </c>
      <c r="N143" s="194">
        <f t="shared" si="55"/>
        <v>0</v>
      </c>
      <c r="O143" s="192">
        <f t="shared" si="56"/>
        <v>0</v>
      </c>
      <c r="P143" s="193">
        <f t="shared" si="57"/>
        <v>0</v>
      </c>
      <c r="Q143" s="862">
        <f t="shared" si="58"/>
        <v>0</v>
      </c>
      <c r="R143" s="836"/>
    </row>
    <row r="144" spans="1:18" ht="32.1" customHeight="1">
      <c r="A144" s="1128"/>
      <c r="B144" s="293"/>
      <c r="C144" s="29" t="s">
        <v>2698</v>
      </c>
      <c r="D144" s="251" t="s">
        <v>2699</v>
      </c>
      <c r="E144" s="29" t="s">
        <v>2700</v>
      </c>
      <c r="F144" s="251"/>
      <c r="G144" s="191">
        <f t="shared" si="48"/>
        <v>0</v>
      </c>
      <c r="H144" s="192">
        <f t="shared" si="49"/>
        <v>0</v>
      </c>
      <c r="I144" s="812">
        <f t="shared" si="50"/>
        <v>0</v>
      </c>
      <c r="J144" s="192">
        <f t="shared" si="51"/>
        <v>0</v>
      </c>
      <c r="K144" s="194">
        <f t="shared" si="52"/>
        <v>0</v>
      </c>
      <c r="L144" s="192">
        <f t="shared" si="53"/>
        <v>0</v>
      </c>
      <c r="M144" s="193">
        <f t="shared" si="54"/>
        <v>0</v>
      </c>
      <c r="N144" s="194">
        <f t="shared" si="55"/>
        <v>0</v>
      </c>
      <c r="O144" s="192">
        <f t="shared" si="56"/>
        <v>0</v>
      </c>
      <c r="P144" s="193">
        <f t="shared" si="57"/>
        <v>0</v>
      </c>
      <c r="Q144" s="862">
        <f t="shared" si="58"/>
        <v>0</v>
      </c>
      <c r="R144" s="836"/>
    </row>
    <row r="145" spans="1:18" ht="32.1" customHeight="1">
      <c r="A145" s="1128"/>
      <c r="B145" s="293"/>
      <c r="C145" s="29" t="s">
        <v>2699</v>
      </c>
      <c r="D145" s="251" t="s">
        <v>2699</v>
      </c>
      <c r="E145" s="29" t="s">
        <v>2701</v>
      </c>
      <c r="F145" s="251"/>
      <c r="G145" s="191">
        <f t="shared" si="48"/>
        <v>0</v>
      </c>
      <c r="H145" s="192">
        <f t="shared" si="49"/>
        <v>0</v>
      </c>
      <c r="I145" s="812">
        <f t="shared" si="50"/>
        <v>0</v>
      </c>
      <c r="J145" s="192">
        <f t="shared" si="51"/>
        <v>0</v>
      </c>
      <c r="K145" s="194">
        <f t="shared" si="52"/>
        <v>0</v>
      </c>
      <c r="L145" s="192">
        <f t="shared" si="53"/>
        <v>0</v>
      </c>
      <c r="M145" s="193">
        <f t="shared" si="54"/>
        <v>0</v>
      </c>
      <c r="N145" s="194">
        <f t="shared" si="55"/>
        <v>0</v>
      </c>
      <c r="O145" s="192">
        <f t="shared" si="56"/>
        <v>0</v>
      </c>
      <c r="P145" s="193">
        <f t="shared" si="57"/>
        <v>0</v>
      </c>
      <c r="Q145" s="862">
        <f t="shared" si="58"/>
        <v>0</v>
      </c>
      <c r="R145" s="836"/>
    </row>
    <row r="146" spans="1:18" ht="32.1" customHeight="1">
      <c r="A146" s="1128"/>
      <c r="B146" s="293"/>
      <c r="C146" s="29" t="s">
        <v>2702</v>
      </c>
      <c r="D146" s="251" t="s">
        <v>2702</v>
      </c>
      <c r="E146" s="29" t="s">
        <v>2703</v>
      </c>
      <c r="F146" s="251"/>
      <c r="G146" s="191">
        <f t="shared" si="48"/>
        <v>0</v>
      </c>
      <c r="H146" s="192">
        <f t="shared" si="49"/>
        <v>0</v>
      </c>
      <c r="I146" s="812">
        <f t="shared" si="50"/>
        <v>0</v>
      </c>
      <c r="J146" s="192">
        <f t="shared" si="51"/>
        <v>0</v>
      </c>
      <c r="K146" s="194">
        <f t="shared" si="52"/>
        <v>0</v>
      </c>
      <c r="L146" s="192">
        <f t="shared" si="53"/>
        <v>0</v>
      </c>
      <c r="M146" s="193">
        <f t="shared" si="54"/>
        <v>0</v>
      </c>
      <c r="N146" s="194">
        <f t="shared" si="55"/>
        <v>0</v>
      </c>
      <c r="O146" s="192">
        <f t="shared" si="56"/>
        <v>0</v>
      </c>
      <c r="P146" s="193">
        <f t="shared" si="57"/>
        <v>0</v>
      </c>
      <c r="Q146" s="862">
        <f t="shared" si="58"/>
        <v>0</v>
      </c>
      <c r="R146" s="836"/>
    </row>
    <row r="147" spans="1:18" ht="32.1" customHeight="1">
      <c r="A147" s="1128"/>
      <c r="B147" s="293"/>
      <c r="C147" s="37" t="s">
        <v>2203</v>
      </c>
      <c r="D147" s="252" t="s">
        <v>2704</v>
      </c>
      <c r="E147" s="37" t="s">
        <v>2705</v>
      </c>
      <c r="F147" s="252"/>
      <c r="G147" s="195">
        <f t="shared" si="48"/>
        <v>0</v>
      </c>
      <c r="H147" s="196">
        <f t="shared" si="49"/>
        <v>0</v>
      </c>
      <c r="I147" s="813">
        <f t="shared" si="50"/>
        <v>0</v>
      </c>
      <c r="J147" s="196">
        <f t="shared" si="51"/>
        <v>0</v>
      </c>
      <c r="K147" s="198">
        <f t="shared" si="52"/>
        <v>0</v>
      </c>
      <c r="L147" s="196">
        <f t="shared" si="53"/>
        <v>0</v>
      </c>
      <c r="M147" s="197">
        <f t="shared" si="54"/>
        <v>0</v>
      </c>
      <c r="N147" s="198">
        <f t="shared" si="55"/>
        <v>0</v>
      </c>
      <c r="O147" s="196">
        <f t="shared" si="56"/>
        <v>0</v>
      </c>
      <c r="P147" s="197">
        <f t="shared" si="57"/>
        <v>0</v>
      </c>
      <c r="Q147" s="863">
        <f t="shared" si="58"/>
        <v>0</v>
      </c>
      <c r="R147" s="837"/>
    </row>
    <row r="148" spans="1:18" ht="32.1" customHeight="1">
      <c r="A148" s="1191"/>
      <c r="B148" s="1192"/>
      <c r="C148" s="27" t="s">
        <v>2199</v>
      </c>
      <c r="D148" s="155" t="s">
        <v>2704</v>
      </c>
      <c r="E148" s="27" t="s">
        <v>2705</v>
      </c>
      <c r="F148" s="155"/>
      <c r="G148" s="199">
        <f t="shared" si="48"/>
        <v>0</v>
      </c>
      <c r="H148" s="200">
        <f t="shared" si="49"/>
        <v>0</v>
      </c>
      <c r="I148" s="814">
        <f t="shared" si="50"/>
        <v>0</v>
      </c>
      <c r="J148" s="200">
        <f t="shared" si="51"/>
        <v>0</v>
      </c>
      <c r="K148" s="202">
        <f t="shared" si="52"/>
        <v>0</v>
      </c>
      <c r="L148" s="200">
        <f t="shared" si="53"/>
        <v>0</v>
      </c>
      <c r="M148" s="201">
        <f t="shared" si="54"/>
        <v>0</v>
      </c>
      <c r="N148" s="202">
        <f t="shared" si="55"/>
        <v>0</v>
      </c>
      <c r="O148" s="200">
        <f t="shared" si="56"/>
        <v>0</v>
      </c>
      <c r="P148" s="201">
        <f t="shared" si="57"/>
        <v>0</v>
      </c>
      <c r="Q148" s="864">
        <f t="shared" si="58"/>
        <v>0</v>
      </c>
      <c r="R148" s="838"/>
    </row>
    <row r="149" spans="1:18" ht="32.1" customHeight="1">
      <c r="A149" s="1132" t="s">
        <v>2706</v>
      </c>
      <c r="B149" s="1133"/>
      <c r="C149" s="148" t="s">
        <v>2234</v>
      </c>
      <c r="D149" s="149"/>
      <c r="E149" s="148" t="s">
        <v>2707</v>
      </c>
      <c r="F149" s="70"/>
      <c r="G149" s="280">
        <f t="shared" si="48"/>
        <v>0</v>
      </c>
      <c r="H149" s="203">
        <f t="shared" si="33"/>
        <v>0</v>
      </c>
      <c r="I149" s="815">
        <f t="shared" si="34"/>
        <v>0</v>
      </c>
      <c r="J149" s="203">
        <f t="shared" si="35"/>
        <v>0</v>
      </c>
      <c r="K149" s="205">
        <f t="shared" si="36"/>
        <v>0</v>
      </c>
      <c r="L149" s="203">
        <f t="shared" si="53"/>
        <v>0</v>
      </c>
      <c r="M149" s="204">
        <f t="shared" si="38"/>
        <v>0</v>
      </c>
      <c r="N149" s="205">
        <f t="shared" si="39"/>
        <v>0</v>
      </c>
      <c r="O149" s="203">
        <f t="shared" si="56"/>
        <v>0</v>
      </c>
      <c r="P149" s="204">
        <f t="shared" si="57"/>
        <v>0</v>
      </c>
      <c r="Q149" s="865">
        <f t="shared" si="58"/>
        <v>0</v>
      </c>
      <c r="R149" s="839"/>
    </row>
    <row r="150" spans="1:18" ht="32.1" customHeight="1">
      <c r="A150" s="1134"/>
      <c r="B150" s="1135"/>
      <c r="C150" s="886" t="s">
        <v>450</v>
      </c>
      <c r="D150" s="70"/>
      <c r="E150" s="1193" t="s">
        <v>2708</v>
      </c>
      <c r="F150" s="70"/>
      <c r="G150" s="280">
        <f t="shared" ref="G150" si="59">SUM(H150:Q150)</f>
        <v>14</v>
      </c>
      <c r="H150" s="203">
        <f>COUNTIF(Area_v1,$C150)</f>
        <v>14</v>
      </c>
      <c r="I150" s="815">
        <f t="shared" si="34"/>
        <v>0</v>
      </c>
      <c r="J150" s="203">
        <f t="shared" si="35"/>
        <v>0</v>
      </c>
      <c r="K150" s="205">
        <f t="shared" si="36"/>
        <v>0</v>
      </c>
      <c r="L150" s="203">
        <f t="shared" si="53"/>
        <v>0</v>
      </c>
      <c r="M150" s="204">
        <f t="shared" si="38"/>
        <v>0</v>
      </c>
      <c r="N150" s="205">
        <f t="shared" si="39"/>
        <v>0</v>
      </c>
      <c r="O150" s="203">
        <f t="shared" si="56"/>
        <v>0</v>
      </c>
      <c r="P150" s="204">
        <f t="shared" si="57"/>
        <v>0</v>
      </c>
      <c r="Q150" s="865">
        <f t="shared" si="58"/>
        <v>0</v>
      </c>
      <c r="R150" s="887"/>
    </row>
    <row r="151" spans="1:18" ht="32.1" customHeight="1">
      <c r="A151" s="1194"/>
      <c r="B151" s="1135"/>
      <c r="C151" s="1193" t="s">
        <v>115</v>
      </c>
      <c r="D151" s="1195"/>
      <c r="E151" s="1193" t="s">
        <v>2709</v>
      </c>
      <c r="F151" s="1195"/>
      <c r="G151" s="1196">
        <f t="shared" si="48"/>
        <v>0</v>
      </c>
      <c r="H151" s="206">
        <f t="shared" si="33"/>
        <v>0</v>
      </c>
      <c r="I151" s="816">
        <f t="shared" si="34"/>
        <v>0</v>
      </c>
      <c r="J151" s="206">
        <f t="shared" si="35"/>
        <v>0</v>
      </c>
      <c r="K151" s="208">
        <f t="shared" si="36"/>
        <v>0</v>
      </c>
      <c r="L151" s="206">
        <f t="shared" si="53"/>
        <v>0</v>
      </c>
      <c r="M151" s="207">
        <f t="shared" si="38"/>
        <v>0</v>
      </c>
      <c r="N151" s="208">
        <f t="shared" si="39"/>
        <v>0</v>
      </c>
      <c r="O151" s="206">
        <f t="shared" si="56"/>
        <v>0</v>
      </c>
      <c r="P151" s="207">
        <f t="shared" si="57"/>
        <v>0</v>
      </c>
      <c r="Q151" s="866">
        <f t="shared" si="58"/>
        <v>0</v>
      </c>
      <c r="R151" s="840"/>
    </row>
    <row r="152" spans="1:18" ht="32.1" customHeight="1">
      <c r="A152" s="1136" t="s">
        <v>2710</v>
      </c>
      <c r="B152" s="262" t="s">
        <v>2711</v>
      </c>
      <c r="C152" s="132" t="s">
        <v>2215</v>
      </c>
      <c r="D152" s="23" t="s">
        <v>2215</v>
      </c>
      <c r="E152" s="20" t="s">
        <v>2712</v>
      </c>
      <c r="F152" s="23"/>
      <c r="G152" s="178">
        <f t="shared" si="48"/>
        <v>0</v>
      </c>
      <c r="H152" s="166">
        <f t="shared" si="33"/>
        <v>0</v>
      </c>
      <c r="I152" s="805">
        <f t="shared" si="34"/>
        <v>0</v>
      </c>
      <c r="J152" s="166">
        <f t="shared" si="35"/>
        <v>0</v>
      </c>
      <c r="K152" s="168">
        <f t="shared" si="36"/>
        <v>0</v>
      </c>
      <c r="L152" s="166">
        <f t="shared" si="53"/>
        <v>0</v>
      </c>
      <c r="M152" s="167">
        <f t="shared" si="38"/>
        <v>0</v>
      </c>
      <c r="N152" s="168">
        <f t="shared" si="39"/>
        <v>0</v>
      </c>
      <c r="O152" s="166">
        <f t="shared" si="56"/>
        <v>0</v>
      </c>
      <c r="P152" s="167">
        <f t="shared" si="57"/>
        <v>0</v>
      </c>
      <c r="Q152" s="859">
        <f t="shared" si="58"/>
        <v>0</v>
      </c>
      <c r="R152" s="132"/>
    </row>
    <row r="153" spans="1:18" ht="32.1" customHeight="1">
      <c r="A153" s="1137"/>
      <c r="B153" s="263" t="s">
        <v>2711</v>
      </c>
      <c r="C153" s="64" t="s">
        <v>2212</v>
      </c>
      <c r="D153" s="24" t="s">
        <v>2212</v>
      </c>
      <c r="E153" s="21" t="s">
        <v>2713</v>
      </c>
      <c r="F153" s="24"/>
      <c r="G153" s="179">
        <f t="shared" si="48"/>
        <v>0</v>
      </c>
      <c r="H153" s="169">
        <f t="shared" si="33"/>
        <v>0</v>
      </c>
      <c r="I153" s="806">
        <f t="shared" si="34"/>
        <v>0</v>
      </c>
      <c r="J153" s="169">
        <f t="shared" si="35"/>
        <v>0</v>
      </c>
      <c r="K153" s="171">
        <f t="shared" si="36"/>
        <v>0</v>
      </c>
      <c r="L153" s="169">
        <f t="shared" si="53"/>
        <v>0</v>
      </c>
      <c r="M153" s="170">
        <f t="shared" si="38"/>
        <v>0</v>
      </c>
      <c r="N153" s="171">
        <f t="shared" si="39"/>
        <v>0</v>
      </c>
      <c r="O153" s="169">
        <f t="shared" si="56"/>
        <v>0</v>
      </c>
      <c r="P153" s="170">
        <f t="shared" si="57"/>
        <v>0</v>
      </c>
      <c r="Q153" s="856">
        <f t="shared" si="58"/>
        <v>0</v>
      </c>
      <c r="R153" s="64"/>
    </row>
    <row r="154" spans="1:18" ht="32.1" customHeight="1">
      <c r="A154" s="1197"/>
      <c r="B154" s="1198" t="s">
        <v>2711</v>
      </c>
      <c r="C154" s="134" t="s">
        <v>2714</v>
      </c>
      <c r="D154" s="32" t="s">
        <v>2714</v>
      </c>
      <c r="E154" s="38" t="s">
        <v>2715</v>
      </c>
      <c r="F154" s="32"/>
      <c r="G154" s="278">
        <f t="shared" si="48"/>
        <v>0</v>
      </c>
      <c r="H154" s="172">
        <f t="shared" si="33"/>
        <v>0</v>
      </c>
      <c r="I154" s="807">
        <f t="shared" si="34"/>
        <v>0</v>
      </c>
      <c r="J154" s="172">
        <f t="shared" si="35"/>
        <v>0</v>
      </c>
      <c r="K154" s="174">
        <f t="shared" si="36"/>
        <v>0</v>
      </c>
      <c r="L154" s="172">
        <f t="shared" si="53"/>
        <v>0</v>
      </c>
      <c r="M154" s="173">
        <f t="shared" si="38"/>
        <v>0</v>
      </c>
      <c r="N154" s="174">
        <f t="shared" si="39"/>
        <v>0</v>
      </c>
      <c r="O154" s="172">
        <f t="shared" si="56"/>
        <v>0</v>
      </c>
      <c r="P154" s="173">
        <f t="shared" si="57"/>
        <v>0</v>
      </c>
      <c r="Q154" s="857">
        <f t="shared" si="58"/>
        <v>0</v>
      </c>
      <c r="R154" s="134"/>
    </row>
    <row r="155" spans="1:18" ht="32.1" customHeight="1">
      <c r="A155" s="1125" t="s">
        <v>2716</v>
      </c>
      <c r="B155" s="160"/>
      <c r="C155" s="135" t="s">
        <v>153</v>
      </c>
      <c r="D155" s="253" t="s">
        <v>2717</v>
      </c>
      <c r="E155" s="135" t="s">
        <v>2718</v>
      </c>
      <c r="F155" s="253">
        <v>6601</v>
      </c>
      <c r="G155" s="209">
        <f t="shared" si="48"/>
        <v>359</v>
      </c>
      <c r="H155" s="210">
        <f t="shared" ref="H155:H181" si="60">COUNTIF(Area_v1,$C155)</f>
        <v>173</v>
      </c>
      <c r="I155" s="817">
        <f t="shared" ref="I155:I181" si="61">COUNTIF(Area_v2,$C155)</f>
        <v>178</v>
      </c>
      <c r="J155" s="210">
        <f t="shared" ref="J155:J181" si="62">COUNTIF(Area_v3ZIC,$C155)</f>
        <v>0</v>
      </c>
      <c r="K155" s="212">
        <f t="shared" ref="K155:K181" si="63">COUNTIF(Area_v4ZIC,$C155)</f>
        <v>0</v>
      </c>
      <c r="L155" s="210">
        <f t="shared" si="53"/>
        <v>0</v>
      </c>
      <c r="M155" s="211">
        <f t="shared" ref="M155:M181" si="64">COUNTIF(Area_v4BIN,$C155)</f>
        <v>0</v>
      </c>
      <c r="N155" s="212">
        <f t="shared" ref="N155:N181" si="65">COUNTIF(Area_v5BIN,$C155)</f>
        <v>4</v>
      </c>
      <c r="O155" s="210">
        <f t="shared" si="56"/>
        <v>3</v>
      </c>
      <c r="P155" s="211">
        <f t="shared" si="57"/>
        <v>0</v>
      </c>
      <c r="Q155" s="867">
        <f t="shared" si="58"/>
        <v>1</v>
      </c>
      <c r="R155" s="841" t="s">
        <v>2719</v>
      </c>
    </row>
    <row r="156" spans="1:18" ht="32.1" hidden="1" customHeight="1">
      <c r="A156" s="1126"/>
      <c r="B156" s="160"/>
      <c r="C156" s="69" t="s">
        <v>2720</v>
      </c>
      <c r="D156" s="254" t="s">
        <v>2721</v>
      </c>
      <c r="E156" s="69" t="s">
        <v>2722</v>
      </c>
      <c r="F156" s="254">
        <v>6603</v>
      </c>
      <c r="G156" s="213">
        <f t="shared" si="48"/>
        <v>0</v>
      </c>
      <c r="H156" s="214">
        <f t="shared" si="60"/>
        <v>0</v>
      </c>
      <c r="I156" s="818">
        <f t="shared" si="61"/>
        <v>0</v>
      </c>
      <c r="J156" s="214">
        <f t="shared" si="62"/>
        <v>0</v>
      </c>
      <c r="K156" s="216">
        <f t="shared" si="63"/>
        <v>0</v>
      </c>
      <c r="L156" s="214">
        <f t="shared" si="53"/>
        <v>0</v>
      </c>
      <c r="M156" s="215">
        <f t="shared" si="64"/>
        <v>0</v>
      </c>
      <c r="N156" s="216">
        <f t="shared" si="65"/>
        <v>0</v>
      </c>
      <c r="O156" s="214">
        <f t="shared" si="56"/>
        <v>0</v>
      </c>
      <c r="P156" s="215">
        <f t="shared" si="57"/>
        <v>0</v>
      </c>
      <c r="Q156" s="868">
        <f t="shared" si="58"/>
        <v>0</v>
      </c>
      <c r="R156" s="842" t="s">
        <v>2723</v>
      </c>
    </row>
    <row r="157" spans="1:18" ht="32.1" customHeight="1">
      <c r="A157" s="1126"/>
      <c r="B157" s="160"/>
      <c r="C157" s="136" t="s">
        <v>158</v>
      </c>
      <c r="D157" s="255" t="s">
        <v>2724</v>
      </c>
      <c r="E157" s="136" t="s">
        <v>2725</v>
      </c>
      <c r="F157" s="255">
        <v>6601</v>
      </c>
      <c r="G157" s="217">
        <f t="shared" si="48"/>
        <v>360</v>
      </c>
      <c r="H157" s="218">
        <f t="shared" si="60"/>
        <v>176</v>
      </c>
      <c r="I157" s="819">
        <f t="shared" si="61"/>
        <v>173</v>
      </c>
      <c r="J157" s="218">
        <f t="shared" si="62"/>
        <v>0</v>
      </c>
      <c r="K157" s="220">
        <f t="shared" si="63"/>
        <v>0</v>
      </c>
      <c r="L157" s="218">
        <f t="shared" si="53"/>
        <v>0</v>
      </c>
      <c r="M157" s="219">
        <f t="shared" si="64"/>
        <v>0</v>
      </c>
      <c r="N157" s="220">
        <f t="shared" si="65"/>
        <v>4</v>
      </c>
      <c r="O157" s="218">
        <f t="shared" si="56"/>
        <v>5</v>
      </c>
      <c r="P157" s="219">
        <f t="shared" si="57"/>
        <v>1</v>
      </c>
      <c r="Q157" s="869">
        <f t="shared" si="58"/>
        <v>1</v>
      </c>
      <c r="R157" s="843" t="s">
        <v>2726</v>
      </c>
    </row>
    <row r="158" spans="1:18" ht="32.1" customHeight="1">
      <c r="A158" s="1126"/>
      <c r="B158" s="160"/>
      <c r="C158" s="137" t="s">
        <v>151</v>
      </c>
      <c r="D158" s="256" t="s">
        <v>2727</v>
      </c>
      <c r="E158" s="137" t="s">
        <v>2728</v>
      </c>
      <c r="F158" s="256">
        <v>6600</v>
      </c>
      <c r="G158" s="221">
        <f t="shared" si="48"/>
        <v>102</v>
      </c>
      <c r="H158" s="222">
        <f t="shared" si="60"/>
        <v>49</v>
      </c>
      <c r="I158" s="820">
        <f t="shared" si="61"/>
        <v>53</v>
      </c>
      <c r="J158" s="222">
        <f t="shared" si="62"/>
        <v>0</v>
      </c>
      <c r="K158" s="224">
        <f t="shared" si="63"/>
        <v>0</v>
      </c>
      <c r="L158" s="222">
        <f t="shared" si="53"/>
        <v>0</v>
      </c>
      <c r="M158" s="223">
        <f t="shared" si="64"/>
        <v>0</v>
      </c>
      <c r="N158" s="224">
        <f t="shared" si="65"/>
        <v>0</v>
      </c>
      <c r="O158" s="222">
        <f t="shared" si="56"/>
        <v>0</v>
      </c>
      <c r="P158" s="223">
        <f t="shared" si="57"/>
        <v>0</v>
      </c>
      <c r="Q158" s="870">
        <f t="shared" si="58"/>
        <v>0</v>
      </c>
      <c r="R158" s="844" t="s">
        <v>2729</v>
      </c>
    </row>
    <row r="159" spans="1:18" ht="32.1" hidden="1" customHeight="1">
      <c r="A159" s="1126"/>
      <c r="B159" s="160"/>
      <c r="C159" s="69" t="s">
        <v>2730</v>
      </c>
      <c r="D159" s="254" t="s">
        <v>2731</v>
      </c>
      <c r="E159" s="69" t="s">
        <v>2732</v>
      </c>
      <c r="F159" s="254">
        <v>6603</v>
      </c>
      <c r="G159" s="213">
        <f t="shared" si="48"/>
        <v>0</v>
      </c>
      <c r="H159" s="214">
        <f t="shared" si="60"/>
        <v>0</v>
      </c>
      <c r="I159" s="818">
        <f t="shared" si="61"/>
        <v>0</v>
      </c>
      <c r="J159" s="214">
        <f t="shared" si="62"/>
        <v>0</v>
      </c>
      <c r="K159" s="216">
        <f t="shared" si="63"/>
        <v>0</v>
      </c>
      <c r="L159" s="214">
        <f t="shared" si="53"/>
        <v>0</v>
      </c>
      <c r="M159" s="215">
        <f t="shared" si="64"/>
        <v>0</v>
      </c>
      <c r="N159" s="216">
        <f t="shared" si="65"/>
        <v>0</v>
      </c>
      <c r="O159" s="214">
        <f t="shared" si="56"/>
        <v>0</v>
      </c>
      <c r="P159" s="215">
        <f t="shared" si="57"/>
        <v>0</v>
      </c>
      <c r="Q159" s="868">
        <f t="shared" si="58"/>
        <v>0</v>
      </c>
      <c r="R159" s="842" t="s">
        <v>2733</v>
      </c>
    </row>
    <row r="160" spans="1:18" ht="32.1" customHeight="1">
      <c r="A160" s="1126"/>
      <c r="B160" s="160"/>
      <c r="C160" s="136" t="s">
        <v>398</v>
      </c>
      <c r="D160" s="255" t="s">
        <v>2734</v>
      </c>
      <c r="E160" s="136" t="s">
        <v>2735</v>
      </c>
      <c r="F160" s="255">
        <v>6601</v>
      </c>
      <c r="G160" s="217">
        <f t="shared" si="48"/>
        <v>16</v>
      </c>
      <c r="H160" s="218">
        <f t="shared" si="60"/>
        <v>8</v>
      </c>
      <c r="I160" s="819">
        <f t="shared" si="61"/>
        <v>8</v>
      </c>
      <c r="J160" s="218">
        <f t="shared" si="62"/>
        <v>0</v>
      </c>
      <c r="K160" s="220">
        <f t="shared" si="63"/>
        <v>0</v>
      </c>
      <c r="L160" s="218">
        <f t="shared" si="53"/>
        <v>0</v>
      </c>
      <c r="M160" s="219">
        <f t="shared" si="64"/>
        <v>0</v>
      </c>
      <c r="N160" s="220">
        <f t="shared" si="65"/>
        <v>0</v>
      </c>
      <c r="O160" s="218">
        <f t="shared" si="56"/>
        <v>0</v>
      </c>
      <c r="P160" s="219">
        <f t="shared" si="57"/>
        <v>0</v>
      </c>
      <c r="Q160" s="869">
        <f t="shared" si="58"/>
        <v>0</v>
      </c>
      <c r="R160" s="843" t="s">
        <v>2736</v>
      </c>
    </row>
    <row r="161" spans="1:18" ht="32.1" customHeight="1">
      <c r="A161" s="1126"/>
      <c r="B161" s="160"/>
      <c r="C161" s="137" t="s">
        <v>181</v>
      </c>
      <c r="D161" s="256" t="s">
        <v>2737</v>
      </c>
      <c r="E161" s="137" t="s">
        <v>2738</v>
      </c>
      <c r="F161" s="256">
        <v>6600</v>
      </c>
      <c r="G161" s="221">
        <f t="shared" si="48"/>
        <v>35</v>
      </c>
      <c r="H161" s="222">
        <f t="shared" si="60"/>
        <v>18</v>
      </c>
      <c r="I161" s="820">
        <f t="shared" si="61"/>
        <v>17</v>
      </c>
      <c r="J161" s="222">
        <f t="shared" si="62"/>
        <v>0</v>
      </c>
      <c r="K161" s="224">
        <f t="shared" si="63"/>
        <v>0</v>
      </c>
      <c r="L161" s="222">
        <f t="shared" si="53"/>
        <v>0</v>
      </c>
      <c r="M161" s="223">
        <f t="shared" si="64"/>
        <v>0</v>
      </c>
      <c r="N161" s="224">
        <f t="shared" si="65"/>
        <v>0</v>
      </c>
      <c r="O161" s="222">
        <f t="shared" si="56"/>
        <v>0</v>
      </c>
      <c r="P161" s="223">
        <f t="shared" si="57"/>
        <v>0</v>
      </c>
      <c r="Q161" s="870">
        <f t="shared" si="58"/>
        <v>0</v>
      </c>
      <c r="R161" s="844" t="s">
        <v>2739</v>
      </c>
    </row>
    <row r="162" spans="1:18" ht="31.9" hidden="1" customHeight="1">
      <c r="A162" s="1126"/>
      <c r="B162" s="160"/>
      <c r="C162" s="69" t="s">
        <v>2740</v>
      </c>
      <c r="D162" s="254" t="s">
        <v>2741</v>
      </c>
      <c r="E162" s="69" t="s">
        <v>2742</v>
      </c>
      <c r="F162" s="254">
        <v>6603</v>
      </c>
      <c r="G162" s="213">
        <f t="shared" si="48"/>
        <v>0</v>
      </c>
      <c r="H162" s="214">
        <f t="shared" si="60"/>
        <v>0</v>
      </c>
      <c r="I162" s="818">
        <f t="shared" si="61"/>
        <v>0</v>
      </c>
      <c r="J162" s="214">
        <f t="shared" si="62"/>
        <v>0</v>
      </c>
      <c r="K162" s="216">
        <f t="shared" si="63"/>
        <v>0</v>
      </c>
      <c r="L162" s="214">
        <f t="shared" si="53"/>
        <v>0</v>
      </c>
      <c r="M162" s="215">
        <f t="shared" si="64"/>
        <v>0</v>
      </c>
      <c r="N162" s="216">
        <f t="shared" si="65"/>
        <v>0</v>
      </c>
      <c r="O162" s="214">
        <f t="shared" si="56"/>
        <v>0</v>
      </c>
      <c r="P162" s="215">
        <f t="shared" si="57"/>
        <v>0</v>
      </c>
      <c r="Q162" s="868">
        <f t="shared" si="58"/>
        <v>0</v>
      </c>
      <c r="R162" s="842" t="s">
        <v>2743</v>
      </c>
    </row>
    <row r="163" spans="1:18" ht="32.1" customHeight="1">
      <c r="A163" s="1126"/>
      <c r="B163" s="160"/>
      <c r="C163" s="136" t="s">
        <v>1714</v>
      </c>
      <c r="D163" s="255" t="s">
        <v>2744</v>
      </c>
      <c r="E163" s="136" t="s">
        <v>2745</v>
      </c>
      <c r="F163" s="255">
        <v>6601</v>
      </c>
      <c r="G163" s="217">
        <f t="shared" si="48"/>
        <v>3</v>
      </c>
      <c r="H163" s="218">
        <f t="shared" si="60"/>
        <v>0</v>
      </c>
      <c r="I163" s="819">
        <f t="shared" si="61"/>
        <v>0</v>
      </c>
      <c r="J163" s="218">
        <f t="shared" si="62"/>
        <v>0</v>
      </c>
      <c r="K163" s="220">
        <f t="shared" si="63"/>
        <v>0</v>
      </c>
      <c r="L163" s="218">
        <f t="shared" si="53"/>
        <v>0</v>
      </c>
      <c r="M163" s="219">
        <f t="shared" si="64"/>
        <v>0</v>
      </c>
      <c r="N163" s="220">
        <f t="shared" si="65"/>
        <v>3</v>
      </c>
      <c r="O163" s="218">
        <f t="shared" si="56"/>
        <v>0</v>
      </c>
      <c r="P163" s="219">
        <f t="shared" si="57"/>
        <v>0</v>
      </c>
      <c r="Q163" s="869">
        <f t="shared" si="58"/>
        <v>0</v>
      </c>
      <c r="R163" s="843" t="s">
        <v>2746</v>
      </c>
    </row>
    <row r="164" spans="1:18" ht="32.1" customHeight="1">
      <c r="A164" s="1126"/>
      <c r="B164" s="160"/>
      <c r="C164" s="137" t="s">
        <v>2299</v>
      </c>
      <c r="D164" s="256" t="s">
        <v>2747</v>
      </c>
      <c r="E164" s="137" t="s">
        <v>2748</v>
      </c>
      <c r="F164" s="256">
        <v>6600</v>
      </c>
      <c r="G164" s="221">
        <f t="shared" ref="G164:G195" si="66">SUM(H164:Q164)</f>
        <v>0</v>
      </c>
      <c r="H164" s="222">
        <f t="shared" si="60"/>
        <v>0</v>
      </c>
      <c r="I164" s="820">
        <f t="shared" si="61"/>
        <v>0</v>
      </c>
      <c r="J164" s="222">
        <f t="shared" si="62"/>
        <v>0</v>
      </c>
      <c r="K164" s="224">
        <f t="shared" si="63"/>
        <v>0</v>
      </c>
      <c r="L164" s="222">
        <f t="shared" si="53"/>
        <v>0</v>
      </c>
      <c r="M164" s="223">
        <f t="shared" si="64"/>
        <v>0</v>
      </c>
      <c r="N164" s="224">
        <f t="shared" si="65"/>
        <v>0</v>
      </c>
      <c r="O164" s="222">
        <f t="shared" si="56"/>
        <v>0</v>
      </c>
      <c r="P164" s="223">
        <f t="shared" si="57"/>
        <v>0</v>
      </c>
      <c r="Q164" s="870">
        <f t="shared" si="58"/>
        <v>0</v>
      </c>
      <c r="R164" s="844" t="s">
        <v>2749</v>
      </c>
    </row>
    <row r="165" spans="1:18" ht="32.1" hidden="1" customHeight="1">
      <c r="A165" s="1126"/>
      <c r="B165" s="160"/>
      <c r="C165" s="69" t="s">
        <v>2750</v>
      </c>
      <c r="D165" s="254" t="s">
        <v>2751</v>
      </c>
      <c r="E165" s="69" t="s">
        <v>2752</v>
      </c>
      <c r="F165" s="254">
        <v>6603</v>
      </c>
      <c r="G165" s="213">
        <f t="shared" si="66"/>
        <v>0</v>
      </c>
      <c r="H165" s="214">
        <f t="shared" si="60"/>
        <v>0</v>
      </c>
      <c r="I165" s="818">
        <f t="shared" si="61"/>
        <v>0</v>
      </c>
      <c r="J165" s="214">
        <f t="shared" si="62"/>
        <v>0</v>
      </c>
      <c r="K165" s="216">
        <f t="shared" si="63"/>
        <v>0</v>
      </c>
      <c r="L165" s="214">
        <f t="shared" si="53"/>
        <v>0</v>
      </c>
      <c r="M165" s="215">
        <f t="shared" si="64"/>
        <v>0</v>
      </c>
      <c r="N165" s="216">
        <f t="shared" si="65"/>
        <v>0</v>
      </c>
      <c r="O165" s="214">
        <f t="shared" si="56"/>
        <v>0</v>
      </c>
      <c r="P165" s="215">
        <f t="shared" si="57"/>
        <v>0</v>
      </c>
      <c r="Q165" s="868">
        <f t="shared" si="58"/>
        <v>0</v>
      </c>
      <c r="R165" s="842" t="s">
        <v>2753</v>
      </c>
    </row>
    <row r="166" spans="1:18" ht="32.1" customHeight="1">
      <c r="A166" s="1126"/>
      <c r="B166" s="160"/>
      <c r="C166" s="136" t="s">
        <v>2754</v>
      </c>
      <c r="D166" s="255" t="s">
        <v>2755</v>
      </c>
      <c r="E166" s="136" t="s">
        <v>2756</v>
      </c>
      <c r="F166" s="255">
        <v>6609</v>
      </c>
      <c r="G166" s="217">
        <f t="shared" si="66"/>
        <v>0</v>
      </c>
      <c r="H166" s="218">
        <f t="shared" si="60"/>
        <v>0</v>
      </c>
      <c r="I166" s="819">
        <f t="shared" si="61"/>
        <v>0</v>
      </c>
      <c r="J166" s="218">
        <f t="shared" si="62"/>
        <v>0</v>
      </c>
      <c r="K166" s="220">
        <f t="shared" si="63"/>
        <v>0</v>
      </c>
      <c r="L166" s="218">
        <f t="shared" si="53"/>
        <v>0</v>
      </c>
      <c r="M166" s="219">
        <f t="shared" si="64"/>
        <v>0</v>
      </c>
      <c r="N166" s="220">
        <f t="shared" si="65"/>
        <v>0</v>
      </c>
      <c r="O166" s="218">
        <f t="shared" si="56"/>
        <v>0</v>
      </c>
      <c r="P166" s="219">
        <f t="shared" si="57"/>
        <v>0</v>
      </c>
      <c r="Q166" s="869">
        <f t="shared" si="58"/>
        <v>0</v>
      </c>
      <c r="R166" s="843" t="s">
        <v>2757</v>
      </c>
    </row>
    <row r="167" spans="1:18" ht="32.1" customHeight="1">
      <c r="A167" s="1126"/>
      <c r="B167" s="160"/>
      <c r="C167" s="136" t="s">
        <v>148</v>
      </c>
      <c r="D167" s="255" t="s">
        <v>2758</v>
      </c>
      <c r="E167" s="136" t="s">
        <v>2759</v>
      </c>
      <c r="F167" s="255">
        <v>6609</v>
      </c>
      <c r="G167" s="217">
        <f t="shared" si="66"/>
        <v>12</v>
      </c>
      <c r="H167" s="218">
        <f t="shared" si="60"/>
        <v>5</v>
      </c>
      <c r="I167" s="819">
        <f t="shared" si="61"/>
        <v>7</v>
      </c>
      <c r="J167" s="218">
        <f t="shared" si="62"/>
        <v>0</v>
      </c>
      <c r="K167" s="220">
        <f t="shared" si="63"/>
        <v>0</v>
      </c>
      <c r="L167" s="218">
        <f t="shared" si="53"/>
        <v>0</v>
      </c>
      <c r="M167" s="219">
        <f t="shared" si="64"/>
        <v>0</v>
      </c>
      <c r="N167" s="220">
        <f t="shared" si="65"/>
        <v>0</v>
      </c>
      <c r="O167" s="218">
        <f t="shared" si="56"/>
        <v>0</v>
      </c>
      <c r="P167" s="219">
        <f t="shared" si="57"/>
        <v>0</v>
      </c>
      <c r="Q167" s="869">
        <f t="shared" si="58"/>
        <v>0</v>
      </c>
      <c r="R167" s="843" t="s">
        <v>2760</v>
      </c>
    </row>
    <row r="168" spans="1:18" ht="32.1" customHeight="1">
      <c r="A168" s="1126"/>
      <c r="B168" s="160"/>
      <c r="C168" s="136" t="s">
        <v>232</v>
      </c>
      <c r="D168" s="255" t="s">
        <v>2761</v>
      </c>
      <c r="E168" s="136" t="s">
        <v>2762</v>
      </c>
      <c r="F168" s="255">
        <v>6609</v>
      </c>
      <c r="G168" s="217">
        <f t="shared" si="66"/>
        <v>94</v>
      </c>
      <c r="H168" s="218">
        <f t="shared" si="60"/>
        <v>41</v>
      </c>
      <c r="I168" s="819">
        <f t="shared" si="61"/>
        <v>7</v>
      </c>
      <c r="J168" s="218">
        <f t="shared" si="62"/>
        <v>19</v>
      </c>
      <c r="K168" s="220">
        <f t="shared" si="63"/>
        <v>3</v>
      </c>
      <c r="L168" s="218">
        <f t="shared" si="53"/>
        <v>10</v>
      </c>
      <c r="M168" s="219">
        <f t="shared" si="64"/>
        <v>1</v>
      </c>
      <c r="N168" s="220">
        <f t="shared" si="65"/>
        <v>0</v>
      </c>
      <c r="O168" s="218">
        <f t="shared" si="56"/>
        <v>6</v>
      </c>
      <c r="P168" s="219">
        <f t="shared" si="57"/>
        <v>4</v>
      </c>
      <c r="Q168" s="869">
        <f t="shared" si="58"/>
        <v>3</v>
      </c>
      <c r="R168" s="843" t="s">
        <v>2763</v>
      </c>
    </row>
    <row r="169" spans="1:18" ht="32.1" customHeight="1">
      <c r="A169" s="1126"/>
      <c r="B169" s="160"/>
      <c r="C169" s="137" t="s">
        <v>2009</v>
      </c>
      <c r="D169" s="256" t="s">
        <v>2764</v>
      </c>
      <c r="E169" s="137" t="s">
        <v>2765</v>
      </c>
      <c r="F169" s="256">
        <v>6606</v>
      </c>
      <c r="G169" s="221">
        <f t="shared" si="66"/>
        <v>0</v>
      </c>
      <c r="H169" s="222">
        <f t="shared" si="60"/>
        <v>0</v>
      </c>
      <c r="I169" s="820">
        <f t="shared" si="61"/>
        <v>0</v>
      </c>
      <c r="J169" s="222">
        <f t="shared" si="62"/>
        <v>0</v>
      </c>
      <c r="K169" s="224">
        <f t="shared" si="63"/>
        <v>0</v>
      </c>
      <c r="L169" s="222">
        <f t="shared" si="53"/>
        <v>0</v>
      </c>
      <c r="M169" s="223">
        <f t="shared" si="64"/>
        <v>0</v>
      </c>
      <c r="N169" s="224">
        <f t="shared" si="65"/>
        <v>0</v>
      </c>
      <c r="O169" s="222">
        <f t="shared" si="56"/>
        <v>0</v>
      </c>
      <c r="P169" s="223">
        <f t="shared" si="57"/>
        <v>0</v>
      </c>
      <c r="Q169" s="870">
        <f t="shared" si="58"/>
        <v>0</v>
      </c>
      <c r="R169" s="844" t="s">
        <v>2765</v>
      </c>
    </row>
    <row r="170" spans="1:18" ht="32.1" customHeight="1">
      <c r="A170" s="1126"/>
      <c r="B170" s="160"/>
      <c r="C170" s="136" t="s">
        <v>562</v>
      </c>
      <c r="D170" s="255" t="s">
        <v>2766</v>
      </c>
      <c r="E170" s="136" t="s">
        <v>2767</v>
      </c>
      <c r="F170" s="255">
        <v>6609</v>
      </c>
      <c r="G170" s="217">
        <f t="shared" si="66"/>
        <v>12</v>
      </c>
      <c r="H170" s="218">
        <f t="shared" si="60"/>
        <v>4</v>
      </c>
      <c r="I170" s="819">
        <f t="shared" si="61"/>
        <v>8</v>
      </c>
      <c r="J170" s="218">
        <f t="shared" si="62"/>
        <v>0</v>
      </c>
      <c r="K170" s="220">
        <f t="shared" si="63"/>
        <v>0</v>
      </c>
      <c r="L170" s="218">
        <f t="shared" si="53"/>
        <v>0</v>
      </c>
      <c r="M170" s="219">
        <f t="shared" si="64"/>
        <v>0</v>
      </c>
      <c r="N170" s="220">
        <f t="shared" si="65"/>
        <v>0</v>
      </c>
      <c r="O170" s="218">
        <f t="shared" si="56"/>
        <v>0</v>
      </c>
      <c r="P170" s="219">
        <f t="shared" si="57"/>
        <v>0</v>
      </c>
      <c r="Q170" s="869">
        <f t="shared" si="58"/>
        <v>0</v>
      </c>
      <c r="R170" s="843" t="s">
        <v>2768</v>
      </c>
    </row>
    <row r="171" spans="1:18" ht="32.1" customHeight="1">
      <c r="A171" s="1126"/>
      <c r="B171" s="160"/>
      <c r="C171" s="137" t="s">
        <v>123</v>
      </c>
      <c r="D171" s="256" t="s">
        <v>2769</v>
      </c>
      <c r="E171" s="137" t="s">
        <v>2770</v>
      </c>
      <c r="F171" s="256">
        <v>6606</v>
      </c>
      <c r="G171" s="221">
        <f t="shared" si="66"/>
        <v>8</v>
      </c>
      <c r="H171" s="222">
        <f t="shared" si="60"/>
        <v>6</v>
      </c>
      <c r="I171" s="820">
        <f t="shared" si="61"/>
        <v>2</v>
      </c>
      <c r="J171" s="222">
        <f t="shared" si="62"/>
        <v>0</v>
      </c>
      <c r="K171" s="224">
        <f t="shared" si="63"/>
        <v>0</v>
      </c>
      <c r="L171" s="222">
        <f t="shared" si="53"/>
        <v>0</v>
      </c>
      <c r="M171" s="223">
        <f t="shared" si="64"/>
        <v>0</v>
      </c>
      <c r="N171" s="224">
        <f t="shared" si="65"/>
        <v>0</v>
      </c>
      <c r="O171" s="222">
        <f t="shared" si="56"/>
        <v>0</v>
      </c>
      <c r="P171" s="223">
        <f t="shared" si="57"/>
        <v>0</v>
      </c>
      <c r="Q171" s="870">
        <f t="shared" si="58"/>
        <v>0</v>
      </c>
      <c r="R171" s="844" t="s">
        <v>2771</v>
      </c>
    </row>
    <row r="172" spans="1:18" ht="32.1" customHeight="1">
      <c r="A172" s="1126"/>
      <c r="B172" s="160"/>
      <c r="C172" s="138" t="s">
        <v>268</v>
      </c>
      <c r="D172" s="257" t="s">
        <v>2772</v>
      </c>
      <c r="E172" s="138" t="s">
        <v>2773</v>
      </c>
      <c r="F172" s="257">
        <v>6609</v>
      </c>
      <c r="G172" s="225">
        <f t="shared" si="66"/>
        <v>33</v>
      </c>
      <c r="H172" s="218">
        <f t="shared" si="60"/>
        <v>4</v>
      </c>
      <c r="I172" s="819">
        <f t="shared" si="61"/>
        <v>1</v>
      </c>
      <c r="J172" s="218">
        <f t="shared" si="62"/>
        <v>0</v>
      </c>
      <c r="K172" s="220">
        <f t="shared" si="63"/>
        <v>1</v>
      </c>
      <c r="L172" s="218">
        <f t="shared" si="53"/>
        <v>1</v>
      </c>
      <c r="M172" s="219">
        <f t="shared" si="64"/>
        <v>0</v>
      </c>
      <c r="N172" s="220">
        <f t="shared" si="65"/>
        <v>0</v>
      </c>
      <c r="O172" s="218">
        <f t="shared" si="56"/>
        <v>1</v>
      </c>
      <c r="P172" s="219">
        <f t="shared" si="57"/>
        <v>13</v>
      </c>
      <c r="Q172" s="869">
        <f t="shared" si="58"/>
        <v>12</v>
      </c>
      <c r="R172" s="845" t="s">
        <v>2774</v>
      </c>
    </row>
    <row r="173" spans="1:18" ht="32.1" customHeight="1">
      <c r="A173" s="1126"/>
      <c r="B173" s="160"/>
      <c r="C173" s="138" t="s">
        <v>250</v>
      </c>
      <c r="D173" s="257" t="s">
        <v>2775</v>
      </c>
      <c r="E173" s="138" t="s">
        <v>2776</v>
      </c>
      <c r="F173" s="257">
        <v>6609</v>
      </c>
      <c r="G173" s="225">
        <f t="shared" si="66"/>
        <v>48</v>
      </c>
      <c r="H173" s="218">
        <f t="shared" si="60"/>
        <v>18</v>
      </c>
      <c r="I173" s="819">
        <f t="shared" si="61"/>
        <v>0</v>
      </c>
      <c r="J173" s="218">
        <f t="shared" si="62"/>
        <v>0</v>
      </c>
      <c r="K173" s="220">
        <f t="shared" si="63"/>
        <v>13</v>
      </c>
      <c r="L173" s="218">
        <f t="shared" ref="L173:L202" si="67">COUNTIF(Area_v3BIN,$C173)</f>
        <v>0</v>
      </c>
      <c r="M173" s="219">
        <f t="shared" si="64"/>
        <v>2</v>
      </c>
      <c r="N173" s="220">
        <f t="shared" si="65"/>
        <v>0</v>
      </c>
      <c r="O173" s="218">
        <f t="shared" ref="O173:O202" si="68">COUNTIF(Area_v3HAD,$C173)</f>
        <v>3</v>
      </c>
      <c r="P173" s="219">
        <f t="shared" ref="P173:P202" si="69">COUNTIF(Area_v3KFA,$C173)</f>
        <v>6</v>
      </c>
      <c r="Q173" s="869">
        <f t="shared" ref="Q173:Q202" si="70">COUNTIF(Area_v4KFA,$C173)</f>
        <v>6</v>
      </c>
      <c r="R173" s="845" t="s">
        <v>2777</v>
      </c>
    </row>
    <row r="174" spans="1:18" ht="32.1" customHeight="1">
      <c r="A174" s="1126"/>
      <c r="B174" s="160"/>
      <c r="C174" s="137" t="s">
        <v>142</v>
      </c>
      <c r="D174" s="256" t="s">
        <v>2778</v>
      </c>
      <c r="E174" s="137" t="s">
        <v>2779</v>
      </c>
      <c r="F174" s="256">
        <v>6606</v>
      </c>
      <c r="G174" s="221">
        <f t="shared" si="66"/>
        <v>12</v>
      </c>
      <c r="H174" s="222">
        <f t="shared" si="60"/>
        <v>6</v>
      </c>
      <c r="I174" s="820">
        <f t="shared" si="61"/>
        <v>6</v>
      </c>
      <c r="J174" s="222">
        <f t="shared" si="62"/>
        <v>0</v>
      </c>
      <c r="K174" s="224">
        <f t="shared" si="63"/>
        <v>0</v>
      </c>
      <c r="L174" s="222">
        <f t="shared" si="67"/>
        <v>0</v>
      </c>
      <c r="M174" s="223">
        <f t="shared" si="64"/>
        <v>0</v>
      </c>
      <c r="N174" s="224">
        <f t="shared" si="65"/>
        <v>0</v>
      </c>
      <c r="O174" s="222">
        <f t="shared" si="68"/>
        <v>0</v>
      </c>
      <c r="P174" s="223">
        <f t="shared" si="69"/>
        <v>0</v>
      </c>
      <c r="Q174" s="870">
        <f t="shared" si="70"/>
        <v>0</v>
      </c>
      <c r="R174" s="844" t="s">
        <v>2780</v>
      </c>
    </row>
    <row r="175" spans="1:18" ht="32.1" customHeight="1">
      <c r="A175" s="1126"/>
      <c r="B175" s="160"/>
      <c r="C175" s="138" t="s">
        <v>2039</v>
      </c>
      <c r="D175" s="257" t="s">
        <v>2781</v>
      </c>
      <c r="E175" s="138" t="s">
        <v>2782</v>
      </c>
      <c r="F175" s="257">
        <v>6609</v>
      </c>
      <c r="G175" s="225">
        <f t="shared" si="66"/>
        <v>0</v>
      </c>
      <c r="H175" s="218">
        <f t="shared" si="60"/>
        <v>0</v>
      </c>
      <c r="I175" s="819">
        <f t="shared" si="61"/>
        <v>0</v>
      </c>
      <c r="J175" s="218">
        <f t="shared" si="62"/>
        <v>0</v>
      </c>
      <c r="K175" s="220">
        <f t="shared" si="63"/>
        <v>0</v>
      </c>
      <c r="L175" s="218">
        <f t="shared" si="67"/>
        <v>0</v>
      </c>
      <c r="M175" s="219">
        <f t="shared" si="64"/>
        <v>0</v>
      </c>
      <c r="N175" s="220">
        <f t="shared" si="65"/>
        <v>0</v>
      </c>
      <c r="O175" s="218">
        <f t="shared" si="68"/>
        <v>0</v>
      </c>
      <c r="P175" s="219">
        <f t="shared" si="69"/>
        <v>0</v>
      </c>
      <c r="Q175" s="869">
        <f t="shared" si="70"/>
        <v>0</v>
      </c>
      <c r="R175" s="845" t="s">
        <v>2783</v>
      </c>
    </row>
    <row r="176" spans="1:18" ht="32.1" customHeight="1">
      <c r="A176" s="1126"/>
      <c r="B176" s="160"/>
      <c r="C176" s="138" t="s">
        <v>1408</v>
      </c>
      <c r="D176" s="257" t="s">
        <v>2784</v>
      </c>
      <c r="E176" s="138" t="s">
        <v>2785</v>
      </c>
      <c r="F176" s="257">
        <v>6609</v>
      </c>
      <c r="G176" s="225">
        <f t="shared" si="66"/>
        <v>1</v>
      </c>
      <c r="H176" s="218">
        <f t="shared" si="60"/>
        <v>0</v>
      </c>
      <c r="I176" s="819">
        <f t="shared" si="61"/>
        <v>1</v>
      </c>
      <c r="J176" s="218">
        <f t="shared" si="62"/>
        <v>0</v>
      </c>
      <c r="K176" s="220">
        <f t="shared" si="63"/>
        <v>0</v>
      </c>
      <c r="L176" s="218">
        <f t="shared" si="67"/>
        <v>0</v>
      </c>
      <c r="M176" s="219">
        <f t="shared" si="64"/>
        <v>0</v>
      </c>
      <c r="N176" s="220">
        <f t="shared" si="65"/>
        <v>0</v>
      </c>
      <c r="O176" s="218">
        <f t="shared" si="68"/>
        <v>0</v>
      </c>
      <c r="P176" s="219">
        <f t="shared" si="69"/>
        <v>0</v>
      </c>
      <c r="Q176" s="869">
        <f t="shared" si="70"/>
        <v>0</v>
      </c>
      <c r="R176" s="845" t="s">
        <v>2786</v>
      </c>
    </row>
    <row r="177" spans="1:18" ht="32.1" customHeight="1">
      <c r="A177" s="1126"/>
      <c r="B177" s="160"/>
      <c r="C177" s="138" t="s">
        <v>455</v>
      </c>
      <c r="D177" s="257" t="s">
        <v>2787</v>
      </c>
      <c r="E177" s="138" t="s">
        <v>2788</v>
      </c>
      <c r="F177" s="257">
        <v>6609</v>
      </c>
      <c r="G177" s="225">
        <f t="shared" si="66"/>
        <v>15</v>
      </c>
      <c r="H177" s="218">
        <f t="shared" si="60"/>
        <v>7</v>
      </c>
      <c r="I177" s="819">
        <f t="shared" si="61"/>
        <v>0</v>
      </c>
      <c r="J177" s="218">
        <f t="shared" si="62"/>
        <v>0</v>
      </c>
      <c r="K177" s="220">
        <f t="shared" si="63"/>
        <v>0</v>
      </c>
      <c r="L177" s="218">
        <f t="shared" si="67"/>
        <v>0</v>
      </c>
      <c r="M177" s="219">
        <f t="shared" si="64"/>
        <v>6</v>
      </c>
      <c r="N177" s="220">
        <f t="shared" si="65"/>
        <v>1</v>
      </c>
      <c r="O177" s="218">
        <f t="shared" si="68"/>
        <v>1</v>
      </c>
      <c r="P177" s="219">
        <f t="shared" si="69"/>
        <v>0</v>
      </c>
      <c r="Q177" s="869">
        <f t="shared" si="70"/>
        <v>0</v>
      </c>
      <c r="R177" s="845" t="s">
        <v>2789</v>
      </c>
    </row>
    <row r="178" spans="1:18" ht="32.1" customHeight="1">
      <c r="A178" s="1126"/>
      <c r="B178" s="160"/>
      <c r="C178" s="138" t="s">
        <v>247</v>
      </c>
      <c r="D178" s="257" t="s">
        <v>2790</v>
      </c>
      <c r="E178" s="138" t="s">
        <v>2791</v>
      </c>
      <c r="F178" s="257">
        <v>6609</v>
      </c>
      <c r="G178" s="225">
        <f t="shared" si="66"/>
        <v>12</v>
      </c>
      <c r="H178" s="218">
        <f t="shared" si="60"/>
        <v>6</v>
      </c>
      <c r="I178" s="819">
        <f t="shared" si="61"/>
        <v>0</v>
      </c>
      <c r="J178" s="218">
        <f t="shared" si="62"/>
        <v>0</v>
      </c>
      <c r="K178" s="220">
        <f t="shared" si="63"/>
        <v>0</v>
      </c>
      <c r="L178" s="218">
        <f t="shared" si="67"/>
        <v>2</v>
      </c>
      <c r="M178" s="219">
        <f t="shared" si="64"/>
        <v>0</v>
      </c>
      <c r="N178" s="220">
        <f t="shared" si="65"/>
        <v>0</v>
      </c>
      <c r="O178" s="218">
        <f t="shared" si="68"/>
        <v>4</v>
      </c>
      <c r="P178" s="219">
        <f t="shared" si="69"/>
        <v>0</v>
      </c>
      <c r="Q178" s="869">
        <f t="shared" si="70"/>
        <v>0</v>
      </c>
      <c r="R178" s="845" t="s">
        <v>2792</v>
      </c>
    </row>
    <row r="179" spans="1:18" ht="32.1" customHeight="1">
      <c r="A179" s="1126"/>
      <c r="B179" s="160"/>
      <c r="C179" s="138" t="s">
        <v>2048</v>
      </c>
      <c r="D179" s="257" t="s">
        <v>2793</v>
      </c>
      <c r="E179" s="138" t="s">
        <v>2794</v>
      </c>
      <c r="F179" s="257">
        <v>6609</v>
      </c>
      <c r="G179" s="225">
        <f t="shared" si="66"/>
        <v>0</v>
      </c>
      <c r="H179" s="218">
        <f t="shared" si="60"/>
        <v>0</v>
      </c>
      <c r="I179" s="819">
        <f t="shared" si="61"/>
        <v>0</v>
      </c>
      <c r="J179" s="218">
        <f t="shared" si="62"/>
        <v>0</v>
      </c>
      <c r="K179" s="220">
        <f t="shared" si="63"/>
        <v>0</v>
      </c>
      <c r="L179" s="218">
        <f t="shared" si="67"/>
        <v>0</v>
      </c>
      <c r="M179" s="219">
        <f t="shared" si="64"/>
        <v>0</v>
      </c>
      <c r="N179" s="220">
        <f t="shared" si="65"/>
        <v>0</v>
      </c>
      <c r="O179" s="218">
        <f t="shared" si="68"/>
        <v>0</v>
      </c>
      <c r="P179" s="219">
        <f t="shared" si="69"/>
        <v>0</v>
      </c>
      <c r="Q179" s="869">
        <f t="shared" si="70"/>
        <v>0</v>
      </c>
      <c r="R179" s="845" t="s">
        <v>2795</v>
      </c>
    </row>
    <row r="180" spans="1:18" ht="32.1" customHeight="1">
      <c r="A180" s="1126"/>
      <c r="B180" s="160"/>
      <c r="C180" s="138" t="s">
        <v>568</v>
      </c>
      <c r="D180" s="257" t="s">
        <v>2796</v>
      </c>
      <c r="E180" s="138" t="s">
        <v>2797</v>
      </c>
      <c r="F180" s="257">
        <v>6606</v>
      </c>
      <c r="G180" s="225">
        <f t="shared" si="66"/>
        <v>9</v>
      </c>
      <c r="H180" s="218">
        <f t="shared" si="60"/>
        <v>2</v>
      </c>
      <c r="I180" s="819">
        <f t="shared" si="61"/>
        <v>6</v>
      </c>
      <c r="J180" s="218">
        <f t="shared" si="62"/>
        <v>0</v>
      </c>
      <c r="K180" s="220">
        <f t="shared" si="63"/>
        <v>0</v>
      </c>
      <c r="L180" s="218">
        <f t="shared" si="67"/>
        <v>0</v>
      </c>
      <c r="M180" s="219">
        <f t="shared" si="64"/>
        <v>0</v>
      </c>
      <c r="N180" s="220">
        <f t="shared" si="65"/>
        <v>1</v>
      </c>
      <c r="O180" s="218">
        <f t="shared" si="68"/>
        <v>0</v>
      </c>
      <c r="P180" s="219">
        <f t="shared" si="69"/>
        <v>0</v>
      </c>
      <c r="Q180" s="869">
        <f t="shared" si="70"/>
        <v>0</v>
      </c>
      <c r="R180" s="845" t="s">
        <v>2798</v>
      </c>
    </row>
    <row r="181" spans="1:18" ht="32.1" customHeight="1">
      <c r="A181" s="1126"/>
      <c r="B181" s="160"/>
      <c r="C181" s="139" t="s">
        <v>1740</v>
      </c>
      <c r="D181" s="258" t="s">
        <v>2799</v>
      </c>
      <c r="E181" s="139" t="s">
        <v>2800</v>
      </c>
      <c r="F181" s="258">
        <v>6606</v>
      </c>
      <c r="G181" s="226">
        <f t="shared" si="66"/>
        <v>3</v>
      </c>
      <c r="H181" s="227">
        <f t="shared" si="60"/>
        <v>0</v>
      </c>
      <c r="I181" s="821">
        <f t="shared" si="61"/>
        <v>0</v>
      </c>
      <c r="J181" s="227">
        <f t="shared" si="62"/>
        <v>0</v>
      </c>
      <c r="K181" s="229">
        <f t="shared" si="63"/>
        <v>0</v>
      </c>
      <c r="L181" s="227">
        <f t="shared" si="67"/>
        <v>0</v>
      </c>
      <c r="M181" s="228">
        <f t="shared" si="64"/>
        <v>0</v>
      </c>
      <c r="N181" s="229">
        <f t="shared" si="65"/>
        <v>0</v>
      </c>
      <c r="O181" s="227">
        <f t="shared" si="68"/>
        <v>3</v>
      </c>
      <c r="P181" s="228">
        <f t="shared" si="69"/>
        <v>0</v>
      </c>
      <c r="Q181" s="871">
        <f t="shared" si="70"/>
        <v>0</v>
      </c>
      <c r="R181" s="846" t="s">
        <v>2801</v>
      </c>
    </row>
    <row r="182" spans="1:18" ht="32.1" customHeight="1">
      <c r="A182" s="1126"/>
      <c r="B182" s="160"/>
      <c r="C182" s="138" t="s">
        <v>183</v>
      </c>
      <c r="D182" s="257" t="s">
        <v>2802</v>
      </c>
      <c r="E182" s="138" t="s">
        <v>2803</v>
      </c>
      <c r="F182" s="257">
        <v>6602</v>
      </c>
      <c r="G182" s="225">
        <f t="shared" si="66"/>
        <v>97</v>
      </c>
      <c r="H182" s="218">
        <f t="shared" ref="H182:H194" si="71">COUNTIF(Area_v1,$C182)</f>
        <v>50</v>
      </c>
      <c r="I182" s="819">
        <f t="shared" ref="I182:I194" si="72">COUNTIF(Area_v2,$C182)</f>
        <v>45</v>
      </c>
      <c r="J182" s="218">
        <f t="shared" ref="J182:J194" si="73">COUNTIF(Area_v3ZIC,$C182)</f>
        <v>0</v>
      </c>
      <c r="K182" s="220">
        <f t="shared" ref="K182:K194" si="74">COUNTIF(Area_v4ZIC,$C182)</f>
        <v>0</v>
      </c>
      <c r="L182" s="218">
        <f t="shared" si="67"/>
        <v>0</v>
      </c>
      <c r="M182" s="219">
        <f t="shared" ref="M182:M194" si="75">COUNTIF(Area_v4BIN,$C182)</f>
        <v>0</v>
      </c>
      <c r="N182" s="220">
        <f t="shared" ref="N182:N194" si="76">COUNTIF(Area_v5BIN,$C182)</f>
        <v>0</v>
      </c>
      <c r="O182" s="218">
        <f t="shared" si="68"/>
        <v>1</v>
      </c>
      <c r="P182" s="219">
        <f t="shared" si="69"/>
        <v>0</v>
      </c>
      <c r="Q182" s="869">
        <f t="shared" si="70"/>
        <v>1</v>
      </c>
      <c r="R182" s="845" t="s">
        <v>2804</v>
      </c>
    </row>
    <row r="183" spans="1:18" ht="32.1" hidden="1" customHeight="1">
      <c r="A183" s="1126"/>
      <c r="B183" s="160"/>
      <c r="C183" s="69" t="s">
        <v>2805</v>
      </c>
      <c r="D183" s="254" t="s">
        <v>2806</v>
      </c>
      <c r="E183" s="69" t="s">
        <v>2807</v>
      </c>
      <c r="F183" s="254">
        <v>6605</v>
      </c>
      <c r="G183" s="213">
        <f t="shared" si="66"/>
        <v>0</v>
      </c>
      <c r="H183" s="214">
        <f t="shared" si="71"/>
        <v>0</v>
      </c>
      <c r="I183" s="818">
        <f t="shared" si="72"/>
        <v>0</v>
      </c>
      <c r="J183" s="214">
        <f t="shared" si="73"/>
        <v>0</v>
      </c>
      <c r="K183" s="216">
        <f t="shared" si="74"/>
        <v>0</v>
      </c>
      <c r="L183" s="214">
        <f t="shared" si="67"/>
        <v>0</v>
      </c>
      <c r="M183" s="215">
        <f t="shared" si="75"/>
        <v>0</v>
      </c>
      <c r="N183" s="216">
        <f t="shared" si="76"/>
        <v>0</v>
      </c>
      <c r="O183" s="214">
        <f t="shared" si="68"/>
        <v>0</v>
      </c>
      <c r="P183" s="215">
        <f t="shared" si="69"/>
        <v>0</v>
      </c>
      <c r="Q183" s="868">
        <f t="shared" si="70"/>
        <v>0</v>
      </c>
      <c r="R183" s="842" t="s">
        <v>2808</v>
      </c>
    </row>
    <row r="184" spans="1:18" ht="32.1" customHeight="1">
      <c r="A184" s="1126"/>
      <c r="B184" s="160"/>
      <c r="C184" s="138" t="s">
        <v>298</v>
      </c>
      <c r="D184" s="257" t="s">
        <v>2809</v>
      </c>
      <c r="E184" s="138" t="s">
        <v>2810</v>
      </c>
      <c r="F184" s="257">
        <v>6608</v>
      </c>
      <c r="G184" s="225">
        <f t="shared" si="66"/>
        <v>11</v>
      </c>
      <c r="H184" s="218">
        <f t="shared" si="71"/>
        <v>5</v>
      </c>
      <c r="I184" s="819">
        <f t="shared" si="72"/>
        <v>5</v>
      </c>
      <c r="J184" s="218">
        <f t="shared" si="73"/>
        <v>0</v>
      </c>
      <c r="K184" s="220">
        <f t="shared" si="74"/>
        <v>0</v>
      </c>
      <c r="L184" s="218">
        <f t="shared" si="67"/>
        <v>0</v>
      </c>
      <c r="M184" s="219">
        <f t="shared" si="75"/>
        <v>0</v>
      </c>
      <c r="N184" s="220">
        <f t="shared" si="76"/>
        <v>0</v>
      </c>
      <c r="O184" s="218">
        <f t="shared" si="68"/>
        <v>0</v>
      </c>
      <c r="P184" s="219">
        <f t="shared" si="69"/>
        <v>1</v>
      </c>
      <c r="Q184" s="869">
        <f t="shared" si="70"/>
        <v>0</v>
      </c>
      <c r="R184" s="845" t="s">
        <v>2811</v>
      </c>
    </row>
    <row r="185" spans="1:18" ht="32.1" customHeight="1">
      <c r="A185" s="1126"/>
      <c r="B185" s="160"/>
      <c r="C185" s="138" t="s">
        <v>206</v>
      </c>
      <c r="D185" s="257" t="s">
        <v>2812</v>
      </c>
      <c r="E185" s="138" t="s">
        <v>2813</v>
      </c>
      <c r="F185" s="257">
        <v>6602</v>
      </c>
      <c r="G185" s="225">
        <f t="shared" si="66"/>
        <v>31</v>
      </c>
      <c r="H185" s="218">
        <f t="shared" si="71"/>
        <v>16</v>
      </c>
      <c r="I185" s="819">
        <f t="shared" si="72"/>
        <v>13</v>
      </c>
      <c r="J185" s="218">
        <f t="shared" si="73"/>
        <v>0</v>
      </c>
      <c r="K185" s="220">
        <f t="shared" si="74"/>
        <v>0</v>
      </c>
      <c r="L185" s="218">
        <f t="shared" si="67"/>
        <v>1</v>
      </c>
      <c r="M185" s="219">
        <f t="shared" si="75"/>
        <v>0</v>
      </c>
      <c r="N185" s="220">
        <f t="shared" si="76"/>
        <v>0</v>
      </c>
      <c r="O185" s="218">
        <f t="shared" si="68"/>
        <v>1</v>
      </c>
      <c r="P185" s="219">
        <f t="shared" si="69"/>
        <v>0</v>
      </c>
      <c r="Q185" s="869">
        <f t="shared" si="70"/>
        <v>0</v>
      </c>
      <c r="R185" s="845" t="s">
        <v>2814</v>
      </c>
    </row>
    <row r="186" spans="1:18" ht="32.1" hidden="1" customHeight="1">
      <c r="A186" s="1126"/>
      <c r="B186" s="160"/>
      <c r="C186" s="69" t="s">
        <v>2815</v>
      </c>
      <c r="D186" s="254" t="s">
        <v>2816</v>
      </c>
      <c r="E186" s="69" t="s">
        <v>2817</v>
      </c>
      <c r="F186" s="254">
        <v>6605</v>
      </c>
      <c r="G186" s="213">
        <f t="shared" si="66"/>
        <v>0</v>
      </c>
      <c r="H186" s="214">
        <f t="shared" si="71"/>
        <v>0</v>
      </c>
      <c r="I186" s="818">
        <f t="shared" si="72"/>
        <v>0</v>
      </c>
      <c r="J186" s="214">
        <f t="shared" si="73"/>
        <v>0</v>
      </c>
      <c r="K186" s="216">
        <f t="shared" si="74"/>
        <v>0</v>
      </c>
      <c r="L186" s="214">
        <f t="shared" si="67"/>
        <v>0</v>
      </c>
      <c r="M186" s="215">
        <f t="shared" si="75"/>
        <v>0</v>
      </c>
      <c r="N186" s="216">
        <f t="shared" si="76"/>
        <v>0</v>
      </c>
      <c r="O186" s="214">
        <f t="shared" si="68"/>
        <v>0</v>
      </c>
      <c r="P186" s="215">
        <f t="shared" si="69"/>
        <v>0</v>
      </c>
      <c r="Q186" s="868">
        <f t="shared" si="70"/>
        <v>0</v>
      </c>
      <c r="R186" s="842" t="s">
        <v>2818</v>
      </c>
    </row>
    <row r="187" spans="1:18" ht="32.1" customHeight="1">
      <c r="A187" s="1126"/>
      <c r="B187" s="160"/>
      <c r="C187" s="138" t="s">
        <v>2332</v>
      </c>
      <c r="D187" s="257" t="s">
        <v>2819</v>
      </c>
      <c r="E187" s="138" t="s">
        <v>2820</v>
      </c>
      <c r="F187" s="257">
        <v>6608</v>
      </c>
      <c r="G187" s="225">
        <f t="shared" si="66"/>
        <v>0</v>
      </c>
      <c r="H187" s="218">
        <f t="shared" si="71"/>
        <v>0</v>
      </c>
      <c r="I187" s="819">
        <f t="shared" si="72"/>
        <v>0</v>
      </c>
      <c r="J187" s="218">
        <f t="shared" si="73"/>
        <v>0</v>
      </c>
      <c r="K187" s="220">
        <f t="shared" si="74"/>
        <v>0</v>
      </c>
      <c r="L187" s="218">
        <f t="shared" si="67"/>
        <v>0</v>
      </c>
      <c r="M187" s="219">
        <f t="shared" si="75"/>
        <v>0</v>
      </c>
      <c r="N187" s="220">
        <f t="shared" si="76"/>
        <v>0</v>
      </c>
      <c r="O187" s="218">
        <f t="shared" si="68"/>
        <v>0</v>
      </c>
      <c r="P187" s="219">
        <f t="shared" si="69"/>
        <v>0</v>
      </c>
      <c r="Q187" s="869">
        <f t="shared" si="70"/>
        <v>0</v>
      </c>
      <c r="R187" s="845" t="s">
        <v>2821</v>
      </c>
    </row>
    <row r="188" spans="1:18" ht="32.1" customHeight="1">
      <c r="A188" s="1126"/>
      <c r="B188" s="160"/>
      <c r="C188" s="138" t="s">
        <v>2822</v>
      </c>
      <c r="D188" s="257" t="s">
        <v>2823</v>
      </c>
      <c r="E188" s="138" t="s">
        <v>2824</v>
      </c>
      <c r="F188" s="257">
        <v>6602</v>
      </c>
      <c r="G188" s="225">
        <f t="shared" si="66"/>
        <v>0</v>
      </c>
      <c r="H188" s="218">
        <f t="shared" si="71"/>
        <v>0</v>
      </c>
      <c r="I188" s="819">
        <f t="shared" si="72"/>
        <v>0</v>
      </c>
      <c r="J188" s="218">
        <f t="shared" si="73"/>
        <v>0</v>
      </c>
      <c r="K188" s="220">
        <f t="shared" si="74"/>
        <v>0</v>
      </c>
      <c r="L188" s="218">
        <f t="shared" si="67"/>
        <v>0</v>
      </c>
      <c r="M188" s="219">
        <f t="shared" si="75"/>
        <v>0</v>
      </c>
      <c r="N188" s="220">
        <f t="shared" si="76"/>
        <v>0</v>
      </c>
      <c r="O188" s="218">
        <f t="shared" si="68"/>
        <v>0</v>
      </c>
      <c r="P188" s="219">
        <f t="shared" si="69"/>
        <v>0</v>
      </c>
      <c r="Q188" s="869">
        <f t="shared" si="70"/>
        <v>0</v>
      </c>
      <c r="R188" s="845" t="s">
        <v>2825</v>
      </c>
    </row>
    <row r="189" spans="1:18" ht="32.1" hidden="1" customHeight="1">
      <c r="A189" s="1126"/>
      <c r="B189" s="160"/>
      <c r="C189" s="69" t="s">
        <v>2826</v>
      </c>
      <c r="D189" s="254" t="s">
        <v>2827</v>
      </c>
      <c r="E189" s="69" t="s">
        <v>2828</v>
      </c>
      <c r="F189" s="254">
        <v>6605</v>
      </c>
      <c r="G189" s="213">
        <f t="shared" si="66"/>
        <v>0</v>
      </c>
      <c r="H189" s="214">
        <f t="shared" si="71"/>
        <v>0</v>
      </c>
      <c r="I189" s="818">
        <f t="shared" si="72"/>
        <v>0</v>
      </c>
      <c r="J189" s="214">
        <f t="shared" si="73"/>
        <v>0</v>
      </c>
      <c r="K189" s="216">
        <f t="shared" si="74"/>
        <v>0</v>
      </c>
      <c r="L189" s="214">
        <f t="shared" si="67"/>
        <v>0</v>
      </c>
      <c r="M189" s="215">
        <f t="shared" si="75"/>
        <v>0</v>
      </c>
      <c r="N189" s="216">
        <f t="shared" si="76"/>
        <v>0</v>
      </c>
      <c r="O189" s="214">
        <f t="shared" si="68"/>
        <v>0</v>
      </c>
      <c r="P189" s="215">
        <f t="shared" si="69"/>
        <v>0</v>
      </c>
      <c r="Q189" s="868">
        <f t="shared" si="70"/>
        <v>0</v>
      </c>
      <c r="R189" s="842" t="s">
        <v>2829</v>
      </c>
    </row>
    <row r="190" spans="1:18" ht="32.1" customHeight="1">
      <c r="A190" s="1126"/>
      <c r="B190" s="160"/>
      <c r="C190" s="138" t="s">
        <v>2830</v>
      </c>
      <c r="D190" s="257" t="s">
        <v>2831</v>
      </c>
      <c r="E190" s="138" t="s">
        <v>2832</v>
      </c>
      <c r="F190" s="257">
        <v>6602</v>
      </c>
      <c r="G190" s="225">
        <f t="shared" si="66"/>
        <v>0</v>
      </c>
      <c r="H190" s="218">
        <f t="shared" si="71"/>
        <v>0</v>
      </c>
      <c r="I190" s="819">
        <f t="shared" si="72"/>
        <v>0</v>
      </c>
      <c r="J190" s="218">
        <f t="shared" si="73"/>
        <v>0</v>
      </c>
      <c r="K190" s="220">
        <f t="shared" si="74"/>
        <v>0</v>
      </c>
      <c r="L190" s="218">
        <f t="shared" si="67"/>
        <v>0</v>
      </c>
      <c r="M190" s="219">
        <f t="shared" si="75"/>
        <v>0</v>
      </c>
      <c r="N190" s="220">
        <f t="shared" si="76"/>
        <v>0</v>
      </c>
      <c r="O190" s="218">
        <f t="shared" si="68"/>
        <v>0</v>
      </c>
      <c r="P190" s="219">
        <f t="shared" si="69"/>
        <v>0</v>
      </c>
      <c r="Q190" s="869">
        <f t="shared" si="70"/>
        <v>0</v>
      </c>
      <c r="R190" s="845" t="s">
        <v>2833</v>
      </c>
    </row>
    <row r="191" spans="1:18" ht="32.1" customHeight="1">
      <c r="A191" s="1126"/>
      <c r="B191" s="160"/>
      <c r="C191" s="137" t="s">
        <v>2834</v>
      </c>
      <c r="D191" s="256" t="s">
        <v>2816</v>
      </c>
      <c r="E191" s="137" t="s">
        <v>2835</v>
      </c>
      <c r="F191" s="256">
        <v>6605</v>
      </c>
      <c r="G191" s="221">
        <f t="shared" si="66"/>
        <v>0</v>
      </c>
      <c r="H191" s="222">
        <f t="shared" si="71"/>
        <v>0</v>
      </c>
      <c r="I191" s="820">
        <f t="shared" si="72"/>
        <v>0</v>
      </c>
      <c r="J191" s="222">
        <f t="shared" si="73"/>
        <v>0</v>
      </c>
      <c r="K191" s="224">
        <f t="shared" si="74"/>
        <v>0</v>
      </c>
      <c r="L191" s="222">
        <f t="shared" si="67"/>
        <v>0</v>
      </c>
      <c r="M191" s="223">
        <f t="shared" si="75"/>
        <v>0</v>
      </c>
      <c r="N191" s="224">
        <f t="shared" si="76"/>
        <v>0</v>
      </c>
      <c r="O191" s="222">
        <f t="shared" si="68"/>
        <v>0</v>
      </c>
      <c r="P191" s="223">
        <f t="shared" si="69"/>
        <v>0</v>
      </c>
      <c r="Q191" s="870">
        <f t="shared" si="70"/>
        <v>0</v>
      </c>
      <c r="R191" s="844" t="s">
        <v>2836</v>
      </c>
    </row>
    <row r="192" spans="1:18" ht="32.1" customHeight="1">
      <c r="A192" s="1126"/>
      <c r="B192" s="160"/>
      <c r="C192" s="138" t="s">
        <v>1610</v>
      </c>
      <c r="D192" s="257" t="s">
        <v>2837</v>
      </c>
      <c r="E192" s="138" t="s">
        <v>2838</v>
      </c>
      <c r="F192" s="257">
        <v>6602</v>
      </c>
      <c r="G192" s="225">
        <f t="shared" si="66"/>
        <v>6</v>
      </c>
      <c r="H192" s="218">
        <f t="shared" si="71"/>
        <v>0</v>
      </c>
      <c r="I192" s="819">
        <f t="shared" si="72"/>
        <v>0</v>
      </c>
      <c r="J192" s="218">
        <f t="shared" si="73"/>
        <v>2</v>
      </c>
      <c r="K192" s="220">
        <f t="shared" si="74"/>
        <v>0</v>
      </c>
      <c r="L192" s="218">
        <f t="shared" si="67"/>
        <v>1</v>
      </c>
      <c r="M192" s="219">
        <f t="shared" si="75"/>
        <v>0</v>
      </c>
      <c r="N192" s="220">
        <f t="shared" si="76"/>
        <v>0</v>
      </c>
      <c r="O192" s="218">
        <f t="shared" si="68"/>
        <v>1</v>
      </c>
      <c r="P192" s="219">
        <f t="shared" si="69"/>
        <v>1</v>
      </c>
      <c r="Q192" s="869">
        <f t="shared" si="70"/>
        <v>1</v>
      </c>
      <c r="R192" s="845" t="s">
        <v>2839</v>
      </c>
    </row>
    <row r="193" spans="1:18" ht="32.1" customHeight="1">
      <c r="A193" s="1126"/>
      <c r="B193" s="160"/>
      <c r="C193" s="138" t="s">
        <v>2311</v>
      </c>
      <c r="D193" s="257" t="s">
        <v>2840</v>
      </c>
      <c r="E193" s="138" t="s">
        <v>2841</v>
      </c>
      <c r="F193" s="257">
        <v>6608</v>
      </c>
      <c r="G193" s="225">
        <f t="shared" si="66"/>
        <v>0</v>
      </c>
      <c r="H193" s="218">
        <f t="shared" si="71"/>
        <v>0</v>
      </c>
      <c r="I193" s="819">
        <f t="shared" si="72"/>
        <v>0</v>
      </c>
      <c r="J193" s="218">
        <f t="shared" si="73"/>
        <v>0</v>
      </c>
      <c r="K193" s="220">
        <f t="shared" si="74"/>
        <v>0</v>
      </c>
      <c r="L193" s="218">
        <f t="shared" si="67"/>
        <v>0</v>
      </c>
      <c r="M193" s="219">
        <f t="shared" si="75"/>
        <v>0</v>
      </c>
      <c r="N193" s="220">
        <f t="shared" si="76"/>
        <v>0</v>
      </c>
      <c r="O193" s="218">
        <f t="shared" si="68"/>
        <v>0</v>
      </c>
      <c r="P193" s="219">
        <f t="shared" si="69"/>
        <v>0</v>
      </c>
      <c r="Q193" s="869">
        <f t="shared" si="70"/>
        <v>0</v>
      </c>
      <c r="R193" s="845" t="s">
        <v>2842</v>
      </c>
    </row>
    <row r="194" spans="1:18" ht="32.1" customHeight="1">
      <c r="A194" s="1126"/>
      <c r="B194" s="160"/>
      <c r="C194" s="139" t="s">
        <v>2333</v>
      </c>
      <c r="D194" s="258" t="s">
        <v>2843</v>
      </c>
      <c r="E194" s="139" t="s">
        <v>2844</v>
      </c>
      <c r="F194" s="258">
        <v>6598</v>
      </c>
      <c r="G194" s="226">
        <f t="shared" si="66"/>
        <v>0</v>
      </c>
      <c r="H194" s="227">
        <f t="shared" si="71"/>
        <v>0</v>
      </c>
      <c r="I194" s="821">
        <f t="shared" si="72"/>
        <v>0</v>
      </c>
      <c r="J194" s="227">
        <f t="shared" si="73"/>
        <v>0</v>
      </c>
      <c r="K194" s="229">
        <f t="shared" si="74"/>
        <v>0</v>
      </c>
      <c r="L194" s="227">
        <f t="shared" si="67"/>
        <v>0</v>
      </c>
      <c r="M194" s="228">
        <f t="shared" si="75"/>
        <v>0</v>
      </c>
      <c r="N194" s="229">
        <f t="shared" si="76"/>
        <v>0</v>
      </c>
      <c r="O194" s="227">
        <f t="shared" si="68"/>
        <v>0</v>
      </c>
      <c r="P194" s="228">
        <f t="shared" si="69"/>
        <v>0</v>
      </c>
      <c r="Q194" s="871">
        <f t="shared" si="70"/>
        <v>0</v>
      </c>
      <c r="R194" s="846" t="s">
        <v>2845</v>
      </c>
    </row>
    <row r="195" spans="1:18" ht="32.1" customHeight="1">
      <c r="A195" s="1126"/>
      <c r="B195" s="160"/>
      <c r="C195" s="138" t="s">
        <v>2846</v>
      </c>
      <c r="D195" s="257" t="s">
        <v>2847</v>
      </c>
      <c r="E195" s="138" t="s">
        <v>2848</v>
      </c>
      <c r="F195" s="257">
        <v>6598</v>
      </c>
      <c r="G195" s="225">
        <f t="shared" si="66"/>
        <v>0</v>
      </c>
      <c r="H195" s="218">
        <f t="shared" ref="H195:H202" si="77">COUNTIF(Area_v1,$C195)</f>
        <v>0</v>
      </c>
      <c r="I195" s="819">
        <f t="shared" ref="I195:I202" si="78">COUNTIF(Area_v2,$C195)</f>
        <v>0</v>
      </c>
      <c r="J195" s="218">
        <f t="shared" ref="J195:J202" si="79">COUNTIF(Area_v3ZIC,$C195)</f>
        <v>0</v>
      </c>
      <c r="K195" s="220">
        <f t="shared" ref="K195:K202" si="80">COUNTIF(Area_v4ZIC,$C195)</f>
        <v>0</v>
      </c>
      <c r="L195" s="218">
        <f t="shared" si="67"/>
        <v>0</v>
      </c>
      <c r="M195" s="219">
        <f t="shared" ref="M195:M202" si="81">COUNTIF(Area_v4BIN,$C195)</f>
        <v>0</v>
      </c>
      <c r="N195" s="220">
        <f t="shared" ref="N195:N202" si="82">COUNTIF(Area_v5BIN,$C195)</f>
        <v>0</v>
      </c>
      <c r="O195" s="218">
        <f t="shared" si="68"/>
        <v>0</v>
      </c>
      <c r="P195" s="219">
        <f t="shared" si="69"/>
        <v>0</v>
      </c>
      <c r="Q195" s="869">
        <f t="shared" si="70"/>
        <v>0</v>
      </c>
      <c r="R195" s="845" t="s">
        <v>2849</v>
      </c>
    </row>
    <row r="196" spans="1:18" ht="32.1" customHeight="1">
      <c r="A196" s="1126"/>
      <c r="B196" s="160"/>
      <c r="C196" s="138" t="s">
        <v>2056</v>
      </c>
      <c r="D196" s="257" t="s">
        <v>2850</v>
      </c>
      <c r="E196" s="138" t="s">
        <v>2851</v>
      </c>
      <c r="F196" s="257">
        <v>6599</v>
      </c>
      <c r="G196" s="225">
        <f t="shared" ref="G196:G204" si="83">SUM(H196:Q196)</f>
        <v>0</v>
      </c>
      <c r="H196" s="218">
        <f t="shared" si="77"/>
        <v>0</v>
      </c>
      <c r="I196" s="819">
        <f t="shared" si="78"/>
        <v>0</v>
      </c>
      <c r="J196" s="218">
        <f t="shared" si="79"/>
        <v>0</v>
      </c>
      <c r="K196" s="220">
        <f t="shared" si="80"/>
        <v>0</v>
      </c>
      <c r="L196" s="218">
        <f t="shared" si="67"/>
        <v>0</v>
      </c>
      <c r="M196" s="219">
        <f t="shared" si="81"/>
        <v>0</v>
      </c>
      <c r="N196" s="220">
        <f t="shared" si="82"/>
        <v>0</v>
      </c>
      <c r="O196" s="218">
        <f t="shared" si="68"/>
        <v>0</v>
      </c>
      <c r="P196" s="219">
        <f t="shared" si="69"/>
        <v>0</v>
      </c>
      <c r="Q196" s="869">
        <f t="shared" si="70"/>
        <v>0</v>
      </c>
      <c r="R196" s="845" t="s">
        <v>2852</v>
      </c>
    </row>
    <row r="197" spans="1:18" ht="32.1" customHeight="1">
      <c r="A197" s="1126"/>
      <c r="B197" s="160"/>
      <c r="C197" s="138" t="s">
        <v>2057</v>
      </c>
      <c r="D197" s="257" t="s">
        <v>2853</v>
      </c>
      <c r="E197" s="138" t="s">
        <v>2854</v>
      </c>
      <c r="F197" s="257">
        <v>6599</v>
      </c>
      <c r="G197" s="225">
        <f t="shared" si="83"/>
        <v>0</v>
      </c>
      <c r="H197" s="218">
        <f t="shared" si="77"/>
        <v>0</v>
      </c>
      <c r="I197" s="819">
        <f t="shared" si="78"/>
        <v>0</v>
      </c>
      <c r="J197" s="218">
        <f t="shared" si="79"/>
        <v>0</v>
      </c>
      <c r="K197" s="220">
        <f t="shared" si="80"/>
        <v>0</v>
      </c>
      <c r="L197" s="218">
        <f t="shared" si="67"/>
        <v>0</v>
      </c>
      <c r="M197" s="219">
        <f t="shared" si="81"/>
        <v>0</v>
      </c>
      <c r="N197" s="220">
        <f t="shared" si="82"/>
        <v>0</v>
      </c>
      <c r="O197" s="218">
        <f t="shared" si="68"/>
        <v>0</v>
      </c>
      <c r="P197" s="219">
        <f t="shared" si="69"/>
        <v>0</v>
      </c>
      <c r="Q197" s="869">
        <f t="shared" si="70"/>
        <v>0</v>
      </c>
      <c r="R197" s="845" t="s">
        <v>2855</v>
      </c>
    </row>
    <row r="198" spans="1:18" ht="32.1" customHeight="1">
      <c r="A198" s="1126"/>
      <c r="B198" s="160"/>
      <c r="C198" s="138" t="s">
        <v>2856</v>
      </c>
      <c r="D198" s="257" t="s">
        <v>2857</v>
      </c>
      <c r="E198" s="138" t="s">
        <v>2858</v>
      </c>
      <c r="F198" s="257">
        <v>6625</v>
      </c>
      <c r="G198" s="225">
        <f t="shared" si="83"/>
        <v>0</v>
      </c>
      <c r="H198" s="218">
        <f t="shared" si="77"/>
        <v>0</v>
      </c>
      <c r="I198" s="819">
        <f t="shared" si="78"/>
        <v>0</v>
      </c>
      <c r="J198" s="218">
        <f t="shared" si="79"/>
        <v>0</v>
      </c>
      <c r="K198" s="220">
        <f t="shared" si="80"/>
        <v>0</v>
      </c>
      <c r="L198" s="218">
        <f t="shared" si="67"/>
        <v>0</v>
      </c>
      <c r="M198" s="219">
        <f t="shared" si="81"/>
        <v>0</v>
      </c>
      <c r="N198" s="220">
        <f t="shared" si="82"/>
        <v>0</v>
      </c>
      <c r="O198" s="218">
        <f t="shared" si="68"/>
        <v>0</v>
      </c>
      <c r="P198" s="219">
        <f t="shared" si="69"/>
        <v>0</v>
      </c>
      <c r="Q198" s="869">
        <f t="shared" si="70"/>
        <v>0</v>
      </c>
      <c r="R198" s="845" t="s">
        <v>2859</v>
      </c>
    </row>
    <row r="199" spans="1:18" ht="32.1" customHeight="1">
      <c r="A199" s="1126"/>
      <c r="B199" s="160"/>
      <c r="C199" s="138"/>
      <c r="D199" s="257"/>
      <c r="E199" s="138"/>
      <c r="F199" s="257"/>
      <c r="G199" s="225"/>
      <c r="H199" s="218">
        <f>SUM(H155:H185)</f>
        <v>594</v>
      </c>
      <c r="I199" s="218">
        <f>SUM(I155:I185)</f>
        <v>530</v>
      </c>
      <c r="J199" s="218">
        <f>SUM(J155:J185)</f>
        <v>19</v>
      </c>
      <c r="K199" s="218">
        <f>SUM(K155:K185)</f>
        <v>17</v>
      </c>
      <c r="L199" s="218"/>
      <c r="M199" s="219"/>
      <c r="N199" s="220"/>
      <c r="O199" s="218"/>
      <c r="P199" s="219"/>
      <c r="Q199" s="869"/>
      <c r="R199" s="845"/>
    </row>
    <row r="200" spans="1:18" ht="32.1" customHeight="1">
      <c r="A200" s="1126"/>
      <c r="B200" s="160"/>
      <c r="C200" s="138" t="s">
        <v>2860</v>
      </c>
      <c r="D200" s="257"/>
      <c r="E200" s="138" t="s">
        <v>2861</v>
      </c>
      <c r="F200" s="257">
        <v>6607</v>
      </c>
      <c r="G200" s="225">
        <f t="shared" si="83"/>
        <v>0</v>
      </c>
      <c r="H200" s="218">
        <f t="shared" si="77"/>
        <v>0</v>
      </c>
      <c r="I200" s="819">
        <f t="shared" si="78"/>
        <v>0</v>
      </c>
      <c r="J200" s="218">
        <f t="shared" si="79"/>
        <v>0</v>
      </c>
      <c r="K200" s="220">
        <f t="shared" si="80"/>
        <v>0</v>
      </c>
      <c r="L200" s="218">
        <f t="shared" si="67"/>
        <v>0</v>
      </c>
      <c r="M200" s="219">
        <f t="shared" si="81"/>
        <v>0</v>
      </c>
      <c r="N200" s="220">
        <f t="shared" si="82"/>
        <v>0</v>
      </c>
      <c r="O200" s="218">
        <f t="shared" si="68"/>
        <v>0</v>
      </c>
      <c r="P200" s="219">
        <f t="shared" si="69"/>
        <v>0</v>
      </c>
      <c r="Q200" s="869">
        <f t="shared" si="70"/>
        <v>0</v>
      </c>
      <c r="R200" s="845" t="s">
        <v>2862</v>
      </c>
    </row>
    <row r="201" spans="1:18" ht="32.1" customHeight="1">
      <c r="A201" s="1126"/>
      <c r="B201" s="160"/>
      <c r="C201" s="138" t="s">
        <v>2863</v>
      </c>
      <c r="D201" s="257"/>
      <c r="E201" s="138" t="s">
        <v>2864</v>
      </c>
      <c r="F201" s="257">
        <v>6607</v>
      </c>
      <c r="G201" s="225">
        <f t="shared" si="83"/>
        <v>0</v>
      </c>
      <c r="H201" s="218">
        <f t="shared" si="77"/>
        <v>0</v>
      </c>
      <c r="I201" s="819">
        <f t="shared" si="78"/>
        <v>0</v>
      </c>
      <c r="J201" s="218">
        <f t="shared" si="79"/>
        <v>0</v>
      </c>
      <c r="K201" s="220">
        <f t="shared" si="80"/>
        <v>0</v>
      </c>
      <c r="L201" s="218">
        <f t="shared" si="67"/>
        <v>0</v>
      </c>
      <c r="M201" s="219">
        <f t="shared" si="81"/>
        <v>0</v>
      </c>
      <c r="N201" s="220">
        <f t="shared" si="82"/>
        <v>0</v>
      </c>
      <c r="O201" s="218">
        <f t="shared" si="68"/>
        <v>0</v>
      </c>
      <c r="P201" s="219">
        <f t="shared" si="69"/>
        <v>0</v>
      </c>
      <c r="Q201" s="869">
        <f t="shared" si="70"/>
        <v>0</v>
      </c>
      <c r="R201" s="845" t="s">
        <v>2863</v>
      </c>
    </row>
    <row r="202" spans="1:18" ht="32.1" customHeight="1">
      <c r="A202" s="1184"/>
      <c r="B202" s="160"/>
      <c r="C202" s="140" t="s">
        <v>128</v>
      </c>
      <c r="D202" s="259"/>
      <c r="E202" s="140" t="s">
        <v>2865</v>
      </c>
      <c r="F202" s="259">
        <v>6607</v>
      </c>
      <c r="G202" s="230">
        <f t="shared" si="83"/>
        <v>12</v>
      </c>
      <c r="H202" s="218">
        <f t="shared" si="77"/>
        <v>6</v>
      </c>
      <c r="I202" s="819">
        <f t="shared" si="78"/>
        <v>6</v>
      </c>
      <c r="J202" s="218">
        <f t="shared" si="79"/>
        <v>0</v>
      </c>
      <c r="K202" s="220">
        <f t="shared" si="80"/>
        <v>0</v>
      </c>
      <c r="L202" s="218">
        <f t="shared" si="67"/>
        <v>0</v>
      </c>
      <c r="M202" s="219">
        <f t="shared" si="81"/>
        <v>0</v>
      </c>
      <c r="N202" s="220">
        <f t="shared" si="82"/>
        <v>0</v>
      </c>
      <c r="O202" s="218">
        <f t="shared" si="68"/>
        <v>0</v>
      </c>
      <c r="P202" s="219">
        <f t="shared" si="69"/>
        <v>0</v>
      </c>
      <c r="Q202" s="872">
        <f t="shared" si="70"/>
        <v>0</v>
      </c>
      <c r="R202" s="847" t="s">
        <v>128</v>
      </c>
    </row>
    <row r="203" spans="1:18" ht="32.1" customHeight="1">
      <c r="A203" s="1121" t="s">
        <v>2866</v>
      </c>
      <c r="B203" s="1138" t="s">
        <v>1411</v>
      </c>
      <c r="C203" s="283"/>
      <c r="D203" s="260" t="s">
        <v>2867</v>
      </c>
      <c r="E203" s="141" t="s">
        <v>2868</v>
      </c>
      <c r="F203" s="260"/>
      <c r="G203" s="231">
        <f t="shared" si="83"/>
        <v>2439</v>
      </c>
      <c r="H203" s="232">
        <f t="shared" ref="H203:P203" si="84">SUM(H155:H200)</f>
        <v>1188</v>
      </c>
      <c r="I203" s="822">
        <f t="shared" si="84"/>
        <v>1060</v>
      </c>
      <c r="J203" s="232">
        <f t="shared" si="84"/>
        <v>40</v>
      </c>
      <c r="K203" s="234">
        <f t="shared" si="84"/>
        <v>34</v>
      </c>
      <c r="L203" s="232">
        <f t="shared" ref="L203" si="85">SUM(L155:L200)</f>
        <v>15</v>
      </c>
      <c r="M203" s="233">
        <f t="shared" si="84"/>
        <v>9</v>
      </c>
      <c r="N203" s="234">
        <f t="shared" si="84"/>
        <v>13</v>
      </c>
      <c r="O203" s="232">
        <f t="shared" si="84"/>
        <v>29</v>
      </c>
      <c r="P203" s="233">
        <f t="shared" si="84"/>
        <v>26</v>
      </c>
      <c r="Q203" s="873">
        <f t="shared" ref="Q203" si="86">SUM(Q155:Q200)</f>
        <v>25</v>
      </c>
      <c r="R203" s="848" t="s">
        <v>2869</v>
      </c>
    </row>
    <row r="204" spans="1:18" ht="32.1" hidden="1" customHeight="1">
      <c r="A204" s="1123"/>
      <c r="B204" s="1183"/>
      <c r="C204" s="284"/>
      <c r="D204" s="259"/>
      <c r="E204" s="140" t="s">
        <v>2870</v>
      </c>
      <c r="F204" s="259" t="s">
        <v>1411</v>
      </c>
      <c r="G204" s="230">
        <f t="shared" si="83"/>
        <v>2439</v>
      </c>
      <c r="H204" s="235">
        <f t="shared" ref="H204:P204" si="87">+H203</f>
        <v>1188</v>
      </c>
      <c r="I204" s="823">
        <f t="shared" si="87"/>
        <v>1060</v>
      </c>
      <c r="J204" s="235">
        <f t="shared" si="87"/>
        <v>40</v>
      </c>
      <c r="K204" s="237">
        <f t="shared" si="87"/>
        <v>34</v>
      </c>
      <c r="L204" s="235">
        <f t="shared" ref="L204" si="88">+L203</f>
        <v>15</v>
      </c>
      <c r="M204" s="236">
        <f t="shared" si="87"/>
        <v>9</v>
      </c>
      <c r="N204" s="237">
        <f t="shared" si="87"/>
        <v>13</v>
      </c>
      <c r="O204" s="235">
        <f t="shared" si="87"/>
        <v>29</v>
      </c>
      <c r="P204" s="236">
        <f t="shared" si="87"/>
        <v>26</v>
      </c>
      <c r="Q204" s="874">
        <f t="shared" ref="Q204" si="89">+Q203</f>
        <v>25</v>
      </c>
      <c r="R204" s="847" t="s">
        <v>2871</v>
      </c>
    </row>
    <row r="205" spans="1:18" ht="32.1" customHeight="1">
      <c r="A205" s="1125" t="s">
        <v>2084</v>
      </c>
      <c r="B205" s="160" t="s">
        <v>2872</v>
      </c>
      <c r="C205" s="150" t="s">
        <v>2873</v>
      </c>
      <c r="D205" s="261" t="s">
        <v>2874</v>
      </c>
      <c r="E205" s="150" t="s">
        <v>2875</v>
      </c>
      <c r="F205" s="261" t="s">
        <v>2876</v>
      </c>
      <c r="G205" s="238">
        <f>ROUND(SUM(H205:Q205)/2,0)</f>
        <v>0</v>
      </c>
      <c r="H205" s="239">
        <f t="shared" ref="H205:H215" si="90">COUNTIF(Area_v1,$C205)</f>
        <v>0</v>
      </c>
      <c r="I205" s="824">
        <f t="shared" ref="I205:I215" si="91">COUNTIF(Area_v2,$C205)</f>
        <v>0</v>
      </c>
      <c r="J205" s="239">
        <f t="shared" ref="J205:J215" si="92">COUNTIF(Area_v3ZIC,$C205)</f>
        <v>0</v>
      </c>
      <c r="K205" s="241">
        <f t="shared" ref="K205:K215" si="93">COUNTIF(Area_v4ZIC,$C205)</f>
        <v>0</v>
      </c>
      <c r="L205" s="239">
        <f t="shared" ref="L205:L215" si="94">COUNTIF(Area_v3BIN,$C205)</f>
        <v>0</v>
      </c>
      <c r="M205" s="240">
        <f t="shared" ref="M205:M215" si="95">COUNTIF(Area_v4BIN,$C205)</f>
        <v>0</v>
      </c>
      <c r="N205" s="241">
        <f t="shared" ref="N205:N215" si="96">COUNTIF(Area_v5BIN,$C205)</f>
        <v>0</v>
      </c>
      <c r="O205" s="239">
        <f t="shared" ref="O205:O215" si="97">COUNTIF(Area_v3HAD,$C205)</f>
        <v>0</v>
      </c>
      <c r="P205" s="240">
        <f t="shared" ref="P205:P215" si="98">COUNTIF(Area_v3KFA,$C205)</f>
        <v>0</v>
      </c>
      <c r="Q205" s="875">
        <f t="shared" ref="Q205:Q215" si="99">COUNTIF(Area_v4KFA,$C205)</f>
        <v>0</v>
      </c>
      <c r="R205" s="849" t="s">
        <v>2877</v>
      </c>
    </row>
    <row r="206" spans="1:18" ht="32.1" customHeight="1">
      <c r="A206" s="1126"/>
      <c r="B206" s="160" t="s">
        <v>2872</v>
      </c>
      <c r="C206" s="138" t="s">
        <v>241</v>
      </c>
      <c r="D206" s="257" t="s">
        <v>2878</v>
      </c>
      <c r="E206" s="138" t="s">
        <v>2879</v>
      </c>
      <c r="F206" s="257"/>
      <c r="G206" s="225">
        <f>ROUND(SUM(H206:Q206)/2,0)</f>
        <v>51</v>
      </c>
      <c r="H206" s="242">
        <f t="shared" si="90"/>
        <v>44</v>
      </c>
      <c r="I206" s="825">
        <f t="shared" si="91"/>
        <v>8</v>
      </c>
      <c r="J206" s="242">
        <f t="shared" si="92"/>
        <v>19</v>
      </c>
      <c r="K206" s="244">
        <f t="shared" si="93"/>
        <v>3</v>
      </c>
      <c r="L206" s="242">
        <f t="shared" si="94"/>
        <v>11</v>
      </c>
      <c r="M206" s="243">
        <f t="shared" si="95"/>
        <v>1</v>
      </c>
      <c r="N206" s="244">
        <f t="shared" si="96"/>
        <v>0</v>
      </c>
      <c r="O206" s="242">
        <f t="shared" si="97"/>
        <v>8</v>
      </c>
      <c r="P206" s="243">
        <f t="shared" si="98"/>
        <v>4</v>
      </c>
      <c r="Q206" s="876">
        <f t="shared" si="99"/>
        <v>3</v>
      </c>
      <c r="R206" s="845" t="s">
        <v>2880</v>
      </c>
    </row>
    <row r="207" spans="1:18" ht="32.1" customHeight="1">
      <c r="A207" s="1126"/>
      <c r="B207" s="160" t="s">
        <v>2872</v>
      </c>
      <c r="C207" s="138" t="s">
        <v>269</v>
      </c>
      <c r="D207" s="257" t="s">
        <v>2881</v>
      </c>
      <c r="E207" s="138" t="s">
        <v>2882</v>
      </c>
      <c r="F207" s="257" t="s">
        <v>2876</v>
      </c>
      <c r="G207" s="225">
        <f>ROUND(SUM(H207:Q207)/2,0)</f>
        <v>17</v>
      </c>
      <c r="H207" s="242">
        <f t="shared" si="90"/>
        <v>4</v>
      </c>
      <c r="I207" s="825">
        <f t="shared" si="91"/>
        <v>1</v>
      </c>
      <c r="J207" s="242">
        <f t="shared" si="92"/>
        <v>0</v>
      </c>
      <c r="K207" s="244">
        <f t="shared" si="93"/>
        <v>1</v>
      </c>
      <c r="L207" s="242">
        <f t="shared" si="94"/>
        <v>2</v>
      </c>
      <c r="M207" s="243">
        <f t="shared" si="95"/>
        <v>0</v>
      </c>
      <c r="N207" s="244">
        <f t="shared" si="96"/>
        <v>0</v>
      </c>
      <c r="O207" s="242">
        <f t="shared" si="97"/>
        <v>1</v>
      </c>
      <c r="P207" s="243">
        <f t="shared" si="98"/>
        <v>13</v>
      </c>
      <c r="Q207" s="876">
        <f t="shared" si="99"/>
        <v>12</v>
      </c>
      <c r="R207" s="845" t="s">
        <v>2883</v>
      </c>
    </row>
    <row r="208" spans="1:18" ht="32.1" customHeight="1">
      <c r="A208" s="1126"/>
      <c r="B208" s="160" t="s">
        <v>2872</v>
      </c>
      <c r="C208" s="138" t="s">
        <v>252</v>
      </c>
      <c r="D208" s="257" t="s">
        <v>2884</v>
      </c>
      <c r="E208" s="138" t="s">
        <v>2885</v>
      </c>
      <c r="F208" s="257" t="s">
        <v>2876</v>
      </c>
      <c r="G208" s="225">
        <f>ROUND(SUM(H208:Q208)/2,0)</f>
        <v>26</v>
      </c>
      <c r="H208" s="242">
        <f t="shared" si="90"/>
        <v>20</v>
      </c>
      <c r="I208" s="825">
        <f t="shared" si="91"/>
        <v>0</v>
      </c>
      <c r="J208" s="242">
        <f t="shared" si="92"/>
        <v>0</v>
      </c>
      <c r="K208" s="244">
        <f t="shared" si="93"/>
        <v>13</v>
      </c>
      <c r="L208" s="242">
        <f t="shared" si="94"/>
        <v>0</v>
      </c>
      <c r="M208" s="243">
        <f t="shared" si="95"/>
        <v>2</v>
      </c>
      <c r="N208" s="244">
        <f t="shared" si="96"/>
        <v>0</v>
      </c>
      <c r="O208" s="242">
        <f t="shared" si="97"/>
        <v>5</v>
      </c>
      <c r="P208" s="243">
        <f t="shared" si="98"/>
        <v>6</v>
      </c>
      <c r="Q208" s="876">
        <f t="shared" si="99"/>
        <v>6</v>
      </c>
      <c r="R208" s="845" t="s">
        <v>2886</v>
      </c>
    </row>
    <row r="209" spans="1:18" ht="32.1" customHeight="1">
      <c r="A209" s="1126"/>
      <c r="B209" s="160" t="s">
        <v>2887</v>
      </c>
      <c r="C209" s="138" t="s">
        <v>2888</v>
      </c>
      <c r="D209" s="257" t="s">
        <v>2889</v>
      </c>
      <c r="E209" s="138" t="s">
        <v>2890</v>
      </c>
      <c r="F209" s="257"/>
      <c r="G209" s="225">
        <f>ROUND(SUM(H209:Q209)/3,0)</f>
        <v>0</v>
      </c>
      <c r="H209" s="242">
        <f t="shared" si="90"/>
        <v>0</v>
      </c>
      <c r="I209" s="825">
        <f t="shared" si="91"/>
        <v>0</v>
      </c>
      <c r="J209" s="242">
        <f t="shared" si="92"/>
        <v>0</v>
      </c>
      <c r="K209" s="244">
        <f t="shared" si="93"/>
        <v>0</v>
      </c>
      <c r="L209" s="242">
        <f t="shared" si="94"/>
        <v>0</v>
      </c>
      <c r="M209" s="243">
        <f t="shared" si="95"/>
        <v>0</v>
      </c>
      <c r="N209" s="244">
        <f t="shared" si="96"/>
        <v>0</v>
      </c>
      <c r="O209" s="242">
        <f t="shared" si="97"/>
        <v>0</v>
      </c>
      <c r="P209" s="243">
        <f t="shared" si="98"/>
        <v>0</v>
      </c>
      <c r="Q209" s="876">
        <f t="shared" si="99"/>
        <v>0</v>
      </c>
      <c r="R209" s="845" t="s">
        <v>2891</v>
      </c>
    </row>
    <row r="210" spans="1:18" ht="32.1" customHeight="1">
      <c r="A210" s="1126"/>
      <c r="B210" s="160" t="s">
        <v>2872</v>
      </c>
      <c r="C210" s="138" t="s">
        <v>456</v>
      </c>
      <c r="D210" s="257" t="s">
        <v>2892</v>
      </c>
      <c r="E210" s="138" t="s">
        <v>2893</v>
      </c>
      <c r="F210" s="257" t="s">
        <v>1411</v>
      </c>
      <c r="G210" s="225">
        <f>ROUND(SUM(H210:Q210)/2,0)</f>
        <v>8</v>
      </c>
      <c r="H210" s="242">
        <f t="shared" si="90"/>
        <v>8</v>
      </c>
      <c r="I210" s="825">
        <f t="shared" si="91"/>
        <v>0</v>
      </c>
      <c r="J210" s="242">
        <f t="shared" si="92"/>
        <v>0</v>
      </c>
      <c r="K210" s="244">
        <f t="shared" si="93"/>
        <v>0</v>
      </c>
      <c r="L210" s="242">
        <f t="shared" si="94"/>
        <v>0</v>
      </c>
      <c r="M210" s="243">
        <f t="shared" si="95"/>
        <v>6</v>
      </c>
      <c r="N210" s="244">
        <f t="shared" si="96"/>
        <v>1</v>
      </c>
      <c r="O210" s="242">
        <f t="shared" si="97"/>
        <v>1</v>
      </c>
      <c r="P210" s="243">
        <f t="shared" si="98"/>
        <v>0</v>
      </c>
      <c r="Q210" s="876">
        <f t="shared" si="99"/>
        <v>0</v>
      </c>
      <c r="R210" s="845" t="s">
        <v>2894</v>
      </c>
    </row>
    <row r="211" spans="1:18" ht="32.1" customHeight="1">
      <c r="A211" s="1184"/>
      <c r="B211" s="1185" t="s">
        <v>2872</v>
      </c>
      <c r="C211" s="140" t="s">
        <v>2895</v>
      </c>
      <c r="D211" s="259" t="s">
        <v>2896</v>
      </c>
      <c r="E211" s="140" t="s">
        <v>2897</v>
      </c>
      <c r="F211" s="259" t="s">
        <v>1411</v>
      </c>
      <c r="G211" s="230">
        <f>ROUND(SUM(H211:Q211)/2,0)</f>
        <v>0</v>
      </c>
      <c r="H211" s="235">
        <f t="shared" si="90"/>
        <v>0</v>
      </c>
      <c r="I211" s="823">
        <f t="shared" si="91"/>
        <v>0</v>
      </c>
      <c r="J211" s="235">
        <f t="shared" si="92"/>
        <v>0</v>
      </c>
      <c r="K211" s="237">
        <f t="shared" si="93"/>
        <v>0</v>
      </c>
      <c r="L211" s="235">
        <f t="shared" si="94"/>
        <v>0</v>
      </c>
      <c r="M211" s="236">
        <f t="shared" si="95"/>
        <v>0</v>
      </c>
      <c r="N211" s="237">
        <f t="shared" si="96"/>
        <v>0</v>
      </c>
      <c r="O211" s="235">
        <f t="shared" si="97"/>
        <v>0</v>
      </c>
      <c r="P211" s="236">
        <f t="shared" si="98"/>
        <v>0</v>
      </c>
      <c r="Q211" s="874">
        <f t="shared" si="99"/>
        <v>0</v>
      </c>
      <c r="R211" s="847" t="s">
        <v>2898</v>
      </c>
    </row>
    <row r="212" spans="1:18" ht="32.1" customHeight="1">
      <c r="A212" s="1139" t="s">
        <v>2899</v>
      </c>
      <c r="B212" s="159" t="s">
        <v>2872</v>
      </c>
      <c r="C212" s="141" t="s">
        <v>2900</v>
      </c>
      <c r="D212" s="260" t="s">
        <v>2901</v>
      </c>
      <c r="E212" s="141" t="s">
        <v>2902</v>
      </c>
      <c r="F212" s="260"/>
      <c r="G212" s="231">
        <f>ROUND(SUM(H212:Q212)/2,0)</f>
        <v>0</v>
      </c>
      <c r="H212" s="232">
        <f t="shared" si="90"/>
        <v>0</v>
      </c>
      <c r="I212" s="822">
        <f t="shared" si="91"/>
        <v>0</v>
      </c>
      <c r="J212" s="232">
        <f t="shared" si="92"/>
        <v>0</v>
      </c>
      <c r="K212" s="234">
        <f t="shared" si="93"/>
        <v>0</v>
      </c>
      <c r="L212" s="232">
        <f t="shared" si="94"/>
        <v>0</v>
      </c>
      <c r="M212" s="233">
        <f t="shared" si="95"/>
        <v>0</v>
      </c>
      <c r="N212" s="234">
        <f t="shared" si="96"/>
        <v>0</v>
      </c>
      <c r="O212" s="232">
        <f t="shared" si="97"/>
        <v>0</v>
      </c>
      <c r="P212" s="233">
        <f t="shared" si="98"/>
        <v>0</v>
      </c>
      <c r="Q212" s="873">
        <f t="shared" si="99"/>
        <v>0</v>
      </c>
      <c r="R212" s="848" t="s">
        <v>2903</v>
      </c>
    </row>
    <row r="213" spans="1:18" ht="32.1" customHeight="1">
      <c r="A213" s="1140"/>
      <c r="B213" s="160"/>
      <c r="C213" s="138" t="s">
        <v>569</v>
      </c>
      <c r="D213" s="257" t="s">
        <v>2904</v>
      </c>
      <c r="E213" s="138" t="s">
        <v>2905</v>
      </c>
      <c r="F213" s="257" t="s">
        <v>2906</v>
      </c>
      <c r="G213" s="225">
        <f t="shared" ref="G213:G244" si="100">SUM(H213:Q213)</f>
        <v>10</v>
      </c>
      <c r="H213" s="242">
        <f t="shared" si="90"/>
        <v>2</v>
      </c>
      <c r="I213" s="825">
        <f t="shared" si="91"/>
        <v>7</v>
      </c>
      <c r="J213" s="242">
        <f t="shared" si="92"/>
        <v>0</v>
      </c>
      <c r="K213" s="244">
        <f t="shared" si="93"/>
        <v>0</v>
      </c>
      <c r="L213" s="242">
        <f t="shared" si="94"/>
        <v>0</v>
      </c>
      <c r="M213" s="243">
        <f t="shared" si="95"/>
        <v>0</v>
      </c>
      <c r="N213" s="244">
        <f t="shared" si="96"/>
        <v>1</v>
      </c>
      <c r="O213" s="242">
        <f t="shared" si="97"/>
        <v>0</v>
      </c>
      <c r="P213" s="243">
        <f t="shared" si="98"/>
        <v>0</v>
      </c>
      <c r="Q213" s="876">
        <f t="shared" si="99"/>
        <v>0</v>
      </c>
      <c r="R213" s="845" t="s">
        <v>2907</v>
      </c>
    </row>
    <row r="214" spans="1:18" ht="32.1" customHeight="1">
      <c r="A214" s="1199"/>
      <c r="B214" s="1185"/>
      <c r="C214" s="140" t="s">
        <v>1741</v>
      </c>
      <c r="D214" s="259" t="s">
        <v>2908</v>
      </c>
      <c r="E214" s="140" t="s">
        <v>2909</v>
      </c>
      <c r="F214" s="259" t="s">
        <v>201</v>
      </c>
      <c r="G214" s="230">
        <f t="shared" si="100"/>
        <v>3</v>
      </c>
      <c r="H214" s="235">
        <f t="shared" si="90"/>
        <v>0</v>
      </c>
      <c r="I214" s="823">
        <f t="shared" si="91"/>
        <v>0</v>
      </c>
      <c r="J214" s="235">
        <f t="shared" si="92"/>
        <v>0</v>
      </c>
      <c r="K214" s="237">
        <f t="shared" si="93"/>
        <v>0</v>
      </c>
      <c r="L214" s="235">
        <f t="shared" si="94"/>
        <v>0</v>
      </c>
      <c r="M214" s="236">
        <f t="shared" si="95"/>
        <v>0</v>
      </c>
      <c r="N214" s="237">
        <f t="shared" si="96"/>
        <v>0</v>
      </c>
      <c r="O214" s="235">
        <f t="shared" si="97"/>
        <v>3</v>
      </c>
      <c r="P214" s="236">
        <f t="shared" si="98"/>
        <v>0</v>
      </c>
      <c r="Q214" s="874">
        <f t="shared" si="99"/>
        <v>0</v>
      </c>
      <c r="R214" s="847" t="s">
        <v>2910</v>
      </c>
    </row>
    <row r="215" spans="1:18" ht="32.1" customHeight="1">
      <c r="A215" s="1126" t="s">
        <v>2911</v>
      </c>
      <c r="B215" s="160"/>
      <c r="C215" s="150" t="s">
        <v>2912</v>
      </c>
      <c r="D215" s="261" t="s">
        <v>2913</v>
      </c>
      <c r="E215" s="150" t="s">
        <v>2914</v>
      </c>
      <c r="F215" s="261" t="s">
        <v>2915</v>
      </c>
      <c r="G215" s="238">
        <f t="shared" si="100"/>
        <v>0</v>
      </c>
      <c r="H215" s="239">
        <f t="shared" si="90"/>
        <v>0</v>
      </c>
      <c r="I215" s="824">
        <f t="shared" si="91"/>
        <v>0</v>
      </c>
      <c r="J215" s="239">
        <f t="shared" si="92"/>
        <v>0</v>
      </c>
      <c r="K215" s="241">
        <f t="shared" si="93"/>
        <v>0</v>
      </c>
      <c r="L215" s="239">
        <f t="shared" si="94"/>
        <v>0</v>
      </c>
      <c r="M215" s="240">
        <f t="shared" si="95"/>
        <v>0</v>
      </c>
      <c r="N215" s="241">
        <f t="shared" si="96"/>
        <v>0</v>
      </c>
      <c r="O215" s="239">
        <f t="shared" si="97"/>
        <v>0</v>
      </c>
      <c r="P215" s="240">
        <f t="shared" si="98"/>
        <v>0</v>
      </c>
      <c r="Q215" s="875">
        <f t="shared" si="99"/>
        <v>0</v>
      </c>
      <c r="R215" s="849" t="s">
        <v>2916</v>
      </c>
    </row>
    <row r="216" spans="1:18" ht="32.1" customHeight="1">
      <c r="A216" s="1126"/>
      <c r="B216" s="163" t="s">
        <v>2917</v>
      </c>
      <c r="C216" s="138"/>
      <c r="D216" s="257" t="s">
        <v>2918</v>
      </c>
      <c r="E216" s="138" t="s">
        <v>2919</v>
      </c>
      <c r="F216" s="257" t="s">
        <v>2915</v>
      </c>
      <c r="G216" s="225">
        <f t="shared" si="100"/>
        <v>0</v>
      </c>
      <c r="H216" s="242">
        <f t="shared" ref="H216:P216" si="101">+H215</f>
        <v>0</v>
      </c>
      <c r="I216" s="825">
        <f t="shared" si="101"/>
        <v>0</v>
      </c>
      <c r="J216" s="242">
        <f t="shared" si="101"/>
        <v>0</v>
      </c>
      <c r="K216" s="244">
        <f t="shared" si="101"/>
        <v>0</v>
      </c>
      <c r="L216" s="242">
        <f t="shared" ref="L216" si="102">+L215</f>
        <v>0</v>
      </c>
      <c r="M216" s="243">
        <f t="shared" si="101"/>
        <v>0</v>
      </c>
      <c r="N216" s="244">
        <f t="shared" si="101"/>
        <v>0</v>
      </c>
      <c r="O216" s="242">
        <f t="shared" si="101"/>
        <v>0</v>
      </c>
      <c r="P216" s="243">
        <f t="shared" si="101"/>
        <v>0</v>
      </c>
      <c r="Q216" s="876">
        <f t="shared" ref="Q216" si="103">+Q215</f>
        <v>0</v>
      </c>
      <c r="R216" s="845" t="s">
        <v>2920</v>
      </c>
    </row>
    <row r="217" spans="1:18" ht="32.1" customHeight="1">
      <c r="A217" s="1126"/>
      <c r="B217" s="160"/>
      <c r="C217" s="138" t="s">
        <v>2921</v>
      </c>
      <c r="D217" s="257" t="s">
        <v>2922</v>
      </c>
      <c r="E217" s="138" t="s">
        <v>2923</v>
      </c>
      <c r="F217" s="257" t="s">
        <v>2924</v>
      </c>
      <c r="G217" s="225">
        <f t="shared" si="100"/>
        <v>0</v>
      </c>
      <c r="H217" s="242">
        <f>COUNTIF(Area_v1,$C217)</f>
        <v>0</v>
      </c>
      <c r="I217" s="825">
        <f>COUNTIF(Area_v2,$C217)</f>
        <v>0</v>
      </c>
      <c r="J217" s="242">
        <f>COUNTIF(Area_v3ZIC,$C217)</f>
        <v>0</v>
      </c>
      <c r="K217" s="244">
        <f>COUNTIF(Area_v4ZIC,$C217)</f>
        <v>0</v>
      </c>
      <c r="L217" s="242">
        <f>COUNTIF(Area_v3BIN,$C217)</f>
        <v>0</v>
      </c>
      <c r="M217" s="243">
        <f>COUNTIF(Area_v4BIN,$C217)</f>
        <v>0</v>
      </c>
      <c r="N217" s="244">
        <f>COUNTIF(Area_v5BIN,$C217)</f>
        <v>0</v>
      </c>
      <c r="O217" s="242">
        <f>COUNTIF(Area_v3HAD,$C217)</f>
        <v>0</v>
      </c>
      <c r="P217" s="243">
        <f>COUNTIF(Area_v3KFA,$C217)</f>
        <v>0</v>
      </c>
      <c r="Q217" s="876">
        <f>COUNTIF(Area_v4KFA,$C217)</f>
        <v>0</v>
      </c>
      <c r="R217" s="845" t="s">
        <v>2925</v>
      </c>
    </row>
    <row r="218" spans="1:18" ht="32.1" customHeight="1">
      <c r="A218" s="1184"/>
      <c r="B218" s="164" t="s">
        <v>2917</v>
      </c>
      <c r="C218" s="140"/>
      <c r="D218" s="259" t="s">
        <v>2926</v>
      </c>
      <c r="E218" s="140" t="s">
        <v>2927</v>
      </c>
      <c r="F218" s="259" t="s">
        <v>2924</v>
      </c>
      <c r="G218" s="230">
        <f t="shared" si="100"/>
        <v>0</v>
      </c>
      <c r="H218" s="235">
        <f t="shared" ref="H218:P218" si="104">+H217</f>
        <v>0</v>
      </c>
      <c r="I218" s="823">
        <f t="shared" si="104"/>
        <v>0</v>
      </c>
      <c r="J218" s="235">
        <f t="shared" si="104"/>
        <v>0</v>
      </c>
      <c r="K218" s="237">
        <f t="shared" si="104"/>
        <v>0</v>
      </c>
      <c r="L218" s="235">
        <f t="shared" ref="L218" si="105">+L217</f>
        <v>0</v>
      </c>
      <c r="M218" s="236">
        <f t="shared" si="104"/>
        <v>0</v>
      </c>
      <c r="N218" s="237">
        <f t="shared" si="104"/>
        <v>0</v>
      </c>
      <c r="O218" s="235">
        <f t="shared" si="104"/>
        <v>0</v>
      </c>
      <c r="P218" s="236">
        <f t="shared" si="104"/>
        <v>0</v>
      </c>
      <c r="Q218" s="874">
        <f t="shared" ref="Q218" si="106">+Q217</f>
        <v>0</v>
      </c>
      <c r="R218" s="847" t="s">
        <v>2928</v>
      </c>
    </row>
    <row r="219" spans="1:18" ht="32.1" customHeight="1">
      <c r="A219" s="1125" t="s">
        <v>2929</v>
      </c>
      <c r="B219" s="159"/>
      <c r="C219" s="141" t="s">
        <v>451</v>
      </c>
      <c r="D219" s="260" t="s">
        <v>2930</v>
      </c>
      <c r="E219" s="141" t="s">
        <v>2931</v>
      </c>
      <c r="F219" s="260" t="s">
        <v>2932</v>
      </c>
      <c r="G219" s="231">
        <f t="shared" si="100"/>
        <v>130</v>
      </c>
      <c r="H219" s="232">
        <f t="shared" ref="H219:H224" si="107">COUNTIF(Area_v1,$C219)</f>
        <v>30</v>
      </c>
      <c r="I219" s="822">
        <f t="shared" ref="I219:I224" si="108">COUNTIF(Area_v2,$C219)</f>
        <v>75</v>
      </c>
      <c r="J219" s="232">
        <f t="shared" ref="J219:J224" si="109">COUNTIF(Area_v3ZIC,$C219)</f>
        <v>14</v>
      </c>
      <c r="K219" s="234">
        <f t="shared" ref="K219:K224" si="110">COUNTIF(Area_v4ZIC,$C219)</f>
        <v>0</v>
      </c>
      <c r="L219" s="232">
        <f t="shared" ref="L219:L224" si="111">COUNTIF(Area_v3BIN,$C219)</f>
        <v>10</v>
      </c>
      <c r="M219" s="233">
        <f t="shared" ref="M219:M224" si="112">COUNTIF(Area_v4BIN,$C219)</f>
        <v>1</v>
      </c>
      <c r="N219" s="234">
        <f t="shared" ref="N219:N224" si="113">COUNTIF(Area_v5BIN,$C219)</f>
        <v>0</v>
      </c>
      <c r="O219" s="232">
        <f t="shared" ref="O219:O224" si="114">COUNTIF(Area_v3HAD,$C219)</f>
        <v>0</v>
      </c>
      <c r="P219" s="233">
        <f t="shared" ref="P219:P224" si="115">COUNTIF(Area_v3KFA,$C219)</f>
        <v>0</v>
      </c>
      <c r="Q219" s="873">
        <f t="shared" ref="Q219:Q224" si="116">COUNTIF(Area_v4KFA,$C219)</f>
        <v>0</v>
      </c>
      <c r="R219" s="848" t="s">
        <v>2933</v>
      </c>
    </row>
    <row r="220" spans="1:18" ht="32.1" customHeight="1">
      <c r="A220" s="1126"/>
      <c r="B220" s="160"/>
      <c r="C220" s="138" t="s">
        <v>841</v>
      </c>
      <c r="D220" s="257" t="s">
        <v>2934</v>
      </c>
      <c r="E220" s="138" t="s">
        <v>2935</v>
      </c>
      <c r="F220" s="257" t="s">
        <v>2936</v>
      </c>
      <c r="G220" s="245">
        <f t="shared" si="100"/>
        <v>26</v>
      </c>
      <c r="H220" s="242">
        <f t="shared" si="107"/>
        <v>6</v>
      </c>
      <c r="I220" s="825">
        <f t="shared" si="108"/>
        <v>18</v>
      </c>
      <c r="J220" s="242">
        <f t="shared" si="109"/>
        <v>0</v>
      </c>
      <c r="K220" s="244">
        <f t="shared" si="110"/>
        <v>0</v>
      </c>
      <c r="L220" s="242">
        <f t="shared" si="111"/>
        <v>1</v>
      </c>
      <c r="M220" s="243">
        <f t="shared" si="112"/>
        <v>0</v>
      </c>
      <c r="N220" s="244">
        <f t="shared" si="113"/>
        <v>0</v>
      </c>
      <c r="O220" s="242">
        <f t="shared" si="114"/>
        <v>1</v>
      </c>
      <c r="P220" s="243">
        <f t="shared" si="115"/>
        <v>0</v>
      </c>
      <c r="Q220" s="876">
        <f t="shared" si="116"/>
        <v>0</v>
      </c>
      <c r="R220" s="845" t="s">
        <v>2937</v>
      </c>
    </row>
    <row r="221" spans="1:18" ht="32.1" customHeight="1">
      <c r="A221" s="1126"/>
      <c r="B221" s="160"/>
      <c r="C221" s="138" t="s">
        <v>844</v>
      </c>
      <c r="D221" s="257" t="s">
        <v>2934</v>
      </c>
      <c r="E221" s="138" t="s">
        <v>2938</v>
      </c>
      <c r="F221" s="257" t="s">
        <v>2936</v>
      </c>
      <c r="G221" s="225">
        <f t="shared" si="100"/>
        <v>6</v>
      </c>
      <c r="H221" s="242">
        <f t="shared" si="107"/>
        <v>2</v>
      </c>
      <c r="I221" s="825">
        <f t="shared" si="108"/>
        <v>4</v>
      </c>
      <c r="J221" s="242">
        <f t="shared" si="109"/>
        <v>0</v>
      </c>
      <c r="K221" s="244">
        <f t="shared" si="110"/>
        <v>0</v>
      </c>
      <c r="L221" s="242">
        <f t="shared" si="111"/>
        <v>0</v>
      </c>
      <c r="M221" s="243">
        <f t="shared" si="112"/>
        <v>0</v>
      </c>
      <c r="N221" s="244">
        <f t="shared" si="113"/>
        <v>0</v>
      </c>
      <c r="O221" s="242">
        <f t="shared" si="114"/>
        <v>0</v>
      </c>
      <c r="P221" s="243">
        <f t="shared" si="115"/>
        <v>0</v>
      </c>
      <c r="Q221" s="876">
        <f t="shared" si="116"/>
        <v>0</v>
      </c>
      <c r="R221" s="845" t="s">
        <v>2939</v>
      </c>
    </row>
    <row r="222" spans="1:18" ht="32.1" customHeight="1">
      <c r="A222" s="1126"/>
      <c r="B222" s="160"/>
      <c r="C222" s="138" t="s">
        <v>344</v>
      </c>
      <c r="D222" s="257" t="s">
        <v>2940</v>
      </c>
      <c r="E222" s="138" t="s">
        <v>2941</v>
      </c>
      <c r="F222" s="257" t="s">
        <v>2932</v>
      </c>
      <c r="G222" s="225">
        <f t="shared" si="100"/>
        <v>14</v>
      </c>
      <c r="H222" s="242">
        <f t="shared" si="107"/>
        <v>6</v>
      </c>
      <c r="I222" s="825">
        <f t="shared" si="108"/>
        <v>7</v>
      </c>
      <c r="J222" s="242">
        <f t="shared" si="109"/>
        <v>0</v>
      </c>
      <c r="K222" s="244">
        <f t="shared" si="110"/>
        <v>0</v>
      </c>
      <c r="L222" s="242">
        <f t="shared" si="111"/>
        <v>0</v>
      </c>
      <c r="M222" s="243">
        <f t="shared" si="112"/>
        <v>1</v>
      </c>
      <c r="N222" s="244">
        <f t="shared" si="113"/>
        <v>0</v>
      </c>
      <c r="O222" s="242">
        <f t="shared" si="114"/>
        <v>0</v>
      </c>
      <c r="P222" s="243">
        <f t="shared" si="115"/>
        <v>0</v>
      </c>
      <c r="Q222" s="876">
        <f t="shared" si="116"/>
        <v>0</v>
      </c>
      <c r="R222" s="845" t="s">
        <v>2942</v>
      </c>
    </row>
    <row r="223" spans="1:18" ht="32.1" customHeight="1">
      <c r="A223" s="1126"/>
      <c r="B223" s="160"/>
      <c r="C223" s="138" t="s">
        <v>2241</v>
      </c>
      <c r="D223" s="257" t="s">
        <v>2943</v>
      </c>
      <c r="E223" s="138" t="s">
        <v>2944</v>
      </c>
      <c r="F223" s="257" t="s">
        <v>2936</v>
      </c>
      <c r="G223" s="225">
        <f t="shared" si="100"/>
        <v>0</v>
      </c>
      <c r="H223" s="242">
        <f t="shared" si="107"/>
        <v>0</v>
      </c>
      <c r="I223" s="825">
        <f t="shared" si="108"/>
        <v>0</v>
      </c>
      <c r="J223" s="242">
        <f t="shared" si="109"/>
        <v>0</v>
      </c>
      <c r="K223" s="244">
        <f t="shared" si="110"/>
        <v>0</v>
      </c>
      <c r="L223" s="242">
        <f t="shared" si="111"/>
        <v>0</v>
      </c>
      <c r="M223" s="243">
        <f t="shared" si="112"/>
        <v>0</v>
      </c>
      <c r="N223" s="244">
        <f t="shared" si="113"/>
        <v>0</v>
      </c>
      <c r="O223" s="242">
        <f t="shared" si="114"/>
        <v>0</v>
      </c>
      <c r="P223" s="243">
        <f t="shared" si="115"/>
        <v>0</v>
      </c>
      <c r="Q223" s="876">
        <f t="shared" si="116"/>
        <v>0</v>
      </c>
      <c r="R223" s="845" t="s">
        <v>2945</v>
      </c>
    </row>
    <row r="224" spans="1:18" ht="32.1" customHeight="1">
      <c r="A224" s="1126"/>
      <c r="B224" s="160"/>
      <c r="C224" s="138" t="s">
        <v>2245</v>
      </c>
      <c r="D224" s="257" t="s">
        <v>2946</v>
      </c>
      <c r="E224" s="138" t="s">
        <v>2947</v>
      </c>
      <c r="F224" s="257" t="s">
        <v>2948</v>
      </c>
      <c r="G224" s="225">
        <f t="shared" si="100"/>
        <v>0</v>
      </c>
      <c r="H224" s="242">
        <f t="shared" si="107"/>
        <v>0</v>
      </c>
      <c r="I224" s="825">
        <f t="shared" si="108"/>
        <v>0</v>
      </c>
      <c r="J224" s="242">
        <f t="shared" si="109"/>
        <v>0</v>
      </c>
      <c r="K224" s="244">
        <f t="shared" si="110"/>
        <v>0</v>
      </c>
      <c r="L224" s="242">
        <f t="shared" si="111"/>
        <v>0</v>
      </c>
      <c r="M224" s="243">
        <f t="shared" si="112"/>
        <v>0</v>
      </c>
      <c r="N224" s="244">
        <f t="shared" si="113"/>
        <v>0</v>
      </c>
      <c r="O224" s="242">
        <f t="shared" si="114"/>
        <v>0</v>
      </c>
      <c r="P224" s="243">
        <f t="shared" si="115"/>
        <v>0</v>
      </c>
      <c r="Q224" s="876">
        <f t="shared" si="116"/>
        <v>0</v>
      </c>
      <c r="R224" s="845" t="s">
        <v>2949</v>
      </c>
    </row>
    <row r="225" spans="1:18" ht="32.1" customHeight="1">
      <c r="A225" s="1126"/>
      <c r="B225" s="160" t="s">
        <v>2950</v>
      </c>
      <c r="C225" s="138" t="s">
        <v>2248</v>
      </c>
      <c r="D225" s="257" t="s">
        <v>2946</v>
      </c>
      <c r="E225" s="138" t="s">
        <v>2951</v>
      </c>
      <c r="F225" s="257" t="s">
        <v>2948</v>
      </c>
      <c r="G225" s="225">
        <f t="shared" si="100"/>
        <v>0</v>
      </c>
      <c r="H225" s="242">
        <f>COUNTIF(Area_v1,$C225)*2</f>
        <v>0</v>
      </c>
      <c r="I225" s="825">
        <f>COUNTIF(Area_v2,$C225)*2</f>
        <v>0</v>
      </c>
      <c r="J225" s="242">
        <f>COUNTIF(Area_v3ZIC,$C225)*2</f>
        <v>0</v>
      </c>
      <c r="K225" s="244">
        <f>COUNTIF(Area_v4ZIC,$C225)*2</f>
        <v>0</v>
      </c>
      <c r="L225" s="242">
        <f>COUNTIF(Area_v3BIN,$C225)*2</f>
        <v>0</v>
      </c>
      <c r="M225" s="243">
        <f>COUNTIF(Area_v4BIN,$C225)*2</f>
        <v>0</v>
      </c>
      <c r="N225" s="244">
        <f>COUNTIF(Area_v5BIN,$C225)*2</f>
        <v>0</v>
      </c>
      <c r="O225" s="242">
        <f>COUNTIF(Area_v3HAD,$C225)*2</f>
        <v>0</v>
      </c>
      <c r="P225" s="243">
        <f>COUNTIF(Area_v3KFA,$C225)*2</f>
        <v>0</v>
      </c>
      <c r="Q225" s="876">
        <f>COUNTIF(Area_v4KFA,$C225)*2</f>
        <v>0</v>
      </c>
      <c r="R225" s="845" t="s">
        <v>2952</v>
      </c>
    </row>
    <row r="226" spans="1:18" ht="32.1" customHeight="1">
      <c r="A226" s="1126"/>
      <c r="B226" s="160"/>
      <c r="C226" s="138" t="s">
        <v>2251</v>
      </c>
      <c r="D226" s="257" t="s">
        <v>2953</v>
      </c>
      <c r="E226" s="138" t="s">
        <v>2954</v>
      </c>
      <c r="F226" s="257">
        <v>6655</v>
      </c>
      <c r="G226" s="225">
        <f t="shared" si="100"/>
        <v>0</v>
      </c>
      <c r="H226" s="242">
        <f>COUNTIF(Area_v1,$C226)</f>
        <v>0</v>
      </c>
      <c r="I226" s="825">
        <f>COUNTIF(Area_v2,$C226)</f>
        <v>0</v>
      </c>
      <c r="J226" s="242">
        <f>COUNTIF(Area_v3ZIC,$C226)</f>
        <v>0</v>
      </c>
      <c r="K226" s="244">
        <f>COUNTIF(Area_v4ZIC,$C226)</f>
        <v>0</v>
      </c>
      <c r="L226" s="242">
        <f>COUNTIF(Area_v3BIN,$C226)</f>
        <v>0</v>
      </c>
      <c r="M226" s="243">
        <f>COUNTIF(Area_v4BIN,$C226)</f>
        <v>0</v>
      </c>
      <c r="N226" s="244">
        <f>COUNTIF(Area_v5BIN,$C226)</f>
        <v>0</v>
      </c>
      <c r="O226" s="242">
        <f>COUNTIF(Area_v3HAD,$C226)</f>
        <v>0</v>
      </c>
      <c r="P226" s="243">
        <f>COUNTIF(Area_v3KFA,$C226)</f>
        <v>0</v>
      </c>
      <c r="Q226" s="876">
        <f>COUNTIF(Area_v4KFA,$C226)</f>
        <v>0</v>
      </c>
      <c r="R226" s="845"/>
    </row>
    <row r="227" spans="1:18" ht="32.1" customHeight="1">
      <c r="A227" s="1126"/>
      <c r="B227" s="160" t="s">
        <v>2950</v>
      </c>
      <c r="C227" s="138" t="s">
        <v>2253</v>
      </c>
      <c r="D227" s="257" t="s">
        <v>2953</v>
      </c>
      <c r="E227" s="138" t="s">
        <v>2955</v>
      </c>
      <c r="F227" s="257">
        <v>6655</v>
      </c>
      <c r="G227" s="225">
        <f t="shared" si="100"/>
        <v>0</v>
      </c>
      <c r="H227" s="242">
        <f>COUNTIF(Area_v1,$C227)*2</f>
        <v>0</v>
      </c>
      <c r="I227" s="825">
        <f>COUNTIF(Area_v2,$C227)*2</f>
        <v>0</v>
      </c>
      <c r="J227" s="242">
        <f>COUNTIF(Area_v3ZIC,$C227)*2</f>
        <v>0</v>
      </c>
      <c r="K227" s="244">
        <f>COUNTIF(Area_v4ZIC,$C227)*2</f>
        <v>0</v>
      </c>
      <c r="L227" s="242">
        <f>COUNTIF(Area_v3BIN,$C227)*2</f>
        <v>0</v>
      </c>
      <c r="M227" s="243">
        <f>COUNTIF(Area_v4BIN,$C227)*2</f>
        <v>0</v>
      </c>
      <c r="N227" s="244">
        <f>COUNTIF(Area_v5BIN,$C227)*2</f>
        <v>0</v>
      </c>
      <c r="O227" s="242">
        <f>COUNTIF(Area_v3HAD,$C227)*2</f>
        <v>0</v>
      </c>
      <c r="P227" s="243">
        <f>COUNTIF(Area_v3KFA,$C227)*2</f>
        <v>0</v>
      </c>
      <c r="Q227" s="876">
        <f>COUNTIF(Area_v4KFA,$C227)*2</f>
        <v>0</v>
      </c>
      <c r="R227" s="845"/>
    </row>
    <row r="228" spans="1:18" ht="32.1" customHeight="1">
      <c r="A228" s="1126"/>
      <c r="B228" s="160"/>
      <c r="C228" s="138" t="s">
        <v>2255</v>
      </c>
      <c r="D228" s="257" t="s">
        <v>2956</v>
      </c>
      <c r="E228" s="138" t="s">
        <v>2957</v>
      </c>
      <c r="F228" s="257"/>
      <c r="G228" s="225">
        <f t="shared" si="100"/>
        <v>0</v>
      </c>
      <c r="H228" s="242">
        <f>COUNTIF(Area_v1,$C228)</f>
        <v>0</v>
      </c>
      <c r="I228" s="825">
        <f>COUNTIF(Area_v2,$C228)</f>
        <v>0</v>
      </c>
      <c r="J228" s="242">
        <f>COUNTIF(Area_v3ZIC,$C228)</f>
        <v>0</v>
      </c>
      <c r="K228" s="244">
        <f>COUNTIF(Area_v4ZIC,$C228)</f>
        <v>0</v>
      </c>
      <c r="L228" s="242">
        <f>COUNTIF(Area_v3BIN,$C228)</f>
        <v>0</v>
      </c>
      <c r="M228" s="243">
        <f>COUNTIF(Area_v4BIN,$C228)</f>
        <v>0</v>
      </c>
      <c r="N228" s="244">
        <f>COUNTIF(Area_v5BIN,$C228)</f>
        <v>0</v>
      </c>
      <c r="O228" s="242">
        <f>COUNTIF(Area_v3HAD,$C228)</f>
        <v>0</v>
      </c>
      <c r="P228" s="243">
        <f>COUNTIF(Area_v3KFA,$C228)</f>
        <v>0</v>
      </c>
      <c r="Q228" s="876">
        <f>COUNTIF(Area_v4KFA,$C228)</f>
        <v>0</v>
      </c>
      <c r="R228" s="845"/>
    </row>
    <row r="229" spans="1:18" ht="32.1" customHeight="1">
      <c r="A229" s="1126"/>
      <c r="B229" s="160" t="s">
        <v>2950</v>
      </c>
      <c r="C229" s="138" t="s">
        <v>2257</v>
      </c>
      <c r="D229" s="257" t="s">
        <v>2956</v>
      </c>
      <c r="E229" s="138" t="s">
        <v>2958</v>
      </c>
      <c r="F229" s="257"/>
      <c r="G229" s="225">
        <f t="shared" si="100"/>
        <v>0</v>
      </c>
      <c r="H229" s="242">
        <f>COUNTIF(Area_v1,$C229)*2</f>
        <v>0</v>
      </c>
      <c r="I229" s="825">
        <f>COUNTIF(Area_v2,$C229)*2</f>
        <v>0</v>
      </c>
      <c r="J229" s="242">
        <f>COUNTIF(Area_v3ZIC,$C229)*2</f>
        <v>0</v>
      </c>
      <c r="K229" s="244">
        <f>COUNTIF(Area_v4ZIC,$C229)*2</f>
        <v>0</v>
      </c>
      <c r="L229" s="242">
        <f>COUNTIF(Area_v3BIN,$C229)*2</f>
        <v>0</v>
      </c>
      <c r="M229" s="243">
        <f>COUNTIF(Area_v4BIN,$C229)*2</f>
        <v>0</v>
      </c>
      <c r="N229" s="244">
        <f>COUNTIF(Area_v5BIN,$C229)*2</f>
        <v>0</v>
      </c>
      <c r="O229" s="242">
        <f>COUNTIF(Area_v3HAD,$C229)*2</f>
        <v>0</v>
      </c>
      <c r="P229" s="243">
        <f>COUNTIF(Area_v3KFA,$C229)*2</f>
        <v>0</v>
      </c>
      <c r="Q229" s="876">
        <f>COUNTIF(Area_v4KFA,$C229)*2</f>
        <v>0</v>
      </c>
      <c r="R229" s="845"/>
    </row>
    <row r="230" spans="1:18" ht="32.1" customHeight="1">
      <c r="A230" s="1126"/>
      <c r="B230" s="160"/>
      <c r="C230" s="138" t="s">
        <v>202</v>
      </c>
      <c r="D230" s="257" t="s">
        <v>2959</v>
      </c>
      <c r="E230" s="138" t="s">
        <v>2960</v>
      </c>
      <c r="F230" s="257"/>
      <c r="G230" s="225">
        <f t="shared" si="100"/>
        <v>2</v>
      </c>
      <c r="H230" s="242">
        <f>COUNTIF(Area_v1,$C230)</f>
        <v>1</v>
      </c>
      <c r="I230" s="825">
        <f>COUNTIF(Area_v2,$C230)</f>
        <v>1</v>
      </c>
      <c r="J230" s="242">
        <f>COUNTIF(Area_v3ZIC,$C230)</f>
        <v>0</v>
      </c>
      <c r="K230" s="244">
        <f>COUNTIF(Area_v4ZIC,$C230)</f>
        <v>0</v>
      </c>
      <c r="L230" s="242">
        <f>COUNTIF(Area_v3BIN,$C230)</f>
        <v>0</v>
      </c>
      <c r="M230" s="243">
        <f>COUNTIF(Area_v4BIN,$C230)</f>
        <v>0</v>
      </c>
      <c r="N230" s="244">
        <f>COUNTIF(Area_v5BIN,$C230)</f>
        <v>0</v>
      </c>
      <c r="O230" s="242">
        <f>COUNTIF(Area_v3HAD,$C230)</f>
        <v>0</v>
      </c>
      <c r="P230" s="243">
        <f>COUNTIF(Area_v3KFA,$C230)</f>
        <v>0</v>
      </c>
      <c r="Q230" s="876">
        <f>COUNTIF(Area_v4KFA,$C230)</f>
        <v>0</v>
      </c>
      <c r="R230" s="845"/>
    </row>
    <row r="231" spans="1:18" ht="32.1" customHeight="1">
      <c r="A231" s="1126"/>
      <c r="B231" s="160" t="s">
        <v>2950</v>
      </c>
      <c r="C231" s="138" t="s">
        <v>2258</v>
      </c>
      <c r="D231" s="257" t="s">
        <v>2959</v>
      </c>
      <c r="E231" s="138" t="s">
        <v>2961</v>
      </c>
      <c r="F231" s="257"/>
      <c r="G231" s="225">
        <f t="shared" si="100"/>
        <v>0</v>
      </c>
      <c r="H231" s="242">
        <f>COUNTIF(Area_v1,$C231)*2</f>
        <v>0</v>
      </c>
      <c r="I231" s="825">
        <f>COUNTIF(Area_v2,$C231)*2</f>
        <v>0</v>
      </c>
      <c r="J231" s="242">
        <f>COUNTIF(Area_v3ZIC,$C231)*2</f>
        <v>0</v>
      </c>
      <c r="K231" s="244">
        <f>COUNTIF(Area_v4ZIC,$C231)*2</f>
        <v>0</v>
      </c>
      <c r="L231" s="242">
        <f>COUNTIF(Area_v3BIN,$C231)*2</f>
        <v>0</v>
      </c>
      <c r="M231" s="243">
        <f>COUNTIF(Area_v4BIN,$C231)*2</f>
        <v>0</v>
      </c>
      <c r="N231" s="244">
        <f>COUNTIF(Area_v5BIN,$C231)*2</f>
        <v>0</v>
      </c>
      <c r="O231" s="242">
        <f>COUNTIF(Area_v3HAD,$C231)*2</f>
        <v>0</v>
      </c>
      <c r="P231" s="243">
        <f>COUNTIF(Area_v3KFA,$C231)*2</f>
        <v>0</v>
      </c>
      <c r="Q231" s="876">
        <f>COUNTIF(Area_v4KFA,$C231)*2</f>
        <v>0</v>
      </c>
      <c r="R231" s="845"/>
    </row>
    <row r="232" spans="1:18" ht="32.1" customHeight="1">
      <c r="A232" s="1126"/>
      <c r="B232" s="160"/>
      <c r="C232" s="138" t="s">
        <v>2962</v>
      </c>
      <c r="D232" s="257"/>
      <c r="E232" s="138" t="s">
        <v>2963</v>
      </c>
      <c r="F232" s="257"/>
      <c r="G232" s="225">
        <f t="shared" si="100"/>
        <v>0</v>
      </c>
      <c r="H232" s="242">
        <f>COUNTIF(Area_v1,$C232)</f>
        <v>0</v>
      </c>
      <c r="I232" s="825">
        <f>COUNTIF(Area_v2,$C232)</f>
        <v>0</v>
      </c>
      <c r="J232" s="242">
        <f>COUNTIF(Area_v3ZIC,$C232)</f>
        <v>0</v>
      </c>
      <c r="K232" s="244">
        <f>COUNTIF(Area_v4ZIC,$C232)</f>
        <v>0</v>
      </c>
      <c r="L232" s="242">
        <f t="shared" ref="L232:L254" si="117">COUNTIF(Area_v3BIN,$C232)</f>
        <v>0</v>
      </c>
      <c r="M232" s="243">
        <f>COUNTIF(Area_v4BIN,$C232)</f>
        <v>0</v>
      </c>
      <c r="N232" s="244">
        <f>COUNTIF(Area_v5BIN,$C232)</f>
        <v>0</v>
      </c>
      <c r="O232" s="242">
        <f t="shared" ref="O232:O254" si="118">COUNTIF(Area_v3HAD,$C232)</f>
        <v>0</v>
      </c>
      <c r="P232" s="243">
        <f t="shared" ref="P232:P254" si="119">COUNTIF(Area_v3KFA,$C232)</f>
        <v>0</v>
      </c>
      <c r="Q232" s="876">
        <f t="shared" ref="Q232:Q254" si="120">COUNTIF(Area_v4KFA,$C232)</f>
        <v>0</v>
      </c>
      <c r="R232" s="845"/>
    </row>
    <row r="233" spans="1:18" ht="32.1" customHeight="1">
      <c r="A233" s="1126"/>
      <c r="B233" s="160"/>
      <c r="C233" s="138" t="s">
        <v>2964</v>
      </c>
      <c r="D233" s="257"/>
      <c r="E233" s="138" t="s">
        <v>2965</v>
      </c>
      <c r="F233" s="257"/>
      <c r="G233" s="225">
        <f t="shared" si="100"/>
        <v>0</v>
      </c>
      <c r="H233" s="242">
        <f>COUNTIF(Area_v1,$C233)</f>
        <v>0</v>
      </c>
      <c r="I233" s="825">
        <f>COUNTIF(Area_v2,$C233)</f>
        <v>0</v>
      </c>
      <c r="J233" s="242">
        <f>COUNTIF(Area_v3ZIC,$C233)</f>
        <v>0</v>
      </c>
      <c r="K233" s="244">
        <f>COUNTIF(Area_v4ZIC,$C233)</f>
        <v>0</v>
      </c>
      <c r="L233" s="242">
        <f t="shared" si="117"/>
        <v>0</v>
      </c>
      <c r="M233" s="243">
        <f>COUNTIF(Area_v4BIN,$C233)</f>
        <v>0</v>
      </c>
      <c r="N233" s="244">
        <f>COUNTIF(Area_v5BIN,$C233)</f>
        <v>0</v>
      </c>
      <c r="O233" s="242">
        <f t="shared" si="118"/>
        <v>0</v>
      </c>
      <c r="P233" s="243">
        <f t="shared" si="119"/>
        <v>0</v>
      </c>
      <c r="Q233" s="876">
        <f t="shared" si="120"/>
        <v>0</v>
      </c>
      <c r="R233" s="845"/>
    </row>
    <row r="234" spans="1:18" ht="32.1" customHeight="1">
      <c r="A234" s="1126"/>
      <c r="B234" s="160"/>
      <c r="C234" s="138" t="s">
        <v>2966</v>
      </c>
      <c r="D234" s="257"/>
      <c r="E234" s="138" t="s">
        <v>2967</v>
      </c>
      <c r="F234" s="257"/>
      <c r="G234" s="225">
        <f t="shared" si="100"/>
        <v>0</v>
      </c>
      <c r="H234" s="242">
        <f>COUNTIF(Area_v1,$C234)</f>
        <v>0</v>
      </c>
      <c r="I234" s="825">
        <f>COUNTIF(Area_v2,$C234)</f>
        <v>0</v>
      </c>
      <c r="J234" s="242">
        <f>COUNTIF(Area_v3ZIC,$C234)</f>
        <v>0</v>
      </c>
      <c r="K234" s="244">
        <f>COUNTIF(Area_v4ZIC,$C234)</f>
        <v>0</v>
      </c>
      <c r="L234" s="242">
        <f t="shared" si="117"/>
        <v>0</v>
      </c>
      <c r="M234" s="243">
        <f>COUNTIF(Area_v4BIN,$C234)</f>
        <v>0</v>
      </c>
      <c r="N234" s="244">
        <f>COUNTIF(Area_v5BIN,$C234)</f>
        <v>0</v>
      </c>
      <c r="O234" s="242">
        <f t="shared" si="118"/>
        <v>0</v>
      </c>
      <c r="P234" s="243">
        <f t="shared" si="119"/>
        <v>0</v>
      </c>
      <c r="Q234" s="876">
        <f t="shared" si="120"/>
        <v>0</v>
      </c>
      <c r="R234" s="845"/>
    </row>
    <row r="235" spans="1:18" ht="32.1" customHeight="1">
      <c r="A235" s="1184"/>
      <c r="B235" s="1185"/>
      <c r="C235" s="140" t="s">
        <v>715</v>
      </c>
      <c r="D235" s="259" t="s">
        <v>2968</v>
      </c>
      <c r="E235" s="140" t="s">
        <v>2969</v>
      </c>
      <c r="F235" s="259" t="s">
        <v>2970</v>
      </c>
      <c r="G235" s="230">
        <f t="shared" si="100"/>
        <v>4</v>
      </c>
      <c r="H235" s="235">
        <f>COUNTIF(Area_v1,$C235)</f>
        <v>1</v>
      </c>
      <c r="I235" s="823">
        <f>COUNTIF(Area_v2,$C235)</f>
        <v>1</v>
      </c>
      <c r="J235" s="235">
        <f>COUNTIF(Area_v3ZIC,$C235)</f>
        <v>0</v>
      </c>
      <c r="K235" s="237">
        <f>COUNTIF(Area_v4ZIC,$C235)</f>
        <v>0</v>
      </c>
      <c r="L235" s="235">
        <f t="shared" si="117"/>
        <v>0</v>
      </c>
      <c r="M235" s="236">
        <f>COUNTIF(Area_v4BIN,$C235)</f>
        <v>0</v>
      </c>
      <c r="N235" s="237">
        <f>COUNTIF(Area_v5BIN,$C235)</f>
        <v>0</v>
      </c>
      <c r="O235" s="235">
        <f t="shared" si="118"/>
        <v>0</v>
      </c>
      <c r="P235" s="236">
        <f t="shared" si="119"/>
        <v>0</v>
      </c>
      <c r="Q235" s="874">
        <f t="shared" si="120"/>
        <v>2</v>
      </c>
      <c r="R235" s="847" t="s">
        <v>2971</v>
      </c>
    </row>
    <row r="236" spans="1:18" ht="32.1" customHeight="1">
      <c r="A236" s="1125" t="s">
        <v>2092</v>
      </c>
      <c r="B236" s="160"/>
      <c r="C236" s="150" t="s">
        <v>124</v>
      </c>
      <c r="D236" s="261" t="s">
        <v>2972</v>
      </c>
      <c r="E236" s="150" t="s">
        <v>2973</v>
      </c>
      <c r="F236" s="261" t="s">
        <v>2974</v>
      </c>
      <c r="G236" s="238">
        <f t="shared" si="100"/>
        <v>653</v>
      </c>
      <c r="H236" s="239">
        <f t="shared" ref="H236:H254" si="121">COUNTIF(Area_v1,$C236)</f>
        <v>305</v>
      </c>
      <c r="I236" s="824">
        <f t="shared" ref="I236:I254" si="122">COUNTIF(Area_v2,$C236)</f>
        <v>271</v>
      </c>
      <c r="J236" s="239">
        <f t="shared" ref="J236:J254" si="123">COUNTIF(Area_v3ZIC,$C236)</f>
        <v>7</v>
      </c>
      <c r="K236" s="241">
        <f t="shared" ref="K236:K254" si="124">COUNTIF(Area_v4ZIC,$C236)</f>
        <v>9</v>
      </c>
      <c r="L236" s="239">
        <f t="shared" si="117"/>
        <v>7</v>
      </c>
      <c r="M236" s="240">
        <f t="shared" ref="M236:M254" si="125">COUNTIF(Area_v4BIN,$C236)</f>
        <v>6</v>
      </c>
      <c r="N236" s="241">
        <f t="shared" ref="N236:N254" si="126">COUNTIF(Area_v5BIN,$C236)</f>
        <v>5</v>
      </c>
      <c r="O236" s="239">
        <f t="shared" si="118"/>
        <v>16</v>
      </c>
      <c r="P236" s="240">
        <f t="shared" si="119"/>
        <v>13</v>
      </c>
      <c r="Q236" s="875">
        <f t="shared" si="120"/>
        <v>14</v>
      </c>
      <c r="R236" s="849" t="s">
        <v>2975</v>
      </c>
    </row>
    <row r="237" spans="1:18" ht="32.1" customHeight="1">
      <c r="A237" s="1126"/>
      <c r="B237" s="160"/>
      <c r="C237" s="138" t="s">
        <v>134</v>
      </c>
      <c r="D237" s="257" t="s">
        <v>2976</v>
      </c>
      <c r="E237" s="138" t="s">
        <v>2977</v>
      </c>
      <c r="F237" s="257" t="s">
        <v>2978</v>
      </c>
      <c r="G237" s="225">
        <f t="shared" si="100"/>
        <v>628</v>
      </c>
      <c r="H237" s="242">
        <f t="shared" si="121"/>
        <v>283</v>
      </c>
      <c r="I237" s="825">
        <f t="shared" si="122"/>
        <v>259</v>
      </c>
      <c r="J237" s="242">
        <f t="shared" si="123"/>
        <v>16</v>
      </c>
      <c r="K237" s="244">
        <f t="shared" si="124"/>
        <v>9</v>
      </c>
      <c r="L237" s="242">
        <f t="shared" si="117"/>
        <v>8</v>
      </c>
      <c r="M237" s="243">
        <f t="shared" si="125"/>
        <v>5</v>
      </c>
      <c r="N237" s="244">
        <f t="shared" si="126"/>
        <v>7</v>
      </c>
      <c r="O237" s="242">
        <f t="shared" si="118"/>
        <v>11</v>
      </c>
      <c r="P237" s="243">
        <f t="shared" si="119"/>
        <v>13</v>
      </c>
      <c r="Q237" s="876">
        <f t="shared" si="120"/>
        <v>17</v>
      </c>
      <c r="R237" s="845" t="s">
        <v>2979</v>
      </c>
    </row>
    <row r="238" spans="1:18" ht="32.1" customHeight="1">
      <c r="A238" s="1126"/>
      <c r="B238" s="160"/>
      <c r="C238" s="138" t="s">
        <v>2980</v>
      </c>
      <c r="D238" s="257"/>
      <c r="E238" s="138" t="s">
        <v>2981</v>
      </c>
      <c r="F238" s="257"/>
      <c r="G238" s="225">
        <f t="shared" si="100"/>
        <v>0</v>
      </c>
      <c r="H238" s="242">
        <f t="shared" si="121"/>
        <v>0</v>
      </c>
      <c r="I238" s="825">
        <f t="shared" si="122"/>
        <v>0</v>
      </c>
      <c r="J238" s="242">
        <f t="shared" si="123"/>
        <v>0</v>
      </c>
      <c r="K238" s="244">
        <f t="shared" si="124"/>
        <v>0</v>
      </c>
      <c r="L238" s="242">
        <f t="shared" si="117"/>
        <v>0</v>
      </c>
      <c r="M238" s="243">
        <f t="shared" si="125"/>
        <v>0</v>
      </c>
      <c r="N238" s="244">
        <f t="shared" si="126"/>
        <v>0</v>
      </c>
      <c r="O238" s="242">
        <f t="shared" si="118"/>
        <v>0</v>
      </c>
      <c r="P238" s="243">
        <f t="shared" si="119"/>
        <v>0</v>
      </c>
      <c r="Q238" s="876">
        <f t="shared" si="120"/>
        <v>0</v>
      </c>
      <c r="R238" s="845"/>
    </row>
    <row r="239" spans="1:18" ht="32.1" customHeight="1">
      <c r="A239" s="1126"/>
      <c r="B239" s="160"/>
      <c r="C239" s="138" t="s">
        <v>133</v>
      </c>
      <c r="D239" s="257" t="s">
        <v>2982</v>
      </c>
      <c r="E239" s="138" t="s">
        <v>2983</v>
      </c>
      <c r="F239" s="257" t="s">
        <v>2984</v>
      </c>
      <c r="G239" s="225">
        <f t="shared" si="100"/>
        <v>222</v>
      </c>
      <c r="H239" s="242">
        <f t="shared" si="121"/>
        <v>106</v>
      </c>
      <c r="I239" s="825">
        <f t="shared" si="122"/>
        <v>90</v>
      </c>
      <c r="J239" s="242">
        <f t="shared" si="123"/>
        <v>6</v>
      </c>
      <c r="K239" s="244">
        <f t="shared" si="124"/>
        <v>1</v>
      </c>
      <c r="L239" s="242">
        <f t="shared" si="117"/>
        <v>8</v>
      </c>
      <c r="M239" s="243">
        <f t="shared" si="125"/>
        <v>0</v>
      </c>
      <c r="N239" s="244">
        <f t="shared" si="126"/>
        <v>0</v>
      </c>
      <c r="O239" s="242">
        <f t="shared" si="118"/>
        <v>6</v>
      </c>
      <c r="P239" s="243">
        <f t="shared" si="119"/>
        <v>2</v>
      </c>
      <c r="Q239" s="876">
        <f t="shared" si="120"/>
        <v>3</v>
      </c>
      <c r="R239" s="845" t="s">
        <v>2985</v>
      </c>
    </row>
    <row r="240" spans="1:18" ht="32.1" customHeight="1">
      <c r="A240" s="1126"/>
      <c r="B240" s="160"/>
      <c r="C240" s="138" t="s">
        <v>2986</v>
      </c>
      <c r="D240" s="257"/>
      <c r="E240" s="138" t="s">
        <v>2987</v>
      </c>
      <c r="F240" s="257"/>
      <c r="G240" s="225">
        <f t="shared" si="100"/>
        <v>0</v>
      </c>
      <c r="H240" s="242">
        <f t="shared" si="121"/>
        <v>0</v>
      </c>
      <c r="I240" s="825">
        <f t="shared" si="122"/>
        <v>0</v>
      </c>
      <c r="J240" s="242">
        <f t="shared" si="123"/>
        <v>0</v>
      </c>
      <c r="K240" s="244">
        <f t="shared" si="124"/>
        <v>0</v>
      </c>
      <c r="L240" s="242">
        <f t="shared" si="117"/>
        <v>0</v>
      </c>
      <c r="M240" s="243">
        <f t="shared" si="125"/>
        <v>0</v>
      </c>
      <c r="N240" s="244">
        <f t="shared" si="126"/>
        <v>0</v>
      </c>
      <c r="O240" s="242">
        <f t="shared" si="118"/>
        <v>0</v>
      </c>
      <c r="P240" s="243">
        <f t="shared" si="119"/>
        <v>0</v>
      </c>
      <c r="Q240" s="876">
        <f t="shared" si="120"/>
        <v>0</v>
      </c>
      <c r="R240" s="845"/>
    </row>
    <row r="241" spans="1:18" ht="32.1" customHeight="1">
      <c r="A241" s="1126"/>
      <c r="B241" s="160"/>
      <c r="C241" s="138" t="s">
        <v>2100</v>
      </c>
      <c r="D241" s="257" t="s">
        <v>2988</v>
      </c>
      <c r="E241" s="138" t="s">
        <v>2989</v>
      </c>
      <c r="F241" s="257" t="s">
        <v>2990</v>
      </c>
      <c r="G241" s="225">
        <f t="shared" si="100"/>
        <v>0</v>
      </c>
      <c r="H241" s="242">
        <f t="shared" si="121"/>
        <v>0</v>
      </c>
      <c r="I241" s="825">
        <f t="shared" si="122"/>
        <v>0</v>
      </c>
      <c r="J241" s="242">
        <f t="shared" si="123"/>
        <v>0</v>
      </c>
      <c r="K241" s="244">
        <f t="shared" si="124"/>
        <v>0</v>
      </c>
      <c r="L241" s="242">
        <f t="shared" si="117"/>
        <v>0</v>
      </c>
      <c r="M241" s="243">
        <f t="shared" si="125"/>
        <v>0</v>
      </c>
      <c r="N241" s="244">
        <f t="shared" si="126"/>
        <v>0</v>
      </c>
      <c r="O241" s="242">
        <f t="shared" si="118"/>
        <v>0</v>
      </c>
      <c r="P241" s="243">
        <f t="shared" si="119"/>
        <v>0</v>
      </c>
      <c r="Q241" s="876">
        <f t="shared" si="120"/>
        <v>0</v>
      </c>
      <c r="R241" s="845" t="s">
        <v>2991</v>
      </c>
    </row>
    <row r="242" spans="1:18" ht="32.1" customHeight="1">
      <c r="A242" s="1126"/>
      <c r="B242" s="160"/>
      <c r="C242" s="138" t="s">
        <v>2104</v>
      </c>
      <c r="D242" s="257" t="s">
        <v>2992</v>
      </c>
      <c r="E242" s="138" t="s">
        <v>2993</v>
      </c>
      <c r="F242" s="257" t="s">
        <v>2994</v>
      </c>
      <c r="G242" s="225">
        <f t="shared" si="100"/>
        <v>0</v>
      </c>
      <c r="H242" s="242">
        <f t="shared" si="121"/>
        <v>0</v>
      </c>
      <c r="I242" s="825">
        <f t="shared" si="122"/>
        <v>0</v>
      </c>
      <c r="J242" s="242">
        <f t="shared" si="123"/>
        <v>0</v>
      </c>
      <c r="K242" s="244">
        <f t="shared" si="124"/>
        <v>0</v>
      </c>
      <c r="L242" s="242">
        <f t="shared" si="117"/>
        <v>0</v>
      </c>
      <c r="M242" s="243">
        <f t="shared" si="125"/>
        <v>0</v>
      </c>
      <c r="N242" s="244">
        <f t="shared" si="126"/>
        <v>0</v>
      </c>
      <c r="O242" s="242">
        <f t="shared" si="118"/>
        <v>0</v>
      </c>
      <c r="P242" s="243">
        <f t="shared" si="119"/>
        <v>0</v>
      </c>
      <c r="Q242" s="876">
        <f t="shared" si="120"/>
        <v>0</v>
      </c>
      <c r="R242" s="845" t="s">
        <v>2995</v>
      </c>
    </row>
    <row r="243" spans="1:18" ht="32.1" customHeight="1">
      <c r="A243" s="1126"/>
      <c r="B243" s="160"/>
      <c r="C243" s="138" t="s">
        <v>2107</v>
      </c>
      <c r="D243" s="257" t="s">
        <v>2996</v>
      </c>
      <c r="E243" s="138" t="s">
        <v>2997</v>
      </c>
      <c r="F243" s="257" t="s">
        <v>2998</v>
      </c>
      <c r="G243" s="225">
        <f t="shared" si="100"/>
        <v>0</v>
      </c>
      <c r="H243" s="242">
        <f t="shared" si="121"/>
        <v>0</v>
      </c>
      <c r="I243" s="825">
        <f t="shared" si="122"/>
        <v>0</v>
      </c>
      <c r="J243" s="242">
        <f t="shared" si="123"/>
        <v>0</v>
      </c>
      <c r="K243" s="244">
        <f t="shared" si="124"/>
        <v>0</v>
      </c>
      <c r="L243" s="242">
        <f t="shared" si="117"/>
        <v>0</v>
      </c>
      <c r="M243" s="243">
        <f t="shared" si="125"/>
        <v>0</v>
      </c>
      <c r="N243" s="244">
        <f t="shared" si="126"/>
        <v>0</v>
      </c>
      <c r="O243" s="242">
        <f t="shared" si="118"/>
        <v>0</v>
      </c>
      <c r="P243" s="243">
        <f t="shared" si="119"/>
        <v>0</v>
      </c>
      <c r="Q243" s="876">
        <f t="shared" si="120"/>
        <v>0</v>
      </c>
      <c r="R243" s="845" t="s">
        <v>2999</v>
      </c>
    </row>
    <row r="244" spans="1:18" ht="32.1" customHeight="1">
      <c r="A244" s="1126"/>
      <c r="B244" s="160"/>
      <c r="C244" s="138" t="s">
        <v>3000</v>
      </c>
      <c r="D244" s="257"/>
      <c r="E244" s="138" t="s">
        <v>3001</v>
      </c>
      <c r="F244" s="257"/>
      <c r="G244" s="225">
        <f t="shared" si="100"/>
        <v>0</v>
      </c>
      <c r="H244" s="242">
        <f t="shared" si="121"/>
        <v>0</v>
      </c>
      <c r="I244" s="825">
        <f t="shared" si="122"/>
        <v>0</v>
      </c>
      <c r="J244" s="242">
        <f t="shared" si="123"/>
        <v>0</v>
      </c>
      <c r="K244" s="244">
        <f t="shared" si="124"/>
        <v>0</v>
      </c>
      <c r="L244" s="242">
        <f t="shared" si="117"/>
        <v>0</v>
      </c>
      <c r="M244" s="243">
        <f t="shared" si="125"/>
        <v>0</v>
      </c>
      <c r="N244" s="244">
        <f t="shared" si="126"/>
        <v>0</v>
      </c>
      <c r="O244" s="242">
        <f t="shared" si="118"/>
        <v>0</v>
      </c>
      <c r="P244" s="243">
        <f t="shared" si="119"/>
        <v>0</v>
      </c>
      <c r="Q244" s="876">
        <f t="shared" si="120"/>
        <v>0</v>
      </c>
      <c r="R244" s="845"/>
    </row>
    <row r="245" spans="1:18" ht="32.1" customHeight="1">
      <c r="A245" s="1126"/>
      <c r="B245" s="160"/>
      <c r="C245" s="138" t="s">
        <v>343</v>
      </c>
      <c r="D245" s="257" t="s">
        <v>3002</v>
      </c>
      <c r="E245" s="138" t="s">
        <v>3003</v>
      </c>
      <c r="F245" s="257" t="s">
        <v>1411</v>
      </c>
      <c r="G245" s="225">
        <f t="shared" ref="G245:G278" si="127">SUM(H245:Q245)</f>
        <v>104</v>
      </c>
      <c r="H245" s="242">
        <f t="shared" si="121"/>
        <v>25</v>
      </c>
      <c r="I245" s="825">
        <f t="shared" si="122"/>
        <v>64</v>
      </c>
      <c r="J245" s="242">
        <f t="shared" si="123"/>
        <v>8</v>
      </c>
      <c r="K245" s="244">
        <f t="shared" si="124"/>
        <v>0</v>
      </c>
      <c r="L245" s="242">
        <f t="shared" si="117"/>
        <v>5</v>
      </c>
      <c r="M245" s="243">
        <f t="shared" si="125"/>
        <v>1</v>
      </c>
      <c r="N245" s="244">
        <f t="shared" si="126"/>
        <v>0</v>
      </c>
      <c r="O245" s="242">
        <f t="shared" si="118"/>
        <v>1</v>
      </c>
      <c r="P245" s="243">
        <f t="shared" si="119"/>
        <v>0</v>
      </c>
      <c r="Q245" s="876">
        <f t="shared" si="120"/>
        <v>0</v>
      </c>
      <c r="R245" s="845" t="s">
        <v>3004</v>
      </c>
    </row>
    <row r="246" spans="1:18" ht="32.1" customHeight="1">
      <c r="A246" s="1126"/>
      <c r="B246" s="160"/>
      <c r="C246" s="138" t="s">
        <v>453</v>
      </c>
      <c r="D246" s="257" t="s">
        <v>3005</v>
      </c>
      <c r="E246" s="138" t="s">
        <v>3006</v>
      </c>
      <c r="F246" s="257" t="s">
        <v>1411</v>
      </c>
      <c r="G246" s="225">
        <f t="shared" si="127"/>
        <v>78</v>
      </c>
      <c r="H246" s="242">
        <f t="shared" si="121"/>
        <v>19</v>
      </c>
      <c r="I246" s="825">
        <f t="shared" si="122"/>
        <v>45</v>
      </c>
      <c r="J246" s="242">
        <f t="shared" si="123"/>
        <v>6</v>
      </c>
      <c r="K246" s="244">
        <f t="shared" si="124"/>
        <v>0</v>
      </c>
      <c r="L246" s="242">
        <f t="shared" si="117"/>
        <v>6</v>
      </c>
      <c r="M246" s="243">
        <f t="shared" si="125"/>
        <v>1</v>
      </c>
      <c r="N246" s="244">
        <f t="shared" si="126"/>
        <v>0</v>
      </c>
      <c r="O246" s="242">
        <f t="shared" si="118"/>
        <v>1</v>
      </c>
      <c r="P246" s="243">
        <f t="shared" si="119"/>
        <v>0</v>
      </c>
      <c r="Q246" s="876">
        <f t="shared" si="120"/>
        <v>0</v>
      </c>
      <c r="R246" s="845" t="s">
        <v>3007</v>
      </c>
    </row>
    <row r="247" spans="1:18" ht="32.1" customHeight="1">
      <c r="A247" s="1126"/>
      <c r="B247" s="160"/>
      <c r="C247" s="138" t="s">
        <v>3008</v>
      </c>
      <c r="D247" s="257"/>
      <c r="E247" s="138" t="s">
        <v>3009</v>
      </c>
      <c r="F247" s="257"/>
      <c r="G247" s="225">
        <f t="shared" si="127"/>
        <v>0</v>
      </c>
      <c r="H247" s="242">
        <f t="shared" si="121"/>
        <v>0</v>
      </c>
      <c r="I247" s="825">
        <f t="shared" si="122"/>
        <v>0</v>
      </c>
      <c r="J247" s="242">
        <f t="shared" si="123"/>
        <v>0</v>
      </c>
      <c r="K247" s="244">
        <f t="shared" si="124"/>
        <v>0</v>
      </c>
      <c r="L247" s="242">
        <f t="shared" si="117"/>
        <v>0</v>
      </c>
      <c r="M247" s="243">
        <f t="shared" si="125"/>
        <v>0</v>
      </c>
      <c r="N247" s="244">
        <f t="shared" si="126"/>
        <v>0</v>
      </c>
      <c r="O247" s="242">
        <f t="shared" si="118"/>
        <v>0</v>
      </c>
      <c r="P247" s="243">
        <f t="shared" si="119"/>
        <v>0</v>
      </c>
      <c r="Q247" s="876">
        <f t="shared" si="120"/>
        <v>0</v>
      </c>
      <c r="R247" s="845"/>
    </row>
    <row r="248" spans="1:18" ht="32.1" customHeight="1">
      <c r="A248" s="1126"/>
      <c r="B248" s="160"/>
      <c r="C248" s="138" t="s">
        <v>840</v>
      </c>
      <c r="D248" s="257" t="s">
        <v>3010</v>
      </c>
      <c r="E248" s="138" t="s">
        <v>3011</v>
      </c>
      <c r="F248" s="257" t="s">
        <v>1411</v>
      </c>
      <c r="G248" s="225">
        <f t="shared" si="127"/>
        <v>25</v>
      </c>
      <c r="H248" s="242">
        <f t="shared" si="121"/>
        <v>6</v>
      </c>
      <c r="I248" s="825">
        <f t="shared" si="122"/>
        <v>18</v>
      </c>
      <c r="J248" s="242">
        <f t="shared" si="123"/>
        <v>0</v>
      </c>
      <c r="K248" s="244">
        <f t="shared" si="124"/>
        <v>0</v>
      </c>
      <c r="L248" s="242">
        <f t="shared" si="117"/>
        <v>1</v>
      </c>
      <c r="M248" s="243">
        <f t="shared" si="125"/>
        <v>0</v>
      </c>
      <c r="N248" s="244">
        <f t="shared" si="126"/>
        <v>0</v>
      </c>
      <c r="O248" s="242">
        <f t="shared" si="118"/>
        <v>0</v>
      </c>
      <c r="P248" s="243">
        <f t="shared" si="119"/>
        <v>0</v>
      </c>
      <c r="Q248" s="876">
        <f t="shared" si="120"/>
        <v>0</v>
      </c>
      <c r="R248" s="845" t="s">
        <v>3012</v>
      </c>
    </row>
    <row r="249" spans="1:18" ht="32.1" customHeight="1">
      <c r="A249" s="1126"/>
      <c r="B249" s="160"/>
      <c r="C249" s="138" t="s">
        <v>3013</v>
      </c>
      <c r="D249" s="257"/>
      <c r="E249" s="138" t="s">
        <v>3014</v>
      </c>
      <c r="F249" s="257"/>
      <c r="G249" s="225">
        <f t="shared" si="127"/>
        <v>0</v>
      </c>
      <c r="H249" s="242">
        <f t="shared" si="121"/>
        <v>0</v>
      </c>
      <c r="I249" s="825">
        <f t="shared" si="122"/>
        <v>0</v>
      </c>
      <c r="J249" s="242">
        <f t="shared" si="123"/>
        <v>0</v>
      </c>
      <c r="K249" s="244">
        <f t="shared" si="124"/>
        <v>0</v>
      </c>
      <c r="L249" s="242">
        <f t="shared" si="117"/>
        <v>0</v>
      </c>
      <c r="M249" s="243">
        <f t="shared" si="125"/>
        <v>0</v>
      </c>
      <c r="N249" s="244">
        <f t="shared" si="126"/>
        <v>0</v>
      </c>
      <c r="O249" s="242">
        <f t="shared" si="118"/>
        <v>0</v>
      </c>
      <c r="P249" s="243">
        <f t="shared" si="119"/>
        <v>0</v>
      </c>
      <c r="Q249" s="876">
        <f t="shared" si="120"/>
        <v>0</v>
      </c>
      <c r="R249" s="845"/>
    </row>
    <row r="250" spans="1:18" ht="32.1" customHeight="1">
      <c r="A250" s="1126"/>
      <c r="B250" s="160"/>
      <c r="C250" s="138" t="s">
        <v>3015</v>
      </c>
      <c r="D250" s="257"/>
      <c r="E250" s="138" t="s">
        <v>3016</v>
      </c>
      <c r="F250" s="257"/>
      <c r="G250" s="225">
        <f t="shared" si="127"/>
        <v>0</v>
      </c>
      <c r="H250" s="242">
        <f t="shared" si="121"/>
        <v>0</v>
      </c>
      <c r="I250" s="825">
        <f t="shared" si="122"/>
        <v>0</v>
      </c>
      <c r="J250" s="242">
        <f t="shared" si="123"/>
        <v>0</v>
      </c>
      <c r="K250" s="244">
        <f t="shared" si="124"/>
        <v>0</v>
      </c>
      <c r="L250" s="242">
        <f t="shared" si="117"/>
        <v>0</v>
      </c>
      <c r="M250" s="243">
        <f t="shared" si="125"/>
        <v>0</v>
      </c>
      <c r="N250" s="244">
        <f t="shared" si="126"/>
        <v>0</v>
      </c>
      <c r="O250" s="242">
        <f t="shared" si="118"/>
        <v>0</v>
      </c>
      <c r="P250" s="243">
        <f t="shared" si="119"/>
        <v>0</v>
      </c>
      <c r="Q250" s="876">
        <f t="shared" si="120"/>
        <v>0</v>
      </c>
      <c r="R250" s="845"/>
    </row>
    <row r="251" spans="1:18" ht="32.1" customHeight="1">
      <c r="A251" s="1126"/>
      <c r="B251" s="160"/>
      <c r="C251" s="138" t="s">
        <v>3017</v>
      </c>
      <c r="D251" s="257"/>
      <c r="E251" s="138" t="s">
        <v>3018</v>
      </c>
      <c r="F251" s="257"/>
      <c r="G251" s="225">
        <f t="shared" si="127"/>
        <v>0</v>
      </c>
      <c r="H251" s="242">
        <f t="shared" si="121"/>
        <v>0</v>
      </c>
      <c r="I251" s="825">
        <f t="shared" si="122"/>
        <v>0</v>
      </c>
      <c r="J251" s="242">
        <f t="shared" si="123"/>
        <v>0</v>
      </c>
      <c r="K251" s="244">
        <f t="shared" si="124"/>
        <v>0</v>
      </c>
      <c r="L251" s="242">
        <f t="shared" si="117"/>
        <v>0</v>
      </c>
      <c r="M251" s="243">
        <f t="shared" si="125"/>
        <v>0</v>
      </c>
      <c r="N251" s="244">
        <f t="shared" si="126"/>
        <v>0</v>
      </c>
      <c r="O251" s="242">
        <f t="shared" si="118"/>
        <v>0</v>
      </c>
      <c r="P251" s="243">
        <f t="shared" si="119"/>
        <v>0</v>
      </c>
      <c r="Q251" s="876">
        <f t="shared" si="120"/>
        <v>0</v>
      </c>
      <c r="R251" s="845"/>
    </row>
    <row r="252" spans="1:18" ht="32.1" customHeight="1">
      <c r="A252" s="1126"/>
      <c r="B252" s="160"/>
      <c r="C252" s="138" t="s">
        <v>3019</v>
      </c>
      <c r="D252" s="257"/>
      <c r="E252" s="138" t="s">
        <v>3020</v>
      </c>
      <c r="F252" s="257"/>
      <c r="G252" s="225">
        <f t="shared" si="127"/>
        <v>0</v>
      </c>
      <c r="H252" s="242">
        <f t="shared" si="121"/>
        <v>0</v>
      </c>
      <c r="I252" s="825">
        <f t="shared" si="122"/>
        <v>0</v>
      </c>
      <c r="J252" s="242">
        <f t="shared" si="123"/>
        <v>0</v>
      </c>
      <c r="K252" s="244">
        <f t="shared" si="124"/>
        <v>0</v>
      </c>
      <c r="L252" s="242">
        <f t="shared" si="117"/>
        <v>0</v>
      </c>
      <c r="M252" s="243">
        <f t="shared" si="125"/>
        <v>0</v>
      </c>
      <c r="N252" s="244">
        <f t="shared" si="126"/>
        <v>0</v>
      </c>
      <c r="O252" s="242">
        <f t="shared" si="118"/>
        <v>0</v>
      </c>
      <c r="P252" s="243">
        <f t="shared" si="119"/>
        <v>0</v>
      </c>
      <c r="Q252" s="876">
        <f t="shared" si="120"/>
        <v>0</v>
      </c>
      <c r="R252" s="845"/>
    </row>
    <row r="253" spans="1:18" ht="32.1" customHeight="1">
      <c r="A253" s="1126"/>
      <c r="B253" s="160"/>
      <c r="C253" s="138" t="s">
        <v>3021</v>
      </c>
      <c r="D253" s="257"/>
      <c r="E253" s="138" t="s">
        <v>3022</v>
      </c>
      <c r="F253" s="257"/>
      <c r="G253" s="225">
        <f t="shared" si="127"/>
        <v>0</v>
      </c>
      <c r="H253" s="242">
        <f t="shared" si="121"/>
        <v>0</v>
      </c>
      <c r="I253" s="825">
        <f t="shared" si="122"/>
        <v>0</v>
      </c>
      <c r="J253" s="242">
        <f t="shared" si="123"/>
        <v>0</v>
      </c>
      <c r="K253" s="244">
        <f t="shared" si="124"/>
        <v>0</v>
      </c>
      <c r="L253" s="242">
        <f t="shared" si="117"/>
        <v>0</v>
      </c>
      <c r="M253" s="243">
        <f t="shared" si="125"/>
        <v>0</v>
      </c>
      <c r="N253" s="244">
        <f t="shared" si="126"/>
        <v>0</v>
      </c>
      <c r="O253" s="242">
        <f t="shared" si="118"/>
        <v>0</v>
      </c>
      <c r="P253" s="243">
        <f t="shared" si="119"/>
        <v>0</v>
      </c>
      <c r="Q253" s="876">
        <f t="shared" si="120"/>
        <v>0</v>
      </c>
      <c r="R253" s="845"/>
    </row>
    <row r="254" spans="1:18" ht="32.1" customHeight="1">
      <c r="A254" s="1184"/>
      <c r="B254" s="1185"/>
      <c r="C254" s="140" t="s">
        <v>3023</v>
      </c>
      <c r="D254" s="259"/>
      <c r="E254" s="140" t="s">
        <v>3024</v>
      </c>
      <c r="F254" s="259"/>
      <c r="G254" s="230">
        <f t="shared" si="127"/>
        <v>0</v>
      </c>
      <c r="H254" s="235">
        <f t="shared" si="121"/>
        <v>0</v>
      </c>
      <c r="I254" s="823">
        <f t="shared" si="122"/>
        <v>0</v>
      </c>
      <c r="J254" s="235">
        <f t="shared" si="123"/>
        <v>0</v>
      </c>
      <c r="K254" s="237">
        <f t="shared" si="124"/>
        <v>0</v>
      </c>
      <c r="L254" s="235">
        <f t="shared" si="117"/>
        <v>0</v>
      </c>
      <c r="M254" s="236">
        <f t="shared" si="125"/>
        <v>0</v>
      </c>
      <c r="N254" s="237">
        <f t="shared" si="126"/>
        <v>0</v>
      </c>
      <c r="O254" s="235">
        <f t="shared" si="118"/>
        <v>0</v>
      </c>
      <c r="P254" s="236">
        <f t="shared" si="119"/>
        <v>0</v>
      </c>
      <c r="Q254" s="874">
        <f t="shared" si="120"/>
        <v>0</v>
      </c>
      <c r="R254" s="847"/>
    </row>
    <row r="255" spans="1:18" ht="32.1" customHeight="1">
      <c r="A255" s="914"/>
      <c r="B255" s="160"/>
      <c r="C255" s="140"/>
      <c r="D255" s="915"/>
      <c r="E255" s="916"/>
      <c r="F255" s="915"/>
      <c r="G255" s="917"/>
      <c r="H255" s="918">
        <f>SUM(H236:H254)</f>
        <v>744</v>
      </c>
      <c r="I255" s="918">
        <f>SUM(I236:I254)</f>
        <v>747</v>
      </c>
      <c r="J255" s="918">
        <f>SUM(J236:J254)</f>
        <v>43</v>
      </c>
      <c r="K255" s="918">
        <f>SUM(K236:K254)</f>
        <v>19</v>
      </c>
      <c r="L255" s="918">
        <f>SUM(L236:L254)</f>
        <v>35</v>
      </c>
      <c r="M255" s="918">
        <f t="shared" ref="M255:N255" si="128">SUM(M236:M254)</f>
        <v>13</v>
      </c>
      <c r="N255" s="918">
        <f t="shared" si="128"/>
        <v>12</v>
      </c>
      <c r="O255" s="918">
        <f t="shared" ref="O255" si="129">SUM(O236:O254)</f>
        <v>35</v>
      </c>
      <c r="P255" s="918">
        <f t="shared" ref="P255" si="130">SUM(P236:P254)</f>
        <v>28</v>
      </c>
      <c r="Q255" s="918">
        <f t="shared" ref="Q255" si="131">SUM(Q236:Q254)</f>
        <v>34</v>
      </c>
      <c r="R255" s="919"/>
    </row>
    <row r="256" spans="1:18" ht="32.1" customHeight="1">
      <c r="A256" s="1142" t="s">
        <v>3025</v>
      </c>
      <c r="B256" s="263" t="s">
        <v>3026</v>
      </c>
      <c r="C256" s="284"/>
      <c r="D256" s="261" t="s">
        <v>3027</v>
      </c>
      <c r="E256" s="150" t="s">
        <v>3028</v>
      </c>
      <c r="F256" s="261" t="s">
        <v>3029</v>
      </c>
      <c r="G256" s="238">
        <f t="shared" si="127"/>
        <v>254</v>
      </c>
      <c r="H256" s="239">
        <f>COUNTIF(m2_v1,$C$236)+COUNTIF(m2_v1,$C$237)+COUNTIF(m2_v1,$C$239)</f>
        <v>119</v>
      </c>
      <c r="I256" s="824">
        <f>COUNTIF(m2_v2,$C$236)+COUNTIF(m2_v2,$C$237)+COUNTIF(m2_v2,$C$239)</f>
        <v>101</v>
      </c>
      <c r="J256" s="239">
        <f>COUNTIF(m2_v3ZIC,$C$236)+COUNTIF(m2_v3ZIC,$C$237)+COUNTIF(m2_v3ZIC,$C$239)</f>
        <v>8</v>
      </c>
      <c r="K256" s="241">
        <f>COUNTIF(m2_v4ZIC,$C$236)+COUNTIF(m2_v4ZIC,$C$237)+COUNTIF(m2_v4ZIC,$C$239)</f>
        <v>0</v>
      </c>
      <c r="L256" s="239">
        <f>COUNTIF(m2_v3BIN,$C$236)+COUNTIF(m2_v3BIN,$C$237)+COUNTIF(m2_v3BIN,$C$239)</f>
        <v>7</v>
      </c>
      <c r="M256" s="240">
        <f>COUNTIF(m2_v4BIN,$C$236)+COUNTIF(m2_v4BIN,$C$237)+COUNTIF(m2_v4BIN,$C$239)</f>
        <v>2</v>
      </c>
      <c r="N256" s="241">
        <f>COUNTIF(m2_v5BIN,$C$236)+COUNTIF(m2_v5BIN,$C$237)+COUNTIF(m2_v5BIN,$C$239)</f>
        <v>0</v>
      </c>
      <c r="O256" s="239">
        <f>COUNTIF(m2_V3HAD,$C$236)+COUNTIF(m2_V3HAD,$C$237)+COUNTIF(m2_V3HAD,$C$239)</f>
        <v>7</v>
      </c>
      <c r="P256" s="240">
        <f>COUNTIF(m2_v3KFA,$C$236)+COUNTIF(m2_v3KFA,$C$237)+COUNTIF(m2_v3KFA,$C$239)</f>
        <v>4</v>
      </c>
      <c r="Q256" s="875">
        <f>COUNTIF(m2_v4KFA,$C$236)+COUNTIF(m2_v4KFA,$C$237)+COUNTIF(m2_v4KFA,$C$239)</f>
        <v>6</v>
      </c>
      <c r="R256" s="849" t="s">
        <v>3030</v>
      </c>
    </row>
    <row r="257" spans="1:18" ht="32.1" customHeight="1">
      <c r="A257" s="1143"/>
      <c r="B257" s="160"/>
      <c r="C257" s="284"/>
      <c r="D257" s="257" t="s">
        <v>3031</v>
      </c>
      <c r="E257" s="138" t="s">
        <v>3032</v>
      </c>
      <c r="F257" s="257" t="s">
        <v>3029</v>
      </c>
      <c r="G257" s="225">
        <f t="shared" si="127"/>
        <v>0</v>
      </c>
      <c r="H257" s="242">
        <f>COUNTIF(m2_v1,$C$241)+COUNTIF(m2_v1,$C$242)+COUNTIF(m2_v1,$C$243)</f>
        <v>0</v>
      </c>
      <c r="I257" s="825">
        <f>COUNTIF(m2_v2,$C$241)+COUNTIF(m2_v2,$C$242)+COUNTIF(m2_v2,$C$243)</f>
        <v>0</v>
      </c>
      <c r="J257" s="242">
        <f>COUNTIF(m2_v3ZIC,$C$241)+COUNTIF(m2_v3ZIC,$C$242)+COUNTIF(m2_v3ZIC,$C$243)</f>
        <v>0</v>
      </c>
      <c r="K257" s="244">
        <f>COUNTIF(m2_v4ZIC,$C$241)+COUNTIF(m2_v4ZIC,$C$242)+COUNTIF(m2_v4ZIC,$C$243)</f>
        <v>0</v>
      </c>
      <c r="L257" s="242">
        <f>COUNTIF(m2_v3BIN,$C$241)+COUNTIF(m2_v3BIN,$C$242)+COUNTIF(m2_v3BIN,$C$243)</f>
        <v>0</v>
      </c>
      <c r="M257" s="243">
        <f>COUNTIF(m2_v4BIN,$C$241)+COUNTIF(m2_v4BIN,$C$242)+COUNTIF(m2_v4BIN,$C$243)</f>
        <v>0</v>
      </c>
      <c r="N257" s="244">
        <f>COUNTIF(m2_v5BIN,$C$241)+COUNTIF(m2_v5BIN,$C$242)+COUNTIF(m2_v5BIN,$C$243)</f>
        <v>0</v>
      </c>
      <c r="O257" s="242">
        <f>COUNTIF(m2_V3HAD,$C$241)+COUNTIF(m2_V3HAD,$C$242)+COUNTIF(m2_V3HAD,$C$243)</f>
        <v>0</v>
      </c>
      <c r="P257" s="243">
        <f>COUNTIF(m2_v3KFA,$C$241)+COUNTIF(m2_v3KFA,$C$242)+COUNTIF(m2_v3KFA,$C$243)</f>
        <v>0</v>
      </c>
      <c r="Q257" s="876">
        <f>COUNTIF(m2_v4KFA,$C$241)+COUNTIF(m2_v4KFA,$C$242)+COUNTIF(m2_v4KFA,$C$243)</f>
        <v>0</v>
      </c>
      <c r="R257" s="850" t="s">
        <v>3033</v>
      </c>
    </row>
    <row r="258" spans="1:18" ht="32.1" customHeight="1">
      <c r="A258" s="1200"/>
      <c r="B258" s="1185"/>
      <c r="C258" s="284"/>
      <c r="D258" s="259" t="s">
        <v>3031</v>
      </c>
      <c r="E258" s="140" t="s">
        <v>3034</v>
      </c>
      <c r="F258" s="259" t="s">
        <v>3029</v>
      </c>
      <c r="G258" s="230">
        <f t="shared" si="127"/>
        <v>28</v>
      </c>
      <c r="H258" s="235">
        <f>COUNTIF(m2_v1,$C$245)+COUNTIF(m2_v1,$C$246)+COUNTIF(m2_v1,$C$248)</f>
        <v>7</v>
      </c>
      <c r="I258" s="823">
        <f>COUNTIF(m2_v2,$C$245)+COUNTIF(m2_v2,$C$246)+COUNTIF(m2_v2,$C$248)</f>
        <v>19</v>
      </c>
      <c r="J258" s="235">
        <f>COUNTIF(m2_v3ZIC,$C$245)+COUNTIF(m2_v3ZIC,$C$246)+COUNTIF(m2_v3ZIC,$C$248)</f>
        <v>0</v>
      </c>
      <c r="K258" s="237">
        <f>COUNTIF(m2_v4ZIC,$C$245)+COUNTIF(m2_v4ZIC,$C$246)+COUNTIF(m2_v4ZIC,$C$248)</f>
        <v>0</v>
      </c>
      <c r="L258" s="235">
        <f>COUNTIF(m2_v3BIN,$C$245)+COUNTIF(m2_v3BIN,$C$246)+COUNTIF(m2_v3BIN,$C$248)</f>
        <v>1</v>
      </c>
      <c r="M258" s="236">
        <f>COUNTIF(m2_v4BIN,$C$245)+COUNTIF(m2_v4BIN,$C$246)+COUNTIF(m2_v4BIN,$C$248)</f>
        <v>0</v>
      </c>
      <c r="N258" s="237">
        <f>COUNTIF(m2_v5BIN,$C$245)+COUNTIF(m2_v5BIN,$C$246)+COUNTIF(m2_v5BIN,$C$248)</f>
        <v>0</v>
      </c>
      <c r="O258" s="235">
        <f>COUNTIF(m2_V3HAD,$C$245)+COUNTIF(m2_V3HAD,$C$246)+COUNTIF(m2_V3HAD,$C$248)</f>
        <v>1</v>
      </c>
      <c r="P258" s="236">
        <f>COUNTIF(m2_v3KFA,$C$245)+COUNTIF(m2_v3KFA,$C$246)+COUNTIF(m2_v3KFA,$C$248)</f>
        <v>0</v>
      </c>
      <c r="Q258" s="874">
        <f>COUNTIF(m2_v4KFA,$C$245)+COUNTIF(m2_v4KFA,$C$246)+COUNTIF(m2_v4KFA,$C$248)</f>
        <v>0</v>
      </c>
      <c r="R258" s="847" t="s">
        <v>3035</v>
      </c>
    </row>
    <row r="259" spans="1:18" ht="32.1" customHeight="1">
      <c r="A259" s="1125" t="s">
        <v>3036</v>
      </c>
      <c r="B259" s="160"/>
      <c r="C259" s="150" t="s">
        <v>3037</v>
      </c>
      <c r="D259" s="261" t="s">
        <v>3038</v>
      </c>
      <c r="E259" s="150" t="s">
        <v>3039</v>
      </c>
      <c r="F259" s="261" t="s">
        <v>1411</v>
      </c>
      <c r="G259" s="238">
        <f t="shared" si="127"/>
        <v>542</v>
      </c>
      <c r="H259" s="239">
        <f>COUNTIF(Area_v1,$C259)</f>
        <v>250</v>
      </c>
      <c r="I259" s="824">
        <f>COUNTIF(Area_v2,$C259)</f>
        <v>245</v>
      </c>
      <c r="J259" s="239">
        <f>COUNTIF(Area_v3ZIC,$C259)</f>
        <v>3</v>
      </c>
      <c r="K259" s="241">
        <f>COUNTIF(Area_v4ZIC,$C259)</f>
        <v>1</v>
      </c>
      <c r="L259" s="239">
        <f>COUNTIF(Area_v3BIN,$C259)</f>
        <v>8</v>
      </c>
      <c r="M259" s="240">
        <f>COUNTIF(Area_v4BIN,$C259)</f>
        <v>7</v>
      </c>
      <c r="N259" s="241">
        <f>COUNTIF(Area_v5BIN,$C259)</f>
        <v>2</v>
      </c>
      <c r="O259" s="239">
        <f>COUNTIF(Area_v3HAD,$C259)</f>
        <v>15</v>
      </c>
      <c r="P259" s="240">
        <f>COUNTIF(Area_v3KFA,$C259)</f>
        <v>2</v>
      </c>
      <c r="Q259" s="875">
        <f>COUNTIF(Area_v4KFA,$C259)</f>
        <v>9</v>
      </c>
      <c r="R259" s="849" t="s">
        <v>3040</v>
      </c>
    </row>
    <row r="260" spans="1:18" ht="32.1" customHeight="1">
      <c r="A260" s="1126"/>
      <c r="B260" s="160"/>
      <c r="C260" s="150" t="s">
        <v>3041</v>
      </c>
      <c r="D260" s="261" t="s">
        <v>3042</v>
      </c>
      <c r="E260" s="150" t="s">
        <v>3043</v>
      </c>
      <c r="F260" s="261" t="s">
        <v>1411</v>
      </c>
      <c r="G260" s="238">
        <f t="shared" si="127"/>
        <v>525</v>
      </c>
      <c r="H260" s="239">
        <f>COUNTIF(Area_v1,$C260)</f>
        <v>227</v>
      </c>
      <c r="I260" s="824">
        <f>COUNTIF(Area_v2,$C260)</f>
        <v>233</v>
      </c>
      <c r="J260" s="239">
        <f>COUNTIF(Area_v3ZIC,$C260)</f>
        <v>14</v>
      </c>
      <c r="K260" s="241">
        <f>COUNTIF(Area_v4ZIC,$C260)</f>
        <v>8</v>
      </c>
      <c r="L260" s="239">
        <f>COUNTIF(Area_v3BIN,$C260)</f>
        <v>6</v>
      </c>
      <c r="M260" s="240">
        <f>COUNTIF(Area_v4BIN,$C260)</f>
        <v>0</v>
      </c>
      <c r="N260" s="241">
        <f>COUNTIF(Area_v5BIN,$C260)</f>
        <v>2</v>
      </c>
      <c r="O260" s="239">
        <f>COUNTIF(Area_v3HAD,$C260)</f>
        <v>8</v>
      </c>
      <c r="P260" s="240">
        <f>COUNTIF(Area_v3KFA,$C260)</f>
        <v>15</v>
      </c>
      <c r="Q260" s="875">
        <f>COUNTIF(Area_v4KFA,$C260)</f>
        <v>12</v>
      </c>
      <c r="R260" s="849" t="s">
        <v>3044</v>
      </c>
    </row>
    <row r="261" spans="1:18" ht="32.1" customHeight="1">
      <c r="A261" s="1126"/>
      <c r="B261" s="160"/>
      <c r="C261" s="138" t="s">
        <v>3045</v>
      </c>
      <c r="D261" s="257" t="s">
        <v>3046</v>
      </c>
      <c r="E261" s="138" t="s">
        <v>3047</v>
      </c>
      <c r="F261" s="257" t="s">
        <v>1411</v>
      </c>
      <c r="G261" s="225">
        <f t="shared" si="127"/>
        <v>235</v>
      </c>
      <c r="H261" s="242">
        <f>COUNTIF(Area_v1,$C261)</f>
        <v>92</v>
      </c>
      <c r="I261" s="825">
        <f>COUNTIF(Area_v2,$C261)</f>
        <v>89</v>
      </c>
      <c r="J261" s="242">
        <f>COUNTIF(Area_v3ZIC,$C261)</f>
        <v>13</v>
      </c>
      <c r="K261" s="244">
        <f>COUNTIF(Area_v4ZIC,$C261)</f>
        <v>8</v>
      </c>
      <c r="L261" s="242">
        <f>COUNTIF(Area_v3BIN,$C261)</f>
        <v>5</v>
      </c>
      <c r="M261" s="243">
        <f>COUNTIF(Area_v4BIN,$C261)</f>
        <v>4</v>
      </c>
      <c r="N261" s="244">
        <f>COUNTIF(Area_v5BIN,$C261)</f>
        <v>8</v>
      </c>
      <c r="O261" s="242">
        <f>COUNTIF(Area_v3HAD,$C261)</f>
        <v>4</v>
      </c>
      <c r="P261" s="243">
        <f>COUNTIF(Area_v3KFA,$C261)</f>
        <v>7</v>
      </c>
      <c r="Q261" s="876">
        <f>COUNTIF(Area_v4KFA,$C261)</f>
        <v>5</v>
      </c>
      <c r="R261" s="845" t="s">
        <v>3048</v>
      </c>
    </row>
    <row r="262" spans="1:18" ht="32.1" customHeight="1">
      <c r="A262" s="1126"/>
      <c r="B262" s="1147" t="s">
        <v>2679</v>
      </c>
      <c r="C262" s="29" t="s">
        <v>3049</v>
      </c>
      <c r="D262" s="251" t="s">
        <v>3050</v>
      </c>
      <c r="E262" s="29" t="s">
        <v>3051</v>
      </c>
      <c r="F262" s="251" t="s">
        <v>1411</v>
      </c>
      <c r="G262" s="191">
        <f t="shared" si="127"/>
        <v>0</v>
      </c>
      <c r="H262" s="192"/>
      <c r="I262" s="812"/>
      <c r="J262" s="192"/>
      <c r="K262" s="194"/>
      <c r="L262" s="192"/>
      <c r="M262" s="193"/>
      <c r="N262" s="194"/>
      <c r="O262" s="192"/>
      <c r="P262" s="193"/>
      <c r="Q262" s="862"/>
      <c r="R262" s="836" t="s">
        <v>3052</v>
      </c>
    </row>
    <row r="263" spans="1:18" ht="32.1" customHeight="1">
      <c r="A263" s="1126"/>
      <c r="B263" s="1147"/>
      <c r="C263" s="29" t="s">
        <v>3053</v>
      </c>
      <c r="D263" s="251" t="s">
        <v>3054</v>
      </c>
      <c r="E263" s="29" t="s">
        <v>3055</v>
      </c>
      <c r="F263" s="251" t="s">
        <v>1411</v>
      </c>
      <c r="G263" s="191">
        <f t="shared" si="127"/>
        <v>49</v>
      </c>
      <c r="H263" s="192">
        <f>COUNTIF(Area_v1,"*CS*")+COUNTIF(Area_v1,"*TgS*")</f>
        <v>13</v>
      </c>
      <c r="I263" s="812">
        <f>COUNTIF(Area_v2,"*CS*")+COUNTIF(Area_v2,"*TgS*")</f>
        <v>19</v>
      </c>
      <c r="J263" s="192">
        <f>COUNTIF(Area_v3ZIC,"*CS*")+COUNTIF(Area_v3ZIC,"*TgS*")</f>
        <v>4</v>
      </c>
      <c r="K263" s="194">
        <f>COUNTIF(Area_v4ZIC,"*CS*")+COUNTIF(Area_v4ZIC,"*TgS*")</f>
        <v>1</v>
      </c>
      <c r="L263" s="192">
        <f>COUNTIF(Area_v3BIN,"*CS*")+COUNTIF(Area_v3BIN,"*TgS*")</f>
        <v>4</v>
      </c>
      <c r="M263" s="193">
        <f>COUNTIF(Area_v4BIN,"*CS*")+COUNTIF(Area_v4BIN,"*TgS*")</f>
        <v>2</v>
      </c>
      <c r="N263" s="194">
        <f>COUNTIF(Area_v5BIN,"*CS*")+COUNTIF(Area_v5BIN,"*TgS*")</f>
        <v>0</v>
      </c>
      <c r="O263" s="192">
        <f>COUNTIF(Area_v3HAD,"*CS*")+COUNTIF(Area_v3HAD,"*TgS*")</f>
        <v>3</v>
      </c>
      <c r="P263" s="193">
        <f>COUNTIF(Area_v3KFA,"*CS*")+COUNTIF(Area_v3KFA,"*TgS*")</f>
        <v>2</v>
      </c>
      <c r="Q263" s="862">
        <f>COUNTIF(Area_v4KFA,"*CS*")+COUNTIF(Area_v4KFA,"*TgS*")</f>
        <v>1</v>
      </c>
      <c r="R263" s="836" t="s">
        <v>3056</v>
      </c>
    </row>
    <row r="264" spans="1:18" ht="32.1" customHeight="1">
      <c r="A264" s="1184"/>
      <c r="B264" s="1201"/>
      <c r="C264" s="27" t="s">
        <v>3057</v>
      </c>
      <c r="D264" s="155" t="s">
        <v>3058</v>
      </c>
      <c r="E264" s="27" t="s">
        <v>3059</v>
      </c>
      <c r="F264" s="155" t="s">
        <v>1411</v>
      </c>
      <c r="G264" s="199">
        <f t="shared" si="127"/>
        <v>49</v>
      </c>
      <c r="H264" s="200">
        <f>COUNTIF(Area_v1,"*CS*")+COUNTIF(Area_v1,"*TgS*")</f>
        <v>13</v>
      </c>
      <c r="I264" s="814">
        <f>COUNTIF(Area_v2,"*CS*")+COUNTIF(Area_v2,"*TgS*")</f>
        <v>19</v>
      </c>
      <c r="J264" s="200">
        <f>COUNTIF(Area_v3ZIC,"*CS*")+COUNTIF(Area_v3ZIC,"*TgS*")</f>
        <v>4</v>
      </c>
      <c r="K264" s="202">
        <f>COUNTIF(Area_v4ZIC,"*CS*")+COUNTIF(Area_v4ZIC,"*TgS*")</f>
        <v>1</v>
      </c>
      <c r="L264" s="200">
        <f>COUNTIF(Area_v3BIN,"*CS*")+COUNTIF(Area_v3BIN,"*TgS*")</f>
        <v>4</v>
      </c>
      <c r="M264" s="201">
        <f>COUNTIF(Area_v4BIN,"*CS*")+COUNTIF(Area_v4BIN,"*TgS*")</f>
        <v>2</v>
      </c>
      <c r="N264" s="202">
        <f>COUNTIF(Area_v5BIN,"*CS*")+COUNTIF(Area_v5BIN,"*TgS*")</f>
        <v>0</v>
      </c>
      <c r="O264" s="200">
        <f>COUNTIF(Area_v3HAD,"*CS*")+COUNTIF(Area_v3HAD,"*TgS*")</f>
        <v>3</v>
      </c>
      <c r="P264" s="201">
        <f>COUNTIF(Area_v3KFA,"*CS*")+COUNTIF(Area_v3KFA,"*TgS*")</f>
        <v>2</v>
      </c>
      <c r="Q264" s="864">
        <f>COUNTIF(Area_v4KFA,"*CS*")+COUNTIF(Area_v4KFA,"*TgS*")</f>
        <v>1</v>
      </c>
      <c r="R264" s="838" t="s">
        <v>3060</v>
      </c>
    </row>
    <row r="265" spans="1:18" ht="32.1" customHeight="1">
      <c r="A265" s="1125" t="s">
        <v>2025</v>
      </c>
      <c r="B265" s="264"/>
      <c r="C265" s="150"/>
      <c r="D265" s="261" t="s">
        <v>3061</v>
      </c>
      <c r="E265" s="150" t="s">
        <v>3062</v>
      </c>
      <c r="F265" s="261" t="s">
        <v>3063</v>
      </c>
      <c r="G265" s="238">
        <f t="shared" si="127"/>
        <v>673</v>
      </c>
      <c r="H265" s="239">
        <f t="shared" ref="H265:N265" si="132">SUM(H266:H270)</f>
        <v>299</v>
      </c>
      <c r="I265" s="824">
        <f t="shared" si="132"/>
        <v>263</v>
      </c>
      <c r="J265" s="239">
        <f t="shared" si="132"/>
        <v>14</v>
      </c>
      <c r="K265" s="241">
        <f t="shared" si="132"/>
        <v>9</v>
      </c>
      <c r="L265" s="239">
        <f t="shared" ref="L265" si="133">SUM(L266:L270)</f>
        <v>20</v>
      </c>
      <c r="M265" s="240">
        <f t="shared" si="132"/>
        <v>7</v>
      </c>
      <c r="N265" s="241">
        <f t="shared" si="132"/>
        <v>5</v>
      </c>
      <c r="O265" s="239">
        <f t="shared" ref="O265:P265" si="134">SUM(O266:O270)</f>
        <v>21</v>
      </c>
      <c r="P265" s="240">
        <f t="shared" si="134"/>
        <v>18</v>
      </c>
      <c r="Q265" s="875">
        <f t="shared" ref="Q265" si="135">SUM(Q266:Q270)</f>
        <v>17</v>
      </c>
      <c r="R265" s="849" t="s">
        <v>3064</v>
      </c>
    </row>
    <row r="266" spans="1:18" ht="32.1" customHeight="1">
      <c r="A266" s="1126"/>
      <c r="B266" s="163" t="s">
        <v>3065</v>
      </c>
      <c r="C266" s="138" t="s">
        <v>3066</v>
      </c>
      <c r="D266" s="257" t="s">
        <v>3067</v>
      </c>
      <c r="E266" s="138" t="s">
        <v>3068</v>
      </c>
      <c r="F266" s="257" t="s">
        <v>3063</v>
      </c>
      <c r="G266" s="225">
        <f t="shared" si="127"/>
        <v>220</v>
      </c>
      <c r="H266" s="242">
        <f>COUNTIF(Area_v1,"CP+AnMC")+COUNTIF(Area_v1,"FP+AnMC")+COUNTIF(Area_v1,"CP/TX-P**")</f>
        <v>101</v>
      </c>
      <c r="I266" s="825">
        <f>COUNTIF(Area_v2,"CP+AnMC")+COUNTIF(Area_v2,"FP+AnMC")+COUNTIF(Area_v2,"CP/TX-P**")</f>
        <v>86</v>
      </c>
      <c r="J266" s="242">
        <f>COUNTIF(Area_v3ZIC,"CP+AnMC")+COUNTIF(Area_v3ZIC,"FP+AnMC")+COUNTIF(Area_v3ZIC,"CP/TX-P**")</f>
        <v>7</v>
      </c>
      <c r="K266" s="244">
        <f>COUNTIF(Area_v4ZIC,"CP+AnMC")+COUNTIF(Area_v4ZIC,"FP+AnMC")+COUNTIF(Area_v4ZIC,"CP/TX-P**")</f>
        <v>2</v>
      </c>
      <c r="L266" s="242">
        <f>COUNTIF(Area_v3BIN,"CP+AnMC")+COUNTIF(Area_v3BIN,"FP+AnMC")+COUNTIF(Area_v3BIN,"CP/TX-P**")</f>
        <v>9</v>
      </c>
      <c r="M266" s="243">
        <f>COUNTIF(Area_v4BIN,"CP+AnMC")+COUNTIF(Area_v4BIN,"FP+AnMC")+COUNTIF(Area_v4BIN,"CP/TX-P**")</f>
        <v>2</v>
      </c>
      <c r="N266" s="244">
        <f>COUNTIF(Area_v5BIN,"CP+AnMC")+COUNTIF(Area_v5BIN,"FP+AnMC")+COUNTIF(Area_v5BIN,"CP/TX-P**")</f>
        <v>0</v>
      </c>
      <c r="O266" s="242">
        <f>COUNTIF(Area_v3HAD,"CP+AnMC")+COUNTIF(Area_v3HAD,"FP+AnMC")+COUNTIF(Area_v3HAD,"CP/TX-P**")</f>
        <v>5</v>
      </c>
      <c r="P266" s="243">
        <f>COUNTIF(Area_v3KFA,"CP+AnMC")+COUNTIF(Area_v3KFA,"FP+AnMC")+COUNTIF(Area_v3KFA,"CP/TX-P**")</f>
        <v>3</v>
      </c>
      <c r="Q266" s="876">
        <f>COUNTIF(Area_v4KFA,"CP+AnMC")+COUNTIF(Area_v4KFA,"FP+AnMC")+COUNTIF(Area_v4KFA,"CP/TX-P**")</f>
        <v>5</v>
      </c>
      <c r="R266" s="845" t="s">
        <v>3069</v>
      </c>
    </row>
    <row r="267" spans="1:18" ht="32.1" customHeight="1">
      <c r="A267" s="1126"/>
      <c r="B267" s="163" t="s">
        <v>3070</v>
      </c>
      <c r="C267" s="138" t="s">
        <v>3071</v>
      </c>
      <c r="D267" s="257" t="s">
        <v>3072</v>
      </c>
      <c r="E267" s="138" t="s">
        <v>3073</v>
      </c>
      <c r="F267" s="257" t="s">
        <v>3063</v>
      </c>
      <c r="G267" s="225">
        <f t="shared" si="127"/>
        <v>94</v>
      </c>
      <c r="H267" s="242">
        <f>COUNTIF(Area_v1,"AnRW")+COUNTIF(Area_v1,"AnRW2")</f>
        <v>32</v>
      </c>
      <c r="I267" s="825">
        <f>COUNTIF(Area_v2,"AnRW")+COUNTIF(Area_v2,"AnRW2")</f>
        <v>33</v>
      </c>
      <c r="J267" s="242">
        <f>COUNTIF(Area_v3ZIC,"AnRW")+COUNTIF(Area_v3ZIC,"AnRW2")</f>
        <v>0</v>
      </c>
      <c r="K267" s="244">
        <f>COUNTIF(Area_v4ZIC,"AnRW")+COUNTIF(Area_v4ZIC,"AnRW2")</f>
        <v>2</v>
      </c>
      <c r="L267" s="242">
        <f>COUNTIF(Area_v3BIN,"AnRW")+COUNTIF(Area_v3BIN,"AnRW2")</f>
        <v>1</v>
      </c>
      <c r="M267" s="243">
        <f>COUNTIF(Area_v4BIN,"AnRW")+COUNTIF(Area_v4BIN,"AnRW2")</f>
        <v>1</v>
      </c>
      <c r="N267" s="244">
        <f>COUNTIF(Area_v5BIN,"AnRW")+COUNTIF(Area_v5BIN,"AnRW2")</f>
        <v>5</v>
      </c>
      <c r="O267" s="242">
        <f>COUNTIF(Area_v3HAD,"AnRW")+COUNTIF(Area_v3HAD,"AnRW2")</f>
        <v>8</v>
      </c>
      <c r="P267" s="243">
        <f>COUNTIF(Area_v3KFA,"AnRW")+COUNTIF(Area_v3KFA,"AnRW2")</f>
        <v>9</v>
      </c>
      <c r="Q267" s="876">
        <f>COUNTIF(Area_v4KFA,"AnRW")+COUNTIF(Area_v4KFA,"AnRW2")</f>
        <v>3</v>
      </c>
      <c r="R267" s="845" t="s">
        <v>3074</v>
      </c>
    </row>
    <row r="268" spans="1:18" ht="32.1" customHeight="1">
      <c r="A268" s="1126"/>
      <c r="B268" s="165"/>
      <c r="C268" s="138" t="s">
        <v>3075</v>
      </c>
      <c r="D268" s="257" t="s">
        <v>3076</v>
      </c>
      <c r="E268" s="138" t="s">
        <v>3077</v>
      </c>
      <c r="F268" s="257" t="s">
        <v>3063</v>
      </c>
      <c r="G268" s="225">
        <f t="shared" si="127"/>
        <v>353</v>
      </c>
      <c r="H268" s="242">
        <f>COUNTIF(Area_v1,"CP+AnMC")+COUNTIF(Area_v1,"FP+AnMC")+COUNTIF(Area_v1,"AnMP")+COUNTIF(Area_v1,"CP/TX-P*")</f>
        <v>162</v>
      </c>
      <c r="I268" s="825">
        <f>COUNTIF(Area_v2,"CP+AnMC")+COUNTIF(Area_v2,"FP+AnMC")+COUNTIF(Area_v2,"AnMP")+COUNTIF(Area_v2,"CP/TX-P*")</f>
        <v>142</v>
      </c>
      <c r="J268" s="242">
        <f>COUNTIF(Area_v3ZIC,"CP+AnMC")+COUNTIF(Area_v3ZIC,"FP+AnMC")+COUNTIF(Area_v3ZIC,"*AnMP*")+COUNTIF(Area_v3ZIC,"CP/TX-P*")</f>
        <v>7</v>
      </c>
      <c r="K268" s="244">
        <f>COUNTIF(Area_v4ZIC,"CP+AnMC")+COUNTIF(Area_v4ZIC,"FP+AnMC")+COUNTIF(Area_v4ZIC,"*AnMP*")+COUNTIF(Area_v4ZIC,"CP/TX-P*")</f>
        <v>5</v>
      </c>
      <c r="L268" s="242">
        <f>COUNTIF(Area_v3BIN,"CP+AnMC")+COUNTIF(Area_v3BIN,"FP+AnMC")+COUNTIF(Area_v3BIN,"*AnMP*")+COUNTIF(Area_v3BIN,"CP/TX-P*")</f>
        <v>10</v>
      </c>
      <c r="M268" s="243">
        <f>COUNTIF(Area_v4BIN,"CP+AnMC")+COUNTIF(Area_v4BIN,"FP+AnMC")+COUNTIF(Area_v4BIN,"*AnMP*")+COUNTIF(Area_v4BIN,"CP/TX-P*")</f>
        <v>4</v>
      </c>
      <c r="N268" s="244">
        <f>COUNTIF(Area_v5BIN,"CP+AnMC")+COUNTIF(Area_v5BIN,"FP+AnMC")+COUNTIF(Area_v5BIN,"*AnMP*")+COUNTIF(Area_v5BIN,"CP/TX-P*")</f>
        <v>0</v>
      </c>
      <c r="O268" s="242">
        <f>COUNTIF(Area_v3HAD,"CP+AnMC")+COUNTIF(Area_v3HAD,"FP+AnMC")+COUNTIF(Area_v3HAD,"*AnMP*")+COUNTIF(Area_v3HAD,"CP/TX-P*")</f>
        <v>8</v>
      </c>
      <c r="P268" s="243">
        <f>COUNTIF(Area_v3KFA,"CP+AnMC")+COUNTIF(Area_v3KFA,"FP+AnMC")+COUNTIF(Area_v3KFA,"*AnMP*")+COUNTIF(Area_v3KFA,"CP/TX-P*")</f>
        <v>6</v>
      </c>
      <c r="Q268" s="876">
        <f>COUNTIF(Area_v4KFA,"CP+AnMC")+COUNTIF(Area_v4KFA,"FP+AnMC")+COUNTIF(Area_v4KFA,"*AnMP*")+COUNTIF(Area_v4KFA,"CP/TX-P*")</f>
        <v>9</v>
      </c>
      <c r="R268" s="845" t="s">
        <v>3078</v>
      </c>
    </row>
    <row r="269" spans="1:18" ht="32.1" customHeight="1">
      <c r="A269" s="1126"/>
      <c r="B269" s="163" t="s">
        <v>3070</v>
      </c>
      <c r="C269" s="138" t="s">
        <v>139</v>
      </c>
      <c r="D269" s="257" t="s">
        <v>3079</v>
      </c>
      <c r="E269" s="138" t="s">
        <v>3080</v>
      </c>
      <c r="F269" s="257" t="s">
        <v>3063</v>
      </c>
      <c r="G269" s="225">
        <f t="shared" si="127"/>
        <v>6</v>
      </c>
      <c r="H269" s="242">
        <f>COUNTIF(Area_v1,$C269)</f>
        <v>4</v>
      </c>
      <c r="I269" s="825">
        <f>COUNTIF(Area_v2,$C269)</f>
        <v>2</v>
      </c>
      <c r="J269" s="242">
        <f>COUNTIF(Area_v3ZIC,$C269)</f>
        <v>0</v>
      </c>
      <c r="K269" s="244">
        <f>COUNTIF(Area_v4ZIC,$C269)</f>
        <v>0</v>
      </c>
      <c r="L269" s="242">
        <f>COUNTIF(Area_v3BIN,$C269)</f>
        <v>0</v>
      </c>
      <c r="M269" s="243">
        <f>COUNTIF(Area_v4BIN,$C269)</f>
        <v>0</v>
      </c>
      <c r="N269" s="244">
        <f>COUNTIF(Area_v5BIN,$C269)</f>
        <v>0</v>
      </c>
      <c r="O269" s="242">
        <f>COUNTIF(Area_v3HAD,$C269)</f>
        <v>0</v>
      </c>
      <c r="P269" s="243">
        <f>COUNTIF(Area_v3KFA,$C269)</f>
        <v>0</v>
      </c>
      <c r="Q269" s="876">
        <f>COUNTIF(Area_v4KFA,$C269)</f>
        <v>0</v>
      </c>
      <c r="R269" s="845" t="s">
        <v>3081</v>
      </c>
    </row>
    <row r="270" spans="1:18" ht="32.1" customHeight="1">
      <c r="A270" s="1184"/>
      <c r="B270" s="265" t="s">
        <v>2679</v>
      </c>
      <c r="C270" s="27"/>
      <c r="D270" s="155" t="s">
        <v>3082</v>
      </c>
      <c r="E270" s="27" t="s">
        <v>3083</v>
      </c>
      <c r="F270" s="155" t="s">
        <v>3063</v>
      </c>
      <c r="G270" s="199">
        <f t="shared" si="127"/>
        <v>0</v>
      </c>
      <c r="H270" s="200"/>
      <c r="I270" s="814"/>
      <c r="J270" s="200"/>
      <c r="K270" s="202"/>
      <c r="L270" s="200"/>
      <c r="M270" s="201"/>
      <c r="N270" s="202"/>
      <c r="O270" s="200"/>
      <c r="P270" s="201"/>
      <c r="Q270" s="864"/>
      <c r="R270" s="838" t="s">
        <v>3084</v>
      </c>
    </row>
    <row r="271" spans="1:18" ht="32.1" customHeight="1">
      <c r="A271" s="914"/>
      <c r="B271" s="920"/>
      <c r="C271" s="921"/>
      <c r="D271" s="922"/>
      <c r="E271" s="921"/>
      <c r="F271" s="922"/>
      <c r="G271" s="923"/>
      <c r="H271" s="924">
        <f t="shared" ref="H271:Q271" si="136">SUM(H266,H268,H269)</f>
        <v>267</v>
      </c>
      <c r="I271" s="924">
        <f t="shared" si="136"/>
        <v>230</v>
      </c>
      <c r="J271" s="924">
        <f t="shared" si="136"/>
        <v>14</v>
      </c>
      <c r="K271" s="924">
        <f t="shared" si="136"/>
        <v>7</v>
      </c>
      <c r="L271" s="924">
        <f t="shared" si="136"/>
        <v>19</v>
      </c>
      <c r="M271" s="924">
        <f t="shared" si="136"/>
        <v>6</v>
      </c>
      <c r="N271" s="924">
        <f t="shared" si="136"/>
        <v>0</v>
      </c>
      <c r="O271" s="924">
        <f t="shared" si="136"/>
        <v>13</v>
      </c>
      <c r="P271" s="924">
        <f t="shared" si="136"/>
        <v>9</v>
      </c>
      <c r="Q271" s="924">
        <f t="shared" si="136"/>
        <v>14</v>
      </c>
      <c r="R271" s="925"/>
    </row>
    <row r="272" spans="1:18" ht="32.1" customHeight="1">
      <c r="A272" s="1125" t="s">
        <v>3085</v>
      </c>
      <c r="B272" s="159"/>
      <c r="C272" s="141" t="s">
        <v>3086</v>
      </c>
      <c r="D272" s="260" t="s">
        <v>3087</v>
      </c>
      <c r="E272" s="141" t="s">
        <v>3088</v>
      </c>
      <c r="F272" s="260" t="s">
        <v>3089</v>
      </c>
      <c r="G272" s="231">
        <f t="shared" si="127"/>
        <v>182</v>
      </c>
      <c r="H272" s="232">
        <f t="shared" ref="H272:H283" si="137">COUNTIF(Area_v1,$C272)</f>
        <v>86</v>
      </c>
      <c r="I272" s="822">
        <f t="shared" ref="I272:I277" si="138">COUNTIF(Area_v2,$C272)</f>
        <v>76</v>
      </c>
      <c r="J272" s="232">
        <f t="shared" ref="J272:J283" si="139">COUNTIF(Area_v3ZIC,$C272)</f>
        <v>5</v>
      </c>
      <c r="K272" s="234">
        <f t="shared" ref="K272:K283" si="140">COUNTIF(Area_v4ZIC,$C272)</f>
        <v>1</v>
      </c>
      <c r="L272" s="232">
        <f t="shared" ref="L272:L285" si="141">COUNTIF(Area_v3BIN,$C272)</f>
        <v>7</v>
      </c>
      <c r="M272" s="233">
        <f t="shared" ref="M272:M283" si="142">COUNTIF(Area_v4BIN,$C272)</f>
        <v>0</v>
      </c>
      <c r="N272" s="234">
        <f t="shared" ref="N272:N283" si="143">COUNTIF(Area_v5BIN,$C272)</f>
        <v>0</v>
      </c>
      <c r="O272" s="232">
        <f t="shared" ref="O272:O285" si="144">COUNTIF(Area_v3HAD,$C272)</f>
        <v>1</v>
      </c>
      <c r="P272" s="233">
        <f t="shared" ref="P272:P285" si="145">COUNTIF(Area_v3KFA,$C272)</f>
        <v>2</v>
      </c>
      <c r="Q272" s="873">
        <f t="shared" ref="Q272:Q285" si="146">COUNTIF(Area_v4KFA,$C272)</f>
        <v>4</v>
      </c>
      <c r="R272" s="848" t="s">
        <v>3090</v>
      </c>
    </row>
    <row r="273" spans="1:18" ht="32.1" customHeight="1">
      <c r="A273" s="1126"/>
      <c r="B273" s="160"/>
      <c r="C273" s="138" t="s">
        <v>3091</v>
      </c>
      <c r="D273" s="257" t="s">
        <v>3092</v>
      </c>
      <c r="E273" s="138" t="s">
        <v>3093</v>
      </c>
      <c r="F273" s="257" t="s">
        <v>3094</v>
      </c>
      <c r="G273" s="225">
        <f t="shared" si="127"/>
        <v>37</v>
      </c>
      <c r="H273" s="242">
        <f t="shared" si="137"/>
        <v>16</v>
      </c>
      <c r="I273" s="825">
        <f t="shared" si="138"/>
        <v>10</v>
      </c>
      <c r="J273" s="242">
        <f t="shared" si="139"/>
        <v>2</v>
      </c>
      <c r="K273" s="244">
        <f t="shared" si="140"/>
        <v>1</v>
      </c>
      <c r="L273" s="242">
        <f t="shared" si="141"/>
        <v>2</v>
      </c>
      <c r="M273" s="243">
        <f t="shared" si="142"/>
        <v>2</v>
      </c>
      <c r="N273" s="244">
        <f t="shared" si="143"/>
        <v>0</v>
      </c>
      <c r="O273" s="242">
        <f t="shared" si="144"/>
        <v>2</v>
      </c>
      <c r="P273" s="243">
        <f t="shared" si="145"/>
        <v>1</v>
      </c>
      <c r="Q273" s="876">
        <f t="shared" si="146"/>
        <v>1</v>
      </c>
      <c r="R273" s="845" t="s">
        <v>3095</v>
      </c>
    </row>
    <row r="274" spans="1:18" ht="32.1" customHeight="1">
      <c r="A274" s="1126"/>
      <c r="B274" s="160"/>
      <c r="C274" s="138" t="s">
        <v>171</v>
      </c>
      <c r="D274" s="257" t="s">
        <v>3096</v>
      </c>
      <c r="E274" s="138" t="s">
        <v>3097</v>
      </c>
      <c r="F274" s="257" t="s">
        <v>3098</v>
      </c>
      <c r="G274" s="225">
        <f t="shared" si="127"/>
        <v>71</v>
      </c>
      <c r="H274" s="242">
        <f t="shared" si="137"/>
        <v>32</v>
      </c>
      <c r="I274" s="825">
        <f t="shared" si="138"/>
        <v>32</v>
      </c>
      <c r="J274" s="242">
        <f>COUNTIF(Area_v3ZIC,$C274)</f>
        <v>1</v>
      </c>
      <c r="K274" s="244">
        <f t="shared" si="140"/>
        <v>1</v>
      </c>
      <c r="L274" s="242">
        <f t="shared" si="141"/>
        <v>1</v>
      </c>
      <c r="M274" s="243">
        <f t="shared" si="142"/>
        <v>1</v>
      </c>
      <c r="N274" s="244">
        <f t="shared" si="143"/>
        <v>0</v>
      </c>
      <c r="O274" s="242">
        <f t="shared" si="144"/>
        <v>1</v>
      </c>
      <c r="P274" s="243">
        <f t="shared" si="145"/>
        <v>1</v>
      </c>
      <c r="Q274" s="876">
        <f t="shared" si="146"/>
        <v>1</v>
      </c>
      <c r="R274" s="845" t="s">
        <v>2111</v>
      </c>
    </row>
    <row r="275" spans="1:18" ht="32.1" customHeight="1">
      <c r="A275" s="1126"/>
      <c r="B275" s="160"/>
      <c r="C275" s="138" t="s">
        <v>2142</v>
      </c>
      <c r="D275" s="257" t="s">
        <v>3099</v>
      </c>
      <c r="E275" s="138" t="s">
        <v>3100</v>
      </c>
      <c r="F275" s="257" t="s">
        <v>3101</v>
      </c>
      <c r="G275" s="225">
        <f t="shared" si="127"/>
        <v>0</v>
      </c>
      <c r="H275" s="242">
        <f t="shared" si="137"/>
        <v>0</v>
      </c>
      <c r="I275" s="825">
        <f t="shared" si="138"/>
        <v>0</v>
      </c>
      <c r="J275" s="242">
        <f t="shared" si="139"/>
        <v>0</v>
      </c>
      <c r="K275" s="244">
        <f t="shared" si="140"/>
        <v>0</v>
      </c>
      <c r="L275" s="242">
        <f t="shared" si="141"/>
        <v>0</v>
      </c>
      <c r="M275" s="243">
        <f t="shared" si="142"/>
        <v>0</v>
      </c>
      <c r="N275" s="244">
        <f t="shared" si="143"/>
        <v>0</v>
      </c>
      <c r="O275" s="242">
        <f t="shared" si="144"/>
        <v>0</v>
      </c>
      <c r="P275" s="243">
        <f t="shared" si="145"/>
        <v>0</v>
      </c>
      <c r="Q275" s="876">
        <f t="shared" si="146"/>
        <v>0</v>
      </c>
      <c r="R275" s="845" t="s">
        <v>3102</v>
      </c>
    </row>
    <row r="276" spans="1:18" ht="32.1" customHeight="1">
      <c r="A276" s="1126"/>
      <c r="B276" s="160"/>
      <c r="C276" s="138" t="s">
        <v>2145</v>
      </c>
      <c r="D276" s="257" t="s">
        <v>3103</v>
      </c>
      <c r="E276" s="138" t="s">
        <v>3104</v>
      </c>
      <c r="F276" s="257" t="s">
        <v>3105</v>
      </c>
      <c r="G276" s="225">
        <f t="shared" si="127"/>
        <v>0</v>
      </c>
      <c r="H276" s="242">
        <f t="shared" si="137"/>
        <v>0</v>
      </c>
      <c r="I276" s="825">
        <f t="shared" si="138"/>
        <v>0</v>
      </c>
      <c r="J276" s="242">
        <f t="shared" si="139"/>
        <v>0</v>
      </c>
      <c r="K276" s="244">
        <f t="shared" si="140"/>
        <v>0</v>
      </c>
      <c r="L276" s="242">
        <f t="shared" si="141"/>
        <v>0</v>
      </c>
      <c r="M276" s="243">
        <f t="shared" si="142"/>
        <v>0</v>
      </c>
      <c r="N276" s="244">
        <f t="shared" si="143"/>
        <v>0</v>
      </c>
      <c r="O276" s="242">
        <f t="shared" si="144"/>
        <v>0</v>
      </c>
      <c r="P276" s="243">
        <f t="shared" si="145"/>
        <v>0</v>
      </c>
      <c r="Q276" s="876">
        <f t="shared" si="146"/>
        <v>0</v>
      </c>
      <c r="R276" s="845" t="s">
        <v>3106</v>
      </c>
    </row>
    <row r="277" spans="1:18" ht="32.1" customHeight="1">
      <c r="A277" s="1126"/>
      <c r="B277" s="160"/>
      <c r="C277" s="138" t="s">
        <v>2115</v>
      </c>
      <c r="D277" s="257" t="s">
        <v>3107</v>
      </c>
      <c r="E277" s="138" t="s">
        <v>3108</v>
      </c>
      <c r="F277" s="257" t="s">
        <v>3109</v>
      </c>
      <c r="G277" s="225">
        <f t="shared" si="127"/>
        <v>0</v>
      </c>
      <c r="H277" s="242">
        <f t="shared" si="137"/>
        <v>0</v>
      </c>
      <c r="I277" s="825">
        <f t="shared" si="138"/>
        <v>0</v>
      </c>
      <c r="J277" s="242">
        <f t="shared" si="139"/>
        <v>0</v>
      </c>
      <c r="K277" s="244">
        <f t="shared" si="140"/>
        <v>0</v>
      </c>
      <c r="L277" s="242">
        <f t="shared" si="141"/>
        <v>0</v>
      </c>
      <c r="M277" s="243">
        <f t="shared" si="142"/>
        <v>0</v>
      </c>
      <c r="N277" s="244">
        <f t="shared" si="143"/>
        <v>0</v>
      </c>
      <c r="O277" s="242">
        <f t="shared" si="144"/>
        <v>0</v>
      </c>
      <c r="P277" s="243">
        <f t="shared" si="145"/>
        <v>0</v>
      </c>
      <c r="Q277" s="876">
        <f t="shared" si="146"/>
        <v>0</v>
      </c>
      <c r="R277" s="845" t="s">
        <v>3110</v>
      </c>
    </row>
    <row r="278" spans="1:18" ht="32.1" customHeight="1">
      <c r="A278" s="1126"/>
      <c r="B278" s="160"/>
      <c r="C278" s="138" t="s">
        <v>2156</v>
      </c>
      <c r="D278" s="257" t="s">
        <v>3111</v>
      </c>
      <c r="E278" s="138" t="s">
        <v>3112</v>
      </c>
      <c r="F278" s="257" t="s">
        <v>3113</v>
      </c>
      <c r="G278" s="225">
        <f t="shared" si="127"/>
        <v>0</v>
      </c>
      <c r="H278" s="242">
        <f t="shared" si="137"/>
        <v>0</v>
      </c>
      <c r="I278" s="825">
        <f t="shared" ref="I278:I283" si="147">COUNTIF(Area_v2,$C278)</f>
        <v>0</v>
      </c>
      <c r="J278" s="242">
        <f t="shared" si="139"/>
        <v>0</v>
      </c>
      <c r="K278" s="244">
        <f t="shared" si="140"/>
        <v>0</v>
      </c>
      <c r="L278" s="242">
        <f t="shared" si="141"/>
        <v>0</v>
      </c>
      <c r="M278" s="243">
        <f t="shared" si="142"/>
        <v>0</v>
      </c>
      <c r="N278" s="244">
        <f t="shared" si="143"/>
        <v>0</v>
      </c>
      <c r="O278" s="242">
        <f t="shared" si="144"/>
        <v>0</v>
      </c>
      <c r="P278" s="243">
        <f t="shared" si="145"/>
        <v>0</v>
      </c>
      <c r="Q278" s="876">
        <f t="shared" si="146"/>
        <v>0</v>
      </c>
      <c r="R278" s="845"/>
    </row>
    <row r="279" spans="1:18" ht="32.1" customHeight="1">
      <c r="A279" s="1126"/>
      <c r="B279" s="160"/>
      <c r="C279" s="138" t="s">
        <v>2159</v>
      </c>
      <c r="D279" s="257" t="s">
        <v>3111</v>
      </c>
      <c r="E279" s="138" t="s">
        <v>3112</v>
      </c>
      <c r="F279" s="257" t="s">
        <v>3113</v>
      </c>
      <c r="G279" s="225">
        <f t="shared" ref="G279:G311" si="148">SUM(H279:Q279)</f>
        <v>0</v>
      </c>
      <c r="H279" s="242">
        <f t="shared" si="137"/>
        <v>0</v>
      </c>
      <c r="I279" s="825">
        <f t="shared" si="147"/>
        <v>0</v>
      </c>
      <c r="J279" s="242">
        <f t="shared" si="139"/>
        <v>0</v>
      </c>
      <c r="K279" s="244">
        <f t="shared" si="140"/>
        <v>0</v>
      </c>
      <c r="L279" s="242">
        <f t="shared" si="141"/>
        <v>0</v>
      </c>
      <c r="M279" s="243">
        <f t="shared" si="142"/>
        <v>0</v>
      </c>
      <c r="N279" s="244">
        <f t="shared" si="143"/>
        <v>0</v>
      </c>
      <c r="O279" s="242">
        <f t="shared" si="144"/>
        <v>0</v>
      </c>
      <c r="P279" s="243">
        <f t="shared" si="145"/>
        <v>0</v>
      </c>
      <c r="Q279" s="876">
        <f t="shared" si="146"/>
        <v>0</v>
      </c>
      <c r="R279" s="845"/>
    </row>
    <row r="280" spans="1:18" ht="32.1" customHeight="1">
      <c r="A280" s="1126"/>
      <c r="B280" s="160"/>
      <c r="C280" s="138" t="s">
        <v>2162</v>
      </c>
      <c r="D280" s="257" t="s">
        <v>3114</v>
      </c>
      <c r="E280" s="138" t="s">
        <v>3115</v>
      </c>
      <c r="F280" s="257" t="s">
        <v>3113</v>
      </c>
      <c r="G280" s="225">
        <f t="shared" si="148"/>
        <v>0</v>
      </c>
      <c r="H280" s="242">
        <f t="shared" si="137"/>
        <v>0</v>
      </c>
      <c r="I280" s="825">
        <f t="shared" si="147"/>
        <v>0</v>
      </c>
      <c r="J280" s="242">
        <f t="shared" si="139"/>
        <v>0</v>
      </c>
      <c r="K280" s="244">
        <f t="shared" si="140"/>
        <v>0</v>
      </c>
      <c r="L280" s="242">
        <f t="shared" si="141"/>
        <v>0</v>
      </c>
      <c r="M280" s="243">
        <f t="shared" si="142"/>
        <v>0</v>
      </c>
      <c r="N280" s="244">
        <f t="shared" si="143"/>
        <v>0</v>
      </c>
      <c r="O280" s="242">
        <f t="shared" si="144"/>
        <v>0</v>
      </c>
      <c r="P280" s="243">
        <f t="shared" si="145"/>
        <v>0</v>
      </c>
      <c r="Q280" s="876">
        <f t="shared" si="146"/>
        <v>0</v>
      </c>
      <c r="R280" s="845"/>
    </row>
    <row r="281" spans="1:18" ht="32.1" customHeight="1">
      <c r="A281" s="1126"/>
      <c r="B281" s="160"/>
      <c r="C281" s="138" t="s">
        <v>2164</v>
      </c>
      <c r="D281" s="257" t="s">
        <v>3114</v>
      </c>
      <c r="E281" s="138" t="s">
        <v>3115</v>
      </c>
      <c r="F281" s="257" t="s">
        <v>3113</v>
      </c>
      <c r="G281" s="225">
        <f t="shared" si="148"/>
        <v>0</v>
      </c>
      <c r="H281" s="242">
        <f t="shared" si="137"/>
        <v>0</v>
      </c>
      <c r="I281" s="825">
        <f t="shared" si="147"/>
        <v>0</v>
      </c>
      <c r="J281" s="242">
        <f t="shared" si="139"/>
        <v>0</v>
      </c>
      <c r="K281" s="244">
        <f t="shared" si="140"/>
        <v>0</v>
      </c>
      <c r="L281" s="242">
        <f t="shared" si="141"/>
        <v>0</v>
      </c>
      <c r="M281" s="243">
        <f t="shared" si="142"/>
        <v>0</v>
      </c>
      <c r="N281" s="244">
        <f t="shared" si="143"/>
        <v>0</v>
      </c>
      <c r="O281" s="242">
        <f t="shared" si="144"/>
        <v>0</v>
      </c>
      <c r="P281" s="243">
        <f t="shared" si="145"/>
        <v>0</v>
      </c>
      <c r="Q281" s="876">
        <f t="shared" si="146"/>
        <v>0</v>
      </c>
      <c r="R281" s="845"/>
    </row>
    <row r="282" spans="1:18" ht="32.1" customHeight="1">
      <c r="A282" s="1126"/>
      <c r="B282" s="160"/>
      <c r="C282" s="138" t="s">
        <v>1729</v>
      </c>
      <c r="D282" s="257" t="s">
        <v>3116</v>
      </c>
      <c r="E282" s="138" t="s">
        <v>3117</v>
      </c>
      <c r="F282" s="257" t="s">
        <v>3113</v>
      </c>
      <c r="G282" s="225">
        <f t="shared" si="148"/>
        <v>2</v>
      </c>
      <c r="H282" s="242">
        <f t="shared" si="137"/>
        <v>0</v>
      </c>
      <c r="I282" s="825">
        <f t="shared" si="147"/>
        <v>0</v>
      </c>
      <c r="J282" s="242">
        <f t="shared" si="139"/>
        <v>0</v>
      </c>
      <c r="K282" s="244">
        <f t="shared" si="140"/>
        <v>0</v>
      </c>
      <c r="L282" s="242">
        <f t="shared" si="141"/>
        <v>0</v>
      </c>
      <c r="M282" s="243">
        <f t="shared" si="142"/>
        <v>0</v>
      </c>
      <c r="N282" s="244">
        <f t="shared" si="143"/>
        <v>0</v>
      </c>
      <c r="O282" s="242">
        <f t="shared" si="144"/>
        <v>2</v>
      </c>
      <c r="P282" s="243">
        <f t="shared" si="145"/>
        <v>0</v>
      </c>
      <c r="Q282" s="876">
        <f t="shared" si="146"/>
        <v>0</v>
      </c>
      <c r="R282" s="845"/>
    </row>
    <row r="283" spans="1:18" ht="32.1" customHeight="1">
      <c r="A283" s="1184"/>
      <c r="B283" s="1185"/>
      <c r="C283" s="140" t="s">
        <v>2152</v>
      </c>
      <c r="D283" s="259" t="s">
        <v>3116</v>
      </c>
      <c r="E283" s="140" t="s">
        <v>3117</v>
      </c>
      <c r="F283" s="259" t="s">
        <v>3113</v>
      </c>
      <c r="G283" s="230">
        <f t="shared" si="148"/>
        <v>0</v>
      </c>
      <c r="H283" s="235">
        <f t="shared" si="137"/>
        <v>0</v>
      </c>
      <c r="I283" s="823">
        <f t="shared" si="147"/>
        <v>0</v>
      </c>
      <c r="J283" s="235">
        <f t="shared" si="139"/>
        <v>0</v>
      </c>
      <c r="K283" s="237">
        <f t="shared" si="140"/>
        <v>0</v>
      </c>
      <c r="L283" s="235">
        <f t="shared" si="141"/>
        <v>0</v>
      </c>
      <c r="M283" s="236">
        <f t="shared" si="142"/>
        <v>0</v>
      </c>
      <c r="N283" s="237">
        <f t="shared" si="143"/>
        <v>0</v>
      </c>
      <c r="O283" s="235">
        <f t="shared" si="144"/>
        <v>0</v>
      </c>
      <c r="P283" s="236">
        <f t="shared" si="145"/>
        <v>0</v>
      </c>
      <c r="Q283" s="874">
        <f t="shared" si="146"/>
        <v>0</v>
      </c>
      <c r="R283" s="847"/>
    </row>
    <row r="284" spans="1:18" ht="32.1" customHeight="1">
      <c r="A284" s="1126" t="s">
        <v>3118</v>
      </c>
      <c r="B284" s="160"/>
      <c r="C284" s="150" t="s">
        <v>239</v>
      </c>
      <c r="D284" s="261" t="s">
        <v>3119</v>
      </c>
      <c r="E284" s="150" t="s">
        <v>3120</v>
      </c>
      <c r="F284" s="261" t="s">
        <v>3121</v>
      </c>
      <c r="G284" s="238">
        <f t="shared" si="148"/>
        <v>26</v>
      </c>
      <c r="H284" s="239">
        <f>COUNTIF(Area_v1,$C284)</f>
        <v>13</v>
      </c>
      <c r="I284" s="824">
        <f>COUNTIF(Area_v2,$C284)</f>
        <v>6</v>
      </c>
      <c r="J284" s="239">
        <f>COUNTIF(Area_v3ZIC,$C284)</f>
        <v>2</v>
      </c>
      <c r="K284" s="241">
        <f>COUNTIF(Area_v4ZIC,$C284)</f>
        <v>1</v>
      </c>
      <c r="L284" s="239">
        <f t="shared" si="141"/>
        <v>2</v>
      </c>
      <c r="M284" s="240">
        <f>COUNTIF(Area_v4BIN,$C284)</f>
        <v>2</v>
      </c>
      <c r="N284" s="241">
        <f>COUNTIF(Area_v5BIN,$C284)</f>
        <v>0</v>
      </c>
      <c r="O284" s="239">
        <f t="shared" si="144"/>
        <v>0</v>
      </c>
      <c r="P284" s="240">
        <f t="shared" si="145"/>
        <v>0</v>
      </c>
      <c r="Q284" s="875">
        <f t="shared" si="146"/>
        <v>0</v>
      </c>
      <c r="R284" s="849" t="s">
        <v>2163</v>
      </c>
    </row>
    <row r="285" spans="1:18" ht="32.1" customHeight="1">
      <c r="A285" s="1184"/>
      <c r="B285" s="160"/>
      <c r="C285" s="270" t="s">
        <v>3122</v>
      </c>
      <c r="D285" s="271" t="s">
        <v>3123</v>
      </c>
      <c r="E285" s="270" t="s">
        <v>3124</v>
      </c>
      <c r="F285" s="271" t="s">
        <v>1411</v>
      </c>
      <c r="G285" s="272">
        <f t="shared" si="148"/>
        <v>0</v>
      </c>
      <c r="H285" s="273">
        <f>COUNTIF(Area_v1,$C285)</f>
        <v>0</v>
      </c>
      <c r="I285" s="826">
        <f>COUNTIF(Area_v2,$C285)</f>
        <v>0</v>
      </c>
      <c r="J285" s="273">
        <f>COUNTIF(Area_v3ZIC,$C285)</f>
        <v>0</v>
      </c>
      <c r="K285" s="275">
        <f>COUNTIF(Area_v4ZIC,$C285)</f>
        <v>0</v>
      </c>
      <c r="L285" s="273">
        <f t="shared" si="141"/>
        <v>0</v>
      </c>
      <c r="M285" s="274">
        <f>COUNTIF(Area_v4BIN,$C285)</f>
        <v>0</v>
      </c>
      <c r="N285" s="275">
        <f>COUNTIF(Area_v5BIN,$C285)</f>
        <v>0</v>
      </c>
      <c r="O285" s="273">
        <f t="shared" si="144"/>
        <v>0</v>
      </c>
      <c r="P285" s="274">
        <f t="shared" si="145"/>
        <v>0</v>
      </c>
      <c r="Q285" s="877">
        <f t="shared" si="146"/>
        <v>0</v>
      </c>
      <c r="R285" s="851" t="s">
        <v>3125</v>
      </c>
    </row>
    <row r="286" spans="1:18" ht="32.1" customHeight="1">
      <c r="A286" s="1125" t="s">
        <v>3126</v>
      </c>
      <c r="B286" s="159"/>
      <c r="C286" s="141"/>
      <c r="D286" s="260" t="s">
        <v>3127</v>
      </c>
      <c r="E286" s="141" t="s">
        <v>3128</v>
      </c>
      <c r="F286" s="260" t="s">
        <v>1411</v>
      </c>
      <c r="G286" s="266">
        <f t="shared" si="148"/>
        <v>87.674499999999995</v>
      </c>
      <c r="H286" s="267">
        <f>+SUM(cantones_v1)/1000</f>
        <v>39.168500000000002</v>
      </c>
      <c r="I286" s="827">
        <f>+SUM(cantones_v2)/1000</f>
        <v>38.999399999999987</v>
      </c>
      <c r="J286" s="267">
        <f>+SUM(cantones_v3ZIC)/1000</f>
        <v>1.7561000000000002</v>
      </c>
      <c r="K286" s="269">
        <f>+SUM(cantones_v4ZIC)/1000</f>
        <v>0.91670000000000007</v>
      </c>
      <c r="L286" s="267">
        <f>+SUM(cantones_v3BIN)/1000</f>
        <v>1.3392999999999999</v>
      </c>
      <c r="M286" s="268">
        <f>+SUM(cantones_v4BIN)/1000</f>
        <v>0.73409999999999986</v>
      </c>
      <c r="N286" s="269">
        <f>+SUM(cantones_v5BIN)/1000</f>
        <v>0</v>
      </c>
      <c r="O286" s="267">
        <f>+SUM(cantones_v3HAD)/1000</f>
        <v>1.1179000000000001</v>
      </c>
      <c r="P286" s="268">
        <f>+SUM(cantones_V3KFA)/1000</f>
        <v>1.7441000000000002</v>
      </c>
      <c r="Q286" s="878">
        <f>+SUM(cantones_V4KFA)/1000</f>
        <v>1.8983999999999941</v>
      </c>
      <c r="R286" s="848" t="s">
        <v>3129</v>
      </c>
    </row>
    <row r="287" spans="1:18" ht="32.1" customHeight="1">
      <c r="A287" s="1126"/>
      <c r="B287" s="163" t="s">
        <v>3065</v>
      </c>
      <c r="C287" s="138"/>
      <c r="D287" s="257" t="s">
        <v>3130</v>
      </c>
      <c r="E287" s="138" t="s">
        <v>3131</v>
      </c>
      <c r="F287" s="257">
        <v>6140</v>
      </c>
      <c r="G287" s="225">
        <f t="shared" si="148"/>
        <v>12276</v>
      </c>
      <c r="H287" s="242">
        <f t="shared" ref="H287:P287" si="149">+ROUND(140*H286,0)</f>
        <v>5484</v>
      </c>
      <c r="I287" s="825">
        <f t="shared" si="149"/>
        <v>5460</v>
      </c>
      <c r="J287" s="242">
        <f t="shared" si="149"/>
        <v>246</v>
      </c>
      <c r="K287" s="244">
        <f t="shared" si="149"/>
        <v>128</v>
      </c>
      <c r="L287" s="242">
        <f t="shared" ref="L287" si="150">+ROUND(140*L286,0)</f>
        <v>188</v>
      </c>
      <c r="M287" s="243">
        <f t="shared" si="149"/>
        <v>103</v>
      </c>
      <c r="N287" s="244">
        <f t="shared" si="149"/>
        <v>0</v>
      </c>
      <c r="O287" s="242">
        <f t="shared" si="149"/>
        <v>157</v>
      </c>
      <c r="P287" s="243">
        <f t="shared" si="149"/>
        <v>244</v>
      </c>
      <c r="Q287" s="876">
        <f t="shared" ref="Q287" si="151">+ROUND(140*Q286,0)</f>
        <v>266</v>
      </c>
      <c r="R287" s="845" t="s">
        <v>3132</v>
      </c>
    </row>
    <row r="288" spans="1:18" ht="32.1" customHeight="1">
      <c r="A288" s="1126"/>
      <c r="B288" s="1147" t="s">
        <v>2679</v>
      </c>
      <c r="C288" s="28"/>
      <c r="D288" s="154" t="s">
        <v>3133</v>
      </c>
      <c r="E288" s="28" t="s">
        <v>3134</v>
      </c>
      <c r="F288" s="154" t="s">
        <v>1411</v>
      </c>
      <c r="G288" s="246">
        <f t="shared" si="148"/>
        <v>0</v>
      </c>
      <c r="H288" s="247"/>
      <c r="I288" s="828"/>
      <c r="J288" s="247"/>
      <c r="K288" s="249"/>
      <c r="L288" s="247"/>
      <c r="M288" s="248"/>
      <c r="N288" s="249"/>
      <c r="O288" s="247"/>
      <c r="P288" s="248"/>
      <c r="Q288" s="879"/>
      <c r="R288" s="852" t="s">
        <v>3135</v>
      </c>
    </row>
    <row r="289" spans="1:18" ht="32.1" customHeight="1">
      <c r="A289" s="1126"/>
      <c r="B289" s="1147"/>
      <c r="C289" s="29"/>
      <c r="D289" s="251" t="s">
        <v>3136</v>
      </c>
      <c r="E289" s="29" t="s">
        <v>3137</v>
      </c>
      <c r="F289" s="251" t="s">
        <v>3138</v>
      </c>
      <c r="G289" s="191">
        <f t="shared" si="148"/>
        <v>0</v>
      </c>
      <c r="H289" s="192"/>
      <c r="I289" s="812"/>
      <c r="J289" s="192"/>
      <c r="K289" s="194"/>
      <c r="L289" s="192"/>
      <c r="M289" s="193"/>
      <c r="N289" s="194"/>
      <c r="O289" s="192"/>
      <c r="P289" s="193"/>
      <c r="Q289" s="862"/>
      <c r="R289" s="836" t="s">
        <v>3139</v>
      </c>
    </row>
    <row r="290" spans="1:18" ht="32.1" customHeight="1">
      <c r="A290" s="1126"/>
      <c r="B290" s="1147"/>
      <c r="C290" s="29"/>
      <c r="D290" s="251" t="s">
        <v>3140</v>
      </c>
      <c r="E290" s="29" t="s">
        <v>3141</v>
      </c>
      <c r="F290" s="251" t="s">
        <v>201</v>
      </c>
      <c r="G290" s="191">
        <f t="shared" si="148"/>
        <v>0</v>
      </c>
      <c r="H290" s="192"/>
      <c r="I290" s="812"/>
      <c r="J290" s="192"/>
      <c r="K290" s="194"/>
      <c r="L290" s="192"/>
      <c r="M290" s="193"/>
      <c r="N290" s="194"/>
      <c r="O290" s="192"/>
      <c r="P290" s="193"/>
      <c r="Q290" s="862"/>
      <c r="R290" s="836" t="s">
        <v>3142</v>
      </c>
    </row>
    <row r="291" spans="1:18" ht="32.1" customHeight="1">
      <c r="A291" s="1126"/>
      <c r="B291" s="1147"/>
      <c r="C291" s="29"/>
      <c r="D291" s="251" t="s">
        <v>3143</v>
      </c>
      <c r="E291" s="29" t="s">
        <v>3144</v>
      </c>
      <c r="F291" s="251" t="s">
        <v>201</v>
      </c>
      <c r="G291" s="191">
        <f t="shared" si="148"/>
        <v>0</v>
      </c>
      <c r="H291" s="192"/>
      <c r="I291" s="812"/>
      <c r="J291" s="192"/>
      <c r="K291" s="194"/>
      <c r="L291" s="192"/>
      <c r="M291" s="193"/>
      <c r="N291" s="194"/>
      <c r="O291" s="192"/>
      <c r="P291" s="193"/>
      <c r="Q291" s="862"/>
      <c r="R291" s="836" t="s">
        <v>3145</v>
      </c>
    </row>
    <row r="292" spans="1:18" ht="32.1" customHeight="1">
      <c r="A292" s="1126"/>
      <c r="B292" s="1147"/>
      <c r="C292" s="29"/>
      <c r="D292" s="251" t="s">
        <v>3146</v>
      </c>
      <c r="E292" s="29" t="s">
        <v>3147</v>
      </c>
      <c r="F292" s="251" t="s">
        <v>201</v>
      </c>
      <c r="G292" s="191">
        <f t="shared" si="148"/>
        <v>0</v>
      </c>
      <c r="H292" s="192"/>
      <c r="I292" s="812"/>
      <c r="J292" s="192"/>
      <c r="K292" s="194"/>
      <c r="L292" s="192"/>
      <c r="M292" s="193"/>
      <c r="N292" s="194"/>
      <c r="O292" s="192"/>
      <c r="P292" s="193"/>
      <c r="Q292" s="862"/>
      <c r="R292" s="836" t="s">
        <v>3148</v>
      </c>
    </row>
    <row r="293" spans="1:18" ht="32.1" customHeight="1">
      <c r="A293" s="1126"/>
      <c r="B293" s="160"/>
      <c r="C293" s="138"/>
      <c r="D293" s="257" t="s">
        <v>3149</v>
      </c>
      <c r="E293" s="138" t="s">
        <v>3150</v>
      </c>
      <c r="F293" s="257" t="s">
        <v>1411</v>
      </c>
      <c r="G293" s="225">
        <f t="shared" si="148"/>
        <v>0</v>
      </c>
      <c r="H293" s="242">
        <f>+Legend!$K$10</f>
        <v>0</v>
      </c>
      <c r="I293" s="825">
        <f>+Legend!$Q$10</f>
        <v>0</v>
      </c>
      <c r="J293" s="242">
        <f>+Legend!$W$10</f>
        <v>0</v>
      </c>
      <c r="K293" s="244">
        <f>+Legend!$AC$10</f>
        <v>0</v>
      </c>
      <c r="L293" s="242">
        <f>+Legend!$W$10</f>
        <v>0</v>
      </c>
      <c r="M293" s="243">
        <f>+Legend!$AI$10</f>
        <v>0</v>
      </c>
      <c r="N293" s="244">
        <f>+Legend!$AO$10</f>
        <v>0</v>
      </c>
      <c r="O293" s="242">
        <f>+Legend!$W$10</f>
        <v>0</v>
      </c>
      <c r="P293" s="243">
        <f>+Legend!$W$10</f>
        <v>0</v>
      </c>
      <c r="Q293" s="876">
        <f>+Legend!$W$10</f>
        <v>0</v>
      </c>
      <c r="R293" s="845" t="s">
        <v>3151</v>
      </c>
    </row>
    <row r="294" spans="1:18" ht="32.1" customHeight="1">
      <c r="A294" s="1126"/>
      <c r="B294" s="263" t="s">
        <v>3152</v>
      </c>
      <c r="C294" s="282"/>
      <c r="D294" s="257" t="s">
        <v>3153</v>
      </c>
      <c r="E294" s="138" t="s">
        <v>3154</v>
      </c>
      <c r="F294" s="257" t="s">
        <v>1411</v>
      </c>
      <c r="G294" s="225">
        <f t="shared" si="148"/>
        <v>0</v>
      </c>
      <c r="H294" s="242">
        <f>+Legend!$K$22</f>
        <v>0</v>
      </c>
      <c r="I294" s="825">
        <f>+Legend!$Q$22</f>
        <v>0</v>
      </c>
      <c r="J294" s="242">
        <f>+Legend!$W$22</f>
        <v>0</v>
      </c>
      <c r="K294" s="244">
        <f>+Legend!$AC$22</f>
        <v>0</v>
      </c>
      <c r="L294" s="242">
        <f>+Legend!$W$22</f>
        <v>0</v>
      </c>
      <c r="M294" s="243">
        <f>+Legend!$AI$22</f>
        <v>0</v>
      </c>
      <c r="N294" s="244">
        <f>+Legend!$AO$22</f>
        <v>0</v>
      </c>
      <c r="O294" s="242">
        <f>+Legend!$W$22</f>
        <v>0</v>
      </c>
      <c r="P294" s="243">
        <f>+Legend!$W$22</f>
        <v>0</v>
      </c>
      <c r="Q294" s="876">
        <f>+Legend!$W$22</f>
        <v>0</v>
      </c>
      <c r="R294" s="850" t="s">
        <v>3155</v>
      </c>
    </row>
    <row r="295" spans="1:18" ht="32.1" customHeight="1">
      <c r="A295" s="1126"/>
      <c r="B295" s="1147" t="s">
        <v>2679</v>
      </c>
      <c r="C295" s="29"/>
      <c r="D295" s="251" t="s">
        <v>3156</v>
      </c>
      <c r="E295" s="29" t="s">
        <v>3157</v>
      </c>
      <c r="F295" s="251" t="s">
        <v>1411</v>
      </c>
      <c r="G295" s="191">
        <f t="shared" si="148"/>
        <v>0</v>
      </c>
      <c r="H295" s="192"/>
      <c r="I295" s="812"/>
      <c r="J295" s="192"/>
      <c r="K295" s="194"/>
      <c r="L295" s="192"/>
      <c r="M295" s="193"/>
      <c r="N295" s="194"/>
      <c r="O295" s="192"/>
      <c r="P295" s="193"/>
      <c r="Q295" s="862"/>
      <c r="R295" s="836" t="s">
        <v>3158</v>
      </c>
    </row>
    <row r="296" spans="1:18" ht="32.1" customHeight="1">
      <c r="A296" s="1126"/>
      <c r="B296" s="1147"/>
      <c r="C296" s="29"/>
      <c r="D296" s="251" t="s">
        <v>3159</v>
      </c>
      <c r="E296" s="29" t="s">
        <v>3160</v>
      </c>
      <c r="F296" s="251" t="s">
        <v>1411</v>
      </c>
      <c r="G296" s="191">
        <f t="shared" si="148"/>
        <v>0</v>
      </c>
      <c r="H296" s="192"/>
      <c r="I296" s="812"/>
      <c r="J296" s="192"/>
      <c r="K296" s="194"/>
      <c r="L296" s="192"/>
      <c r="M296" s="193"/>
      <c r="N296" s="194"/>
      <c r="O296" s="192"/>
      <c r="P296" s="193"/>
      <c r="Q296" s="862"/>
      <c r="R296" s="836" t="s">
        <v>3161</v>
      </c>
    </row>
    <row r="297" spans="1:18" ht="32.1" customHeight="1">
      <c r="A297" s="1126"/>
      <c r="B297" s="1147"/>
      <c r="C297" s="29"/>
      <c r="D297" s="251" t="s">
        <v>3162</v>
      </c>
      <c r="E297" s="29" t="s">
        <v>3163</v>
      </c>
      <c r="F297" s="251" t="s">
        <v>1411</v>
      </c>
      <c r="G297" s="191">
        <f t="shared" si="148"/>
        <v>0</v>
      </c>
      <c r="H297" s="192"/>
      <c r="I297" s="812"/>
      <c r="J297" s="192"/>
      <c r="K297" s="194"/>
      <c r="L297" s="192"/>
      <c r="M297" s="193"/>
      <c r="N297" s="194"/>
      <c r="O297" s="192"/>
      <c r="P297" s="193"/>
      <c r="Q297" s="862"/>
      <c r="R297" s="836" t="s">
        <v>3164</v>
      </c>
    </row>
    <row r="298" spans="1:18" ht="32.1" customHeight="1">
      <c r="A298" s="1184"/>
      <c r="B298" s="1201"/>
      <c r="C298" s="27"/>
      <c r="D298" s="155" t="s">
        <v>3165</v>
      </c>
      <c r="E298" s="27" t="s">
        <v>3166</v>
      </c>
      <c r="F298" s="155" t="s">
        <v>1411</v>
      </c>
      <c r="G298" s="199">
        <f t="shared" si="148"/>
        <v>0</v>
      </c>
      <c r="H298" s="200"/>
      <c r="I298" s="814"/>
      <c r="J298" s="200"/>
      <c r="K298" s="202"/>
      <c r="L298" s="200"/>
      <c r="M298" s="201"/>
      <c r="N298" s="202"/>
      <c r="O298" s="200"/>
      <c r="P298" s="201"/>
      <c r="Q298" s="864"/>
      <c r="R298" s="838" t="s">
        <v>3167</v>
      </c>
    </row>
    <row r="299" spans="1:18" ht="32.1" customHeight="1">
      <c r="A299" s="1125" t="s">
        <v>3168</v>
      </c>
      <c r="B299" s="160"/>
      <c r="C299" s="138" t="s">
        <v>3169</v>
      </c>
      <c r="D299" s="257" t="s">
        <v>3170</v>
      </c>
      <c r="E299" s="138" t="s">
        <v>3171</v>
      </c>
      <c r="F299" s="257" t="s">
        <v>3172</v>
      </c>
      <c r="G299" s="225">
        <f t="shared" si="148"/>
        <v>150</v>
      </c>
      <c r="H299" s="242">
        <f>COUNTIF(Area_v1,$C299)-H300</f>
        <v>61</v>
      </c>
      <c r="I299" s="825">
        <f>COUNTIF(Area_v2,$C299)-I300</f>
        <v>62</v>
      </c>
      <c r="J299" s="242">
        <f>COUNTIF(Area_v3ZIC,$C299)-J300</f>
        <v>6</v>
      </c>
      <c r="K299" s="244">
        <f>COUNTIF(Area_v4ZIC,$C299)-K300</f>
        <v>1</v>
      </c>
      <c r="L299" s="242">
        <f>COUNTIF(Area_v3BIN,$C299)-L300</f>
        <v>9</v>
      </c>
      <c r="M299" s="243">
        <f>COUNTIF(Area_v4BIN,$C299)-M300</f>
        <v>0</v>
      </c>
      <c r="N299" s="244">
        <f>COUNTIF(Area_v5BIN,$C299)-N300</f>
        <v>0</v>
      </c>
      <c r="O299" s="242">
        <f>COUNTIF(Area_v3HAD,$C299)-O300</f>
        <v>5</v>
      </c>
      <c r="P299" s="243">
        <f>COUNTIF(Area_v3KFA,$C299)-P300</f>
        <v>2</v>
      </c>
      <c r="Q299" s="876">
        <f>COUNTIF(Area_v4KFA,$C299)-Q300</f>
        <v>4</v>
      </c>
      <c r="R299" s="845" t="s">
        <v>3173</v>
      </c>
    </row>
    <row r="300" spans="1:18" ht="32.1" customHeight="1">
      <c r="A300" s="1126"/>
      <c r="B300" s="160" t="s">
        <v>3174</v>
      </c>
      <c r="C300" s="138" t="s">
        <v>3175</v>
      </c>
      <c r="D300" s="257" t="s">
        <v>3176</v>
      </c>
      <c r="E300" s="138" t="s">
        <v>3177</v>
      </c>
      <c r="F300" s="257" t="s">
        <v>3178</v>
      </c>
      <c r="G300" s="225">
        <f t="shared" si="148"/>
        <v>94</v>
      </c>
      <c r="H300" s="242">
        <f>COUNTIF(Area_v1,$C300)*2</f>
        <v>50</v>
      </c>
      <c r="I300" s="825">
        <f>COUNTIF(Area_v2,$C300)*2</f>
        <v>44</v>
      </c>
      <c r="J300" s="242">
        <f>COUNTIF(Area_v3ZIC,$C300)*2</f>
        <v>0</v>
      </c>
      <c r="K300" s="244">
        <f>COUNTIF(Area_v4ZIC,$C300)*2</f>
        <v>0</v>
      </c>
      <c r="L300" s="242">
        <f>COUNTIF(Area_v3BIN,$C300)*2</f>
        <v>0</v>
      </c>
      <c r="M300" s="243">
        <f>COUNTIF(Area_v4BIN,$C300)*2</f>
        <v>0</v>
      </c>
      <c r="N300" s="244">
        <f>COUNTIF(Area_v5BIN,$C300)*2</f>
        <v>0</v>
      </c>
      <c r="O300" s="242">
        <f>COUNTIF(Area_v3HAD,$C300)*2</f>
        <v>0</v>
      </c>
      <c r="P300" s="243">
        <f>COUNTIF(Area_v3KFA,$C300)*2</f>
        <v>0</v>
      </c>
      <c r="Q300" s="876">
        <f>COUNTIF(Area_v4KFA,$C300)*2</f>
        <v>0</v>
      </c>
      <c r="R300" s="845" t="s">
        <v>3179</v>
      </c>
    </row>
    <row r="301" spans="1:18" ht="32.1" customHeight="1">
      <c r="A301" s="1126"/>
      <c r="B301" s="160" t="s">
        <v>3174</v>
      </c>
      <c r="C301" s="138" t="s">
        <v>3175</v>
      </c>
      <c r="D301" s="257" t="s">
        <v>3180</v>
      </c>
      <c r="E301" s="138" t="s">
        <v>3181</v>
      </c>
      <c r="F301" s="257" t="s">
        <v>3182</v>
      </c>
      <c r="G301" s="225">
        <f t="shared" si="148"/>
        <v>94</v>
      </c>
      <c r="H301" s="242">
        <f t="shared" ref="H301:P302" si="152">+H300</f>
        <v>50</v>
      </c>
      <c r="I301" s="825">
        <f t="shared" si="152"/>
        <v>44</v>
      </c>
      <c r="J301" s="242">
        <f t="shared" si="152"/>
        <v>0</v>
      </c>
      <c r="K301" s="244">
        <f t="shared" si="152"/>
        <v>0</v>
      </c>
      <c r="L301" s="242">
        <f t="shared" ref="L301" si="153">+L300</f>
        <v>0</v>
      </c>
      <c r="M301" s="243">
        <f t="shared" si="152"/>
        <v>0</v>
      </c>
      <c r="N301" s="244">
        <f t="shared" si="152"/>
        <v>0</v>
      </c>
      <c r="O301" s="242">
        <f t="shared" si="152"/>
        <v>0</v>
      </c>
      <c r="P301" s="243">
        <f t="shared" si="152"/>
        <v>0</v>
      </c>
      <c r="Q301" s="876">
        <f t="shared" ref="Q301" si="154">+Q300</f>
        <v>0</v>
      </c>
      <c r="R301" s="845" t="s">
        <v>3183</v>
      </c>
    </row>
    <row r="302" spans="1:18" ht="32.1" customHeight="1">
      <c r="A302" s="1126"/>
      <c r="B302" s="160" t="s">
        <v>3174</v>
      </c>
      <c r="C302" s="138" t="s">
        <v>3175</v>
      </c>
      <c r="D302" s="257" t="s">
        <v>3184</v>
      </c>
      <c r="E302" s="138" t="s">
        <v>3185</v>
      </c>
      <c r="F302" s="257" t="s">
        <v>3182</v>
      </c>
      <c r="G302" s="225">
        <f t="shared" si="148"/>
        <v>94</v>
      </c>
      <c r="H302" s="242">
        <f t="shared" ref="H302:N302" si="155">+H301</f>
        <v>50</v>
      </c>
      <c r="I302" s="825">
        <f t="shared" si="155"/>
        <v>44</v>
      </c>
      <c r="J302" s="242">
        <f t="shared" si="155"/>
        <v>0</v>
      </c>
      <c r="K302" s="244">
        <f t="shared" si="155"/>
        <v>0</v>
      </c>
      <c r="L302" s="242">
        <f t="shared" ref="L302" si="156">+L301</f>
        <v>0</v>
      </c>
      <c r="M302" s="243">
        <f t="shared" si="155"/>
        <v>0</v>
      </c>
      <c r="N302" s="244">
        <f t="shared" si="155"/>
        <v>0</v>
      </c>
      <c r="O302" s="242">
        <f t="shared" si="152"/>
        <v>0</v>
      </c>
      <c r="P302" s="243">
        <f t="shared" si="152"/>
        <v>0</v>
      </c>
      <c r="Q302" s="876">
        <f t="shared" ref="Q302" si="157">+Q301</f>
        <v>0</v>
      </c>
      <c r="R302" s="845" t="s">
        <v>3186</v>
      </c>
    </row>
    <row r="303" spans="1:18" ht="32.1" customHeight="1">
      <c r="A303" s="1126"/>
      <c r="B303" s="160"/>
      <c r="C303" s="138" t="s">
        <v>872</v>
      </c>
      <c r="D303" s="257" t="s">
        <v>3187</v>
      </c>
      <c r="E303" s="138" t="s">
        <v>3188</v>
      </c>
      <c r="F303" s="257"/>
      <c r="G303" s="225">
        <f t="shared" si="148"/>
        <v>11</v>
      </c>
      <c r="H303" s="242">
        <f t="shared" ref="H303:H304" si="158">COUNTIF(Area_v1,$C303)</f>
        <v>1</v>
      </c>
      <c r="I303" s="825">
        <f t="shared" ref="I303:I304" si="159">COUNTIF(Area_v2,$C303)</f>
        <v>7</v>
      </c>
      <c r="J303" s="242">
        <f t="shared" ref="J303:J304" si="160">COUNTIF(Area_v3ZIC,$C303)</f>
        <v>2</v>
      </c>
      <c r="K303" s="244">
        <f t="shared" ref="K303:K304" si="161">COUNTIF(Area_v4ZIC,$C303)</f>
        <v>0</v>
      </c>
      <c r="L303" s="242">
        <f>COUNTIF(Area_v3BIN,$C303)</f>
        <v>1</v>
      </c>
      <c r="M303" s="243">
        <f t="shared" ref="M303:M304" si="162">COUNTIF(Area_v4BIN,$C303)</f>
        <v>0</v>
      </c>
      <c r="N303" s="244">
        <f t="shared" ref="N303:N304" si="163">COUNTIF(Area_v5BIN,$C303)</f>
        <v>0</v>
      </c>
      <c r="O303" s="242">
        <f>COUNTIF(Area_v3HAD,$C303)</f>
        <v>0</v>
      </c>
      <c r="P303" s="243">
        <f>COUNTIF(Area_v3KFA,$C303)</f>
        <v>0</v>
      </c>
      <c r="Q303" s="876">
        <f>COUNTIF(Area_v4KFA,$C303)</f>
        <v>0</v>
      </c>
      <c r="R303" s="845"/>
    </row>
    <row r="304" spans="1:18" ht="32.1" customHeight="1">
      <c r="A304" s="1126"/>
      <c r="B304" s="160"/>
      <c r="C304" s="138" t="s">
        <v>3189</v>
      </c>
      <c r="D304" s="257" t="s">
        <v>3190</v>
      </c>
      <c r="E304" s="138" t="s">
        <v>3191</v>
      </c>
      <c r="F304" s="257"/>
      <c r="G304" s="225">
        <f t="shared" si="148"/>
        <v>0</v>
      </c>
      <c r="H304" s="242">
        <f t="shared" si="158"/>
        <v>0</v>
      </c>
      <c r="I304" s="825">
        <f t="shared" si="159"/>
        <v>0</v>
      </c>
      <c r="J304" s="242">
        <f t="shared" si="160"/>
        <v>0</v>
      </c>
      <c r="K304" s="244">
        <f t="shared" si="161"/>
        <v>0</v>
      </c>
      <c r="L304" s="242">
        <f>COUNTIF(Area_v3BIN,$C304)</f>
        <v>0</v>
      </c>
      <c r="M304" s="243">
        <f t="shared" si="162"/>
        <v>0</v>
      </c>
      <c r="N304" s="244">
        <f t="shared" si="163"/>
        <v>0</v>
      </c>
      <c r="O304" s="242">
        <f>COUNTIF(Area_v3HAD,$C304)</f>
        <v>0</v>
      </c>
      <c r="P304" s="243">
        <f>COUNTIF(Area_v3KFA,$C304)</f>
        <v>0</v>
      </c>
      <c r="Q304" s="876">
        <f>COUNTIF(Area_v4KFA,$C304)</f>
        <v>0</v>
      </c>
      <c r="R304" s="845"/>
    </row>
    <row r="305" spans="1:18" ht="32.1" customHeight="1">
      <c r="A305" s="1126"/>
      <c r="B305" s="160"/>
      <c r="C305" s="138"/>
      <c r="D305" s="257"/>
      <c r="E305" s="138"/>
      <c r="F305" s="257"/>
      <c r="G305" s="130"/>
      <c r="H305" s="225">
        <f>SUM(H299:H303)</f>
        <v>212</v>
      </c>
      <c r="I305" s="225">
        <f>SUM(I299:I303)</f>
        <v>201</v>
      </c>
      <c r="J305" s="225">
        <f>SUM(J299:J303)</f>
        <v>8</v>
      </c>
      <c r="K305" s="225">
        <f>SUM(K299:K303)</f>
        <v>1</v>
      </c>
      <c r="L305" s="242"/>
      <c r="M305" s="243"/>
      <c r="N305" s="244"/>
      <c r="O305" s="242"/>
      <c r="P305" s="243"/>
      <c r="Q305" s="876"/>
      <c r="R305" s="845"/>
    </row>
    <row r="306" spans="1:18" ht="32.1" customHeight="1">
      <c r="A306" s="1126"/>
      <c r="B306" s="1144" t="s">
        <v>2679</v>
      </c>
      <c r="C306" s="29"/>
      <c r="D306" s="251" t="s">
        <v>3192</v>
      </c>
      <c r="E306" s="29" t="s">
        <v>3193</v>
      </c>
      <c r="F306" s="251" t="s">
        <v>3194</v>
      </c>
      <c r="G306" s="191">
        <f t="shared" si="148"/>
        <v>0</v>
      </c>
      <c r="H306" s="192"/>
      <c r="I306" s="812"/>
      <c r="J306" s="192"/>
      <c r="K306" s="194"/>
      <c r="L306" s="192"/>
      <c r="M306" s="193"/>
      <c r="N306" s="194"/>
      <c r="O306" s="192"/>
      <c r="P306" s="193"/>
      <c r="Q306" s="862"/>
      <c r="R306" s="836" t="s">
        <v>3195</v>
      </c>
    </row>
    <row r="307" spans="1:18" ht="32.1" customHeight="1">
      <c r="A307" s="1126"/>
      <c r="B307" s="1144"/>
      <c r="C307" s="29"/>
      <c r="D307" s="251" t="s">
        <v>3196</v>
      </c>
      <c r="E307" s="29" t="s">
        <v>3197</v>
      </c>
      <c r="F307" s="251" t="s">
        <v>1411</v>
      </c>
      <c r="G307" s="191">
        <f t="shared" si="148"/>
        <v>0</v>
      </c>
      <c r="H307" s="192"/>
      <c r="I307" s="812"/>
      <c r="J307" s="192"/>
      <c r="K307" s="194"/>
      <c r="L307" s="192"/>
      <c r="M307" s="193"/>
      <c r="N307" s="194"/>
      <c r="O307" s="192"/>
      <c r="P307" s="193"/>
      <c r="Q307" s="862"/>
      <c r="R307" s="836" t="s">
        <v>3198</v>
      </c>
    </row>
    <row r="308" spans="1:18" ht="32.1" customHeight="1">
      <c r="A308" s="1126"/>
      <c r="B308" s="1144"/>
      <c r="C308" s="29"/>
      <c r="D308" s="251" t="s">
        <v>3199</v>
      </c>
      <c r="E308" s="29" t="s">
        <v>3200</v>
      </c>
      <c r="F308" s="251" t="s">
        <v>1411</v>
      </c>
      <c r="G308" s="191">
        <f t="shared" si="148"/>
        <v>0</v>
      </c>
      <c r="H308" s="192"/>
      <c r="I308" s="812"/>
      <c r="J308" s="192"/>
      <c r="K308" s="194"/>
      <c r="L308" s="192"/>
      <c r="M308" s="193"/>
      <c r="N308" s="194"/>
      <c r="O308" s="192"/>
      <c r="P308" s="193"/>
      <c r="Q308" s="862"/>
      <c r="R308" s="836" t="s">
        <v>3201</v>
      </c>
    </row>
    <row r="309" spans="1:18" ht="32.1" customHeight="1">
      <c r="A309" s="1126"/>
      <c r="B309" s="160"/>
      <c r="C309" s="284"/>
      <c r="D309" s="257" t="s">
        <v>3202</v>
      </c>
      <c r="E309" s="138" t="s">
        <v>3203</v>
      </c>
      <c r="F309" s="257" t="s">
        <v>3204</v>
      </c>
      <c r="G309" s="225">
        <f t="shared" si="148"/>
        <v>0</v>
      </c>
      <c r="H309" s="242">
        <f>COUNTIF(Area_v1,"S1T")+COUNTIF(Area_v1,"S2T")</f>
        <v>0</v>
      </c>
      <c r="I309" s="825">
        <f>COUNTIF(Area_v2,"S1T")+COUNTIF(Area_v2,"S2T")</f>
        <v>0</v>
      </c>
      <c r="J309" s="242">
        <f>COUNTIF(Area_v3ZIC,"S1T")+COUNTIF(Area_v3ZIC,"S2T")</f>
        <v>0</v>
      </c>
      <c r="K309" s="244">
        <f>COUNTIF(Area_v4ZIC,"S1T")+COUNTIF(Area_v4ZIC,"S2T")</f>
        <v>0</v>
      </c>
      <c r="L309" s="242">
        <f>COUNTIF(Area_v3BIN,"S1T")+COUNTIF(Area_v3BIN,"S2T")</f>
        <v>0</v>
      </c>
      <c r="M309" s="243">
        <f>COUNTIF(Area_v4BIN,"S1T")+COUNTIF(Area_v4BIN,"S2T")</f>
        <v>0</v>
      </c>
      <c r="N309" s="244">
        <f>COUNTIF(Area_v5BIN,"S1T")+COUNTIF(Area_v5BIN,"S2T")</f>
        <v>0</v>
      </c>
      <c r="O309" s="242">
        <f>COUNTIF(Area_v3HAD,"S1T")+COUNTIF(Area_v3HAD,"S2T")</f>
        <v>0</v>
      </c>
      <c r="P309" s="243">
        <f>COUNTIF(Area_v3KFA,"S1T")+COUNTIF(Area_v3KFA,"S2T")</f>
        <v>0</v>
      </c>
      <c r="Q309" s="876">
        <f>COUNTIF(Area_v4KFA,"S1T")+COUNTIF(Area_v4KFA,"S2T")</f>
        <v>0</v>
      </c>
      <c r="R309" s="853" t="s">
        <v>3205</v>
      </c>
    </row>
    <row r="310" spans="1:18" ht="32.1" customHeight="1">
      <c r="A310" s="1126"/>
      <c r="B310" s="160"/>
      <c r="C310" s="142" t="s">
        <v>3206</v>
      </c>
      <c r="D310" s="257" t="s">
        <v>3207</v>
      </c>
      <c r="E310" s="138" t="s">
        <v>3208</v>
      </c>
      <c r="F310" s="257" t="s">
        <v>1411</v>
      </c>
      <c r="G310" s="225">
        <f t="shared" si="148"/>
        <v>0</v>
      </c>
      <c r="H310" s="242">
        <f>COUNTIF(Area_v1,"CP/Tunnel")+COUNTIF(Area_v1,"CP/TX-T*")</f>
        <v>0</v>
      </c>
      <c r="I310" s="825">
        <f>COUNTIF(Area_v2,"CP/Tunnel")+COUNTIF(Area_v2,"CP/TX-T*")</f>
        <v>0</v>
      </c>
      <c r="J310" s="242">
        <f>COUNTIF(Area_v3ZIC,"CP/Tunnel")+COUNTIF(Area_v3ZIC,"CP/TX-T*")</f>
        <v>0</v>
      </c>
      <c r="K310" s="244">
        <f>COUNTIF(Area_v4ZIC,"CP/Tunnel")+COUNTIF(Area_v4ZIC,"CP/TX-T*")</f>
        <v>0</v>
      </c>
      <c r="L310" s="242">
        <f>COUNTIF(Area_v3BIN,"CP/Tunnel")+COUNTIF(Area_v3BIN,"CP/TX-T*")</f>
        <v>0</v>
      </c>
      <c r="M310" s="243">
        <f>COUNTIF(Area_v4BIN,"CP/Tunnel")+COUNTIF(Area_v4BIN,"CP/TX-T*")</f>
        <v>0</v>
      </c>
      <c r="N310" s="244">
        <f>COUNTIF(Area_v5BIN,"CP/Tunnel")+COUNTIF(Area_v5BIN,"CP/TX-T*")</f>
        <v>0</v>
      </c>
      <c r="O310" s="242">
        <f>COUNTIF(Area_v3HAD,"CP/Tunnel")+COUNTIF(Area_v3HAD,"CP/TX-T*")</f>
        <v>0</v>
      </c>
      <c r="P310" s="243">
        <f>COUNTIF(Area_v3KFA,"CP/Tunnel")+COUNTIF(Area_v3KFA,"CP/TX-T*")</f>
        <v>0</v>
      </c>
      <c r="Q310" s="876">
        <f>COUNTIF(Area_v4KFA,"CP/Tunnel")+COUNTIF(Area_v4KFA,"CP/TX-T*")</f>
        <v>0</v>
      </c>
      <c r="R310" s="853" t="s">
        <v>3209</v>
      </c>
    </row>
    <row r="311" spans="1:18" ht="32.1" customHeight="1">
      <c r="A311" s="1126"/>
      <c r="B311" s="160"/>
      <c r="C311" s="142" t="s">
        <v>2145</v>
      </c>
      <c r="D311" s="257" t="s">
        <v>3210</v>
      </c>
      <c r="E311" s="138" t="s">
        <v>3211</v>
      </c>
      <c r="F311" s="257" t="s">
        <v>1411</v>
      </c>
      <c r="G311" s="225">
        <f t="shared" si="148"/>
        <v>0</v>
      </c>
      <c r="H311" s="242">
        <f>COUNTIF(Area_v1,$C311)</f>
        <v>0</v>
      </c>
      <c r="I311" s="825">
        <f>COUNTIF(Area_v2,$C311)</f>
        <v>0</v>
      </c>
      <c r="J311" s="242">
        <f>COUNTIF(Area_v3ZIC,$C311)</f>
        <v>0</v>
      </c>
      <c r="K311" s="244">
        <f>COUNTIF(Area_v4ZIC,$C311)</f>
        <v>0</v>
      </c>
      <c r="L311" s="242">
        <f>COUNTIF(Area_v3BIN,$C311)</f>
        <v>0</v>
      </c>
      <c r="M311" s="243">
        <f>COUNTIF(Area_v4BIN,$C311)</f>
        <v>0</v>
      </c>
      <c r="N311" s="244">
        <f>COUNTIF(Area_v5BIN,$C311)</f>
        <v>0</v>
      </c>
      <c r="O311" s="242">
        <f>COUNTIF(Area_v3HAD,$C311)</f>
        <v>0</v>
      </c>
      <c r="P311" s="243">
        <f>COUNTIF(Area_v3KFA,$C311)</f>
        <v>0</v>
      </c>
      <c r="Q311" s="876">
        <f>COUNTIF(Area_v4KFA,$C311)</f>
        <v>0</v>
      </c>
      <c r="R311" s="853" t="s">
        <v>3212</v>
      </c>
    </row>
    <row r="312" spans="1:18" ht="32.1" customHeight="1">
      <c r="A312" s="1126"/>
      <c r="B312" s="160"/>
      <c r="C312" s="142" t="s">
        <v>2115</v>
      </c>
      <c r="D312" s="257" t="s">
        <v>3213</v>
      </c>
      <c r="E312" s="138" t="s">
        <v>3214</v>
      </c>
      <c r="F312" s="257" t="s">
        <v>1411</v>
      </c>
      <c r="G312" s="225">
        <f t="shared" ref="G312:G344" si="164">SUM(H312:Q312)</f>
        <v>0</v>
      </c>
      <c r="H312" s="242">
        <f>COUNTIF(Area_v1,$C312)</f>
        <v>0</v>
      </c>
      <c r="I312" s="825">
        <f>COUNTIF(Area_v2,$C312)</f>
        <v>0</v>
      </c>
      <c r="J312" s="242">
        <f>COUNTIF(Area_v3ZIC,$C312)</f>
        <v>0</v>
      </c>
      <c r="K312" s="244">
        <f>COUNTIF(Area_v4ZIC,$C312)</f>
        <v>0</v>
      </c>
      <c r="L312" s="242">
        <f>COUNTIF(Area_v3BIN,$C312)</f>
        <v>0</v>
      </c>
      <c r="M312" s="243">
        <f>COUNTIF(Area_v4BIN,$C312)</f>
        <v>0</v>
      </c>
      <c r="N312" s="244">
        <f>COUNTIF(Area_v5BIN,$C312)</f>
        <v>0</v>
      </c>
      <c r="O312" s="242">
        <f>COUNTIF(Area_v3HAD,$C312)</f>
        <v>0</v>
      </c>
      <c r="P312" s="243">
        <f>COUNTIF(Area_v3KFA,$C312)</f>
        <v>0</v>
      </c>
      <c r="Q312" s="876">
        <f>COUNTIF(Area_v4KFA,$C312)</f>
        <v>0</v>
      </c>
      <c r="R312" s="853" t="s">
        <v>3215</v>
      </c>
    </row>
    <row r="313" spans="1:18" ht="32.1" customHeight="1">
      <c r="A313" s="1125" t="s">
        <v>3216</v>
      </c>
      <c r="B313" s="159"/>
      <c r="C313" s="141"/>
      <c r="D313" s="260" t="s">
        <v>3217</v>
      </c>
      <c r="E313" s="141" t="s">
        <v>3218</v>
      </c>
      <c r="F313" s="260" t="s">
        <v>3219</v>
      </c>
      <c r="G313" s="231">
        <f t="shared" si="164"/>
        <v>0</v>
      </c>
      <c r="H313" s="232">
        <f>H315</f>
        <v>0</v>
      </c>
      <c r="I313" s="822">
        <f t="shared" ref="I313:P314" si="165">I315</f>
        <v>0</v>
      </c>
      <c r="J313" s="232">
        <f t="shared" si="165"/>
        <v>0</v>
      </c>
      <c r="K313" s="234">
        <f t="shared" si="165"/>
        <v>0</v>
      </c>
      <c r="L313" s="232">
        <f t="shared" ref="L313" si="166">L315</f>
        <v>0</v>
      </c>
      <c r="M313" s="233">
        <f t="shared" si="165"/>
        <v>0</v>
      </c>
      <c r="N313" s="234">
        <f t="shared" si="165"/>
        <v>0</v>
      </c>
      <c r="O313" s="232">
        <f t="shared" si="165"/>
        <v>0</v>
      </c>
      <c r="P313" s="233">
        <f t="shared" si="165"/>
        <v>0</v>
      </c>
      <c r="Q313" s="873">
        <f t="shared" ref="Q313" si="167">Q315</f>
        <v>0</v>
      </c>
      <c r="R313" s="848" t="s">
        <v>3220</v>
      </c>
    </row>
    <row r="314" spans="1:18" ht="32.1" customHeight="1">
      <c r="A314" s="1126"/>
      <c r="B314" s="160"/>
      <c r="C314" s="150"/>
      <c r="D314" s="257" t="s">
        <v>3221</v>
      </c>
      <c r="E314" s="150" t="s">
        <v>3222</v>
      </c>
      <c r="F314" s="261"/>
      <c r="G314" s="231">
        <f t="shared" si="164"/>
        <v>0</v>
      </c>
      <c r="H314" s="239">
        <f>H316</f>
        <v>0</v>
      </c>
      <c r="I314" s="824">
        <f t="shared" ref="I314:N314" si="168">I316</f>
        <v>0</v>
      </c>
      <c r="J314" s="239">
        <f t="shared" si="168"/>
        <v>0</v>
      </c>
      <c r="K314" s="241">
        <f t="shared" si="168"/>
        <v>0</v>
      </c>
      <c r="L314" s="239">
        <f t="shared" ref="L314" si="169">L316</f>
        <v>0</v>
      </c>
      <c r="M314" s="240">
        <f t="shared" si="168"/>
        <v>0</v>
      </c>
      <c r="N314" s="241">
        <f t="shared" si="168"/>
        <v>0</v>
      </c>
      <c r="O314" s="239">
        <f t="shared" si="165"/>
        <v>0</v>
      </c>
      <c r="P314" s="240">
        <f t="shared" si="165"/>
        <v>0</v>
      </c>
      <c r="Q314" s="875">
        <f t="shared" ref="Q314" si="170">Q316</f>
        <v>0</v>
      </c>
      <c r="R314" s="849" t="s">
        <v>3223</v>
      </c>
    </row>
    <row r="315" spans="1:18" ht="32.1" customHeight="1">
      <c r="A315" s="1126"/>
      <c r="B315" s="160"/>
      <c r="C315" s="138" t="s">
        <v>3224</v>
      </c>
      <c r="D315" s="257" t="s">
        <v>3217</v>
      </c>
      <c r="E315" s="138" t="s">
        <v>3225</v>
      </c>
      <c r="F315" s="257" t="s">
        <v>3219</v>
      </c>
      <c r="G315" s="225">
        <f t="shared" si="164"/>
        <v>0</v>
      </c>
      <c r="H315" s="242">
        <f t="shared" ref="H315" si="171">COUNTIF(Area_v1,$C315)</f>
        <v>0</v>
      </c>
      <c r="I315" s="825">
        <f>COUNTIF(Area_v2,$C315)</f>
        <v>0</v>
      </c>
      <c r="J315" s="242">
        <f>COUNTIF(Area_v3ZIC,$C315)</f>
        <v>0</v>
      </c>
      <c r="K315" s="244">
        <f>COUNTIF(Area_v4ZIC,$C315)</f>
        <v>0</v>
      </c>
      <c r="L315" s="242">
        <f t="shared" ref="L315:L323" si="172">COUNTIF(Area_v3BIN,$C315)</f>
        <v>0</v>
      </c>
      <c r="M315" s="243">
        <f>COUNTIF(Area_v4BIN,$C315)</f>
        <v>0</v>
      </c>
      <c r="N315" s="244">
        <f>COUNTIF(Area_v5BIN,$C315)</f>
        <v>0</v>
      </c>
      <c r="O315" s="242">
        <f t="shared" ref="O315:O323" si="173">COUNTIF(Area_v3HAD,$C315)</f>
        <v>0</v>
      </c>
      <c r="P315" s="243">
        <f t="shared" ref="P315:P323" si="174">COUNTIF(Area_v3KFA,$C315)</f>
        <v>0</v>
      </c>
      <c r="Q315" s="876">
        <f t="shared" ref="Q315:Q323" si="175">COUNTIF(Area_v4KFA,$C315)</f>
        <v>0</v>
      </c>
      <c r="R315" s="845" t="s">
        <v>3226</v>
      </c>
    </row>
    <row r="316" spans="1:18" ht="32.1" customHeight="1">
      <c r="A316" s="1126"/>
      <c r="B316" s="160"/>
      <c r="C316" s="138" t="s">
        <v>3227</v>
      </c>
      <c r="D316" s="257" t="s">
        <v>3221</v>
      </c>
      <c r="E316" s="138" t="s">
        <v>3228</v>
      </c>
      <c r="F316" s="257" t="s">
        <v>1411</v>
      </c>
      <c r="G316" s="225">
        <f t="shared" si="164"/>
        <v>0</v>
      </c>
      <c r="H316" s="242">
        <f t="shared" ref="H316:H323" si="176">COUNTIF(Area_v1,$C316)</f>
        <v>0</v>
      </c>
      <c r="I316" s="825">
        <f t="shared" ref="I316:I323" si="177">COUNTIF(Area_v2,$C316)</f>
        <v>0</v>
      </c>
      <c r="J316" s="242">
        <f t="shared" ref="J316:J323" si="178">COUNTIF(Area_v3ZIC,$C316)</f>
        <v>0</v>
      </c>
      <c r="K316" s="244">
        <f t="shared" ref="K316:K323" si="179">COUNTIF(Area_v4ZIC,$C316)</f>
        <v>0</v>
      </c>
      <c r="L316" s="242">
        <f t="shared" si="172"/>
        <v>0</v>
      </c>
      <c r="M316" s="243">
        <f t="shared" ref="M316:M323" si="180">COUNTIF(Area_v4BIN,$C316)</f>
        <v>0</v>
      </c>
      <c r="N316" s="244">
        <f t="shared" ref="N316:N323" si="181">COUNTIF(Area_v5BIN,$C316)</f>
        <v>0</v>
      </c>
      <c r="O316" s="242">
        <f t="shared" si="173"/>
        <v>0</v>
      </c>
      <c r="P316" s="243">
        <f t="shared" si="174"/>
        <v>0</v>
      </c>
      <c r="Q316" s="876">
        <f t="shared" si="175"/>
        <v>0</v>
      </c>
      <c r="R316" s="845" t="s">
        <v>3229</v>
      </c>
    </row>
    <row r="317" spans="1:18" ht="32.1" customHeight="1">
      <c r="A317" s="1126"/>
      <c r="B317" s="160"/>
      <c r="C317" s="138" t="s">
        <v>139</v>
      </c>
      <c r="D317" s="257" t="s">
        <v>3230</v>
      </c>
      <c r="E317" s="138" t="s">
        <v>3231</v>
      </c>
      <c r="F317" s="257" t="s">
        <v>3232</v>
      </c>
      <c r="G317" s="225">
        <f t="shared" si="164"/>
        <v>6</v>
      </c>
      <c r="H317" s="242">
        <f t="shared" si="176"/>
        <v>4</v>
      </c>
      <c r="I317" s="825">
        <f t="shared" si="177"/>
        <v>2</v>
      </c>
      <c r="J317" s="242">
        <f t="shared" si="178"/>
        <v>0</v>
      </c>
      <c r="K317" s="244">
        <f t="shared" si="179"/>
        <v>0</v>
      </c>
      <c r="L317" s="242">
        <f t="shared" si="172"/>
        <v>0</v>
      </c>
      <c r="M317" s="243">
        <f t="shared" si="180"/>
        <v>0</v>
      </c>
      <c r="N317" s="244">
        <f t="shared" si="181"/>
        <v>0</v>
      </c>
      <c r="O317" s="242">
        <f t="shared" si="173"/>
        <v>0</v>
      </c>
      <c r="P317" s="243">
        <f t="shared" si="174"/>
        <v>0</v>
      </c>
      <c r="Q317" s="876">
        <f t="shared" si="175"/>
        <v>0</v>
      </c>
      <c r="R317" s="845" t="s">
        <v>3233</v>
      </c>
    </row>
    <row r="318" spans="1:18" ht="32.1" customHeight="1">
      <c r="A318" s="1126"/>
      <c r="B318" s="160"/>
      <c r="C318" s="138" t="s">
        <v>3234</v>
      </c>
      <c r="D318" s="257" t="s">
        <v>3235</v>
      </c>
      <c r="E318" s="138" t="s">
        <v>3236</v>
      </c>
      <c r="F318" s="257" t="s">
        <v>3237</v>
      </c>
      <c r="G318" s="225">
        <f t="shared" si="164"/>
        <v>0</v>
      </c>
      <c r="H318" s="242">
        <f t="shared" si="176"/>
        <v>0</v>
      </c>
      <c r="I318" s="825">
        <f t="shared" si="177"/>
        <v>0</v>
      </c>
      <c r="J318" s="242">
        <f t="shared" si="178"/>
        <v>0</v>
      </c>
      <c r="K318" s="244">
        <f t="shared" si="179"/>
        <v>0</v>
      </c>
      <c r="L318" s="242">
        <f t="shared" si="172"/>
        <v>0</v>
      </c>
      <c r="M318" s="243">
        <f t="shared" si="180"/>
        <v>0</v>
      </c>
      <c r="N318" s="244">
        <f t="shared" si="181"/>
        <v>0</v>
      </c>
      <c r="O318" s="242">
        <f t="shared" si="173"/>
        <v>0</v>
      </c>
      <c r="P318" s="243">
        <f t="shared" si="174"/>
        <v>0</v>
      </c>
      <c r="Q318" s="876">
        <f t="shared" si="175"/>
        <v>0</v>
      </c>
      <c r="R318" s="845" t="s">
        <v>3238</v>
      </c>
    </row>
    <row r="319" spans="1:18" ht="32.1" customHeight="1">
      <c r="A319" s="1126"/>
      <c r="B319" s="160"/>
      <c r="C319" s="138" t="s">
        <v>3239</v>
      </c>
      <c r="D319" s="257" t="s">
        <v>3240</v>
      </c>
      <c r="E319" s="138" t="s">
        <v>3241</v>
      </c>
      <c r="F319" s="257" t="s">
        <v>3237</v>
      </c>
      <c r="G319" s="225">
        <f t="shared" si="164"/>
        <v>0</v>
      </c>
      <c r="H319" s="242">
        <f t="shared" si="176"/>
        <v>0</v>
      </c>
      <c r="I319" s="825">
        <f t="shared" si="177"/>
        <v>0</v>
      </c>
      <c r="J319" s="242">
        <f t="shared" si="178"/>
        <v>0</v>
      </c>
      <c r="K319" s="244">
        <f t="shared" si="179"/>
        <v>0</v>
      </c>
      <c r="L319" s="242">
        <f t="shared" si="172"/>
        <v>0</v>
      </c>
      <c r="M319" s="243">
        <f t="shared" si="180"/>
        <v>0</v>
      </c>
      <c r="N319" s="244">
        <f t="shared" si="181"/>
        <v>0</v>
      </c>
      <c r="O319" s="242">
        <f t="shared" si="173"/>
        <v>0</v>
      </c>
      <c r="P319" s="243">
        <f t="shared" si="174"/>
        <v>0</v>
      </c>
      <c r="Q319" s="876">
        <f t="shared" si="175"/>
        <v>0</v>
      </c>
      <c r="R319" s="845" t="s">
        <v>3242</v>
      </c>
    </row>
    <row r="320" spans="1:18" ht="32.1" customHeight="1">
      <c r="A320" s="1126"/>
      <c r="B320" s="160"/>
      <c r="C320" s="138" t="s">
        <v>3243</v>
      </c>
      <c r="D320" s="257" t="s">
        <v>3244</v>
      </c>
      <c r="E320" s="138" t="s">
        <v>3245</v>
      </c>
      <c r="F320" s="257" t="s">
        <v>3246</v>
      </c>
      <c r="G320" s="225">
        <f t="shared" si="164"/>
        <v>0</v>
      </c>
      <c r="H320" s="242">
        <f>COUNTIF(Area_v1,$C320)</f>
        <v>0</v>
      </c>
      <c r="I320" s="825">
        <f t="shared" si="177"/>
        <v>0</v>
      </c>
      <c r="J320" s="242">
        <f t="shared" si="178"/>
        <v>0</v>
      </c>
      <c r="K320" s="244">
        <f t="shared" si="179"/>
        <v>0</v>
      </c>
      <c r="L320" s="242">
        <f t="shared" si="172"/>
        <v>0</v>
      </c>
      <c r="M320" s="243">
        <f t="shared" si="180"/>
        <v>0</v>
      </c>
      <c r="N320" s="244">
        <f t="shared" si="181"/>
        <v>0</v>
      </c>
      <c r="O320" s="242">
        <f t="shared" si="173"/>
        <v>0</v>
      </c>
      <c r="P320" s="243">
        <f t="shared" si="174"/>
        <v>0</v>
      </c>
      <c r="Q320" s="876">
        <f t="shared" si="175"/>
        <v>0</v>
      </c>
      <c r="R320" s="845" t="s">
        <v>3247</v>
      </c>
    </row>
    <row r="321" spans="1:18" ht="32.1" customHeight="1">
      <c r="A321" s="1126"/>
      <c r="B321" s="160"/>
      <c r="C321" s="138" t="s">
        <v>3248</v>
      </c>
      <c r="D321" s="257" t="s">
        <v>3249</v>
      </c>
      <c r="E321" s="138" t="s">
        <v>3250</v>
      </c>
      <c r="F321" s="257" t="s">
        <v>1411</v>
      </c>
      <c r="G321" s="225">
        <f t="shared" si="164"/>
        <v>0</v>
      </c>
      <c r="H321" s="242">
        <f t="shared" si="176"/>
        <v>0</v>
      </c>
      <c r="I321" s="825">
        <f t="shared" si="177"/>
        <v>0</v>
      </c>
      <c r="J321" s="242">
        <f t="shared" si="178"/>
        <v>0</v>
      </c>
      <c r="K321" s="244">
        <f t="shared" si="179"/>
        <v>0</v>
      </c>
      <c r="L321" s="242">
        <f t="shared" si="172"/>
        <v>0</v>
      </c>
      <c r="M321" s="243">
        <f t="shared" si="180"/>
        <v>0</v>
      </c>
      <c r="N321" s="244">
        <f t="shared" si="181"/>
        <v>0</v>
      </c>
      <c r="O321" s="242">
        <f t="shared" si="173"/>
        <v>0</v>
      </c>
      <c r="P321" s="243">
        <f t="shared" si="174"/>
        <v>0</v>
      </c>
      <c r="Q321" s="876">
        <f t="shared" si="175"/>
        <v>0</v>
      </c>
      <c r="R321" s="845" t="s">
        <v>3251</v>
      </c>
    </row>
    <row r="322" spans="1:18" ht="32.1" customHeight="1">
      <c r="A322" s="1184"/>
      <c r="B322" s="1185"/>
      <c r="C322" s="140" t="s">
        <v>2171</v>
      </c>
      <c r="D322" s="259" t="s">
        <v>3252</v>
      </c>
      <c r="E322" s="140" t="s">
        <v>3253</v>
      </c>
      <c r="F322" s="259" t="s">
        <v>3254</v>
      </c>
      <c r="G322" s="230">
        <f t="shared" si="164"/>
        <v>0</v>
      </c>
      <c r="H322" s="235">
        <f t="shared" si="176"/>
        <v>0</v>
      </c>
      <c r="I322" s="823">
        <f t="shared" si="177"/>
        <v>0</v>
      </c>
      <c r="J322" s="235">
        <f t="shared" si="178"/>
        <v>0</v>
      </c>
      <c r="K322" s="237">
        <f t="shared" si="179"/>
        <v>0</v>
      </c>
      <c r="L322" s="235">
        <f t="shared" si="172"/>
        <v>0</v>
      </c>
      <c r="M322" s="236">
        <f t="shared" si="180"/>
        <v>0</v>
      </c>
      <c r="N322" s="237">
        <f t="shared" si="181"/>
        <v>0</v>
      </c>
      <c r="O322" s="235">
        <f t="shared" si="173"/>
        <v>0</v>
      </c>
      <c r="P322" s="236">
        <f t="shared" si="174"/>
        <v>0</v>
      </c>
      <c r="Q322" s="874">
        <f t="shared" si="175"/>
        <v>0</v>
      </c>
      <c r="R322" s="847" t="s">
        <v>3255</v>
      </c>
    </row>
    <row r="323" spans="1:18" ht="32.1" customHeight="1">
      <c r="A323" s="1125" t="s">
        <v>3256</v>
      </c>
      <c r="B323" s="159"/>
      <c r="C323" s="141" t="s">
        <v>3257</v>
      </c>
      <c r="D323" s="260" t="s">
        <v>3258</v>
      </c>
      <c r="E323" s="141" t="s">
        <v>3259</v>
      </c>
      <c r="F323" s="260" t="s">
        <v>1411</v>
      </c>
      <c r="G323" s="231">
        <f t="shared" si="164"/>
        <v>0</v>
      </c>
      <c r="H323" s="232">
        <f t="shared" si="176"/>
        <v>0</v>
      </c>
      <c r="I323" s="822">
        <f t="shared" si="177"/>
        <v>0</v>
      </c>
      <c r="J323" s="232">
        <f t="shared" si="178"/>
        <v>0</v>
      </c>
      <c r="K323" s="234">
        <f t="shared" si="179"/>
        <v>0</v>
      </c>
      <c r="L323" s="232">
        <f t="shared" si="172"/>
        <v>0</v>
      </c>
      <c r="M323" s="233">
        <f t="shared" si="180"/>
        <v>0</v>
      </c>
      <c r="N323" s="234">
        <f t="shared" si="181"/>
        <v>0</v>
      </c>
      <c r="O323" s="232">
        <f t="shared" si="173"/>
        <v>0</v>
      </c>
      <c r="P323" s="233">
        <f t="shared" si="174"/>
        <v>0</v>
      </c>
      <c r="Q323" s="873">
        <f t="shared" si="175"/>
        <v>0</v>
      </c>
      <c r="R323" s="848" t="s">
        <v>3260</v>
      </c>
    </row>
    <row r="324" spans="1:18" ht="32.1" customHeight="1">
      <c r="A324" s="1126"/>
      <c r="B324" s="160"/>
      <c r="C324" s="138" t="s">
        <v>3261</v>
      </c>
      <c r="D324" s="257" t="s">
        <v>3262</v>
      </c>
      <c r="E324" s="138" t="s">
        <v>3263</v>
      </c>
      <c r="F324" s="257" t="s">
        <v>3264</v>
      </c>
      <c r="G324" s="225">
        <f t="shared" si="164"/>
        <v>2051</v>
      </c>
      <c r="H324" s="242">
        <f>COUNTIF(Area_v1,"RW1")+COUNTIF(Area_v1,"RW2")*2</f>
        <v>953</v>
      </c>
      <c r="I324" s="825">
        <f>COUNTIF(Area_v2,"RW1")+COUNTIF(Area_v2,"RW2")*2</f>
        <v>836</v>
      </c>
      <c r="J324" s="242">
        <f>COUNTIF(Area_v3ZIC,"RW1")+COUNTIF(Area_v3ZIC,"RW2")*2</f>
        <v>42</v>
      </c>
      <c r="K324" s="244">
        <f>COUNTIF(Area_v4ZIC,"RW1")+COUNTIF(Area_v4ZIC,"RW2")*2</f>
        <v>34</v>
      </c>
      <c r="L324" s="242">
        <f>COUNTIF(Area_v3BIN,"RW1")+COUNTIF(Area_v3BIN,"RW2")*2</f>
        <v>30</v>
      </c>
      <c r="M324" s="243">
        <f>COUNTIF(Area_v4BIN,"RW1")+COUNTIF(Area_v4BIN,"RW2")*2</f>
        <v>18</v>
      </c>
      <c r="N324" s="244">
        <f>COUNTIF(Area_v5BIN,"RW1")+COUNTIF(Area_v5BIN,"RW2")*2</f>
        <v>15</v>
      </c>
      <c r="O324" s="242">
        <f>COUNTIF(Area_v3HAD,"RW1")+COUNTIF(Area_v3HAD,"RW2")*2</f>
        <v>29</v>
      </c>
      <c r="P324" s="243">
        <f>COUNTIF(Area_v3KFA,"RW1")+COUNTIF(Area_v3KFA,"RW2")*2</f>
        <v>52</v>
      </c>
      <c r="Q324" s="876">
        <f>COUNTIF(Area_v4KFA,"RW1")+COUNTIF(Area_v4KFA,"RW2")*2</f>
        <v>42</v>
      </c>
      <c r="R324" s="845" t="s">
        <v>3265</v>
      </c>
    </row>
    <row r="325" spans="1:18" ht="32.1" customHeight="1">
      <c r="A325" s="1126"/>
      <c r="B325" s="163" t="s">
        <v>3266</v>
      </c>
      <c r="C325" s="138" t="s">
        <v>549</v>
      </c>
      <c r="D325" s="257" t="s">
        <v>3267</v>
      </c>
      <c r="E325" s="138" t="s">
        <v>3268</v>
      </c>
      <c r="F325" s="257" t="s">
        <v>3269</v>
      </c>
      <c r="G325" s="225">
        <f t="shared" si="164"/>
        <v>50</v>
      </c>
      <c r="H325" s="242">
        <f>COUNTIF(Area_v1,$C325)</f>
        <v>16</v>
      </c>
      <c r="I325" s="825">
        <f>COUNTIF(Area_v2,$C325)</f>
        <v>21</v>
      </c>
      <c r="J325" s="242">
        <f>COUNTIF(Area_v3ZIC,$C325)</f>
        <v>0</v>
      </c>
      <c r="K325" s="244">
        <f>COUNTIF(Area_v4ZIC,$C325)</f>
        <v>0</v>
      </c>
      <c r="L325" s="242">
        <f>COUNTIF(Area_v3BIN,$C325)</f>
        <v>0</v>
      </c>
      <c r="M325" s="243">
        <f>COUNTIF(Area_v4BIN,$C325)</f>
        <v>0</v>
      </c>
      <c r="N325" s="244">
        <f>COUNTIF(Area_v5BIN,$C325)</f>
        <v>2</v>
      </c>
      <c r="O325" s="242">
        <f>COUNTIF(Area_v3HAD,$C325)</f>
        <v>8</v>
      </c>
      <c r="P325" s="243">
        <f>COUNTIF(Area_v3KFA,$C325)</f>
        <v>1</v>
      </c>
      <c r="Q325" s="876">
        <f>COUNTIF(Area_v4KFA,$C325)</f>
        <v>2</v>
      </c>
      <c r="R325" s="845" t="s">
        <v>3270</v>
      </c>
    </row>
    <row r="326" spans="1:18" ht="32.1" customHeight="1">
      <c r="A326" s="1126"/>
      <c r="B326" s="160"/>
      <c r="C326" s="138" t="s">
        <v>3271</v>
      </c>
      <c r="D326" s="257" t="s">
        <v>3272</v>
      </c>
      <c r="E326" s="138" t="s">
        <v>3273</v>
      </c>
      <c r="F326" s="257" t="s">
        <v>3264</v>
      </c>
      <c r="G326" s="225">
        <f t="shared" si="164"/>
        <v>43</v>
      </c>
      <c r="H326" s="242">
        <f>COUNTIF(Area_v1,"RW1T-S")+COUNTIF(Area_v1,"RW2T-SC")+COUNTIF(Area_v1,"RW2T-S")*2</f>
        <v>20</v>
      </c>
      <c r="I326" s="825">
        <f>COUNTIF(Area_v2,"RW1T-S")+COUNTIF(Area_v2,"RW2T-SC")+COUNTIF(Area_v2,"RW2T-S")*2</f>
        <v>23</v>
      </c>
      <c r="J326" s="242">
        <f>COUNTIF(Area_v3ZIC,"RW1T-S")+COUNTIF(Area_v3ZIC,"RW2T-SC")+COUNTIF(Area_v3ZIC,"RW2T-S")*2</f>
        <v>0</v>
      </c>
      <c r="K326" s="244">
        <f>COUNTIF(Area_v4ZIC,"RW1T-S")+COUNTIF(Area_v4ZIC,"RW2T-SC")+COUNTIF(Area_v4ZIC,"RW2T-S")*2</f>
        <v>0</v>
      </c>
      <c r="L326" s="242">
        <f>COUNTIF(Area_v3BIN,"RW1T-S")+COUNTIF(Area_v3BIN,"RW2T-SC")+COUNTIF(Area_v3BIN,"RW2T-S")*2</f>
        <v>0</v>
      </c>
      <c r="M326" s="243">
        <f>COUNTIF(Area_v4BIN,"RW1T-S")+COUNTIF(Area_v4BIN,"RW2T-SC")+COUNTIF(Area_v4BIN,"RW2T-S")*2</f>
        <v>0</v>
      </c>
      <c r="N326" s="244">
        <f>COUNTIF(Area_v5BIN,"RW1T-S")+COUNTIF(Area_v5BIN,"RW2T-SC")+COUNTIF(Area_v5BIN,"RW2T-S")*2</f>
        <v>0</v>
      </c>
      <c r="O326" s="242">
        <f>COUNTIF(Area_v3HAD,"RW1T-S")+COUNTIF(Area_v3HAD,"RW2T-SC")+COUNTIF(Area_v3HAD,"RW2T-S")*2</f>
        <v>0</v>
      </c>
      <c r="P326" s="243">
        <f>COUNTIF(Area_v3KFA,"RW1T-S")+COUNTIF(Area_v3KFA,"RW2T-SC")+COUNTIF(Area_v3KFA,"RW2T-S")*2</f>
        <v>0</v>
      </c>
      <c r="Q326" s="876">
        <f>COUNTIF(Area_v4KFA,"RW1T-S")+COUNTIF(Area_v4KFA,"RW2T-SC")+COUNTIF(Area_v4KFA,"RW2T-S")*2</f>
        <v>0</v>
      </c>
      <c r="R326" s="845" t="s">
        <v>3274</v>
      </c>
    </row>
    <row r="327" spans="1:18" ht="32.1" customHeight="1">
      <c r="A327" s="1126"/>
      <c r="B327" s="160"/>
      <c r="C327" s="138" t="s">
        <v>3275</v>
      </c>
      <c r="D327" s="257" t="s">
        <v>3276</v>
      </c>
      <c r="E327" s="138" t="s">
        <v>3277</v>
      </c>
      <c r="F327" s="257"/>
      <c r="G327" s="225">
        <f t="shared" si="164"/>
        <v>0</v>
      </c>
      <c r="H327" s="242">
        <f>COUNTIF(Area_v1,"RW1T-C")+COUNTIF(Area_v1,"RW2T-SC")+COUNTIF(Area_v1,"RW2T-C")*2</f>
        <v>0</v>
      </c>
      <c r="I327" s="825">
        <f>COUNTIF(Area_v2,"RW1T-C")+COUNTIF(Area_v2,"RW2T-SC")+COUNTIF(Area_v2,"RW2T-C")*2</f>
        <v>0</v>
      </c>
      <c r="J327" s="242">
        <f>COUNTIF(Area_v3ZIC,"RW1T-C")+COUNTIF(Area_v3ZIC,"RW2T-SC")+COUNTIF(Area_v3ZIC,"RW2T-C")*2</f>
        <v>0</v>
      </c>
      <c r="K327" s="244">
        <f>COUNTIF(Area_v4ZIC,"RW1T-C")+COUNTIF(Area_v4ZIC,"RW2T-SC")+COUNTIF(Area_v4ZIC,"RW2T-C")*2</f>
        <v>0</v>
      </c>
      <c r="L327" s="242">
        <f>COUNTIF(Area_v3BIN,"RW1T-C")+COUNTIF(Area_v3BIN,"RW2T-SC")+COUNTIF(Area_v3BIN,"RW2T-C")*2</f>
        <v>0</v>
      </c>
      <c r="M327" s="243">
        <f>COUNTIF(Area_v4BIN,"RW1T-C")+COUNTIF(Area_v4BIN,"RW2T-SC")+COUNTIF(Area_v4BIN,"RW2T-C")*2</f>
        <v>0</v>
      </c>
      <c r="N327" s="244">
        <f>COUNTIF(Area_v5BIN,"RW1T-C")+COUNTIF(Area_v5BIN,"RW2T-SC")+COUNTIF(Area_v5BIN,"RW2T-C")*2</f>
        <v>0</v>
      </c>
      <c r="O327" s="242">
        <f>COUNTIF(Area_v3HAD,"RW1T-C")+COUNTIF(Area_v3HAD,"RW2T-SC")+COUNTIF(Area_v3HAD,"RW2T-C")*2</f>
        <v>0</v>
      </c>
      <c r="P327" s="243">
        <f>COUNTIF(Area_v3KFA,"RW1T-C")+COUNTIF(Area_v3KFA,"RW2T-SC")+COUNTIF(Area_v3KFA,"RW2T-C")*2</f>
        <v>0</v>
      </c>
      <c r="Q327" s="876">
        <f>COUNTIF(Area_v4KFA,"RW1T-C")+COUNTIF(Area_v4KFA,"RW2T-SC")+COUNTIF(Area_v4KFA,"RW2T-C")*2</f>
        <v>0</v>
      </c>
      <c r="R327" s="845" t="s">
        <v>3278</v>
      </c>
    </row>
    <row r="328" spans="1:18" ht="32.1" customHeight="1">
      <c r="A328" s="1126"/>
      <c r="B328" s="160"/>
      <c r="C328" s="270" t="s">
        <v>3279</v>
      </c>
      <c r="D328" s="271" t="s">
        <v>3280</v>
      </c>
      <c r="E328" s="138" t="s">
        <v>3281</v>
      </c>
      <c r="F328" s="271"/>
      <c r="G328" s="225">
        <f t="shared" si="164"/>
        <v>24</v>
      </c>
      <c r="H328" s="273">
        <f>COUNTIF(Area_v1,"RW1-P")+COUNTIF(Area_v1,"RW2-P")*2</f>
        <v>13</v>
      </c>
      <c r="I328" s="826">
        <f>COUNTIF(Area_v2,"RW1-P")+COUNTIF(Area_v2,"RW2-P")*2</f>
        <v>9</v>
      </c>
      <c r="J328" s="273">
        <f>COUNTIF(Area_v3ZIC,"RW1-P")+COUNTIF(Area_v3ZIC,"RW-P")*2</f>
        <v>0</v>
      </c>
      <c r="K328" s="275">
        <f>COUNTIF(Area_v4ZIC,"RW1-P")+COUNTIF(Area_v4ZIC,"RW2-P")*2</f>
        <v>0</v>
      </c>
      <c r="L328" s="273">
        <f>COUNTIF(Area_v3BIN,"RW1-P")+COUNTIF(Area_v3BIN,"RW-P")*2</f>
        <v>0</v>
      </c>
      <c r="M328" s="274">
        <f>COUNTIF(Area_v4BIN,"RW1-P")+COUNTIF(Area_v4BIN,"RW2-P")*2</f>
        <v>2</v>
      </c>
      <c r="N328" s="275">
        <f>COUNTIF(Area_v5BIN,"RW1-P")+COUNTIF(Area_v5BIN,"RW2-P")*2</f>
        <v>0</v>
      </c>
      <c r="O328" s="273">
        <f>COUNTIF(Area_v3HAD,"RW1-P")+COUNTIF(Area_v3HAD,"RW-P")*2</f>
        <v>0</v>
      </c>
      <c r="P328" s="274">
        <f>COUNTIF(Area_v3KFA,"RW1-P")+COUNTIF(Area_v3KFA,"RW-P")*2</f>
        <v>0</v>
      </c>
      <c r="Q328" s="877">
        <f>COUNTIF(Area_v4KFA,"RW1-P")+COUNTIF(Area_v4KFA,"RW-P")*2</f>
        <v>0</v>
      </c>
      <c r="R328" s="845" t="s">
        <v>3282</v>
      </c>
    </row>
    <row r="329" spans="1:18" ht="32.1" customHeight="1">
      <c r="A329" s="1184"/>
      <c r="B329" s="164" t="s">
        <v>3283</v>
      </c>
      <c r="C329" s="140" t="s">
        <v>2175</v>
      </c>
      <c r="D329" s="259" t="s">
        <v>3284</v>
      </c>
      <c r="E329" s="140" t="s">
        <v>3285</v>
      </c>
      <c r="F329" s="259" t="s">
        <v>3286</v>
      </c>
      <c r="G329" s="230">
        <f t="shared" si="164"/>
        <v>0</v>
      </c>
      <c r="H329" s="235">
        <f>COUNTIF(Area_v1,$C329)*2</f>
        <v>0</v>
      </c>
      <c r="I329" s="823">
        <f>COUNTIF(Area_v2,$C329)*2</f>
        <v>0</v>
      </c>
      <c r="J329" s="235">
        <f>COUNTIF(Area_v3ZIC,$C329)*2</f>
        <v>0</v>
      </c>
      <c r="K329" s="237">
        <f>COUNTIF(Area_v4ZIC,$C329)*2</f>
        <v>0</v>
      </c>
      <c r="L329" s="235">
        <f>COUNTIF(Area_v3BIN,$C329)*2</f>
        <v>0</v>
      </c>
      <c r="M329" s="236">
        <f>COUNTIF(Area_v4BIN,$C329)*2</f>
        <v>0</v>
      </c>
      <c r="N329" s="237">
        <f>COUNTIF(Area_v5BIN,$C329)*2</f>
        <v>0</v>
      </c>
      <c r="O329" s="235">
        <f>COUNTIF(Area_v3HAD,$C329)*2</f>
        <v>0</v>
      </c>
      <c r="P329" s="236">
        <f>COUNTIF(Area_v3KFA,$C329)*2</f>
        <v>0</v>
      </c>
      <c r="Q329" s="874">
        <f>COUNTIF(Area_v4KFA,$C329)*2</f>
        <v>0</v>
      </c>
      <c r="R329" s="847" t="s">
        <v>3287</v>
      </c>
    </row>
    <row r="330" spans="1:18" ht="32.1" customHeight="1">
      <c r="A330" s="1145" t="s">
        <v>3288</v>
      </c>
      <c r="B330" s="277" t="s">
        <v>3289</v>
      </c>
      <c r="C330" s="141" t="s">
        <v>3290</v>
      </c>
      <c r="D330" s="260" t="s">
        <v>3291</v>
      </c>
      <c r="E330" s="141" t="s">
        <v>3292</v>
      </c>
      <c r="F330" s="260">
        <v>6680</v>
      </c>
      <c r="G330" s="231">
        <f t="shared" si="164"/>
        <v>10</v>
      </c>
      <c r="H330" s="232">
        <f>COUNTIF(Area_S1,"DISC/NS")+COUNTIF(Area_S1,"DISC/IO*")+COUNTIF(Area_S1,"DISC/PP*")+COUNTIF(Area_S1,"DISC/SI*")</f>
        <v>7</v>
      </c>
      <c r="I330" s="822">
        <f>COUNTIF(Area_S2,"DISC/NS")+COUNTIF(Area_S2,"DISC/IO*")+COUNTIF(Area_S2,"DISC/PP*")+COUNTIF(Area_S2,"DISC/SI*")</f>
        <v>3</v>
      </c>
      <c r="J330" s="232">
        <f>COUNTIF(Area_S3ZIC,"DISC/NS")+COUNTIF(Area_S3ZIC,"DISC/IO*")+COUNTIF(Area_S3ZIC,"DISC/PP*")+COUNTIF(Area_S3ZIC,"DISC/SI*")</f>
        <v>0</v>
      </c>
      <c r="K330" s="234">
        <f>COUNTIF(Area_S4ZIC,"DISC/NS")+COUNTIF(Area_S4ZIC,"DISC/IO*")+COUNTIF(Area_S4ZIC,"DISC/PP*")+COUNTIF(Area_S4ZIC,"DISC/SI*")</f>
        <v>0</v>
      </c>
      <c r="L330" s="232">
        <f>COUNTIF(Area_S3BIN,"DISC/NS")+COUNTIF(Area_S3BIN,"DISC/IO*")+COUNTIF(Area_S3BIN,"DISC/PP*")+COUNTIF(Area_S3BIN,"DISC/SI*")</f>
        <v>0</v>
      </c>
      <c r="M330" s="233">
        <f>COUNTIF(Area_S4BIN,"DISC/NS")+COUNTIF(Area_S4BIN,"DISC/IO*")+COUNTIF(Area_S4BIN,"DISC/PP*")+COUNTIF(Area_S4BIN,"DISC/SI*")</f>
        <v>0</v>
      </c>
      <c r="N330" s="234">
        <f>COUNTIF(Area_S5BIN,"DISC/NS")+COUNTIF(Area_S5BIN,"DISC/IO*")+COUNTIF(Area_S5BIN,"DISC/PP*")+COUNTIF(Area_S5BIN,"DISC/SI*")</f>
        <v>0</v>
      </c>
      <c r="O330" s="232">
        <f>COUNTIF(Area_S3HAD,"DISC/NS")+COUNTIF(Area_S3HAD,"DISC/IO*")+COUNTIF(Area_S3HAD,"DISC/PP*")+COUNTIF(Area_S3HAD,"DISC/SI*")</f>
        <v>0</v>
      </c>
      <c r="P330" s="233">
        <f>COUNTIF(Area_S3KFA,"DISC/NS")+COUNTIF(Area_S3KFA,"DISC/IO*")+COUNTIF(Area_S3KFA,"DISC/PP*")+COUNTIF(Area_S3KFA,"DISC/SI*")</f>
        <v>0</v>
      </c>
      <c r="Q330" s="873">
        <f>COUNTIF(Area_S4KFA,"DISC/NS")+COUNTIF(Area_S4KFA,"DISC/IO*")+COUNTIF(Area_S4KFA,"DISC/PP*")+COUNTIF(Area_S4KFA,"DISC/SI*")</f>
        <v>0</v>
      </c>
      <c r="R330" s="848" t="s">
        <v>3293</v>
      </c>
    </row>
    <row r="331" spans="1:18" ht="32.1" customHeight="1">
      <c r="A331" s="1146"/>
      <c r="B331" s="163" t="s">
        <v>3294</v>
      </c>
      <c r="C331" s="138" t="s">
        <v>3295</v>
      </c>
      <c r="D331" s="257" t="s">
        <v>3291</v>
      </c>
      <c r="E331" s="138" t="s">
        <v>3292</v>
      </c>
      <c r="F331" s="257">
        <v>6680</v>
      </c>
      <c r="G331" s="225">
        <f t="shared" si="164"/>
        <v>3</v>
      </c>
      <c r="H331" s="242">
        <f>COUNTIF(Area_S1,"FS-1")+COUNTIF(Area_S1,"FS/PP-2")*2+COUNTIF(Area_S1,"FS/PP-3")*2</f>
        <v>2</v>
      </c>
      <c r="I331" s="825">
        <f>COUNTIF(Area_S2,"FS-1")+COUNTIF(Area_S2,"FS/PP-2")*2+COUNTIF(Area_S2,"FS/PP-3")*2</f>
        <v>1</v>
      </c>
      <c r="J331" s="242">
        <f>COUNTIF(Area_S3ZIC,"FS-1")+COUNTIF(Area_S3ZIC,"FS/PP-2")*2+COUNTIF(Area_S3ZIC,"FS/PP-3")*2</f>
        <v>0</v>
      </c>
      <c r="K331" s="244">
        <f>COUNTIF(Area_S4ZIC,"FS-1")+COUNTIF(Area_S4ZIC,"FS/PP-2")*2+COUNTIF(Area_S4ZIC,"FS/PP-3")*2</f>
        <v>0</v>
      </c>
      <c r="L331" s="242">
        <f>COUNTIF(Area_S3BIN,"FS-1")+COUNTIF(Area_S3BIN,"FS/PP-2")*2+COUNTIF(Area_S3BIN,"FS/PP-3")*2</f>
        <v>0</v>
      </c>
      <c r="M331" s="243">
        <f>COUNTIF(Area_S4BIN,"FS-1")+COUNTIF(Area_S4BIN,"FS/PP-2")*2+COUNTIF(Area_S4BIN,"FS/PP-3")*2</f>
        <v>0</v>
      </c>
      <c r="N331" s="244">
        <f>COUNTIF(Area_S5BIN,"FS-1")+COUNTIF(Area_S5BIN,"FS/PP-2")*2+COUNTIF(Area_S5BIN,"FS/PP-3")*2</f>
        <v>0</v>
      </c>
      <c r="O331" s="242">
        <f>COUNTIF(Area_S3HAD,"FS-1")+COUNTIF(Area_S3HAD,"FS/PP-2")*2+COUNTIF(Area_S3HAD,"FS/PP-3")*2</f>
        <v>0</v>
      </c>
      <c r="P331" s="243">
        <f>COUNTIF(Area_S3KFA,"FS-1")+COUNTIF(Area_S3KFA,"FS/PP-2")*2+COUNTIF(Area_S3KFA,"FS/PP-3")*2</f>
        <v>0</v>
      </c>
      <c r="Q331" s="876">
        <f>COUNTIF(Area_S4KFA,"FS-1")+COUNTIF(Area_S4KFA,"FS/PP-2")*2+COUNTIF(Area_S4KFA,"FS/PP-3")*2</f>
        <v>0</v>
      </c>
      <c r="R331" s="845"/>
    </row>
    <row r="332" spans="1:18" ht="32.1" customHeight="1">
      <c r="A332" s="1146"/>
      <c r="B332" s="160"/>
      <c r="C332" s="138" t="s">
        <v>3296</v>
      </c>
      <c r="D332" s="257" t="s">
        <v>3297</v>
      </c>
      <c r="E332" s="138" t="s">
        <v>3298</v>
      </c>
      <c r="F332" s="257">
        <v>6682</v>
      </c>
      <c r="G332" s="225">
        <f t="shared" si="164"/>
        <v>38</v>
      </c>
      <c r="H332" s="242">
        <f>COUNTIF(Area_S1,"LoadB")+COUNTIF(Area_S1,"LoadB/t*")+COUNTIF(Area_S1,"LoadB/IO*")+COUNTIF(Area_S1,"LoadB/NS*")</f>
        <v>19</v>
      </c>
      <c r="I332" s="825">
        <f>COUNTIF(Area_S2,"LoadB")+COUNTIF(Area_S2,"LoadB/t*")+COUNTIF(Area_S2,"LoadB/IO*")+COUNTIF(Area_S2,"LoadB/NS*")</f>
        <v>19</v>
      </c>
      <c r="J332" s="242">
        <f>COUNTIF(Area_S3ZIC,"LoadB")+COUNTIF(Area_S3ZIC,"LoadB/t*")+COUNTIF(Area_S3ZIC,"LoadB/IO*")+COUNTIF(Area_S3ZIC,"LoadB/NS*")</f>
        <v>0</v>
      </c>
      <c r="K332" s="244">
        <f>COUNTIF(Area_S4ZIC,"LoadB")+COUNTIF(Area_S4ZIC,"LoadB/t*")+COUNTIF(Area_S4ZIC,"LoadB/IO*")+COUNTIF(Area_S4ZIC,"LoadB/NS*")</f>
        <v>0</v>
      </c>
      <c r="L332" s="242">
        <f>COUNTIF(Area_S3BIN,"LoadB")+COUNTIF(Area_S3BIN,"LoadB/t*")+COUNTIF(Area_S3BIN,"LoadB/IO*")+COUNTIF(Area_S3BIN,"LoadB/NS*")</f>
        <v>0</v>
      </c>
      <c r="M332" s="243">
        <f>COUNTIF(Area_S4BIN,"LoadB")+COUNTIF(Area_S4BIN,"LoadB/t*")+COUNTIF(Area_S4BIN,"LoadB/IO*")+COUNTIF(Area_S4BIN,"LoadB/NS*")</f>
        <v>0</v>
      </c>
      <c r="N332" s="244">
        <f>COUNTIF(Area_S5BIN,"LoadB")+COUNTIF(Area_S5BIN,"LoadB/t*")+COUNTIF(Area_S5BIN,"LoadB/IO*")+COUNTIF(Area_S5BIN,"LoadB/NS*")</f>
        <v>0</v>
      </c>
      <c r="O332" s="242">
        <f>COUNTIF(Area_S3HAD,"LoadB")+COUNTIF(Area_S3HAD,"LoadB/t*")+COUNTIF(Area_S3HAD,"LoadB/IO*")+COUNTIF(Area_S3HAD,"LoadB/NS*")</f>
        <v>0</v>
      </c>
      <c r="P332" s="243">
        <f>COUNTIF(Area_S3KFA,"LoadB")+COUNTIF(Area_S3KFA,"LoadB/t*")+COUNTIF(Area_S3KFA,"LoadB/IO*")+COUNTIF(Area_S3KFA,"LoadB/NS*")</f>
        <v>0</v>
      </c>
      <c r="Q332" s="876">
        <f>COUNTIF(Area_S4KFA,"LoadB")+COUNTIF(Area_S4KFA,"LoadB/t*")+COUNTIF(Area_S4KFA,"LoadB/IO*")+COUNTIF(Area_S4KFA,"LoadB/NS*")</f>
        <v>0</v>
      </c>
      <c r="R332" s="845" t="s">
        <v>3299</v>
      </c>
    </row>
    <row r="333" spans="1:18" ht="32.1" customHeight="1">
      <c r="A333" s="1146"/>
      <c r="B333" s="163" t="s">
        <v>3294</v>
      </c>
      <c r="C333" s="138" t="s">
        <v>3300</v>
      </c>
      <c r="D333" s="257" t="s">
        <v>3297</v>
      </c>
      <c r="E333" s="138" t="s">
        <v>3298</v>
      </c>
      <c r="F333" s="257">
        <v>6682</v>
      </c>
      <c r="G333" s="225">
        <f t="shared" si="164"/>
        <v>4</v>
      </c>
      <c r="H333" s="242">
        <f>COUNTIF(Area_S1,"LoadB/PP*")+COUNTIF(Area_S1,"PP-2")+COUNTIF(Area_S1,"PP-4")*5+COUNTIF(Area_S1,"FS/PP-2")+COUNTIF(Area_S1,"FS/PP-3")*3</f>
        <v>1</v>
      </c>
      <c r="I333" s="825">
        <f>COUNTIF(Area_S2,"LoadB/PP*")+COUNTIF(Area_S2,"PP-2")+COUNTIF(Area_S2,"PP-4")*5+COUNTIF(Area_S2,"FS/PP-2")+COUNTIF(Area_S2,"FS/PP-3")*3</f>
        <v>3</v>
      </c>
      <c r="J333" s="242">
        <f>COUNTIF(Area_S3ZIC,"LoadB/PP*")+COUNTIF(Area_S3ZIC,"PP-2")+COUNTIF(Area_S3ZIC,"PP-4")*5+COUNTIF(Area_S3ZIC,"FS/PP-2")+COUNTIF(Area_S3ZIC,"FS/PP-3")*3</f>
        <v>0</v>
      </c>
      <c r="K333" s="244">
        <f>COUNTIF(Area_S4ZIC,"LoadB/PP*")+COUNTIF(Area_S4ZIC,"PP-2")+COUNTIF(Area_S4ZIC,"PP-4")*5+COUNTIF(Area_S4ZIC,"FS/PP-2")+COUNTIF(Area_S4ZIC,"FS/PP-3")*3</f>
        <v>0</v>
      </c>
      <c r="L333" s="242">
        <f>COUNTIF(Area_S3BIN,"LoadB/PP*")+COUNTIF(Area_S3BIN,"PP-2")+COUNTIF(Area_S3BIN,"PP-4")*5+COUNTIF(Area_S3BIN,"FS/PP-2")+COUNTIF(Area_S3BIN,"FS/PP-3")*3</f>
        <v>0</v>
      </c>
      <c r="M333" s="243">
        <f>COUNTIF(Area_S4BIN,"LoadB/PP*")+COUNTIF(Area_S4BIN,"PP-2")+COUNTIF(Area_S4BIN,"PP-4")*5+COUNTIF(Area_S4BIN,"FS/PP-2")+COUNTIF(Area_S4BIN,"FS/PP-3")*3</f>
        <v>0</v>
      </c>
      <c r="N333" s="244">
        <f>COUNTIF(Area_S5BIN,"LoadB/PP*")+COUNTIF(Area_S5BIN,"PP-2")+COUNTIF(Area_S5BIN,"PP-4")*5+COUNTIF(Area_S5BIN,"FS/PP-2")+COUNTIF(Area_S5BIN,"FS/PP-3")*3</f>
        <v>0</v>
      </c>
      <c r="O333" s="242">
        <f>COUNTIF(Area_S3HAD,"LoadB/PP*")+COUNTIF(Area_S3HAD,"PP-2")+COUNTIF(Area_S3HAD,"PP-4")*5+COUNTIF(Area_S3HAD,"FS/PP-2")+COUNTIF(Area_S3HAD,"FS/PP-3")*3</f>
        <v>0</v>
      </c>
      <c r="P333" s="243">
        <f>COUNTIF(Area_S3KFA,"LoadB/PP*")+COUNTIF(Area_S3KFA,"PP-2")+COUNTIF(Area_S3KFA,"PP-4")*5+COUNTIF(Area_S3KFA,"FS/PP-2")+COUNTIF(Area_S3KFA,"FS/PP-3")*3</f>
        <v>0</v>
      </c>
      <c r="Q333" s="876">
        <f>COUNTIF(Area_S4KFA,"LoadB/PP*")+COUNTIF(Area_S4KFA,"PP-2")+COUNTIF(Area_S4KFA,"PP-4")*5+COUNTIF(Area_S4KFA,"FS/PP-2")+COUNTIF(Area_S4KFA,"FS/PP-3")*3</f>
        <v>0</v>
      </c>
      <c r="R333" s="845"/>
    </row>
    <row r="334" spans="1:18" ht="32.1" customHeight="1">
      <c r="A334" s="1146"/>
      <c r="B334" s="926"/>
      <c r="C334" s="138"/>
      <c r="D334" s="257"/>
      <c r="E334" s="138"/>
      <c r="F334" s="257"/>
      <c r="G334" s="225">
        <f>SUM(G330:G333)</f>
        <v>55</v>
      </c>
      <c r="H334" s="242">
        <f>SUM(H330:H333)</f>
        <v>29</v>
      </c>
      <c r="I334" s="242">
        <f>SUM(I330:I333)</f>
        <v>26</v>
      </c>
      <c r="J334" s="242"/>
      <c r="K334" s="244"/>
      <c r="L334" s="242"/>
      <c r="M334" s="243"/>
      <c r="N334" s="244"/>
      <c r="O334" s="242"/>
      <c r="P334" s="243"/>
      <c r="Q334" s="876"/>
      <c r="R334" s="845"/>
    </row>
    <row r="335" spans="1:18" ht="32.1" customHeight="1">
      <c r="A335" s="1146"/>
      <c r="B335" s="160"/>
      <c r="C335" s="138" t="s">
        <v>3301</v>
      </c>
      <c r="D335" s="257" t="s">
        <v>3302</v>
      </c>
      <c r="E335" s="138" t="s">
        <v>3303</v>
      </c>
      <c r="F335" s="257" t="s">
        <v>1411</v>
      </c>
      <c r="G335" s="225">
        <f t="shared" si="164"/>
        <v>0</v>
      </c>
      <c r="H335" s="242">
        <f>COUNTIF(Area_S1,$C335)</f>
        <v>0</v>
      </c>
      <c r="I335" s="825">
        <f>COUNTIF(Area_S2,$C335)</f>
        <v>0</v>
      </c>
      <c r="J335" s="242">
        <f>COUNTIF(Area_S3ZIC,$C335)</f>
        <v>0</v>
      </c>
      <c r="K335" s="244">
        <f>COUNTIF(Area_S4ZIC,$C335)</f>
        <v>0</v>
      </c>
      <c r="L335" s="242">
        <f>COUNTIF(Area_S3BIN,$C335)</f>
        <v>0</v>
      </c>
      <c r="M335" s="243">
        <f>COUNTIF(Area_S4BIN,$C335)</f>
        <v>0</v>
      </c>
      <c r="N335" s="244">
        <f>COUNTIF(Area_S5BIN,$C335)</f>
        <v>0</v>
      </c>
      <c r="O335" s="242">
        <f>COUNTIF(Area_S3HAD,$C335)</f>
        <v>0</v>
      </c>
      <c r="P335" s="243">
        <f>COUNTIF(Area_S3KFA,$C335)</f>
        <v>0</v>
      </c>
      <c r="Q335" s="876">
        <f>COUNTIF(Area_S4KFA,$C335)</f>
        <v>0</v>
      </c>
      <c r="R335" s="845" t="s">
        <v>3304</v>
      </c>
    </row>
    <row r="336" spans="1:18" ht="32.1" customHeight="1">
      <c r="A336" s="1146"/>
      <c r="B336" s="160"/>
      <c r="C336" s="138" t="s">
        <v>3305</v>
      </c>
      <c r="D336" s="257" t="s">
        <v>3306</v>
      </c>
      <c r="E336" s="138" t="s">
        <v>3307</v>
      </c>
      <c r="F336" s="257">
        <v>6173</v>
      </c>
      <c r="G336" s="225">
        <f t="shared" si="164"/>
        <v>0</v>
      </c>
      <c r="H336" s="242">
        <f>COUNTIF(Area_S1,"ED")+COUNTIF(Area_S1,"ED/T")</f>
        <v>0</v>
      </c>
      <c r="I336" s="825">
        <f>COUNTIF(Area_S2,"ED")+COUNTIF(Area_S2,"ED/T")</f>
        <v>0</v>
      </c>
      <c r="J336" s="242">
        <f>COUNTIF(Area_S3ZIC,"ED")+COUNTIF(Area_S3ZIC,"ED/T")</f>
        <v>0</v>
      </c>
      <c r="K336" s="244">
        <f>COUNTIF(Area_S4ZIC,"ED")+COUNTIF(Area_S4ZIC,"ED/T")</f>
        <v>0</v>
      </c>
      <c r="L336" s="242">
        <f>COUNTIF(Area_S3BIN,"ED")+COUNTIF(Area_S3BIN,"ED/T")</f>
        <v>0</v>
      </c>
      <c r="M336" s="243">
        <f>COUNTIF(Area_S4BIN,"ED")+COUNTIF(Area_S4BIN,"ED/T")</f>
        <v>0</v>
      </c>
      <c r="N336" s="244">
        <f>COUNTIF(Area_S5BIN,"ED")+COUNTIF(Area_S5BIN,"ED/T")</f>
        <v>0</v>
      </c>
      <c r="O336" s="242">
        <f>COUNTIF(Area_S3HAD,"ED")+COUNTIF(Area_S3HAD,"ED/T")</f>
        <v>0</v>
      </c>
      <c r="P336" s="243">
        <f>COUNTIF(Area_S3KFA,"ED")+COUNTIF(Area_S3KFA,"ED/T")</f>
        <v>0</v>
      </c>
      <c r="Q336" s="876">
        <f>COUNTIF(Area_S4KFA,"ED")+COUNTIF(Area_S4KFA,"ED/T")</f>
        <v>0</v>
      </c>
      <c r="R336" s="845" t="s">
        <v>3308</v>
      </c>
    </row>
    <row r="337" spans="1:18" ht="32.1" customHeight="1">
      <c r="A337" s="1146"/>
      <c r="B337" s="160"/>
      <c r="C337" s="276" t="s">
        <v>2158</v>
      </c>
      <c r="D337" s="261" t="s">
        <v>3309</v>
      </c>
      <c r="E337" s="150" t="s">
        <v>3310</v>
      </c>
      <c r="F337" s="261">
        <v>6684</v>
      </c>
      <c r="G337" s="238">
        <f t="shared" si="164"/>
        <v>0</v>
      </c>
      <c r="H337" s="239">
        <f>+COUNTIF(Area_S1,$C337)</f>
        <v>0</v>
      </c>
      <c r="I337" s="824">
        <f>COUNTIF(Area_S2,$C337)</f>
        <v>0</v>
      </c>
      <c r="J337" s="239">
        <f>COUNTIF(Area_S3ZIC,$C337)</f>
        <v>0</v>
      </c>
      <c r="K337" s="241">
        <f>COUNTIF(Area_S4ZIC,$C337)</f>
        <v>0</v>
      </c>
      <c r="L337" s="239">
        <f>COUNTIF(Area_S3BIN,$C337)</f>
        <v>0</v>
      </c>
      <c r="M337" s="240">
        <f>COUNTIF(Area_S4BIN,$C337)</f>
        <v>0</v>
      </c>
      <c r="N337" s="241">
        <f>COUNTIF(Area_S5BIN,$C337)</f>
        <v>0</v>
      </c>
      <c r="O337" s="239">
        <f>COUNTIF(Area_S3HAD,$C337)</f>
        <v>0</v>
      </c>
      <c r="P337" s="240">
        <f>COUNTIF(Area_S3KFA,$C337)</f>
        <v>0</v>
      </c>
      <c r="Q337" s="875">
        <f>COUNTIF(Area_S4KFA,$C337)</f>
        <v>0</v>
      </c>
      <c r="R337" s="854" t="s">
        <v>2157</v>
      </c>
    </row>
    <row r="338" spans="1:18" ht="32.1" customHeight="1">
      <c r="A338" s="1146"/>
      <c r="B338" s="160"/>
      <c r="C338" s="138" t="s">
        <v>668</v>
      </c>
      <c r="D338" s="257" t="s">
        <v>3311</v>
      </c>
      <c r="E338" s="138" t="s">
        <v>3312</v>
      </c>
      <c r="F338" s="257"/>
      <c r="G338" s="225">
        <f t="shared" si="164"/>
        <v>10</v>
      </c>
      <c r="H338" s="242">
        <f>COUNTIF(Area_S1,$C338)</f>
        <v>5</v>
      </c>
      <c r="I338" s="825">
        <f>COUNTIF(Area_S2,$C338)</f>
        <v>5</v>
      </c>
      <c r="J338" s="242">
        <f>COUNTIF(Area_S3ZIC,$C338)</f>
        <v>0</v>
      </c>
      <c r="K338" s="244">
        <f>COUNTIF(Area_S4ZIC,$C338)</f>
        <v>0</v>
      </c>
      <c r="L338" s="242">
        <f>COUNTIF(Area_S3BIN,$C338)</f>
        <v>0</v>
      </c>
      <c r="M338" s="243">
        <f>COUNTIF(Area_S4BIN,$C338)</f>
        <v>0</v>
      </c>
      <c r="N338" s="244">
        <f>COUNTIF(Area_S5BIN,$C338)</f>
        <v>0</v>
      </c>
      <c r="O338" s="242">
        <f>COUNTIF(Area_S3HAD,$C338)</f>
        <v>0</v>
      </c>
      <c r="P338" s="243">
        <f>COUNTIF(Area_S3KFA,$C338)</f>
        <v>0</v>
      </c>
      <c r="Q338" s="876">
        <f>COUNTIF(Area_S4KFA,$C338)</f>
        <v>0</v>
      </c>
      <c r="R338" s="845" t="s">
        <v>2160</v>
      </c>
    </row>
    <row r="339" spans="1:18" ht="32.1" customHeight="1">
      <c r="A339" s="1146"/>
      <c r="B339" s="160"/>
      <c r="C339" s="138" t="s">
        <v>2166</v>
      </c>
      <c r="D339" s="257" t="s">
        <v>3313</v>
      </c>
      <c r="E339" s="138" t="s">
        <v>3314</v>
      </c>
      <c r="F339" s="257"/>
      <c r="G339" s="225">
        <f t="shared" si="164"/>
        <v>0</v>
      </c>
      <c r="H339" s="242">
        <f>COUNTIF(Area_S1,$C339)</f>
        <v>0</v>
      </c>
      <c r="I339" s="825">
        <f>COUNTIF(Area_S2,$C339)</f>
        <v>0</v>
      </c>
      <c r="J339" s="242">
        <f>COUNTIF(Area_S3ZIC,$C339)</f>
        <v>0</v>
      </c>
      <c r="K339" s="244">
        <f>COUNTIF(Area_S4ZIC,$C339)</f>
        <v>0</v>
      </c>
      <c r="L339" s="242">
        <f>COUNTIF(Area_S3BIN,$C339)</f>
        <v>0</v>
      </c>
      <c r="M339" s="243">
        <f>COUNTIF(Area_S4BIN,$C339)</f>
        <v>0</v>
      </c>
      <c r="N339" s="244">
        <f>COUNTIF(Area_S5BIN,$C339)</f>
        <v>0</v>
      </c>
      <c r="O339" s="242">
        <f>COUNTIF(Area_S3HAD,$C339)</f>
        <v>0</v>
      </c>
      <c r="P339" s="243">
        <f>COUNTIF(Area_S3KFA,$C339)</f>
        <v>0</v>
      </c>
      <c r="Q339" s="876">
        <f>COUNTIF(Area_S4KFA,$C339)</f>
        <v>0</v>
      </c>
      <c r="R339" s="845" t="s">
        <v>2165</v>
      </c>
    </row>
    <row r="340" spans="1:18" ht="32.1" customHeight="1">
      <c r="A340" s="1146"/>
      <c r="B340" s="160"/>
      <c r="C340" s="138" t="s">
        <v>2131</v>
      </c>
      <c r="D340" s="257" t="s">
        <v>3315</v>
      </c>
      <c r="E340" s="138" t="s">
        <v>3316</v>
      </c>
      <c r="F340" s="257">
        <v>6172</v>
      </c>
      <c r="G340" s="225">
        <f t="shared" si="164"/>
        <v>0</v>
      </c>
      <c r="H340" s="242">
        <f>COUNTIF(Area_S1,$C340)</f>
        <v>0</v>
      </c>
      <c r="I340" s="825">
        <f>COUNTIF(Area_S2,$C340)</f>
        <v>0</v>
      </c>
      <c r="J340" s="242">
        <f>COUNTIF(Area_S3ZIC,$C340)</f>
        <v>0</v>
      </c>
      <c r="K340" s="244">
        <f>COUNTIF(Area_S4ZIC,$C340)</f>
        <v>0</v>
      </c>
      <c r="L340" s="242">
        <f>COUNTIF(Area_S3BIN,$C340)</f>
        <v>0</v>
      </c>
      <c r="M340" s="243">
        <f>COUNTIF(Area_S4BIN,$C340)</f>
        <v>0</v>
      </c>
      <c r="N340" s="244">
        <f>COUNTIF(Area_S5BIN,$C340)</f>
        <v>0</v>
      </c>
      <c r="O340" s="242">
        <f>COUNTIF(Area_S3HAD,$C340)</f>
        <v>0</v>
      </c>
      <c r="P340" s="243">
        <f>COUNTIF(Area_S3KFA,$C340)</f>
        <v>0</v>
      </c>
      <c r="Q340" s="876">
        <f>COUNTIF(Area_S4KFA,$C340)</f>
        <v>0</v>
      </c>
      <c r="R340" s="845" t="s">
        <v>3317</v>
      </c>
    </row>
    <row r="341" spans="1:18" ht="32.1" customHeight="1">
      <c r="A341" s="1146"/>
      <c r="B341" s="160"/>
      <c r="C341" s="138" t="s">
        <v>3318</v>
      </c>
      <c r="D341" s="257" t="s">
        <v>3319</v>
      </c>
      <c r="E341" s="138" t="s">
        <v>3320</v>
      </c>
      <c r="F341" s="257" t="s">
        <v>3321</v>
      </c>
      <c r="G341" s="225">
        <f t="shared" si="164"/>
        <v>10</v>
      </c>
      <c r="H341" s="242">
        <f>COUNTIF(Area_S1,"DISC/NS")+COUNTIF(Area_S1,"DISC/IO*")+COUNTIF(Area_S1,"DISC/PP*")+COUNTIF(Area_S1,"DISC/SI*")</f>
        <v>7</v>
      </c>
      <c r="I341" s="825">
        <f>COUNTIF(Area_S2,"DISC/NS")+COUNTIF(Area_S2,"DISC/IO*")+COUNTIF(Area_S2,"DISC/PP*")+COUNTIF(Area_S2,"DISC/SI*")</f>
        <v>3</v>
      </c>
      <c r="J341" s="242">
        <f>COUNTIF(Area_S3ZIC,"DISC/NS")+COUNTIF(Area_S3ZIC,"DISC/IO*")+COUNTIF(Area_S3ZIC,"DISC/PP*")+COUNTIF(Area_S3ZIC,"DISC/SI*")</f>
        <v>0</v>
      </c>
      <c r="K341" s="244">
        <f>COUNTIF(Area_S4ZIC,"DISC/NS")+COUNTIF(Area_S4ZIC,"DISC/IO*")+COUNTIF(Area_S4ZIC,"DISC/PP*")+COUNTIF(Area_S4ZIC,"DISC/SI*")</f>
        <v>0</v>
      </c>
      <c r="L341" s="242">
        <f>COUNTIF(Area_S3BIN,"DISC/NS")+COUNTIF(Area_S3BIN,"DISC/IO*")+COUNTIF(Area_S3BIN,"DISC/PP*")+COUNTIF(Area_S3BIN,"DISC/SI*")</f>
        <v>0</v>
      </c>
      <c r="M341" s="243">
        <f>COUNTIF(Area_S4BIN,"DISC/NS")+COUNTIF(Area_S4BIN,"DISC/IO*")+COUNTIF(Area_S4BIN,"DISC/PP*")+COUNTIF(Area_S4BIN,"DISC/SI*")</f>
        <v>0</v>
      </c>
      <c r="N341" s="244">
        <f>COUNTIF(Area_S5BIN,"DISC/NS")+COUNTIF(Area_S5BIN,"DISC/IO*")+COUNTIF(Area_S5BIN,"DISC/PP*")+COUNTIF(Area_S5BIN,"DISC/SI*")</f>
        <v>0</v>
      </c>
      <c r="O341" s="242">
        <f>COUNTIF(Area_S3HAD,"DISC/NS")+COUNTIF(Area_S3HAD,"DISC/IO*")+COUNTIF(Area_S3HAD,"DISC/PP*")+COUNTIF(Area_S3HAD,"DISC/SI*")</f>
        <v>0</v>
      </c>
      <c r="P341" s="243">
        <f>COUNTIF(Area_S3KFA,"DISC/NS")+COUNTIF(Area_S3KFA,"DISC/IO*")+COUNTIF(Area_S3KFA,"DISC/PP*")+COUNTIF(Area_S3KFA,"DISC/SI*")</f>
        <v>0</v>
      </c>
      <c r="Q341" s="876">
        <f>COUNTIF(Area_S4KFA,"DISC/NS")+COUNTIF(Area_S4KFA,"DISC/IO*")+COUNTIF(Area_S4KFA,"DISC/PP*")+COUNTIF(Area_S4KFA,"DISC/SI*")</f>
        <v>0</v>
      </c>
      <c r="R341" s="845" t="s">
        <v>3322</v>
      </c>
    </row>
    <row r="342" spans="1:18" ht="32.1" customHeight="1">
      <c r="A342" s="1146"/>
      <c r="B342" s="160"/>
      <c r="C342" s="138" t="s">
        <v>3323</v>
      </c>
      <c r="D342" s="257" t="s">
        <v>3324</v>
      </c>
      <c r="E342" s="138" t="s">
        <v>3325</v>
      </c>
      <c r="F342" s="257"/>
      <c r="G342" s="225">
        <f t="shared" si="164"/>
        <v>17</v>
      </c>
      <c r="H342" s="242">
        <f>+COUNTIF(Area_S1,"DISC/IO-pr")+COUNTIF(Area_S1,"DISC/PP-pr")+COUNTIF(Area_S1,"DISC-pr")</f>
        <v>7</v>
      </c>
      <c r="I342" s="825">
        <f>+COUNTIF(Area_S2,"DISC/IO-pr")+COUNTIF(Area_S2,"DISC/PP-pr")+COUNTIF(Area_S2,"DISC-pr")</f>
        <v>2</v>
      </c>
      <c r="J342" s="242">
        <f>+COUNTIF(Area_S3ZIC,"DISC/IO-pr")+COUNTIF(Area_S3ZIC,"DISC/PP-pr")+COUNTIF(Area_S3ZIC,"DISC-pr")</f>
        <v>1</v>
      </c>
      <c r="K342" s="244">
        <f>+COUNTIF(Area_S4ZIC,"DISC/IO-pr")+COUNTIF(Area_S4ZIC,"DISC/PP-pr")+COUNTIF(Area_S4ZIC,"DISC-pr")</f>
        <v>1</v>
      </c>
      <c r="L342" s="242">
        <f>+COUNTIF(Area_S3BIN,"DISC/IO-pr")+COUNTIF(Area_S3BIN,"DISC/PP-pr")+COUNTIF(Area_S3BIN,"DISC-pr")</f>
        <v>1</v>
      </c>
      <c r="M342" s="243">
        <f>+COUNTIF(Area_S4BIN,"DISC/IO-pr")+COUNTIF(Area_S4BIN,"DISC/PP-pr")+COUNTIF(Area_S4BIN,"DISC-pr")</f>
        <v>1</v>
      </c>
      <c r="N342" s="244">
        <f>+COUNTIF(Area_S5BIN,"DISC/IO-pr")+COUNTIF(Area_S5BIN,"DISC/PP-pr")+COUNTIF(Area_S5BIN,"DISC-pr")</f>
        <v>1</v>
      </c>
      <c r="O342" s="242">
        <f>+COUNTIF(Area_S3HAD,"DISC/IO-pr")+COUNTIF(Area_S3HAD,"DISC/PP-pr")+COUNTIF(Area_S3HAD,"DISC-pr")</f>
        <v>1</v>
      </c>
      <c r="P342" s="243">
        <f>+COUNTIF(Area_S3KFA,"DISC/IO-pr")+COUNTIF(Area_S3KFA,"DISC/PP-pr")+COUNTIF(Area_S3KFA,"DISC-pr")</f>
        <v>1</v>
      </c>
      <c r="Q342" s="876">
        <f>+COUNTIF(Area_S4KFA,"DISC/IO-pr")+COUNTIF(Area_S4KFA,"DISC/PP-pr")+COUNTIF(Area_S4KFA,"DISC-pr")</f>
        <v>1</v>
      </c>
      <c r="R342" s="845" t="s">
        <v>3326</v>
      </c>
    </row>
    <row r="343" spans="1:18" ht="32.1" customHeight="1">
      <c r="A343" s="1146"/>
      <c r="B343" s="160"/>
      <c r="C343" s="138" t="s">
        <v>2147</v>
      </c>
      <c r="D343" s="257" t="s">
        <v>3327</v>
      </c>
      <c r="E343" s="138" t="s">
        <v>3328</v>
      </c>
      <c r="F343" s="257"/>
      <c r="G343" s="225">
        <f t="shared" si="164"/>
        <v>0</v>
      </c>
      <c r="H343" s="242">
        <f>COUNTIF(Area_S1,$C343)</f>
        <v>0</v>
      </c>
      <c r="I343" s="825">
        <f>COUNTIF(Area_S2,$C343)</f>
        <v>0</v>
      </c>
      <c r="J343" s="242">
        <f>COUNTIF(Area_S3ZIC,$C343)</f>
        <v>0</v>
      </c>
      <c r="K343" s="244">
        <f>COUNTIF(Area_S4ZIC,$C343)</f>
        <v>0</v>
      </c>
      <c r="L343" s="242">
        <f>COUNTIF(Area_S3BIN,$C343)</f>
        <v>0</v>
      </c>
      <c r="M343" s="243">
        <f>COUNTIF(Area_S4BIN,$C343)</f>
        <v>0</v>
      </c>
      <c r="N343" s="244">
        <f>COUNTIF(Area_S5BIN,$C343)</f>
        <v>0</v>
      </c>
      <c r="O343" s="242">
        <f>COUNTIF(Area_S3HAD,$C343)</f>
        <v>0</v>
      </c>
      <c r="P343" s="243">
        <f>COUNTIF(Area_S3KFA,$C343)</f>
        <v>0</v>
      </c>
      <c r="Q343" s="876">
        <f>COUNTIF(Area_S4KFA,$C343)</f>
        <v>0</v>
      </c>
      <c r="R343" s="845" t="s">
        <v>3329</v>
      </c>
    </row>
    <row r="344" spans="1:18" ht="32.1" customHeight="1">
      <c r="A344" s="1146"/>
      <c r="B344" s="160"/>
      <c r="C344" s="138" t="s">
        <v>233</v>
      </c>
      <c r="D344" s="257" t="s">
        <v>3330</v>
      </c>
      <c r="E344" s="138" t="s">
        <v>3331</v>
      </c>
      <c r="F344" s="257"/>
      <c r="G344" s="225">
        <f t="shared" si="164"/>
        <v>20</v>
      </c>
      <c r="H344" s="242">
        <f>COUNTIF(Area_S1,$C344)</f>
        <v>10</v>
      </c>
      <c r="I344" s="825">
        <f>COUNTIF(Area_S2,$C344)</f>
        <v>10</v>
      </c>
      <c r="J344" s="242">
        <f>COUNTIF(Area_S3ZIC,$C344)</f>
        <v>0</v>
      </c>
      <c r="K344" s="244">
        <f>COUNTIF(Area_S4ZIC,$C344)</f>
        <v>0</v>
      </c>
      <c r="L344" s="242">
        <f>COUNTIF(Area_S3BIN,$C344)</f>
        <v>0</v>
      </c>
      <c r="M344" s="243">
        <f>COUNTIF(Area_S4BIN,$C344)</f>
        <v>0</v>
      </c>
      <c r="N344" s="244">
        <f>COUNTIF(Area_S5BIN,$C344)</f>
        <v>0</v>
      </c>
      <c r="O344" s="242">
        <f>COUNTIF(Area_S3HAD,$C344)</f>
        <v>0</v>
      </c>
      <c r="P344" s="243">
        <f>COUNTIF(Area_S3KFA,$C344)</f>
        <v>0</v>
      </c>
      <c r="Q344" s="876">
        <f>COUNTIF(Area_S4KFA,$C344)</f>
        <v>0</v>
      </c>
      <c r="R344" s="845"/>
    </row>
    <row r="345" spans="1:18" ht="32.1" customHeight="1">
      <c r="A345" s="1146"/>
      <c r="B345" s="160"/>
      <c r="C345" s="138" t="s">
        <v>135</v>
      </c>
      <c r="D345" s="257" t="s">
        <v>3332</v>
      </c>
      <c r="E345" s="138" t="s">
        <v>3333</v>
      </c>
      <c r="F345" s="257"/>
      <c r="G345" s="225">
        <f t="shared" ref="G345:G376" si="182">SUM(H345:Q345)</f>
        <v>18</v>
      </c>
      <c r="H345" s="242">
        <f>COUNTIF(Area_S1,$C345)</f>
        <v>9</v>
      </c>
      <c r="I345" s="825">
        <f>COUNTIF(Area_S2,$C345)</f>
        <v>9</v>
      </c>
      <c r="J345" s="242">
        <f>COUNTIF(Area_S3ZIC,$C345)</f>
        <v>0</v>
      </c>
      <c r="K345" s="244">
        <f>COUNTIF(Area_S4ZIC,$C345)</f>
        <v>0</v>
      </c>
      <c r="L345" s="242">
        <f>COUNTIF(Area_S3BIN,$C345)</f>
        <v>0</v>
      </c>
      <c r="M345" s="243">
        <f>COUNTIF(Area_S4BIN,$C345)</f>
        <v>0</v>
      </c>
      <c r="N345" s="244">
        <f>COUNTIF(Area_S5BIN,$C345)</f>
        <v>0</v>
      </c>
      <c r="O345" s="242">
        <f>COUNTIF(Area_S3HAD,$C345)</f>
        <v>0</v>
      </c>
      <c r="P345" s="243">
        <f>COUNTIF(Area_S3KFA,$C345)</f>
        <v>0</v>
      </c>
      <c r="Q345" s="876">
        <f>COUNTIF(Area_S4KFA,$C345)</f>
        <v>0</v>
      </c>
      <c r="R345" s="845"/>
    </row>
    <row r="346" spans="1:18" ht="32.1" customHeight="1">
      <c r="A346" s="1146"/>
      <c r="B346" s="160"/>
      <c r="C346" s="138" t="s">
        <v>3334</v>
      </c>
      <c r="D346" s="257" t="s">
        <v>3335</v>
      </c>
      <c r="E346" s="138" t="s">
        <v>3336</v>
      </c>
      <c r="F346" s="257"/>
      <c r="G346" s="225">
        <f t="shared" si="182"/>
        <v>0</v>
      </c>
      <c r="H346" s="242">
        <f>COUNTIF(Area_S1,$C346)</f>
        <v>0</v>
      </c>
      <c r="I346" s="825">
        <f>COUNTIF(Area_S2,$C346)</f>
        <v>0</v>
      </c>
      <c r="J346" s="242">
        <f>COUNTIF(Area_S3ZIC,$C346)</f>
        <v>0</v>
      </c>
      <c r="K346" s="244">
        <f>COUNTIF(Area_S4ZIC,$C346)</f>
        <v>0</v>
      </c>
      <c r="L346" s="242">
        <f>COUNTIF(Area_S3BIN,$C346)</f>
        <v>0</v>
      </c>
      <c r="M346" s="243">
        <f>COUNTIF(Area_S4BIN,$C346)</f>
        <v>0</v>
      </c>
      <c r="N346" s="244">
        <f>COUNTIF(Area_S5BIN,$C346)</f>
        <v>0</v>
      </c>
      <c r="O346" s="242">
        <f>COUNTIF(Area_S3HAD,$C346)</f>
        <v>0</v>
      </c>
      <c r="P346" s="243">
        <f>COUNTIF(Area_S3KFA,$C346)</f>
        <v>0</v>
      </c>
      <c r="Q346" s="876">
        <f>COUNTIF(Area_S4KFA,$C346)</f>
        <v>0</v>
      </c>
      <c r="R346" s="845" t="s">
        <v>3337</v>
      </c>
    </row>
    <row r="347" spans="1:18" ht="32.1" customHeight="1">
      <c r="A347" s="1146"/>
      <c r="B347" s="160"/>
      <c r="C347" s="138" t="s">
        <v>3338</v>
      </c>
      <c r="D347" s="257" t="s">
        <v>3339</v>
      </c>
      <c r="E347" s="138" t="s">
        <v>3340</v>
      </c>
      <c r="F347" s="257"/>
      <c r="G347" s="225">
        <f t="shared" si="182"/>
        <v>0</v>
      </c>
      <c r="H347" s="242">
        <f>COUNTIF(Area_S1,$C347)</f>
        <v>0</v>
      </c>
      <c r="I347" s="825">
        <f>COUNTIF(Area_S2,$C347)</f>
        <v>0</v>
      </c>
      <c r="J347" s="242">
        <f>COUNTIF(Area_S3ZIC,$C347)</f>
        <v>0</v>
      </c>
      <c r="K347" s="244">
        <f>COUNTIF(Area_S4ZIC,$C347)</f>
        <v>0</v>
      </c>
      <c r="L347" s="242">
        <f>COUNTIF(Area_S3BIN,$C347)</f>
        <v>0</v>
      </c>
      <c r="M347" s="243">
        <f>COUNTIF(Area_S4BIN,$C347)</f>
        <v>0</v>
      </c>
      <c r="N347" s="244">
        <f>COUNTIF(Area_S5BIN,$C347)</f>
        <v>0</v>
      </c>
      <c r="O347" s="242">
        <f>COUNTIF(Area_S3HAD,$C347)</f>
        <v>0</v>
      </c>
      <c r="P347" s="243">
        <f>COUNTIF(Area_S3KFA,$C347)</f>
        <v>0</v>
      </c>
      <c r="Q347" s="876">
        <f>COUNTIF(Area_S4KFA,$C347)</f>
        <v>0</v>
      </c>
      <c r="R347" s="845"/>
    </row>
    <row r="348" spans="1:18" ht="32.1" customHeight="1">
      <c r="A348" s="1146"/>
      <c r="B348" s="160"/>
      <c r="C348" s="138"/>
      <c r="D348" s="257" t="s">
        <v>3341</v>
      </c>
      <c r="E348" s="138" t="s">
        <v>3342</v>
      </c>
      <c r="F348" s="257" t="s">
        <v>3321</v>
      </c>
      <c r="G348" s="225">
        <f t="shared" si="182"/>
        <v>0</v>
      </c>
      <c r="H348" s="242"/>
      <c r="I348" s="825"/>
      <c r="J348" s="242"/>
      <c r="K348" s="244"/>
      <c r="L348" s="242"/>
      <c r="M348" s="243"/>
      <c r="N348" s="244"/>
      <c r="O348" s="242"/>
      <c r="P348" s="243"/>
      <c r="Q348" s="876"/>
      <c r="R348" s="845" t="s">
        <v>3343</v>
      </c>
    </row>
    <row r="349" spans="1:18" ht="32.1" customHeight="1">
      <c r="A349" s="1146"/>
      <c r="B349" s="160"/>
      <c r="C349" s="138" t="s">
        <v>143</v>
      </c>
      <c r="D349" s="257" t="s">
        <v>3344</v>
      </c>
      <c r="E349" s="138" t="s">
        <v>3345</v>
      </c>
      <c r="F349" s="257">
        <v>6175</v>
      </c>
      <c r="G349" s="225">
        <f t="shared" si="182"/>
        <v>3</v>
      </c>
      <c r="H349" s="242">
        <f>COUNTIF(Area_S1,$C349)</f>
        <v>2</v>
      </c>
      <c r="I349" s="825">
        <f>COUNTIF(Area_S2,$C349)</f>
        <v>1</v>
      </c>
      <c r="J349" s="242">
        <f>COUNTIF(Area_S3ZIC,$C349)</f>
        <v>0</v>
      </c>
      <c r="K349" s="244">
        <f>COUNTIF(Area_S4ZIC,$C349)</f>
        <v>0</v>
      </c>
      <c r="L349" s="242">
        <f>COUNTIF(Area_S3BIN,$C349)</f>
        <v>0</v>
      </c>
      <c r="M349" s="243">
        <f>COUNTIF(Area_S4BIN,$C349)</f>
        <v>0</v>
      </c>
      <c r="N349" s="244">
        <f>COUNTIF(Area_S5BIN,$C349)</f>
        <v>0</v>
      </c>
      <c r="O349" s="242">
        <f>COUNTIF(Area_S3HAD,$C349)</f>
        <v>0</v>
      </c>
      <c r="P349" s="243">
        <f>COUNTIF(Area_S3KFA,$C349)</f>
        <v>0</v>
      </c>
      <c r="Q349" s="876">
        <f>COUNTIF(Area_S4KFA,$C349)</f>
        <v>0</v>
      </c>
      <c r="R349" s="845" t="s">
        <v>3346</v>
      </c>
    </row>
    <row r="350" spans="1:18" ht="32.1" customHeight="1">
      <c r="A350" s="1146"/>
      <c r="B350" s="160"/>
      <c r="C350" s="138" t="s">
        <v>3347</v>
      </c>
      <c r="D350" s="257" t="s">
        <v>3348</v>
      </c>
      <c r="E350" s="138" t="s">
        <v>3349</v>
      </c>
      <c r="F350" s="257" t="s">
        <v>1411</v>
      </c>
      <c r="G350" s="225">
        <f t="shared" si="182"/>
        <v>0</v>
      </c>
      <c r="H350" s="242">
        <f>COUNTIF(Area_S1,$C350)</f>
        <v>0</v>
      </c>
      <c r="I350" s="825">
        <f>COUNTIF(Area_S2,$C350)</f>
        <v>0</v>
      </c>
      <c r="J350" s="242">
        <f>COUNTIF(Area_S3ZIC,$C350)</f>
        <v>0</v>
      </c>
      <c r="K350" s="244">
        <f>COUNTIF(Area_S4ZIC,$C350)</f>
        <v>0</v>
      </c>
      <c r="L350" s="242">
        <f>COUNTIF(Area_S3BIN,$C350)</f>
        <v>0</v>
      </c>
      <c r="M350" s="243">
        <f>COUNTIF(Area_S4BIN,$C350)</f>
        <v>0</v>
      </c>
      <c r="N350" s="244">
        <f>COUNTIF(Area_S5BIN,$C350)</f>
        <v>0</v>
      </c>
      <c r="O350" s="242">
        <f>COUNTIF(Area_S3HAD,$C350)</f>
        <v>0</v>
      </c>
      <c r="P350" s="243">
        <f>COUNTIF(Area_S3KFA,$C350)</f>
        <v>0</v>
      </c>
      <c r="Q350" s="876">
        <f>COUNTIF(Area_S4KFA,$C350)</f>
        <v>0</v>
      </c>
      <c r="R350" s="845" t="s">
        <v>3350</v>
      </c>
    </row>
    <row r="351" spans="1:18" ht="32.1" customHeight="1">
      <c r="A351" s="1146"/>
      <c r="B351" s="160"/>
      <c r="C351" s="138" t="s">
        <v>3351</v>
      </c>
      <c r="D351" s="257" t="s">
        <v>3352</v>
      </c>
      <c r="E351" s="138" t="s">
        <v>3353</v>
      </c>
      <c r="F351" s="257">
        <v>6172</v>
      </c>
      <c r="G351" s="225">
        <f t="shared" si="182"/>
        <v>0</v>
      </c>
      <c r="H351" s="242">
        <f>COUNTIF(Area_S1,"Disc/t")+COUNTIF(Area_S1,"LoadB/t")</f>
        <v>0</v>
      </c>
      <c r="I351" s="825">
        <f>COUNTIF(Area_S2,"Disc/t")+COUNTIF(Area_S2,"LoadB/t")</f>
        <v>0</v>
      </c>
      <c r="J351" s="242">
        <f>COUNTIF(Area_S3ZIC,"Disc/t")+COUNTIF(Area_S3ZIC,"LoadB/t")</f>
        <v>0</v>
      </c>
      <c r="K351" s="244">
        <f>COUNTIF(Area_S4ZIC,"Disc/t")+COUNTIF(Area_S4ZIC,"LoadB/t")</f>
        <v>0</v>
      </c>
      <c r="L351" s="242">
        <f>COUNTIF(Area_S3BIN,"Disc/t")+COUNTIF(Area_S3BIN,"LoadB/t")</f>
        <v>0</v>
      </c>
      <c r="M351" s="243">
        <f>COUNTIF(Area_S4BIN,"Disc/t")+COUNTIF(Area_S4BIN,"LoadB/t")</f>
        <v>0</v>
      </c>
      <c r="N351" s="244">
        <f>COUNTIF(Area_S5BIN,"Disc/t")+COUNTIF(Area_S5BIN,"LoadB/t")</f>
        <v>0</v>
      </c>
      <c r="O351" s="242">
        <f>COUNTIF(Area_S3HAD,"Disc/t")+COUNTIF(Area_S3HAD,"LoadB/t")</f>
        <v>0</v>
      </c>
      <c r="P351" s="243">
        <f>COUNTIF(Area_S3KFA,"Disc/t")+COUNTIF(Area_S3KFA,"LoadB/t")</f>
        <v>0</v>
      </c>
      <c r="Q351" s="876">
        <f>COUNTIF(Area_S4KFA,"Disc/t")+COUNTIF(Area_S4KFA,"LoadB/t")</f>
        <v>0</v>
      </c>
      <c r="R351" s="845" t="s">
        <v>3354</v>
      </c>
    </row>
    <row r="352" spans="1:18" ht="32.1" customHeight="1">
      <c r="A352" s="1146"/>
      <c r="B352" s="160"/>
      <c r="C352" s="138" t="s">
        <v>2151</v>
      </c>
      <c r="D352" s="257" t="s">
        <v>3355</v>
      </c>
      <c r="E352" s="138" t="s">
        <v>3356</v>
      </c>
      <c r="F352" s="257">
        <v>6173</v>
      </c>
      <c r="G352" s="225">
        <f t="shared" si="182"/>
        <v>0</v>
      </c>
      <c r="H352" s="242">
        <f>COUNTIF(Area_S1,$C352)</f>
        <v>0</v>
      </c>
      <c r="I352" s="825">
        <f>COUNTIF(Area_S2,$C352)</f>
        <v>0</v>
      </c>
      <c r="J352" s="242">
        <f>COUNTIF(Area_S3ZIC,$C352)</f>
        <v>0</v>
      </c>
      <c r="K352" s="244">
        <f>COUNTIF(Area_S4ZIC,$C352)</f>
        <v>0</v>
      </c>
      <c r="L352" s="242">
        <f>COUNTIF(Area_S3BIN,$C352)</f>
        <v>0</v>
      </c>
      <c r="M352" s="243">
        <f>COUNTIF(Area_S4BIN,$C352)</f>
        <v>0</v>
      </c>
      <c r="N352" s="244">
        <f>COUNTIF(Area_S5BIN,$C352)</f>
        <v>0</v>
      </c>
      <c r="O352" s="242">
        <f>COUNTIF(Area_S3HAD,$C352)</f>
        <v>0</v>
      </c>
      <c r="P352" s="243">
        <f>COUNTIF(Area_S3KFA,$C352)</f>
        <v>0</v>
      </c>
      <c r="Q352" s="876">
        <f>COUNTIF(Area_S4KFA,$C352)</f>
        <v>0</v>
      </c>
      <c r="R352" s="845" t="s">
        <v>3357</v>
      </c>
    </row>
    <row r="353" spans="1:18" ht="32.1" customHeight="1">
      <c r="A353" s="1146"/>
      <c r="B353" s="160"/>
      <c r="C353" s="138" t="s">
        <v>2154</v>
      </c>
      <c r="D353" s="257" t="s">
        <v>3358</v>
      </c>
      <c r="E353" s="138" t="s">
        <v>3359</v>
      </c>
      <c r="F353" s="257"/>
      <c r="G353" s="225">
        <f t="shared" si="182"/>
        <v>0</v>
      </c>
      <c r="H353" s="242">
        <f>COUNTIF(Area_S1,$C353)-H354</f>
        <v>0</v>
      </c>
      <c r="I353" s="825">
        <f>COUNTIF(Area_S2,$C353)-I354</f>
        <v>0</v>
      </c>
      <c r="J353" s="242">
        <f>COUNTIF(Area_S3ZIC,$C353)-J354</f>
        <v>0</v>
      </c>
      <c r="K353" s="244">
        <f>COUNTIF(Area_S4ZIC,$C353)-K354</f>
        <v>0</v>
      </c>
      <c r="L353" s="242">
        <f>COUNTIF(Area_S3BIN,$C353)-L354</f>
        <v>0</v>
      </c>
      <c r="M353" s="243">
        <f>COUNTIF(Area_S4BIN,$C353)-M354</f>
        <v>0</v>
      </c>
      <c r="N353" s="244">
        <f>COUNTIF(Area_S5BIN,$C353)-N354</f>
        <v>0</v>
      </c>
      <c r="O353" s="242">
        <f>COUNTIF(Area_S3HAD,$C353)-O354</f>
        <v>0</v>
      </c>
      <c r="P353" s="243">
        <f>COUNTIF(Area_S3KFA,$C353)-P354</f>
        <v>0</v>
      </c>
      <c r="Q353" s="876">
        <f>COUNTIF(Area_S4KFA,$C353)-Q354</f>
        <v>0</v>
      </c>
      <c r="R353" s="845"/>
    </row>
    <row r="354" spans="1:18" ht="32.1" customHeight="1">
      <c r="A354" s="1146"/>
      <c r="B354" s="160"/>
      <c r="C354" s="138" t="s">
        <v>3360</v>
      </c>
      <c r="D354" s="257" t="s">
        <v>3361</v>
      </c>
      <c r="E354" s="138" t="s">
        <v>3362</v>
      </c>
      <c r="F354" s="257"/>
      <c r="G354" s="225">
        <f t="shared" si="182"/>
        <v>0</v>
      </c>
      <c r="H354" s="242">
        <f t="shared" ref="H354:H359" si="183">COUNTIF(Area_S1,$C354)</f>
        <v>0</v>
      </c>
      <c r="I354" s="825">
        <f t="shared" ref="I354:I359" si="184">COUNTIF(Area_S2,$C354)</f>
        <v>0</v>
      </c>
      <c r="J354" s="242">
        <f t="shared" ref="J354:J359" si="185">COUNTIF(Area_S3ZIC,$C354)</f>
        <v>0</v>
      </c>
      <c r="K354" s="244">
        <f t="shared" ref="K354:K359" si="186">COUNTIF(Area_S4ZIC,$C354)</f>
        <v>0</v>
      </c>
      <c r="L354" s="242">
        <f t="shared" ref="L354:L359" si="187">COUNTIF(Area_S3BIN,$C354)</f>
        <v>0</v>
      </c>
      <c r="M354" s="243">
        <f t="shared" ref="M354:M359" si="188">COUNTIF(Area_S4BIN,$C354)</f>
        <v>0</v>
      </c>
      <c r="N354" s="244">
        <f t="shared" ref="N354:N359" si="189">COUNTIF(Area_S5BIN,$C354)</f>
        <v>0</v>
      </c>
      <c r="O354" s="242">
        <f t="shared" ref="O354:O359" si="190">COUNTIF(Area_S3HAD,$C354)</f>
        <v>0</v>
      </c>
      <c r="P354" s="243">
        <f t="shared" ref="P354:P359" si="191">COUNTIF(Area_S3KFA,$C354)</f>
        <v>0</v>
      </c>
      <c r="Q354" s="876">
        <f t="shared" ref="Q354:Q359" si="192">COUNTIF(Area_S4KFA,$C354)</f>
        <v>0</v>
      </c>
      <c r="R354" s="845" t="s">
        <v>3363</v>
      </c>
    </row>
    <row r="355" spans="1:18" ht="32.1" customHeight="1">
      <c r="A355" s="1146"/>
      <c r="B355" s="160"/>
      <c r="C355" s="138" t="s">
        <v>3364</v>
      </c>
      <c r="D355" s="257" t="s">
        <v>3365</v>
      </c>
      <c r="E355" s="138" t="s">
        <v>3366</v>
      </c>
      <c r="F355" s="257"/>
      <c r="G355" s="225">
        <f t="shared" si="182"/>
        <v>0</v>
      </c>
      <c r="H355" s="242">
        <f t="shared" si="183"/>
        <v>0</v>
      </c>
      <c r="I355" s="825">
        <f t="shared" si="184"/>
        <v>0</v>
      </c>
      <c r="J355" s="242">
        <f t="shared" si="185"/>
        <v>0</v>
      </c>
      <c r="K355" s="244">
        <f t="shared" si="186"/>
        <v>0</v>
      </c>
      <c r="L355" s="242">
        <f t="shared" si="187"/>
        <v>0</v>
      </c>
      <c r="M355" s="243">
        <f t="shared" si="188"/>
        <v>0</v>
      </c>
      <c r="N355" s="244">
        <f t="shared" si="189"/>
        <v>0</v>
      </c>
      <c r="O355" s="242">
        <f t="shared" si="190"/>
        <v>0</v>
      </c>
      <c r="P355" s="243">
        <f t="shared" si="191"/>
        <v>0</v>
      </c>
      <c r="Q355" s="876">
        <f t="shared" si="192"/>
        <v>0</v>
      </c>
      <c r="R355" s="845" t="s">
        <v>3367</v>
      </c>
    </row>
    <row r="356" spans="1:18" ht="32.1" customHeight="1">
      <c r="A356" s="1146"/>
      <c r="B356" s="160"/>
      <c r="C356" s="138" t="s">
        <v>2177</v>
      </c>
      <c r="D356" s="257" t="s">
        <v>3368</v>
      </c>
      <c r="E356" s="138" t="s">
        <v>3369</v>
      </c>
      <c r="F356" s="257" t="s">
        <v>3370</v>
      </c>
      <c r="G356" s="225">
        <f t="shared" si="182"/>
        <v>0</v>
      </c>
      <c r="H356" s="242">
        <f t="shared" si="183"/>
        <v>0</v>
      </c>
      <c r="I356" s="825">
        <f t="shared" si="184"/>
        <v>0</v>
      </c>
      <c r="J356" s="242">
        <f t="shared" si="185"/>
        <v>0</v>
      </c>
      <c r="K356" s="244">
        <f t="shared" si="186"/>
        <v>0</v>
      </c>
      <c r="L356" s="242">
        <f t="shared" si="187"/>
        <v>0</v>
      </c>
      <c r="M356" s="243">
        <f t="shared" si="188"/>
        <v>0</v>
      </c>
      <c r="N356" s="244">
        <f t="shared" si="189"/>
        <v>0</v>
      </c>
      <c r="O356" s="242">
        <f t="shared" si="190"/>
        <v>0</v>
      </c>
      <c r="P356" s="243">
        <f t="shared" si="191"/>
        <v>0</v>
      </c>
      <c r="Q356" s="876">
        <f t="shared" si="192"/>
        <v>0</v>
      </c>
      <c r="R356" s="845" t="s">
        <v>3371</v>
      </c>
    </row>
    <row r="357" spans="1:18" ht="32.1" customHeight="1">
      <c r="A357" s="1146"/>
      <c r="B357" s="160"/>
      <c r="C357" s="138" t="s">
        <v>2181</v>
      </c>
      <c r="D357" s="257" t="s">
        <v>3372</v>
      </c>
      <c r="E357" s="138" t="s">
        <v>3373</v>
      </c>
      <c r="F357" s="257" t="s">
        <v>3374</v>
      </c>
      <c r="G357" s="225">
        <f t="shared" si="182"/>
        <v>0</v>
      </c>
      <c r="H357" s="242">
        <f t="shared" si="183"/>
        <v>0</v>
      </c>
      <c r="I357" s="825">
        <f t="shared" si="184"/>
        <v>0</v>
      </c>
      <c r="J357" s="242">
        <f t="shared" si="185"/>
        <v>0</v>
      </c>
      <c r="K357" s="244">
        <f t="shared" si="186"/>
        <v>0</v>
      </c>
      <c r="L357" s="242">
        <f t="shared" si="187"/>
        <v>0</v>
      </c>
      <c r="M357" s="243">
        <f t="shared" si="188"/>
        <v>0</v>
      </c>
      <c r="N357" s="244">
        <f t="shared" si="189"/>
        <v>0</v>
      </c>
      <c r="O357" s="242">
        <f t="shared" si="190"/>
        <v>0</v>
      </c>
      <c r="P357" s="243">
        <f t="shared" si="191"/>
        <v>0</v>
      </c>
      <c r="Q357" s="876">
        <f t="shared" si="192"/>
        <v>0</v>
      </c>
      <c r="R357" s="845" t="s">
        <v>3375</v>
      </c>
    </row>
    <row r="358" spans="1:18" ht="32.1" customHeight="1">
      <c r="A358" s="1146"/>
      <c r="B358" s="160"/>
      <c r="C358" s="138" t="s">
        <v>563</v>
      </c>
      <c r="D358" s="257" t="s">
        <v>3376</v>
      </c>
      <c r="E358" s="138" t="s">
        <v>3377</v>
      </c>
      <c r="F358" s="257">
        <v>6179</v>
      </c>
      <c r="G358" s="225">
        <f t="shared" si="182"/>
        <v>4</v>
      </c>
      <c r="H358" s="242">
        <f t="shared" si="183"/>
        <v>1</v>
      </c>
      <c r="I358" s="825">
        <f t="shared" si="184"/>
        <v>3</v>
      </c>
      <c r="J358" s="242">
        <f t="shared" si="185"/>
        <v>0</v>
      </c>
      <c r="K358" s="244">
        <f t="shared" si="186"/>
        <v>0</v>
      </c>
      <c r="L358" s="242">
        <f t="shared" si="187"/>
        <v>0</v>
      </c>
      <c r="M358" s="243">
        <f t="shared" si="188"/>
        <v>0</v>
      </c>
      <c r="N358" s="244">
        <f t="shared" si="189"/>
        <v>0</v>
      </c>
      <c r="O358" s="242">
        <f t="shared" si="190"/>
        <v>0</v>
      </c>
      <c r="P358" s="243">
        <f t="shared" si="191"/>
        <v>0</v>
      </c>
      <c r="Q358" s="876">
        <f t="shared" si="192"/>
        <v>0</v>
      </c>
      <c r="R358" s="845" t="s">
        <v>3378</v>
      </c>
    </row>
    <row r="359" spans="1:18" ht="32.1" customHeight="1">
      <c r="A359" s="1146"/>
      <c r="B359" s="160"/>
      <c r="C359" s="138" t="s">
        <v>2188</v>
      </c>
      <c r="D359" s="257" t="s">
        <v>3379</v>
      </c>
      <c r="E359" s="138" t="s">
        <v>3380</v>
      </c>
      <c r="F359" s="257" t="s">
        <v>3381</v>
      </c>
      <c r="G359" s="225">
        <f t="shared" si="182"/>
        <v>0</v>
      </c>
      <c r="H359" s="242">
        <f t="shared" si="183"/>
        <v>0</v>
      </c>
      <c r="I359" s="825">
        <f t="shared" si="184"/>
        <v>0</v>
      </c>
      <c r="J359" s="242">
        <f t="shared" si="185"/>
        <v>0</v>
      </c>
      <c r="K359" s="244">
        <f t="shared" si="186"/>
        <v>0</v>
      </c>
      <c r="L359" s="242">
        <f t="shared" si="187"/>
        <v>0</v>
      </c>
      <c r="M359" s="243">
        <f t="shared" si="188"/>
        <v>0</v>
      </c>
      <c r="N359" s="244">
        <f t="shared" si="189"/>
        <v>0</v>
      </c>
      <c r="O359" s="242">
        <f t="shared" si="190"/>
        <v>0</v>
      </c>
      <c r="P359" s="243">
        <f t="shared" si="191"/>
        <v>0</v>
      </c>
      <c r="Q359" s="876">
        <f t="shared" si="192"/>
        <v>0</v>
      </c>
      <c r="R359" s="845" t="s">
        <v>3382</v>
      </c>
    </row>
    <row r="360" spans="1:18" ht="32.1" customHeight="1">
      <c r="A360" s="1146"/>
      <c r="B360" s="160"/>
      <c r="C360" s="142"/>
      <c r="D360" s="257" t="s">
        <v>3383</v>
      </c>
      <c r="E360" s="138" t="s">
        <v>3384</v>
      </c>
      <c r="F360" s="257" t="s">
        <v>1411</v>
      </c>
      <c r="G360" s="225">
        <f t="shared" si="182"/>
        <v>51</v>
      </c>
      <c r="H360" s="242">
        <f>+H341+H343+H344+H345+H348+H349+H350+H353+H354*2</f>
        <v>28</v>
      </c>
      <c r="I360" s="825">
        <f t="shared" ref="I360:P360" si="193">+I341+I343+I344+I345+I348+I349+I350+I353+I354*2</f>
        <v>23</v>
      </c>
      <c r="J360" s="242">
        <f t="shared" si="193"/>
        <v>0</v>
      </c>
      <c r="K360" s="244">
        <f t="shared" si="193"/>
        <v>0</v>
      </c>
      <c r="L360" s="242">
        <f t="shared" ref="L360" si="194">+L341+L343+L344+L345+L348+L349+L350+L353+L354*2</f>
        <v>0</v>
      </c>
      <c r="M360" s="243">
        <f t="shared" si="193"/>
        <v>0</v>
      </c>
      <c r="N360" s="244">
        <f t="shared" si="193"/>
        <v>0</v>
      </c>
      <c r="O360" s="242">
        <f t="shared" si="193"/>
        <v>0</v>
      </c>
      <c r="P360" s="243">
        <f t="shared" si="193"/>
        <v>0</v>
      </c>
      <c r="Q360" s="876">
        <f t="shared" ref="Q360" si="195">+Q341+Q343+Q344+Q345+Q348+Q349+Q350+Q353+Q354*2</f>
        <v>0</v>
      </c>
      <c r="R360" s="853" t="s">
        <v>3385</v>
      </c>
    </row>
    <row r="361" spans="1:18" ht="32.1" customHeight="1">
      <c r="A361" s="1146"/>
      <c r="B361" s="160"/>
      <c r="C361" s="142"/>
      <c r="D361" s="257" t="s">
        <v>3386</v>
      </c>
      <c r="E361" s="138" t="s">
        <v>3387</v>
      </c>
      <c r="F361" s="257"/>
      <c r="G361" s="225">
        <f t="shared" si="182"/>
        <v>17</v>
      </c>
      <c r="H361" s="242">
        <f>COUNTIF(Area_S1,"*-pr*")</f>
        <v>7</v>
      </c>
      <c r="I361" s="825">
        <f>COUNTIF(Area_S2,"*-pr")</f>
        <v>2</v>
      </c>
      <c r="J361" s="242">
        <f>COUNTIF(Area_S3ZIC,"*-pr*")</f>
        <v>1</v>
      </c>
      <c r="K361" s="244">
        <f>COUNTIF(Area_S4ZIC,"*-pr*")</f>
        <v>1</v>
      </c>
      <c r="L361" s="242">
        <f>COUNTIF(Area_S3BIN,"*-pr*")</f>
        <v>1</v>
      </c>
      <c r="M361" s="243">
        <f>COUNTIF(Area_S4BIN,"*-pr*")</f>
        <v>1</v>
      </c>
      <c r="N361" s="244">
        <f>COUNTIF(Area_S5BIN,"*-pr*")</f>
        <v>1</v>
      </c>
      <c r="O361" s="242">
        <f>COUNTIF(Area_S3HAD,"*-pr*")</f>
        <v>1</v>
      </c>
      <c r="P361" s="243">
        <f>COUNTIF(Area_S3KFA,"*-pr*")</f>
        <v>1</v>
      </c>
      <c r="Q361" s="876">
        <f>COUNTIF(Area_S4KFA,"*-pr*")</f>
        <v>1</v>
      </c>
      <c r="R361" s="853" t="s">
        <v>3388</v>
      </c>
    </row>
    <row r="362" spans="1:18" ht="32.1" customHeight="1">
      <c r="A362" s="1146"/>
      <c r="B362" s="160"/>
      <c r="C362" s="138"/>
      <c r="D362" s="257" t="s">
        <v>3389</v>
      </c>
      <c r="E362" s="138" t="s">
        <v>3390</v>
      </c>
      <c r="F362" s="257" t="s">
        <v>1411</v>
      </c>
      <c r="G362" s="225">
        <f t="shared" si="182"/>
        <v>4</v>
      </c>
      <c r="H362" s="242">
        <f t="shared" ref="H362:P362" si="196">+H356*3+H357*5+H358+H359*5</f>
        <v>1</v>
      </c>
      <c r="I362" s="825">
        <f t="shared" si="196"/>
        <v>3</v>
      </c>
      <c r="J362" s="242">
        <f t="shared" si="196"/>
        <v>0</v>
      </c>
      <c r="K362" s="244">
        <f t="shared" si="196"/>
        <v>0</v>
      </c>
      <c r="L362" s="242">
        <f t="shared" ref="L362" si="197">+L356*3+L357*5+L358+L359*5</f>
        <v>0</v>
      </c>
      <c r="M362" s="243">
        <f t="shared" si="196"/>
        <v>0</v>
      </c>
      <c r="N362" s="244">
        <f t="shared" si="196"/>
        <v>0</v>
      </c>
      <c r="O362" s="242">
        <f t="shared" si="196"/>
        <v>0</v>
      </c>
      <c r="P362" s="243">
        <f t="shared" si="196"/>
        <v>0</v>
      </c>
      <c r="Q362" s="876">
        <f t="shared" ref="Q362" si="198">+Q356*3+Q357*5+Q358+Q359*5</f>
        <v>0</v>
      </c>
      <c r="R362" s="845" t="s">
        <v>3391</v>
      </c>
    </row>
    <row r="363" spans="1:18" ht="32.1" customHeight="1">
      <c r="A363" s="1146"/>
      <c r="B363" s="160"/>
      <c r="C363" s="138"/>
      <c r="D363" s="257" t="s">
        <v>3392</v>
      </c>
      <c r="E363" s="138" t="s">
        <v>3393</v>
      </c>
      <c r="F363" s="257" t="s">
        <v>1411</v>
      </c>
      <c r="G363" s="225">
        <f t="shared" si="182"/>
        <v>0</v>
      </c>
      <c r="H363" s="242">
        <f t="shared" ref="H363:P363" si="199">+H351+H352</f>
        <v>0</v>
      </c>
      <c r="I363" s="825">
        <f t="shared" si="199"/>
        <v>0</v>
      </c>
      <c r="J363" s="242">
        <f t="shared" si="199"/>
        <v>0</v>
      </c>
      <c r="K363" s="244">
        <f t="shared" si="199"/>
        <v>0</v>
      </c>
      <c r="L363" s="242">
        <f t="shared" ref="L363" si="200">+L351+L352</f>
        <v>0</v>
      </c>
      <c r="M363" s="243">
        <f t="shared" si="199"/>
        <v>0</v>
      </c>
      <c r="N363" s="244">
        <f t="shared" si="199"/>
        <v>0</v>
      </c>
      <c r="O363" s="242">
        <f t="shared" si="199"/>
        <v>0</v>
      </c>
      <c r="P363" s="243">
        <f t="shared" si="199"/>
        <v>0</v>
      </c>
      <c r="Q363" s="876">
        <f t="shared" ref="Q363" si="201">+Q351+Q352</f>
        <v>0</v>
      </c>
      <c r="R363" s="845" t="s">
        <v>3394</v>
      </c>
    </row>
    <row r="364" spans="1:18" ht="32.1" customHeight="1">
      <c r="A364" s="1125" t="s">
        <v>3395</v>
      </c>
      <c r="B364" s="159"/>
      <c r="C364" s="141" t="s">
        <v>3396</v>
      </c>
      <c r="D364" s="260"/>
      <c r="E364" s="141" t="s">
        <v>3397</v>
      </c>
      <c r="F364" s="260"/>
      <c r="G364" s="231">
        <f t="shared" si="182"/>
        <v>0</v>
      </c>
      <c r="H364" s="232">
        <f t="shared" ref="H364:H370" si="202">COUNTIF(Area_v1,$C364)</f>
        <v>0</v>
      </c>
      <c r="I364" s="822">
        <f t="shared" ref="I364:I370" si="203">COUNTIF(Area_v2,$C364)</f>
        <v>0</v>
      </c>
      <c r="J364" s="232">
        <f t="shared" ref="J364:J370" si="204">COUNTIF(Area_v3ZIC,$C364)</f>
        <v>0</v>
      </c>
      <c r="K364" s="234">
        <f t="shared" ref="K364:K370" si="205">COUNTIF(Area_v4ZIC,$C364)</f>
        <v>0</v>
      </c>
      <c r="L364" s="232">
        <f t="shared" ref="L364:L373" si="206">COUNTIF(Area_v3BIN,$C364)</f>
        <v>0</v>
      </c>
      <c r="M364" s="233">
        <f t="shared" ref="M364:M370" si="207">COUNTIF(Area_v4BIN,$C364)</f>
        <v>0</v>
      </c>
      <c r="N364" s="234">
        <f t="shared" ref="N364:N370" si="208">COUNTIF(Area_v5BIN,$C364)</f>
        <v>0</v>
      </c>
      <c r="O364" s="232">
        <f t="shared" ref="O364:O373" si="209">COUNTIF(Area_v3HAD,$C364)</f>
        <v>0</v>
      </c>
      <c r="P364" s="233">
        <f t="shared" ref="P364:P373" si="210">COUNTIF(Area_v3KFA,$C364)</f>
        <v>0</v>
      </c>
      <c r="Q364" s="873">
        <f t="shared" ref="Q364:Q373" si="211">COUNTIF(Area_v4KFA,$C364)</f>
        <v>0</v>
      </c>
      <c r="R364" s="848" t="s">
        <v>3398</v>
      </c>
    </row>
    <row r="365" spans="1:18" ht="32.1" customHeight="1">
      <c r="A365" s="1126"/>
      <c r="B365" s="160"/>
      <c r="C365" s="138" t="s">
        <v>3399</v>
      </c>
      <c r="D365" s="257"/>
      <c r="E365" s="138" t="s">
        <v>3400</v>
      </c>
      <c r="F365" s="257"/>
      <c r="G365" s="225">
        <f t="shared" si="182"/>
        <v>0</v>
      </c>
      <c r="H365" s="242">
        <f t="shared" si="202"/>
        <v>0</v>
      </c>
      <c r="I365" s="825">
        <f t="shared" si="203"/>
        <v>0</v>
      </c>
      <c r="J365" s="242">
        <f t="shared" si="204"/>
        <v>0</v>
      </c>
      <c r="K365" s="244">
        <f t="shared" si="205"/>
        <v>0</v>
      </c>
      <c r="L365" s="242">
        <f t="shared" si="206"/>
        <v>0</v>
      </c>
      <c r="M365" s="243">
        <f t="shared" si="207"/>
        <v>0</v>
      </c>
      <c r="N365" s="244">
        <f t="shared" si="208"/>
        <v>0</v>
      </c>
      <c r="O365" s="242">
        <f t="shared" si="209"/>
        <v>0</v>
      </c>
      <c r="P365" s="243">
        <f t="shared" si="210"/>
        <v>0</v>
      </c>
      <c r="Q365" s="876">
        <f t="shared" si="211"/>
        <v>0</v>
      </c>
      <c r="R365" s="845" t="s">
        <v>3401</v>
      </c>
    </row>
    <row r="366" spans="1:18" ht="32.1" customHeight="1">
      <c r="A366" s="1126"/>
      <c r="B366" s="160"/>
      <c r="C366" s="138" t="s">
        <v>3402</v>
      </c>
      <c r="D366" s="257"/>
      <c r="E366" s="138" t="s">
        <v>3403</v>
      </c>
      <c r="F366" s="257"/>
      <c r="G366" s="225">
        <f t="shared" si="182"/>
        <v>0</v>
      </c>
      <c r="H366" s="242">
        <f t="shared" si="202"/>
        <v>0</v>
      </c>
      <c r="I366" s="825">
        <f t="shared" si="203"/>
        <v>0</v>
      </c>
      <c r="J366" s="242">
        <f t="shared" si="204"/>
        <v>0</v>
      </c>
      <c r="K366" s="244">
        <f t="shared" si="205"/>
        <v>0</v>
      </c>
      <c r="L366" s="242">
        <f t="shared" si="206"/>
        <v>0</v>
      </c>
      <c r="M366" s="243">
        <f t="shared" si="207"/>
        <v>0</v>
      </c>
      <c r="N366" s="244">
        <f t="shared" si="208"/>
        <v>0</v>
      </c>
      <c r="O366" s="242">
        <f t="shared" si="209"/>
        <v>0</v>
      </c>
      <c r="P366" s="243">
        <f t="shared" si="210"/>
        <v>0</v>
      </c>
      <c r="Q366" s="876">
        <f t="shared" si="211"/>
        <v>0</v>
      </c>
      <c r="R366" s="845" t="s">
        <v>3404</v>
      </c>
    </row>
    <row r="367" spans="1:18" ht="32.1" customHeight="1">
      <c r="A367" s="1126"/>
      <c r="B367" s="160"/>
      <c r="C367" s="138" t="s">
        <v>3405</v>
      </c>
      <c r="D367" s="257"/>
      <c r="E367" s="138" t="s">
        <v>3406</v>
      </c>
      <c r="F367" s="257"/>
      <c r="G367" s="225">
        <f t="shared" si="182"/>
        <v>0</v>
      </c>
      <c r="H367" s="242">
        <f t="shared" si="202"/>
        <v>0</v>
      </c>
      <c r="I367" s="825">
        <f t="shared" si="203"/>
        <v>0</v>
      </c>
      <c r="J367" s="242">
        <f t="shared" si="204"/>
        <v>0</v>
      </c>
      <c r="K367" s="244">
        <f t="shared" si="205"/>
        <v>0</v>
      </c>
      <c r="L367" s="242">
        <f t="shared" si="206"/>
        <v>0</v>
      </c>
      <c r="M367" s="243">
        <f t="shared" si="207"/>
        <v>0</v>
      </c>
      <c r="N367" s="244">
        <f t="shared" si="208"/>
        <v>0</v>
      </c>
      <c r="O367" s="242">
        <f t="shared" si="209"/>
        <v>0</v>
      </c>
      <c r="P367" s="243">
        <f t="shared" si="210"/>
        <v>0</v>
      </c>
      <c r="Q367" s="876">
        <f t="shared" si="211"/>
        <v>0</v>
      </c>
      <c r="R367" s="845" t="s">
        <v>3407</v>
      </c>
    </row>
    <row r="368" spans="1:18" ht="32.1" customHeight="1">
      <c r="A368" s="1126"/>
      <c r="B368" s="160"/>
      <c r="C368" s="138" t="s">
        <v>3408</v>
      </c>
      <c r="D368" s="257"/>
      <c r="E368" s="138" t="s">
        <v>3409</v>
      </c>
      <c r="F368" s="257"/>
      <c r="G368" s="225">
        <f t="shared" si="182"/>
        <v>0</v>
      </c>
      <c r="H368" s="242">
        <f t="shared" si="202"/>
        <v>0</v>
      </c>
      <c r="I368" s="825">
        <f t="shared" si="203"/>
        <v>0</v>
      </c>
      <c r="J368" s="242">
        <f t="shared" si="204"/>
        <v>0</v>
      </c>
      <c r="K368" s="244">
        <f t="shared" si="205"/>
        <v>0</v>
      </c>
      <c r="L368" s="242">
        <f t="shared" si="206"/>
        <v>0</v>
      </c>
      <c r="M368" s="243">
        <f t="shared" si="207"/>
        <v>0</v>
      </c>
      <c r="N368" s="244">
        <f t="shared" si="208"/>
        <v>0</v>
      </c>
      <c r="O368" s="242">
        <f t="shared" si="209"/>
        <v>0</v>
      </c>
      <c r="P368" s="243">
        <f t="shared" si="210"/>
        <v>0</v>
      </c>
      <c r="Q368" s="876">
        <f t="shared" si="211"/>
        <v>0</v>
      </c>
      <c r="R368" s="845" t="s">
        <v>3410</v>
      </c>
    </row>
    <row r="369" spans="1:18" ht="32.1" customHeight="1">
      <c r="A369" s="1126"/>
      <c r="B369" s="160"/>
      <c r="C369" s="138" t="s">
        <v>3411</v>
      </c>
      <c r="D369" s="257"/>
      <c r="E369" s="138" t="s">
        <v>3412</v>
      </c>
      <c r="F369" s="257"/>
      <c r="G369" s="225">
        <f t="shared" si="182"/>
        <v>0</v>
      </c>
      <c r="H369" s="242">
        <f t="shared" si="202"/>
        <v>0</v>
      </c>
      <c r="I369" s="825">
        <f t="shared" si="203"/>
        <v>0</v>
      </c>
      <c r="J369" s="242">
        <f t="shared" si="204"/>
        <v>0</v>
      </c>
      <c r="K369" s="244">
        <f t="shared" si="205"/>
        <v>0</v>
      </c>
      <c r="L369" s="242">
        <f t="shared" si="206"/>
        <v>0</v>
      </c>
      <c r="M369" s="243">
        <f t="shared" si="207"/>
        <v>0</v>
      </c>
      <c r="N369" s="244">
        <f t="shared" si="208"/>
        <v>0</v>
      </c>
      <c r="O369" s="242">
        <f t="shared" si="209"/>
        <v>0</v>
      </c>
      <c r="P369" s="243">
        <f t="shared" si="210"/>
        <v>0</v>
      </c>
      <c r="Q369" s="876">
        <f t="shared" si="211"/>
        <v>0</v>
      </c>
      <c r="R369" s="845" t="s">
        <v>3413</v>
      </c>
    </row>
    <row r="370" spans="1:18" ht="32.1" customHeight="1">
      <c r="A370" s="1126"/>
      <c r="B370" s="160"/>
      <c r="C370" s="138" t="s">
        <v>3414</v>
      </c>
      <c r="D370" s="257"/>
      <c r="E370" s="138" t="s">
        <v>3415</v>
      </c>
      <c r="F370" s="257"/>
      <c r="G370" s="225">
        <f t="shared" si="182"/>
        <v>0</v>
      </c>
      <c r="H370" s="242">
        <f t="shared" si="202"/>
        <v>0</v>
      </c>
      <c r="I370" s="825">
        <f t="shared" si="203"/>
        <v>0</v>
      </c>
      <c r="J370" s="242">
        <f t="shared" si="204"/>
        <v>0</v>
      </c>
      <c r="K370" s="244">
        <f t="shared" si="205"/>
        <v>0</v>
      </c>
      <c r="L370" s="242">
        <f t="shared" si="206"/>
        <v>0</v>
      </c>
      <c r="M370" s="243">
        <f t="shared" si="207"/>
        <v>0</v>
      </c>
      <c r="N370" s="244">
        <f t="shared" si="208"/>
        <v>0</v>
      </c>
      <c r="O370" s="242">
        <f t="shared" si="209"/>
        <v>0</v>
      </c>
      <c r="P370" s="243">
        <f t="shared" si="210"/>
        <v>0</v>
      </c>
      <c r="Q370" s="876">
        <f t="shared" si="211"/>
        <v>0</v>
      </c>
      <c r="R370" s="845" t="s">
        <v>3416</v>
      </c>
    </row>
    <row r="371" spans="1:18" ht="32.1" customHeight="1">
      <c r="A371" s="1126"/>
      <c r="B371" s="160"/>
      <c r="C371" s="138" t="s">
        <v>3417</v>
      </c>
      <c r="D371" s="257"/>
      <c r="E371" s="138" t="s">
        <v>3418</v>
      </c>
      <c r="F371" s="257"/>
      <c r="G371" s="225">
        <f t="shared" si="182"/>
        <v>0</v>
      </c>
      <c r="H371" s="242">
        <f>COUNTIF(Area_v1,$C371)</f>
        <v>0</v>
      </c>
      <c r="I371" s="825">
        <f>COUNTIF(Area_v2,$C371)</f>
        <v>0</v>
      </c>
      <c r="J371" s="242">
        <f>COUNTIF(Area_v3ZIC,$C371)</f>
        <v>0</v>
      </c>
      <c r="K371" s="244">
        <f>COUNTIF(Area_v4ZIC,$C371)</f>
        <v>0</v>
      </c>
      <c r="L371" s="242">
        <f t="shared" si="206"/>
        <v>0</v>
      </c>
      <c r="M371" s="243">
        <f>COUNTIF(Area_v4BIN,$C371)</f>
        <v>0</v>
      </c>
      <c r="N371" s="244">
        <f>COUNTIF(Area_v5BIN,$C371)</f>
        <v>0</v>
      </c>
      <c r="O371" s="242">
        <f t="shared" si="209"/>
        <v>0</v>
      </c>
      <c r="P371" s="243">
        <f t="shared" si="210"/>
        <v>0</v>
      </c>
      <c r="Q371" s="876">
        <f t="shared" si="211"/>
        <v>0</v>
      </c>
      <c r="R371" s="845" t="s">
        <v>3419</v>
      </c>
    </row>
    <row r="372" spans="1:18" ht="32.1" customHeight="1">
      <c r="A372" s="1126"/>
      <c r="B372" s="160"/>
      <c r="C372" s="138" t="s">
        <v>3420</v>
      </c>
      <c r="D372" s="257"/>
      <c r="E372" s="138" t="s">
        <v>3421</v>
      </c>
      <c r="F372" s="257"/>
      <c r="G372" s="225">
        <f t="shared" si="182"/>
        <v>0</v>
      </c>
      <c r="H372" s="242">
        <f>COUNTIF(Area_v1,$C372)</f>
        <v>0</v>
      </c>
      <c r="I372" s="825">
        <f>COUNTIF(Area_v2,$C372)</f>
        <v>0</v>
      </c>
      <c r="J372" s="242">
        <f>COUNTIF(Area_v3ZIC,$C372)</f>
        <v>0</v>
      </c>
      <c r="K372" s="244">
        <f>COUNTIF(Area_v4ZIC,$C372)</f>
        <v>0</v>
      </c>
      <c r="L372" s="242">
        <f t="shared" si="206"/>
        <v>0</v>
      </c>
      <c r="M372" s="243">
        <f>COUNTIF(Area_v4BIN,$C372)</f>
        <v>0</v>
      </c>
      <c r="N372" s="244">
        <f>COUNTIF(Area_v5BIN,$C372)</f>
        <v>0</v>
      </c>
      <c r="O372" s="242">
        <f t="shared" si="209"/>
        <v>0</v>
      </c>
      <c r="P372" s="243">
        <f t="shared" si="210"/>
        <v>0</v>
      </c>
      <c r="Q372" s="876">
        <f t="shared" si="211"/>
        <v>0</v>
      </c>
      <c r="R372" s="845" t="s">
        <v>3422</v>
      </c>
    </row>
    <row r="373" spans="1:18" ht="32.1" customHeight="1">
      <c r="A373" s="1126"/>
      <c r="B373" s="1185"/>
      <c r="C373" s="138" t="s">
        <v>3423</v>
      </c>
      <c r="D373" s="257"/>
      <c r="E373" s="138" t="s">
        <v>3424</v>
      </c>
      <c r="F373" s="257"/>
      <c r="G373" s="225">
        <f t="shared" si="182"/>
        <v>0</v>
      </c>
      <c r="H373" s="242">
        <f>COUNTIF(Area_v1,$C373)</f>
        <v>0</v>
      </c>
      <c r="I373" s="825">
        <f>COUNTIF(Area_v2,$C373)</f>
        <v>0</v>
      </c>
      <c r="J373" s="242">
        <f>COUNTIF(Area_v3ZIC,$C373)</f>
        <v>0</v>
      </c>
      <c r="K373" s="244">
        <f>COUNTIF(Area_v4ZIC,$C373)</f>
        <v>0</v>
      </c>
      <c r="L373" s="242">
        <f t="shared" si="206"/>
        <v>0</v>
      </c>
      <c r="M373" s="243">
        <f>COUNTIF(Area_v4BIN,$C373)</f>
        <v>0</v>
      </c>
      <c r="N373" s="244">
        <f>COUNTIF(Area_v5BIN,$C373)</f>
        <v>0</v>
      </c>
      <c r="O373" s="242">
        <f t="shared" si="209"/>
        <v>0</v>
      </c>
      <c r="P373" s="243">
        <f t="shared" si="210"/>
        <v>0</v>
      </c>
      <c r="Q373" s="876">
        <f t="shared" si="211"/>
        <v>0</v>
      </c>
      <c r="R373" s="845" t="s">
        <v>3425</v>
      </c>
    </row>
    <row r="374" spans="1:18" ht="32.1" customHeight="1">
      <c r="A374" s="1125" t="s">
        <v>3426</v>
      </c>
      <c r="B374" s="294"/>
      <c r="C374" s="301" t="s">
        <v>3427</v>
      </c>
      <c r="D374" s="302" t="s">
        <v>3428</v>
      </c>
      <c r="E374" s="301" t="s">
        <v>3429</v>
      </c>
      <c r="F374" s="302" t="s">
        <v>1411</v>
      </c>
      <c r="G374" s="303">
        <f t="shared" si="182"/>
        <v>0</v>
      </c>
      <c r="H374" s="304"/>
      <c r="I374" s="829"/>
      <c r="J374" s="304"/>
      <c r="K374" s="306"/>
      <c r="L374" s="304"/>
      <c r="M374" s="305"/>
      <c r="N374" s="306"/>
      <c r="O374" s="304"/>
      <c r="P374" s="305"/>
      <c r="Q374" s="880"/>
      <c r="R374" s="848" t="s">
        <v>3430</v>
      </c>
    </row>
    <row r="375" spans="1:18" ht="32.1" customHeight="1">
      <c r="A375" s="1126"/>
      <c r="B375" s="160"/>
      <c r="C375" s="138" t="s">
        <v>3431</v>
      </c>
      <c r="D375" s="257"/>
      <c r="E375" s="138" t="s">
        <v>3432</v>
      </c>
      <c r="F375" s="257" t="s">
        <v>1411</v>
      </c>
      <c r="G375" s="225">
        <f t="shared" si="182"/>
        <v>0</v>
      </c>
      <c r="H375" s="242">
        <f>+H380</f>
        <v>0</v>
      </c>
      <c r="I375" s="825">
        <f t="shared" ref="I375:P375" si="212">+I380</f>
        <v>0</v>
      </c>
      <c r="J375" s="242">
        <f t="shared" si="212"/>
        <v>0</v>
      </c>
      <c r="K375" s="244">
        <f t="shared" si="212"/>
        <v>0</v>
      </c>
      <c r="L375" s="242">
        <f t="shared" ref="L375" si="213">+L380</f>
        <v>0</v>
      </c>
      <c r="M375" s="243">
        <f t="shared" si="212"/>
        <v>0</v>
      </c>
      <c r="N375" s="244">
        <f t="shared" si="212"/>
        <v>0</v>
      </c>
      <c r="O375" s="242">
        <f t="shared" si="212"/>
        <v>0</v>
      </c>
      <c r="P375" s="243">
        <f t="shared" si="212"/>
        <v>0</v>
      </c>
      <c r="Q375" s="876">
        <f t="shared" ref="Q375" si="214">+Q380</f>
        <v>0</v>
      </c>
      <c r="R375" s="845" t="s">
        <v>3433</v>
      </c>
    </row>
    <row r="376" spans="1:18" ht="32.1" customHeight="1">
      <c r="A376" s="1126"/>
      <c r="B376" s="1124" t="s">
        <v>2679</v>
      </c>
      <c r="C376" s="295" t="s">
        <v>3434</v>
      </c>
      <c r="D376" s="296"/>
      <c r="E376" s="295" t="s">
        <v>3435</v>
      </c>
      <c r="F376" s="296" t="s">
        <v>1411</v>
      </c>
      <c r="G376" s="297">
        <f t="shared" si="182"/>
        <v>0</v>
      </c>
      <c r="H376" s="298"/>
      <c r="I376" s="830"/>
      <c r="J376" s="298"/>
      <c r="K376" s="300"/>
      <c r="L376" s="298"/>
      <c r="M376" s="299"/>
      <c r="N376" s="300"/>
      <c r="O376" s="298"/>
      <c r="P376" s="299"/>
      <c r="Q376" s="881"/>
      <c r="R376" s="845" t="s">
        <v>3436</v>
      </c>
    </row>
    <row r="377" spans="1:18" ht="32.1" customHeight="1">
      <c r="A377" s="1126"/>
      <c r="B377" s="1124"/>
      <c r="C377" s="295" t="s">
        <v>3437</v>
      </c>
      <c r="D377" s="296"/>
      <c r="E377" s="295" t="s">
        <v>3438</v>
      </c>
      <c r="F377" s="296" t="s">
        <v>1411</v>
      </c>
      <c r="G377" s="297">
        <f t="shared" ref="G377:G380" si="215">SUM(H377:Q377)</f>
        <v>0</v>
      </c>
      <c r="H377" s="298"/>
      <c r="I377" s="830"/>
      <c r="J377" s="298"/>
      <c r="K377" s="300"/>
      <c r="L377" s="298"/>
      <c r="M377" s="299"/>
      <c r="N377" s="300"/>
      <c r="O377" s="298"/>
      <c r="P377" s="299"/>
      <c r="Q377" s="881"/>
      <c r="R377" s="845" t="s">
        <v>3439</v>
      </c>
    </row>
    <row r="378" spans="1:18" ht="32.1" customHeight="1">
      <c r="A378" s="1126"/>
      <c r="B378" s="160"/>
      <c r="C378" s="138" t="s">
        <v>3440</v>
      </c>
      <c r="D378" s="257"/>
      <c r="E378" s="138" t="s">
        <v>3441</v>
      </c>
      <c r="F378" s="257" t="s">
        <v>1411</v>
      </c>
      <c r="G378" s="225">
        <f t="shared" si="215"/>
        <v>0</v>
      </c>
      <c r="H378" s="242">
        <f>COUNTIF(Area_v1,$C378)</f>
        <v>0</v>
      </c>
      <c r="I378" s="825">
        <f>COUNTIF(Area_v2,$C378)</f>
        <v>0</v>
      </c>
      <c r="J378" s="242">
        <f>COUNTIF(Area_v3ZIC,$C378)</f>
        <v>0</v>
      </c>
      <c r="K378" s="244">
        <f>COUNTIF(Area_v4ZIC,$C378)</f>
        <v>0</v>
      </c>
      <c r="L378" s="242">
        <f>COUNTIF(Area_v3BIN,$C378)</f>
        <v>0</v>
      </c>
      <c r="M378" s="243">
        <f>COUNTIF(Area_v4BIN,$C378)</f>
        <v>0</v>
      </c>
      <c r="N378" s="244">
        <f>COUNTIF(Area_v5BIN,$C378)</f>
        <v>0</v>
      </c>
      <c r="O378" s="242">
        <f>COUNTIF(Area_v3HAD,$C378)</f>
        <v>0</v>
      </c>
      <c r="P378" s="243">
        <f>COUNTIF(Area_v3KFA,$C378)</f>
        <v>0</v>
      </c>
      <c r="Q378" s="876">
        <f>COUNTIF(Area_v4KFA,$C378)</f>
        <v>0</v>
      </c>
      <c r="R378" s="845" t="s">
        <v>3442</v>
      </c>
    </row>
    <row r="379" spans="1:18" ht="32.1" customHeight="1">
      <c r="A379" s="1126"/>
      <c r="B379" s="160"/>
      <c r="C379" s="138" t="s">
        <v>3443</v>
      </c>
      <c r="D379" s="257"/>
      <c r="E379" s="138" t="s">
        <v>3444</v>
      </c>
      <c r="F379" s="257" t="s">
        <v>1411</v>
      </c>
      <c r="G379" s="225">
        <f t="shared" si="215"/>
        <v>0</v>
      </c>
      <c r="H379" s="242">
        <f>COUNTIF(Area_v1,$C379)</f>
        <v>0</v>
      </c>
      <c r="I379" s="825">
        <f>COUNTIF(Area_v2,$C379)</f>
        <v>0</v>
      </c>
      <c r="J379" s="242">
        <f>COUNTIF(Area_v3ZIC,$C379)</f>
        <v>0</v>
      </c>
      <c r="K379" s="244">
        <f>COUNTIF(Area_v4ZIC,$C379)</f>
        <v>0</v>
      </c>
      <c r="L379" s="242">
        <f>COUNTIF(Area_v3BIN,$C379)</f>
        <v>0</v>
      </c>
      <c r="M379" s="243">
        <f>COUNTIF(Area_v4BIN,$C379)</f>
        <v>0</v>
      </c>
      <c r="N379" s="244">
        <f>COUNTIF(Area_v5BIN,$C379)</f>
        <v>0</v>
      </c>
      <c r="O379" s="242">
        <f>COUNTIF(Area_v3HAD,$C379)</f>
        <v>0</v>
      </c>
      <c r="P379" s="243">
        <f>COUNTIF(Area_v3KFA,$C379)</f>
        <v>0</v>
      </c>
      <c r="Q379" s="876">
        <f>COUNTIF(Area_v4KFA,$C379)</f>
        <v>0</v>
      </c>
      <c r="R379" s="845" t="s">
        <v>3445</v>
      </c>
    </row>
    <row r="380" spans="1:18" ht="32.1" customHeight="1">
      <c r="A380" s="1184"/>
      <c r="B380" s="1185"/>
      <c r="C380" s="140" t="s">
        <v>3446</v>
      </c>
      <c r="D380" s="259"/>
      <c r="E380" s="140" t="s">
        <v>3447</v>
      </c>
      <c r="F380" s="259" t="s">
        <v>1411</v>
      </c>
      <c r="G380" s="230">
        <f t="shared" si="215"/>
        <v>0</v>
      </c>
      <c r="H380" s="235">
        <f>COUNTIF(Area_v1,$C380)</f>
        <v>0</v>
      </c>
      <c r="I380" s="823">
        <f>COUNTIF(Area_v2,$C380)</f>
        <v>0</v>
      </c>
      <c r="J380" s="235">
        <f>COUNTIF(Area_v3ZIC,$C380)</f>
        <v>0</v>
      </c>
      <c r="K380" s="237">
        <f>COUNTIF(Area_v4ZIC,$C380)</f>
        <v>0</v>
      </c>
      <c r="L380" s="235">
        <f>COUNTIF(Area_v3BIN,$C380)</f>
        <v>0</v>
      </c>
      <c r="M380" s="236">
        <f>COUNTIF(Area_v4BIN,$C380)</f>
        <v>0</v>
      </c>
      <c r="N380" s="237">
        <f>COUNTIF(Area_v5BIN,$C380)</f>
        <v>0</v>
      </c>
      <c r="O380" s="235">
        <f>COUNTIF(Area_v3HAD,$C380)</f>
        <v>0</v>
      </c>
      <c r="P380" s="236">
        <f>COUNTIF(Area_v3KFA,$C380)</f>
        <v>0</v>
      </c>
      <c r="Q380" s="874">
        <f>COUNTIF(Area_v4KFA,$C380)</f>
        <v>0</v>
      </c>
      <c r="R380" s="847" t="s">
        <v>3448</v>
      </c>
    </row>
    <row r="381" spans="1:18" ht="19.899999999999999" customHeight="1">
      <c r="C381" s="144"/>
      <c r="E381" s="144"/>
      <c r="J381" s="133"/>
      <c r="M381" s="133"/>
      <c r="N381" s="133"/>
      <c r="O381" s="133"/>
      <c r="P381" s="133"/>
      <c r="Q381" s="133"/>
      <c r="R381" s="144"/>
    </row>
    <row r="382" spans="1:18" ht="19.899999999999999" customHeight="1">
      <c r="C382" s="144"/>
      <c r="E382" s="144"/>
      <c r="J382" s="133"/>
      <c r="M382" s="133"/>
      <c r="N382" s="133"/>
      <c r="O382" s="133"/>
      <c r="P382" s="133"/>
      <c r="Q382" s="133"/>
      <c r="R382" s="144"/>
    </row>
    <row r="383" spans="1:18" ht="19.899999999999999" customHeight="1">
      <c r="C383" s="144"/>
      <c r="E383" s="144"/>
      <c r="R383" s="144"/>
    </row>
    <row r="384" spans="1:18" ht="19.899999999999999" customHeight="1">
      <c r="C384" s="144"/>
      <c r="E384" s="144"/>
      <c r="H384" s="145"/>
      <c r="R384" s="144"/>
    </row>
    <row r="385" spans="3:18" ht="19.899999999999999" customHeight="1">
      <c r="C385" s="144"/>
      <c r="E385" s="144"/>
      <c r="R385" s="144"/>
    </row>
    <row r="386" spans="3:18" ht="19.899999999999999" customHeight="1">
      <c r="C386" s="144"/>
      <c r="E386" s="144"/>
      <c r="R386" s="144"/>
    </row>
    <row r="387" spans="3:18" ht="19.899999999999999" customHeight="1">
      <c r="C387" s="144"/>
      <c r="E387" s="144"/>
      <c r="R387" s="144"/>
    </row>
    <row r="388" spans="3:18" ht="19.899999999999999" customHeight="1">
      <c r="C388" s="144"/>
      <c r="E388" s="144"/>
      <c r="R388" s="144"/>
    </row>
    <row r="389" spans="3:18" ht="19.899999999999999" customHeight="1">
      <c r="C389" s="144"/>
      <c r="E389" s="144"/>
      <c r="R389" s="144"/>
    </row>
    <row r="390" spans="3:18" ht="19.899999999999999" customHeight="1">
      <c r="C390" s="144"/>
      <c r="E390" s="144"/>
      <c r="R390" s="144"/>
    </row>
    <row r="391" spans="3:18" ht="19.899999999999999" customHeight="1">
      <c r="C391" s="144"/>
      <c r="E391" s="144"/>
      <c r="R391" s="144"/>
    </row>
    <row r="392" spans="3:18" ht="19.899999999999999" customHeight="1">
      <c r="C392" s="144"/>
      <c r="E392" s="144"/>
      <c r="R392" s="144"/>
    </row>
    <row r="393" spans="3:18" ht="19.899999999999999" customHeight="1">
      <c r="C393" s="144"/>
      <c r="E393" s="144"/>
      <c r="R393" s="144"/>
    </row>
    <row r="394" spans="3:18" ht="19.899999999999999" customHeight="1">
      <c r="C394" s="144"/>
      <c r="E394" s="144"/>
      <c r="R394" s="144"/>
    </row>
    <row r="395" spans="3:18" ht="19.899999999999999" customHeight="1">
      <c r="C395" s="144"/>
      <c r="E395" s="144"/>
      <c r="R395" s="144"/>
    </row>
    <row r="396" spans="3:18" ht="19.899999999999999" customHeight="1">
      <c r="C396" s="144"/>
      <c r="E396" s="144"/>
      <c r="R396" s="144"/>
    </row>
    <row r="397" spans="3:18" ht="19.899999999999999" customHeight="1">
      <c r="C397" s="144"/>
      <c r="E397" s="144"/>
      <c r="R397" s="144"/>
    </row>
    <row r="398" spans="3:18" ht="19.899999999999999" customHeight="1">
      <c r="C398" s="144"/>
      <c r="E398" s="144"/>
      <c r="R398" s="144"/>
    </row>
    <row r="399" spans="3:18" ht="19.899999999999999" customHeight="1">
      <c r="C399" s="144"/>
      <c r="E399" s="144"/>
      <c r="R399" s="144"/>
    </row>
    <row r="400" spans="3:18" ht="19.899999999999999" customHeight="1">
      <c r="C400" s="144"/>
      <c r="E400" s="144"/>
      <c r="R400" s="144"/>
    </row>
    <row r="401" spans="3:18" ht="19.899999999999999" customHeight="1">
      <c r="C401" s="144"/>
      <c r="E401" s="144"/>
      <c r="R401" s="144"/>
    </row>
    <row r="402" spans="3:18" ht="19.899999999999999" customHeight="1">
      <c r="C402" s="144"/>
      <c r="E402" s="144"/>
      <c r="R402" s="144"/>
    </row>
    <row r="403" spans="3:18" ht="19.899999999999999" customHeight="1">
      <c r="C403" s="144"/>
      <c r="E403" s="144"/>
      <c r="R403" s="144"/>
    </row>
    <row r="404" spans="3:18" ht="19.899999999999999" customHeight="1">
      <c r="C404" s="144"/>
      <c r="E404" s="144"/>
      <c r="R404" s="144"/>
    </row>
    <row r="405" spans="3:18" ht="19.899999999999999" customHeight="1">
      <c r="C405" s="144"/>
      <c r="E405" s="144"/>
      <c r="R405" s="144"/>
    </row>
    <row r="406" spans="3:18" ht="19.899999999999999" customHeight="1">
      <c r="C406" s="144"/>
      <c r="E406" s="144"/>
      <c r="R406" s="144"/>
    </row>
    <row r="407" spans="3:18" ht="19.899999999999999" customHeight="1">
      <c r="C407" s="144"/>
      <c r="E407" s="144"/>
      <c r="R407" s="144"/>
    </row>
    <row r="408" spans="3:18" ht="19.899999999999999" customHeight="1">
      <c r="C408" s="144"/>
      <c r="E408" s="144"/>
      <c r="R408" s="144"/>
    </row>
    <row r="409" spans="3:18" ht="19.899999999999999" customHeight="1">
      <c r="C409" s="144"/>
      <c r="E409" s="144"/>
      <c r="R409" s="144"/>
    </row>
    <row r="410" spans="3:18" ht="19.899999999999999" customHeight="1">
      <c r="C410" s="144"/>
      <c r="E410" s="144"/>
      <c r="R410" s="144"/>
    </row>
    <row r="411" spans="3:18" ht="19.899999999999999" customHeight="1">
      <c r="C411" s="144"/>
      <c r="E411" s="144"/>
      <c r="R411" s="144"/>
    </row>
    <row r="412" spans="3:18" ht="19.899999999999999" customHeight="1">
      <c r="C412" s="144"/>
      <c r="E412" s="144"/>
      <c r="R412" s="144"/>
    </row>
    <row r="413" spans="3:18" ht="19.899999999999999" customHeight="1">
      <c r="C413" s="144"/>
      <c r="E413" s="144"/>
      <c r="R413" s="144"/>
    </row>
    <row r="414" spans="3:18" ht="19.899999999999999" customHeight="1">
      <c r="C414" s="144"/>
      <c r="E414" s="144"/>
      <c r="R414" s="144"/>
    </row>
    <row r="415" spans="3:18" ht="19.899999999999999" customHeight="1">
      <c r="C415" s="144"/>
      <c r="E415" s="144"/>
      <c r="R415" s="144"/>
    </row>
    <row r="416" spans="3:18" ht="19.899999999999999" customHeight="1">
      <c r="C416" s="144"/>
      <c r="E416" s="144"/>
      <c r="R416" s="144"/>
    </row>
    <row r="417" spans="3:18" ht="19.899999999999999" customHeight="1">
      <c r="C417" s="144"/>
      <c r="E417" s="144"/>
      <c r="R417" s="144"/>
    </row>
    <row r="418" spans="3:18" ht="19.899999999999999" customHeight="1">
      <c r="C418" s="144"/>
      <c r="E418" s="144"/>
      <c r="R418" s="144"/>
    </row>
    <row r="419" spans="3:18" ht="19.899999999999999" customHeight="1">
      <c r="C419" s="144"/>
      <c r="E419" s="144"/>
      <c r="R419" s="144"/>
    </row>
    <row r="420" spans="3:18" ht="19.899999999999999" customHeight="1">
      <c r="C420" s="144"/>
      <c r="E420" s="144"/>
      <c r="R420" s="144"/>
    </row>
    <row r="421" spans="3:18" ht="19.899999999999999" customHeight="1">
      <c r="C421" s="144"/>
      <c r="E421" s="144"/>
      <c r="R421" s="144"/>
    </row>
    <row r="422" spans="3:18" ht="19.899999999999999" customHeight="1">
      <c r="C422" s="144"/>
      <c r="E422" s="144"/>
      <c r="R422" s="144"/>
    </row>
    <row r="423" spans="3:18" ht="19.899999999999999" customHeight="1">
      <c r="C423" s="144"/>
      <c r="E423" s="144"/>
      <c r="R423" s="144"/>
    </row>
    <row r="424" spans="3:18" ht="19.899999999999999" customHeight="1">
      <c r="C424" s="144"/>
      <c r="E424" s="144"/>
      <c r="R424" s="144"/>
    </row>
    <row r="425" spans="3:18" ht="19.899999999999999" customHeight="1">
      <c r="C425" s="144"/>
      <c r="E425" s="144"/>
      <c r="R425" s="144"/>
    </row>
    <row r="426" spans="3:18" ht="19.899999999999999" customHeight="1">
      <c r="C426" s="144"/>
      <c r="E426" s="144"/>
      <c r="R426" s="144"/>
    </row>
    <row r="427" spans="3:18" ht="19.899999999999999" customHeight="1">
      <c r="C427" s="144"/>
      <c r="E427" s="144"/>
      <c r="R427" s="144"/>
    </row>
    <row r="428" spans="3:18" ht="19.899999999999999" customHeight="1">
      <c r="C428" s="144"/>
      <c r="E428" s="144"/>
      <c r="R428" s="144"/>
    </row>
    <row r="429" spans="3:18" ht="19.899999999999999" customHeight="1">
      <c r="C429" s="144"/>
      <c r="E429" s="144"/>
      <c r="R429" s="144"/>
    </row>
    <row r="430" spans="3:18" ht="19.899999999999999" customHeight="1">
      <c r="C430" s="144"/>
      <c r="E430" s="144"/>
      <c r="R430" s="144"/>
    </row>
    <row r="431" spans="3:18" ht="19.899999999999999" customHeight="1">
      <c r="C431" s="144"/>
      <c r="E431" s="144"/>
      <c r="R431" s="144"/>
    </row>
    <row r="432" spans="3:18" ht="19.899999999999999" customHeight="1">
      <c r="C432" s="144"/>
      <c r="E432" s="144"/>
      <c r="R432" s="144"/>
    </row>
    <row r="433" spans="3:18" ht="19.899999999999999" customHeight="1">
      <c r="C433" s="144"/>
      <c r="E433" s="144"/>
      <c r="R433" s="144"/>
    </row>
    <row r="434" spans="3:18" ht="19.899999999999999" customHeight="1">
      <c r="C434" s="144"/>
      <c r="E434" s="144"/>
      <c r="R434" s="144"/>
    </row>
    <row r="435" spans="3:18" ht="19.899999999999999" customHeight="1">
      <c r="C435" s="144"/>
      <c r="E435" s="144"/>
      <c r="R435" s="144"/>
    </row>
    <row r="436" spans="3:18" ht="19.899999999999999" customHeight="1">
      <c r="C436" s="144"/>
      <c r="E436" s="144"/>
      <c r="R436" s="144"/>
    </row>
    <row r="437" spans="3:18" ht="19.899999999999999" customHeight="1">
      <c r="C437" s="144"/>
      <c r="E437" s="144"/>
      <c r="R437" s="144"/>
    </row>
    <row r="438" spans="3:18" ht="19.899999999999999" customHeight="1">
      <c r="C438" s="144"/>
      <c r="E438" s="144"/>
      <c r="R438" s="144"/>
    </row>
    <row r="439" spans="3:18" ht="19.899999999999999" customHeight="1">
      <c r="C439" s="144"/>
      <c r="E439" s="144"/>
      <c r="R439" s="144"/>
    </row>
    <row r="440" spans="3:18" ht="19.899999999999999" customHeight="1">
      <c r="C440" s="144"/>
      <c r="E440" s="144"/>
      <c r="R440" s="144"/>
    </row>
    <row r="441" spans="3:18" ht="19.899999999999999" customHeight="1">
      <c r="C441" s="144"/>
      <c r="E441" s="144"/>
      <c r="R441" s="144"/>
    </row>
    <row r="442" spans="3:18" ht="19.899999999999999" customHeight="1">
      <c r="C442" s="144"/>
      <c r="E442" s="144"/>
      <c r="R442" s="144"/>
    </row>
    <row r="443" spans="3:18" ht="19.899999999999999" customHeight="1">
      <c r="C443" s="144"/>
      <c r="E443" s="144"/>
      <c r="R443" s="144"/>
    </row>
    <row r="444" spans="3:18" ht="19.899999999999999" customHeight="1">
      <c r="C444" s="144"/>
      <c r="E444" s="144"/>
      <c r="R444" s="144"/>
    </row>
    <row r="445" spans="3:18" ht="19.899999999999999" customHeight="1">
      <c r="C445" s="144"/>
      <c r="E445" s="144"/>
      <c r="R445" s="144"/>
    </row>
    <row r="446" spans="3:18" ht="19.899999999999999" customHeight="1">
      <c r="C446" s="144"/>
      <c r="E446" s="144"/>
      <c r="R446" s="144"/>
    </row>
    <row r="447" spans="3:18" ht="19.899999999999999" customHeight="1">
      <c r="C447" s="144"/>
      <c r="E447" s="144"/>
      <c r="R447" s="144"/>
    </row>
    <row r="448" spans="3:18" ht="19.899999999999999" customHeight="1">
      <c r="C448" s="144"/>
      <c r="E448" s="144"/>
      <c r="R448" s="144"/>
    </row>
    <row r="449" spans="3:18" ht="19.899999999999999" customHeight="1">
      <c r="C449" s="144"/>
      <c r="E449" s="144"/>
      <c r="R449" s="144"/>
    </row>
    <row r="450" spans="3:18" ht="19.899999999999999" customHeight="1">
      <c r="C450" s="144"/>
      <c r="E450" s="144"/>
      <c r="R450" s="144"/>
    </row>
    <row r="451" spans="3:18" ht="19.899999999999999" customHeight="1">
      <c r="C451" s="144"/>
      <c r="E451" s="144"/>
      <c r="R451" s="144"/>
    </row>
    <row r="452" spans="3:18" ht="19.899999999999999" customHeight="1">
      <c r="C452" s="144"/>
      <c r="E452" s="144"/>
      <c r="R452" s="144"/>
    </row>
    <row r="453" spans="3:18" ht="19.899999999999999" customHeight="1">
      <c r="C453" s="144"/>
      <c r="E453" s="144"/>
      <c r="R453" s="144"/>
    </row>
    <row r="454" spans="3:18" ht="19.899999999999999" customHeight="1">
      <c r="C454" s="144"/>
      <c r="E454" s="144"/>
      <c r="R454" s="144"/>
    </row>
    <row r="455" spans="3:18" ht="19.899999999999999" customHeight="1">
      <c r="C455" s="144"/>
      <c r="E455" s="144"/>
      <c r="R455" s="144"/>
    </row>
    <row r="456" spans="3:18" ht="19.899999999999999" customHeight="1">
      <c r="C456" s="144"/>
      <c r="E456" s="144"/>
      <c r="R456" s="144"/>
    </row>
    <row r="457" spans="3:18" ht="19.899999999999999" customHeight="1">
      <c r="C457" s="144"/>
      <c r="E457" s="144"/>
      <c r="R457" s="144"/>
    </row>
    <row r="458" spans="3:18" ht="19.899999999999999" customHeight="1">
      <c r="C458" s="144"/>
      <c r="E458" s="144"/>
      <c r="R458" s="144"/>
    </row>
    <row r="459" spans="3:18" ht="19.899999999999999" customHeight="1">
      <c r="C459" s="144"/>
      <c r="E459" s="144"/>
      <c r="R459" s="144"/>
    </row>
    <row r="460" spans="3:18" ht="19.899999999999999" customHeight="1">
      <c r="C460" s="144"/>
      <c r="E460" s="144"/>
      <c r="R460" s="144"/>
    </row>
    <row r="461" spans="3:18" ht="19.899999999999999" customHeight="1">
      <c r="C461" s="144"/>
      <c r="E461" s="144"/>
      <c r="R461" s="144"/>
    </row>
    <row r="462" spans="3:18" ht="19.899999999999999" customHeight="1">
      <c r="C462" s="144"/>
      <c r="E462" s="144"/>
      <c r="R462" s="144"/>
    </row>
    <row r="463" spans="3:18" ht="19.899999999999999" customHeight="1">
      <c r="C463" s="144"/>
      <c r="E463" s="144"/>
      <c r="R463" s="144"/>
    </row>
    <row r="464" spans="3:18" ht="19.899999999999999" customHeight="1">
      <c r="C464" s="144"/>
      <c r="E464" s="144"/>
      <c r="R464" s="144"/>
    </row>
    <row r="465" spans="3:18" ht="19.899999999999999" customHeight="1">
      <c r="C465" s="144"/>
      <c r="E465" s="144"/>
      <c r="R465" s="144"/>
    </row>
    <row r="466" spans="3:18" ht="19.899999999999999" customHeight="1">
      <c r="C466" s="144"/>
      <c r="E466" s="144"/>
      <c r="R466" s="144"/>
    </row>
    <row r="467" spans="3:18" ht="19.899999999999999" customHeight="1">
      <c r="C467" s="144"/>
      <c r="E467" s="144"/>
      <c r="R467" s="144"/>
    </row>
    <row r="468" spans="3:18" ht="19.899999999999999" customHeight="1">
      <c r="C468" s="144"/>
      <c r="E468" s="144"/>
      <c r="R468" s="144"/>
    </row>
    <row r="469" spans="3:18" ht="19.899999999999999" customHeight="1">
      <c r="C469" s="144"/>
      <c r="E469" s="144"/>
      <c r="R469" s="144"/>
    </row>
    <row r="470" spans="3:18" ht="19.899999999999999" customHeight="1">
      <c r="C470" s="144"/>
      <c r="E470" s="144"/>
      <c r="R470" s="144"/>
    </row>
    <row r="471" spans="3:18" ht="19.899999999999999" customHeight="1">
      <c r="C471" s="144"/>
      <c r="E471" s="144"/>
      <c r="R471" s="144"/>
    </row>
    <row r="472" spans="3:18" ht="19.899999999999999" customHeight="1">
      <c r="C472" s="144"/>
      <c r="E472" s="144"/>
      <c r="R472" s="144"/>
    </row>
    <row r="473" spans="3:18" ht="19.899999999999999" customHeight="1">
      <c r="C473" s="144"/>
      <c r="E473" s="144"/>
      <c r="R473" s="144"/>
    </row>
    <row r="474" spans="3:18" ht="19.899999999999999" customHeight="1">
      <c r="C474" s="144"/>
      <c r="E474" s="144"/>
      <c r="R474" s="144"/>
    </row>
    <row r="475" spans="3:18" ht="19.899999999999999" customHeight="1">
      <c r="C475" s="144"/>
      <c r="E475" s="144"/>
      <c r="R475" s="144"/>
    </row>
    <row r="476" spans="3:18" ht="19.899999999999999" customHeight="1">
      <c r="C476" s="144"/>
      <c r="E476" s="144"/>
      <c r="R476" s="144"/>
    </row>
    <row r="477" spans="3:18" ht="19.899999999999999" customHeight="1">
      <c r="C477" s="144"/>
      <c r="E477" s="144"/>
      <c r="R477" s="144"/>
    </row>
    <row r="478" spans="3:18" ht="19.899999999999999" customHeight="1">
      <c r="C478" s="144"/>
      <c r="E478" s="144"/>
      <c r="R478" s="144"/>
    </row>
    <row r="479" spans="3:18" ht="19.899999999999999" customHeight="1">
      <c r="C479" s="144"/>
      <c r="E479" s="144"/>
      <c r="R479" s="144"/>
    </row>
    <row r="480" spans="3:18" ht="19.899999999999999" customHeight="1">
      <c r="C480" s="144"/>
      <c r="E480" s="144"/>
      <c r="R480" s="144"/>
    </row>
    <row r="481" spans="3:18" ht="19.899999999999999" customHeight="1">
      <c r="C481" s="144"/>
      <c r="E481" s="144"/>
      <c r="R481" s="144"/>
    </row>
    <row r="482" spans="3:18" ht="19.899999999999999" customHeight="1">
      <c r="C482" s="144"/>
      <c r="E482" s="144"/>
      <c r="R482" s="144"/>
    </row>
    <row r="483" spans="3:18" ht="19.899999999999999" customHeight="1">
      <c r="C483" s="144"/>
      <c r="E483" s="144"/>
      <c r="R483" s="144"/>
    </row>
    <row r="484" spans="3:18" ht="19.899999999999999" customHeight="1">
      <c r="C484" s="144"/>
      <c r="E484" s="144"/>
      <c r="R484" s="144"/>
    </row>
    <row r="485" spans="3:18" ht="19.899999999999999" customHeight="1">
      <c r="C485" s="144"/>
      <c r="E485" s="144"/>
      <c r="R485" s="144"/>
    </row>
    <row r="486" spans="3:18" ht="19.899999999999999" customHeight="1">
      <c r="C486" s="144"/>
      <c r="E486" s="144"/>
      <c r="R486" s="144"/>
    </row>
    <row r="487" spans="3:18" ht="19.899999999999999" customHeight="1">
      <c r="C487" s="144"/>
      <c r="E487" s="144"/>
      <c r="R487" s="144"/>
    </row>
    <row r="488" spans="3:18" ht="19.899999999999999" customHeight="1">
      <c r="C488" s="144"/>
      <c r="E488" s="144"/>
      <c r="R488" s="144"/>
    </row>
    <row r="489" spans="3:18" ht="19.899999999999999" customHeight="1">
      <c r="C489" s="144"/>
      <c r="E489" s="144"/>
      <c r="R489" s="144"/>
    </row>
    <row r="490" spans="3:18" ht="19.899999999999999" customHeight="1">
      <c r="C490" s="144"/>
      <c r="E490" s="144"/>
      <c r="R490" s="144"/>
    </row>
    <row r="491" spans="3:18" ht="19.899999999999999" customHeight="1">
      <c r="C491" s="144"/>
      <c r="E491" s="144"/>
      <c r="R491" s="144"/>
    </row>
    <row r="492" spans="3:18" ht="19.899999999999999" customHeight="1">
      <c r="C492" s="144"/>
      <c r="E492" s="144"/>
      <c r="R492" s="144"/>
    </row>
    <row r="493" spans="3:18" ht="19.899999999999999" customHeight="1">
      <c r="C493" s="144"/>
      <c r="E493" s="144"/>
      <c r="R493" s="144"/>
    </row>
    <row r="494" spans="3:18" ht="19.899999999999999" customHeight="1">
      <c r="C494" s="144"/>
      <c r="E494" s="144"/>
      <c r="R494" s="144"/>
    </row>
    <row r="495" spans="3:18" ht="19.899999999999999" customHeight="1">
      <c r="C495" s="144"/>
      <c r="E495" s="144"/>
      <c r="R495" s="144"/>
    </row>
    <row r="496" spans="3:18" ht="19.899999999999999" customHeight="1">
      <c r="C496" s="144"/>
      <c r="E496" s="144"/>
      <c r="R496" s="144"/>
    </row>
    <row r="497" spans="3:18" ht="19.899999999999999" customHeight="1">
      <c r="C497" s="144"/>
      <c r="E497" s="144"/>
      <c r="R497" s="144"/>
    </row>
    <row r="498" spans="3:18" ht="19.899999999999999" customHeight="1">
      <c r="C498" s="144"/>
      <c r="E498" s="144"/>
      <c r="R498" s="144"/>
    </row>
    <row r="499" spans="3:18" ht="19.899999999999999" customHeight="1">
      <c r="C499" s="144"/>
      <c r="E499" s="144"/>
      <c r="R499" s="144"/>
    </row>
    <row r="500" spans="3:18" ht="19.899999999999999" customHeight="1">
      <c r="C500" s="144"/>
      <c r="E500" s="144"/>
      <c r="R500" s="144"/>
    </row>
    <row r="501" spans="3:18" ht="19.899999999999999" customHeight="1">
      <c r="C501" s="144"/>
      <c r="E501" s="144"/>
      <c r="R501" s="144"/>
    </row>
    <row r="502" spans="3:18" ht="19.899999999999999" customHeight="1">
      <c r="C502" s="144"/>
      <c r="E502" s="144"/>
      <c r="R502" s="144"/>
    </row>
    <row r="503" spans="3:18" ht="19.899999999999999" customHeight="1">
      <c r="C503" s="144"/>
      <c r="E503" s="144"/>
      <c r="R503" s="144"/>
    </row>
    <row r="504" spans="3:18" ht="19.899999999999999" customHeight="1">
      <c r="C504" s="144"/>
      <c r="E504" s="144"/>
      <c r="R504" s="144"/>
    </row>
    <row r="505" spans="3:18" ht="19.899999999999999" customHeight="1">
      <c r="C505" s="144"/>
      <c r="E505" s="144"/>
      <c r="R505" s="144"/>
    </row>
    <row r="506" spans="3:18" ht="19.899999999999999" customHeight="1">
      <c r="C506" s="144"/>
      <c r="E506" s="144"/>
      <c r="R506" s="144"/>
    </row>
    <row r="507" spans="3:18" ht="19.899999999999999" customHeight="1">
      <c r="C507" s="144"/>
      <c r="E507" s="144"/>
      <c r="R507" s="144"/>
    </row>
    <row r="508" spans="3:18" ht="19.899999999999999" customHeight="1">
      <c r="C508" s="144"/>
      <c r="E508" s="144"/>
      <c r="R508" s="144"/>
    </row>
    <row r="509" spans="3:18" ht="19.899999999999999" customHeight="1">
      <c r="C509" s="144"/>
      <c r="E509" s="144"/>
      <c r="R509" s="144"/>
    </row>
    <row r="510" spans="3:18" ht="19.899999999999999" customHeight="1">
      <c r="C510" s="144"/>
      <c r="E510" s="144"/>
      <c r="R510" s="144"/>
    </row>
    <row r="511" spans="3:18" ht="19.899999999999999" customHeight="1">
      <c r="C511" s="144"/>
      <c r="E511" s="144"/>
      <c r="R511" s="144"/>
    </row>
    <row r="512" spans="3:18" ht="19.899999999999999" customHeight="1">
      <c r="C512" s="144"/>
      <c r="E512" s="144"/>
      <c r="R512" s="144"/>
    </row>
    <row r="513" spans="3:18" ht="19.899999999999999" customHeight="1">
      <c r="C513" s="144"/>
      <c r="E513" s="144"/>
      <c r="R513" s="144"/>
    </row>
    <row r="514" spans="3:18" ht="19.899999999999999" customHeight="1">
      <c r="C514" s="144"/>
      <c r="E514" s="144"/>
      <c r="R514" s="144"/>
    </row>
    <row r="515" spans="3:18" ht="19.899999999999999" customHeight="1">
      <c r="C515" s="144"/>
      <c r="E515" s="144"/>
      <c r="R515" s="144"/>
    </row>
    <row r="516" spans="3:18" ht="19.899999999999999" customHeight="1">
      <c r="C516" s="144"/>
      <c r="E516" s="144"/>
      <c r="R516" s="144"/>
    </row>
    <row r="517" spans="3:18" ht="19.899999999999999" customHeight="1">
      <c r="C517" s="144"/>
      <c r="E517" s="144"/>
      <c r="R517" s="144"/>
    </row>
    <row r="518" spans="3:18" ht="19.899999999999999" customHeight="1">
      <c r="C518" s="144"/>
      <c r="E518" s="144"/>
      <c r="R518" s="144"/>
    </row>
    <row r="519" spans="3:18" ht="19.899999999999999" customHeight="1">
      <c r="C519" s="144"/>
      <c r="E519" s="144"/>
      <c r="R519" s="144"/>
    </row>
    <row r="520" spans="3:18" ht="19.899999999999999" customHeight="1">
      <c r="C520" s="144"/>
      <c r="E520" s="144"/>
      <c r="R520" s="144"/>
    </row>
    <row r="521" spans="3:18" ht="19.899999999999999" customHeight="1">
      <c r="C521" s="144"/>
      <c r="E521" s="144"/>
      <c r="R521" s="144"/>
    </row>
    <row r="522" spans="3:18" ht="19.899999999999999" customHeight="1">
      <c r="C522" s="144"/>
      <c r="E522" s="144"/>
      <c r="R522" s="144"/>
    </row>
    <row r="523" spans="3:18" ht="19.899999999999999" customHeight="1">
      <c r="C523" s="144"/>
      <c r="E523" s="144"/>
      <c r="R523" s="144"/>
    </row>
    <row r="524" spans="3:18" ht="19.899999999999999" customHeight="1">
      <c r="C524" s="144"/>
      <c r="E524" s="144"/>
      <c r="R524" s="144"/>
    </row>
    <row r="525" spans="3:18" ht="19.899999999999999" customHeight="1">
      <c r="C525" s="144"/>
      <c r="E525" s="144"/>
      <c r="R525" s="144"/>
    </row>
    <row r="526" spans="3:18" ht="19.899999999999999" customHeight="1">
      <c r="C526" s="144"/>
      <c r="E526" s="144"/>
      <c r="R526" s="144"/>
    </row>
    <row r="527" spans="3:18" ht="19.899999999999999" customHeight="1">
      <c r="C527" s="144"/>
      <c r="E527" s="144"/>
      <c r="R527" s="144"/>
    </row>
    <row r="528" spans="3:18" ht="19.899999999999999" customHeight="1">
      <c r="C528" s="144"/>
      <c r="E528" s="144"/>
      <c r="R528" s="144"/>
    </row>
    <row r="529" spans="3:18" ht="19.899999999999999" customHeight="1">
      <c r="C529" s="144"/>
      <c r="E529" s="144"/>
      <c r="R529" s="144"/>
    </row>
    <row r="530" spans="3:18" ht="19.899999999999999" customHeight="1">
      <c r="C530" s="144"/>
      <c r="E530" s="144"/>
      <c r="R530" s="144"/>
    </row>
    <row r="531" spans="3:18" ht="19.899999999999999" customHeight="1">
      <c r="C531" s="144"/>
      <c r="E531" s="144"/>
      <c r="R531" s="144"/>
    </row>
    <row r="532" spans="3:18" ht="19.899999999999999" customHeight="1">
      <c r="C532" s="144"/>
      <c r="E532" s="144"/>
      <c r="R532" s="144"/>
    </row>
    <row r="533" spans="3:18" ht="19.899999999999999" customHeight="1">
      <c r="C533" s="144"/>
      <c r="E533" s="144"/>
      <c r="R533" s="144"/>
    </row>
    <row r="534" spans="3:18" ht="19.899999999999999" customHeight="1">
      <c r="C534" s="144"/>
      <c r="E534" s="144"/>
      <c r="R534" s="144"/>
    </row>
    <row r="535" spans="3:18" ht="19.899999999999999" customHeight="1">
      <c r="C535" s="144"/>
      <c r="E535" s="144"/>
      <c r="R535" s="144"/>
    </row>
    <row r="536" spans="3:18" ht="19.899999999999999" customHeight="1">
      <c r="C536" s="144"/>
      <c r="E536" s="144"/>
      <c r="R536" s="144"/>
    </row>
    <row r="537" spans="3:18" ht="19.899999999999999" customHeight="1">
      <c r="C537" s="144"/>
      <c r="E537" s="144"/>
      <c r="R537" s="144"/>
    </row>
    <row r="538" spans="3:18" ht="19.899999999999999" customHeight="1">
      <c r="C538" s="144"/>
      <c r="E538" s="144"/>
      <c r="R538" s="144"/>
    </row>
    <row r="539" spans="3:18" ht="19.899999999999999" customHeight="1">
      <c r="C539" s="144"/>
      <c r="E539" s="144"/>
      <c r="R539" s="144"/>
    </row>
    <row r="540" spans="3:18" ht="19.899999999999999" customHeight="1">
      <c r="C540" s="144"/>
      <c r="E540" s="144"/>
      <c r="R540" s="144"/>
    </row>
    <row r="541" spans="3:18" ht="19.899999999999999" customHeight="1">
      <c r="C541" s="144"/>
      <c r="E541" s="144"/>
      <c r="R541" s="144"/>
    </row>
    <row r="542" spans="3:18" ht="19.899999999999999" customHeight="1">
      <c r="C542" s="144"/>
      <c r="E542" s="144"/>
      <c r="R542" s="144"/>
    </row>
    <row r="543" spans="3:18" ht="19.899999999999999" customHeight="1">
      <c r="C543" s="144"/>
      <c r="E543" s="144"/>
      <c r="R543" s="144"/>
    </row>
    <row r="544" spans="3:18" ht="19.899999999999999" customHeight="1">
      <c r="C544" s="144"/>
      <c r="E544" s="144"/>
      <c r="R544" s="144"/>
    </row>
    <row r="545" spans="3:18" ht="19.899999999999999" customHeight="1">
      <c r="C545" s="144"/>
      <c r="E545" s="144"/>
      <c r="R545" s="144"/>
    </row>
    <row r="546" spans="3:18" ht="19.899999999999999" customHeight="1">
      <c r="C546" s="144"/>
      <c r="E546" s="144"/>
      <c r="R546" s="144"/>
    </row>
    <row r="547" spans="3:18" ht="19.899999999999999" customHeight="1">
      <c r="C547" s="144"/>
      <c r="E547" s="144"/>
      <c r="R547" s="144"/>
    </row>
    <row r="548" spans="3:18" ht="19.899999999999999" customHeight="1">
      <c r="C548" s="144"/>
      <c r="E548" s="144"/>
      <c r="R548" s="144"/>
    </row>
    <row r="549" spans="3:18" ht="19.899999999999999" customHeight="1">
      <c r="C549" s="144"/>
      <c r="E549" s="144"/>
      <c r="R549" s="144"/>
    </row>
    <row r="550" spans="3:18" ht="19.899999999999999" customHeight="1">
      <c r="C550" s="144"/>
      <c r="E550" s="144"/>
      <c r="R550" s="144"/>
    </row>
    <row r="551" spans="3:18" ht="19.899999999999999" customHeight="1">
      <c r="C551" s="144"/>
      <c r="E551" s="144"/>
      <c r="R551" s="144"/>
    </row>
    <row r="552" spans="3:18" ht="19.899999999999999" customHeight="1">
      <c r="C552" s="144"/>
      <c r="E552" s="144"/>
      <c r="R552" s="144"/>
    </row>
    <row r="553" spans="3:18" ht="19.899999999999999" customHeight="1">
      <c r="C553" s="144"/>
      <c r="E553" s="144"/>
      <c r="R553" s="144"/>
    </row>
    <row r="554" spans="3:18" ht="19.899999999999999" customHeight="1">
      <c r="C554" s="144"/>
      <c r="E554" s="144"/>
      <c r="R554" s="144"/>
    </row>
    <row r="555" spans="3:18" ht="19.899999999999999" customHeight="1">
      <c r="C555" s="144"/>
      <c r="E555" s="144"/>
      <c r="R555" s="144"/>
    </row>
    <row r="556" spans="3:18" ht="19.899999999999999" customHeight="1">
      <c r="C556" s="144"/>
      <c r="E556" s="144"/>
      <c r="R556" s="144"/>
    </row>
    <row r="557" spans="3:18" ht="19.899999999999999" customHeight="1">
      <c r="C557" s="144"/>
      <c r="E557" s="144"/>
      <c r="R557" s="144"/>
    </row>
    <row r="558" spans="3:18" ht="19.899999999999999" customHeight="1">
      <c r="C558" s="144"/>
      <c r="E558" s="144"/>
      <c r="R558" s="144"/>
    </row>
    <row r="559" spans="3:18" ht="19.899999999999999" customHeight="1">
      <c r="C559" s="144"/>
      <c r="E559" s="144"/>
      <c r="R559" s="144"/>
    </row>
    <row r="560" spans="3:18" ht="19.899999999999999" customHeight="1">
      <c r="C560" s="144"/>
      <c r="E560" s="144"/>
      <c r="R560" s="144"/>
    </row>
    <row r="561" spans="3:18" ht="19.899999999999999" customHeight="1">
      <c r="C561" s="144"/>
      <c r="E561" s="144"/>
      <c r="R561" s="144"/>
    </row>
    <row r="562" spans="3:18" ht="19.899999999999999" customHeight="1">
      <c r="C562" s="144"/>
      <c r="E562" s="144"/>
      <c r="R562" s="144"/>
    </row>
    <row r="563" spans="3:18" ht="19.899999999999999" customHeight="1">
      <c r="C563" s="144"/>
      <c r="E563" s="144"/>
      <c r="R563" s="144"/>
    </row>
    <row r="564" spans="3:18" ht="19.899999999999999" customHeight="1">
      <c r="C564" s="144"/>
      <c r="E564" s="144"/>
      <c r="R564" s="144"/>
    </row>
    <row r="565" spans="3:18" ht="19.899999999999999" customHeight="1">
      <c r="C565" s="144"/>
      <c r="E565" s="144"/>
      <c r="R565" s="144"/>
    </row>
    <row r="566" spans="3:18" ht="19.899999999999999" customHeight="1">
      <c r="C566" s="144"/>
      <c r="E566" s="144"/>
      <c r="R566" s="144"/>
    </row>
    <row r="567" spans="3:18" ht="19.899999999999999" customHeight="1">
      <c r="C567" s="144"/>
      <c r="E567" s="144"/>
      <c r="R567" s="144"/>
    </row>
    <row r="568" spans="3:18" ht="19.899999999999999" customHeight="1">
      <c r="C568" s="144"/>
      <c r="E568" s="144"/>
      <c r="R568" s="144"/>
    </row>
    <row r="569" spans="3:18" ht="19.899999999999999" customHeight="1">
      <c r="C569" s="144"/>
      <c r="E569" s="144"/>
      <c r="R569" s="144"/>
    </row>
    <row r="570" spans="3:18" ht="19.899999999999999" customHeight="1">
      <c r="C570" s="144"/>
      <c r="E570" s="144"/>
      <c r="R570" s="144"/>
    </row>
    <row r="571" spans="3:18" ht="19.899999999999999" customHeight="1">
      <c r="C571" s="144"/>
      <c r="E571" s="144"/>
      <c r="R571" s="144"/>
    </row>
    <row r="572" spans="3:18" ht="19.899999999999999" customHeight="1">
      <c r="C572" s="144"/>
      <c r="E572" s="144"/>
      <c r="R572" s="144"/>
    </row>
    <row r="573" spans="3:18" ht="19.899999999999999" customHeight="1">
      <c r="C573" s="144"/>
      <c r="E573" s="144"/>
      <c r="R573" s="144"/>
    </row>
    <row r="574" spans="3:18" ht="19.899999999999999" customHeight="1">
      <c r="C574" s="144"/>
      <c r="E574" s="144"/>
      <c r="R574" s="144"/>
    </row>
    <row r="575" spans="3:18" ht="19.899999999999999" customHeight="1">
      <c r="C575" s="144"/>
      <c r="E575" s="144"/>
      <c r="R575" s="144"/>
    </row>
    <row r="576" spans="3:18" ht="19.899999999999999" customHeight="1">
      <c r="C576" s="144"/>
      <c r="E576" s="144"/>
      <c r="R576" s="144"/>
    </row>
    <row r="577" spans="3:18" ht="19.899999999999999" customHeight="1">
      <c r="C577" s="144"/>
      <c r="E577" s="144"/>
      <c r="R577" s="144"/>
    </row>
    <row r="578" spans="3:18" ht="19.899999999999999" customHeight="1">
      <c r="C578" s="144"/>
      <c r="E578" s="144"/>
      <c r="R578" s="144"/>
    </row>
    <row r="579" spans="3:18" ht="19.899999999999999" customHeight="1">
      <c r="C579" s="144"/>
      <c r="E579" s="144"/>
      <c r="R579" s="144"/>
    </row>
    <row r="580" spans="3:18" ht="19.899999999999999" customHeight="1">
      <c r="C580" s="144"/>
      <c r="E580" s="144"/>
      <c r="R580" s="144"/>
    </row>
    <row r="581" spans="3:18" ht="19.899999999999999" customHeight="1">
      <c r="C581" s="144"/>
      <c r="E581" s="144"/>
      <c r="R581" s="144"/>
    </row>
    <row r="582" spans="3:18" ht="19.899999999999999" customHeight="1">
      <c r="C582" s="144"/>
      <c r="E582" s="144"/>
      <c r="R582" s="144"/>
    </row>
    <row r="583" spans="3:18" ht="19.899999999999999" customHeight="1">
      <c r="C583" s="144"/>
      <c r="E583" s="144"/>
      <c r="R583" s="144"/>
    </row>
    <row r="584" spans="3:18" ht="19.899999999999999" customHeight="1">
      <c r="C584" s="144"/>
      <c r="E584" s="144"/>
      <c r="R584" s="144"/>
    </row>
    <row r="585" spans="3:18" ht="19.899999999999999" customHeight="1">
      <c r="C585" s="144"/>
      <c r="E585" s="144"/>
      <c r="R585" s="144"/>
    </row>
    <row r="586" spans="3:18" ht="19.899999999999999" customHeight="1">
      <c r="C586" s="144"/>
      <c r="E586" s="144"/>
      <c r="R586" s="144"/>
    </row>
    <row r="587" spans="3:18" ht="19.899999999999999" customHeight="1">
      <c r="C587" s="144"/>
      <c r="E587" s="144"/>
      <c r="R587" s="144"/>
    </row>
    <row r="588" spans="3:18" ht="19.899999999999999" customHeight="1">
      <c r="C588" s="144"/>
      <c r="E588" s="144"/>
      <c r="R588" s="144"/>
    </row>
    <row r="589" spans="3:18" ht="19.899999999999999" customHeight="1">
      <c r="C589" s="144"/>
      <c r="E589" s="144"/>
      <c r="R589" s="144"/>
    </row>
    <row r="590" spans="3:18" ht="19.899999999999999" customHeight="1">
      <c r="C590" s="144"/>
      <c r="E590" s="144"/>
      <c r="R590" s="144"/>
    </row>
    <row r="591" spans="3:18" ht="19.899999999999999" customHeight="1">
      <c r="C591" s="144"/>
      <c r="E591" s="144"/>
      <c r="R591" s="144"/>
    </row>
    <row r="592" spans="3:18" ht="19.899999999999999" customHeight="1">
      <c r="C592" s="144"/>
      <c r="E592" s="144"/>
      <c r="R592" s="144"/>
    </row>
    <row r="593" spans="3:18" ht="19.899999999999999" customHeight="1">
      <c r="C593" s="144"/>
      <c r="E593" s="144"/>
      <c r="R593" s="144"/>
    </row>
    <row r="594" spans="3:18" ht="19.899999999999999" customHeight="1">
      <c r="C594" s="144"/>
      <c r="E594" s="144"/>
      <c r="R594" s="144"/>
    </row>
    <row r="595" spans="3:18" ht="19.899999999999999" customHeight="1">
      <c r="C595" s="144"/>
      <c r="E595" s="144"/>
      <c r="R595" s="144"/>
    </row>
    <row r="596" spans="3:18" ht="19.899999999999999" customHeight="1">
      <c r="C596" s="144"/>
      <c r="E596" s="144"/>
      <c r="R596" s="144"/>
    </row>
    <row r="597" spans="3:18" ht="19.899999999999999" customHeight="1">
      <c r="C597" s="144"/>
      <c r="E597" s="144"/>
      <c r="R597" s="144"/>
    </row>
    <row r="598" spans="3:18" ht="19.899999999999999" customHeight="1">
      <c r="C598" s="144"/>
      <c r="E598" s="144"/>
      <c r="R598" s="144"/>
    </row>
    <row r="599" spans="3:18" ht="19.899999999999999" customHeight="1">
      <c r="C599" s="144"/>
      <c r="E599" s="144"/>
      <c r="R599" s="144"/>
    </row>
    <row r="600" spans="3:18" ht="19.899999999999999" customHeight="1">
      <c r="C600" s="144"/>
      <c r="E600" s="144"/>
      <c r="R600" s="144"/>
    </row>
    <row r="601" spans="3:18" ht="19.899999999999999" customHeight="1">
      <c r="C601" s="144"/>
      <c r="E601" s="144"/>
      <c r="R601" s="144"/>
    </row>
    <row r="602" spans="3:18" ht="19.899999999999999" customHeight="1">
      <c r="C602" s="144"/>
      <c r="E602" s="144"/>
      <c r="R602" s="144"/>
    </row>
    <row r="603" spans="3:18" ht="19.899999999999999" customHeight="1">
      <c r="C603" s="144"/>
      <c r="E603" s="144"/>
      <c r="R603" s="144"/>
    </row>
    <row r="604" spans="3:18" ht="19.899999999999999" customHeight="1">
      <c r="C604" s="144"/>
      <c r="E604" s="144"/>
      <c r="R604" s="144"/>
    </row>
    <row r="605" spans="3:18" ht="19.899999999999999" customHeight="1">
      <c r="C605" s="144"/>
      <c r="E605" s="144"/>
      <c r="R605" s="144"/>
    </row>
    <row r="606" spans="3:18" ht="19.899999999999999" customHeight="1">
      <c r="C606" s="144"/>
      <c r="E606" s="144"/>
      <c r="R606" s="144"/>
    </row>
    <row r="607" spans="3:18" ht="19.899999999999999" customHeight="1">
      <c r="C607" s="144"/>
      <c r="E607" s="144"/>
      <c r="R607" s="144"/>
    </row>
    <row r="608" spans="3:18" ht="19.899999999999999" customHeight="1">
      <c r="C608" s="144"/>
      <c r="E608" s="144"/>
      <c r="R608" s="144"/>
    </row>
    <row r="609" spans="3:18" ht="19.899999999999999" customHeight="1">
      <c r="C609" s="144"/>
      <c r="E609" s="144"/>
      <c r="R609" s="144"/>
    </row>
    <row r="610" spans="3:18" ht="19.899999999999999" customHeight="1">
      <c r="C610" s="144"/>
      <c r="E610" s="144"/>
      <c r="R610" s="144"/>
    </row>
    <row r="611" spans="3:18" ht="19.899999999999999" customHeight="1">
      <c r="C611" s="144"/>
      <c r="E611" s="144"/>
      <c r="R611" s="144"/>
    </row>
    <row r="612" spans="3:18" ht="19.899999999999999" customHeight="1">
      <c r="C612" s="144"/>
      <c r="E612" s="144"/>
      <c r="R612" s="144"/>
    </row>
    <row r="613" spans="3:18" ht="19.899999999999999" customHeight="1">
      <c r="C613" s="144"/>
      <c r="E613" s="144"/>
      <c r="R613" s="144"/>
    </row>
    <row r="614" spans="3:18" ht="19.899999999999999" customHeight="1">
      <c r="C614" s="144"/>
      <c r="E614" s="144"/>
      <c r="R614" s="144"/>
    </row>
    <row r="615" spans="3:18" ht="19.899999999999999" customHeight="1">
      <c r="C615" s="144"/>
      <c r="E615" s="144"/>
      <c r="R615" s="144"/>
    </row>
    <row r="616" spans="3:18" ht="19.899999999999999" customHeight="1">
      <c r="C616" s="144"/>
      <c r="E616" s="144"/>
      <c r="R616" s="144"/>
    </row>
    <row r="617" spans="3:18" ht="19.899999999999999" customHeight="1">
      <c r="C617" s="144"/>
      <c r="E617" s="144"/>
      <c r="R617" s="144"/>
    </row>
    <row r="618" spans="3:18" ht="19.899999999999999" customHeight="1">
      <c r="C618" s="144"/>
      <c r="E618" s="144"/>
      <c r="R618" s="144"/>
    </row>
    <row r="619" spans="3:18" ht="19.899999999999999" customHeight="1">
      <c r="C619" s="144"/>
      <c r="E619" s="144"/>
      <c r="R619" s="144"/>
    </row>
    <row r="620" spans="3:18" ht="19.899999999999999" customHeight="1">
      <c r="C620" s="144"/>
      <c r="E620" s="144"/>
      <c r="R620" s="144"/>
    </row>
    <row r="621" spans="3:18" ht="19.899999999999999" customHeight="1">
      <c r="C621" s="144"/>
      <c r="E621" s="144"/>
      <c r="R621" s="144"/>
    </row>
    <row r="622" spans="3:18" ht="19.899999999999999" customHeight="1">
      <c r="C622" s="144"/>
      <c r="E622" s="144"/>
      <c r="R622" s="144"/>
    </row>
    <row r="623" spans="3:18" ht="19.899999999999999" customHeight="1">
      <c r="C623" s="144"/>
      <c r="E623" s="144"/>
      <c r="R623" s="144"/>
    </row>
    <row r="624" spans="3:18" ht="19.899999999999999" customHeight="1">
      <c r="C624" s="144"/>
      <c r="E624" s="144"/>
      <c r="R624" s="144"/>
    </row>
    <row r="625" spans="3:18" ht="19.899999999999999" customHeight="1">
      <c r="C625" s="144"/>
      <c r="E625" s="144"/>
      <c r="R625" s="144"/>
    </row>
    <row r="626" spans="3:18" ht="19.899999999999999" customHeight="1">
      <c r="C626" s="144"/>
      <c r="E626" s="144"/>
      <c r="R626" s="144"/>
    </row>
    <row r="627" spans="3:18" ht="19.899999999999999" customHeight="1">
      <c r="C627" s="144"/>
      <c r="E627" s="144"/>
      <c r="R627" s="144"/>
    </row>
    <row r="628" spans="3:18" ht="19.899999999999999" customHeight="1">
      <c r="C628" s="144"/>
      <c r="E628" s="144"/>
      <c r="R628" s="144"/>
    </row>
    <row r="629" spans="3:18" ht="19.899999999999999" customHeight="1">
      <c r="C629" s="144"/>
      <c r="E629" s="144"/>
      <c r="R629" s="144"/>
    </row>
    <row r="630" spans="3:18" ht="19.899999999999999" customHeight="1">
      <c r="C630" s="144"/>
      <c r="E630" s="144"/>
      <c r="R630" s="144"/>
    </row>
    <row r="631" spans="3:18" ht="19.899999999999999" customHeight="1">
      <c r="C631" s="144"/>
      <c r="E631" s="144"/>
      <c r="R631" s="144"/>
    </row>
    <row r="632" spans="3:18" ht="19.899999999999999" customHeight="1">
      <c r="C632" s="144"/>
      <c r="E632" s="144"/>
      <c r="R632" s="144"/>
    </row>
    <row r="633" spans="3:18" ht="19.899999999999999" customHeight="1">
      <c r="C633" s="144"/>
      <c r="E633" s="144"/>
      <c r="R633" s="144"/>
    </row>
    <row r="634" spans="3:18" ht="19.899999999999999" customHeight="1">
      <c r="C634" s="144"/>
      <c r="E634" s="144"/>
      <c r="R634" s="144"/>
    </row>
    <row r="635" spans="3:18" ht="19.899999999999999" customHeight="1">
      <c r="C635" s="144"/>
      <c r="E635" s="144"/>
      <c r="R635" s="144"/>
    </row>
    <row r="636" spans="3:18" ht="19.899999999999999" customHeight="1">
      <c r="C636" s="144"/>
      <c r="E636" s="144"/>
      <c r="R636" s="144"/>
    </row>
    <row r="637" spans="3:18" ht="19.899999999999999" customHeight="1">
      <c r="C637" s="144"/>
      <c r="E637" s="144"/>
      <c r="R637" s="144"/>
    </row>
    <row r="638" spans="3:18" ht="19.899999999999999" customHeight="1">
      <c r="C638" s="144"/>
      <c r="E638" s="144"/>
      <c r="R638" s="144"/>
    </row>
    <row r="639" spans="3:18" ht="19.899999999999999" customHeight="1">
      <c r="C639" s="144"/>
      <c r="E639" s="144"/>
      <c r="R639" s="144"/>
    </row>
    <row r="640" spans="3:18" ht="19.899999999999999" customHeight="1">
      <c r="C640" s="144"/>
      <c r="E640" s="144"/>
      <c r="R640" s="144"/>
    </row>
    <row r="641" spans="3:18" ht="19.899999999999999" customHeight="1">
      <c r="C641" s="144"/>
      <c r="E641" s="144"/>
      <c r="R641" s="144"/>
    </row>
    <row r="642" spans="3:18" ht="19.899999999999999" customHeight="1">
      <c r="C642" s="144"/>
      <c r="E642" s="144"/>
      <c r="R642" s="144"/>
    </row>
    <row r="643" spans="3:18" ht="19.899999999999999" customHeight="1">
      <c r="C643" s="144"/>
      <c r="E643" s="144"/>
      <c r="R643" s="144"/>
    </row>
    <row r="644" spans="3:18" ht="19.899999999999999" customHeight="1">
      <c r="C644" s="144"/>
      <c r="E644" s="144"/>
      <c r="R644" s="144"/>
    </row>
    <row r="645" spans="3:18" ht="19.899999999999999" customHeight="1">
      <c r="C645" s="144"/>
      <c r="E645" s="144"/>
      <c r="R645" s="144"/>
    </row>
    <row r="646" spans="3:18" ht="19.899999999999999" customHeight="1">
      <c r="C646" s="144"/>
      <c r="E646" s="144"/>
      <c r="R646" s="144"/>
    </row>
    <row r="647" spans="3:18" ht="19.899999999999999" customHeight="1">
      <c r="C647" s="144"/>
      <c r="E647" s="144"/>
      <c r="R647" s="144"/>
    </row>
    <row r="648" spans="3:18" ht="19.899999999999999" customHeight="1">
      <c r="C648" s="144"/>
      <c r="E648" s="144"/>
      <c r="R648" s="144"/>
    </row>
    <row r="649" spans="3:18" ht="19.899999999999999" customHeight="1">
      <c r="C649" s="144"/>
      <c r="E649" s="144"/>
      <c r="R649" s="144"/>
    </row>
    <row r="650" spans="3:18" ht="19.899999999999999" customHeight="1">
      <c r="C650" s="144"/>
      <c r="E650" s="144"/>
      <c r="R650" s="144"/>
    </row>
    <row r="651" spans="3:18" ht="19.899999999999999" customHeight="1">
      <c r="C651" s="144"/>
      <c r="E651" s="144"/>
      <c r="R651" s="144"/>
    </row>
    <row r="652" spans="3:18" ht="19.899999999999999" customHeight="1">
      <c r="C652" s="144"/>
      <c r="E652" s="144"/>
      <c r="R652" s="144"/>
    </row>
    <row r="653" spans="3:18" ht="19.899999999999999" customHeight="1">
      <c r="C653" s="144"/>
      <c r="E653" s="144"/>
      <c r="R653" s="144"/>
    </row>
    <row r="654" spans="3:18" ht="19.899999999999999" customHeight="1">
      <c r="C654" s="144"/>
      <c r="E654" s="144"/>
      <c r="R654" s="144"/>
    </row>
    <row r="655" spans="3:18" ht="19.899999999999999" customHeight="1">
      <c r="C655" s="144"/>
      <c r="E655" s="144"/>
      <c r="R655" s="144"/>
    </row>
    <row r="656" spans="3:18" ht="19.899999999999999" customHeight="1">
      <c r="C656" s="144"/>
      <c r="E656" s="144"/>
      <c r="R656" s="144"/>
    </row>
    <row r="657" spans="3:18" ht="19.899999999999999" customHeight="1">
      <c r="C657" s="144"/>
      <c r="E657" s="144"/>
      <c r="R657" s="144"/>
    </row>
    <row r="658" spans="3:18" ht="19.899999999999999" customHeight="1">
      <c r="C658" s="144"/>
      <c r="E658" s="144"/>
      <c r="R658" s="144"/>
    </row>
    <row r="659" spans="3:18" ht="19.899999999999999" customHeight="1">
      <c r="C659" s="144"/>
      <c r="E659" s="144"/>
      <c r="R659" s="144"/>
    </row>
    <row r="660" spans="3:18" ht="19.899999999999999" customHeight="1">
      <c r="C660" s="144"/>
      <c r="E660" s="144"/>
      <c r="R660" s="144"/>
    </row>
    <row r="661" spans="3:18" ht="19.899999999999999" customHeight="1">
      <c r="C661" s="144"/>
      <c r="E661" s="144"/>
      <c r="R661" s="144"/>
    </row>
    <row r="662" spans="3:18" ht="19.899999999999999" customHeight="1">
      <c r="C662" s="144"/>
      <c r="E662" s="144"/>
      <c r="R662" s="144"/>
    </row>
    <row r="663" spans="3:18" ht="19.899999999999999" customHeight="1">
      <c r="C663" s="144"/>
      <c r="E663" s="144"/>
      <c r="R663" s="144"/>
    </row>
    <row r="664" spans="3:18" ht="19.899999999999999" customHeight="1">
      <c r="C664" s="144"/>
      <c r="E664" s="144"/>
      <c r="R664" s="144"/>
    </row>
    <row r="665" spans="3:18" ht="19.899999999999999" customHeight="1">
      <c r="C665" s="144"/>
      <c r="E665" s="144"/>
      <c r="R665" s="144"/>
    </row>
    <row r="666" spans="3:18" ht="19.899999999999999" customHeight="1">
      <c r="C666" s="144"/>
      <c r="E666" s="144"/>
      <c r="R666" s="144"/>
    </row>
    <row r="667" spans="3:18" ht="19.899999999999999" customHeight="1">
      <c r="C667" s="144"/>
      <c r="E667" s="144"/>
      <c r="R667" s="144"/>
    </row>
    <row r="668" spans="3:18" ht="19.899999999999999" customHeight="1">
      <c r="C668" s="144"/>
      <c r="E668" s="144"/>
      <c r="R668" s="144"/>
    </row>
    <row r="669" spans="3:18" ht="19.899999999999999" customHeight="1">
      <c r="C669" s="144"/>
      <c r="E669" s="144"/>
      <c r="R669" s="144"/>
    </row>
    <row r="670" spans="3:18" ht="19.899999999999999" customHeight="1">
      <c r="C670" s="144"/>
      <c r="E670" s="144"/>
      <c r="R670" s="144"/>
    </row>
    <row r="671" spans="3:18" ht="19.899999999999999" customHeight="1">
      <c r="C671" s="144"/>
      <c r="E671" s="144"/>
      <c r="R671" s="144"/>
    </row>
    <row r="672" spans="3:18" ht="19.899999999999999" customHeight="1">
      <c r="C672" s="144"/>
      <c r="E672" s="144"/>
      <c r="R672" s="144"/>
    </row>
    <row r="673" spans="3:18" ht="19.899999999999999" customHeight="1">
      <c r="C673" s="144"/>
      <c r="E673" s="144"/>
      <c r="R673" s="144"/>
    </row>
    <row r="674" spans="3:18" ht="19.899999999999999" customHeight="1">
      <c r="C674" s="144"/>
      <c r="E674" s="144"/>
      <c r="R674" s="144"/>
    </row>
    <row r="675" spans="3:18" ht="19.899999999999999" customHeight="1">
      <c r="C675" s="144"/>
      <c r="E675" s="144"/>
      <c r="R675" s="144"/>
    </row>
    <row r="676" spans="3:18" ht="19.899999999999999" customHeight="1">
      <c r="C676" s="144"/>
      <c r="E676" s="144"/>
      <c r="R676" s="144"/>
    </row>
    <row r="677" spans="3:18" ht="19.899999999999999" customHeight="1">
      <c r="C677" s="144"/>
      <c r="E677" s="144"/>
      <c r="R677" s="144"/>
    </row>
    <row r="678" spans="3:18" ht="19.899999999999999" customHeight="1">
      <c r="C678" s="144"/>
      <c r="E678" s="144"/>
      <c r="R678" s="144"/>
    </row>
    <row r="679" spans="3:18" ht="19.899999999999999" customHeight="1">
      <c r="C679" s="144"/>
      <c r="E679" s="144"/>
      <c r="R679" s="144"/>
    </row>
    <row r="680" spans="3:18" ht="19.899999999999999" customHeight="1">
      <c r="C680" s="144"/>
      <c r="E680" s="144"/>
      <c r="R680" s="144"/>
    </row>
    <row r="681" spans="3:18" ht="19.899999999999999" customHeight="1">
      <c r="C681" s="144"/>
      <c r="E681" s="144"/>
      <c r="R681" s="144"/>
    </row>
    <row r="682" spans="3:18" ht="19.899999999999999" customHeight="1">
      <c r="C682" s="144"/>
      <c r="E682" s="144"/>
      <c r="R682" s="144"/>
    </row>
    <row r="683" spans="3:18" ht="19.899999999999999" customHeight="1">
      <c r="C683" s="144"/>
      <c r="E683" s="144"/>
      <c r="R683" s="144"/>
    </row>
    <row r="684" spans="3:18" ht="19.899999999999999" customHeight="1">
      <c r="C684" s="144"/>
      <c r="E684" s="144"/>
      <c r="R684" s="144"/>
    </row>
    <row r="685" spans="3:18" ht="19.899999999999999" customHeight="1">
      <c r="C685" s="144"/>
      <c r="E685" s="144"/>
      <c r="R685" s="144"/>
    </row>
    <row r="686" spans="3:18" ht="19.899999999999999" customHeight="1">
      <c r="C686" s="144"/>
      <c r="E686" s="144"/>
      <c r="R686" s="144"/>
    </row>
    <row r="687" spans="3:18" ht="19.899999999999999" customHeight="1">
      <c r="C687" s="144"/>
      <c r="E687" s="144"/>
      <c r="R687" s="144"/>
    </row>
    <row r="688" spans="3:18" ht="19.899999999999999" customHeight="1">
      <c r="C688" s="144"/>
      <c r="E688" s="144"/>
      <c r="R688" s="144"/>
    </row>
    <row r="689" spans="3:18" ht="19.899999999999999" customHeight="1">
      <c r="C689" s="144"/>
      <c r="E689" s="144"/>
      <c r="R689" s="144"/>
    </row>
    <row r="690" spans="3:18" ht="19.899999999999999" customHeight="1">
      <c r="C690" s="144"/>
      <c r="E690" s="144"/>
      <c r="R690" s="144"/>
    </row>
    <row r="691" spans="3:18" ht="19.899999999999999" customHeight="1">
      <c r="C691" s="144"/>
      <c r="E691" s="144"/>
      <c r="R691" s="144"/>
    </row>
    <row r="692" spans="3:18" ht="19.899999999999999" customHeight="1">
      <c r="C692" s="144"/>
      <c r="E692" s="144"/>
      <c r="R692" s="144"/>
    </row>
    <row r="693" spans="3:18" ht="19.899999999999999" customHeight="1">
      <c r="C693" s="144"/>
      <c r="E693" s="144"/>
      <c r="R693" s="144"/>
    </row>
    <row r="694" spans="3:18" ht="19.899999999999999" customHeight="1">
      <c r="C694" s="144"/>
      <c r="E694" s="144"/>
      <c r="R694" s="144"/>
    </row>
    <row r="695" spans="3:18" ht="19.899999999999999" customHeight="1">
      <c r="C695" s="144"/>
      <c r="E695" s="144"/>
      <c r="R695" s="144"/>
    </row>
    <row r="696" spans="3:18" ht="19.899999999999999" customHeight="1">
      <c r="C696" s="144"/>
      <c r="E696" s="144"/>
      <c r="R696" s="144"/>
    </row>
    <row r="697" spans="3:18" ht="19.899999999999999" customHeight="1">
      <c r="C697" s="144"/>
      <c r="E697" s="144"/>
      <c r="R697" s="144"/>
    </row>
    <row r="698" spans="3:18" ht="19.899999999999999" customHeight="1">
      <c r="C698" s="144"/>
      <c r="E698" s="144"/>
      <c r="R698" s="144"/>
    </row>
    <row r="699" spans="3:18" ht="19.899999999999999" customHeight="1">
      <c r="C699" s="144"/>
      <c r="E699" s="144"/>
      <c r="R699" s="144"/>
    </row>
    <row r="700" spans="3:18" ht="19.899999999999999" customHeight="1">
      <c r="C700" s="144"/>
      <c r="E700" s="144"/>
      <c r="R700" s="144"/>
    </row>
    <row r="701" spans="3:18" ht="19.899999999999999" customHeight="1">
      <c r="C701" s="144"/>
      <c r="E701" s="144"/>
      <c r="R701" s="144"/>
    </row>
    <row r="702" spans="3:18" ht="19.899999999999999" customHeight="1">
      <c r="C702" s="144"/>
      <c r="E702" s="144"/>
      <c r="R702" s="144"/>
    </row>
    <row r="703" spans="3:18" ht="19.899999999999999" customHeight="1">
      <c r="C703" s="144"/>
      <c r="E703" s="144"/>
      <c r="R703" s="144"/>
    </row>
    <row r="704" spans="3:18" ht="19.899999999999999" customHeight="1">
      <c r="C704" s="144"/>
      <c r="E704" s="144"/>
      <c r="R704" s="144"/>
    </row>
    <row r="705" spans="3:18" ht="19.899999999999999" customHeight="1">
      <c r="C705" s="144"/>
      <c r="E705" s="144"/>
      <c r="R705" s="144"/>
    </row>
    <row r="706" spans="3:18" ht="19.899999999999999" customHeight="1">
      <c r="C706" s="144"/>
      <c r="E706" s="144"/>
      <c r="R706" s="144"/>
    </row>
    <row r="707" spans="3:18" ht="19.899999999999999" customHeight="1">
      <c r="C707" s="144"/>
      <c r="E707" s="144"/>
      <c r="R707" s="144"/>
    </row>
    <row r="708" spans="3:18" ht="19.899999999999999" customHeight="1">
      <c r="C708" s="144"/>
      <c r="E708" s="144"/>
      <c r="R708" s="144"/>
    </row>
    <row r="709" spans="3:18" ht="19.899999999999999" customHeight="1">
      <c r="C709" s="144"/>
      <c r="E709" s="144"/>
      <c r="R709" s="144"/>
    </row>
    <row r="710" spans="3:18" ht="19.899999999999999" customHeight="1">
      <c r="C710" s="144"/>
      <c r="E710" s="144"/>
      <c r="R710" s="144"/>
    </row>
    <row r="711" spans="3:18" ht="19.899999999999999" customHeight="1">
      <c r="C711" s="144"/>
      <c r="E711" s="144"/>
      <c r="R711" s="144"/>
    </row>
    <row r="712" spans="3:18" ht="19.899999999999999" customHeight="1">
      <c r="C712" s="144"/>
      <c r="E712" s="144"/>
      <c r="R712" s="144"/>
    </row>
    <row r="713" spans="3:18" ht="19.899999999999999" customHeight="1">
      <c r="C713" s="144"/>
      <c r="E713" s="144"/>
      <c r="R713" s="144"/>
    </row>
    <row r="714" spans="3:18" ht="19.899999999999999" customHeight="1">
      <c r="C714" s="144"/>
      <c r="E714" s="144"/>
      <c r="R714" s="144"/>
    </row>
    <row r="715" spans="3:18" ht="19.899999999999999" customHeight="1">
      <c r="C715" s="144"/>
      <c r="E715" s="144"/>
      <c r="R715" s="144"/>
    </row>
    <row r="716" spans="3:18" ht="19.899999999999999" customHeight="1">
      <c r="C716" s="144"/>
      <c r="E716" s="144"/>
      <c r="R716" s="144"/>
    </row>
    <row r="717" spans="3:18" ht="19.899999999999999" customHeight="1">
      <c r="C717" s="144"/>
      <c r="E717" s="144"/>
      <c r="R717" s="144"/>
    </row>
    <row r="718" spans="3:18" ht="19.899999999999999" customHeight="1">
      <c r="C718" s="144"/>
      <c r="E718" s="144"/>
      <c r="R718" s="144"/>
    </row>
    <row r="719" spans="3:18" ht="19.899999999999999" customHeight="1">
      <c r="C719" s="144"/>
      <c r="E719" s="144"/>
      <c r="R719" s="144"/>
    </row>
    <row r="720" spans="3:18" ht="19.899999999999999" customHeight="1">
      <c r="C720" s="144"/>
      <c r="E720" s="144"/>
      <c r="R720" s="144"/>
    </row>
    <row r="721" spans="3:18" ht="19.899999999999999" customHeight="1">
      <c r="C721" s="144"/>
      <c r="E721" s="144"/>
      <c r="R721" s="144"/>
    </row>
    <row r="722" spans="3:18" ht="19.899999999999999" customHeight="1">
      <c r="C722" s="144"/>
      <c r="E722" s="144"/>
      <c r="R722" s="144"/>
    </row>
    <row r="723" spans="3:18" ht="19.899999999999999" customHeight="1">
      <c r="C723" s="144"/>
      <c r="E723" s="144"/>
      <c r="R723" s="144"/>
    </row>
    <row r="724" spans="3:18" ht="19.899999999999999" customHeight="1">
      <c r="C724" s="144"/>
      <c r="E724" s="144"/>
      <c r="R724" s="144"/>
    </row>
    <row r="725" spans="3:18" ht="19.899999999999999" customHeight="1">
      <c r="C725" s="144"/>
      <c r="E725" s="144"/>
      <c r="R725" s="144"/>
    </row>
    <row r="726" spans="3:18" ht="19.899999999999999" customHeight="1">
      <c r="C726" s="144"/>
      <c r="E726" s="144"/>
      <c r="R726" s="144"/>
    </row>
    <row r="727" spans="3:18" ht="19.899999999999999" customHeight="1">
      <c r="C727" s="144"/>
      <c r="E727" s="144"/>
      <c r="R727" s="144"/>
    </row>
    <row r="728" spans="3:18" ht="19.899999999999999" customHeight="1">
      <c r="C728" s="144"/>
      <c r="E728" s="144"/>
      <c r="R728" s="144"/>
    </row>
    <row r="729" spans="3:18" ht="19.899999999999999" customHeight="1">
      <c r="C729" s="144"/>
      <c r="E729" s="144"/>
      <c r="R729" s="144"/>
    </row>
    <row r="730" spans="3:18" ht="19.899999999999999" customHeight="1">
      <c r="C730" s="144"/>
      <c r="E730" s="144"/>
      <c r="R730" s="144"/>
    </row>
    <row r="731" spans="3:18" ht="19.899999999999999" customHeight="1">
      <c r="C731" s="144"/>
      <c r="E731" s="144"/>
      <c r="R731" s="144"/>
    </row>
    <row r="732" spans="3:18" ht="19.899999999999999" customHeight="1">
      <c r="C732" s="144"/>
      <c r="E732" s="144"/>
      <c r="R732" s="144"/>
    </row>
    <row r="733" spans="3:18" ht="19.899999999999999" customHeight="1">
      <c r="C733" s="144"/>
      <c r="E733" s="144"/>
      <c r="R733" s="144"/>
    </row>
    <row r="734" spans="3:18" ht="19.899999999999999" customHeight="1">
      <c r="C734" s="144"/>
      <c r="E734" s="144"/>
      <c r="R734" s="144"/>
    </row>
    <row r="735" spans="3:18" ht="19.899999999999999" customHeight="1">
      <c r="C735" s="144"/>
      <c r="E735" s="144"/>
      <c r="R735" s="144"/>
    </row>
    <row r="736" spans="3:18" ht="19.899999999999999" customHeight="1">
      <c r="C736" s="144"/>
      <c r="E736" s="144"/>
      <c r="R736" s="144"/>
    </row>
    <row r="737" spans="3:18" ht="19.899999999999999" customHeight="1">
      <c r="C737" s="144"/>
      <c r="E737" s="144"/>
      <c r="R737" s="144"/>
    </row>
    <row r="738" spans="3:18" ht="19.899999999999999" customHeight="1">
      <c r="C738" s="144"/>
      <c r="E738" s="144"/>
      <c r="R738" s="144"/>
    </row>
    <row r="739" spans="3:18" ht="19.899999999999999" customHeight="1">
      <c r="C739" s="144"/>
      <c r="E739" s="144"/>
      <c r="R739" s="144"/>
    </row>
    <row r="740" spans="3:18" ht="19.899999999999999" customHeight="1">
      <c r="C740" s="144"/>
      <c r="E740" s="144"/>
      <c r="R740" s="144"/>
    </row>
    <row r="741" spans="3:18" ht="19.899999999999999" customHeight="1">
      <c r="C741" s="144"/>
      <c r="E741" s="144"/>
      <c r="R741" s="144"/>
    </row>
    <row r="742" spans="3:18" ht="19.899999999999999" customHeight="1">
      <c r="C742" s="144"/>
      <c r="E742" s="144"/>
      <c r="R742" s="144"/>
    </row>
    <row r="743" spans="3:18" ht="19.899999999999999" customHeight="1">
      <c r="C743" s="144"/>
      <c r="E743" s="144"/>
      <c r="R743" s="144"/>
    </row>
    <row r="744" spans="3:18" ht="19.899999999999999" customHeight="1">
      <c r="C744" s="144"/>
      <c r="E744" s="144"/>
      <c r="R744" s="144"/>
    </row>
    <row r="745" spans="3:18" ht="19.899999999999999" customHeight="1">
      <c r="C745" s="144"/>
      <c r="E745" s="144"/>
      <c r="R745" s="144"/>
    </row>
    <row r="746" spans="3:18" ht="19.899999999999999" customHeight="1">
      <c r="C746" s="144"/>
      <c r="E746" s="144"/>
      <c r="R746" s="144"/>
    </row>
    <row r="747" spans="3:18" ht="19.899999999999999" customHeight="1">
      <c r="C747" s="144"/>
      <c r="E747" s="144"/>
      <c r="R747" s="144"/>
    </row>
    <row r="748" spans="3:18" ht="19.899999999999999" customHeight="1">
      <c r="C748" s="144"/>
      <c r="E748" s="144"/>
      <c r="R748" s="144"/>
    </row>
    <row r="749" spans="3:18" ht="19.899999999999999" customHeight="1">
      <c r="C749" s="144"/>
      <c r="E749" s="144"/>
      <c r="R749" s="144"/>
    </row>
    <row r="750" spans="3:18" ht="19.899999999999999" customHeight="1">
      <c r="C750" s="144"/>
      <c r="E750" s="144"/>
      <c r="R750" s="144"/>
    </row>
    <row r="751" spans="3:18" ht="19.899999999999999" customHeight="1">
      <c r="C751" s="144"/>
      <c r="E751" s="144"/>
      <c r="R751" s="144"/>
    </row>
    <row r="752" spans="3:18" ht="19.899999999999999" customHeight="1">
      <c r="C752" s="144"/>
      <c r="E752" s="144"/>
      <c r="R752" s="144"/>
    </row>
    <row r="753" spans="3:18" ht="19.899999999999999" customHeight="1">
      <c r="C753" s="144"/>
      <c r="E753" s="144"/>
      <c r="R753" s="144"/>
    </row>
    <row r="754" spans="3:18" ht="19.899999999999999" customHeight="1">
      <c r="C754" s="144"/>
      <c r="E754" s="144"/>
      <c r="R754" s="144"/>
    </row>
    <row r="755" spans="3:18" ht="19.899999999999999" customHeight="1">
      <c r="C755" s="144"/>
      <c r="E755" s="144"/>
      <c r="R755" s="144"/>
    </row>
    <row r="756" spans="3:18" ht="19.899999999999999" customHeight="1">
      <c r="C756" s="144"/>
      <c r="E756" s="144"/>
      <c r="R756" s="144"/>
    </row>
    <row r="757" spans="3:18" ht="19.899999999999999" customHeight="1">
      <c r="C757" s="144"/>
      <c r="E757" s="144"/>
      <c r="R757" s="144"/>
    </row>
    <row r="758" spans="3:18" ht="19.899999999999999" customHeight="1">
      <c r="C758" s="144"/>
      <c r="E758" s="144"/>
      <c r="R758" s="144"/>
    </row>
    <row r="759" spans="3:18" ht="19.899999999999999" customHeight="1">
      <c r="C759" s="144"/>
      <c r="E759" s="144"/>
      <c r="R759" s="144"/>
    </row>
    <row r="760" spans="3:18" ht="19.899999999999999" customHeight="1">
      <c r="C760" s="144"/>
      <c r="E760" s="144"/>
      <c r="R760" s="144"/>
    </row>
    <row r="761" spans="3:18" ht="19.899999999999999" customHeight="1">
      <c r="C761" s="144"/>
      <c r="E761" s="144"/>
      <c r="R761" s="144"/>
    </row>
    <row r="762" spans="3:18" ht="19.899999999999999" customHeight="1">
      <c r="C762" s="144"/>
      <c r="E762" s="144"/>
      <c r="R762" s="144"/>
    </row>
    <row r="763" spans="3:18" ht="19.899999999999999" customHeight="1">
      <c r="C763" s="144"/>
      <c r="E763" s="144"/>
      <c r="R763" s="144"/>
    </row>
    <row r="764" spans="3:18" ht="19.899999999999999" customHeight="1">
      <c r="C764" s="144"/>
      <c r="E764" s="144"/>
      <c r="R764" s="144"/>
    </row>
    <row r="765" spans="3:18" ht="19.899999999999999" customHeight="1">
      <c r="C765" s="144"/>
      <c r="E765" s="144"/>
      <c r="R765" s="144"/>
    </row>
    <row r="766" spans="3:18" ht="19.899999999999999" customHeight="1">
      <c r="C766" s="144"/>
      <c r="E766" s="144"/>
      <c r="R766" s="144"/>
    </row>
    <row r="767" spans="3:18" ht="19.899999999999999" customHeight="1">
      <c r="C767" s="144"/>
      <c r="E767" s="144"/>
      <c r="R767" s="144"/>
    </row>
    <row r="768" spans="3:18" ht="19.899999999999999" customHeight="1">
      <c r="C768" s="144"/>
      <c r="E768" s="144"/>
      <c r="R768" s="144"/>
    </row>
    <row r="769" spans="3:18" ht="19.899999999999999" customHeight="1">
      <c r="C769" s="144"/>
      <c r="E769" s="144"/>
      <c r="R769" s="144"/>
    </row>
    <row r="770" spans="3:18" ht="19.899999999999999" customHeight="1">
      <c r="C770" s="144"/>
      <c r="E770" s="144"/>
      <c r="R770" s="144"/>
    </row>
    <row r="771" spans="3:18" ht="19.899999999999999" customHeight="1">
      <c r="C771" s="144"/>
      <c r="E771" s="144"/>
      <c r="R771" s="144"/>
    </row>
    <row r="772" spans="3:18" ht="19.899999999999999" customHeight="1">
      <c r="C772" s="144"/>
      <c r="E772" s="144"/>
      <c r="R772" s="144"/>
    </row>
    <row r="773" spans="3:18" ht="19.899999999999999" customHeight="1">
      <c r="C773" s="144"/>
      <c r="E773" s="144"/>
      <c r="R773" s="144"/>
    </row>
    <row r="774" spans="3:18" ht="19.899999999999999" customHeight="1">
      <c r="C774" s="144"/>
      <c r="E774" s="144"/>
      <c r="R774" s="144"/>
    </row>
    <row r="775" spans="3:18" ht="19.899999999999999" customHeight="1">
      <c r="C775" s="144"/>
      <c r="E775" s="144"/>
      <c r="R775" s="144"/>
    </row>
    <row r="776" spans="3:18" ht="19.899999999999999" customHeight="1">
      <c r="C776" s="144"/>
      <c r="E776" s="144"/>
      <c r="R776" s="144"/>
    </row>
    <row r="777" spans="3:18" ht="19.899999999999999" customHeight="1">
      <c r="C777" s="144"/>
      <c r="E777" s="144"/>
      <c r="R777" s="144"/>
    </row>
    <row r="778" spans="3:18" ht="19.899999999999999" customHeight="1">
      <c r="C778" s="144"/>
      <c r="E778" s="144"/>
      <c r="R778" s="144"/>
    </row>
    <row r="779" spans="3:18" ht="19.899999999999999" customHeight="1">
      <c r="C779" s="144"/>
      <c r="E779" s="144"/>
      <c r="R779" s="144"/>
    </row>
    <row r="780" spans="3:18" ht="19.899999999999999" customHeight="1">
      <c r="C780" s="144"/>
      <c r="E780" s="144"/>
      <c r="R780" s="144"/>
    </row>
    <row r="781" spans="3:18" ht="19.899999999999999" customHeight="1">
      <c r="C781" s="144"/>
      <c r="E781" s="144"/>
      <c r="R781" s="144"/>
    </row>
    <row r="782" spans="3:18" ht="19.899999999999999" customHeight="1">
      <c r="C782" s="144"/>
      <c r="E782" s="144"/>
      <c r="R782" s="144"/>
    </row>
    <row r="783" spans="3:18" ht="19.899999999999999" customHeight="1">
      <c r="C783" s="144"/>
      <c r="E783" s="144"/>
      <c r="R783" s="144"/>
    </row>
    <row r="784" spans="3:18" ht="19.899999999999999" customHeight="1">
      <c r="C784" s="144"/>
      <c r="E784" s="144"/>
      <c r="R784" s="144"/>
    </row>
    <row r="785" spans="3:18" ht="19.899999999999999" customHeight="1">
      <c r="C785" s="144"/>
      <c r="E785" s="144"/>
      <c r="R785" s="144"/>
    </row>
    <row r="786" spans="3:18" ht="19.899999999999999" customHeight="1">
      <c r="C786" s="144"/>
      <c r="E786" s="144"/>
      <c r="R786" s="144"/>
    </row>
    <row r="787" spans="3:18" ht="19.899999999999999" customHeight="1">
      <c r="C787" s="144"/>
      <c r="E787" s="144"/>
      <c r="R787" s="144"/>
    </row>
    <row r="788" spans="3:18" ht="19.899999999999999" customHeight="1">
      <c r="C788" s="144"/>
      <c r="E788" s="144"/>
      <c r="R788" s="144"/>
    </row>
    <row r="789" spans="3:18" ht="19.899999999999999" customHeight="1">
      <c r="C789" s="144"/>
      <c r="E789" s="144"/>
      <c r="R789" s="144"/>
    </row>
    <row r="790" spans="3:18" ht="19.899999999999999" customHeight="1">
      <c r="C790" s="144"/>
      <c r="E790" s="144"/>
      <c r="R790" s="144"/>
    </row>
    <row r="791" spans="3:18" ht="19.899999999999999" customHeight="1">
      <c r="C791" s="144"/>
      <c r="E791" s="144"/>
      <c r="R791" s="144"/>
    </row>
    <row r="792" spans="3:18" ht="19.899999999999999" customHeight="1">
      <c r="C792" s="144"/>
      <c r="E792" s="144"/>
      <c r="R792" s="144"/>
    </row>
    <row r="793" spans="3:18" ht="19.899999999999999" customHeight="1">
      <c r="C793" s="144"/>
      <c r="E793" s="144"/>
      <c r="R793" s="144"/>
    </row>
    <row r="794" spans="3:18" ht="19.899999999999999" customHeight="1">
      <c r="C794" s="144"/>
      <c r="E794" s="144"/>
      <c r="R794" s="144"/>
    </row>
    <row r="795" spans="3:18" ht="19.899999999999999" customHeight="1">
      <c r="C795" s="144"/>
      <c r="E795" s="144"/>
      <c r="R795" s="144"/>
    </row>
    <row r="796" spans="3:18" ht="19.899999999999999" customHeight="1">
      <c r="C796" s="144"/>
      <c r="E796" s="144"/>
      <c r="R796" s="144"/>
    </row>
    <row r="797" spans="3:18" ht="19.899999999999999" customHeight="1">
      <c r="C797" s="144"/>
      <c r="E797" s="144"/>
      <c r="R797" s="144"/>
    </row>
    <row r="798" spans="3:18" ht="19.899999999999999" customHeight="1">
      <c r="C798" s="144"/>
      <c r="E798" s="144"/>
      <c r="R798" s="144"/>
    </row>
    <row r="799" spans="3:18" ht="19.899999999999999" customHeight="1">
      <c r="C799" s="144"/>
      <c r="E799" s="144"/>
      <c r="R799" s="144"/>
    </row>
    <row r="800" spans="3:18" ht="19.899999999999999" customHeight="1">
      <c r="C800" s="144"/>
      <c r="E800" s="144"/>
      <c r="R800" s="144"/>
    </row>
    <row r="801" spans="3:18" ht="19.899999999999999" customHeight="1">
      <c r="C801" s="144"/>
      <c r="E801" s="144"/>
      <c r="R801" s="144"/>
    </row>
    <row r="802" spans="3:18" ht="19.899999999999999" customHeight="1">
      <c r="C802" s="144"/>
      <c r="E802" s="144"/>
      <c r="R802" s="144"/>
    </row>
    <row r="803" spans="3:18" ht="19.899999999999999" customHeight="1">
      <c r="C803" s="144"/>
      <c r="E803" s="144"/>
      <c r="R803" s="144"/>
    </row>
    <row r="804" spans="3:18" ht="19.899999999999999" customHeight="1">
      <c r="C804" s="144"/>
      <c r="E804" s="144"/>
      <c r="R804" s="144"/>
    </row>
    <row r="805" spans="3:18" ht="19.899999999999999" customHeight="1">
      <c r="C805" s="144"/>
      <c r="E805" s="144"/>
      <c r="R805" s="144"/>
    </row>
    <row r="806" spans="3:18" ht="19.899999999999999" customHeight="1">
      <c r="C806" s="144"/>
      <c r="E806" s="144"/>
      <c r="R806" s="144"/>
    </row>
    <row r="807" spans="3:18" ht="19.899999999999999" customHeight="1">
      <c r="C807" s="144"/>
      <c r="E807" s="144"/>
      <c r="R807" s="144"/>
    </row>
    <row r="808" spans="3:18" ht="19.899999999999999" customHeight="1">
      <c r="C808" s="144"/>
      <c r="E808" s="144"/>
      <c r="R808" s="144"/>
    </row>
    <row r="809" spans="3:18" ht="19.899999999999999" customHeight="1">
      <c r="C809" s="144"/>
      <c r="E809" s="144"/>
      <c r="R809" s="144"/>
    </row>
    <row r="810" spans="3:18" ht="19.899999999999999" customHeight="1">
      <c r="C810" s="144"/>
      <c r="E810" s="144"/>
      <c r="R810" s="144"/>
    </row>
    <row r="811" spans="3:18" ht="19.899999999999999" customHeight="1">
      <c r="C811" s="144"/>
      <c r="E811" s="144"/>
      <c r="R811" s="144"/>
    </row>
    <row r="812" spans="3:18" ht="19.899999999999999" customHeight="1">
      <c r="C812" s="144"/>
      <c r="E812" s="144"/>
      <c r="R812" s="144"/>
    </row>
    <row r="813" spans="3:18" ht="19.899999999999999" customHeight="1">
      <c r="C813" s="144"/>
      <c r="E813" s="144"/>
      <c r="R813" s="144"/>
    </row>
    <row r="814" spans="3:18" ht="19.899999999999999" customHeight="1">
      <c r="C814" s="144"/>
      <c r="E814" s="144"/>
      <c r="R814" s="144"/>
    </row>
    <row r="815" spans="3:18" ht="19.899999999999999" customHeight="1">
      <c r="C815" s="144"/>
      <c r="E815" s="144"/>
      <c r="R815" s="144"/>
    </row>
    <row r="816" spans="3:18" ht="19.899999999999999" customHeight="1">
      <c r="C816" s="144"/>
      <c r="E816" s="144"/>
      <c r="R816" s="144"/>
    </row>
    <row r="817" spans="3:18" ht="19.899999999999999" customHeight="1">
      <c r="C817" s="144"/>
      <c r="E817" s="144"/>
      <c r="R817" s="144"/>
    </row>
    <row r="818" spans="3:18" ht="19.899999999999999" customHeight="1">
      <c r="C818" s="144"/>
      <c r="E818" s="144"/>
      <c r="R818" s="144"/>
    </row>
    <row r="819" spans="3:18" ht="19.899999999999999" customHeight="1">
      <c r="C819" s="144"/>
      <c r="E819" s="144"/>
      <c r="R819" s="144"/>
    </row>
    <row r="820" spans="3:18" ht="19.899999999999999" customHeight="1">
      <c r="C820" s="144"/>
      <c r="E820" s="144"/>
      <c r="R820" s="144"/>
    </row>
    <row r="821" spans="3:18" ht="19.899999999999999" customHeight="1">
      <c r="C821" s="144"/>
      <c r="E821" s="144"/>
      <c r="R821" s="144"/>
    </row>
    <row r="822" spans="3:18" ht="19.899999999999999" customHeight="1">
      <c r="C822" s="144"/>
      <c r="E822" s="144"/>
      <c r="R822" s="144"/>
    </row>
    <row r="823" spans="3:18" ht="19.899999999999999" customHeight="1">
      <c r="C823" s="144"/>
      <c r="E823" s="144"/>
      <c r="R823" s="144"/>
    </row>
    <row r="824" spans="3:18" ht="19.899999999999999" customHeight="1">
      <c r="C824" s="144"/>
      <c r="E824" s="144"/>
      <c r="R824" s="144"/>
    </row>
    <row r="825" spans="3:18" ht="19.899999999999999" customHeight="1">
      <c r="C825" s="144"/>
      <c r="E825" s="144"/>
      <c r="R825" s="144"/>
    </row>
    <row r="826" spans="3:18" ht="19.899999999999999" customHeight="1">
      <c r="C826" s="144"/>
      <c r="E826" s="144"/>
      <c r="R826" s="144"/>
    </row>
    <row r="827" spans="3:18" ht="19.899999999999999" customHeight="1">
      <c r="C827" s="144"/>
      <c r="E827" s="144"/>
      <c r="R827" s="144"/>
    </row>
    <row r="828" spans="3:18" ht="19.899999999999999" customHeight="1">
      <c r="C828" s="144"/>
      <c r="E828" s="144"/>
      <c r="R828" s="144"/>
    </row>
    <row r="829" spans="3:18" ht="19.899999999999999" customHeight="1">
      <c r="C829" s="144"/>
      <c r="E829" s="144"/>
      <c r="R829" s="144"/>
    </row>
    <row r="830" spans="3:18" ht="19.899999999999999" customHeight="1">
      <c r="C830" s="144"/>
      <c r="E830" s="144"/>
      <c r="R830" s="144"/>
    </row>
    <row r="831" spans="3:18" ht="19.899999999999999" customHeight="1">
      <c r="C831" s="144"/>
      <c r="E831" s="144"/>
      <c r="R831" s="144"/>
    </row>
    <row r="832" spans="3:18" ht="19.899999999999999" customHeight="1">
      <c r="C832" s="144"/>
      <c r="E832" s="144"/>
      <c r="R832" s="144"/>
    </row>
    <row r="833" spans="3:18" ht="19.899999999999999" customHeight="1">
      <c r="C833" s="144"/>
      <c r="E833" s="144"/>
      <c r="R833" s="144"/>
    </row>
    <row r="834" spans="3:18" ht="19.899999999999999" customHeight="1">
      <c r="C834" s="144"/>
      <c r="E834" s="144"/>
      <c r="R834" s="144"/>
    </row>
    <row r="835" spans="3:18" ht="19.899999999999999" customHeight="1">
      <c r="C835" s="144"/>
      <c r="E835" s="144"/>
      <c r="R835" s="144"/>
    </row>
    <row r="836" spans="3:18" ht="19.899999999999999" customHeight="1">
      <c r="C836" s="144"/>
      <c r="E836" s="144"/>
      <c r="R836" s="144"/>
    </row>
    <row r="837" spans="3:18" ht="19.899999999999999" customHeight="1">
      <c r="C837" s="144"/>
      <c r="E837" s="144"/>
      <c r="R837" s="144"/>
    </row>
    <row r="838" spans="3:18" ht="19.899999999999999" customHeight="1">
      <c r="C838" s="144"/>
      <c r="E838" s="144"/>
      <c r="R838" s="144"/>
    </row>
    <row r="839" spans="3:18" ht="19.899999999999999" customHeight="1">
      <c r="C839" s="144"/>
      <c r="E839" s="144"/>
      <c r="R839" s="144"/>
    </row>
    <row r="840" spans="3:18" ht="19.899999999999999" customHeight="1">
      <c r="C840" s="144"/>
      <c r="E840" s="144"/>
      <c r="R840" s="144"/>
    </row>
    <row r="841" spans="3:18" ht="19.899999999999999" customHeight="1">
      <c r="C841" s="144"/>
      <c r="E841" s="144"/>
      <c r="R841" s="144"/>
    </row>
    <row r="842" spans="3:18" ht="19.899999999999999" customHeight="1">
      <c r="C842" s="144"/>
      <c r="E842" s="144"/>
      <c r="R842" s="144"/>
    </row>
    <row r="843" spans="3:18" ht="19.899999999999999" customHeight="1">
      <c r="C843" s="144"/>
      <c r="E843" s="144"/>
      <c r="R843" s="144"/>
    </row>
    <row r="844" spans="3:18" ht="19.899999999999999" customHeight="1">
      <c r="C844" s="144"/>
      <c r="E844" s="144"/>
      <c r="R844" s="144"/>
    </row>
    <row r="845" spans="3:18" ht="19.899999999999999" customHeight="1">
      <c r="C845" s="144"/>
      <c r="E845" s="144"/>
      <c r="R845" s="144"/>
    </row>
    <row r="846" spans="3:18" ht="19.899999999999999" customHeight="1">
      <c r="C846" s="144"/>
      <c r="E846" s="144"/>
      <c r="R846" s="144"/>
    </row>
    <row r="847" spans="3:18" ht="19.899999999999999" customHeight="1">
      <c r="C847" s="144"/>
      <c r="E847" s="144"/>
      <c r="R847" s="144"/>
    </row>
    <row r="848" spans="3:18" ht="19.899999999999999" customHeight="1">
      <c r="C848" s="144"/>
      <c r="E848" s="144"/>
      <c r="R848" s="144"/>
    </row>
    <row r="849" spans="3:18" ht="19.899999999999999" customHeight="1">
      <c r="C849" s="144"/>
      <c r="E849" s="144"/>
      <c r="R849" s="144"/>
    </row>
    <row r="850" spans="3:18" ht="19.899999999999999" customHeight="1">
      <c r="C850" s="144"/>
      <c r="E850" s="144"/>
      <c r="R850" s="144"/>
    </row>
    <row r="851" spans="3:18" ht="19.899999999999999" customHeight="1">
      <c r="C851" s="144"/>
      <c r="E851" s="144"/>
      <c r="R851" s="144"/>
    </row>
    <row r="852" spans="3:18" ht="19.899999999999999" customHeight="1">
      <c r="C852" s="144"/>
      <c r="E852" s="144"/>
      <c r="R852" s="144"/>
    </row>
    <row r="853" spans="3:18" ht="19.899999999999999" customHeight="1">
      <c r="C853" s="144"/>
      <c r="E853" s="144"/>
      <c r="R853" s="144"/>
    </row>
    <row r="854" spans="3:18" ht="19.899999999999999" customHeight="1">
      <c r="C854" s="144"/>
      <c r="E854" s="144"/>
      <c r="R854" s="144"/>
    </row>
    <row r="855" spans="3:18" ht="19.899999999999999" customHeight="1">
      <c r="C855" s="144"/>
      <c r="E855" s="144"/>
      <c r="R855" s="144"/>
    </row>
    <row r="856" spans="3:18" ht="19.899999999999999" customHeight="1">
      <c r="C856" s="144"/>
      <c r="E856" s="144"/>
      <c r="R856" s="144"/>
    </row>
    <row r="857" spans="3:18" ht="19.899999999999999" customHeight="1">
      <c r="C857" s="144"/>
      <c r="E857" s="144"/>
      <c r="R857" s="144"/>
    </row>
    <row r="858" spans="3:18" ht="19.899999999999999" customHeight="1">
      <c r="C858" s="144"/>
      <c r="E858" s="144"/>
      <c r="R858" s="144"/>
    </row>
    <row r="859" spans="3:18" ht="19.899999999999999" customHeight="1">
      <c r="C859" s="144"/>
      <c r="E859" s="144"/>
      <c r="R859" s="144"/>
    </row>
    <row r="860" spans="3:18" ht="19.899999999999999" customHeight="1">
      <c r="C860" s="144"/>
      <c r="E860" s="144"/>
      <c r="R860" s="144"/>
    </row>
    <row r="861" spans="3:18" ht="19.899999999999999" customHeight="1">
      <c r="C861" s="144"/>
      <c r="E861" s="144"/>
      <c r="R861" s="144"/>
    </row>
    <row r="862" spans="3:18" ht="19.899999999999999" customHeight="1">
      <c r="C862" s="144"/>
      <c r="E862" s="144"/>
      <c r="R862" s="144"/>
    </row>
    <row r="863" spans="3:18" ht="19.899999999999999" customHeight="1">
      <c r="C863" s="144"/>
      <c r="E863" s="144"/>
      <c r="R863" s="144"/>
    </row>
    <row r="864" spans="3:18" ht="19.899999999999999" customHeight="1">
      <c r="C864" s="144"/>
      <c r="E864" s="144"/>
      <c r="R864" s="144"/>
    </row>
    <row r="865" spans="3:18" ht="19.899999999999999" customHeight="1">
      <c r="C865" s="144"/>
      <c r="E865" s="144"/>
      <c r="R865" s="144"/>
    </row>
    <row r="866" spans="3:18" ht="19.899999999999999" customHeight="1">
      <c r="C866" s="144"/>
      <c r="E866" s="144"/>
      <c r="R866" s="144"/>
    </row>
    <row r="867" spans="3:18" ht="19.899999999999999" customHeight="1">
      <c r="C867" s="144"/>
      <c r="E867" s="144"/>
      <c r="R867" s="144"/>
    </row>
    <row r="868" spans="3:18" ht="19.899999999999999" customHeight="1">
      <c r="C868" s="144"/>
      <c r="E868" s="144"/>
      <c r="R868" s="144"/>
    </row>
    <row r="869" spans="3:18" ht="19.899999999999999" customHeight="1">
      <c r="C869" s="144"/>
      <c r="E869" s="144"/>
      <c r="R869" s="144"/>
    </row>
    <row r="870" spans="3:18" ht="19.899999999999999" customHeight="1">
      <c r="C870" s="144"/>
      <c r="E870" s="144"/>
      <c r="R870" s="144"/>
    </row>
    <row r="871" spans="3:18" ht="19.899999999999999" customHeight="1">
      <c r="C871" s="144"/>
      <c r="E871" s="144"/>
      <c r="R871" s="144"/>
    </row>
    <row r="872" spans="3:18" ht="19.899999999999999" customHeight="1">
      <c r="C872" s="144"/>
      <c r="E872" s="144"/>
      <c r="R872" s="144"/>
    </row>
    <row r="873" spans="3:18" ht="19.899999999999999" customHeight="1">
      <c r="C873" s="144"/>
      <c r="E873" s="144"/>
      <c r="R873" s="144"/>
    </row>
    <row r="874" spans="3:18" ht="19.899999999999999" customHeight="1">
      <c r="C874" s="144"/>
      <c r="E874" s="144"/>
      <c r="R874" s="144"/>
    </row>
    <row r="875" spans="3:18" ht="19.899999999999999" customHeight="1">
      <c r="C875" s="144"/>
      <c r="E875" s="144"/>
      <c r="R875" s="144"/>
    </row>
    <row r="876" spans="3:18" ht="19.899999999999999" customHeight="1">
      <c r="C876" s="144"/>
      <c r="E876" s="144"/>
      <c r="R876" s="144"/>
    </row>
    <row r="877" spans="3:18" ht="19.899999999999999" customHeight="1">
      <c r="C877" s="144"/>
      <c r="E877" s="144"/>
      <c r="R877" s="144"/>
    </row>
    <row r="878" spans="3:18" ht="19.899999999999999" customHeight="1">
      <c r="C878" s="144"/>
      <c r="E878" s="144"/>
      <c r="R878" s="144"/>
    </row>
    <row r="879" spans="3:18" ht="19.899999999999999" customHeight="1">
      <c r="C879" s="144"/>
      <c r="E879" s="144"/>
      <c r="R879" s="144"/>
    </row>
    <row r="880" spans="3:18" ht="19.899999999999999" customHeight="1">
      <c r="C880" s="144"/>
      <c r="E880" s="144"/>
      <c r="R880" s="144"/>
    </row>
    <row r="881" spans="3:18" ht="19.899999999999999" customHeight="1">
      <c r="C881" s="144"/>
      <c r="E881" s="144"/>
      <c r="R881" s="144"/>
    </row>
    <row r="882" spans="3:18" ht="19.899999999999999" customHeight="1">
      <c r="C882" s="144"/>
      <c r="E882" s="144"/>
      <c r="R882" s="144"/>
    </row>
    <row r="883" spans="3:18" ht="19.899999999999999" customHeight="1">
      <c r="C883" s="144"/>
      <c r="E883" s="144"/>
      <c r="R883" s="144"/>
    </row>
    <row r="884" spans="3:18" ht="19.899999999999999" customHeight="1">
      <c r="C884" s="144"/>
      <c r="E884" s="144"/>
      <c r="R884" s="144"/>
    </row>
    <row r="885" spans="3:18" ht="19.899999999999999" customHeight="1">
      <c r="C885" s="144"/>
      <c r="E885" s="144"/>
      <c r="R885" s="144"/>
    </row>
    <row r="886" spans="3:18" ht="19.899999999999999" customHeight="1">
      <c r="C886" s="144"/>
      <c r="E886" s="144"/>
      <c r="R886" s="144"/>
    </row>
    <row r="887" spans="3:18" ht="19.899999999999999" customHeight="1">
      <c r="C887" s="144"/>
      <c r="E887" s="144"/>
      <c r="R887" s="144"/>
    </row>
    <row r="888" spans="3:18" ht="19.899999999999999" customHeight="1">
      <c r="C888" s="144"/>
      <c r="E888" s="144"/>
      <c r="R888" s="144"/>
    </row>
    <row r="889" spans="3:18" ht="19.899999999999999" customHeight="1">
      <c r="C889" s="144"/>
      <c r="E889" s="144"/>
      <c r="R889" s="144"/>
    </row>
    <row r="890" spans="3:18" ht="19.899999999999999" customHeight="1">
      <c r="C890" s="144"/>
      <c r="E890" s="144"/>
      <c r="R890" s="144"/>
    </row>
    <row r="891" spans="3:18" ht="19.899999999999999" customHeight="1">
      <c r="C891" s="144"/>
      <c r="E891" s="144"/>
      <c r="R891" s="144"/>
    </row>
    <row r="892" spans="3:18" ht="19.899999999999999" customHeight="1">
      <c r="C892" s="144"/>
      <c r="E892" s="144"/>
      <c r="R892" s="144"/>
    </row>
    <row r="893" spans="3:18" ht="19.899999999999999" customHeight="1">
      <c r="C893" s="144"/>
      <c r="E893" s="144"/>
      <c r="R893" s="144"/>
    </row>
    <row r="894" spans="3:18" ht="19.899999999999999" customHeight="1">
      <c r="C894" s="144"/>
      <c r="E894" s="144"/>
      <c r="R894" s="144"/>
    </row>
    <row r="895" spans="3:18" ht="19.899999999999999" customHeight="1">
      <c r="C895" s="144"/>
      <c r="E895" s="144"/>
      <c r="R895" s="144"/>
    </row>
    <row r="896" spans="3:18" ht="19.899999999999999" customHeight="1">
      <c r="C896" s="144"/>
      <c r="E896" s="144"/>
      <c r="R896" s="144"/>
    </row>
    <row r="897" spans="3:18" ht="19.899999999999999" customHeight="1">
      <c r="C897" s="144"/>
      <c r="E897" s="144"/>
      <c r="R897" s="144"/>
    </row>
    <row r="898" spans="3:18" ht="19.899999999999999" customHeight="1">
      <c r="C898" s="144"/>
      <c r="E898" s="144"/>
      <c r="R898" s="144"/>
    </row>
    <row r="899" spans="3:18" ht="19.899999999999999" customHeight="1">
      <c r="C899" s="144"/>
      <c r="E899" s="144"/>
      <c r="R899" s="144"/>
    </row>
    <row r="900" spans="3:18" ht="19.899999999999999" customHeight="1">
      <c r="C900" s="144"/>
      <c r="E900" s="144"/>
      <c r="R900" s="144"/>
    </row>
    <row r="901" spans="3:18" ht="19.899999999999999" customHeight="1">
      <c r="C901" s="144"/>
      <c r="E901" s="144"/>
      <c r="R901" s="144"/>
    </row>
    <row r="902" spans="3:18" ht="19.899999999999999" customHeight="1">
      <c r="C902" s="144"/>
      <c r="E902" s="144"/>
      <c r="R902" s="144"/>
    </row>
    <row r="903" spans="3:18" ht="19.899999999999999" customHeight="1">
      <c r="C903" s="144"/>
      <c r="E903" s="144"/>
      <c r="R903" s="144"/>
    </row>
    <row r="904" spans="3:18" ht="19.899999999999999" customHeight="1">
      <c r="C904" s="144"/>
      <c r="E904" s="144"/>
      <c r="R904" s="144"/>
    </row>
    <row r="905" spans="3:18" ht="19.899999999999999" customHeight="1">
      <c r="C905" s="144"/>
      <c r="E905" s="144"/>
      <c r="R905" s="144"/>
    </row>
    <row r="906" spans="3:18" ht="19.899999999999999" customHeight="1">
      <c r="C906" s="144"/>
      <c r="E906" s="144"/>
      <c r="R906" s="144"/>
    </row>
    <row r="907" spans="3:18" ht="19.899999999999999" customHeight="1">
      <c r="C907" s="144"/>
      <c r="E907" s="144"/>
      <c r="R907" s="144"/>
    </row>
    <row r="908" spans="3:18" ht="19.899999999999999" customHeight="1">
      <c r="C908" s="144"/>
      <c r="E908" s="144"/>
      <c r="R908" s="144"/>
    </row>
    <row r="909" spans="3:18" ht="19.899999999999999" customHeight="1">
      <c r="C909" s="144"/>
      <c r="E909" s="144"/>
      <c r="R909" s="144"/>
    </row>
    <row r="910" spans="3:18" ht="19.899999999999999" customHeight="1">
      <c r="C910" s="144"/>
      <c r="E910" s="144"/>
      <c r="R910" s="144"/>
    </row>
    <row r="911" spans="3:18" ht="19.899999999999999" customHeight="1">
      <c r="C911" s="144"/>
      <c r="E911" s="144"/>
      <c r="R911" s="144"/>
    </row>
    <row r="912" spans="3:18" ht="19.899999999999999" customHeight="1">
      <c r="C912" s="144"/>
      <c r="E912" s="144"/>
      <c r="R912" s="144"/>
    </row>
    <row r="913" spans="3:18" ht="19.899999999999999" customHeight="1">
      <c r="C913" s="144"/>
      <c r="E913" s="144"/>
      <c r="R913" s="144"/>
    </row>
    <row r="914" spans="3:18" ht="19.899999999999999" customHeight="1">
      <c r="C914" s="144"/>
      <c r="E914" s="144"/>
      <c r="R914" s="144"/>
    </row>
    <row r="915" spans="3:18" ht="19.899999999999999" customHeight="1">
      <c r="C915" s="144"/>
      <c r="E915" s="144"/>
      <c r="R915" s="144"/>
    </row>
    <row r="916" spans="3:18" ht="19.899999999999999" customHeight="1">
      <c r="C916" s="144"/>
      <c r="E916" s="144"/>
      <c r="R916" s="144"/>
    </row>
    <row r="917" spans="3:18" ht="19.899999999999999" customHeight="1">
      <c r="C917" s="144"/>
      <c r="E917" s="144"/>
      <c r="R917" s="144"/>
    </row>
    <row r="918" spans="3:18" ht="19.899999999999999" customHeight="1">
      <c r="C918" s="144"/>
      <c r="E918" s="144"/>
      <c r="R918" s="144"/>
    </row>
    <row r="919" spans="3:18" ht="19.899999999999999" customHeight="1">
      <c r="C919" s="144"/>
      <c r="E919" s="144"/>
      <c r="R919" s="144"/>
    </row>
    <row r="920" spans="3:18" ht="19.899999999999999" customHeight="1">
      <c r="C920" s="144"/>
      <c r="E920" s="144"/>
      <c r="R920" s="144"/>
    </row>
    <row r="921" spans="3:18" ht="19.899999999999999" customHeight="1">
      <c r="C921" s="144"/>
      <c r="E921" s="144"/>
      <c r="R921" s="144"/>
    </row>
    <row r="922" spans="3:18" ht="19.899999999999999" customHeight="1">
      <c r="C922" s="144"/>
      <c r="E922" s="144"/>
      <c r="R922" s="144"/>
    </row>
    <row r="923" spans="3:18" ht="19.899999999999999" customHeight="1">
      <c r="C923" s="144"/>
      <c r="E923" s="144"/>
      <c r="R923" s="144"/>
    </row>
    <row r="924" spans="3:18" ht="19.899999999999999" customHeight="1">
      <c r="C924" s="144"/>
      <c r="E924" s="144"/>
      <c r="R924" s="144"/>
    </row>
    <row r="925" spans="3:18" ht="19.899999999999999" customHeight="1">
      <c r="C925" s="144"/>
      <c r="E925" s="144"/>
      <c r="R925" s="144"/>
    </row>
    <row r="926" spans="3:18" ht="19.899999999999999" customHeight="1">
      <c r="C926" s="144"/>
      <c r="E926" s="144"/>
      <c r="R926" s="144"/>
    </row>
    <row r="927" spans="3:18" ht="19.899999999999999" customHeight="1">
      <c r="C927" s="144"/>
      <c r="E927" s="144"/>
      <c r="R927" s="144"/>
    </row>
    <row r="928" spans="3:18" ht="19.899999999999999" customHeight="1">
      <c r="C928" s="144"/>
      <c r="E928" s="144"/>
      <c r="R928" s="144"/>
    </row>
    <row r="929" spans="3:18" ht="19.899999999999999" customHeight="1">
      <c r="C929" s="144"/>
      <c r="E929" s="144"/>
      <c r="R929" s="144"/>
    </row>
    <row r="930" spans="3:18" ht="19.899999999999999" customHeight="1">
      <c r="C930" s="144"/>
      <c r="E930" s="144"/>
      <c r="R930" s="144"/>
    </row>
    <row r="931" spans="3:18" ht="19.899999999999999" customHeight="1">
      <c r="C931" s="144"/>
      <c r="E931" s="144"/>
      <c r="R931" s="144"/>
    </row>
    <row r="932" spans="3:18" ht="19.899999999999999" customHeight="1">
      <c r="C932" s="144"/>
      <c r="E932" s="144"/>
      <c r="R932" s="144"/>
    </row>
    <row r="933" spans="3:18" ht="19.899999999999999" customHeight="1">
      <c r="C933" s="144"/>
      <c r="E933" s="144"/>
      <c r="R933" s="144"/>
    </row>
    <row r="934" spans="3:18" ht="19.899999999999999" customHeight="1">
      <c r="C934" s="144"/>
      <c r="E934" s="144"/>
      <c r="R934" s="144"/>
    </row>
    <row r="935" spans="3:18" ht="19.899999999999999" customHeight="1">
      <c r="C935" s="144"/>
      <c r="E935" s="144"/>
      <c r="R935" s="144"/>
    </row>
    <row r="936" spans="3:18" ht="19.899999999999999" customHeight="1">
      <c r="C936" s="144"/>
      <c r="E936" s="144"/>
      <c r="R936" s="144"/>
    </row>
    <row r="937" spans="3:18" ht="19.899999999999999" customHeight="1">
      <c r="C937" s="144"/>
      <c r="E937" s="144"/>
      <c r="R937" s="144"/>
    </row>
    <row r="938" spans="3:18" ht="19.899999999999999" customHeight="1">
      <c r="C938" s="144"/>
      <c r="E938" s="144"/>
      <c r="R938" s="144"/>
    </row>
    <row r="939" spans="3:18" ht="19.899999999999999" customHeight="1">
      <c r="C939" s="144"/>
      <c r="E939" s="144"/>
      <c r="R939" s="144"/>
    </row>
    <row r="940" spans="3:18" ht="19.899999999999999" customHeight="1">
      <c r="C940" s="144"/>
      <c r="E940" s="144"/>
      <c r="R940" s="144"/>
    </row>
    <row r="941" spans="3:18" ht="19.899999999999999" customHeight="1">
      <c r="C941" s="144"/>
      <c r="E941" s="144"/>
      <c r="R941" s="144"/>
    </row>
    <row r="942" spans="3:18" ht="19.899999999999999" customHeight="1">
      <c r="C942" s="144"/>
      <c r="E942" s="144"/>
      <c r="R942" s="144"/>
    </row>
    <row r="943" spans="3:18" ht="19.899999999999999" customHeight="1">
      <c r="C943" s="144"/>
      <c r="E943" s="144"/>
      <c r="R943" s="144"/>
    </row>
    <row r="944" spans="3:18" ht="19.899999999999999" customHeight="1">
      <c r="C944" s="144"/>
      <c r="E944" s="144"/>
      <c r="R944" s="144"/>
    </row>
    <row r="945" spans="3:18" ht="19.899999999999999" customHeight="1">
      <c r="C945" s="144"/>
      <c r="E945" s="144"/>
      <c r="R945" s="144"/>
    </row>
    <row r="946" spans="3:18" ht="19.899999999999999" customHeight="1">
      <c r="C946" s="144"/>
      <c r="E946" s="144"/>
      <c r="R946" s="144"/>
    </row>
    <row r="947" spans="3:18" ht="19.899999999999999" customHeight="1">
      <c r="C947" s="144"/>
      <c r="E947" s="144"/>
      <c r="R947" s="144"/>
    </row>
    <row r="948" spans="3:18" ht="19.899999999999999" customHeight="1">
      <c r="C948" s="144"/>
      <c r="E948" s="144"/>
      <c r="R948" s="144"/>
    </row>
    <row r="949" spans="3:18" ht="19.899999999999999" customHeight="1">
      <c r="C949" s="144"/>
      <c r="E949" s="144"/>
      <c r="R949" s="144"/>
    </row>
    <row r="950" spans="3:18" ht="19.899999999999999" customHeight="1">
      <c r="C950" s="144"/>
      <c r="E950" s="144"/>
      <c r="R950" s="144"/>
    </row>
    <row r="951" spans="3:18" ht="19.899999999999999" customHeight="1">
      <c r="C951" s="144"/>
      <c r="E951" s="144"/>
      <c r="R951" s="144"/>
    </row>
    <row r="952" spans="3:18" ht="19.899999999999999" customHeight="1">
      <c r="C952" s="144"/>
      <c r="E952" s="144"/>
      <c r="R952" s="144"/>
    </row>
    <row r="953" spans="3:18" ht="19.899999999999999" customHeight="1">
      <c r="C953" s="144"/>
      <c r="E953" s="144"/>
      <c r="R953" s="144"/>
    </row>
    <row r="954" spans="3:18" ht="19.899999999999999" customHeight="1">
      <c r="C954" s="144"/>
      <c r="E954" s="144"/>
      <c r="R954" s="144"/>
    </row>
    <row r="955" spans="3:18" ht="19.899999999999999" customHeight="1">
      <c r="C955" s="144"/>
      <c r="E955" s="144"/>
      <c r="R955" s="144"/>
    </row>
    <row r="956" spans="3:18" ht="19.899999999999999" customHeight="1">
      <c r="C956" s="144"/>
      <c r="E956" s="144"/>
      <c r="R956" s="144"/>
    </row>
    <row r="957" spans="3:18" ht="19.899999999999999" customHeight="1">
      <c r="C957" s="144"/>
      <c r="E957" s="144"/>
      <c r="R957" s="144"/>
    </row>
    <row r="958" spans="3:18" ht="19.899999999999999" customHeight="1">
      <c r="C958" s="144"/>
      <c r="E958" s="144"/>
      <c r="R958" s="144"/>
    </row>
    <row r="959" spans="3:18" ht="19.899999999999999" customHeight="1">
      <c r="C959" s="144"/>
      <c r="E959" s="144"/>
      <c r="R959" s="144"/>
    </row>
    <row r="960" spans="3:18" ht="19.899999999999999" customHeight="1">
      <c r="C960" s="144"/>
      <c r="E960" s="144"/>
      <c r="R960" s="144"/>
    </row>
    <row r="961" spans="3:18" ht="19.899999999999999" customHeight="1">
      <c r="C961" s="144"/>
      <c r="E961" s="144"/>
      <c r="R961" s="144"/>
    </row>
    <row r="962" spans="3:18" ht="19.899999999999999" customHeight="1">
      <c r="C962" s="144"/>
      <c r="E962" s="144"/>
      <c r="R962" s="144"/>
    </row>
    <row r="963" spans="3:18" ht="19.899999999999999" customHeight="1">
      <c r="C963" s="144"/>
      <c r="E963" s="144"/>
      <c r="R963" s="144"/>
    </row>
    <row r="964" spans="3:18" ht="19.899999999999999" customHeight="1">
      <c r="C964" s="144"/>
      <c r="E964" s="144"/>
      <c r="R964" s="144"/>
    </row>
    <row r="965" spans="3:18" ht="19.899999999999999" customHeight="1">
      <c r="C965" s="144"/>
      <c r="E965" s="144"/>
      <c r="R965" s="144"/>
    </row>
    <row r="966" spans="3:18" ht="19.899999999999999" customHeight="1">
      <c r="C966" s="144"/>
      <c r="E966" s="144"/>
      <c r="R966" s="144"/>
    </row>
    <row r="967" spans="3:18" ht="19.899999999999999" customHeight="1">
      <c r="C967" s="144"/>
      <c r="E967" s="144"/>
      <c r="R967" s="144"/>
    </row>
    <row r="968" spans="3:18" ht="19.899999999999999" customHeight="1">
      <c r="C968" s="144"/>
      <c r="E968" s="144"/>
      <c r="R968" s="144"/>
    </row>
    <row r="969" spans="3:18" ht="19.899999999999999" customHeight="1">
      <c r="C969" s="144"/>
      <c r="E969" s="144"/>
      <c r="R969" s="144"/>
    </row>
    <row r="970" spans="3:18" ht="19.899999999999999" customHeight="1">
      <c r="C970" s="144"/>
      <c r="E970" s="144"/>
      <c r="R970" s="144"/>
    </row>
    <row r="971" spans="3:18" ht="19.899999999999999" customHeight="1">
      <c r="C971" s="144"/>
      <c r="E971" s="144"/>
      <c r="R971" s="144"/>
    </row>
    <row r="972" spans="3:18" ht="19.899999999999999" customHeight="1">
      <c r="C972" s="144"/>
      <c r="E972" s="144"/>
      <c r="R972" s="144"/>
    </row>
    <row r="973" spans="3:18" ht="19.899999999999999" customHeight="1">
      <c r="C973" s="144"/>
      <c r="E973" s="144"/>
      <c r="R973" s="144"/>
    </row>
    <row r="974" spans="3:18" ht="19.899999999999999" customHeight="1">
      <c r="C974" s="144"/>
      <c r="E974" s="144"/>
      <c r="R974" s="144"/>
    </row>
    <row r="975" spans="3:18" ht="19.899999999999999" customHeight="1">
      <c r="C975" s="144"/>
      <c r="E975" s="144"/>
      <c r="R975" s="144"/>
    </row>
    <row r="976" spans="3:18" ht="19.899999999999999" customHeight="1">
      <c r="C976" s="144"/>
      <c r="E976" s="144"/>
      <c r="R976" s="144"/>
    </row>
    <row r="977" spans="3:18" ht="19.899999999999999" customHeight="1">
      <c r="C977" s="144"/>
      <c r="E977" s="144"/>
      <c r="R977" s="144"/>
    </row>
    <row r="978" spans="3:18" ht="19.899999999999999" customHeight="1">
      <c r="C978" s="144"/>
      <c r="E978" s="144"/>
      <c r="R978" s="144"/>
    </row>
    <row r="979" spans="3:18" ht="19.899999999999999" customHeight="1">
      <c r="C979" s="144"/>
      <c r="E979" s="144"/>
      <c r="R979" s="144"/>
    </row>
    <row r="980" spans="3:18" ht="19.899999999999999" customHeight="1">
      <c r="C980" s="144"/>
      <c r="E980" s="144"/>
      <c r="R980" s="144"/>
    </row>
    <row r="981" spans="3:18" ht="19.899999999999999" customHeight="1">
      <c r="C981" s="144"/>
      <c r="E981" s="144"/>
      <c r="R981" s="144"/>
    </row>
    <row r="982" spans="3:18" ht="19.899999999999999" customHeight="1">
      <c r="C982" s="144"/>
      <c r="E982" s="144"/>
      <c r="R982" s="144"/>
    </row>
    <row r="983" spans="3:18" ht="19.899999999999999" customHeight="1">
      <c r="C983" s="144"/>
      <c r="E983" s="144"/>
      <c r="R983" s="144"/>
    </row>
    <row r="984" spans="3:18" ht="19.899999999999999" customHeight="1">
      <c r="C984" s="144"/>
      <c r="E984" s="144"/>
      <c r="R984" s="144"/>
    </row>
    <row r="985" spans="3:18" ht="19.899999999999999" customHeight="1">
      <c r="C985" s="144"/>
      <c r="E985" s="144"/>
      <c r="R985" s="144"/>
    </row>
    <row r="986" spans="3:18" ht="19.899999999999999" customHeight="1">
      <c r="C986" s="144"/>
      <c r="E986" s="144"/>
      <c r="R986" s="144"/>
    </row>
    <row r="987" spans="3:18" ht="19.899999999999999" customHeight="1">
      <c r="C987" s="144"/>
      <c r="E987" s="144"/>
      <c r="R987" s="144"/>
    </row>
    <row r="988" spans="3:18" ht="19.899999999999999" customHeight="1">
      <c r="C988" s="144"/>
      <c r="E988" s="144"/>
      <c r="R988" s="144"/>
    </row>
    <row r="989" spans="3:18" ht="19.899999999999999" customHeight="1">
      <c r="C989" s="144"/>
      <c r="E989" s="144"/>
      <c r="R989" s="144"/>
    </row>
    <row r="990" spans="3:18" ht="19.899999999999999" customHeight="1">
      <c r="C990" s="144"/>
      <c r="E990" s="144"/>
      <c r="R990" s="144"/>
    </row>
    <row r="991" spans="3:18" ht="19.899999999999999" customHeight="1">
      <c r="C991" s="144"/>
      <c r="E991" s="144"/>
      <c r="R991" s="144"/>
    </row>
    <row r="992" spans="3:18" ht="19.899999999999999" customHeight="1">
      <c r="C992" s="144"/>
      <c r="E992" s="144"/>
      <c r="R992" s="144"/>
    </row>
    <row r="993" spans="3:18" ht="19.899999999999999" customHeight="1">
      <c r="C993" s="144"/>
      <c r="E993" s="144"/>
      <c r="R993" s="144"/>
    </row>
    <row r="994" spans="3:18" ht="19.899999999999999" customHeight="1">
      <c r="C994" s="144"/>
      <c r="E994" s="144"/>
      <c r="R994" s="144"/>
    </row>
    <row r="995" spans="3:18" ht="19.899999999999999" customHeight="1">
      <c r="C995" s="144"/>
      <c r="E995" s="144"/>
      <c r="R995" s="144"/>
    </row>
    <row r="996" spans="3:18" ht="19.899999999999999" customHeight="1">
      <c r="C996" s="144"/>
      <c r="E996" s="144"/>
      <c r="R996" s="144"/>
    </row>
    <row r="997" spans="3:18" ht="19.899999999999999" customHeight="1">
      <c r="C997" s="144"/>
      <c r="E997" s="144"/>
      <c r="R997" s="144"/>
    </row>
    <row r="998" spans="3:18" ht="19.899999999999999" customHeight="1">
      <c r="C998" s="144"/>
      <c r="E998" s="144"/>
      <c r="R998" s="144"/>
    </row>
    <row r="999" spans="3:18" ht="19.899999999999999" customHeight="1">
      <c r="C999" s="144"/>
      <c r="E999" s="144"/>
      <c r="R999" s="144"/>
    </row>
    <row r="1000" spans="3:18" ht="19.899999999999999" customHeight="1">
      <c r="C1000" s="144"/>
      <c r="E1000" s="144"/>
      <c r="R1000" s="144"/>
    </row>
    <row r="1001" spans="3:18" ht="19.899999999999999" customHeight="1">
      <c r="C1001" s="144"/>
      <c r="E1001" s="144"/>
      <c r="R1001" s="144"/>
    </row>
    <row r="1002" spans="3:18" ht="19.899999999999999" customHeight="1">
      <c r="C1002" s="144"/>
      <c r="E1002" s="144"/>
      <c r="R1002" s="144"/>
    </row>
    <row r="1003" spans="3:18" ht="19.899999999999999" customHeight="1">
      <c r="C1003" s="144"/>
      <c r="E1003" s="144"/>
      <c r="R1003" s="144"/>
    </row>
    <row r="1004" spans="3:18" ht="19.899999999999999" customHeight="1">
      <c r="C1004" s="144"/>
      <c r="E1004" s="144"/>
      <c r="R1004" s="144"/>
    </row>
    <row r="1005" spans="3:18" ht="19.899999999999999" customHeight="1">
      <c r="C1005" s="144"/>
      <c r="E1005" s="144"/>
      <c r="R1005" s="144"/>
    </row>
    <row r="1006" spans="3:18" ht="19.899999999999999" customHeight="1">
      <c r="C1006" s="144"/>
      <c r="E1006" s="144"/>
      <c r="R1006" s="144"/>
    </row>
    <row r="1007" spans="3:18" ht="19.899999999999999" customHeight="1">
      <c r="C1007" s="144"/>
      <c r="E1007" s="144"/>
      <c r="R1007" s="144"/>
    </row>
    <row r="1008" spans="3:18" ht="19.899999999999999" customHeight="1">
      <c r="C1008" s="144"/>
      <c r="E1008" s="144"/>
      <c r="R1008" s="144"/>
    </row>
    <row r="1009" spans="3:18" ht="19.899999999999999" customHeight="1">
      <c r="C1009" s="144"/>
      <c r="E1009" s="144"/>
      <c r="R1009" s="144"/>
    </row>
    <row r="1010" spans="3:18" ht="19.899999999999999" customHeight="1">
      <c r="C1010" s="144"/>
      <c r="E1010" s="144"/>
      <c r="R1010" s="144"/>
    </row>
    <row r="1011" spans="3:18" ht="19.899999999999999" customHeight="1">
      <c r="C1011" s="144"/>
      <c r="E1011" s="144"/>
      <c r="R1011" s="144"/>
    </row>
    <row r="1012" spans="3:18" ht="19.899999999999999" customHeight="1">
      <c r="C1012" s="144"/>
      <c r="E1012" s="144"/>
      <c r="R1012" s="144"/>
    </row>
    <row r="1013" spans="3:18" ht="19.899999999999999" customHeight="1">
      <c r="C1013" s="144"/>
      <c r="E1013" s="144"/>
      <c r="R1013" s="144"/>
    </row>
    <row r="1014" spans="3:18" ht="19.899999999999999" customHeight="1">
      <c r="C1014" s="144"/>
      <c r="E1014" s="144"/>
      <c r="R1014" s="144"/>
    </row>
    <row r="1015" spans="3:18" ht="19.899999999999999" customHeight="1">
      <c r="C1015" s="144"/>
      <c r="E1015" s="144"/>
      <c r="R1015" s="144"/>
    </row>
    <row r="1016" spans="3:18" ht="19.899999999999999" customHeight="1">
      <c r="C1016" s="144"/>
      <c r="E1016" s="144"/>
      <c r="R1016" s="144"/>
    </row>
    <row r="1017" spans="3:18" ht="19.899999999999999" customHeight="1">
      <c r="C1017" s="144"/>
      <c r="E1017" s="144"/>
      <c r="R1017" s="144"/>
    </row>
    <row r="1018" spans="3:18" ht="19.899999999999999" customHeight="1">
      <c r="C1018" s="144"/>
      <c r="E1018" s="144"/>
      <c r="R1018" s="144"/>
    </row>
    <row r="1019" spans="3:18" ht="19.899999999999999" customHeight="1">
      <c r="C1019" s="144"/>
      <c r="E1019" s="144"/>
      <c r="R1019" s="144"/>
    </row>
    <row r="1020" spans="3:18" ht="19.899999999999999" customHeight="1">
      <c r="C1020" s="144"/>
      <c r="E1020" s="144"/>
      <c r="R1020" s="144"/>
    </row>
    <row r="1021" spans="3:18" ht="19.899999999999999" customHeight="1">
      <c r="C1021" s="144"/>
      <c r="E1021" s="144"/>
      <c r="R1021" s="144"/>
    </row>
    <row r="1022" spans="3:18" ht="19.899999999999999" customHeight="1">
      <c r="C1022" s="144"/>
      <c r="E1022" s="144"/>
      <c r="R1022" s="144"/>
    </row>
    <row r="1023" spans="3:18" ht="19.899999999999999" customHeight="1">
      <c r="C1023" s="144"/>
      <c r="E1023" s="144"/>
      <c r="R1023" s="144"/>
    </row>
    <row r="1024" spans="3:18" ht="19.899999999999999" customHeight="1">
      <c r="C1024" s="144"/>
      <c r="E1024" s="144"/>
      <c r="R1024" s="144"/>
    </row>
    <row r="1025" spans="3:18" ht="19.899999999999999" customHeight="1">
      <c r="C1025" s="144"/>
      <c r="E1025" s="144"/>
      <c r="R1025" s="144"/>
    </row>
    <row r="1026" spans="3:18" ht="19.899999999999999" customHeight="1">
      <c r="C1026" s="144"/>
      <c r="E1026" s="144"/>
      <c r="R1026" s="144"/>
    </row>
    <row r="1027" spans="3:18" ht="19.899999999999999" customHeight="1">
      <c r="C1027" s="144"/>
      <c r="E1027" s="144"/>
      <c r="R1027" s="144"/>
    </row>
    <row r="1028" spans="3:18" ht="19.899999999999999" customHeight="1">
      <c r="C1028" s="144"/>
      <c r="E1028" s="144"/>
      <c r="R1028" s="144"/>
    </row>
    <row r="1029" spans="3:18" ht="19.899999999999999" customHeight="1">
      <c r="C1029" s="144"/>
      <c r="E1029" s="144"/>
      <c r="R1029" s="144"/>
    </row>
    <row r="1030" spans="3:18" ht="19.899999999999999" customHeight="1">
      <c r="C1030" s="144"/>
      <c r="E1030" s="144"/>
      <c r="R1030" s="144"/>
    </row>
    <row r="1031" spans="3:18" ht="19.899999999999999" customHeight="1">
      <c r="C1031" s="144"/>
      <c r="E1031" s="144"/>
      <c r="R1031" s="144"/>
    </row>
    <row r="1032" spans="3:18" ht="19.899999999999999" customHeight="1">
      <c r="C1032" s="144"/>
      <c r="E1032" s="144"/>
      <c r="R1032" s="144"/>
    </row>
    <row r="1033" spans="3:18" ht="19.899999999999999" customHeight="1">
      <c r="C1033" s="144"/>
      <c r="E1033" s="144"/>
      <c r="R1033" s="144"/>
    </row>
    <row r="1034" spans="3:18" ht="19.899999999999999" customHeight="1">
      <c r="C1034" s="144"/>
      <c r="E1034" s="144"/>
      <c r="R1034" s="144"/>
    </row>
    <row r="1035" spans="3:18" ht="19.899999999999999" customHeight="1">
      <c r="C1035" s="144"/>
      <c r="E1035" s="144"/>
      <c r="R1035" s="144"/>
    </row>
    <row r="1036" spans="3:18" ht="19.899999999999999" customHeight="1">
      <c r="C1036" s="144"/>
      <c r="E1036" s="144"/>
      <c r="R1036" s="144"/>
    </row>
    <row r="1037" spans="3:18" ht="19.899999999999999" customHeight="1">
      <c r="C1037" s="144"/>
      <c r="E1037" s="144"/>
      <c r="R1037" s="144"/>
    </row>
    <row r="1038" spans="3:18" ht="19.899999999999999" customHeight="1">
      <c r="C1038" s="144"/>
      <c r="E1038" s="144"/>
      <c r="R1038" s="144"/>
    </row>
    <row r="1039" spans="3:18" ht="19.899999999999999" customHeight="1">
      <c r="C1039" s="144"/>
      <c r="E1039" s="144"/>
      <c r="R1039" s="144"/>
    </row>
    <row r="1040" spans="3:18" ht="19.899999999999999" customHeight="1">
      <c r="C1040" s="144"/>
      <c r="E1040" s="144"/>
      <c r="R1040" s="144"/>
    </row>
    <row r="1041" spans="3:18" ht="19.899999999999999" customHeight="1">
      <c r="C1041" s="144"/>
      <c r="E1041" s="144"/>
      <c r="R1041" s="144"/>
    </row>
    <row r="1042" spans="3:18" ht="19.899999999999999" customHeight="1">
      <c r="C1042" s="144"/>
      <c r="E1042" s="144"/>
      <c r="R1042" s="144"/>
    </row>
    <row r="1043" spans="3:18" ht="19.899999999999999" customHeight="1">
      <c r="C1043" s="144"/>
      <c r="E1043" s="144"/>
      <c r="R1043" s="144"/>
    </row>
    <row r="1044" spans="3:18" ht="19.899999999999999" customHeight="1">
      <c r="C1044" s="144"/>
      <c r="E1044" s="144"/>
      <c r="R1044" s="144"/>
    </row>
    <row r="1045" spans="3:18" ht="19.899999999999999" customHeight="1">
      <c r="C1045" s="144"/>
      <c r="E1045" s="144"/>
      <c r="R1045" s="144"/>
    </row>
    <row r="1046" spans="3:18" ht="19.899999999999999" customHeight="1">
      <c r="C1046" s="144"/>
      <c r="E1046" s="144"/>
      <c r="R1046" s="144"/>
    </row>
    <row r="1047" spans="3:18" ht="19.899999999999999" customHeight="1">
      <c r="C1047" s="144"/>
      <c r="E1047" s="144"/>
      <c r="R1047" s="144"/>
    </row>
    <row r="1048" spans="3:18" ht="19.899999999999999" customHeight="1">
      <c r="C1048" s="144"/>
      <c r="E1048" s="144"/>
      <c r="R1048" s="144"/>
    </row>
    <row r="1049" spans="3:18" ht="19.899999999999999" customHeight="1">
      <c r="C1049" s="144"/>
      <c r="E1049" s="144"/>
      <c r="R1049" s="144"/>
    </row>
    <row r="1050" spans="3:18" ht="19.899999999999999" customHeight="1">
      <c r="C1050" s="144"/>
      <c r="E1050" s="144"/>
      <c r="R1050" s="144"/>
    </row>
    <row r="1051" spans="3:18" ht="19.899999999999999" customHeight="1">
      <c r="C1051" s="144"/>
      <c r="E1051" s="144"/>
      <c r="R1051" s="144"/>
    </row>
    <row r="1052" spans="3:18" ht="19.899999999999999" customHeight="1">
      <c r="C1052" s="144"/>
      <c r="E1052" s="144"/>
      <c r="R1052" s="144"/>
    </row>
    <row r="1053" spans="3:18" ht="19.899999999999999" customHeight="1">
      <c r="C1053" s="144"/>
      <c r="E1053" s="144"/>
      <c r="R1053" s="144"/>
    </row>
    <row r="1054" spans="3:18" ht="19.899999999999999" customHeight="1">
      <c r="C1054" s="144"/>
      <c r="E1054" s="144"/>
      <c r="R1054" s="144"/>
    </row>
    <row r="1055" spans="3:18" ht="19.899999999999999" customHeight="1">
      <c r="C1055" s="144"/>
      <c r="E1055" s="144"/>
      <c r="R1055" s="144"/>
    </row>
    <row r="1056" spans="3:18" ht="19.899999999999999" customHeight="1">
      <c r="C1056" s="144"/>
      <c r="E1056" s="144"/>
      <c r="R1056" s="144"/>
    </row>
    <row r="1057" spans="3:18" ht="19.899999999999999" customHeight="1">
      <c r="C1057" s="144"/>
      <c r="E1057" s="144"/>
      <c r="R1057" s="144"/>
    </row>
    <row r="1058" spans="3:18" ht="19.899999999999999" customHeight="1">
      <c r="C1058" s="144"/>
      <c r="E1058" s="144"/>
      <c r="R1058" s="144"/>
    </row>
    <row r="1059" spans="3:18" ht="19.899999999999999" customHeight="1">
      <c r="C1059" s="144"/>
      <c r="E1059" s="144"/>
      <c r="R1059" s="144"/>
    </row>
    <row r="1060" spans="3:18" ht="19.899999999999999" customHeight="1">
      <c r="C1060" s="144"/>
      <c r="E1060" s="144"/>
      <c r="R1060" s="144"/>
    </row>
    <row r="1061" spans="3:18" ht="19.899999999999999" customHeight="1">
      <c r="C1061" s="144"/>
      <c r="E1061" s="144"/>
      <c r="R1061" s="144"/>
    </row>
    <row r="1062" spans="3:18" ht="19.899999999999999" customHeight="1">
      <c r="C1062" s="144"/>
      <c r="E1062" s="144"/>
      <c r="R1062" s="144"/>
    </row>
    <row r="1063" spans="3:18" ht="19.899999999999999" customHeight="1">
      <c r="C1063" s="144"/>
      <c r="E1063" s="144"/>
      <c r="R1063" s="144"/>
    </row>
    <row r="1064" spans="3:18" ht="19.899999999999999" customHeight="1">
      <c r="C1064" s="144"/>
      <c r="E1064" s="144"/>
      <c r="R1064" s="144"/>
    </row>
    <row r="1065" spans="3:18" ht="19.899999999999999" customHeight="1">
      <c r="C1065" s="144"/>
      <c r="E1065" s="144"/>
      <c r="R1065" s="144"/>
    </row>
    <row r="1066" spans="3:18" ht="19.899999999999999" customHeight="1">
      <c r="C1066" s="144"/>
      <c r="E1066" s="144"/>
      <c r="R1066" s="144"/>
    </row>
    <row r="1067" spans="3:18" ht="19.899999999999999" customHeight="1">
      <c r="C1067" s="144"/>
      <c r="E1067" s="144"/>
      <c r="R1067" s="144"/>
    </row>
    <row r="1068" spans="3:18" ht="19.899999999999999" customHeight="1">
      <c r="C1068" s="144"/>
      <c r="E1068" s="144"/>
      <c r="R1068" s="144"/>
    </row>
    <row r="1069" spans="3:18" ht="19.899999999999999" customHeight="1">
      <c r="C1069" s="144"/>
      <c r="E1069" s="144"/>
      <c r="R1069" s="144"/>
    </row>
    <row r="1070" spans="3:18" ht="19.899999999999999" customHeight="1">
      <c r="C1070" s="144"/>
      <c r="E1070" s="144"/>
      <c r="R1070" s="144"/>
    </row>
    <row r="1071" spans="3:18" ht="19.899999999999999" customHeight="1">
      <c r="C1071" s="144"/>
      <c r="E1071" s="144"/>
      <c r="R1071" s="144"/>
    </row>
    <row r="1072" spans="3:18" ht="19.899999999999999" customHeight="1">
      <c r="C1072" s="144"/>
      <c r="E1072" s="144"/>
      <c r="R1072" s="144"/>
    </row>
    <row r="1073" spans="3:18" ht="19.899999999999999" customHeight="1">
      <c r="C1073" s="144"/>
      <c r="E1073" s="144"/>
      <c r="R1073" s="144"/>
    </row>
    <row r="1074" spans="3:18" ht="19.899999999999999" customHeight="1">
      <c r="C1074" s="144"/>
      <c r="E1074" s="144"/>
      <c r="R1074" s="144"/>
    </row>
    <row r="1075" spans="3:18" ht="19.899999999999999" customHeight="1">
      <c r="C1075" s="144"/>
      <c r="E1075" s="144"/>
      <c r="R1075" s="144"/>
    </row>
    <row r="1076" spans="3:18" ht="19.899999999999999" customHeight="1">
      <c r="C1076" s="144"/>
      <c r="E1076" s="144"/>
      <c r="R1076" s="144"/>
    </row>
    <row r="1077" spans="3:18" ht="19.899999999999999" customHeight="1">
      <c r="C1077" s="144"/>
      <c r="E1077" s="144"/>
      <c r="R1077" s="144"/>
    </row>
    <row r="1078" spans="3:18" ht="19.899999999999999" customHeight="1">
      <c r="C1078" s="144"/>
      <c r="E1078" s="144"/>
      <c r="R1078" s="144"/>
    </row>
    <row r="1079" spans="3:18" ht="19.899999999999999" customHeight="1">
      <c r="C1079" s="144"/>
      <c r="E1079" s="144"/>
      <c r="R1079" s="144"/>
    </row>
    <row r="1080" spans="3:18" ht="19.899999999999999" customHeight="1">
      <c r="C1080" s="144"/>
      <c r="E1080" s="144"/>
      <c r="R1080" s="144"/>
    </row>
    <row r="1081" spans="3:18" ht="19.899999999999999" customHeight="1">
      <c r="C1081" s="144"/>
      <c r="E1081" s="144"/>
      <c r="R1081" s="144"/>
    </row>
    <row r="1082" spans="3:18" ht="19.899999999999999" customHeight="1">
      <c r="C1082" s="144"/>
      <c r="E1082" s="144"/>
      <c r="R1082" s="144"/>
    </row>
    <row r="1083" spans="3:18" ht="19.899999999999999" customHeight="1">
      <c r="C1083" s="144"/>
      <c r="E1083" s="144"/>
      <c r="R1083" s="144"/>
    </row>
    <row r="1084" spans="3:18" ht="19.899999999999999" customHeight="1">
      <c r="C1084" s="144"/>
      <c r="E1084" s="144"/>
      <c r="R1084" s="144"/>
    </row>
    <row r="1085" spans="3:18" ht="19.899999999999999" customHeight="1">
      <c r="C1085" s="144"/>
      <c r="E1085" s="144"/>
      <c r="R1085" s="144"/>
    </row>
    <row r="1086" spans="3:18" ht="19.899999999999999" customHeight="1">
      <c r="C1086" s="144"/>
      <c r="E1086" s="144"/>
      <c r="R1086" s="144"/>
    </row>
    <row r="1087" spans="3:18" ht="19.899999999999999" customHeight="1">
      <c r="C1087" s="144"/>
      <c r="E1087" s="144"/>
      <c r="R1087" s="144"/>
    </row>
    <row r="1088" spans="3:18" ht="19.899999999999999" customHeight="1">
      <c r="C1088" s="144"/>
      <c r="E1088" s="144"/>
      <c r="R1088" s="144"/>
    </row>
    <row r="1089" spans="3:18" ht="19.899999999999999" customHeight="1">
      <c r="C1089" s="144"/>
      <c r="E1089" s="144"/>
      <c r="R1089" s="144"/>
    </row>
    <row r="1090" spans="3:18" ht="19.899999999999999" customHeight="1">
      <c r="C1090" s="144"/>
      <c r="E1090" s="144"/>
      <c r="R1090" s="144"/>
    </row>
    <row r="1091" spans="3:18" ht="19.899999999999999" customHeight="1">
      <c r="C1091" s="144"/>
      <c r="E1091" s="144"/>
      <c r="R1091" s="144"/>
    </row>
    <row r="1092" spans="3:18" ht="19.899999999999999" customHeight="1">
      <c r="C1092" s="144"/>
      <c r="E1092" s="144"/>
      <c r="R1092" s="144"/>
    </row>
    <row r="1093" spans="3:18" ht="19.899999999999999" customHeight="1">
      <c r="C1093" s="144"/>
      <c r="E1093" s="144"/>
      <c r="R1093" s="144"/>
    </row>
    <row r="1094" spans="3:18" ht="19.899999999999999" customHeight="1">
      <c r="C1094" s="144"/>
      <c r="E1094" s="144"/>
      <c r="R1094" s="144"/>
    </row>
    <row r="1095" spans="3:18" ht="19.899999999999999" customHeight="1">
      <c r="C1095" s="144"/>
      <c r="E1095" s="144"/>
      <c r="R1095" s="144"/>
    </row>
    <row r="1096" spans="3:18" ht="19.899999999999999" customHeight="1">
      <c r="C1096" s="144"/>
      <c r="E1096" s="144"/>
      <c r="R1096" s="144"/>
    </row>
    <row r="1097" spans="3:18" ht="19.899999999999999" customHeight="1">
      <c r="C1097" s="144"/>
      <c r="E1097" s="144"/>
      <c r="R1097" s="144"/>
    </row>
    <row r="1098" spans="3:18" ht="19.899999999999999" customHeight="1">
      <c r="C1098" s="144"/>
      <c r="E1098" s="144"/>
      <c r="R1098" s="144"/>
    </row>
    <row r="1099" spans="3:18" ht="19.899999999999999" customHeight="1">
      <c r="C1099" s="144"/>
      <c r="E1099" s="144"/>
      <c r="R1099" s="144"/>
    </row>
    <row r="1100" spans="3:18" ht="19.899999999999999" customHeight="1">
      <c r="C1100" s="144"/>
      <c r="E1100" s="144"/>
      <c r="R1100" s="144"/>
    </row>
    <row r="1101" spans="3:18" ht="19.899999999999999" customHeight="1">
      <c r="C1101" s="144"/>
      <c r="E1101" s="144"/>
      <c r="R1101" s="144"/>
    </row>
    <row r="1102" spans="3:18" ht="19.899999999999999" customHeight="1">
      <c r="C1102" s="144"/>
      <c r="E1102" s="144"/>
      <c r="R1102" s="144"/>
    </row>
    <row r="1103" spans="3:18" ht="19.899999999999999" customHeight="1">
      <c r="C1103" s="144"/>
      <c r="E1103" s="144"/>
      <c r="R1103" s="144"/>
    </row>
    <row r="1104" spans="3:18" ht="19.899999999999999" customHeight="1">
      <c r="C1104" s="144"/>
      <c r="E1104" s="144"/>
      <c r="R1104" s="144"/>
    </row>
    <row r="1105" spans="3:18" ht="19.899999999999999" customHeight="1">
      <c r="C1105" s="144"/>
      <c r="E1105" s="144"/>
      <c r="R1105" s="144"/>
    </row>
    <row r="1106" spans="3:18" ht="19.899999999999999" customHeight="1">
      <c r="C1106" s="144"/>
      <c r="E1106" s="144"/>
      <c r="R1106" s="144"/>
    </row>
    <row r="1107" spans="3:18" ht="19.899999999999999" customHeight="1">
      <c r="C1107" s="144"/>
      <c r="E1107" s="144"/>
      <c r="R1107" s="144"/>
    </row>
    <row r="1108" spans="3:18" ht="19.899999999999999" customHeight="1">
      <c r="C1108" s="144"/>
      <c r="E1108" s="144"/>
      <c r="R1108" s="144"/>
    </row>
    <row r="1109" spans="3:18" ht="19.899999999999999" customHeight="1">
      <c r="C1109" s="144"/>
      <c r="E1109" s="144"/>
      <c r="R1109" s="144"/>
    </row>
    <row r="1110" spans="3:18" ht="19.899999999999999" customHeight="1">
      <c r="C1110" s="144"/>
      <c r="E1110" s="144"/>
      <c r="R1110" s="144"/>
    </row>
    <row r="1111" spans="3:18" ht="19.899999999999999" customHeight="1">
      <c r="C1111" s="144"/>
      <c r="E1111" s="144"/>
      <c r="R1111" s="144"/>
    </row>
    <row r="1112" spans="3:18" ht="19.899999999999999" customHeight="1">
      <c r="C1112" s="144"/>
      <c r="E1112" s="144"/>
      <c r="R1112" s="144"/>
    </row>
    <row r="1113" spans="3:18" ht="19.899999999999999" customHeight="1">
      <c r="C1113" s="144"/>
      <c r="E1113" s="144"/>
      <c r="R1113" s="144"/>
    </row>
    <row r="1114" spans="3:18" ht="19.899999999999999" customHeight="1">
      <c r="C1114" s="144"/>
      <c r="E1114" s="144"/>
      <c r="R1114" s="144"/>
    </row>
    <row r="1115" spans="3:18" ht="19.899999999999999" customHeight="1">
      <c r="C1115" s="144"/>
      <c r="E1115" s="144"/>
      <c r="R1115" s="144"/>
    </row>
    <row r="1116" spans="3:18" ht="19.899999999999999" customHeight="1">
      <c r="C1116" s="144"/>
      <c r="E1116" s="144"/>
      <c r="R1116" s="144"/>
    </row>
    <row r="1117" spans="3:18" ht="19.899999999999999" customHeight="1">
      <c r="C1117" s="144"/>
      <c r="E1117" s="144"/>
      <c r="R1117" s="144"/>
    </row>
    <row r="1118" spans="3:18" ht="19.899999999999999" customHeight="1">
      <c r="C1118" s="144"/>
      <c r="E1118" s="144"/>
      <c r="R1118" s="144"/>
    </row>
    <row r="1119" spans="3:18" ht="19.899999999999999" customHeight="1">
      <c r="C1119" s="144"/>
      <c r="E1119" s="144"/>
      <c r="R1119" s="144"/>
    </row>
    <row r="1120" spans="3:18" ht="19.899999999999999" customHeight="1">
      <c r="C1120" s="144"/>
      <c r="E1120" s="144"/>
      <c r="R1120" s="144"/>
    </row>
    <row r="1121" spans="3:18" ht="19.899999999999999" customHeight="1">
      <c r="C1121" s="144"/>
      <c r="E1121" s="144"/>
      <c r="R1121" s="144"/>
    </row>
    <row r="1122" spans="3:18" ht="19.899999999999999" customHeight="1">
      <c r="C1122" s="144"/>
      <c r="E1122" s="144"/>
      <c r="R1122" s="144"/>
    </row>
    <row r="1123" spans="3:18" ht="19.899999999999999" customHeight="1">
      <c r="C1123" s="144"/>
      <c r="E1123" s="144"/>
      <c r="R1123" s="144"/>
    </row>
    <row r="1124" spans="3:18" ht="19.899999999999999" customHeight="1">
      <c r="C1124" s="144"/>
      <c r="E1124" s="144"/>
      <c r="R1124" s="144"/>
    </row>
    <row r="1125" spans="3:18" ht="19.899999999999999" customHeight="1">
      <c r="C1125" s="144"/>
      <c r="E1125" s="144"/>
      <c r="R1125" s="144"/>
    </row>
    <row r="1126" spans="3:18" ht="19.899999999999999" customHeight="1">
      <c r="C1126" s="144"/>
      <c r="E1126" s="144"/>
      <c r="R1126" s="144"/>
    </row>
    <row r="1127" spans="3:18" ht="19.899999999999999" customHeight="1">
      <c r="C1127" s="144"/>
      <c r="E1127" s="144"/>
      <c r="R1127" s="144"/>
    </row>
    <row r="1128" spans="3:18" ht="19.899999999999999" customHeight="1">
      <c r="C1128" s="144"/>
      <c r="E1128" s="144"/>
      <c r="R1128" s="144"/>
    </row>
    <row r="1129" spans="3:18" ht="19.899999999999999" customHeight="1">
      <c r="C1129" s="144"/>
      <c r="E1129" s="144"/>
      <c r="R1129" s="144"/>
    </row>
    <row r="1130" spans="3:18" ht="19.899999999999999" customHeight="1">
      <c r="C1130" s="144"/>
      <c r="E1130" s="144"/>
      <c r="R1130" s="144"/>
    </row>
    <row r="1131" spans="3:18" ht="19.899999999999999" customHeight="1">
      <c r="C1131" s="144"/>
      <c r="E1131" s="144"/>
      <c r="R1131" s="144"/>
    </row>
    <row r="1132" spans="3:18" ht="19.899999999999999" customHeight="1">
      <c r="C1132" s="144"/>
      <c r="E1132" s="144"/>
      <c r="R1132" s="144"/>
    </row>
    <row r="1133" spans="3:18" ht="19.899999999999999" customHeight="1">
      <c r="C1133" s="144"/>
      <c r="E1133" s="144"/>
      <c r="R1133" s="144"/>
    </row>
    <row r="1134" spans="3:18" ht="19.899999999999999" customHeight="1">
      <c r="C1134" s="144"/>
      <c r="E1134" s="144"/>
      <c r="R1134" s="144"/>
    </row>
    <row r="1135" spans="3:18" ht="19.899999999999999" customHeight="1">
      <c r="C1135" s="144"/>
      <c r="E1135" s="144"/>
      <c r="R1135" s="144"/>
    </row>
    <row r="1136" spans="3:18" ht="19.899999999999999" customHeight="1">
      <c r="C1136" s="144"/>
      <c r="E1136" s="144"/>
      <c r="R1136" s="144"/>
    </row>
    <row r="1137" spans="3:18" ht="19.899999999999999" customHeight="1">
      <c r="C1137" s="144"/>
      <c r="E1137" s="144"/>
      <c r="R1137" s="144"/>
    </row>
    <row r="1138" spans="3:18">
      <c r="C1138" s="144"/>
      <c r="E1138" s="144"/>
      <c r="R1138" s="144"/>
    </row>
    <row r="1139" spans="3:18">
      <c r="C1139" s="144"/>
      <c r="E1139" s="144"/>
      <c r="R1139" s="144"/>
    </row>
    <row r="1140" spans="3:18">
      <c r="C1140" s="144"/>
      <c r="E1140" s="144"/>
      <c r="R1140" s="144"/>
    </row>
  </sheetData>
  <mergeCells count="41">
    <mergeCell ref="A374:A380"/>
    <mergeCell ref="A364:A373"/>
    <mergeCell ref="A286:A298"/>
    <mergeCell ref="A313:A322"/>
    <mergeCell ref="A284:A285"/>
    <mergeCell ref="A299:A312"/>
    <mergeCell ref="B306:B308"/>
    <mergeCell ref="A330:A363"/>
    <mergeCell ref="A323:A329"/>
    <mergeCell ref="B262:B264"/>
    <mergeCell ref="A265:A270"/>
    <mergeCell ref="A272:A283"/>
    <mergeCell ref="B288:B292"/>
    <mergeCell ref="B295:B298"/>
    <mergeCell ref="A215:A218"/>
    <mergeCell ref="A219:A235"/>
    <mergeCell ref="A236:A254"/>
    <mergeCell ref="A256:A258"/>
    <mergeCell ref="A259:A264"/>
    <mergeCell ref="B203:B204"/>
    <mergeCell ref="A205:A211"/>
    <mergeCell ref="A212:A214"/>
    <mergeCell ref="B64:B67"/>
    <mergeCell ref="A64:A67"/>
    <mergeCell ref="A68:A97"/>
    <mergeCell ref="B3:B32"/>
    <mergeCell ref="A3:A63"/>
    <mergeCell ref="B33:B62"/>
    <mergeCell ref="B376:B377"/>
    <mergeCell ref="A128:A136"/>
    <mergeCell ref="A137:A148"/>
    <mergeCell ref="A98:A101"/>
    <mergeCell ref="A102:A116"/>
    <mergeCell ref="A117:A119"/>
    <mergeCell ref="A120:A125"/>
    <mergeCell ref="A126:A127"/>
    <mergeCell ref="B137:B139"/>
    <mergeCell ref="A149:B151"/>
    <mergeCell ref="A152:A154"/>
    <mergeCell ref="A155:A202"/>
    <mergeCell ref="A203:A204"/>
  </mergeCells>
  <printOptions horizontalCentered="1" gridLines="1"/>
  <pageMargins left="0.39370078740157483" right="0.39370078740157483" top="0.39370078740157483" bottom="0.39370078740157483" header="0.39370078740157483" footer="0"/>
  <pageSetup paperSize="9" scale="24" fitToHeight="0" orientation="portrait" r:id="rId1"/>
  <headerFooter alignWithMargins="0">
    <oddHeader>&amp;C&amp;"Arial,Negrita"&amp;12TRAYECTO: L11&amp;R&amp;D</oddHeader>
    <oddFooter>&amp;L&amp;F&amp;C&amp;P DE &amp;N</oddFooter>
  </headerFooter>
  <extLst>
    <ext xmlns:x14="http://schemas.microsoft.com/office/spreadsheetml/2009/9/main" uri="{78C0D931-6437-407d-A8EE-F0AAD7539E65}">
      <x14:conditionalFormattings>
        <x14:conditionalFormatting xmlns:xm="http://schemas.microsoft.com/office/excel/2006/main">
          <x14:cfRule type="cellIs" priority="55" operator="notEqual" id="{B82CF6B4-3F2B-4472-B957-640A839B3B27}">
            <xm:f>'HR Track 1'!$M38=$C$149</xm:f>
            <x14:dxf/>
          </x14:cfRule>
          <xm:sqref>B33</xm:sqref>
        </x14:conditionalFormatting>
        <x14:conditionalFormatting xmlns:xm="http://schemas.microsoft.com/office/excel/2006/main">
          <x14:cfRule type="cellIs" priority="7581" operator="notEqual" id="{B82CF6B4-3F2B-4472-B957-640A839B3B27}">
            <xm:f>'HR Track 1'!$M4=$C$149</xm:f>
            <x14:dxf/>
          </x14:cfRule>
          <xm:sqref>A3:B3</xm:sqref>
        </x14:conditionalFormatting>
      </x14:conditionalFormatting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1">
    <tabColor theme="9" tint="0.39997558519241921"/>
  </sheetPr>
  <dimension ref="B1:T87"/>
  <sheetViews>
    <sheetView zoomScaleNormal="100" workbookViewId="0">
      <pane xSplit="4" ySplit="2" topLeftCell="E3" activePane="bottomRight" state="frozen"/>
      <selection pane="bottomRight" activeCell="L20" sqref="L20"/>
      <selection pane="bottomLeft" sqref="A1:A1048576"/>
      <selection pane="topRight" sqref="A1:A1048576"/>
    </sheetView>
  </sheetViews>
  <sheetFormatPr defaultColWidth="11.42578125" defaultRowHeight="13.15"/>
  <cols>
    <col min="1" max="1" width="11.42578125" style="152"/>
    <col min="2" max="2" width="11.42578125" style="348" customWidth="1"/>
    <col min="3" max="3" width="4.5703125" style="348" customWidth="1"/>
    <col min="4" max="4" width="10.42578125" style="348" customWidth="1"/>
    <col min="5" max="5" width="11.42578125" style="343" customWidth="1"/>
    <col min="6" max="11" width="20.7109375" style="343" customWidth="1"/>
    <col min="12" max="15" width="20.7109375" style="127" customWidth="1"/>
    <col min="16" max="16" width="10.140625" style="348" customWidth="1"/>
    <col min="17" max="16384" width="11.42578125" style="152"/>
  </cols>
  <sheetData>
    <row r="1" spans="2:20">
      <c r="B1" s="331"/>
      <c r="C1" s="331"/>
      <c r="D1" s="331"/>
      <c r="E1" s="332"/>
      <c r="F1" s="332"/>
      <c r="G1" s="332"/>
      <c r="H1" s="332"/>
      <c r="I1" s="332"/>
      <c r="J1" s="332"/>
      <c r="K1" s="332"/>
      <c r="L1" s="333"/>
      <c r="M1" s="333"/>
      <c r="N1" s="333"/>
      <c r="O1" s="333"/>
      <c r="P1" s="331"/>
      <c r="Q1" s="334"/>
      <c r="R1" s="331"/>
      <c r="S1" s="331"/>
      <c r="T1" s="331"/>
    </row>
    <row r="2" spans="2:20" ht="13.9">
      <c r="B2" s="1168" t="s">
        <v>3449</v>
      </c>
      <c r="C2" s="1169"/>
      <c r="D2" s="1170"/>
      <c r="E2" s="335" t="s">
        <v>2063</v>
      </c>
      <c r="F2" s="57" t="str">
        <f>'HR Track 1'!A1</f>
        <v>TRACK 1</v>
      </c>
      <c r="G2" s="58" t="str">
        <f>'HR Track 2'!A1</f>
        <v>TRACK 2</v>
      </c>
      <c r="H2" s="59" t="str">
        <f>'HR Track 3 ZIC'!A1</f>
        <v>TRACK 3 ZIC</v>
      </c>
      <c r="I2" s="60" t="str">
        <f>'HR Track 4 ZIC'!A1</f>
        <v>TRACK 4 ZIC</v>
      </c>
      <c r="J2" s="60" t="str">
        <f>'HR Track 3 BIN'!A1</f>
        <v>TRACK 3 BIN</v>
      </c>
      <c r="K2" s="61" t="str">
        <f>'HR Track 4 BIN'!A1</f>
        <v>TRACK 4 BIN</v>
      </c>
      <c r="L2" s="62" t="str">
        <f>'HR Track 5 BIN'!A1</f>
        <v>TRACK 5 BIN</v>
      </c>
      <c r="M2" s="608" t="str">
        <f>'HR TRACK 3 HAD'!A1</f>
        <v>TRACK 3 HAD</v>
      </c>
      <c r="N2" s="608" t="str">
        <f>'HR TRACK 3 KFA'!A1</f>
        <v>TRACK 3 KFA</v>
      </c>
      <c r="O2" s="608" t="str">
        <f>'HR TRACK 4 KFA'!A1</f>
        <v>TRACK 04 KFA</v>
      </c>
      <c r="P2" s="331"/>
      <c r="Q2" s="334"/>
      <c r="R2" s="331"/>
      <c r="S2" s="331"/>
      <c r="T2" s="331"/>
    </row>
    <row r="3" spans="2:20">
      <c r="B3" s="1172" t="s">
        <v>3450</v>
      </c>
      <c r="C3" s="1172"/>
      <c r="D3" s="336" t="s">
        <v>3037</v>
      </c>
      <c r="E3" s="353">
        <f>SUM(F3:L3)</f>
        <v>516</v>
      </c>
      <c r="F3" s="353">
        <f>COUNTIF(Area_v1,$D3)</f>
        <v>250</v>
      </c>
      <c r="G3" s="353">
        <f>COUNTIF(Area_v2,$D3)</f>
        <v>245</v>
      </c>
      <c r="H3" s="353">
        <f>COUNTIF(Area_v3ZIC,$D3)</f>
        <v>3</v>
      </c>
      <c r="I3" s="353">
        <f>COUNTIF(Area_v4ZIC,$D3)</f>
        <v>1</v>
      </c>
      <c r="J3" s="353">
        <f>COUNTIF(Area_v3BIN,$D3)</f>
        <v>8</v>
      </c>
      <c r="K3" s="353">
        <f>COUNTIF(Area_v4BIN,$D3)</f>
        <v>7</v>
      </c>
      <c r="L3" s="353">
        <f>COUNTIF(Area_v5BIN,$D3)</f>
        <v>2</v>
      </c>
      <c r="M3" s="353">
        <f>COUNTIF(Area_v3HAD,$D3)</f>
        <v>15</v>
      </c>
      <c r="N3" s="353">
        <f>COUNTIF(Area_v3KFA,$D3)</f>
        <v>2</v>
      </c>
      <c r="O3" s="353">
        <f>COUNTIF(Area_v4KFA,$D3)</f>
        <v>9</v>
      </c>
      <c r="P3" s="331"/>
      <c r="Q3" s="334"/>
      <c r="R3" s="331"/>
      <c r="S3" s="331"/>
      <c r="T3" s="331"/>
    </row>
    <row r="4" spans="2:20">
      <c r="B4" s="1172" t="s">
        <v>3451</v>
      </c>
      <c r="C4" s="1172"/>
      <c r="D4" s="336" t="s">
        <v>3041</v>
      </c>
      <c r="E4" s="353">
        <f>SUM(F4:L4)</f>
        <v>490</v>
      </c>
      <c r="F4" s="353">
        <f>COUNTIF(Area_v1,$D4)</f>
        <v>227</v>
      </c>
      <c r="G4" s="353">
        <f>COUNTIF(Area_v2,$D4)</f>
        <v>233</v>
      </c>
      <c r="H4" s="353">
        <f>COUNTIF(Area_v3ZIC,$D4)</f>
        <v>14</v>
      </c>
      <c r="I4" s="353">
        <f>COUNTIF(Area_v4ZIC,$D4)</f>
        <v>8</v>
      </c>
      <c r="J4" s="353">
        <f>COUNTIF(Area_v3BIN,$D4)</f>
        <v>6</v>
      </c>
      <c r="K4" s="353">
        <f>COUNTIF(Area_v4BIN,$D4)</f>
        <v>0</v>
      </c>
      <c r="L4" s="353">
        <f>COUNTIF(Area_v5BIN,$D4)</f>
        <v>2</v>
      </c>
      <c r="M4" s="353">
        <f>COUNTIF(Area_v3HAD,$D4)</f>
        <v>8</v>
      </c>
      <c r="N4" s="353">
        <f>COUNTIF(Area_v3KFA,$D4)</f>
        <v>15</v>
      </c>
      <c r="O4" s="353">
        <f>COUNTIF(Area_v4KFA,$D4)</f>
        <v>12</v>
      </c>
      <c r="P4" s="331"/>
      <c r="Q4" s="334"/>
      <c r="R4" s="331"/>
      <c r="S4" s="331"/>
      <c r="T4" s="331"/>
    </row>
    <row r="5" spans="2:20">
      <c r="B5" s="1172" t="s">
        <v>3452</v>
      </c>
      <c r="C5" s="1172"/>
      <c r="D5" s="336" t="s">
        <v>3045</v>
      </c>
      <c r="E5" s="353">
        <f>SUM(F5:L5)</f>
        <v>219</v>
      </c>
      <c r="F5" s="353">
        <f>COUNTIF(Area_v1,$D5)</f>
        <v>92</v>
      </c>
      <c r="G5" s="353">
        <f>COUNTIF(Area_v2,$D5)</f>
        <v>89</v>
      </c>
      <c r="H5" s="353">
        <f>COUNTIF(Area_v3ZIC,$D5)</f>
        <v>13</v>
      </c>
      <c r="I5" s="353">
        <f>COUNTIF(Area_v4ZIC,$D5)</f>
        <v>8</v>
      </c>
      <c r="J5" s="353">
        <f>COUNTIF(Area_v3BIN,$D5)</f>
        <v>5</v>
      </c>
      <c r="K5" s="353">
        <f>COUNTIF(Area_v4BIN,$D5)</f>
        <v>4</v>
      </c>
      <c r="L5" s="353">
        <f>COUNTIF(Area_v5BIN,$D5)</f>
        <v>8</v>
      </c>
      <c r="M5" s="353">
        <f>COUNTIF(Area_v3HAD,$D5)</f>
        <v>4</v>
      </c>
      <c r="N5" s="353">
        <f>COUNTIF(Area_v3KFA,$D5)</f>
        <v>7</v>
      </c>
      <c r="O5" s="353">
        <f>COUNTIF(Area_v4KFA,$D5)</f>
        <v>5</v>
      </c>
      <c r="P5" s="331"/>
      <c r="Q5" s="334"/>
      <c r="R5" s="331"/>
      <c r="S5" s="331"/>
      <c r="T5" s="331"/>
    </row>
    <row r="6" spans="2:20">
      <c r="B6" s="1172" t="s">
        <v>3453</v>
      </c>
      <c r="C6" s="1172"/>
      <c r="D6" s="336" t="s">
        <v>3049</v>
      </c>
      <c r="E6" s="353">
        <f>SUM(F6:L6)</f>
        <v>0</v>
      </c>
      <c r="F6" s="353">
        <f>COUNTIF(Area_v1,$D6)</f>
        <v>0</v>
      </c>
      <c r="G6" s="353">
        <f>COUNTIF(Area_v2,$D6)</f>
        <v>0</v>
      </c>
      <c r="H6" s="353">
        <f>COUNTIF(Area_v3ZIC,$D6)</f>
        <v>0</v>
      </c>
      <c r="I6" s="353">
        <f>COUNTIF(Area_v4ZIC,$D6)</f>
        <v>0</v>
      </c>
      <c r="J6" s="353">
        <f>COUNTIF(Area_v3BIN,$D6)</f>
        <v>0</v>
      </c>
      <c r="K6" s="353">
        <f>COUNTIF(Area_v4BIN,$D6)</f>
        <v>0</v>
      </c>
      <c r="L6" s="353">
        <f>COUNTIF(Area_v5BIN,$D6)</f>
        <v>0</v>
      </c>
      <c r="M6" s="353">
        <f>COUNTIF(Area_v3HAD,$D6)</f>
        <v>0</v>
      </c>
      <c r="N6" s="353">
        <f>COUNTIF(Area_v3KFA,$D6)</f>
        <v>0</v>
      </c>
      <c r="O6" s="353">
        <f>COUNTIF(Area_v4KFA,$D6)</f>
        <v>0</v>
      </c>
      <c r="P6" s="331"/>
      <c r="Q6" s="334"/>
      <c r="R6" s="331"/>
      <c r="S6" s="331"/>
      <c r="T6" s="331"/>
    </row>
    <row r="7" spans="2:20">
      <c r="B7" s="331"/>
      <c r="C7" s="331"/>
      <c r="D7" s="331"/>
      <c r="E7" s="332"/>
      <c r="F7" s="332"/>
      <c r="G7" s="332"/>
      <c r="H7" s="332"/>
      <c r="I7" s="332"/>
      <c r="J7" s="332"/>
      <c r="K7" s="332"/>
      <c r="L7" s="333"/>
      <c r="M7" s="333"/>
      <c r="N7" s="333"/>
      <c r="O7" s="333"/>
      <c r="P7" s="331"/>
      <c r="Q7" s="334"/>
      <c r="R7" s="331"/>
      <c r="S7" s="331"/>
      <c r="T7" s="331"/>
    </row>
    <row r="8" spans="2:20">
      <c r="B8" s="337" t="s">
        <v>3454</v>
      </c>
      <c r="C8" s="337" t="s">
        <v>3455</v>
      </c>
      <c r="D8" s="338">
        <f>SUM(F8:AO8)</f>
        <v>48</v>
      </c>
      <c r="E8" s="353">
        <f>SUM(F8:AO8)</f>
        <v>48</v>
      </c>
      <c r="F8" s="353">
        <f>COUNTIF(Area_v1,"*CS*")</f>
        <v>12</v>
      </c>
      <c r="G8" s="353">
        <f>COUNTIF(Area_v2,"*CS*")</f>
        <v>19</v>
      </c>
      <c r="H8" s="353">
        <f>COUNTIF(Area_v3ZIC,"*CS*")</f>
        <v>4</v>
      </c>
      <c r="I8" s="353">
        <f>COUNTIF(Area_v4ZIC,"*CS*")</f>
        <v>1</v>
      </c>
      <c r="J8" s="353">
        <f>COUNTIF(Area_v3BIN,"*CS*")</f>
        <v>4</v>
      </c>
      <c r="K8" s="353">
        <f>COUNTIF(Area_v4BIN,"*CS*")</f>
        <v>2</v>
      </c>
      <c r="L8" s="353">
        <f>COUNTIF(Area_v5BIN,"*CS*")</f>
        <v>0</v>
      </c>
      <c r="M8" s="353">
        <f>COUNTIF(Area_v3HAD,"*CS*")</f>
        <v>3</v>
      </c>
      <c r="N8" s="353">
        <f>COUNTIF(Area_v3KFA,"*CS*")</f>
        <v>2</v>
      </c>
      <c r="O8" s="353">
        <f>COUNTIF(Area_v4KFA,"*CS*")</f>
        <v>1</v>
      </c>
      <c r="P8" s="331" t="s">
        <v>3456</v>
      </c>
      <c r="Q8" s="334"/>
      <c r="R8" s="331"/>
      <c r="S8" s="331"/>
      <c r="T8" s="331"/>
    </row>
    <row r="9" spans="2:20" ht="12.75" customHeight="1">
      <c r="B9" s="337" t="s">
        <v>1797</v>
      </c>
      <c r="C9" s="337" t="s">
        <v>3457</v>
      </c>
      <c r="D9" s="338">
        <f>SUM(F9:AO9)</f>
        <v>1</v>
      </c>
      <c r="E9" s="353">
        <f>SUM(F9:AO9)</f>
        <v>1</v>
      </c>
      <c r="F9" s="353">
        <f>COUNTIF(Area_v1,"*TgS*")</f>
        <v>1</v>
      </c>
      <c r="G9" s="353">
        <f>COUNTIF(Area_v2,"*TgS*")</f>
        <v>0</v>
      </c>
      <c r="H9" s="353">
        <f>COUNTIF(Area_v3ZIC,"*TgS*")</f>
        <v>0</v>
      </c>
      <c r="I9" s="353">
        <f>COUNTIF(Area_v4ZIC,"*TgS*")</f>
        <v>0</v>
      </c>
      <c r="J9" s="353">
        <f>COUNTIF(Area_v3BIN,"*TgS*")</f>
        <v>0</v>
      </c>
      <c r="K9" s="353">
        <f>COUNTIF(Area_v4BIN,"*TgS*")</f>
        <v>0</v>
      </c>
      <c r="L9" s="353">
        <f>COUNTIF(Area_v5BIN,"*TgS*")</f>
        <v>0</v>
      </c>
      <c r="M9" s="353">
        <f>COUNTIF(Area_v3HAD,"*TgS*")</f>
        <v>0</v>
      </c>
      <c r="N9" s="353">
        <f>COUNTIF(Area_v3KFA,"*TgS*")</f>
        <v>0</v>
      </c>
      <c r="O9" s="353">
        <f>COUNTIF(Area_v4KFA,"*TgS*")</f>
        <v>0</v>
      </c>
      <c r="P9" s="331" t="s">
        <v>3458</v>
      </c>
      <c r="Q9" s="334"/>
      <c r="R9" s="339"/>
      <c r="S9" s="339"/>
      <c r="T9" s="339"/>
    </row>
    <row r="10" spans="2:20" ht="13.5" customHeight="1">
      <c r="B10" s="1171" t="s">
        <v>132</v>
      </c>
      <c r="C10" s="1171"/>
      <c r="D10" s="338">
        <f>SUM(F10:AO10)</f>
        <v>46</v>
      </c>
      <c r="E10" s="353">
        <f>SUM(F10:AO10)</f>
        <v>46</v>
      </c>
      <c r="F10" s="353">
        <f>COUNTIF(Area_v1,$B10)</f>
        <v>24</v>
      </c>
      <c r="G10" s="353">
        <f>COUNTIF(Area_v2,$B10)</f>
        <v>22</v>
      </c>
      <c r="H10" s="353">
        <f>COUNTIF(Area_v3ZIC,$B10)</f>
        <v>0</v>
      </c>
      <c r="I10" s="353">
        <f>COUNTIF(Area_v4ZIC,$B10)</f>
        <v>0</v>
      </c>
      <c r="J10" s="353">
        <f>COUNTIF(Area_v3BIN,$B10)</f>
        <v>0</v>
      </c>
      <c r="K10" s="353">
        <f>COUNTIF(Area_v4BIN,$B10)</f>
        <v>0</v>
      </c>
      <c r="L10" s="353">
        <f>COUNTIF(Area_v5BIN,$B10)</f>
        <v>0</v>
      </c>
      <c r="M10" s="353">
        <f>COUNTIF(Area_v3HAD,$B10)</f>
        <v>0</v>
      </c>
      <c r="N10" s="353">
        <f>COUNTIF(Area_v3KFA,$B10)</f>
        <v>0</v>
      </c>
      <c r="O10" s="353">
        <f>COUNTIF(Area_v4KFA,$B10)</f>
        <v>0</v>
      </c>
      <c r="P10" s="340"/>
      <c r="Q10" s="334"/>
      <c r="R10" s="339"/>
      <c r="S10" s="339"/>
      <c r="T10" s="339"/>
    </row>
    <row r="11" spans="2:20" ht="13.9" thickBot="1">
      <c r="B11" s="331"/>
      <c r="C11" s="331"/>
      <c r="D11" s="331"/>
      <c r="E11" s="332"/>
      <c r="F11" s="332"/>
      <c r="G11" s="332"/>
      <c r="H11" s="332"/>
      <c r="I11" s="332"/>
      <c r="J11" s="332"/>
      <c r="K11" s="332"/>
      <c r="L11" s="333"/>
      <c r="M11" s="333"/>
      <c r="N11" s="333"/>
      <c r="O11" s="333"/>
      <c r="P11" s="341"/>
      <c r="Q11" s="334"/>
      <c r="R11" s="342"/>
      <c r="S11" s="342"/>
      <c r="T11" s="341"/>
    </row>
    <row r="12" spans="2:20">
      <c r="B12" s="1154" t="s">
        <v>3459</v>
      </c>
      <c r="C12" s="1155"/>
      <c r="D12" s="1156"/>
      <c r="E12" s="332"/>
      <c r="L12" s="333"/>
      <c r="M12" s="333"/>
      <c r="N12" s="333"/>
      <c r="O12" s="333"/>
      <c r="P12" s="344"/>
      <c r="Q12" s="334"/>
      <c r="R12" s="331"/>
      <c r="S12" s="331"/>
      <c r="T12" s="344"/>
    </row>
    <row r="13" spans="2:20" ht="13.9" thickBot="1">
      <c r="B13" s="1157"/>
      <c r="C13" s="1158"/>
      <c r="D13" s="1159"/>
      <c r="E13" s="332"/>
      <c r="L13" s="333"/>
      <c r="M13" s="333"/>
      <c r="N13" s="333"/>
      <c r="O13" s="333"/>
      <c r="P13" s="344"/>
      <c r="Q13" s="334"/>
      <c r="R13" s="331"/>
      <c r="S13" s="331"/>
      <c r="T13" s="344"/>
    </row>
    <row r="14" spans="2:20" ht="14.45" thickBot="1">
      <c r="B14" s="1160" t="s">
        <v>3460</v>
      </c>
      <c r="C14" s="1161"/>
      <c r="D14" s="354" t="s">
        <v>3461</v>
      </c>
      <c r="E14" s="332"/>
      <c r="L14" s="333"/>
      <c r="M14" s="333"/>
      <c r="N14" s="333"/>
      <c r="O14" s="333"/>
      <c r="P14" s="344"/>
      <c r="Q14" s="334"/>
      <c r="R14" s="331"/>
      <c r="S14" s="331"/>
      <c r="T14" s="344"/>
    </row>
    <row r="15" spans="2:20">
      <c r="B15" s="1153" t="s">
        <v>3462</v>
      </c>
      <c r="C15" s="1153"/>
      <c r="D15" s="345">
        <f>SUM(F15:AO15)</f>
        <v>0</v>
      </c>
      <c r="E15" s="353">
        <f t="shared" ref="E15:E26" si="0">SUM(F15:AO15)</f>
        <v>0</v>
      </c>
      <c r="F15" s="353">
        <f t="shared" ref="F15:F26" si="1">COUNTIF(Area_v1,$B15)</f>
        <v>0</v>
      </c>
      <c r="G15" s="353">
        <f t="shared" ref="G15:G26" si="2">COUNTIF(Area_v2,$B15)</f>
        <v>0</v>
      </c>
      <c r="H15" s="353">
        <f t="shared" ref="H15:H26" si="3">COUNTIF(Area_v3ZIC,$B15)</f>
        <v>0</v>
      </c>
      <c r="I15" s="353">
        <f t="shared" ref="I15:I26" si="4">COUNTIF(Area_v4ZIC,$B15)</f>
        <v>0</v>
      </c>
      <c r="J15" s="353">
        <f t="shared" ref="J15:J26" si="5">COUNTIF(Area_v3BIN,$B15)</f>
        <v>0</v>
      </c>
      <c r="K15" s="353">
        <f t="shared" ref="K15:K26" si="6">COUNTIF(Area_v4BIN,$B15)</f>
        <v>0</v>
      </c>
      <c r="L15" s="353">
        <f t="shared" ref="L15:L26" si="7">COUNTIF(Area_v5BIN,$B15)</f>
        <v>0</v>
      </c>
      <c r="M15" s="353">
        <f t="shared" ref="M15:M26" si="8">COUNTIF(Area_v3HAD,$B15)</f>
        <v>0</v>
      </c>
      <c r="N15" s="353">
        <f t="shared" ref="N15:N26" si="9">COUNTIF(Area_v3KFA,$B15)</f>
        <v>0</v>
      </c>
      <c r="O15" s="353">
        <f t="shared" ref="O15:O26" si="10">COUNTIF(Area_v4KFA,$B15)</f>
        <v>0</v>
      </c>
      <c r="P15" s="344"/>
      <c r="Q15" s="334"/>
      <c r="R15" s="331"/>
      <c r="S15" s="331"/>
      <c r="T15" s="344"/>
    </row>
    <row r="16" spans="2:20">
      <c r="B16" s="1148" t="s">
        <v>3463</v>
      </c>
      <c r="C16" s="1148"/>
      <c r="D16" s="345">
        <f>SUM(F16:AO16)</f>
        <v>0</v>
      </c>
      <c r="E16" s="353">
        <f t="shared" si="0"/>
        <v>0</v>
      </c>
      <c r="F16" s="353">
        <f t="shared" si="1"/>
        <v>0</v>
      </c>
      <c r="G16" s="353">
        <f t="shared" si="2"/>
        <v>0</v>
      </c>
      <c r="H16" s="353">
        <f t="shared" si="3"/>
        <v>0</v>
      </c>
      <c r="I16" s="353">
        <f t="shared" si="4"/>
        <v>0</v>
      </c>
      <c r="J16" s="353">
        <f t="shared" si="5"/>
        <v>0</v>
      </c>
      <c r="K16" s="353">
        <f t="shared" si="6"/>
        <v>0</v>
      </c>
      <c r="L16" s="353">
        <f t="shared" si="7"/>
        <v>0</v>
      </c>
      <c r="M16" s="353">
        <f t="shared" si="8"/>
        <v>0</v>
      </c>
      <c r="N16" s="353">
        <f t="shared" si="9"/>
        <v>0</v>
      </c>
      <c r="O16" s="353">
        <f t="shared" si="10"/>
        <v>0</v>
      </c>
      <c r="P16" s="344"/>
      <c r="Q16" s="334"/>
      <c r="R16" s="346"/>
      <c r="S16" s="347"/>
      <c r="T16" s="347"/>
    </row>
    <row r="17" spans="2:20">
      <c r="B17" s="1148" t="s">
        <v>3464</v>
      </c>
      <c r="C17" s="1148"/>
      <c r="D17" s="345">
        <f t="shared" ref="D17:D26" si="11">SUM(F17:AO17)</f>
        <v>0</v>
      </c>
      <c r="E17" s="353">
        <f t="shared" si="0"/>
        <v>0</v>
      </c>
      <c r="F17" s="353">
        <f t="shared" si="1"/>
        <v>0</v>
      </c>
      <c r="G17" s="353">
        <f t="shared" si="2"/>
        <v>0</v>
      </c>
      <c r="H17" s="353">
        <f t="shared" si="3"/>
        <v>0</v>
      </c>
      <c r="I17" s="353">
        <f t="shared" si="4"/>
        <v>0</v>
      </c>
      <c r="J17" s="353">
        <f t="shared" si="5"/>
        <v>0</v>
      </c>
      <c r="K17" s="353">
        <f t="shared" si="6"/>
        <v>0</v>
      </c>
      <c r="L17" s="353">
        <f t="shared" si="7"/>
        <v>0</v>
      </c>
      <c r="M17" s="353">
        <f t="shared" si="8"/>
        <v>0</v>
      </c>
      <c r="N17" s="353">
        <f t="shared" si="9"/>
        <v>0</v>
      </c>
      <c r="O17" s="353">
        <f t="shared" si="10"/>
        <v>0</v>
      </c>
      <c r="P17" s="344"/>
      <c r="Q17" s="334"/>
      <c r="R17" s="344"/>
      <c r="S17" s="344"/>
      <c r="T17" s="331"/>
    </row>
    <row r="18" spans="2:20">
      <c r="B18" s="1148" t="s">
        <v>3465</v>
      </c>
      <c r="C18" s="1148"/>
      <c r="D18" s="345">
        <f t="shared" si="11"/>
        <v>0</v>
      </c>
      <c r="E18" s="353">
        <f t="shared" si="0"/>
        <v>0</v>
      </c>
      <c r="F18" s="353">
        <f t="shared" si="1"/>
        <v>0</v>
      </c>
      <c r="G18" s="353">
        <f t="shared" si="2"/>
        <v>0</v>
      </c>
      <c r="H18" s="353">
        <f t="shared" si="3"/>
        <v>0</v>
      </c>
      <c r="I18" s="353">
        <f t="shared" si="4"/>
        <v>0</v>
      </c>
      <c r="J18" s="353">
        <f t="shared" si="5"/>
        <v>0</v>
      </c>
      <c r="K18" s="353">
        <f t="shared" si="6"/>
        <v>0</v>
      </c>
      <c r="L18" s="353">
        <f t="shared" si="7"/>
        <v>0</v>
      </c>
      <c r="M18" s="353">
        <f t="shared" si="8"/>
        <v>0</v>
      </c>
      <c r="N18" s="353">
        <f t="shared" si="9"/>
        <v>0</v>
      </c>
      <c r="O18" s="353">
        <f t="shared" si="10"/>
        <v>0</v>
      </c>
      <c r="P18" s="344"/>
      <c r="Q18" s="334"/>
      <c r="R18" s="344"/>
      <c r="S18" s="344"/>
      <c r="T18" s="331"/>
    </row>
    <row r="19" spans="2:20">
      <c r="B19" s="1148" t="s">
        <v>3466</v>
      </c>
      <c r="C19" s="1148"/>
      <c r="D19" s="345">
        <f t="shared" si="11"/>
        <v>0</v>
      </c>
      <c r="E19" s="353">
        <f t="shared" si="0"/>
        <v>0</v>
      </c>
      <c r="F19" s="353">
        <f t="shared" si="1"/>
        <v>0</v>
      </c>
      <c r="G19" s="353">
        <f t="shared" si="2"/>
        <v>0</v>
      </c>
      <c r="H19" s="353">
        <f t="shared" si="3"/>
        <v>0</v>
      </c>
      <c r="I19" s="353">
        <f t="shared" si="4"/>
        <v>0</v>
      </c>
      <c r="J19" s="353">
        <f t="shared" si="5"/>
        <v>0</v>
      </c>
      <c r="K19" s="353">
        <f t="shared" si="6"/>
        <v>0</v>
      </c>
      <c r="L19" s="353">
        <f t="shared" si="7"/>
        <v>0</v>
      </c>
      <c r="M19" s="353">
        <f t="shared" si="8"/>
        <v>0</v>
      </c>
      <c r="N19" s="353">
        <f t="shared" si="9"/>
        <v>0</v>
      </c>
      <c r="O19" s="353">
        <f t="shared" si="10"/>
        <v>0</v>
      </c>
      <c r="P19" s="344"/>
      <c r="Q19" s="334"/>
      <c r="R19" s="344"/>
      <c r="S19" s="344"/>
      <c r="T19" s="331"/>
    </row>
    <row r="20" spans="2:20">
      <c r="B20" s="1148" t="s">
        <v>3467</v>
      </c>
      <c r="C20" s="1148"/>
      <c r="D20" s="345">
        <f t="shared" si="11"/>
        <v>0</v>
      </c>
      <c r="E20" s="353">
        <f t="shared" si="0"/>
        <v>0</v>
      </c>
      <c r="F20" s="353">
        <f t="shared" si="1"/>
        <v>0</v>
      </c>
      <c r="G20" s="353">
        <f t="shared" si="2"/>
        <v>0</v>
      </c>
      <c r="H20" s="353">
        <f t="shared" si="3"/>
        <v>0</v>
      </c>
      <c r="I20" s="353">
        <f t="shared" si="4"/>
        <v>0</v>
      </c>
      <c r="J20" s="353">
        <f t="shared" si="5"/>
        <v>0</v>
      </c>
      <c r="K20" s="353">
        <f t="shared" si="6"/>
        <v>0</v>
      </c>
      <c r="L20" s="353">
        <f t="shared" si="7"/>
        <v>0</v>
      </c>
      <c r="M20" s="353">
        <f t="shared" si="8"/>
        <v>0</v>
      </c>
      <c r="N20" s="353">
        <f t="shared" si="9"/>
        <v>0</v>
      </c>
      <c r="O20" s="353">
        <f t="shared" si="10"/>
        <v>0</v>
      </c>
      <c r="P20" s="344"/>
      <c r="Q20" s="334"/>
      <c r="R20" s="344"/>
      <c r="S20" s="344"/>
      <c r="T20" s="331"/>
    </row>
    <row r="21" spans="2:20">
      <c r="B21" s="1148" t="s">
        <v>3468</v>
      </c>
      <c r="C21" s="1148"/>
      <c r="D21" s="345">
        <f t="shared" si="11"/>
        <v>0</v>
      </c>
      <c r="E21" s="353">
        <f t="shared" si="0"/>
        <v>0</v>
      </c>
      <c r="F21" s="353">
        <f t="shared" si="1"/>
        <v>0</v>
      </c>
      <c r="G21" s="353">
        <f t="shared" si="2"/>
        <v>0</v>
      </c>
      <c r="H21" s="353">
        <f t="shared" si="3"/>
        <v>0</v>
      </c>
      <c r="I21" s="353">
        <f t="shared" si="4"/>
        <v>0</v>
      </c>
      <c r="J21" s="353">
        <f t="shared" si="5"/>
        <v>0</v>
      </c>
      <c r="K21" s="353">
        <f t="shared" si="6"/>
        <v>0</v>
      </c>
      <c r="L21" s="353">
        <f t="shared" si="7"/>
        <v>0</v>
      </c>
      <c r="M21" s="353">
        <f t="shared" si="8"/>
        <v>0</v>
      </c>
      <c r="N21" s="353">
        <f t="shared" si="9"/>
        <v>0</v>
      </c>
      <c r="O21" s="353">
        <f t="shared" si="10"/>
        <v>0</v>
      </c>
      <c r="P21" s="344"/>
      <c r="Q21" s="334"/>
      <c r="R21" s="344"/>
      <c r="S21" s="344"/>
      <c r="T21" s="331"/>
    </row>
    <row r="22" spans="2:20">
      <c r="B22" s="1148" t="s">
        <v>3469</v>
      </c>
      <c r="C22" s="1148"/>
      <c r="D22" s="345">
        <f t="shared" si="11"/>
        <v>0</v>
      </c>
      <c r="E22" s="353">
        <f t="shared" si="0"/>
        <v>0</v>
      </c>
      <c r="F22" s="353">
        <f t="shared" si="1"/>
        <v>0</v>
      </c>
      <c r="G22" s="353">
        <f t="shared" si="2"/>
        <v>0</v>
      </c>
      <c r="H22" s="353">
        <f t="shared" si="3"/>
        <v>0</v>
      </c>
      <c r="I22" s="353">
        <f t="shared" si="4"/>
        <v>0</v>
      </c>
      <c r="J22" s="353">
        <f t="shared" si="5"/>
        <v>0</v>
      </c>
      <c r="K22" s="353">
        <f t="shared" si="6"/>
        <v>0</v>
      </c>
      <c r="L22" s="353">
        <f t="shared" si="7"/>
        <v>0</v>
      </c>
      <c r="M22" s="353">
        <f t="shared" si="8"/>
        <v>0</v>
      </c>
      <c r="N22" s="353">
        <f t="shared" si="9"/>
        <v>0</v>
      </c>
      <c r="O22" s="353">
        <f t="shared" si="10"/>
        <v>0</v>
      </c>
      <c r="P22" s="344"/>
      <c r="Q22" s="334"/>
      <c r="R22" s="344"/>
      <c r="S22" s="344"/>
      <c r="T22" s="331"/>
    </row>
    <row r="23" spans="2:20">
      <c r="B23" s="1148" t="s">
        <v>3470</v>
      </c>
      <c r="C23" s="1148"/>
      <c r="D23" s="345">
        <f t="shared" si="11"/>
        <v>0</v>
      </c>
      <c r="E23" s="353">
        <f t="shared" si="0"/>
        <v>0</v>
      </c>
      <c r="F23" s="353">
        <f t="shared" si="1"/>
        <v>0</v>
      </c>
      <c r="G23" s="353">
        <f t="shared" si="2"/>
        <v>0</v>
      </c>
      <c r="H23" s="353">
        <f t="shared" si="3"/>
        <v>0</v>
      </c>
      <c r="I23" s="353">
        <f t="shared" si="4"/>
        <v>0</v>
      </c>
      <c r="J23" s="353">
        <f t="shared" si="5"/>
        <v>0</v>
      </c>
      <c r="K23" s="353">
        <f t="shared" si="6"/>
        <v>0</v>
      </c>
      <c r="L23" s="353">
        <f t="shared" si="7"/>
        <v>0</v>
      </c>
      <c r="M23" s="353">
        <f t="shared" si="8"/>
        <v>0</v>
      </c>
      <c r="N23" s="353">
        <f t="shared" si="9"/>
        <v>0</v>
      </c>
      <c r="O23" s="353">
        <f t="shared" si="10"/>
        <v>0</v>
      </c>
      <c r="P23" s="344"/>
      <c r="Q23" s="334"/>
      <c r="R23" s="344"/>
      <c r="S23" s="344"/>
      <c r="T23" s="331"/>
    </row>
    <row r="24" spans="2:20">
      <c r="B24" s="1148" t="s">
        <v>3471</v>
      </c>
      <c r="C24" s="1148"/>
      <c r="D24" s="345">
        <f t="shared" si="11"/>
        <v>0</v>
      </c>
      <c r="E24" s="353">
        <f t="shared" si="0"/>
        <v>0</v>
      </c>
      <c r="F24" s="353">
        <f t="shared" si="1"/>
        <v>0</v>
      </c>
      <c r="G24" s="353">
        <f t="shared" si="2"/>
        <v>0</v>
      </c>
      <c r="H24" s="353">
        <f t="shared" si="3"/>
        <v>0</v>
      </c>
      <c r="I24" s="353">
        <f t="shared" si="4"/>
        <v>0</v>
      </c>
      <c r="J24" s="353">
        <f t="shared" si="5"/>
        <v>0</v>
      </c>
      <c r="K24" s="353">
        <f t="shared" si="6"/>
        <v>0</v>
      </c>
      <c r="L24" s="353">
        <f t="shared" si="7"/>
        <v>0</v>
      </c>
      <c r="M24" s="353">
        <f t="shared" si="8"/>
        <v>0</v>
      </c>
      <c r="N24" s="353">
        <f t="shared" si="9"/>
        <v>0</v>
      </c>
      <c r="O24" s="353">
        <f t="shared" si="10"/>
        <v>0</v>
      </c>
      <c r="P24" s="331"/>
      <c r="Q24" s="334"/>
      <c r="R24" s="344"/>
      <c r="S24" s="344"/>
      <c r="T24" s="331"/>
    </row>
    <row r="25" spans="2:20">
      <c r="B25" s="1148" t="s">
        <v>3472</v>
      </c>
      <c r="C25" s="1148"/>
      <c r="D25" s="345">
        <f t="shared" si="11"/>
        <v>0</v>
      </c>
      <c r="E25" s="353">
        <f t="shared" si="0"/>
        <v>0</v>
      </c>
      <c r="F25" s="353">
        <f t="shared" si="1"/>
        <v>0</v>
      </c>
      <c r="G25" s="353">
        <f t="shared" si="2"/>
        <v>0</v>
      </c>
      <c r="H25" s="353">
        <f t="shared" si="3"/>
        <v>0</v>
      </c>
      <c r="I25" s="353">
        <f t="shared" si="4"/>
        <v>0</v>
      </c>
      <c r="J25" s="353">
        <f t="shared" si="5"/>
        <v>0</v>
      </c>
      <c r="K25" s="353">
        <f t="shared" si="6"/>
        <v>0</v>
      </c>
      <c r="L25" s="353">
        <f t="shared" si="7"/>
        <v>0</v>
      </c>
      <c r="M25" s="353">
        <f t="shared" si="8"/>
        <v>0</v>
      </c>
      <c r="N25" s="353">
        <f t="shared" si="9"/>
        <v>0</v>
      </c>
      <c r="O25" s="353">
        <f t="shared" si="10"/>
        <v>0</v>
      </c>
    </row>
    <row r="26" spans="2:20">
      <c r="B26" s="1148" t="s">
        <v>3473</v>
      </c>
      <c r="C26" s="1148"/>
      <c r="D26" s="345">
        <f t="shared" si="11"/>
        <v>0</v>
      </c>
      <c r="E26" s="353">
        <f t="shared" si="0"/>
        <v>0</v>
      </c>
      <c r="F26" s="353">
        <f t="shared" si="1"/>
        <v>0</v>
      </c>
      <c r="G26" s="353">
        <f t="shared" si="2"/>
        <v>0</v>
      </c>
      <c r="H26" s="353">
        <f t="shared" si="3"/>
        <v>0</v>
      </c>
      <c r="I26" s="353">
        <f t="shared" si="4"/>
        <v>0</v>
      </c>
      <c r="J26" s="353">
        <f t="shared" si="5"/>
        <v>0</v>
      </c>
      <c r="K26" s="353">
        <f t="shared" si="6"/>
        <v>0</v>
      </c>
      <c r="L26" s="353">
        <f t="shared" si="7"/>
        <v>0</v>
      </c>
      <c r="M26" s="353">
        <f t="shared" si="8"/>
        <v>0</v>
      </c>
      <c r="N26" s="353">
        <f t="shared" si="9"/>
        <v>0</v>
      </c>
      <c r="O26" s="353">
        <f t="shared" si="10"/>
        <v>0</v>
      </c>
    </row>
    <row r="27" spans="2:20">
      <c r="B27" s="331"/>
      <c r="C27" s="331"/>
      <c r="D27" s="331"/>
      <c r="E27" s="332"/>
      <c r="F27" s="332"/>
      <c r="G27" s="332"/>
      <c r="H27" s="332"/>
      <c r="I27" s="332"/>
      <c r="J27" s="332"/>
      <c r="K27" s="332"/>
      <c r="L27" s="333"/>
      <c r="M27" s="333"/>
      <c r="N27" s="333"/>
      <c r="O27" s="333"/>
    </row>
    <row r="28" spans="2:20" ht="13.9" thickBot="1">
      <c r="B28" s="331"/>
      <c r="C28" s="331"/>
      <c r="D28" s="331"/>
      <c r="E28" s="332"/>
      <c r="F28" s="332"/>
      <c r="G28" s="332"/>
      <c r="H28" s="332"/>
      <c r="I28" s="332"/>
      <c r="J28" s="332"/>
      <c r="K28" s="332"/>
      <c r="L28" s="333"/>
      <c r="M28" s="333"/>
      <c r="N28" s="333"/>
      <c r="O28" s="333"/>
    </row>
    <row r="29" spans="2:20">
      <c r="B29" s="1154" t="s">
        <v>3474</v>
      </c>
      <c r="C29" s="1155"/>
      <c r="D29" s="1156"/>
      <c r="E29" s="332"/>
      <c r="F29" s="332"/>
      <c r="G29" s="332"/>
      <c r="H29" s="332"/>
      <c r="I29" s="332"/>
      <c r="J29" s="332"/>
      <c r="K29" s="332"/>
      <c r="L29" s="333"/>
      <c r="M29" s="333"/>
      <c r="N29" s="333"/>
      <c r="O29" s="333"/>
    </row>
    <row r="30" spans="2:20" ht="13.9" thickBot="1">
      <c r="B30" s="1157"/>
      <c r="C30" s="1158"/>
      <c r="D30" s="1159"/>
      <c r="E30" s="332"/>
      <c r="F30" s="332"/>
      <c r="G30" s="332"/>
      <c r="H30" s="332"/>
      <c r="I30" s="332"/>
      <c r="J30" s="332"/>
      <c r="K30" s="332"/>
      <c r="L30" s="333"/>
      <c r="M30" s="333"/>
      <c r="N30" s="333"/>
      <c r="O30" s="333"/>
    </row>
    <row r="31" spans="2:20" ht="14.45" thickBot="1">
      <c r="B31" s="1160" t="s">
        <v>3460</v>
      </c>
      <c r="C31" s="1161"/>
      <c r="D31" s="354" t="s">
        <v>3461</v>
      </c>
      <c r="E31" s="332"/>
      <c r="F31" s="332"/>
      <c r="G31" s="332"/>
      <c r="H31" s="332"/>
      <c r="I31" s="332"/>
      <c r="J31" s="332"/>
      <c r="K31" s="332"/>
      <c r="L31" s="333"/>
      <c r="M31" s="333"/>
      <c r="N31" s="333"/>
      <c r="O31" s="333"/>
    </row>
    <row r="32" spans="2:20">
      <c r="B32" s="1153" t="s">
        <v>3475</v>
      </c>
      <c r="C32" s="1153"/>
      <c r="D32" s="345">
        <f>SUM(F32:AO32)</f>
        <v>0</v>
      </c>
      <c r="E32" s="353">
        <f t="shared" ref="E32:E43" si="12">SUM(F32:AO32)</f>
        <v>0</v>
      </c>
      <c r="F32" s="353">
        <f t="shared" ref="F32:F43" si="13">COUNTIF(Area_v1,$B32)</f>
        <v>0</v>
      </c>
      <c r="G32" s="353">
        <f t="shared" ref="G32:G43" si="14">COUNTIF(Area_v2,$B32)</f>
        <v>0</v>
      </c>
      <c r="H32" s="353">
        <f t="shared" ref="H32:H43" si="15">COUNTIF(Area_v3ZIC,$B32)</f>
        <v>0</v>
      </c>
      <c r="I32" s="353">
        <f t="shared" ref="I32:I43" si="16">COUNTIF(Area_v4ZIC,$B32)</f>
        <v>0</v>
      </c>
      <c r="J32" s="353">
        <f t="shared" ref="J32:J43" si="17">COUNTIF(Area_v3BIN,$B32)</f>
        <v>0</v>
      </c>
      <c r="K32" s="353">
        <f t="shared" ref="K32:K43" si="18">COUNTIF(Area_v4BIN,$B32)</f>
        <v>0</v>
      </c>
      <c r="L32" s="353">
        <f t="shared" ref="L32:L43" si="19">COUNTIF(Area_v5BIN,$B32)</f>
        <v>0</v>
      </c>
      <c r="M32" s="353">
        <f t="shared" ref="M32:M43" si="20">COUNTIF(Area_v3HAD,$B32)</f>
        <v>0</v>
      </c>
      <c r="N32" s="353">
        <f t="shared" ref="N32:N43" si="21">COUNTIF(Area_v3KFA,$B32)</f>
        <v>0</v>
      </c>
      <c r="O32" s="353">
        <f t="shared" ref="O32:O43" si="22">COUNTIF(Area_v4KFA,$B32)</f>
        <v>0</v>
      </c>
    </row>
    <row r="33" spans="2:16">
      <c r="B33" s="1148" t="s">
        <v>3476</v>
      </c>
      <c r="C33" s="1148"/>
      <c r="D33" s="345">
        <f t="shared" ref="D33:D43" si="23">SUM(F33:AO33)</f>
        <v>0</v>
      </c>
      <c r="E33" s="353">
        <f t="shared" si="12"/>
        <v>0</v>
      </c>
      <c r="F33" s="353">
        <f t="shared" si="13"/>
        <v>0</v>
      </c>
      <c r="G33" s="353">
        <f t="shared" si="14"/>
        <v>0</v>
      </c>
      <c r="H33" s="353">
        <f t="shared" si="15"/>
        <v>0</v>
      </c>
      <c r="I33" s="353">
        <f t="shared" si="16"/>
        <v>0</v>
      </c>
      <c r="J33" s="353">
        <f t="shared" si="17"/>
        <v>0</v>
      </c>
      <c r="K33" s="353">
        <f t="shared" si="18"/>
        <v>0</v>
      </c>
      <c r="L33" s="353">
        <f t="shared" si="19"/>
        <v>0</v>
      </c>
      <c r="M33" s="353">
        <f t="shared" si="20"/>
        <v>0</v>
      </c>
      <c r="N33" s="353">
        <f t="shared" si="21"/>
        <v>0</v>
      </c>
      <c r="O33" s="353">
        <f t="shared" si="22"/>
        <v>0</v>
      </c>
    </row>
    <row r="34" spans="2:16">
      <c r="B34" s="1148" t="s">
        <v>3477</v>
      </c>
      <c r="C34" s="1148"/>
      <c r="D34" s="345">
        <f t="shared" si="23"/>
        <v>0</v>
      </c>
      <c r="E34" s="353">
        <f t="shared" si="12"/>
        <v>0</v>
      </c>
      <c r="F34" s="353">
        <f t="shared" si="13"/>
        <v>0</v>
      </c>
      <c r="G34" s="353">
        <f t="shared" si="14"/>
        <v>0</v>
      </c>
      <c r="H34" s="353">
        <f t="shared" si="15"/>
        <v>0</v>
      </c>
      <c r="I34" s="353">
        <f t="shared" si="16"/>
        <v>0</v>
      </c>
      <c r="J34" s="353">
        <f t="shared" si="17"/>
        <v>0</v>
      </c>
      <c r="K34" s="353">
        <f t="shared" si="18"/>
        <v>0</v>
      </c>
      <c r="L34" s="353">
        <f t="shared" si="19"/>
        <v>0</v>
      </c>
      <c r="M34" s="353">
        <f t="shared" si="20"/>
        <v>0</v>
      </c>
      <c r="N34" s="353">
        <f t="shared" si="21"/>
        <v>0</v>
      </c>
      <c r="O34" s="353">
        <f t="shared" si="22"/>
        <v>0</v>
      </c>
    </row>
    <row r="35" spans="2:16">
      <c r="B35" s="1148" t="s">
        <v>3478</v>
      </c>
      <c r="C35" s="1148"/>
      <c r="D35" s="345">
        <f t="shared" si="23"/>
        <v>0</v>
      </c>
      <c r="E35" s="353">
        <f t="shared" si="12"/>
        <v>0</v>
      </c>
      <c r="F35" s="353">
        <f t="shared" si="13"/>
        <v>0</v>
      </c>
      <c r="G35" s="353">
        <f t="shared" si="14"/>
        <v>0</v>
      </c>
      <c r="H35" s="353">
        <f t="shared" si="15"/>
        <v>0</v>
      </c>
      <c r="I35" s="353">
        <f t="shared" si="16"/>
        <v>0</v>
      </c>
      <c r="J35" s="353">
        <f t="shared" si="17"/>
        <v>0</v>
      </c>
      <c r="K35" s="353">
        <f t="shared" si="18"/>
        <v>0</v>
      </c>
      <c r="L35" s="353">
        <f t="shared" si="19"/>
        <v>0</v>
      </c>
      <c r="M35" s="353">
        <f t="shared" si="20"/>
        <v>0</v>
      </c>
      <c r="N35" s="353">
        <f t="shared" si="21"/>
        <v>0</v>
      </c>
      <c r="O35" s="353">
        <f t="shared" si="22"/>
        <v>0</v>
      </c>
    </row>
    <row r="36" spans="2:16">
      <c r="B36" s="1148" t="s">
        <v>3479</v>
      </c>
      <c r="C36" s="1148"/>
      <c r="D36" s="345">
        <f t="shared" si="23"/>
        <v>0</v>
      </c>
      <c r="E36" s="353">
        <f t="shared" si="12"/>
        <v>0</v>
      </c>
      <c r="F36" s="353">
        <f t="shared" si="13"/>
        <v>0</v>
      </c>
      <c r="G36" s="353">
        <f t="shared" si="14"/>
        <v>0</v>
      </c>
      <c r="H36" s="353">
        <f t="shared" si="15"/>
        <v>0</v>
      </c>
      <c r="I36" s="353">
        <f t="shared" si="16"/>
        <v>0</v>
      </c>
      <c r="J36" s="353">
        <f t="shared" si="17"/>
        <v>0</v>
      </c>
      <c r="K36" s="353">
        <f t="shared" si="18"/>
        <v>0</v>
      </c>
      <c r="L36" s="353">
        <f t="shared" si="19"/>
        <v>0</v>
      </c>
      <c r="M36" s="353">
        <f t="shared" si="20"/>
        <v>0</v>
      </c>
      <c r="N36" s="353">
        <f t="shared" si="21"/>
        <v>0</v>
      </c>
      <c r="O36" s="353">
        <f t="shared" si="22"/>
        <v>0</v>
      </c>
    </row>
    <row r="37" spans="2:16">
      <c r="B37" s="1148" t="s">
        <v>3480</v>
      </c>
      <c r="C37" s="1148"/>
      <c r="D37" s="345">
        <f t="shared" si="23"/>
        <v>0</v>
      </c>
      <c r="E37" s="353">
        <f t="shared" si="12"/>
        <v>0</v>
      </c>
      <c r="F37" s="353">
        <f t="shared" si="13"/>
        <v>0</v>
      </c>
      <c r="G37" s="353">
        <f t="shared" si="14"/>
        <v>0</v>
      </c>
      <c r="H37" s="353">
        <f t="shared" si="15"/>
        <v>0</v>
      </c>
      <c r="I37" s="353">
        <f t="shared" si="16"/>
        <v>0</v>
      </c>
      <c r="J37" s="353">
        <f t="shared" si="17"/>
        <v>0</v>
      </c>
      <c r="K37" s="353">
        <f t="shared" si="18"/>
        <v>0</v>
      </c>
      <c r="L37" s="353">
        <f t="shared" si="19"/>
        <v>0</v>
      </c>
      <c r="M37" s="353">
        <f t="shared" si="20"/>
        <v>0</v>
      </c>
      <c r="N37" s="353">
        <f t="shared" si="21"/>
        <v>0</v>
      </c>
      <c r="O37" s="353">
        <f t="shared" si="22"/>
        <v>0</v>
      </c>
    </row>
    <row r="38" spans="2:16">
      <c r="B38" s="1148" t="s">
        <v>3481</v>
      </c>
      <c r="C38" s="1148"/>
      <c r="D38" s="345">
        <f t="shared" si="23"/>
        <v>0</v>
      </c>
      <c r="E38" s="353">
        <f t="shared" si="12"/>
        <v>0</v>
      </c>
      <c r="F38" s="353">
        <f t="shared" si="13"/>
        <v>0</v>
      </c>
      <c r="G38" s="353">
        <f t="shared" si="14"/>
        <v>0</v>
      </c>
      <c r="H38" s="353">
        <f t="shared" si="15"/>
        <v>0</v>
      </c>
      <c r="I38" s="353">
        <f t="shared" si="16"/>
        <v>0</v>
      </c>
      <c r="J38" s="353">
        <f t="shared" si="17"/>
        <v>0</v>
      </c>
      <c r="K38" s="353">
        <f t="shared" si="18"/>
        <v>0</v>
      </c>
      <c r="L38" s="353">
        <f t="shared" si="19"/>
        <v>0</v>
      </c>
      <c r="M38" s="353">
        <f t="shared" si="20"/>
        <v>0</v>
      </c>
      <c r="N38" s="353">
        <f t="shared" si="21"/>
        <v>0</v>
      </c>
      <c r="O38" s="353">
        <f t="shared" si="22"/>
        <v>0</v>
      </c>
    </row>
    <row r="39" spans="2:16">
      <c r="B39" s="1148" t="s">
        <v>3482</v>
      </c>
      <c r="C39" s="1148"/>
      <c r="D39" s="345">
        <f t="shared" si="23"/>
        <v>0</v>
      </c>
      <c r="E39" s="353">
        <f t="shared" si="12"/>
        <v>0</v>
      </c>
      <c r="F39" s="353">
        <f t="shared" si="13"/>
        <v>0</v>
      </c>
      <c r="G39" s="353">
        <f t="shared" si="14"/>
        <v>0</v>
      </c>
      <c r="H39" s="353">
        <f t="shared" si="15"/>
        <v>0</v>
      </c>
      <c r="I39" s="353">
        <f t="shared" si="16"/>
        <v>0</v>
      </c>
      <c r="J39" s="353">
        <f t="shared" si="17"/>
        <v>0</v>
      </c>
      <c r="K39" s="353">
        <f t="shared" si="18"/>
        <v>0</v>
      </c>
      <c r="L39" s="353">
        <f t="shared" si="19"/>
        <v>0</v>
      </c>
      <c r="M39" s="353">
        <f t="shared" si="20"/>
        <v>0</v>
      </c>
      <c r="N39" s="353">
        <f t="shared" si="21"/>
        <v>0</v>
      </c>
      <c r="O39" s="353">
        <f t="shared" si="22"/>
        <v>0</v>
      </c>
    </row>
    <row r="40" spans="2:16">
      <c r="B40" s="1148" t="s">
        <v>3483</v>
      </c>
      <c r="C40" s="1148"/>
      <c r="D40" s="345">
        <f t="shared" si="23"/>
        <v>0</v>
      </c>
      <c r="E40" s="353">
        <f t="shared" si="12"/>
        <v>0</v>
      </c>
      <c r="F40" s="353">
        <f t="shared" si="13"/>
        <v>0</v>
      </c>
      <c r="G40" s="353">
        <f t="shared" si="14"/>
        <v>0</v>
      </c>
      <c r="H40" s="353">
        <f t="shared" si="15"/>
        <v>0</v>
      </c>
      <c r="I40" s="353">
        <f t="shared" si="16"/>
        <v>0</v>
      </c>
      <c r="J40" s="353">
        <f t="shared" si="17"/>
        <v>0</v>
      </c>
      <c r="K40" s="353">
        <f t="shared" si="18"/>
        <v>0</v>
      </c>
      <c r="L40" s="353">
        <f t="shared" si="19"/>
        <v>0</v>
      </c>
      <c r="M40" s="353">
        <f t="shared" si="20"/>
        <v>0</v>
      </c>
      <c r="N40" s="353">
        <f t="shared" si="21"/>
        <v>0</v>
      </c>
      <c r="O40" s="353">
        <f t="shared" si="22"/>
        <v>0</v>
      </c>
    </row>
    <row r="41" spans="2:16">
      <c r="B41" s="1148" t="s">
        <v>3484</v>
      </c>
      <c r="C41" s="1148"/>
      <c r="D41" s="345">
        <f t="shared" si="23"/>
        <v>0</v>
      </c>
      <c r="E41" s="353">
        <f t="shared" si="12"/>
        <v>0</v>
      </c>
      <c r="F41" s="353">
        <f t="shared" si="13"/>
        <v>0</v>
      </c>
      <c r="G41" s="353">
        <f t="shared" si="14"/>
        <v>0</v>
      </c>
      <c r="H41" s="353">
        <f t="shared" si="15"/>
        <v>0</v>
      </c>
      <c r="I41" s="353">
        <f t="shared" si="16"/>
        <v>0</v>
      </c>
      <c r="J41" s="353">
        <f t="shared" si="17"/>
        <v>0</v>
      </c>
      <c r="K41" s="353">
        <f t="shared" si="18"/>
        <v>0</v>
      </c>
      <c r="L41" s="353">
        <f t="shared" si="19"/>
        <v>0</v>
      </c>
      <c r="M41" s="353">
        <f t="shared" si="20"/>
        <v>0</v>
      </c>
      <c r="N41" s="353">
        <f t="shared" si="21"/>
        <v>0</v>
      </c>
      <c r="O41" s="353">
        <f t="shared" si="22"/>
        <v>0</v>
      </c>
    </row>
    <row r="42" spans="2:16">
      <c r="B42" s="1148" t="s">
        <v>3485</v>
      </c>
      <c r="C42" s="1148"/>
      <c r="D42" s="345">
        <f t="shared" si="23"/>
        <v>0</v>
      </c>
      <c r="E42" s="353">
        <f t="shared" si="12"/>
        <v>0</v>
      </c>
      <c r="F42" s="353">
        <f t="shared" si="13"/>
        <v>0</v>
      </c>
      <c r="G42" s="353">
        <f t="shared" si="14"/>
        <v>0</v>
      </c>
      <c r="H42" s="353">
        <f t="shared" si="15"/>
        <v>0</v>
      </c>
      <c r="I42" s="353">
        <f t="shared" si="16"/>
        <v>0</v>
      </c>
      <c r="J42" s="353">
        <f t="shared" si="17"/>
        <v>0</v>
      </c>
      <c r="K42" s="353">
        <f t="shared" si="18"/>
        <v>0</v>
      </c>
      <c r="L42" s="353">
        <f t="shared" si="19"/>
        <v>0</v>
      </c>
      <c r="M42" s="353">
        <f t="shared" si="20"/>
        <v>0</v>
      </c>
      <c r="N42" s="353">
        <f t="shared" si="21"/>
        <v>0</v>
      </c>
      <c r="O42" s="353">
        <f t="shared" si="22"/>
        <v>0</v>
      </c>
      <c r="P42" s="349"/>
    </row>
    <row r="43" spans="2:16">
      <c r="B43" s="1148" t="s">
        <v>3486</v>
      </c>
      <c r="C43" s="1148"/>
      <c r="D43" s="345">
        <f t="shared" si="23"/>
        <v>0</v>
      </c>
      <c r="E43" s="353">
        <f t="shared" si="12"/>
        <v>0</v>
      </c>
      <c r="F43" s="353">
        <f t="shared" si="13"/>
        <v>0</v>
      </c>
      <c r="G43" s="353">
        <f t="shared" si="14"/>
        <v>0</v>
      </c>
      <c r="H43" s="353">
        <f t="shared" si="15"/>
        <v>0</v>
      </c>
      <c r="I43" s="353">
        <f t="shared" si="16"/>
        <v>0</v>
      </c>
      <c r="J43" s="353">
        <f t="shared" si="17"/>
        <v>0</v>
      </c>
      <c r="K43" s="353">
        <f t="shared" si="18"/>
        <v>0</v>
      </c>
      <c r="L43" s="353">
        <f t="shared" si="19"/>
        <v>0</v>
      </c>
      <c r="M43" s="353">
        <f t="shared" si="20"/>
        <v>0</v>
      </c>
      <c r="N43" s="353">
        <f t="shared" si="21"/>
        <v>0</v>
      </c>
      <c r="O43" s="353">
        <f t="shared" si="22"/>
        <v>0</v>
      </c>
    </row>
    <row r="44" spans="2:16">
      <c r="B44" s="331"/>
      <c r="C44" s="331"/>
      <c r="D44" s="331"/>
      <c r="E44" s="332"/>
      <c r="F44" s="332"/>
      <c r="G44" s="332"/>
      <c r="H44" s="332"/>
      <c r="I44" s="332"/>
      <c r="J44" s="332"/>
      <c r="K44" s="332"/>
      <c r="L44" s="333"/>
      <c r="M44" s="333"/>
      <c r="N44" s="333"/>
      <c r="O44" s="333"/>
    </row>
    <row r="45" spans="2:16" ht="13.9" thickBot="1">
      <c r="B45" s="331"/>
      <c r="C45" s="331"/>
      <c r="D45" s="331"/>
      <c r="E45" s="332"/>
      <c r="F45" s="332"/>
      <c r="G45" s="332"/>
      <c r="H45" s="332"/>
      <c r="I45" s="332"/>
      <c r="J45" s="332"/>
      <c r="K45" s="332"/>
      <c r="L45" s="333"/>
      <c r="M45" s="333"/>
      <c r="N45" s="333"/>
      <c r="O45" s="333"/>
    </row>
    <row r="46" spans="2:16">
      <c r="B46" s="1162" t="s">
        <v>3487</v>
      </c>
      <c r="C46" s="1163"/>
      <c r="D46" s="1164"/>
      <c r="E46" s="332"/>
      <c r="F46" s="332"/>
      <c r="G46" s="332"/>
      <c r="H46" s="332"/>
      <c r="I46" s="332"/>
      <c r="J46" s="332"/>
      <c r="K46" s="332"/>
      <c r="L46" s="333"/>
      <c r="M46" s="333"/>
      <c r="N46" s="333"/>
      <c r="O46" s="333"/>
    </row>
    <row r="47" spans="2:16" ht="13.9" thickBot="1">
      <c r="B47" s="1165"/>
      <c r="C47" s="1166"/>
      <c r="D47" s="1167"/>
      <c r="E47" s="332"/>
      <c r="F47" s="332"/>
      <c r="G47" s="332"/>
      <c r="H47" s="332"/>
      <c r="I47" s="332"/>
      <c r="J47" s="332"/>
      <c r="K47" s="332"/>
      <c r="L47" s="333"/>
      <c r="M47" s="333"/>
      <c r="N47" s="333"/>
      <c r="O47" s="333"/>
    </row>
    <row r="48" spans="2:16" ht="14.45" thickBot="1">
      <c r="B48" s="1160" t="s">
        <v>3460</v>
      </c>
      <c r="C48" s="1161"/>
      <c r="D48" s="354" t="s">
        <v>3461</v>
      </c>
      <c r="E48" s="332"/>
      <c r="F48" s="332"/>
      <c r="G48" s="332"/>
      <c r="H48" s="332"/>
      <c r="I48" s="332"/>
      <c r="J48" s="332"/>
      <c r="K48" s="332"/>
      <c r="L48" s="333"/>
      <c r="M48" s="333"/>
      <c r="N48" s="333"/>
      <c r="O48" s="333"/>
    </row>
    <row r="49" spans="2:15">
      <c r="B49" s="1153" t="s">
        <v>3488</v>
      </c>
      <c r="C49" s="1153"/>
      <c r="D49" s="345">
        <f t="shared" ref="D49:D61" si="24">SUM(F49:AO49)</f>
        <v>0</v>
      </c>
      <c r="E49" s="353">
        <f t="shared" ref="E49:E61" si="25">SUM(F49:AO49)</f>
        <v>0</v>
      </c>
      <c r="F49" s="353">
        <f t="shared" ref="F49:F61" si="26">COUNTIF(Area_v1,$B49)</f>
        <v>0</v>
      </c>
      <c r="G49" s="353">
        <f t="shared" ref="G49:G61" si="27">COUNTIF(Area_v2,$B49)</f>
        <v>0</v>
      </c>
      <c r="H49" s="353">
        <f t="shared" ref="H49:H61" si="28">COUNTIF(Area_v3ZIC,$B49)</f>
        <v>0</v>
      </c>
      <c r="I49" s="353">
        <f t="shared" ref="I49:I61" si="29">COUNTIF(Area_v4ZIC,$B49)</f>
        <v>0</v>
      </c>
      <c r="J49" s="353">
        <f t="shared" ref="J49:J61" si="30">COUNTIF(Area_v3BIN,$B49)</f>
        <v>0</v>
      </c>
      <c r="K49" s="353">
        <f t="shared" ref="K49:K61" si="31">COUNTIF(Area_v4BIN,$B49)</f>
        <v>0</v>
      </c>
      <c r="L49" s="353">
        <f t="shared" ref="L49:L61" si="32">COUNTIF(Area_v5BIN,$B49)</f>
        <v>0</v>
      </c>
      <c r="M49" s="353">
        <f t="shared" ref="M49:M61" si="33">COUNTIF(Area_v3HAD,$B49)</f>
        <v>0</v>
      </c>
      <c r="N49" s="353">
        <f t="shared" ref="N49:N61" si="34">COUNTIF(Area_v3KFA,$B49)</f>
        <v>0</v>
      </c>
      <c r="O49" s="353">
        <f t="shared" ref="O49:O61" si="35">COUNTIF(Area_v4KFA,$B49)</f>
        <v>0</v>
      </c>
    </row>
    <row r="50" spans="2:15">
      <c r="B50" s="1148" t="s">
        <v>3489</v>
      </c>
      <c r="C50" s="1148"/>
      <c r="D50" s="345">
        <f t="shared" si="24"/>
        <v>0</v>
      </c>
      <c r="E50" s="353">
        <f t="shared" si="25"/>
        <v>0</v>
      </c>
      <c r="F50" s="353">
        <f t="shared" si="26"/>
        <v>0</v>
      </c>
      <c r="G50" s="353">
        <f t="shared" si="27"/>
        <v>0</v>
      </c>
      <c r="H50" s="353">
        <f t="shared" si="28"/>
        <v>0</v>
      </c>
      <c r="I50" s="353">
        <f t="shared" si="29"/>
        <v>0</v>
      </c>
      <c r="J50" s="353">
        <f t="shared" si="30"/>
        <v>0</v>
      </c>
      <c r="K50" s="353">
        <f t="shared" si="31"/>
        <v>0</v>
      </c>
      <c r="L50" s="353">
        <f t="shared" si="32"/>
        <v>0</v>
      </c>
      <c r="M50" s="353">
        <f t="shared" si="33"/>
        <v>0</v>
      </c>
      <c r="N50" s="353">
        <f t="shared" si="34"/>
        <v>0</v>
      </c>
      <c r="O50" s="353">
        <f t="shared" si="35"/>
        <v>0</v>
      </c>
    </row>
    <row r="51" spans="2:15">
      <c r="B51" s="1148" t="s">
        <v>3490</v>
      </c>
      <c r="C51" s="1148"/>
      <c r="D51" s="345">
        <f t="shared" si="24"/>
        <v>0</v>
      </c>
      <c r="E51" s="353">
        <f t="shared" si="25"/>
        <v>0</v>
      </c>
      <c r="F51" s="353">
        <f t="shared" si="26"/>
        <v>0</v>
      </c>
      <c r="G51" s="353">
        <f t="shared" si="27"/>
        <v>0</v>
      </c>
      <c r="H51" s="353">
        <f t="shared" si="28"/>
        <v>0</v>
      </c>
      <c r="I51" s="353">
        <f t="shared" si="29"/>
        <v>0</v>
      </c>
      <c r="J51" s="353">
        <f t="shared" si="30"/>
        <v>0</v>
      </c>
      <c r="K51" s="353">
        <f t="shared" si="31"/>
        <v>0</v>
      </c>
      <c r="L51" s="353">
        <f t="shared" si="32"/>
        <v>0</v>
      </c>
      <c r="M51" s="353">
        <f t="shared" si="33"/>
        <v>0</v>
      </c>
      <c r="N51" s="353">
        <f t="shared" si="34"/>
        <v>0</v>
      </c>
      <c r="O51" s="353">
        <f t="shared" si="35"/>
        <v>0</v>
      </c>
    </row>
    <row r="52" spans="2:15">
      <c r="B52" s="1148" t="s">
        <v>3491</v>
      </c>
      <c r="C52" s="1148"/>
      <c r="D52" s="345">
        <f t="shared" si="24"/>
        <v>0</v>
      </c>
      <c r="E52" s="353">
        <f t="shared" si="25"/>
        <v>0</v>
      </c>
      <c r="F52" s="353">
        <f t="shared" si="26"/>
        <v>0</v>
      </c>
      <c r="G52" s="353">
        <f t="shared" si="27"/>
        <v>0</v>
      </c>
      <c r="H52" s="353">
        <f t="shared" si="28"/>
        <v>0</v>
      </c>
      <c r="I52" s="353">
        <f t="shared" si="29"/>
        <v>0</v>
      </c>
      <c r="J52" s="353">
        <f t="shared" si="30"/>
        <v>0</v>
      </c>
      <c r="K52" s="353">
        <f t="shared" si="31"/>
        <v>0</v>
      </c>
      <c r="L52" s="353">
        <f t="shared" si="32"/>
        <v>0</v>
      </c>
      <c r="M52" s="353">
        <f t="shared" si="33"/>
        <v>0</v>
      </c>
      <c r="N52" s="353">
        <f t="shared" si="34"/>
        <v>0</v>
      </c>
      <c r="O52" s="353">
        <f t="shared" si="35"/>
        <v>0</v>
      </c>
    </row>
    <row r="53" spans="2:15">
      <c r="B53" s="1148" t="s">
        <v>3492</v>
      </c>
      <c r="C53" s="1148"/>
      <c r="D53" s="345">
        <f t="shared" si="24"/>
        <v>0</v>
      </c>
      <c r="E53" s="353">
        <f t="shared" si="25"/>
        <v>0</v>
      </c>
      <c r="F53" s="353">
        <f t="shared" si="26"/>
        <v>0</v>
      </c>
      <c r="G53" s="353">
        <f t="shared" si="27"/>
        <v>0</v>
      </c>
      <c r="H53" s="353">
        <f t="shared" si="28"/>
        <v>0</v>
      </c>
      <c r="I53" s="353">
        <f t="shared" si="29"/>
        <v>0</v>
      </c>
      <c r="J53" s="353">
        <f t="shared" si="30"/>
        <v>0</v>
      </c>
      <c r="K53" s="353">
        <f t="shared" si="31"/>
        <v>0</v>
      </c>
      <c r="L53" s="353">
        <f t="shared" si="32"/>
        <v>0</v>
      </c>
      <c r="M53" s="353">
        <f t="shared" si="33"/>
        <v>0</v>
      </c>
      <c r="N53" s="353">
        <f t="shared" si="34"/>
        <v>0</v>
      </c>
      <c r="O53" s="353">
        <f t="shared" si="35"/>
        <v>0</v>
      </c>
    </row>
    <row r="54" spans="2:15">
      <c r="B54" s="1148" t="s">
        <v>3493</v>
      </c>
      <c r="C54" s="1148"/>
      <c r="D54" s="345">
        <f t="shared" si="24"/>
        <v>0</v>
      </c>
      <c r="E54" s="353">
        <f t="shared" si="25"/>
        <v>0</v>
      </c>
      <c r="F54" s="353">
        <f t="shared" si="26"/>
        <v>0</v>
      </c>
      <c r="G54" s="353">
        <f t="shared" si="27"/>
        <v>0</v>
      </c>
      <c r="H54" s="353">
        <f t="shared" si="28"/>
        <v>0</v>
      </c>
      <c r="I54" s="353">
        <f t="shared" si="29"/>
        <v>0</v>
      </c>
      <c r="J54" s="353">
        <f t="shared" si="30"/>
        <v>0</v>
      </c>
      <c r="K54" s="353">
        <f t="shared" si="31"/>
        <v>0</v>
      </c>
      <c r="L54" s="353">
        <f t="shared" si="32"/>
        <v>0</v>
      </c>
      <c r="M54" s="353">
        <f t="shared" si="33"/>
        <v>0</v>
      </c>
      <c r="N54" s="353">
        <f t="shared" si="34"/>
        <v>0</v>
      </c>
      <c r="O54" s="353">
        <f t="shared" si="35"/>
        <v>0</v>
      </c>
    </row>
    <row r="55" spans="2:15">
      <c r="B55" s="1148" t="s">
        <v>3494</v>
      </c>
      <c r="C55" s="1148"/>
      <c r="D55" s="345">
        <f t="shared" si="24"/>
        <v>0</v>
      </c>
      <c r="E55" s="353">
        <f t="shared" si="25"/>
        <v>0</v>
      </c>
      <c r="F55" s="353">
        <f t="shared" si="26"/>
        <v>0</v>
      </c>
      <c r="G55" s="353">
        <f t="shared" si="27"/>
        <v>0</v>
      </c>
      <c r="H55" s="353">
        <f t="shared" si="28"/>
        <v>0</v>
      </c>
      <c r="I55" s="353">
        <f t="shared" si="29"/>
        <v>0</v>
      </c>
      <c r="J55" s="353">
        <f t="shared" si="30"/>
        <v>0</v>
      </c>
      <c r="K55" s="353">
        <f t="shared" si="31"/>
        <v>0</v>
      </c>
      <c r="L55" s="353">
        <f t="shared" si="32"/>
        <v>0</v>
      </c>
      <c r="M55" s="353">
        <f t="shared" si="33"/>
        <v>0</v>
      </c>
      <c r="N55" s="353">
        <f t="shared" si="34"/>
        <v>0</v>
      </c>
      <c r="O55" s="353">
        <f t="shared" si="35"/>
        <v>0</v>
      </c>
    </row>
    <row r="56" spans="2:15">
      <c r="B56" s="1148" t="s">
        <v>3495</v>
      </c>
      <c r="C56" s="1148"/>
      <c r="D56" s="345">
        <f t="shared" si="24"/>
        <v>0</v>
      </c>
      <c r="E56" s="353">
        <f t="shared" si="25"/>
        <v>0</v>
      </c>
      <c r="F56" s="353">
        <f t="shared" si="26"/>
        <v>0</v>
      </c>
      <c r="G56" s="353">
        <f t="shared" si="27"/>
        <v>0</v>
      </c>
      <c r="H56" s="353">
        <f t="shared" si="28"/>
        <v>0</v>
      </c>
      <c r="I56" s="353">
        <f t="shared" si="29"/>
        <v>0</v>
      </c>
      <c r="J56" s="353">
        <f t="shared" si="30"/>
        <v>0</v>
      </c>
      <c r="K56" s="353">
        <f t="shared" si="31"/>
        <v>0</v>
      </c>
      <c r="L56" s="353">
        <f t="shared" si="32"/>
        <v>0</v>
      </c>
      <c r="M56" s="353">
        <f t="shared" si="33"/>
        <v>0</v>
      </c>
      <c r="N56" s="353">
        <f t="shared" si="34"/>
        <v>0</v>
      </c>
      <c r="O56" s="353">
        <f t="shared" si="35"/>
        <v>0</v>
      </c>
    </row>
    <row r="57" spans="2:15">
      <c r="B57" s="1148" t="s">
        <v>3496</v>
      </c>
      <c r="C57" s="1148"/>
      <c r="D57" s="345">
        <f t="shared" si="24"/>
        <v>0</v>
      </c>
      <c r="E57" s="353">
        <f t="shared" si="25"/>
        <v>0</v>
      </c>
      <c r="F57" s="353">
        <f t="shared" si="26"/>
        <v>0</v>
      </c>
      <c r="G57" s="353">
        <f t="shared" si="27"/>
        <v>0</v>
      </c>
      <c r="H57" s="353">
        <f t="shared" si="28"/>
        <v>0</v>
      </c>
      <c r="I57" s="353">
        <f t="shared" si="29"/>
        <v>0</v>
      </c>
      <c r="J57" s="353">
        <f t="shared" si="30"/>
        <v>0</v>
      </c>
      <c r="K57" s="353">
        <f t="shared" si="31"/>
        <v>0</v>
      </c>
      <c r="L57" s="353">
        <f t="shared" si="32"/>
        <v>0</v>
      </c>
      <c r="M57" s="353">
        <f t="shared" si="33"/>
        <v>0</v>
      </c>
      <c r="N57" s="353">
        <f t="shared" si="34"/>
        <v>0</v>
      </c>
      <c r="O57" s="353">
        <f t="shared" si="35"/>
        <v>0</v>
      </c>
    </row>
    <row r="58" spans="2:15">
      <c r="B58" s="1148" t="s">
        <v>3497</v>
      </c>
      <c r="C58" s="1148"/>
      <c r="D58" s="345">
        <f t="shared" si="24"/>
        <v>0</v>
      </c>
      <c r="E58" s="353">
        <f t="shared" si="25"/>
        <v>0</v>
      </c>
      <c r="F58" s="353">
        <f t="shared" si="26"/>
        <v>0</v>
      </c>
      <c r="G58" s="353">
        <f t="shared" si="27"/>
        <v>0</v>
      </c>
      <c r="H58" s="353">
        <f t="shared" si="28"/>
        <v>0</v>
      </c>
      <c r="I58" s="353">
        <f t="shared" si="29"/>
        <v>0</v>
      </c>
      <c r="J58" s="353">
        <f t="shared" si="30"/>
        <v>0</v>
      </c>
      <c r="K58" s="353">
        <f t="shared" si="31"/>
        <v>0</v>
      </c>
      <c r="L58" s="353">
        <f t="shared" si="32"/>
        <v>0</v>
      </c>
      <c r="M58" s="353">
        <f t="shared" si="33"/>
        <v>0</v>
      </c>
      <c r="N58" s="353">
        <f t="shared" si="34"/>
        <v>0</v>
      </c>
      <c r="O58" s="353">
        <f t="shared" si="35"/>
        <v>0</v>
      </c>
    </row>
    <row r="59" spans="2:15">
      <c r="B59" s="1148" t="s">
        <v>3498</v>
      </c>
      <c r="C59" s="1148"/>
      <c r="D59" s="345">
        <f t="shared" si="24"/>
        <v>0</v>
      </c>
      <c r="E59" s="353">
        <f t="shared" si="25"/>
        <v>0</v>
      </c>
      <c r="F59" s="353">
        <f t="shared" si="26"/>
        <v>0</v>
      </c>
      <c r="G59" s="353">
        <f t="shared" si="27"/>
        <v>0</v>
      </c>
      <c r="H59" s="353">
        <f t="shared" si="28"/>
        <v>0</v>
      </c>
      <c r="I59" s="353">
        <f t="shared" si="29"/>
        <v>0</v>
      </c>
      <c r="J59" s="353">
        <f t="shared" si="30"/>
        <v>0</v>
      </c>
      <c r="K59" s="353">
        <f t="shared" si="31"/>
        <v>0</v>
      </c>
      <c r="L59" s="353">
        <f t="shared" si="32"/>
        <v>0</v>
      </c>
      <c r="M59" s="353">
        <f t="shared" si="33"/>
        <v>0</v>
      </c>
      <c r="N59" s="353">
        <f t="shared" si="34"/>
        <v>0</v>
      </c>
      <c r="O59" s="353">
        <f t="shared" si="35"/>
        <v>0</v>
      </c>
    </row>
    <row r="60" spans="2:15">
      <c r="B60" s="1148" t="s">
        <v>3499</v>
      </c>
      <c r="C60" s="1148"/>
      <c r="D60" s="345">
        <f t="shared" si="24"/>
        <v>0</v>
      </c>
      <c r="E60" s="353">
        <f t="shared" si="25"/>
        <v>0</v>
      </c>
      <c r="F60" s="353">
        <f t="shared" si="26"/>
        <v>0</v>
      </c>
      <c r="G60" s="353">
        <f t="shared" si="27"/>
        <v>0</v>
      </c>
      <c r="H60" s="353">
        <f t="shared" si="28"/>
        <v>0</v>
      </c>
      <c r="I60" s="353">
        <f t="shared" si="29"/>
        <v>0</v>
      </c>
      <c r="J60" s="353">
        <f t="shared" si="30"/>
        <v>0</v>
      </c>
      <c r="K60" s="353">
        <f t="shared" si="31"/>
        <v>0</v>
      </c>
      <c r="L60" s="353">
        <f t="shared" si="32"/>
        <v>0</v>
      </c>
      <c r="M60" s="353">
        <f t="shared" si="33"/>
        <v>0</v>
      </c>
      <c r="N60" s="353">
        <f t="shared" si="34"/>
        <v>0</v>
      </c>
      <c r="O60" s="353">
        <f t="shared" si="35"/>
        <v>0</v>
      </c>
    </row>
    <row r="61" spans="2:15">
      <c r="B61" s="1148" t="s">
        <v>3500</v>
      </c>
      <c r="C61" s="1148"/>
      <c r="D61" s="345">
        <f t="shared" si="24"/>
        <v>0</v>
      </c>
      <c r="E61" s="353">
        <f t="shared" si="25"/>
        <v>0</v>
      </c>
      <c r="F61" s="353">
        <f t="shared" si="26"/>
        <v>0</v>
      </c>
      <c r="G61" s="353">
        <f t="shared" si="27"/>
        <v>0</v>
      </c>
      <c r="H61" s="353">
        <f t="shared" si="28"/>
        <v>0</v>
      </c>
      <c r="I61" s="353">
        <f t="shared" si="29"/>
        <v>0</v>
      </c>
      <c r="J61" s="353">
        <f t="shared" si="30"/>
        <v>0</v>
      </c>
      <c r="K61" s="353">
        <f t="shared" si="31"/>
        <v>0</v>
      </c>
      <c r="L61" s="353">
        <f t="shared" si="32"/>
        <v>0</v>
      </c>
      <c r="M61" s="353">
        <f t="shared" si="33"/>
        <v>0</v>
      </c>
      <c r="N61" s="353">
        <f t="shared" si="34"/>
        <v>0</v>
      </c>
      <c r="O61" s="353">
        <f t="shared" si="35"/>
        <v>0</v>
      </c>
    </row>
    <row r="62" spans="2:15">
      <c r="B62" s="331"/>
      <c r="C62" s="331"/>
      <c r="D62" s="331"/>
      <c r="E62" s="332"/>
      <c r="F62" s="332"/>
      <c r="G62" s="332"/>
      <c r="H62" s="332"/>
      <c r="I62" s="332"/>
      <c r="J62" s="332"/>
      <c r="K62" s="332"/>
      <c r="L62" s="333"/>
      <c r="M62" s="333"/>
      <c r="N62" s="333"/>
      <c r="O62" s="333"/>
    </row>
    <row r="63" spans="2:15" ht="13.9" thickBot="1">
      <c r="B63" s="331"/>
      <c r="C63" s="331"/>
      <c r="D63" s="331"/>
      <c r="E63" s="332"/>
      <c r="F63" s="332"/>
      <c r="G63" s="332"/>
      <c r="H63" s="332"/>
      <c r="I63" s="332"/>
      <c r="J63" s="332"/>
      <c r="K63" s="332"/>
      <c r="L63" s="333"/>
      <c r="M63" s="333"/>
      <c r="N63" s="333"/>
      <c r="O63" s="333"/>
    </row>
    <row r="64" spans="2:15">
      <c r="B64" s="1154" t="s">
        <v>3501</v>
      </c>
      <c r="C64" s="1155"/>
      <c r="D64" s="1156"/>
      <c r="E64" s="332"/>
      <c r="F64" s="332"/>
      <c r="G64" s="332"/>
      <c r="H64" s="332"/>
      <c r="I64" s="332"/>
      <c r="J64" s="332"/>
      <c r="K64" s="332"/>
      <c r="L64" s="333"/>
      <c r="M64" s="333"/>
      <c r="N64" s="333"/>
      <c r="O64" s="333"/>
    </row>
    <row r="65" spans="2:15" ht="13.9" thickBot="1">
      <c r="B65" s="1157"/>
      <c r="C65" s="1158"/>
      <c r="D65" s="1159"/>
      <c r="E65" s="332"/>
      <c r="F65" s="332"/>
      <c r="G65" s="332"/>
      <c r="H65" s="332"/>
      <c r="I65" s="332"/>
      <c r="J65" s="332"/>
      <c r="K65" s="332"/>
      <c r="L65" s="333"/>
      <c r="M65" s="333"/>
      <c r="N65" s="333"/>
      <c r="O65" s="333"/>
    </row>
    <row r="66" spans="2:15" ht="14.45" thickBot="1">
      <c r="B66" s="1160" t="s">
        <v>3460</v>
      </c>
      <c r="C66" s="1161"/>
      <c r="D66" s="354" t="s">
        <v>3461</v>
      </c>
      <c r="E66" s="332"/>
      <c r="F66" s="332"/>
      <c r="G66" s="332"/>
      <c r="H66" s="332"/>
      <c r="I66" s="332"/>
      <c r="J66" s="332"/>
      <c r="K66" s="332"/>
      <c r="L66" s="333"/>
      <c r="M66" s="333"/>
      <c r="N66" s="333"/>
      <c r="O66" s="333"/>
    </row>
    <row r="67" spans="2:15">
      <c r="B67" s="1153" t="s">
        <v>3502</v>
      </c>
      <c r="C67" s="1153"/>
      <c r="D67" s="345">
        <f t="shared" ref="D67:D72" si="36">SUM(F67:AO67)</f>
        <v>0</v>
      </c>
      <c r="E67" s="353">
        <f t="shared" ref="E67:E72" si="37">SUM(F67:AO67)</f>
        <v>0</v>
      </c>
      <c r="F67" s="353">
        <f t="shared" ref="F67:F72" si="38">COUNTIF(Area_v1,$B67)</f>
        <v>0</v>
      </c>
      <c r="G67" s="353">
        <f t="shared" ref="G67:G72" si="39">COUNTIF(Area_v2,$B67)</f>
        <v>0</v>
      </c>
      <c r="H67" s="353">
        <f t="shared" ref="H67:H72" si="40">COUNTIF(Area_v3ZIC,$B67)</f>
        <v>0</v>
      </c>
      <c r="I67" s="353">
        <f t="shared" ref="I67:I72" si="41">COUNTIF(Area_v4ZIC,$B67)</f>
        <v>0</v>
      </c>
      <c r="J67" s="353">
        <f t="shared" ref="J67:J72" si="42">COUNTIF(Area_v3BIN,$B67)</f>
        <v>0</v>
      </c>
      <c r="K67" s="353">
        <f t="shared" ref="K67:K72" si="43">COUNTIF(Area_v4BIN,$B67)</f>
        <v>0</v>
      </c>
      <c r="L67" s="353">
        <f t="shared" ref="L67:L72" si="44">COUNTIF(Area_v5BIN,$B67)</f>
        <v>0</v>
      </c>
      <c r="M67" s="353">
        <f t="shared" ref="M67:M72" si="45">COUNTIF(Area_v3HAD,$B67)</f>
        <v>0</v>
      </c>
      <c r="N67" s="353">
        <f t="shared" ref="N67:N72" si="46">COUNTIF(Area_v3KFA,$B67)</f>
        <v>0</v>
      </c>
      <c r="O67" s="353">
        <f t="shared" ref="O67:O72" si="47">COUNTIF(Area_v4KFA,$B67)</f>
        <v>0</v>
      </c>
    </row>
    <row r="68" spans="2:15">
      <c r="B68" s="1153" t="s">
        <v>3503</v>
      </c>
      <c r="C68" s="1153"/>
      <c r="D68" s="345">
        <f t="shared" si="36"/>
        <v>0</v>
      </c>
      <c r="E68" s="353">
        <f t="shared" si="37"/>
        <v>0</v>
      </c>
      <c r="F68" s="353">
        <f t="shared" si="38"/>
        <v>0</v>
      </c>
      <c r="G68" s="353">
        <f t="shared" si="39"/>
        <v>0</v>
      </c>
      <c r="H68" s="353">
        <f t="shared" si="40"/>
        <v>0</v>
      </c>
      <c r="I68" s="353">
        <f t="shared" si="41"/>
        <v>0</v>
      </c>
      <c r="J68" s="353">
        <f t="shared" si="42"/>
        <v>0</v>
      </c>
      <c r="K68" s="353">
        <f t="shared" si="43"/>
        <v>0</v>
      </c>
      <c r="L68" s="353">
        <f t="shared" si="44"/>
        <v>0</v>
      </c>
      <c r="M68" s="353">
        <f t="shared" si="45"/>
        <v>0</v>
      </c>
      <c r="N68" s="353">
        <f t="shared" si="46"/>
        <v>0</v>
      </c>
      <c r="O68" s="353">
        <f t="shared" si="47"/>
        <v>0</v>
      </c>
    </row>
    <row r="69" spans="2:15">
      <c r="B69" s="1148" t="s">
        <v>3504</v>
      </c>
      <c r="C69" s="1148"/>
      <c r="D69" s="345">
        <f t="shared" si="36"/>
        <v>0</v>
      </c>
      <c r="E69" s="353">
        <f t="shared" si="37"/>
        <v>0</v>
      </c>
      <c r="F69" s="353">
        <f t="shared" si="38"/>
        <v>0</v>
      </c>
      <c r="G69" s="353">
        <f t="shared" si="39"/>
        <v>0</v>
      </c>
      <c r="H69" s="353">
        <f t="shared" si="40"/>
        <v>0</v>
      </c>
      <c r="I69" s="353">
        <f t="shared" si="41"/>
        <v>0</v>
      </c>
      <c r="J69" s="353">
        <f t="shared" si="42"/>
        <v>0</v>
      </c>
      <c r="K69" s="353">
        <f t="shared" si="43"/>
        <v>0</v>
      </c>
      <c r="L69" s="353">
        <f t="shared" si="44"/>
        <v>0</v>
      </c>
      <c r="M69" s="353">
        <f t="shared" si="45"/>
        <v>0</v>
      </c>
      <c r="N69" s="353">
        <f t="shared" si="46"/>
        <v>0</v>
      </c>
      <c r="O69" s="353">
        <f t="shared" si="47"/>
        <v>0</v>
      </c>
    </row>
    <row r="70" spans="2:15">
      <c r="B70" s="1148" t="s">
        <v>3505</v>
      </c>
      <c r="C70" s="1148"/>
      <c r="D70" s="345">
        <f t="shared" si="36"/>
        <v>0</v>
      </c>
      <c r="E70" s="353">
        <f t="shared" si="37"/>
        <v>0</v>
      </c>
      <c r="F70" s="353">
        <f t="shared" si="38"/>
        <v>0</v>
      </c>
      <c r="G70" s="353">
        <f t="shared" si="39"/>
        <v>0</v>
      </c>
      <c r="H70" s="353">
        <f t="shared" si="40"/>
        <v>0</v>
      </c>
      <c r="I70" s="353">
        <f t="shared" si="41"/>
        <v>0</v>
      </c>
      <c r="J70" s="353">
        <f t="shared" si="42"/>
        <v>0</v>
      </c>
      <c r="K70" s="353">
        <f t="shared" si="43"/>
        <v>0</v>
      </c>
      <c r="L70" s="353">
        <f t="shared" si="44"/>
        <v>0</v>
      </c>
      <c r="M70" s="353">
        <f t="shared" si="45"/>
        <v>0</v>
      </c>
      <c r="N70" s="353">
        <f t="shared" si="46"/>
        <v>0</v>
      </c>
      <c r="O70" s="353">
        <f t="shared" si="47"/>
        <v>0</v>
      </c>
    </row>
    <row r="71" spans="2:15">
      <c r="B71" s="1148" t="s">
        <v>3506</v>
      </c>
      <c r="C71" s="1148"/>
      <c r="D71" s="345">
        <f t="shared" si="36"/>
        <v>0</v>
      </c>
      <c r="E71" s="353">
        <f t="shared" si="37"/>
        <v>0</v>
      </c>
      <c r="F71" s="353">
        <f t="shared" si="38"/>
        <v>0</v>
      </c>
      <c r="G71" s="353">
        <f t="shared" si="39"/>
        <v>0</v>
      </c>
      <c r="H71" s="353">
        <f t="shared" si="40"/>
        <v>0</v>
      </c>
      <c r="I71" s="353">
        <f t="shared" si="41"/>
        <v>0</v>
      </c>
      <c r="J71" s="353">
        <f t="shared" si="42"/>
        <v>0</v>
      </c>
      <c r="K71" s="353">
        <f t="shared" si="43"/>
        <v>0</v>
      </c>
      <c r="L71" s="353">
        <f t="shared" si="44"/>
        <v>0</v>
      </c>
      <c r="M71" s="353">
        <f t="shared" si="45"/>
        <v>0</v>
      </c>
      <c r="N71" s="353">
        <f t="shared" si="46"/>
        <v>0</v>
      </c>
      <c r="O71" s="353">
        <f t="shared" si="47"/>
        <v>0</v>
      </c>
    </row>
    <row r="72" spans="2:15">
      <c r="B72" s="1148" t="s">
        <v>3507</v>
      </c>
      <c r="C72" s="1148"/>
      <c r="D72" s="345">
        <f t="shared" si="36"/>
        <v>0</v>
      </c>
      <c r="E72" s="353">
        <f t="shared" si="37"/>
        <v>0</v>
      </c>
      <c r="F72" s="353">
        <f t="shared" si="38"/>
        <v>0</v>
      </c>
      <c r="G72" s="353">
        <f t="shared" si="39"/>
        <v>0</v>
      </c>
      <c r="H72" s="353">
        <f t="shared" si="40"/>
        <v>0</v>
      </c>
      <c r="I72" s="353">
        <f t="shared" si="41"/>
        <v>0</v>
      </c>
      <c r="J72" s="353">
        <f t="shared" si="42"/>
        <v>0</v>
      </c>
      <c r="K72" s="353">
        <f t="shared" si="43"/>
        <v>0</v>
      </c>
      <c r="L72" s="353">
        <f t="shared" si="44"/>
        <v>0</v>
      </c>
      <c r="M72" s="353">
        <f t="shared" si="45"/>
        <v>0</v>
      </c>
      <c r="N72" s="353">
        <f t="shared" si="46"/>
        <v>0</v>
      </c>
      <c r="O72" s="353">
        <f t="shared" si="47"/>
        <v>0</v>
      </c>
    </row>
    <row r="74" spans="2:15" hidden="1">
      <c r="B74" s="1149" t="s">
        <v>3508</v>
      </c>
      <c r="C74" s="1149"/>
      <c r="D74" s="1149"/>
      <c r="E74" s="1149"/>
      <c r="F74" s="1149"/>
      <c r="G74" s="1149"/>
      <c r="H74" s="1149"/>
      <c r="I74" s="1149"/>
      <c r="J74" s="1149"/>
      <c r="K74" s="1149"/>
    </row>
    <row r="75" spans="2:15" hidden="1">
      <c r="B75" s="331"/>
      <c r="C75" s="350"/>
      <c r="D75" s="331"/>
    </row>
    <row r="76" spans="2:15" ht="13.9" hidden="1" thickBot="1">
      <c r="B76" s="331"/>
      <c r="C76" s="331"/>
      <c r="D76" s="350"/>
    </row>
    <row r="77" spans="2:15" ht="14.45" hidden="1" thickBot="1">
      <c r="B77" s="1150" t="s">
        <v>82</v>
      </c>
      <c r="C77" s="1151"/>
      <c r="D77" s="1152"/>
    </row>
    <row r="78" spans="2:15" ht="14.45" hidden="1" thickBot="1">
      <c r="B78" s="351" t="s">
        <v>110</v>
      </c>
      <c r="C78" s="351" t="s">
        <v>111</v>
      </c>
      <c r="D78" s="351" t="s">
        <v>112</v>
      </c>
    </row>
    <row r="79" spans="2:15">
      <c r="C79" s="331"/>
      <c r="D79" s="331"/>
    </row>
    <row r="87" spans="2:11">
      <c r="B87" s="349"/>
      <c r="C87" s="349"/>
      <c r="D87" s="349"/>
      <c r="F87" s="352"/>
      <c r="G87" s="352"/>
      <c r="H87" s="352"/>
      <c r="I87" s="352"/>
      <c r="J87" s="352"/>
      <c r="K87" s="352"/>
    </row>
  </sheetData>
  <mergeCells count="59">
    <mergeCell ref="B2:D2"/>
    <mergeCell ref="B10:C10"/>
    <mergeCell ref="B12:D13"/>
    <mergeCell ref="B24:C24"/>
    <mergeCell ref="B25:C25"/>
    <mergeCell ref="B5:C5"/>
    <mergeCell ref="B4:C4"/>
    <mergeCell ref="B3:C3"/>
    <mergeCell ref="B6:C6"/>
    <mergeCell ref="B16:C16"/>
    <mergeCell ref="B17:C17"/>
    <mergeCell ref="B18:C18"/>
    <mergeCell ref="B14:C14"/>
    <mergeCell ref="B15:C15"/>
    <mergeCell ref="B22:C22"/>
    <mergeCell ref="B23:C23"/>
    <mergeCell ref="B19:C19"/>
    <mergeCell ref="B20:C20"/>
    <mergeCell ref="B21:C21"/>
    <mergeCell ref="B26:C26"/>
    <mergeCell ref="B29:D30"/>
    <mergeCell ref="B31:C31"/>
    <mergeCell ref="B32:C32"/>
    <mergeCell ref="B33:C33"/>
    <mergeCell ref="B34:C34"/>
    <mergeCell ref="B35:C35"/>
    <mergeCell ref="B36:C36"/>
    <mergeCell ref="B37:C37"/>
    <mergeCell ref="B38:C38"/>
    <mergeCell ref="B39:C39"/>
    <mergeCell ref="B40:C40"/>
    <mergeCell ref="B41:C41"/>
    <mergeCell ref="B42:C42"/>
    <mergeCell ref="B43:C43"/>
    <mergeCell ref="B46:D47"/>
    <mergeCell ref="B48:C48"/>
    <mergeCell ref="B49:C49"/>
    <mergeCell ref="B50:C50"/>
    <mergeCell ref="B51:C51"/>
    <mergeCell ref="B52:C52"/>
    <mergeCell ref="B53:C53"/>
    <mergeCell ref="B54:C54"/>
    <mergeCell ref="B55:C55"/>
    <mergeCell ref="B56:C56"/>
    <mergeCell ref="B57:C57"/>
    <mergeCell ref="B58:C58"/>
    <mergeCell ref="B59:C59"/>
    <mergeCell ref="B60:C60"/>
    <mergeCell ref="B61:C61"/>
    <mergeCell ref="B64:D65"/>
    <mergeCell ref="B66:C66"/>
    <mergeCell ref="B72:C72"/>
    <mergeCell ref="B74:K74"/>
    <mergeCell ref="B77:D77"/>
    <mergeCell ref="B67:C67"/>
    <mergeCell ref="B68:C68"/>
    <mergeCell ref="B69:C69"/>
    <mergeCell ref="B70:C70"/>
    <mergeCell ref="B71:C71"/>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D73F2-EB72-4A51-A916-F2D3D8D77524}">
  <sheetPr>
    <tabColor theme="3" tint="0.59999389629810485"/>
  </sheetPr>
  <dimension ref="A1:R1432"/>
  <sheetViews>
    <sheetView topLeftCell="A58" workbookViewId="0">
      <selection activeCell="M79" sqref="M79"/>
    </sheetView>
  </sheetViews>
  <sheetFormatPr defaultColWidth="11.42578125" defaultRowHeight="13.15"/>
  <cols>
    <col min="1" max="2" width="15.7109375" style="670" customWidth="1"/>
    <col min="3" max="8" width="15.7109375" style="669" customWidth="1"/>
    <col min="9" max="9" width="21" style="669" bestFit="1" customWidth="1"/>
    <col min="10" max="10" width="15.7109375" style="680" customWidth="1"/>
    <col min="11" max="18" width="15.7109375" style="669" customWidth="1"/>
    <col min="19" max="20" width="15.7109375" customWidth="1"/>
  </cols>
  <sheetData>
    <row r="1" spans="1:13" ht="19.899999999999999" customHeight="1">
      <c r="D1" s="1173" t="s">
        <v>3509</v>
      </c>
      <c r="E1" s="1173"/>
      <c r="F1" s="1174"/>
      <c r="G1" s="1174"/>
      <c r="H1" s="1174"/>
    </row>
    <row r="2" spans="1:13" ht="19.899999999999999" customHeight="1">
      <c r="A2" s="671" t="s">
        <v>3510</v>
      </c>
      <c r="B2" s="671" t="s">
        <v>3511</v>
      </c>
      <c r="C2" s="5" t="s">
        <v>3512</v>
      </c>
      <c r="D2" s="5" t="s">
        <v>2063</v>
      </c>
      <c r="E2" s="5" t="s">
        <v>3513</v>
      </c>
      <c r="F2" s="5" t="s">
        <v>3514</v>
      </c>
      <c r="G2" s="5" t="s">
        <v>3515</v>
      </c>
      <c r="H2" s="5" t="s">
        <v>3516</v>
      </c>
      <c r="I2" s="5" t="s">
        <v>3517</v>
      </c>
      <c r="J2" s="7" t="s">
        <v>3518</v>
      </c>
      <c r="K2" s="5" t="s">
        <v>3519</v>
      </c>
    </row>
    <row r="3" spans="1:13" ht="19.899999999999999" customHeight="1">
      <c r="A3" s="683">
        <v>29971.43</v>
      </c>
      <c r="B3" s="18">
        <f>A3+F4</f>
        <v>30091.43</v>
      </c>
      <c r="C3" s="14"/>
      <c r="D3" s="14"/>
      <c r="E3" s="14"/>
      <c r="F3" s="14"/>
      <c r="G3" s="14"/>
      <c r="H3" s="14"/>
      <c r="I3" s="682"/>
      <c r="J3" s="567">
        <f>((ABS(I4))*F4)^0.5</f>
        <v>464.75800154489002</v>
      </c>
      <c r="K3" s="14"/>
    </row>
    <row r="4" spans="1:13" ht="19.899999999999999" customHeight="1">
      <c r="A4" s="670">
        <f>B3</f>
        <v>30091.43</v>
      </c>
      <c r="B4" s="670">
        <f>A5</f>
        <v>30120.12</v>
      </c>
      <c r="C4" s="669" t="s">
        <v>3520</v>
      </c>
      <c r="D4" s="669">
        <v>268.16999999999803</v>
      </c>
      <c r="E4" s="673"/>
      <c r="F4" s="669">
        <v>120</v>
      </c>
      <c r="G4" s="669">
        <v>120</v>
      </c>
      <c r="H4" s="675">
        <f>D4-(F4+G4)</f>
        <v>28.169999999998026</v>
      </c>
      <c r="I4" s="669">
        <v>-1800</v>
      </c>
      <c r="M4" s="672"/>
    </row>
    <row r="5" spans="1:13" ht="19.899999999999999" customHeight="1">
      <c r="A5" s="670">
        <f>B5-G4</f>
        <v>30120.12</v>
      </c>
      <c r="B5" s="683">
        <v>30240.12</v>
      </c>
      <c r="E5" s="673"/>
      <c r="H5" s="675"/>
      <c r="I5" s="14"/>
      <c r="J5" s="680">
        <f>((ABS(I4))*G4)^0.5</f>
        <v>464.75800154489002</v>
      </c>
    </row>
    <row r="6" spans="1:13" ht="19.899999999999999" customHeight="1">
      <c r="A6" s="676">
        <f>B5</f>
        <v>30240.12</v>
      </c>
      <c r="B6" s="676">
        <f>A7</f>
        <v>31369.11</v>
      </c>
      <c r="C6" s="632" t="s">
        <v>3513</v>
      </c>
      <c r="D6" s="677"/>
      <c r="E6" s="678">
        <f>B6-A6</f>
        <v>1128.9900000000016</v>
      </c>
      <c r="F6" s="677"/>
      <c r="G6" s="677"/>
      <c r="H6" s="679"/>
      <c r="I6" s="677">
        <v>0</v>
      </c>
      <c r="J6" s="681"/>
      <c r="K6" s="677"/>
    </row>
    <row r="7" spans="1:13" ht="19.899999999999999" customHeight="1">
      <c r="A7" s="683">
        <v>31369.11</v>
      </c>
      <c r="B7" s="670">
        <f>A7+F8</f>
        <v>31539.11</v>
      </c>
      <c r="C7" s="14"/>
      <c r="E7" s="674"/>
      <c r="H7" s="675"/>
      <c r="I7" s="682" t="s">
        <v>3521</v>
      </c>
      <c r="J7" s="680">
        <f>((ABS(I8))*F8)^0.5</f>
        <v>504.97524691810389</v>
      </c>
    </row>
    <row r="8" spans="1:13" ht="19.899999999999999" customHeight="1">
      <c r="A8" s="670">
        <f>B7</f>
        <v>31539.11</v>
      </c>
      <c r="B8" s="670">
        <f>A9</f>
        <v>31863.25</v>
      </c>
      <c r="C8" s="669" t="s">
        <v>3520</v>
      </c>
      <c r="D8" s="669">
        <v>662.02000000000044</v>
      </c>
      <c r="E8" s="673"/>
      <c r="F8" s="669">
        <v>170</v>
      </c>
      <c r="G8" s="669">
        <v>170</v>
      </c>
      <c r="H8" s="675">
        <f>D8-(F8+G8)</f>
        <v>322.02000000000044</v>
      </c>
      <c r="I8" s="669">
        <v>-1500</v>
      </c>
    </row>
    <row r="9" spans="1:13" ht="19.899999999999999" customHeight="1">
      <c r="A9" s="670">
        <f>B9-G8</f>
        <v>31863.25</v>
      </c>
      <c r="B9" s="683">
        <v>32033.25</v>
      </c>
      <c r="E9" s="673"/>
      <c r="H9" s="675"/>
      <c r="I9" s="682" t="s">
        <v>3522</v>
      </c>
      <c r="J9" s="680">
        <f>((ABS(I8))*G8)^0.5</f>
        <v>504.97524691810389</v>
      </c>
    </row>
    <row r="10" spans="1:13" ht="19.899999999999999" customHeight="1">
      <c r="A10" s="676">
        <f>B9</f>
        <v>32033.25</v>
      </c>
      <c r="B10" s="676">
        <f>A11</f>
        <v>34459.08</v>
      </c>
      <c r="C10" s="632" t="s">
        <v>3513</v>
      </c>
      <c r="D10" s="677"/>
      <c r="E10" s="678">
        <f t="shared" ref="E10" si="0">B10-A10</f>
        <v>2425.8300000000017</v>
      </c>
      <c r="F10" s="677"/>
      <c r="G10" s="677"/>
      <c r="H10" s="679"/>
      <c r="I10" s="677">
        <v>0</v>
      </c>
      <c r="J10" s="681"/>
      <c r="K10" s="677"/>
    </row>
    <row r="11" spans="1:13" ht="19.899999999999999" customHeight="1">
      <c r="A11" s="683">
        <v>34459.08</v>
      </c>
      <c r="B11" s="670">
        <f>A11+F12</f>
        <v>34609.08</v>
      </c>
      <c r="C11" s="14"/>
      <c r="E11" s="674"/>
      <c r="H11" s="675"/>
      <c r="I11" s="682" t="s">
        <v>3523</v>
      </c>
      <c r="J11" s="680">
        <f>((ABS(I12))*F12)^0.5</f>
        <v>424.26406871192853</v>
      </c>
    </row>
    <row r="12" spans="1:13" ht="19.899999999999999" customHeight="1">
      <c r="A12" s="670">
        <f>B11</f>
        <v>34609.08</v>
      </c>
      <c r="B12" s="670">
        <f>A13</f>
        <v>35078.26</v>
      </c>
      <c r="C12" s="14" t="s">
        <v>3524</v>
      </c>
      <c r="D12" s="669">
        <v>772.02000000000407</v>
      </c>
      <c r="E12" s="673"/>
      <c r="F12" s="669">
        <v>150</v>
      </c>
      <c r="G12" s="669">
        <v>150</v>
      </c>
      <c r="H12" s="675">
        <f t="shared" ref="H12" si="1">D12-(F12+G12)</f>
        <v>472.02000000000407</v>
      </c>
      <c r="I12" s="669">
        <v>1200</v>
      </c>
    </row>
    <row r="13" spans="1:13" ht="19.899999999999999" customHeight="1">
      <c r="A13" s="670">
        <f>B13-G12</f>
        <v>35078.26</v>
      </c>
      <c r="B13" s="683">
        <v>35228.26</v>
      </c>
      <c r="C13" s="14"/>
      <c r="E13" s="673"/>
      <c r="H13" s="675"/>
      <c r="I13" s="682" t="s">
        <v>3525</v>
      </c>
      <c r="J13" s="680">
        <f>((ABS(I12))*F12)^0.5</f>
        <v>424.26406871192853</v>
      </c>
    </row>
    <row r="14" spans="1:13" ht="19.899999999999999" customHeight="1">
      <c r="A14" s="676">
        <f>B13</f>
        <v>35228.26</v>
      </c>
      <c r="B14" s="676">
        <f>A15</f>
        <v>35670</v>
      </c>
      <c r="C14" s="632" t="s">
        <v>3513</v>
      </c>
      <c r="D14" s="677"/>
      <c r="E14" s="678">
        <f t="shared" ref="E14" si="2">B14-A14</f>
        <v>441.73999999999796</v>
      </c>
      <c r="F14" s="677"/>
      <c r="G14" s="677"/>
      <c r="H14" s="679"/>
      <c r="I14" s="677">
        <v>0</v>
      </c>
      <c r="J14" s="681"/>
      <c r="K14" s="677"/>
    </row>
    <row r="15" spans="1:13" ht="19.899999999999999" customHeight="1">
      <c r="A15" s="683">
        <v>35670</v>
      </c>
      <c r="B15" s="670">
        <f>A15+F16</f>
        <v>35840</v>
      </c>
      <c r="C15" s="14"/>
      <c r="E15" s="674"/>
      <c r="H15" s="675"/>
      <c r="I15" s="682" t="s">
        <v>3526</v>
      </c>
      <c r="J15" s="680">
        <f>((ABS(I16))*F16)^0.5</f>
        <v>504.97524691810389</v>
      </c>
    </row>
    <row r="16" spans="1:13" ht="19.899999999999999" customHeight="1">
      <c r="A16" s="670">
        <f>B15</f>
        <v>35840</v>
      </c>
      <c r="B16" s="670">
        <f>A17</f>
        <v>36194.550000000003</v>
      </c>
      <c r="C16" s="669" t="s">
        <v>3520</v>
      </c>
      <c r="D16" s="669">
        <v>690.87000000000262</v>
      </c>
      <c r="E16" s="673"/>
      <c r="F16" s="669">
        <v>170</v>
      </c>
      <c r="G16" s="669">
        <v>170</v>
      </c>
      <c r="H16" s="675">
        <f t="shared" ref="H16" si="3">D16-(F16+G16)</f>
        <v>350.87000000000262</v>
      </c>
      <c r="I16" s="669">
        <v>-1500</v>
      </c>
    </row>
    <row r="17" spans="1:11" ht="19.899999999999999" customHeight="1">
      <c r="A17" s="670">
        <f>B17-G16</f>
        <v>36194.550000000003</v>
      </c>
      <c r="B17" s="683">
        <v>36364.550000000003</v>
      </c>
      <c r="E17" s="673"/>
      <c r="H17" s="675"/>
      <c r="I17" s="682" t="s">
        <v>3527</v>
      </c>
      <c r="J17" s="680">
        <f>((ABS(I16))*F16)^0.5</f>
        <v>504.97524691810389</v>
      </c>
    </row>
    <row r="18" spans="1:11" ht="19.899999999999999" customHeight="1">
      <c r="A18" s="676">
        <f>B17</f>
        <v>36364.550000000003</v>
      </c>
      <c r="B18" s="676">
        <f>A19</f>
        <v>36564.58</v>
      </c>
      <c r="C18" s="632" t="s">
        <v>3513</v>
      </c>
      <c r="D18" s="677"/>
      <c r="E18" s="678">
        <f t="shared" ref="E18" si="4">B18-A18</f>
        <v>200.02999999999884</v>
      </c>
      <c r="F18" s="677"/>
      <c r="G18" s="677"/>
      <c r="H18" s="679"/>
      <c r="I18" s="677">
        <v>0</v>
      </c>
      <c r="J18" s="681"/>
      <c r="K18" s="677"/>
    </row>
    <row r="19" spans="1:11" ht="19.899999999999999" customHeight="1">
      <c r="A19" s="683">
        <v>36564.58</v>
      </c>
      <c r="B19" s="670">
        <f>A19+F20</f>
        <v>36734.58</v>
      </c>
      <c r="C19" s="14"/>
      <c r="E19" s="674"/>
      <c r="H19" s="675"/>
      <c r="I19" s="682" t="s">
        <v>3528</v>
      </c>
      <c r="J19" s="680">
        <f>((ABS(I20))*F20)^0.5</f>
        <v>504.97524691810389</v>
      </c>
    </row>
    <row r="20" spans="1:11" ht="19.899999999999999" customHeight="1">
      <c r="A20" s="670">
        <f>B19</f>
        <v>36734.58</v>
      </c>
      <c r="B20" s="670">
        <f>A21</f>
        <v>36801.660000000003</v>
      </c>
      <c r="C20" s="14" t="s">
        <v>3524</v>
      </c>
      <c r="D20" s="669">
        <v>401.05000000000291</v>
      </c>
      <c r="E20" s="673"/>
      <c r="F20" s="669">
        <v>170</v>
      </c>
      <c r="G20" s="669">
        <v>170</v>
      </c>
      <c r="H20" s="675">
        <f t="shared" ref="H20" si="5">D20-(F20+G20)</f>
        <v>61.05000000000291</v>
      </c>
      <c r="I20" s="669">
        <v>1500</v>
      </c>
    </row>
    <row r="21" spans="1:11" ht="19.899999999999999" customHeight="1">
      <c r="A21" s="670">
        <f>B21-G20</f>
        <v>36801.660000000003</v>
      </c>
      <c r="B21" s="683">
        <v>36971.660000000003</v>
      </c>
      <c r="C21" s="14"/>
      <c r="E21" s="673"/>
      <c r="H21" s="675"/>
      <c r="I21" s="682" t="s">
        <v>3529</v>
      </c>
      <c r="J21" s="680">
        <f>((ABS(I20))*F20)^0.5</f>
        <v>504.97524691810389</v>
      </c>
    </row>
    <row r="22" spans="1:11" ht="19.899999999999999" customHeight="1">
      <c r="A22" s="676">
        <f>B21</f>
        <v>36971.660000000003</v>
      </c>
      <c r="B22" s="676">
        <f>A23</f>
        <v>37130.22</v>
      </c>
      <c r="C22" s="632" t="s">
        <v>3513</v>
      </c>
      <c r="D22" s="677"/>
      <c r="E22" s="678">
        <f t="shared" ref="E22" si="6">B22-A22</f>
        <v>158.55999999999767</v>
      </c>
      <c r="F22" s="677"/>
      <c r="G22" s="677"/>
      <c r="H22" s="679"/>
      <c r="I22" s="677">
        <v>0</v>
      </c>
      <c r="J22" s="681"/>
      <c r="K22" s="677"/>
    </row>
    <row r="23" spans="1:11" ht="19.899999999999999" customHeight="1">
      <c r="A23" s="683">
        <v>37130.22</v>
      </c>
      <c r="B23" s="670">
        <f>A23+F24</f>
        <v>37290.22</v>
      </c>
      <c r="C23" s="14"/>
      <c r="E23" s="674"/>
      <c r="H23" s="675"/>
      <c r="I23" s="682" t="s">
        <v>3530</v>
      </c>
      <c r="J23" s="680">
        <f>((ABS(I24))*F24)^0.5</f>
        <v>438.17804600413291</v>
      </c>
    </row>
    <row r="24" spans="1:11" ht="19.899999999999999" customHeight="1">
      <c r="A24" s="670">
        <f>B23</f>
        <v>37290.22</v>
      </c>
      <c r="B24" s="670">
        <f>A25</f>
        <v>37681.370000000003</v>
      </c>
      <c r="C24" s="669" t="s">
        <v>3520</v>
      </c>
      <c r="D24" s="669">
        <v>709.97000000000116</v>
      </c>
      <c r="E24" s="673"/>
      <c r="F24" s="669">
        <v>160</v>
      </c>
      <c r="G24" s="669">
        <v>160</v>
      </c>
      <c r="H24" s="675">
        <f t="shared" ref="H24" si="7">D24-(F24+G24)</f>
        <v>389.97000000000116</v>
      </c>
      <c r="I24" s="669">
        <v>-1200</v>
      </c>
    </row>
    <row r="25" spans="1:11" ht="19.899999999999999" customHeight="1">
      <c r="A25" s="670">
        <f>B25-G24</f>
        <v>37681.370000000003</v>
      </c>
      <c r="B25" s="683">
        <v>37841.370000000003</v>
      </c>
      <c r="E25" s="673"/>
      <c r="H25" s="675"/>
      <c r="I25" s="682" t="s">
        <v>3531</v>
      </c>
      <c r="J25" s="680">
        <f>((ABS(I24))*F24)^0.5</f>
        <v>438.17804600413291</v>
      </c>
    </row>
    <row r="26" spans="1:11" ht="19.899999999999999" customHeight="1">
      <c r="A26" s="676">
        <f>B25</f>
        <v>37841.370000000003</v>
      </c>
      <c r="B26" s="676">
        <f>A27</f>
        <v>38031.620000000003</v>
      </c>
      <c r="C26" s="632" t="s">
        <v>3513</v>
      </c>
      <c r="D26" s="677"/>
      <c r="E26" s="678">
        <f t="shared" ref="E26:E74" si="8">B26-A26</f>
        <v>190.25</v>
      </c>
      <c r="F26" s="677"/>
      <c r="G26" s="677"/>
      <c r="H26" s="679"/>
      <c r="I26" s="677">
        <v>0</v>
      </c>
      <c r="J26" s="681"/>
      <c r="K26" s="677"/>
    </row>
    <row r="27" spans="1:11" ht="19.899999999999999" customHeight="1">
      <c r="A27" s="683">
        <v>38031.620000000003</v>
      </c>
      <c r="B27" s="670">
        <f>A27+F28</f>
        <v>38151.620000000003</v>
      </c>
      <c r="C27" s="14"/>
      <c r="E27" s="674"/>
      <c r="H27" s="675"/>
      <c r="I27" s="682" t="s">
        <v>3532</v>
      </c>
      <c r="J27" s="680">
        <f>((ABS(I28))*F28)^0.5</f>
        <v>346.41016151377545</v>
      </c>
    </row>
    <row r="28" spans="1:11" ht="19.899999999999999" customHeight="1">
      <c r="A28" s="670">
        <f>B27</f>
        <v>38151.620000000003</v>
      </c>
      <c r="B28" s="670">
        <f>A29</f>
        <v>38410.83</v>
      </c>
      <c r="C28" s="669" t="s">
        <v>3520</v>
      </c>
      <c r="D28" s="669">
        <v>496.33999999999651</v>
      </c>
      <c r="E28" s="673"/>
      <c r="F28" s="669">
        <v>120</v>
      </c>
      <c r="G28" s="669">
        <v>120</v>
      </c>
      <c r="H28" s="675">
        <f t="shared" ref="H28" si="9">D28-(F28+G28)</f>
        <v>256.33999999999651</v>
      </c>
      <c r="I28" s="669">
        <v>-1000</v>
      </c>
    </row>
    <row r="29" spans="1:11" ht="19.899999999999999" customHeight="1">
      <c r="A29" s="670">
        <f>B29-G28</f>
        <v>38410.83</v>
      </c>
      <c r="B29" s="683">
        <v>38530.83</v>
      </c>
      <c r="E29" s="673"/>
      <c r="H29" s="675"/>
      <c r="I29" s="682" t="s">
        <v>3533</v>
      </c>
      <c r="J29" s="680">
        <f>((ABS(I28))*F28)^0.5</f>
        <v>346.41016151377545</v>
      </c>
    </row>
    <row r="30" spans="1:11" ht="19.899999999999999" customHeight="1">
      <c r="A30" s="676">
        <f>B29</f>
        <v>38530.83</v>
      </c>
      <c r="B30" s="676">
        <f>A31</f>
        <v>38617.769999999997</v>
      </c>
      <c r="C30" s="632" t="s">
        <v>3513</v>
      </c>
      <c r="D30" s="677"/>
      <c r="E30" s="678">
        <f t="shared" ref="E30:E78" si="10">B30-A30</f>
        <v>86.939999999995052</v>
      </c>
      <c r="F30" s="677"/>
      <c r="G30" s="677"/>
      <c r="H30" s="679"/>
      <c r="I30" s="677">
        <v>0</v>
      </c>
      <c r="J30" s="681"/>
      <c r="K30" s="677"/>
    </row>
    <row r="31" spans="1:11" ht="19.899999999999999" customHeight="1">
      <c r="A31" s="683">
        <v>38617.769999999997</v>
      </c>
      <c r="B31" s="670">
        <f>A31+F32</f>
        <v>38737.769999999997</v>
      </c>
      <c r="C31" s="14"/>
      <c r="E31" s="674"/>
      <c r="H31" s="675"/>
      <c r="I31" s="682" t="s">
        <v>3534</v>
      </c>
      <c r="J31" s="680">
        <f>((ABS(I32))*F32)^0.5</f>
        <v>346.41016151377545</v>
      </c>
    </row>
    <row r="32" spans="1:11" ht="19.899999999999999" customHeight="1">
      <c r="A32" s="670">
        <f>B31</f>
        <v>38737.769999999997</v>
      </c>
      <c r="B32" s="670">
        <f>A33</f>
        <v>38998.76</v>
      </c>
      <c r="C32" s="14" t="s">
        <v>3524</v>
      </c>
      <c r="D32" s="669">
        <v>490.20000000000437</v>
      </c>
      <c r="E32" s="673"/>
      <c r="F32" s="669">
        <v>120</v>
      </c>
      <c r="G32" s="669">
        <v>120</v>
      </c>
      <c r="H32" s="675">
        <f t="shared" ref="H32" si="11">D32-(F32+G32)</f>
        <v>250.20000000000437</v>
      </c>
      <c r="I32" s="669">
        <v>1000</v>
      </c>
    </row>
    <row r="33" spans="1:11" ht="19.899999999999999" customHeight="1">
      <c r="A33" s="670">
        <f>B33-G32</f>
        <v>38998.76</v>
      </c>
      <c r="B33" s="683">
        <v>39118.76</v>
      </c>
      <c r="C33" s="14"/>
      <c r="E33" s="673"/>
      <c r="H33" s="675"/>
      <c r="I33" s="682" t="s">
        <v>3535</v>
      </c>
      <c r="J33" s="680">
        <f>((ABS(I32))*F32)^0.5</f>
        <v>346.41016151377545</v>
      </c>
    </row>
    <row r="34" spans="1:11" ht="19.899999999999999" customHeight="1">
      <c r="A34" s="676">
        <f>B33</f>
        <v>39118.76</v>
      </c>
      <c r="B34" s="676">
        <f>A35</f>
        <v>39351.449999999997</v>
      </c>
      <c r="C34" s="632" t="s">
        <v>3513</v>
      </c>
      <c r="D34" s="677"/>
      <c r="E34" s="678">
        <f t="shared" ref="E34:E66" si="12">B34-A34</f>
        <v>232.68999999999505</v>
      </c>
      <c r="F34" s="677"/>
      <c r="G34" s="677"/>
      <c r="H34" s="679"/>
      <c r="I34" s="677">
        <v>0</v>
      </c>
      <c r="J34" s="681"/>
      <c r="K34" s="677"/>
    </row>
    <row r="35" spans="1:11" ht="19.899999999999999" customHeight="1">
      <c r="A35" s="683">
        <v>39351.449999999997</v>
      </c>
      <c r="B35" s="670">
        <f>A35+F36</f>
        <v>39481.449999999997</v>
      </c>
      <c r="C35" s="14"/>
      <c r="E35" s="674"/>
      <c r="H35" s="675"/>
      <c r="I35" s="682" t="s">
        <v>3536</v>
      </c>
      <c r="J35" s="680">
        <f>((ABS(I36))*F36)^0.5</f>
        <v>342.05262752974141</v>
      </c>
    </row>
    <row r="36" spans="1:11" ht="19.899999999999999" customHeight="1">
      <c r="A36" s="670">
        <f>B35</f>
        <v>39481.449999999997</v>
      </c>
      <c r="B36" s="670">
        <f>A37</f>
        <v>39760.43</v>
      </c>
      <c r="C36" s="669" t="s">
        <v>3520</v>
      </c>
      <c r="D36" s="669">
        <v>536.61000000000058</v>
      </c>
      <c r="E36" s="673"/>
      <c r="F36" s="669">
        <v>130</v>
      </c>
      <c r="G36" s="669">
        <v>130</v>
      </c>
      <c r="H36" s="675">
        <f t="shared" ref="H36" si="13">D36-(F36+G36)</f>
        <v>276.61000000000058</v>
      </c>
      <c r="I36" s="669">
        <v>-900</v>
      </c>
    </row>
    <row r="37" spans="1:11" ht="19.899999999999999" customHeight="1">
      <c r="A37" s="670">
        <f>B37-G36</f>
        <v>39760.43</v>
      </c>
      <c r="B37" s="683">
        <v>39890.43</v>
      </c>
      <c r="E37" s="673"/>
      <c r="H37" s="675"/>
      <c r="I37" s="682" t="s">
        <v>3537</v>
      </c>
      <c r="J37" s="680">
        <f>((ABS(I36))*F36)^0.5</f>
        <v>342.05262752974141</v>
      </c>
    </row>
    <row r="38" spans="1:11" ht="19.899999999999999" customHeight="1">
      <c r="A38" s="676">
        <f>B37</f>
        <v>39890.43</v>
      </c>
      <c r="B38" s="676">
        <f>A39</f>
        <v>40158.699999999997</v>
      </c>
      <c r="C38" s="632" t="s">
        <v>3513</v>
      </c>
      <c r="D38" s="677"/>
      <c r="E38" s="678">
        <f t="shared" ref="E38" si="14">B38-A38</f>
        <v>268.2699999999968</v>
      </c>
      <c r="F38" s="677"/>
      <c r="G38" s="677"/>
      <c r="H38" s="679"/>
      <c r="I38" s="677">
        <v>0</v>
      </c>
      <c r="J38" s="681"/>
      <c r="K38" s="677"/>
    </row>
    <row r="39" spans="1:11" ht="19.899999999999999" customHeight="1">
      <c r="A39" s="683">
        <v>40158.699999999997</v>
      </c>
      <c r="B39" s="670">
        <f>A39+F40</f>
        <v>40288.699999999997</v>
      </c>
      <c r="C39" s="14"/>
      <c r="E39" s="674"/>
      <c r="H39" s="675"/>
      <c r="I39" s="682" t="s">
        <v>3538</v>
      </c>
      <c r="J39" s="680">
        <f>((ABS(I40))*F40)^0.5</f>
        <v>323.29553043616301</v>
      </c>
    </row>
    <row r="40" spans="1:11" ht="19.899999999999999" customHeight="1">
      <c r="A40" s="670">
        <f>B39</f>
        <v>40288.699999999997</v>
      </c>
      <c r="B40" s="670">
        <f>A41</f>
        <v>40707.68</v>
      </c>
      <c r="C40" s="14" t="s">
        <v>3524</v>
      </c>
      <c r="D40" s="669">
        <v>682.38000000000466</v>
      </c>
      <c r="E40" s="673"/>
      <c r="F40" s="669">
        <v>130</v>
      </c>
      <c r="G40" s="669">
        <v>130</v>
      </c>
      <c r="H40" s="675">
        <f t="shared" ref="H40" si="15">D40-(F40+G40)</f>
        <v>422.38000000000466</v>
      </c>
      <c r="I40" s="669">
        <v>804</v>
      </c>
    </row>
    <row r="41" spans="1:11" ht="19.899999999999999" customHeight="1">
      <c r="A41" s="670">
        <f>B41-G40</f>
        <v>40707.68</v>
      </c>
      <c r="B41" s="683">
        <v>40837.68</v>
      </c>
      <c r="C41" s="14"/>
      <c r="E41" s="673"/>
      <c r="H41" s="675"/>
      <c r="I41" s="682" t="s">
        <v>3539</v>
      </c>
      <c r="J41" s="680">
        <f>((ABS(I40))*F40)^0.5</f>
        <v>323.29553043616301</v>
      </c>
    </row>
    <row r="42" spans="1:11" ht="19.899999999999999" customHeight="1">
      <c r="A42" s="676">
        <f>B41</f>
        <v>40837.68</v>
      </c>
      <c r="B42" s="676">
        <f>A43</f>
        <v>42613.24</v>
      </c>
      <c r="C42" s="632" t="s">
        <v>3513</v>
      </c>
      <c r="D42" s="677"/>
      <c r="E42" s="678">
        <f t="shared" si="8"/>
        <v>1775.5599999999977</v>
      </c>
      <c r="F42" s="677"/>
      <c r="G42" s="677"/>
      <c r="H42" s="679"/>
      <c r="I42" s="677">
        <v>0</v>
      </c>
      <c r="J42" s="681"/>
      <c r="K42" s="677"/>
    </row>
    <row r="43" spans="1:11" ht="19.899999999999999" customHeight="1">
      <c r="A43" s="683">
        <v>42613.24</v>
      </c>
      <c r="B43" s="670">
        <f>A43+F44</f>
        <v>42703.24</v>
      </c>
      <c r="C43" s="14"/>
      <c r="E43" s="674"/>
      <c r="H43" s="675"/>
      <c r="I43" s="682" t="s">
        <v>3540</v>
      </c>
      <c r="J43" s="680">
        <f>((ABS(I44))*F44)^0.5</f>
        <v>454.97252664309303</v>
      </c>
    </row>
    <row r="44" spans="1:11" ht="19.899999999999999" customHeight="1">
      <c r="A44" s="670">
        <f>B43</f>
        <v>42703.24</v>
      </c>
      <c r="B44" s="670">
        <f>A45</f>
        <v>42763.3</v>
      </c>
      <c r="C44" s="14" t="s">
        <v>3524</v>
      </c>
      <c r="D44" s="669">
        <v>250.58000000000175</v>
      </c>
      <c r="E44" s="673"/>
      <c r="F44" s="669">
        <v>90</v>
      </c>
      <c r="G44" s="669">
        <v>90</v>
      </c>
      <c r="H44" s="675">
        <f t="shared" ref="H44" si="16">D44-(F44+G44)</f>
        <v>70.580000000001746</v>
      </c>
      <c r="I44" s="669">
        <v>2300</v>
      </c>
    </row>
    <row r="45" spans="1:11" ht="19.899999999999999" customHeight="1">
      <c r="A45" s="670">
        <f>B45-G44</f>
        <v>42763.3</v>
      </c>
      <c r="B45" s="683">
        <v>42853.3</v>
      </c>
      <c r="C45" s="14"/>
      <c r="E45" s="673"/>
      <c r="H45" s="675"/>
      <c r="I45" s="682" t="s">
        <v>3541</v>
      </c>
      <c r="J45" s="680">
        <f>((ABS(I44))*F44)^0.5</f>
        <v>454.97252664309303</v>
      </c>
    </row>
    <row r="46" spans="1:11" ht="19.899999999999999" customHeight="1">
      <c r="A46" s="676">
        <f>B45</f>
        <v>42853.3</v>
      </c>
      <c r="B46" s="676">
        <f>A47</f>
        <v>44445.64</v>
      </c>
      <c r="C46" s="632" t="s">
        <v>3513</v>
      </c>
      <c r="D46" s="677"/>
      <c r="E46" s="678">
        <f t="shared" si="10"/>
        <v>1592.3399999999965</v>
      </c>
      <c r="F46" s="677"/>
      <c r="G46" s="677"/>
      <c r="H46" s="679"/>
      <c r="I46" s="677">
        <v>0</v>
      </c>
      <c r="J46" s="681"/>
      <c r="K46" s="677"/>
    </row>
    <row r="47" spans="1:11" ht="19.899999999999999" customHeight="1">
      <c r="A47" s="683">
        <v>44445.64</v>
      </c>
      <c r="B47" s="670">
        <f>A47+F48</f>
        <v>44605.64</v>
      </c>
      <c r="C47" s="14"/>
      <c r="E47" s="674"/>
      <c r="H47" s="675"/>
      <c r="I47" s="682" t="s">
        <v>3542</v>
      </c>
      <c r="J47" s="680">
        <f>((ABS(I48))*F48)^0.5</f>
        <v>439.08996800200299</v>
      </c>
    </row>
    <row r="48" spans="1:11" ht="19.899999999999999" customHeight="1">
      <c r="A48" s="670">
        <f>B47</f>
        <v>44605.64</v>
      </c>
      <c r="B48" s="670">
        <f>A49</f>
        <v>45211.83</v>
      </c>
      <c r="C48" s="14" t="s">
        <v>3524</v>
      </c>
      <c r="D48" s="669">
        <v>929.80000000000291</v>
      </c>
      <c r="E48" s="673"/>
      <c r="F48" s="669">
        <v>160</v>
      </c>
      <c r="G48" s="669">
        <v>160</v>
      </c>
      <c r="H48" s="675">
        <f t="shared" ref="H48" si="17">D48-(F48+G48)</f>
        <v>609.80000000000291</v>
      </c>
      <c r="I48" s="669">
        <v>1205</v>
      </c>
    </row>
    <row r="49" spans="1:11" ht="19.899999999999999" customHeight="1">
      <c r="A49" s="670">
        <f>B49-G48</f>
        <v>45211.83</v>
      </c>
      <c r="B49" s="683">
        <v>45371.83</v>
      </c>
      <c r="C49" s="14"/>
      <c r="E49" s="673"/>
      <c r="H49" s="675"/>
      <c r="I49" s="682" t="s">
        <v>3543</v>
      </c>
      <c r="J49" s="680">
        <f>((ABS(I48))*F48)^0.5</f>
        <v>439.08996800200299</v>
      </c>
    </row>
    <row r="50" spans="1:11" ht="19.899999999999999" customHeight="1">
      <c r="A50" s="676">
        <f>B49</f>
        <v>45371.83</v>
      </c>
      <c r="B50" s="676">
        <f>A51</f>
        <v>46399.06</v>
      </c>
      <c r="C50" s="632" t="s">
        <v>3513</v>
      </c>
      <c r="D50" s="677"/>
      <c r="E50" s="678">
        <f t="shared" si="12"/>
        <v>1027.2299999999959</v>
      </c>
      <c r="F50" s="677"/>
      <c r="G50" s="677"/>
      <c r="H50" s="679"/>
      <c r="I50" s="677">
        <v>0</v>
      </c>
      <c r="J50" s="681"/>
      <c r="K50" s="677"/>
    </row>
    <row r="51" spans="1:11" ht="19.899999999999999" customHeight="1">
      <c r="A51" s="683">
        <v>46399.06</v>
      </c>
      <c r="B51" s="670">
        <f>A51+F52</f>
        <v>46549.06</v>
      </c>
      <c r="C51" s="14"/>
      <c r="E51" s="674"/>
      <c r="H51" s="675"/>
      <c r="I51" s="682" t="s">
        <v>3544</v>
      </c>
      <c r="J51" s="680">
        <f>((ABS(I52))*F52)^0.5</f>
        <v>547.72255750516615</v>
      </c>
    </row>
    <row r="52" spans="1:11" ht="19.899999999999999" customHeight="1">
      <c r="A52" s="670">
        <f>B51</f>
        <v>46549.06</v>
      </c>
      <c r="B52" s="670">
        <f>A53</f>
        <v>46684.13</v>
      </c>
      <c r="C52" s="14" t="s">
        <v>3524</v>
      </c>
      <c r="D52" s="669">
        <v>405.11000000000058</v>
      </c>
      <c r="E52" s="673"/>
      <c r="F52" s="669">
        <v>150</v>
      </c>
      <c r="G52" s="669">
        <v>150</v>
      </c>
      <c r="H52" s="675">
        <f t="shared" ref="H52" si="18">D52-(F52+G52)</f>
        <v>105.11000000000058</v>
      </c>
      <c r="I52" s="669">
        <v>2000</v>
      </c>
    </row>
    <row r="53" spans="1:11" ht="19.899999999999999" customHeight="1">
      <c r="A53" s="670">
        <f>B53-G52</f>
        <v>46684.13</v>
      </c>
      <c r="B53" s="683">
        <v>46834.13</v>
      </c>
      <c r="C53" s="14"/>
      <c r="E53" s="673"/>
      <c r="H53" s="675"/>
      <c r="I53" s="682" t="s">
        <v>3545</v>
      </c>
      <c r="J53" s="680">
        <f>((ABS(I52))*F52)^0.5</f>
        <v>547.72255750516615</v>
      </c>
    </row>
    <row r="54" spans="1:11" ht="19.899999999999999" customHeight="1">
      <c r="A54" s="676">
        <f>B53</f>
        <v>46834.13</v>
      </c>
      <c r="B54" s="676">
        <f>A55</f>
        <v>47658.879999999997</v>
      </c>
      <c r="C54" s="632" t="s">
        <v>3513</v>
      </c>
      <c r="D54" s="677"/>
      <c r="E54" s="678">
        <f t="shared" ref="E54" si="19">B54-A54</f>
        <v>824.75</v>
      </c>
      <c r="F54" s="677"/>
      <c r="G54" s="677"/>
      <c r="H54" s="679"/>
      <c r="I54" s="677">
        <v>0</v>
      </c>
      <c r="J54" s="681"/>
      <c r="K54" s="677"/>
    </row>
    <row r="55" spans="1:11" ht="19.899999999999999" customHeight="1">
      <c r="A55" s="683">
        <v>47658.879999999997</v>
      </c>
      <c r="B55" s="670">
        <f>A55+F56</f>
        <v>47778.879999999997</v>
      </c>
      <c r="C55" s="14"/>
      <c r="E55" s="674"/>
      <c r="H55" s="675"/>
      <c r="I55" s="682" t="s">
        <v>3546</v>
      </c>
      <c r="J55" s="680">
        <f>((ABS(I56))*F56)^0.5</f>
        <v>438.17804600413291</v>
      </c>
    </row>
    <row r="56" spans="1:11" ht="19.899999999999999" customHeight="1">
      <c r="A56" s="670">
        <f>B55</f>
        <v>47778.879999999997</v>
      </c>
      <c r="B56" s="670">
        <f>A57</f>
        <v>47931.31</v>
      </c>
      <c r="C56" s="14" t="s">
        <v>3524</v>
      </c>
      <c r="D56" s="669">
        <v>382.74000000000524</v>
      </c>
      <c r="E56" s="673"/>
      <c r="F56" s="669">
        <v>120</v>
      </c>
      <c r="G56" s="669">
        <v>120</v>
      </c>
      <c r="H56" s="675">
        <f t="shared" ref="H56" si="20">D56-(F56+G56)</f>
        <v>142.74000000000524</v>
      </c>
      <c r="I56" s="669">
        <v>1600</v>
      </c>
    </row>
    <row r="57" spans="1:11" ht="19.899999999999999" customHeight="1">
      <c r="A57" s="670">
        <f>B57-G56</f>
        <v>47931.31</v>
      </c>
      <c r="B57" s="683">
        <v>48051.31</v>
      </c>
      <c r="C57" s="14"/>
      <c r="E57" s="673"/>
      <c r="H57" s="675"/>
      <c r="I57" s="682" t="s">
        <v>3547</v>
      </c>
      <c r="J57" s="680">
        <f>((ABS(I56))*F56)^0.5</f>
        <v>438.17804600413291</v>
      </c>
    </row>
    <row r="58" spans="1:11" ht="19.899999999999999" customHeight="1">
      <c r="A58" s="676">
        <f>B57</f>
        <v>48051.31</v>
      </c>
      <c r="B58" s="676">
        <f>A59</f>
        <v>49241.14</v>
      </c>
      <c r="C58" s="632" t="s">
        <v>3513</v>
      </c>
      <c r="D58" s="677"/>
      <c r="E58" s="678">
        <f t="shared" si="8"/>
        <v>1189.8300000000017</v>
      </c>
      <c r="F58" s="677"/>
      <c r="G58" s="677"/>
      <c r="H58" s="679"/>
      <c r="I58" s="677">
        <v>0</v>
      </c>
      <c r="J58" s="681"/>
      <c r="K58" s="677"/>
    </row>
    <row r="59" spans="1:11" ht="19.899999999999999" customHeight="1">
      <c r="A59" s="683">
        <v>49241.14</v>
      </c>
      <c r="B59" s="670">
        <f>A59+F60</f>
        <v>49361.14</v>
      </c>
      <c r="C59" s="14"/>
      <c r="E59" s="674"/>
      <c r="H59" s="675"/>
      <c r="I59" s="682" t="s">
        <v>3548</v>
      </c>
      <c r="J59" s="680">
        <f>((ABS(I60))*F60)^0.5</f>
        <v>367.42346141747669</v>
      </c>
    </row>
    <row r="60" spans="1:11" ht="19.899999999999999" customHeight="1">
      <c r="A60" s="670">
        <f>B59</f>
        <v>49361.14</v>
      </c>
      <c r="B60" s="670">
        <f>A61</f>
        <v>49657.08</v>
      </c>
      <c r="C60" s="14" t="s">
        <v>3524</v>
      </c>
      <c r="D60" s="669">
        <v>538.62000000000262</v>
      </c>
      <c r="E60" s="673"/>
      <c r="F60" s="669">
        <v>120</v>
      </c>
      <c r="G60" s="669">
        <v>120</v>
      </c>
      <c r="H60" s="675">
        <f t="shared" ref="H60" si="21">D60-(F60+G60)</f>
        <v>298.62000000000262</v>
      </c>
      <c r="I60" s="669">
        <v>1125</v>
      </c>
    </row>
    <row r="61" spans="1:11" ht="19.899999999999999" customHeight="1">
      <c r="A61" s="670">
        <f>B61-G60</f>
        <v>49657.08</v>
      </c>
      <c r="B61" s="683">
        <v>49777.08</v>
      </c>
      <c r="C61" s="14"/>
      <c r="E61" s="673"/>
      <c r="H61" s="675"/>
      <c r="I61" s="682" t="s">
        <v>3549</v>
      </c>
      <c r="J61" s="680">
        <f>((ABS(I60))*F60)^0.5</f>
        <v>367.42346141747669</v>
      </c>
    </row>
    <row r="62" spans="1:11" ht="19.899999999999999" customHeight="1">
      <c r="A62" s="676">
        <f>B61</f>
        <v>49777.08</v>
      </c>
      <c r="B62" s="676">
        <f>A63</f>
        <v>51076.04</v>
      </c>
      <c r="C62" s="632" t="s">
        <v>3513</v>
      </c>
      <c r="D62" s="677"/>
      <c r="E62" s="678">
        <f t="shared" si="10"/>
        <v>1298.9599999999991</v>
      </c>
      <c r="F62" s="677"/>
      <c r="G62" s="677"/>
      <c r="H62" s="679"/>
      <c r="I62" s="677">
        <v>0</v>
      </c>
      <c r="J62" s="681"/>
      <c r="K62" s="677"/>
    </row>
    <row r="63" spans="1:11" ht="19.899999999999999" customHeight="1">
      <c r="A63" s="683">
        <v>51076.04</v>
      </c>
      <c r="B63" s="670">
        <f>A63+F64</f>
        <v>51171.040000000001</v>
      </c>
      <c r="C63" s="14"/>
      <c r="E63" s="674"/>
      <c r="H63" s="675"/>
      <c r="I63" s="682" t="s">
        <v>3550</v>
      </c>
      <c r="J63" s="680">
        <f>((ABS(I64))*F64)^0.5</f>
        <v>344.60121880225552</v>
      </c>
    </row>
    <row r="64" spans="1:11" ht="19.899999999999999" customHeight="1">
      <c r="A64" s="670">
        <f>B63</f>
        <v>51171.040000000001</v>
      </c>
      <c r="B64" s="670">
        <f>A65</f>
        <v>51435.45</v>
      </c>
      <c r="C64" s="669" t="s">
        <v>3520</v>
      </c>
      <c r="D64" s="669">
        <v>453.73999999999796</v>
      </c>
      <c r="E64" s="673"/>
      <c r="F64" s="669">
        <v>95</v>
      </c>
      <c r="G64" s="669">
        <v>95</v>
      </c>
      <c r="H64" s="675">
        <f t="shared" ref="H64" si="22">D64-(F64+G64)</f>
        <v>263.73999999999796</v>
      </c>
      <c r="I64" s="669">
        <v>-1250</v>
      </c>
    </row>
    <row r="65" spans="1:11" ht="19.899999999999999" customHeight="1">
      <c r="A65" s="670">
        <f>B65-G64</f>
        <v>51435.45</v>
      </c>
      <c r="B65" s="683">
        <v>51530.45</v>
      </c>
      <c r="E65" s="673"/>
      <c r="H65" s="675"/>
      <c r="I65" s="682" t="s">
        <v>3551</v>
      </c>
      <c r="J65" s="680">
        <f>((ABS(I64))*F64)^0.5</f>
        <v>344.60121880225552</v>
      </c>
    </row>
    <row r="66" spans="1:11" ht="19.899999999999999" customHeight="1">
      <c r="A66" s="676">
        <f>B65</f>
        <v>51530.45</v>
      </c>
      <c r="B66" s="676">
        <f>A67</f>
        <v>52552.74</v>
      </c>
      <c r="C66" s="632" t="s">
        <v>3513</v>
      </c>
      <c r="D66" s="677"/>
      <c r="E66" s="678">
        <f t="shared" si="12"/>
        <v>1022.2900000000009</v>
      </c>
      <c r="F66" s="677"/>
      <c r="G66" s="677"/>
      <c r="H66" s="679"/>
      <c r="I66" s="677">
        <v>0</v>
      </c>
      <c r="J66" s="681"/>
      <c r="K66" s="677"/>
    </row>
    <row r="67" spans="1:11" ht="19.899999999999999" customHeight="1">
      <c r="A67" s="683">
        <v>52552.74</v>
      </c>
      <c r="B67" s="670">
        <f>A67+F68</f>
        <v>52712.74</v>
      </c>
      <c r="C67" s="14"/>
      <c r="E67" s="674"/>
      <c r="H67" s="675"/>
      <c r="I67" s="682" t="s">
        <v>3552</v>
      </c>
      <c r="J67" s="680">
        <f>((ABS(I68))*F68)^0.5</f>
        <v>346.41016151377545</v>
      </c>
    </row>
    <row r="68" spans="1:11" ht="19.899999999999999" customHeight="1">
      <c r="A68" s="670">
        <f>B67</f>
        <v>52712.74</v>
      </c>
      <c r="B68" s="670">
        <f>A69</f>
        <v>53086.27</v>
      </c>
      <c r="C68" s="669" t="s">
        <v>3520</v>
      </c>
      <c r="D68" s="669">
        <v>693.36999999999534</v>
      </c>
      <c r="E68" s="673"/>
      <c r="F68" s="669">
        <v>160</v>
      </c>
      <c r="G68" s="669">
        <v>160</v>
      </c>
      <c r="H68" s="675">
        <f t="shared" ref="H68" si="23">D68-(F68+G68)</f>
        <v>373.36999999999534</v>
      </c>
      <c r="I68" s="669">
        <v>-750</v>
      </c>
    </row>
    <row r="69" spans="1:11" ht="19.899999999999999" customHeight="1">
      <c r="A69" s="670">
        <f>B69-G68</f>
        <v>53086.27</v>
      </c>
      <c r="B69" s="683">
        <v>53246.27</v>
      </c>
      <c r="E69" s="673"/>
      <c r="H69" s="675"/>
      <c r="I69" s="682" t="s">
        <v>3553</v>
      </c>
      <c r="J69" s="680">
        <f>((ABS(I68))*F68)^0.5</f>
        <v>346.41016151377545</v>
      </c>
    </row>
    <row r="70" spans="1:11" ht="19.899999999999999" customHeight="1">
      <c r="A70" s="676">
        <f>B69</f>
        <v>53246.27</v>
      </c>
      <c r="B70" s="676">
        <f>A71</f>
        <v>54139.01</v>
      </c>
      <c r="C70" s="632" t="s">
        <v>3513</v>
      </c>
      <c r="D70" s="677"/>
      <c r="E70" s="678">
        <f t="shared" ref="E70" si="24">B70-A70</f>
        <v>892.74000000000524</v>
      </c>
      <c r="F70" s="677"/>
      <c r="G70" s="677"/>
      <c r="H70" s="679"/>
      <c r="I70" s="677">
        <v>0</v>
      </c>
      <c r="J70" s="681"/>
      <c r="K70" s="677"/>
    </row>
    <row r="71" spans="1:11" ht="19.899999999999999" customHeight="1">
      <c r="A71" s="683">
        <v>54139.01</v>
      </c>
      <c r="B71" s="670">
        <f>A71+F72</f>
        <v>54281.01</v>
      </c>
      <c r="C71" s="14"/>
      <c r="E71" s="674"/>
      <c r="H71" s="675"/>
      <c r="I71" s="682" t="s">
        <v>3554</v>
      </c>
      <c r="J71" s="680">
        <f>((ABS(I72))*F72)^0.5</f>
        <v>571.48928248918196</v>
      </c>
    </row>
    <row r="72" spans="1:11" ht="19.899999999999999" customHeight="1">
      <c r="A72" s="670">
        <f>B71</f>
        <v>54281.01</v>
      </c>
      <c r="B72" s="670">
        <f>A73</f>
        <v>54571.11</v>
      </c>
      <c r="C72" s="669" t="s">
        <v>3520</v>
      </c>
      <c r="D72" s="669">
        <v>573.65999999999622</v>
      </c>
      <c r="E72" s="673"/>
      <c r="F72" s="669">
        <v>142</v>
      </c>
      <c r="G72" s="669">
        <v>142</v>
      </c>
      <c r="H72" s="675">
        <f t="shared" ref="H72" si="25">D72-(F72+G72)</f>
        <v>289.65999999999622</v>
      </c>
      <c r="I72" s="669">
        <v>-2300</v>
      </c>
    </row>
    <row r="73" spans="1:11" ht="19.899999999999999" customHeight="1">
      <c r="A73" s="670">
        <f>B73-G72</f>
        <v>54571.11</v>
      </c>
      <c r="B73" s="683">
        <v>54713.11</v>
      </c>
      <c r="E73" s="673"/>
      <c r="H73" s="675"/>
      <c r="I73" s="682" t="s">
        <v>3555</v>
      </c>
      <c r="J73" s="680">
        <f>((ABS(I72))*F72)^0.5</f>
        <v>571.48928248918196</v>
      </c>
    </row>
    <row r="74" spans="1:11" ht="19.899999999999999" customHeight="1">
      <c r="A74" s="676">
        <f>B73</f>
        <v>54713.11</v>
      </c>
      <c r="B74" s="676">
        <f>A75</f>
        <v>56894.239999999998</v>
      </c>
      <c r="C74" s="632" t="s">
        <v>3513</v>
      </c>
      <c r="D74" s="677"/>
      <c r="E74" s="678">
        <f t="shared" si="8"/>
        <v>2181.1299999999974</v>
      </c>
      <c r="F74" s="677"/>
      <c r="G74" s="677"/>
      <c r="H74" s="679"/>
      <c r="I74" s="677">
        <v>0</v>
      </c>
      <c r="J74" s="681"/>
      <c r="K74" s="677"/>
    </row>
    <row r="75" spans="1:11" ht="19.899999999999999" customHeight="1">
      <c r="A75" s="683">
        <v>56894.239999999998</v>
      </c>
      <c r="B75" s="670">
        <f>A75+F76</f>
        <v>57036.24</v>
      </c>
      <c r="C75" s="14"/>
      <c r="E75" s="674"/>
      <c r="H75" s="675"/>
      <c r="I75" s="682" t="s">
        <v>3556</v>
      </c>
      <c r="J75" s="680">
        <f>((ABS(I76))*F76)^0.5</f>
        <v>571.48928248918196</v>
      </c>
    </row>
    <row r="76" spans="1:11" ht="19.899999999999999" customHeight="1">
      <c r="A76" s="670">
        <f>B75</f>
        <v>57036.24</v>
      </c>
      <c r="B76" s="670">
        <f>A77</f>
        <v>57056.97</v>
      </c>
      <c r="C76" s="14" t="s">
        <v>3524</v>
      </c>
      <c r="D76" s="669">
        <v>304.63999999999942</v>
      </c>
      <c r="E76" s="673"/>
      <c r="F76" s="669">
        <v>142</v>
      </c>
      <c r="G76" s="669">
        <v>142</v>
      </c>
      <c r="H76" s="675">
        <f t="shared" ref="H76" si="26">D76-(F76+G76)</f>
        <v>20.639999999999418</v>
      </c>
      <c r="I76" s="669">
        <v>-2300</v>
      </c>
    </row>
    <row r="77" spans="1:11" ht="19.899999999999999" customHeight="1">
      <c r="A77" s="670">
        <f>B77-G76</f>
        <v>57056.97</v>
      </c>
      <c r="B77" s="683">
        <v>57198.97</v>
      </c>
      <c r="C77" s="14"/>
      <c r="E77" s="673"/>
      <c r="H77" s="675"/>
      <c r="I77" s="682" t="s">
        <v>3557</v>
      </c>
      <c r="J77" s="680">
        <f>((ABS(I76))*F76)^0.5</f>
        <v>571.48928248918196</v>
      </c>
    </row>
    <row r="78" spans="1:11" ht="19.899999999999999" customHeight="1">
      <c r="A78" s="676">
        <f>B77</f>
        <v>57198.97</v>
      </c>
      <c r="B78" s="676">
        <f>A79</f>
        <v>58875.23</v>
      </c>
      <c r="C78" s="632" t="s">
        <v>3513</v>
      </c>
      <c r="D78" s="677"/>
      <c r="E78" s="678">
        <f t="shared" si="10"/>
        <v>1676.260000000002</v>
      </c>
      <c r="F78" s="677"/>
      <c r="G78" s="677"/>
      <c r="H78" s="679"/>
      <c r="I78" s="677">
        <v>0</v>
      </c>
      <c r="J78" s="681"/>
      <c r="K78" s="677"/>
    </row>
    <row r="79" spans="1:11" ht="19.899999999999999" customHeight="1">
      <c r="A79" s="683">
        <v>58875.23</v>
      </c>
      <c r="B79" s="670">
        <f>A79+F80</f>
        <v>58995.23</v>
      </c>
      <c r="C79" s="14"/>
      <c r="E79" s="674"/>
      <c r="H79" s="675"/>
      <c r="I79" s="682" t="s">
        <v>3558</v>
      </c>
      <c r="J79" s="680">
        <f>((ABS(I80))*F80)^0.5</f>
        <v>379.4733192202055</v>
      </c>
    </row>
    <row r="80" spans="1:11" ht="19.899999999999999" customHeight="1">
      <c r="A80" s="670">
        <f>B79</f>
        <v>58995.23</v>
      </c>
      <c r="B80" s="670">
        <f>A81</f>
        <v>59285.97</v>
      </c>
      <c r="C80" s="14" t="s">
        <v>3524</v>
      </c>
      <c r="D80" s="669">
        <v>556.29999999999563</v>
      </c>
      <c r="E80" s="673"/>
      <c r="F80" s="669">
        <v>120</v>
      </c>
      <c r="G80" s="669">
        <v>120</v>
      </c>
      <c r="H80" s="675">
        <f t="shared" ref="H80" si="27">D80-(F80+G80)</f>
        <v>316.29999999999563</v>
      </c>
      <c r="I80" s="669">
        <v>1200</v>
      </c>
    </row>
    <row r="81" spans="1:11" ht="19.899999999999999" customHeight="1">
      <c r="A81" s="670">
        <f>B81-G80</f>
        <v>59285.97</v>
      </c>
      <c r="B81" s="683">
        <v>59405.97</v>
      </c>
      <c r="I81" s="682" t="s">
        <v>3559</v>
      </c>
      <c r="J81" s="680">
        <f>((ABS(I80))*F80)^0.5</f>
        <v>379.4733192202055</v>
      </c>
    </row>
    <row r="82" spans="1:11" ht="19.899999999999999" customHeight="1">
      <c r="A82" s="676">
        <f>B81</f>
        <v>59405.97</v>
      </c>
      <c r="B82" s="676">
        <v>61000</v>
      </c>
      <c r="C82" s="677"/>
      <c r="D82" s="677"/>
      <c r="E82" s="684">
        <f t="shared" ref="E82" si="28">B82-A82</f>
        <v>1594.0299999999988</v>
      </c>
      <c r="F82" s="677"/>
      <c r="G82" s="677"/>
      <c r="H82" s="677"/>
      <c r="I82" s="677">
        <v>0</v>
      </c>
      <c r="J82" s="681"/>
      <c r="K82" s="677"/>
    </row>
    <row r="83" spans="1:11" ht="19.899999999999999" customHeight="1"/>
    <row r="84" spans="1:11" ht="19.899999999999999" customHeight="1"/>
    <row r="85" spans="1:11" ht="19.899999999999999" customHeight="1"/>
    <row r="86" spans="1:11" ht="19.899999999999999" customHeight="1"/>
    <row r="87" spans="1:11" ht="19.899999999999999" customHeight="1"/>
    <row r="88" spans="1:11" ht="19.899999999999999" customHeight="1"/>
    <row r="89" spans="1:11" ht="19.899999999999999" customHeight="1"/>
    <row r="90" spans="1:11" ht="19.899999999999999" customHeight="1"/>
    <row r="91" spans="1:11" ht="19.899999999999999" customHeight="1"/>
    <row r="92" spans="1:11" ht="19.899999999999999" customHeight="1"/>
    <row r="93" spans="1:11" ht="19.899999999999999" customHeight="1"/>
    <row r="94" spans="1:11" ht="19.899999999999999" customHeight="1"/>
    <row r="95" spans="1:11" ht="19.899999999999999" customHeight="1"/>
    <row r="96" spans="1:11" ht="19.899999999999999" customHeight="1"/>
    <row r="97" ht="19.899999999999999" customHeight="1"/>
    <row r="98" ht="19.899999999999999" customHeight="1"/>
    <row r="99" ht="19.899999999999999" customHeight="1"/>
    <row r="100" ht="19.899999999999999" customHeight="1"/>
    <row r="101" ht="19.899999999999999" customHeight="1"/>
    <row r="102" ht="19.899999999999999" customHeight="1"/>
    <row r="103" ht="19.899999999999999" customHeight="1"/>
    <row r="104" ht="19.899999999999999" customHeight="1"/>
    <row r="105" ht="19.899999999999999" customHeight="1"/>
    <row r="106" ht="19.899999999999999" customHeight="1"/>
    <row r="107" ht="19.899999999999999" customHeight="1"/>
    <row r="108" ht="19.899999999999999" customHeight="1"/>
    <row r="109" ht="19.899999999999999" customHeight="1"/>
    <row r="110" ht="19.899999999999999" customHeight="1"/>
    <row r="111" ht="19.899999999999999" customHeight="1"/>
    <row r="112" ht="19.899999999999999" customHeight="1"/>
    <row r="113" ht="19.899999999999999" customHeight="1"/>
    <row r="114" ht="19.899999999999999" customHeight="1"/>
    <row r="115" ht="19.899999999999999" customHeight="1"/>
    <row r="116" ht="19.899999999999999" customHeight="1"/>
    <row r="117" ht="19.899999999999999" customHeight="1"/>
    <row r="118" ht="19.899999999999999" customHeight="1"/>
    <row r="119" ht="19.899999999999999" customHeight="1"/>
    <row r="120" ht="19.899999999999999" customHeight="1"/>
    <row r="121" ht="19.899999999999999" customHeight="1"/>
    <row r="122" ht="19.899999999999999" customHeight="1"/>
    <row r="123" ht="19.899999999999999" customHeight="1"/>
    <row r="124" ht="19.899999999999999" customHeight="1"/>
    <row r="125" ht="19.899999999999999" customHeight="1"/>
    <row r="126" ht="19.899999999999999" customHeight="1"/>
    <row r="127" ht="19.899999999999999" customHeight="1"/>
    <row r="128" ht="19.899999999999999" customHeight="1"/>
    <row r="129" ht="19.899999999999999" customHeight="1"/>
    <row r="130" ht="19.899999999999999" customHeight="1"/>
    <row r="131" ht="19.899999999999999" customHeight="1"/>
    <row r="132" ht="19.899999999999999" customHeight="1"/>
    <row r="133" ht="19.899999999999999" customHeight="1"/>
    <row r="134" ht="19.899999999999999" customHeight="1"/>
    <row r="135" ht="19.899999999999999" customHeight="1"/>
    <row r="136" ht="19.899999999999999" customHeight="1"/>
    <row r="137" ht="19.899999999999999" customHeight="1"/>
    <row r="138" ht="19.899999999999999" customHeight="1"/>
    <row r="139" ht="19.899999999999999" customHeight="1"/>
    <row r="140" ht="19.899999999999999" customHeight="1"/>
    <row r="141" ht="19.899999999999999" customHeight="1"/>
    <row r="142" ht="19.899999999999999" customHeight="1"/>
    <row r="143" ht="19.899999999999999" customHeight="1"/>
    <row r="144" ht="19.899999999999999" customHeight="1"/>
    <row r="145" ht="19.899999999999999" customHeight="1"/>
    <row r="146" ht="19.899999999999999" customHeight="1"/>
    <row r="147" ht="19.899999999999999" customHeight="1"/>
    <row r="148" ht="19.899999999999999" customHeight="1"/>
    <row r="149" ht="19.899999999999999" customHeight="1"/>
    <row r="150" ht="19.899999999999999" customHeight="1"/>
    <row r="151" ht="19.899999999999999" customHeight="1"/>
    <row r="152" ht="19.899999999999999" customHeight="1"/>
    <row r="153" ht="19.899999999999999" customHeight="1"/>
    <row r="154" ht="19.899999999999999" customHeight="1"/>
    <row r="155" ht="19.899999999999999" customHeight="1"/>
    <row r="156" ht="19.899999999999999" customHeight="1"/>
    <row r="157" ht="19.899999999999999" customHeight="1"/>
    <row r="158" ht="19.899999999999999" customHeight="1"/>
    <row r="159" ht="19.899999999999999" customHeight="1"/>
    <row r="160" ht="19.899999999999999" customHeight="1"/>
    <row r="161" ht="19.899999999999999" customHeight="1"/>
    <row r="162" ht="19.899999999999999" customHeight="1"/>
    <row r="163" ht="19.899999999999999" customHeight="1"/>
    <row r="164" ht="19.899999999999999" customHeight="1"/>
    <row r="165" ht="19.899999999999999" customHeight="1"/>
    <row r="166" ht="19.899999999999999" customHeight="1"/>
    <row r="167" ht="19.899999999999999" customHeight="1"/>
    <row r="168" ht="19.899999999999999" customHeight="1"/>
    <row r="169" ht="19.899999999999999" customHeight="1"/>
    <row r="170" ht="19.899999999999999" customHeight="1"/>
    <row r="171" ht="19.899999999999999" customHeight="1"/>
    <row r="172" ht="19.899999999999999" customHeight="1"/>
    <row r="173" ht="19.899999999999999" customHeight="1"/>
    <row r="174" ht="19.899999999999999" customHeight="1"/>
    <row r="175" ht="19.899999999999999" customHeight="1"/>
    <row r="176" ht="19.899999999999999" customHeight="1"/>
    <row r="177" ht="19.899999999999999" customHeight="1"/>
    <row r="178" ht="19.899999999999999" customHeight="1"/>
    <row r="179" ht="19.899999999999999" customHeight="1"/>
    <row r="180" ht="19.899999999999999" customHeight="1"/>
    <row r="181" ht="19.899999999999999" customHeight="1"/>
    <row r="182" ht="19.899999999999999" customHeight="1"/>
    <row r="183" ht="19.899999999999999" customHeight="1"/>
    <row r="184" ht="19.899999999999999" customHeight="1"/>
    <row r="185" ht="19.899999999999999" customHeight="1"/>
    <row r="186" ht="19.899999999999999" customHeight="1"/>
    <row r="187" ht="19.899999999999999" customHeight="1"/>
    <row r="188" ht="19.899999999999999" customHeight="1"/>
    <row r="189" ht="19.899999999999999" customHeight="1"/>
    <row r="190" ht="19.899999999999999" customHeight="1"/>
    <row r="191" ht="19.899999999999999" customHeight="1"/>
    <row r="192" ht="19.899999999999999" customHeight="1"/>
    <row r="193" ht="19.899999999999999" customHeight="1"/>
    <row r="194" ht="19.899999999999999" customHeight="1"/>
    <row r="195" ht="19.899999999999999" customHeight="1"/>
    <row r="196" ht="19.899999999999999" customHeight="1"/>
    <row r="197" ht="19.899999999999999" customHeight="1"/>
    <row r="198" ht="19.899999999999999" customHeight="1"/>
    <row r="199" ht="19.899999999999999" customHeight="1"/>
    <row r="200" ht="19.899999999999999" customHeight="1"/>
    <row r="201" ht="19.899999999999999" customHeight="1"/>
    <row r="202" ht="19.899999999999999" customHeight="1"/>
    <row r="203" ht="19.899999999999999" customHeight="1"/>
    <row r="204" ht="19.899999999999999" customHeight="1"/>
    <row r="205" ht="19.899999999999999" customHeight="1"/>
    <row r="206" ht="19.899999999999999" customHeight="1"/>
    <row r="207" ht="19.899999999999999" customHeight="1"/>
    <row r="208" ht="19.899999999999999" customHeight="1"/>
    <row r="209" ht="19.899999999999999" customHeight="1"/>
    <row r="210" ht="19.899999999999999" customHeight="1"/>
    <row r="211" ht="19.899999999999999" customHeight="1"/>
    <row r="212" ht="19.899999999999999" customHeight="1"/>
    <row r="213" ht="19.899999999999999" customHeight="1"/>
    <row r="214" ht="19.899999999999999" customHeight="1"/>
    <row r="215" ht="19.899999999999999" customHeight="1"/>
    <row r="216" ht="19.899999999999999" customHeight="1"/>
    <row r="217" ht="19.899999999999999" customHeight="1"/>
    <row r="218" ht="19.899999999999999" customHeight="1"/>
    <row r="219" ht="19.899999999999999" customHeight="1"/>
    <row r="220" ht="19.899999999999999" customHeight="1"/>
    <row r="221" ht="19.899999999999999" customHeight="1"/>
    <row r="222" ht="19.899999999999999" customHeight="1"/>
    <row r="223" ht="19.899999999999999" customHeight="1"/>
    <row r="224" ht="19.899999999999999" customHeight="1"/>
    <row r="225" ht="19.899999999999999" customHeight="1"/>
    <row r="226" ht="19.899999999999999" customHeight="1"/>
    <row r="227" ht="19.899999999999999" customHeight="1"/>
    <row r="228" ht="19.899999999999999" customHeight="1"/>
    <row r="229" ht="19.899999999999999" customHeight="1"/>
    <row r="230" ht="19.899999999999999" customHeight="1"/>
    <row r="231" ht="19.899999999999999" customHeight="1"/>
    <row r="232" ht="19.899999999999999" customHeight="1"/>
    <row r="233" ht="19.899999999999999" customHeight="1"/>
    <row r="234" ht="19.899999999999999" customHeight="1"/>
    <row r="235" ht="19.899999999999999" customHeight="1"/>
    <row r="236" ht="19.899999999999999" customHeight="1"/>
    <row r="237" ht="19.899999999999999" customHeight="1"/>
    <row r="238" ht="19.899999999999999" customHeight="1"/>
    <row r="239" ht="19.899999999999999" customHeight="1"/>
    <row r="240" ht="19.899999999999999" customHeight="1"/>
    <row r="241" ht="19.899999999999999" customHeight="1"/>
    <row r="242" ht="19.899999999999999" customHeight="1"/>
    <row r="243" ht="19.899999999999999" customHeight="1"/>
    <row r="244" ht="19.899999999999999" customHeight="1"/>
    <row r="245" ht="19.899999999999999" customHeight="1"/>
    <row r="246" ht="19.899999999999999" customHeight="1"/>
    <row r="247" ht="19.899999999999999" customHeight="1"/>
    <row r="248" ht="19.899999999999999" customHeight="1"/>
    <row r="249" ht="19.899999999999999" customHeight="1"/>
    <row r="250" ht="19.899999999999999" customHeight="1"/>
    <row r="251" ht="19.899999999999999" customHeight="1"/>
    <row r="252" ht="19.899999999999999" customHeight="1"/>
    <row r="253" ht="19.899999999999999" customHeight="1"/>
    <row r="254" ht="19.899999999999999" customHeight="1"/>
    <row r="255" ht="19.899999999999999" customHeight="1"/>
    <row r="256" ht="19.899999999999999" customHeight="1"/>
    <row r="257" ht="19.899999999999999" customHeight="1"/>
    <row r="258" ht="19.899999999999999" customHeight="1"/>
    <row r="259" ht="19.899999999999999" customHeight="1"/>
    <row r="260" ht="19.899999999999999" customHeight="1"/>
    <row r="261" ht="19.899999999999999" customHeight="1"/>
    <row r="262" ht="19.899999999999999" customHeight="1"/>
    <row r="263" ht="19.899999999999999" customHeight="1"/>
    <row r="264" ht="19.899999999999999" customHeight="1"/>
    <row r="265" ht="19.899999999999999" customHeight="1"/>
    <row r="266" ht="19.899999999999999" customHeight="1"/>
    <row r="267" ht="19.899999999999999" customHeight="1"/>
    <row r="268" ht="19.899999999999999" customHeight="1"/>
    <row r="269" ht="19.899999999999999" customHeight="1"/>
    <row r="270" ht="19.899999999999999" customHeight="1"/>
    <row r="271" ht="19.899999999999999" customHeight="1"/>
    <row r="272" ht="19.899999999999999" customHeight="1"/>
    <row r="273" ht="19.899999999999999" customHeight="1"/>
    <row r="274" ht="19.899999999999999" customHeight="1"/>
    <row r="275" ht="19.899999999999999" customHeight="1"/>
    <row r="276" ht="19.899999999999999" customHeight="1"/>
    <row r="277" ht="19.899999999999999" customHeight="1"/>
    <row r="278" ht="19.899999999999999" customHeight="1"/>
    <row r="279" ht="19.899999999999999" customHeight="1"/>
    <row r="280" ht="19.899999999999999" customHeight="1"/>
    <row r="281" ht="19.899999999999999" customHeight="1"/>
    <row r="282" ht="19.899999999999999" customHeight="1"/>
    <row r="283" ht="19.899999999999999" customHeight="1"/>
    <row r="284" ht="19.899999999999999" customHeight="1"/>
    <row r="285" ht="19.899999999999999" customHeight="1"/>
    <row r="286" ht="19.899999999999999" customHeight="1"/>
    <row r="287" ht="19.899999999999999" customHeight="1"/>
    <row r="288" ht="19.899999999999999" customHeight="1"/>
    <row r="289" ht="19.899999999999999" customHeight="1"/>
    <row r="290" ht="19.899999999999999" customHeight="1"/>
    <row r="291" ht="19.899999999999999" customHeight="1"/>
    <row r="292" ht="19.899999999999999" customHeight="1"/>
    <row r="293" ht="19.899999999999999" customHeight="1"/>
    <row r="294" ht="19.899999999999999" customHeight="1"/>
    <row r="295" ht="19.899999999999999" customHeight="1"/>
    <row r="296" ht="19.899999999999999" customHeight="1"/>
    <row r="297" ht="19.899999999999999" customHeight="1"/>
    <row r="298" ht="19.899999999999999" customHeight="1"/>
    <row r="299" ht="19.899999999999999" customHeight="1"/>
    <row r="300" ht="19.899999999999999" customHeight="1"/>
    <row r="301" ht="19.899999999999999" customHeight="1"/>
    <row r="302" ht="19.899999999999999" customHeight="1"/>
    <row r="303" ht="19.899999999999999" customHeight="1"/>
    <row r="304" ht="19.899999999999999" customHeight="1"/>
    <row r="305" ht="19.899999999999999" customHeight="1"/>
    <row r="306" ht="19.899999999999999" customHeight="1"/>
    <row r="307" ht="19.899999999999999" customHeight="1"/>
    <row r="308" ht="19.899999999999999" customHeight="1"/>
    <row r="309" ht="19.899999999999999" customHeight="1"/>
    <row r="310" ht="19.899999999999999" customHeight="1"/>
    <row r="311" ht="19.899999999999999" customHeight="1"/>
    <row r="312" ht="19.899999999999999" customHeight="1"/>
    <row r="313" ht="19.899999999999999" customHeight="1"/>
    <row r="314" ht="19.899999999999999" customHeight="1"/>
    <row r="315" ht="19.899999999999999" customHeight="1"/>
    <row r="316" ht="19.899999999999999" customHeight="1"/>
    <row r="317" ht="19.899999999999999" customHeight="1"/>
    <row r="318" ht="19.899999999999999" customHeight="1"/>
    <row r="319" ht="19.899999999999999" customHeight="1"/>
    <row r="320" ht="19.899999999999999" customHeight="1"/>
    <row r="321" ht="19.899999999999999" customHeight="1"/>
    <row r="322" ht="19.899999999999999" customHeight="1"/>
    <row r="323" ht="19.899999999999999" customHeight="1"/>
    <row r="324" ht="19.899999999999999" customHeight="1"/>
    <row r="325" ht="19.899999999999999" customHeight="1"/>
    <row r="326" ht="19.899999999999999" customHeight="1"/>
    <row r="327" ht="19.899999999999999" customHeight="1"/>
    <row r="328" ht="19.899999999999999" customHeight="1"/>
    <row r="329" ht="19.899999999999999" customHeight="1"/>
    <row r="330" ht="19.899999999999999" customHeight="1"/>
    <row r="331" ht="19.899999999999999" customHeight="1"/>
    <row r="332" ht="19.899999999999999" customHeight="1"/>
    <row r="333" ht="19.899999999999999" customHeight="1"/>
    <row r="334" ht="19.899999999999999" customHeight="1"/>
    <row r="335" ht="19.899999999999999" customHeight="1"/>
    <row r="336" ht="19.899999999999999" customHeight="1"/>
    <row r="337" ht="19.899999999999999" customHeight="1"/>
    <row r="338" ht="19.899999999999999" customHeight="1"/>
    <row r="339" ht="19.899999999999999" customHeight="1"/>
    <row r="340" ht="19.899999999999999" customHeight="1"/>
    <row r="341" ht="19.899999999999999" customHeight="1"/>
    <row r="342" ht="19.899999999999999" customHeight="1"/>
    <row r="343" ht="19.899999999999999" customHeight="1"/>
    <row r="344" ht="19.899999999999999" customHeight="1"/>
    <row r="345" ht="19.899999999999999" customHeight="1"/>
    <row r="346" ht="19.899999999999999" customHeight="1"/>
    <row r="347" ht="19.899999999999999" customHeight="1"/>
    <row r="348" ht="19.899999999999999" customHeight="1"/>
    <row r="349" ht="19.899999999999999" customHeight="1"/>
    <row r="350" ht="19.899999999999999" customHeight="1"/>
    <row r="351" ht="19.899999999999999" customHeight="1"/>
    <row r="352" ht="19.899999999999999" customHeight="1"/>
    <row r="353" ht="19.899999999999999" customHeight="1"/>
    <row r="354" ht="19.899999999999999" customHeight="1"/>
    <row r="355" ht="19.899999999999999" customHeight="1"/>
    <row r="356" ht="19.899999999999999" customHeight="1"/>
    <row r="357" ht="19.899999999999999" customHeight="1"/>
    <row r="358" ht="19.899999999999999" customHeight="1"/>
    <row r="359" ht="19.899999999999999" customHeight="1"/>
    <row r="360" ht="19.899999999999999" customHeight="1"/>
    <row r="361" ht="19.899999999999999" customHeight="1"/>
    <row r="362" ht="19.899999999999999" customHeight="1"/>
    <row r="363" ht="19.899999999999999" customHeight="1"/>
    <row r="364" ht="19.899999999999999" customHeight="1"/>
    <row r="365" ht="19.899999999999999" customHeight="1"/>
    <row r="366" ht="19.899999999999999" customHeight="1"/>
    <row r="367" ht="19.899999999999999" customHeight="1"/>
    <row r="368" ht="19.899999999999999" customHeight="1"/>
    <row r="369" ht="19.899999999999999" customHeight="1"/>
    <row r="370" ht="19.899999999999999" customHeight="1"/>
    <row r="371" ht="19.899999999999999" customHeight="1"/>
    <row r="372" ht="19.899999999999999" customHeight="1"/>
    <row r="373" ht="19.899999999999999" customHeight="1"/>
    <row r="374" ht="19.899999999999999" customHeight="1"/>
    <row r="375" ht="19.899999999999999" customHeight="1"/>
    <row r="376" ht="19.899999999999999" customHeight="1"/>
    <row r="377" ht="19.899999999999999" customHeight="1"/>
    <row r="378" ht="19.899999999999999" customHeight="1"/>
    <row r="379" ht="19.899999999999999" customHeight="1"/>
    <row r="380" ht="19.899999999999999" customHeight="1"/>
    <row r="381" ht="19.899999999999999" customHeight="1"/>
    <row r="382" ht="19.899999999999999" customHeight="1"/>
    <row r="383" ht="19.899999999999999" customHeight="1"/>
    <row r="384" ht="19.899999999999999" customHeight="1"/>
    <row r="385" ht="19.899999999999999" customHeight="1"/>
    <row r="386" ht="19.899999999999999" customHeight="1"/>
    <row r="387" ht="19.899999999999999" customHeight="1"/>
    <row r="388" ht="19.899999999999999" customHeight="1"/>
    <row r="389" ht="19.899999999999999" customHeight="1"/>
    <row r="390" ht="19.899999999999999" customHeight="1"/>
    <row r="391" ht="19.899999999999999" customHeight="1"/>
    <row r="392" ht="19.899999999999999" customHeight="1"/>
    <row r="393" ht="19.899999999999999" customHeight="1"/>
    <row r="394" ht="19.899999999999999" customHeight="1"/>
    <row r="395" ht="19.899999999999999" customHeight="1"/>
    <row r="396" ht="19.899999999999999" customHeight="1"/>
    <row r="397" ht="19.899999999999999" customHeight="1"/>
    <row r="398" ht="19.899999999999999" customHeight="1"/>
    <row r="399" ht="19.899999999999999" customHeight="1"/>
    <row r="400" ht="19.899999999999999" customHeight="1"/>
    <row r="401" ht="19.899999999999999" customHeight="1"/>
    <row r="402" ht="19.899999999999999" customHeight="1"/>
    <row r="403" ht="19.899999999999999" customHeight="1"/>
    <row r="404" ht="19.899999999999999" customHeight="1"/>
    <row r="405" ht="19.899999999999999" customHeight="1"/>
    <row r="406" ht="19.899999999999999" customHeight="1"/>
    <row r="407" ht="19.899999999999999" customHeight="1"/>
    <row r="408" ht="19.899999999999999" customHeight="1"/>
    <row r="409" ht="19.899999999999999" customHeight="1"/>
    <row r="410" ht="19.899999999999999" customHeight="1"/>
    <row r="411" ht="19.899999999999999" customHeight="1"/>
    <row r="412" ht="19.899999999999999" customHeight="1"/>
    <row r="413" ht="19.899999999999999" customHeight="1"/>
    <row r="414" ht="19.899999999999999" customHeight="1"/>
    <row r="415" ht="19.899999999999999" customHeight="1"/>
    <row r="416" ht="19.899999999999999" customHeight="1"/>
    <row r="417" ht="19.899999999999999" customHeight="1"/>
    <row r="418" ht="19.899999999999999" customHeight="1"/>
    <row r="419" ht="19.899999999999999" customHeight="1"/>
    <row r="420" ht="19.899999999999999" customHeight="1"/>
    <row r="421" ht="19.899999999999999" customHeight="1"/>
    <row r="422" ht="19.899999999999999" customHeight="1"/>
    <row r="423" ht="19.899999999999999" customHeight="1"/>
    <row r="424" ht="19.899999999999999" customHeight="1"/>
    <row r="425" ht="19.899999999999999" customHeight="1"/>
    <row r="426" ht="19.899999999999999" customHeight="1"/>
    <row r="427" ht="19.899999999999999" customHeight="1"/>
    <row r="428" ht="19.899999999999999" customHeight="1"/>
    <row r="429" ht="19.899999999999999" customHeight="1"/>
    <row r="430" ht="19.899999999999999" customHeight="1"/>
    <row r="431" ht="19.899999999999999" customHeight="1"/>
    <row r="432" ht="19.899999999999999" customHeight="1"/>
    <row r="433" ht="19.899999999999999" customHeight="1"/>
    <row r="434" ht="19.899999999999999" customHeight="1"/>
    <row r="435" ht="19.899999999999999" customHeight="1"/>
    <row r="436" ht="19.899999999999999" customHeight="1"/>
    <row r="437" ht="19.899999999999999" customHeight="1"/>
    <row r="438" ht="19.899999999999999" customHeight="1"/>
    <row r="439" ht="19.899999999999999" customHeight="1"/>
    <row r="440" ht="19.899999999999999" customHeight="1"/>
    <row r="441" ht="19.899999999999999" customHeight="1"/>
    <row r="442" ht="19.899999999999999" customHeight="1"/>
    <row r="443" ht="19.899999999999999" customHeight="1"/>
    <row r="444" ht="19.899999999999999" customHeight="1"/>
    <row r="445" ht="19.899999999999999" customHeight="1"/>
    <row r="446" ht="19.899999999999999" customHeight="1"/>
    <row r="447" ht="19.899999999999999" customHeight="1"/>
    <row r="448" ht="19.899999999999999" customHeight="1"/>
    <row r="449" ht="19.899999999999999" customHeight="1"/>
    <row r="450" ht="19.899999999999999" customHeight="1"/>
    <row r="451" ht="19.899999999999999" customHeight="1"/>
    <row r="452" ht="19.899999999999999" customHeight="1"/>
    <row r="453" ht="19.899999999999999" customHeight="1"/>
    <row r="454" ht="19.899999999999999" customHeight="1"/>
    <row r="455" ht="19.899999999999999" customHeight="1"/>
    <row r="456" ht="19.899999999999999" customHeight="1"/>
    <row r="457" ht="19.899999999999999" customHeight="1"/>
    <row r="458" ht="19.899999999999999" customHeight="1"/>
    <row r="459" ht="19.899999999999999" customHeight="1"/>
    <row r="460" ht="19.899999999999999" customHeight="1"/>
    <row r="461" ht="19.899999999999999" customHeight="1"/>
    <row r="462" ht="19.899999999999999" customHeight="1"/>
    <row r="463" ht="19.899999999999999" customHeight="1"/>
    <row r="464" ht="19.899999999999999" customHeight="1"/>
    <row r="465" ht="19.899999999999999" customHeight="1"/>
    <row r="466" ht="19.899999999999999" customHeight="1"/>
    <row r="467" ht="19.899999999999999" customHeight="1"/>
    <row r="468" ht="19.899999999999999" customHeight="1"/>
    <row r="469" ht="19.899999999999999" customHeight="1"/>
    <row r="470" ht="19.899999999999999" customHeight="1"/>
    <row r="471" ht="19.899999999999999" customHeight="1"/>
    <row r="472" ht="19.899999999999999" customHeight="1"/>
    <row r="473" ht="19.899999999999999" customHeight="1"/>
    <row r="474" ht="19.899999999999999" customHeight="1"/>
    <row r="475" ht="19.899999999999999" customHeight="1"/>
    <row r="476" ht="19.899999999999999" customHeight="1"/>
    <row r="477" ht="19.899999999999999" customHeight="1"/>
    <row r="478" ht="19.899999999999999" customHeight="1"/>
    <row r="479" ht="19.899999999999999" customHeight="1"/>
    <row r="480" ht="19.899999999999999" customHeight="1"/>
    <row r="481" ht="19.899999999999999" customHeight="1"/>
    <row r="482" ht="19.899999999999999" customHeight="1"/>
    <row r="483" ht="19.899999999999999" customHeight="1"/>
    <row r="484" ht="19.899999999999999" customHeight="1"/>
    <row r="485" ht="19.899999999999999" customHeight="1"/>
    <row r="486" ht="19.899999999999999" customHeight="1"/>
    <row r="487" ht="19.899999999999999" customHeight="1"/>
    <row r="488" ht="19.899999999999999" customHeight="1"/>
    <row r="489" ht="19.899999999999999" customHeight="1"/>
    <row r="490" ht="19.899999999999999" customHeight="1"/>
    <row r="491" ht="19.899999999999999" customHeight="1"/>
    <row r="492" ht="19.899999999999999" customHeight="1"/>
    <row r="493" ht="19.899999999999999" customHeight="1"/>
    <row r="494" ht="19.899999999999999" customHeight="1"/>
    <row r="495" ht="19.899999999999999" customHeight="1"/>
    <row r="496" ht="19.899999999999999" customHeight="1"/>
    <row r="497" ht="19.899999999999999" customHeight="1"/>
    <row r="498" ht="19.899999999999999" customHeight="1"/>
    <row r="499" ht="19.899999999999999" customHeight="1"/>
    <row r="500" ht="19.899999999999999" customHeight="1"/>
    <row r="501" ht="19.899999999999999" customHeight="1"/>
    <row r="502" ht="19.899999999999999" customHeight="1"/>
    <row r="503" ht="19.899999999999999" customHeight="1"/>
    <row r="504" ht="19.899999999999999" customHeight="1"/>
    <row r="505" ht="19.899999999999999" customHeight="1"/>
    <row r="506" ht="19.899999999999999" customHeight="1"/>
    <row r="507" ht="19.899999999999999" customHeight="1"/>
    <row r="508" ht="19.899999999999999" customHeight="1"/>
    <row r="509" ht="19.899999999999999" customHeight="1"/>
    <row r="510" ht="19.899999999999999" customHeight="1"/>
    <row r="511" ht="19.899999999999999" customHeight="1"/>
    <row r="512" ht="19.899999999999999" customHeight="1"/>
    <row r="513" ht="19.899999999999999" customHeight="1"/>
    <row r="514" ht="19.899999999999999" customHeight="1"/>
    <row r="515" ht="19.899999999999999" customHeight="1"/>
    <row r="516" ht="19.899999999999999" customHeight="1"/>
    <row r="517" ht="19.899999999999999" customHeight="1"/>
    <row r="518" ht="19.899999999999999" customHeight="1"/>
    <row r="519" ht="19.899999999999999" customHeight="1"/>
    <row r="520" ht="19.899999999999999" customHeight="1"/>
    <row r="521" ht="19.899999999999999" customHeight="1"/>
    <row r="522" ht="19.899999999999999" customHeight="1"/>
    <row r="523" ht="19.899999999999999" customHeight="1"/>
    <row r="524" ht="19.899999999999999" customHeight="1"/>
    <row r="525" ht="19.899999999999999" customHeight="1"/>
    <row r="526" ht="19.899999999999999" customHeight="1"/>
    <row r="527" ht="19.899999999999999" customHeight="1"/>
    <row r="528" ht="19.899999999999999" customHeight="1"/>
    <row r="529" ht="19.899999999999999" customHeight="1"/>
    <row r="530" ht="19.899999999999999" customHeight="1"/>
    <row r="531" ht="19.899999999999999" customHeight="1"/>
    <row r="532" ht="19.899999999999999" customHeight="1"/>
    <row r="533" ht="19.899999999999999" customHeight="1"/>
    <row r="534" ht="19.899999999999999" customHeight="1"/>
    <row r="535" ht="19.899999999999999" customHeight="1"/>
    <row r="536" ht="19.899999999999999" customHeight="1"/>
    <row r="537" ht="19.899999999999999" customHeight="1"/>
    <row r="538" ht="19.899999999999999" customHeight="1"/>
    <row r="539" ht="19.899999999999999" customHeight="1"/>
    <row r="540" ht="19.899999999999999" customHeight="1"/>
    <row r="541" ht="19.899999999999999" customHeight="1"/>
    <row r="542" ht="19.899999999999999" customHeight="1"/>
    <row r="543" ht="19.899999999999999" customHeight="1"/>
    <row r="544" ht="19.899999999999999" customHeight="1"/>
    <row r="545" ht="19.899999999999999" customHeight="1"/>
    <row r="546" ht="19.899999999999999" customHeight="1"/>
    <row r="547" ht="19.899999999999999" customHeight="1"/>
    <row r="548" ht="19.899999999999999" customHeight="1"/>
    <row r="549" ht="19.899999999999999" customHeight="1"/>
    <row r="550" ht="19.899999999999999" customHeight="1"/>
    <row r="551" ht="19.899999999999999" customHeight="1"/>
    <row r="552" ht="19.899999999999999" customHeight="1"/>
    <row r="553" ht="19.899999999999999" customHeight="1"/>
    <row r="554" ht="19.899999999999999" customHeight="1"/>
    <row r="555" ht="19.899999999999999" customHeight="1"/>
    <row r="556" ht="19.899999999999999" customHeight="1"/>
    <row r="557" ht="19.899999999999999" customHeight="1"/>
    <row r="558" ht="19.899999999999999" customHeight="1"/>
    <row r="559" ht="19.899999999999999" customHeight="1"/>
    <row r="560" ht="19.899999999999999" customHeight="1"/>
    <row r="561" ht="19.899999999999999" customHeight="1"/>
    <row r="562" ht="19.899999999999999" customHeight="1"/>
    <row r="563" ht="19.899999999999999" customHeight="1"/>
    <row r="564" ht="19.899999999999999" customHeight="1"/>
    <row r="565" ht="19.899999999999999" customHeight="1"/>
    <row r="566" ht="19.899999999999999" customHeight="1"/>
    <row r="567" ht="19.899999999999999" customHeight="1"/>
    <row r="568" ht="19.899999999999999" customHeight="1"/>
    <row r="569" ht="19.899999999999999" customHeight="1"/>
    <row r="570" ht="19.899999999999999" customHeight="1"/>
    <row r="571" ht="19.899999999999999" customHeight="1"/>
    <row r="572" ht="19.899999999999999" customHeight="1"/>
    <row r="573" ht="19.899999999999999" customHeight="1"/>
    <row r="574" ht="19.899999999999999" customHeight="1"/>
    <row r="575" ht="19.899999999999999" customHeight="1"/>
    <row r="576" ht="19.899999999999999" customHeight="1"/>
    <row r="577" ht="19.899999999999999" customHeight="1"/>
    <row r="578" ht="19.899999999999999" customHeight="1"/>
    <row r="579" ht="19.899999999999999" customHeight="1"/>
    <row r="580" ht="19.899999999999999" customHeight="1"/>
    <row r="581" ht="19.899999999999999" customHeight="1"/>
    <row r="582" ht="19.899999999999999" customHeight="1"/>
    <row r="583" ht="19.899999999999999" customHeight="1"/>
    <row r="584" ht="19.899999999999999" customHeight="1"/>
    <row r="585" ht="19.899999999999999" customHeight="1"/>
    <row r="586" ht="19.899999999999999" customHeight="1"/>
    <row r="587" ht="19.899999999999999" customHeight="1"/>
    <row r="588" ht="19.899999999999999" customHeight="1"/>
    <row r="589" ht="19.899999999999999" customHeight="1"/>
    <row r="590" ht="19.899999999999999" customHeight="1"/>
    <row r="591" ht="19.899999999999999" customHeight="1"/>
    <row r="592" ht="19.899999999999999" customHeight="1"/>
    <row r="593" ht="19.899999999999999" customHeight="1"/>
    <row r="594" ht="19.899999999999999" customHeight="1"/>
    <row r="595" ht="19.899999999999999" customHeight="1"/>
    <row r="596" ht="19.899999999999999" customHeight="1"/>
    <row r="597" ht="19.899999999999999" customHeight="1"/>
    <row r="598" ht="19.899999999999999" customHeight="1"/>
    <row r="599" ht="19.899999999999999" customHeight="1"/>
    <row r="600" ht="19.899999999999999" customHeight="1"/>
    <row r="601" ht="19.899999999999999" customHeight="1"/>
    <row r="602" ht="19.899999999999999" customHeight="1"/>
    <row r="603" ht="19.899999999999999" customHeight="1"/>
    <row r="604" ht="19.899999999999999" customHeight="1"/>
    <row r="605" ht="19.899999999999999" customHeight="1"/>
    <row r="606" ht="19.899999999999999" customHeight="1"/>
    <row r="607" ht="19.899999999999999" customHeight="1"/>
    <row r="608" ht="19.899999999999999" customHeight="1"/>
    <row r="609" ht="19.899999999999999" customHeight="1"/>
    <row r="610" ht="19.899999999999999" customHeight="1"/>
    <row r="611" ht="19.899999999999999" customHeight="1"/>
    <row r="612" ht="19.899999999999999" customHeight="1"/>
    <row r="613" ht="19.899999999999999" customHeight="1"/>
    <row r="614" ht="19.899999999999999" customHeight="1"/>
    <row r="615" ht="19.899999999999999" customHeight="1"/>
    <row r="616" ht="19.899999999999999" customHeight="1"/>
    <row r="617" ht="19.899999999999999" customHeight="1"/>
    <row r="618" ht="19.899999999999999" customHeight="1"/>
    <row r="619" ht="19.899999999999999" customHeight="1"/>
    <row r="620" ht="19.899999999999999" customHeight="1"/>
    <row r="621" ht="19.899999999999999" customHeight="1"/>
    <row r="622" ht="19.899999999999999" customHeight="1"/>
    <row r="623" ht="19.899999999999999" customHeight="1"/>
    <row r="624" ht="19.899999999999999" customHeight="1"/>
    <row r="625" ht="19.899999999999999" customHeight="1"/>
    <row r="626" ht="19.899999999999999" customHeight="1"/>
    <row r="627" ht="19.899999999999999" customHeight="1"/>
    <row r="628" ht="19.899999999999999" customHeight="1"/>
    <row r="629" ht="19.899999999999999" customHeight="1"/>
    <row r="630" ht="19.899999999999999" customHeight="1"/>
    <row r="631" ht="19.899999999999999" customHeight="1"/>
    <row r="632" ht="19.899999999999999" customHeight="1"/>
    <row r="633" ht="19.899999999999999" customHeight="1"/>
    <row r="634" ht="19.899999999999999" customHeight="1"/>
    <row r="635" ht="19.899999999999999" customHeight="1"/>
    <row r="636" ht="19.899999999999999" customHeight="1"/>
    <row r="637" ht="19.899999999999999" customHeight="1"/>
    <row r="638" ht="19.899999999999999" customHeight="1"/>
    <row r="639" ht="19.899999999999999" customHeight="1"/>
    <row r="640" ht="19.899999999999999" customHeight="1"/>
    <row r="641" ht="19.899999999999999" customHeight="1"/>
    <row r="642" ht="19.899999999999999" customHeight="1"/>
    <row r="643" ht="19.899999999999999" customHeight="1"/>
    <row r="644" ht="19.899999999999999" customHeight="1"/>
    <row r="645" ht="19.899999999999999" customHeight="1"/>
    <row r="646" ht="19.899999999999999" customHeight="1"/>
    <row r="647" ht="19.899999999999999" customHeight="1"/>
    <row r="648" ht="19.899999999999999" customHeight="1"/>
    <row r="649" ht="19.899999999999999" customHeight="1"/>
    <row r="650" ht="19.899999999999999" customHeight="1"/>
    <row r="651" ht="19.899999999999999" customHeight="1"/>
    <row r="652" ht="19.899999999999999" customHeight="1"/>
    <row r="653" ht="19.899999999999999" customHeight="1"/>
    <row r="654" ht="19.899999999999999" customHeight="1"/>
    <row r="655" ht="19.899999999999999" customHeight="1"/>
    <row r="656" ht="19.899999999999999" customHeight="1"/>
    <row r="657" ht="19.899999999999999" customHeight="1"/>
    <row r="658" ht="19.899999999999999" customHeight="1"/>
    <row r="659" ht="19.899999999999999" customHeight="1"/>
    <row r="660" ht="19.899999999999999" customHeight="1"/>
    <row r="661" ht="19.899999999999999" customHeight="1"/>
    <row r="662" ht="19.899999999999999" customHeight="1"/>
    <row r="663" ht="19.899999999999999" customHeight="1"/>
    <row r="664" ht="19.899999999999999" customHeight="1"/>
    <row r="665" ht="19.899999999999999" customHeight="1"/>
    <row r="666" ht="19.899999999999999" customHeight="1"/>
    <row r="667" ht="19.899999999999999" customHeight="1"/>
    <row r="668" ht="19.899999999999999" customHeight="1"/>
    <row r="669" ht="19.899999999999999" customHeight="1"/>
    <row r="670" ht="19.899999999999999" customHeight="1"/>
    <row r="671" ht="19.899999999999999" customHeight="1"/>
    <row r="672" ht="19.899999999999999" customHeight="1"/>
    <row r="673" ht="19.899999999999999" customHeight="1"/>
    <row r="674" ht="19.899999999999999" customHeight="1"/>
    <row r="675" ht="19.899999999999999" customHeight="1"/>
    <row r="676" ht="19.899999999999999" customHeight="1"/>
    <row r="677" ht="19.899999999999999" customHeight="1"/>
    <row r="678" ht="19.899999999999999" customHeight="1"/>
    <row r="679" ht="19.899999999999999" customHeight="1"/>
    <row r="680" ht="19.899999999999999" customHeight="1"/>
    <row r="681" ht="19.899999999999999" customHeight="1"/>
    <row r="682" ht="19.899999999999999" customHeight="1"/>
    <row r="683" ht="19.899999999999999" customHeight="1"/>
    <row r="684" ht="19.899999999999999" customHeight="1"/>
    <row r="685" ht="19.899999999999999" customHeight="1"/>
    <row r="686" ht="19.899999999999999" customHeight="1"/>
    <row r="687" ht="19.899999999999999" customHeight="1"/>
    <row r="688" ht="19.899999999999999" customHeight="1"/>
    <row r="689" ht="19.899999999999999" customHeight="1"/>
    <row r="690" ht="19.899999999999999" customHeight="1"/>
    <row r="691" ht="19.899999999999999" customHeight="1"/>
    <row r="692" ht="19.899999999999999" customHeight="1"/>
    <row r="693" ht="19.899999999999999" customHeight="1"/>
    <row r="694" ht="19.899999999999999" customHeight="1"/>
    <row r="695" ht="19.899999999999999" customHeight="1"/>
    <row r="696" ht="19.899999999999999" customHeight="1"/>
    <row r="697" ht="19.899999999999999" customHeight="1"/>
    <row r="698" ht="19.899999999999999" customHeight="1"/>
    <row r="699" ht="19.899999999999999" customHeight="1"/>
    <row r="700" ht="19.899999999999999" customHeight="1"/>
    <row r="701" ht="19.899999999999999" customHeight="1"/>
    <row r="702" ht="19.899999999999999" customHeight="1"/>
    <row r="703" ht="19.899999999999999" customHeight="1"/>
    <row r="704" ht="19.899999999999999" customHeight="1"/>
    <row r="705" ht="19.899999999999999" customHeight="1"/>
    <row r="706" ht="19.899999999999999" customHeight="1"/>
    <row r="707" ht="19.899999999999999" customHeight="1"/>
    <row r="708" ht="19.899999999999999" customHeight="1"/>
    <row r="709" ht="19.899999999999999" customHeight="1"/>
    <row r="710" ht="19.899999999999999" customHeight="1"/>
    <row r="711" ht="19.899999999999999" customHeight="1"/>
    <row r="712" ht="19.899999999999999" customHeight="1"/>
    <row r="713" ht="19.899999999999999" customHeight="1"/>
    <row r="714" ht="19.899999999999999" customHeight="1"/>
    <row r="715" ht="19.899999999999999" customHeight="1"/>
    <row r="716" ht="19.899999999999999" customHeight="1"/>
    <row r="717" ht="19.899999999999999" customHeight="1"/>
    <row r="718" ht="19.899999999999999" customHeight="1"/>
    <row r="719" ht="19.899999999999999" customHeight="1"/>
    <row r="720" ht="19.899999999999999" customHeight="1"/>
    <row r="721" ht="19.899999999999999" customHeight="1"/>
    <row r="722" ht="19.899999999999999" customHeight="1"/>
    <row r="723" ht="19.899999999999999" customHeight="1"/>
    <row r="724" ht="19.899999999999999" customHeight="1"/>
    <row r="725" ht="19.899999999999999" customHeight="1"/>
    <row r="726" ht="19.899999999999999" customHeight="1"/>
    <row r="727" ht="19.899999999999999" customHeight="1"/>
    <row r="728" ht="19.899999999999999" customHeight="1"/>
    <row r="729" ht="19.899999999999999" customHeight="1"/>
    <row r="730" ht="19.899999999999999" customHeight="1"/>
    <row r="731" ht="19.899999999999999" customHeight="1"/>
    <row r="732" ht="19.899999999999999" customHeight="1"/>
    <row r="733" ht="19.899999999999999" customHeight="1"/>
    <row r="734" ht="19.899999999999999" customHeight="1"/>
    <row r="735" ht="19.899999999999999" customHeight="1"/>
    <row r="736" ht="19.899999999999999" customHeight="1"/>
    <row r="737" ht="19.899999999999999" customHeight="1"/>
    <row r="738" ht="19.899999999999999" customHeight="1"/>
    <row r="739" ht="19.899999999999999" customHeight="1"/>
    <row r="740" ht="19.899999999999999" customHeight="1"/>
    <row r="741" ht="19.899999999999999" customHeight="1"/>
    <row r="742" ht="19.899999999999999" customHeight="1"/>
    <row r="743" ht="19.899999999999999" customHeight="1"/>
    <row r="744" ht="19.899999999999999" customHeight="1"/>
    <row r="745" ht="19.899999999999999" customHeight="1"/>
    <row r="746" ht="19.899999999999999" customHeight="1"/>
    <row r="747" ht="19.899999999999999" customHeight="1"/>
    <row r="748" ht="19.899999999999999" customHeight="1"/>
    <row r="749" ht="19.899999999999999" customHeight="1"/>
    <row r="750" ht="19.899999999999999" customHeight="1"/>
    <row r="751" ht="19.899999999999999" customHeight="1"/>
    <row r="752" ht="19.899999999999999" customHeight="1"/>
    <row r="753" ht="19.899999999999999" customHeight="1"/>
    <row r="754" ht="19.899999999999999" customHeight="1"/>
    <row r="755" ht="19.899999999999999" customHeight="1"/>
    <row r="756" ht="19.899999999999999" customHeight="1"/>
    <row r="757" ht="19.899999999999999" customHeight="1"/>
    <row r="758" ht="19.899999999999999" customHeight="1"/>
    <row r="759" ht="19.899999999999999" customHeight="1"/>
    <row r="760" ht="19.899999999999999" customHeight="1"/>
    <row r="761" ht="19.899999999999999" customHeight="1"/>
    <row r="762" ht="19.899999999999999" customHeight="1"/>
    <row r="763" ht="19.899999999999999" customHeight="1"/>
    <row r="764" ht="19.899999999999999" customHeight="1"/>
    <row r="765" ht="19.899999999999999" customHeight="1"/>
    <row r="766" ht="19.899999999999999" customHeight="1"/>
    <row r="767" ht="19.899999999999999" customHeight="1"/>
    <row r="768" ht="19.899999999999999" customHeight="1"/>
    <row r="769" ht="19.899999999999999" customHeight="1"/>
    <row r="770" ht="19.899999999999999" customHeight="1"/>
    <row r="771" ht="19.899999999999999" customHeight="1"/>
    <row r="772" ht="19.899999999999999" customHeight="1"/>
    <row r="773" ht="19.899999999999999" customHeight="1"/>
    <row r="774" ht="19.899999999999999" customHeight="1"/>
    <row r="775" ht="19.899999999999999" customHeight="1"/>
    <row r="776" ht="19.899999999999999" customHeight="1"/>
    <row r="777" ht="19.899999999999999" customHeight="1"/>
    <row r="778" ht="19.899999999999999" customHeight="1"/>
    <row r="779" ht="19.899999999999999" customHeight="1"/>
    <row r="780" ht="19.899999999999999" customHeight="1"/>
    <row r="781" ht="19.899999999999999" customHeight="1"/>
    <row r="782" ht="19.899999999999999" customHeight="1"/>
    <row r="783" ht="19.899999999999999" customHeight="1"/>
    <row r="784" ht="19.899999999999999" customHeight="1"/>
    <row r="785" ht="19.899999999999999" customHeight="1"/>
    <row r="786" ht="19.899999999999999" customHeight="1"/>
    <row r="787" ht="19.899999999999999" customHeight="1"/>
    <row r="788" ht="19.899999999999999" customHeight="1"/>
    <row r="789" ht="19.899999999999999" customHeight="1"/>
    <row r="790" ht="19.899999999999999" customHeight="1"/>
    <row r="791" ht="19.899999999999999" customHeight="1"/>
    <row r="792" ht="19.899999999999999" customHeight="1"/>
    <row r="793" ht="19.899999999999999" customHeight="1"/>
    <row r="794" ht="19.899999999999999" customHeight="1"/>
    <row r="795" ht="19.899999999999999" customHeight="1"/>
    <row r="796" ht="19.899999999999999" customHeight="1"/>
    <row r="797" ht="19.899999999999999" customHeight="1"/>
    <row r="798" ht="19.899999999999999" customHeight="1"/>
    <row r="799" ht="19.899999999999999" customHeight="1"/>
    <row r="800" ht="19.899999999999999" customHeight="1"/>
    <row r="801" ht="19.899999999999999" customHeight="1"/>
    <row r="802" ht="19.899999999999999" customHeight="1"/>
    <row r="803" ht="19.899999999999999" customHeight="1"/>
    <row r="804" ht="19.899999999999999" customHeight="1"/>
    <row r="805" ht="19.899999999999999" customHeight="1"/>
    <row r="806" ht="19.899999999999999" customHeight="1"/>
    <row r="807" ht="19.899999999999999" customHeight="1"/>
    <row r="808" ht="19.899999999999999" customHeight="1"/>
    <row r="809" ht="19.899999999999999" customHeight="1"/>
    <row r="810" ht="19.899999999999999" customHeight="1"/>
    <row r="811" ht="19.899999999999999" customHeight="1"/>
    <row r="812" ht="19.899999999999999" customHeight="1"/>
    <row r="813" ht="19.899999999999999" customHeight="1"/>
    <row r="814" ht="19.899999999999999" customHeight="1"/>
    <row r="815" ht="19.899999999999999" customHeight="1"/>
    <row r="816" ht="19.899999999999999" customHeight="1"/>
    <row r="817" ht="19.899999999999999" customHeight="1"/>
    <row r="818" ht="19.899999999999999" customHeight="1"/>
    <row r="819" ht="19.899999999999999" customHeight="1"/>
    <row r="820" ht="19.899999999999999" customHeight="1"/>
    <row r="821" ht="19.899999999999999" customHeight="1"/>
    <row r="822" ht="19.899999999999999" customHeight="1"/>
    <row r="823" ht="19.899999999999999" customHeight="1"/>
    <row r="824" ht="19.899999999999999" customHeight="1"/>
    <row r="825" ht="19.899999999999999" customHeight="1"/>
    <row r="826" ht="19.899999999999999" customHeight="1"/>
    <row r="827" ht="19.899999999999999" customHeight="1"/>
    <row r="828" ht="19.899999999999999" customHeight="1"/>
    <row r="829" ht="19.899999999999999" customHeight="1"/>
    <row r="830" ht="19.899999999999999" customHeight="1"/>
    <row r="831" ht="19.899999999999999" customHeight="1"/>
    <row r="832" ht="19.899999999999999" customHeight="1"/>
    <row r="833" ht="19.899999999999999" customHeight="1"/>
    <row r="834" ht="19.899999999999999" customHeight="1"/>
    <row r="835" ht="19.899999999999999" customHeight="1"/>
    <row r="836" ht="19.899999999999999" customHeight="1"/>
    <row r="837" ht="19.899999999999999" customHeight="1"/>
    <row r="838" ht="19.899999999999999" customHeight="1"/>
    <row r="839" ht="19.899999999999999" customHeight="1"/>
    <row r="840" ht="19.899999999999999" customHeight="1"/>
    <row r="841" ht="19.899999999999999" customHeight="1"/>
    <row r="842" ht="19.899999999999999" customHeight="1"/>
    <row r="843" ht="19.899999999999999" customHeight="1"/>
    <row r="844" ht="19.899999999999999" customHeight="1"/>
    <row r="845" ht="19.899999999999999" customHeight="1"/>
    <row r="846" ht="19.899999999999999" customHeight="1"/>
    <row r="847" ht="19.899999999999999" customHeight="1"/>
    <row r="848" ht="19.899999999999999" customHeight="1"/>
    <row r="849" ht="19.899999999999999" customHeight="1"/>
    <row r="850" ht="19.899999999999999" customHeight="1"/>
    <row r="851" ht="19.899999999999999" customHeight="1"/>
    <row r="852" ht="19.899999999999999" customHeight="1"/>
    <row r="853" ht="19.899999999999999" customHeight="1"/>
    <row r="854" ht="19.899999999999999" customHeight="1"/>
    <row r="855" ht="19.899999999999999" customHeight="1"/>
    <row r="856" ht="19.899999999999999" customHeight="1"/>
    <row r="857" ht="19.899999999999999" customHeight="1"/>
    <row r="858" ht="19.899999999999999" customHeight="1"/>
    <row r="859" ht="19.899999999999999" customHeight="1"/>
    <row r="860" ht="19.899999999999999" customHeight="1"/>
    <row r="861" ht="19.899999999999999" customHeight="1"/>
    <row r="862" ht="19.899999999999999" customHeight="1"/>
    <row r="863" ht="19.899999999999999" customHeight="1"/>
    <row r="864" ht="19.899999999999999" customHeight="1"/>
    <row r="865" ht="19.899999999999999" customHeight="1"/>
    <row r="866" ht="19.899999999999999" customHeight="1"/>
    <row r="867" ht="19.899999999999999" customHeight="1"/>
    <row r="868" ht="19.899999999999999" customHeight="1"/>
    <row r="869" ht="19.899999999999999" customHeight="1"/>
    <row r="870" ht="19.899999999999999" customHeight="1"/>
    <row r="871" ht="19.899999999999999" customHeight="1"/>
    <row r="872" ht="19.899999999999999" customHeight="1"/>
    <row r="873" ht="19.899999999999999" customHeight="1"/>
    <row r="874" ht="19.899999999999999" customHeight="1"/>
    <row r="875" ht="19.899999999999999" customHeight="1"/>
    <row r="876" ht="19.899999999999999" customHeight="1"/>
    <row r="877" ht="19.899999999999999" customHeight="1"/>
    <row r="878" ht="19.899999999999999" customHeight="1"/>
    <row r="879" ht="19.899999999999999" customHeight="1"/>
    <row r="880" ht="19.899999999999999" customHeight="1"/>
    <row r="881" ht="19.899999999999999" customHeight="1"/>
    <row r="882" ht="19.899999999999999" customHeight="1"/>
    <row r="883" ht="19.899999999999999" customHeight="1"/>
    <row r="884" ht="19.899999999999999" customHeight="1"/>
    <row r="885" ht="19.899999999999999" customHeight="1"/>
    <row r="886" ht="19.899999999999999" customHeight="1"/>
    <row r="887" ht="19.899999999999999" customHeight="1"/>
    <row r="888" ht="19.899999999999999" customHeight="1"/>
    <row r="889" ht="19.899999999999999" customHeight="1"/>
    <row r="890" ht="19.899999999999999" customHeight="1"/>
    <row r="891" ht="19.899999999999999" customHeight="1"/>
    <row r="892" ht="19.899999999999999" customHeight="1"/>
    <row r="893" ht="19.899999999999999" customHeight="1"/>
    <row r="894" ht="19.899999999999999" customHeight="1"/>
    <row r="895" ht="19.899999999999999" customHeight="1"/>
    <row r="896" ht="19.899999999999999" customHeight="1"/>
    <row r="897" ht="19.899999999999999" customHeight="1"/>
    <row r="898" ht="19.899999999999999" customHeight="1"/>
    <row r="899" ht="19.899999999999999" customHeight="1"/>
    <row r="900" ht="19.899999999999999" customHeight="1"/>
    <row r="901" ht="19.899999999999999" customHeight="1"/>
    <row r="902" ht="19.899999999999999" customHeight="1"/>
    <row r="903" ht="19.899999999999999" customHeight="1"/>
    <row r="904" ht="19.899999999999999" customHeight="1"/>
    <row r="905" ht="19.899999999999999" customHeight="1"/>
    <row r="906" ht="19.899999999999999" customHeight="1"/>
    <row r="907" ht="19.899999999999999" customHeight="1"/>
    <row r="908" ht="19.899999999999999" customHeight="1"/>
    <row r="909" ht="19.899999999999999" customHeight="1"/>
    <row r="910" ht="19.899999999999999" customHeight="1"/>
    <row r="911" ht="19.899999999999999" customHeight="1"/>
    <row r="912" ht="19.899999999999999" customHeight="1"/>
    <row r="913" ht="19.899999999999999" customHeight="1"/>
    <row r="914" ht="19.899999999999999" customHeight="1"/>
    <row r="915" ht="19.899999999999999" customHeight="1"/>
    <row r="916" ht="19.899999999999999" customHeight="1"/>
    <row r="917" ht="19.899999999999999" customHeight="1"/>
    <row r="918" ht="19.899999999999999" customHeight="1"/>
    <row r="919" ht="19.899999999999999" customHeight="1"/>
    <row r="920" ht="19.899999999999999" customHeight="1"/>
    <row r="921" ht="19.899999999999999" customHeight="1"/>
    <row r="922" ht="19.899999999999999" customHeight="1"/>
    <row r="923" ht="19.899999999999999" customHeight="1"/>
    <row r="924" ht="19.899999999999999" customHeight="1"/>
    <row r="925" ht="19.899999999999999" customHeight="1"/>
    <row r="926" ht="19.899999999999999" customHeight="1"/>
    <row r="927" ht="19.899999999999999" customHeight="1"/>
    <row r="928" ht="19.899999999999999" customHeight="1"/>
    <row r="929" ht="19.899999999999999" customHeight="1"/>
    <row r="930" ht="19.899999999999999" customHeight="1"/>
    <row r="931" ht="19.899999999999999" customHeight="1"/>
    <row r="932" ht="19.899999999999999" customHeight="1"/>
    <row r="933" ht="19.899999999999999" customHeight="1"/>
    <row r="934" ht="19.899999999999999" customHeight="1"/>
    <row r="935" ht="19.899999999999999" customHeight="1"/>
    <row r="936" ht="19.899999999999999" customHeight="1"/>
    <row r="937" ht="19.899999999999999" customHeight="1"/>
    <row r="938" ht="19.899999999999999" customHeight="1"/>
    <row r="939" ht="19.899999999999999" customHeight="1"/>
    <row r="940" ht="19.899999999999999" customHeight="1"/>
    <row r="941" ht="19.899999999999999" customHeight="1"/>
    <row r="942" ht="19.899999999999999" customHeight="1"/>
    <row r="943" ht="19.899999999999999" customHeight="1"/>
    <row r="944" ht="19.899999999999999" customHeight="1"/>
    <row r="945" ht="19.899999999999999" customHeight="1"/>
    <row r="946" ht="19.899999999999999" customHeight="1"/>
    <row r="947" ht="19.899999999999999" customHeight="1"/>
    <row r="948" ht="19.899999999999999" customHeight="1"/>
    <row r="949" ht="19.899999999999999" customHeight="1"/>
    <row r="950" ht="19.899999999999999" customHeight="1"/>
    <row r="951" ht="19.899999999999999" customHeight="1"/>
    <row r="952" ht="19.899999999999999" customHeight="1"/>
    <row r="953" ht="19.899999999999999" customHeight="1"/>
    <row r="954" ht="19.899999999999999" customHeight="1"/>
    <row r="955" ht="19.899999999999999" customHeight="1"/>
    <row r="956" ht="19.899999999999999" customHeight="1"/>
    <row r="957" ht="19.899999999999999" customHeight="1"/>
    <row r="958" ht="19.899999999999999" customHeight="1"/>
    <row r="959" ht="19.899999999999999" customHeight="1"/>
    <row r="960" ht="19.899999999999999" customHeight="1"/>
    <row r="961" ht="19.899999999999999" customHeight="1"/>
    <row r="962" ht="19.899999999999999" customHeight="1"/>
    <row r="963" ht="19.899999999999999" customHeight="1"/>
    <row r="964" ht="19.899999999999999" customHeight="1"/>
    <row r="965" ht="19.899999999999999" customHeight="1"/>
    <row r="966" ht="19.899999999999999" customHeight="1"/>
    <row r="967" ht="19.899999999999999" customHeight="1"/>
    <row r="968" ht="19.899999999999999" customHeight="1"/>
    <row r="969" ht="19.899999999999999" customHeight="1"/>
    <row r="970" ht="19.899999999999999" customHeight="1"/>
    <row r="971" ht="19.899999999999999" customHeight="1"/>
    <row r="972" ht="19.899999999999999" customHeight="1"/>
    <row r="973" ht="19.899999999999999" customHeight="1"/>
    <row r="974" ht="19.899999999999999" customHeight="1"/>
    <row r="975" ht="19.899999999999999" customHeight="1"/>
    <row r="976" ht="19.899999999999999" customHeight="1"/>
    <row r="977" ht="19.899999999999999" customHeight="1"/>
    <row r="978" ht="19.899999999999999" customHeight="1"/>
    <row r="979" ht="19.899999999999999" customHeight="1"/>
    <row r="980" ht="19.899999999999999" customHeight="1"/>
    <row r="981" ht="19.899999999999999" customHeight="1"/>
    <row r="982" ht="19.899999999999999" customHeight="1"/>
    <row r="983" ht="19.899999999999999" customHeight="1"/>
    <row r="984" ht="19.899999999999999" customHeight="1"/>
    <row r="985" ht="19.899999999999999" customHeight="1"/>
    <row r="986" ht="19.899999999999999" customHeight="1"/>
    <row r="987" ht="19.899999999999999" customHeight="1"/>
    <row r="988" ht="19.899999999999999" customHeight="1"/>
    <row r="989" ht="19.899999999999999" customHeight="1"/>
    <row r="990" ht="19.899999999999999" customHeight="1"/>
    <row r="991" ht="19.899999999999999" customHeight="1"/>
    <row r="992" ht="19.899999999999999" customHeight="1"/>
    <row r="993" ht="19.899999999999999" customHeight="1"/>
    <row r="994" ht="19.899999999999999" customHeight="1"/>
    <row r="995" ht="19.899999999999999" customHeight="1"/>
    <row r="996" ht="19.899999999999999" customHeight="1"/>
    <row r="997" ht="19.899999999999999" customHeight="1"/>
    <row r="998" ht="19.899999999999999" customHeight="1"/>
    <row r="999" ht="19.899999999999999" customHeight="1"/>
    <row r="1000" ht="19.899999999999999" customHeight="1"/>
    <row r="1001" ht="19.899999999999999" customHeight="1"/>
    <row r="1002" ht="19.899999999999999" customHeight="1"/>
    <row r="1003" ht="19.899999999999999" customHeight="1"/>
    <row r="1004" ht="19.899999999999999" customHeight="1"/>
    <row r="1005" ht="19.899999999999999" customHeight="1"/>
    <row r="1006" ht="19.899999999999999" customHeight="1"/>
    <row r="1007" ht="19.899999999999999" customHeight="1"/>
    <row r="1008" ht="19.899999999999999" customHeight="1"/>
    <row r="1009" ht="19.899999999999999" customHeight="1"/>
    <row r="1010" ht="19.899999999999999" customHeight="1"/>
    <row r="1011" ht="19.899999999999999" customHeight="1"/>
    <row r="1012" ht="19.899999999999999" customHeight="1"/>
    <row r="1013" ht="19.899999999999999" customHeight="1"/>
    <row r="1014" ht="19.899999999999999" customHeight="1"/>
    <row r="1015" ht="19.899999999999999" customHeight="1"/>
    <row r="1016" ht="19.899999999999999" customHeight="1"/>
    <row r="1017" ht="19.899999999999999" customHeight="1"/>
    <row r="1018" ht="19.899999999999999" customHeight="1"/>
    <row r="1019" ht="19.899999999999999" customHeight="1"/>
    <row r="1020" ht="19.899999999999999" customHeight="1"/>
    <row r="1021" ht="19.899999999999999" customHeight="1"/>
    <row r="1022" ht="19.899999999999999" customHeight="1"/>
    <row r="1023" ht="19.899999999999999" customHeight="1"/>
    <row r="1024" ht="19.899999999999999" customHeight="1"/>
    <row r="1025" ht="19.899999999999999" customHeight="1"/>
    <row r="1026" ht="19.899999999999999" customHeight="1"/>
    <row r="1027" ht="19.899999999999999" customHeight="1"/>
    <row r="1028" ht="19.899999999999999" customHeight="1"/>
    <row r="1029" ht="19.899999999999999" customHeight="1"/>
    <row r="1030" ht="19.899999999999999" customHeight="1"/>
    <row r="1031" ht="19.899999999999999" customHeight="1"/>
    <row r="1032" ht="19.899999999999999" customHeight="1"/>
    <row r="1033" ht="19.899999999999999" customHeight="1"/>
    <row r="1034" ht="19.899999999999999" customHeight="1"/>
    <row r="1035" ht="19.899999999999999" customHeight="1"/>
    <row r="1036" ht="19.899999999999999" customHeight="1"/>
    <row r="1037" ht="19.899999999999999" customHeight="1"/>
    <row r="1038" ht="19.899999999999999" customHeight="1"/>
    <row r="1039" ht="19.899999999999999" customHeight="1"/>
    <row r="1040" ht="19.899999999999999" customHeight="1"/>
    <row r="1041" ht="19.899999999999999" customHeight="1"/>
    <row r="1042" ht="19.899999999999999" customHeight="1"/>
    <row r="1043" ht="19.899999999999999" customHeight="1"/>
    <row r="1044" ht="19.899999999999999" customHeight="1"/>
    <row r="1045" ht="19.899999999999999" customHeight="1"/>
    <row r="1046" ht="19.899999999999999" customHeight="1"/>
    <row r="1047" ht="19.899999999999999" customHeight="1"/>
    <row r="1048" ht="19.899999999999999" customHeight="1"/>
    <row r="1049" ht="19.899999999999999" customHeight="1"/>
    <row r="1050" ht="19.899999999999999" customHeight="1"/>
    <row r="1051" ht="19.899999999999999" customHeight="1"/>
    <row r="1052" ht="19.899999999999999" customHeight="1"/>
    <row r="1053" ht="19.899999999999999" customHeight="1"/>
    <row r="1054" ht="19.899999999999999" customHeight="1"/>
    <row r="1055" ht="19.899999999999999" customHeight="1"/>
    <row r="1056" ht="19.899999999999999" customHeight="1"/>
    <row r="1057" ht="19.899999999999999" customHeight="1"/>
    <row r="1058" ht="19.899999999999999" customHeight="1"/>
    <row r="1059" ht="19.899999999999999" customHeight="1"/>
    <row r="1060" ht="19.899999999999999" customHeight="1"/>
    <row r="1061" ht="19.899999999999999" customHeight="1"/>
    <row r="1062" ht="19.899999999999999" customHeight="1"/>
    <row r="1063" ht="19.899999999999999" customHeight="1"/>
    <row r="1064" ht="19.899999999999999" customHeight="1"/>
    <row r="1065" ht="19.899999999999999" customHeight="1"/>
    <row r="1066" ht="19.899999999999999" customHeight="1"/>
    <row r="1067" ht="19.899999999999999" customHeight="1"/>
    <row r="1068" ht="19.899999999999999" customHeight="1"/>
    <row r="1069" ht="19.899999999999999" customHeight="1"/>
    <row r="1070" ht="19.899999999999999" customHeight="1"/>
    <row r="1071" ht="19.899999999999999" customHeight="1"/>
    <row r="1072" ht="19.899999999999999" customHeight="1"/>
    <row r="1073" ht="19.899999999999999" customHeight="1"/>
    <row r="1074" ht="19.899999999999999" customHeight="1"/>
    <row r="1075" ht="19.899999999999999" customHeight="1"/>
    <row r="1076" ht="19.899999999999999" customHeight="1"/>
    <row r="1077" ht="19.899999999999999" customHeight="1"/>
    <row r="1078" ht="19.899999999999999" customHeight="1"/>
    <row r="1079" ht="19.899999999999999" customHeight="1"/>
    <row r="1080" ht="19.899999999999999" customHeight="1"/>
    <row r="1081" ht="19.899999999999999" customHeight="1"/>
    <row r="1082" ht="19.899999999999999" customHeight="1"/>
    <row r="1083" ht="19.899999999999999" customHeight="1"/>
    <row r="1084" ht="19.899999999999999" customHeight="1"/>
    <row r="1085" ht="19.899999999999999" customHeight="1"/>
    <row r="1086" ht="19.899999999999999" customHeight="1"/>
    <row r="1087" ht="19.899999999999999" customHeight="1"/>
    <row r="1088" ht="19.899999999999999" customHeight="1"/>
    <row r="1089" ht="19.899999999999999" customHeight="1"/>
    <row r="1090" ht="19.899999999999999" customHeight="1"/>
    <row r="1091" ht="19.899999999999999" customHeight="1"/>
    <row r="1092" ht="19.899999999999999" customHeight="1"/>
    <row r="1093" ht="19.899999999999999" customHeight="1"/>
    <row r="1094" ht="19.899999999999999" customHeight="1"/>
    <row r="1095" ht="19.899999999999999" customHeight="1"/>
    <row r="1096" ht="19.899999999999999" customHeight="1"/>
    <row r="1097" ht="19.899999999999999" customHeight="1"/>
    <row r="1098" ht="19.899999999999999" customHeight="1"/>
    <row r="1099" ht="19.899999999999999" customHeight="1"/>
    <row r="1100" ht="19.899999999999999" customHeight="1"/>
    <row r="1101" ht="19.899999999999999" customHeight="1"/>
    <row r="1102" ht="19.899999999999999" customHeight="1"/>
    <row r="1103" ht="19.899999999999999" customHeight="1"/>
    <row r="1104" ht="19.899999999999999" customHeight="1"/>
    <row r="1105" ht="19.899999999999999" customHeight="1"/>
    <row r="1106" ht="19.899999999999999" customHeight="1"/>
    <row r="1107" ht="19.899999999999999" customHeight="1"/>
    <row r="1108" ht="19.899999999999999" customHeight="1"/>
    <row r="1109" ht="19.899999999999999" customHeight="1"/>
    <row r="1110" ht="19.899999999999999" customHeight="1"/>
    <row r="1111" ht="19.899999999999999" customHeight="1"/>
    <row r="1112" ht="19.899999999999999" customHeight="1"/>
    <row r="1113" ht="19.899999999999999" customHeight="1"/>
    <row r="1114" ht="19.899999999999999" customHeight="1"/>
    <row r="1115" ht="19.899999999999999" customHeight="1"/>
    <row r="1116" ht="19.899999999999999" customHeight="1"/>
    <row r="1117" ht="19.899999999999999" customHeight="1"/>
    <row r="1118" ht="19.899999999999999" customHeight="1"/>
    <row r="1119" ht="19.899999999999999" customHeight="1"/>
    <row r="1120" ht="19.899999999999999" customHeight="1"/>
    <row r="1121" ht="19.899999999999999" customHeight="1"/>
    <row r="1122" ht="19.899999999999999" customHeight="1"/>
    <row r="1123" ht="19.899999999999999" customHeight="1"/>
    <row r="1124" ht="19.899999999999999" customHeight="1"/>
    <row r="1125" ht="19.899999999999999" customHeight="1"/>
    <row r="1126" ht="19.899999999999999" customHeight="1"/>
    <row r="1127" ht="19.899999999999999" customHeight="1"/>
    <row r="1128" ht="19.899999999999999" customHeight="1"/>
    <row r="1129" ht="19.899999999999999" customHeight="1"/>
    <row r="1130" ht="19.899999999999999" customHeight="1"/>
    <row r="1131" ht="19.899999999999999" customHeight="1"/>
    <row r="1132" ht="19.899999999999999" customHeight="1"/>
    <row r="1133" ht="19.899999999999999" customHeight="1"/>
    <row r="1134" ht="19.899999999999999" customHeight="1"/>
    <row r="1135" ht="19.899999999999999" customHeight="1"/>
    <row r="1136" ht="19.899999999999999" customHeight="1"/>
    <row r="1137" ht="19.899999999999999" customHeight="1"/>
    <row r="1138" ht="19.899999999999999" customHeight="1"/>
    <row r="1139" ht="19.899999999999999" customHeight="1"/>
    <row r="1140" ht="19.899999999999999" customHeight="1"/>
    <row r="1141" ht="19.899999999999999" customHeight="1"/>
    <row r="1142" ht="19.899999999999999" customHeight="1"/>
    <row r="1143" ht="19.899999999999999" customHeight="1"/>
    <row r="1144" ht="19.899999999999999" customHeight="1"/>
    <row r="1145" ht="19.899999999999999" customHeight="1"/>
    <row r="1146" ht="19.899999999999999" customHeight="1"/>
    <row r="1147" ht="19.899999999999999" customHeight="1"/>
    <row r="1148" ht="19.899999999999999" customHeight="1"/>
    <row r="1149" ht="19.899999999999999" customHeight="1"/>
    <row r="1150" ht="19.899999999999999" customHeight="1"/>
    <row r="1151" ht="19.899999999999999" customHeight="1"/>
    <row r="1152" ht="19.899999999999999" customHeight="1"/>
    <row r="1153" ht="19.899999999999999" customHeight="1"/>
    <row r="1154" ht="19.899999999999999" customHeight="1"/>
    <row r="1155" ht="19.899999999999999" customHeight="1"/>
    <row r="1156" ht="19.899999999999999" customHeight="1"/>
    <row r="1157" ht="19.899999999999999" customHeight="1"/>
    <row r="1158" ht="19.899999999999999" customHeight="1"/>
    <row r="1159" ht="19.899999999999999" customHeight="1"/>
    <row r="1160" ht="19.899999999999999" customHeight="1"/>
    <row r="1161" ht="19.899999999999999" customHeight="1"/>
    <row r="1162" ht="19.899999999999999" customHeight="1"/>
    <row r="1163" ht="19.899999999999999" customHeight="1"/>
    <row r="1164" ht="19.899999999999999" customHeight="1"/>
    <row r="1165" ht="19.899999999999999" customHeight="1"/>
    <row r="1166" ht="19.899999999999999" customHeight="1"/>
    <row r="1167" ht="19.899999999999999" customHeight="1"/>
    <row r="1168" ht="19.899999999999999" customHeight="1"/>
    <row r="1169" ht="19.899999999999999" customHeight="1"/>
    <row r="1170" ht="19.899999999999999" customHeight="1"/>
    <row r="1171" ht="19.899999999999999" customHeight="1"/>
    <row r="1172" ht="19.899999999999999" customHeight="1"/>
    <row r="1173" ht="19.899999999999999" customHeight="1"/>
    <row r="1174" ht="19.899999999999999" customHeight="1"/>
    <row r="1175" ht="19.899999999999999" customHeight="1"/>
    <row r="1176" ht="19.899999999999999" customHeight="1"/>
    <row r="1177" ht="19.899999999999999" customHeight="1"/>
    <row r="1178" ht="19.899999999999999" customHeight="1"/>
    <row r="1179" ht="19.899999999999999" customHeight="1"/>
    <row r="1180" ht="19.899999999999999" customHeight="1"/>
    <row r="1181" ht="19.899999999999999" customHeight="1"/>
    <row r="1182" ht="19.899999999999999" customHeight="1"/>
    <row r="1183" ht="19.899999999999999" customHeight="1"/>
    <row r="1184" ht="19.899999999999999" customHeight="1"/>
    <row r="1185" ht="19.899999999999999" customHeight="1"/>
    <row r="1186" ht="19.899999999999999" customHeight="1"/>
    <row r="1187" ht="19.899999999999999" customHeight="1"/>
    <row r="1188" ht="19.899999999999999" customHeight="1"/>
    <row r="1189" ht="19.899999999999999" customHeight="1"/>
    <row r="1190" ht="19.899999999999999" customHeight="1"/>
    <row r="1191" ht="19.899999999999999" customHeight="1"/>
    <row r="1192" ht="19.899999999999999" customHeight="1"/>
    <row r="1193" ht="19.899999999999999" customHeight="1"/>
    <row r="1194" ht="19.899999999999999" customHeight="1"/>
    <row r="1195" ht="19.899999999999999" customHeight="1"/>
    <row r="1196" ht="19.899999999999999" customHeight="1"/>
    <row r="1197" ht="19.899999999999999" customHeight="1"/>
    <row r="1198" ht="19.899999999999999" customHeight="1"/>
    <row r="1199" ht="19.899999999999999" customHeight="1"/>
    <row r="1200" ht="19.899999999999999" customHeight="1"/>
    <row r="1201" ht="19.899999999999999" customHeight="1"/>
    <row r="1202" ht="19.899999999999999" customHeight="1"/>
    <row r="1203" ht="19.899999999999999" customHeight="1"/>
    <row r="1204" ht="19.899999999999999" customHeight="1"/>
    <row r="1205" ht="19.899999999999999" customHeight="1"/>
    <row r="1206" ht="19.899999999999999" customHeight="1"/>
    <row r="1207" ht="19.899999999999999" customHeight="1"/>
    <row r="1208" ht="19.899999999999999" customHeight="1"/>
    <row r="1209" ht="19.899999999999999" customHeight="1"/>
    <row r="1210" ht="19.899999999999999" customHeight="1"/>
    <row r="1211" ht="19.899999999999999" customHeight="1"/>
    <row r="1212" ht="19.899999999999999" customHeight="1"/>
    <row r="1213" ht="19.899999999999999" customHeight="1"/>
    <row r="1214" ht="19.899999999999999" customHeight="1"/>
    <row r="1215" ht="19.899999999999999" customHeight="1"/>
    <row r="1216" ht="19.899999999999999" customHeight="1"/>
    <row r="1217" ht="19.899999999999999" customHeight="1"/>
    <row r="1218" ht="19.899999999999999" customHeight="1"/>
    <row r="1219" ht="19.899999999999999" customHeight="1"/>
    <row r="1220" ht="19.899999999999999" customHeight="1"/>
    <row r="1221" ht="19.899999999999999" customHeight="1"/>
    <row r="1222" ht="19.899999999999999" customHeight="1"/>
    <row r="1223" ht="19.899999999999999" customHeight="1"/>
    <row r="1224" ht="19.899999999999999" customHeight="1"/>
    <row r="1225" ht="19.899999999999999" customHeight="1"/>
    <row r="1226" ht="19.899999999999999" customHeight="1"/>
    <row r="1227" ht="19.899999999999999" customHeight="1"/>
    <row r="1228" ht="19.899999999999999" customHeight="1"/>
    <row r="1229" ht="19.899999999999999" customHeight="1"/>
    <row r="1230" ht="19.899999999999999" customHeight="1"/>
    <row r="1231" ht="19.899999999999999" customHeight="1"/>
    <row r="1232" ht="19.899999999999999" customHeight="1"/>
    <row r="1233" ht="19.899999999999999" customHeight="1"/>
    <row r="1234" ht="19.899999999999999" customHeight="1"/>
    <row r="1235" ht="19.899999999999999" customHeight="1"/>
    <row r="1236" ht="19.899999999999999" customHeight="1"/>
    <row r="1237" ht="19.899999999999999" customHeight="1"/>
    <row r="1238" ht="19.899999999999999" customHeight="1"/>
    <row r="1239" ht="19.899999999999999" customHeight="1"/>
    <row r="1240" ht="19.899999999999999" customHeight="1"/>
    <row r="1241" ht="19.899999999999999" customHeight="1"/>
    <row r="1242" ht="19.899999999999999" customHeight="1"/>
    <row r="1243" ht="19.899999999999999" customHeight="1"/>
    <row r="1244" ht="19.899999999999999" customHeight="1"/>
    <row r="1245" ht="19.899999999999999" customHeight="1"/>
    <row r="1246" ht="19.899999999999999" customHeight="1"/>
    <row r="1247" ht="19.899999999999999" customHeight="1"/>
    <row r="1248" ht="19.899999999999999" customHeight="1"/>
    <row r="1249" ht="19.899999999999999" customHeight="1"/>
    <row r="1250" ht="19.899999999999999" customHeight="1"/>
    <row r="1251" ht="19.899999999999999" customHeight="1"/>
    <row r="1252" ht="19.899999999999999" customHeight="1"/>
    <row r="1253" ht="19.899999999999999" customHeight="1"/>
    <row r="1254" ht="19.899999999999999" customHeight="1"/>
    <row r="1255" ht="19.899999999999999" customHeight="1"/>
    <row r="1256" ht="19.899999999999999" customHeight="1"/>
    <row r="1257" ht="19.899999999999999" customHeight="1"/>
    <row r="1258" ht="19.899999999999999" customHeight="1"/>
    <row r="1259" ht="19.899999999999999" customHeight="1"/>
    <row r="1260" ht="19.899999999999999" customHeight="1"/>
    <row r="1261" ht="19.899999999999999" customHeight="1"/>
    <row r="1262" ht="19.899999999999999" customHeight="1"/>
    <row r="1263" ht="19.899999999999999" customHeight="1"/>
    <row r="1264" ht="19.899999999999999" customHeight="1"/>
    <row r="1265" ht="19.899999999999999" customHeight="1"/>
    <row r="1266" ht="19.899999999999999" customHeight="1"/>
    <row r="1267" ht="19.899999999999999" customHeight="1"/>
    <row r="1268" ht="19.899999999999999" customHeight="1"/>
    <row r="1269" ht="19.899999999999999" customHeight="1"/>
    <row r="1270" ht="19.899999999999999" customHeight="1"/>
    <row r="1271" ht="19.899999999999999" customHeight="1"/>
    <row r="1272" ht="19.899999999999999" customHeight="1"/>
    <row r="1273" ht="19.899999999999999" customHeight="1"/>
    <row r="1274" ht="19.899999999999999" customHeight="1"/>
    <row r="1275" ht="19.899999999999999" customHeight="1"/>
    <row r="1276" ht="19.899999999999999" customHeight="1"/>
    <row r="1277" ht="19.899999999999999" customHeight="1"/>
    <row r="1278" ht="19.899999999999999" customHeight="1"/>
    <row r="1279" ht="19.899999999999999" customHeight="1"/>
    <row r="1280" ht="19.899999999999999" customHeight="1"/>
    <row r="1281" ht="19.899999999999999" customHeight="1"/>
    <row r="1282" ht="19.899999999999999" customHeight="1"/>
    <row r="1283" ht="19.899999999999999" customHeight="1"/>
    <row r="1284" ht="19.899999999999999" customHeight="1"/>
    <row r="1285" ht="19.899999999999999" customHeight="1"/>
    <row r="1286" ht="19.899999999999999" customHeight="1"/>
    <row r="1287" ht="19.899999999999999" customHeight="1"/>
    <row r="1288" ht="19.899999999999999" customHeight="1"/>
    <row r="1289" ht="19.899999999999999" customHeight="1"/>
    <row r="1290" ht="19.899999999999999" customHeight="1"/>
    <row r="1291" ht="19.899999999999999" customHeight="1"/>
    <row r="1292" ht="19.899999999999999" customHeight="1"/>
    <row r="1293" ht="19.899999999999999" customHeight="1"/>
    <row r="1294" ht="19.899999999999999" customHeight="1"/>
    <row r="1295" ht="19.899999999999999" customHeight="1"/>
    <row r="1296" ht="19.899999999999999" customHeight="1"/>
    <row r="1297" ht="19.899999999999999" customHeight="1"/>
    <row r="1298" ht="19.899999999999999" customHeight="1"/>
    <row r="1299" ht="19.899999999999999" customHeight="1"/>
    <row r="1300" ht="19.899999999999999" customHeight="1"/>
    <row r="1301" ht="19.899999999999999" customHeight="1"/>
    <row r="1302" ht="19.899999999999999" customHeight="1"/>
    <row r="1303" ht="19.899999999999999" customHeight="1"/>
    <row r="1304" ht="19.899999999999999" customHeight="1"/>
    <row r="1305" ht="19.899999999999999" customHeight="1"/>
    <row r="1306" ht="19.899999999999999" customHeight="1"/>
    <row r="1307" ht="19.899999999999999" customHeight="1"/>
    <row r="1308" ht="19.899999999999999" customHeight="1"/>
    <row r="1309" ht="19.899999999999999" customHeight="1"/>
    <row r="1310" ht="19.899999999999999" customHeight="1"/>
    <row r="1311" ht="19.899999999999999" customHeight="1"/>
    <row r="1312" ht="19.899999999999999" customHeight="1"/>
    <row r="1313" ht="19.899999999999999" customHeight="1"/>
    <row r="1314" ht="19.899999999999999" customHeight="1"/>
    <row r="1315" ht="19.899999999999999" customHeight="1"/>
    <row r="1316" ht="19.899999999999999" customHeight="1"/>
    <row r="1317" ht="19.899999999999999" customHeight="1"/>
    <row r="1318" ht="19.899999999999999" customHeight="1"/>
    <row r="1319" ht="19.899999999999999" customHeight="1"/>
    <row r="1320" ht="19.899999999999999" customHeight="1"/>
    <row r="1321" ht="19.899999999999999" customHeight="1"/>
    <row r="1322" ht="19.899999999999999" customHeight="1"/>
    <row r="1323" ht="19.899999999999999" customHeight="1"/>
    <row r="1324" ht="19.899999999999999" customHeight="1"/>
    <row r="1325" ht="19.899999999999999" customHeight="1"/>
    <row r="1326" ht="19.899999999999999" customHeight="1"/>
    <row r="1327" ht="19.899999999999999" customHeight="1"/>
    <row r="1328" ht="19.899999999999999" customHeight="1"/>
    <row r="1329" ht="19.899999999999999" customHeight="1"/>
    <row r="1330" ht="19.899999999999999" customHeight="1"/>
    <row r="1331" ht="19.899999999999999" customHeight="1"/>
    <row r="1332" ht="19.899999999999999" customHeight="1"/>
    <row r="1333" ht="19.899999999999999" customHeight="1"/>
    <row r="1334" ht="19.899999999999999" customHeight="1"/>
    <row r="1335" ht="19.899999999999999" customHeight="1"/>
    <row r="1336" ht="19.899999999999999" customHeight="1"/>
    <row r="1337" ht="19.899999999999999" customHeight="1"/>
    <row r="1338" ht="19.899999999999999" customHeight="1"/>
    <row r="1339" ht="19.899999999999999" customHeight="1"/>
    <row r="1340" ht="19.899999999999999" customHeight="1"/>
    <row r="1341" ht="19.899999999999999" customHeight="1"/>
    <row r="1342" ht="19.899999999999999" customHeight="1"/>
    <row r="1343" ht="19.899999999999999" customHeight="1"/>
    <row r="1344" ht="19.899999999999999" customHeight="1"/>
    <row r="1345" ht="19.899999999999999" customHeight="1"/>
    <row r="1346" ht="19.899999999999999" customHeight="1"/>
    <row r="1347" ht="19.899999999999999" customHeight="1"/>
    <row r="1348" ht="19.899999999999999" customHeight="1"/>
    <row r="1349" ht="19.899999999999999" customHeight="1"/>
    <row r="1350" ht="19.899999999999999" customHeight="1"/>
    <row r="1351" ht="19.899999999999999" customHeight="1"/>
    <row r="1352" ht="19.899999999999999" customHeight="1"/>
    <row r="1353" ht="19.899999999999999" customHeight="1"/>
    <row r="1354" ht="19.899999999999999" customHeight="1"/>
    <row r="1355" ht="19.899999999999999" customHeight="1"/>
    <row r="1356" ht="19.899999999999999" customHeight="1"/>
    <row r="1357" ht="19.899999999999999" customHeight="1"/>
    <row r="1358" ht="19.899999999999999" customHeight="1"/>
    <row r="1359" ht="19.899999999999999" customHeight="1"/>
    <row r="1360" ht="19.899999999999999" customHeight="1"/>
    <row r="1361" ht="19.899999999999999" customHeight="1"/>
    <row r="1362" ht="19.899999999999999" customHeight="1"/>
    <row r="1363" ht="19.899999999999999" customHeight="1"/>
    <row r="1364" ht="19.899999999999999" customHeight="1"/>
    <row r="1365" ht="19.899999999999999" customHeight="1"/>
    <row r="1366" ht="19.899999999999999" customHeight="1"/>
    <row r="1367" ht="19.899999999999999" customHeight="1"/>
    <row r="1368" ht="19.899999999999999" customHeight="1"/>
    <row r="1369" ht="19.899999999999999" customHeight="1"/>
    <row r="1370" ht="19.899999999999999" customHeight="1"/>
    <row r="1371" ht="19.899999999999999" customHeight="1"/>
    <row r="1372" ht="19.899999999999999" customHeight="1"/>
    <row r="1373" ht="19.899999999999999" customHeight="1"/>
    <row r="1374" ht="19.899999999999999" customHeight="1"/>
    <row r="1375" ht="19.899999999999999" customHeight="1"/>
    <row r="1376" ht="19.899999999999999" customHeight="1"/>
    <row r="1377" ht="19.899999999999999" customHeight="1"/>
    <row r="1378" ht="19.899999999999999" customHeight="1"/>
    <row r="1379" ht="19.899999999999999" customHeight="1"/>
    <row r="1380" ht="19.899999999999999" customHeight="1"/>
    <row r="1381" ht="19.899999999999999" customHeight="1"/>
    <row r="1382" ht="19.899999999999999" customHeight="1"/>
    <row r="1383" ht="19.899999999999999" customHeight="1"/>
    <row r="1384" ht="19.899999999999999" customHeight="1"/>
    <row r="1385" ht="19.899999999999999" customHeight="1"/>
    <row r="1386" ht="19.899999999999999" customHeight="1"/>
    <row r="1387" ht="19.899999999999999" customHeight="1"/>
    <row r="1388" ht="19.899999999999999" customHeight="1"/>
    <row r="1389" ht="19.899999999999999" customHeight="1"/>
    <row r="1390" ht="19.899999999999999" customHeight="1"/>
    <row r="1391" ht="19.899999999999999" customHeight="1"/>
    <row r="1392" ht="19.899999999999999" customHeight="1"/>
    <row r="1393" ht="19.899999999999999" customHeight="1"/>
    <row r="1394" ht="19.899999999999999" customHeight="1"/>
    <row r="1395" ht="19.899999999999999" customHeight="1"/>
    <row r="1396" ht="19.899999999999999" customHeight="1"/>
    <row r="1397" ht="19.899999999999999" customHeight="1"/>
    <row r="1398" ht="19.899999999999999" customHeight="1"/>
    <row r="1399" ht="19.899999999999999" customHeight="1"/>
    <row r="1400" ht="19.899999999999999" customHeight="1"/>
    <row r="1401" ht="19.899999999999999" customHeight="1"/>
    <row r="1402" ht="19.899999999999999" customHeight="1"/>
    <row r="1403" ht="19.899999999999999" customHeight="1"/>
    <row r="1404" ht="19.899999999999999" customHeight="1"/>
    <row r="1405" ht="19.899999999999999" customHeight="1"/>
    <row r="1406" ht="19.899999999999999" customHeight="1"/>
    <row r="1407" ht="19.899999999999999" customHeight="1"/>
    <row r="1408" ht="19.899999999999999" customHeight="1"/>
    <row r="1409" ht="19.899999999999999" customHeight="1"/>
    <row r="1410" ht="19.899999999999999" customHeight="1"/>
    <row r="1411" ht="19.899999999999999" customHeight="1"/>
    <row r="1412" ht="19.899999999999999" customHeight="1"/>
    <row r="1413" ht="19.899999999999999" customHeight="1"/>
    <row r="1414" ht="19.899999999999999" customHeight="1"/>
    <row r="1415" ht="19.899999999999999" customHeight="1"/>
    <row r="1416" ht="19.899999999999999" customHeight="1"/>
    <row r="1417" ht="19.899999999999999" customHeight="1"/>
    <row r="1418" ht="19.899999999999999" customHeight="1"/>
    <row r="1419" ht="19.899999999999999" customHeight="1"/>
    <row r="1420" ht="19.899999999999999" customHeight="1"/>
    <row r="1421" ht="19.899999999999999" customHeight="1"/>
    <row r="1422" ht="19.899999999999999" customHeight="1"/>
    <row r="1423" ht="19.899999999999999" customHeight="1"/>
    <row r="1424" ht="19.899999999999999" customHeight="1"/>
    <row r="1425" ht="19.899999999999999" customHeight="1"/>
    <row r="1426" ht="19.899999999999999" customHeight="1"/>
    <row r="1427" ht="19.899999999999999" customHeight="1"/>
    <row r="1428" ht="19.899999999999999" customHeight="1"/>
    <row r="1429" ht="19.899999999999999" customHeight="1"/>
    <row r="1430" ht="19.899999999999999" customHeight="1"/>
    <row r="1431" ht="19.899999999999999" customHeight="1"/>
    <row r="1432" ht="19.899999999999999" customHeight="1"/>
  </sheetData>
  <mergeCells count="1">
    <mergeCell ref="D1:H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 Online</Application>
  <Manager/>
  <Company>aaa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B15PFX</dc:creator>
  <cp:keywords/>
  <dc:description/>
  <cp:lastModifiedBy>Asmar Shorof</cp:lastModifiedBy>
  <cp:revision/>
  <dcterms:created xsi:type="dcterms:W3CDTF">2004-11-10T08:21:46Z</dcterms:created>
  <dcterms:modified xsi:type="dcterms:W3CDTF">2026-03-09T07:13:25Z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a144d0a-3300-4c20-bef2-406ebb238add_Enabled">
    <vt:lpwstr>true</vt:lpwstr>
  </property>
  <property fmtid="{D5CDD505-2E9C-101B-9397-08002B2CF9AE}" pid="3" name="MSIP_Label_ea144d0a-3300-4c20-bef2-406ebb238add_SetDate">
    <vt:lpwstr>2025-07-30T16:14:55Z</vt:lpwstr>
  </property>
  <property fmtid="{D5CDD505-2E9C-101B-9397-08002B2CF9AE}" pid="4" name="MSIP_Label_ea144d0a-3300-4c20-bef2-406ebb238add_Method">
    <vt:lpwstr>Standard</vt:lpwstr>
  </property>
  <property fmtid="{D5CDD505-2E9C-101B-9397-08002B2CF9AE}" pid="5" name="MSIP_Label_ea144d0a-3300-4c20-bef2-406ebb238add_Name">
    <vt:lpwstr>defa4170-0d19-0005-0001-bc88714345d2</vt:lpwstr>
  </property>
  <property fmtid="{D5CDD505-2E9C-101B-9397-08002B2CF9AE}" pid="6" name="MSIP_Label_ea144d0a-3300-4c20-bef2-406ebb238add_SiteId">
    <vt:lpwstr>104c96c8-22dd-46a6-b38c-96249a23d3de</vt:lpwstr>
  </property>
  <property fmtid="{D5CDD505-2E9C-101B-9397-08002B2CF9AE}" pid="7" name="MSIP_Label_ea144d0a-3300-4c20-bef2-406ebb238add_ActionId">
    <vt:lpwstr>476635e1-068f-4112-924a-9838a0386516</vt:lpwstr>
  </property>
  <property fmtid="{D5CDD505-2E9C-101B-9397-08002B2CF9AE}" pid="8" name="MSIP_Label_ea144d0a-3300-4c20-bef2-406ebb238add_ContentBits">
    <vt:lpwstr>0</vt:lpwstr>
  </property>
  <property fmtid="{D5CDD505-2E9C-101B-9397-08002B2CF9AE}" pid="9" name="MSIP_Label_ea144d0a-3300-4c20-bef2-406ebb238add_Tag">
    <vt:lpwstr>10, 3, 0, 1</vt:lpwstr>
  </property>
</Properties>
</file>